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1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WIN-SHARE\Share\1 Штаб\1.25 Ком-й депар ЖК АмГрад\Коммерческий департамент ЖК\ПЛАН ПРОДАЖ\"/>
    </mc:Choice>
  </mc:AlternateContent>
  <xr:revisionPtr revIDLastSave="0" documentId="13_ncr:1_{5060AA30-1561-4AA1-A2FB-5B1BE9BFBAA5}" xr6:coauthVersionLast="47" xr6:coauthVersionMax="47" xr10:uidLastSave="{00000000-0000-0000-0000-000000000000}"/>
  <bookViews>
    <workbookView xWindow="-120" yWindow="-120" windowWidth="29040" windowHeight="15840" tabRatio="987" xr2:uid="{2F964B00-7954-450C-87B9-19E57751FD75}"/>
  </bookViews>
  <sheets>
    <sheet name="Срез остатков" sheetId="17" r:id="rId1"/>
    <sheet name="Свод ПП Годовой" sheetId="3" r:id="rId2"/>
    <sheet name="Свод ПП Общий" sheetId="71" r:id="rId3"/>
    <sheet name="Свод ПП 402" sheetId="65" r:id="rId4"/>
    <sheet name="Свод ПП 401" sheetId="66" r:id="rId5"/>
    <sheet name="Свод ПП Д5" sheetId="52" r:id="rId6"/>
    <sheet name="Свод ПП Д4" sheetId="44" r:id="rId7"/>
    <sheet name="Свод комерция" sheetId="56" r:id="rId8"/>
    <sheet name="ПП 403" sheetId="68" r:id="rId9"/>
    <sheet name="ПП 404" sheetId="69" r:id="rId10"/>
    <sheet name="ПП 402" sheetId="64" r:id="rId11"/>
    <sheet name="ПП 401" sheetId="67" r:id="rId12"/>
    <sheet name="ПП Д5" sheetId="51" r:id="rId13"/>
    <sheet name="ПП Д4" sheetId="43" r:id="rId14"/>
    <sheet name="ПП коммерция" sheetId="60" r:id="rId15"/>
    <sheet name="Сверка c  РДДУ" sheetId="41" r:id="rId16"/>
    <sheet name="ПП 3 Квартал" sheetId="70" state="hidden" r:id="rId17"/>
    <sheet name="Д404" sheetId="73" r:id="rId18"/>
    <sheet name="Д403" sheetId="72" r:id="rId19"/>
    <sheet name="РДДУ" sheetId="47" r:id="rId20"/>
    <sheet name="ППК" sheetId="54" state="hidden" r:id="rId21"/>
    <sheet name="ППД402" sheetId="63" state="hidden" r:id="rId22"/>
    <sheet name="ППД401" sheetId="62" state="hidden" r:id="rId23"/>
    <sheet name="ППД4" sheetId="48" state="hidden" r:id="rId24"/>
    <sheet name="ППД5" sheetId="49" state="hidden" r:id="rId25"/>
  </sheets>
  <definedNames>
    <definedName name="_xlnm._FilterDatabase" localSheetId="15" hidden="1">'Сверка c  РДДУ'!#REF!</definedName>
    <definedName name="ExternalData_1" localSheetId="18" hidden="1">'Д403'!$A$1:$CJ$221</definedName>
    <definedName name="ExternalData_1" localSheetId="23" hidden="1">ППД4!$A$1:$DF$537</definedName>
    <definedName name="ExternalData_1" localSheetId="22" hidden="1">ППД401!$A$1:$BE$102</definedName>
    <definedName name="ExternalData_1" localSheetId="24" hidden="1">ППД5!$A$1:$DD$581</definedName>
    <definedName name="ExternalData_1" localSheetId="20" hidden="1">ППК!$A$1:$AE$90</definedName>
    <definedName name="ExternalData_2" localSheetId="17" hidden="1">'Д404'!$A$1:$BK$182</definedName>
    <definedName name="ExternalData_2" localSheetId="21" hidden="1">ППД402!$A$1:$BO$289</definedName>
    <definedName name="ExternalData_2" localSheetId="19" hidden="1">РДДУ!$A$4:$AM$2742</definedName>
    <definedName name="_xlnm.Print_Area" localSheetId="7">'Свод комерция'!$A$1:$A$56</definedName>
    <definedName name="_xlnm.Print_Area" localSheetId="4">'Свод ПП 401'!$A$1:$J$49</definedName>
    <definedName name="_xlnm.Print_Area" localSheetId="3">'Свод ПП 402'!$A$1:$J$64</definedName>
    <definedName name="_xlnm.Print_Area" localSheetId="1">'Свод ПП Годовой'!$B$18:$K$33</definedName>
    <definedName name="_xlnm.Print_Area" localSheetId="6">'Свод ПП Д4'!$A$1:$J$64</definedName>
    <definedName name="_xlnm.Print_Area" localSheetId="5">'Свод ПП Д5'!$A$1:$J$64</definedName>
    <definedName name="Срез_Дом">#N/A</definedName>
    <definedName name="Срез_Дом1">#N/A</definedName>
    <definedName name="Срез_Распределение">#N/A</definedName>
    <definedName name="Срез_Состояние">#N/A</definedName>
    <definedName name="Срез_Статус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" i="49" l="1" a="1"/>
  <c r="DE2" i="49" s="1"/>
  <c r="DE3" i="49" a="1"/>
  <c r="DE3" i="49" s="1"/>
  <c r="DE4" i="49" a="1"/>
  <c r="DE4" i="49" s="1"/>
  <c r="DE5" i="49" a="1"/>
  <c r="DE5" i="49"/>
  <c r="DE6" i="49" a="1"/>
  <c r="DE6" i="49" s="1"/>
  <c r="DE7" i="49" a="1"/>
  <c r="DE7" i="49" s="1"/>
  <c r="DE8" i="49" a="1"/>
  <c r="DE8" i="49" s="1"/>
  <c r="DE9" i="49" a="1"/>
  <c r="DE9" i="49"/>
  <c r="DE10" i="49" a="1"/>
  <c r="DE10" i="49" s="1"/>
  <c r="DE11" i="49" a="1"/>
  <c r="DE11" i="49" s="1"/>
  <c r="DE12" i="49" a="1"/>
  <c r="DE12" i="49" s="1"/>
  <c r="DE13" i="49" a="1"/>
  <c r="DE13" i="49"/>
  <c r="DE14" i="49" a="1"/>
  <c r="DE14" i="49" s="1"/>
  <c r="DE15" i="49" a="1"/>
  <c r="DE15" i="49" s="1"/>
  <c r="DE16" i="49" a="1"/>
  <c r="DE16" i="49" s="1"/>
  <c r="DE17" i="49" a="1"/>
  <c r="DE17" i="49"/>
  <c r="DE18" i="49" a="1"/>
  <c r="DE18" i="49" s="1"/>
  <c r="DE19" i="49" a="1"/>
  <c r="DE19" i="49" s="1"/>
  <c r="DE20" i="49" a="1"/>
  <c r="DE20" i="49" s="1"/>
  <c r="DE21" i="49" a="1"/>
  <c r="DE21" i="49"/>
  <c r="DE22" i="49" a="1"/>
  <c r="DE22" i="49" s="1"/>
  <c r="DE23" i="49" a="1"/>
  <c r="DE23" i="49" s="1"/>
  <c r="DE24" i="49" a="1"/>
  <c r="DE24" i="49" s="1"/>
  <c r="DE25" i="49" a="1"/>
  <c r="DE25" i="49"/>
  <c r="DE26" i="49" a="1"/>
  <c r="DE26" i="49" s="1"/>
  <c r="DE27" i="49" a="1"/>
  <c r="DE27" i="49" s="1"/>
  <c r="DE28" i="49" a="1"/>
  <c r="DE28" i="49" s="1"/>
  <c r="DE29" i="49" a="1"/>
  <c r="DE29" i="49"/>
  <c r="DE30" i="49" a="1"/>
  <c r="DE30" i="49" s="1"/>
  <c r="DE31" i="49" a="1"/>
  <c r="DE31" i="49" s="1"/>
  <c r="DE32" i="49" a="1"/>
  <c r="DE32" i="49" s="1"/>
  <c r="DE33" i="49" a="1"/>
  <c r="DE33" i="49"/>
  <c r="DE34" i="49" a="1"/>
  <c r="DE34" i="49" s="1"/>
  <c r="DE35" i="49" a="1"/>
  <c r="DE35" i="49" s="1"/>
  <c r="DE36" i="49" a="1"/>
  <c r="DE36" i="49" s="1"/>
  <c r="DE37" i="49" a="1"/>
  <c r="DE37" i="49"/>
  <c r="DE38" i="49" a="1"/>
  <c r="DE38" i="49" s="1"/>
  <c r="DE39" i="49" a="1"/>
  <c r="DE39" i="49" s="1"/>
  <c r="DE40" i="49" a="1"/>
  <c r="DE40" i="49" s="1"/>
  <c r="DE41" i="49" a="1"/>
  <c r="DE41" i="49"/>
  <c r="DE42" i="49" a="1"/>
  <c r="DE42" i="49" s="1"/>
  <c r="DE43" i="49" a="1"/>
  <c r="DE43" i="49" s="1"/>
  <c r="DE44" i="49" a="1"/>
  <c r="DE44" i="49" s="1"/>
  <c r="DE45" i="49" a="1"/>
  <c r="DE45" i="49"/>
  <c r="DE46" i="49" a="1"/>
  <c r="DE46" i="49" s="1"/>
  <c r="DE47" i="49" a="1"/>
  <c r="DE47" i="49" s="1"/>
  <c r="DE48" i="49" a="1"/>
  <c r="DE48" i="49" s="1"/>
  <c r="DE49" i="49" a="1"/>
  <c r="DE49" i="49"/>
  <c r="DE50" i="49" a="1"/>
  <c r="DE50" i="49" s="1"/>
  <c r="DE51" i="49" a="1"/>
  <c r="DE51" i="49" s="1"/>
  <c r="DE52" i="49" a="1"/>
  <c r="DE52" i="49" s="1"/>
  <c r="DE53" i="49" a="1"/>
  <c r="DE53" i="49"/>
  <c r="DE54" i="49" a="1"/>
  <c r="DE54" i="49" s="1"/>
  <c r="DE55" i="49" a="1"/>
  <c r="DE55" i="49" s="1"/>
  <c r="DE56" i="49" a="1"/>
  <c r="DE56" i="49" s="1"/>
  <c r="DE57" i="49" a="1"/>
  <c r="DE57" i="49"/>
  <c r="DE58" i="49" a="1"/>
  <c r="DE58" i="49" s="1"/>
  <c r="DE59" i="49" a="1"/>
  <c r="DE59" i="49" s="1"/>
  <c r="DE60" i="49" a="1"/>
  <c r="DE60" i="49" s="1"/>
  <c r="DE61" i="49" a="1"/>
  <c r="DE61" i="49"/>
  <c r="DE62" i="49" a="1"/>
  <c r="DE62" i="49" s="1"/>
  <c r="DE63" i="49" a="1"/>
  <c r="DE63" i="49" s="1"/>
  <c r="DE64" i="49" a="1"/>
  <c r="DE64" i="49" s="1"/>
  <c r="DE65" i="49" a="1"/>
  <c r="DE65" i="49"/>
  <c r="DE66" i="49" a="1"/>
  <c r="DE66" i="49" s="1"/>
  <c r="DE67" i="49" a="1"/>
  <c r="DE67" i="49" s="1"/>
  <c r="DE68" i="49" a="1"/>
  <c r="DE68" i="49" s="1"/>
  <c r="DE69" i="49" a="1"/>
  <c r="DE69" i="49"/>
  <c r="DE70" i="49" a="1"/>
  <c r="DE70" i="49" s="1"/>
  <c r="DE71" i="49" a="1"/>
  <c r="DE71" i="49" s="1"/>
  <c r="DE72" i="49" a="1"/>
  <c r="DE72" i="49" s="1"/>
  <c r="DE73" i="49" a="1"/>
  <c r="DE73" i="49"/>
  <c r="DE74" i="49" a="1"/>
  <c r="DE74" i="49" s="1"/>
  <c r="DE75" i="49" a="1"/>
  <c r="DE75" i="49" s="1"/>
  <c r="DE76" i="49" a="1"/>
  <c r="DE76" i="49" s="1"/>
  <c r="DE77" i="49" a="1"/>
  <c r="DE77" i="49"/>
  <c r="DE78" i="49" a="1"/>
  <c r="DE78" i="49" s="1"/>
  <c r="DE79" i="49" a="1"/>
  <c r="DE79" i="49" s="1"/>
  <c r="DE80" i="49" a="1"/>
  <c r="DE80" i="49" s="1"/>
  <c r="DE81" i="49" a="1"/>
  <c r="DE81" i="49"/>
  <c r="DE82" i="49" a="1"/>
  <c r="DE82" i="49" s="1"/>
  <c r="DE83" i="49" a="1"/>
  <c r="DE83" i="49" s="1"/>
  <c r="DE84" i="49" a="1"/>
  <c r="DE84" i="49" s="1"/>
  <c r="DE85" i="49" a="1"/>
  <c r="DE85" i="49"/>
  <c r="DE86" i="49" a="1"/>
  <c r="DE86" i="49" s="1"/>
  <c r="DE87" i="49" a="1"/>
  <c r="DE87" i="49" s="1"/>
  <c r="DE88" i="49" a="1"/>
  <c r="DE88" i="49" s="1"/>
  <c r="DE89" i="49" a="1"/>
  <c r="DE89" i="49"/>
  <c r="DE90" i="49" a="1"/>
  <c r="DE90" i="49" s="1"/>
  <c r="DE91" i="49" a="1"/>
  <c r="DE91" i="49" s="1"/>
  <c r="DE92" i="49" a="1"/>
  <c r="DE92" i="49" s="1"/>
  <c r="DE93" i="49" a="1"/>
  <c r="DE93" i="49"/>
  <c r="DE94" i="49" a="1"/>
  <c r="DE94" i="49" s="1"/>
  <c r="DE95" i="49" a="1"/>
  <c r="DE95" i="49" s="1"/>
  <c r="DE96" i="49" a="1"/>
  <c r="DE96" i="49" s="1"/>
  <c r="DE97" i="49" a="1"/>
  <c r="DE97" i="49"/>
  <c r="DE98" i="49" a="1"/>
  <c r="DE98" i="49" s="1"/>
  <c r="DE99" i="49" a="1"/>
  <c r="DE99" i="49" s="1"/>
  <c r="DE100" i="49" a="1"/>
  <c r="DE100" i="49" s="1"/>
  <c r="DE101" i="49" a="1"/>
  <c r="DE101" i="49"/>
  <c r="DE102" i="49" a="1"/>
  <c r="DE102" i="49" s="1"/>
  <c r="DE103" i="49" a="1"/>
  <c r="DE103" i="49" s="1"/>
  <c r="DE104" i="49" a="1"/>
  <c r="DE104" i="49" s="1"/>
  <c r="DE105" i="49" a="1"/>
  <c r="DE105" i="49"/>
  <c r="DE106" i="49" a="1"/>
  <c r="DE106" i="49" s="1"/>
  <c r="DE107" i="49" a="1"/>
  <c r="DE107" i="49" s="1"/>
  <c r="DE108" i="49" a="1"/>
  <c r="DE108" i="49" s="1"/>
  <c r="DE109" i="49" a="1"/>
  <c r="DE109" i="49"/>
  <c r="DE110" i="49" a="1"/>
  <c r="DE110" i="49" s="1"/>
  <c r="DE111" i="49" a="1"/>
  <c r="DE111" i="49" s="1"/>
  <c r="DE112" i="49" a="1"/>
  <c r="DE112" i="49" s="1"/>
  <c r="DE113" i="49" a="1"/>
  <c r="DE113" i="49"/>
  <c r="DE114" i="49" a="1"/>
  <c r="DE114" i="49" s="1"/>
  <c r="DE115" i="49" a="1"/>
  <c r="DE115" i="49" s="1"/>
  <c r="DE116" i="49" a="1"/>
  <c r="DE116" i="49" s="1"/>
  <c r="DE117" i="49" a="1"/>
  <c r="DE117" i="49"/>
  <c r="DE118" i="49" a="1"/>
  <c r="DE118" i="49" s="1"/>
  <c r="DE119" i="49" a="1"/>
  <c r="DE119" i="49" s="1"/>
  <c r="DE120" i="49" a="1"/>
  <c r="DE120" i="49" s="1"/>
  <c r="DE121" i="49" a="1"/>
  <c r="DE121" i="49"/>
  <c r="DE122" i="49" a="1"/>
  <c r="DE122" i="49" s="1"/>
  <c r="DE123" i="49" a="1"/>
  <c r="DE123" i="49" s="1"/>
  <c r="DE124" i="49" a="1"/>
  <c r="DE124" i="49" s="1"/>
  <c r="DE125" i="49" a="1"/>
  <c r="DE125" i="49"/>
  <c r="DE126" i="49" a="1"/>
  <c r="DE126" i="49" s="1"/>
  <c r="DE127" i="49" a="1"/>
  <c r="DE127" i="49" s="1"/>
  <c r="DE128" i="49" a="1"/>
  <c r="DE128" i="49" s="1"/>
  <c r="DE129" i="49" a="1"/>
  <c r="DE129" i="49"/>
  <c r="DE130" i="49" a="1"/>
  <c r="DE130" i="49" s="1"/>
  <c r="DE131" i="49" a="1"/>
  <c r="DE131" i="49" s="1"/>
  <c r="DE132" i="49" a="1"/>
  <c r="DE132" i="49" s="1"/>
  <c r="DE133" i="49" a="1"/>
  <c r="DE133" i="49"/>
  <c r="DE134" i="49" a="1"/>
  <c r="DE134" i="49" s="1"/>
  <c r="DE135" i="49" a="1"/>
  <c r="DE135" i="49" s="1"/>
  <c r="DE136" i="49" a="1"/>
  <c r="DE136" i="49" s="1"/>
  <c r="DE137" i="49" a="1"/>
  <c r="DE137" i="49"/>
  <c r="DE138" i="49" a="1"/>
  <c r="DE138" i="49" s="1"/>
  <c r="DE139" i="49" a="1"/>
  <c r="DE139" i="49" s="1"/>
  <c r="DE140" i="49" a="1"/>
  <c r="DE140" i="49" s="1"/>
  <c r="DE141" i="49" a="1"/>
  <c r="DE141" i="49"/>
  <c r="DE142" i="49" a="1"/>
  <c r="DE142" i="49" s="1"/>
  <c r="DE143" i="49" a="1"/>
  <c r="DE143" i="49" s="1"/>
  <c r="DE144" i="49" a="1"/>
  <c r="DE144" i="49" s="1"/>
  <c r="DE145" i="49" a="1"/>
  <c r="DE145" i="49"/>
  <c r="DE146" i="49" a="1"/>
  <c r="DE146" i="49" s="1"/>
  <c r="DE147" i="49" a="1"/>
  <c r="DE147" i="49" s="1"/>
  <c r="DE148" i="49" a="1"/>
  <c r="DE148" i="49" s="1"/>
  <c r="DE149" i="49" a="1"/>
  <c r="DE149" i="49"/>
  <c r="DE150" i="49" a="1"/>
  <c r="DE150" i="49" s="1"/>
  <c r="DE151" i="49" a="1"/>
  <c r="DE151" i="49" s="1"/>
  <c r="DE152" i="49" a="1"/>
  <c r="DE152" i="49" s="1"/>
  <c r="DE153" i="49" a="1"/>
  <c r="DE153" i="49"/>
  <c r="DE154" i="49" a="1"/>
  <c r="DE154" i="49" s="1"/>
  <c r="DE155" i="49" a="1"/>
  <c r="DE155" i="49" s="1"/>
  <c r="DE156" i="49" a="1"/>
  <c r="DE156" i="49" s="1"/>
  <c r="DE157" i="49" a="1"/>
  <c r="DE157" i="49"/>
  <c r="DE158" i="49" a="1"/>
  <c r="DE158" i="49" s="1"/>
  <c r="DE159" i="49" a="1"/>
  <c r="DE159" i="49" s="1"/>
  <c r="DE160" i="49" a="1"/>
  <c r="DE160" i="49" s="1"/>
  <c r="DE161" i="49" a="1"/>
  <c r="DE161" i="49"/>
  <c r="DE162" i="49" a="1"/>
  <c r="DE162" i="49" s="1"/>
  <c r="DE163" i="49" a="1"/>
  <c r="DE163" i="49" s="1"/>
  <c r="DE164" i="49" a="1"/>
  <c r="DE164" i="49" s="1"/>
  <c r="DE165" i="49" a="1"/>
  <c r="DE165" i="49"/>
  <c r="DE166" i="49" a="1"/>
  <c r="DE166" i="49" s="1"/>
  <c r="DE167" i="49" a="1"/>
  <c r="DE167" i="49" s="1"/>
  <c r="DE168" i="49" a="1"/>
  <c r="DE168" i="49" s="1"/>
  <c r="DE169" i="49" a="1"/>
  <c r="DE169" i="49"/>
  <c r="DE170" i="49" a="1"/>
  <c r="DE170" i="49" s="1"/>
  <c r="DE171" i="49" a="1"/>
  <c r="DE171" i="49" s="1"/>
  <c r="DE172" i="49" a="1"/>
  <c r="DE172" i="49" s="1"/>
  <c r="DE173" i="49" a="1"/>
  <c r="DE173" i="49"/>
  <c r="DE174" i="49" a="1"/>
  <c r="DE174" i="49" s="1"/>
  <c r="DE175" i="49" a="1"/>
  <c r="DE175" i="49" s="1"/>
  <c r="DE176" i="49" a="1"/>
  <c r="DE176" i="49" s="1"/>
  <c r="DE177" i="49" a="1"/>
  <c r="DE177" i="49"/>
  <c r="DE178" i="49" a="1"/>
  <c r="DE178" i="49" s="1"/>
  <c r="DE179" i="49" a="1"/>
  <c r="DE179" i="49" s="1"/>
  <c r="DE180" i="49" a="1"/>
  <c r="DE180" i="49" s="1"/>
  <c r="DE181" i="49" a="1"/>
  <c r="DE181" i="49"/>
  <c r="DE182" i="49" a="1"/>
  <c r="DE182" i="49" s="1"/>
  <c r="DE183" i="49" a="1"/>
  <c r="DE183" i="49" s="1"/>
  <c r="DE184" i="49" a="1"/>
  <c r="DE184" i="49" s="1"/>
  <c r="DE185" i="49" a="1"/>
  <c r="DE185" i="49"/>
  <c r="DE186" i="49" a="1"/>
  <c r="DE186" i="49" s="1"/>
  <c r="DE187" i="49" a="1"/>
  <c r="DE187" i="49" s="1"/>
  <c r="DE188" i="49" a="1"/>
  <c r="DE188" i="49" s="1"/>
  <c r="DE189" i="49" a="1"/>
  <c r="DE189" i="49"/>
  <c r="DE190" i="49" a="1"/>
  <c r="DE190" i="49" s="1"/>
  <c r="DE191" i="49" a="1"/>
  <c r="DE191" i="49" s="1"/>
  <c r="DE192" i="49" a="1"/>
  <c r="DE192" i="49" s="1"/>
  <c r="DE193" i="49" a="1"/>
  <c r="DE193" i="49"/>
  <c r="DE194" i="49" a="1"/>
  <c r="DE194" i="49" s="1"/>
  <c r="DE195" i="49" a="1"/>
  <c r="DE195" i="49" s="1"/>
  <c r="DE196" i="49" a="1"/>
  <c r="DE196" i="49" s="1"/>
  <c r="DE197" i="49" a="1"/>
  <c r="DE197" i="49"/>
  <c r="DE198" i="49" a="1"/>
  <c r="DE198" i="49" s="1"/>
  <c r="DE199" i="49" a="1"/>
  <c r="DE199" i="49" s="1"/>
  <c r="DE200" i="49" a="1"/>
  <c r="DE200" i="49" s="1"/>
  <c r="DE201" i="49" a="1"/>
  <c r="DE201" i="49"/>
  <c r="DE202" i="49" a="1"/>
  <c r="DE202" i="49" s="1"/>
  <c r="DE203" i="49" a="1"/>
  <c r="DE203" i="49" s="1"/>
  <c r="DE204" i="49" a="1"/>
  <c r="DE204" i="49" s="1"/>
  <c r="DE205" i="49" a="1"/>
  <c r="DE205" i="49"/>
  <c r="DE206" i="49" a="1"/>
  <c r="DE206" i="49" s="1"/>
  <c r="DE207" i="49" a="1"/>
  <c r="DE207" i="49" s="1"/>
  <c r="DE208" i="49" a="1"/>
  <c r="DE208" i="49" s="1"/>
  <c r="DE209" i="49" a="1"/>
  <c r="DE209" i="49"/>
  <c r="DE210" i="49" a="1"/>
  <c r="DE210" i="49" s="1"/>
  <c r="DE211" i="49" a="1"/>
  <c r="DE211" i="49" s="1"/>
  <c r="DE212" i="49" a="1"/>
  <c r="DE212" i="49" s="1"/>
  <c r="DE213" i="49" a="1"/>
  <c r="DE213" i="49"/>
  <c r="DE214" i="49" a="1"/>
  <c r="DE214" i="49" s="1"/>
  <c r="DE215" i="49" a="1"/>
  <c r="DE215" i="49" s="1"/>
  <c r="DE216" i="49" a="1"/>
  <c r="DE216" i="49" s="1"/>
  <c r="DE217" i="49" a="1"/>
  <c r="DE217" i="49"/>
  <c r="DE218" i="49" a="1"/>
  <c r="DE218" i="49" s="1"/>
  <c r="DE219" i="49" a="1"/>
  <c r="DE219" i="49" s="1"/>
  <c r="DE220" i="49" a="1"/>
  <c r="DE220" i="49" s="1"/>
  <c r="DE221" i="49" a="1"/>
  <c r="DE221" i="49"/>
  <c r="DE222" i="49" a="1"/>
  <c r="DE222" i="49" s="1"/>
  <c r="DE223" i="49" a="1"/>
  <c r="DE223" i="49" s="1"/>
  <c r="DE224" i="49" a="1"/>
  <c r="DE224" i="49" s="1"/>
  <c r="DE225" i="49" a="1"/>
  <c r="DE225" i="49"/>
  <c r="DE226" i="49" a="1"/>
  <c r="DE226" i="49" s="1"/>
  <c r="DE227" i="49" a="1"/>
  <c r="DE227" i="49" s="1"/>
  <c r="DE228" i="49" a="1"/>
  <c r="DE228" i="49" s="1"/>
  <c r="DE229" i="49" a="1"/>
  <c r="DE229" i="49"/>
  <c r="DE230" i="49" a="1"/>
  <c r="DE230" i="49" s="1"/>
  <c r="DE231" i="49" a="1"/>
  <c r="DE231" i="49" s="1"/>
  <c r="DE232" i="49" a="1"/>
  <c r="DE232" i="49" s="1"/>
  <c r="DE233" i="49" a="1"/>
  <c r="DE233" i="49"/>
  <c r="DE234" i="49" a="1"/>
  <c r="DE234" i="49" s="1"/>
  <c r="DE235" i="49" a="1"/>
  <c r="DE235" i="49" s="1"/>
  <c r="DE236" i="49" a="1"/>
  <c r="DE236" i="49" s="1"/>
  <c r="DE237" i="49" a="1"/>
  <c r="DE237" i="49"/>
  <c r="DE238" i="49" a="1"/>
  <c r="DE238" i="49" s="1"/>
  <c r="DE239" i="49" a="1"/>
  <c r="DE239" i="49" s="1"/>
  <c r="DE240" i="49" a="1"/>
  <c r="DE240" i="49" s="1"/>
  <c r="DE241" i="49" a="1"/>
  <c r="DE241" i="49"/>
  <c r="DE242" i="49" a="1"/>
  <c r="DE242" i="49" s="1"/>
  <c r="DE243" i="49" a="1"/>
  <c r="DE243" i="49" s="1"/>
  <c r="DE244" i="49" a="1"/>
  <c r="DE244" i="49" s="1"/>
  <c r="DE245" i="49" a="1"/>
  <c r="DE245" i="49"/>
  <c r="DE246" i="49" a="1"/>
  <c r="DE246" i="49" s="1"/>
  <c r="DE247" i="49" a="1"/>
  <c r="DE247" i="49" s="1"/>
  <c r="DE248" i="49" a="1"/>
  <c r="DE248" i="49" s="1"/>
  <c r="DE249" i="49" a="1"/>
  <c r="DE249" i="49"/>
  <c r="DE250" i="49" a="1"/>
  <c r="DE250" i="49" s="1"/>
  <c r="DE251" i="49" a="1"/>
  <c r="DE251" i="49" s="1"/>
  <c r="DE252" i="49" a="1"/>
  <c r="DE252" i="49" s="1"/>
  <c r="DE253" i="49" a="1"/>
  <c r="DE253" i="49"/>
  <c r="DE254" i="49" a="1"/>
  <c r="DE254" i="49" s="1"/>
  <c r="DE255" i="49" a="1"/>
  <c r="DE255" i="49" s="1"/>
  <c r="DE256" i="49" a="1"/>
  <c r="DE256" i="49" s="1"/>
  <c r="DE257" i="49" a="1"/>
  <c r="DE257" i="49"/>
  <c r="DE258" i="49" a="1"/>
  <c r="DE258" i="49" s="1"/>
  <c r="DE259" i="49" a="1"/>
  <c r="DE259" i="49" s="1"/>
  <c r="DE260" i="49" a="1"/>
  <c r="DE260" i="49" s="1"/>
  <c r="DE261" i="49" a="1"/>
  <c r="DE261" i="49"/>
  <c r="DE262" i="49" a="1"/>
  <c r="DE262" i="49" s="1"/>
  <c r="DE263" i="49" a="1"/>
  <c r="DE263" i="49" s="1"/>
  <c r="DE264" i="49" a="1"/>
  <c r="DE264" i="49" s="1"/>
  <c r="DE265" i="49" a="1"/>
  <c r="DE265" i="49"/>
  <c r="DE266" i="49" a="1"/>
  <c r="DE266" i="49" s="1"/>
  <c r="DE267" i="49" a="1"/>
  <c r="DE267" i="49" s="1"/>
  <c r="DE268" i="49" a="1"/>
  <c r="DE268" i="49" s="1"/>
  <c r="DE269" i="49" a="1"/>
  <c r="DE269" i="49"/>
  <c r="DE270" i="49" a="1"/>
  <c r="DE270" i="49" s="1"/>
  <c r="DE271" i="49" a="1"/>
  <c r="DE271" i="49" s="1"/>
  <c r="DE272" i="49" a="1"/>
  <c r="DE272" i="49" s="1"/>
  <c r="DE273" i="49" a="1"/>
  <c r="DE273" i="49"/>
  <c r="DE274" i="49" a="1"/>
  <c r="DE274" i="49" s="1"/>
  <c r="DE275" i="49" a="1"/>
  <c r="DE275" i="49" s="1"/>
  <c r="DE276" i="49" a="1"/>
  <c r="DE276" i="49" s="1"/>
  <c r="DE277" i="49" a="1"/>
  <c r="DE277" i="49"/>
  <c r="DE278" i="49" a="1"/>
  <c r="DE278" i="49" s="1"/>
  <c r="DE279" i="49" a="1"/>
  <c r="DE279" i="49" s="1"/>
  <c r="DE280" i="49" a="1"/>
  <c r="DE280" i="49" s="1"/>
  <c r="DE281" i="49" a="1"/>
  <c r="DE281" i="49"/>
  <c r="DE282" i="49" a="1"/>
  <c r="DE282" i="49" s="1"/>
  <c r="DE283" i="49" a="1"/>
  <c r="DE283" i="49" s="1"/>
  <c r="DE284" i="49" a="1"/>
  <c r="DE284" i="49" s="1"/>
  <c r="DE285" i="49" a="1"/>
  <c r="DE285" i="49"/>
  <c r="DE286" i="49" a="1"/>
  <c r="DE286" i="49" s="1"/>
  <c r="DE287" i="49" a="1"/>
  <c r="DE287" i="49" s="1"/>
  <c r="DE288" i="49" a="1"/>
  <c r="DE288" i="49" s="1"/>
  <c r="DE289" i="49" a="1"/>
  <c r="DE289" i="49"/>
  <c r="DE290" i="49" a="1"/>
  <c r="DE290" i="49" s="1"/>
  <c r="DE291" i="49" a="1"/>
  <c r="DE291" i="49" s="1"/>
  <c r="DE292" i="49" a="1"/>
  <c r="DE292" i="49" s="1"/>
  <c r="DE293" i="49" a="1"/>
  <c r="DE293" i="49"/>
  <c r="DE294" i="49" a="1"/>
  <c r="DE294" i="49" s="1"/>
  <c r="DE295" i="49" a="1"/>
  <c r="DE295" i="49" s="1"/>
  <c r="DE296" i="49" a="1"/>
  <c r="DE296" i="49" s="1"/>
  <c r="DE297" i="49" a="1"/>
  <c r="DE297" i="49"/>
  <c r="DE298" i="49" a="1"/>
  <c r="DE298" i="49" s="1"/>
  <c r="DE299" i="49" a="1"/>
  <c r="DE299" i="49" s="1"/>
  <c r="DE300" i="49" a="1"/>
  <c r="DE300" i="49" s="1"/>
  <c r="DE301" i="49" a="1"/>
  <c r="DE301" i="49"/>
  <c r="DE302" i="49" a="1"/>
  <c r="DE302" i="49" s="1"/>
  <c r="DE303" i="49" a="1"/>
  <c r="DE303" i="49" s="1"/>
  <c r="DE304" i="49" a="1"/>
  <c r="DE304" i="49" s="1"/>
  <c r="DE305" i="49" a="1"/>
  <c r="DE305" i="49"/>
  <c r="DE306" i="49" a="1"/>
  <c r="DE306" i="49" s="1"/>
  <c r="DE307" i="49" a="1"/>
  <c r="DE307" i="49" s="1"/>
  <c r="DE308" i="49" a="1"/>
  <c r="DE308" i="49" s="1"/>
  <c r="DE309" i="49" a="1"/>
  <c r="DE309" i="49"/>
  <c r="DE310" i="49" a="1"/>
  <c r="DE310" i="49" s="1"/>
  <c r="DE311" i="49" a="1"/>
  <c r="DE311" i="49" s="1"/>
  <c r="DE312" i="49" a="1"/>
  <c r="DE312" i="49" s="1"/>
  <c r="DE313" i="49" a="1"/>
  <c r="DE313" i="49"/>
  <c r="DE314" i="49" a="1"/>
  <c r="DE314" i="49" s="1"/>
  <c r="DE315" i="49" a="1"/>
  <c r="DE315" i="49" s="1"/>
  <c r="DE316" i="49" a="1"/>
  <c r="DE316" i="49" s="1"/>
  <c r="DE317" i="49" a="1"/>
  <c r="DE317" i="49"/>
  <c r="DE318" i="49" a="1"/>
  <c r="DE318" i="49" s="1"/>
  <c r="DE319" i="49" a="1"/>
  <c r="DE319" i="49" s="1"/>
  <c r="DE320" i="49" a="1"/>
  <c r="DE320" i="49" s="1"/>
  <c r="DE321" i="49" a="1"/>
  <c r="DE321" i="49"/>
  <c r="DE322" i="49" a="1"/>
  <c r="DE322" i="49" s="1"/>
  <c r="DE323" i="49" a="1"/>
  <c r="DE323" i="49" s="1"/>
  <c r="DE324" i="49" a="1"/>
  <c r="DE324" i="49" s="1"/>
  <c r="DE325" i="49" a="1"/>
  <c r="DE325" i="49"/>
  <c r="DE326" i="49" a="1"/>
  <c r="DE326" i="49" s="1"/>
  <c r="DE327" i="49" a="1"/>
  <c r="DE327" i="49" s="1"/>
  <c r="DE328" i="49" a="1"/>
  <c r="DE328" i="49" s="1"/>
  <c r="DE329" i="49" a="1"/>
  <c r="DE329" i="49"/>
  <c r="DE330" i="49" a="1"/>
  <c r="DE330" i="49" s="1"/>
  <c r="DE331" i="49" a="1"/>
  <c r="DE331" i="49" s="1"/>
  <c r="DE332" i="49" a="1"/>
  <c r="DE332" i="49" s="1"/>
  <c r="DE333" i="49" a="1"/>
  <c r="DE333" i="49"/>
  <c r="DE334" i="49" a="1"/>
  <c r="DE334" i="49" s="1"/>
  <c r="DE335" i="49" a="1"/>
  <c r="DE335" i="49" s="1"/>
  <c r="DE336" i="49" a="1"/>
  <c r="DE336" i="49" s="1"/>
  <c r="DE337" i="49" a="1"/>
  <c r="DE337" i="49"/>
  <c r="DE338" i="49" a="1"/>
  <c r="DE338" i="49" s="1"/>
  <c r="DE339" i="49" a="1"/>
  <c r="DE339" i="49" s="1"/>
  <c r="DE340" i="49" a="1"/>
  <c r="DE340" i="49" s="1"/>
  <c r="DE341" i="49" a="1"/>
  <c r="DE341" i="49"/>
  <c r="DE342" i="49" a="1"/>
  <c r="DE342" i="49"/>
  <c r="DE343" i="49" a="1"/>
  <c r="DE343" i="49"/>
  <c r="DE344" i="49" a="1"/>
  <c r="DE344" i="49"/>
  <c r="DE345" i="49" a="1"/>
  <c r="DE345" i="49"/>
  <c r="DE346" i="49" a="1"/>
  <c r="DE346" i="49"/>
  <c r="DE347" i="49" a="1"/>
  <c r="DE347" i="49"/>
  <c r="DE348" i="49" a="1"/>
  <c r="DE348" i="49"/>
  <c r="DE349" i="49" a="1"/>
  <c r="DE349" i="49"/>
  <c r="DE350" i="49" a="1"/>
  <c r="DE350" i="49"/>
  <c r="DE351" i="49" a="1"/>
  <c r="DE351" i="49"/>
  <c r="DE352" i="49" a="1"/>
  <c r="DE352" i="49"/>
  <c r="DE353" i="49" a="1"/>
  <c r="DE353" i="49"/>
  <c r="DE354" i="49" a="1"/>
  <c r="DE354" i="49"/>
  <c r="DE355" i="49" a="1"/>
  <c r="DE355" i="49"/>
  <c r="DE356" i="49" a="1"/>
  <c r="DE356" i="49"/>
  <c r="DE357" i="49" a="1"/>
  <c r="DE357" i="49"/>
  <c r="DE358" i="49" a="1"/>
  <c r="DE358" i="49"/>
  <c r="DE359" i="49" a="1"/>
  <c r="DE359" i="49"/>
  <c r="DE360" i="49" a="1"/>
  <c r="DE360" i="49"/>
  <c r="DE361" i="49" a="1"/>
  <c r="DE361" i="49"/>
  <c r="DE362" i="49" a="1"/>
  <c r="DE362" i="49"/>
  <c r="DE363" i="49" a="1"/>
  <c r="DE363" i="49"/>
  <c r="DE364" i="49" a="1"/>
  <c r="DE364" i="49"/>
  <c r="DE365" i="49" a="1"/>
  <c r="DE365" i="49"/>
  <c r="DE366" i="49" a="1"/>
  <c r="DE366" i="49"/>
  <c r="DE367" i="49" a="1"/>
  <c r="DE367" i="49"/>
  <c r="DE368" i="49" a="1"/>
  <c r="DE368" i="49"/>
  <c r="DE369" i="49" a="1"/>
  <c r="DE369" i="49"/>
  <c r="DE370" i="49" a="1"/>
  <c r="DE370" i="49"/>
  <c r="DE371" i="49" a="1"/>
  <c r="DE371" i="49"/>
  <c r="DE372" i="49" a="1"/>
  <c r="DE372" i="49"/>
  <c r="DE373" i="49" a="1"/>
  <c r="DE373" i="49"/>
  <c r="DE374" i="49" a="1"/>
  <c r="DE374" i="49"/>
  <c r="DE375" i="49" a="1"/>
  <c r="DE375" i="49"/>
  <c r="DE376" i="49" a="1"/>
  <c r="DE376" i="49"/>
  <c r="DE377" i="49" a="1"/>
  <c r="DE377" i="49"/>
  <c r="DE378" i="49" a="1"/>
  <c r="DE378" i="49"/>
  <c r="DE379" i="49" a="1"/>
  <c r="DE379" i="49"/>
  <c r="DE380" i="49" a="1"/>
  <c r="DE380" i="49"/>
  <c r="DE381" i="49" a="1"/>
  <c r="DE381" i="49"/>
  <c r="DE382" i="49" a="1"/>
  <c r="DE382" i="49"/>
  <c r="DE383" i="49" a="1"/>
  <c r="DE383" i="49"/>
  <c r="DE384" i="49" a="1"/>
  <c r="DE384" i="49"/>
  <c r="DE385" i="49" a="1"/>
  <c r="DE385" i="49"/>
  <c r="DE386" i="49" a="1"/>
  <c r="DE386" i="49"/>
  <c r="DE387" i="49" a="1"/>
  <c r="DE387" i="49"/>
  <c r="DE388" i="49" a="1"/>
  <c r="DE388" i="49"/>
  <c r="DE389" i="49" a="1"/>
  <c r="DE389" i="49"/>
  <c r="DE390" i="49" a="1"/>
  <c r="DE390" i="49"/>
  <c r="DE391" i="49" a="1"/>
  <c r="DE391" i="49"/>
  <c r="DE392" i="49" a="1"/>
  <c r="DE392" i="49"/>
  <c r="DE393" i="49" a="1"/>
  <c r="DE393" i="49"/>
  <c r="DE394" i="49" a="1"/>
  <c r="DE394" i="49"/>
  <c r="DE395" i="49" a="1"/>
  <c r="DE395" i="49"/>
  <c r="DE396" i="49" a="1"/>
  <c r="DE396" i="49"/>
  <c r="DE397" i="49" a="1"/>
  <c r="DE397" i="49"/>
  <c r="DE398" i="49" a="1"/>
  <c r="DE398" i="49"/>
  <c r="DE399" i="49" a="1"/>
  <c r="DE399" i="49"/>
  <c r="DE400" i="49" a="1"/>
  <c r="DE400" i="49"/>
  <c r="DE401" i="49" a="1"/>
  <c r="DE401" i="49"/>
  <c r="DE402" i="49" a="1"/>
  <c r="DE402" i="49"/>
  <c r="DE403" i="49" a="1"/>
  <c r="DE403" i="49"/>
  <c r="DE404" i="49" a="1"/>
  <c r="DE404" i="49"/>
  <c r="DE405" i="49" a="1"/>
  <c r="DE405" i="49"/>
  <c r="DE406" i="49" a="1"/>
  <c r="DE406" i="49"/>
  <c r="DE407" i="49" a="1"/>
  <c r="DE407" i="49"/>
  <c r="DE408" i="49" a="1"/>
  <c r="DE408" i="49"/>
  <c r="DE409" i="49" a="1"/>
  <c r="DE409" i="49"/>
  <c r="DE410" i="49" a="1"/>
  <c r="DE410" i="49"/>
  <c r="DE411" i="49" a="1"/>
  <c r="DE411" i="49"/>
  <c r="DE412" i="49" a="1"/>
  <c r="DE412" i="49"/>
  <c r="DE413" i="49" a="1"/>
  <c r="DE413" i="49"/>
  <c r="DE414" i="49" a="1"/>
  <c r="DE414" i="49"/>
  <c r="DE415" i="49" a="1"/>
  <c r="DE415" i="49"/>
  <c r="DE416" i="49" a="1"/>
  <c r="DE416" i="49"/>
  <c r="DE417" i="49" a="1"/>
  <c r="DE417" i="49"/>
  <c r="DE418" i="49" a="1"/>
  <c r="DE418" i="49"/>
  <c r="DE419" i="49" a="1"/>
  <c r="DE419" i="49"/>
  <c r="DE420" i="49" a="1"/>
  <c r="DE420" i="49"/>
  <c r="DE421" i="49" a="1"/>
  <c r="DE421" i="49"/>
  <c r="DE422" i="49" a="1"/>
  <c r="DE422" i="49"/>
  <c r="DE423" i="49" a="1"/>
  <c r="DE423" i="49"/>
  <c r="DE424" i="49" a="1"/>
  <c r="DE424" i="49"/>
  <c r="DE425" i="49" a="1"/>
  <c r="DE425" i="49"/>
  <c r="DE426" i="49" a="1"/>
  <c r="DE426" i="49"/>
  <c r="DE427" i="49" a="1"/>
  <c r="DE427" i="49"/>
  <c r="DE428" i="49" a="1"/>
  <c r="DE428" i="49"/>
  <c r="DE429" i="49" a="1"/>
  <c r="DE429" i="49"/>
  <c r="DE430" i="49" a="1"/>
  <c r="DE430" i="49"/>
  <c r="DE431" i="49" a="1"/>
  <c r="DE431" i="49"/>
  <c r="DE432" i="49" a="1"/>
  <c r="DE432" i="49"/>
  <c r="DE433" i="49" a="1"/>
  <c r="DE433" i="49"/>
  <c r="DE434" i="49" a="1"/>
  <c r="DE434" i="49"/>
  <c r="DE435" i="49" a="1"/>
  <c r="DE435" i="49"/>
  <c r="DE436" i="49" a="1"/>
  <c r="DE436" i="49"/>
  <c r="DE437" i="49" a="1"/>
  <c r="DE437" i="49"/>
  <c r="DE438" i="49" a="1"/>
  <c r="DE438" i="49"/>
  <c r="DE439" i="49" a="1"/>
  <c r="DE439" i="49"/>
  <c r="DE440" i="49" a="1"/>
  <c r="DE440" i="49"/>
  <c r="DE441" i="49" a="1"/>
  <c r="DE441" i="49"/>
  <c r="DE442" i="49" a="1"/>
  <c r="DE442" i="49"/>
  <c r="DE443" i="49" a="1"/>
  <c r="DE443" i="49"/>
  <c r="DE444" i="49" a="1"/>
  <c r="DE444" i="49"/>
  <c r="DE445" i="49" a="1"/>
  <c r="DE445" i="49"/>
  <c r="DE446" i="49" a="1"/>
  <c r="DE446" i="49"/>
  <c r="DE447" i="49" a="1"/>
  <c r="DE447" i="49"/>
  <c r="DE448" i="49" a="1"/>
  <c r="DE448" i="49"/>
  <c r="DE449" i="49" a="1"/>
  <c r="DE449" i="49"/>
  <c r="DE450" i="49" a="1"/>
  <c r="DE450" i="49"/>
  <c r="DE451" i="49" a="1"/>
  <c r="DE451" i="49"/>
  <c r="DE452" i="49" a="1"/>
  <c r="DE452" i="49"/>
  <c r="DE453" i="49" a="1"/>
  <c r="DE453" i="49"/>
  <c r="DE454" i="49" a="1"/>
  <c r="DE454" i="49"/>
  <c r="DE455" i="49" a="1"/>
  <c r="DE455" i="49"/>
  <c r="DE456" i="49" a="1"/>
  <c r="DE456" i="49"/>
  <c r="DE457" i="49" a="1"/>
  <c r="DE457" i="49"/>
  <c r="DE458" i="49" a="1"/>
  <c r="DE458" i="49"/>
  <c r="DE459" i="49" a="1"/>
  <c r="DE459" i="49"/>
  <c r="DE460" i="49" a="1"/>
  <c r="DE460" i="49"/>
  <c r="DE461" i="49" a="1"/>
  <c r="DE461" i="49"/>
  <c r="DE462" i="49" a="1"/>
  <c r="DE462" i="49"/>
  <c r="DE463" i="49" a="1"/>
  <c r="DE463" i="49"/>
  <c r="DE464" i="49" a="1"/>
  <c r="DE464" i="49"/>
  <c r="DE465" i="49" a="1"/>
  <c r="DE465" i="49"/>
  <c r="DE466" i="49" a="1"/>
  <c r="DE466" i="49"/>
  <c r="DE467" i="49" a="1"/>
  <c r="DE467" i="49"/>
  <c r="DE468" i="49" a="1"/>
  <c r="DE468" i="49"/>
  <c r="DE469" i="49" a="1"/>
  <c r="DE469" i="49"/>
  <c r="DE470" i="49" a="1"/>
  <c r="DE470" i="49"/>
  <c r="DE471" i="49" a="1"/>
  <c r="DE471" i="49"/>
  <c r="DE472" i="49" a="1"/>
  <c r="DE472" i="49"/>
  <c r="DE473" i="49" a="1"/>
  <c r="DE473" i="49"/>
  <c r="DE474" i="49" a="1"/>
  <c r="DE474" i="49"/>
  <c r="DE475" i="49" a="1"/>
  <c r="DE475" i="49"/>
  <c r="DE476" i="49" a="1"/>
  <c r="DE476" i="49"/>
  <c r="DE477" i="49" a="1"/>
  <c r="DE477" i="49"/>
  <c r="DE478" i="49" a="1"/>
  <c r="DE478" i="49"/>
  <c r="DE479" i="49" a="1"/>
  <c r="DE479" i="49"/>
  <c r="DE480" i="49" a="1"/>
  <c r="DE480" i="49"/>
  <c r="DE481" i="49" a="1"/>
  <c r="DE481" i="49"/>
  <c r="DE482" i="49" a="1"/>
  <c r="DE482" i="49"/>
  <c r="DE483" i="49" a="1"/>
  <c r="DE483" i="49"/>
  <c r="DE484" i="49" a="1"/>
  <c r="DE484" i="49"/>
  <c r="DE485" i="49" a="1"/>
  <c r="DE485" i="49"/>
  <c r="DE486" i="49" a="1"/>
  <c r="DE486" i="49"/>
  <c r="DE487" i="49" a="1"/>
  <c r="DE487" i="49"/>
  <c r="DE488" i="49" a="1"/>
  <c r="DE488" i="49"/>
  <c r="DE489" i="49" a="1"/>
  <c r="DE489" i="49"/>
  <c r="DE490" i="49" a="1"/>
  <c r="DE490" i="49"/>
  <c r="DE491" i="49" a="1"/>
  <c r="DE491" i="49"/>
  <c r="DE492" i="49" a="1"/>
  <c r="DE492" i="49"/>
  <c r="DE493" i="49" a="1"/>
  <c r="DE493" i="49"/>
  <c r="DE494" i="49" a="1"/>
  <c r="DE494" i="49"/>
  <c r="DE495" i="49" a="1"/>
  <c r="DE495" i="49"/>
  <c r="DE496" i="49" a="1"/>
  <c r="DE496" i="49"/>
  <c r="DE497" i="49" a="1"/>
  <c r="DE497" i="49"/>
  <c r="DE498" i="49" a="1"/>
  <c r="DE498" i="49"/>
  <c r="DE499" i="49" a="1"/>
  <c r="DE499" i="49"/>
  <c r="DE500" i="49" a="1"/>
  <c r="DE500" i="49"/>
  <c r="DE501" i="49" a="1"/>
  <c r="DE501" i="49"/>
  <c r="DE502" i="49" a="1"/>
  <c r="DE502" i="49"/>
  <c r="DE503" i="49" a="1"/>
  <c r="DE503" i="49"/>
  <c r="DE504" i="49" a="1"/>
  <c r="DE504" i="49"/>
  <c r="DE505" i="49" a="1"/>
  <c r="DE505" i="49"/>
  <c r="DE506" i="49" a="1"/>
  <c r="DE506" i="49"/>
  <c r="DE507" i="49" a="1"/>
  <c r="DE507" i="49"/>
  <c r="DE508" i="49" a="1"/>
  <c r="DE508" i="49"/>
  <c r="DE509" i="49" a="1"/>
  <c r="DE509" i="49"/>
  <c r="DE510" i="49" a="1"/>
  <c r="DE510" i="49"/>
  <c r="DE511" i="49" a="1"/>
  <c r="DE511" i="49"/>
  <c r="DE512" i="49" a="1"/>
  <c r="DE512" i="49"/>
  <c r="DE513" i="49" a="1"/>
  <c r="DE513" i="49"/>
  <c r="DE514" i="49" a="1"/>
  <c r="DE514" i="49"/>
  <c r="DE515" i="49" a="1"/>
  <c r="DE515" i="49"/>
  <c r="DE516" i="49" a="1"/>
  <c r="DE516" i="49"/>
  <c r="DE517" i="49" a="1"/>
  <c r="DE517" i="49"/>
  <c r="DE518" i="49" a="1"/>
  <c r="DE518" i="49"/>
  <c r="DE519" i="49" a="1"/>
  <c r="DE519" i="49"/>
  <c r="DE520" i="49" a="1"/>
  <c r="DE520" i="49"/>
  <c r="DE521" i="49" a="1"/>
  <c r="DE521" i="49"/>
  <c r="DE522" i="49" a="1"/>
  <c r="DE522" i="49"/>
  <c r="DE523" i="49" a="1"/>
  <c r="DE523" i="49"/>
  <c r="DE524" i="49" a="1"/>
  <c r="DE524" i="49"/>
  <c r="DE525" i="49" a="1"/>
  <c r="DE525" i="49"/>
  <c r="DE526" i="49" a="1"/>
  <c r="DE526" i="49"/>
  <c r="DE527" i="49" a="1"/>
  <c r="DE527" i="49"/>
  <c r="DE528" i="49" a="1"/>
  <c r="DE528" i="49"/>
  <c r="DE529" i="49" a="1"/>
  <c r="DE529" i="49"/>
  <c r="DE530" i="49" a="1"/>
  <c r="DE530" i="49"/>
  <c r="DE531" i="49" a="1"/>
  <c r="DE531" i="49"/>
  <c r="DE532" i="49" a="1"/>
  <c r="DE532" i="49"/>
  <c r="DE533" i="49" a="1"/>
  <c r="DE533" i="49"/>
  <c r="DE534" i="49" a="1"/>
  <c r="DE534" i="49"/>
  <c r="DE535" i="49" a="1"/>
  <c r="DE535" i="49"/>
  <c r="DE536" i="49" a="1"/>
  <c r="DE536" i="49"/>
  <c r="DE537" i="49" a="1"/>
  <c r="DE537" i="49"/>
  <c r="DE538" i="49" a="1"/>
  <c r="DE538" i="49"/>
  <c r="DE539" i="49" a="1"/>
  <c r="DE539" i="49"/>
  <c r="DE540" i="49" a="1"/>
  <c r="DE540" i="49"/>
  <c r="DE541" i="49" a="1"/>
  <c r="DE541" i="49"/>
  <c r="DE542" i="49" a="1"/>
  <c r="DE542" i="49"/>
  <c r="DE543" i="49" a="1"/>
  <c r="DE543" i="49"/>
  <c r="DE544" i="49" a="1"/>
  <c r="DE544" i="49"/>
  <c r="DE545" i="49" a="1"/>
  <c r="DE545" i="49"/>
  <c r="DE546" i="49" a="1"/>
  <c r="DE546" i="49"/>
  <c r="DE547" i="49" a="1"/>
  <c r="DE547" i="49"/>
  <c r="DE548" i="49" a="1"/>
  <c r="DE548" i="49"/>
  <c r="DE549" i="49" a="1"/>
  <c r="DE549" i="49"/>
  <c r="DE550" i="49" a="1"/>
  <c r="DE550" i="49"/>
  <c r="DE551" i="49" a="1"/>
  <c r="DE551" i="49"/>
  <c r="DE552" i="49" a="1"/>
  <c r="DE552" i="49"/>
  <c r="DE553" i="49" a="1"/>
  <c r="DE553" i="49"/>
  <c r="DE554" i="49" a="1"/>
  <c r="DE554" i="49"/>
  <c r="DE555" i="49" a="1"/>
  <c r="DE555" i="49"/>
  <c r="DE556" i="49" a="1"/>
  <c r="DE556" i="49"/>
  <c r="DE557" i="49" a="1"/>
  <c r="DE557" i="49"/>
  <c r="DE558" i="49" a="1"/>
  <c r="DE558" i="49"/>
  <c r="DE559" i="49" a="1"/>
  <c r="DE559" i="49"/>
  <c r="DE560" i="49" a="1"/>
  <c r="DE560" i="49"/>
  <c r="DE561" i="49" a="1"/>
  <c r="DE561" i="49"/>
  <c r="DE562" i="49" a="1"/>
  <c r="DE562" i="49"/>
  <c r="DE563" i="49" a="1"/>
  <c r="DE563" i="49"/>
  <c r="DE564" i="49" a="1"/>
  <c r="DE564" i="49"/>
  <c r="DE565" i="49" a="1"/>
  <c r="DE565" i="49"/>
  <c r="DE566" i="49" a="1"/>
  <c r="DE566" i="49"/>
  <c r="DE567" i="49" a="1"/>
  <c r="DE567" i="49"/>
  <c r="DE568" i="49" a="1"/>
  <c r="DE568" i="49"/>
  <c r="DE569" i="49" a="1"/>
  <c r="DE569" i="49"/>
  <c r="DE570" i="49" a="1"/>
  <c r="DE570" i="49"/>
  <c r="DE571" i="49" a="1"/>
  <c r="DE571" i="49"/>
  <c r="DE572" i="49" a="1"/>
  <c r="DE572" i="49"/>
  <c r="DE573" i="49" a="1"/>
  <c r="DE573" i="49"/>
  <c r="DE574" i="49" a="1"/>
  <c r="DE574" i="49"/>
  <c r="DE575" i="49" a="1"/>
  <c r="DE575" i="49"/>
  <c r="DE576" i="49" a="1"/>
  <c r="DE576" i="49"/>
  <c r="DE577" i="49" a="1"/>
  <c r="DE577" i="49"/>
  <c r="DE578" i="49" a="1"/>
  <c r="DE578" i="49"/>
  <c r="DE579" i="49" a="1"/>
  <c r="DE579" i="49"/>
  <c r="DE580" i="49" a="1"/>
  <c r="DE580" i="49"/>
  <c r="DE581" i="49" a="1"/>
  <c r="DE581" i="49"/>
  <c r="DG2" i="48" a="1"/>
  <c r="DG2" i="48" s="1"/>
  <c r="DG3" i="48" a="1"/>
  <c r="DG3" i="48" s="1"/>
  <c r="DG4" i="48" a="1"/>
  <c r="DG4" i="48" s="1"/>
  <c r="DG5" i="48" a="1"/>
  <c r="DG5" i="48" s="1"/>
  <c r="DG6" i="48" a="1"/>
  <c r="DG6" i="48" s="1"/>
  <c r="DG7" i="48" a="1"/>
  <c r="DG7" i="48" s="1"/>
  <c r="DG8" i="48" a="1"/>
  <c r="DG8" i="48" s="1"/>
  <c r="DG9" i="48" a="1"/>
  <c r="DG9" i="48" s="1"/>
  <c r="DG10" i="48" a="1"/>
  <c r="DG10" i="48" s="1"/>
  <c r="DG11" i="48" a="1"/>
  <c r="DG11" i="48" s="1"/>
  <c r="DG12" i="48" a="1"/>
  <c r="DG12" i="48" s="1"/>
  <c r="DG13" i="48" a="1"/>
  <c r="DG13" i="48" s="1"/>
  <c r="DG14" i="48" a="1"/>
  <c r="DG14" i="48" s="1"/>
  <c r="DG15" i="48" a="1"/>
  <c r="DG15" i="48" s="1"/>
  <c r="DG16" i="48" a="1"/>
  <c r="DG16" i="48" s="1"/>
  <c r="DG17" i="48" a="1"/>
  <c r="DG17" i="48" s="1"/>
  <c r="DG18" i="48" a="1"/>
  <c r="DG18" i="48" s="1"/>
  <c r="DG19" i="48" a="1"/>
  <c r="DG19" i="48" s="1"/>
  <c r="DG20" i="48" a="1"/>
  <c r="DG20" i="48" s="1"/>
  <c r="DG21" i="48" a="1"/>
  <c r="DG21" i="48" s="1"/>
  <c r="DG22" i="48" a="1"/>
  <c r="DG22" i="48" s="1"/>
  <c r="DG23" i="48" a="1"/>
  <c r="DG23" i="48" s="1"/>
  <c r="DG24" i="48" a="1"/>
  <c r="DG24" i="48" s="1"/>
  <c r="DG25" i="48" a="1"/>
  <c r="DG25" i="48" s="1"/>
  <c r="DG26" i="48" a="1"/>
  <c r="DG26" i="48" s="1"/>
  <c r="DG27" i="48" a="1"/>
  <c r="DG27" i="48" s="1"/>
  <c r="DG28" i="48" a="1"/>
  <c r="DG28" i="48" s="1"/>
  <c r="DG29" i="48" a="1"/>
  <c r="DG29" i="48" s="1"/>
  <c r="DG30" i="48" a="1"/>
  <c r="DG30" i="48" s="1"/>
  <c r="DG31" i="48" a="1"/>
  <c r="DG31" i="48" s="1"/>
  <c r="DG32" i="48" a="1"/>
  <c r="DG32" i="48" s="1"/>
  <c r="DG33" i="48" a="1"/>
  <c r="DG33" i="48" s="1"/>
  <c r="DG34" i="48" a="1"/>
  <c r="DG34" i="48" s="1"/>
  <c r="DG35" i="48" a="1"/>
  <c r="DG35" i="48" s="1"/>
  <c r="DG36" i="48" a="1"/>
  <c r="DG36" i="48" s="1"/>
  <c r="DG37" i="48" a="1"/>
  <c r="DG37" i="48" s="1"/>
  <c r="DG38" i="48" a="1"/>
  <c r="DG38" i="48" s="1"/>
  <c r="DG39" i="48" a="1"/>
  <c r="DG39" i="48" s="1"/>
  <c r="DG40" i="48" a="1"/>
  <c r="DG40" i="48" s="1"/>
  <c r="DG41" i="48" a="1"/>
  <c r="DG41" i="48" s="1"/>
  <c r="DG42" i="48" a="1"/>
  <c r="DG42" i="48" s="1"/>
  <c r="DG43" i="48" a="1"/>
  <c r="DG43" i="48" s="1"/>
  <c r="DG44" i="48" a="1"/>
  <c r="DG44" i="48" s="1"/>
  <c r="DG45" i="48" a="1"/>
  <c r="DG45" i="48" s="1"/>
  <c r="DG46" i="48" a="1"/>
  <c r="DG46" i="48" s="1"/>
  <c r="DG47" i="48" a="1"/>
  <c r="DG47" i="48" s="1"/>
  <c r="DG48" i="48" a="1"/>
  <c r="DG48" i="48" s="1"/>
  <c r="DG49" i="48" a="1"/>
  <c r="DG49" i="48" s="1"/>
  <c r="DG50" i="48" a="1"/>
  <c r="DG50" i="48" s="1"/>
  <c r="DG51" i="48" a="1"/>
  <c r="DG51" i="48" s="1"/>
  <c r="DG52" i="48" a="1"/>
  <c r="DG52" i="48" s="1"/>
  <c r="DG53" i="48" a="1"/>
  <c r="DG53" i="48" s="1"/>
  <c r="DG54" i="48" a="1"/>
  <c r="DG54" i="48" s="1"/>
  <c r="DG55" i="48" a="1"/>
  <c r="DG55" i="48" s="1"/>
  <c r="DG56" i="48" a="1"/>
  <c r="DG56" i="48" s="1"/>
  <c r="DG57" i="48" a="1"/>
  <c r="DG57" i="48" s="1"/>
  <c r="DG58" i="48" a="1"/>
  <c r="DG58" i="48" s="1"/>
  <c r="DG59" i="48" a="1"/>
  <c r="DG59" i="48" s="1"/>
  <c r="DG60" i="48" a="1"/>
  <c r="DG60" i="48" s="1"/>
  <c r="DG61" i="48" a="1"/>
  <c r="DG61" i="48" s="1"/>
  <c r="DG62" i="48" a="1"/>
  <c r="DG62" i="48" s="1"/>
  <c r="DG63" i="48" a="1"/>
  <c r="DG63" i="48" s="1"/>
  <c r="DG64" i="48" a="1"/>
  <c r="DG64" i="48" s="1"/>
  <c r="DG65" i="48" a="1"/>
  <c r="DG65" i="48"/>
  <c r="DG66" i="48" a="1"/>
  <c r="DG66" i="48" s="1"/>
  <c r="DG67" i="48" a="1"/>
  <c r="DG67" i="48" s="1"/>
  <c r="DG68" i="48" a="1"/>
  <c r="DG68" i="48" s="1"/>
  <c r="DG69" i="48" a="1"/>
  <c r="DG69" i="48" s="1"/>
  <c r="DG70" i="48" a="1"/>
  <c r="DG70" i="48" s="1"/>
  <c r="DG71" i="48" a="1"/>
  <c r="DG71" i="48" s="1"/>
  <c r="DG72" i="48" a="1"/>
  <c r="DG72" i="48" s="1"/>
  <c r="DG73" i="48" a="1"/>
  <c r="DG73" i="48" s="1"/>
  <c r="DG74" i="48" a="1"/>
  <c r="DG74" i="48" s="1"/>
  <c r="DG75" i="48" a="1"/>
  <c r="DG75" i="48" s="1"/>
  <c r="DG76" i="48" a="1"/>
  <c r="DG76" i="48" s="1"/>
  <c r="DG77" i="48" a="1"/>
  <c r="DG77" i="48" s="1"/>
  <c r="DG78" i="48" a="1"/>
  <c r="DG78" i="48" s="1"/>
  <c r="DG79" i="48" a="1"/>
  <c r="DG79" i="48" s="1"/>
  <c r="DG80" i="48" a="1"/>
  <c r="DG80" i="48" s="1"/>
  <c r="DG81" i="48" a="1"/>
  <c r="DG81" i="48" s="1"/>
  <c r="DG82" i="48" a="1"/>
  <c r="DG82" i="48" s="1"/>
  <c r="DG83" i="48" a="1"/>
  <c r="DG83" i="48" s="1"/>
  <c r="DG84" i="48" a="1"/>
  <c r="DG84" i="48" s="1"/>
  <c r="DG85" i="48" a="1"/>
  <c r="DG85" i="48" s="1"/>
  <c r="DG86" i="48" a="1"/>
  <c r="DG86" i="48" s="1"/>
  <c r="DG87" i="48" a="1"/>
  <c r="DG87" i="48" s="1"/>
  <c r="DG88" i="48" a="1"/>
  <c r="DG88" i="48" s="1"/>
  <c r="DG89" i="48" a="1"/>
  <c r="DG89" i="48"/>
  <c r="DG90" i="48" a="1"/>
  <c r="DG90" i="48" s="1"/>
  <c r="DG91" i="48" a="1"/>
  <c r="DG91" i="48" s="1"/>
  <c r="DG92" i="48" a="1"/>
  <c r="DG92" i="48" s="1"/>
  <c r="DG93" i="48" a="1"/>
  <c r="DG93" i="48" s="1"/>
  <c r="DG94" i="48" a="1"/>
  <c r="DG94" i="48" s="1"/>
  <c r="DG95" i="48" a="1"/>
  <c r="DG95" i="48" s="1"/>
  <c r="DG96" i="48" a="1"/>
  <c r="DG96" i="48" s="1"/>
  <c r="DG97" i="48" a="1"/>
  <c r="DG97" i="48" s="1"/>
  <c r="DG98" i="48" a="1"/>
  <c r="DG98" i="48" s="1"/>
  <c r="DG99" i="48" a="1"/>
  <c r="DG99" i="48" s="1"/>
  <c r="DG100" i="48" a="1"/>
  <c r="DG100" i="48" s="1"/>
  <c r="DG101" i="48" a="1"/>
  <c r="DG101" i="48" s="1"/>
  <c r="DG102" i="48" a="1"/>
  <c r="DG102" i="48" s="1"/>
  <c r="DG103" i="48" a="1"/>
  <c r="DG103" i="48" s="1"/>
  <c r="DG104" i="48" a="1"/>
  <c r="DG104" i="48" s="1"/>
  <c r="DG105" i="48" a="1"/>
  <c r="DG105" i="48" s="1"/>
  <c r="DG106" i="48" a="1"/>
  <c r="DG106" i="48" s="1"/>
  <c r="DG107" i="48" a="1"/>
  <c r="DG107" i="48" s="1"/>
  <c r="DG108" i="48" a="1"/>
  <c r="DG108" i="48" s="1"/>
  <c r="DG109" i="48" a="1"/>
  <c r="DG109" i="48" s="1"/>
  <c r="DG110" i="48" a="1"/>
  <c r="DG110" i="48" s="1"/>
  <c r="DG111" i="48" a="1"/>
  <c r="DG111" i="48" s="1"/>
  <c r="DG112" i="48" a="1"/>
  <c r="DG112" i="48" s="1"/>
  <c r="DG113" i="48" a="1"/>
  <c r="DG113" i="48" s="1"/>
  <c r="DG114" i="48" a="1"/>
  <c r="DG114" i="48" s="1"/>
  <c r="DG115" i="48" a="1"/>
  <c r="DG115" i="48" s="1"/>
  <c r="DG116" i="48" a="1"/>
  <c r="DG116" i="48" s="1"/>
  <c r="DG117" i="48" a="1"/>
  <c r="DG117" i="48" s="1"/>
  <c r="DG118" i="48" a="1"/>
  <c r="DG118" i="48" s="1"/>
  <c r="DG119" i="48" a="1"/>
  <c r="DG119" i="48" s="1"/>
  <c r="DG120" i="48" a="1"/>
  <c r="DG120" i="48" s="1"/>
  <c r="DG121" i="48" a="1"/>
  <c r="DG121" i="48" s="1"/>
  <c r="DG122" i="48" a="1"/>
  <c r="DG122" i="48" s="1"/>
  <c r="DG123" i="48" a="1"/>
  <c r="DG123" i="48" s="1"/>
  <c r="DG124" i="48" a="1"/>
  <c r="DG124" i="48" s="1"/>
  <c r="DG125" i="48" a="1"/>
  <c r="DG125" i="48"/>
  <c r="DG126" i="48" a="1"/>
  <c r="DG126" i="48" s="1"/>
  <c r="DG127" i="48" a="1"/>
  <c r="DG127" i="48" s="1"/>
  <c r="DG128" i="48" a="1"/>
  <c r="DG128" i="48" s="1"/>
  <c r="DG129" i="48" a="1"/>
  <c r="DG129" i="48" s="1"/>
  <c r="DG130" i="48" a="1"/>
  <c r="DG130" i="48" s="1"/>
  <c r="DG131" i="48" a="1"/>
  <c r="DG131" i="48" s="1"/>
  <c r="DG132" i="48" a="1"/>
  <c r="DG132" i="48" s="1"/>
  <c r="DG133" i="48" a="1"/>
  <c r="DG133" i="48" s="1"/>
  <c r="DG134" i="48" a="1"/>
  <c r="DG134" i="48" s="1"/>
  <c r="DG135" i="48" a="1"/>
  <c r="DG135" i="48" s="1"/>
  <c r="DG136" i="48" a="1"/>
  <c r="DG136" i="48" s="1"/>
  <c r="DG137" i="48" a="1"/>
  <c r="DG137" i="48" s="1"/>
  <c r="DG138" i="48" a="1"/>
  <c r="DG138" i="48" s="1"/>
  <c r="DG139" i="48" a="1"/>
  <c r="DG139" i="48" s="1"/>
  <c r="DG140" i="48" a="1"/>
  <c r="DG140" i="48" s="1"/>
  <c r="DG141" i="48" a="1"/>
  <c r="DG141" i="48" s="1"/>
  <c r="DG142" i="48" a="1"/>
  <c r="DG142" i="48" s="1"/>
  <c r="DG143" i="48" a="1"/>
  <c r="DG143" i="48" s="1"/>
  <c r="DG144" i="48" a="1"/>
  <c r="DG144" i="48" s="1"/>
  <c r="DG145" i="48" a="1"/>
  <c r="DG145" i="48" s="1"/>
  <c r="DG146" i="48" a="1"/>
  <c r="DG146" i="48" s="1"/>
  <c r="DG147" i="48" a="1"/>
  <c r="DG147" i="48" s="1"/>
  <c r="DG148" i="48" a="1"/>
  <c r="DG148" i="48" s="1"/>
  <c r="DG149" i="48" a="1"/>
  <c r="DG149" i="48" s="1"/>
  <c r="DG150" i="48" a="1"/>
  <c r="DG150" i="48" s="1"/>
  <c r="DG151" i="48" a="1"/>
  <c r="DG151" i="48" s="1"/>
  <c r="DG152" i="48" a="1"/>
  <c r="DG152" i="48" s="1"/>
  <c r="DG153" i="48" a="1"/>
  <c r="DG153" i="48" s="1"/>
  <c r="DG154" i="48" a="1"/>
  <c r="DG154" i="48" s="1"/>
  <c r="DG155" i="48" a="1"/>
  <c r="DG155" i="48" s="1"/>
  <c r="DG156" i="48" a="1"/>
  <c r="DG156" i="48" s="1"/>
  <c r="DG157" i="48" a="1"/>
  <c r="DG157" i="48"/>
  <c r="DG158" i="48" a="1"/>
  <c r="DG158" i="48" s="1"/>
  <c r="DG159" i="48" a="1"/>
  <c r="DG159" i="48" s="1"/>
  <c r="DG160" i="48" a="1"/>
  <c r="DG160" i="48" s="1"/>
  <c r="DG161" i="48" a="1"/>
  <c r="DG161" i="48"/>
  <c r="DG162" i="48" a="1"/>
  <c r="DG162" i="48" s="1"/>
  <c r="DG163" i="48" a="1"/>
  <c r="DG163" i="48" s="1"/>
  <c r="DG164" i="48" a="1"/>
  <c r="DG164" i="48" s="1"/>
  <c r="DG165" i="48" a="1"/>
  <c r="DG165" i="48" s="1"/>
  <c r="DG166" i="48" a="1"/>
  <c r="DG166" i="48" s="1"/>
  <c r="DG167" i="48" a="1"/>
  <c r="DG167" i="48" s="1"/>
  <c r="DG168" i="48" a="1"/>
  <c r="DG168" i="48" s="1"/>
  <c r="DG169" i="48" a="1"/>
  <c r="DG169" i="48" s="1"/>
  <c r="DG170" i="48" a="1"/>
  <c r="DG170" i="48" s="1"/>
  <c r="DG171" i="48" a="1"/>
  <c r="DG171" i="48" s="1"/>
  <c r="DG172" i="48" a="1"/>
  <c r="DG172" i="48" s="1"/>
  <c r="DG173" i="48" a="1"/>
  <c r="DG173" i="48" s="1"/>
  <c r="DG174" i="48" a="1"/>
  <c r="DG174" i="48" s="1"/>
  <c r="DG175" i="48" a="1"/>
  <c r="DG175" i="48" s="1"/>
  <c r="DG176" i="48" a="1"/>
  <c r="DG176" i="48" s="1"/>
  <c r="DG177" i="48" a="1"/>
  <c r="DG177" i="48" s="1"/>
  <c r="DG178" i="48" a="1"/>
  <c r="DG178" i="48" s="1"/>
  <c r="DG179" i="48" a="1"/>
  <c r="DG179" i="48" s="1"/>
  <c r="DG180" i="48" a="1"/>
  <c r="DG180" i="48" s="1"/>
  <c r="DG181" i="48" a="1"/>
  <c r="DG181" i="48" s="1"/>
  <c r="DG182" i="48" a="1"/>
  <c r="DG182" i="48" s="1"/>
  <c r="DG183" i="48" a="1"/>
  <c r="DG183" i="48" s="1"/>
  <c r="DG184" i="48" a="1"/>
  <c r="DG184" i="48" s="1"/>
  <c r="DG185" i="48" a="1"/>
  <c r="DG185" i="48"/>
  <c r="DG186" i="48" a="1"/>
  <c r="DG186" i="48" s="1"/>
  <c r="DG187" i="48" a="1"/>
  <c r="DG187" i="48" s="1"/>
  <c r="DG188" i="48" a="1"/>
  <c r="DG188" i="48" s="1"/>
  <c r="DG189" i="48" a="1"/>
  <c r="DG189" i="48" s="1"/>
  <c r="DG190" i="48" a="1"/>
  <c r="DG190" i="48" s="1"/>
  <c r="DG191" i="48" a="1"/>
  <c r="DG191" i="48" s="1"/>
  <c r="DG192" i="48" a="1"/>
  <c r="DG192" i="48" s="1"/>
  <c r="DG193" i="48" a="1"/>
  <c r="DG193" i="48" s="1"/>
  <c r="DG194" i="48" a="1"/>
  <c r="DG194" i="48" s="1"/>
  <c r="DG195" i="48" a="1"/>
  <c r="DG195" i="48" s="1"/>
  <c r="DG196" i="48" a="1"/>
  <c r="DG196" i="48" s="1"/>
  <c r="DG197" i="48" a="1"/>
  <c r="DG197" i="48" s="1"/>
  <c r="DG198" i="48" a="1"/>
  <c r="DG198" i="48" s="1"/>
  <c r="DG199" i="48" a="1"/>
  <c r="DG199" i="48" s="1"/>
  <c r="DG200" i="48" a="1"/>
  <c r="DG200" i="48" s="1"/>
  <c r="DG201" i="48" a="1"/>
  <c r="DG201" i="48" s="1"/>
  <c r="DG202" i="48" a="1"/>
  <c r="DG202" i="48" s="1"/>
  <c r="DG203" i="48" a="1"/>
  <c r="DG203" i="48" s="1"/>
  <c r="DG204" i="48" a="1"/>
  <c r="DG204" i="48" s="1"/>
  <c r="DG205" i="48" a="1"/>
  <c r="DG205" i="48" s="1"/>
  <c r="DG206" i="48" a="1"/>
  <c r="DG206" i="48" s="1"/>
  <c r="DG207" i="48" a="1"/>
  <c r="DG207" i="48" s="1"/>
  <c r="DG208" i="48" a="1"/>
  <c r="DG208" i="48" s="1"/>
  <c r="DG209" i="48" a="1"/>
  <c r="DG209" i="48" s="1"/>
  <c r="DG210" i="48" a="1"/>
  <c r="DG210" i="48" s="1"/>
  <c r="DG211" i="48" a="1"/>
  <c r="DG211" i="48" s="1"/>
  <c r="DG212" i="48" a="1"/>
  <c r="DG212" i="48" s="1"/>
  <c r="DG213" i="48" a="1"/>
  <c r="DG213" i="48" s="1"/>
  <c r="DG214" i="48" a="1"/>
  <c r="DG214" i="48" s="1"/>
  <c r="DG215" i="48" a="1"/>
  <c r="DG215" i="48" s="1"/>
  <c r="DG216" i="48" a="1"/>
  <c r="DG216" i="48" s="1"/>
  <c r="DG217" i="48" a="1"/>
  <c r="DG217" i="48" s="1"/>
  <c r="DG218" i="48" a="1"/>
  <c r="DG218" i="48" s="1"/>
  <c r="DG219" i="48" a="1"/>
  <c r="DG219" i="48" s="1"/>
  <c r="DG220" i="48" a="1"/>
  <c r="DG220" i="48" s="1"/>
  <c r="DG221" i="48" a="1"/>
  <c r="DG221" i="48" s="1"/>
  <c r="DG222" i="48" a="1"/>
  <c r="DG222" i="48" s="1"/>
  <c r="DG223" i="48" a="1"/>
  <c r="DG223" i="48" s="1"/>
  <c r="DG224" i="48" a="1"/>
  <c r="DG224" i="48" s="1"/>
  <c r="DG225" i="48" a="1"/>
  <c r="DG225" i="48" s="1"/>
  <c r="DG226" i="48" a="1"/>
  <c r="DG226" i="48" s="1"/>
  <c r="DG227" i="48" a="1"/>
  <c r="DG227" i="48" s="1"/>
  <c r="DG228" i="48" a="1"/>
  <c r="DG228" i="48" s="1"/>
  <c r="DG229" i="48" a="1"/>
  <c r="DG229" i="48" s="1"/>
  <c r="DG230" i="48" a="1"/>
  <c r="DG230" i="48" s="1"/>
  <c r="DG231" i="48" a="1"/>
  <c r="DG231" i="48" s="1"/>
  <c r="DG232" i="48" a="1"/>
  <c r="DG232" i="48" s="1"/>
  <c r="DG233" i="48" a="1"/>
  <c r="DG233" i="48" s="1"/>
  <c r="DG234" i="48" a="1"/>
  <c r="DG234" i="48" s="1"/>
  <c r="DG235" i="48" a="1"/>
  <c r="DG235" i="48" s="1"/>
  <c r="DG236" i="48" a="1"/>
  <c r="DG236" i="48" s="1"/>
  <c r="DG237" i="48" a="1"/>
  <c r="DG237" i="48" s="1"/>
  <c r="DG238" i="48" a="1"/>
  <c r="DG238" i="48" s="1"/>
  <c r="DG239" i="48" a="1"/>
  <c r="DG239" i="48" s="1"/>
  <c r="DG240" i="48" a="1"/>
  <c r="DG240" i="48" s="1"/>
  <c r="DG241" i="48" a="1"/>
  <c r="DG241" i="48" s="1"/>
  <c r="DG242" i="48" a="1"/>
  <c r="DG242" i="48" s="1"/>
  <c r="DG243" i="48" a="1"/>
  <c r="DG243" i="48" s="1"/>
  <c r="DG244" i="48" a="1"/>
  <c r="DG244" i="48" s="1"/>
  <c r="DG245" i="48" a="1"/>
  <c r="DG245" i="48" s="1"/>
  <c r="DG246" i="48" a="1"/>
  <c r="DG246" i="48" s="1"/>
  <c r="DG247" i="48" a="1"/>
  <c r="DG247" i="48" s="1"/>
  <c r="DG248" i="48" a="1"/>
  <c r="DG248" i="48" s="1"/>
  <c r="DG249" i="48" a="1"/>
  <c r="DG249" i="48" s="1"/>
  <c r="DG250" i="48" a="1"/>
  <c r="DG250" i="48" s="1"/>
  <c r="DG251" i="48" a="1"/>
  <c r="DG251" i="48" s="1"/>
  <c r="DG252" i="48" a="1"/>
  <c r="DG252" i="48" s="1"/>
  <c r="DG253" i="48" a="1"/>
  <c r="DG253" i="48" s="1"/>
  <c r="DG254" i="48" a="1"/>
  <c r="DG254" i="48" s="1"/>
  <c r="DG255" i="48" a="1"/>
  <c r="DG255" i="48" s="1"/>
  <c r="DG256" i="48" a="1"/>
  <c r="DG256" i="48" s="1"/>
  <c r="DG257" i="48" a="1"/>
  <c r="DG257" i="48" s="1"/>
  <c r="DG258" i="48" a="1"/>
  <c r="DG258" i="48" s="1"/>
  <c r="DG259" i="48" a="1"/>
  <c r="DG259" i="48" s="1"/>
  <c r="DG260" i="48" a="1"/>
  <c r="DG260" i="48" s="1"/>
  <c r="DG261" i="48" a="1"/>
  <c r="DG261" i="48" s="1"/>
  <c r="DG262" i="48" a="1"/>
  <c r="DG262" i="48" s="1"/>
  <c r="DG263" i="48" a="1"/>
  <c r="DG263" i="48" s="1"/>
  <c r="DG264" i="48" a="1"/>
  <c r="DG264" i="48" s="1"/>
  <c r="DG265" i="48" a="1"/>
  <c r="DG265" i="48" s="1"/>
  <c r="DG266" i="48" a="1"/>
  <c r="DG266" i="48" s="1"/>
  <c r="DG267" i="48" a="1"/>
  <c r="DG267" i="48" s="1"/>
  <c r="DG268" i="48" a="1"/>
  <c r="DG268" i="48" s="1"/>
  <c r="DG269" i="48" a="1"/>
  <c r="DG269" i="48" s="1"/>
  <c r="DG270" i="48" a="1"/>
  <c r="DG270" i="48" s="1"/>
  <c r="DG271" i="48" a="1"/>
  <c r="DG271" i="48" s="1"/>
  <c r="DG272" i="48" a="1"/>
  <c r="DG272" i="48" s="1"/>
  <c r="DG273" i="48" a="1"/>
  <c r="DG273" i="48" s="1"/>
  <c r="DG274" i="48" a="1"/>
  <c r="DG274" i="48" s="1"/>
  <c r="DG275" i="48" a="1"/>
  <c r="DG275" i="48" s="1"/>
  <c r="DG276" i="48" a="1"/>
  <c r="DG276" i="48" s="1"/>
  <c r="DG277" i="48" a="1"/>
  <c r="DG277" i="48" s="1"/>
  <c r="DG278" i="48" a="1"/>
  <c r="DG278" i="48" s="1"/>
  <c r="DG279" i="48" a="1"/>
  <c r="DG279" i="48" s="1"/>
  <c r="DG280" i="48" a="1"/>
  <c r="DG280" i="48" s="1"/>
  <c r="DG281" i="48" a="1"/>
  <c r="DG281" i="48" s="1"/>
  <c r="DG282" i="48" a="1"/>
  <c r="DG282" i="48" s="1"/>
  <c r="DG283" i="48" a="1"/>
  <c r="DG283" i="48" s="1"/>
  <c r="DG284" i="48" a="1"/>
  <c r="DG284" i="48" s="1"/>
  <c r="DG285" i="48" a="1"/>
  <c r="DG285" i="48" s="1"/>
  <c r="DG286" i="48" a="1"/>
  <c r="DG286" i="48" s="1"/>
  <c r="DG287" i="48" a="1"/>
  <c r="DG287" i="48" s="1"/>
  <c r="DG288" i="48" a="1"/>
  <c r="DG288" i="48" s="1"/>
  <c r="DG289" i="48" a="1"/>
  <c r="DG289" i="48" s="1"/>
  <c r="DG290" i="48" a="1"/>
  <c r="DG290" i="48" s="1"/>
  <c r="DG291" i="48" a="1"/>
  <c r="DG291" i="48" s="1"/>
  <c r="DG292" i="48" a="1"/>
  <c r="DG292" i="48" s="1"/>
  <c r="DG293" i="48" a="1"/>
  <c r="DG293" i="48" s="1"/>
  <c r="DG294" i="48" a="1"/>
  <c r="DG294" i="48" s="1"/>
  <c r="DG295" i="48" a="1"/>
  <c r="DG295" i="48" s="1"/>
  <c r="DG296" i="48" a="1"/>
  <c r="DG296" i="48" s="1"/>
  <c r="DG297" i="48" a="1"/>
  <c r="DG297" i="48" s="1"/>
  <c r="DG298" i="48" a="1"/>
  <c r="DG298" i="48" s="1"/>
  <c r="DG299" i="48" a="1"/>
  <c r="DG299" i="48" s="1"/>
  <c r="DG300" i="48" a="1"/>
  <c r="DG300" i="48" s="1"/>
  <c r="DG301" i="48" a="1"/>
  <c r="DG301" i="48" s="1"/>
  <c r="DG302" i="48" a="1"/>
  <c r="DG302" i="48" s="1"/>
  <c r="DG303" i="48" a="1"/>
  <c r="DG303" i="48" s="1"/>
  <c r="DG304" i="48" a="1"/>
  <c r="DG304" i="48" s="1"/>
  <c r="DG305" i="48" a="1"/>
  <c r="DG305" i="48" s="1"/>
  <c r="DG306" i="48" a="1"/>
  <c r="DG306" i="48" s="1"/>
  <c r="DG307" i="48" a="1"/>
  <c r="DG307" i="48" s="1"/>
  <c r="DG308" i="48" a="1"/>
  <c r="DG308" i="48" s="1"/>
  <c r="DG309" i="48" a="1"/>
  <c r="DG309" i="48" s="1"/>
  <c r="DG310" i="48" a="1"/>
  <c r="DG310" i="48" s="1"/>
  <c r="DG311" i="48" a="1"/>
  <c r="DG311" i="48" s="1"/>
  <c r="DG312" i="48" a="1"/>
  <c r="DG312" i="48" s="1"/>
  <c r="DG313" i="48" a="1"/>
  <c r="DG313" i="48" s="1"/>
  <c r="DG314" i="48" a="1"/>
  <c r="DG314" i="48" s="1"/>
  <c r="DG315" i="48" a="1"/>
  <c r="DG315" i="48" s="1"/>
  <c r="DG316" i="48" a="1"/>
  <c r="DG316" i="48" s="1"/>
  <c r="DG317" i="48" a="1"/>
  <c r="DG317" i="48" s="1"/>
  <c r="DG318" i="48" a="1"/>
  <c r="DG318" i="48" s="1"/>
  <c r="DG319" i="48" a="1"/>
  <c r="DG319" i="48" s="1"/>
  <c r="DG320" i="48" a="1"/>
  <c r="DG320" i="48" s="1"/>
  <c r="DG321" i="48" a="1"/>
  <c r="DG321" i="48" s="1"/>
  <c r="DG322" i="48" a="1"/>
  <c r="DG322" i="48" s="1"/>
  <c r="DG323" i="48" a="1"/>
  <c r="DG323" i="48" s="1"/>
  <c r="DG324" i="48" a="1"/>
  <c r="DG324" i="48" s="1"/>
  <c r="DG325" i="48" a="1"/>
  <c r="DG325" i="48" s="1"/>
  <c r="DG326" i="48" a="1"/>
  <c r="DG326" i="48" s="1"/>
  <c r="DG327" i="48" a="1"/>
  <c r="DG327" i="48" s="1"/>
  <c r="DG328" i="48" a="1"/>
  <c r="DG328" i="48" s="1"/>
  <c r="DG329" i="48" a="1"/>
  <c r="DG329" i="48" s="1"/>
  <c r="DG330" i="48" a="1"/>
  <c r="DG330" i="48" s="1"/>
  <c r="DG331" i="48" a="1"/>
  <c r="DG331" i="48" s="1"/>
  <c r="DG332" i="48" a="1"/>
  <c r="DG332" i="48" s="1"/>
  <c r="DG333" i="48" a="1"/>
  <c r="DG333" i="48" s="1"/>
  <c r="DG334" i="48" a="1"/>
  <c r="DG334" i="48" s="1"/>
  <c r="DG335" i="48" a="1"/>
  <c r="DG335" i="48" s="1"/>
  <c r="DG336" i="48" a="1"/>
  <c r="DG336" i="48" s="1"/>
  <c r="DG337" i="48" a="1"/>
  <c r="DG337" i="48" s="1"/>
  <c r="DG338" i="48" a="1"/>
  <c r="DG338" i="48" s="1"/>
  <c r="DG339" i="48" a="1"/>
  <c r="DG339" i="48" s="1"/>
  <c r="DG340" i="48" a="1"/>
  <c r="DG340" i="48" s="1"/>
  <c r="DG341" i="48" a="1"/>
  <c r="DG341" i="48" s="1"/>
  <c r="DG342" i="48" a="1"/>
  <c r="DG342" i="48" s="1"/>
  <c r="DG343" i="48" a="1"/>
  <c r="DG343" i="48" s="1"/>
  <c r="DG344" i="48" a="1"/>
  <c r="DG344" i="48" s="1"/>
  <c r="DG345" i="48" a="1"/>
  <c r="DG345" i="48" s="1"/>
  <c r="DG346" i="48" a="1"/>
  <c r="DG346" i="48" s="1"/>
  <c r="DG347" i="48" a="1"/>
  <c r="DG347" i="48" s="1"/>
  <c r="DG348" i="48" a="1"/>
  <c r="DG348" i="48" s="1"/>
  <c r="DG349" i="48" a="1"/>
  <c r="DG349" i="48" s="1"/>
  <c r="DG350" i="48" a="1"/>
  <c r="DG350" i="48" s="1"/>
  <c r="DG351" i="48" a="1"/>
  <c r="DG351" i="48" s="1"/>
  <c r="DG352" i="48" a="1"/>
  <c r="DG352" i="48" s="1"/>
  <c r="DG353" i="48" a="1"/>
  <c r="DG353" i="48" s="1"/>
  <c r="DG354" i="48" a="1"/>
  <c r="DG354" i="48" s="1"/>
  <c r="DG355" i="48" a="1"/>
  <c r="DG355" i="48" s="1"/>
  <c r="DG356" i="48" a="1"/>
  <c r="DG356" i="48" s="1"/>
  <c r="DG357" i="48" a="1"/>
  <c r="DG357" i="48" s="1"/>
  <c r="DG358" i="48" a="1"/>
  <c r="DG358" i="48" s="1"/>
  <c r="DG359" i="48" a="1"/>
  <c r="DG359" i="48" s="1"/>
  <c r="DG360" i="48" a="1"/>
  <c r="DG360" i="48" s="1"/>
  <c r="DG361" i="48" a="1"/>
  <c r="DG361" i="48" s="1"/>
  <c r="DG362" i="48" a="1"/>
  <c r="DG362" i="48" s="1"/>
  <c r="DG363" i="48" a="1"/>
  <c r="DG363" i="48" s="1"/>
  <c r="DG364" i="48" a="1"/>
  <c r="DG364" i="48" s="1"/>
  <c r="DG365" i="48" a="1"/>
  <c r="DG365" i="48" s="1"/>
  <c r="DG366" i="48" a="1"/>
  <c r="DG366" i="48" s="1"/>
  <c r="DG367" i="48" a="1"/>
  <c r="DG367" i="48" s="1"/>
  <c r="DG368" i="48" a="1"/>
  <c r="DG368" i="48" s="1"/>
  <c r="DG369" i="48" a="1"/>
  <c r="DG369" i="48" s="1"/>
  <c r="DG370" i="48" a="1"/>
  <c r="DG370" i="48" s="1"/>
  <c r="DG371" i="48" a="1"/>
  <c r="DG371" i="48" s="1"/>
  <c r="DG372" i="48" a="1"/>
  <c r="DG372" i="48" s="1"/>
  <c r="DG373" i="48" a="1"/>
  <c r="DG373" i="48" s="1"/>
  <c r="DG374" i="48" a="1"/>
  <c r="DG374" i="48" s="1"/>
  <c r="DG375" i="48" a="1"/>
  <c r="DG375" i="48" s="1"/>
  <c r="DG376" i="48" a="1"/>
  <c r="DG376" i="48" s="1"/>
  <c r="DG377" i="48" a="1"/>
  <c r="DG377" i="48" s="1"/>
  <c r="DG378" i="48" a="1"/>
  <c r="DG378" i="48" s="1"/>
  <c r="DG379" i="48" a="1"/>
  <c r="DG379" i="48" s="1"/>
  <c r="DG380" i="48" a="1"/>
  <c r="DG380" i="48" s="1"/>
  <c r="DG381" i="48" a="1"/>
  <c r="DG381" i="48" s="1"/>
  <c r="DG382" i="48" a="1"/>
  <c r="DG382" i="48" s="1"/>
  <c r="DG383" i="48" a="1"/>
  <c r="DG383" i="48" s="1"/>
  <c r="DG384" i="48" a="1"/>
  <c r="DG384" i="48" s="1"/>
  <c r="DG385" i="48" a="1"/>
  <c r="DG385" i="48" s="1"/>
  <c r="DG386" i="48" a="1"/>
  <c r="DG386" i="48" s="1"/>
  <c r="DG387" i="48" a="1"/>
  <c r="DG387" i="48" s="1"/>
  <c r="DG388" i="48" a="1"/>
  <c r="DG388" i="48" s="1"/>
  <c r="DG389" i="48" a="1"/>
  <c r="DG389" i="48" s="1"/>
  <c r="DG390" i="48" a="1"/>
  <c r="DG390" i="48" s="1"/>
  <c r="DG391" i="48" a="1"/>
  <c r="DG391" i="48" s="1"/>
  <c r="DG392" i="48" a="1"/>
  <c r="DG392" i="48" s="1"/>
  <c r="DG393" i="48" a="1"/>
  <c r="DG393" i="48" s="1"/>
  <c r="DG394" i="48" a="1"/>
  <c r="DG394" i="48" s="1"/>
  <c r="DG395" i="48" a="1"/>
  <c r="DG395" i="48" s="1"/>
  <c r="DG396" i="48" a="1"/>
  <c r="DG396" i="48" s="1"/>
  <c r="DG397" i="48" a="1"/>
  <c r="DG397" i="48" s="1"/>
  <c r="DG398" i="48" a="1"/>
  <c r="DG398" i="48" s="1"/>
  <c r="DG399" i="48" a="1"/>
  <c r="DG399" i="48" s="1"/>
  <c r="DG400" i="48" a="1"/>
  <c r="DG400" i="48" s="1"/>
  <c r="DG401" i="48" a="1"/>
  <c r="DG401" i="48" s="1"/>
  <c r="DG402" i="48" a="1"/>
  <c r="DG402" i="48" s="1"/>
  <c r="DG403" i="48" a="1"/>
  <c r="DG403" i="48" s="1"/>
  <c r="DG404" i="48" a="1"/>
  <c r="DG404" i="48" s="1"/>
  <c r="DG405" i="48" a="1"/>
  <c r="DG405" i="48" s="1"/>
  <c r="DG406" i="48" a="1"/>
  <c r="DG406" i="48" s="1"/>
  <c r="DG407" i="48" a="1"/>
  <c r="DG407" i="48" s="1"/>
  <c r="DG408" i="48" a="1"/>
  <c r="DG408" i="48" s="1"/>
  <c r="DG409" i="48" a="1"/>
  <c r="DG409" i="48" s="1"/>
  <c r="DG410" i="48" a="1"/>
  <c r="DG410" i="48" s="1"/>
  <c r="DG411" i="48" a="1"/>
  <c r="DG411" i="48" s="1"/>
  <c r="DG412" i="48" a="1"/>
  <c r="DG412" i="48" s="1"/>
  <c r="DG413" i="48" a="1"/>
  <c r="DG413" i="48" s="1"/>
  <c r="DG414" i="48" a="1"/>
  <c r="DG414" i="48" s="1"/>
  <c r="DG415" i="48" a="1"/>
  <c r="DG415" i="48" s="1"/>
  <c r="DG416" i="48" a="1"/>
  <c r="DG416" i="48" s="1"/>
  <c r="DG417" i="48" a="1"/>
  <c r="DG417" i="48" s="1"/>
  <c r="DG418" i="48" a="1"/>
  <c r="DG418" i="48" s="1"/>
  <c r="DG419" i="48" a="1"/>
  <c r="DG419" i="48" s="1"/>
  <c r="DG420" i="48" a="1"/>
  <c r="DG420" i="48" s="1"/>
  <c r="DG421" i="48" a="1"/>
  <c r="DG421" i="48" s="1"/>
  <c r="DG422" i="48" a="1"/>
  <c r="DG422" i="48" s="1"/>
  <c r="DG423" i="48" a="1"/>
  <c r="DG423" i="48" s="1"/>
  <c r="DG424" i="48" a="1"/>
  <c r="DG424" i="48" s="1"/>
  <c r="DG425" i="48" a="1"/>
  <c r="DG425" i="48" s="1"/>
  <c r="DG426" i="48" a="1"/>
  <c r="DG426" i="48" s="1"/>
  <c r="DG427" i="48" a="1"/>
  <c r="DG427" i="48" s="1"/>
  <c r="DG428" i="48" a="1"/>
  <c r="DG428" i="48" s="1"/>
  <c r="DG429" i="48" a="1"/>
  <c r="DG429" i="48" s="1"/>
  <c r="DG430" i="48" a="1"/>
  <c r="DG430" i="48" s="1"/>
  <c r="DG431" i="48" a="1"/>
  <c r="DG431" i="48" s="1"/>
  <c r="DG432" i="48" a="1"/>
  <c r="DG432" i="48" s="1"/>
  <c r="DG433" i="48" a="1"/>
  <c r="DG433" i="48" s="1"/>
  <c r="DG434" i="48" a="1"/>
  <c r="DG434" i="48" s="1"/>
  <c r="DG435" i="48" a="1"/>
  <c r="DG435" i="48" s="1"/>
  <c r="DG436" i="48" a="1"/>
  <c r="DG436" i="48" s="1"/>
  <c r="DG437" i="48" a="1"/>
  <c r="DG437" i="48" s="1"/>
  <c r="DG438" i="48" a="1"/>
  <c r="DG438" i="48" s="1"/>
  <c r="DG439" i="48" a="1"/>
  <c r="DG439" i="48" s="1"/>
  <c r="DG440" i="48" a="1"/>
  <c r="DG440" i="48" s="1"/>
  <c r="DG441" i="48" a="1"/>
  <c r="DG441" i="48" s="1"/>
  <c r="DG442" i="48" a="1"/>
  <c r="DG442" i="48" s="1"/>
  <c r="DG443" i="48" a="1"/>
  <c r="DG443" i="48" s="1"/>
  <c r="DG444" i="48" a="1"/>
  <c r="DG444" i="48" s="1"/>
  <c r="DG445" i="48" a="1"/>
  <c r="DG445" i="48" s="1"/>
  <c r="DG446" i="48" a="1"/>
  <c r="DG446" i="48" s="1"/>
  <c r="DG447" i="48" a="1"/>
  <c r="DG447" i="48" s="1"/>
  <c r="DG448" i="48" a="1"/>
  <c r="DG448" i="48" s="1"/>
  <c r="DG449" i="48" a="1"/>
  <c r="DG449" i="48" s="1"/>
  <c r="DG450" i="48" a="1"/>
  <c r="DG450" i="48" s="1"/>
  <c r="DG451" i="48" a="1"/>
  <c r="DG451" i="48" s="1"/>
  <c r="DG452" i="48" a="1"/>
  <c r="DG452" i="48" s="1"/>
  <c r="DG453" i="48" a="1"/>
  <c r="DG453" i="48" s="1"/>
  <c r="DG454" i="48" a="1"/>
  <c r="DG454" i="48" s="1"/>
  <c r="DG455" i="48" a="1"/>
  <c r="DG455" i="48" s="1"/>
  <c r="DG456" i="48" a="1"/>
  <c r="DG456" i="48" s="1"/>
  <c r="DG457" i="48" a="1"/>
  <c r="DG457" i="48" s="1"/>
  <c r="DG458" i="48" a="1"/>
  <c r="DG458" i="48" s="1"/>
  <c r="DG459" i="48" a="1"/>
  <c r="DG459" i="48" s="1"/>
  <c r="DG460" i="48" a="1"/>
  <c r="DG460" i="48" s="1"/>
  <c r="DG461" i="48" a="1"/>
  <c r="DG461" i="48" s="1"/>
  <c r="DG462" i="48" a="1"/>
  <c r="DG462" i="48" s="1"/>
  <c r="DG463" i="48" a="1"/>
  <c r="DG463" i="48" s="1"/>
  <c r="DG464" i="48" a="1"/>
  <c r="DG464" i="48" s="1"/>
  <c r="DG465" i="48" a="1"/>
  <c r="DG465" i="48" s="1"/>
  <c r="DG466" i="48" a="1"/>
  <c r="DG466" i="48" s="1"/>
  <c r="DG467" i="48" a="1"/>
  <c r="DG467" i="48" s="1"/>
  <c r="DG468" i="48" a="1"/>
  <c r="DG468" i="48" s="1"/>
  <c r="DG469" i="48" a="1"/>
  <c r="DG469" i="48" s="1"/>
  <c r="DG470" i="48" a="1"/>
  <c r="DG470" i="48" s="1"/>
  <c r="DG471" i="48" a="1"/>
  <c r="DG471" i="48" s="1"/>
  <c r="DG472" i="48" a="1"/>
  <c r="DG472" i="48" s="1"/>
  <c r="DG473" i="48" a="1"/>
  <c r="DG473" i="48" s="1"/>
  <c r="DG474" i="48" a="1"/>
  <c r="DG474" i="48" s="1"/>
  <c r="DG475" i="48" a="1"/>
  <c r="DG475" i="48" s="1"/>
  <c r="DG476" i="48" a="1"/>
  <c r="DG476" i="48" s="1"/>
  <c r="DG477" i="48" a="1"/>
  <c r="DG477" i="48" s="1"/>
  <c r="DG478" i="48" a="1"/>
  <c r="DG478" i="48" s="1"/>
  <c r="DG479" i="48" a="1"/>
  <c r="DG479" i="48" s="1"/>
  <c r="DG480" i="48" a="1"/>
  <c r="DG480" i="48" s="1"/>
  <c r="DG481" i="48" a="1"/>
  <c r="DG481" i="48" s="1"/>
  <c r="DG482" i="48" a="1"/>
  <c r="DG482" i="48" s="1"/>
  <c r="DG483" i="48" a="1"/>
  <c r="DG483" i="48" s="1"/>
  <c r="DG484" i="48" a="1"/>
  <c r="DG484" i="48" s="1"/>
  <c r="DG485" i="48" a="1"/>
  <c r="DG485" i="48" s="1"/>
  <c r="DG486" i="48" a="1"/>
  <c r="DG486" i="48" s="1"/>
  <c r="DG487" i="48" a="1"/>
  <c r="DG487" i="48" s="1"/>
  <c r="DG488" i="48" a="1"/>
  <c r="DG488" i="48" s="1"/>
  <c r="DG489" i="48" a="1"/>
  <c r="DG489" i="48" s="1"/>
  <c r="DG490" i="48" a="1"/>
  <c r="DG490" i="48" s="1"/>
  <c r="DG491" i="48" a="1"/>
  <c r="DG491" i="48" s="1"/>
  <c r="DG492" i="48" a="1"/>
  <c r="DG492" i="48" s="1"/>
  <c r="DG493" i="48" a="1"/>
  <c r="DG493" i="48" s="1"/>
  <c r="DG494" i="48" a="1"/>
  <c r="DG494" i="48" s="1"/>
  <c r="DG495" i="48" a="1"/>
  <c r="DG495" i="48" s="1"/>
  <c r="DG496" i="48" a="1"/>
  <c r="DG496" i="48" s="1"/>
  <c r="DG497" i="48" a="1"/>
  <c r="DG497" i="48" s="1"/>
  <c r="DG498" i="48" a="1"/>
  <c r="DG498" i="48" s="1"/>
  <c r="DG499" i="48" a="1"/>
  <c r="DG499" i="48" s="1"/>
  <c r="DG500" i="48" a="1"/>
  <c r="DG500" i="48" s="1"/>
  <c r="DG501" i="48" a="1"/>
  <c r="DG501" i="48" s="1"/>
  <c r="DG502" i="48" a="1"/>
  <c r="DG502" i="48" s="1"/>
  <c r="DG503" i="48" a="1"/>
  <c r="DG503" i="48" s="1"/>
  <c r="DG504" i="48" a="1"/>
  <c r="DG504" i="48" s="1"/>
  <c r="DG505" i="48" a="1"/>
  <c r="DG505" i="48" s="1"/>
  <c r="DG506" i="48" a="1"/>
  <c r="DG506" i="48" s="1"/>
  <c r="DG507" i="48" a="1"/>
  <c r="DG507" i="48" s="1"/>
  <c r="DG508" i="48" a="1"/>
  <c r="DG508" i="48" s="1"/>
  <c r="DG509" i="48" a="1"/>
  <c r="DG509" i="48" s="1"/>
  <c r="DG510" i="48" a="1"/>
  <c r="DG510" i="48" s="1"/>
  <c r="DG511" i="48" a="1"/>
  <c r="DG511" i="48" s="1"/>
  <c r="DG512" i="48" a="1"/>
  <c r="DG512" i="48" s="1"/>
  <c r="DG513" i="48" a="1"/>
  <c r="DG513" i="48" s="1"/>
  <c r="DG514" i="48" a="1"/>
  <c r="DG514" i="48" s="1"/>
  <c r="DG515" i="48" a="1"/>
  <c r="DG515" i="48" s="1"/>
  <c r="DG516" i="48" a="1"/>
  <c r="DG516" i="48" s="1"/>
  <c r="DG517" i="48" a="1"/>
  <c r="DG517" i="48" s="1"/>
  <c r="DG518" i="48" a="1"/>
  <c r="DG518" i="48" s="1"/>
  <c r="DG519" i="48" a="1"/>
  <c r="DG519" i="48" s="1"/>
  <c r="DG520" i="48" a="1"/>
  <c r="DG520" i="48" s="1"/>
  <c r="DG521" i="48" a="1"/>
  <c r="DG521" i="48" s="1"/>
  <c r="DG522" i="48" a="1"/>
  <c r="DG522" i="48" s="1"/>
  <c r="DG523" i="48" a="1"/>
  <c r="DG523" i="48" s="1"/>
  <c r="DG524" i="48" a="1"/>
  <c r="DG524" i="48" s="1"/>
  <c r="DG525" i="48" a="1"/>
  <c r="DG525" i="48" s="1"/>
  <c r="DG526" i="48" a="1"/>
  <c r="DG526" i="48" s="1"/>
  <c r="DG527" i="48" a="1"/>
  <c r="DG527" i="48" s="1"/>
  <c r="DG528" i="48" a="1"/>
  <c r="DG528" i="48" s="1"/>
  <c r="DG529" i="48" a="1"/>
  <c r="DG529" i="48" s="1"/>
  <c r="DG530" i="48" a="1"/>
  <c r="DG530" i="48" s="1"/>
  <c r="DG531" i="48" a="1"/>
  <c r="DG531" i="48" s="1"/>
  <c r="DG532" i="48" a="1"/>
  <c r="DG532" i="48" s="1"/>
  <c r="DG533" i="48" a="1"/>
  <c r="DG533" i="48" s="1"/>
  <c r="DG534" i="48" a="1"/>
  <c r="DG534" i="48" s="1"/>
  <c r="DG535" i="48" a="1"/>
  <c r="DG535" i="48" s="1"/>
  <c r="DG536" i="48" a="1"/>
  <c r="DG536" i="48" s="1"/>
  <c r="DG537" i="48" a="1"/>
  <c r="DG537" i="48" s="1"/>
  <c r="AS34" i="17"/>
  <c r="AT34" i="17"/>
  <c r="AU34" i="17"/>
  <c r="AV34" i="17" l="1"/>
  <c r="AW34" i="17"/>
  <c r="I13" i="51" l="1"/>
  <c r="K48" i="51" l="1"/>
  <c r="J48" i="51"/>
  <c r="I48" i="51"/>
  <c r="H48" i="51"/>
  <c r="G48" i="51"/>
  <c r="F48" i="51"/>
  <c r="E48" i="51"/>
  <c r="D48" i="51"/>
  <c r="K47" i="69" l="1"/>
  <c r="G7" i="69"/>
  <c r="G8" i="69"/>
  <c r="G9" i="69"/>
  <c r="G6" i="69"/>
  <c r="G5" i="69"/>
  <c r="K6" i="69" s="1"/>
  <c r="K79" i="68"/>
  <c r="G79" i="68"/>
  <c r="F79" i="68"/>
  <c r="E79" i="68"/>
  <c r="D79" i="68"/>
  <c r="K63" i="68"/>
  <c r="G63" i="68"/>
  <c r="F63" i="68"/>
  <c r="E63" i="68"/>
  <c r="D63" i="68"/>
  <c r="K47" i="68"/>
  <c r="G47" i="68"/>
  <c r="F47" i="68"/>
  <c r="E47" i="68"/>
  <c r="D47" i="68"/>
  <c r="K7" i="69" l="1"/>
  <c r="K9" i="69"/>
  <c r="K8" i="69"/>
  <c r="D6" i="69"/>
  <c r="D9" i="69"/>
  <c r="I9" i="69"/>
  <c r="D8" i="69"/>
  <c r="I8" i="69"/>
  <c r="D7" i="69"/>
  <c r="I7" i="69"/>
  <c r="G5" i="68"/>
  <c r="I6" i="68" s="1"/>
  <c r="G7" i="68"/>
  <c r="G8" i="68"/>
  <c r="G9" i="68"/>
  <c r="G6" i="68"/>
  <c r="AN51" i="17"/>
  <c r="AM51" i="17"/>
  <c r="AK51" i="17"/>
  <c r="AN40" i="17"/>
  <c r="AM40" i="17"/>
  <c r="AL40" i="17"/>
  <c r="AN39" i="17"/>
  <c r="AM39" i="17"/>
  <c r="AL39" i="17"/>
  <c r="AN38" i="17"/>
  <c r="AM38" i="17"/>
  <c r="AL38" i="17"/>
  <c r="AN37" i="17"/>
  <c r="AM37" i="17"/>
  <c r="AL37" i="17"/>
  <c r="AN32" i="17"/>
  <c r="AM32" i="17"/>
  <c r="AL32" i="17"/>
  <c r="AN31" i="17"/>
  <c r="AM31" i="17"/>
  <c r="AL31" i="17"/>
  <c r="AN30" i="17"/>
  <c r="AM30" i="17"/>
  <c r="AL30" i="17"/>
  <c r="AN29" i="17"/>
  <c r="AM29" i="17"/>
  <c r="AL29" i="17"/>
  <c r="AN24" i="17"/>
  <c r="AM24" i="17"/>
  <c r="AL24" i="17"/>
  <c r="AN23" i="17"/>
  <c r="AM23" i="17"/>
  <c r="AL23" i="17"/>
  <c r="AN22" i="17"/>
  <c r="AM22" i="17"/>
  <c r="AL22" i="17"/>
  <c r="AN21" i="17"/>
  <c r="AM21" i="17"/>
  <c r="AL21" i="17"/>
  <c r="AN16" i="17"/>
  <c r="AM16" i="17"/>
  <c r="AL16" i="17"/>
  <c r="AN15" i="17"/>
  <c r="AM15" i="17"/>
  <c r="AL15" i="17"/>
  <c r="AN14" i="17"/>
  <c r="AM14" i="17"/>
  <c r="AL14" i="17"/>
  <c r="AN13" i="17"/>
  <c r="AM13" i="17"/>
  <c r="AL13" i="17"/>
  <c r="AN8" i="17"/>
  <c r="AM8" i="17"/>
  <c r="AL8" i="17"/>
  <c r="AN7" i="17"/>
  <c r="AM7" i="17"/>
  <c r="AL7" i="17"/>
  <c r="AN6" i="17"/>
  <c r="AM6" i="17"/>
  <c r="AL6" i="17"/>
  <c r="AN5" i="17"/>
  <c r="AM5" i="17"/>
  <c r="AL5" i="17"/>
  <c r="AN45" i="17"/>
  <c r="AM45" i="17"/>
  <c r="AK45" i="17"/>
  <c r="AN2" i="17"/>
  <c r="AK55" i="17" s="1"/>
  <c r="AG51" i="17"/>
  <c r="AF51" i="17"/>
  <c r="AD51" i="17"/>
  <c r="AG40" i="17"/>
  <c r="AF40" i="17"/>
  <c r="AE40" i="17"/>
  <c r="AG39" i="17"/>
  <c r="AF39" i="17"/>
  <c r="AE39" i="17"/>
  <c r="AG38" i="17"/>
  <c r="AF38" i="17"/>
  <c r="AE38" i="17"/>
  <c r="AG37" i="17"/>
  <c r="AF37" i="17"/>
  <c r="AE37" i="17"/>
  <c r="AG32" i="17"/>
  <c r="AF32" i="17"/>
  <c r="AE32" i="17"/>
  <c r="AG31" i="17"/>
  <c r="AF31" i="17"/>
  <c r="AE31" i="17"/>
  <c r="AG30" i="17"/>
  <c r="AF30" i="17"/>
  <c r="AE30" i="17"/>
  <c r="AG29" i="17"/>
  <c r="AF29" i="17"/>
  <c r="AE29" i="17"/>
  <c r="AG24" i="17"/>
  <c r="AF24" i="17"/>
  <c r="AE24" i="17"/>
  <c r="AG23" i="17"/>
  <c r="AF23" i="17"/>
  <c r="AE23" i="17"/>
  <c r="AG22" i="17"/>
  <c r="AF22" i="17"/>
  <c r="AE22" i="17"/>
  <c r="AG21" i="17"/>
  <c r="AF21" i="17"/>
  <c r="AE21" i="17"/>
  <c r="AG16" i="17"/>
  <c r="AF16" i="17"/>
  <c r="AE16" i="17"/>
  <c r="AG15" i="17"/>
  <c r="AF15" i="17"/>
  <c r="AE15" i="17"/>
  <c r="AG14" i="17"/>
  <c r="AF14" i="17"/>
  <c r="AE14" i="17"/>
  <c r="AG13" i="17"/>
  <c r="AF13" i="17"/>
  <c r="AE13" i="17"/>
  <c r="AG8" i="17"/>
  <c r="AF8" i="17"/>
  <c r="AE8" i="17"/>
  <c r="AG7" i="17"/>
  <c r="AF7" i="17"/>
  <c r="AE7" i="17"/>
  <c r="AG6" i="17"/>
  <c r="AF6" i="17"/>
  <c r="AE6" i="17"/>
  <c r="AG5" i="17"/>
  <c r="AF5" i="17"/>
  <c r="AE5" i="17"/>
  <c r="AG45" i="17"/>
  <c r="AF45" i="17"/>
  <c r="AD45" i="17"/>
  <c r="AG2" i="17"/>
  <c r="AD55" i="17" s="1"/>
  <c r="AO16" i="17" l="1"/>
  <c r="AO7" i="17"/>
  <c r="AP39" i="17"/>
  <c r="AI15" i="17"/>
  <c r="AP38" i="17"/>
  <c r="AI45" i="17"/>
  <c r="AP23" i="17"/>
  <c r="AM17" i="17"/>
  <c r="AI32" i="17"/>
  <c r="AH13" i="17"/>
  <c r="AI38" i="17"/>
  <c r="AI21" i="17"/>
  <c r="AH37" i="17"/>
  <c r="AE25" i="17"/>
  <c r="AI24" i="17"/>
  <c r="AE41" i="17"/>
  <c r="AD47" i="17" s="1"/>
  <c r="AI40" i="17"/>
  <c r="AP16" i="17"/>
  <c r="AO30" i="17"/>
  <c r="AO13" i="17"/>
  <c r="AP32" i="17"/>
  <c r="AP13" i="17"/>
  <c r="AP22" i="17"/>
  <c r="AM33" i="17"/>
  <c r="AO38" i="17"/>
  <c r="AP45" i="17"/>
  <c r="AI30" i="17"/>
  <c r="AH29" i="17"/>
  <c r="AI5" i="17"/>
  <c r="AL33" i="17"/>
  <c r="AH6" i="17"/>
  <c r="AH8" i="17"/>
  <c r="AF33" i="17"/>
  <c r="AO32" i="17"/>
  <c r="AP6" i="17"/>
  <c r="AK49" i="17"/>
  <c r="AO53" i="17" s="1"/>
  <c r="AO29" i="17"/>
  <c r="AP7" i="17"/>
  <c r="AP30" i="17"/>
  <c r="AH40" i="17"/>
  <c r="AI31" i="17"/>
  <c r="AI13" i="17"/>
  <c r="AG25" i="17"/>
  <c r="AG41" i="17"/>
  <c r="AG47" i="17" s="1"/>
  <c r="AI7" i="17"/>
  <c r="AH21" i="17"/>
  <c r="AI22" i="17"/>
  <c r="AD49" i="17"/>
  <c r="AH53" i="17" s="1"/>
  <c r="AE17" i="17"/>
  <c r="AI16" i="17"/>
  <c r="AF25" i="17"/>
  <c r="AE33" i="17"/>
  <c r="AF41" i="17"/>
  <c r="AF17" i="17"/>
  <c r="AH24" i="17"/>
  <c r="AH38" i="17"/>
  <c r="AG17" i="17"/>
  <c r="AH17" i="17" s="1"/>
  <c r="AE9" i="17"/>
  <c r="AF9" i="17"/>
  <c r="AP31" i="17"/>
  <c r="AM9" i="17"/>
  <c r="AP5" i="17"/>
  <c r="AP21" i="17"/>
  <c r="AL9" i="17"/>
  <c r="AO8" i="17"/>
  <c r="AN17" i="17"/>
  <c r="AM25" i="17"/>
  <c r="AO24" i="17"/>
  <c r="AM41" i="17"/>
  <c r="AP41" i="17" s="1"/>
  <c r="AO40" i="17"/>
  <c r="AP8" i="17"/>
  <c r="AL17" i="17"/>
  <c r="AP24" i="17"/>
  <c r="AN41" i="17"/>
  <c r="AN47" i="17" s="1"/>
  <c r="D6" i="68"/>
  <c r="K6" i="68"/>
  <c r="D9" i="68"/>
  <c r="D8" i="68"/>
  <c r="D7" i="68"/>
  <c r="I9" i="68"/>
  <c r="K9" i="68"/>
  <c r="I8" i="68"/>
  <c r="K8" i="68"/>
  <c r="I7" i="68"/>
  <c r="K7" i="68"/>
  <c r="AN25" i="17"/>
  <c r="AP25" i="17" s="1"/>
  <c r="AO21" i="17"/>
  <c r="AP14" i="17"/>
  <c r="AL41" i="17"/>
  <c r="AK47" i="17" s="1"/>
  <c r="AL25" i="17"/>
  <c r="AM53" i="17"/>
  <c r="AK53" i="17"/>
  <c r="AN53" i="17"/>
  <c r="AN9" i="17"/>
  <c r="AO15" i="17"/>
  <c r="AO23" i="17"/>
  <c r="AP29" i="17"/>
  <c r="AO31" i="17"/>
  <c r="AP37" i="17"/>
  <c r="AO45" i="17"/>
  <c r="AO37" i="17"/>
  <c r="AO6" i="17"/>
  <c r="AO14" i="17"/>
  <c r="AN33" i="17"/>
  <c r="AO39" i="17"/>
  <c r="AO22" i="17"/>
  <c r="AO51" i="17"/>
  <c r="AP15" i="17"/>
  <c r="AP40" i="17"/>
  <c r="AO5" i="17"/>
  <c r="AP51" i="17"/>
  <c r="AH7" i="17"/>
  <c r="AH32" i="17"/>
  <c r="AI39" i="17"/>
  <c r="AI8" i="17"/>
  <c r="AF47" i="17"/>
  <c r="AF53" i="17"/>
  <c r="AD53" i="17"/>
  <c r="AG53" i="17"/>
  <c r="AI25" i="17"/>
  <c r="AH15" i="17"/>
  <c r="AH31" i="17"/>
  <c r="AI37" i="17"/>
  <c r="AH45" i="17"/>
  <c r="AI6" i="17"/>
  <c r="AH14" i="17"/>
  <c r="AG33" i="17"/>
  <c r="AH39" i="17"/>
  <c r="AH22" i="17"/>
  <c r="AG9" i="17"/>
  <c r="AH23" i="17"/>
  <c r="AI29" i="17"/>
  <c r="AI14" i="17"/>
  <c r="AH5" i="17"/>
  <c r="AH16" i="17"/>
  <c r="AH30" i="17"/>
  <c r="AH51" i="17"/>
  <c r="AI23" i="17"/>
  <c r="AI51" i="17"/>
  <c r="AM47" i="17" l="1"/>
  <c r="AP47" i="17" s="1"/>
  <c r="AP17" i="17"/>
  <c r="AO17" i="17"/>
  <c r="AO41" i="17"/>
  <c r="AH41" i="17"/>
  <c r="AI41" i="17"/>
  <c r="AH25" i="17"/>
  <c r="AI17" i="17"/>
  <c r="AO25" i="17"/>
  <c r="AO47" i="17"/>
  <c r="AO9" i="17"/>
  <c r="AP9" i="17"/>
  <c r="AP33" i="17"/>
  <c r="AO33" i="17"/>
  <c r="AI33" i="17"/>
  <c r="AH33" i="17"/>
  <c r="AH9" i="17"/>
  <c r="AI9" i="17"/>
  <c r="AI47" i="17"/>
  <c r="AH47" i="17"/>
  <c r="I12" i="43" l="1"/>
  <c r="R45" i="17" l="1"/>
  <c r="K38" i="17" l="1"/>
  <c r="K39" i="17"/>
  <c r="K40" i="17"/>
  <c r="K37" i="17"/>
  <c r="K30" i="17"/>
  <c r="K31" i="17"/>
  <c r="K32" i="17"/>
  <c r="K29" i="17"/>
  <c r="K22" i="17"/>
  <c r="K23" i="17"/>
  <c r="K24" i="17"/>
  <c r="K21" i="17"/>
  <c r="K14" i="17"/>
  <c r="K15" i="17"/>
  <c r="K16" i="17"/>
  <c r="K13" i="17"/>
  <c r="K6" i="17"/>
  <c r="K7" i="17"/>
  <c r="K8" i="17"/>
  <c r="K5" i="17"/>
  <c r="J38" i="17"/>
  <c r="J39" i="17"/>
  <c r="J40" i="17"/>
  <c r="J37" i="17"/>
  <c r="D51" i="17" l="1"/>
  <c r="D38" i="17"/>
  <c r="D39" i="17"/>
  <c r="D40" i="17"/>
  <c r="D37" i="17"/>
  <c r="L3" i="47" l="1"/>
  <c r="H24" i="69" l="1"/>
  <c r="H25" i="69"/>
  <c r="H26" i="69"/>
  <c r="H27" i="69"/>
  <c r="H28" i="69"/>
  <c r="H29" i="69"/>
  <c r="H30" i="69"/>
  <c r="D31" i="69"/>
  <c r="E31" i="69"/>
  <c r="F31" i="69"/>
  <c r="G31" i="69"/>
  <c r="D31" i="68"/>
  <c r="I45" i="17" l="1"/>
  <c r="AU2" i="17" l="1"/>
  <c r="D75" i="60" l="1" a="1"/>
  <c r="D75" i="60" s="1"/>
  <c r="D76" i="60" a="1"/>
  <c r="D76" i="60" s="1"/>
  <c r="D77" i="60" a="1"/>
  <c r="D77" i="60" s="1"/>
  <c r="D78" i="60" a="1"/>
  <c r="D78" i="60" s="1"/>
  <c r="D79" i="60" a="1"/>
  <c r="D79" i="60" s="1"/>
  <c r="D80" i="60" a="1"/>
  <c r="D80" i="60" s="1"/>
  <c r="D81" i="60" a="1"/>
  <c r="D81" i="60" s="1"/>
  <c r="D82" i="60" a="1"/>
  <c r="D82" i="60" s="1"/>
  <c r="D83" i="60" a="1"/>
  <c r="D83" i="60" s="1"/>
  <c r="D84" i="60" a="1"/>
  <c r="D84" i="60" s="1"/>
  <c r="D85" i="60" a="1"/>
  <c r="D85" i="60" s="1"/>
  <c r="D86" i="60" a="1"/>
  <c r="D86" i="60" s="1"/>
  <c r="D87" i="60" a="1"/>
  <c r="D87" i="60" s="1"/>
  <c r="D88" i="60" a="1"/>
  <c r="D88" i="60" s="1"/>
  <c r="D89" i="60" a="1"/>
  <c r="D89" i="60" s="1"/>
  <c r="D90" i="60" a="1"/>
  <c r="D90" i="60" s="1"/>
  <c r="E75" i="60" a="1"/>
  <c r="E75" i="60" s="1"/>
  <c r="E76" i="60" a="1"/>
  <c r="E76" i="60" s="1"/>
  <c r="E77" i="60" a="1"/>
  <c r="E77" i="60" s="1"/>
  <c r="E78" i="60" a="1"/>
  <c r="E78" i="60" s="1"/>
  <c r="E79" i="60" a="1"/>
  <c r="E79" i="60" s="1"/>
  <c r="E80" i="60" a="1"/>
  <c r="E80" i="60" s="1"/>
  <c r="E81" i="60" a="1"/>
  <c r="E81" i="60" s="1"/>
  <c r="E82" i="60" a="1"/>
  <c r="E82" i="60" s="1"/>
  <c r="E83" i="60" a="1"/>
  <c r="E83" i="60" s="1"/>
  <c r="E84" i="60" a="1"/>
  <c r="E84" i="60" s="1"/>
  <c r="E85" i="60" a="1"/>
  <c r="E85" i="60" s="1"/>
  <c r="E86" i="60" a="1"/>
  <c r="E86" i="60" s="1"/>
  <c r="E87" i="60" a="1"/>
  <c r="E87" i="60" s="1"/>
  <c r="E88" i="60" a="1"/>
  <c r="E88" i="60" s="1"/>
  <c r="E89" i="60" a="1"/>
  <c r="E89" i="60" s="1"/>
  <c r="E90" i="60" a="1"/>
  <c r="E90" i="60" s="1"/>
  <c r="F75" i="60" a="1"/>
  <c r="F75" i="60" s="1"/>
  <c r="F76" i="60" a="1"/>
  <c r="F76" i="60" s="1"/>
  <c r="F77" i="60" a="1"/>
  <c r="F77" i="60" s="1"/>
  <c r="F78" i="60" a="1"/>
  <c r="F78" i="60" s="1"/>
  <c r="F79" i="60" a="1"/>
  <c r="F79" i="60" s="1"/>
  <c r="F80" i="60" a="1"/>
  <c r="F80" i="60" s="1"/>
  <c r="F81" i="60" a="1"/>
  <c r="F81" i="60" s="1"/>
  <c r="F82" i="60" a="1"/>
  <c r="F82" i="60" s="1"/>
  <c r="F83" i="60" a="1"/>
  <c r="F83" i="60" s="1"/>
  <c r="F84" i="60" a="1"/>
  <c r="F84" i="60" s="1"/>
  <c r="F85" i="60" a="1"/>
  <c r="F85" i="60" s="1"/>
  <c r="F86" i="60" a="1"/>
  <c r="F86" i="60" s="1"/>
  <c r="F87" i="60" a="1"/>
  <c r="F87" i="60" s="1"/>
  <c r="F88" i="60" a="1"/>
  <c r="F88" i="60" s="1"/>
  <c r="F89" i="60" a="1"/>
  <c r="F89" i="60" s="1"/>
  <c r="F90" i="60" a="1"/>
  <c r="F90" i="60" s="1"/>
  <c r="G75" i="60" a="1"/>
  <c r="G75" i="60" s="1"/>
  <c r="G76" i="60" a="1"/>
  <c r="G76" i="60" s="1"/>
  <c r="G77" i="60" a="1"/>
  <c r="G77" i="60" s="1"/>
  <c r="G78" i="60" a="1"/>
  <c r="G78" i="60" s="1"/>
  <c r="G79" i="60" a="1"/>
  <c r="G79" i="60" s="1"/>
  <c r="G80" i="60" a="1"/>
  <c r="G80" i="60" s="1"/>
  <c r="G81" i="60" a="1"/>
  <c r="G81" i="60" s="1"/>
  <c r="G82" i="60" a="1"/>
  <c r="G82" i="60" s="1"/>
  <c r="G83" i="60" a="1"/>
  <c r="G83" i="60" s="1"/>
  <c r="G84" i="60" a="1"/>
  <c r="G84" i="60" s="1"/>
  <c r="G85" i="60" a="1"/>
  <c r="G85" i="60" s="1"/>
  <c r="G86" i="60" a="1"/>
  <c r="G86" i="60" s="1"/>
  <c r="G87" i="60" a="1"/>
  <c r="G87" i="60" s="1"/>
  <c r="G88" i="60" a="1"/>
  <c r="G88" i="60" s="1"/>
  <c r="G89" i="60" a="1"/>
  <c r="G89" i="60" s="1"/>
  <c r="G90" i="60" a="1"/>
  <c r="G90" i="60" s="1"/>
  <c r="H75" i="60" a="1"/>
  <c r="H75" i="60" s="1"/>
  <c r="J75" i="60" s="1"/>
  <c r="H76" i="60" a="1"/>
  <c r="H76" i="60" s="1"/>
  <c r="J76" i="60" s="1"/>
  <c r="H77" i="60" a="1"/>
  <c r="H77" i="60" s="1"/>
  <c r="J77" i="60" s="1"/>
  <c r="H78" i="60" a="1"/>
  <c r="H78" i="60" s="1"/>
  <c r="J78" i="60" s="1"/>
  <c r="H79" i="60" a="1"/>
  <c r="H79" i="60" s="1"/>
  <c r="J79" i="60" s="1"/>
  <c r="H80" i="60" a="1"/>
  <c r="H80" i="60" s="1"/>
  <c r="J80" i="60" s="1"/>
  <c r="H81" i="60" a="1"/>
  <c r="H81" i="60" s="1"/>
  <c r="J81" i="60" s="1"/>
  <c r="H82" i="60" a="1"/>
  <c r="H82" i="60" s="1"/>
  <c r="J82" i="60" s="1"/>
  <c r="H83" i="60" a="1"/>
  <c r="H83" i="60" s="1"/>
  <c r="J83" i="60" s="1"/>
  <c r="H84" i="60" a="1"/>
  <c r="H84" i="60" s="1"/>
  <c r="J84" i="60" s="1"/>
  <c r="H85" i="60" a="1"/>
  <c r="H85" i="60" s="1"/>
  <c r="J85" i="60" s="1"/>
  <c r="H86" i="60" a="1"/>
  <c r="H86" i="60" s="1"/>
  <c r="J86" i="60" s="1"/>
  <c r="H87" i="60" a="1"/>
  <c r="H87" i="60" s="1"/>
  <c r="J87" i="60" s="1"/>
  <c r="H88" i="60" a="1"/>
  <c r="H88" i="60" s="1"/>
  <c r="J88" i="60" s="1"/>
  <c r="H89" i="60" a="1"/>
  <c r="H89" i="60" s="1"/>
  <c r="J89" i="60" s="1"/>
  <c r="H90" i="60" a="1"/>
  <c r="H90" i="60" s="1"/>
  <c r="J90" i="60" s="1"/>
  <c r="D69" i="60" a="1"/>
  <c r="D69" i="60" s="1"/>
  <c r="D70" i="60" a="1"/>
  <c r="D70" i="60" s="1"/>
  <c r="D71" i="60" a="1"/>
  <c r="D71" i="60" s="1"/>
  <c r="D72" i="60" a="1"/>
  <c r="D72" i="60" s="1"/>
  <c r="D73" i="60" a="1"/>
  <c r="D73" i="60" s="1"/>
  <c r="D74" i="60" a="1"/>
  <c r="D74" i="60" s="1"/>
  <c r="E69" i="60" a="1"/>
  <c r="E69" i="60" s="1"/>
  <c r="E70" i="60" a="1"/>
  <c r="E70" i="60" s="1"/>
  <c r="E71" i="60" a="1"/>
  <c r="E71" i="60" s="1"/>
  <c r="E72" i="60" a="1"/>
  <c r="E72" i="60" s="1"/>
  <c r="E73" i="60" a="1"/>
  <c r="E73" i="60" s="1"/>
  <c r="E74" i="60" a="1"/>
  <c r="E74" i="60" s="1"/>
  <c r="F69" i="60" a="1"/>
  <c r="F69" i="60" s="1"/>
  <c r="F70" i="60" a="1"/>
  <c r="F70" i="60" s="1"/>
  <c r="F71" i="60" a="1"/>
  <c r="F71" i="60" s="1"/>
  <c r="F72" i="60" a="1"/>
  <c r="F72" i="60" s="1"/>
  <c r="F73" i="60" a="1"/>
  <c r="F73" i="60" s="1"/>
  <c r="F74" i="60" a="1"/>
  <c r="F74" i="60" s="1"/>
  <c r="G69" i="60" a="1"/>
  <c r="G69" i="60" s="1"/>
  <c r="G70" i="60" a="1"/>
  <c r="G70" i="60" s="1"/>
  <c r="G71" i="60" a="1"/>
  <c r="G71" i="60" s="1"/>
  <c r="G72" i="60" a="1"/>
  <c r="G72" i="60" s="1"/>
  <c r="G73" i="60" a="1"/>
  <c r="G73" i="60" s="1"/>
  <c r="G74" i="60" a="1"/>
  <c r="G74" i="60" s="1"/>
  <c r="H69" i="60" a="1"/>
  <c r="H69" i="60" s="1"/>
  <c r="J69" i="60" s="1"/>
  <c r="H70" i="60" a="1"/>
  <c r="H70" i="60" s="1"/>
  <c r="J70" i="60" s="1"/>
  <c r="H71" i="60" a="1"/>
  <c r="H71" i="60" s="1"/>
  <c r="J71" i="60" s="1"/>
  <c r="H72" i="60" a="1"/>
  <c r="H72" i="60" s="1"/>
  <c r="J72" i="60" s="1"/>
  <c r="H73" i="60" a="1"/>
  <c r="H73" i="60" s="1"/>
  <c r="J73" i="60" s="1"/>
  <c r="H74" i="60" a="1"/>
  <c r="H74" i="60" s="1"/>
  <c r="J74" i="60" s="1"/>
  <c r="D44" i="60" a="1"/>
  <c r="D44" i="60" s="1"/>
  <c r="E44" i="60" a="1"/>
  <c r="E44" i="60" s="1"/>
  <c r="F44" i="60" a="1"/>
  <c r="F44" i="60" s="1"/>
  <c r="G44" i="60" a="1"/>
  <c r="G44" i="60" s="1"/>
  <c r="H44" i="60" a="1"/>
  <c r="H44" i="60" s="1"/>
  <c r="J44" i="60" s="1"/>
  <c r="L37" i="64" l="1"/>
  <c r="L2" i="17" l="1"/>
  <c r="AS33" i="17" l="1"/>
  <c r="AT33" i="17"/>
  <c r="AU33" i="17"/>
  <c r="AV33" i="17" l="1"/>
  <c r="AW33" i="17"/>
  <c r="K83" i="3"/>
  <c r="B1" i="3"/>
  <c r="L71" i="3" s="1"/>
  <c r="L79" i="3" l="1"/>
  <c r="L75" i="3"/>
  <c r="L82" i="3"/>
  <c r="L78" i="3"/>
  <c r="L74" i="3"/>
  <c r="L81" i="3"/>
  <c r="L77" i="3"/>
  <c r="L73" i="3"/>
  <c r="L80" i="3"/>
  <c r="L76" i="3"/>
  <c r="L72" i="3"/>
  <c r="L83" i="3" l="1"/>
  <c r="H55" i="60" a="1"/>
  <c r="H55" i="60" s="1"/>
  <c r="H56" i="60" a="1"/>
  <c r="H56" i="60" s="1"/>
  <c r="I6" i="69" l="1"/>
  <c r="C64" i="71" l="1"/>
  <c r="B64" i="71"/>
  <c r="C63" i="71"/>
  <c r="B63" i="71"/>
  <c r="C62" i="71"/>
  <c r="B62" i="71"/>
  <c r="C61" i="71"/>
  <c r="B61" i="71"/>
  <c r="C60" i="71"/>
  <c r="B60" i="71"/>
  <c r="C59" i="71"/>
  <c r="B59" i="71"/>
  <c r="C58" i="71"/>
  <c r="B58" i="71"/>
  <c r="C57" i="71"/>
  <c r="B57" i="71"/>
  <c r="C56" i="71"/>
  <c r="B56" i="71"/>
  <c r="C55" i="71"/>
  <c r="B55" i="71"/>
  <c r="C54" i="71"/>
  <c r="B54" i="71"/>
  <c r="C53" i="71"/>
  <c r="B53" i="71"/>
  <c r="C52" i="71"/>
  <c r="B52" i="71"/>
  <c r="C48" i="71"/>
  <c r="B48" i="71"/>
  <c r="C47" i="71"/>
  <c r="B47" i="71"/>
  <c r="C46" i="71"/>
  <c r="B46" i="71"/>
  <c r="C45" i="71"/>
  <c r="B45" i="71"/>
  <c r="C44" i="71"/>
  <c r="B44" i="71"/>
  <c r="C43" i="71"/>
  <c r="B43" i="71"/>
  <c r="C42" i="71"/>
  <c r="B42" i="71"/>
  <c r="C41" i="71"/>
  <c r="B41" i="71"/>
  <c r="C40" i="71"/>
  <c r="B40" i="71"/>
  <c r="C39" i="71"/>
  <c r="B39" i="71"/>
  <c r="C38" i="71"/>
  <c r="B38" i="71"/>
  <c r="C37" i="71"/>
  <c r="B37" i="71"/>
  <c r="C36" i="71"/>
  <c r="B36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C15" i="71"/>
  <c r="C14" i="71"/>
  <c r="C13" i="71"/>
  <c r="C12" i="71"/>
  <c r="B11" i="71"/>
  <c r="C10" i="71"/>
  <c r="B9" i="71"/>
  <c r="C8" i="71"/>
  <c r="C7" i="71"/>
  <c r="C6" i="71"/>
  <c r="B6" i="71"/>
  <c r="C5" i="71"/>
  <c r="K64" i="71"/>
  <c r="J64" i="71"/>
  <c r="K63" i="71"/>
  <c r="J63" i="71"/>
  <c r="K62" i="71"/>
  <c r="J62" i="71"/>
  <c r="K61" i="71"/>
  <c r="J61" i="71"/>
  <c r="K60" i="71"/>
  <c r="J60" i="71"/>
  <c r="K59" i="71"/>
  <c r="AA59" i="71" s="1"/>
  <c r="J59" i="71"/>
  <c r="K58" i="71"/>
  <c r="J58" i="71"/>
  <c r="K57" i="71"/>
  <c r="J57" i="71"/>
  <c r="K56" i="71"/>
  <c r="J56" i="71"/>
  <c r="K55" i="71"/>
  <c r="AA55" i="71" s="1"/>
  <c r="J55" i="71"/>
  <c r="K54" i="71"/>
  <c r="J54" i="71"/>
  <c r="K53" i="71"/>
  <c r="J53" i="71"/>
  <c r="K52" i="71"/>
  <c r="J52" i="71"/>
  <c r="K48" i="71"/>
  <c r="AA48" i="71" s="1"/>
  <c r="J48" i="71"/>
  <c r="K47" i="71"/>
  <c r="J47" i="71"/>
  <c r="K46" i="71"/>
  <c r="J46" i="71"/>
  <c r="K45" i="71"/>
  <c r="J45" i="71"/>
  <c r="K44" i="71"/>
  <c r="J44" i="71"/>
  <c r="K43" i="71"/>
  <c r="J43" i="71"/>
  <c r="K42" i="71"/>
  <c r="J42" i="71"/>
  <c r="K41" i="71"/>
  <c r="J41" i="71"/>
  <c r="K40" i="71"/>
  <c r="AA40" i="71" s="1"/>
  <c r="J40" i="71"/>
  <c r="K39" i="71"/>
  <c r="J39" i="71"/>
  <c r="K38" i="71"/>
  <c r="J38" i="71"/>
  <c r="K37" i="71"/>
  <c r="J37" i="71"/>
  <c r="K36" i="71"/>
  <c r="AA36" i="71" s="1"/>
  <c r="J36" i="71"/>
  <c r="J32" i="71"/>
  <c r="J31" i="71"/>
  <c r="J30" i="71"/>
  <c r="J29" i="71"/>
  <c r="J28" i="71"/>
  <c r="J27" i="71"/>
  <c r="J26" i="71"/>
  <c r="Z26" i="71" s="1"/>
  <c r="J25" i="71"/>
  <c r="J24" i="71"/>
  <c r="J23" i="71"/>
  <c r="J22" i="71"/>
  <c r="J21" i="71"/>
  <c r="J20" i="71"/>
  <c r="S64" i="71"/>
  <c r="R64" i="71"/>
  <c r="S63" i="71"/>
  <c r="R63" i="71"/>
  <c r="S62" i="71"/>
  <c r="R62" i="71"/>
  <c r="Z62" i="71" s="1"/>
  <c r="S61" i="71"/>
  <c r="R61" i="71"/>
  <c r="Z61" i="71" s="1"/>
  <c r="S60" i="71"/>
  <c r="R60" i="71"/>
  <c r="S59" i="71"/>
  <c r="R59" i="71"/>
  <c r="S58" i="71"/>
  <c r="R58" i="71"/>
  <c r="S57" i="71"/>
  <c r="R57" i="71"/>
  <c r="S56" i="71"/>
  <c r="R56" i="71"/>
  <c r="S55" i="71"/>
  <c r="R55" i="71"/>
  <c r="S54" i="71"/>
  <c r="R54" i="71"/>
  <c r="Z54" i="71" s="1"/>
  <c r="S53" i="71"/>
  <c r="R53" i="71"/>
  <c r="Z53" i="71" s="1"/>
  <c r="S52" i="71"/>
  <c r="R52" i="71"/>
  <c r="S48" i="71"/>
  <c r="R48" i="71"/>
  <c r="S47" i="71"/>
  <c r="R47" i="71"/>
  <c r="Z47" i="71" s="1"/>
  <c r="S46" i="71"/>
  <c r="R46" i="71"/>
  <c r="Z46" i="71" s="1"/>
  <c r="S45" i="71"/>
  <c r="R45" i="71"/>
  <c r="S44" i="71"/>
  <c r="R44" i="71"/>
  <c r="S43" i="71"/>
  <c r="R43" i="71"/>
  <c r="Z43" i="71" s="1"/>
  <c r="S42" i="71"/>
  <c r="R42" i="71"/>
  <c r="Z42" i="71" s="1"/>
  <c r="S41" i="71"/>
  <c r="R41" i="71"/>
  <c r="S40" i="71"/>
  <c r="R40" i="71"/>
  <c r="S39" i="71"/>
  <c r="R39" i="71"/>
  <c r="Z39" i="71" s="1"/>
  <c r="S38" i="71"/>
  <c r="R38" i="71"/>
  <c r="S37" i="71"/>
  <c r="R37" i="71"/>
  <c r="S36" i="71"/>
  <c r="R36" i="71"/>
  <c r="R32" i="71"/>
  <c r="Z32" i="71" s="1"/>
  <c r="R31" i="71"/>
  <c r="R30" i="71"/>
  <c r="R29" i="71"/>
  <c r="R28" i="71"/>
  <c r="R27" i="71"/>
  <c r="R26" i="71"/>
  <c r="R25" i="71"/>
  <c r="R24" i="71"/>
  <c r="R23" i="71"/>
  <c r="R22" i="71"/>
  <c r="R21" i="71"/>
  <c r="R20" i="71"/>
  <c r="U64" i="71"/>
  <c r="T64" i="71"/>
  <c r="U63" i="71"/>
  <c r="T63" i="71"/>
  <c r="AB63" i="71" s="1"/>
  <c r="U62" i="71"/>
  <c r="T62" i="71"/>
  <c r="U61" i="71"/>
  <c r="AC61" i="71" s="1"/>
  <c r="T61" i="71"/>
  <c r="U60" i="71"/>
  <c r="T60" i="71"/>
  <c r="U59" i="71"/>
  <c r="T59" i="71"/>
  <c r="U58" i="71"/>
  <c r="T58" i="71"/>
  <c r="U57" i="71"/>
  <c r="AC57" i="71" s="1"/>
  <c r="T57" i="71"/>
  <c r="U56" i="71"/>
  <c r="T56" i="71"/>
  <c r="U55" i="71"/>
  <c r="T55" i="71"/>
  <c r="AB55" i="71" s="1"/>
  <c r="U54" i="71"/>
  <c r="T54" i="71"/>
  <c r="U53" i="71"/>
  <c r="AC53" i="71" s="1"/>
  <c r="T53" i="71"/>
  <c r="U52" i="71"/>
  <c r="T52" i="71"/>
  <c r="T48" i="71"/>
  <c r="T47" i="71"/>
  <c r="T46" i="71"/>
  <c r="AB46" i="71" s="1"/>
  <c r="T45" i="71"/>
  <c r="T44" i="71"/>
  <c r="AB44" i="71" s="1"/>
  <c r="T43" i="71"/>
  <c r="T42" i="71"/>
  <c r="T41" i="71"/>
  <c r="T40" i="71"/>
  <c r="T39" i="71"/>
  <c r="T38" i="71"/>
  <c r="T37" i="71"/>
  <c r="T36" i="71"/>
  <c r="AB36" i="71" s="1"/>
  <c r="M64" i="71"/>
  <c r="L64" i="71"/>
  <c r="M63" i="71"/>
  <c r="L63" i="71"/>
  <c r="M62" i="71"/>
  <c r="L62" i="71"/>
  <c r="M61" i="71"/>
  <c r="L61" i="71"/>
  <c r="M60" i="71"/>
  <c r="L60" i="71"/>
  <c r="AB60" i="71" s="1"/>
  <c r="M59" i="71"/>
  <c r="L59" i="71"/>
  <c r="M58" i="71"/>
  <c r="L58" i="71"/>
  <c r="M57" i="71"/>
  <c r="L57" i="71"/>
  <c r="M56" i="71"/>
  <c r="L56" i="71"/>
  <c r="M55" i="71"/>
  <c r="L55" i="71"/>
  <c r="M54" i="71"/>
  <c r="L54" i="71"/>
  <c r="M53" i="71"/>
  <c r="L53" i="71"/>
  <c r="M52" i="71"/>
  <c r="L52" i="71"/>
  <c r="AB52" i="71" s="1"/>
  <c r="L48" i="71"/>
  <c r="L47" i="71"/>
  <c r="L46" i="71"/>
  <c r="L45" i="71"/>
  <c r="AB45" i="71" s="1"/>
  <c r="L44" i="71"/>
  <c r="L43" i="71"/>
  <c r="L42" i="71"/>
  <c r="L41" i="71"/>
  <c r="AB41" i="71" s="1"/>
  <c r="L40" i="71"/>
  <c r="L39" i="71"/>
  <c r="L38" i="71"/>
  <c r="L37" i="71"/>
  <c r="AB37" i="71" s="1"/>
  <c r="L36" i="71"/>
  <c r="H64" i="71"/>
  <c r="E64" i="71"/>
  <c r="D64" i="71"/>
  <c r="H63" i="71"/>
  <c r="E63" i="71"/>
  <c r="D63" i="71"/>
  <c r="H62" i="71"/>
  <c r="E62" i="71"/>
  <c r="D62" i="71"/>
  <c r="H61" i="71"/>
  <c r="E61" i="71"/>
  <c r="D61" i="71"/>
  <c r="H60" i="71"/>
  <c r="E60" i="71"/>
  <c r="D60" i="71"/>
  <c r="H59" i="71"/>
  <c r="G59" i="71"/>
  <c r="E59" i="71"/>
  <c r="D59" i="71"/>
  <c r="H58" i="71"/>
  <c r="E58" i="71"/>
  <c r="D58" i="71"/>
  <c r="H57" i="71"/>
  <c r="E57" i="71"/>
  <c r="D57" i="71"/>
  <c r="H56" i="71"/>
  <c r="G56" i="71"/>
  <c r="E56" i="71"/>
  <c r="D56" i="71"/>
  <c r="H55" i="71"/>
  <c r="E55" i="71"/>
  <c r="D55" i="71"/>
  <c r="H54" i="71"/>
  <c r="E54" i="71"/>
  <c r="D54" i="71"/>
  <c r="H53" i="71"/>
  <c r="G53" i="71"/>
  <c r="E53" i="71"/>
  <c r="D53" i="71"/>
  <c r="H52" i="71"/>
  <c r="E52" i="71"/>
  <c r="D52" i="71"/>
  <c r="H48" i="71"/>
  <c r="D48" i="71"/>
  <c r="H47" i="71"/>
  <c r="D47" i="71"/>
  <c r="H46" i="71"/>
  <c r="D46" i="71"/>
  <c r="H45" i="71"/>
  <c r="D45" i="71"/>
  <c r="H44" i="71"/>
  <c r="D44" i="71"/>
  <c r="H43" i="71"/>
  <c r="D43" i="71"/>
  <c r="H42" i="71"/>
  <c r="D42" i="71"/>
  <c r="H41" i="71"/>
  <c r="D41" i="71"/>
  <c r="H40" i="71"/>
  <c r="D40" i="71"/>
  <c r="H39" i="71"/>
  <c r="D39" i="71"/>
  <c r="H38" i="71"/>
  <c r="D38" i="71"/>
  <c r="H37" i="71"/>
  <c r="D37" i="71"/>
  <c r="H36" i="71"/>
  <c r="D36" i="71"/>
  <c r="H32" i="71"/>
  <c r="H31" i="71"/>
  <c r="H30" i="71"/>
  <c r="H29" i="71"/>
  <c r="H28" i="71"/>
  <c r="H27" i="71"/>
  <c r="H26" i="71"/>
  <c r="H25" i="71"/>
  <c r="H24" i="71"/>
  <c r="H23" i="71"/>
  <c r="G23" i="71"/>
  <c r="H22" i="71"/>
  <c r="H21" i="71"/>
  <c r="G21" i="71"/>
  <c r="H20" i="71"/>
  <c r="B4" i="71"/>
  <c r="H15" i="71"/>
  <c r="H14" i="71"/>
  <c r="D14" i="71"/>
  <c r="H13" i="71"/>
  <c r="G13" i="71"/>
  <c r="H12" i="71"/>
  <c r="G12" i="71"/>
  <c r="D12" i="71"/>
  <c r="H11" i="71"/>
  <c r="G11" i="71"/>
  <c r="D11" i="71"/>
  <c r="H10" i="71"/>
  <c r="H9" i="71"/>
  <c r="H8" i="71"/>
  <c r="D8" i="71"/>
  <c r="H7" i="71"/>
  <c r="D7" i="71"/>
  <c r="H6" i="71"/>
  <c r="D6" i="71"/>
  <c r="H5" i="71"/>
  <c r="D5" i="71"/>
  <c r="H4" i="71"/>
  <c r="C4" i="71"/>
  <c r="AC63" i="71"/>
  <c r="AA63" i="71"/>
  <c r="AC62" i="71"/>
  <c r="AB62" i="71"/>
  <c r="AA62" i="71"/>
  <c r="AA61" i="71"/>
  <c r="AC59" i="71"/>
  <c r="AC58" i="71"/>
  <c r="AB58" i="71"/>
  <c r="Z58" i="71"/>
  <c r="AA58" i="71"/>
  <c r="AA57" i="71"/>
  <c r="AC55" i="71"/>
  <c r="AC54" i="71"/>
  <c r="AB54" i="71"/>
  <c r="AA54" i="71"/>
  <c r="AA53" i="71"/>
  <c r="AA47" i="71"/>
  <c r="AB47" i="71"/>
  <c r="AA46" i="71"/>
  <c r="AA44" i="71"/>
  <c r="Z44" i="71"/>
  <c r="AA43" i="71"/>
  <c r="AA42" i="71"/>
  <c r="AB39" i="71"/>
  <c r="AB38" i="71"/>
  <c r="AA38" i="71"/>
  <c r="Z31" i="71"/>
  <c r="Z30" i="71"/>
  <c r="Z24" i="71"/>
  <c r="Z23" i="71"/>
  <c r="Z22" i="71"/>
  <c r="G80" i="70"/>
  <c r="F80" i="70"/>
  <c r="K79" i="70"/>
  <c r="G79" i="70"/>
  <c r="F79" i="70"/>
  <c r="E79" i="70"/>
  <c r="E80" i="70" s="1"/>
  <c r="D79" i="70"/>
  <c r="D80" i="70" s="1"/>
  <c r="H78" i="70"/>
  <c r="H77" i="70"/>
  <c r="H76" i="70"/>
  <c r="H75" i="70"/>
  <c r="H74" i="70"/>
  <c r="H73" i="70"/>
  <c r="H72" i="70"/>
  <c r="H71" i="70"/>
  <c r="H70" i="70"/>
  <c r="H69" i="70"/>
  <c r="H68" i="70"/>
  <c r="H67" i="70"/>
  <c r="H79" i="70" s="1"/>
  <c r="H80" i="70" s="1"/>
  <c r="K63" i="70"/>
  <c r="G63" i="70"/>
  <c r="G64" i="70" s="1"/>
  <c r="F63" i="70"/>
  <c r="F64" i="70" s="1"/>
  <c r="E63" i="70"/>
  <c r="E64" i="70" s="1"/>
  <c r="D63" i="70"/>
  <c r="D64" i="70" s="1"/>
  <c r="H62" i="70"/>
  <c r="H61" i="70"/>
  <c r="H60" i="70"/>
  <c r="H59" i="70"/>
  <c r="H58" i="70"/>
  <c r="H57" i="70"/>
  <c r="H56" i="70"/>
  <c r="H55" i="70"/>
  <c r="H54" i="70"/>
  <c r="H53" i="70"/>
  <c r="H52" i="70"/>
  <c r="H51" i="70"/>
  <c r="H63" i="70" s="1"/>
  <c r="H64" i="70" s="1"/>
  <c r="E48" i="70"/>
  <c r="D48" i="70"/>
  <c r="K47" i="70"/>
  <c r="G47" i="70"/>
  <c r="G48" i="70" s="1"/>
  <c r="F47" i="70"/>
  <c r="F48" i="70" s="1"/>
  <c r="E47" i="70"/>
  <c r="D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47" i="70" s="1"/>
  <c r="H48" i="70" s="1"/>
  <c r="G32" i="70"/>
  <c r="K31" i="70"/>
  <c r="G31" i="70"/>
  <c r="F31" i="70"/>
  <c r="F32" i="70" s="1"/>
  <c r="E31" i="70"/>
  <c r="E32" i="70" s="1"/>
  <c r="D31" i="70"/>
  <c r="D32" i="70" s="1"/>
  <c r="H30" i="70"/>
  <c r="H29" i="70"/>
  <c r="H28" i="70"/>
  <c r="H27" i="70"/>
  <c r="H26" i="70"/>
  <c r="H25" i="70"/>
  <c r="H24" i="70"/>
  <c r="H23" i="70"/>
  <c r="H22" i="70"/>
  <c r="H21" i="70"/>
  <c r="H20" i="70"/>
  <c r="H19" i="70"/>
  <c r="H31" i="70" s="1"/>
  <c r="G14" i="70"/>
  <c r="G16" i="70" s="1"/>
  <c r="G85" i="70" s="1"/>
  <c r="D14" i="70"/>
  <c r="D16" i="70" s="1"/>
  <c r="D85" i="70" s="1"/>
  <c r="H13" i="70"/>
  <c r="G10" i="70"/>
  <c r="D10" i="70"/>
  <c r="J9" i="70"/>
  <c r="F9" i="70"/>
  <c r="K8" i="70"/>
  <c r="J8" i="70"/>
  <c r="F8" i="70"/>
  <c r="H7" i="70"/>
  <c r="F7" i="70"/>
  <c r="H6" i="70"/>
  <c r="F6" i="70"/>
  <c r="G80" i="69"/>
  <c r="K79" i="69"/>
  <c r="G79" i="69"/>
  <c r="F79" i="69"/>
  <c r="F80" i="69" s="1"/>
  <c r="E79" i="69"/>
  <c r="E80" i="69" s="1"/>
  <c r="D79" i="69"/>
  <c r="D80" i="69" s="1"/>
  <c r="H78" i="69"/>
  <c r="G63" i="71" s="1"/>
  <c r="H77" i="69"/>
  <c r="G62" i="71" s="1"/>
  <c r="H76" i="69"/>
  <c r="G61" i="71" s="1"/>
  <c r="H75" i="69"/>
  <c r="G60" i="71" s="1"/>
  <c r="H74" i="69"/>
  <c r="H73" i="69"/>
  <c r="G58" i="71" s="1"/>
  <c r="H72" i="69"/>
  <c r="G57" i="71" s="1"/>
  <c r="H71" i="69"/>
  <c r="H70" i="69"/>
  <c r="G55" i="71" s="1"/>
  <c r="H69" i="69"/>
  <c r="G54" i="71" s="1"/>
  <c r="H68" i="69"/>
  <c r="H67" i="69"/>
  <c r="K63" i="69"/>
  <c r="G63" i="69"/>
  <c r="G64" i="69" s="1"/>
  <c r="F63" i="69"/>
  <c r="F64" i="69" s="1"/>
  <c r="E63" i="69"/>
  <c r="E64" i="69" s="1"/>
  <c r="D63" i="69"/>
  <c r="D64" i="69" s="1"/>
  <c r="H62" i="69"/>
  <c r="G47" i="71" s="1"/>
  <c r="H61" i="69"/>
  <c r="G46" i="71" s="1"/>
  <c r="H60" i="69"/>
  <c r="G45" i="71" s="1"/>
  <c r="H59" i="69"/>
  <c r="G44" i="71" s="1"/>
  <c r="H58" i="69"/>
  <c r="G43" i="71" s="1"/>
  <c r="H57" i="69"/>
  <c r="G42" i="71" s="1"/>
  <c r="H56" i="69"/>
  <c r="G41" i="71" s="1"/>
  <c r="H55" i="69"/>
  <c r="G40" i="71" s="1"/>
  <c r="H54" i="69"/>
  <c r="G39" i="71" s="1"/>
  <c r="H53" i="69"/>
  <c r="G38" i="71" s="1"/>
  <c r="H52" i="69"/>
  <c r="G37" i="71" s="1"/>
  <c r="H51" i="69"/>
  <c r="E48" i="69"/>
  <c r="G47" i="69"/>
  <c r="G48" i="69" s="1"/>
  <c r="F47" i="69"/>
  <c r="F48" i="69" s="1"/>
  <c r="E47" i="69"/>
  <c r="D47" i="69"/>
  <c r="D48" i="69" s="1"/>
  <c r="H46" i="69"/>
  <c r="G31" i="71" s="1"/>
  <c r="H45" i="69"/>
  <c r="G30" i="71" s="1"/>
  <c r="H44" i="69"/>
  <c r="G29" i="71" s="1"/>
  <c r="H43" i="69"/>
  <c r="G28" i="71" s="1"/>
  <c r="H42" i="69"/>
  <c r="G27" i="71" s="1"/>
  <c r="H41" i="69"/>
  <c r="G26" i="71" s="1"/>
  <c r="H40" i="69"/>
  <c r="G25" i="71" s="1"/>
  <c r="H39" i="69"/>
  <c r="G24" i="71" s="1"/>
  <c r="H38" i="69"/>
  <c r="H37" i="69"/>
  <c r="G22" i="71" s="1"/>
  <c r="H36" i="69"/>
  <c r="H35" i="69"/>
  <c r="K31" i="69"/>
  <c r="G32" i="69"/>
  <c r="F32" i="69"/>
  <c r="E32" i="69"/>
  <c r="D32" i="69"/>
  <c r="G15" i="71"/>
  <c r="G14" i="71"/>
  <c r="G10" i="71"/>
  <c r="G9" i="71"/>
  <c r="H23" i="69"/>
  <c r="G8" i="71" s="1"/>
  <c r="H22" i="69"/>
  <c r="G7" i="71" s="1"/>
  <c r="H21" i="69"/>
  <c r="G6" i="71" s="1"/>
  <c r="H20" i="69"/>
  <c r="G5" i="71" s="1"/>
  <c r="H19" i="69"/>
  <c r="G4" i="71" s="1"/>
  <c r="G10" i="69"/>
  <c r="D10" i="69"/>
  <c r="J9" i="69"/>
  <c r="J8" i="69"/>
  <c r="H7" i="69"/>
  <c r="H6" i="69"/>
  <c r="G80" i="68"/>
  <c r="F80" i="68"/>
  <c r="E80" i="68"/>
  <c r="D80" i="68"/>
  <c r="H78" i="68"/>
  <c r="F63" i="71" s="1"/>
  <c r="H77" i="68"/>
  <c r="F62" i="71" s="1"/>
  <c r="H76" i="68"/>
  <c r="F61" i="71" s="1"/>
  <c r="H75" i="68"/>
  <c r="F60" i="71" s="1"/>
  <c r="H74" i="68"/>
  <c r="F59" i="71" s="1"/>
  <c r="H73" i="68"/>
  <c r="F58" i="71" s="1"/>
  <c r="H72" i="68"/>
  <c r="F57" i="71" s="1"/>
  <c r="H71" i="68"/>
  <c r="F56" i="71" s="1"/>
  <c r="H70" i="68"/>
  <c r="F55" i="71" s="1"/>
  <c r="H69" i="68"/>
  <c r="F54" i="71" s="1"/>
  <c r="H68" i="68"/>
  <c r="F53" i="71" s="1"/>
  <c r="H67" i="68"/>
  <c r="G64" i="68"/>
  <c r="E64" i="68"/>
  <c r="D64" i="68"/>
  <c r="H62" i="68"/>
  <c r="F47" i="71" s="1"/>
  <c r="H61" i="68"/>
  <c r="F46" i="71" s="1"/>
  <c r="H60" i="68"/>
  <c r="F45" i="71" s="1"/>
  <c r="H59" i="68"/>
  <c r="F44" i="71" s="1"/>
  <c r="H58" i="68"/>
  <c r="F43" i="71" s="1"/>
  <c r="H57" i="68"/>
  <c r="F42" i="71" s="1"/>
  <c r="H56" i="68"/>
  <c r="F41" i="71" s="1"/>
  <c r="H55" i="68"/>
  <c r="F40" i="71" s="1"/>
  <c r="H54" i="68"/>
  <c r="F39" i="71" s="1"/>
  <c r="H53" i="68"/>
  <c r="F38" i="71" s="1"/>
  <c r="H52" i="68"/>
  <c r="F37" i="71" s="1"/>
  <c r="H51" i="68"/>
  <c r="H46" i="68"/>
  <c r="F31" i="71" s="1"/>
  <c r="H45" i="68"/>
  <c r="F30" i="71" s="1"/>
  <c r="H44" i="68"/>
  <c r="F29" i="71" s="1"/>
  <c r="H43" i="68"/>
  <c r="F28" i="71" s="1"/>
  <c r="H42" i="68"/>
  <c r="F27" i="71" s="1"/>
  <c r="H41" i="68"/>
  <c r="F26" i="71" s="1"/>
  <c r="H40" i="68"/>
  <c r="F25" i="71" s="1"/>
  <c r="H39" i="68"/>
  <c r="F24" i="71" s="1"/>
  <c r="H38" i="68"/>
  <c r="F23" i="71" s="1"/>
  <c r="H37" i="68"/>
  <c r="F22" i="71" s="1"/>
  <c r="H36" i="68"/>
  <c r="F21" i="71" s="1"/>
  <c r="H35" i="68"/>
  <c r="K31" i="68"/>
  <c r="G31" i="68"/>
  <c r="G32" i="68" s="1"/>
  <c r="F31" i="68"/>
  <c r="F32" i="68" s="1"/>
  <c r="E31" i="68"/>
  <c r="E32" i="68" s="1"/>
  <c r="H30" i="68"/>
  <c r="F15" i="71" s="1"/>
  <c r="H29" i="68"/>
  <c r="F14" i="71" s="1"/>
  <c r="H28" i="68"/>
  <c r="F13" i="71" s="1"/>
  <c r="H27" i="68"/>
  <c r="F12" i="71" s="1"/>
  <c r="F11" i="71"/>
  <c r="F10" i="71"/>
  <c r="F9" i="71"/>
  <c r="F8" i="71"/>
  <c r="F7" i="71"/>
  <c r="F6" i="71"/>
  <c r="F5" i="71"/>
  <c r="G10" i="68"/>
  <c r="D10" i="68"/>
  <c r="F9" i="68" s="1"/>
  <c r="J9" i="68"/>
  <c r="J8" i="68"/>
  <c r="J7" i="68"/>
  <c r="J6" i="68"/>
  <c r="F9" i="69" l="1"/>
  <c r="I13" i="69"/>
  <c r="H47" i="68"/>
  <c r="H79" i="68"/>
  <c r="H63" i="68"/>
  <c r="F48" i="71" s="1"/>
  <c r="F20" i="71"/>
  <c r="F64" i="71"/>
  <c r="E14" i="68"/>
  <c r="E16" i="68" s="1"/>
  <c r="H79" i="69"/>
  <c r="G64" i="71" s="1"/>
  <c r="G52" i="71"/>
  <c r="H63" i="69"/>
  <c r="G48" i="71" s="1"/>
  <c r="G36" i="71"/>
  <c r="H47" i="69"/>
  <c r="G32" i="71" s="1"/>
  <c r="G20" i="71"/>
  <c r="F6" i="69"/>
  <c r="F52" i="71"/>
  <c r="F36" i="71"/>
  <c r="G48" i="68"/>
  <c r="G14" i="68"/>
  <c r="G16" i="68" s="1"/>
  <c r="E48" i="68"/>
  <c r="D48" i="68"/>
  <c r="D14" i="68"/>
  <c r="D16" i="68" s="1"/>
  <c r="F48" i="68"/>
  <c r="F14" i="68"/>
  <c r="F16" i="68" s="1"/>
  <c r="F6" i="68"/>
  <c r="F7" i="68"/>
  <c r="H48" i="68"/>
  <c r="H80" i="68"/>
  <c r="AC56" i="71"/>
  <c r="AC64" i="71"/>
  <c r="I59" i="71"/>
  <c r="AC52" i="71"/>
  <c r="H16" i="71"/>
  <c r="Z36" i="71"/>
  <c r="Z40" i="71"/>
  <c r="Z48" i="71"/>
  <c r="Z55" i="71"/>
  <c r="Z59" i="71"/>
  <c r="Z63" i="71"/>
  <c r="I56" i="71"/>
  <c r="I64" i="71"/>
  <c r="AB43" i="71"/>
  <c r="AB53" i="71"/>
  <c r="AB57" i="71"/>
  <c r="AB61" i="71"/>
  <c r="Z20" i="71"/>
  <c r="Z28" i="71"/>
  <c r="AA37" i="71"/>
  <c r="AA41" i="71"/>
  <c r="AA45" i="71"/>
  <c r="AA52" i="71"/>
  <c r="AA56" i="71"/>
  <c r="AA60" i="71"/>
  <c r="AA64" i="71"/>
  <c r="Z37" i="71"/>
  <c r="Z41" i="71"/>
  <c r="Z45" i="71"/>
  <c r="Z52" i="71"/>
  <c r="Z56" i="71"/>
  <c r="Z60" i="71"/>
  <c r="Z64" i="71"/>
  <c r="AB56" i="71"/>
  <c r="AB64" i="71"/>
  <c r="AB42" i="71"/>
  <c r="I60" i="71"/>
  <c r="Z21" i="71"/>
  <c r="Z29" i="71"/>
  <c r="I62" i="71"/>
  <c r="I54" i="71"/>
  <c r="G14" i="69"/>
  <c r="G16" i="69" s="1"/>
  <c r="G85" i="69" s="1"/>
  <c r="G16" i="71"/>
  <c r="E14" i="69"/>
  <c r="E16" i="69" s="1"/>
  <c r="E85" i="69" s="1"/>
  <c r="D14" i="69"/>
  <c r="D16" i="69" s="1"/>
  <c r="D85" i="69" s="1"/>
  <c r="H31" i="69"/>
  <c r="F7" i="69"/>
  <c r="F8" i="69"/>
  <c r="K10" i="69"/>
  <c r="H31" i="68"/>
  <c r="F4" i="71"/>
  <c r="F16" i="71" s="1"/>
  <c r="I61" i="71"/>
  <c r="AB59" i="71"/>
  <c r="I55" i="71"/>
  <c r="I57" i="71"/>
  <c r="I58" i="71"/>
  <c r="I63" i="71"/>
  <c r="AB40" i="71"/>
  <c r="Z57" i="71"/>
  <c r="Z27" i="71"/>
  <c r="Z25" i="71"/>
  <c r="AA39" i="71"/>
  <c r="AB48" i="71"/>
  <c r="I53" i="71"/>
  <c r="AC60" i="71"/>
  <c r="Z38" i="71"/>
  <c r="L7" i="70"/>
  <c r="E7" i="70"/>
  <c r="L6" i="70"/>
  <c r="E6" i="70"/>
  <c r="H14" i="70"/>
  <c r="H16" i="70" s="1"/>
  <c r="H32" i="70"/>
  <c r="H8" i="70"/>
  <c r="E8" i="70" s="1"/>
  <c r="H9" i="70"/>
  <c r="E14" i="70"/>
  <c r="E16" i="70" s="1"/>
  <c r="E85" i="70" s="1"/>
  <c r="J7" i="70"/>
  <c r="K10" i="70"/>
  <c r="M8" i="70" s="1"/>
  <c r="F14" i="70"/>
  <c r="F16" i="70" s="1"/>
  <c r="F85" i="70" s="1"/>
  <c r="J6" i="70"/>
  <c r="L6" i="69"/>
  <c r="E6" i="69"/>
  <c r="L7" i="69"/>
  <c r="E7" i="69"/>
  <c r="H8" i="69"/>
  <c r="E8" i="69" s="1"/>
  <c r="H9" i="69"/>
  <c r="F14" i="69"/>
  <c r="F16" i="69" s="1"/>
  <c r="F85" i="69" s="1"/>
  <c r="J7" i="69"/>
  <c r="J6" i="69"/>
  <c r="H8" i="68"/>
  <c r="E8" i="68" s="1"/>
  <c r="H9" i="68"/>
  <c r="H7" i="68"/>
  <c r="D32" i="68"/>
  <c r="F64" i="68"/>
  <c r="H6" i="68"/>
  <c r="K10" i="68"/>
  <c r="F8" i="68"/>
  <c r="M8" i="69" l="1"/>
  <c r="J13" i="69"/>
  <c r="I52" i="71"/>
  <c r="N7" i="69"/>
  <c r="H64" i="69"/>
  <c r="H64" i="68"/>
  <c r="H48" i="69"/>
  <c r="H80" i="69"/>
  <c r="H14" i="69"/>
  <c r="H16" i="69" s="1"/>
  <c r="H14" i="68"/>
  <c r="H16" i="68" s="1"/>
  <c r="F32" i="71"/>
  <c r="H32" i="69"/>
  <c r="H10" i="70"/>
  <c r="E10" i="70" s="1"/>
  <c r="H32" i="68"/>
  <c r="L8" i="69"/>
  <c r="M6" i="70"/>
  <c r="M10" i="70"/>
  <c r="M7" i="70"/>
  <c r="L10" i="70"/>
  <c r="M9" i="70"/>
  <c r="E9" i="70"/>
  <c r="L9" i="70"/>
  <c r="I73" i="70"/>
  <c r="P58" i="71" s="1"/>
  <c r="I56" i="70"/>
  <c r="P41" i="71" s="1"/>
  <c r="I39" i="70"/>
  <c r="P24" i="71" s="1"/>
  <c r="I30" i="70"/>
  <c r="P15" i="71" s="1"/>
  <c r="I22" i="70"/>
  <c r="P7" i="71" s="1"/>
  <c r="I72" i="70"/>
  <c r="P57" i="71" s="1"/>
  <c r="I76" i="70"/>
  <c r="P61" i="71" s="1"/>
  <c r="I68" i="70"/>
  <c r="P53" i="71" s="1"/>
  <c r="I59" i="70"/>
  <c r="P44" i="71" s="1"/>
  <c r="I51" i="70"/>
  <c r="P36" i="71" s="1"/>
  <c r="I42" i="70"/>
  <c r="P27" i="71" s="1"/>
  <c r="I25" i="70"/>
  <c r="P10" i="71" s="1"/>
  <c r="I29" i="70"/>
  <c r="P14" i="71" s="1"/>
  <c r="I21" i="70"/>
  <c r="P6" i="71" s="1"/>
  <c r="I71" i="70"/>
  <c r="P56" i="71" s="1"/>
  <c r="I62" i="70"/>
  <c r="P47" i="71" s="1"/>
  <c r="I54" i="70"/>
  <c r="P39" i="71" s="1"/>
  <c r="I45" i="70"/>
  <c r="P30" i="71" s="1"/>
  <c r="I37" i="70"/>
  <c r="P22" i="71" s="1"/>
  <c r="I28" i="70"/>
  <c r="P13" i="71" s="1"/>
  <c r="I20" i="70"/>
  <c r="P5" i="71" s="1"/>
  <c r="I55" i="70"/>
  <c r="P40" i="71" s="1"/>
  <c r="I46" i="70"/>
  <c r="P31" i="71" s="1"/>
  <c r="I38" i="70"/>
  <c r="P23" i="71" s="1"/>
  <c r="I19" i="70"/>
  <c r="P4" i="71" s="1"/>
  <c r="I74" i="70"/>
  <c r="P59" i="71" s="1"/>
  <c r="I57" i="70"/>
  <c r="P42" i="71" s="1"/>
  <c r="I40" i="70"/>
  <c r="P25" i="71" s="1"/>
  <c r="I23" i="70"/>
  <c r="P8" i="71" s="1"/>
  <c r="I77" i="70"/>
  <c r="P62" i="71" s="1"/>
  <c r="I69" i="70"/>
  <c r="P54" i="71" s="1"/>
  <c r="I60" i="70"/>
  <c r="P45" i="71" s="1"/>
  <c r="I52" i="70"/>
  <c r="P37" i="71" s="1"/>
  <c r="I43" i="70"/>
  <c r="P28" i="71" s="1"/>
  <c r="I35" i="70"/>
  <c r="P20" i="71" s="1"/>
  <c r="I26" i="70"/>
  <c r="P11" i="71" s="1"/>
  <c r="I75" i="70"/>
  <c r="P60" i="71" s="1"/>
  <c r="I67" i="70"/>
  <c r="P52" i="71" s="1"/>
  <c r="I58" i="70"/>
  <c r="P43" i="71" s="1"/>
  <c r="I41" i="70"/>
  <c r="P26" i="71" s="1"/>
  <c r="I24" i="70"/>
  <c r="P9" i="71" s="1"/>
  <c r="I78" i="70"/>
  <c r="P63" i="71" s="1"/>
  <c r="I70" i="70"/>
  <c r="P55" i="71" s="1"/>
  <c r="I61" i="70"/>
  <c r="P46" i="71" s="1"/>
  <c r="I53" i="70"/>
  <c r="P38" i="71" s="1"/>
  <c r="I44" i="70"/>
  <c r="P29" i="71" s="1"/>
  <c r="I36" i="70"/>
  <c r="P21" i="71" s="1"/>
  <c r="I27" i="70"/>
  <c r="P12" i="71" s="1"/>
  <c r="L8" i="70"/>
  <c r="I10" i="70"/>
  <c r="J10" i="70" s="1"/>
  <c r="M6" i="69"/>
  <c r="M10" i="69"/>
  <c r="M7" i="69"/>
  <c r="M9" i="69"/>
  <c r="E9" i="69"/>
  <c r="I54" i="69" s="1"/>
  <c r="L9" i="69"/>
  <c r="I22" i="69"/>
  <c r="O7" i="71" s="1"/>
  <c r="I19" i="69"/>
  <c r="O4" i="71" s="1"/>
  <c r="I20" i="69"/>
  <c r="O5" i="71" s="1"/>
  <c r="I23" i="69"/>
  <c r="O8" i="71" s="1"/>
  <c r="I21" i="69"/>
  <c r="O6" i="71" s="1"/>
  <c r="I24" i="69"/>
  <c r="O9" i="71" s="1"/>
  <c r="H10" i="69"/>
  <c r="E7" i="68"/>
  <c r="L7" i="68"/>
  <c r="E9" i="68"/>
  <c r="L9" i="68"/>
  <c r="N4" i="71"/>
  <c r="N7" i="71"/>
  <c r="N5" i="71"/>
  <c r="N8" i="71"/>
  <c r="N6" i="71"/>
  <c r="L6" i="68"/>
  <c r="H10" i="68"/>
  <c r="L10" i="68" s="1"/>
  <c r="E6" i="68"/>
  <c r="M7" i="68"/>
  <c r="M6" i="68"/>
  <c r="M9" i="68"/>
  <c r="M10" i="68"/>
  <c r="M8" i="68"/>
  <c r="L8" i="68"/>
  <c r="N8" i="68" s="1"/>
  <c r="I59" i="69" l="1"/>
  <c r="J62" i="69"/>
  <c r="L62" i="69" s="1"/>
  <c r="J75" i="69"/>
  <c r="L75" i="69" s="1"/>
  <c r="W60" i="71" s="1"/>
  <c r="J71" i="69"/>
  <c r="L71" i="69" s="1"/>
  <c r="W56" i="71" s="1"/>
  <c r="J68" i="69"/>
  <c r="L68" i="69" s="1"/>
  <c r="W53" i="71" s="1"/>
  <c r="J51" i="69"/>
  <c r="L51" i="69" s="1"/>
  <c r="W36" i="71" s="1"/>
  <c r="J76" i="69"/>
  <c r="L76" i="69" s="1"/>
  <c r="W61" i="71" s="1"/>
  <c r="J73" i="69"/>
  <c r="L73" i="69" s="1"/>
  <c r="W58" i="71" s="1"/>
  <c r="J69" i="69"/>
  <c r="J74" i="69"/>
  <c r="L74" i="69" s="1"/>
  <c r="W59" i="71" s="1"/>
  <c r="J77" i="69"/>
  <c r="L77" i="69" s="1"/>
  <c r="W62" i="71" s="1"/>
  <c r="J72" i="69"/>
  <c r="L72" i="69" s="1"/>
  <c r="W57" i="71" s="1"/>
  <c r="J70" i="69"/>
  <c r="L70" i="69" s="1"/>
  <c r="W55" i="71" s="1"/>
  <c r="J67" i="69"/>
  <c r="L67" i="69" s="1"/>
  <c r="W52" i="71" s="1"/>
  <c r="J78" i="69"/>
  <c r="L78" i="69" s="1"/>
  <c r="W63" i="71" s="1"/>
  <c r="I67" i="69"/>
  <c r="O52" i="71" s="1"/>
  <c r="J59" i="69"/>
  <c r="I75" i="69"/>
  <c r="O60" i="71" s="1"/>
  <c r="J52" i="69"/>
  <c r="L52" i="69" s="1"/>
  <c r="W37" i="71" s="1"/>
  <c r="I68" i="69"/>
  <c r="O53" i="71" s="1"/>
  <c r="J60" i="69"/>
  <c r="L60" i="69" s="1"/>
  <c r="W45" i="71" s="1"/>
  <c r="J55" i="69"/>
  <c r="L55" i="69" s="1"/>
  <c r="W40" i="71" s="1"/>
  <c r="J53" i="69"/>
  <c r="L53" i="69" s="1"/>
  <c r="J56" i="69"/>
  <c r="L56" i="69" s="1"/>
  <c r="W41" i="71" s="1"/>
  <c r="J61" i="69"/>
  <c r="J57" i="69"/>
  <c r="L57" i="69" s="1"/>
  <c r="W42" i="71" s="1"/>
  <c r="J54" i="69"/>
  <c r="L54" i="69" s="1"/>
  <c r="W39" i="71" s="1"/>
  <c r="I51" i="69"/>
  <c r="O36" i="71" s="1"/>
  <c r="J58" i="69"/>
  <c r="L58" i="69" s="1"/>
  <c r="W43" i="71" s="1"/>
  <c r="I52" i="69"/>
  <c r="O37" i="71" s="1"/>
  <c r="I76" i="69"/>
  <c r="O61" i="71" s="1"/>
  <c r="I71" i="69"/>
  <c r="O56" i="71" s="1"/>
  <c r="I69" i="69"/>
  <c r="O54" i="71" s="1"/>
  <c r="I72" i="69"/>
  <c r="O57" i="71" s="1"/>
  <c r="I77" i="69"/>
  <c r="O62" i="71" s="1"/>
  <c r="I73" i="69"/>
  <c r="O58" i="71" s="1"/>
  <c r="I70" i="69"/>
  <c r="O55" i="71" s="1"/>
  <c r="I74" i="69"/>
  <c r="O59" i="71" s="1"/>
  <c r="I78" i="69"/>
  <c r="O63" i="71" s="1"/>
  <c r="I60" i="69"/>
  <c r="O45" i="71" s="1"/>
  <c r="I55" i="69"/>
  <c r="I53" i="69"/>
  <c r="O38" i="71" s="1"/>
  <c r="I56" i="69"/>
  <c r="O41" i="71" s="1"/>
  <c r="I61" i="69"/>
  <c r="O46" i="71" s="1"/>
  <c r="I57" i="69"/>
  <c r="O42" i="71" s="1"/>
  <c r="I58" i="69"/>
  <c r="O43" i="71" s="1"/>
  <c r="I62" i="69"/>
  <c r="O47" i="71" s="1"/>
  <c r="J78" i="68"/>
  <c r="L78" i="68" s="1"/>
  <c r="J70" i="68"/>
  <c r="J77" i="68"/>
  <c r="L77" i="68" s="1"/>
  <c r="J69" i="68"/>
  <c r="L69" i="68" s="1"/>
  <c r="J76" i="68"/>
  <c r="L76" i="68" s="1"/>
  <c r="J68" i="68"/>
  <c r="L68" i="68" s="1"/>
  <c r="J75" i="68"/>
  <c r="L75" i="68" s="1"/>
  <c r="J67" i="68"/>
  <c r="J74" i="68"/>
  <c r="L74" i="68" s="1"/>
  <c r="J73" i="68"/>
  <c r="J71" i="68"/>
  <c r="L71" i="68" s="1"/>
  <c r="J72" i="68"/>
  <c r="L72" i="68" s="1"/>
  <c r="J62" i="68"/>
  <c r="L62" i="68" s="1"/>
  <c r="J54" i="68"/>
  <c r="L54" i="68" s="1"/>
  <c r="J61" i="68"/>
  <c r="L61" i="68" s="1"/>
  <c r="J53" i="68"/>
  <c r="L53" i="68" s="1"/>
  <c r="J60" i="68"/>
  <c r="L60" i="68" s="1"/>
  <c r="J52" i="68"/>
  <c r="L52" i="68" s="1"/>
  <c r="J59" i="68"/>
  <c r="L59" i="68" s="1"/>
  <c r="J51" i="68"/>
  <c r="J58" i="68"/>
  <c r="L58" i="68" s="1"/>
  <c r="J57" i="68"/>
  <c r="L57" i="68" s="1"/>
  <c r="J56" i="68"/>
  <c r="L56" i="68" s="1"/>
  <c r="J55" i="68"/>
  <c r="L55" i="68" s="1"/>
  <c r="I78" i="68"/>
  <c r="N63" i="71" s="1"/>
  <c r="I70" i="68"/>
  <c r="N55" i="71" s="1"/>
  <c r="I77" i="68"/>
  <c r="N62" i="71" s="1"/>
  <c r="I69" i="68"/>
  <c r="N54" i="71" s="1"/>
  <c r="Q54" i="71" s="1"/>
  <c r="I76" i="68"/>
  <c r="N61" i="71" s="1"/>
  <c r="I68" i="68"/>
  <c r="N53" i="71" s="1"/>
  <c r="I75" i="68"/>
  <c r="N60" i="71" s="1"/>
  <c r="I67" i="68"/>
  <c r="N52" i="71" s="1"/>
  <c r="I74" i="68"/>
  <c r="N59" i="71" s="1"/>
  <c r="I73" i="68"/>
  <c r="N58" i="71" s="1"/>
  <c r="I72" i="68"/>
  <c r="N57" i="71" s="1"/>
  <c r="Q57" i="71" s="1"/>
  <c r="I71" i="68"/>
  <c r="N56" i="71" s="1"/>
  <c r="I62" i="68"/>
  <c r="N47" i="71" s="1"/>
  <c r="I54" i="68"/>
  <c r="N39" i="71" s="1"/>
  <c r="I61" i="68"/>
  <c r="N46" i="71" s="1"/>
  <c r="I53" i="68"/>
  <c r="N38" i="71" s="1"/>
  <c r="I60" i="68"/>
  <c r="N45" i="71" s="1"/>
  <c r="I52" i="68"/>
  <c r="N37" i="71" s="1"/>
  <c r="I55" i="68"/>
  <c r="N40" i="71" s="1"/>
  <c r="I59" i="68"/>
  <c r="N44" i="71" s="1"/>
  <c r="I51" i="68"/>
  <c r="I58" i="68"/>
  <c r="N43" i="71" s="1"/>
  <c r="I57" i="68"/>
  <c r="N42" i="71" s="1"/>
  <c r="I56" i="68"/>
  <c r="N41" i="71" s="1"/>
  <c r="I30" i="68"/>
  <c r="N15" i="71" s="1"/>
  <c r="I29" i="68"/>
  <c r="N14" i="71" s="1"/>
  <c r="I28" i="68"/>
  <c r="N13" i="71" s="1"/>
  <c r="I27" i="68"/>
  <c r="N12" i="71" s="1"/>
  <c r="I45" i="68"/>
  <c r="N30" i="71" s="1"/>
  <c r="I46" i="68"/>
  <c r="N31" i="71" s="1"/>
  <c r="I44" i="68"/>
  <c r="N29" i="71" s="1"/>
  <c r="I35" i="68"/>
  <c r="I43" i="68"/>
  <c r="N28" i="71" s="1"/>
  <c r="I36" i="68"/>
  <c r="N21" i="71" s="1"/>
  <c r="I37" i="68"/>
  <c r="N22" i="71" s="1"/>
  <c r="I38" i="68"/>
  <c r="N23" i="71" s="1"/>
  <c r="I39" i="68"/>
  <c r="N24" i="71" s="1"/>
  <c r="I40" i="68"/>
  <c r="I42" i="68"/>
  <c r="N27" i="71" s="1"/>
  <c r="I41" i="68"/>
  <c r="N26" i="71" s="1"/>
  <c r="N9" i="68"/>
  <c r="N6" i="68"/>
  <c r="N7" i="68"/>
  <c r="J36" i="68"/>
  <c r="L36" i="68" s="1"/>
  <c r="J44" i="68"/>
  <c r="L44" i="68" s="1"/>
  <c r="J29" i="68"/>
  <c r="L29" i="68" s="1"/>
  <c r="J43" i="68"/>
  <c r="L43" i="68" s="1"/>
  <c r="J37" i="68"/>
  <c r="L37" i="68" s="1"/>
  <c r="J45" i="68"/>
  <c r="L45" i="68" s="1"/>
  <c r="J30" i="68"/>
  <c r="L30" i="68" s="1"/>
  <c r="J42" i="68"/>
  <c r="L42" i="68" s="1"/>
  <c r="J38" i="68"/>
  <c r="L38" i="68" s="1"/>
  <c r="J46" i="68"/>
  <c r="L46" i="68" s="1"/>
  <c r="J35" i="68"/>
  <c r="J28" i="68"/>
  <c r="L28" i="68" s="1"/>
  <c r="J39" i="68"/>
  <c r="L39" i="68" s="1"/>
  <c r="J40" i="68"/>
  <c r="L40" i="68" s="1"/>
  <c r="J41" i="68"/>
  <c r="L41" i="68" s="1"/>
  <c r="J27" i="68"/>
  <c r="L27" i="68" s="1"/>
  <c r="N10" i="71"/>
  <c r="N11" i="71"/>
  <c r="N9" i="71"/>
  <c r="N9" i="69"/>
  <c r="I41" i="69"/>
  <c r="O26" i="71" s="1"/>
  <c r="I38" i="69"/>
  <c r="O23" i="71" s="1"/>
  <c r="I28" i="69"/>
  <c r="O13" i="71" s="1"/>
  <c r="I29" i="69"/>
  <c r="O14" i="71" s="1"/>
  <c r="I45" i="69"/>
  <c r="O30" i="71" s="1"/>
  <c r="N8" i="69"/>
  <c r="J35" i="69"/>
  <c r="L35" i="69" s="1"/>
  <c r="W20" i="71" s="1"/>
  <c r="J38" i="69"/>
  <c r="L38" i="69" s="1"/>
  <c r="W23" i="71" s="1"/>
  <c r="J29" i="69"/>
  <c r="L29" i="69" s="1"/>
  <c r="W14" i="71" s="1"/>
  <c r="J42" i="69"/>
  <c r="L42" i="69" s="1"/>
  <c r="J26" i="69"/>
  <c r="L26" i="69" s="1"/>
  <c r="W11" i="71" s="1"/>
  <c r="J39" i="69"/>
  <c r="L39" i="69" s="1"/>
  <c r="I26" i="69"/>
  <c r="O11" i="71" s="1"/>
  <c r="O39" i="71"/>
  <c r="J30" i="69"/>
  <c r="L30" i="69" s="1"/>
  <c r="J46" i="69"/>
  <c r="L46" i="69" s="1"/>
  <c r="W31" i="71" s="1"/>
  <c r="L59" i="69"/>
  <c r="W44" i="71" s="1"/>
  <c r="J36" i="69"/>
  <c r="L36" i="69" s="1"/>
  <c r="W21" i="71" s="1"/>
  <c r="I42" i="69"/>
  <c r="O27" i="71" s="1"/>
  <c r="I46" i="69"/>
  <c r="O31" i="71" s="1"/>
  <c r="I25" i="69"/>
  <c r="O10" i="71" s="1"/>
  <c r="J27" i="69"/>
  <c r="L27" i="69" s="1"/>
  <c r="W12" i="71" s="1"/>
  <c r="J43" i="69"/>
  <c r="L43" i="69" s="1"/>
  <c r="W28" i="71" s="1"/>
  <c r="I39" i="69"/>
  <c r="O24" i="71" s="1"/>
  <c r="I30" i="69"/>
  <c r="O15" i="71" s="1"/>
  <c r="I43" i="69"/>
  <c r="O28" i="71" s="1"/>
  <c r="I35" i="69"/>
  <c r="O20" i="71" s="1"/>
  <c r="J44" i="69"/>
  <c r="L44" i="69" s="1"/>
  <c r="W29" i="71" s="1"/>
  <c r="L61" i="69"/>
  <c r="W46" i="71" s="1"/>
  <c r="J40" i="69"/>
  <c r="L40" i="69" s="1"/>
  <c r="W25" i="71" s="1"/>
  <c r="J28" i="69"/>
  <c r="L28" i="69" s="1"/>
  <c r="W13" i="71" s="1"/>
  <c r="I36" i="69"/>
  <c r="O21" i="71" s="1"/>
  <c r="I27" i="69"/>
  <c r="O12" i="71" s="1"/>
  <c r="I40" i="69"/>
  <c r="O25" i="71" s="1"/>
  <c r="O44" i="71"/>
  <c r="J25" i="69"/>
  <c r="L25" i="69" s="1"/>
  <c r="W10" i="71" s="1"/>
  <c r="J41" i="69"/>
  <c r="L41" i="69" s="1"/>
  <c r="W26" i="71" s="1"/>
  <c r="J37" i="69"/>
  <c r="L37" i="69" s="1"/>
  <c r="W22" i="71" s="1"/>
  <c r="J45" i="69"/>
  <c r="L45" i="69" s="1"/>
  <c r="W30" i="71" s="1"/>
  <c r="I44" i="69"/>
  <c r="O29" i="71" s="1"/>
  <c r="O40" i="71"/>
  <c r="I37" i="69"/>
  <c r="O22" i="71" s="1"/>
  <c r="J21" i="69"/>
  <c r="L21" i="69" s="1"/>
  <c r="W6" i="71" s="1"/>
  <c r="AE6" i="71" s="1"/>
  <c r="J19" i="69"/>
  <c r="L19" i="69" s="1"/>
  <c r="W4" i="71" s="1"/>
  <c r="AE4" i="71" s="1"/>
  <c r="J24" i="69"/>
  <c r="L24" i="69" s="1"/>
  <c r="W9" i="71" s="1"/>
  <c r="AE9" i="71" s="1"/>
  <c r="L69" i="69"/>
  <c r="W54" i="71" s="1"/>
  <c r="AE54" i="71" s="1"/>
  <c r="J23" i="69"/>
  <c r="L23" i="69" s="1"/>
  <c r="W8" i="71" s="1"/>
  <c r="AE8" i="71" s="1"/>
  <c r="J22" i="69"/>
  <c r="L22" i="69" s="1"/>
  <c r="W7" i="71" s="1"/>
  <c r="AE7" i="71" s="1"/>
  <c r="P16" i="71"/>
  <c r="J20" i="69"/>
  <c r="L20" i="69" s="1"/>
  <c r="W5" i="71" s="1"/>
  <c r="AE5" i="71" s="1"/>
  <c r="I31" i="70"/>
  <c r="J76" i="70"/>
  <c r="L76" i="70" s="1"/>
  <c r="J68" i="70"/>
  <c r="L68" i="70" s="1"/>
  <c r="J59" i="70"/>
  <c r="L59" i="70" s="1"/>
  <c r="J51" i="70"/>
  <c r="J42" i="70"/>
  <c r="L42" i="70" s="1"/>
  <c r="J25" i="70"/>
  <c r="L25" i="70" s="1"/>
  <c r="J67" i="70"/>
  <c r="J58" i="70"/>
  <c r="L58" i="70" s="1"/>
  <c r="J71" i="70"/>
  <c r="L71" i="70" s="1"/>
  <c r="J62" i="70"/>
  <c r="L62" i="70" s="1"/>
  <c r="J54" i="70"/>
  <c r="L54" i="70" s="1"/>
  <c r="J45" i="70"/>
  <c r="L45" i="70" s="1"/>
  <c r="J37" i="70"/>
  <c r="L37" i="70" s="1"/>
  <c r="J28" i="70"/>
  <c r="L28" i="70" s="1"/>
  <c r="J20" i="70"/>
  <c r="L20" i="70" s="1"/>
  <c r="J74" i="70"/>
  <c r="L74" i="70" s="1"/>
  <c r="J57" i="70"/>
  <c r="L57" i="70" s="1"/>
  <c r="J40" i="70"/>
  <c r="L40" i="70" s="1"/>
  <c r="J23" i="70"/>
  <c r="L23" i="70" s="1"/>
  <c r="J75" i="70"/>
  <c r="L75" i="70" s="1"/>
  <c r="J41" i="70"/>
  <c r="L41" i="70" s="1"/>
  <c r="J24" i="70"/>
  <c r="L24" i="70" s="1"/>
  <c r="J22" i="70"/>
  <c r="L22" i="70" s="1"/>
  <c r="J77" i="70"/>
  <c r="L77" i="70" s="1"/>
  <c r="J69" i="70"/>
  <c r="L69" i="70" s="1"/>
  <c r="J60" i="70"/>
  <c r="L60" i="70" s="1"/>
  <c r="J52" i="70"/>
  <c r="L52" i="70" s="1"/>
  <c r="J43" i="70"/>
  <c r="L43" i="70" s="1"/>
  <c r="J35" i="70"/>
  <c r="J26" i="70"/>
  <c r="L26" i="70" s="1"/>
  <c r="J72" i="70"/>
  <c r="L72" i="70" s="1"/>
  <c r="J55" i="70"/>
  <c r="L55" i="70" s="1"/>
  <c r="J46" i="70"/>
  <c r="L46" i="70" s="1"/>
  <c r="J38" i="70"/>
  <c r="L38" i="70" s="1"/>
  <c r="J29" i="70"/>
  <c r="L29" i="70" s="1"/>
  <c r="J21" i="70"/>
  <c r="L21" i="70" s="1"/>
  <c r="J78" i="70"/>
  <c r="L78" i="70" s="1"/>
  <c r="J70" i="70"/>
  <c r="L70" i="70" s="1"/>
  <c r="J61" i="70"/>
  <c r="L61" i="70" s="1"/>
  <c r="J53" i="70"/>
  <c r="L53" i="70" s="1"/>
  <c r="J44" i="70"/>
  <c r="L44" i="70" s="1"/>
  <c r="J36" i="70"/>
  <c r="L36" i="70" s="1"/>
  <c r="J27" i="70"/>
  <c r="L27" i="70" s="1"/>
  <c r="J19" i="70"/>
  <c r="J73" i="70"/>
  <c r="L73" i="70" s="1"/>
  <c r="J56" i="70"/>
  <c r="L56" i="70" s="1"/>
  <c r="J39" i="70"/>
  <c r="L39" i="70" s="1"/>
  <c r="J30" i="70"/>
  <c r="L30" i="70" s="1"/>
  <c r="I79" i="70"/>
  <c r="P64" i="71" s="1"/>
  <c r="I47" i="70"/>
  <c r="P32" i="71" s="1"/>
  <c r="I63" i="70"/>
  <c r="P48" i="71" s="1"/>
  <c r="E10" i="69"/>
  <c r="I10" i="69"/>
  <c r="J10" i="69" s="1"/>
  <c r="L10" i="69"/>
  <c r="L73" i="68"/>
  <c r="L70" i="68"/>
  <c r="I10" i="68"/>
  <c r="J10" i="68" s="1"/>
  <c r="E10" i="68"/>
  <c r="N10" i="68" s="1"/>
  <c r="Q53" i="71" l="1"/>
  <c r="AE62" i="71"/>
  <c r="Q58" i="71"/>
  <c r="AE53" i="71"/>
  <c r="Q55" i="71"/>
  <c r="AE55" i="71"/>
  <c r="AE60" i="71"/>
  <c r="AE57" i="71"/>
  <c r="Q60" i="71"/>
  <c r="AE26" i="71"/>
  <c r="AE58" i="71"/>
  <c r="Q59" i="71"/>
  <c r="AE59" i="71"/>
  <c r="Q62" i="71"/>
  <c r="AE56" i="71"/>
  <c r="Q52" i="71"/>
  <c r="Q61" i="71"/>
  <c r="Q56" i="71"/>
  <c r="AE52" i="71"/>
  <c r="Q63" i="71"/>
  <c r="M53" i="69"/>
  <c r="AE30" i="71"/>
  <c r="AE63" i="71"/>
  <c r="I79" i="69"/>
  <c r="O64" i="71" s="1"/>
  <c r="AE61" i="71"/>
  <c r="I79" i="68"/>
  <c r="N64" i="71" s="1"/>
  <c r="AE37" i="71"/>
  <c r="AE45" i="71"/>
  <c r="AE22" i="71"/>
  <c r="AE31" i="71"/>
  <c r="AE14" i="71"/>
  <c r="J79" i="68"/>
  <c r="J63" i="68"/>
  <c r="N36" i="71"/>
  <c r="I63" i="68"/>
  <c r="N48" i="71" s="1"/>
  <c r="J47" i="68"/>
  <c r="I47" i="68"/>
  <c r="N20" i="71"/>
  <c r="N16" i="71"/>
  <c r="I31" i="68"/>
  <c r="N25" i="71"/>
  <c r="AE36" i="71"/>
  <c r="AE39" i="71"/>
  <c r="O16" i="71"/>
  <c r="AE41" i="71"/>
  <c r="AE28" i="71"/>
  <c r="AE44" i="71"/>
  <c r="AE11" i="71"/>
  <c r="AE43" i="71"/>
  <c r="AE29" i="71"/>
  <c r="AE23" i="71"/>
  <c r="AE46" i="71"/>
  <c r="AE40" i="71"/>
  <c r="M62" i="69"/>
  <c r="AE12" i="71"/>
  <c r="I63" i="69"/>
  <c r="O48" i="71" s="1"/>
  <c r="AE13" i="71"/>
  <c r="AE42" i="71"/>
  <c r="AE21" i="71"/>
  <c r="M39" i="69"/>
  <c r="AE25" i="71"/>
  <c r="W27" i="71"/>
  <c r="AE27" i="71" s="1"/>
  <c r="M42" i="69"/>
  <c r="I47" i="69"/>
  <c r="O32" i="71" s="1"/>
  <c r="AE10" i="71"/>
  <c r="I31" i="69"/>
  <c r="M30" i="69"/>
  <c r="M21" i="69"/>
  <c r="M56" i="69"/>
  <c r="M59" i="69"/>
  <c r="W24" i="71"/>
  <c r="AE24" i="71" s="1"/>
  <c r="W15" i="71"/>
  <c r="AE15" i="71" s="1"/>
  <c r="M61" i="69"/>
  <c r="M27" i="69"/>
  <c r="M73" i="69"/>
  <c r="M58" i="69"/>
  <c r="M68" i="69"/>
  <c r="M36" i="69"/>
  <c r="M72" i="69"/>
  <c r="M44" i="69"/>
  <c r="M70" i="69"/>
  <c r="M69" i="69"/>
  <c r="M38" i="69"/>
  <c r="M24" i="69"/>
  <c r="M78" i="69"/>
  <c r="M52" i="69"/>
  <c r="M55" i="69"/>
  <c r="M41" i="69"/>
  <c r="M76" i="69"/>
  <c r="M40" i="69"/>
  <c r="W38" i="71"/>
  <c r="AE38" i="71" s="1"/>
  <c r="M26" i="69"/>
  <c r="M29" i="69"/>
  <c r="M43" i="69"/>
  <c r="M74" i="69"/>
  <c r="M75" i="69"/>
  <c r="M46" i="69"/>
  <c r="M77" i="69"/>
  <c r="M23" i="69"/>
  <c r="M22" i="69"/>
  <c r="W47" i="71"/>
  <c r="AE47" i="71" s="1"/>
  <c r="M57" i="69"/>
  <c r="M28" i="69"/>
  <c r="J47" i="69"/>
  <c r="M37" i="69"/>
  <c r="J63" i="69"/>
  <c r="M45" i="69"/>
  <c r="M54" i="69"/>
  <c r="J79" i="69"/>
  <c r="M71" i="69"/>
  <c r="AE20" i="71"/>
  <c r="M77" i="70"/>
  <c r="X62" i="71"/>
  <c r="AF62" i="71" s="1"/>
  <c r="M39" i="70"/>
  <c r="X24" i="71"/>
  <c r="AF24" i="71" s="1"/>
  <c r="M61" i="70"/>
  <c r="X46" i="71"/>
  <c r="AF46" i="71" s="1"/>
  <c r="M72" i="70"/>
  <c r="X57" i="71"/>
  <c r="AF57" i="71" s="1"/>
  <c r="M22" i="70"/>
  <c r="X7" i="71"/>
  <c r="AF7" i="71" s="1"/>
  <c r="M20" i="70"/>
  <c r="X5" i="71"/>
  <c r="AF5" i="71" s="1"/>
  <c r="M55" i="70"/>
  <c r="X40" i="71"/>
  <c r="AF40" i="71" s="1"/>
  <c r="M56" i="70"/>
  <c r="X41" i="71"/>
  <c r="AF41" i="71" s="1"/>
  <c r="M70" i="70"/>
  <c r="X55" i="71"/>
  <c r="AF55" i="71" s="1"/>
  <c r="M26" i="70"/>
  <c r="X11" i="71"/>
  <c r="AF11" i="71" s="1"/>
  <c r="M24" i="70"/>
  <c r="X9" i="71"/>
  <c r="AF9" i="71" s="1"/>
  <c r="M28" i="70"/>
  <c r="X13" i="71"/>
  <c r="AF13" i="71" s="1"/>
  <c r="M25" i="70"/>
  <c r="X10" i="71"/>
  <c r="AF10" i="71" s="1"/>
  <c r="M58" i="70"/>
  <c r="X43" i="71"/>
  <c r="AF43" i="71" s="1"/>
  <c r="M73" i="70"/>
  <c r="X58" i="71"/>
  <c r="AF58" i="71" s="1"/>
  <c r="M78" i="70"/>
  <c r="X63" i="71"/>
  <c r="AF63" i="71" s="1"/>
  <c r="M41" i="70"/>
  <c r="X26" i="71"/>
  <c r="AF26" i="71" s="1"/>
  <c r="M37" i="70"/>
  <c r="X22" i="71"/>
  <c r="AF22" i="71" s="1"/>
  <c r="M42" i="70"/>
  <c r="X27" i="71"/>
  <c r="AF27" i="71" s="1"/>
  <c r="M74" i="70"/>
  <c r="X59" i="71"/>
  <c r="AF59" i="71" s="1"/>
  <c r="M21" i="70"/>
  <c r="X6" i="71"/>
  <c r="AF6" i="71" s="1"/>
  <c r="M43" i="70"/>
  <c r="X28" i="71"/>
  <c r="AF28" i="71" s="1"/>
  <c r="M75" i="70"/>
  <c r="X60" i="71"/>
  <c r="AF60" i="71" s="1"/>
  <c r="M45" i="70"/>
  <c r="X30" i="71"/>
  <c r="AF30" i="71" s="1"/>
  <c r="M30" i="70"/>
  <c r="X15" i="71"/>
  <c r="AF15" i="71" s="1"/>
  <c r="M27" i="70"/>
  <c r="X12" i="71"/>
  <c r="AF12" i="71" s="1"/>
  <c r="M29" i="70"/>
  <c r="X14" i="71"/>
  <c r="AF14" i="71" s="1"/>
  <c r="M52" i="70"/>
  <c r="X37" i="71"/>
  <c r="AF37" i="71" s="1"/>
  <c r="M23" i="70"/>
  <c r="X8" i="71"/>
  <c r="AF8" i="71" s="1"/>
  <c r="M54" i="70"/>
  <c r="X39" i="71"/>
  <c r="AF39" i="71" s="1"/>
  <c r="M59" i="70"/>
  <c r="X44" i="71"/>
  <c r="AF44" i="71" s="1"/>
  <c r="M36" i="70"/>
  <c r="X21" i="71"/>
  <c r="AF21" i="71" s="1"/>
  <c r="M38" i="70"/>
  <c r="X23" i="71"/>
  <c r="AF23" i="71" s="1"/>
  <c r="M60" i="70"/>
  <c r="X45" i="71"/>
  <c r="AF45" i="71" s="1"/>
  <c r="M40" i="70"/>
  <c r="X25" i="71"/>
  <c r="AF25" i="71" s="1"/>
  <c r="M62" i="70"/>
  <c r="X47" i="71"/>
  <c r="AF47" i="71" s="1"/>
  <c r="M68" i="70"/>
  <c r="X53" i="71"/>
  <c r="AF53" i="71" s="1"/>
  <c r="M53" i="70"/>
  <c r="X38" i="71"/>
  <c r="AF38" i="71" s="1"/>
  <c r="M44" i="70"/>
  <c r="X29" i="71"/>
  <c r="AF29" i="71" s="1"/>
  <c r="M46" i="70"/>
  <c r="X31" i="71"/>
  <c r="AF31" i="71" s="1"/>
  <c r="M69" i="70"/>
  <c r="X54" i="71"/>
  <c r="AF54" i="71" s="1"/>
  <c r="M57" i="70"/>
  <c r="X42" i="71"/>
  <c r="AF42" i="71" s="1"/>
  <c r="M71" i="70"/>
  <c r="X56" i="71"/>
  <c r="AF56" i="71" s="1"/>
  <c r="M76" i="70"/>
  <c r="X61" i="71"/>
  <c r="AF61" i="71" s="1"/>
  <c r="M60" i="69"/>
  <c r="J31" i="69"/>
  <c r="M20" i="69"/>
  <c r="M25" i="69"/>
  <c r="V6" i="71"/>
  <c r="AD6" i="71" s="1"/>
  <c r="V5" i="71"/>
  <c r="AD5" i="71" s="1"/>
  <c r="V7" i="71"/>
  <c r="AD7" i="71" s="1"/>
  <c r="V8" i="71"/>
  <c r="AD8" i="71" s="1"/>
  <c r="M45" i="68"/>
  <c r="V30" i="71"/>
  <c r="AD30" i="71" s="1"/>
  <c r="V11" i="71"/>
  <c r="AD11" i="71" s="1"/>
  <c r="M30" i="68"/>
  <c r="V15" i="71"/>
  <c r="AD15" i="71" s="1"/>
  <c r="M55" i="68"/>
  <c r="V40" i="71"/>
  <c r="AD40" i="71" s="1"/>
  <c r="M78" i="68"/>
  <c r="V63" i="71"/>
  <c r="M54" i="68"/>
  <c r="V39" i="71"/>
  <c r="AD39" i="71" s="1"/>
  <c r="M42" i="68"/>
  <c r="V27" i="71"/>
  <c r="AD27" i="71" s="1"/>
  <c r="M40" i="68"/>
  <c r="V25" i="71"/>
  <c r="M62" i="68"/>
  <c r="V47" i="71"/>
  <c r="AD47" i="71" s="1"/>
  <c r="M39" i="68"/>
  <c r="V24" i="71"/>
  <c r="AD24" i="71" s="1"/>
  <c r="V10" i="71"/>
  <c r="AD10" i="71" s="1"/>
  <c r="M57" i="68"/>
  <c r="V42" i="71"/>
  <c r="AD42" i="71" s="1"/>
  <c r="M71" i="68"/>
  <c r="V56" i="71"/>
  <c r="M59" i="68"/>
  <c r="V44" i="71"/>
  <c r="AD44" i="71" s="1"/>
  <c r="M56" i="68"/>
  <c r="V41" i="71"/>
  <c r="AD41" i="71" s="1"/>
  <c r="M75" i="68"/>
  <c r="V60" i="71"/>
  <c r="M74" i="68"/>
  <c r="V59" i="71"/>
  <c r="M68" i="68"/>
  <c r="V53" i="71"/>
  <c r="M73" i="68"/>
  <c r="V58" i="71"/>
  <c r="M43" i="68"/>
  <c r="V28" i="71"/>
  <c r="AD28" i="71" s="1"/>
  <c r="V9" i="71"/>
  <c r="M72" i="68"/>
  <c r="V57" i="71"/>
  <c r="M76" i="68"/>
  <c r="V61" i="71"/>
  <c r="M70" i="68"/>
  <c r="V55" i="71"/>
  <c r="M27" i="68"/>
  <c r="V12" i="71"/>
  <c r="AD12" i="71" s="1"/>
  <c r="M36" i="68"/>
  <c r="V21" i="71"/>
  <c r="AD21" i="71" s="1"/>
  <c r="M52" i="68"/>
  <c r="V37" i="71"/>
  <c r="AD37" i="71" s="1"/>
  <c r="M38" i="68"/>
  <c r="V23" i="71"/>
  <c r="AD23" i="71" s="1"/>
  <c r="M44" i="68"/>
  <c r="V29" i="71"/>
  <c r="AD29" i="71" s="1"/>
  <c r="M41" i="68"/>
  <c r="V26" i="71"/>
  <c r="AD26" i="71" s="1"/>
  <c r="M53" i="68"/>
  <c r="V38" i="71"/>
  <c r="AD38" i="71" s="1"/>
  <c r="M29" i="68"/>
  <c r="V14" i="71"/>
  <c r="AD14" i="71" s="1"/>
  <c r="M28" i="68"/>
  <c r="V13" i="71"/>
  <c r="AD13" i="71" s="1"/>
  <c r="M60" i="68"/>
  <c r="V45" i="71"/>
  <c r="AD45" i="71" s="1"/>
  <c r="M69" i="68"/>
  <c r="V54" i="71"/>
  <c r="M58" i="68"/>
  <c r="V43" i="71"/>
  <c r="AD43" i="71" s="1"/>
  <c r="M61" i="68"/>
  <c r="V46" i="71"/>
  <c r="AD46" i="71" s="1"/>
  <c r="M46" i="68"/>
  <c r="V31" i="71"/>
  <c r="AD31" i="71" s="1"/>
  <c r="M37" i="68"/>
  <c r="V22" i="71"/>
  <c r="AD22" i="71" s="1"/>
  <c r="M77" i="68"/>
  <c r="V62" i="71"/>
  <c r="L35" i="70"/>
  <c r="X20" i="71" s="1"/>
  <c r="AF20" i="71" s="1"/>
  <c r="J47" i="70"/>
  <c r="L19" i="70"/>
  <c r="X4" i="71" s="1"/>
  <c r="J31" i="70"/>
  <c r="J63" i="70"/>
  <c r="L51" i="70"/>
  <c r="X36" i="71" s="1"/>
  <c r="AF36" i="71" s="1"/>
  <c r="J79" i="70"/>
  <c r="L67" i="70"/>
  <c r="X52" i="71" s="1"/>
  <c r="AF52" i="71" s="1"/>
  <c r="I85" i="70"/>
  <c r="I14" i="70"/>
  <c r="I16" i="70" s="1"/>
  <c r="L63" i="69"/>
  <c r="M51" i="69"/>
  <c r="L47" i="69"/>
  <c r="M35" i="69"/>
  <c r="L79" i="69"/>
  <c r="M67" i="69"/>
  <c r="L31" i="69"/>
  <c r="M19" i="69"/>
  <c r="L67" i="68"/>
  <c r="J31" i="68"/>
  <c r="V4" i="71"/>
  <c r="AD4" i="71" s="1"/>
  <c r="L35" i="68"/>
  <c r="L47" i="68" s="1"/>
  <c r="L51" i="68"/>
  <c r="Q64" i="71" l="1"/>
  <c r="I85" i="69"/>
  <c r="J85" i="69"/>
  <c r="J14" i="69"/>
  <c r="J16" i="69" s="1"/>
  <c r="L85" i="69"/>
  <c r="AD25" i="71"/>
  <c r="M47" i="68"/>
  <c r="I14" i="68"/>
  <c r="I16" i="68" s="1"/>
  <c r="V52" i="71"/>
  <c r="Y52" i="71" s="1"/>
  <c r="L79" i="68"/>
  <c r="M79" i="68" s="1"/>
  <c r="V36" i="71"/>
  <c r="AD36" i="71" s="1"/>
  <c r="L63" i="68"/>
  <c r="M63" i="68" s="1"/>
  <c r="V20" i="71"/>
  <c r="AD20" i="71" s="1"/>
  <c r="N32" i="71"/>
  <c r="I14" i="69"/>
  <c r="I16" i="69" s="1"/>
  <c r="J14" i="68"/>
  <c r="J16" i="68" s="1"/>
  <c r="W16" i="71"/>
  <c r="AE16" i="71" s="1"/>
  <c r="X16" i="71"/>
  <c r="AF16" i="71" s="1"/>
  <c r="AF4" i="71"/>
  <c r="M47" i="69"/>
  <c r="W32" i="71"/>
  <c r="AE32" i="71" s="1"/>
  <c r="M63" i="69"/>
  <c r="W48" i="71"/>
  <c r="AE48" i="71" s="1"/>
  <c r="M79" i="69"/>
  <c r="W64" i="71"/>
  <c r="AE64" i="71" s="1"/>
  <c r="AD60" i="71"/>
  <c r="Y60" i="71"/>
  <c r="Y54" i="71"/>
  <c r="AD54" i="71"/>
  <c r="AD61" i="71"/>
  <c r="Y61" i="71"/>
  <c r="AD55" i="71"/>
  <c r="Y55" i="71"/>
  <c r="AD58" i="71"/>
  <c r="Y58" i="71"/>
  <c r="AD57" i="71"/>
  <c r="Y57" i="71"/>
  <c r="AD53" i="71"/>
  <c r="Y53" i="71"/>
  <c r="AD62" i="71"/>
  <c r="Y62" i="71"/>
  <c r="AD9" i="71"/>
  <c r="V16" i="71"/>
  <c r="AD16" i="71" s="1"/>
  <c r="AD59" i="71"/>
  <c r="Y59" i="71"/>
  <c r="Y56" i="71"/>
  <c r="AD56" i="71"/>
  <c r="AD63" i="71"/>
  <c r="Y63" i="71"/>
  <c r="L63" i="70"/>
  <c r="M51" i="70"/>
  <c r="J14" i="70"/>
  <c r="J16" i="70" s="1"/>
  <c r="L31" i="70"/>
  <c r="M19" i="70"/>
  <c r="L79" i="70"/>
  <c r="M67" i="70"/>
  <c r="L47" i="70"/>
  <c r="M35" i="70"/>
  <c r="L14" i="69"/>
  <c r="M31" i="69"/>
  <c r="M51" i="68"/>
  <c r="L31" i="68"/>
  <c r="M35" i="68"/>
  <c r="M67" i="68"/>
  <c r="AD52" i="71" l="1"/>
  <c r="M79" i="70"/>
  <c r="X64" i="71"/>
  <c r="AF64" i="71" s="1"/>
  <c r="M63" i="70"/>
  <c r="X48" i="71"/>
  <c r="AF48" i="71" s="1"/>
  <c r="M47" i="70"/>
  <c r="X32" i="71"/>
  <c r="AF32" i="71" s="1"/>
  <c r="V48" i="71"/>
  <c r="AD48" i="71" s="1"/>
  <c r="V64" i="71"/>
  <c r="V32" i="71"/>
  <c r="AD32" i="71" s="1"/>
  <c r="L14" i="70"/>
  <c r="M31" i="70"/>
  <c r="L14" i="68"/>
  <c r="M31" i="68"/>
  <c r="Y64" i="71" l="1"/>
  <c r="AD64" i="71"/>
  <c r="G5" i="64"/>
  <c r="J3" i="47"/>
  <c r="D3" i="47"/>
  <c r="Q1" i="47"/>
  <c r="AU158" i="41" l="1"/>
  <c r="AU159" i="41"/>
  <c r="AU160" i="41"/>
  <c r="AU161" i="41"/>
  <c r="AU162" i="41"/>
  <c r="AU163" i="41"/>
  <c r="AU164" i="41"/>
  <c r="AU165" i="41"/>
  <c r="AU166" i="41"/>
  <c r="AU167" i="41"/>
  <c r="AU168" i="41"/>
  <c r="AU169" i="41"/>
  <c r="AU170" i="41"/>
  <c r="AU171" i="41"/>
  <c r="AU172" i="41"/>
  <c r="AU173" i="41"/>
  <c r="AU174" i="41"/>
  <c r="AU175" i="41"/>
  <c r="AU176" i="41"/>
  <c r="AU177" i="41"/>
  <c r="AU178" i="41"/>
  <c r="AU179" i="41"/>
  <c r="AU180" i="41"/>
  <c r="AU181" i="41"/>
  <c r="AU182" i="41"/>
  <c r="AU183" i="41"/>
  <c r="AU184" i="41"/>
  <c r="AU185" i="41"/>
  <c r="AU186" i="41"/>
  <c r="AU187" i="41"/>
  <c r="AU188" i="41"/>
  <c r="AU189" i="41"/>
  <c r="AU190" i="41"/>
  <c r="AU191" i="41"/>
  <c r="AU192" i="41"/>
  <c r="AU193" i="41"/>
  <c r="AU194" i="41"/>
  <c r="AU195" i="41"/>
  <c r="AU196" i="41"/>
  <c r="AU197" i="41"/>
  <c r="AU198" i="41"/>
  <c r="AU199" i="41"/>
  <c r="AU200" i="41"/>
  <c r="AU201" i="41"/>
  <c r="AU202" i="41"/>
  <c r="AU203" i="41"/>
  <c r="AU204" i="41"/>
  <c r="AU205" i="41"/>
  <c r="AU206" i="41"/>
  <c r="AU207" i="41"/>
  <c r="AU208" i="41"/>
  <c r="AU209" i="41"/>
  <c r="AU210" i="41"/>
  <c r="AU211" i="41"/>
  <c r="AU212" i="41"/>
  <c r="AU213" i="41"/>
  <c r="AU214" i="41"/>
  <c r="AU215" i="41"/>
  <c r="AU216" i="41"/>
  <c r="AU217" i="41"/>
  <c r="AU218" i="41"/>
  <c r="AU219" i="41"/>
  <c r="AU220" i="41"/>
  <c r="AU221" i="41"/>
  <c r="AU222" i="41"/>
  <c r="AU223" i="41"/>
  <c r="AU224" i="41"/>
  <c r="AU225" i="41"/>
  <c r="AU226" i="41"/>
  <c r="AU227" i="41"/>
  <c r="AU228" i="41"/>
  <c r="AU229" i="41"/>
  <c r="AU230" i="41"/>
  <c r="AU231" i="41"/>
  <c r="AU232" i="41"/>
  <c r="AU233" i="41"/>
  <c r="AU234" i="41"/>
  <c r="AU235" i="41"/>
  <c r="AU236" i="41"/>
  <c r="AU237" i="41"/>
  <c r="AU238" i="41"/>
  <c r="AU239" i="41"/>
  <c r="AU240" i="41"/>
  <c r="AU241" i="41"/>
  <c r="AU242" i="41"/>
  <c r="AU243" i="41"/>
  <c r="AU244" i="41"/>
  <c r="AU245" i="41"/>
  <c r="AU246" i="41"/>
  <c r="AU247" i="41"/>
  <c r="AU248" i="41"/>
  <c r="AU249" i="41"/>
  <c r="AU250" i="41"/>
  <c r="AU251" i="41"/>
  <c r="AU252" i="41"/>
  <c r="AU253" i="41"/>
  <c r="AU254" i="41"/>
  <c r="AU255" i="41"/>
  <c r="AU256" i="41"/>
  <c r="AU257" i="41"/>
  <c r="AU258" i="41"/>
  <c r="AU259" i="41"/>
  <c r="AU260" i="41"/>
  <c r="AU261" i="41"/>
  <c r="AU262" i="41"/>
  <c r="AU263" i="41"/>
  <c r="AU264" i="41"/>
  <c r="AU265" i="41"/>
  <c r="AU266" i="41"/>
  <c r="AU267" i="41"/>
  <c r="AU268" i="41"/>
  <c r="AU269" i="41"/>
  <c r="AU270" i="41"/>
  <c r="AU271" i="41"/>
  <c r="AU272" i="41"/>
  <c r="AU273" i="41"/>
  <c r="AU274" i="41"/>
  <c r="AU275" i="41"/>
  <c r="AU276" i="41"/>
  <c r="AU277" i="41"/>
  <c r="AU278" i="41"/>
  <c r="AU279" i="41"/>
  <c r="AU280" i="41"/>
  <c r="AU281" i="41"/>
  <c r="AU282" i="41"/>
  <c r="AU283" i="41"/>
  <c r="AU284" i="41"/>
  <c r="AU285" i="41"/>
  <c r="AU286" i="41"/>
  <c r="AU287" i="41"/>
  <c r="AU288" i="41"/>
  <c r="AU289" i="41"/>
  <c r="AU290" i="41"/>
  <c r="AU291" i="41"/>
  <c r="AU292" i="41"/>
  <c r="AU5" i="41"/>
  <c r="AU6" i="41"/>
  <c r="AU7" i="41"/>
  <c r="AU8" i="41"/>
  <c r="AU9" i="41"/>
  <c r="AU10" i="41"/>
  <c r="AU11" i="41"/>
  <c r="AU12" i="41"/>
  <c r="AU13" i="41"/>
  <c r="AU14" i="41"/>
  <c r="AU15" i="41"/>
  <c r="AU16" i="41"/>
  <c r="AU17" i="41"/>
  <c r="AU18" i="41"/>
  <c r="AU19" i="41"/>
  <c r="AU20" i="41"/>
  <c r="AU21" i="41"/>
  <c r="AU22" i="41"/>
  <c r="AU23" i="41"/>
  <c r="AU24" i="41"/>
  <c r="AU25" i="41"/>
  <c r="AU26" i="41"/>
  <c r="AU27" i="41"/>
  <c r="AU28" i="41"/>
  <c r="AU29" i="41"/>
  <c r="AU30" i="41"/>
  <c r="AU31" i="41"/>
  <c r="AU32" i="41"/>
  <c r="AU33" i="41"/>
  <c r="AU34" i="41"/>
  <c r="AU35" i="41"/>
  <c r="AU36" i="41"/>
  <c r="AU37" i="41"/>
  <c r="AU38" i="41"/>
  <c r="AU39" i="41"/>
  <c r="AU40" i="41"/>
  <c r="AU41" i="41"/>
  <c r="AU42" i="41"/>
  <c r="AU43" i="41"/>
  <c r="AU44" i="41"/>
  <c r="AU45" i="41"/>
  <c r="AU46" i="41"/>
  <c r="AU47" i="41"/>
  <c r="AU48" i="41"/>
  <c r="AU49" i="41"/>
  <c r="AU50" i="41"/>
  <c r="AU51" i="41"/>
  <c r="AU52" i="41"/>
  <c r="AU53" i="41"/>
  <c r="AU54" i="41"/>
  <c r="AU55" i="41"/>
  <c r="AU56" i="41"/>
  <c r="AU57" i="41"/>
  <c r="AU58" i="41"/>
  <c r="AU59" i="41"/>
  <c r="AU60" i="41"/>
  <c r="AU61" i="41"/>
  <c r="AU62" i="41"/>
  <c r="AU63" i="41"/>
  <c r="AU64" i="41"/>
  <c r="AU65" i="41"/>
  <c r="AU66" i="41"/>
  <c r="AU67" i="41"/>
  <c r="AU68" i="41"/>
  <c r="AU69" i="41"/>
  <c r="AU70" i="41"/>
  <c r="AU71" i="41"/>
  <c r="AU72" i="41"/>
  <c r="AU73" i="41"/>
  <c r="AU74" i="41"/>
  <c r="AU75" i="41"/>
  <c r="AU76" i="41"/>
  <c r="AU77" i="41"/>
  <c r="AU78" i="41"/>
  <c r="AU79" i="41"/>
  <c r="AU80" i="41"/>
  <c r="AU81" i="41"/>
  <c r="AU82" i="41"/>
  <c r="AU83" i="41"/>
  <c r="AU84" i="41"/>
  <c r="AU85" i="41"/>
  <c r="AU86" i="41"/>
  <c r="AU87" i="41"/>
  <c r="AU88" i="41"/>
  <c r="AU89" i="41"/>
  <c r="AU90" i="41"/>
  <c r="AU91" i="41"/>
  <c r="AU92" i="41"/>
  <c r="AU93" i="41"/>
  <c r="AU94" i="41"/>
  <c r="AU95" i="41"/>
  <c r="AU96" i="41"/>
  <c r="AU97" i="41"/>
  <c r="AU98" i="41"/>
  <c r="AU99" i="41"/>
  <c r="AU100" i="41"/>
  <c r="AU101" i="41"/>
  <c r="AU102" i="41"/>
  <c r="AU103" i="41"/>
  <c r="AU104" i="41"/>
  <c r="AU105" i="41"/>
  <c r="AU106" i="41"/>
  <c r="AU107" i="41"/>
  <c r="AU108" i="41"/>
  <c r="AU109" i="41"/>
  <c r="AU110" i="41"/>
  <c r="AU111" i="41"/>
  <c r="AU112" i="41"/>
  <c r="AU113" i="41"/>
  <c r="AU114" i="41"/>
  <c r="AU115" i="41"/>
  <c r="AU116" i="41"/>
  <c r="AU117" i="41"/>
  <c r="AU118" i="41"/>
  <c r="AU119" i="41"/>
  <c r="AU120" i="41"/>
  <c r="AU121" i="41"/>
  <c r="AU122" i="41"/>
  <c r="AU123" i="41"/>
  <c r="AU124" i="41"/>
  <c r="AU125" i="41"/>
  <c r="AU126" i="41"/>
  <c r="AU127" i="41"/>
  <c r="AU128" i="41"/>
  <c r="AU129" i="41"/>
  <c r="AU130" i="41"/>
  <c r="AU131" i="41"/>
  <c r="AU132" i="41"/>
  <c r="AU133" i="41"/>
  <c r="AU134" i="41"/>
  <c r="AU135" i="41"/>
  <c r="AU136" i="41"/>
  <c r="AU137" i="41"/>
  <c r="AU138" i="41"/>
  <c r="AU139" i="41"/>
  <c r="AU140" i="41"/>
  <c r="AU141" i="41"/>
  <c r="AU142" i="41"/>
  <c r="AU143" i="41"/>
  <c r="AU144" i="41"/>
  <c r="AU145" i="41"/>
  <c r="AU146" i="41"/>
  <c r="AU147" i="41"/>
  <c r="AU148" i="41"/>
  <c r="AU149" i="41"/>
  <c r="AU150" i="41"/>
  <c r="AU151" i="41"/>
  <c r="AU152" i="41"/>
  <c r="AU153" i="41"/>
  <c r="AU154" i="41"/>
  <c r="AU155" i="41"/>
  <c r="AU156" i="41"/>
  <c r="AU157" i="41"/>
  <c r="B61" i="44"/>
  <c r="BF155" i="41" l="1"/>
  <c r="BD155" i="41"/>
  <c r="BA155" i="41"/>
  <c r="AW155" i="41"/>
  <c r="AV155" i="41"/>
  <c r="BG155" i="41" s="1" a="1"/>
  <c r="BG155" i="41" s="1"/>
  <c r="AW147" i="41"/>
  <c r="AV147" i="41"/>
  <c r="BC147" i="41" s="1" a="1"/>
  <c r="BC147" i="41" s="1"/>
  <c r="BF147" i="41"/>
  <c r="BD147" i="41"/>
  <c r="BA147" i="41"/>
  <c r="BF139" i="41"/>
  <c r="BD139" i="41"/>
  <c r="BA139" i="41"/>
  <c r="AW139" i="41"/>
  <c r="AV139" i="41"/>
  <c r="AX139" i="41" s="1" a="1"/>
  <c r="AX139" i="41" s="1"/>
  <c r="AV131" i="41"/>
  <c r="BG131" i="41" s="1" a="1"/>
  <c r="BG131" i="41" s="1"/>
  <c r="BF131" i="41"/>
  <c r="BD131" i="41"/>
  <c r="BA131" i="41"/>
  <c r="AW131" i="41"/>
  <c r="BF123" i="41"/>
  <c r="BD123" i="41"/>
  <c r="BA123" i="41"/>
  <c r="AW123" i="41"/>
  <c r="AV123" i="41"/>
  <c r="AZ123" i="41" s="1" a="1"/>
  <c r="AZ123" i="41" s="1"/>
  <c r="AV115" i="41"/>
  <c r="BC115" i="41" s="1" a="1"/>
  <c r="BC115" i="41" s="1"/>
  <c r="BF115" i="41"/>
  <c r="BD115" i="41"/>
  <c r="BA115" i="41"/>
  <c r="AW115" i="41"/>
  <c r="AW107" i="41"/>
  <c r="AV107" i="41"/>
  <c r="AZ107" i="41" s="1" a="1"/>
  <c r="AZ107" i="41" s="1"/>
  <c r="BF107" i="41"/>
  <c r="BD107" i="41"/>
  <c r="BA107" i="41"/>
  <c r="AV99" i="41"/>
  <c r="AX99" i="41" s="1" a="1"/>
  <c r="AX99" i="41" s="1"/>
  <c r="BF99" i="41"/>
  <c r="BD99" i="41"/>
  <c r="BA99" i="41"/>
  <c r="AW99" i="41"/>
  <c r="BA91" i="41"/>
  <c r="AW91" i="41"/>
  <c r="AV91" i="41"/>
  <c r="BC91" i="41" s="1" a="1"/>
  <c r="BC91" i="41" s="1"/>
  <c r="BF91" i="41"/>
  <c r="BD91" i="41"/>
  <c r="AW83" i="41"/>
  <c r="AV83" i="41"/>
  <c r="BG83" i="41" s="1" a="1"/>
  <c r="BG83" i="41" s="1"/>
  <c r="BF83" i="41"/>
  <c r="BD83" i="41"/>
  <c r="BA83" i="41"/>
  <c r="BF75" i="41"/>
  <c r="BD75" i="41"/>
  <c r="BA75" i="41"/>
  <c r="AW75" i="41"/>
  <c r="AV75" i="41"/>
  <c r="BC75" i="41" s="1" a="1"/>
  <c r="BC75" i="41" s="1"/>
  <c r="BF67" i="41"/>
  <c r="BD67" i="41"/>
  <c r="BA67" i="41"/>
  <c r="AW67" i="41"/>
  <c r="AV67" i="41"/>
  <c r="BC67" i="41" s="1" a="1"/>
  <c r="BC67" i="41" s="1"/>
  <c r="AV59" i="41"/>
  <c r="AZ59" i="41" s="1" a="1"/>
  <c r="AZ59" i="41" s="1"/>
  <c r="AW59" i="41"/>
  <c r="BF59" i="41"/>
  <c r="BD59" i="41"/>
  <c r="BA59" i="41"/>
  <c r="BD51" i="41"/>
  <c r="AV51" i="41"/>
  <c r="AZ51" i="41" s="1" a="1"/>
  <c r="AZ51" i="41" s="1"/>
  <c r="BF51" i="41"/>
  <c r="BA51" i="41"/>
  <c r="AW51" i="41"/>
  <c r="AV43" i="41"/>
  <c r="AX43" i="41" s="1" a="1"/>
  <c r="AX43" i="41" s="1"/>
  <c r="BF43" i="41"/>
  <c r="BD43" i="41"/>
  <c r="BA43" i="41"/>
  <c r="AW43" i="41"/>
  <c r="BF35" i="41"/>
  <c r="BD35" i="41"/>
  <c r="BA35" i="41"/>
  <c r="AW35" i="41"/>
  <c r="AV35" i="41"/>
  <c r="BG35" i="41" s="1" a="1"/>
  <c r="BG35" i="41" s="1"/>
  <c r="BF27" i="41"/>
  <c r="BD27" i="41"/>
  <c r="BA27" i="41"/>
  <c r="AW27" i="41"/>
  <c r="AV27" i="41"/>
  <c r="AX27" i="41" s="1" a="1"/>
  <c r="AX27" i="41" s="1"/>
  <c r="BF19" i="41"/>
  <c r="BD19" i="41"/>
  <c r="BA19" i="41"/>
  <c r="AW19" i="41"/>
  <c r="AV19" i="41"/>
  <c r="AX19" i="41" s="1" a="1"/>
  <c r="AX19" i="41" s="1"/>
  <c r="AV11" i="41"/>
  <c r="AZ11" i="41" s="1" a="1"/>
  <c r="AZ11" i="41" s="1"/>
  <c r="BD11" i="41"/>
  <c r="BF11" i="41"/>
  <c r="AW11" i="41"/>
  <c r="BA11" i="41"/>
  <c r="BA291" i="41"/>
  <c r="AW291" i="41"/>
  <c r="AV291" i="41"/>
  <c r="AZ291" i="41" s="1" a="1"/>
  <c r="AZ291" i="41" s="1"/>
  <c r="BD291" i="41"/>
  <c r="BF291" i="41"/>
  <c r="BA283" i="41"/>
  <c r="AW283" i="41"/>
  <c r="AV283" i="41"/>
  <c r="BC283" i="41" s="1" a="1"/>
  <c r="BC283" i="41" s="1"/>
  <c r="BD283" i="41"/>
  <c r="BF283" i="41"/>
  <c r="BF275" i="41"/>
  <c r="BD275" i="41"/>
  <c r="BA275" i="41"/>
  <c r="AW275" i="41"/>
  <c r="AV275" i="41"/>
  <c r="AZ275" i="41" s="1" a="1"/>
  <c r="AZ275" i="41" s="1"/>
  <c r="BF267" i="41"/>
  <c r="BD267" i="41"/>
  <c r="BA267" i="41"/>
  <c r="AW267" i="41"/>
  <c r="AV267" i="41"/>
  <c r="BC267" i="41" s="1" a="1"/>
  <c r="BC267" i="41" s="1"/>
  <c r="BF259" i="41"/>
  <c r="BD259" i="41"/>
  <c r="BA259" i="41"/>
  <c r="AW259" i="41"/>
  <c r="AV259" i="41"/>
  <c r="AX259" i="41" s="1" a="1"/>
  <c r="AX259" i="41" s="1"/>
  <c r="BD251" i="41"/>
  <c r="BA251" i="41"/>
  <c r="AW251" i="41"/>
  <c r="AV251" i="41"/>
  <c r="AX251" i="41" s="1" a="1"/>
  <c r="AX251" i="41" s="1"/>
  <c r="BF251" i="41"/>
  <c r="AW243" i="41"/>
  <c r="AV243" i="41"/>
  <c r="AZ243" i="41" s="1" a="1"/>
  <c r="AZ243" i="41" s="1"/>
  <c r="BF243" i="41"/>
  <c r="BD243" i="41"/>
  <c r="BA243" i="41"/>
  <c r="BA235" i="41"/>
  <c r="AW235" i="41"/>
  <c r="AV235" i="41"/>
  <c r="BC235" i="41" s="1" a="1"/>
  <c r="BC235" i="41" s="1"/>
  <c r="BF235" i="41"/>
  <c r="BD235" i="41"/>
  <c r="AW227" i="41"/>
  <c r="AV227" i="41"/>
  <c r="AZ227" i="41" s="1" a="1"/>
  <c r="AZ227" i="41" s="1"/>
  <c r="BF227" i="41"/>
  <c r="BD227" i="41"/>
  <c r="BA227" i="41"/>
  <c r="AV219" i="41"/>
  <c r="AX219" i="41" s="1" a="1"/>
  <c r="AX219" i="41" s="1"/>
  <c r="BF219" i="41"/>
  <c r="BD219" i="41"/>
  <c r="BA219" i="41"/>
  <c r="AW219" i="41"/>
  <c r="AV211" i="41"/>
  <c r="AX211" i="41" s="1" a="1"/>
  <c r="AX211" i="41" s="1"/>
  <c r="BF211" i="41"/>
  <c r="BD211" i="41"/>
  <c r="BA211" i="41"/>
  <c r="AW211" i="41"/>
  <c r="BF203" i="41"/>
  <c r="BD203" i="41"/>
  <c r="BA203" i="41"/>
  <c r="AW203" i="41"/>
  <c r="AV203" i="41"/>
  <c r="AZ203" i="41" s="1" a="1"/>
  <c r="AZ203" i="41" s="1"/>
  <c r="BD195" i="41"/>
  <c r="BA195" i="41"/>
  <c r="AW195" i="41"/>
  <c r="AV195" i="41"/>
  <c r="BG195" i="41" s="1" a="1"/>
  <c r="BG195" i="41" s="1"/>
  <c r="BF195" i="41"/>
  <c r="AW187" i="41"/>
  <c r="AV187" i="41"/>
  <c r="AZ187" i="41" s="1" a="1"/>
  <c r="AZ187" i="41" s="1"/>
  <c r="BF187" i="41"/>
  <c r="BD187" i="41"/>
  <c r="BA187" i="41"/>
  <c r="BF179" i="41"/>
  <c r="AV179" i="41"/>
  <c r="BC179" i="41" s="1" a="1"/>
  <c r="BC179" i="41" s="1"/>
  <c r="AW179" i="41"/>
  <c r="BD179" i="41"/>
  <c r="BA179" i="41"/>
  <c r="BA154" i="41"/>
  <c r="AW154" i="41"/>
  <c r="AV154" i="41"/>
  <c r="AZ154" i="41" s="1" a="1"/>
  <c r="AZ154" i="41" s="1"/>
  <c r="BF154" i="41"/>
  <c r="BD154" i="41"/>
  <c r="BF146" i="41"/>
  <c r="BD146" i="41"/>
  <c r="BA146" i="41"/>
  <c r="AW146" i="41"/>
  <c r="AV146" i="41"/>
  <c r="BG146" i="41" s="1" a="1"/>
  <c r="BG146" i="41" s="1"/>
  <c r="BF138" i="41"/>
  <c r="BD138" i="41"/>
  <c r="BA138" i="41"/>
  <c r="AW138" i="41"/>
  <c r="AV138" i="41"/>
  <c r="AZ138" i="41" s="1" a="1"/>
  <c r="AZ138" i="41" s="1"/>
  <c r="BF130" i="41"/>
  <c r="BD130" i="41"/>
  <c r="BA130" i="41"/>
  <c r="AW130" i="41"/>
  <c r="AV130" i="41"/>
  <c r="AX130" i="41" s="1" a="1"/>
  <c r="AX130" i="41" s="1"/>
  <c r="BF122" i="41"/>
  <c r="BD122" i="41"/>
  <c r="BA122" i="41"/>
  <c r="AW122" i="41"/>
  <c r="AV122" i="41"/>
  <c r="AZ122" i="41" s="1" a="1"/>
  <c r="AZ122" i="41" s="1"/>
  <c r="BF114" i="41"/>
  <c r="BD114" i="41"/>
  <c r="BA114" i="41"/>
  <c r="AW114" i="41"/>
  <c r="AV114" i="41"/>
  <c r="BG114" i="41" s="1" a="1"/>
  <c r="BG114" i="41" s="1"/>
  <c r="BF106" i="41"/>
  <c r="BD106" i="41"/>
  <c r="BA106" i="41"/>
  <c r="AW106" i="41"/>
  <c r="AV106" i="41"/>
  <c r="AX106" i="41" s="1" a="1"/>
  <c r="AX106" i="41" s="1"/>
  <c r="BF98" i="41"/>
  <c r="BD98" i="41"/>
  <c r="BA98" i="41"/>
  <c r="AW98" i="41"/>
  <c r="AV98" i="41"/>
  <c r="BG98" i="41" s="1" a="1"/>
  <c r="BG98" i="41" s="1"/>
  <c r="AW90" i="41"/>
  <c r="AV90" i="41"/>
  <c r="BG90" i="41" s="1" a="1"/>
  <c r="BG90" i="41" s="1"/>
  <c r="BF90" i="41"/>
  <c r="BD90" i="41"/>
  <c r="BA90" i="41"/>
  <c r="BF82" i="41"/>
  <c r="BD82" i="41"/>
  <c r="BA82" i="41"/>
  <c r="AW82" i="41"/>
  <c r="AV82" i="41"/>
  <c r="AX82" i="41" s="1" a="1"/>
  <c r="AX82" i="41" s="1"/>
  <c r="BA74" i="41"/>
  <c r="AW74" i="41"/>
  <c r="AV74" i="41"/>
  <c r="BG74" i="41" s="1" a="1"/>
  <c r="BG74" i="41" s="1"/>
  <c r="BF74" i="41"/>
  <c r="BD74" i="41"/>
  <c r="BD66" i="41"/>
  <c r="BA66" i="41"/>
  <c r="AW66" i="41"/>
  <c r="AV66" i="41"/>
  <c r="BC66" i="41" s="1" a="1"/>
  <c r="BC66" i="41" s="1"/>
  <c r="BF66" i="41"/>
  <c r="BA58" i="41"/>
  <c r="BF58" i="41"/>
  <c r="BD58" i="41"/>
  <c r="AW58" i="41"/>
  <c r="AV58" i="41"/>
  <c r="AZ58" i="41" s="1" a="1"/>
  <c r="AZ58" i="41" s="1"/>
  <c r="BF50" i="41"/>
  <c r="BD50" i="41"/>
  <c r="BA50" i="41"/>
  <c r="AW50" i="41"/>
  <c r="AV50" i="41"/>
  <c r="BG50" i="41" s="1" a="1"/>
  <c r="BG50" i="41" s="1"/>
  <c r="AV42" i="41"/>
  <c r="BG42" i="41" s="1" a="1"/>
  <c r="BG42" i="41" s="1"/>
  <c r="BF42" i="41"/>
  <c r="BD42" i="41"/>
  <c r="BA42" i="41"/>
  <c r="AW42" i="41"/>
  <c r="BA34" i="41"/>
  <c r="AW34" i="41"/>
  <c r="AV34" i="41"/>
  <c r="AZ34" i="41" s="1" a="1"/>
  <c r="AZ34" i="41" s="1"/>
  <c r="BF34" i="41"/>
  <c r="BD34" i="41"/>
  <c r="BA26" i="41"/>
  <c r="AW26" i="41"/>
  <c r="AV26" i="41"/>
  <c r="AX26" i="41" s="1" a="1"/>
  <c r="AX26" i="41" s="1"/>
  <c r="BF26" i="41"/>
  <c r="BD26" i="41"/>
  <c r="BF18" i="41"/>
  <c r="BD18" i="41"/>
  <c r="BA18" i="41"/>
  <c r="AW18" i="41"/>
  <c r="AV18" i="41"/>
  <c r="BG18" i="41" s="1" a="1"/>
  <c r="BG18" i="41" s="1"/>
  <c r="BF10" i="41"/>
  <c r="BD10" i="41"/>
  <c r="BA10" i="41"/>
  <c r="AW10" i="41"/>
  <c r="AV10" i="41"/>
  <c r="BG10" i="41" s="1" a="1"/>
  <c r="BG10" i="41" s="1"/>
  <c r="AW290" i="41"/>
  <c r="AV290" i="41"/>
  <c r="BG290" i="41" s="1" a="1"/>
  <c r="BG290" i="41" s="1"/>
  <c r="BF290" i="41"/>
  <c r="BD290" i="41"/>
  <c r="BA290" i="41"/>
  <c r="AV282" i="41"/>
  <c r="BC282" i="41" s="1" a="1"/>
  <c r="BC282" i="41" s="1"/>
  <c r="BF282" i="41"/>
  <c r="BD282" i="41"/>
  <c r="AW282" i="41"/>
  <c r="BA282" i="41"/>
  <c r="BF274" i="41"/>
  <c r="AW274" i="41"/>
  <c r="AV274" i="41"/>
  <c r="BC274" i="41" s="1" a="1"/>
  <c r="BC274" i="41" s="1"/>
  <c r="BD274" i="41"/>
  <c r="BA274" i="41"/>
  <c r="BF266" i="41"/>
  <c r="BD266" i="41"/>
  <c r="BA266" i="41"/>
  <c r="AW266" i="41"/>
  <c r="AV266" i="41"/>
  <c r="AX266" i="41" s="1" a="1"/>
  <c r="AX266" i="41" s="1"/>
  <c r="BA258" i="41"/>
  <c r="AW258" i="41"/>
  <c r="AV258" i="41"/>
  <c r="BG258" i="41" s="1" a="1"/>
  <c r="BG258" i="41" s="1"/>
  <c r="BF258" i="41"/>
  <c r="BD258" i="41"/>
  <c r="AW250" i="41"/>
  <c r="AV250" i="41"/>
  <c r="AZ250" i="41" s="1" a="1"/>
  <c r="AZ250" i="41" s="1"/>
  <c r="BF250" i="41"/>
  <c r="BD250" i="41"/>
  <c r="BA250" i="41"/>
  <c r="AV242" i="41"/>
  <c r="BC242" i="41" s="1" a="1"/>
  <c r="BC242" i="41" s="1"/>
  <c r="BF242" i="41"/>
  <c r="BD242" i="41"/>
  <c r="BA242" i="41"/>
  <c r="AW242" i="41"/>
  <c r="AV234" i="41"/>
  <c r="AX234" i="41" s="1" a="1"/>
  <c r="AX234" i="41" s="1"/>
  <c r="BF234" i="41"/>
  <c r="BD234" i="41"/>
  <c r="BA234" i="41"/>
  <c r="AW234" i="41"/>
  <c r="BF226" i="41"/>
  <c r="BD226" i="41"/>
  <c r="BA226" i="41"/>
  <c r="AW226" i="41"/>
  <c r="AV226" i="41"/>
  <c r="AX226" i="41" s="1" a="1"/>
  <c r="AX226" i="41" s="1"/>
  <c r="BF218" i="41"/>
  <c r="BD218" i="41"/>
  <c r="BA218" i="41"/>
  <c r="AW218" i="41"/>
  <c r="AV218" i="41"/>
  <c r="BC218" i="41" s="1" a="1"/>
  <c r="BC218" i="41" s="1"/>
  <c r="BF210" i="41"/>
  <c r="BD210" i="41"/>
  <c r="BA210" i="41"/>
  <c r="AW210" i="41"/>
  <c r="AV210" i="41"/>
  <c r="AZ210" i="41" s="1" a="1"/>
  <c r="AZ210" i="41" s="1"/>
  <c r="BD202" i="41"/>
  <c r="BA202" i="41"/>
  <c r="AW202" i="41"/>
  <c r="AV202" i="41"/>
  <c r="BC202" i="41" s="1" a="1"/>
  <c r="BC202" i="41" s="1"/>
  <c r="BF202" i="41"/>
  <c r="AW194" i="41"/>
  <c r="AV194" i="41"/>
  <c r="AZ194" i="41" s="1" a="1"/>
  <c r="AZ194" i="41" s="1"/>
  <c r="BF194" i="41"/>
  <c r="BD194" i="41"/>
  <c r="BA194" i="41"/>
  <c r="BF186" i="41"/>
  <c r="BD186" i="41"/>
  <c r="BA186" i="41"/>
  <c r="AW186" i="41"/>
  <c r="AV186" i="41"/>
  <c r="BG186" i="41" s="1" a="1"/>
  <c r="BG186" i="41" s="1"/>
  <c r="BF178" i="41"/>
  <c r="BD178" i="41"/>
  <c r="BA178" i="41"/>
  <c r="AW178" i="41"/>
  <c r="AV178" i="41"/>
  <c r="AZ178" i="41" s="1" a="1"/>
  <c r="AZ178" i="41" s="1"/>
  <c r="AW170" i="41"/>
  <c r="BF170" i="41"/>
  <c r="BD170" i="41"/>
  <c r="BA170" i="41"/>
  <c r="AV170" i="41"/>
  <c r="AX170" i="41" s="1" a="1"/>
  <c r="AX170" i="41" s="1"/>
  <c r="BD162" i="41"/>
  <c r="AW162" i="41"/>
  <c r="AV162" i="41"/>
  <c r="AX162" i="41" s="1" a="1"/>
  <c r="AX162" i="41" s="1"/>
  <c r="BF162" i="41"/>
  <c r="BA162" i="41"/>
  <c r="AV153" i="41"/>
  <c r="AZ153" i="41" s="1" a="1"/>
  <c r="AZ153" i="41" s="1"/>
  <c r="BF153" i="41"/>
  <c r="BD153" i="41"/>
  <c r="BA153" i="41"/>
  <c r="AW153" i="41"/>
  <c r="BF145" i="41"/>
  <c r="BD145" i="41"/>
  <c r="BA145" i="41"/>
  <c r="AW145" i="41"/>
  <c r="AV145" i="41"/>
  <c r="BG145" i="41" s="1" a="1"/>
  <c r="BG145" i="41" s="1"/>
  <c r="BD137" i="41"/>
  <c r="BA137" i="41"/>
  <c r="AW137" i="41"/>
  <c r="AV137" i="41"/>
  <c r="BC137" i="41" s="1" a="1"/>
  <c r="BC137" i="41" s="1"/>
  <c r="BF137" i="41"/>
  <c r="BD129" i="41"/>
  <c r="BA129" i="41"/>
  <c r="AW129" i="41"/>
  <c r="AV129" i="41"/>
  <c r="AX129" i="41" s="1" a="1"/>
  <c r="AX129" i="41" s="1"/>
  <c r="BF129" i="41"/>
  <c r="BD121" i="41"/>
  <c r="BA121" i="41"/>
  <c r="AW121" i="41"/>
  <c r="AV121" i="41"/>
  <c r="AX121" i="41" s="1" a="1"/>
  <c r="AX121" i="41" s="1"/>
  <c r="BF121" i="41"/>
  <c r="BF113" i="41"/>
  <c r="BD113" i="41"/>
  <c r="BA113" i="41"/>
  <c r="AW113" i="41"/>
  <c r="AV113" i="41"/>
  <c r="BC113" i="41" s="1" a="1"/>
  <c r="BC113" i="41" s="1"/>
  <c r="BF105" i="41"/>
  <c r="BD105" i="41"/>
  <c r="BA105" i="41"/>
  <c r="AW105" i="41"/>
  <c r="AV105" i="41"/>
  <c r="BG105" i="41" s="1" a="1"/>
  <c r="BG105" i="41" s="1"/>
  <c r="BA97" i="41"/>
  <c r="AW97" i="41"/>
  <c r="AV97" i="41"/>
  <c r="BC97" i="41" s="1" a="1"/>
  <c r="BC97" i="41" s="1"/>
  <c r="BF97" i="41"/>
  <c r="BD97" i="41"/>
  <c r="BF89" i="41"/>
  <c r="BD89" i="41"/>
  <c r="BA89" i="41"/>
  <c r="AW89" i="41"/>
  <c r="AV89" i="41"/>
  <c r="AZ89" i="41" s="1" a="1"/>
  <c r="AZ89" i="41" s="1"/>
  <c r="BD81" i="41"/>
  <c r="BA81" i="41"/>
  <c r="AW81" i="41"/>
  <c r="AV81" i="41"/>
  <c r="BC81" i="41" s="1" a="1"/>
  <c r="BC81" i="41" s="1"/>
  <c r="BF81" i="41"/>
  <c r="BF73" i="41"/>
  <c r="BD73" i="41"/>
  <c r="BA73" i="41"/>
  <c r="AW73" i="41"/>
  <c r="AV73" i="41"/>
  <c r="BG73" i="41" s="1" a="1"/>
  <c r="BG73" i="41" s="1"/>
  <c r="AW65" i="41"/>
  <c r="AV65" i="41"/>
  <c r="AZ65" i="41" s="1" a="1"/>
  <c r="AZ65" i="41" s="1"/>
  <c r="BA65" i="41"/>
  <c r="BF65" i="41"/>
  <c r="BD65" i="41"/>
  <c r="BA57" i="41"/>
  <c r="BD57" i="41"/>
  <c r="AW57" i="41"/>
  <c r="AV57" i="41"/>
  <c r="BG57" i="41" s="1" a="1"/>
  <c r="BG57" i="41" s="1"/>
  <c r="BF57" i="41"/>
  <c r="AW49" i="41"/>
  <c r="AV49" i="41"/>
  <c r="AX49" i="41" s="1" a="1"/>
  <c r="AX49" i="41" s="1"/>
  <c r="BF49" i="41"/>
  <c r="BD49" i="41"/>
  <c r="BA49" i="41"/>
  <c r="BF41" i="41"/>
  <c r="BD41" i="41"/>
  <c r="BA41" i="41"/>
  <c r="AW41" i="41"/>
  <c r="AV41" i="41"/>
  <c r="BC41" i="41" s="1" a="1"/>
  <c r="BC41" i="41" s="1"/>
  <c r="BF33" i="41"/>
  <c r="BD33" i="41"/>
  <c r="BA33" i="41"/>
  <c r="AW33" i="41"/>
  <c r="AV33" i="41"/>
  <c r="AX33" i="41" s="1" a="1"/>
  <c r="AX33" i="41" s="1"/>
  <c r="AV25" i="41"/>
  <c r="BC25" i="41" s="1" a="1"/>
  <c r="BC25" i="41" s="1"/>
  <c r="BF25" i="41"/>
  <c r="BD25" i="41"/>
  <c r="BA25" i="41"/>
  <c r="AW25" i="41"/>
  <c r="BA17" i="41"/>
  <c r="AW17" i="41"/>
  <c r="AV17" i="41"/>
  <c r="BG17" i="41" s="1" a="1"/>
  <c r="BG17" i="41" s="1"/>
  <c r="BF17" i="41"/>
  <c r="BD17" i="41"/>
  <c r="BA9" i="41"/>
  <c r="AW9" i="41"/>
  <c r="AV9" i="41"/>
  <c r="AZ9" i="41" s="1" a="1"/>
  <c r="AZ9" i="41" s="1"/>
  <c r="BF9" i="41"/>
  <c r="BD9" i="41"/>
  <c r="BF289" i="41"/>
  <c r="BD289" i="41"/>
  <c r="BA289" i="41"/>
  <c r="AV289" i="41"/>
  <c r="AZ289" i="41" s="1" a="1"/>
  <c r="AZ289" i="41" s="1"/>
  <c r="AW289" i="41"/>
  <c r="BF281" i="41"/>
  <c r="BD281" i="41"/>
  <c r="BA281" i="41"/>
  <c r="AW281" i="41"/>
  <c r="AV281" i="41"/>
  <c r="BG281" i="41" s="1" a="1"/>
  <c r="BG281" i="41" s="1"/>
  <c r="BF273" i="41"/>
  <c r="BD273" i="41"/>
  <c r="BA273" i="41"/>
  <c r="AW273" i="41"/>
  <c r="AV273" i="41"/>
  <c r="AX273" i="41" s="1" a="1"/>
  <c r="AX273" i="41" s="1"/>
  <c r="BD265" i="41"/>
  <c r="BA265" i="41"/>
  <c r="AW265" i="41"/>
  <c r="AV265" i="41"/>
  <c r="AZ265" i="41" s="1" a="1"/>
  <c r="AZ265" i="41" s="1"/>
  <c r="BF265" i="41"/>
  <c r="AV257" i="41"/>
  <c r="AZ257" i="41" s="1" a="1"/>
  <c r="AZ257" i="41" s="1"/>
  <c r="BF257" i="41"/>
  <c r="BD257" i="41"/>
  <c r="BA257" i="41"/>
  <c r="AW257" i="41"/>
  <c r="BF249" i="41"/>
  <c r="BD249" i="41"/>
  <c r="BA249" i="41"/>
  <c r="AW249" i="41"/>
  <c r="AV249" i="41"/>
  <c r="BG249" i="41" s="1" a="1"/>
  <c r="BG249" i="41" s="1"/>
  <c r="BF241" i="41"/>
  <c r="BD241" i="41"/>
  <c r="BA241" i="41"/>
  <c r="AW241" i="41"/>
  <c r="AV241" i="41"/>
  <c r="AZ241" i="41" s="1" a="1"/>
  <c r="AZ241" i="41" s="1"/>
  <c r="BF233" i="41"/>
  <c r="BD233" i="41"/>
  <c r="BA233" i="41"/>
  <c r="AW233" i="41"/>
  <c r="AV233" i="41"/>
  <c r="BG233" i="41" s="1" a="1"/>
  <c r="BG233" i="41" s="1"/>
  <c r="BF225" i="41"/>
  <c r="BD225" i="41"/>
  <c r="BA225" i="41"/>
  <c r="AW225" i="41"/>
  <c r="AV225" i="41"/>
  <c r="AZ225" i="41" s="1" a="1"/>
  <c r="AZ225" i="41" s="1"/>
  <c r="BD217" i="41"/>
  <c r="BA217" i="41"/>
  <c r="AW217" i="41"/>
  <c r="AV217" i="41"/>
  <c r="BC217" i="41" s="1" a="1"/>
  <c r="BC217" i="41" s="1"/>
  <c r="BF217" i="41"/>
  <c r="BD209" i="41"/>
  <c r="BA209" i="41"/>
  <c r="AW209" i="41"/>
  <c r="AV209" i="41"/>
  <c r="BF209" i="41"/>
  <c r="BA201" i="41"/>
  <c r="AW201" i="41"/>
  <c r="AV201" i="41"/>
  <c r="BF201" i="41"/>
  <c r="BD201" i="41"/>
  <c r="BF193" i="41"/>
  <c r="BD193" i="41"/>
  <c r="BA193" i="41"/>
  <c r="AW193" i="41"/>
  <c r="AV193" i="41"/>
  <c r="BC193" i="41" s="1" a="1"/>
  <c r="BC193" i="41" s="1"/>
  <c r="BF185" i="41"/>
  <c r="BD185" i="41"/>
  <c r="BA185" i="41"/>
  <c r="AW185" i="41"/>
  <c r="AV185" i="41"/>
  <c r="BG185" i="41" s="1" a="1"/>
  <c r="BG185" i="41" s="1"/>
  <c r="AW177" i="41"/>
  <c r="AV177" i="41"/>
  <c r="BA177" i="41"/>
  <c r="BF177" i="41"/>
  <c r="BD177" i="41"/>
  <c r="BD169" i="41"/>
  <c r="BF169" i="41"/>
  <c r="BA169" i="41"/>
  <c r="AW169" i="41"/>
  <c r="AV169" i="41"/>
  <c r="AX169" i="41" s="1" a="1"/>
  <c r="AX169" i="41" s="1"/>
  <c r="AW161" i="41"/>
  <c r="BF161" i="41"/>
  <c r="BD161" i="41"/>
  <c r="BA161" i="41"/>
  <c r="AV161" i="41"/>
  <c r="AX161" i="41" s="1" a="1"/>
  <c r="AX161" i="41" s="1"/>
  <c r="BF152" i="41"/>
  <c r="BD152" i="41"/>
  <c r="BA152" i="41"/>
  <c r="AW152" i="41"/>
  <c r="AV152" i="41"/>
  <c r="AZ152" i="41" s="1" a="1"/>
  <c r="AZ152" i="41" s="1"/>
  <c r="BD144" i="41"/>
  <c r="BA144" i="41"/>
  <c r="AW144" i="41"/>
  <c r="AV144" i="41"/>
  <c r="BC144" i="41" s="1" a="1"/>
  <c r="BC144" i="41" s="1"/>
  <c r="BF144" i="41"/>
  <c r="AW136" i="41"/>
  <c r="AV136" i="41"/>
  <c r="BG136" i="41" s="1" a="1"/>
  <c r="BG136" i="41" s="1"/>
  <c r="BF136" i="41"/>
  <c r="BD136" i="41"/>
  <c r="BA136" i="41"/>
  <c r="AW128" i="41"/>
  <c r="AV128" i="41"/>
  <c r="BG128" i="41" s="1" a="1"/>
  <c r="BG128" i="41" s="1"/>
  <c r="BF128" i="41"/>
  <c r="BD128" i="41"/>
  <c r="BA128" i="41"/>
  <c r="AW120" i="41"/>
  <c r="AV120" i="41"/>
  <c r="BC120" i="41" s="1" a="1"/>
  <c r="BC120" i="41" s="1"/>
  <c r="BF120" i="41"/>
  <c r="BD120" i="41"/>
  <c r="BA120" i="41"/>
  <c r="BA112" i="41"/>
  <c r="AW112" i="41"/>
  <c r="AV112" i="41"/>
  <c r="AZ112" i="41" s="1" a="1"/>
  <c r="AZ112" i="41" s="1"/>
  <c r="BF112" i="41"/>
  <c r="BD112" i="41"/>
  <c r="BD104" i="41"/>
  <c r="BA104" i="41"/>
  <c r="AW104" i="41"/>
  <c r="AV104" i="41"/>
  <c r="AZ104" i="41" s="1" a="1"/>
  <c r="AZ104" i="41" s="1"/>
  <c r="BF104" i="41"/>
  <c r="AV96" i="41"/>
  <c r="AZ96" i="41" s="1" a="1"/>
  <c r="AZ96" i="41" s="1"/>
  <c r="BF96" i="41"/>
  <c r="BD96" i="41"/>
  <c r="BA96" i="41"/>
  <c r="AW96" i="41"/>
  <c r="BF88" i="41"/>
  <c r="BD88" i="41"/>
  <c r="BA88" i="41"/>
  <c r="AW88" i="41"/>
  <c r="AV88" i="41"/>
  <c r="BG88" i="41" s="1" a="1"/>
  <c r="BG88" i="41" s="1"/>
  <c r="AW80" i="41"/>
  <c r="AV80" i="41"/>
  <c r="AX80" i="41" s="1" a="1"/>
  <c r="AX80" i="41" s="1"/>
  <c r="BF80" i="41"/>
  <c r="BD80" i="41"/>
  <c r="BA80" i="41"/>
  <c r="BF72" i="41"/>
  <c r="BD72" i="41"/>
  <c r="BA72" i="41"/>
  <c r="AW72" i="41"/>
  <c r="AV72" i="41"/>
  <c r="AZ72" i="41" s="1" a="1"/>
  <c r="AZ72" i="41" s="1"/>
  <c r="BF64" i="41"/>
  <c r="BD64" i="41"/>
  <c r="AV64" i="41"/>
  <c r="AZ64" i="41" s="1" a="1"/>
  <c r="AZ64" i="41" s="1"/>
  <c r="AW64" i="41"/>
  <c r="BA64" i="41"/>
  <c r="AV56" i="41"/>
  <c r="BC56" i="41" s="1" a="1"/>
  <c r="BC56" i="41" s="1"/>
  <c r="AW56" i="41"/>
  <c r="BF56" i="41"/>
  <c r="BD56" i="41"/>
  <c r="BA56" i="41"/>
  <c r="BF48" i="41"/>
  <c r="BD48" i="41"/>
  <c r="BA48" i="41"/>
  <c r="AW48" i="41"/>
  <c r="AV48" i="41"/>
  <c r="BG48" i="41" s="1" a="1"/>
  <c r="BG48" i="41" s="1"/>
  <c r="BA40" i="41"/>
  <c r="AW40" i="41"/>
  <c r="AV40" i="41"/>
  <c r="BF40" i="41"/>
  <c r="BD40" i="41"/>
  <c r="BF32" i="41"/>
  <c r="BD32" i="41"/>
  <c r="BA32" i="41"/>
  <c r="AW32" i="41"/>
  <c r="AV32" i="41"/>
  <c r="AX32" i="41" s="1" a="1"/>
  <c r="AX32" i="41" s="1"/>
  <c r="BF24" i="41"/>
  <c r="BD24" i="41"/>
  <c r="BA24" i="41"/>
  <c r="AW24" i="41"/>
  <c r="AV24" i="41"/>
  <c r="AZ24" i="41" s="1" a="1"/>
  <c r="AZ24" i="41" s="1"/>
  <c r="BF16" i="41"/>
  <c r="BD16" i="41"/>
  <c r="BA16" i="41"/>
  <c r="AW16" i="41"/>
  <c r="AV16" i="41"/>
  <c r="BG16" i="41" s="1" a="1"/>
  <c r="BG16" i="41" s="1"/>
  <c r="AW8" i="41"/>
  <c r="BF8" i="41"/>
  <c r="BD8" i="41"/>
  <c r="BA8" i="41"/>
  <c r="AV8" i="41"/>
  <c r="AX8" i="41" s="1" a="1"/>
  <c r="AX8" i="41" s="1"/>
  <c r="BF288" i="41"/>
  <c r="BD288" i="41"/>
  <c r="BA288" i="41"/>
  <c r="AV288" i="41"/>
  <c r="AZ288" i="41" s="1" a="1"/>
  <c r="AZ288" i="41" s="1"/>
  <c r="AW288" i="41"/>
  <c r="BD280" i="41"/>
  <c r="AV280" i="41"/>
  <c r="BF280" i="41"/>
  <c r="BA280" i="41"/>
  <c r="AW280" i="41"/>
  <c r="BD272" i="41"/>
  <c r="BA272" i="41"/>
  <c r="AW272" i="41"/>
  <c r="AV272" i="41"/>
  <c r="BG272" i="41" s="1" a="1"/>
  <c r="BG272" i="41" s="1"/>
  <c r="BF272" i="41"/>
  <c r="BA264" i="41"/>
  <c r="AW264" i="41"/>
  <c r="AV264" i="41"/>
  <c r="BG264" i="41" s="1" a="1"/>
  <c r="BG264" i="41" s="1"/>
  <c r="BF264" i="41"/>
  <c r="BD264" i="41"/>
  <c r="AV256" i="41"/>
  <c r="AZ256" i="41" s="1" a="1"/>
  <c r="AZ256" i="41" s="1"/>
  <c r="BF256" i="41"/>
  <c r="BD256" i="41"/>
  <c r="BA256" i="41"/>
  <c r="AW256" i="41"/>
  <c r="BF248" i="41"/>
  <c r="BD248" i="41"/>
  <c r="BA248" i="41"/>
  <c r="AW248" i="41"/>
  <c r="AV248" i="41"/>
  <c r="AX248" i="41" s="1" a="1"/>
  <c r="AX248" i="41" s="1"/>
  <c r="BD240" i="41"/>
  <c r="BA240" i="41"/>
  <c r="AW240" i="41"/>
  <c r="AV240" i="41"/>
  <c r="AZ240" i="41" s="1" a="1"/>
  <c r="AZ240" i="41" s="1"/>
  <c r="BF240" i="41"/>
  <c r="BD232" i="41"/>
  <c r="BA232" i="41"/>
  <c r="AW232" i="41"/>
  <c r="AV232" i="41"/>
  <c r="AX232" i="41" s="1" a="1"/>
  <c r="AX232" i="41" s="1"/>
  <c r="BF232" i="41"/>
  <c r="BA224" i="41"/>
  <c r="AW224" i="41"/>
  <c r="AV224" i="41"/>
  <c r="AZ224" i="41" s="1" a="1"/>
  <c r="AZ224" i="41" s="1"/>
  <c r="BF224" i="41"/>
  <c r="BD224" i="41"/>
  <c r="BA216" i="41"/>
  <c r="AW216" i="41"/>
  <c r="AV216" i="41"/>
  <c r="BG216" i="41" s="1" a="1"/>
  <c r="BG216" i="41" s="1"/>
  <c r="BF216" i="41"/>
  <c r="BD216" i="41"/>
  <c r="BA208" i="41"/>
  <c r="AW208" i="41"/>
  <c r="AV208" i="41"/>
  <c r="AZ208" i="41" s="1" a="1"/>
  <c r="AZ208" i="41" s="1"/>
  <c r="BF208" i="41"/>
  <c r="BD208" i="41"/>
  <c r="AW200" i="41"/>
  <c r="AV200" i="41"/>
  <c r="AX200" i="41" s="1" a="1"/>
  <c r="AX200" i="41" s="1"/>
  <c r="BF200" i="41"/>
  <c r="BD200" i="41"/>
  <c r="BA200" i="41"/>
  <c r="BF192" i="41"/>
  <c r="BD192" i="41"/>
  <c r="BA192" i="41"/>
  <c r="AW192" i="41"/>
  <c r="AV192" i="41"/>
  <c r="BG192" i="41" s="1" a="1"/>
  <c r="BG192" i="41" s="1"/>
  <c r="BA184" i="41"/>
  <c r="AW184" i="41"/>
  <c r="AV184" i="41"/>
  <c r="BG184" i="41" s="1" a="1"/>
  <c r="BG184" i="41" s="1"/>
  <c r="BF184" i="41"/>
  <c r="BD184" i="41"/>
  <c r="BF176" i="41"/>
  <c r="BD176" i="41"/>
  <c r="AV176" i="41"/>
  <c r="BG176" i="41" s="1" a="1"/>
  <c r="BG176" i="41" s="1"/>
  <c r="BA176" i="41"/>
  <c r="AW176" i="41"/>
  <c r="AW168" i="41"/>
  <c r="BF168" i="41"/>
  <c r="BD168" i="41"/>
  <c r="BA168" i="41"/>
  <c r="AV168" i="41"/>
  <c r="BC168" i="41" s="1" a="1"/>
  <c r="BC168" i="41" s="1"/>
  <c r="BF151" i="41"/>
  <c r="BD151" i="41"/>
  <c r="BA151" i="41"/>
  <c r="AW151" i="41"/>
  <c r="AV151" i="41"/>
  <c r="BG151" i="41" s="1" a="1"/>
  <c r="BG151" i="41" s="1"/>
  <c r="AW143" i="41"/>
  <c r="AV143" i="41"/>
  <c r="AX143" i="41" s="1" a="1"/>
  <c r="AX143" i="41" s="1"/>
  <c r="BF143" i="41"/>
  <c r="BD143" i="41"/>
  <c r="BA143" i="41"/>
  <c r="BF135" i="41"/>
  <c r="BD135" i="41"/>
  <c r="BA135" i="41"/>
  <c r="AW135" i="41"/>
  <c r="AV135" i="41"/>
  <c r="BG135" i="41" s="1" a="1"/>
  <c r="BG135" i="41" s="1"/>
  <c r="BF127" i="41"/>
  <c r="BD127" i="41"/>
  <c r="BA127" i="41"/>
  <c r="AW127" i="41"/>
  <c r="AV127" i="41"/>
  <c r="BF119" i="41"/>
  <c r="BD119" i="41"/>
  <c r="BA119" i="41"/>
  <c r="AW119" i="41"/>
  <c r="AV119" i="41"/>
  <c r="BG119" i="41" s="1" a="1"/>
  <c r="BG119" i="41" s="1"/>
  <c r="AV111" i="41"/>
  <c r="BF111" i="41"/>
  <c r="BD111" i="41"/>
  <c r="BA111" i="41"/>
  <c r="AW111" i="41"/>
  <c r="AW103" i="41"/>
  <c r="AV103" i="41"/>
  <c r="AZ103" i="41" s="1" a="1"/>
  <c r="AZ103" i="41" s="1"/>
  <c r="BF103" i="41"/>
  <c r="BD103" i="41"/>
  <c r="BA103" i="41"/>
  <c r="BF95" i="41"/>
  <c r="BD95" i="41"/>
  <c r="BA95" i="41"/>
  <c r="AW95" i="41"/>
  <c r="AV95" i="41"/>
  <c r="BC95" i="41" s="1" a="1"/>
  <c r="BC95" i="41" s="1"/>
  <c r="BA87" i="41"/>
  <c r="AW87" i="41"/>
  <c r="AV87" i="41"/>
  <c r="BC87" i="41" s="1" a="1"/>
  <c r="BC87" i="41" s="1"/>
  <c r="BF87" i="41"/>
  <c r="BD87" i="41"/>
  <c r="BF79" i="41"/>
  <c r="BD79" i="41"/>
  <c r="BA79" i="41"/>
  <c r="AW79" i="41"/>
  <c r="AV79" i="41"/>
  <c r="BG79" i="41" s="1" a="1"/>
  <c r="BG79" i="41" s="1"/>
  <c r="BA71" i="41"/>
  <c r="AW71" i="41"/>
  <c r="AV71" i="41"/>
  <c r="AX71" i="41" s="1" a="1"/>
  <c r="AX71" i="41" s="1"/>
  <c r="BF71" i="41"/>
  <c r="BD71" i="41"/>
  <c r="BF63" i="41"/>
  <c r="BD63" i="41"/>
  <c r="BA63" i="41"/>
  <c r="AW63" i="41"/>
  <c r="AV63" i="41"/>
  <c r="AX63" i="41" s="1" a="1"/>
  <c r="AX63" i="41" s="1"/>
  <c r="BD55" i="41"/>
  <c r="AW55" i="41"/>
  <c r="AV55" i="41"/>
  <c r="AX55" i="41" s="1" a="1"/>
  <c r="AX55" i="41" s="1"/>
  <c r="BF55" i="41"/>
  <c r="BA55" i="41"/>
  <c r="BF47" i="41"/>
  <c r="BA47" i="41"/>
  <c r="AW47" i="41"/>
  <c r="AV47" i="41"/>
  <c r="AX47" i="41" s="1" a="1"/>
  <c r="AX47" i="41" s="1"/>
  <c r="BD47" i="41"/>
  <c r="BF39" i="41"/>
  <c r="BD39" i="41"/>
  <c r="BA39" i="41"/>
  <c r="AW39" i="41"/>
  <c r="AV39" i="41"/>
  <c r="BC39" i="41" s="1" a="1"/>
  <c r="BC39" i="41" s="1"/>
  <c r="AW31" i="41"/>
  <c r="AV31" i="41"/>
  <c r="AZ31" i="41" s="1" a="1"/>
  <c r="AZ31" i="41" s="1"/>
  <c r="BF31" i="41"/>
  <c r="BD31" i="41"/>
  <c r="BA31" i="41"/>
  <c r="BA23" i="41"/>
  <c r="AW23" i="41"/>
  <c r="AV23" i="41"/>
  <c r="AZ23" i="41" s="1" a="1"/>
  <c r="AZ23" i="41" s="1"/>
  <c r="BF23" i="41"/>
  <c r="BD23" i="41"/>
  <c r="BF15" i="41"/>
  <c r="BD15" i="41"/>
  <c r="BA15" i="41"/>
  <c r="AW15" i="41"/>
  <c r="AV15" i="41"/>
  <c r="AX15" i="41" s="1" a="1"/>
  <c r="AX15" i="41" s="1"/>
  <c r="BF7" i="41"/>
  <c r="BD7" i="41"/>
  <c r="BA7" i="41"/>
  <c r="AW7" i="41"/>
  <c r="AV7" i="41"/>
  <c r="BC7" i="41" s="1" a="1"/>
  <c r="BC7" i="41" s="1"/>
  <c r="BF287" i="41"/>
  <c r="BD287" i="41"/>
  <c r="BA287" i="41"/>
  <c r="AW287" i="41"/>
  <c r="AV287" i="41"/>
  <c r="AX287" i="41" s="1" a="1"/>
  <c r="AX287" i="41" s="1"/>
  <c r="BA279" i="41"/>
  <c r="AW279" i="41"/>
  <c r="BF279" i="41"/>
  <c r="BD279" i="41"/>
  <c r="AV279" i="41"/>
  <c r="AX279" i="41" s="1" a="1"/>
  <c r="AX279" i="41" s="1"/>
  <c r="BA271" i="41"/>
  <c r="AW271" i="41"/>
  <c r="AV271" i="41"/>
  <c r="AX271" i="41" s="1" a="1"/>
  <c r="AX271" i="41" s="1"/>
  <c r="BF271" i="41"/>
  <c r="BD271" i="41"/>
  <c r="AV263" i="41"/>
  <c r="AX263" i="41" s="1" a="1"/>
  <c r="AX263" i="41" s="1"/>
  <c r="BF263" i="41"/>
  <c r="BD263" i="41"/>
  <c r="BA263" i="41"/>
  <c r="AW263" i="41"/>
  <c r="BF255" i="41"/>
  <c r="BD255" i="41"/>
  <c r="BA255" i="41"/>
  <c r="AW255" i="41"/>
  <c r="AV255" i="41"/>
  <c r="BF247" i="41"/>
  <c r="BD247" i="41"/>
  <c r="BA247" i="41"/>
  <c r="AW247" i="41"/>
  <c r="AV247" i="41"/>
  <c r="AZ247" i="41" s="1" a="1"/>
  <c r="AZ247" i="41" s="1"/>
  <c r="BA239" i="41"/>
  <c r="AW239" i="41"/>
  <c r="AV239" i="41"/>
  <c r="BG239" i="41" s="1" a="1"/>
  <c r="BG239" i="41" s="1"/>
  <c r="BF239" i="41"/>
  <c r="BD239" i="41"/>
  <c r="BD231" i="41"/>
  <c r="BA231" i="41"/>
  <c r="AW231" i="41"/>
  <c r="AV231" i="41"/>
  <c r="BG231" i="41" s="1" a="1"/>
  <c r="BG231" i="41" s="1"/>
  <c r="BF231" i="41"/>
  <c r="AW223" i="41"/>
  <c r="AV223" i="41"/>
  <c r="AZ223" i="41" s="1" a="1"/>
  <c r="AZ223" i="41" s="1"/>
  <c r="BF223" i="41"/>
  <c r="BD223" i="41"/>
  <c r="BA223" i="41"/>
  <c r="AW215" i="41"/>
  <c r="AV215" i="41"/>
  <c r="BC215" i="41" s="1" a="1"/>
  <c r="BC215" i="41" s="1"/>
  <c r="BF215" i="41"/>
  <c r="BD215" i="41"/>
  <c r="BA215" i="41"/>
  <c r="AV207" i="41"/>
  <c r="BG207" i="41" s="1" a="1"/>
  <c r="BG207" i="41" s="1"/>
  <c r="BF207" i="41"/>
  <c r="BD207" i="41"/>
  <c r="BA207" i="41"/>
  <c r="AW207" i="41"/>
  <c r="BF199" i="41"/>
  <c r="BD199" i="41"/>
  <c r="BA199" i="41"/>
  <c r="AW199" i="41"/>
  <c r="AV199" i="41"/>
  <c r="BG199" i="41" s="1" a="1"/>
  <c r="BG199" i="41" s="1"/>
  <c r="BA191" i="41"/>
  <c r="AW191" i="41"/>
  <c r="AV191" i="41"/>
  <c r="AZ191" i="41" s="1" a="1"/>
  <c r="AZ191" i="41" s="1"/>
  <c r="BF191" i="41"/>
  <c r="BD191" i="41"/>
  <c r="AW183" i="41"/>
  <c r="AV183" i="41"/>
  <c r="BC183" i="41" s="1" a="1"/>
  <c r="BC183" i="41" s="1"/>
  <c r="BF183" i="41"/>
  <c r="BD183" i="41"/>
  <c r="BA183" i="41"/>
  <c r="BF175" i="41"/>
  <c r="BA175" i="41"/>
  <c r="AW175" i="41"/>
  <c r="AV175" i="41"/>
  <c r="BD175" i="41"/>
  <c r="AW150" i="41"/>
  <c r="AV150" i="41"/>
  <c r="BG150" i="41" s="1" a="1"/>
  <c r="BG150" i="41" s="1"/>
  <c r="BF150" i="41"/>
  <c r="BD150" i="41"/>
  <c r="BA150" i="41"/>
  <c r="BF142" i="41"/>
  <c r="BD142" i="41"/>
  <c r="BA142" i="41"/>
  <c r="AW142" i="41"/>
  <c r="AV142" i="41"/>
  <c r="AX142" i="41" s="1" a="1"/>
  <c r="AX142" i="41" s="1"/>
  <c r="BF134" i="41"/>
  <c r="BD134" i="41"/>
  <c r="BA134" i="41"/>
  <c r="AW134" i="41"/>
  <c r="AV134" i="41"/>
  <c r="BG134" i="41" s="1" a="1"/>
  <c r="BG134" i="41" s="1"/>
  <c r="BF126" i="41"/>
  <c r="BD126" i="41"/>
  <c r="BA126" i="41"/>
  <c r="AW126" i="41"/>
  <c r="AV126" i="41"/>
  <c r="BG126" i="41" s="1" a="1"/>
  <c r="BG126" i="41" s="1"/>
  <c r="BD118" i="41"/>
  <c r="BA118" i="41"/>
  <c r="AW118" i="41"/>
  <c r="AV118" i="41"/>
  <c r="BG118" i="41" s="1" a="1"/>
  <c r="BG118" i="41" s="1"/>
  <c r="BF118" i="41"/>
  <c r="BF110" i="41"/>
  <c r="BD110" i="41"/>
  <c r="BA110" i="41"/>
  <c r="AW110" i="41"/>
  <c r="AV110" i="41"/>
  <c r="AZ110" i="41" s="1" a="1"/>
  <c r="AZ110" i="41" s="1"/>
  <c r="BF102" i="41"/>
  <c r="BD102" i="41"/>
  <c r="BA102" i="41"/>
  <c r="AW102" i="41"/>
  <c r="AV102" i="41"/>
  <c r="AZ102" i="41" s="1" a="1"/>
  <c r="AZ102" i="41" s="1"/>
  <c r="BA94" i="41"/>
  <c r="AW94" i="41"/>
  <c r="AV94" i="41"/>
  <c r="AZ94" i="41" s="1" a="1"/>
  <c r="AZ94" i="41" s="1"/>
  <c r="BF94" i="41"/>
  <c r="BD94" i="41"/>
  <c r="BF86" i="41"/>
  <c r="BD86" i="41"/>
  <c r="BA86" i="41"/>
  <c r="AW86" i="41"/>
  <c r="AV86" i="41"/>
  <c r="AX86" i="41" s="1" a="1"/>
  <c r="AX86" i="41" s="1"/>
  <c r="BF78" i="41"/>
  <c r="BD78" i="41"/>
  <c r="BA78" i="41"/>
  <c r="AW78" i="41"/>
  <c r="AV78" i="41"/>
  <c r="BG78" i="41" s="1" a="1"/>
  <c r="BG78" i="41" s="1"/>
  <c r="BF70" i="41"/>
  <c r="BD70" i="41"/>
  <c r="BA70" i="41"/>
  <c r="AV70" i="41"/>
  <c r="BC70" i="41" s="1" a="1"/>
  <c r="BC70" i="41" s="1"/>
  <c r="AW70" i="41"/>
  <c r="AW62" i="41"/>
  <c r="AV62" i="41"/>
  <c r="AX62" i="41" s="1" a="1"/>
  <c r="AX62" i="41" s="1"/>
  <c r="BA62" i="41"/>
  <c r="BF62" i="41"/>
  <c r="BD62" i="41"/>
  <c r="AV54" i="41"/>
  <c r="AZ54" i="41" s="1" a="1"/>
  <c r="AZ54" i="41" s="1"/>
  <c r="BF54" i="41"/>
  <c r="BD54" i="41"/>
  <c r="BA54" i="41"/>
  <c r="AW54" i="41"/>
  <c r="AW46" i="41"/>
  <c r="BF46" i="41"/>
  <c r="BD46" i="41"/>
  <c r="BA46" i="41"/>
  <c r="AV46" i="41"/>
  <c r="BG46" i="41" s="1" a="1"/>
  <c r="BG46" i="41" s="1"/>
  <c r="BF38" i="41"/>
  <c r="BD38" i="41"/>
  <c r="BA38" i="41"/>
  <c r="AW38" i="41"/>
  <c r="AV38" i="41"/>
  <c r="AX38" i="41" s="1" a="1"/>
  <c r="AX38" i="41" s="1"/>
  <c r="BF30" i="41"/>
  <c r="BD30" i="41"/>
  <c r="BA30" i="41"/>
  <c r="AW30" i="41"/>
  <c r="AV30" i="41"/>
  <c r="BC30" i="41" s="1" a="1"/>
  <c r="BC30" i="41" s="1"/>
  <c r="BF22" i="41"/>
  <c r="BD22" i="41"/>
  <c r="BA22" i="41"/>
  <c r="AW22" i="41"/>
  <c r="AV22" i="41"/>
  <c r="BG22" i="41" s="1" a="1"/>
  <c r="BG22" i="41" s="1"/>
  <c r="AW14" i="41"/>
  <c r="AV14" i="41"/>
  <c r="BF14" i="41"/>
  <c r="BD14" i="41"/>
  <c r="BA14" i="41"/>
  <c r="AW6" i="41"/>
  <c r="BF6" i="41"/>
  <c r="BD6" i="41"/>
  <c r="AV6" i="41"/>
  <c r="AZ6" i="41" s="1" a="1"/>
  <c r="AZ6" i="41" s="1"/>
  <c r="BA6" i="41"/>
  <c r="AW286" i="41"/>
  <c r="AV286" i="41"/>
  <c r="AX286" i="41" s="1" a="1"/>
  <c r="AX286" i="41" s="1"/>
  <c r="BF286" i="41"/>
  <c r="BA286" i="41"/>
  <c r="BD286" i="41"/>
  <c r="AV278" i="41"/>
  <c r="BG278" i="41" s="1" a="1"/>
  <c r="BG278" i="41" s="1"/>
  <c r="BF278" i="41"/>
  <c r="BD278" i="41"/>
  <c r="BA278" i="41"/>
  <c r="AW278" i="41"/>
  <c r="BF270" i="41"/>
  <c r="BD270" i="41"/>
  <c r="BA270" i="41"/>
  <c r="AW270" i="41"/>
  <c r="AV270" i="41"/>
  <c r="BC270" i="41" s="1" a="1"/>
  <c r="BC270" i="41" s="1"/>
  <c r="BF262" i="41"/>
  <c r="BD262" i="41"/>
  <c r="BA262" i="41"/>
  <c r="AW262" i="41"/>
  <c r="AV262" i="41"/>
  <c r="AX262" i="41" s="1" a="1"/>
  <c r="AX262" i="41" s="1"/>
  <c r="BA254" i="41"/>
  <c r="AW254" i="41"/>
  <c r="AV254" i="41"/>
  <c r="BC254" i="41" s="1" a="1"/>
  <c r="BC254" i="41" s="1"/>
  <c r="BF254" i="41"/>
  <c r="BD254" i="41"/>
  <c r="AW246" i="41"/>
  <c r="AV246" i="41"/>
  <c r="BG246" i="41" s="1" a="1"/>
  <c r="BG246" i="41" s="1"/>
  <c r="BF246" i="41"/>
  <c r="BD246" i="41"/>
  <c r="BA246" i="41"/>
  <c r="AV238" i="41"/>
  <c r="BF238" i="41"/>
  <c r="BD238" i="41"/>
  <c r="BA238" i="41"/>
  <c r="AW238" i="41"/>
  <c r="AW230" i="41"/>
  <c r="AV230" i="41"/>
  <c r="BF230" i="41"/>
  <c r="BD230" i="41"/>
  <c r="BA230" i="41"/>
  <c r="BF222" i="41"/>
  <c r="BD222" i="41"/>
  <c r="BA222" i="41"/>
  <c r="AW222" i="41"/>
  <c r="AV222" i="41"/>
  <c r="BG222" i="41" s="1" a="1"/>
  <c r="BG222" i="41" s="1"/>
  <c r="BF214" i="41"/>
  <c r="BD214" i="41"/>
  <c r="BA214" i="41"/>
  <c r="AW214" i="41"/>
  <c r="AV214" i="41"/>
  <c r="AZ214" i="41" s="1" a="1"/>
  <c r="AZ214" i="41" s="1"/>
  <c r="BF206" i="41"/>
  <c r="BD206" i="41"/>
  <c r="BA206" i="41"/>
  <c r="AW206" i="41"/>
  <c r="AV206" i="41"/>
  <c r="AZ206" i="41" s="1" a="1"/>
  <c r="AZ206" i="41" s="1"/>
  <c r="BF198" i="41"/>
  <c r="BD198" i="41"/>
  <c r="BA198" i="41"/>
  <c r="AW198" i="41"/>
  <c r="AV198" i="41"/>
  <c r="AX198" i="41" s="1" a="1"/>
  <c r="AX198" i="41" s="1"/>
  <c r="AV190" i="41"/>
  <c r="BG190" i="41" s="1" a="1"/>
  <c r="BG190" i="41" s="1"/>
  <c r="BF190" i="41"/>
  <c r="BD190" i="41"/>
  <c r="BA190" i="41"/>
  <c r="AW190" i="41"/>
  <c r="BF182" i="41"/>
  <c r="BD182" i="41"/>
  <c r="BA182" i="41"/>
  <c r="AW182" i="41"/>
  <c r="AV182" i="41"/>
  <c r="BG182" i="41" s="1" a="1"/>
  <c r="BG182" i="41" s="1"/>
  <c r="BD174" i="41"/>
  <c r="BF174" i="41"/>
  <c r="BA174" i="41"/>
  <c r="AW174" i="41"/>
  <c r="AV174" i="41"/>
  <c r="BG174" i="41" s="1" a="1"/>
  <c r="BG174" i="41" s="1"/>
  <c r="BF166" i="41"/>
  <c r="AV166" i="41"/>
  <c r="BG166" i="41" s="1" a="1"/>
  <c r="BG166" i="41" s="1"/>
  <c r="BD166" i="41"/>
  <c r="BA166" i="41"/>
  <c r="AW166" i="41"/>
  <c r="BA158" i="41"/>
  <c r="BF158" i="41"/>
  <c r="BD158" i="41"/>
  <c r="AW158" i="41"/>
  <c r="AV158" i="41"/>
  <c r="BG158" i="41" s="1" a="1"/>
  <c r="BG158" i="41" s="1"/>
  <c r="BA157" i="41"/>
  <c r="AW157" i="41"/>
  <c r="AV157" i="41"/>
  <c r="AZ157" i="41" s="1" a="1"/>
  <c r="AZ157" i="41" s="1"/>
  <c r="BF157" i="41"/>
  <c r="BD157" i="41"/>
  <c r="BF149" i="41"/>
  <c r="BD149" i="41"/>
  <c r="BA149" i="41"/>
  <c r="AW149" i="41"/>
  <c r="AV149" i="41"/>
  <c r="BG149" i="41" s="1" a="1"/>
  <c r="BG149" i="41" s="1"/>
  <c r="BF141" i="41"/>
  <c r="BD141" i="41"/>
  <c r="BA141" i="41"/>
  <c r="AW141" i="41"/>
  <c r="AV141" i="41"/>
  <c r="AX141" i="41" s="1" a="1"/>
  <c r="AX141" i="41" s="1"/>
  <c r="BD133" i="41"/>
  <c r="BA133" i="41"/>
  <c r="AW133" i="41"/>
  <c r="AV133" i="41"/>
  <c r="AX133" i="41" s="1" a="1"/>
  <c r="AX133" i="41" s="1"/>
  <c r="BF133" i="41"/>
  <c r="BA125" i="41"/>
  <c r="AW125" i="41"/>
  <c r="AV125" i="41"/>
  <c r="BG125" i="41" s="1" a="1"/>
  <c r="BG125" i="41" s="1"/>
  <c r="BF125" i="41"/>
  <c r="BD125" i="41"/>
  <c r="BA117" i="41"/>
  <c r="AW117" i="41"/>
  <c r="AV117" i="41"/>
  <c r="AX117" i="41" s="1" a="1"/>
  <c r="AX117" i="41" s="1"/>
  <c r="BF117" i="41"/>
  <c r="BD117" i="41"/>
  <c r="BF109" i="41"/>
  <c r="BD109" i="41"/>
  <c r="BA109" i="41"/>
  <c r="AW109" i="41"/>
  <c r="AV109" i="41"/>
  <c r="BC109" i="41" s="1" a="1"/>
  <c r="BC109" i="41" s="1"/>
  <c r="BF101" i="41"/>
  <c r="BD101" i="41"/>
  <c r="BA101" i="41"/>
  <c r="AW101" i="41"/>
  <c r="AV101" i="41"/>
  <c r="AX101" i="41" s="1" a="1"/>
  <c r="AX101" i="41" s="1"/>
  <c r="BF93" i="41"/>
  <c r="BD93" i="41"/>
  <c r="BA93" i="41"/>
  <c r="AW93" i="41"/>
  <c r="AV93" i="41"/>
  <c r="BC93" i="41" s="1" a="1"/>
  <c r="BC93" i="41" s="1"/>
  <c r="BF85" i="41"/>
  <c r="BD85" i="41"/>
  <c r="BA85" i="41"/>
  <c r="AW85" i="41"/>
  <c r="AV85" i="41"/>
  <c r="BC85" i="41" s="1" a="1"/>
  <c r="BC85" i="41" s="1"/>
  <c r="AW77" i="41"/>
  <c r="AV77" i="41"/>
  <c r="BG77" i="41" s="1" a="1"/>
  <c r="BG77" i="41" s="1"/>
  <c r="BF77" i="41"/>
  <c r="BD77" i="41"/>
  <c r="BA77" i="41"/>
  <c r="BF69" i="41"/>
  <c r="BD69" i="41"/>
  <c r="BA69" i="41"/>
  <c r="AW69" i="41"/>
  <c r="AV69" i="41"/>
  <c r="AX69" i="41" s="1" a="1"/>
  <c r="AX69" i="41" s="1"/>
  <c r="BD61" i="41"/>
  <c r="BA61" i="41"/>
  <c r="BF61" i="41"/>
  <c r="AW61" i="41"/>
  <c r="AV61" i="41"/>
  <c r="AX61" i="41" s="1" a="1"/>
  <c r="AX61" i="41" s="1"/>
  <c r="AW53" i="41"/>
  <c r="AV53" i="41"/>
  <c r="BC53" i="41" s="1" a="1"/>
  <c r="BC53" i="41" s="1"/>
  <c r="BF53" i="41"/>
  <c r="BD53" i="41"/>
  <c r="BA53" i="41"/>
  <c r="BD45" i="41"/>
  <c r="BA45" i="41"/>
  <c r="AW45" i="41"/>
  <c r="AV45" i="41"/>
  <c r="AZ45" i="41" s="1" a="1"/>
  <c r="AZ45" i="41" s="1"/>
  <c r="BF45" i="41"/>
  <c r="BA37" i="41"/>
  <c r="AW37" i="41"/>
  <c r="AV37" i="41"/>
  <c r="BG37" i="41" s="1" a="1"/>
  <c r="BG37" i="41" s="1"/>
  <c r="BF37" i="41"/>
  <c r="BD37" i="41"/>
  <c r="BD29" i="41"/>
  <c r="BA29" i="41"/>
  <c r="AW29" i="41"/>
  <c r="AV29" i="41"/>
  <c r="AZ29" i="41" s="1" a="1"/>
  <c r="AZ29" i="41" s="1"/>
  <c r="BF29" i="41"/>
  <c r="BF21" i="41"/>
  <c r="BD21" i="41"/>
  <c r="BA21" i="41"/>
  <c r="AW21" i="41"/>
  <c r="AV21" i="41"/>
  <c r="AX21" i="41" s="1" a="1"/>
  <c r="AX21" i="41" s="1"/>
  <c r="BF13" i="41"/>
  <c r="BD13" i="41"/>
  <c r="BA13" i="41"/>
  <c r="AV13" i="41"/>
  <c r="BC13" i="41" s="1" a="1"/>
  <c r="BC13" i="41" s="1"/>
  <c r="AW13" i="41"/>
  <c r="AU2" i="41"/>
  <c r="BA5" i="41"/>
  <c r="BF5" i="41"/>
  <c r="AW5" i="41"/>
  <c r="BD5" i="41"/>
  <c r="AV5" i="41"/>
  <c r="BC5" i="41" s="1" a="1"/>
  <c r="BC5" i="41" s="1"/>
  <c r="BF285" i="41"/>
  <c r="BD285" i="41"/>
  <c r="BA285" i="41"/>
  <c r="AW285" i="41"/>
  <c r="AV285" i="41"/>
  <c r="BC285" i="41" s="1" a="1"/>
  <c r="BC285" i="41" s="1"/>
  <c r="BF277" i="41"/>
  <c r="BD277" i="41"/>
  <c r="BA277" i="41"/>
  <c r="AW277" i="41"/>
  <c r="AV277" i="41"/>
  <c r="AX277" i="41" s="1" a="1"/>
  <c r="AX277" i="41" s="1"/>
  <c r="BF269" i="41"/>
  <c r="BD269" i="41"/>
  <c r="BA269" i="41"/>
  <c r="AW269" i="41"/>
  <c r="AV269" i="41"/>
  <c r="BC269" i="41" s="1" a="1"/>
  <c r="BC269" i="41" s="1"/>
  <c r="BA261" i="41"/>
  <c r="AW261" i="41"/>
  <c r="AV261" i="41"/>
  <c r="BG261" i="41" s="1" a="1"/>
  <c r="BG261" i="41" s="1"/>
  <c r="BF261" i="41"/>
  <c r="BD261" i="41"/>
  <c r="AV253" i="41"/>
  <c r="BC253" i="41" s="1" a="1"/>
  <c r="BC253" i="41" s="1"/>
  <c r="BF253" i="41"/>
  <c r="BD253" i="41"/>
  <c r="BA253" i="41"/>
  <c r="AW253" i="41"/>
  <c r="BF245" i="41"/>
  <c r="BD245" i="41"/>
  <c r="BA245" i="41"/>
  <c r="AW245" i="41"/>
  <c r="AV245" i="41"/>
  <c r="BC245" i="41" s="1" a="1"/>
  <c r="BC245" i="41" s="1"/>
  <c r="BF237" i="41"/>
  <c r="BD237" i="41"/>
  <c r="BA237" i="41"/>
  <c r="AW237" i="41"/>
  <c r="AV237" i="41"/>
  <c r="AZ237" i="41" s="1" a="1"/>
  <c r="AZ237" i="41" s="1"/>
  <c r="BF229" i="41"/>
  <c r="BD229" i="41"/>
  <c r="BA229" i="41"/>
  <c r="AW229" i="41"/>
  <c r="AV229" i="41"/>
  <c r="AZ229" i="41" s="1" a="1"/>
  <c r="AZ229" i="41" s="1"/>
  <c r="BF221" i="41"/>
  <c r="BD221" i="41"/>
  <c r="BA221" i="41"/>
  <c r="AW221" i="41"/>
  <c r="AV221" i="41"/>
  <c r="BC221" i="41" s="1" a="1"/>
  <c r="BC221" i="41" s="1"/>
  <c r="BF213" i="41"/>
  <c r="BD213" i="41"/>
  <c r="BA213" i="41"/>
  <c r="AW213" i="41"/>
  <c r="AV213" i="41"/>
  <c r="BC213" i="41" s="1" a="1"/>
  <c r="BC213" i="41" s="1"/>
  <c r="BD205" i="41"/>
  <c r="BA205" i="41"/>
  <c r="AW205" i="41"/>
  <c r="AV205" i="41"/>
  <c r="BG205" i="41" s="1" a="1"/>
  <c r="BG205" i="41" s="1"/>
  <c r="BF205" i="41"/>
  <c r="AW197" i="41"/>
  <c r="AV197" i="41"/>
  <c r="AX197" i="41" s="1" a="1"/>
  <c r="AX197" i="41" s="1"/>
  <c r="BF197" i="41"/>
  <c r="BD197" i="41"/>
  <c r="BA197" i="41"/>
  <c r="BF189" i="41"/>
  <c r="BD189" i="41"/>
  <c r="BA189" i="41"/>
  <c r="AW189" i="41"/>
  <c r="AV189" i="41"/>
  <c r="AZ189" i="41" s="1" a="1"/>
  <c r="AZ189" i="41" s="1"/>
  <c r="BD181" i="41"/>
  <c r="BA181" i="41"/>
  <c r="AW181" i="41"/>
  <c r="AV181" i="41"/>
  <c r="AX181" i="41" s="1" a="1"/>
  <c r="AX181" i="41" s="1"/>
  <c r="BF181" i="41"/>
  <c r="BF173" i="41"/>
  <c r="AV173" i="41"/>
  <c r="BC173" i="41" s="1" a="1"/>
  <c r="BC173" i="41" s="1"/>
  <c r="BA173" i="41"/>
  <c r="AW173" i="41"/>
  <c r="BD173" i="41"/>
  <c r="AW165" i="41"/>
  <c r="BF165" i="41"/>
  <c r="BD165" i="41"/>
  <c r="BA165" i="41"/>
  <c r="AV165" i="41"/>
  <c r="BC165" i="41" s="1" a="1"/>
  <c r="BC165" i="41" s="1"/>
  <c r="BF156" i="41"/>
  <c r="BD156" i="41"/>
  <c r="BA156" i="41"/>
  <c r="AW156" i="41"/>
  <c r="AV156" i="41"/>
  <c r="BG156" i="41" s="1" a="1"/>
  <c r="BG156" i="41" s="1"/>
  <c r="BD148" i="41"/>
  <c r="BA148" i="41"/>
  <c r="AW148" i="41"/>
  <c r="AV148" i="41"/>
  <c r="BG148" i="41" s="1" a="1"/>
  <c r="BG148" i="41" s="1"/>
  <c r="BF148" i="41"/>
  <c r="AW140" i="41"/>
  <c r="AV140" i="41"/>
  <c r="BC140" i="41" s="1" a="1"/>
  <c r="BC140" i="41" s="1"/>
  <c r="BF140" i="41"/>
  <c r="BD140" i="41"/>
  <c r="BA140" i="41"/>
  <c r="AV132" i="41"/>
  <c r="AZ132" i="41" s="1" a="1"/>
  <c r="AZ132" i="41" s="1"/>
  <c r="BF132" i="41"/>
  <c r="BD132" i="41"/>
  <c r="BA132" i="41"/>
  <c r="AW132" i="41"/>
  <c r="BF124" i="41"/>
  <c r="BD124" i="41"/>
  <c r="BA124" i="41"/>
  <c r="AW124" i="41"/>
  <c r="AV124" i="41"/>
  <c r="BG124" i="41" s="1" a="1"/>
  <c r="BG124" i="41" s="1"/>
  <c r="AV116" i="41"/>
  <c r="BC116" i="41" s="1" a="1"/>
  <c r="BC116" i="41" s="1"/>
  <c r="BF116" i="41"/>
  <c r="BD116" i="41"/>
  <c r="BA116" i="41"/>
  <c r="AW116" i="41"/>
  <c r="AW108" i="41"/>
  <c r="AV108" i="41"/>
  <c r="BG108" i="41" s="1" a="1"/>
  <c r="BG108" i="41" s="1"/>
  <c r="BF108" i="41"/>
  <c r="BD108" i="41"/>
  <c r="BA108" i="41"/>
  <c r="AW100" i="41"/>
  <c r="AV100" i="41"/>
  <c r="BC100" i="41" s="1" a="1"/>
  <c r="BC100" i="41" s="1"/>
  <c r="BF100" i="41"/>
  <c r="BD100" i="41"/>
  <c r="BA100" i="41"/>
  <c r="BF92" i="41"/>
  <c r="BD92" i="41"/>
  <c r="BA92" i="41"/>
  <c r="AW92" i="41"/>
  <c r="AV92" i="41"/>
  <c r="BG92" i="41" s="1" a="1"/>
  <c r="BG92" i="41" s="1"/>
  <c r="AW84" i="41"/>
  <c r="AV84" i="41"/>
  <c r="BG84" i="41" s="1" a="1"/>
  <c r="BG84" i="41" s="1"/>
  <c r="BF84" i="41"/>
  <c r="BD84" i="41"/>
  <c r="BA84" i="41"/>
  <c r="BF76" i="41"/>
  <c r="BD76" i="41"/>
  <c r="BA76" i="41"/>
  <c r="AW76" i="41"/>
  <c r="AV76" i="41"/>
  <c r="AX76" i="41" s="1" a="1"/>
  <c r="AX76" i="41" s="1"/>
  <c r="AW68" i="41"/>
  <c r="AV68" i="41"/>
  <c r="AZ68" i="41" s="1" a="1"/>
  <c r="AZ68" i="41" s="1"/>
  <c r="BA68" i="41"/>
  <c r="BF68" i="41"/>
  <c r="BD68" i="41"/>
  <c r="BD60" i="41"/>
  <c r="AV60" i="41"/>
  <c r="AZ60" i="41" s="1" a="1"/>
  <c r="AZ60" i="41" s="1"/>
  <c r="BF60" i="41"/>
  <c r="BA60" i="41"/>
  <c r="AW60" i="41"/>
  <c r="BA52" i="41"/>
  <c r="BF52" i="41"/>
  <c r="BD52" i="41"/>
  <c r="AW52" i="41"/>
  <c r="AV52" i="41"/>
  <c r="BG52" i="41" s="1" a="1"/>
  <c r="BG52" i="41" s="1"/>
  <c r="BD44" i="41"/>
  <c r="BF44" i="41"/>
  <c r="BA44" i="41"/>
  <c r="AW44" i="41"/>
  <c r="AV44" i="41"/>
  <c r="BG44" i="41" s="1" a="1"/>
  <c r="BG44" i="41" s="1"/>
  <c r="BF36" i="41"/>
  <c r="BD36" i="41"/>
  <c r="BA36" i="41"/>
  <c r="AW36" i="41"/>
  <c r="AV36" i="41"/>
  <c r="AX36" i="41" s="1" a="1"/>
  <c r="AX36" i="41" s="1"/>
  <c r="AV28" i="41"/>
  <c r="BG28" i="41" s="1" a="1"/>
  <c r="BG28" i="41" s="1"/>
  <c r="BF28" i="41"/>
  <c r="BD28" i="41"/>
  <c r="BA28" i="41"/>
  <c r="AW28" i="41"/>
  <c r="BA20" i="41"/>
  <c r="AW20" i="41"/>
  <c r="AV20" i="41"/>
  <c r="BG20" i="41" s="1" a="1"/>
  <c r="BG20" i="41" s="1"/>
  <c r="BF20" i="41"/>
  <c r="BD20" i="41"/>
  <c r="BD12" i="41"/>
  <c r="BA12" i="41"/>
  <c r="AW12" i="41"/>
  <c r="AV12" i="41"/>
  <c r="BG12" i="41" s="1" a="1"/>
  <c r="BG12" i="41" s="1"/>
  <c r="BF12" i="41"/>
  <c r="BF292" i="41"/>
  <c r="BD292" i="41"/>
  <c r="BA292" i="41"/>
  <c r="AW292" i="41"/>
  <c r="AV292" i="41"/>
  <c r="AX292" i="41" s="1" a="1"/>
  <c r="AX292" i="41" s="1"/>
  <c r="BF284" i="41"/>
  <c r="BD284" i="41"/>
  <c r="BA284" i="41"/>
  <c r="AW284" i="41"/>
  <c r="AV284" i="41"/>
  <c r="BC284" i="41" s="1" a="1"/>
  <c r="BC284" i="41" s="1"/>
  <c r="AW276" i="41"/>
  <c r="AV276" i="41"/>
  <c r="AZ276" i="41" s="1" a="1"/>
  <c r="AZ276" i="41" s="1"/>
  <c r="BF276" i="41"/>
  <c r="BD276" i="41"/>
  <c r="BA276" i="41"/>
  <c r="AW268" i="41"/>
  <c r="AV268" i="41"/>
  <c r="BC268" i="41" s="1" a="1"/>
  <c r="BC268" i="41" s="1"/>
  <c r="BF268" i="41"/>
  <c r="BD268" i="41"/>
  <c r="BA268" i="41"/>
  <c r="BF260" i="41"/>
  <c r="BD260" i="41"/>
  <c r="BA260" i="41"/>
  <c r="AW260" i="41"/>
  <c r="AV260" i="41"/>
  <c r="AZ260" i="41" s="1" a="1"/>
  <c r="AZ260" i="41" s="1"/>
  <c r="BF252" i="41"/>
  <c r="BD252" i="41"/>
  <c r="BA252" i="41"/>
  <c r="AW252" i="41"/>
  <c r="AV252" i="41"/>
  <c r="BC252" i="41" s="1" a="1"/>
  <c r="BC252" i="41" s="1"/>
  <c r="BD244" i="41"/>
  <c r="BA244" i="41"/>
  <c r="AW244" i="41"/>
  <c r="AV244" i="41"/>
  <c r="BG244" i="41" s="1" a="1"/>
  <c r="BG244" i="41" s="1"/>
  <c r="BF244" i="41"/>
  <c r="BA236" i="41"/>
  <c r="AW236" i="41"/>
  <c r="AV236" i="41"/>
  <c r="BG236" i="41" s="1" a="1"/>
  <c r="BG236" i="41" s="1"/>
  <c r="BF236" i="41"/>
  <c r="BD236" i="41"/>
  <c r="BF228" i="41"/>
  <c r="BD228" i="41"/>
  <c r="BA228" i="41"/>
  <c r="AW228" i="41"/>
  <c r="AV228" i="41"/>
  <c r="BC228" i="41" s="1" a="1"/>
  <c r="BC228" i="41" s="1"/>
  <c r="BA220" i="41"/>
  <c r="AW220" i="41"/>
  <c r="AV220" i="41"/>
  <c r="AX220" i="41" s="1" a="1"/>
  <c r="AX220" i="41" s="1"/>
  <c r="BF220" i="41"/>
  <c r="BD220" i="41"/>
  <c r="BA212" i="41"/>
  <c r="AW212" i="41"/>
  <c r="AV212" i="41"/>
  <c r="AZ212" i="41" s="1" a="1"/>
  <c r="AZ212" i="41" s="1"/>
  <c r="BF212" i="41"/>
  <c r="BD212" i="41"/>
  <c r="AW204" i="41"/>
  <c r="AV204" i="41"/>
  <c r="AZ204" i="41" s="1" a="1"/>
  <c r="AZ204" i="41" s="1"/>
  <c r="BF204" i="41"/>
  <c r="BD204" i="41"/>
  <c r="BA204" i="41"/>
  <c r="BF196" i="41"/>
  <c r="BD196" i="41"/>
  <c r="BA196" i="41"/>
  <c r="AW196" i="41"/>
  <c r="AV196" i="41"/>
  <c r="AX196" i="41" s="1" a="1"/>
  <c r="AX196" i="41" s="1"/>
  <c r="BA188" i="41"/>
  <c r="AW188" i="41"/>
  <c r="AV188" i="41"/>
  <c r="AZ188" i="41" s="1" a="1"/>
  <c r="AZ188" i="41" s="1"/>
  <c r="BF188" i="41"/>
  <c r="BD188" i="41"/>
  <c r="AW180" i="41"/>
  <c r="AV180" i="41"/>
  <c r="BC180" i="41" s="1" a="1"/>
  <c r="BC180" i="41" s="1"/>
  <c r="BF180" i="41"/>
  <c r="BD180" i="41"/>
  <c r="BA180" i="41"/>
  <c r="AW172" i="41"/>
  <c r="BF172" i="41"/>
  <c r="BD172" i="41"/>
  <c r="BA172" i="41"/>
  <c r="AV172" i="41"/>
  <c r="BG172" i="41" s="1" a="1"/>
  <c r="BG172" i="41" s="1"/>
  <c r="BA164" i="41"/>
  <c r="BF164" i="41"/>
  <c r="BD164" i="41"/>
  <c r="AW164" i="41"/>
  <c r="AV164" i="41"/>
  <c r="AX164" i="41" s="1" a="1"/>
  <c r="AX164" i="41" s="1"/>
  <c r="BD167" i="41"/>
  <c r="BF167" i="41"/>
  <c r="BA167" i="41"/>
  <c r="AW167" i="41"/>
  <c r="AV167" i="41"/>
  <c r="BC167" i="41" s="1" a="1"/>
  <c r="BC167" i="41" s="1"/>
  <c r="AW159" i="41"/>
  <c r="AV159" i="41"/>
  <c r="BC159" i="41" s="1" a="1"/>
  <c r="BC159" i="41" s="1"/>
  <c r="BF159" i="41"/>
  <c r="BD159" i="41"/>
  <c r="BA159" i="41"/>
  <c r="AV171" i="41"/>
  <c r="AZ171" i="41" s="1" a="1"/>
  <c r="AZ171" i="41" s="1"/>
  <c r="BD171" i="41"/>
  <c r="BA171" i="41"/>
  <c r="AW171" i="41"/>
  <c r="BF171" i="41"/>
  <c r="BF163" i="41"/>
  <c r="BD163" i="41"/>
  <c r="BA163" i="41"/>
  <c r="AW163" i="41"/>
  <c r="AV163" i="41"/>
  <c r="BC163" i="41" s="1" a="1"/>
  <c r="BC163" i="41" s="1"/>
  <c r="BD160" i="41"/>
  <c r="BA160" i="41"/>
  <c r="AW160" i="41"/>
  <c r="AV160" i="41"/>
  <c r="AZ160" i="41" s="1" a="1"/>
  <c r="AZ160" i="41" s="1"/>
  <c r="BF160" i="41"/>
  <c r="H67" i="43"/>
  <c r="B5" i="71" s="1"/>
  <c r="H69" i="43"/>
  <c r="B7" i="71" s="1"/>
  <c r="H70" i="43"/>
  <c r="B8" i="71" s="1"/>
  <c r="H71" i="43"/>
  <c r="B10" i="71"/>
  <c r="H73" i="43"/>
  <c r="H74" i="43"/>
  <c r="B12" i="71" s="1"/>
  <c r="H75" i="43"/>
  <c r="B13" i="71" s="1"/>
  <c r="H76" i="43"/>
  <c r="B14" i="71" s="1"/>
  <c r="H77" i="43"/>
  <c r="B15" i="71" s="1"/>
  <c r="H66" i="43"/>
  <c r="K78" i="43"/>
  <c r="G78" i="43"/>
  <c r="G13" i="43" s="1"/>
  <c r="F78" i="43"/>
  <c r="E78" i="43"/>
  <c r="D78" i="43"/>
  <c r="D13" i="43" s="1"/>
  <c r="Z51" i="17"/>
  <c r="Y51" i="17"/>
  <c r="W51" i="17"/>
  <c r="Z40" i="17"/>
  <c r="Y40" i="17"/>
  <c r="X40" i="17"/>
  <c r="Z39" i="17"/>
  <c r="Y39" i="17"/>
  <c r="X39" i="17"/>
  <c r="Z38" i="17"/>
  <c r="Y38" i="17"/>
  <c r="X38" i="17"/>
  <c r="Z37" i="17"/>
  <c r="Y37" i="17"/>
  <c r="X37" i="17"/>
  <c r="Z32" i="17"/>
  <c r="Y32" i="17"/>
  <c r="X32" i="17"/>
  <c r="Z31" i="17"/>
  <c r="Y31" i="17"/>
  <c r="X31" i="17"/>
  <c r="Z30" i="17"/>
  <c r="Y30" i="17"/>
  <c r="X30" i="17"/>
  <c r="Z29" i="17"/>
  <c r="Y29" i="17"/>
  <c r="X29" i="17"/>
  <c r="Z24" i="17"/>
  <c r="Y24" i="17"/>
  <c r="X24" i="17"/>
  <c r="Z23" i="17"/>
  <c r="Y23" i="17"/>
  <c r="X23" i="17"/>
  <c r="Z22" i="17"/>
  <c r="Y22" i="17"/>
  <c r="X22" i="17"/>
  <c r="Z21" i="17"/>
  <c r="Y21" i="17"/>
  <c r="X21" i="17"/>
  <c r="Z16" i="17"/>
  <c r="Y16" i="17"/>
  <c r="X16" i="17"/>
  <c r="Z15" i="17"/>
  <c r="Y15" i="17"/>
  <c r="X15" i="17"/>
  <c r="Z14" i="17"/>
  <c r="Y14" i="17"/>
  <c r="X14" i="17"/>
  <c r="Z13" i="17"/>
  <c r="Y13" i="17"/>
  <c r="X13" i="17"/>
  <c r="Z8" i="17"/>
  <c r="Y8" i="17"/>
  <c r="X8" i="17"/>
  <c r="Z7" i="17"/>
  <c r="Y7" i="17"/>
  <c r="X7" i="17"/>
  <c r="Z6" i="17"/>
  <c r="Y6" i="17"/>
  <c r="X6" i="17"/>
  <c r="Z5" i="17"/>
  <c r="Y5" i="17"/>
  <c r="X5" i="17"/>
  <c r="Z45" i="17"/>
  <c r="Y45" i="17"/>
  <c r="W45" i="17"/>
  <c r="Z2" i="17"/>
  <c r="AL58" i="17" l="1"/>
  <c r="AN59" i="17"/>
  <c r="AM59" i="17"/>
  <c r="AL59" i="17"/>
  <c r="AN57" i="17"/>
  <c r="AN60" i="17"/>
  <c r="AM57" i="17"/>
  <c r="AM60" i="17"/>
  <c r="AL57" i="17"/>
  <c r="AL60" i="17"/>
  <c r="AN58" i="17"/>
  <c r="AM58" i="17"/>
  <c r="AG57" i="17"/>
  <c r="AE58" i="17"/>
  <c r="AG60" i="17"/>
  <c r="AF60" i="17"/>
  <c r="AF58" i="17"/>
  <c r="AG58" i="17"/>
  <c r="AE59" i="17"/>
  <c r="AE60" i="17"/>
  <c r="AF59" i="17"/>
  <c r="AG59" i="17"/>
  <c r="AE57" i="17"/>
  <c r="AF57" i="17"/>
  <c r="AR55" i="17"/>
  <c r="B16" i="71"/>
  <c r="W55" i="17"/>
  <c r="BG147" i="41" a="1"/>
  <c r="BG147" i="41" s="1"/>
  <c r="BC32" i="41" a="1"/>
  <c r="BC32" i="41" s="1"/>
  <c r="BE32" i="41" s="1"/>
  <c r="AX115" i="41" a="1"/>
  <c r="AX115" i="41" s="1"/>
  <c r="AY115" i="41" s="1"/>
  <c r="BG91" i="41" a="1"/>
  <c r="BG91" i="41" s="1"/>
  <c r="BH91" i="41" s="1"/>
  <c r="AX241" i="41" a="1"/>
  <c r="AX241" i="41" s="1"/>
  <c r="AY241" i="41" s="1"/>
  <c r="AX147" i="41" a="1"/>
  <c r="AX147" i="41" s="1"/>
  <c r="AY147" i="41" s="1"/>
  <c r="AZ67" i="41" a="1"/>
  <c r="AZ67" i="41" s="1"/>
  <c r="AZ147" i="41" a="1"/>
  <c r="AZ147" i="41" s="1"/>
  <c r="BB147" i="41" s="1"/>
  <c r="BE147" i="41"/>
  <c r="BE120" i="41"/>
  <c r="AX65" i="41" a="1"/>
  <c r="AX65" i="41" s="1"/>
  <c r="AY65" i="41" s="1"/>
  <c r="AX103" i="41" a="1"/>
  <c r="AX103" i="41" s="1"/>
  <c r="AY103" i="41" s="1"/>
  <c r="BC241" i="41" a="1"/>
  <c r="BC241" i="41" s="1"/>
  <c r="BE241" i="41" s="1"/>
  <c r="AX113" i="41" a="1"/>
  <c r="AX113" i="41" s="1"/>
  <c r="AY113" i="41" s="1"/>
  <c r="AB22" i="17"/>
  <c r="BG23" i="41" a="1"/>
  <c r="BG23" i="41" s="1"/>
  <c r="BH23" i="41" s="1"/>
  <c r="BG9" i="41" a="1"/>
  <c r="BG9" i="41" s="1"/>
  <c r="BH9" i="41" s="1"/>
  <c r="AZ87" i="41" a="1"/>
  <c r="AZ87" i="41" s="1"/>
  <c r="BG121" i="41" a="1"/>
  <c r="BG121" i="41" s="1"/>
  <c r="BH121" i="41" s="1"/>
  <c r="BG87" i="41" a="1"/>
  <c r="BG87" i="41" s="1"/>
  <c r="BH87" i="41" s="1"/>
  <c r="AZ166" i="41" a="1"/>
  <c r="AZ166" i="41" s="1"/>
  <c r="BB166" i="41" s="1"/>
  <c r="AX87" i="41" a="1"/>
  <c r="AX87" i="41" s="1"/>
  <c r="AY87" i="41" s="1"/>
  <c r="AZ90" i="41" a="1"/>
  <c r="AZ90" i="41" s="1"/>
  <c r="BB90" i="41" s="1"/>
  <c r="BG219" i="41" a="1"/>
  <c r="BG219" i="41" s="1"/>
  <c r="BH219" i="41" s="1"/>
  <c r="BG154" i="41" a="1"/>
  <c r="BG154" i="41" s="1"/>
  <c r="BH154" i="41" s="1"/>
  <c r="BC176" i="41" a="1"/>
  <c r="BC176" i="41" s="1"/>
  <c r="BE176" i="41" s="1"/>
  <c r="BG214" i="41" a="1"/>
  <c r="BG214" i="41" s="1"/>
  <c r="BH214" i="41" s="1"/>
  <c r="BC104" i="41" a="1"/>
  <c r="BC104" i="41" s="1"/>
  <c r="BE104" i="41" s="1"/>
  <c r="AZ118" i="41" a="1"/>
  <c r="AZ118" i="41" s="1"/>
  <c r="AX95" i="41" a="1"/>
  <c r="AX95" i="41" s="1"/>
  <c r="AY95" i="41" s="1"/>
  <c r="BG204" i="41" a="1"/>
  <c r="BG204" i="41" s="1"/>
  <c r="BH204" i="41" s="1"/>
  <c r="AZ268" i="41" a="1"/>
  <c r="AZ268" i="41" s="1"/>
  <c r="BG179" i="41" a="1"/>
  <c r="BG179" i="41" s="1"/>
  <c r="BH179" i="41" s="1"/>
  <c r="BG227" i="41" a="1"/>
  <c r="BG227" i="41" s="1"/>
  <c r="BH227" i="41" s="1"/>
  <c r="BC11" i="41" a="1"/>
  <c r="BC11" i="41" s="1"/>
  <c r="BE11" i="41" s="1"/>
  <c r="BC291" i="41" a="1"/>
  <c r="BC291" i="41" s="1"/>
  <c r="BE291" i="41" s="1"/>
  <c r="BG11" i="41" a="1"/>
  <c r="BG11" i="41" s="1"/>
  <c r="BH11" i="41" s="1"/>
  <c r="BG291" i="41" a="1"/>
  <c r="BG291" i="41" s="1"/>
  <c r="BH291" i="41" s="1"/>
  <c r="BC237" i="41" a="1"/>
  <c r="BC237" i="41" s="1"/>
  <c r="BE237" i="41" s="1"/>
  <c r="BC118" i="41" a="1"/>
  <c r="BC118" i="41" s="1"/>
  <c r="BE118" i="41" s="1"/>
  <c r="BG183" i="41" a="1"/>
  <c r="BG183" i="41" s="1"/>
  <c r="BH183" i="41" s="1"/>
  <c r="AX104" i="41" a="1"/>
  <c r="AX104" i="41" s="1"/>
  <c r="AY104" i="41" s="1"/>
  <c r="BC187" i="41" a="1"/>
  <c r="BC187" i="41" s="1"/>
  <c r="BE187" i="41" s="1"/>
  <c r="AX83" i="41" a="1"/>
  <c r="AX83" i="41" s="1"/>
  <c r="AY83" i="41" s="1"/>
  <c r="AX183" i="41" a="1"/>
  <c r="AX183" i="41" s="1"/>
  <c r="AY183" i="41" s="1"/>
  <c r="BG187" i="41" a="1"/>
  <c r="BG187" i="41" s="1"/>
  <c r="BH187" i="41" s="1"/>
  <c r="BE75" i="41"/>
  <c r="AZ83" i="41" a="1"/>
  <c r="AZ83" i="41" s="1"/>
  <c r="BB83" i="41" s="1"/>
  <c r="AX52" i="41" a="1"/>
  <c r="AX52" i="41" s="1"/>
  <c r="AY52" i="41" s="1"/>
  <c r="AZ183" i="41" a="1"/>
  <c r="AZ183" i="41" s="1"/>
  <c r="BB183" i="41" s="1"/>
  <c r="BG65" i="41" a="1"/>
  <c r="BG65" i="41" s="1"/>
  <c r="BH65" i="41" s="1"/>
  <c r="BC154" i="41" a="1"/>
  <c r="BC154" i="41" s="1"/>
  <c r="BE154" i="41" s="1"/>
  <c r="AX179" i="41" a="1"/>
  <c r="AX179" i="41" s="1"/>
  <c r="AY179" i="41" s="1"/>
  <c r="BC83" i="41" a="1"/>
  <c r="BC83" i="41" s="1"/>
  <c r="BE83" i="41" s="1"/>
  <c r="BC47" i="41" a="1"/>
  <c r="BC47" i="41" s="1"/>
  <c r="BE47" i="41" s="1"/>
  <c r="AX57" i="41" a="1"/>
  <c r="AX57" i="41" s="1"/>
  <c r="AY57" i="41" s="1"/>
  <c r="AZ19" i="41" a="1"/>
  <c r="AZ19" i="41" s="1"/>
  <c r="BB19" i="41" s="1"/>
  <c r="BC181" i="41" a="1"/>
  <c r="BC181" i="41" s="1"/>
  <c r="BE181" i="41" s="1"/>
  <c r="AB38" i="17"/>
  <c r="BE159" i="41"/>
  <c r="AZ181" i="41" a="1"/>
  <c r="AZ181" i="41" s="1"/>
  <c r="BC103" i="41" a="1"/>
  <c r="BC103" i="41" s="1"/>
  <c r="BE103" i="41" s="1"/>
  <c r="BC19" i="41" a="1"/>
  <c r="BC19" i="41" s="1"/>
  <c r="BE19" i="41" s="1"/>
  <c r="AX67" i="41" a="1"/>
  <c r="AX67" i="41" s="1"/>
  <c r="AY67" i="41" s="1"/>
  <c r="BC150" i="41" a="1"/>
  <c r="BC150" i="41" s="1"/>
  <c r="BE150" i="41" s="1"/>
  <c r="BG103" i="41" a="1"/>
  <c r="BG103" i="41" s="1"/>
  <c r="BH103" i="41" s="1"/>
  <c r="BC49" i="41" a="1"/>
  <c r="BC49" i="41" s="1"/>
  <c r="BE49" i="41" s="1"/>
  <c r="BG129" i="41" a="1"/>
  <c r="BG129" i="41" s="1"/>
  <c r="BH129" i="41" s="1"/>
  <c r="BG19" i="41" a="1"/>
  <c r="BG19" i="41" s="1"/>
  <c r="BH19" i="41" s="1"/>
  <c r="BG164" i="41" a="1"/>
  <c r="BG164" i="41" s="1"/>
  <c r="BH164" i="41" s="1"/>
  <c r="BG165" i="41" a="1"/>
  <c r="BG165" i="41" s="1"/>
  <c r="BH165" i="41" s="1"/>
  <c r="AX46" i="41" a="1"/>
  <c r="AX46" i="41" s="1"/>
  <c r="AY46" i="41" s="1"/>
  <c r="AZ192" i="41" a="1"/>
  <c r="AZ192" i="41" s="1"/>
  <c r="BC48" i="41" a="1"/>
  <c r="BC48" i="41" s="1"/>
  <c r="BE48" i="41" s="1"/>
  <c r="BC129" i="41" a="1"/>
  <c r="BC129" i="41" s="1"/>
  <c r="BE129" i="41" s="1"/>
  <c r="AX178" i="41" a="1"/>
  <c r="AX178" i="41" s="1"/>
  <c r="AY178" i="41" s="1"/>
  <c r="BC26" i="41" a="1"/>
  <c r="BC26" i="41" s="1"/>
  <c r="BE26" i="41" s="1"/>
  <c r="BG275" i="41" a="1"/>
  <c r="BG275" i="41" s="1"/>
  <c r="BH275" i="41" s="1"/>
  <c r="BH236" i="41"/>
  <c r="BC189" i="41" a="1"/>
  <c r="BC189" i="41" s="1"/>
  <c r="BE189" i="41" s="1"/>
  <c r="BC214" i="41" a="1"/>
  <c r="BC214" i="41" s="1"/>
  <c r="BE214" i="41" s="1"/>
  <c r="AZ38" i="41" a="1"/>
  <c r="AZ38" i="41" s="1"/>
  <c r="BB38" i="41" s="1"/>
  <c r="BH249" i="41"/>
  <c r="BG113" i="41" a="1"/>
  <c r="BG113" i="41" s="1"/>
  <c r="BH113" i="41" s="1"/>
  <c r="AZ121" i="41" a="1"/>
  <c r="AZ121" i="41" s="1"/>
  <c r="AX188" i="41" a="1"/>
  <c r="AX188" i="41" s="1"/>
  <c r="AY188" i="41" s="1"/>
  <c r="AZ55" i="41" a="1"/>
  <c r="AZ55" i="41" s="1"/>
  <c r="BB55" i="41" s="1"/>
  <c r="BG49" i="41" a="1"/>
  <c r="BG49" i="41" s="1"/>
  <c r="BH49" i="41" s="1"/>
  <c r="BC211" i="41" a="1"/>
  <c r="BC211" i="41" s="1"/>
  <c r="BE211" i="41" s="1"/>
  <c r="AZ180" i="41" a="1"/>
  <c r="AZ180" i="41" s="1"/>
  <c r="BB180" i="41" s="1"/>
  <c r="BG53" i="41" a="1"/>
  <c r="BG53" i="41" s="1"/>
  <c r="BH53" i="41" s="1"/>
  <c r="BG102" i="41" a="1"/>
  <c r="BG102" i="41" s="1"/>
  <c r="BH102" i="41" s="1"/>
  <c r="BC55" i="41" a="1"/>
  <c r="BC55" i="41" s="1"/>
  <c r="BE55" i="41" s="1"/>
  <c r="BC272" i="41" a="1"/>
  <c r="BC272" i="41" s="1"/>
  <c r="BE272" i="41" s="1"/>
  <c r="AZ49" i="41" a="1"/>
  <c r="AZ49" i="41" s="1"/>
  <c r="BB49" i="41" s="1"/>
  <c r="AZ179" i="41" a="1"/>
  <c r="AZ179" i="41" s="1"/>
  <c r="BB179" i="41" s="1"/>
  <c r="BG211" i="41" a="1"/>
  <c r="BG211" i="41" s="1"/>
  <c r="BH211" i="41" s="1"/>
  <c r="AX11" i="41" a="1"/>
  <c r="AX11" i="41" s="1"/>
  <c r="AY11" i="41" s="1"/>
  <c r="BC43" i="41" a="1"/>
  <c r="BC43" i="41" s="1"/>
  <c r="BE43" i="41" s="1"/>
  <c r="BG188" i="41" a="1"/>
  <c r="BG188" i="41" s="1"/>
  <c r="BH188" i="41" s="1"/>
  <c r="AX23" i="41" a="1"/>
  <c r="AX23" i="41" s="1"/>
  <c r="AY23" i="41" s="1"/>
  <c r="AZ264" i="41" a="1"/>
  <c r="AZ264" i="41" s="1"/>
  <c r="BB264" i="41" s="1"/>
  <c r="BC169" i="41" a="1"/>
  <c r="BC169" i="41" s="1"/>
  <c r="BE169" i="41" s="1"/>
  <c r="BC250" i="41" a="1"/>
  <c r="BC250" i="41" s="1"/>
  <c r="BE250" i="41" s="1"/>
  <c r="BC34" i="41" a="1"/>
  <c r="BC34" i="41" s="1"/>
  <c r="BE34" i="41" s="1"/>
  <c r="BG283" i="41" a="1"/>
  <c r="BG283" i="41" s="1"/>
  <c r="BH283" i="41" s="1"/>
  <c r="BC188" i="41" a="1"/>
  <c r="BC188" i="41" s="1"/>
  <c r="BE188" i="41" s="1"/>
  <c r="BC160" i="41" a="1"/>
  <c r="BC160" i="41" s="1"/>
  <c r="BE160" i="41" s="1"/>
  <c r="AX172" i="41" a="1"/>
  <c r="AX172" i="41" s="1"/>
  <c r="AY172" i="41" s="1"/>
  <c r="BG180" i="41" a="1"/>
  <c r="BG180" i="41" s="1"/>
  <c r="BH180" i="41" s="1"/>
  <c r="BC172" i="41" a="1"/>
  <c r="BC172" i="41" s="1"/>
  <c r="BE172" i="41" s="1"/>
  <c r="BC12" i="41" a="1"/>
  <c r="BC12" i="41" s="1"/>
  <c r="BE12" i="41" s="1"/>
  <c r="BG245" i="41" a="1"/>
  <c r="BG245" i="41" s="1"/>
  <c r="BH245" i="41" s="1"/>
  <c r="AY61" i="41"/>
  <c r="BG93" i="41" a="1"/>
  <c r="BG93" i="41" s="1"/>
  <c r="BH93" i="41" s="1"/>
  <c r="BG15" i="41" a="1"/>
  <c r="BG15" i="41" s="1"/>
  <c r="BH15" i="41" s="1"/>
  <c r="AZ168" i="41" a="1"/>
  <c r="AZ168" i="41" s="1"/>
  <c r="BB168" i="41" s="1"/>
  <c r="AY232" i="41"/>
  <c r="BG24" i="41" a="1"/>
  <c r="BG24" i="41" s="1"/>
  <c r="BH24" i="41" s="1"/>
  <c r="AZ97" i="41" a="1"/>
  <c r="AZ97" i="41" s="1"/>
  <c r="BB97" i="41" s="1"/>
  <c r="BG250" i="41" a="1"/>
  <c r="BG250" i="41" s="1"/>
  <c r="BH250" i="41" s="1"/>
  <c r="BG34" i="41" a="1"/>
  <c r="BG34" i="41" s="1"/>
  <c r="BH34" i="41" s="1"/>
  <c r="BB59" i="41"/>
  <c r="BE173" i="41"/>
  <c r="AY263" i="41"/>
  <c r="AY271" i="41"/>
  <c r="BH151" i="41"/>
  <c r="AY130" i="41"/>
  <c r="BH158" i="41"/>
  <c r="BH79" i="41"/>
  <c r="BH35" i="41"/>
  <c r="AY181" i="41"/>
  <c r="AY277" i="41"/>
  <c r="BE218" i="41"/>
  <c r="BH98" i="41"/>
  <c r="BH148" i="41"/>
  <c r="BE53" i="41"/>
  <c r="BE282" i="41"/>
  <c r="AY15" i="41"/>
  <c r="AY36" i="41"/>
  <c r="BH172" i="41"/>
  <c r="BE168" i="41"/>
  <c r="BH176" i="41"/>
  <c r="BB224" i="41"/>
  <c r="BE41" i="41"/>
  <c r="BH20" i="41"/>
  <c r="AY292" i="41"/>
  <c r="AY133" i="41"/>
  <c r="AY71" i="41"/>
  <c r="BE144" i="41"/>
  <c r="BH233" i="41"/>
  <c r="BH281" i="41"/>
  <c r="AY266" i="41"/>
  <c r="AY219" i="41"/>
  <c r="BE285" i="41"/>
  <c r="BE39" i="41"/>
  <c r="BH192" i="41"/>
  <c r="AY234" i="41"/>
  <c r="AZ108" i="41" a="1"/>
  <c r="AZ108" i="41" s="1"/>
  <c r="BB108" i="41" s="1"/>
  <c r="BH246" i="41"/>
  <c r="BH207" i="41"/>
  <c r="BH272" i="41"/>
  <c r="BG104" i="41" a="1"/>
  <c r="BG104" i="41" s="1"/>
  <c r="BH104" i="41" s="1"/>
  <c r="BH128" i="41"/>
  <c r="BH185" i="41"/>
  <c r="AX233" i="41" a="1"/>
  <c r="AX233" i="41" s="1"/>
  <c r="AY233" i="41" s="1"/>
  <c r="BE81" i="41"/>
  <c r="BH258" i="41"/>
  <c r="AX74" i="41" a="1"/>
  <c r="AX74" i="41" s="1"/>
  <c r="AY74" i="41" s="1"/>
  <c r="BE179" i="41"/>
  <c r="AY251" i="41"/>
  <c r="AX284" i="41" a="1"/>
  <c r="AX284" i="41" s="1"/>
  <c r="AY284" i="41" s="1"/>
  <c r="BG194" i="41" a="1"/>
  <c r="BG194" i="41" s="1"/>
  <c r="BH194" i="41" s="1"/>
  <c r="AY196" i="41"/>
  <c r="BC212" i="41" a="1"/>
  <c r="BC212" i="41" s="1"/>
  <c r="BE212" i="41" s="1"/>
  <c r="AX44" i="41" a="1"/>
  <c r="AX44" i="41" s="1"/>
  <c r="AY44" i="41" s="1"/>
  <c r="BE13" i="41"/>
  <c r="BE85" i="41"/>
  <c r="BE109" i="41"/>
  <c r="BE163" i="41"/>
  <c r="BG212" i="41" a="1"/>
  <c r="BG212" i="41" s="1"/>
  <c r="BH212" i="41" s="1"/>
  <c r="BE252" i="41"/>
  <c r="AZ44" i="41" a="1"/>
  <c r="AZ44" i="41" s="1"/>
  <c r="BB44" i="41" s="1"/>
  <c r="AZ52" i="41" a="1"/>
  <c r="AZ52" i="41" s="1"/>
  <c r="BB52" i="41" s="1"/>
  <c r="BG100" i="41" a="1"/>
  <c r="BG100" i="41" s="1"/>
  <c r="BH100" i="41" s="1"/>
  <c r="BG181" i="41" a="1"/>
  <c r="BG181" i="41" s="1"/>
  <c r="BH181" i="41" s="1"/>
  <c r="AX6" i="41" a="1"/>
  <c r="AX6" i="41" s="1"/>
  <c r="AY6" i="41" s="1"/>
  <c r="BC38" i="41" a="1"/>
  <c r="BC38" i="41" s="1"/>
  <c r="BE38" i="41" s="1"/>
  <c r="AZ46" i="41" a="1"/>
  <c r="AZ46" i="41" s="1"/>
  <c r="BB46" i="41" s="1"/>
  <c r="BE70" i="41"/>
  <c r="BH126" i="41"/>
  <c r="AX207" i="41" a="1"/>
  <c r="AX207" i="41" s="1"/>
  <c r="AY207" i="41" s="1"/>
  <c r="BE7" i="41"/>
  <c r="BG47" i="41" a="1"/>
  <c r="BG47" i="41" s="1"/>
  <c r="BH47" i="41" s="1"/>
  <c r="BG55" i="41" a="1"/>
  <c r="BG55" i="41" s="1"/>
  <c r="BH55" i="41" s="1"/>
  <c r="BH16" i="41"/>
  <c r="BG72" i="41" a="1"/>
  <c r="BG72" i="41" s="1"/>
  <c r="BH72" i="41" s="1"/>
  <c r="AX257" i="41" a="1"/>
  <c r="AX257" i="41" s="1"/>
  <c r="AY257" i="41" s="1"/>
  <c r="BH57" i="41"/>
  <c r="BC162" i="41" a="1"/>
  <c r="BC162" i="41" s="1"/>
  <c r="BE162" i="41" s="1"/>
  <c r="BE274" i="41"/>
  <c r="BE66" i="41"/>
  <c r="BE167" i="41"/>
  <c r="BE228" i="41"/>
  <c r="BC44" i="41" a="1"/>
  <c r="BC44" i="41" s="1"/>
  <c r="BE44" i="41" s="1"/>
  <c r="BC52" i="41" a="1"/>
  <c r="BC52" i="41" s="1"/>
  <c r="BE52" i="41" s="1"/>
  <c r="AX124" i="41" a="1"/>
  <c r="AX124" i="41" s="1"/>
  <c r="AY124" i="41" s="1"/>
  <c r="BE165" i="41"/>
  <c r="AX13" i="41" a="1"/>
  <c r="AX13" i="41" s="1"/>
  <c r="AY13" i="41" s="1"/>
  <c r="BG61" i="41" a="1"/>
  <c r="BG61" i="41" s="1"/>
  <c r="BH61" i="41" s="1"/>
  <c r="BG109" i="41" a="1"/>
  <c r="BG109" i="41" s="1"/>
  <c r="BH109" i="41" s="1"/>
  <c r="BH222" i="41"/>
  <c r="BC6" i="41" a="1"/>
  <c r="BC6" i="41" s="1"/>
  <c r="BE6" i="41" s="1"/>
  <c r="AZ30" i="41" a="1"/>
  <c r="AZ30" i="41" s="1"/>
  <c r="BG38" i="41" a="1"/>
  <c r="BG38" i="41" s="1"/>
  <c r="BH38" i="41" s="1"/>
  <c r="BC46" i="41" a="1"/>
  <c r="BC46" i="41" s="1"/>
  <c r="BE46" i="41" s="1"/>
  <c r="AX126" i="41" a="1"/>
  <c r="AX126" i="41" s="1"/>
  <c r="AY126" i="41" s="1"/>
  <c r="BE183" i="41"/>
  <c r="BH199" i="41"/>
  <c r="AZ271" i="41" a="1"/>
  <c r="AZ271" i="41" s="1"/>
  <c r="AX39" i="41" a="1"/>
  <c r="AX39" i="41" s="1"/>
  <c r="AY39" i="41" s="1"/>
  <c r="BC119" i="41" a="1"/>
  <c r="BC119" i="41" s="1"/>
  <c r="BE119" i="41" s="1"/>
  <c r="AZ143" i="41" a="1"/>
  <c r="AZ143" i="41" s="1"/>
  <c r="BB143" i="41" s="1"/>
  <c r="BG162" i="41" a="1"/>
  <c r="BG162" i="41" s="1"/>
  <c r="BH162" i="41" s="1"/>
  <c r="BH186" i="41"/>
  <c r="BC114" i="41" a="1"/>
  <c r="BC114" i="41" s="1"/>
  <c r="BE114" i="41" s="1"/>
  <c r="AY43" i="41"/>
  <c r="BC59" i="41" a="1"/>
  <c r="BC59" i="41" s="1"/>
  <c r="BE59" i="41" s="1"/>
  <c r="BH131" i="41"/>
  <c r="BC124" i="41" a="1"/>
  <c r="BC124" i="41" s="1"/>
  <c r="BE124" i="41" s="1"/>
  <c r="AZ109" i="41" a="1"/>
  <c r="AZ109" i="41" s="1"/>
  <c r="BB109" i="41" s="1"/>
  <c r="BH166" i="41"/>
  <c r="BH190" i="41"/>
  <c r="AZ126" i="41" a="1"/>
  <c r="AZ126" i="41" s="1"/>
  <c r="AX199" i="41" a="1"/>
  <c r="AX199" i="41" s="1"/>
  <c r="AY199" i="41" s="1"/>
  <c r="BE215" i="41"/>
  <c r="BG271" i="41" a="1"/>
  <c r="BG271" i="41" s="1"/>
  <c r="BH271" i="41" s="1"/>
  <c r="BH216" i="41"/>
  <c r="AX64" i="41" a="1"/>
  <c r="AX64" i="41" s="1"/>
  <c r="AY64" i="41" s="1"/>
  <c r="BE193" i="41"/>
  <c r="BE217" i="41"/>
  <c r="BE113" i="41"/>
  <c r="BH74" i="41"/>
  <c r="BG107" i="41" a="1"/>
  <c r="BG107" i="41" s="1"/>
  <c r="BH107" i="41" s="1"/>
  <c r="AX163" i="41" a="1"/>
  <c r="AX163" i="41" s="1"/>
  <c r="AY163" i="41" s="1"/>
  <c r="AY164" i="41"/>
  <c r="BC196" i="41" a="1"/>
  <c r="BC196" i="41" s="1"/>
  <c r="BE196" i="41" s="1"/>
  <c r="BH84" i="41"/>
  <c r="BH108" i="41"/>
  <c r="AY21" i="41"/>
  <c r="BG262" i="41" a="1"/>
  <c r="BG262" i="41" s="1"/>
  <c r="BH262" i="41" s="1"/>
  <c r="AY38" i="41"/>
  <c r="AY62" i="41"/>
  <c r="AX272" i="41" a="1"/>
  <c r="AX272" i="41" s="1"/>
  <c r="AY272" i="41" s="1"/>
  <c r="AY8" i="41"/>
  <c r="BB104" i="41"/>
  <c r="AX120" i="41" a="1"/>
  <c r="AX120" i="41" s="1"/>
  <c r="AY120" i="41" s="1"/>
  <c r="BG217" i="41" a="1"/>
  <c r="BG217" i="41" s="1"/>
  <c r="BH217" i="41" s="1"/>
  <c r="AY49" i="41"/>
  <c r="BH290" i="41"/>
  <c r="AX110" i="41" a="1"/>
  <c r="AX110" i="41" s="1"/>
  <c r="AY110" i="41" s="1"/>
  <c r="AZ91" i="41" a="1"/>
  <c r="AZ91" i="41" s="1"/>
  <c r="AZ99" i="41" a="1"/>
  <c r="AZ99" i="41" s="1"/>
  <c r="AX100" i="41" a="1"/>
  <c r="AX100" i="41" s="1"/>
  <c r="AY100" i="41" s="1"/>
  <c r="AZ116" i="41" a="1"/>
  <c r="AZ116" i="41" s="1"/>
  <c r="AZ173" i="41" a="1"/>
  <c r="AZ173" i="41" s="1"/>
  <c r="BB173" i="41" s="1"/>
  <c r="AY286" i="41"/>
  <c r="AX255" i="41" a="1"/>
  <c r="AX255" i="41" s="1"/>
  <c r="AY255" i="41" s="1"/>
  <c r="AZ255" i="41" a="1"/>
  <c r="AZ255" i="41" s="1"/>
  <c r="BB255" i="41" s="1"/>
  <c r="AY248" i="41"/>
  <c r="AZ100" i="41" a="1"/>
  <c r="AZ100" i="41" s="1"/>
  <c r="BB100" i="41" s="1"/>
  <c r="AX261" i="41" a="1"/>
  <c r="AX261" i="41" s="1"/>
  <c r="AY261" i="41" s="1"/>
  <c r="AY101" i="41"/>
  <c r="AY198" i="41"/>
  <c r="AY86" i="41"/>
  <c r="BC143" i="41" a="1"/>
  <c r="BC143" i="41" s="1"/>
  <c r="BE143" i="41" s="1"/>
  <c r="BG143" i="41" a="1"/>
  <c r="BG143" i="41" s="1"/>
  <c r="BH143" i="41" s="1"/>
  <c r="AX40" i="41" a="1"/>
  <c r="AX40" i="41" s="1"/>
  <c r="AY40" i="41" s="1"/>
  <c r="BG40" i="41" a="1"/>
  <c r="BG40" i="41" s="1"/>
  <c r="BH40" i="41" s="1"/>
  <c r="BC40" i="41" a="1"/>
  <c r="BC40" i="41" s="1"/>
  <c r="BE40" i="41" s="1"/>
  <c r="AZ40" i="41" a="1"/>
  <c r="AZ40" i="41" s="1"/>
  <c r="BB40" i="41" s="1"/>
  <c r="BE253" i="41"/>
  <c r="AX160" i="41" a="1"/>
  <c r="AX160" i="41" s="1"/>
  <c r="AY160" i="41" s="1"/>
  <c r="BG163" i="41" a="1"/>
  <c r="BG163" i="41" s="1"/>
  <c r="BH163" i="41" s="1"/>
  <c r="BE180" i="41"/>
  <c r="AY220" i="41"/>
  <c r="BH28" i="41"/>
  <c r="BH92" i="41"/>
  <c r="BE221" i="41"/>
  <c r="BE5" i="41"/>
  <c r="AX29" i="41" a="1"/>
  <c r="AX29" i="41" s="1"/>
  <c r="AY29" i="41" s="1"/>
  <c r="AZ53" i="41" a="1"/>
  <c r="AZ53" i="41" s="1"/>
  <c r="BB53" i="41" s="1"/>
  <c r="BH77" i="41"/>
  <c r="BH125" i="41"/>
  <c r="BC157" i="41" a="1"/>
  <c r="BC157" i="41" s="1"/>
  <c r="BE157" i="41" s="1"/>
  <c r="BH182" i="41"/>
  <c r="BH278" i="41"/>
  <c r="BH22" i="41"/>
  <c r="BG70" i="41" a="1"/>
  <c r="BG70" i="41" s="1"/>
  <c r="BH70" i="41" s="1"/>
  <c r="BH118" i="41"/>
  <c r="BC271" i="41" a="1"/>
  <c r="BC271" i="41" s="1"/>
  <c r="BE271" i="41" s="1"/>
  <c r="AY287" i="41"/>
  <c r="AZ47" i="41" a="1"/>
  <c r="AZ47" i="41" s="1"/>
  <c r="BB47" i="41" s="1"/>
  <c r="BE87" i="41"/>
  <c r="AZ95" i="41" a="1"/>
  <c r="AZ95" i="41" s="1"/>
  <c r="BG95" i="41" a="1"/>
  <c r="BG95" i="41" s="1"/>
  <c r="BH95" i="41" s="1"/>
  <c r="BH119" i="41"/>
  <c r="AY143" i="41"/>
  <c r="BC280" i="41" a="1"/>
  <c r="BC280" i="41" s="1"/>
  <c r="BE280" i="41" s="1"/>
  <c r="BG280" i="41" a="1"/>
  <c r="BG280" i="41" s="1"/>
  <c r="BH280" i="41" s="1"/>
  <c r="AZ280" i="41" a="1"/>
  <c r="AZ280" i="41" s="1"/>
  <c r="AX280" i="41" a="1"/>
  <c r="AX280" i="41" s="1"/>
  <c r="AY280" i="41" s="1"/>
  <c r="BE245" i="41"/>
  <c r="BG157" i="41" a="1"/>
  <c r="BG157" i="41" s="1"/>
  <c r="BH157" i="41" s="1"/>
  <c r="BG254" i="41" a="1"/>
  <c r="BG254" i="41" s="1"/>
  <c r="BH254" i="41" s="1"/>
  <c r="BC94" i="41" a="1"/>
  <c r="BC94" i="41" s="1"/>
  <c r="BE94" i="41" s="1"/>
  <c r="BG110" i="41" a="1"/>
  <c r="BG110" i="41" s="1"/>
  <c r="BH110" i="41" s="1"/>
  <c r="BC110" i="41" a="1"/>
  <c r="BC110" i="41" s="1"/>
  <c r="BE110" i="41" s="1"/>
  <c r="BC264" i="41" a="1"/>
  <c r="BC264" i="41" s="1"/>
  <c r="BE264" i="41" s="1"/>
  <c r="AX264" i="41" a="1"/>
  <c r="AX264" i="41" s="1"/>
  <c r="AY264" i="41" s="1"/>
  <c r="AA21" i="17"/>
  <c r="BG160" i="41" a="1"/>
  <c r="BG160" i="41" s="1"/>
  <c r="BH160" i="41" s="1"/>
  <c r="AZ163" i="41" a="1"/>
  <c r="AZ163" i="41" s="1"/>
  <c r="BB163" i="41" s="1"/>
  <c r="BG220" i="41" a="1"/>
  <c r="BG220" i="41" s="1"/>
  <c r="BH220" i="41" s="1"/>
  <c r="BE284" i="41"/>
  <c r="BH12" i="41"/>
  <c r="AX28" i="41" a="1"/>
  <c r="AX28" i="41" s="1"/>
  <c r="AY28" i="41" s="1"/>
  <c r="BE100" i="41"/>
  <c r="BE116" i="41"/>
  <c r="BH156" i="41"/>
  <c r="AY197" i="41"/>
  <c r="BG21" i="41" a="1"/>
  <c r="BG21" i="41" s="1"/>
  <c r="BH21" i="41" s="1"/>
  <c r="BH37" i="41"/>
  <c r="AX53" i="41" a="1"/>
  <c r="AX53" i="41" s="1"/>
  <c r="AY53" i="41" s="1"/>
  <c r="AY69" i="41"/>
  <c r="AY141" i="41"/>
  <c r="BH149" i="41"/>
  <c r="AX157" i="41" a="1"/>
  <c r="AX157" i="41" s="1"/>
  <c r="AY157" i="41" s="1"/>
  <c r="BH174" i="41"/>
  <c r="BG94" i="41" a="1"/>
  <c r="BG94" i="41" s="1"/>
  <c r="BH94" i="41" s="1"/>
  <c r="BH134" i="41"/>
  <c r="AY63" i="41"/>
  <c r="BG127" i="41" a="1"/>
  <c r="BG127" i="41" s="1"/>
  <c r="BH127" i="41" s="1"/>
  <c r="AX127" i="41" a="1"/>
  <c r="AX127" i="41" s="1"/>
  <c r="AY127" i="41" s="1"/>
  <c r="AZ196" i="41" a="1"/>
  <c r="AZ196" i="41" s="1"/>
  <c r="BB196" i="41" s="1"/>
  <c r="BC204" i="41" a="1"/>
  <c r="BC204" i="41" s="1"/>
  <c r="BE204" i="41" s="1"/>
  <c r="BH44" i="41"/>
  <c r="BH52" i="41"/>
  <c r="AY76" i="41"/>
  <c r="BH124" i="41"/>
  <c r="BH205" i="41"/>
  <c r="BE213" i="41"/>
  <c r="BH261" i="41"/>
  <c r="BE269" i="41"/>
  <c r="BG13" i="41" a="1"/>
  <c r="BG13" i="41" s="1"/>
  <c r="BH13" i="41" s="1"/>
  <c r="BE93" i="41"/>
  <c r="BG198" i="41" a="1"/>
  <c r="BG198" i="41" s="1"/>
  <c r="BH198" i="41" s="1"/>
  <c r="AY262" i="41"/>
  <c r="BE270" i="41"/>
  <c r="BH46" i="41"/>
  <c r="BC134" i="41" a="1"/>
  <c r="BC134" i="41" s="1"/>
  <c r="BE134" i="41" s="1"/>
  <c r="BH150" i="41"/>
  <c r="BC255" i="41" a="1"/>
  <c r="BC255" i="41" s="1"/>
  <c r="BE255" i="41" s="1"/>
  <c r="AY47" i="41"/>
  <c r="BE95" i="41"/>
  <c r="BC111" i="41" a="1"/>
  <c r="BC111" i="41" s="1"/>
  <c r="BE111" i="41" s="1"/>
  <c r="BG111" i="41" a="1"/>
  <c r="BG111" i="41" s="1"/>
  <c r="BH111" i="41" s="1"/>
  <c r="BH135" i="41"/>
  <c r="BE254" i="41"/>
  <c r="BE30" i="41"/>
  <c r="BG255" i="41" a="1"/>
  <c r="BG255" i="41" s="1"/>
  <c r="BH255" i="41" s="1"/>
  <c r="AB16" i="17"/>
  <c r="BG196" i="41" a="1"/>
  <c r="BG196" i="41" s="1"/>
  <c r="BH196" i="41" s="1"/>
  <c r="AX204" i="41" a="1"/>
  <c r="AX204" i="41" s="1"/>
  <c r="AY204" i="41" s="1"/>
  <c r="BH244" i="41"/>
  <c r="BE268" i="41"/>
  <c r="AX116" i="41" a="1"/>
  <c r="AX116" i="41" s="1"/>
  <c r="AY116" i="41" s="1"/>
  <c r="AZ124" i="41" a="1"/>
  <c r="AZ124" i="41" s="1"/>
  <c r="BB124" i="41" s="1"/>
  <c r="BE140" i="41"/>
  <c r="AX189" i="41" a="1"/>
  <c r="AX189" i="41" s="1"/>
  <c r="AY189" i="41" s="1"/>
  <c r="BG237" i="41" a="1"/>
  <c r="BG237" i="41" s="1"/>
  <c r="BH237" i="41" s="1"/>
  <c r="BG5" i="41" a="1"/>
  <c r="BG5" i="41" s="1"/>
  <c r="BH5" i="41" s="1"/>
  <c r="AY117" i="41"/>
  <c r="BH78" i="41"/>
  <c r="AY142" i="41"/>
  <c r="BH239" i="41"/>
  <c r="BH184" i="41"/>
  <c r="AX81" i="41" a="1"/>
  <c r="AX81" i="41" s="1"/>
  <c r="AY81" i="41" s="1"/>
  <c r="BH105" i="41"/>
  <c r="BH145" i="41"/>
  <c r="BE202" i="41"/>
  <c r="BC210" i="41" a="1"/>
  <c r="BC210" i="41" s="1"/>
  <c r="BE210" i="41" s="1"/>
  <c r="AY226" i="41"/>
  <c r="BH18" i="41"/>
  <c r="BH50" i="41"/>
  <c r="BC90" i="41" a="1"/>
  <c r="BC90" i="41" s="1"/>
  <c r="BE90" i="41" s="1"/>
  <c r="AY106" i="41"/>
  <c r="BH146" i="41"/>
  <c r="BH195" i="41"/>
  <c r="BG27" i="41" a="1"/>
  <c r="BG27" i="41" s="1"/>
  <c r="BH27" i="41" s="1"/>
  <c r="BG67" i="41" a="1"/>
  <c r="BG67" i="41" s="1"/>
  <c r="BH67" i="41" s="1"/>
  <c r="BH83" i="41"/>
  <c r="AY55" i="41"/>
  <c r="AY200" i="41"/>
  <c r="AX288" i="41" a="1"/>
  <c r="AX288" i="41" s="1"/>
  <c r="AY288" i="41" s="1"/>
  <c r="BH48" i="41"/>
  <c r="BC64" i="41" a="1"/>
  <c r="BC64" i="41" s="1"/>
  <c r="BE64" i="41" s="1"/>
  <c r="AX72" i="41" a="1"/>
  <c r="AX72" i="41" s="1"/>
  <c r="AY72" i="41" s="1"/>
  <c r="AY169" i="41"/>
  <c r="BC265" i="41" a="1"/>
  <c r="BC265" i="41" s="1"/>
  <c r="BE265" i="41" s="1"/>
  <c r="BH73" i="41"/>
  <c r="AY129" i="41"/>
  <c r="AY162" i="41"/>
  <c r="AY170" i="41"/>
  <c r="BG202" i="41" a="1"/>
  <c r="BG202" i="41" s="1"/>
  <c r="BH202" i="41" s="1"/>
  <c r="BG210" i="41" a="1"/>
  <c r="BG210" i="41" s="1"/>
  <c r="BH210" i="41" s="1"/>
  <c r="AX50" i="41" a="1"/>
  <c r="AX50" i="41" s="1"/>
  <c r="AY50" i="41" s="1"/>
  <c r="BG82" i="41" a="1"/>
  <c r="BG82" i="41" s="1"/>
  <c r="BH82" i="41" s="1"/>
  <c r="AX90" i="41" a="1"/>
  <c r="AX90" i="41" s="1"/>
  <c r="AY90" i="41" s="1"/>
  <c r="BB11" i="41"/>
  <c r="BH231" i="41"/>
  <c r="AY279" i="41"/>
  <c r="BG168" i="41" a="1"/>
  <c r="BG168" i="41" s="1"/>
  <c r="BH168" i="41" s="1"/>
  <c r="BG288" i="41" a="1"/>
  <c r="BG288" i="41" s="1"/>
  <c r="BH288" i="41" s="1"/>
  <c r="AX24" i="41" a="1"/>
  <c r="AX24" i="41" s="1"/>
  <c r="AY24" i="41" s="1"/>
  <c r="BG32" i="41" a="1"/>
  <c r="BG32" i="41" s="1"/>
  <c r="BH32" i="41" s="1"/>
  <c r="AX48" i="41" a="1"/>
  <c r="AX48" i="41" s="1"/>
  <c r="AY48" i="41" s="1"/>
  <c r="BG56" i="41" a="1"/>
  <c r="BG56" i="41" s="1"/>
  <c r="BH56" i="41" s="1"/>
  <c r="BG64" i="41" a="1"/>
  <c r="BG64" i="41" s="1"/>
  <c r="BH64" i="41" s="1"/>
  <c r="BG257" i="41" a="1"/>
  <c r="BG257" i="41" s="1"/>
  <c r="BH257" i="41" s="1"/>
  <c r="BG265" i="41" a="1"/>
  <c r="BG265" i="41" s="1"/>
  <c r="BH265" i="41" s="1"/>
  <c r="BE25" i="41"/>
  <c r="AZ73" i="41" a="1"/>
  <c r="AZ73" i="41" s="1"/>
  <c r="BB73" i="41" s="1"/>
  <c r="AY121" i="41"/>
  <c r="BE137" i="41"/>
  <c r="BC194" i="41" a="1"/>
  <c r="BC194" i="41" s="1"/>
  <c r="BE194" i="41" s="1"/>
  <c r="AX202" i="41" a="1"/>
  <c r="AX202" i="41" s="1"/>
  <c r="AY202" i="41" s="1"/>
  <c r="BB34" i="41"/>
  <c r="BH42" i="41"/>
  <c r="AZ50" i="41" a="1"/>
  <c r="AZ50" i="41" s="1"/>
  <c r="BB50" i="41" s="1"/>
  <c r="BH114" i="41"/>
  <c r="AY211" i="41"/>
  <c r="AZ32" i="41" a="1"/>
  <c r="AZ32" i="41" s="1"/>
  <c r="BB32" i="41" s="1"/>
  <c r="AZ48" i="41" a="1"/>
  <c r="AZ48" i="41" s="1"/>
  <c r="BB48" i="41" s="1"/>
  <c r="BH88" i="41"/>
  <c r="AX265" i="41" a="1"/>
  <c r="AX265" i="41" s="1"/>
  <c r="AY265" i="41" s="1"/>
  <c r="AX289" i="41" a="1"/>
  <c r="AX289" i="41" s="1"/>
  <c r="AY289" i="41" s="1"/>
  <c r="BH17" i="41"/>
  <c r="AZ137" i="41" a="1"/>
  <c r="AZ137" i="41" s="1"/>
  <c r="BB137" i="41" s="1"/>
  <c r="BE242" i="41"/>
  <c r="BH10" i="41"/>
  <c r="BC50" i="41" a="1"/>
  <c r="BC50" i="41" s="1"/>
  <c r="BE50" i="41" s="1"/>
  <c r="AX114" i="41" a="1"/>
  <c r="AX114" i="41" s="1"/>
  <c r="AY114" i="41" s="1"/>
  <c r="AY19" i="41"/>
  <c r="BE67" i="41"/>
  <c r="BH136" i="41"/>
  <c r="AY26" i="41"/>
  <c r="BH90" i="41"/>
  <c r="BC106" i="41" a="1"/>
  <c r="BC106" i="41" s="1"/>
  <c r="BE106" i="41" s="1"/>
  <c r="BE267" i="41"/>
  <c r="AY27" i="41"/>
  <c r="BH147" i="41"/>
  <c r="AY273" i="41"/>
  <c r="AY82" i="41"/>
  <c r="BG106" i="41" a="1"/>
  <c r="BG106" i="41" s="1"/>
  <c r="BH106" i="41" s="1"/>
  <c r="BE235" i="41"/>
  <c r="AY259" i="41"/>
  <c r="BE283" i="41"/>
  <c r="BC99" i="41" a="1"/>
  <c r="BC99" i="41" s="1"/>
  <c r="BE99" i="41" s="1"/>
  <c r="BC79" i="41" a="1"/>
  <c r="BC79" i="41" s="1"/>
  <c r="BE79" i="41" s="1"/>
  <c r="BH264" i="41"/>
  <c r="AY32" i="41"/>
  <c r="BE56" i="41"/>
  <c r="AY80" i="41"/>
  <c r="AY161" i="41"/>
  <c r="BG241" i="41" a="1"/>
  <c r="BG241" i="41" s="1"/>
  <c r="BH241" i="41" s="1"/>
  <c r="AY33" i="41"/>
  <c r="BE97" i="41"/>
  <c r="BG242" i="41" a="1"/>
  <c r="BG242" i="41" s="1"/>
  <c r="BH242" i="41" s="1"/>
  <c r="AZ26" i="41" a="1"/>
  <c r="AZ26" i="41" s="1"/>
  <c r="BB26" i="41" s="1"/>
  <c r="BG99" i="41" a="1"/>
  <c r="BG99" i="41" s="1"/>
  <c r="BH99" i="41" s="1"/>
  <c r="AY139" i="41"/>
  <c r="BC17" i="41" a="1"/>
  <c r="BC17" i="41" s="1"/>
  <c r="BE17" i="41" s="1"/>
  <c r="BB51" i="41"/>
  <c r="BG59" i="41" a="1"/>
  <c r="BG59" i="41" s="1"/>
  <c r="BH59" i="41" s="1"/>
  <c r="BE91" i="41"/>
  <c r="AY99" i="41"/>
  <c r="BE115" i="41"/>
  <c r="BH155" i="41"/>
  <c r="BB288" i="41"/>
  <c r="BC171" i="41" a="1"/>
  <c r="BC171" i="41" s="1"/>
  <c r="BE171" i="41" s="1"/>
  <c r="AX167" i="41" a="1"/>
  <c r="AX167" i="41" s="1"/>
  <c r="AY167" i="41" s="1"/>
  <c r="AX159" i="41" a="1"/>
  <c r="AX159" i="41" s="1"/>
  <c r="AY159" i="41" s="1"/>
  <c r="AZ167" i="41" a="1"/>
  <c r="AZ167" i="41" s="1"/>
  <c r="BB167" i="41" s="1"/>
  <c r="BC260" i="41" a="1"/>
  <c r="BC260" i="41" s="1"/>
  <c r="BE260" i="41" s="1"/>
  <c r="AZ28" i="41" a="1"/>
  <c r="AZ28" i="41" s="1"/>
  <c r="BB28" i="41" s="1"/>
  <c r="BC84" i="41" a="1"/>
  <c r="BC84" i="41" s="1"/>
  <c r="BE84" i="41" s="1"/>
  <c r="BC31" i="41" a="1"/>
  <c r="BC31" i="41" s="1"/>
  <c r="BE31" i="41" s="1"/>
  <c r="BC273" i="41" a="1"/>
  <c r="BC273" i="41" s="1"/>
  <c r="BE273" i="41" s="1"/>
  <c r="BG159" i="41" a="1"/>
  <c r="BG159" i="41" s="1"/>
  <c r="BH159" i="41" s="1"/>
  <c r="BG171" i="41" a="1"/>
  <c r="BG171" i="41" s="1"/>
  <c r="BH171" i="41" s="1"/>
  <c r="BC276" i="41" a="1"/>
  <c r="BC276" i="41" s="1"/>
  <c r="BE276" i="41" s="1"/>
  <c r="AZ284" i="41" a="1"/>
  <c r="AZ284" i="41" s="1"/>
  <c r="BB284" i="41" s="1"/>
  <c r="BG36" i="41" a="1"/>
  <c r="BG36" i="41" s="1"/>
  <c r="BH36" i="41" s="1"/>
  <c r="AZ159" i="41" a="1"/>
  <c r="AZ159" i="41" s="1"/>
  <c r="BB159" i="41" s="1"/>
  <c r="BG260" i="41" a="1"/>
  <c r="BG260" i="41" s="1"/>
  <c r="BH260" i="41" s="1"/>
  <c r="BG276" i="41" a="1"/>
  <c r="BG276" i="41" s="1"/>
  <c r="BH276" i="41" s="1"/>
  <c r="BC28" i="41" a="1"/>
  <c r="BC28" i="41" s="1"/>
  <c r="BE28" i="41" s="1"/>
  <c r="AZ76" i="41" a="1"/>
  <c r="AZ76" i="41" s="1"/>
  <c r="BB76" i="41" s="1"/>
  <c r="AX84" i="41" a="1"/>
  <c r="AX84" i="41" s="1"/>
  <c r="AY84" i="41" s="1"/>
  <c r="BC229" i="41" a="1"/>
  <c r="BC229" i="41" s="1"/>
  <c r="BE229" i="41" s="1"/>
  <c r="AX237" i="41" a="1"/>
  <c r="AX237" i="41" s="1"/>
  <c r="AY237" i="41" s="1"/>
  <c r="AZ269" i="41" a="1"/>
  <c r="AZ269" i="41" s="1"/>
  <c r="BB269" i="41" s="1"/>
  <c r="AZ13" i="41" a="1"/>
  <c r="AZ13" i="41" s="1"/>
  <c r="BB13" i="41" s="1"/>
  <c r="AZ69" i="41" a="1"/>
  <c r="AZ69" i="41" s="1"/>
  <c r="BB69" i="41" s="1"/>
  <c r="AX77" i="41" a="1"/>
  <c r="AX77" i="41" s="1"/>
  <c r="AY77" i="41" s="1"/>
  <c r="AX85" i="41" a="1"/>
  <c r="AX85" i="41" s="1"/>
  <c r="AY85" i="41" s="1"/>
  <c r="AX93" i="41" a="1"/>
  <c r="AX93" i="41" s="1"/>
  <c r="AY93" i="41" s="1"/>
  <c r="AX214" i="41" a="1"/>
  <c r="AX214" i="41" s="1"/>
  <c r="AY214" i="41" s="1"/>
  <c r="AX278" i="41" a="1"/>
  <c r="AX278" i="41" s="1"/>
  <c r="AY278" i="41" s="1"/>
  <c r="BG31" i="41" a="1"/>
  <c r="BG31" i="41" s="1"/>
  <c r="BH31" i="41" s="1"/>
  <c r="AZ39" i="41" a="1"/>
  <c r="AZ39" i="41" s="1"/>
  <c r="BB39" i="41" s="1"/>
  <c r="AZ63" i="41" a="1"/>
  <c r="AZ63" i="41" s="1"/>
  <c r="BB63" i="41" s="1"/>
  <c r="BG273" i="41" a="1"/>
  <c r="BG273" i="41" s="1"/>
  <c r="BH273" i="41" s="1"/>
  <c r="AZ129" i="41" a="1"/>
  <c r="AZ129" i="41" s="1"/>
  <c r="BB129" i="41" s="1"/>
  <c r="BG137" i="41" a="1"/>
  <c r="BG137" i="41" s="1"/>
  <c r="BH137" i="41" s="1"/>
  <c r="AZ145" i="41" a="1"/>
  <c r="AZ145" i="41" s="1"/>
  <c r="BB145" i="41" s="1"/>
  <c r="AZ202" i="41" a="1"/>
  <c r="AZ202" i="41" s="1"/>
  <c r="BB202" i="41" s="1"/>
  <c r="AX210" i="41" a="1"/>
  <c r="AX210" i="41" s="1"/>
  <c r="AY210" i="41" s="1"/>
  <c r="AZ234" i="41" a="1"/>
  <c r="AZ234" i="41" s="1"/>
  <c r="AX242" i="41" a="1"/>
  <c r="AX242" i="41" s="1"/>
  <c r="AY242" i="41" s="1"/>
  <c r="BC146" i="41" a="1"/>
  <c r="BC146" i="41" s="1"/>
  <c r="BE146" i="41" s="1"/>
  <c r="AX154" i="41" a="1"/>
  <c r="AX154" i="41" s="1"/>
  <c r="AY154" i="41" s="1"/>
  <c r="AX131" i="41" a="1"/>
  <c r="AX131" i="41" s="1"/>
  <c r="AY131" i="41" s="1"/>
  <c r="AZ220" i="41" a="1"/>
  <c r="AZ220" i="41" s="1"/>
  <c r="BB220" i="41" s="1"/>
  <c r="BG228" i="41" a="1"/>
  <c r="BG228" i="41" s="1"/>
  <c r="BH228" i="41" s="1"/>
  <c r="BG252" i="41" a="1"/>
  <c r="BG252" i="41" s="1"/>
  <c r="BH252" i="41" s="1"/>
  <c r="BG76" i="41" a="1"/>
  <c r="BG76" i="41" s="1"/>
  <c r="BH76" i="41" s="1"/>
  <c r="BG269" i="41" a="1"/>
  <c r="BG269" i="41" s="1"/>
  <c r="BH269" i="41" s="1"/>
  <c r="AZ21" i="41" a="1"/>
  <c r="AZ21" i="41" s="1"/>
  <c r="BB21" i="41" s="1"/>
  <c r="BC29" i="41" a="1"/>
  <c r="BC29" i="41" s="1"/>
  <c r="BE29" i="41" s="1"/>
  <c r="BC69" i="41" a="1"/>
  <c r="BC69" i="41" s="1"/>
  <c r="BE69" i="41" s="1"/>
  <c r="AZ77" i="41" a="1"/>
  <c r="AZ77" i="41" s="1"/>
  <c r="BB77" i="41" s="1"/>
  <c r="AZ85" i="41" a="1"/>
  <c r="AZ85" i="41" s="1"/>
  <c r="BB85" i="41" s="1"/>
  <c r="AZ93" i="41" a="1"/>
  <c r="AZ93" i="41" s="1"/>
  <c r="BB93" i="41" s="1"/>
  <c r="AZ262" i="41" a="1"/>
  <c r="AZ262" i="41" s="1"/>
  <c r="BB262" i="41" s="1"/>
  <c r="AX270" i="41" a="1"/>
  <c r="AX270" i="41" s="1"/>
  <c r="AY270" i="41" s="1"/>
  <c r="BC78" i="41" a="1"/>
  <c r="BC78" i="41" s="1"/>
  <c r="BE78" i="41" s="1"/>
  <c r="AX134" i="41" a="1"/>
  <c r="AX134" i="41" s="1"/>
  <c r="AY134" i="41" s="1"/>
  <c r="AZ142" i="41" a="1"/>
  <c r="AZ142" i="41" s="1"/>
  <c r="BB142" i="41" s="1"/>
  <c r="AX239" i="41" a="1"/>
  <c r="AX239" i="41" s="1"/>
  <c r="AY239" i="41" s="1"/>
  <c r="AX176" i="41" a="1"/>
  <c r="AX176" i="41" s="1"/>
  <c r="AY176" i="41" s="1"/>
  <c r="AX137" i="41" a="1"/>
  <c r="AX137" i="41" s="1"/>
  <c r="AY137" i="41" s="1"/>
  <c r="BC145" i="41" a="1"/>
  <c r="BC145" i="41" s="1"/>
  <c r="BE145" i="41" s="1"/>
  <c r="BC234" i="41" a="1"/>
  <c r="BC234" i="41" s="1"/>
  <c r="BE234" i="41" s="1"/>
  <c r="AZ242" i="41" a="1"/>
  <c r="AZ242" i="41" s="1"/>
  <c r="BB242" i="41" s="1"/>
  <c r="AX250" i="41" a="1"/>
  <c r="AX250" i="41" s="1"/>
  <c r="AY250" i="41" s="1"/>
  <c r="BG282" i="41" a="1"/>
  <c r="BG282" i="41" s="1"/>
  <c r="BH282" i="41" s="1"/>
  <c r="BC18" i="41" a="1"/>
  <c r="BC18" i="41" s="1"/>
  <c r="BE18" i="41" s="1"/>
  <c r="BG26" i="41" a="1"/>
  <c r="BG26" i="41" s="1"/>
  <c r="BH26" i="41" s="1"/>
  <c r="AX34" i="41" a="1"/>
  <c r="AX34" i="41" s="1"/>
  <c r="AY34" i="41" s="1"/>
  <c r="AX187" i="41" a="1"/>
  <c r="AX187" i="41" s="1"/>
  <c r="AY187" i="41" s="1"/>
  <c r="AZ219" i="41" a="1"/>
  <c r="AZ219" i="41" s="1"/>
  <c r="BB219" i="41" s="1"/>
  <c r="AX227" i="41" a="1"/>
  <c r="AX227" i="41" s="1"/>
  <c r="AY227" i="41" s="1"/>
  <c r="BG235" i="41" a="1"/>
  <c r="BG235" i="41" s="1"/>
  <c r="BH235" i="41" s="1"/>
  <c r="BC243" i="41" a="1"/>
  <c r="BC243" i="41" s="1"/>
  <c r="BE243" i="41" s="1"/>
  <c r="AX59" i="41" a="1"/>
  <c r="AX59" i="41" s="1"/>
  <c r="AY59" i="41" s="1"/>
  <c r="AZ131" i="41" a="1"/>
  <c r="AZ131" i="41" s="1"/>
  <c r="BB131" i="41" s="1"/>
  <c r="AB14" i="17"/>
  <c r="BC220" i="41" a="1"/>
  <c r="BC220" i="41" s="1"/>
  <c r="BE220" i="41" s="1"/>
  <c r="BC21" i="41" a="1"/>
  <c r="BC21" i="41" s="1"/>
  <c r="BE21" i="41" s="1"/>
  <c r="BG69" i="41" a="1"/>
  <c r="BG69" i="41" s="1"/>
  <c r="BH69" i="41" s="1"/>
  <c r="BC77" i="41" a="1"/>
  <c r="BC77" i="41" s="1"/>
  <c r="BE77" i="41" s="1"/>
  <c r="BC262" i="41" a="1"/>
  <c r="BC262" i="41" s="1"/>
  <c r="BE262" i="41" s="1"/>
  <c r="AZ270" i="41" a="1"/>
  <c r="AZ270" i="41" s="1"/>
  <c r="BB270" i="41" s="1"/>
  <c r="AZ70" i="41" a="1"/>
  <c r="AZ70" i="41" s="1"/>
  <c r="BB70" i="41" s="1"/>
  <c r="AX118" i="41" a="1"/>
  <c r="AX118" i="41" s="1"/>
  <c r="AY118" i="41" s="1"/>
  <c r="AZ134" i="41" a="1"/>
  <c r="AZ134" i="41" s="1"/>
  <c r="BB134" i="41" s="1"/>
  <c r="BC191" i="41" a="1"/>
  <c r="BC191" i="41" s="1"/>
  <c r="BE191" i="41" s="1"/>
  <c r="AZ239" i="41" a="1"/>
  <c r="AZ239" i="41" s="1"/>
  <c r="BB239" i="41" s="1"/>
  <c r="AX119" i="41" a="1"/>
  <c r="AX119" i="41" s="1"/>
  <c r="AY119" i="41" s="1"/>
  <c r="AX168" i="41" a="1"/>
  <c r="AX168" i="41" s="1"/>
  <c r="AY168" i="41" s="1"/>
  <c r="AZ176" i="41" a="1"/>
  <c r="AZ176" i="41" s="1"/>
  <c r="BB176" i="41" s="1"/>
  <c r="AX184" i="41" a="1"/>
  <c r="AX184" i="41" s="1"/>
  <c r="AY184" i="41" s="1"/>
  <c r="AX192" i="41" a="1"/>
  <c r="AX192" i="41" s="1"/>
  <c r="AY192" i="41" s="1"/>
  <c r="BB72" i="41"/>
  <c r="AX112" i="41" a="1"/>
  <c r="AX112" i="41" s="1"/>
  <c r="AY112" i="41" s="1"/>
  <c r="AZ120" i="41" a="1"/>
  <c r="AZ120" i="41" s="1"/>
  <c r="BB120" i="41" s="1"/>
  <c r="AZ17" i="41" a="1"/>
  <c r="AZ17" i="41" s="1"/>
  <c r="BB17" i="41" s="1"/>
  <c r="BC57" i="41" a="1"/>
  <c r="BC57" i="41" s="1"/>
  <c r="BE57" i="41" s="1"/>
  <c r="BC65" i="41" a="1"/>
  <c r="BC65" i="41" s="1"/>
  <c r="BE65" i="41" s="1"/>
  <c r="BC73" i="41" a="1"/>
  <c r="BC73" i="41" s="1"/>
  <c r="BE73" i="41" s="1"/>
  <c r="AZ113" i="41" a="1"/>
  <c r="AZ113" i="41" s="1"/>
  <c r="BB113" i="41" s="1"/>
  <c r="BC178" i="41" a="1"/>
  <c r="BC178" i="41" s="1"/>
  <c r="BE178" i="41" s="1"/>
  <c r="BG234" i="41" a="1"/>
  <c r="BG234" i="41" s="1"/>
  <c r="BH234" i="41" s="1"/>
  <c r="AX258" i="41" a="1"/>
  <c r="AX258" i="41" s="1"/>
  <c r="AY258" i="41" s="1"/>
  <c r="AX274" i="41" a="1"/>
  <c r="AX274" i="41" s="1"/>
  <c r="AY274" i="41" s="1"/>
  <c r="AZ114" i="41" a="1"/>
  <c r="AZ114" i="41" s="1"/>
  <c r="BB114" i="41" s="1"/>
  <c r="BB187" i="41"/>
  <c r="BC219" i="41" a="1"/>
  <c r="BC219" i="41" s="1"/>
  <c r="BE219" i="41" s="1"/>
  <c r="BC227" i="41" a="1"/>
  <c r="BC227" i="41" s="1"/>
  <c r="BE227" i="41" s="1"/>
  <c r="AX235" i="41" a="1"/>
  <c r="AX235" i="41" s="1"/>
  <c r="AY235" i="41" s="1"/>
  <c r="BG243" i="41" a="1"/>
  <c r="BG243" i="41" s="1"/>
  <c r="BH243" i="41" s="1"/>
  <c r="AZ251" i="41" a="1"/>
  <c r="AZ251" i="41" s="1"/>
  <c r="BB251" i="41" s="1"/>
  <c r="BC131" i="41" a="1"/>
  <c r="BC131" i="41" s="1"/>
  <c r="BE131" i="41" s="1"/>
  <c r="BG191" i="41" a="1"/>
  <c r="BG191" i="41" s="1"/>
  <c r="BH191" i="41" s="1"/>
  <c r="BC231" i="41" a="1"/>
  <c r="BC231" i="41" s="1"/>
  <c r="BE231" i="41" s="1"/>
  <c r="AZ184" i="41" a="1"/>
  <c r="AZ184" i="41" s="1"/>
  <c r="BB184" i="41" s="1"/>
  <c r="BG120" i="41" a="1"/>
  <c r="BG120" i="41" s="1"/>
  <c r="BH120" i="41" s="1"/>
  <c r="AZ258" i="41" a="1"/>
  <c r="AZ258" i="41" s="1"/>
  <c r="BB258" i="41" s="1"/>
  <c r="AZ266" i="41" a="1"/>
  <c r="AZ266" i="41" s="1"/>
  <c r="BB266" i="41" s="1"/>
  <c r="AZ274" i="41" a="1"/>
  <c r="AZ274" i="41" s="1"/>
  <c r="BB274" i="41" s="1"/>
  <c r="AZ235" i="41" a="1"/>
  <c r="AZ235" i="41" s="1"/>
  <c r="BB235" i="41" s="1"/>
  <c r="AX243" i="41" a="1"/>
  <c r="AX243" i="41" s="1"/>
  <c r="AY243" i="41" s="1"/>
  <c r="BC251" i="41" a="1"/>
  <c r="BC251" i="41" s="1"/>
  <c r="BE251" i="41" s="1"/>
  <c r="AZ259" i="41" a="1"/>
  <c r="AZ259" i="41" s="1"/>
  <c r="BC190" i="41" a="1"/>
  <c r="BC190" i="41" s="1"/>
  <c r="BE190" i="41" s="1"/>
  <c r="AX191" i="41" a="1"/>
  <c r="AX191" i="41" s="1"/>
  <c r="AY191" i="41" s="1"/>
  <c r="AZ199" i="41" a="1"/>
  <c r="AZ199" i="41" s="1"/>
  <c r="BB199" i="41" s="1"/>
  <c r="AZ279" i="41" a="1"/>
  <c r="AZ279" i="41" s="1"/>
  <c r="BB279" i="41" s="1"/>
  <c r="AZ287" i="41" a="1"/>
  <c r="AZ287" i="41" s="1"/>
  <c r="BB287" i="41" s="1"/>
  <c r="BC184" i="41" a="1"/>
  <c r="BC184" i="41" s="1"/>
  <c r="BE184" i="41" s="1"/>
  <c r="BC256" i="41" a="1"/>
  <c r="BC256" i="41" s="1"/>
  <c r="BE256" i="41" s="1"/>
  <c r="BG8" i="41" a="1"/>
  <c r="BG8" i="41" s="1"/>
  <c r="BH8" i="41" s="1"/>
  <c r="AZ88" i="41" a="1"/>
  <c r="AZ88" i="41" s="1"/>
  <c r="BB88" i="41" s="1"/>
  <c r="AX225" i="41" a="1"/>
  <c r="AX225" i="41" s="1"/>
  <c r="AY225" i="41" s="1"/>
  <c r="AZ233" i="41" a="1"/>
  <c r="AZ233" i="41" s="1"/>
  <c r="BB233" i="41" s="1"/>
  <c r="BC289" i="41" a="1"/>
  <c r="BC289" i="41" s="1"/>
  <c r="BE289" i="41" s="1"/>
  <c r="AX9" i="41" a="1"/>
  <c r="AX9" i="41" s="1"/>
  <c r="AY9" i="41" s="1"/>
  <c r="BG97" i="41" a="1"/>
  <c r="BG97" i="41" s="1"/>
  <c r="BH97" i="41" s="1"/>
  <c r="BC258" i="41" a="1"/>
  <c r="BC258" i="41" s="1"/>
  <c r="BE258" i="41" s="1"/>
  <c r="BC266" i="41" a="1"/>
  <c r="BC266" i="41" s="1"/>
  <c r="BE266" i="41" s="1"/>
  <c r="AX98" i="41" a="1"/>
  <c r="AX98" i="41" s="1"/>
  <c r="AY98" i="41" s="1"/>
  <c r="BB243" i="41"/>
  <c r="BG251" i="41" a="1"/>
  <c r="BG251" i="41" s="1"/>
  <c r="BH251" i="41" s="1"/>
  <c r="BC259" i="41" a="1"/>
  <c r="BC259" i="41" s="1"/>
  <c r="BE259" i="41" s="1"/>
  <c r="AX35" i="41" a="1"/>
  <c r="AX35" i="41" s="1"/>
  <c r="AY35" i="41" s="1"/>
  <c r="AX171" i="41" a="1"/>
  <c r="AX171" i="41" s="1"/>
  <c r="AY171" i="41" s="1"/>
  <c r="AX276" i="41" a="1"/>
  <c r="AX276" i="41" s="1"/>
  <c r="AY276" i="41" s="1"/>
  <c r="AX60" i="41" a="1"/>
  <c r="AX60" i="41" s="1"/>
  <c r="AY60" i="41" s="1"/>
  <c r="BC108" i="41" a="1"/>
  <c r="BC108" i="41" s="1"/>
  <c r="BE108" i="41" s="1"/>
  <c r="BG189" i="41" a="1"/>
  <c r="BG189" i="41" s="1"/>
  <c r="BH189" i="41" s="1"/>
  <c r="AX109" i="41" a="1"/>
  <c r="AX109" i="41" s="1"/>
  <c r="AY109" i="41" s="1"/>
  <c r="AX54" i="41" a="1"/>
  <c r="AX54" i="41" s="1"/>
  <c r="AY54" i="41" s="1"/>
  <c r="BC199" i="41" a="1"/>
  <c r="BC199" i="41" s="1"/>
  <c r="BE199" i="41" s="1"/>
  <c r="BC263" i="41" a="1"/>
  <c r="BC263" i="41" s="1"/>
  <c r="BE263" i="41" s="1"/>
  <c r="BC279" i="41" a="1"/>
  <c r="BC279" i="41" s="1"/>
  <c r="BE279" i="41" s="1"/>
  <c r="BC23" i="41" a="1"/>
  <c r="BC23" i="41" s="1"/>
  <c r="BE23" i="41" s="1"/>
  <c r="AX31" i="41" a="1"/>
  <c r="AX31" i="41" s="1"/>
  <c r="AY31" i="41" s="1"/>
  <c r="BG256" i="41" a="1"/>
  <c r="BG256" i="41" s="1"/>
  <c r="BH256" i="41" s="1"/>
  <c r="AZ272" i="41" a="1"/>
  <c r="AZ272" i="41" s="1"/>
  <c r="BB272" i="41" s="1"/>
  <c r="BC288" i="41" a="1"/>
  <c r="BC288" i="41" s="1"/>
  <c r="BE288" i="41" s="1"/>
  <c r="BC72" i="41" a="1"/>
  <c r="BC72" i="41" s="1"/>
  <c r="BE72" i="41" s="1"/>
  <c r="BC80" i="41" a="1"/>
  <c r="BC80" i="41" s="1"/>
  <c r="BE80" i="41" s="1"/>
  <c r="BC88" i="41" a="1"/>
  <c r="BC88" i="41" s="1"/>
  <c r="BE88" i="41" s="1"/>
  <c r="AZ169" i="41" a="1"/>
  <c r="AZ169" i="41" s="1"/>
  <c r="BB169" i="41" s="1"/>
  <c r="AZ217" i="41" a="1"/>
  <c r="AZ217" i="41" s="1"/>
  <c r="BB217" i="41" s="1"/>
  <c r="BC225" i="41" a="1"/>
  <c r="BC225" i="41" s="1"/>
  <c r="BE225" i="41" s="1"/>
  <c r="BG289" i="41" a="1"/>
  <c r="BG289" i="41" s="1"/>
  <c r="BH289" i="41" s="1"/>
  <c r="AX97" i="41" a="1"/>
  <c r="AX97" i="41" s="1"/>
  <c r="AY97" i="41" s="1"/>
  <c r="AX194" i="41" a="1"/>
  <c r="AX194" i="41" s="1"/>
  <c r="AY194" i="41" s="1"/>
  <c r="BG259" i="41" a="1"/>
  <c r="BG259" i="41" s="1"/>
  <c r="BH259" i="41" s="1"/>
  <c r="BC27" i="41" a="1"/>
  <c r="BC27" i="41" s="1"/>
  <c r="BE27" i="41" s="1"/>
  <c r="AZ35" i="41" a="1"/>
  <c r="AZ35" i="41" s="1"/>
  <c r="BB35" i="41" s="1"/>
  <c r="AZ115" i="41" a="1"/>
  <c r="AZ115" i="41" s="1"/>
  <c r="BB115" i="41" s="1"/>
  <c r="BG279" i="41" a="1"/>
  <c r="BG279" i="41" s="1"/>
  <c r="BH279" i="41" s="1"/>
  <c r="BG39" i="41" a="1"/>
  <c r="BG39" i="41" s="1"/>
  <c r="BH39" i="41" s="1"/>
  <c r="BG80" i="41" a="1"/>
  <c r="BG80" i="41" s="1"/>
  <c r="BH80" i="41" s="1"/>
  <c r="AX88" i="41" a="1"/>
  <c r="AX88" i="41" s="1"/>
  <c r="AY88" i="41" s="1"/>
  <c r="AZ273" i="41" a="1"/>
  <c r="AZ273" i="41" s="1"/>
  <c r="BB273" i="41" s="1"/>
  <c r="BC33" i="41" a="1"/>
  <c r="BC33" i="41" s="1"/>
  <c r="BE33" i="41" s="1"/>
  <c r="BC35" i="41" a="1"/>
  <c r="BC35" i="41" s="1"/>
  <c r="BE35" i="41" s="1"/>
  <c r="AZ228" i="41" a="1"/>
  <c r="AZ228" i="41" s="1"/>
  <c r="BB228" i="41" s="1"/>
  <c r="AX236" i="41" a="1"/>
  <c r="AX236" i="41" s="1"/>
  <c r="AY236" i="41" s="1"/>
  <c r="BB260" i="41"/>
  <c r="BB276" i="41"/>
  <c r="AZ292" i="41" a="1"/>
  <c r="AZ292" i="41" s="1"/>
  <c r="BB292" i="41" s="1"/>
  <c r="AX12" i="41" a="1"/>
  <c r="AX12" i="41" s="1"/>
  <c r="AY12" i="41" s="1"/>
  <c r="BC60" i="41" a="1"/>
  <c r="BC60" i="41" s="1"/>
  <c r="BE60" i="41" s="1"/>
  <c r="BC68" i="41" a="1"/>
  <c r="BC68" i="41" s="1"/>
  <c r="BE68" i="41" s="1"/>
  <c r="BG116" i="41" a="1"/>
  <c r="BG116" i="41" s="1"/>
  <c r="BH116" i="41" s="1"/>
  <c r="BC132" i="41" a="1"/>
  <c r="BC132" i="41" s="1"/>
  <c r="BE132" i="41" s="1"/>
  <c r="BG140" i="41" a="1"/>
  <c r="BG140" i="41" s="1"/>
  <c r="BH140" i="41" s="1"/>
  <c r="AZ197" i="41" a="1"/>
  <c r="AZ197" i="41" s="1"/>
  <c r="BB197" i="41" s="1"/>
  <c r="AX205" i="41" a="1"/>
  <c r="AX205" i="41" s="1"/>
  <c r="AY205" i="41" s="1"/>
  <c r="BB229" i="41"/>
  <c r="AZ245" i="41" a="1"/>
  <c r="AZ245" i="41" s="1"/>
  <c r="BB245" i="41" s="1"/>
  <c r="BG253" i="41" a="1"/>
  <c r="BG253" i="41" s="1"/>
  <c r="BH253" i="41" s="1"/>
  <c r="BC261" i="41" a="1"/>
  <c r="BC261" i="41" s="1"/>
  <c r="BE261" i="41" s="1"/>
  <c r="AW2" i="41"/>
  <c r="AX37" i="41" a="1"/>
  <c r="AX37" i="41" s="1"/>
  <c r="AY37" i="41" s="1"/>
  <c r="BG85" i="41" a="1"/>
  <c r="BG85" i="41" s="1"/>
  <c r="BH85" i="41" s="1"/>
  <c r="AZ101" i="41" a="1"/>
  <c r="AZ101" i="41" s="1"/>
  <c r="BB101" i="41" s="1"/>
  <c r="BC117" i="41" a="1"/>
  <c r="BC117" i="41" s="1"/>
  <c r="BE117" i="41" s="1"/>
  <c r="BC125" i="41" a="1"/>
  <c r="BC125" i="41" s="1"/>
  <c r="BE125" i="41" s="1"/>
  <c r="AZ133" i="41" a="1"/>
  <c r="AZ133" i="41" s="1"/>
  <c r="BB133" i="41" s="1"/>
  <c r="AZ141" i="41" a="1"/>
  <c r="AZ141" i="41" s="1"/>
  <c r="BB141" i="41" s="1"/>
  <c r="AZ230" i="41" a="1"/>
  <c r="AZ230" i="41" s="1"/>
  <c r="BB230" i="41" s="1"/>
  <c r="BG230" i="41" a="1"/>
  <c r="BG230" i="41" s="1"/>
  <c r="BH230" i="41" s="1"/>
  <c r="AX238" i="41" a="1"/>
  <c r="AX238" i="41" s="1"/>
  <c r="AY238" i="41" s="1"/>
  <c r="BG238" i="41" a="1"/>
  <c r="BG238" i="41" s="1"/>
  <c r="BH238" i="41" s="1"/>
  <c r="BC238" i="41" a="1"/>
  <c r="BC238" i="41" s="1"/>
  <c r="BE238" i="41" s="1"/>
  <c r="BG270" i="41" a="1"/>
  <c r="BG270" i="41" s="1"/>
  <c r="BH270" i="41" s="1"/>
  <c r="BC278" i="41" a="1"/>
  <c r="BC278" i="41" s="1"/>
  <c r="BE278" i="41" s="1"/>
  <c r="BB160" i="41"/>
  <c r="AZ164" i="41" a="1"/>
  <c r="AZ164" i="41" s="1"/>
  <c r="BB164" i="41" s="1"/>
  <c r="BB171" i="41"/>
  <c r="BG167" i="41" a="1"/>
  <c r="BG167" i="41" s="1"/>
  <c r="BH167" i="41" s="1"/>
  <c r="BC164" i="41" a="1"/>
  <c r="BC164" i="41" s="1"/>
  <c r="BE164" i="41" s="1"/>
  <c r="AZ172" i="41" a="1"/>
  <c r="AZ172" i="41" s="1"/>
  <c r="BB172" i="41" s="1"/>
  <c r="AX180" i="41" a="1"/>
  <c r="AX180" i="41" s="1"/>
  <c r="AY180" i="41" s="1"/>
  <c r="BB188" i="41"/>
  <c r="AZ236" i="41" a="1"/>
  <c r="AZ236" i="41" s="1"/>
  <c r="BB236" i="41" s="1"/>
  <c r="AX244" i="41" a="1"/>
  <c r="AX244" i="41" s="1"/>
  <c r="AY244" i="41" s="1"/>
  <c r="BG284" i="41" a="1"/>
  <c r="BG284" i="41" s="1"/>
  <c r="BH284" i="41" s="1"/>
  <c r="BC292" i="41" a="1"/>
  <c r="BC292" i="41" s="1"/>
  <c r="BE292" i="41" s="1"/>
  <c r="AZ12" i="41" a="1"/>
  <c r="AZ12" i="41" s="1"/>
  <c r="BB12" i="41" s="1"/>
  <c r="AX20" i="41" a="1"/>
  <c r="AX20" i="41" s="1"/>
  <c r="AY20" i="41" s="1"/>
  <c r="BG60" i="41" a="1"/>
  <c r="BG60" i="41" s="1"/>
  <c r="BH60" i="41" s="1"/>
  <c r="BG68" i="41" a="1"/>
  <c r="BG68" i="41" s="1"/>
  <c r="BH68" i="41" s="1"/>
  <c r="BC76" i="41" a="1"/>
  <c r="BC76" i="41" s="1"/>
  <c r="BE76" i="41" s="1"/>
  <c r="AZ84" i="41" a="1"/>
  <c r="AZ84" i="41" s="1"/>
  <c r="BB84" i="41" s="1"/>
  <c r="BB116" i="41"/>
  <c r="AX132" i="41" a="1"/>
  <c r="AX132" i="41" s="1"/>
  <c r="AY132" i="41" s="1"/>
  <c r="AX140" i="41" a="1"/>
  <c r="AX140" i="41" s="1"/>
  <c r="AY140" i="41" s="1"/>
  <c r="AX148" i="41" a="1"/>
  <c r="AX148" i="41" s="1"/>
  <c r="AY148" i="41" s="1"/>
  <c r="BC197" i="41" a="1"/>
  <c r="BC197" i="41" s="1"/>
  <c r="BE197" i="41" s="1"/>
  <c r="AZ205" i="41" a="1"/>
  <c r="AZ205" i="41" s="1"/>
  <c r="BB205" i="41" s="1"/>
  <c r="AX213" i="41" a="1"/>
  <c r="AX213" i="41" s="1"/>
  <c r="AY213" i="41" s="1"/>
  <c r="BB237" i="41"/>
  <c r="AX253" i="41" a="1"/>
  <c r="AX253" i="41" s="1"/>
  <c r="AY253" i="41" s="1"/>
  <c r="AZ277" i="41" a="1"/>
  <c r="AZ277" i="41" s="1"/>
  <c r="BB277" i="41" s="1"/>
  <c r="BF2" i="41"/>
  <c r="BG29" i="41" a="1"/>
  <c r="BG29" i="41" s="1"/>
  <c r="BH29" i="41" s="1"/>
  <c r="AZ37" i="41" a="1"/>
  <c r="AZ37" i="41" s="1"/>
  <c r="BB37" i="41" s="1"/>
  <c r="BC45" i="41" a="1"/>
  <c r="BC45" i="41" s="1"/>
  <c r="BE45" i="41" s="1"/>
  <c r="BC101" i="41" a="1"/>
  <c r="BC101" i="41" s="1"/>
  <c r="BE101" i="41" s="1"/>
  <c r="BG117" i="41" a="1"/>
  <c r="BG117" i="41" s="1"/>
  <c r="BH117" i="41" s="1"/>
  <c r="AX125" i="41" a="1"/>
  <c r="AX125" i="41" s="1"/>
  <c r="AY125" i="41" s="1"/>
  <c r="BC133" i="41" a="1"/>
  <c r="BC133" i="41" s="1"/>
  <c r="BE133" i="41" s="1"/>
  <c r="BC141" i="41" a="1"/>
  <c r="BC141" i="41" s="1"/>
  <c r="BE141" i="41" s="1"/>
  <c r="AX149" i="41" a="1"/>
  <c r="AX149" i="41" s="1"/>
  <c r="AY149" i="41" s="1"/>
  <c r="BB157" i="41"/>
  <c r="AZ190" i="41" a="1"/>
  <c r="AZ190" i="41" s="1"/>
  <c r="BB190" i="41" s="1"/>
  <c r="AX190" i="41" a="1"/>
  <c r="AX190" i="41" s="1"/>
  <c r="AY190" i="41" s="1"/>
  <c r="AZ198" i="41" a="1"/>
  <c r="AZ198" i="41" s="1"/>
  <c r="BB198" i="41" s="1"/>
  <c r="BC206" i="41" a="1"/>
  <c r="BC206" i="41" s="1"/>
  <c r="BE206" i="41" s="1"/>
  <c r="AZ238" i="41" a="1"/>
  <c r="AZ238" i="41" s="1"/>
  <c r="BB238" i="41" s="1"/>
  <c r="AZ14" i="41" a="1"/>
  <c r="AZ14" i="41" s="1"/>
  <c r="BB14" i="41" s="1"/>
  <c r="AX14" i="41" a="1"/>
  <c r="AX14" i="41" s="1"/>
  <c r="AY14" i="41" s="1"/>
  <c r="BG14" i="41" a="1"/>
  <c r="BG14" i="41" s="1"/>
  <c r="BH14" i="41" s="1"/>
  <c r="BC14" i="41" a="1"/>
  <c r="BC14" i="41" s="1"/>
  <c r="BE14" i="41" s="1"/>
  <c r="AX30" i="41" a="1"/>
  <c r="AX30" i="41" s="1"/>
  <c r="AY30" i="41" s="1"/>
  <c r="BG30" i="41" a="1"/>
  <c r="BG30" i="41" s="1"/>
  <c r="BH30" i="41" s="1"/>
  <c r="BB212" i="41"/>
  <c r="AZ244" i="41" a="1"/>
  <c r="AZ244" i="41" s="1"/>
  <c r="BB244" i="41" s="1"/>
  <c r="AX252" i="41" a="1"/>
  <c r="AX252" i="41" s="1"/>
  <c r="AY252" i="41" s="1"/>
  <c r="BG292" i="41" a="1"/>
  <c r="BG292" i="41" s="1"/>
  <c r="BH292" i="41" s="1"/>
  <c r="AZ20" i="41" a="1"/>
  <c r="AZ20" i="41" s="1"/>
  <c r="BB20" i="41" s="1"/>
  <c r="BB60" i="41"/>
  <c r="AX68" i="41" a="1"/>
  <c r="AX68" i="41" s="1"/>
  <c r="AY68" i="41" s="1"/>
  <c r="AX92" i="41" a="1"/>
  <c r="AX92" i="41" s="1"/>
  <c r="AY92" i="41" s="1"/>
  <c r="BG132" i="41" a="1"/>
  <c r="BG132" i="41" s="1"/>
  <c r="BH132" i="41" s="1"/>
  <c r="AZ140" i="41" a="1"/>
  <c r="AZ140" i="41" s="1"/>
  <c r="BB140" i="41" s="1"/>
  <c r="AZ148" i="41" a="1"/>
  <c r="AZ148" i="41" s="1"/>
  <c r="BB148" i="41" s="1"/>
  <c r="AX156" i="41" a="1"/>
  <c r="AX156" i="41" s="1"/>
  <c r="AY156" i="41" s="1"/>
  <c r="BG197" i="41" a="1"/>
  <c r="BG197" i="41" s="1"/>
  <c r="BH197" i="41" s="1"/>
  <c r="BC205" i="41" a="1"/>
  <c r="BC205" i="41" s="1"/>
  <c r="BE205" i="41" s="1"/>
  <c r="AZ213" i="41" a="1"/>
  <c r="AZ213" i="41" s="1"/>
  <c r="BB213" i="41" s="1"/>
  <c r="AX221" i="41" a="1"/>
  <c r="AX221" i="41" s="1"/>
  <c r="AY221" i="41" s="1"/>
  <c r="BC277" i="41" a="1"/>
  <c r="BC277" i="41" s="1"/>
  <c r="BE277" i="41" s="1"/>
  <c r="AX285" i="41" a="1"/>
  <c r="AX285" i="41" s="1"/>
  <c r="AY285" i="41" s="1"/>
  <c r="BA2" i="41"/>
  <c r="BC37" i="41" a="1"/>
  <c r="BC37" i="41" s="1"/>
  <c r="BE37" i="41" s="1"/>
  <c r="BG45" i="41" a="1"/>
  <c r="BG45" i="41" s="1"/>
  <c r="BH45" i="41" s="1"/>
  <c r="BG101" i="41" a="1"/>
  <c r="BG101" i="41" s="1"/>
  <c r="BH101" i="41" s="1"/>
  <c r="AZ117" i="41" a="1"/>
  <c r="AZ117" i="41" s="1"/>
  <c r="BB117" i="41" s="1"/>
  <c r="AZ125" i="41" a="1"/>
  <c r="AZ125" i="41" s="1"/>
  <c r="BB125" i="41" s="1"/>
  <c r="BG133" i="41" a="1"/>
  <c r="BG133" i="41" s="1"/>
  <c r="BH133" i="41" s="1"/>
  <c r="BG141" i="41" a="1"/>
  <c r="BG141" i="41" s="1"/>
  <c r="BH141" i="41" s="1"/>
  <c r="AZ149" i="41" a="1"/>
  <c r="AZ149" i="41" s="1"/>
  <c r="BB149" i="41" s="1"/>
  <c r="AX166" i="41" a="1"/>
  <c r="AX166" i="41" s="1"/>
  <c r="AY166" i="41" s="1"/>
  <c r="BC166" i="41" a="1"/>
  <c r="BC166" i="41" s="1"/>
  <c r="BE166" i="41" s="1"/>
  <c r="AX182" i="41" a="1"/>
  <c r="AX182" i="41" s="1"/>
  <c r="AY182" i="41" s="1"/>
  <c r="BC198" i="41" a="1"/>
  <c r="BC198" i="41" s="1"/>
  <c r="BE198" i="41" s="1"/>
  <c r="BG206" i="41" a="1"/>
  <c r="BG206" i="41" s="1"/>
  <c r="BH206" i="41" s="1"/>
  <c r="AZ222" i="41" a="1"/>
  <c r="AZ222" i="41" s="1"/>
  <c r="BB222" i="41" s="1"/>
  <c r="AX230" i="41" a="1"/>
  <c r="AX230" i="41" s="1"/>
  <c r="AY230" i="41" s="1"/>
  <c r="BG62" i="41" a="1"/>
  <c r="BG62" i="41" s="1"/>
  <c r="BH62" i="41" s="1"/>
  <c r="BC62" i="41" a="1"/>
  <c r="BC62" i="41" s="1"/>
  <c r="BE62" i="41" s="1"/>
  <c r="AZ62" i="41" a="1"/>
  <c r="AZ62" i="41" s="1"/>
  <c r="BB62" i="41" s="1"/>
  <c r="AZ86" i="41" a="1"/>
  <c r="AZ86" i="41" s="1"/>
  <c r="BB86" i="41" s="1"/>
  <c r="BG86" i="41" a="1"/>
  <c r="BG86" i="41" s="1"/>
  <c r="BH86" i="41" s="1"/>
  <c r="BC86" i="41" a="1"/>
  <c r="BC86" i="41" s="1"/>
  <c r="BE86" i="41" s="1"/>
  <c r="AZ175" i="41" a="1"/>
  <c r="AZ175" i="41" s="1"/>
  <c r="BB175" i="41" s="1"/>
  <c r="AX175" i="41" a="1"/>
  <c r="AX175" i="41" s="1"/>
  <c r="AY175" i="41" s="1"/>
  <c r="BG175" i="41" a="1"/>
  <c r="BG175" i="41" s="1"/>
  <c r="BH175" i="41" s="1"/>
  <c r="BC175" i="41" a="1"/>
  <c r="BC175" i="41" s="1"/>
  <c r="BE175" i="41" s="1"/>
  <c r="BC236" i="41" a="1"/>
  <c r="BC236" i="41" s="1"/>
  <c r="BE236" i="41" s="1"/>
  <c r="BC244" i="41" a="1"/>
  <c r="BC244" i="41" s="1"/>
  <c r="BE244" i="41" s="1"/>
  <c r="AZ252" i="41" a="1"/>
  <c r="AZ252" i="41" s="1"/>
  <c r="BB252" i="41" s="1"/>
  <c r="AX260" i="41" a="1"/>
  <c r="AX260" i="41" s="1"/>
  <c r="AY260" i="41" s="1"/>
  <c r="BC20" i="41" a="1"/>
  <c r="BC20" i="41" s="1"/>
  <c r="BE20" i="41" s="1"/>
  <c r="AZ36" i="41" a="1"/>
  <c r="AZ36" i="41" s="1"/>
  <c r="BB36" i="41" s="1"/>
  <c r="AZ92" i="41" a="1"/>
  <c r="AZ92" i="41" s="1"/>
  <c r="BB92" i="41" s="1"/>
  <c r="BB132" i="41"/>
  <c r="BC148" i="41" a="1"/>
  <c r="BC148" i="41" s="1"/>
  <c r="BE148" i="41" s="1"/>
  <c r="AZ156" i="41" a="1"/>
  <c r="AZ156" i="41" s="1"/>
  <c r="BB156" i="41" s="1"/>
  <c r="AZ165" i="41" a="1"/>
  <c r="AZ165" i="41" s="1"/>
  <c r="BB165" i="41" s="1"/>
  <c r="BB181" i="41"/>
  <c r="BB189" i="41"/>
  <c r="AZ221" i="41" a="1"/>
  <c r="AZ221" i="41" s="1"/>
  <c r="BB221" i="41" s="1"/>
  <c r="AX229" i="41" a="1"/>
  <c r="AX229" i="41" s="1"/>
  <c r="AY229" i="41" s="1"/>
  <c r="AX269" i="41" a="1"/>
  <c r="AX269" i="41" s="1"/>
  <c r="AY269" i="41" s="1"/>
  <c r="BG277" i="41" a="1"/>
  <c r="BG277" i="41" s="1"/>
  <c r="BH277" i="41" s="1"/>
  <c r="AZ285" i="41" a="1"/>
  <c r="AZ285" i="41" s="1"/>
  <c r="BB285" i="41" s="1"/>
  <c r="AX45" i="41" a="1"/>
  <c r="AX45" i="41" s="1"/>
  <c r="AY45" i="41" s="1"/>
  <c r="AZ61" i="41" a="1"/>
  <c r="AZ61" i="41" s="1"/>
  <c r="BB61" i="41" s="1"/>
  <c r="BC149" i="41" a="1"/>
  <c r="BC149" i="41" s="1"/>
  <c r="BE149" i="41" s="1"/>
  <c r="AX158" i="41" a="1"/>
  <c r="AX158" i="41" s="1"/>
  <c r="AY158" i="41" s="1"/>
  <c r="AZ174" i="41" a="1"/>
  <c r="AZ174" i="41" s="1"/>
  <c r="BB174" i="41" s="1"/>
  <c r="BC182" i="41" a="1"/>
  <c r="BC182" i="41" s="1"/>
  <c r="BE182" i="41" s="1"/>
  <c r="AX206" i="41" a="1"/>
  <c r="AX206" i="41" s="1"/>
  <c r="AY206" i="41" s="1"/>
  <c r="BC222" i="41" a="1"/>
  <c r="BC222" i="41" s="1"/>
  <c r="BE222" i="41" s="1"/>
  <c r="BC230" i="41" a="1"/>
  <c r="BC230" i="41" s="1"/>
  <c r="BE230" i="41" s="1"/>
  <c r="AZ254" i="41" a="1"/>
  <c r="AZ254" i="41" s="1"/>
  <c r="BB254" i="41" s="1"/>
  <c r="AX254" i="41" a="1"/>
  <c r="AX254" i="41" s="1"/>
  <c r="AY254" i="41" s="1"/>
  <c r="AX22" i="41" a="1"/>
  <c r="AX22" i="41" s="1"/>
  <c r="AY22" i="41" s="1"/>
  <c r="BC22" i="41" a="1"/>
  <c r="BC22" i="41" s="1"/>
  <c r="BE22" i="41" s="1"/>
  <c r="AZ22" i="41" a="1"/>
  <c r="AZ22" i="41" s="1"/>
  <c r="BB22" i="41" s="1"/>
  <c r="AX268" i="41" a="1"/>
  <c r="AX268" i="41" s="1"/>
  <c r="AY268" i="41" s="1"/>
  <c r="BC36" i="41" a="1"/>
  <c r="BC36" i="41" s="1"/>
  <c r="BE36" i="41" s="1"/>
  <c r="BB68" i="41"/>
  <c r="BC92" i="41" a="1"/>
  <c r="BC92" i="41" s="1"/>
  <c r="BE92" i="41" s="1"/>
  <c r="AX108" i="41" a="1"/>
  <c r="AX108" i="41" s="1"/>
  <c r="AY108" i="41" s="1"/>
  <c r="BC156" i="41" a="1"/>
  <c r="BC156" i="41" s="1"/>
  <c r="BE156" i="41" s="1"/>
  <c r="AX173" i="41" a="1"/>
  <c r="AX173" i="41" s="1"/>
  <c r="AY173" i="41" s="1"/>
  <c r="BG213" i="41" a="1"/>
  <c r="BG213" i="41" s="1"/>
  <c r="BH213" i="41" s="1"/>
  <c r="BC61" i="41" a="1"/>
  <c r="BC61" i="41" s="1"/>
  <c r="BE61" i="41" s="1"/>
  <c r="AZ158" i="41" a="1"/>
  <c r="AZ158" i="41" s="1"/>
  <c r="BB158" i="41" s="1"/>
  <c r="AX222" i="41" a="1"/>
  <c r="AX222" i="41" s="1"/>
  <c r="AY222" i="41" s="1"/>
  <c r="BG286" i="41" a="1"/>
  <c r="BG286" i="41" s="1"/>
  <c r="BH286" i="41" s="1"/>
  <c r="BC286" i="41" a="1"/>
  <c r="BC286" i="41" s="1"/>
  <c r="BE286" i="41" s="1"/>
  <c r="AZ286" i="41" a="1"/>
  <c r="AZ286" i="41" s="1"/>
  <c r="BB286" i="41" s="1"/>
  <c r="BG54" i="41" a="1"/>
  <c r="BG54" i="41" s="1"/>
  <c r="BH54" i="41" s="1"/>
  <c r="BC54" i="41" a="1"/>
  <c r="BC54" i="41" s="1"/>
  <c r="BE54" i="41" s="1"/>
  <c r="BG221" i="41" a="1"/>
  <c r="BG221" i="41" s="1"/>
  <c r="BH221" i="41" s="1"/>
  <c r="BG285" i="41" a="1"/>
  <c r="BG285" i="41" s="1"/>
  <c r="BH285" i="41" s="1"/>
  <c r="BB29" i="41"/>
  <c r="BC158" i="41" a="1"/>
  <c r="BC158" i="41" s="1"/>
  <c r="BE158" i="41" s="1"/>
  <c r="AZ182" i="41" a="1"/>
  <c r="AZ182" i="41" s="1"/>
  <c r="BB182" i="41" s="1"/>
  <c r="BC246" i="41" a="1"/>
  <c r="BC246" i="41" s="1"/>
  <c r="BE246" i="41" s="1"/>
  <c r="AZ246" i="41" a="1"/>
  <c r="AZ246" i="41" s="1"/>
  <c r="BB246" i="41" s="1"/>
  <c r="AX165" i="41" a="1"/>
  <c r="AX165" i="41" s="1"/>
  <c r="AY165" i="41" s="1"/>
  <c r="BG229" i="41" a="1"/>
  <c r="BG229" i="41" s="1"/>
  <c r="BH229" i="41" s="1"/>
  <c r="AZ253" i="41" a="1"/>
  <c r="AZ253" i="41" s="1"/>
  <c r="BB253" i="41" s="1"/>
  <c r="AV2" i="41"/>
  <c r="AU1" i="41" s="1"/>
  <c r="AX5" i="41" a="1"/>
  <c r="AX5" i="41" s="1"/>
  <c r="AY5" i="41" s="1"/>
  <c r="AX174" i="41" a="1"/>
  <c r="AX174" i="41" s="1"/>
  <c r="AY174" i="41" s="1"/>
  <c r="BC174" i="41" a="1"/>
  <c r="BC174" i="41" s="1"/>
  <c r="BE174" i="41" s="1"/>
  <c r="BB206" i="41"/>
  <c r="BB204" i="41"/>
  <c r="AX212" i="41" a="1"/>
  <c r="AX212" i="41" s="1"/>
  <c r="AY212" i="41" s="1"/>
  <c r="AX228" i="41" a="1"/>
  <c r="AX228" i="41" s="1"/>
  <c r="AY228" i="41" s="1"/>
  <c r="BB268" i="41"/>
  <c r="BG268" i="41" a="1"/>
  <c r="BG268" i="41" s="1"/>
  <c r="BH268" i="41" s="1"/>
  <c r="BG173" i="41" a="1"/>
  <c r="BG173" i="41" s="1"/>
  <c r="BH173" i="41" s="1"/>
  <c r="AX245" i="41" a="1"/>
  <c r="AX245" i="41" s="1"/>
  <c r="AY245" i="41" s="1"/>
  <c r="AZ261" i="41" a="1"/>
  <c r="AZ261" i="41" s="1"/>
  <c r="BB261" i="41" s="1"/>
  <c r="BD2" i="41"/>
  <c r="AZ5" i="41" a="1"/>
  <c r="AZ5" i="41" s="1"/>
  <c r="BB45" i="41"/>
  <c r="AX246" i="41" a="1"/>
  <c r="AX246" i="41" s="1"/>
  <c r="AY246" i="41" s="1"/>
  <c r="AZ278" i="41" a="1"/>
  <c r="AZ278" i="41" s="1"/>
  <c r="BB278" i="41" s="1"/>
  <c r="BC102" i="41" a="1"/>
  <c r="BC102" i="41" s="1"/>
  <c r="BE102" i="41" s="1"/>
  <c r="AX102" i="41" a="1"/>
  <c r="AX102" i="41" s="1"/>
  <c r="AY102" i="41" s="1"/>
  <c r="BB214" i="41"/>
  <c r="BB6" i="41"/>
  <c r="BG6" i="41" a="1"/>
  <c r="BG6" i="41" s="1"/>
  <c r="BH6" i="41" s="1"/>
  <c r="AX70" i="41" a="1"/>
  <c r="AX70" i="41" s="1"/>
  <c r="AY70" i="41" s="1"/>
  <c r="AX94" i="41" a="1"/>
  <c r="AX94" i="41" s="1"/>
  <c r="AY94" i="41" s="1"/>
  <c r="BC142" i="41" a="1"/>
  <c r="BC142" i="41" s="1"/>
  <c r="BE142" i="41" s="1"/>
  <c r="AX150" i="41" a="1"/>
  <c r="AX150" i="41" s="1"/>
  <c r="AY150" i="41" s="1"/>
  <c r="BG215" i="41" a="1"/>
  <c r="BG215" i="41" s="1"/>
  <c r="BH215" i="41" s="1"/>
  <c r="BC223" i="41" a="1"/>
  <c r="BC223" i="41" s="1"/>
  <c r="BE223" i="41" s="1"/>
  <c r="AX231" i="41" a="1"/>
  <c r="AX231" i="41" s="1"/>
  <c r="AY231" i="41" s="1"/>
  <c r="BC239" i="41" a="1"/>
  <c r="BC239" i="41" s="1"/>
  <c r="BE239" i="41" s="1"/>
  <c r="BC287" i="41" a="1"/>
  <c r="BC287" i="41" s="1"/>
  <c r="BE287" i="41" s="1"/>
  <c r="BG7" i="41" a="1"/>
  <c r="BG7" i="41" s="1"/>
  <c r="BH7" i="41" s="1"/>
  <c r="AZ15" i="41" a="1"/>
  <c r="AZ15" i="41" s="1"/>
  <c r="BB15" i="41" s="1"/>
  <c r="BB23" i="41"/>
  <c r="BC63" i="41" a="1"/>
  <c r="BC63" i="41" s="1"/>
  <c r="BE63" i="41" s="1"/>
  <c r="AZ71" i="41" a="1"/>
  <c r="AZ71" i="41" s="1"/>
  <c r="BB71" i="41" s="1"/>
  <c r="AX79" i="41" a="1"/>
  <c r="AX79" i="41" s="1"/>
  <c r="AY79" i="41" s="1"/>
  <c r="BB87" i="41"/>
  <c r="AZ119" i="41" a="1"/>
  <c r="AZ119" i="41" s="1"/>
  <c r="BB119" i="41" s="1"/>
  <c r="AZ135" i="41" a="1"/>
  <c r="AZ135" i="41" s="1"/>
  <c r="BB135" i="41" s="1"/>
  <c r="AZ200" i="41" a="1"/>
  <c r="AZ200" i="41" s="1"/>
  <c r="BB200" i="41" s="1"/>
  <c r="AX208" i="41" a="1"/>
  <c r="AX208" i="41" s="1"/>
  <c r="AY208" i="41" s="1"/>
  <c r="AX216" i="41" a="1"/>
  <c r="AX216" i="41" s="1"/>
  <c r="AY216" i="41" s="1"/>
  <c r="BG224" i="41" a="1"/>
  <c r="BG224" i="41" s="1"/>
  <c r="BH224" i="41" s="1"/>
  <c r="BG232" i="41" a="1"/>
  <c r="BG232" i="41" s="1"/>
  <c r="BH232" i="41" s="1"/>
  <c r="BC240" i="41" a="1"/>
  <c r="BC240" i="41" s="1"/>
  <c r="BE240" i="41" s="1"/>
  <c r="AZ248" i="41" a="1"/>
  <c r="AZ248" i="41" s="1"/>
  <c r="BB248" i="41" s="1"/>
  <c r="AX256" i="41" a="1"/>
  <c r="AX256" i="41" s="1"/>
  <c r="AY256" i="41" s="1"/>
  <c r="BB24" i="41"/>
  <c r="AZ136" i="41" a="1"/>
  <c r="AZ136" i="41" s="1"/>
  <c r="BB136" i="41" s="1"/>
  <c r="AX136" i="41" a="1"/>
  <c r="AX136" i="41" s="1"/>
  <c r="AY136" i="41" s="1"/>
  <c r="AX78" i="41" a="1"/>
  <c r="AX78" i="41" s="1"/>
  <c r="AY78" i="41" s="1"/>
  <c r="BB118" i="41"/>
  <c r="BB126" i="41"/>
  <c r="BG142" i="41" a="1"/>
  <c r="BG142" i="41" s="1"/>
  <c r="BH142" i="41" s="1"/>
  <c r="AZ150" i="41" a="1"/>
  <c r="AZ150" i="41" s="1"/>
  <c r="BB150" i="41" s="1"/>
  <c r="BB191" i="41"/>
  <c r="BB223" i="41"/>
  <c r="BG223" i="41" a="1"/>
  <c r="BG223" i="41" s="1"/>
  <c r="BH223" i="41" s="1"/>
  <c r="AZ231" i="41" a="1"/>
  <c r="AZ231" i="41" s="1"/>
  <c r="BB231" i="41" s="1"/>
  <c r="BC247" i="41" a="1"/>
  <c r="BC247" i="41" s="1"/>
  <c r="BE247" i="41" s="1"/>
  <c r="BG287" i="41" a="1"/>
  <c r="BG287" i="41" s="1"/>
  <c r="BH287" i="41" s="1"/>
  <c r="AX7" i="41" a="1"/>
  <c r="AX7" i="41" s="1"/>
  <c r="AY7" i="41" s="1"/>
  <c r="BC15" i="41" a="1"/>
  <c r="BC15" i="41" s="1"/>
  <c r="BE15" i="41" s="1"/>
  <c r="BG63" i="41" a="1"/>
  <c r="BG63" i="41" s="1"/>
  <c r="BH63" i="41" s="1"/>
  <c r="BC71" i="41" a="1"/>
  <c r="BC71" i="41" s="1"/>
  <c r="BE71" i="41" s="1"/>
  <c r="AZ79" i="41" a="1"/>
  <c r="AZ79" i="41" s="1"/>
  <c r="BB79" i="41" s="1"/>
  <c r="AZ127" i="41" a="1"/>
  <c r="AZ127" i="41" s="1"/>
  <c r="BB127" i="41" s="1"/>
  <c r="AX151" i="41" a="1"/>
  <c r="AX151" i="41" s="1"/>
  <c r="AY151" i="41" s="1"/>
  <c r="BG240" i="41" a="1"/>
  <c r="BG240" i="41" s="1"/>
  <c r="BH240" i="41" s="1"/>
  <c r="BC248" i="41" a="1"/>
  <c r="BC248" i="41" s="1"/>
  <c r="BE248" i="41" s="1"/>
  <c r="BC112" i="41" a="1"/>
  <c r="BC112" i="41" s="1"/>
  <c r="BE112" i="41" s="1"/>
  <c r="BG112" i="41" a="1"/>
  <c r="BG112" i="41" s="1"/>
  <c r="BH112" i="41" s="1"/>
  <c r="AX128" i="41" a="1"/>
  <c r="AX128" i="41" s="1"/>
  <c r="AY128" i="41" s="1"/>
  <c r="AZ128" i="41" a="1"/>
  <c r="AZ128" i="41" s="1"/>
  <c r="BB128" i="41" s="1"/>
  <c r="AZ161" i="41" a="1"/>
  <c r="AZ161" i="41" s="1"/>
  <c r="BB161" i="41" s="1"/>
  <c r="BG161" i="41" a="1"/>
  <c r="BG161" i="41" s="1"/>
  <c r="BH161" i="41" s="1"/>
  <c r="BG201" i="41" a="1"/>
  <c r="BG201" i="41" s="1"/>
  <c r="BH201" i="41" s="1"/>
  <c r="BC201" i="41" a="1"/>
  <c r="BC201" i="41" s="1"/>
  <c r="BE201" i="41" s="1"/>
  <c r="AZ201" i="41" a="1"/>
  <c r="AZ201" i="41" s="1"/>
  <c r="BB201" i="41" s="1"/>
  <c r="AX201" i="41" a="1"/>
  <c r="AX201" i="41" s="1"/>
  <c r="AY201" i="41" s="1"/>
  <c r="BG247" i="41" a="1"/>
  <c r="BG247" i="41" s="1"/>
  <c r="BH247" i="41" s="1"/>
  <c r="AZ7" i="41" a="1"/>
  <c r="AZ7" i="41" s="1"/>
  <c r="BB7" i="41" s="1"/>
  <c r="BG71" i="41" a="1"/>
  <c r="BG71" i="41" s="1"/>
  <c r="BH71" i="41" s="1"/>
  <c r="BC135" i="41" a="1"/>
  <c r="BC135" i="41" s="1"/>
  <c r="BE135" i="41" s="1"/>
  <c r="AZ151" i="41" a="1"/>
  <c r="AZ151" i="41" s="1"/>
  <c r="BB151" i="41" s="1"/>
  <c r="BG248" i="41" a="1"/>
  <c r="BG248" i="41" s="1"/>
  <c r="BH248" i="41" s="1"/>
  <c r="AZ8" i="41" a="1"/>
  <c r="AZ8" i="41" s="1"/>
  <c r="BB8" i="41" s="1"/>
  <c r="AX16" i="41" a="1"/>
  <c r="AX16" i="41" s="1"/>
  <c r="AY16" i="41" s="1"/>
  <c r="AX152" i="41" a="1"/>
  <c r="AX152" i="41" s="1"/>
  <c r="AY152" i="41" s="1"/>
  <c r="BC152" i="41" a="1"/>
  <c r="BC152" i="41" s="1"/>
  <c r="BE152" i="41" s="1"/>
  <c r="AX177" i="41" a="1"/>
  <c r="AX177" i="41" s="1"/>
  <c r="AY177" i="41" s="1"/>
  <c r="BG177" i="41" a="1"/>
  <c r="BG177" i="41" s="1"/>
  <c r="BH177" i="41" s="1"/>
  <c r="AZ177" i="41" a="1"/>
  <c r="AZ177" i="41" s="1"/>
  <c r="BB177" i="41" s="1"/>
  <c r="AX247" i="41" a="1"/>
  <c r="AX247" i="41" s="1"/>
  <c r="AY247" i="41" s="1"/>
  <c r="AZ263" i="41" a="1"/>
  <c r="AZ263" i="41" s="1"/>
  <c r="BB263" i="41" s="1"/>
  <c r="BB271" i="41"/>
  <c r="BC151" i="41" a="1"/>
  <c r="BC151" i="41" s="1"/>
  <c r="BE151" i="41" s="1"/>
  <c r="BC8" i="41" a="1"/>
  <c r="BC8" i="41" s="1"/>
  <c r="BE8" i="41" s="1"/>
  <c r="AZ16" i="41" a="1"/>
  <c r="AZ16" i="41" s="1"/>
  <c r="BB16" i="41" s="1"/>
  <c r="AX56" i="41" a="1"/>
  <c r="AX56" i="41" s="1"/>
  <c r="AY56" i="41" s="1"/>
  <c r="AZ80" i="41" a="1"/>
  <c r="AZ80" i="41" s="1"/>
  <c r="BB80" i="41" s="1"/>
  <c r="AX96" i="41" a="1"/>
  <c r="AX96" i="41" s="1"/>
  <c r="AY96" i="41" s="1"/>
  <c r="BC128" i="41" a="1"/>
  <c r="BC128" i="41" s="1"/>
  <c r="BE128" i="41" s="1"/>
  <c r="BC136" i="41" a="1"/>
  <c r="BC136" i="41" s="1"/>
  <c r="BE136" i="41" s="1"/>
  <c r="BB240" i="41"/>
  <c r="BB256" i="41"/>
  <c r="BC16" i="41" a="1"/>
  <c r="BC16" i="41" s="1"/>
  <c r="BE16" i="41" s="1"/>
  <c r="AZ56" i="41" a="1"/>
  <c r="AZ56" i="41" s="1"/>
  <c r="BB56" i="41" s="1"/>
  <c r="BC96" i="41" a="1"/>
  <c r="BC96" i="41" s="1"/>
  <c r="BE96" i="41" s="1"/>
  <c r="BC177" i="41" a="1"/>
  <c r="BC177" i="41" s="1"/>
  <c r="BE177" i="41" s="1"/>
  <c r="BB30" i="41"/>
  <c r="BB94" i="41"/>
  <c r="AZ207" i="41" a="1"/>
  <c r="AZ207" i="41" s="1"/>
  <c r="BB207" i="41" s="1"/>
  <c r="AX215" i="41" a="1"/>
  <c r="AX215" i="41" s="1"/>
  <c r="AY215" i="41" s="1"/>
  <c r="BG263" i="41" a="1"/>
  <c r="BG263" i="41" s="1"/>
  <c r="BH263" i="41" s="1"/>
  <c r="BB31" i="41"/>
  <c r="AX111" i="41" a="1"/>
  <c r="AX111" i="41" s="1"/>
  <c r="AY111" i="41" s="1"/>
  <c r="BC200" i="41" a="1"/>
  <c r="BC200" i="41" s="1"/>
  <c r="BE200" i="41" s="1"/>
  <c r="BB208" i="41"/>
  <c r="BG96" i="41" a="1"/>
  <c r="BG96" i="41" s="1"/>
  <c r="BH96" i="41" s="1"/>
  <c r="BG144" i="41" a="1"/>
  <c r="BG144" i="41" s="1"/>
  <c r="BH144" i="41" s="1"/>
  <c r="AZ144" i="41" a="1"/>
  <c r="AZ144" i="41" s="1"/>
  <c r="BB144" i="41" s="1"/>
  <c r="AX144" i="41" a="1"/>
  <c r="AX144" i="41" s="1"/>
  <c r="AY144" i="41" s="1"/>
  <c r="BG209" i="41" a="1"/>
  <c r="BG209" i="41" s="1"/>
  <c r="BH209" i="41" s="1"/>
  <c r="BC209" i="41" a="1"/>
  <c r="BC209" i="41" s="1"/>
  <c r="BE209" i="41" s="1"/>
  <c r="AZ209" i="41" a="1"/>
  <c r="AZ209" i="41" s="1"/>
  <c r="BB209" i="41" s="1"/>
  <c r="AX209" i="41" a="1"/>
  <c r="AX209" i="41" s="1"/>
  <c r="AY209" i="41" s="1"/>
  <c r="AZ78" i="41" a="1"/>
  <c r="AZ78" i="41" s="1"/>
  <c r="BB78" i="41" s="1"/>
  <c r="BB102" i="41"/>
  <c r="BC126" i="41" a="1"/>
  <c r="BC126" i="41" s="1"/>
  <c r="BE126" i="41" s="1"/>
  <c r="BC207" i="41" a="1"/>
  <c r="BC207" i="41" s="1"/>
  <c r="BE207" i="41" s="1"/>
  <c r="AZ215" i="41" a="1"/>
  <c r="AZ215" i="41" s="1"/>
  <c r="BB215" i="41" s="1"/>
  <c r="AX223" i="41" a="1"/>
  <c r="AX223" i="41" s="1"/>
  <c r="AY223" i="41" s="1"/>
  <c r="BB247" i="41"/>
  <c r="BB103" i="41"/>
  <c r="AZ111" i="41" a="1"/>
  <c r="AZ111" i="41" s="1"/>
  <c r="BB111" i="41" s="1"/>
  <c r="BC127" i="41" a="1"/>
  <c r="BC127" i="41" s="1"/>
  <c r="BE127" i="41" s="1"/>
  <c r="BC192" i="41" a="1"/>
  <c r="BC192" i="41" s="1"/>
  <c r="BE192" i="41" s="1"/>
  <c r="BG200" i="41" a="1"/>
  <c r="BG200" i="41" s="1"/>
  <c r="BH200" i="41" s="1"/>
  <c r="BC208" i="41" a="1"/>
  <c r="BC208" i="41" s="1"/>
  <c r="BE208" i="41" s="1"/>
  <c r="AZ216" i="41" a="1"/>
  <c r="AZ216" i="41" s="1"/>
  <c r="BB216" i="41" s="1"/>
  <c r="AX224" i="41" a="1"/>
  <c r="AX224" i="41" s="1"/>
  <c r="AY224" i="41" s="1"/>
  <c r="AZ232" i="41" a="1"/>
  <c r="AZ232" i="41" s="1"/>
  <c r="BB232" i="41" s="1"/>
  <c r="AX240" i="41" a="1"/>
  <c r="AX240" i="41" s="1"/>
  <c r="AY240" i="41" s="1"/>
  <c r="BB280" i="41"/>
  <c r="BC24" i="41" a="1"/>
  <c r="BC24" i="41" s="1"/>
  <c r="BE24" i="41" s="1"/>
  <c r="BB64" i="41"/>
  <c r="BC161" i="41" a="1"/>
  <c r="BC161" i="41" s="1"/>
  <c r="BE161" i="41" s="1"/>
  <c r="BB54" i="41"/>
  <c r="BB110" i="41"/>
  <c r="BB95" i="41"/>
  <c r="AX135" i="41" a="1"/>
  <c r="AX135" i="41" s="1"/>
  <c r="AY135" i="41" s="1"/>
  <c r="BG208" i="41" a="1"/>
  <c r="BG208" i="41" s="1"/>
  <c r="BH208" i="41" s="1"/>
  <c r="BC216" i="41" a="1"/>
  <c r="BC216" i="41" s="1"/>
  <c r="BE216" i="41" s="1"/>
  <c r="BC224" i="41" a="1"/>
  <c r="BC224" i="41" s="1"/>
  <c r="BE224" i="41" s="1"/>
  <c r="BC232" i="41" a="1"/>
  <c r="BC232" i="41" s="1"/>
  <c r="BE232" i="41" s="1"/>
  <c r="BB96" i="41"/>
  <c r="BG152" i="41" a="1"/>
  <c r="BG152" i="41" s="1"/>
  <c r="BH152" i="41" s="1"/>
  <c r="BB192" i="41"/>
  <c r="AX185" i="41" a="1"/>
  <c r="AX185" i="41" s="1"/>
  <c r="AY185" i="41" s="1"/>
  <c r="BG193" i="41" a="1"/>
  <c r="BG193" i="41" s="1"/>
  <c r="BH193" i="41" s="1"/>
  <c r="BB225" i="41"/>
  <c r="AX249" i="41" a="1"/>
  <c r="AX249" i="41" s="1"/>
  <c r="AY249" i="41" s="1"/>
  <c r="BC257" i="41" a="1"/>
  <c r="BC257" i="41" s="1"/>
  <c r="BE257" i="41" s="1"/>
  <c r="BB289" i="41"/>
  <c r="AX17" i="41" a="1"/>
  <c r="AX17" i="41" s="1"/>
  <c r="AY17" i="41" s="1"/>
  <c r="BG25" i="41" a="1"/>
  <c r="BG25" i="41" s="1"/>
  <c r="BH25" i="41" s="1"/>
  <c r="AZ33" i="41" a="1"/>
  <c r="AZ33" i="41" s="1"/>
  <c r="BB33" i="41" s="1"/>
  <c r="BG41" i="41" a="1"/>
  <c r="BG41" i="41" s="1"/>
  <c r="BH41" i="41" s="1"/>
  <c r="BB65" i="41"/>
  <c r="BG81" i="41" a="1"/>
  <c r="BG81" i="41" s="1"/>
  <c r="BH81" i="41" s="1"/>
  <c r="BC89" i="41" a="1"/>
  <c r="BC89" i="41" s="1"/>
  <c r="BE89" i="41" s="1"/>
  <c r="AX105" i="41" a="1"/>
  <c r="AX105" i="41" s="1"/>
  <c r="AY105" i="41" s="1"/>
  <c r="BB121" i="41"/>
  <c r="AX145" i="41" a="1"/>
  <c r="AX145" i="41" s="1"/>
  <c r="AY145" i="41" s="1"/>
  <c r="BC153" i="41" a="1"/>
  <c r="BC153" i="41" s="1"/>
  <c r="BE153" i="41" s="1"/>
  <c r="AZ162" i="41" a="1"/>
  <c r="AZ162" i="41" s="1"/>
  <c r="BB162" i="41" s="1"/>
  <c r="AZ170" i="41" a="1"/>
  <c r="AZ170" i="41" s="1"/>
  <c r="BB170" i="41" s="1"/>
  <c r="BG218" i="41" a="1"/>
  <c r="BG218" i="41" s="1"/>
  <c r="BH218" i="41" s="1"/>
  <c r="AZ226" i="41" a="1"/>
  <c r="AZ226" i="41" s="1"/>
  <c r="BB226" i="41" s="1"/>
  <c r="BG274" i="41" a="1"/>
  <c r="BG274" i="41" s="1"/>
  <c r="BH274" i="41" s="1"/>
  <c r="AZ290" i="41" a="1"/>
  <c r="AZ290" i="41" s="1"/>
  <c r="BB290" i="41" s="1"/>
  <c r="AX10" i="41" a="1"/>
  <c r="AX10" i="41" s="1"/>
  <c r="AY10" i="41" s="1"/>
  <c r="BC58" i="41" a="1"/>
  <c r="BC58" i="41" s="1"/>
  <c r="BE58" i="41" s="1"/>
  <c r="BG66" i="41" a="1"/>
  <c r="BG66" i="41" s="1"/>
  <c r="BH66" i="41" s="1"/>
  <c r="AZ74" i="41" a="1"/>
  <c r="AZ74" i="41" s="1"/>
  <c r="BB74" i="41" s="1"/>
  <c r="BC122" i="41" a="1"/>
  <c r="BC122" i="41" s="1"/>
  <c r="BE122" i="41" s="1"/>
  <c r="AZ130" i="41" a="1"/>
  <c r="AZ130" i="41" s="1"/>
  <c r="BB130" i="41" s="1"/>
  <c r="AX138" i="41" a="1"/>
  <c r="AX138" i="41" s="1"/>
  <c r="AY138" i="41" s="1"/>
  <c r="AX195" i="41" a="1"/>
  <c r="AX195" i="41" s="1"/>
  <c r="AY195" i="41" s="1"/>
  <c r="BC203" i="41" a="1"/>
  <c r="BC203" i="41" s="1"/>
  <c r="BE203" i="41" s="1"/>
  <c r="AZ211" i="41" a="1"/>
  <c r="AZ211" i="41" s="1"/>
  <c r="BB211" i="41" s="1"/>
  <c r="BG267" i="41" a="1"/>
  <c r="BG267" i="41" s="1"/>
  <c r="BH267" i="41" s="1"/>
  <c r="BC275" i="41" a="1"/>
  <c r="BC275" i="41" s="1"/>
  <c r="BE275" i="41" s="1"/>
  <c r="AX283" i="41" a="1"/>
  <c r="AX283" i="41" s="1"/>
  <c r="AY283" i="41" s="1"/>
  <c r="BB291" i="41"/>
  <c r="AZ43" i="41" a="1"/>
  <c r="AZ43" i="41" s="1"/>
  <c r="BB43" i="41" s="1"/>
  <c r="BC51" i="41" a="1"/>
  <c r="BC51" i="41" s="1"/>
  <c r="BE51" i="41" s="1"/>
  <c r="BC107" i="41" a="1"/>
  <c r="BC107" i="41" s="1"/>
  <c r="BE107" i="41" s="1"/>
  <c r="BG115" i="41" a="1"/>
  <c r="BG115" i="41" s="1"/>
  <c r="BH115" i="41" s="1"/>
  <c r="BC123" i="41" a="1"/>
  <c r="BC123" i="41" s="1"/>
  <c r="BE123" i="41" s="1"/>
  <c r="AZ185" i="41" a="1"/>
  <c r="AZ185" i="41" s="1"/>
  <c r="BB185" i="41" s="1"/>
  <c r="AX193" i="41" a="1"/>
  <c r="AX193" i="41" s="1"/>
  <c r="AY193" i="41" s="1"/>
  <c r="AZ249" i="41" a="1"/>
  <c r="AZ249" i="41" s="1"/>
  <c r="BB249" i="41" s="1"/>
  <c r="AX25" i="41" a="1"/>
  <c r="AX25" i="41" s="1"/>
  <c r="AY25" i="41" s="1"/>
  <c r="AX41" i="41" a="1"/>
  <c r="AX41" i="41" s="1"/>
  <c r="AY41" i="41" s="1"/>
  <c r="BG89" i="41" a="1"/>
  <c r="BG89" i="41" s="1"/>
  <c r="BH89" i="41" s="1"/>
  <c r="AZ105" i="41" a="1"/>
  <c r="AZ105" i="41" s="1"/>
  <c r="BB105" i="41" s="1"/>
  <c r="BG153" i="41" a="1"/>
  <c r="BG153" i="41" s="1"/>
  <c r="BH153" i="41" s="1"/>
  <c r="BC170" i="41" a="1"/>
  <c r="BC170" i="41" s="1"/>
  <c r="BE170" i="41" s="1"/>
  <c r="AX218" i="41" a="1"/>
  <c r="AX218" i="41" s="1"/>
  <c r="AY218" i="41" s="1"/>
  <c r="BC226" i="41" a="1"/>
  <c r="BC226" i="41" s="1"/>
  <c r="BE226" i="41" s="1"/>
  <c r="BC290" i="41" a="1"/>
  <c r="BC290" i="41" s="1"/>
  <c r="BE290" i="41" s="1"/>
  <c r="AZ10" i="41" a="1"/>
  <c r="AZ10" i="41" s="1"/>
  <c r="BB10" i="41" s="1"/>
  <c r="AX18" i="41" a="1"/>
  <c r="AX18" i="41" s="1"/>
  <c r="AY18" i="41" s="1"/>
  <c r="BG58" i="41" a="1"/>
  <c r="BG58" i="41" s="1"/>
  <c r="BH58" i="41" s="1"/>
  <c r="AX66" i="41" a="1"/>
  <c r="AX66" i="41" s="1"/>
  <c r="AY66" i="41" s="1"/>
  <c r="BC74" i="41" a="1"/>
  <c r="BC74" i="41" s="1"/>
  <c r="BE74" i="41" s="1"/>
  <c r="AZ82" i="41" a="1"/>
  <c r="AZ82" i="41" s="1"/>
  <c r="BB82" i="41" s="1"/>
  <c r="BG122" i="41" a="1"/>
  <c r="BG122" i="41" s="1"/>
  <c r="BH122" i="41" s="1"/>
  <c r="BC130" i="41" a="1"/>
  <c r="BC130" i="41" s="1"/>
  <c r="BE130" i="41" s="1"/>
  <c r="BC138" i="41" a="1"/>
  <c r="BC138" i="41" s="1"/>
  <c r="BE138" i="41" s="1"/>
  <c r="AX146" i="41" a="1"/>
  <c r="AX146" i="41" s="1"/>
  <c r="AY146" i="41" s="1"/>
  <c r="BB154" i="41"/>
  <c r="BG203" i="41" a="1"/>
  <c r="BG203" i="41" s="1"/>
  <c r="BH203" i="41" s="1"/>
  <c r="AX267" i="41" a="1"/>
  <c r="AX267" i="41" s="1"/>
  <c r="AY267" i="41" s="1"/>
  <c r="AZ283" i="41" a="1"/>
  <c r="AZ283" i="41" s="1"/>
  <c r="BB283" i="41" s="1"/>
  <c r="AX291" i="41" a="1"/>
  <c r="AX291" i="41" s="1"/>
  <c r="AY291" i="41" s="1"/>
  <c r="BG51" i="41" a="1"/>
  <c r="BG51" i="41" s="1"/>
  <c r="BH51" i="41" s="1"/>
  <c r="BB99" i="41"/>
  <c r="BB107" i="41"/>
  <c r="BG123" i="41" a="1"/>
  <c r="BG123" i="41" s="1"/>
  <c r="BH123" i="41" s="1"/>
  <c r="AZ193" i="41" a="1"/>
  <c r="AZ193" i="41" s="1"/>
  <c r="BB193" i="41" s="1"/>
  <c r="AX217" i="41" a="1"/>
  <c r="AX217" i="41" s="1"/>
  <c r="AY217" i="41" s="1"/>
  <c r="BB241" i="41"/>
  <c r="AX281" i="41" a="1"/>
  <c r="AX281" i="41" s="1"/>
  <c r="AY281" i="41" s="1"/>
  <c r="BG33" i="41" a="1"/>
  <c r="BG33" i="41" s="1"/>
  <c r="BH33" i="41" s="1"/>
  <c r="AZ41" i="41" a="1"/>
  <c r="AZ41" i="41" s="1"/>
  <c r="BB41" i="41" s="1"/>
  <c r="AZ57" i="41" a="1"/>
  <c r="AZ57" i="41" s="1"/>
  <c r="BB57" i="41" s="1"/>
  <c r="BC105" i="41" a="1"/>
  <c r="BC105" i="41" s="1"/>
  <c r="BE105" i="41" s="1"/>
  <c r="BC121" i="41" a="1"/>
  <c r="BC121" i="41" s="1"/>
  <c r="BE121" i="41" s="1"/>
  <c r="BB153" i="41"/>
  <c r="BG170" i="41" a="1"/>
  <c r="BG170" i="41" s="1"/>
  <c r="BH170" i="41" s="1"/>
  <c r="AX186" i="41" a="1"/>
  <c r="AX186" i="41" s="1"/>
  <c r="AY186" i="41" s="1"/>
  <c r="BB210" i="41"/>
  <c r="BG226" i="41" a="1"/>
  <c r="BG226" i="41" s="1"/>
  <c r="BH226" i="41" s="1"/>
  <c r="BC10" i="41" a="1"/>
  <c r="BC10" i="41" s="1"/>
  <c r="BE10" i="41" s="1"/>
  <c r="AZ18" i="41" a="1"/>
  <c r="AZ18" i="41" s="1"/>
  <c r="BB18" i="41" s="1"/>
  <c r="AZ66" i="41" a="1"/>
  <c r="AZ66" i="41" s="1"/>
  <c r="BB66" i="41" s="1"/>
  <c r="BC82" i="41" a="1"/>
  <c r="BC82" i="41" s="1"/>
  <c r="BE82" i="41" s="1"/>
  <c r="BG130" i="41" a="1"/>
  <c r="BG130" i="41" s="1"/>
  <c r="BH130" i="41" s="1"/>
  <c r="BG138" i="41" a="1"/>
  <c r="BG138" i="41" s="1"/>
  <c r="BH138" i="41" s="1"/>
  <c r="AZ146" i="41" a="1"/>
  <c r="AZ146" i="41" s="1"/>
  <c r="BB146" i="41" s="1"/>
  <c r="BB259" i="41"/>
  <c r="AX275" i="41" a="1"/>
  <c r="AX275" i="41" s="1"/>
  <c r="AY275" i="41" s="1"/>
  <c r="AX51" i="41" a="1"/>
  <c r="AX51" i="41" s="1"/>
  <c r="AY51" i="41" s="1"/>
  <c r="BB67" i="41"/>
  <c r="AX75" i="41" a="1"/>
  <c r="AX75" i="41" s="1"/>
  <c r="AY75" i="41" s="1"/>
  <c r="AX123" i="41" a="1"/>
  <c r="AX123" i="41" s="1"/>
  <c r="AY123" i="41" s="1"/>
  <c r="BC139" i="41" a="1"/>
  <c r="BC139" i="41" s="1"/>
  <c r="BE139" i="41" s="1"/>
  <c r="BB257" i="41"/>
  <c r="AZ281" i="41" a="1"/>
  <c r="AZ281" i="41" s="1"/>
  <c r="BB281" i="41" s="1"/>
  <c r="BB9" i="41"/>
  <c r="BB89" i="41"/>
  <c r="AZ186" i="41" a="1"/>
  <c r="AZ186" i="41" s="1"/>
  <c r="BB186" i="41" s="1"/>
  <c r="BB122" i="41"/>
  <c r="BB203" i="41"/>
  <c r="AZ75" i="41" a="1"/>
  <c r="AZ75" i="41" s="1"/>
  <c r="BB75" i="41" s="1"/>
  <c r="BB91" i="41"/>
  <c r="BG139" i="41" a="1"/>
  <c r="BG139" i="41" s="1"/>
  <c r="BH139" i="41" s="1"/>
  <c r="BB112" i="41"/>
  <c r="BC281" i="41" a="1"/>
  <c r="BC281" i="41" s="1"/>
  <c r="BE281" i="41" s="1"/>
  <c r="BC9" i="41" a="1"/>
  <c r="BC9" i="41" s="1"/>
  <c r="BE9" i="41" s="1"/>
  <c r="AX73" i="41" a="1"/>
  <c r="AX73" i="41" s="1"/>
  <c r="AY73" i="41" s="1"/>
  <c r="BG178" i="41" a="1"/>
  <c r="BG178" i="41" s="1"/>
  <c r="BH178" i="41" s="1"/>
  <c r="BC186" i="41" a="1"/>
  <c r="BC186" i="41" s="1"/>
  <c r="BE186" i="41" s="1"/>
  <c r="AX42" i="41" a="1"/>
  <c r="AX42" i="41" s="1"/>
  <c r="AY42" i="41" s="1"/>
  <c r="AZ98" i="41" a="1"/>
  <c r="AZ98" i="41" s="1"/>
  <c r="BB98" i="41" s="1"/>
  <c r="AZ106" i="41" a="1"/>
  <c r="AZ106" i="41" s="1"/>
  <c r="BB106" i="41" s="1"/>
  <c r="BB227" i="41"/>
  <c r="BB275" i="41"/>
  <c r="AZ27" i="41" a="1"/>
  <c r="AZ27" i="41" s="1"/>
  <c r="BB27" i="41" s="1"/>
  <c r="AX91" i="41" a="1"/>
  <c r="AX91" i="41" s="1"/>
  <c r="AY91" i="41" s="1"/>
  <c r="AZ139" i="41" a="1"/>
  <c r="AZ139" i="41" s="1"/>
  <c r="BB139" i="41" s="1"/>
  <c r="AX155" i="41" a="1"/>
  <c r="AX155" i="41" s="1"/>
  <c r="AY155" i="41" s="1"/>
  <c r="BB250" i="41"/>
  <c r="AZ42" i="41" a="1"/>
  <c r="AZ42" i="41" s="1"/>
  <c r="BB42" i="41" s="1"/>
  <c r="BB58" i="41"/>
  <c r="BC98" i="41" a="1"/>
  <c r="BC98" i="41" s="1"/>
  <c r="BE98" i="41" s="1"/>
  <c r="BB138" i="41"/>
  <c r="AZ195" i="41" a="1"/>
  <c r="AZ195" i="41" s="1"/>
  <c r="BB195" i="41" s="1"/>
  <c r="BG75" i="41" a="1"/>
  <c r="BG75" i="41" s="1"/>
  <c r="BH75" i="41" s="1"/>
  <c r="BB123" i="41"/>
  <c r="AZ155" i="41" a="1"/>
  <c r="AZ155" i="41" s="1"/>
  <c r="BB155" i="41" s="1"/>
  <c r="BC185" i="41" a="1"/>
  <c r="BC185" i="41" s="1"/>
  <c r="BE185" i="41" s="1"/>
  <c r="BG225" i="41" a="1"/>
  <c r="BG225" i="41" s="1"/>
  <c r="BH225" i="41" s="1"/>
  <c r="BC249" i="41" a="1"/>
  <c r="BC249" i="41" s="1"/>
  <c r="BE249" i="41" s="1"/>
  <c r="BB265" i="41"/>
  <c r="AZ25" i="41" a="1"/>
  <c r="AZ25" i="41" s="1"/>
  <c r="BB25" i="41" s="1"/>
  <c r="AZ81" i="41" a="1"/>
  <c r="AZ81" i="41" s="1"/>
  <c r="BB81" i="41" s="1"/>
  <c r="AX89" i="41" a="1"/>
  <c r="AX89" i="41" s="1"/>
  <c r="AY89" i="41" s="1"/>
  <c r="AX153" i="41" a="1"/>
  <c r="AX153" i="41" s="1"/>
  <c r="AY153" i="41" s="1"/>
  <c r="BB178" i="41"/>
  <c r="BB194" i="41"/>
  <c r="AZ218" i="41" a="1"/>
  <c r="AZ218" i="41" s="1"/>
  <c r="BB218" i="41" s="1"/>
  <c r="AX282" i="41" a="1"/>
  <c r="AX282" i="41" s="1"/>
  <c r="AY282" i="41" s="1"/>
  <c r="BC42" i="41" a="1"/>
  <c r="BC42" i="41" s="1"/>
  <c r="BE42" i="41" s="1"/>
  <c r="AX58" i="41" a="1"/>
  <c r="AX58" i="41" s="1"/>
  <c r="AY58" i="41" s="1"/>
  <c r="AX122" i="41" a="1"/>
  <c r="AX122" i="41" s="1"/>
  <c r="AY122" i="41" s="1"/>
  <c r="BC195" i="41" a="1"/>
  <c r="BC195" i="41" s="1"/>
  <c r="BE195" i="41" s="1"/>
  <c r="AX203" i="41" a="1"/>
  <c r="AX203" i="41" s="1"/>
  <c r="AY203" i="41" s="1"/>
  <c r="AZ267" i="41" a="1"/>
  <c r="AZ267" i="41" s="1"/>
  <c r="BB267" i="41" s="1"/>
  <c r="BG43" i="41" a="1"/>
  <c r="BG43" i="41" s="1"/>
  <c r="BH43" i="41" s="1"/>
  <c r="AX107" i="41" a="1"/>
  <c r="AX107" i="41" s="1"/>
  <c r="AY107" i="41" s="1"/>
  <c r="BC155" i="41" a="1"/>
  <c r="BC155" i="41" s="1"/>
  <c r="BE155" i="41" s="1"/>
  <c r="BB152" i="41"/>
  <c r="BG169" i="41" a="1"/>
  <c r="BG169" i="41" s="1"/>
  <c r="BH169" i="41" s="1"/>
  <c r="BC233" i="41" a="1"/>
  <c r="BC233" i="41" s="1"/>
  <c r="BE233" i="41" s="1"/>
  <c r="BB234" i="41"/>
  <c r="BG266" i="41" a="1"/>
  <c r="BG266" i="41" s="1"/>
  <c r="BH266" i="41" s="1"/>
  <c r="AZ282" i="41" a="1"/>
  <c r="AZ282" i="41" s="1"/>
  <c r="BB282" i="41" s="1"/>
  <c r="AX290" i="41" a="1"/>
  <c r="AX290" i="41" s="1"/>
  <c r="AY290" i="41" s="1"/>
  <c r="AB13" i="17"/>
  <c r="AA30" i="17"/>
  <c r="W49" i="17"/>
  <c r="AA53" i="17" s="1"/>
  <c r="AA14" i="17"/>
  <c r="X33" i="17"/>
  <c r="AB31" i="17"/>
  <c r="AA5" i="17"/>
  <c r="H78" i="43"/>
  <c r="Y58" i="17"/>
  <c r="Z58" i="17"/>
  <c r="X59" i="17"/>
  <c r="Y59" i="17"/>
  <c r="X57" i="17"/>
  <c r="Z59" i="17"/>
  <c r="Y57" i="17"/>
  <c r="X60" i="17"/>
  <c r="Z57" i="17"/>
  <c r="Y60" i="17"/>
  <c r="X58" i="17"/>
  <c r="Z60" i="17"/>
  <c r="AB45" i="17"/>
  <c r="AB7" i="17"/>
  <c r="Y33" i="17"/>
  <c r="AB6" i="17"/>
  <c r="AB5" i="17"/>
  <c r="AA40" i="17"/>
  <c r="Y25" i="17"/>
  <c r="AA23" i="17"/>
  <c r="X41" i="17"/>
  <c r="W47" i="17" s="1"/>
  <c r="AB39" i="17"/>
  <c r="AB40" i="17"/>
  <c r="W53" i="17"/>
  <c r="AB8" i="17"/>
  <c r="AA7" i="17"/>
  <c r="X25" i="17"/>
  <c r="AB24" i="17"/>
  <c r="X17" i="17"/>
  <c r="Z25" i="17"/>
  <c r="Y41" i="17"/>
  <c r="Y47" i="17" s="1"/>
  <c r="Y53" i="17"/>
  <c r="Z33" i="17"/>
  <c r="Z41" i="17"/>
  <c r="Z53" i="17"/>
  <c r="Y9" i="17"/>
  <c r="X9" i="17"/>
  <c r="AB15" i="17"/>
  <c r="AB32" i="17"/>
  <c r="AA51" i="17"/>
  <c r="AA6" i="17"/>
  <c r="AA13" i="17"/>
  <c r="AB51" i="17"/>
  <c r="Y17" i="17"/>
  <c r="AB21" i="17"/>
  <c r="AA22" i="17"/>
  <c r="AA29" i="17"/>
  <c r="AA8" i="17"/>
  <c r="Z9" i="17"/>
  <c r="AA15" i="17"/>
  <c r="AA16" i="17"/>
  <c r="Z17" i="17"/>
  <c r="AB23" i="17"/>
  <c r="AA24" i="17"/>
  <c r="AB30" i="17"/>
  <c r="AA31" i="17"/>
  <c r="AB37" i="17"/>
  <c r="AA38" i="17"/>
  <c r="AA45" i="17"/>
  <c r="AB29" i="17"/>
  <c r="AA37" i="17"/>
  <c r="AA32" i="17"/>
  <c r="AA39" i="17"/>
  <c r="K80" i="64"/>
  <c r="G80" i="64"/>
  <c r="F80" i="64"/>
  <c r="E80" i="64"/>
  <c r="D80" i="64"/>
  <c r="H79" i="64"/>
  <c r="E47" i="71" s="1"/>
  <c r="I47" i="71" s="1"/>
  <c r="H78" i="64"/>
  <c r="E46" i="71" s="1"/>
  <c r="I46" i="71" s="1"/>
  <c r="H77" i="64"/>
  <c r="E45" i="71" s="1"/>
  <c r="I45" i="71" s="1"/>
  <c r="H76" i="64"/>
  <c r="E44" i="71" s="1"/>
  <c r="I44" i="71" s="1"/>
  <c r="H75" i="64"/>
  <c r="E43" i="71" s="1"/>
  <c r="I43" i="71" s="1"/>
  <c r="H74" i="64"/>
  <c r="E42" i="71" s="1"/>
  <c r="I42" i="71" s="1"/>
  <c r="H73" i="64"/>
  <c r="E41" i="71" s="1"/>
  <c r="I41" i="71" s="1"/>
  <c r="H72" i="64"/>
  <c r="E40" i="71" s="1"/>
  <c r="I40" i="71" s="1"/>
  <c r="H71" i="64"/>
  <c r="E39" i="71" s="1"/>
  <c r="I39" i="71" s="1"/>
  <c r="H70" i="64"/>
  <c r="E38" i="71" s="1"/>
  <c r="I38" i="71" s="1"/>
  <c r="H69" i="64"/>
  <c r="E37" i="71" s="1"/>
  <c r="I37" i="71" s="1"/>
  <c r="H68" i="64"/>
  <c r="E36" i="71" s="1"/>
  <c r="I36" i="71" s="1"/>
  <c r="H55" i="64"/>
  <c r="E23" i="71" s="1"/>
  <c r="J63" i="67"/>
  <c r="F63" i="67"/>
  <c r="E63" i="67"/>
  <c r="D63" i="67"/>
  <c r="G62" i="67"/>
  <c r="D31" i="71" s="1"/>
  <c r="G61" i="67"/>
  <c r="D30" i="71" s="1"/>
  <c r="G60" i="67"/>
  <c r="D29" i="71" s="1"/>
  <c r="G59" i="67"/>
  <c r="D28" i="71" s="1"/>
  <c r="G58" i="67"/>
  <c r="D27" i="71" s="1"/>
  <c r="G57" i="67"/>
  <c r="D26" i="71" s="1"/>
  <c r="G56" i="67"/>
  <c r="D25" i="71" s="1"/>
  <c r="G55" i="67"/>
  <c r="D24" i="71" s="1"/>
  <c r="G54" i="67"/>
  <c r="D23" i="71" s="1"/>
  <c r="G53" i="67"/>
  <c r="D22" i="71" s="1"/>
  <c r="G52" i="67"/>
  <c r="D21" i="71" s="1"/>
  <c r="G51" i="67"/>
  <c r="D20" i="71" s="1"/>
  <c r="AL61" i="17" l="1"/>
  <c r="AM61" i="17"/>
  <c r="AP60" i="17"/>
  <c r="AO60" i="17"/>
  <c r="AP57" i="17"/>
  <c r="AO57" i="17"/>
  <c r="AN61" i="17"/>
  <c r="AP58" i="17"/>
  <c r="AO58" i="17"/>
  <c r="AO59" i="17"/>
  <c r="AP59" i="17"/>
  <c r="AE61" i="17"/>
  <c r="AF61" i="17"/>
  <c r="AI60" i="17"/>
  <c r="AH60" i="17"/>
  <c r="AI57" i="17"/>
  <c r="AH57" i="17"/>
  <c r="AG61" i="17"/>
  <c r="AH59" i="17"/>
  <c r="AI59" i="17"/>
  <c r="AI58" i="17"/>
  <c r="AH58" i="17"/>
  <c r="AB41" i="17"/>
  <c r="AZ2" i="41"/>
  <c r="BC2" i="41"/>
  <c r="BG2" i="41"/>
  <c r="AY2" i="41"/>
  <c r="AA33" i="17"/>
  <c r="BE2" i="41"/>
  <c r="AX2" i="41"/>
  <c r="BB5" i="41"/>
  <c r="BB2" i="41" s="1"/>
  <c r="BH2" i="41"/>
  <c r="AB33" i="17"/>
  <c r="AA25" i="17"/>
  <c r="AB25" i="17"/>
  <c r="Z47" i="17"/>
  <c r="AA47" i="17" s="1"/>
  <c r="AA41" i="17"/>
  <c r="AA9" i="17"/>
  <c r="AB9" i="17"/>
  <c r="AB17" i="17"/>
  <c r="AA17" i="17"/>
  <c r="H80" i="64"/>
  <c r="E48" i="71" s="1"/>
  <c r="I48" i="71" s="1"/>
  <c r="G63" i="67"/>
  <c r="D32" i="71" s="1"/>
  <c r="AP61" i="17" l="1"/>
  <c r="AO61" i="17"/>
  <c r="AI61" i="17"/>
  <c r="AH61" i="17"/>
  <c r="AB47" i="17"/>
  <c r="AU45" i="17"/>
  <c r="AT45" i="17"/>
  <c r="E45" i="17"/>
  <c r="D45" i="17"/>
  <c r="B45" i="17"/>
  <c r="G4" i="43"/>
  <c r="D7" i="43" l="1"/>
  <c r="D8" i="43"/>
  <c r="D5" i="43"/>
  <c r="D6" i="43"/>
  <c r="I6" i="43"/>
  <c r="C2" i="56"/>
  <c r="E34" i="56" s="1"/>
  <c r="S2" i="17"/>
  <c r="AF10" i="41"/>
  <c r="AF11" i="41"/>
  <c r="AF12" i="41"/>
  <c r="AF13" i="41"/>
  <c r="AF14" i="41"/>
  <c r="AF15" i="41"/>
  <c r="AF16" i="41"/>
  <c r="AF17" i="41"/>
  <c r="AF18" i="41"/>
  <c r="AF19" i="41"/>
  <c r="AF20" i="41"/>
  <c r="AF21" i="41"/>
  <c r="AF22" i="41"/>
  <c r="AF23" i="41"/>
  <c r="AF24" i="41"/>
  <c r="AF25" i="41"/>
  <c r="AF26" i="41"/>
  <c r="AF27" i="41"/>
  <c r="AF28" i="41"/>
  <c r="AF29" i="41"/>
  <c r="AF30" i="41"/>
  <c r="AF31" i="41"/>
  <c r="AF32" i="41"/>
  <c r="AF33" i="41"/>
  <c r="AF34" i="41"/>
  <c r="AF35" i="41"/>
  <c r="AF36" i="41"/>
  <c r="AF37" i="41"/>
  <c r="AF38" i="41"/>
  <c r="AF39" i="41"/>
  <c r="AF40" i="41"/>
  <c r="AF41" i="41"/>
  <c r="AF42" i="41"/>
  <c r="AF43" i="41"/>
  <c r="AF44" i="41"/>
  <c r="AF45" i="41"/>
  <c r="AF46" i="41"/>
  <c r="AF47" i="41"/>
  <c r="AF48" i="41"/>
  <c r="AF49" i="41"/>
  <c r="AF50" i="41"/>
  <c r="AF51" i="41"/>
  <c r="AF52" i="41"/>
  <c r="AF53" i="41"/>
  <c r="AF54" i="41"/>
  <c r="AF55" i="41"/>
  <c r="AF56" i="41"/>
  <c r="AF57" i="41"/>
  <c r="AF58" i="41"/>
  <c r="AF59" i="41"/>
  <c r="AF60" i="41"/>
  <c r="AF61" i="41"/>
  <c r="AF62" i="41"/>
  <c r="AF63" i="41"/>
  <c r="AF64" i="41"/>
  <c r="AF65" i="41"/>
  <c r="AF66" i="41"/>
  <c r="AF67" i="41"/>
  <c r="AF68" i="41"/>
  <c r="AF69" i="41"/>
  <c r="AF70" i="41"/>
  <c r="AF71" i="41"/>
  <c r="AF72" i="41"/>
  <c r="AF73" i="41"/>
  <c r="AF74" i="41"/>
  <c r="AF75" i="41"/>
  <c r="AF76" i="41"/>
  <c r="AF77" i="41"/>
  <c r="AF78" i="41"/>
  <c r="AF79" i="41"/>
  <c r="AF80" i="41"/>
  <c r="AF81" i="41"/>
  <c r="AF82" i="41"/>
  <c r="AF83" i="41"/>
  <c r="AF84" i="41"/>
  <c r="AF85" i="41"/>
  <c r="AF86" i="41"/>
  <c r="AF87" i="41"/>
  <c r="AF88" i="41"/>
  <c r="AF89" i="41"/>
  <c r="AF90" i="41"/>
  <c r="AF91" i="41"/>
  <c r="AF92" i="41"/>
  <c r="AF93" i="41"/>
  <c r="AF94" i="41"/>
  <c r="AF95" i="41"/>
  <c r="AF96" i="41"/>
  <c r="AF97" i="41"/>
  <c r="AF98" i="41"/>
  <c r="AF99" i="41"/>
  <c r="AF100" i="41"/>
  <c r="AF101" i="41"/>
  <c r="AF102" i="41"/>
  <c r="AF103" i="41"/>
  <c r="AF104" i="41"/>
  <c r="AF105" i="41"/>
  <c r="AF5" i="41"/>
  <c r="AF6" i="41"/>
  <c r="AF7" i="41"/>
  <c r="AF8" i="41"/>
  <c r="AF9" i="41"/>
  <c r="Q5" i="41"/>
  <c r="Z5" i="41" s="1"/>
  <c r="AC5" i="41" l="1" a="1"/>
  <c r="AC5" i="41" s="1"/>
  <c r="D9" i="43"/>
  <c r="C34" i="56"/>
  <c r="D34" i="56"/>
  <c r="C39" i="56"/>
  <c r="C41" i="56"/>
  <c r="C43" i="56"/>
  <c r="C45" i="56"/>
  <c r="C47" i="56"/>
  <c r="C49" i="56"/>
  <c r="D39" i="56"/>
  <c r="D41" i="56"/>
  <c r="D42" i="56"/>
  <c r="E40" i="56"/>
  <c r="E39" i="56"/>
  <c r="E41" i="56"/>
  <c r="D40" i="56"/>
  <c r="C40" i="56"/>
  <c r="C42" i="56"/>
  <c r="C44" i="56"/>
  <c r="C46" i="56"/>
  <c r="C48" i="56"/>
  <c r="E42" i="56"/>
  <c r="E38" i="56"/>
  <c r="D38" i="56"/>
  <c r="C38" i="56"/>
  <c r="AL63" i="41"/>
  <c r="AL31" i="41"/>
  <c r="AG9" i="41"/>
  <c r="AR9" i="41" s="1" a="1"/>
  <c r="AR9" i="41" s="1"/>
  <c r="AL9" i="41"/>
  <c r="AH102" i="41"/>
  <c r="AL102" i="41"/>
  <c r="AH94" i="41"/>
  <c r="AL94" i="41"/>
  <c r="AG86" i="41"/>
  <c r="AR86" i="41" s="1" a="1"/>
  <c r="AR86" i="41" s="1"/>
  <c r="AL86" i="41"/>
  <c r="AH78" i="41"/>
  <c r="AL78" i="41"/>
  <c r="AH70" i="41"/>
  <c r="AL70" i="41"/>
  <c r="AH62" i="41"/>
  <c r="AL62" i="41"/>
  <c r="AG54" i="41"/>
  <c r="AL54" i="41"/>
  <c r="AH46" i="41"/>
  <c r="AL46" i="41"/>
  <c r="AH38" i="41"/>
  <c r="AL38" i="41"/>
  <c r="AH30" i="41"/>
  <c r="AL30" i="41"/>
  <c r="AG22" i="41"/>
  <c r="AL22" i="41"/>
  <c r="AH14" i="41"/>
  <c r="AL14" i="41"/>
  <c r="AL87" i="41"/>
  <c r="AL47" i="41"/>
  <c r="AG8" i="41"/>
  <c r="AN8" i="41" s="1" a="1"/>
  <c r="AN8" i="41" s="1"/>
  <c r="AL8" i="41"/>
  <c r="AH101" i="41"/>
  <c r="AL101" i="41"/>
  <c r="AH93" i="41"/>
  <c r="AL93" i="41"/>
  <c r="AH85" i="41"/>
  <c r="AL85" i="41"/>
  <c r="AH77" i="41"/>
  <c r="AL77" i="41"/>
  <c r="AH69" i="41"/>
  <c r="AL69" i="41"/>
  <c r="AH61" i="41"/>
  <c r="AL61" i="41"/>
  <c r="AL53" i="41"/>
  <c r="AH45" i="41"/>
  <c r="AL45" i="41"/>
  <c r="AL37" i="41"/>
  <c r="AH29" i="41"/>
  <c r="AL29" i="41"/>
  <c r="AL21" i="41"/>
  <c r="AH13" i="41"/>
  <c r="AL13" i="41"/>
  <c r="AL79" i="41"/>
  <c r="AL23" i="41"/>
  <c r="AH100" i="41"/>
  <c r="AL100" i="41"/>
  <c r="AH92" i="41"/>
  <c r="AL92" i="41"/>
  <c r="AH84" i="41"/>
  <c r="AL84" i="41"/>
  <c r="AH76" i="41"/>
  <c r="AL76" i="41"/>
  <c r="AQ68" i="41"/>
  <c r="AL68" i="41"/>
  <c r="AQ60" i="41"/>
  <c r="AL60" i="41"/>
  <c r="AL52" i="41"/>
  <c r="AH44" i="41"/>
  <c r="AL44" i="41"/>
  <c r="AH36" i="41"/>
  <c r="AL36" i="41"/>
  <c r="AH28" i="41"/>
  <c r="AL28" i="41"/>
  <c r="AH20" i="41"/>
  <c r="AL20" i="41"/>
  <c r="AH12" i="41"/>
  <c r="AL12" i="41"/>
  <c r="AL71" i="41"/>
  <c r="AL39" i="41"/>
  <c r="AG7" i="41"/>
  <c r="AL7" i="41"/>
  <c r="AL6" i="41"/>
  <c r="AO99" i="41"/>
  <c r="AL99" i="41"/>
  <c r="AH91" i="41"/>
  <c r="AL91" i="41"/>
  <c r="AH83" i="41"/>
  <c r="AK83" i="41" a="1"/>
  <c r="AK83" i="41" s="1"/>
  <c r="AL83" i="41"/>
  <c r="AO75" i="41"/>
  <c r="AL75" i="41"/>
  <c r="AH67" i="41"/>
  <c r="AK67" i="41" a="1"/>
  <c r="AK67" i="41" s="1"/>
  <c r="AL67" i="41"/>
  <c r="AH59" i="41"/>
  <c r="AL59" i="41"/>
  <c r="AO51" i="41"/>
  <c r="AL51" i="41"/>
  <c r="AO43" i="41"/>
  <c r="AL43" i="41"/>
  <c r="AH35" i="41"/>
  <c r="AL35" i="41"/>
  <c r="AH27" i="41"/>
  <c r="AL27" i="41"/>
  <c r="AO19" i="41"/>
  <c r="AL19" i="41"/>
  <c r="AO11" i="41"/>
  <c r="AL11" i="41"/>
  <c r="AL55" i="41"/>
  <c r="AL15" i="41"/>
  <c r="AG5" i="41"/>
  <c r="AL5" i="41"/>
  <c r="AO98" i="41"/>
  <c r="AL98" i="41"/>
  <c r="AH90" i="41"/>
  <c r="AL90" i="41"/>
  <c r="AH82" i="41"/>
  <c r="AL82" i="41"/>
  <c r="AO74" i="41"/>
  <c r="AL74" i="41"/>
  <c r="AH66" i="41"/>
  <c r="AL66" i="41"/>
  <c r="AH58" i="41"/>
  <c r="AL58" i="41"/>
  <c r="AH50" i="41"/>
  <c r="AL50" i="41"/>
  <c r="AO42" i="41"/>
  <c r="AL42" i="41"/>
  <c r="AH34" i="41"/>
  <c r="AL34" i="41"/>
  <c r="AH26" i="41"/>
  <c r="AL26" i="41"/>
  <c r="AH18" i="41"/>
  <c r="AL18" i="41"/>
  <c r="AO10" i="41"/>
  <c r="AL10" i="41"/>
  <c r="AL95" i="41"/>
  <c r="AQ97" i="41"/>
  <c r="AL97" i="41"/>
  <c r="AQ89" i="41"/>
  <c r="AL89" i="41"/>
  <c r="AG81" i="41"/>
  <c r="AL81" i="41"/>
  <c r="AG73" i="41"/>
  <c r="AL73" i="41"/>
  <c r="AH65" i="41"/>
  <c r="AL65" i="41"/>
  <c r="AL57" i="41"/>
  <c r="AH49" i="41"/>
  <c r="AL49" i="41"/>
  <c r="AK49" i="41" a="1"/>
  <c r="AK49" i="41" s="1"/>
  <c r="AH41" i="41"/>
  <c r="AL41" i="41"/>
  <c r="AL33" i="41"/>
  <c r="AH25" i="41"/>
  <c r="AL25" i="41"/>
  <c r="AG17" i="41"/>
  <c r="AN17" i="41" s="1" a="1"/>
  <c r="AN17" i="41" s="1"/>
  <c r="AL17" i="41"/>
  <c r="AL103" i="41"/>
  <c r="AQ105" i="41"/>
  <c r="AL105" i="41"/>
  <c r="AG104" i="41"/>
  <c r="AR104" i="41" s="1" a="1"/>
  <c r="AR104" i="41" s="1"/>
  <c r="AL104" i="41"/>
  <c r="AG96" i="41"/>
  <c r="AL96" i="41"/>
  <c r="AG88" i="41"/>
  <c r="AL88" i="41"/>
  <c r="AG80" i="41"/>
  <c r="AL80" i="41"/>
  <c r="AG72" i="41"/>
  <c r="AL72" i="41"/>
  <c r="AG64" i="41"/>
  <c r="AL64" i="41"/>
  <c r="AG56" i="41"/>
  <c r="AL56" i="41"/>
  <c r="AG48" i="41"/>
  <c r="AL48" i="41"/>
  <c r="AG40" i="41"/>
  <c r="AL40" i="41"/>
  <c r="AG32" i="41"/>
  <c r="AL32" i="41"/>
  <c r="AG24" i="41"/>
  <c r="AL24" i="41"/>
  <c r="AG16" i="41"/>
  <c r="AL16" i="41"/>
  <c r="W5" i="41"/>
  <c r="V5" i="41" a="1"/>
  <c r="V5" i="41" s="1"/>
  <c r="AG49" i="41"/>
  <c r="AH86" i="41"/>
  <c r="AH54" i="41"/>
  <c r="AH22" i="41"/>
  <c r="AO58" i="41"/>
  <c r="AG78" i="41"/>
  <c r="AG46" i="41"/>
  <c r="AG14" i="41"/>
  <c r="AH51" i="41"/>
  <c r="AH19" i="41"/>
  <c r="AO26" i="41"/>
  <c r="AG105" i="41"/>
  <c r="AI105" i="41" s="1" a="1"/>
  <c r="AI105" i="41" s="1"/>
  <c r="AG41" i="41"/>
  <c r="AQ84" i="41"/>
  <c r="AG102" i="41"/>
  <c r="AG70" i="41"/>
  <c r="AG38" i="41"/>
  <c r="AG6" i="41"/>
  <c r="AH75" i="41"/>
  <c r="AH43" i="41"/>
  <c r="AH11" i="41"/>
  <c r="AQ20" i="41"/>
  <c r="AG97" i="41"/>
  <c r="AG65" i="41"/>
  <c r="AG33" i="41"/>
  <c r="AH6" i="41"/>
  <c r="AG94" i="41"/>
  <c r="AG62" i="41"/>
  <c r="AI62" i="41" s="1" a="1"/>
  <c r="AI62" i="41" s="1"/>
  <c r="AG30" i="41"/>
  <c r="AH99" i="41"/>
  <c r="AG89" i="41"/>
  <c r="AG57" i="41"/>
  <c r="AG25" i="41"/>
  <c r="AO89" i="41"/>
  <c r="AQ103" i="41"/>
  <c r="AO103" i="41"/>
  <c r="AQ95" i="41"/>
  <c r="AO95" i="41"/>
  <c r="AQ87" i="41"/>
  <c r="AO87" i="41"/>
  <c r="AQ79" i="41"/>
  <c r="AO79" i="41"/>
  <c r="AQ71" i="41"/>
  <c r="AO71" i="41"/>
  <c r="AQ63" i="41"/>
  <c r="AO63" i="41"/>
  <c r="AQ55" i="41"/>
  <c r="AO55" i="41"/>
  <c r="AQ47" i="41"/>
  <c r="AO47" i="41"/>
  <c r="AQ39" i="41"/>
  <c r="AO39" i="41"/>
  <c r="AQ31" i="41"/>
  <c r="AO31" i="41"/>
  <c r="AQ23" i="41"/>
  <c r="AO23" i="41"/>
  <c r="AQ15" i="41"/>
  <c r="AO15" i="41"/>
  <c r="AH53" i="41"/>
  <c r="AH37" i="41"/>
  <c r="AH21" i="41"/>
  <c r="AH5" i="41"/>
  <c r="AO83" i="41"/>
  <c r="AQ76" i="41"/>
  <c r="AQ12" i="41"/>
  <c r="AR49" i="41" a="1"/>
  <c r="AR49" i="41" s="1"/>
  <c r="AQ104" i="41"/>
  <c r="AO104" i="41"/>
  <c r="AQ96" i="41"/>
  <c r="AO96" i="41"/>
  <c r="AQ88" i="41"/>
  <c r="AO88" i="41"/>
  <c r="AQ80" i="41"/>
  <c r="AO80" i="41"/>
  <c r="AQ72" i="41"/>
  <c r="AO72" i="41"/>
  <c r="AQ64" i="41"/>
  <c r="AO64" i="41"/>
  <c r="AQ56" i="41"/>
  <c r="AO56" i="41"/>
  <c r="AQ48" i="41"/>
  <c r="AO48" i="41"/>
  <c r="AQ40" i="41"/>
  <c r="AO40" i="41"/>
  <c r="AQ32" i="41"/>
  <c r="AO32" i="41"/>
  <c r="AQ24" i="41"/>
  <c r="AO24" i="41"/>
  <c r="AQ16" i="41"/>
  <c r="AO16" i="41"/>
  <c r="AQ9" i="41"/>
  <c r="AO9" i="41"/>
  <c r="AQ102" i="41"/>
  <c r="AO102" i="41"/>
  <c r="AQ94" i="41"/>
  <c r="AO94" i="41"/>
  <c r="AQ86" i="41"/>
  <c r="AO86" i="41"/>
  <c r="AQ78" i="41"/>
  <c r="AO78" i="41"/>
  <c r="AQ70" i="41"/>
  <c r="AO70" i="41"/>
  <c r="AQ62" i="41"/>
  <c r="AO62" i="41"/>
  <c r="AQ54" i="41"/>
  <c r="AO54" i="41"/>
  <c r="AQ46" i="41"/>
  <c r="AO46" i="41"/>
  <c r="AQ38" i="41"/>
  <c r="AO38" i="41"/>
  <c r="AQ30" i="41"/>
  <c r="AO30" i="41"/>
  <c r="AQ22" i="41"/>
  <c r="AO22" i="41"/>
  <c r="AQ14" i="41"/>
  <c r="AO14" i="41"/>
  <c r="AG103" i="41"/>
  <c r="AG95" i="41"/>
  <c r="AG87" i="41"/>
  <c r="AI87" i="41" s="1" a="1"/>
  <c r="AI87" i="41" s="1"/>
  <c r="AG79" i="41"/>
  <c r="AG71" i="41"/>
  <c r="AI71" i="41" s="1" a="1"/>
  <c r="AI71" i="41" s="1"/>
  <c r="AG63" i="41"/>
  <c r="AG55" i="41"/>
  <c r="AI55" i="41" s="1" a="1"/>
  <c r="AI55" i="41" s="1"/>
  <c r="AG47" i="41"/>
  <c r="AG39" i="41"/>
  <c r="AG31" i="41"/>
  <c r="AG23" i="41"/>
  <c r="AG15" i="41"/>
  <c r="AH68" i="41"/>
  <c r="AH60" i="41"/>
  <c r="AH52" i="41"/>
  <c r="AI49" i="41" a="1"/>
  <c r="AI49" i="41" s="1"/>
  <c r="AO105" i="41"/>
  <c r="AO82" i="41"/>
  <c r="AO50" i="41"/>
  <c r="AO18" i="41"/>
  <c r="AN49" i="41" a="1"/>
  <c r="AN49" i="41" s="1"/>
  <c r="AQ8" i="41"/>
  <c r="AO8" i="41"/>
  <c r="AQ101" i="41"/>
  <c r="AO101" i="41"/>
  <c r="AQ93" i="41"/>
  <c r="AO93" i="41"/>
  <c r="AQ85" i="41"/>
  <c r="AO85" i="41"/>
  <c r="AQ77" i="41"/>
  <c r="AO77" i="41"/>
  <c r="AQ69" i="41"/>
  <c r="AO69" i="41"/>
  <c r="AQ61" i="41"/>
  <c r="AO61" i="41"/>
  <c r="AQ53" i="41"/>
  <c r="AO53" i="41"/>
  <c r="AQ45" i="41"/>
  <c r="AO45" i="41"/>
  <c r="AQ37" i="41"/>
  <c r="AO37" i="41"/>
  <c r="AQ29" i="41"/>
  <c r="AO29" i="41"/>
  <c r="AQ21" i="41"/>
  <c r="AO21" i="41"/>
  <c r="AQ13" i="41"/>
  <c r="AO13" i="41"/>
  <c r="AQ7" i="41"/>
  <c r="AO7" i="41"/>
  <c r="AO100" i="41"/>
  <c r="AO92" i="41"/>
  <c r="AO84" i="41"/>
  <c r="AO76" i="41"/>
  <c r="AO68" i="41"/>
  <c r="AO60" i="41"/>
  <c r="AO52" i="41"/>
  <c r="AO44" i="41"/>
  <c r="AO36" i="41"/>
  <c r="AO28" i="41"/>
  <c r="AO20" i="41"/>
  <c r="AO12" i="41"/>
  <c r="AG101" i="41"/>
  <c r="AG93" i="41"/>
  <c r="AG85" i="41"/>
  <c r="AG77" i="41"/>
  <c r="AG69" i="41"/>
  <c r="AG61" i="41"/>
  <c r="AG53" i="41"/>
  <c r="AG45" i="41"/>
  <c r="AG37" i="41"/>
  <c r="AG29" i="41"/>
  <c r="AG21" i="41"/>
  <c r="AG13" i="41"/>
  <c r="AH98" i="41"/>
  <c r="AH74" i="41"/>
  <c r="AH42" i="41"/>
  <c r="AH10" i="41"/>
  <c r="AQ52" i="41"/>
  <c r="AQ6" i="41"/>
  <c r="AO6" i="41"/>
  <c r="AQ99" i="41"/>
  <c r="AQ91" i="41"/>
  <c r="AQ83" i="41"/>
  <c r="AQ75" i="41"/>
  <c r="AQ67" i="41"/>
  <c r="AQ59" i="41"/>
  <c r="AQ51" i="41"/>
  <c r="AQ43" i="41"/>
  <c r="AQ35" i="41"/>
  <c r="AQ27" i="41"/>
  <c r="AQ19" i="41"/>
  <c r="AQ11" i="41"/>
  <c r="AG100" i="41"/>
  <c r="AG92" i="41"/>
  <c r="AG84" i="41"/>
  <c r="AG76" i="41"/>
  <c r="AG68" i="41"/>
  <c r="AG60" i="41"/>
  <c r="AG52" i="41"/>
  <c r="AG44" i="41"/>
  <c r="AG36" i="41"/>
  <c r="AG28" i="41"/>
  <c r="AG20" i="41"/>
  <c r="AG12" i="41"/>
  <c r="AH105" i="41"/>
  <c r="AH97" i="41"/>
  <c r="AH89" i="41"/>
  <c r="AH81" i="41"/>
  <c r="AH73" i="41"/>
  <c r="AH57" i="41"/>
  <c r="AH33" i="41"/>
  <c r="AH17" i="41"/>
  <c r="AH9" i="41"/>
  <c r="AO97" i="41"/>
  <c r="AO67" i="41"/>
  <c r="AO35" i="41"/>
  <c r="AQ44" i="41"/>
  <c r="AQ5" i="41"/>
  <c r="AO5" i="41"/>
  <c r="AQ98" i="41"/>
  <c r="AQ90" i="41"/>
  <c r="AQ82" i="41"/>
  <c r="AQ74" i="41"/>
  <c r="AQ66" i="41"/>
  <c r="AQ58" i="41"/>
  <c r="AQ50" i="41"/>
  <c r="AQ42" i="41"/>
  <c r="AQ34" i="41"/>
  <c r="AQ26" i="41"/>
  <c r="AQ18" i="41"/>
  <c r="AQ10" i="41"/>
  <c r="AG99" i="41"/>
  <c r="AG91" i="41"/>
  <c r="AG83" i="41"/>
  <c r="AI83" i="41" s="1" a="1"/>
  <c r="AI83" i="41" s="1"/>
  <c r="AG75" i="41"/>
  <c r="AG67" i="41"/>
  <c r="AI67" i="41" s="1" a="1"/>
  <c r="AI67" i="41" s="1"/>
  <c r="AG59" i="41"/>
  <c r="AG51" i="41"/>
  <c r="AG43" i="41"/>
  <c r="AG35" i="41"/>
  <c r="AG27" i="41"/>
  <c r="AG19" i="41"/>
  <c r="AI19" i="41" s="1" a="1"/>
  <c r="AI19" i="41" s="1"/>
  <c r="AJ19" i="41" s="1"/>
  <c r="AG11" i="41"/>
  <c r="AH104" i="41"/>
  <c r="AH96" i="41"/>
  <c r="AH88" i="41"/>
  <c r="AH80" i="41"/>
  <c r="AH72" i="41"/>
  <c r="AH64" i="41"/>
  <c r="AH56" i="41"/>
  <c r="AH48" i="41"/>
  <c r="AH40" i="41"/>
  <c r="AH32" i="41"/>
  <c r="AH24" i="41"/>
  <c r="AH16" i="41"/>
  <c r="AH8" i="41"/>
  <c r="AO91" i="41"/>
  <c r="AO66" i="41"/>
  <c r="AO34" i="41"/>
  <c r="AQ100" i="41"/>
  <c r="AQ36" i="41"/>
  <c r="AQ81" i="41"/>
  <c r="AO81" i="41"/>
  <c r="AQ73" i="41"/>
  <c r="AO73" i="41"/>
  <c r="AQ65" i="41"/>
  <c r="AO65" i="41"/>
  <c r="AQ57" i="41"/>
  <c r="AO57" i="41"/>
  <c r="AQ49" i="41"/>
  <c r="AO49" i="41"/>
  <c r="AQ41" i="41"/>
  <c r="AO41" i="41"/>
  <c r="AQ33" i="41"/>
  <c r="AO33" i="41"/>
  <c r="AQ25" i="41"/>
  <c r="AO25" i="41"/>
  <c r="AQ17" i="41"/>
  <c r="AO17" i="41"/>
  <c r="AF2" i="41"/>
  <c r="AG98" i="41"/>
  <c r="AG90" i="41"/>
  <c r="AG82" i="41"/>
  <c r="AG74" i="41"/>
  <c r="AG66" i="41"/>
  <c r="AG58" i="41"/>
  <c r="AG50" i="41"/>
  <c r="AG42" i="41"/>
  <c r="AG34" i="41"/>
  <c r="AG26" i="41"/>
  <c r="AG18" i="41"/>
  <c r="AG10" i="41"/>
  <c r="AH103" i="41"/>
  <c r="AH95" i="41"/>
  <c r="AH87" i="41"/>
  <c r="AH79" i="41"/>
  <c r="AH71" i="41"/>
  <c r="AH63" i="41"/>
  <c r="AH55" i="41"/>
  <c r="AH47" i="41"/>
  <c r="AH39" i="41"/>
  <c r="AH31" i="41"/>
  <c r="AH23" i="41"/>
  <c r="AH15" i="41"/>
  <c r="AH7" i="41"/>
  <c r="AO90" i="41"/>
  <c r="AO59" i="41"/>
  <c r="AO27" i="41"/>
  <c r="AQ92" i="41"/>
  <c r="AQ28" i="41"/>
  <c r="S51" i="17"/>
  <c r="R51" i="17"/>
  <c r="P51" i="17"/>
  <c r="P45" i="17"/>
  <c r="K45" i="17"/>
  <c r="S45" i="17"/>
  <c r="AU6" i="17"/>
  <c r="AT6" i="17"/>
  <c r="AT7" i="17"/>
  <c r="AS6" i="17"/>
  <c r="AS35" i="17"/>
  <c r="AT35" i="17"/>
  <c r="AU35" i="17"/>
  <c r="S40" i="17"/>
  <c r="R40" i="17"/>
  <c r="Q40" i="17"/>
  <c r="S39" i="17"/>
  <c r="R39" i="17"/>
  <c r="Q39" i="17"/>
  <c r="S38" i="17"/>
  <c r="R38" i="17"/>
  <c r="Q38" i="17"/>
  <c r="S37" i="17"/>
  <c r="R37" i="17"/>
  <c r="Q37" i="17"/>
  <c r="S32" i="17"/>
  <c r="R32" i="17"/>
  <c r="Q32" i="17"/>
  <c r="S31" i="17"/>
  <c r="R31" i="17"/>
  <c r="Q31" i="17"/>
  <c r="S30" i="17"/>
  <c r="R30" i="17"/>
  <c r="Q30" i="17"/>
  <c r="S29" i="17"/>
  <c r="R29" i="17"/>
  <c r="Q29" i="17"/>
  <c r="S16" i="17"/>
  <c r="R16" i="17"/>
  <c r="Q16" i="17"/>
  <c r="S15" i="17"/>
  <c r="R15" i="17"/>
  <c r="Q15" i="17"/>
  <c r="S14" i="17"/>
  <c r="R14" i="17"/>
  <c r="Q14" i="17"/>
  <c r="S13" i="17"/>
  <c r="R13" i="17"/>
  <c r="Q13" i="17"/>
  <c r="S8" i="17"/>
  <c r="R8" i="17"/>
  <c r="Q8" i="17"/>
  <c r="S7" i="17"/>
  <c r="R7" i="17"/>
  <c r="Q7" i="17"/>
  <c r="S6" i="17"/>
  <c r="R6" i="17"/>
  <c r="Q6" i="17"/>
  <c r="S5" i="17"/>
  <c r="R5" i="17"/>
  <c r="Q5" i="17"/>
  <c r="S24" i="17"/>
  <c r="R24" i="17"/>
  <c r="Q24" i="17"/>
  <c r="S23" i="17"/>
  <c r="R23" i="17"/>
  <c r="Q23" i="17"/>
  <c r="S22" i="17"/>
  <c r="R22" i="17"/>
  <c r="Q22" i="17"/>
  <c r="S21" i="17"/>
  <c r="R21" i="17"/>
  <c r="Q21" i="17"/>
  <c r="AJ67" i="41" l="1"/>
  <c r="AJ83" i="41"/>
  <c r="AS86" i="41"/>
  <c r="AJ62" i="41"/>
  <c r="AS104" i="41"/>
  <c r="AS49" i="41"/>
  <c r="AP8" i="41"/>
  <c r="F41" i="56"/>
  <c r="F42" i="56"/>
  <c r="F40" i="56"/>
  <c r="F39" i="56"/>
  <c r="F38" i="56"/>
  <c r="C50" i="56"/>
  <c r="AJ105" i="41"/>
  <c r="AJ55" i="41"/>
  <c r="AJ49" i="41"/>
  <c r="AP49" i="41"/>
  <c r="AP17" i="41"/>
  <c r="AJ71" i="41"/>
  <c r="AJ87" i="41"/>
  <c r="AS9" i="41"/>
  <c r="AI28" i="41" a="1"/>
  <c r="AI28" i="41" s="1"/>
  <c r="AJ28" i="41" s="1"/>
  <c r="AI92" i="41" a="1"/>
  <c r="AI92" i="41" s="1"/>
  <c r="AJ92" i="41" s="1"/>
  <c r="AI37" i="41" a="1"/>
  <c r="AI37" i="41" s="1"/>
  <c r="AJ37" i="41" s="1"/>
  <c r="AI101" i="41" a="1"/>
  <c r="AI101" i="41" s="1"/>
  <c r="AJ101" i="41" s="1"/>
  <c r="AI34" i="41" a="1"/>
  <c r="AI34" i="41" s="1"/>
  <c r="AJ34" i="41" s="1"/>
  <c r="AI98" i="41" a="1"/>
  <c r="AI98" i="41" s="1"/>
  <c r="AJ98" i="41" s="1"/>
  <c r="AI11" i="41" a="1"/>
  <c r="AI11" i="41" s="1"/>
  <c r="AJ11" i="41" s="1"/>
  <c r="AI75" i="41" a="1"/>
  <c r="AI75" i="41" s="1"/>
  <c r="AJ75" i="41" s="1"/>
  <c r="AI20" i="41" a="1"/>
  <c r="AI20" i="41" s="1"/>
  <c r="AJ20" i="41" s="1"/>
  <c r="AI84" i="41" a="1"/>
  <c r="AI84" i="41" s="1"/>
  <c r="AJ84" i="41" s="1"/>
  <c r="AI29" i="41" a="1"/>
  <c r="AI29" i="41" s="1"/>
  <c r="AJ29" i="41" s="1"/>
  <c r="AI93" i="41" a="1"/>
  <c r="AI93" i="41" s="1"/>
  <c r="AJ93" i="41" s="1"/>
  <c r="AI47" i="41" a="1"/>
  <c r="AI47" i="41" s="1"/>
  <c r="AJ47" i="41" s="1"/>
  <c r="AI78" i="41" a="1"/>
  <c r="AI78" i="41" s="1"/>
  <c r="AJ78" i="41" s="1"/>
  <c r="AI9" i="41" a="1"/>
  <c r="AI9" i="41" s="1"/>
  <c r="AJ9" i="41" s="1"/>
  <c r="AN9" i="41" a="1"/>
  <c r="AN9" i="41" s="1"/>
  <c r="AP9" i="41" s="1"/>
  <c r="AI50" i="41" a="1"/>
  <c r="AI50" i="41" s="1"/>
  <c r="AJ50" i="41" s="1"/>
  <c r="AI27" i="41" a="1"/>
  <c r="AI27" i="41" s="1"/>
  <c r="AJ27" i="41" s="1"/>
  <c r="AI91" i="41" a="1"/>
  <c r="AI91" i="41" s="1"/>
  <c r="AJ91" i="41" s="1"/>
  <c r="AI36" i="41" a="1"/>
  <c r="AI36" i="41" s="1"/>
  <c r="AJ36" i="41" s="1"/>
  <c r="AI100" i="41" a="1"/>
  <c r="AI100" i="41" s="1"/>
  <c r="AJ100" i="41" s="1"/>
  <c r="AI45" i="41" a="1"/>
  <c r="AI45" i="41" s="1"/>
  <c r="AJ45" i="41" s="1"/>
  <c r="AI58" i="41" a="1"/>
  <c r="AI58" i="41" s="1"/>
  <c r="AJ58" i="41" s="1"/>
  <c r="AI35" i="41" a="1"/>
  <c r="AI35" i="41" s="1"/>
  <c r="AJ35" i="41" s="1"/>
  <c r="AI99" i="41" a="1"/>
  <c r="AI99" i="41" s="1"/>
  <c r="AJ99" i="41" s="1"/>
  <c r="AI44" i="41" a="1"/>
  <c r="AI44" i="41" s="1"/>
  <c r="AJ44" i="41" s="1"/>
  <c r="AI53" i="41" a="1"/>
  <c r="AI53" i="41" s="1"/>
  <c r="AJ53" i="41" s="1"/>
  <c r="AI94" i="41" a="1"/>
  <c r="AI94" i="41" s="1"/>
  <c r="AJ94" i="41" s="1"/>
  <c r="AI24" i="41" a="1"/>
  <c r="AI24" i="41" s="1"/>
  <c r="AJ24" i="41" s="1"/>
  <c r="AI56" i="41" a="1"/>
  <c r="AI56" i="41" s="1"/>
  <c r="AJ56" i="41" s="1"/>
  <c r="AI88" i="41" a="1"/>
  <c r="AI88" i="41" s="1"/>
  <c r="AJ88" i="41" s="1"/>
  <c r="AI81" i="41" a="1"/>
  <c r="AI81" i="41" s="1"/>
  <c r="AJ81" i="41" s="1"/>
  <c r="AI8" i="41" a="1"/>
  <c r="AI8" i="41" s="1"/>
  <c r="AJ8" i="41" s="1"/>
  <c r="AI7" i="41" a="1"/>
  <c r="AI7" i="41" s="1"/>
  <c r="AJ7" i="41" s="1"/>
  <c r="AI22" i="41" a="1"/>
  <c r="AI22" i="41" s="1"/>
  <c r="AJ22" i="41" s="1"/>
  <c r="AI54" i="41" a="1"/>
  <c r="AI54" i="41" s="1"/>
  <c r="AJ54" i="41" s="1"/>
  <c r="AI86" i="41" a="1"/>
  <c r="AI86" i="41" s="1"/>
  <c r="AJ86" i="41" s="1"/>
  <c r="AI6" i="41" a="1"/>
  <c r="AI6" i="41" s="1"/>
  <c r="AJ6" i="41" s="1"/>
  <c r="AI17" i="41" a="1"/>
  <c r="AI17" i="41" s="1"/>
  <c r="AJ17" i="41" s="1"/>
  <c r="AI42" i="41" a="1"/>
  <c r="AI42" i="41" s="1"/>
  <c r="AJ42" i="41" s="1"/>
  <c r="AI25" i="41" a="1"/>
  <c r="AI25" i="41" s="1"/>
  <c r="AJ25" i="41" s="1"/>
  <c r="AI38" i="41" a="1"/>
  <c r="AI38" i="41" s="1"/>
  <c r="AJ38" i="41" s="1"/>
  <c r="AI64" i="41" a="1"/>
  <c r="AI64" i="41" s="1"/>
  <c r="AJ64" i="41" s="1"/>
  <c r="AI30" i="41" a="1"/>
  <c r="AI30" i="41" s="1"/>
  <c r="AJ30" i="41" s="1"/>
  <c r="AI41" i="41" a="1"/>
  <c r="AI41" i="41" s="1"/>
  <c r="AJ41" i="41" s="1"/>
  <c r="AI16" i="41" a="1"/>
  <c r="AI16" i="41" s="1"/>
  <c r="AJ16" i="41" s="1"/>
  <c r="AI48" i="41" a="1"/>
  <c r="AI48" i="41" s="1"/>
  <c r="AJ48" i="41" s="1"/>
  <c r="AI80" i="41" a="1"/>
  <c r="AI80" i="41" s="1"/>
  <c r="AJ80" i="41" s="1"/>
  <c r="AI73" i="41" a="1"/>
  <c r="AI73" i="41" s="1"/>
  <c r="AJ73" i="41" s="1"/>
  <c r="AI51" i="41" a="1"/>
  <c r="AI51" i="41" s="1"/>
  <c r="AJ51" i="41" s="1"/>
  <c r="AI60" i="41" a="1"/>
  <c r="AI60" i="41" s="1"/>
  <c r="AJ60" i="41" s="1"/>
  <c r="AI69" i="41" a="1"/>
  <c r="AI69" i="41" s="1"/>
  <c r="AJ69" i="41" s="1"/>
  <c r="AI23" i="41" a="1"/>
  <c r="AI23" i="41" s="1"/>
  <c r="AJ23" i="41" s="1"/>
  <c r="AI33" i="41" a="1"/>
  <c r="AI33" i="41" s="1"/>
  <c r="AJ33" i="41" s="1"/>
  <c r="AI32" i="41" a="1"/>
  <c r="AI32" i="41" s="1"/>
  <c r="AJ32" i="41" s="1"/>
  <c r="AI96" i="41" a="1"/>
  <c r="AI96" i="41" s="1"/>
  <c r="AJ96" i="41" s="1"/>
  <c r="AI18" i="41" a="1"/>
  <c r="AI18" i="41" s="1"/>
  <c r="AJ18" i="41" s="1"/>
  <c r="AI82" i="41" a="1"/>
  <c r="AI82" i="41" s="1"/>
  <c r="AJ82" i="41" s="1"/>
  <c r="AI59" i="41" a="1"/>
  <c r="AI59" i="41" s="1"/>
  <c r="AJ59" i="41" s="1"/>
  <c r="AR68" i="41" a="1"/>
  <c r="AR68" i="41" s="1"/>
  <c r="AS68" i="41" s="1"/>
  <c r="AI13" i="41" a="1"/>
  <c r="AI13" i="41" s="1"/>
  <c r="AJ13" i="41" s="1"/>
  <c r="AI77" i="41" a="1"/>
  <c r="AI77" i="41" s="1"/>
  <c r="AJ77" i="41" s="1"/>
  <c r="AI31" i="41" a="1"/>
  <c r="AI31" i="41" s="1"/>
  <c r="AJ31" i="41" s="1"/>
  <c r="AI95" i="41" a="1"/>
  <c r="AI95" i="41" s="1"/>
  <c r="AJ95" i="41" s="1"/>
  <c r="AI57" i="41" a="1"/>
  <c r="AI57" i="41" s="1"/>
  <c r="AJ57" i="41" s="1"/>
  <c r="AI65" i="41" a="1"/>
  <c r="AI65" i="41" s="1"/>
  <c r="AJ65" i="41" s="1"/>
  <c r="AI70" i="41" a="1"/>
  <c r="AI70" i="41" s="1"/>
  <c r="AJ70" i="41" s="1"/>
  <c r="AI14" i="41" a="1"/>
  <c r="AI14" i="41" s="1"/>
  <c r="AJ14" i="41" s="1"/>
  <c r="AI63" i="41" a="1"/>
  <c r="AI63" i="41" s="1"/>
  <c r="AJ63" i="41" s="1"/>
  <c r="AI66" i="41" a="1"/>
  <c r="AI66" i="41" s="1"/>
  <c r="AJ66" i="41" s="1"/>
  <c r="AI43" i="41" a="1"/>
  <c r="AI43" i="41" s="1"/>
  <c r="AJ43" i="41" s="1"/>
  <c r="AI52" i="41" a="1"/>
  <c r="AI52" i="41" s="1"/>
  <c r="AJ52" i="41" s="1"/>
  <c r="AI61" i="41" a="1"/>
  <c r="AI61" i="41" s="1"/>
  <c r="AJ61" i="41" s="1"/>
  <c r="AI15" i="41" a="1"/>
  <c r="AI15" i="41" s="1"/>
  <c r="AJ15" i="41" s="1"/>
  <c r="AI79" i="41" a="1"/>
  <c r="AI79" i="41" s="1"/>
  <c r="AJ79" i="41" s="1"/>
  <c r="AI10" i="41" a="1"/>
  <c r="AI10" i="41" s="1"/>
  <c r="AJ10" i="41" s="1"/>
  <c r="AI74" i="41" a="1"/>
  <c r="AI74" i="41" s="1"/>
  <c r="AJ74" i="41" s="1"/>
  <c r="AN86" i="41" a="1"/>
  <c r="AN86" i="41" s="1"/>
  <c r="AP86" i="41" s="1"/>
  <c r="AI26" i="41" a="1"/>
  <c r="AI26" i="41" s="1"/>
  <c r="AJ26" i="41" s="1"/>
  <c r="AI90" i="41" a="1"/>
  <c r="AI90" i="41" s="1"/>
  <c r="AJ90" i="41" s="1"/>
  <c r="AI12" i="41" a="1"/>
  <c r="AI12" i="41" s="1"/>
  <c r="AJ12" i="41" s="1"/>
  <c r="AI76" i="41" a="1"/>
  <c r="AI76" i="41" s="1"/>
  <c r="AJ76" i="41" s="1"/>
  <c r="AI21" i="41" a="1"/>
  <c r="AI21" i="41" s="1"/>
  <c r="AJ21" i="41" s="1"/>
  <c r="AI85" i="41" a="1"/>
  <c r="AI85" i="41" s="1"/>
  <c r="AJ85" i="41" s="1"/>
  <c r="AI39" i="41" a="1"/>
  <c r="AI39" i="41" s="1"/>
  <c r="AJ39" i="41" s="1"/>
  <c r="AI103" i="41" a="1"/>
  <c r="AI103" i="41" s="1"/>
  <c r="AJ103" i="41" s="1"/>
  <c r="AI89" i="41" a="1"/>
  <c r="AI89" i="41" s="1"/>
  <c r="AJ89" i="41" s="1"/>
  <c r="AI97" i="41" a="1"/>
  <c r="AI97" i="41" s="1"/>
  <c r="AJ97" i="41" s="1"/>
  <c r="AI102" i="41" a="1"/>
  <c r="AI102" i="41" s="1"/>
  <c r="AJ102" i="41" s="1"/>
  <c r="AI46" i="41" a="1"/>
  <c r="AI46" i="41" s="1"/>
  <c r="AJ46" i="41" s="1"/>
  <c r="AI40" i="41" a="1"/>
  <c r="AI40" i="41" s="1"/>
  <c r="AJ40" i="41" s="1"/>
  <c r="AI72" i="41" a="1"/>
  <c r="AI72" i="41" s="1"/>
  <c r="AJ72" i="41" s="1"/>
  <c r="AI104" i="41" a="1"/>
  <c r="AI104" i="41" s="1"/>
  <c r="AJ104" i="41" s="1"/>
  <c r="AK9" i="41" a="1"/>
  <c r="AK9" i="41" s="1"/>
  <c r="AM9" i="41" s="1"/>
  <c r="AK5" i="41" a="1"/>
  <c r="AK5" i="41" s="1"/>
  <c r="AM5" i="41" s="1"/>
  <c r="Y61" i="17"/>
  <c r="Z61" i="17"/>
  <c r="AB57" i="17"/>
  <c r="AA57" i="17"/>
  <c r="AB59" i="17"/>
  <c r="AA59" i="17"/>
  <c r="AA58" i="17"/>
  <c r="AB58" i="17"/>
  <c r="AB60" i="17"/>
  <c r="AA60" i="17"/>
  <c r="X61" i="17"/>
  <c r="AN73" i="41" a="1"/>
  <c r="AN73" i="41" s="1"/>
  <c r="AP73" i="41" s="1"/>
  <c r="AR8" i="41" a="1"/>
  <c r="AR8" i="41" s="1"/>
  <c r="AS8" i="41" s="1"/>
  <c r="AN81" i="41" a="1"/>
  <c r="AN81" i="41" s="1"/>
  <c r="AP81" i="41" s="1"/>
  <c r="AN88" i="41" a="1"/>
  <c r="AN88" i="41" s="1"/>
  <c r="AP88" i="41" s="1"/>
  <c r="AN104" i="41" a="1"/>
  <c r="AN104" i="41" s="1"/>
  <c r="AP104" i="41" s="1"/>
  <c r="AR81" i="41" a="1"/>
  <c r="AR81" i="41" s="1"/>
  <c r="AS81" i="41" s="1"/>
  <c r="AK88" i="41" a="1"/>
  <c r="AK88" i="41" s="1"/>
  <c r="AM88" i="41" s="1"/>
  <c r="AR88" i="41" a="1"/>
  <c r="AR88" i="41" s="1"/>
  <c r="AS88" i="41" s="1"/>
  <c r="AN7" i="41" a="1"/>
  <c r="AN7" i="41" s="1"/>
  <c r="AP7" i="41" s="1"/>
  <c r="AR72" i="41" a="1"/>
  <c r="AR72" i="41" s="1"/>
  <c r="AS72" i="41" s="1"/>
  <c r="AK86" i="41" a="1"/>
  <c r="AK86" i="41" s="1"/>
  <c r="AM86" i="41" s="1"/>
  <c r="AR65" i="41" a="1"/>
  <c r="AR65" i="41" s="1"/>
  <c r="AS65" i="41" s="1"/>
  <c r="AR40" i="41" a="1"/>
  <c r="AR40" i="41" s="1"/>
  <c r="AS40" i="41" s="1"/>
  <c r="AN32" i="41" a="1"/>
  <c r="AN32" i="41" s="1"/>
  <c r="AP32" i="41" s="1"/>
  <c r="AR5" i="41" a="1"/>
  <c r="AR5" i="41" s="1"/>
  <c r="AS5" i="41" s="1"/>
  <c r="AN24" i="41" a="1"/>
  <c r="AN24" i="41" s="1"/>
  <c r="AP24" i="41" s="1"/>
  <c r="AN5" i="41" a="1"/>
  <c r="AN5" i="41" s="1"/>
  <c r="AP5" i="41" s="1"/>
  <c r="AR56" i="41" a="1"/>
  <c r="AR56" i="41" s="1"/>
  <c r="AS56" i="41" s="1"/>
  <c r="AN56" i="41" a="1"/>
  <c r="AN56" i="41" s="1"/>
  <c r="AP56" i="41" s="1"/>
  <c r="AR24" i="41" a="1"/>
  <c r="AR24" i="41" s="1"/>
  <c r="AS24" i="41" s="1"/>
  <c r="AI5" i="41" a="1"/>
  <c r="AI5" i="41" s="1"/>
  <c r="AJ5" i="41" s="1"/>
  <c r="AN102" i="41" a="1"/>
  <c r="AN102" i="41" s="1"/>
  <c r="AP102" i="41" s="1"/>
  <c r="AR64" i="41" a="1"/>
  <c r="AR64" i="41" s="1"/>
  <c r="AS64" i="41" s="1"/>
  <c r="AN96" i="41" a="1"/>
  <c r="AN96" i="41" s="1"/>
  <c r="AP96" i="41" s="1"/>
  <c r="AR32" i="41" a="1"/>
  <c r="AR32" i="41" s="1"/>
  <c r="AS32" i="41" s="1"/>
  <c r="AR96" i="41" a="1"/>
  <c r="AR96" i="41" s="1"/>
  <c r="AS96" i="41" s="1"/>
  <c r="AR17" i="41" a="1"/>
  <c r="AR17" i="41" s="1"/>
  <c r="AS17" i="41" s="1"/>
  <c r="AN54" i="41" a="1"/>
  <c r="AN54" i="41" s="1"/>
  <c r="AP54" i="41" s="1"/>
  <c r="AR7" i="41" a="1"/>
  <c r="AR7" i="41" s="1"/>
  <c r="AS7" i="41" s="1"/>
  <c r="AR22" i="41" a="1"/>
  <c r="AR22" i="41" s="1"/>
  <c r="AS22" i="41" s="1"/>
  <c r="AR54" i="41" a="1"/>
  <c r="AR54" i="41" s="1"/>
  <c r="AS54" i="41" s="1"/>
  <c r="AN22" i="41" a="1"/>
  <c r="AN22" i="41" s="1"/>
  <c r="AP22" i="41" s="1"/>
  <c r="AN105" i="41" a="1"/>
  <c r="AN105" i="41" s="1"/>
  <c r="AP105" i="41" s="1"/>
  <c r="AR16" i="41" a="1"/>
  <c r="AR16" i="41" s="1"/>
  <c r="AS16" i="41" s="1"/>
  <c r="AR48" i="41" a="1"/>
  <c r="AR48" i="41" s="1"/>
  <c r="AS48" i="41" s="1"/>
  <c r="AN16" i="41" a="1"/>
  <c r="AN16" i="41" s="1"/>
  <c r="AP16" i="41" s="1"/>
  <c r="AN80" i="41" a="1"/>
  <c r="AN80" i="41" s="1"/>
  <c r="AP80" i="41" s="1"/>
  <c r="AN72" i="41" a="1"/>
  <c r="AN72" i="41" s="1"/>
  <c r="AP72" i="41" s="1"/>
  <c r="AR80" i="41" a="1"/>
  <c r="AR80" i="41" s="1"/>
  <c r="AS80" i="41" s="1"/>
  <c r="AN40" i="41" a="1"/>
  <c r="AN40" i="41" s="1"/>
  <c r="AP40" i="41" s="1"/>
  <c r="AR102" i="41" a="1"/>
  <c r="AR102" i="41" s="1"/>
  <c r="AS102" i="41" s="1"/>
  <c r="AK16" i="41" a="1"/>
  <c r="AK16" i="41" s="1"/>
  <c r="AM16" i="41" s="1"/>
  <c r="AK80" i="41" a="1"/>
  <c r="AK80" i="41" s="1"/>
  <c r="AM80" i="41" s="1"/>
  <c r="AK56" i="41" a="1"/>
  <c r="AK56" i="41" s="1"/>
  <c r="AM56" i="41" s="1"/>
  <c r="AK32" i="41" a="1"/>
  <c r="AK32" i="41" s="1"/>
  <c r="AM32" i="41" s="1"/>
  <c r="AK73" i="41" a="1"/>
  <c r="AK73" i="41" s="1"/>
  <c r="AM73" i="41" s="1"/>
  <c r="AK96" i="41" a="1"/>
  <c r="AK96" i="41" s="1"/>
  <c r="AM96" i="41" s="1"/>
  <c r="AK24" i="41" a="1"/>
  <c r="AK24" i="41" s="1"/>
  <c r="AM24" i="41" s="1"/>
  <c r="AK81" i="41" a="1"/>
  <c r="AK81" i="41" s="1"/>
  <c r="AM81" i="41" s="1"/>
  <c r="AK7" i="41" a="1"/>
  <c r="AK7" i="41" s="1"/>
  <c r="AM7" i="41" s="1"/>
  <c r="AK25" i="41" a="1"/>
  <c r="AK25" i="41" s="1"/>
  <c r="AM25" i="41" s="1"/>
  <c r="AK105" i="41" a="1"/>
  <c r="AK105" i="41" s="1"/>
  <c r="AM105" i="41" s="1"/>
  <c r="AK34" i="41" a="1"/>
  <c r="AK34" i="41" s="1"/>
  <c r="AM34" i="41" s="1"/>
  <c r="AK58" i="41" a="1"/>
  <c r="AK58" i="41" s="1"/>
  <c r="AM58" i="41" s="1"/>
  <c r="AK98" i="41" a="1"/>
  <c r="AK98" i="41" s="1"/>
  <c r="AM98" i="41" s="1"/>
  <c r="AK27" i="41" a="1"/>
  <c r="AK27" i="41" s="1"/>
  <c r="AM27" i="41" s="1"/>
  <c r="AK51" i="41" a="1"/>
  <c r="AK51" i="41" s="1"/>
  <c r="AM51" i="41" s="1"/>
  <c r="AK91" i="41" a="1"/>
  <c r="AK91" i="41" s="1"/>
  <c r="AM91" i="41" s="1"/>
  <c r="AK36" i="41" a="1"/>
  <c r="AK36" i="41" s="1"/>
  <c r="AM36" i="41" s="1"/>
  <c r="AK60" i="41" a="1"/>
  <c r="AK60" i="41" s="1"/>
  <c r="AM60" i="41" s="1"/>
  <c r="AK21" i="41" a="1"/>
  <c r="AK21" i="41" s="1"/>
  <c r="AM21" i="41" s="1"/>
  <c r="AK93" i="41" a="1"/>
  <c r="AK93" i="41" s="1"/>
  <c r="AM93" i="41" s="1"/>
  <c r="AK22" i="41" a="1"/>
  <c r="AK22" i="41" s="1"/>
  <c r="AM22" i="41" s="1"/>
  <c r="AN48" i="41" a="1"/>
  <c r="AN48" i="41" s="1"/>
  <c r="AP48" i="41" s="1"/>
  <c r="AN64" i="41" a="1"/>
  <c r="AN64" i="41" s="1"/>
  <c r="AP64" i="41" s="1"/>
  <c r="AR73" i="41" a="1"/>
  <c r="AR73" i="41" s="1"/>
  <c r="AS73" i="41" s="1"/>
  <c r="AK48" i="41" a="1"/>
  <c r="AK48" i="41" s="1"/>
  <c r="AM48" i="41" s="1"/>
  <c r="AK72" i="41" a="1"/>
  <c r="AK72" i="41" s="1"/>
  <c r="AM72" i="41" s="1"/>
  <c r="AM49" i="41"/>
  <c r="AK97" i="41" a="1"/>
  <c r="AK97" i="41" s="1"/>
  <c r="AM97" i="41" s="1"/>
  <c r="AK18" i="41" a="1"/>
  <c r="AK18" i="41" s="1"/>
  <c r="AM18" i="41" s="1"/>
  <c r="AK20" i="41" a="1"/>
  <c r="AK20" i="41" s="1"/>
  <c r="AM20" i="41" s="1"/>
  <c r="AK84" i="41" a="1"/>
  <c r="AK84" i="41" s="1"/>
  <c r="AM84" i="41" s="1"/>
  <c r="AK23" i="41" a="1"/>
  <c r="AK23" i="41" s="1"/>
  <c r="AM23" i="41" s="1"/>
  <c r="AK82" i="41" a="1"/>
  <c r="AK82" i="41" s="1"/>
  <c r="AM82" i="41" s="1"/>
  <c r="AK11" i="41" a="1"/>
  <c r="AK11" i="41" s="1"/>
  <c r="AM11" i="41" s="1"/>
  <c r="AK75" i="41" a="1"/>
  <c r="AK75" i="41" s="1"/>
  <c r="AM75" i="41" s="1"/>
  <c r="AK39" i="41" a="1"/>
  <c r="AK39" i="41" s="1"/>
  <c r="AM39" i="41" s="1"/>
  <c r="AK29" i="41" a="1"/>
  <c r="AK29" i="41" s="1"/>
  <c r="AM29" i="41" s="1"/>
  <c r="AK53" i="41" a="1"/>
  <c r="AK53" i="41" s="1"/>
  <c r="AM53" i="41" s="1"/>
  <c r="AK77" i="41" a="1"/>
  <c r="AK77" i="41" s="1"/>
  <c r="AM77" i="41" s="1"/>
  <c r="AK47" i="41" a="1"/>
  <c r="AK47" i="41" s="1"/>
  <c r="AM47" i="41" s="1"/>
  <c r="AK46" i="41" a="1"/>
  <c r="AK46" i="41" s="1"/>
  <c r="AM46" i="41" s="1"/>
  <c r="AK70" i="41" a="1"/>
  <c r="AK70" i="41" s="1"/>
  <c r="AM70" i="41" s="1"/>
  <c r="AK103" i="41" a="1"/>
  <c r="AK103" i="41" s="1"/>
  <c r="AM103" i="41" s="1"/>
  <c r="AK57" i="41" a="1"/>
  <c r="AK57" i="41" s="1"/>
  <c r="AM57" i="41" s="1"/>
  <c r="AK42" i="41" a="1"/>
  <c r="AK42" i="41" s="1"/>
  <c r="AM42" i="41" s="1"/>
  <c r="AK35" i="41" a="1"/>
  <c r="AK35" i="41" s="1"/>
  <c r="AM35" i="41" s="1"/>
  <c r="AK99" i="41" a="1"/>
  <c r="AK99" i="41" s="1"/>
  <c r="AM99" i="41" s="1"/>
  <c r="AK44" i="41" a="1"/>
  <c r="AK44" i="41" s="1"/>
  <c r="AM44" i="41" s="1"/>
  <c r="AK68" i="41" a="1"/>
  <c r="AK68" i="41" s="1"/>
  <c r="AM68" i="41" s="1"/>
  <c r="AK79" i="41" a="1"/>
  <c r="AK79" i="41" s="1"/>
  <c r="AM79" i="41" s="1"/>
  <c r="AK101" i="41" a="1"/>
  <c r="AK101" i="41" s="1"/>
  <c r="AM101" i="41" s="1"/>
  <c r="AK87" i="41" a="1"/>
  <c r="AK87" i="41" s="1"/>
  <c r="AM87" i="41" s="1"/>
  <c r="AK30" i="41" a="1"/>
  <c r="AK30" i="41" s="1"/>
  <c r="AM30" i="41" s="1"/>
  <c r="AK94" i="41" a="1"/>
  <c r="AK94" i="41" s="1"/>
  <c r="AM94" i="41" s="1"/>
  <c r="AK33" i="41" a="1"/>
  <c r="AK33" i="41" s="1"/>
  <c r="AM33" i="41" s="1"/>
  <c r="AK95" i="41" a="1"/>
  <c r="AK95" i="41" s="1"/>
  <c r="AM95" i="41" s="1"/>
  <c r="AK26" i="41" a="1"/>
  <c r="AK26" i="41" s="1"/>
  <c r="AM26" i="41" s="1"/>
  <c r="AK66" i="41" a="1"/>
  <c r="AK66" i="41" s="1"/>
  <c r="AM66" i="41" s="1"/>
  <c r="AK19" i="41" a="1"/>
  <c r="AK19" i="41" s="1"/>
  <c r="AM19" i="41" s="1"/>
  <c r="AK59" i="41" a="1"/>
  <c r="AK59" i="41" s="1"/>
  <c r="AM59" i="41" s="1"/>
  <c r="AM83" i="41"/>
  <c r="AK71" i="41" a="1"/>
  <c r="AK71" i="41" s="1"/>
  <c r="AM71" i="41" s="1"/>
  <c r="AK92" i="41" a="1"/>
  <c r="AK92" i="41" s="1"/>
  <c r="AM92" i="41" s="1"/>
  <c r="AK61" i="41" a="1"/>
  <c r="AK61" i="41" s="1"/>
  <c r="AM61" i="41" s="1"/>
  <c r="AK54" i="41" a="1"/>
  <c r="AK54" i="41" s="1"/>
  <c r="AM54" i="41" s="1"/>
  <c r="AK31" i="41" a="1"/>
  <c r="AK31" i="41" s="1"/>
  <c r="AM31" i="41" s="1"/>
  <c r="AK104" i="41" a="1"/>
  <c r="AK104" i="41" s="1"/>
  <c r="AM104" i="41" s="1"/>
  <c r="AK17" i="41" a="1"/>
  <c r="AK17" i="41" s="1"/>
  <c r="AM17" i="41" s="1"/>
  <c r="AK65" i="41" a="1"/>
  <c r="AK65" i="41" s="1"/>
  <c r="AM65" i="41" s="1"/>
  <c r="AK50" i="41" a="1"/>
  <c r="AK50" i="41" s="1"/>
  <c r="AM50" i="41" s="1"/>
  <c r="AK90" i="41" a="1"/>
  <c r="AK90" i="41" s="1"/>
  <c r="AM90" i="41" s="1"/>
  <c r="AK6" i="41" a="1"/>
  <c r="AK6" i="41" s="1"/>
  <c r="AK28" i="41" a="1"/>
  <c r="AK28" i="41" s="1"/>
  <c r="AM28" i="41" s="1"/>
  <c r="AK52" i="41" a="1"/>
  <c r="AK52" i="41" s="1"/>
  <c r="AM52" i="41" s="1"/>
  <c r="AK13" i="41" a="1"/>
  <c r="AK13" i="41" s="1"/>
  <c r="AM13" i="41" s="1"/>
  <c r="AK37" i="41" a="1"/>
  <c r="AK37" i="41" s="1"/>
  <c r="AM37" i="41" s="1"/>
  <c r="AK85" i="41" a="1"/>
  <c r="AK85" i="41" s="1"/>
  <c r="AM85" i="41" s="1"/>
  <c r="AK78" i="41" a="1"/>
  <c r="AK78" i="41" s="1"/>
  <c r="AM78" i="41" s="1"/>
  <c r="AK40" i="41" a="1"/>
  <c r="AK40" i="41" s="1"/>
  <c r="AM40" i="41" s="1"/>
  <c r="AK64" i="41" a="1"/>
  <c r="AK64" i="41" s="1"/>
  <c r="AM64" i="41" s="1"/>
  <c r="AK41" i="41" a="1"/>
  <c r="AK41" i="41" s="1"/>
  <c r="AM41" i="41" s="1"/>
  <c r="AK89" i="41" a="1"/>
  <c r="AK89" i="41" s="1"/>
  <c r="AM89" i="41" s="1"/>
  <c r="AK15" i="41" a="1"/>
  <c r="AK15" i="41" s="1"/>
  <c r="AM15" i="41" s="1"/>
  <c r="AK43" i="41" a="1"/>
  <c r="AK43" i="41" s="1"/>
  <c r="AM43" i="41" s="1"/>
  <c r="AM67" i="41"/>
  <c r="AL2" i="41"/>
  <c r="AK76" i="41" a="1"/>
  <c r="AK76" i="41" s="1"/>
  <c r="AM76" i="41" s="1"/>
  <c r="AK14" i="41" a="1"/>
  <c r="AK14" i="41" s="1"/>
  <c r="AM14" i="41" s="1"/>
  <c r="AK38" i="41" a="1"/>
  <c r="AK38" i="41" s="1"/>
  <c r="AM38" i="41" s="1"/>
  <c r="AK102" i="41" a="1"/>
  <c r="AK102" i="41" s="1"/>
  <c r="AM102" i="41" s="1"/>
  <c r="AK63" i="41" a="1"/>
  <c r="AK63" i="41" s="1"/>
  <c r="AM63" i="41" s="1"/>
  <c r="AK10" i="41" a="1"/>
  <c r="AK10" i="41" s="1"/>
  <c r="AM10" i="41" s="1"/>
  <c r="AK74" i="41" a="1"/>
  <c r="AK74" i="41" s="1"/>
  <c r="AM74" i="41" s="1"/>
  <c r="AK55" i="41" a="1"/>
  <c r="AK55" i="41" s="1"/>
  <c r="AM55" i="41" s="1"/>
  <c r="AK12" i="41" a="1"/>
  <c r="AK12" i="41" s="1"/>
  <c r="AM12" i="41" s="1"/>
  <c r="AK100" i="41" a="1"/>
  <c r="AK100" i="41" s="1"/>
  <c r="AM100" i="41" s="1"/>
  <c r="AK45" i="41" a="1"/>
  <c r="AK45" i="41" s="1"/>
  <c r="AM45" i="41" s="1"/>
  <c r="AK69" i="41" a="1"/>
  <c r="AK69" i="41" s="1"/>
  <c r="AM69" i="41" s="1"/>
  <c r="AK8" i="41" a="1"/>
  <c r="AK8" i="41" s="1"/>
  <c r="AM8" i="41" s="1"/>
  <c r="AK62" i="41" a="1"/>
  <c r="AK62" i="41" s="1"/>
  <c r="AM62" i="41" s="1"/>
  <c r="X5" i="41"/>
  <c r="AR89" i="41" a="1"/>
  <c r="AR89" i="41" s="1"/>
  <c r="AS89" i="41" s="1"/>
  <c r="AR6" i="41" a="1"/>
  <c r="AR6" i="41" s="1"/>
  <c r="AS6" i="41" s="1"/>
  <c r="AR33" i="41" a="1"/>
  <c r="AR33" i="41" s="1"/>
  <c r="AS33" i="41" s="1"/>
  <c r="AN38" i="41" a="1"/>
  <c r="AN38" i="41" s="1"/>
  <c r="AP38" i="41" s="1"/>
  <c r="AR38" i="41" a="1"/>
  <c r="AR38" i="41" s="1"/>
  <c r="AS38" i="41" s="1"/>
  <c r="AN89" i="41" a="1"/>
  <c r="AN89" i="41" s="1"/>
  <c r="AP89" i="41" s="1"/>
  <c r="AN78" i="41" a="1"/>
  <c r="AN78" i="41" s="1"/>
  <c r="AP78" i="41" s="1"/>
  <c r="AR57" i="41" a="1"/>
  <c r="AR57" i="41" s="1"/>
  <c r="AS57" i="41" s="1"/>
  <c r="AN95" i="41" a="1"/>
  <c r="AN95" i="41" s="1"/>
  <c r="AP95" i="41" s="1"/>
  <c r="AR46" i="41" a="1"/>
  <c r="AR46" i="41" s="1"/>
  <c r="AS46" i="41" s="1"/>
  <c r="AN94" i="41" a="1"/>
  <c r="AN94" i="41" s="1"/>
  <c r="AP94" i="41" s="1"/>
  <c r="AR78" i="41" a="1"/>
  <c r="AR78" i="41" s="1"/>
  <c r="AS78" i="41" s="1"/>
  <c r="AN46" i="41" a="1"/>
  <c r="AN46" i="41" s="1"/>
  <c r="AP46" i="41" s="1"/>
  <c r="AN25" i="41" a="1"/>
  <c r="AN25" i="41" s="1"/>
  <c r="AP25" i="41" s="1"/>
  <c r="AR105" i="41" a="1"/>
  <c r="AR105" i="41" s="1"/>
  <c r="AS105" i="41" s="1"/>
  <c r="AR25" i="41" a="1"/>
  <c r="AR25" i="41" s="1"/>
  <c r="AS25" i="41" s="1"/>
  <c r="AN31" i="41" a="1"/>
  <c r="AN31" i="41" s="1"/>
  <c r="AP31" i="41" s="1"/>
  <c r="AR94" i="41" a="1"/>
  <c r="AR94" i="41" s="1"/>
  <c r="AS94" i="41" s="1"/>
  <c r="AR41" i="41" a="1"/>
  <c r="AR41" i="41" s="1"/>
  <c r="AS41" i="41" s="1"/>
  <c r="AN41" i="41" a="1"/>
  <c r="AN41" i="41" s="1"/>
  <c r="AP41" i="41" s="1"/>
  <c r="AR30" i="41" a="1"/>
  <c r="AR30" i="41" s="1"/>
  <c r="AS30" i="41" s="1"/>
  <c r="AN30" i="41" a="1"/>
  <c r="AN30" i="41" s="1"/>
  <c r="AP30" i="41" s="1"/>
  <c r="AN13" i="41" a="1"/>
  <c r="AN13" i="41" s="1"/>
  <c r="AP13" i="41" s="1"/>
  <c r="AN65" i="41" a="1"/>
  <c r="AN65" i="41" s="1"/>
  <c r="AP65" i="41" s="1"/>
  <c r="AN44" i="41" a="1"/>
  <c r="AN44" i="41" s="1"/>
  <c r="AP44" i="41" s="1"/>
  <c r="AN69" i="41" a="1"/>
  <c r="AN69" i="41" s="1"/>
  <c r="AP69" i="41" s="1"/>
  <c r="AN63" i="41" a="1"/>
  <c r="AN63" i="41" s="1"/>
  <c r="AP63" i="41" s="1"/>
  <c r="AR60" i="41" a="1"/>
  <c r="AR60" i="41" s="1"/>
  <c r="AS60" i="41" s="1"/>
  <c r="AN87" i="41" a="1"/>
  <c r="AN87" i="41" s="1"/>
  <c r="AP87" i="41" s="1"/>
  <c r="AN45" i="41" a="1"/>
  <c r="AN45" i="41" s="1"/>
  <c r="AP45" i="41" s="1"/>
  <c r="AN47" i="41" a="1"/>
  <c r="AN47" i="41" s="1"/>
  <c r="AP47" i="41" s="1"/>
  <c r="AN55" i="41" a="1"/>
  <c r="AN55" i="41" s="1"/>
  <c r="AP55" i="41" s="1"/>
  <c r="AR34" i="41" a="1"/>
  <c r="AR34" i="41" s="1"/>
  <c r="AS34" i="41" s="1"/>
  <c r="AR19" i="41" a="1"/>
  <c r="AR19" i="41" s="1"/>
  <c r="AS19" i="41" s="1"/>
  <c r="AN14" i="41" a="1"/>
  <c r="AN14" i="41" s="1"/>
  <c r="AP14" i="41" s="1"/>
  <c r="AN62" i="41" a="1"/>
  <c r="AN62" i="41" s="1"/>
  <c r="AP62" i="41" s="1"/>
  <c r="AN10" i="41" a="1"/>
  <c r="AN10" i="41" s="1"/>
  <c r="AP10" i="41" s="1"/>
  <c r="AR91" i="41" a="1"/>
  <c r="AR91" i="41" s="1"/>
  <c r="AS91" i="41" s="1"/>
  <c r="AR14" i="41" a="1"/>
  <c r="AR14" i="41" s="1"/>
  <c r="AS14" i="41" s="1"/>
  <c r="AN33" i="41" a="1"/>
  <c r="AN33" i="41" s="1"/>
  <c r="AP33" i="41" s="1"/>
  <c r="AN60" i="41" a="1"/>
  <c r="AN60" i="41" s="1"/>
  <c r="AP60" i="41" s="1"/>
  <c r="AR10" i="41" a="1"/>
  <c r="AR10" i="41" s="1"/>
  <c r="AS10" i="41" s="1"/>
  <c r="AN71" i="41" a="1"/>
  <c r="AN71" i="41" s="1"/>
  <c r="AP71" i="41" s="1"/>
  <c r="AR43" i="41" a="1"/>
  <c r="AR43" i="41" s="1"/>
  <c r="AS43" i="41" s="1"/>
  <c r="AN61" i="41" a="1"/>
  <c r="AN61" i="41" s="1"/>
  <c r="AP61" i="41" s="1"/>
  <c r="AR53" i="41" a="1"/>
  <c r="AR53" i="41" s="1"/>
  <c r="AS53" i="41" s="1"/>
  <c r="AN66" i="41" a="1"/>
  <c r="AN66" i="41" s="1"/>
  <c r="AP66" i="41" s="1"/>
  <c r="AR62" i="41" a="1"/>
  <c r="AR62" i="41" s="1"/>
  <c r="AS62" i="41" s="1"/>
  <c r="AN79" i="41" a="1"/>
  <c r="AN79" i="41" s="1"/>
  <c r="AP79" i="41" s="1"/>
  <c r="P55" i="17"/>
  <c r="S60" i="17"/>
  <c r="Q58" i="17"/>
  <c r="R60" i="17"/>
  <c r="S57" i="17"/>
  <c r="Q60" i="17"/>
  <c r="R57" i="17"/>
  <c r="S59" i="17"/>
  <c r="Q57" i="17"/>
  <c r="R59" i="17"/>
  <c r="Q59" i="17"/>
  <c r="S58" i="17"/>
  <c r="R58" i="17"/>
  <c r="AN97" i="41" a="1"/>
  <c r="AN97" i="41" s="1"/>
  <c r="AP97" i="41" s="1"/>
  <c r="AR29" i="41" a="1"/>
  <c r="AR29" i="41" s="1"/>
  <c r="AS29" i="41" s="1"/>
  <c r="AN103" i="41" a="1"/>
  <c r="AN103" i="41" s="1"/>
  <c r="AP103" i="41" s="1"/>
  <c r="AN34" i="41" a="1"/>
  <c r="AN34" i="41" s="1"/>
  <c r="AP34" i="41" s="1"/>
  <c r="AN43" i="41" a="1"/>
  <c r="AN43" i="41" s="1"/>
  <c r="AP43" i="41" s="1"/>
  <c r="AR93" i="41" a="1"/>
  <c r="AR93" i="41" s="1"/>
  <c r="AS93" i="41" s="1"/>
  <c r="AN57" i="41" a="1"/>
  <c r="AN57" i="41" s="1"/>
  <c r="AP57" i="41" s="1"/>
  <c r="AR90" i="41" a="1"/>
  <c r="AR90" i="41" s="1"/>
  <c r="AS90" i="41" s="1"/>
  <c r="AN11" i="41" a="1"/>
  <c r="AN11" i="41" s="1"/>
  <c r="AP11" i="41" s="1"/>
  <c r="AR97" i="41" a="1"/>
  <c r="AR97" i="41" s="1"/>
  <c r="AS97" i="41" s="1"/>
  <c r="AR51" i="41" a="1"/>
  <c r="AR51" i="41" s="1"/>
  <c r="AS51" i="41" s="1"/>
  <c r="AR70" i="41" a="1"/>
  <c r="AR70" i="41" s="1"/>
  <c r="AS70" i="41" s="1"/>
  <c r="AN6" i="41" a="1"/>
  <c r="AN6" i="41" s="1"/>
  <c r="AP6" i="41" s="1"/>
  <c r="AN70" i="41" a="1"/>
  <c r="AN70" i="41" s="1"/>
  <c r="AP70" i="41" s="1"/>
  <c r="AR98" i="41" a="1"/>
  <c r="AR98" i="41" s="1"/>
  <c r="AS98" i="41" s="1"/>
  <c r="AN58" i="41" a="1"/>
  <c r="AN58" i="41" s="1"/>
  <c r="AP58" i="41" s="1"/>
  <c r="AR82" i="41" a="1"/>
  <c r="AR82" i="41" s="1"/>
  <c r="AS82" i="41" s="1"/>
  <c r="AN67" i="41" a="1"/>
  <c r="AN67" i="41" s="1"/>
  <c r="AP67" i="41" s="1"/>
  <c r="AR36" i="41" a="1"/>
  <c r="AR36" i="41" s="1"/>
  <c r="AS36" i="41" s="1"/>
  <c r="AR100" i="41" a="1"/>
  <c r="AR100" i="41" s="1"/>
  <c r="AS100" i="41" s="1"/>
  <c r="AR13" i="41" a="1"/>
  <c r="AR13" i="41" s="1"/>
  <c r="AS13" i="41" s="1"/>
  <c r="AR77" i="41" a="1"/>
  <c r="AR77" i="41" s="1"/>
  <c r="AS77" i="41" s="1"/>
  <c r="AQ2" i="41"/>
  <c r="AN84" i="41" a="1"/>
  <c r="AN84" i="41" s="1"/>
  <c r="AP84" i="41" s="1"/>
  <c r="AR55" i="41" a="1"/>
  <c r="AR55" i="41" s="1"/>
  <c r="AS55" i="41" s="1"/>
  <c r="AN29" i="41" a="1"/>
  <c r="AN29" i="41" s="1"/>
  <c r="AP29" i="41" s="1"/>
  <c r="AN91" i="41" a="1"/>
  <c r="AN91" i="41" s="1"/>
  <c r="AP91" i="41" s="1"/>
  <c r="AN18" i="41" a="1"/>
  <c r="AN18" i="41" s="1"/>
  <c r="AP18" i="41" s="1"/>
  <c r="AR58" i="41" a="1"/>
  <c r="AR58" i="41" s="1"/>
  <c r="AS58" i="41" s="1"/>
  <c r="AN27" i="41" a="1"/>
  <c r="AN27" i="41" s="1"/>
  <c r="AP27" i="41" s="1"/>
  <c r="AR67" i="41" a="1"/>
  <c r="AR67" i="41" s="1"/>
  <c r="AS67" i="41" s="1"/>
  <c r="AR99" i="41" a="1"/>
  <c r="AR99" i="41" s="1"/>
  <c r="AS99" i="41" s="1"/>
  <c r="AN20" i="41" a="1"/>
  <c r="AN20" i="41" s="1"/>
  <c r="AP20" i="41" s="1"/>
  <c r="AR37" i="41" a="1"/>
  <c r="AR37" i="41" s="1"/>
  <c r="AS37" i="41" s="1"/>
  <c r="AR101" i="41" a="1"/>
  <c r="AR101" i="41" s="1"/>
  <c r="AS101" i="41" s="1"/>
  <c r="AN75" i="41" a="1"/>
  <c r="AN75" i="41" s="1"/>
  <c r="AP75" i="41" s="1"/>
  <c r="AN92" i="41" a="1"/>
  <c r="AN92" i="41" s="1"/>
  <c r="AP92" i="41" s="1"/>
  <c r="AR79" i="41" a="1"/>
  <c r="AR79" i="41" s="1"/>
  <c r="AS79" i="41" s="1"/>
  <c r="AR18" i="41" a="1"/>
  <c r="AR18" i="41" s="1"/>
  <c r="AS18" i="41" s="1"/>
  <c r="AN42" i="41" a="1"/>
  <c r="AN42" i="41" s="1"/>
  <c r="AP42" i="41" s="1"/>
  <c r="AR27" i="41" a="1"/>
  <c r="AR27" i="41" s="1"/>
  <c r="AS27" i="41" s="1"/>
  <c r="AN51" i="41" a="1"/>
  <c r="AN51" i="41" s="1"/>
  <c r="AP51" i="41" s="1"/>
  <c r="AN36" i="41" a="1"/>
  <c r="AN36" i="41" s="1"/>
  <c r="AP36" i="41" s="1"/>
  <c r="AR12" i="41" a="1"/>
  <c r="AR12" i="41" s="1"/>
  <c r="AS12" i="41" s="1"/>
  <c r="AR44" i="41" a="1"/>
  <c r="AR44" i="41" s="1"/>
  <c r="AS44" i="41" s="1"/>
  <c r="AR76" i="41" a="1"/>
  <c r="AR76" i="41" s="1"/>
  <c r="AS76" i="41" s="1"/>
  <c r="AR61" i="41" a="1"/>
  <c r="AR61" i="41" s="1"/>
  <c r="AS61" i="41" s="1"/>
  <c r="AN99" i="41" a="1"/>
  <c r="AN99" i="41" s="1"/>
  <c r="AP99" i="41" s="1"/>
  <c r="AN100" i="41" a="1"/>
  <c r="AN100" i="41" s="1"/>
  <c r="AP100" i="41" s="1"/>
  <c r="AN15" i="41" a="1"/>
  <c r="AN15" i="41" s="1"/>
  <c r="AP15" i="41" s="1"/>
  <c r="AR39" i="41" a="1"/>
  <c r="AR39" i="41" s="1"/>
  <c r="AS39" i="41" s="1"/>
  <c r="AR103" i="41" a="1"/>
  <c r="AR103" i="41" s="1"/>
  <c r="AS103" i="41" s="1"/>
  <c r="AN77" i="41" a="1"/>
  <c r="AN77" i="41" s="1"/>
  <c r="AP77" i="41" s="1"/>
  <c r="AR75" i="41" a="1"/>
  <c r="AR75" i="41" s="1"/>
  <c r="AS75" i="41" s="1"/>
  <c r="AR21" i="41" a="1"/>
  <c r="AR21" i="41" s="1"/>
  <c r="AS21" i="41" s="1"/>
  <c r="AR85" i="41" a="1"/>
  <c r="AR85" i="41" s="1"/>
  <c r="AS85" i="41" s="1"/>
  <c r="AH2" i="41"/>
  <c r="AR23" i="41" a="1"/>
  <c r="AR23" i="41" s="1"/>
  <c r="AS23" i="41" s="1"/>
  <c r="AR63" i="41" a="1"/>
  <c r="AR63" i="41" s="1"/>
  <c r="AS63" i="41" s="1"/>
  <c r="AN85" i="41" a="1"/>
  <c r="AN85" i="41" s="1"/>
  <c r="AP85" i="41" s="1"/>
  <c r="AN26" i="41" a="1"/>
  <c r="AN26" i="41" s="1"/>
  <c r="AP26" i="41" s="1"/>
  <c r="AR66" i="41" a="1"/>
  <c r="AR66" i="41" s="1"/>
  <c r="AS66" i="41" s="1"/>
  <c r="AR11" i="41" a="1"/>
  <c r="AR11" i="41" s="1"/>
  <c r="AS11" i="41" s="1"/>
  <c r="AN35" i="41" a="1"/>
  <c r="AN35" i="41" s="1"/>
  <c r="AP35" i="41" s="1"/>
  <c r="AR20" i="41" a="1"/>
  <c r="AR20" i="41" s="1"/>
  <c r="AS20" i="41" s="1"/>
  <c r="AR52" i="41" a="1"/>
  <c r="AR52" i="41" s="1"/>
  <c r="AS52" i="41" s="1"/>
  <c r="AR84" i="41" a="1"/>
  <c r="AR84" i="41" s="1"/>
  <c r="AS84" i="41" s="1"/>
  <c r="AR45" i="41" a="1"/>
  <c r="AR45" i="41" s="1"/>
  <c r="AS45" i="41" s="1"/>
  <c r="AN74" i="41" a="1"/>
  <c r="AN74" i="41" s="1"/>
  <c r="AP74" i="41" s="1"/>
  <c r="AN28" i="41" a="1"/>
  <c r="AN28" i="41" s="1"/>
  <c r="AP28" i="41" s="1"/>
  <c r="AR87" i="41" a="1"/>
  <c r="AR87" i="41" s="1"/>
  <c r="AS87" i="41" s="1"/>
  <c r="AN93" i="41" a="1"/>
  <c r="AN93" i="41" s="1"/>
  <c r="AP93" i="41" s="1"/>
  <c r="AN52" i="41" a="1"/>
  <c r="AN52" i="41" s="1"/>
  <c r="AP52" i="41" s="1"/>
  <c r="AN21" i="41" a="1"/>
  <c r="AN21" i="41" s="1"/>
  <c r="AP21" i="41" s="1"/>
  <c r="AR42" i="41" a="1"/>
  <c r="AR42" i="41" s="1"/>
  <c r="AS42" i="41" s="1"/>
  <c r="AN12" i="41" a="1"/>
  <c r="AN12" i="41" s="1"/>
  <c r="AP12" i="41" s="1"/>
  <c r="AR26" i="41" a="1"/>
  <c r="AR26" i="41" s="1"/>
  <c r="AS26" i="41" s="1"/>
  <c r="AN50" i="41" a="1"/>
  <c r="AN50" i="41" s="1"/>
  <c r="AP50" i="41" s="1"/>
  <c r="AI68" i="41" a="1"/>
  <c r="AI68" i="41" s="1"/>
  <c r="AJ68" i="41" s="1"/>
  <c r="AN68" i="41" a="1"/>
  <c r="AN68" i="41" s="1"/>
  <c r="AP68" i="41" s="1"/>
  <c r="AR35" i="41" a="1"/>
  <c r="AR35" i="41" s="1"/>
  <c r="AS35" i="41" s="1"/>
  <c r="AN59" i="41" a="1"/>
  <c r="AN59" i="41" s="1"/>
  <c r="AP59" i="41" s="1"/>
  <c r="AR83" i="41" a="1"/>
  <c r="AR83" i="41" s="1"/>
  <c r="AS83" i="41" s="1"/>
  <c r="AR69" i="41" a="1"/>
  <c r="AR69" i="41" s="1"/>
  <c r="AS69" i="41" s="1"/>
  <c r="AN82" i="41" a="1"/>
  <c r="AN82" i="41" s="1"/>
  <c r="AP82" i="41" s="1"/>
  <c r="AN39" i="41" a="1"/>
  <c r="AN39" i="41" s="1"/>
  <c r="AP39" i="41" s="1"/>
  <c r="AR47" i="41" a="1"/>
  <c r="AR47" i="41" s="1"/>
  <c r="AS47" i="41" s="1"/>
  <c r="AN101" i="41" a="1"/>
  <c r="AN101" i="41" s="1"/>
  <c r="AP101" i="41" s="1"/>
  <c r="AR50" i="41" a="1"/>
  <c r="AR50" i="41" s="1"/>
  <c r="AS50" i="41" s="1"/>
  <c r="AR74" i="41" a="1"/>
  <c r="AR74" i="41" s="1"/>
  <c r="AS74" i="41" s="1"/>
  <c r="AO2" i="41"/>
  <c r="AN19" i="41" a="1"/>
  <c r="AN19" i="41" s="1"/>
  <c r="AP19" i="41" s="1"/>
  <c r="AR59" i="41" a="1"/>
  <c r="AR59" i="41" s="1"/>
  <c r="AS59" i="41" s="1"/>
  <c r="AR28" i="41" a="1"/>
  <c r="AR28" i="41" s="1"/>
  <c r="AS28" i="41" s="1"/>
  <c r="AR92" i="41" a="1"/>
  <c r="AR92" i="41" s="1"/>
  <c r="AS92" i="41" s="1"/>
  <c r="AN90" i="41" a="1"/>
  <c r="AN90" i="41" s="1"/>
  <c r="AP90" i="41" s="1"/>
  <c r="AN23" i="41" a="1"/>
  <c r="AN23" i="41" s="1"/>
  <c r="AP23" i="41" s="1"/>
  <c r="AR71" i="41" a="1"/>
  <c r="AR71" i="41" s="1"/>
  <c r="AS71" i="41" s="1"/>
  <c r="AN37" i="41" a="1"/>
  <c r="AN37" i="41" s="1"/>
  <c r="AP37" i="41" s="1"/>
  <c r="AG2" i="41"/>
  <c r="AF1" i="41" s="1"/>
  <c r="AN83" i="41" a="1"/>
  <c r="AN83" i="41" s="1"/>
  <c r="AP83" i="41" s="1"/>
  <c r="AN98" i="41" a="1"/>
  <c r="AN98" i="41" s="1"/>
  <c r="AP98" i="41" s="1"/>
  <c r="AN76" i="41" a="1"/>
  <c r="AN76" i="41" s="1"/>
  <c r="AP76" i="41" s="1"/>
  <c r="AR15" i="41" a="1"/>
  <c r="AR15" i="41" s="1"/>
  <c r="AS15" i="41" s="1"/>
  <c r="AR31" i="41" a="1"/>
  <c r="AR31" i="41" s="1"/>
  <c r="AS31" i="41" s="1"/>
  <c r="AR95" i="41" a="1"/>
  <c r="AR95" i="41" s="1"/>
  <c r="AS95" i="41" s="1"/>
  <c r="AN53" i="41" a="1"/>
  <c r="AN53" i="41" s="1"/>
  <c r="AP53" i="41" s="1"/>
  <c r="U32" i="17"/>
  <c r="U24" i="17"/>
  <c r="U23" i="17"/>
  <c r="T6" i="17"/>
  <c r="U30" i="17"/>
  <c r="U39" i="17"/>
  <c r="U31" i="17"/>
  <c r="S41" i="17"/>
  <c r="S47" i="17" s="1"/>
  <c r="U15" i="17"/>
  <c r="U14" i="17"/>
  <c r="Q25" i="17"/>
  <c r="T21" i="17"/>
  <c r="U40" i="17"/>
  <c r="Q17" i="17"/>
  <c r="Q41" i="17"/>
  <c r="P47" i="17" s="1"/>
  <c r="R25" i="17"/>
  <c r="U8" i="17"/>
  <c r="U22" i="17"/>
  <c r="U38" i="17"/>
  <c r="Q33" i="17"/>
  <c r="AW35" i="17"/>
  <c r="U51" i="17"/>
  <c r="P49" i="17"/>
  <c r="T53" i="17" s="1"/>
  <c r="T45" i="17"/>
  <c r="P53" i="17"/>
  <c r="R53" i="17"/>
  <c r="U45" i="17"/>
  <c r="T51" i="17"/>
  <c r="S53" i="17"/>
  <c r="AV35" i="17"/>
  <c r="R33" i="17"/>
  <c r="U7" i="17"/>
  <c r="R41" i="17"/>
  <c r="R47" i="17" s="1"/>
  <c r="S9" i="17"/>
  <c r="R9" i="17"/>
  <c r="S33" i="17"/>
  <c r="U16" i="17"/>
  <c r="Q9" i="17"/>
  <c r="T13" i="17"/>
  <c r="R17" i="17"/>
  <c r="U13" i="17"/>
  <c r="T14" i="17"/>
  <c r="T15" i="17"/>
  <c r="U21" i="17"/>
  <c r="T22" i="17"/>
  <c r="T29" i="17"/>
  <c r="T16" i="17"/>
  <c r="S17" i="17"/>
  <c r="T23" i="17"/>
  <c r="U29" i="17"/>
  <c r="T30" i="17"/>
  <c r="T37" i="17"/>
  <c r="T24" i="17"/>
  <c r="S25" i="17"/>
  <c r="T31" i="17"/>
  <c r="U37" i="17"/>
  <c r="T38" i="17"/>
  <c r="T32" i="17"/>
  <c r="T39" i="17"/>
  <c r="T40" i="17"/>
  <c r="T5" i="17"/>
  <c r="U5" i="17"/>
  <c r="U6" i="17"/>
  <c r="T7" i="17"/>
  <c r="T8" i="17"/>
  <c r="AB61" i="17" l="1"/>
  <c r="AA61" i="17"/>
  <c r="AI2" i="41"/>
  <c r="AK2" i="41"/>
  <c r="AM6" i="41"/>
  <c r="AM2" i="41" s="1"/>
  <c r="AJ2" i="41"/>
  <c r="U57" i="17"/>
  <c r="U59" i="17"/>
  <c r="R61" i="17"/>
  <c r="U58" i="17"/>
  <c r="T60" i="17"/>
  <c r="T57" i="17"/>
  <c r="T58" i="17"/>
  <c r="S61" i="17"/>
  <c r="T59" i="17"/>
  <c r="Q61" i="17"/>
  <c r="U60" i="17"/>
  <c r="AN2" i="41"/>
  <c r="AR2" i="41"/>
  <c r="AP2" i="41"/>
  <c r="AS2" i="41"/>
  <c r="T41" i="17"/>
  <c r="U41" i="17"/>
  <c r="U33" i="17"/>
  <c r="U9" i="17"/>
  <c r="T9" i="17"/>
  <c r="U47" i="17"/>
  <c r="T47" i="17"/>
  <c r="T33" i="17"/>
  <c r="U17" i="17"/>
  <c r="T17" i="17"/>
  <c r="U25" i="17"/>
  <c r="T25" i="17"/>
  <c r="J15" i="3"/>
  <c r="I15" i="3"/>
  <c r="G15" i="3"/>
  <c r="F15" i="3"/>
  <c r="E15" i="3"/>
  <c r="D15" i="3"/>
  <c r="C15" i="3"/>
  <c r="C5" i="3"/>
  <c r="D5" i="3"/>
  <c r="E5" i="3"/>
  <c r="F5" i="3"/>
  <c r="G5" i="3"/>
  <c r="I5" i="3"/>
  <c r="J5" i="3"/>
  <c r="C6" i="3"/>
  <c r="D6" i="3"/>
  <c r="E6" i="3"/>
  <c r="F6" i="3"/>
  <c r="G6" i="3"/>
  <c r="I6" i="3"/>
  <c r="J6" i="3"/>
  <c r="C7" i="3"/>
  <c r="D7" i="3"/>
  <c r="E7" i="3"/>
  <c r="F7" i="3"/>
  <c r="G7" i="3"/>
  <c r="I7" i="3"/>
  <c r="J7" i="3"/>
  <c r="C8" i="3"/>
  <c r="D8" i="3"/>
  <c r="E8" i="3"/>
  <c r="F8" i="3"/>
  <c r="G8" i="3"/>
  <c r="I8" i="3"/>
  <c r="J8" i="3"/>
  <c r="C9" i="3"/>
  <c r="D9" i="3"/>
  <c r="E9" i="3"/>
  <c r="F9" i="3"/>
  <c r="G9" i="3"/>
  <c r="I9" i="3"/>
  <c r="J9" i="3"/>
  <c r="C10" i="3"/>
  <c r="D10" i="3"/>
  <c r="E10" i="3"/>
  <c r="F10" i="3"/>
  <c r="G10" i="3"/>
  <c r="I10" i="3"/>
  <c r="J10" i="3"/>
  <c r="C11" i="3"/>
  <c r="D11" i="3"/>
  <c r="E11" i="3"/>
  <c r="F11" i="3"/>
  <c r="G11" i="3"/>
  <c r="I11" i="3"/>
  <c r="J11" i="3"/>
  <c r="C12" i="3"/>
  <c r="D12" i="3"/>
  <c r="E12" i="3"/>
  <c r="F12" i="3"/>
  <c r="G12" i="3"/>
  <c r="I12" i="3"/>
  <c r="J12" i="3"/>
  <c r="C13" i="3"/>
  <c r="D13" i="3"/>
  <c r="E13" i="3"/>
  <c r="F13" i="3"/>
  <c r="G13" i="3"/>
  <c r="I13" i="3"/>
  <c r="J13" i="3"/>
  <c r="C14" i="3"/>
  <c r="D14" i="3"/>
  <c r="E14" i="3"/>
  <c r="F14" i="3"/>
  <c r="G14" i="3"/>
  <c r="I14" i="3"/>
  <c r="J14" i="3"/>
  <c r="J4" i="3"/>
  <c r="I4" i="3"/>
  <c r="G4" i="3"/>
  <c r="F4" i="3"/>
  <c r="E4" i="3"/>
  <c r="D4" i="3"/>
  <c r="C4" i="3"/>
  <c r="H59" i="43"/>
  <c r="H60" i="43"/>
  <c r="H61" i="43"/>
  <c r="J31" i="3"/>
  <c r="J30" i="3"/>
  <c r="J21" i="3"/>
  <c r="J22" i="3"/>
  <c r="J23" i="3"/>
  <c r="J24" i="3"/>
  <c r="J25" i="3"/>
  <c r="J26" i="3"/>
  <c r="J27" i="3"/>
  <c r="J28" i="3"/>
  <c r="J29" i="3"/>
  <c r="J20" i="3"/>
  <c r="G31" i="3"/>
  <c r="F31" i="3"/>
  <c r="E31" i="3"/>
  <c r="D31" i="3"/>
  <c r="C21" i="3"/>
  <c r="D21" i="3"/>
  <c r="E21" i="3"/>
  <c r="F21" i="3"/>
  <c r="G21" i="3"/>
  <c r="C22" i="3"/>
  <c r="D22" i="3"/>
  <c r="E22" i="3"/>
  <c r="F22" i="3"/>
  <c r="G22" i="3"/>
  <c r="C23" i="3"/>
  <c r="D23" i="3"/>
  <c r="E23" i="3"/>
  <c r="F23" i="3"/>
  <c r="G23" i="3"/>
  <c r="C24" i="3"/>
  <c r="D24" i="3"/>
  <c r="E24" i="3"/>
  <c r="F24" i="3"/>
  <c r="G24" i="3"/>
  <c r="C25" i="3"/>
  <c r="D25" i="3"/>
  <c r="E25" i="3"/>
  <c r="F25" i="3"/>
  <c r="G25" i="3"/>
  <c r="C26" i="3"/>
  <c r="D26" i="3"/>
  <c r="E26" i="3"/>
  <c r="F26" i="3"/>
  <c r="G26" i="3"/>
  <c r="C27" i="3"/>
  <c r="D27" i="3"/>
  <c r="E27" i="3"/>
  <c r="F27" i="3"/>
  <c r="G27" i="3"/>
  <c r="C28" i="3"/>
  <c r="D28" i="3"/>
  <c r="E28" i="3"/>
  <c r="F28" i="3"/>
  <c r="G28" i="3"/>
  <c r="C29" i="3"/>
  <c r="D29" i="3"/>
  <c r="E29" i="3"/>
  <c r="F29" i="3"/>
  <c r="G29" i="3"/>
  <c r="C30" i="3"/>
  <c r="D30" i="3"/>
  <c r="E30" i="3"/>
  <c r="F30" i="3"/>
  <c r="G30" i="3"/>
  <c r="I31" i="3"/>
  <c r="I21" i="3"/>
  <c r="I22" i="3"/>
  <c r="I23" i="3"/>
  <c r="I24" i="3"/>
  <c r="I25" i="3"/>
  <c r="I26" i="3"/>
  <c r="I27" i="3"/>
  <c r="I28" i="3"/>
  <c r="I29" i="3"/>
  <c r="I30" i="3"/>
  <c r="I20" i="3"/>
  <c r="G20" i="3"/>
  <c r="F20" i="3"/>
  <c r="E20" i="3"/>
  <c r="D20" i="3"/>
  <c r="C31" i="3"/>
  <c r="C20" i="3"/>
  <c r="U61" i="17" l="1"/>
  <c r="T61" i="17"/>
  <c r="H5" i="3"/>
  <c r="H4" i="3"/>
  <c r="H6" i="3"/>
  <c r="H26" i="3"/>
  <c r="H29" i="3"/>
  <c r="H31" i="3"/>
  <c r="H21" i="3"/>
  <c r="H24" i="3"/>
  <c r="D33" i="3"/>
  <c r="H13" i="3"/>
  <c r="H14" i="3"/>
  <c r="H7" i="3"/>
  <c r="H9" i="3"/>
  <c r="H11" i="3"/>
  <c r="H8" i="3"/>
  <c r="H10" i="3"/>
  <c r="H12" i="3"/>
  <c r="H15" i="3"/>
  <c r="H30" i="3"/>
  <c r="H22" i="3"/>
  <c r="G33" i="3"/>
  <c r="H27" i="3"/>
  <c r="I33" i="3"/>
  <c r="H25" i="3"/>
  <c r="H28" i="3"/>
  <c r="J33" i="3"/>
  <c r="E33" i="3"/>
  <c r="F33" i="3"/>
  <c r="C33" i="3"/>
  <c r="H23" i="3"/>
  <c r="H20" i="3"/>
  <c r="H33" i="3" l="1"/>
  <c r="AU30" i="17" l="1"/>
  <c r="AU31" i="17"/>
  <c r="AU32" i="17"/>
  <c r="AU29" i="17"/>
  <c r="AT30" i="17"/>
  <c r="AT31" i="17"/>
  <c r="AT32" i="17"/>
  <c r="AT29" i="17"/>
  <c r="AS30" i="17"/>
  <c r="AS31" i="17"/>
  <c r="AS32" i="17"/>
  <c r="AS29" i="17"/>
  <c r="AT36" i="17" l="1"/>
  <c r="AU36" i="17"/>
  <c r="AS36" i="17"/>
  <c r="AV30" i="17"/>
  <c r="AW30" i="17"/>
  <c r="AV31" i="17"/>
  <c r="AW32" i="17"/>
  <c r="AW29" i="17"/>
  <c r="AW31" i="17"/>
  <c r="AV32" i="17"/>
  <c r="AV29" i="17"/>
  <c r="AV36" i="17" l="1"/>
  <c r="AW36" i="17"/>
  <c r="E32" i="51" l="1"/>
  <c r="F32" i="51"/>
  <c r="G32" i="51"/>
  <c r="K80" i="51"/>
  <c r="G80" i="51"/>
  <c r="F80" i="51"/>
  <c r="E80" i="51"/>
  <c r="D80" i="51"/>
  <c r="H79" i="51"/>
  <c r="C31" i="71" s="1"/>
  <c r="H78" i="51"/>
  <c r="C30" i="71" s="1"/>
  <c r="H77" i="51"/>
  <c r="C29" i="71" s="1"/>
  <c r="H76" i="51"/>
  <c r="C28" i="71" s="1"/>
  <c r="H75" i="51"/>
  <c r="C27" i="71" s="1"/>
  <c r="H74" i="51"/>
  <c r="C26" i="71" s="1"/>
  <c r="H73" i="51"/>
  <c r="C25" i="71" s="1"/>
  <c r="H72" i="51"/>
  <c r="C24" i="71" s="1"/>
  <c r="H71" i="51"/>
  <c r="C23" i="71" s="1"/>
  <c r="I23" i="71" s="1"/>
  <c r="H70" i="51"/>
  <c r="C22" i="71" s="1"/>
  <c r="H69" i="51"/>
  <c r="C21" i="71" s="1"/>
  <c r="H68" i="51"/>
  <c r="C20" i="71" s="1"/>
  <c r="B1" i="52"/>
  <c r="H30" i="52" l="1"/>
  <c r="I30" i="52"/>
  <c r="F30" i="52"/>
  <c r="E30" i="52"/>
  <c r="D30" i="52"/>
  <c r="C30" i="52"/>
  <c r="F1" i="52"/>
  <c r="C24" i="52"/>
  <c r="C26" i="52"/>
  <c r="C28" i="52"/>
  <c r="F27" i="52"/>
  <c r="D24" i="52"/>
  <c r="D26" i="52"/>
  <c r="D28" i="52"/>
  <c r="E24" i="52"/>
  <c r="E26" i="52"/>
  <c r="E28" i="52"/>
  <c r="D29" i="52"/>
  <c r="F24" i="52"/>
  <c r="F26" i="52"/>
  <c r="F28" i="52"/>
  <c r="D27" i="52"/>
  <c r="C25" i="52"/>
  <c r="C27" i="52"/>
  <c r="C29" i="52"/>
  <c r="D25" i="52"/>
  <c r="E25" i="52"/>
  <c r="E27" i="52"/>
  <c r="E29" i="52"/>
  <c r="F25" i="52"/>
  <c r="F29" i="52"/>
  <c r="C60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C50" i="52"/>
  <c r="C54" i="52"/>
  <c r="C55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C59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C52" i="52"/>
  <c r="C58" i="52"/>
  <c r="C51" i="52"/>
  <c r="C56" i="52"/>
  <c r="C49" i="52"/>
  <c r="C53" i="52"/>
  <c r="C57" i="52"/>
  <c r="H80" i="51"/>
  <c r="C32" i="71" s="1"/>
  <c r="R40" i="52"/>
  <c r="R39" i="52"/>
  <c r="R37" i="52"/>
  <c r="R36" i="52"/>
  <c r="R35" i="52"/>
  <c r="R34" i="52"/>
  <c r="L45" i="17"/>
  <c r="G57" i="52" l="1"/>
  <c r="G55" i="52"/>
  <c r="G53" i="52"/>
  <c r="G50" i="52"/>
  <c r="G54" i="52"/>
  <c r="G49" i="52"/>
  <c r="C61" i="52"/>
  <c r="F61" i="52"/>
  <c r="G56" i="52"/>
  <c r="G59" i="52"/>
  <c r="G51" i="52"/>
  <c r="G58" i="52"/>
  <c r="G52" i="52"/>
  <c r="D61" i="52"/>
  <c r="E61" i="52"/>
  <c r="G60" i="52"/>
  <c r="R41" i="52"/>
  <c r="G61" i="52" l="1"/>
  <c r="L30" i="51"/>
  <c r="L31" i="51"/>
  <c r="L29" i="51"/>
  <c r="K67" i="3" l="1"/>
  <c r="D31" i="67" l="1"/>
  <c r="J47" i="67" l="1"/>
  <c r="F47" i="67"/>
  <c r="E47" i="67"/>
  <c r="D47" i="67"/>
  <c r="D13" i="67" s="1"/>
  <c r="G46" i="67"/>
  <c r="D15" i="71" s="1"/>
  <c r="G45" i="67"/>
  <c r="G44" i="67"/>
  <c r="D13" i="71" s="1"/>
  <c r="G43" i="67"/>
  <c r="G42" i="67"/>
  <c r="D10" i="71"/>
  <c r="D9" i="71"/>
  <c r="D4" i="7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AR45" i="17"/>
  <c r="D16" i="71" l="1"/>
  <c r="G47" i="67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18" i="41"/>
  <c r="R419" i="41"/>
  <c r="R420" i="41"/>
  <c r="R421" i="41"/>
  <c r="R422" i="41"/>
  <c r="R423" i="41"/>
  <c r="R424" i="41"/>
  <c r="R425" i="41"/>
  <c r="R426" i="41"/>
  <c r="R427" i="41"/>
  <c r="R428" i="41"/>
  <c r="R429" i="41"/>
  <c r="R430" i="41"/>
  <c r="R431" i="41"/>
  <c r="R432" i="41"/>
  <c r="R433" i="41"/>
  <c r="R434" i="41"/>
  <c r="R435" i="41"/>
  <c r="R436" i="41"/>
  <c r="R437" i="41"/>
  <c r="R438" i="41"/>
  <c r="R439" i="41"/>
  <c r="R440" i="41"/>
  <c r="R441" i="41"/>
  <c r="R442" i="41"/>
  <c r="R443" i="41"/>
  <c r="R444" i="41"/>
  <c r="R445" i="41"/>
  <c r="R446" i="41"/>
  <c r="R447" i="41"/>
  <c r="R448" i="41"/>
  <c r="R449" i="41"/>
  <c r="R450" i="41"/>
  <c r="R451" i="41"/>
  <c r="R452" i="41"/>
  <c r="R453" i="41"/>
  <c r="R454" i="41"/>
  <c r="R455" i="41"/>
  <c r="R456" i="41"/>
  <c r="R457" i="41"/>
  <c r="R458" i="41"/>
  <c r="R459" i="41"/>
  <c r="R460" i="41"/>
  <c r="R461" i="41"/>
  <c r="R462" i="41"/>
  <c r="R463" i="41"/>
  <c r="R464" i="41"/>
  <c r="R465" i="41"/>
  <c r="R466" i="41"/>
  <c r="R467" i="41"/>
  <c r="R468" i="41"/>
  <c r="R469" i="41"/>
  <c r="R470" i="41"/>
  <c r="R471" i="41"/>
  <c r="R472" i="41"/>
  <c r="R473" i="41"/>
  <c r="R474" i="41"/>
  <c r="R475" i="41"/>
  <c r="R476" i="41"/>
  <c r="R477" i="41"/>
  <c r="R478" i="41"/>
  <c r="R479" i="41"/>
  <c r="R480" i="41"/>
  <c r="R481" i="41"/>
  <c r="R482" i="41"/>
  <c r="R483" i="41"/>
  <c r="R484" i="41"/>
  <c r="R485" i="41"/>
  <c r="R486" i="41"/>
  <c r="R487" i="41"/>
  <c r="R488" i="41"/>
  <c r="R489" i="41"/>
  <c r="R490" i="41"/>
  <c r="R491" i="41"/>
  <c r="R492" i="41"/>
  <c r="R493" i="41"/>
  <c r="R494" i="41"/>
  <c r="R495" i="41"/>
  <c r="R496" i="41"/>
  <c r="R497" i="41"/>
  <c r="R498" i="41"/>
  <c r="R499" i="41"/>
  <c r="R500" i="41"/>
  <c r="R501" i="41"/>
  <c r="R502" i="41"/>
  <c r="R503" i="41"/>
  <c r="R504" i="41"/>
  <c r="R505" i="41"/>
  <c r="R506" i="41"/>
  <c r="R507" i="41"/>
  <c r="R508" i="41"/>
  <c r="R509" i="41"/>
  <c r="R510" i="41"/>
  <c r="R511" i="41"/>
  <c r="R512" i="41"/>
  <c r="R513" i="41"/>
  <c r="R514" i="41"/>
  <c r="R515" i="41"/>
  <c r="R516" i="41"/>
  <c r="R517" i="41"/>
  <c r="R518" i="41"/>
  <c r="R519" i="41"/>
  <c r="R520" i="41"/>
  <c r="R521" i="41"/>
  <c r="R522" i="41"/>
  <c r="R523" i="41"/>
  <c r="R524" i="41"/>
  <c r="R525" i="41"/>
  <c r="R526" i="41"/>
  <c r="R527" i="41"/>
  <c r="R528" i="41"/>
  <c r="R529" i="41"/>
  <c r="R530" i="41"/>
  <c r="R531" i="41"/>
  <c r="R532" i="41"/>
  <c r="R533" i="41"/>
  <c r="R534" i="41"/>
  <c r="R535" i="41"/>
  <c r="R536" i="41"/>
  <c r="R537" i="41"/>
  <c r="R538" i="41"/>
  <c r="R539" i="41"/>
  <c r="R540" i="41"/>
  <c r="R541" i="41"/>
  <c r="R542" i="41"/>
  <c r="R543" i="41"/>
  <c r="R544" i="41"/>
  <c r="R545" i="41"/>
  <c r="R546" i="41"/>
  <c r="R547" i="41"/>
  <c r="R548" i="41"/>
  <c r="R549" i="41"/>
  <c r="R550" i="41"/>
  <c r="R551" i="41"/>
  <c r="R552" i="41"/>
  <c r="R553" i="41"/>
  <c r="R554" i="41"/>
  <c r="R555" i="41"/>
  <c r="R556" i="41"/>
  <c r="R557" i="41"/>
  <c r="R558" i="41"/>
  <c r="R559" i="41"/>
  <c r="R560" i="41"/>
  <c r="R561" i="41"/>
  <c r="R562" i="41"/>
  <c r="R563" i="41"/>
  <c r="R564" i="41"/>
  <c r="R565" i="41"/>
  <c r="R566" i="41"/>
  <c r="R567" i="41"/>
  <c r="R568" i="41"/>
  <c r="R569" i="41"/>
  <c r="R570" i="41"/>
  <c r="R571" i="41"/>
  <c r="R572" i="41"/>
  <c r="R573" i="41"/>
  <c r="R574" i="41"/>
  <c r="R575" i="41"/>
  <c r="R576" i="41"/>
  <c r="R577" i="41"/>
  <c r="R578" i="41"/>
  <c r="R579" i="41"/>
  <c r="R580" i="41"/>
  <c r="R581" i="41"/>
  <c r="R582" i="41"/>
  <c r="R583" i="41"/>
  <c r="R584" i="41"/>
  <c r="Q6" i="41"/>
  <c r="Z6" i="41" s="1"/>
  <c r="Q7" i="41"/>
  <c r="Z7" i="41" s="1"/>
  <c r="Q8" i="41"/>
  <c r="Z8" i="41" s="1"/>
  <c r="Q9" i="41"/>
  <c r="Z9" i="41" s="1"/>
  <c r="Q10" i="41"/>
  <c r="Z10" i="41" s="1"/>
  <c r="Q11" i="41"/>
  <c r="Z11" i="41" s="1"/>
  <c r="Q12" i="41"/>
  <c r="Z12" i="41" s="1"/>
  <c r="Q13" i="41"/>
  <c r="Z13" i="41" s="1"/>
  <c r="Q14" i="41"/>
  <c r="Z14" i="41" s="1"/>
  <c r="Q15" i="41"/>
  <c r="Z15" i="41" s="1"/>
  <c r="Q16" i="41"/>
  <c r="Z16" i="41" s="1"/>
  <c r="Q17" i="41"/>
  <c r="Z17" i="41" s="1"/>
  <c r="Q18" i="41"/>
  <c r="Z18" i="41" s="1"/>
  <c r="Q19" i="41"/>
  <c r="Z19" i="41" s="1"/>
  <c r="Q20" i="41"/>
  <c r="Z20" i="41" s="1"/>
  <c r="Q21" i="41"/>
  <c r="Z21" i="41" s="1"/>
  <c r="Q22" i="41"/>
  <c r="Z22" i="41" s="1"/>
  <c r="Q23" i="41"/>
  <c r="Z23" i="41" s="1"/>
  <c r="Q24" i="41"/>
  <c r="Z24" i="41" s="1"/>
  <c r="Q25" i="41"/>
  <c r="Z25" i="41" s="1"/>
  <c r="Q26" i="41"/>
  <c r="Z26" i="41" s="1"/>
  <c r="Q27" i="41"/>
  <c r="Z27" i="41" s="1"/>
  <c r="Q28" i="41"/>
  <c r="Z28" i="41" s="1"/>
  <c r="Q29" i="41"/>
  <c r="Z29" i="41" s="1"/>
  <c r="Q30" i="41"/>
  <c r="Z30" i="41" s="1"/>
  <c r="Q31" i="41"/>
  <c r="Z31" i="41" s="1"/>
  <c r="Q32" i="41"/>
  <c r="Z32" i="41" s="1"/>
  <c r="Q33" i="41"/>
  <c r="Z33" i="41" s="1"/>
  <c r="Q34" i="41"/>
  <c r="Z34" i="41" s="1"/>
  <c r="Q35" i="41"/>
  <c r="Z35" i="41" s="1"/>
  <c r="Q36" i="41"/>
  <c r="Z36" i="41" s="1"/>
  <c r="Q37" i="41"/>
  <c r="Z37" i="41" s="1"/>
  <c r="Q38" i="41"/>
  <c r="Z38" i="41" s="1"/>
  <c r="Q39" i="41"/>
  <c r="Z39" i="41" s="1"/>
  <c r="Q40" i="41"/>
  <c r="Z40" i="41" s="1"/>
  <c r="Q41" i="41"/>
  <c r="Z41" i="41" s="1"/>
  <c r="Q42" i="41"/>
  <c r="Z42" i="41" s="1"/>
  <c r="Q43" i="41"/>
  <c r="Z43" i="41" s="1"/>
  <c r="Q44" i="41"/>
  <c r="Z44" i="41" s="1"/>
  <c r="Q45" i="41"/>
  <c r="Z45" i="41" s="1"/>
  <c r="Q46" i="41"/>
  <c r="Z46" i="41" s="1"/>
  <c r="Q47" i="41"/>
  <c r="Z47" i="41" s="1"/>
  <c r="Q48" i="41"/>
  <c r="Z48" i="41" s="1"/>
  <c r="Q49" i="41"/>
  <c r="Z49" i="41" s="1"/>
  <c r="Q50" i="41"/>
  <c r="Z50" i="41" s="1"/>
  <c r="Q51" i="41"/>
  <c r="Z51" i="41" s="1"/>
  <c r="Q52" i="41"/>
  <c r="Z52" i="41" s="1"/>
  <c r="Q53" i="41"/>
  <c r="Z53" i="41" s="1"/>
  <c r="Q54" i="41"/>
  <c r="Z54" i="41" s="1"/>
  <c r="Q55" i="41"/>
  <c r="Z55" i="41" s="1"/>
  <c r="Q56" i="41"/>
  <c r="Z56" i="41" s="1"/>
  <c r="Q57" i="41"/>
  <c r="Z57" i="41" s="1"/>
  <c r="Q58" i="41"/>
  <c r="Z58" i="41" s="1"/>
  <c r="Q59" i="41"/>
  <c r="Z59" i="41" s="1"/>
  <c r="Q60" i="41"/>
  <c r="Z60" i="41" s="1"/>
  <c r="Q61" i="41"/>
  <c r="Z61" i="41" s="1"/>
  <c r="Q62" i="41"/>
  <c r="Z62" i="41" s="1"/>
  <c r="Q63" i="41"/>
  <c r="Z63" i="41" s="1"/>
  <c r="Q64" i="41"/>
  <c r="Z64" i="41" s="1"/>
  <c r="Q65" i="41"/>
  <c r="Z65" i="41" s="1"/>
  <c r="Q66" i="41"/>
  <c r="Z66" i="41" s="1"/>
  <c r="Q67" i="41"/>
  <c r="Z67" i="41" s="1"/>
  <c r="Q68" i="41"/>
  <c r="Z68" i="41" s="1"/>
  <c r="Q69" i="41"/>
  <c r="Z69" i="41" s="1"/>
  <c r="Q70" i="41"/>
  <c r="Z70" i="41" s="1"/>
  <c r="Q71" i="41"/>
  <c r="Z71" i="41" s="1"/>
  <c r="Q72" i="41"/>
  <c r="Z72" i="41" s="1"/>
  <c r="Q73" i="41"/>
  <c r="Z73" i="41" s="1"/>
  <c r="Q74" i="41"/>
  <c r="Z74" i="41" s="1"/>
  <c r="Q75" i="41"/>
  <c r="Z75" i="41" s="1"/>
  <c r="Q76" i="41"/>
  <c r="Z76" i="41" s="1"/>
  <c r="Q77" i="41"/>
  <c r="Z77" i="41" s="1"/>
  <c r="Q78" i="41"/>
  <c r="Z78" i="41" s="1"/>
  <c r="Q79" i="41"/>
  <c r="Z79" i="41" s="1"/>
  <c r="Q80" i="41"/>
  <c r="Z80" i="41" s="1"/>
  <c r="Q81" i="41"/>
  <c r="Z81" i="41" s="1"/>
  <c r="Q82" i="41"/>
  <c r="Z82" i="41" s="1"/>
  <c r="Q83" i="41"/>
  <c r="Z83" i="41" s="1"/>
  <c r="Q84" i="41"/>
  <c r="Z84" i="41" s="1"/>
  <c r="Q85" i="41"/>
  <c r="Z85" i="41" s="1"/>
  <c r="Q86" i="41"/>
  <c r="Z86" i="41" s="1"/>
  <c r="Q87" i="41"/>
  <c r="Z87" i="41" s="1"/>
  <c r="Q88" i="41"/>
  <c r="Z88" i="41" s="1"/>
  <c r="Q89" i="41"/>
  <c r="Z89" i="41" s="1"/>
  <c r="Q90" i="41"/>
  <c r="Z90" i="41" s="1"/>
  <c r="Q91" i="41"/>
  <c r="Z91" i="41" s="1"/>
  <c r="Q92" i="41"/>
  <c r="Z92" i="41" s="1"/>
  <c r="Q93" i="41"/>
  <c r="Z93" i="41" s="1"/>
  <c r="Q94" i="41"/>
  <c r="Z94" i="41" s="1"/>
  <c r="Q95" i="41"/>
  <c r="Z95" i="41" s="1"/>
  <c r="Q96" i="41"/>
  <c r="Z96" i="41" s="1"/>
  <c r="Q97" i="41"/>
  <c r="Z97" i="41" s="1"/>
  <c r="Q98" i="41"/>
  <c r="Z98" i="41" s="1"/>
  <c r="Q99" i="41"/>
  <c r="Z99" i="41" s="1"/>
  <c r="Q100" i="41"/>
  <c r="Z100" i="41" s="1"/>
  <c r="Q101" i="41"/>
  <c r="Z101" i="41" s="1"/>
  <c r="Q102" i="41"/>
  <c r="Z102" i="41" s="1"/>
  <c r="Q103" i="41"/>
  <c r="Z103" i="41" s="1"/>
  <c r="Q104" i="41"/>
  <c r="Z104" i="41" s="1"/>
  <c r="Q105" i="41"/>
  <c r="Z105" i="41" s="1"/>
  <c r="Q106" i="41"/>
  <c r="Z106" i="41" s="1"/>
  <c r="Q107" i="41"/>
  <c r="Z107" i="41" s="1"/>
  <c r="Q108" i="41"/>
  <c r="Z108" i="41" s="1"/>
  <c r="Q109" i="41"/>
  <c r="Z109" i="41" s="1"/>
  <c r="Q110" i="41"/>
  <c r="Z110" i="41" s="1"/>
  <c r="Q111" i="41"/>
  <c r="Z111" i="41" s="1"/>
  <c r="Q112" i="41"/>
  <c r="Z112" i="41" s="1"/>
  <c r="Q113" i="41"/>
  <c r="Z113" i="41" s="1"/>
  <c r="Q114" i="41"/>
  <c r="Z114" i="41" s="1"/>
  <c r="Q115" i="41"/>
  <c r="Z115" i="41" s="1"/>
  <c r="Q116" i="41"/>
  <c r="Z116" i="41" s="1"/>
  <c r="Q117" i="41"/>
  <c r="Z117" i="41" s="1"/>
  <c r="Q118" i="41"/>
  <c r="Z118" i="41" s="1"/>
  <c r="Q119" i="41"/>
  <c r="Z119" i="41" s="1"/>
  <c r="Q120" i="41"/>
  <c r="Z120" i="41" s="1"/>
  <c r="Q121" i="41"/>
  <c r="Z121" i="41" s="1"/>
  <c r="Q122" i="41"/>
  <c r="Z122" i="41" s="1"/>
  <c r="Q123" i="41"/>
  <c r="Z123" i="41" s="1"/>
  <c r="Q124" i="41"/>
  <c r="Z124" i="41" s="1"/>
  <c r="Q125" i="41"/>
  <c r="Z125" i="41" s="1"/>
  <c r="Q126" i="41"/>
  <c r="Z126" i="41" s="1"/>
  <c r="Q127" i="41"/>
  <c r="Z127" i="41" s="1"/>
  <c r="Q128" i="41"/>
  <c r="Z128" i="41" s="1"/>
  <c r="Q129" i="41"/>
  <c r="Z129" i="41" s="1"/>
  <c r="Q130" i="41"/>
  <c r="Z130" i="41" s="1"/>
  <c r="Q131" i="41"/>
  <c r="Z131" i="41" s="1"/>
  <c r="Q132" i="41"/>
  <c r="Z132" i="41" s="1"/>
  <c r="Q133" i="41"/>
  <c r="Z133" i="41" s="1"/>
  <c r="Q134" i="41"/>
  <c r="Z134" i="41" s="1"/>
  <c r="Q135" i="41"/>
  <c r="Z135" i="41" s="1"/>
  <c r="Q136" i="41"/>
  <c r="Z136" i="41" s="1"/>
  <c r="Q137" i="41"/>
  <c r="Z137" i="41" s="1"/>
  <c r="Q138" i="41"/>
  <c r="Z138" i="41" s="1"/>
  <c r="Q139" i="41"/>
  <c r="Z139" i="41" s="1"/>
  <c r="Q140" i="41"/>
  <c r="Z140" i="41" s="1"/>
  <c r="Q141" i="41"/>
  <c r="Z141" i="41" s="1"/>
  <c r="Q142" i="41"/>
  <c r="Z142" i="41" s="1"/>
  <c r="Q143" i="41"/>
  <c r="Z143" i="41" s="1"/>
  <c r="Q144" i="41"/>
  <c r="Z144" i="41" s="1"/>
  <c r="Q145" i="41"/>
  <c r="Z145" i="41" s="1"/>
  <c r="Q146" i="41"/>
  <c r="Z146" i="41" s="1"/>
  <c r="Q147" i="41"/>
  <c r="Z147" i="41" s="1"/>
  <c r="Q148" i="41"/>
  <c r="Z148" i="41" s="1"/>
  <c r="Q149" i="41"/>
  <c r="Z149" i="41" s="1"/>
  <c r="Q150" i="41"/>
  <c r="Z150" i="41" s="1"/>
  <c r="Q151" i="41"/>
  <c r="Z151" i="41" s="1"/>
  <c r="Q152" i="41"/>
  <c r="Z152" i="41" s="1"/>
  <c r="Q153" i="41"/>
  <c r="Z153" i="41" s="1"/>
  <c r="Q154" i="41"/>
  <c r="Z154" i="41" s="1"/>
  <c r="Q155" i="41"/>
  <c r="Z155" i="41" s="1"/>
  <c r="Q156" i="41"/>
  <c r="Z156" i="41" s="1"/>
  <c r="Q157" i="41"/>
  <c r="Z157" i="41" s="1"/>
  <c r="Q158" i="41"/>
  <c r="Z158" i="41" s="1"/>
  <c r="Q159" i="41"/>
  <c r="Z159" i="41" s="1"/>
  <c r="Q160" i="41"/>
  <c r="Z160" i="41" s="1"/>
  <c r="Q161" i="41"/>
  <c r="Z161" i="41" s="1"/>
  <c r="Q162" i="41"/>
  <c r="Z162" i="41" s="1"/>
  <c r="Q163" i="41"/>
  <c r="Z163" i="41" s="1"/>
  <c r="Q164" i="41"/>
  <c r="Z164" i="41" s="1"/>
  <c r="Q165" i="41"/>
  <c r="Z165" i="41" s="1"/>
  <c r="Q166" i="41"/>
  <c r="Z166" i="41" s="1"/>
  <c r="Q167" i="41"/>
  <c r="Z167" i="41" s="1"/>
  <c r="Q168" i="41"/>
  <c r="Z168" i="41" s="1"/>
  <c r="Q169" i="41"/>
  <c r="Z169" i="41" s="1"/>
  <c r="Q170" i="41"/>
  <c r="Z170" i="41" s="1"/>
  <c r="Q171" i="41"/>
  <c r="Z171" i="41" s="1"/>
  <c r="Q172" i="41"/>
  <c r="Z172" i="41" s="1"/>
  <c r="Q173" i="41"/>
  <c r="Z173" i="41" s="1"/>
  <c r="Q174" i="41"/>
  <c r="Z174" i="41" s="1"/>
  <c r="Q175" i="41"/>
  <c r="Z175" i="41" s="1"/>
  <c r="Q176" i="41"/>
  <c r="Z176" i="41" s="1"/>
  <c r="Q177" i="41"/>
  <c r="Z177" i="41" s="1"/>
  <c r="Q178" i="41"/>
  <c r="Z178" i="41" s="1"/>
  <c r="Q179" i="41"/>
  <c r="Z179" i="41" s="1"/>
  <c r="Q180" i="41"/>
  <c r="Z180" i="41" s="1"/>
  <c r="Q181" i="41"/>
  <c r="Z181" i="41" s="1"/>
  <c r="Q182" i="41"/>
  <c r="Z182" i="41" s="1"/>
  <c r="Q183" i="41"/>
  <c r="Z183" i="41" s="1"/>
  <c r="Q184" i="41"/>
  <c r="Z184" i="41" s="1"/>
  <c r="Q185" i="41"/>
  <c r="Z185" i="41" s="1"/>
  <c r="Q186" i="41"/>
  <c r="Z186" i="41" s="1"/>
  <c r="Q187" i="41"/>
  <c r="Z187" i="41" s="1"/>
  <c r="Q188" i="41"/>
  <c r="Z188" i="41" s="1"/>
  <c r="Q189" i="41"/>
  <c r="Z189" i="41" s="1"/>
  <c r="Q190" i="41"/>
  <c r="Z190" i="41" s="1"/>
  <c r="Q191" i="41"/>
  <c r="Z191" i="41" s="1"/>
  <c r="Q192" i="41"/>
  <c r="Z192" i="41" s="1"/>
  <c r="Q193" i="41"/>
  <c r="Z193" i="41" s="1"/>
  <c r="Q194" i="41"/>
  <c r="Z194" i="41" s="1"/>
  <c r="Q195" i="41"/>
  <c r="Z195" i="41" s="1"/>
  <c r="Q196" i="41"/>
  <c r="Z196" i="41" s="1"/>
  <c r="Q197" i="41"/>
  <c r="Z197" i="41" s="1"/>
  <c r="Q198" i="41"/>
  <c r="Z198" i="41" s="1"/>
  <c r="Q199" i="41"/>
  <c r="Z199" i="41" s="1"/>
  <c r="Q200" i="41"/>
  <c r="Z200" i="41" s="1"/>
  <c r="Q201" i="41"/>
  <c r="Z201" i="41" s="1"/>
  <c r="Q202" i="41"/>
  <c r="Z202" i="41" s="1"/>
  <c r="Q203" i="41"/>
  <c r="Z203" i="41" s="1"/>
  <c r="Q204" i="41"/>
  <c r="Z204" i="41" s="1"/>
  <c r="Q205" i="41"/>
  <c r="Z205" i="41" s="1"/>
  <c r="Q206" i="41"/>
  <c r="Z206" i="41" s="1"/>
  <c r="Q207" i="41"/>
  <c r="Z207" i="41" s="1"/>
  <c r="Q208" i="41"/>
  <c r="Z208" i="41" s="1"/>
  <c r="Q209" i="41"/>
  <c r="Z209" i="41" s="1"/>
  <c r="Q210" i="41"/>
  <c r="Z210" i="41" s="1"/>
  <c r="Q211" i="41"/>
  <c r="Z211" i="41" s="1"/>
  <c r="Q212" i="41"/>
  <c r="Z212" i="41" s="1"/>
  <c r="Q213" i="41"/>
  <c r="Z213" i="41" s="1"/>
  <c r="Q214" i="41"/>
  <c r="Z214" i="41" s="1"/>
  <c r="Q215" i="41"/>
  <c r="Z215" i="41" s="1"/>
  <c r="Q216" i="41"/>
  <c r="Z216" i="41" s="1"/>
  <c r="Q217" i="41"/>
  <c r="Z217" i="41" s="1"/>
  <c r="Q218" i="41"/>
  <c r="Z218" i="41" s="1"/>
  <c r="Q219" i="41"/>
  <c r="Z219" i="41" s="1"/>
  <c r="Q220" i="41"/>
  <c r="Z220" i="41" s="1"/>
  <c r="Q221" i="41"/>
  <c r="Z221" i="41" s="1"/>
  <c r="Q222" i="41"/>
  <c r="Z222" i="41" s="1"/>
  <c r="Q223" i="41"/>
  <c r="Z223" i="41" s="1"/>
  <c r="Q224" i="41"/>
  <c r="Z224" i="41" s="1"/>
  <c r="Q225" i="41"/>
  <c r="Z225" i="41" s="1"/>
  <c r="Q226" i="41"/>
  <c r="Z226" i="41" s="1"/>
  <c r="Q227" i="41"/>
  <c r="Z227" i="41" s="1"/>
  <c r="Q228" i="41"/>
  <c r="Z228" i="41" s="1"/>
  <c r="Q229" i="41"/>
  <c r="Z229" i="41" s="1"/>
  <c r="Q230" i="41"/>
  <c r="Z230" i="41" s="1"/>
  <c r="Q231" i="41"/>
  <c r="Z231" i="41" s="1"/>
  <c r="Q232" i="41"/>
  <c r="Z232" i="41" s="1"/>
  <c r="Q233" i="41"/>
  <c r="Z233" i="41" s="1"/>
  <c r="Q234" i="41"/>
  <c r="Z234" i="41" s="1"/>
  <c r="Q235" i="41"/>
  <c r="Z235" i="41" s="1"/>
  <c r="Q236" i="41"/>
  <c r="Z236" i="41" s="1"/>
  <c r="Q237" i="41"/>
  <c r="Z237" i="41" s="1"/>
  <c r="Q238" i="41"/>
  <c r="Z238" i="41" s="1"/>
  <c r="Q239" i="41"/>
  <c r="Z239" i="41" s="1"/>
  <c r="Q240" i="41"/>
  <c r="Z240" i="41" s="1"/>
  <c r="Q241" i="41"/>
  <c r="Z241" i="41" s="1"/>
  <c r="Q242" i="41"/>
  <c r="Z242" i="41" s="1"/>
  <c r="Q243" i="41"/>
  <c r="Z243" i="41" s="1"/>
  <c r="Q244" i="41"/>
  <c r="Z244" i="41" s="1"/>
  <c r="Q245" i="41"/>
  <c r="Z245" i="41" s="1"/>
  <c r="Q246" i="41"/>
  <c r="Z246" i="41" s="1"/>
  <c r="Q247" i="41"/>
  <c r="Z247" i="41" s="1"/>
  <c r="Q248" i="41"/>
  <c r="Z248" i="41" s="1"/>
  <c r="Q249" i="41"/>
  <c r="Z249" i="41" s="1"/>
  <c r="Q250" i="41"/>
  <c r="Z250" i="41" s="1"/>
  <c r="Q251" i="41"/>
  <c r="Z251" i="41" s="1"/>
  <c r="Q252" i="41"/>
  <c r="Z252" i="41" s="1"/>
  <c r="Q253" i="41"/>
  <c r="Z253" i="41" s="1"/>
  <c r="Q254" i="41"/>
  <c r="Z254" i="41" s="1"/>
  <c r="Q255" i="41"/>
  <c r="Z255" i="41" s="1"/>
  <c r="Q256" i="41"/>
  <c r="Z256" i="41" s="1"/>
  <c r="Q257" i="41"/>
  <c r="Z257" i="41" s="1"/>
  <c r="Q258" i="41"/>
  <c r="Z258" i="41" s="1"/>
  <c r="Q259" i="41"/>
  <c r="Z259" i="41" s="1"/>
  <c r="Q260" i="41"/>
  <c r="Z260" i="41" s="1"/>
  <c r="Q261" i="41"/>
  <c r="Z261" i="41" s="1"/>
  <c r="Q262" i="41"/>
  <c r="Z262" i="41" s="1"/>
  <c r="Q263" i="41"/>
  <c r="Z263" i="41" s="1"/>
  <c r="Q264" i="41"/>
  <c r="Z264" i="41" s="1"/>
  <c r="Q265" i="41"/>
  <c r="Z265" i="41" s="1"/>
  <c r="Q266" i="41"/>
  <c r="Z266" i="41" s="1"/>
  <c r="Q267" i="41"/>
  <c r="Z267" i="41" s="1"/>
  <c r="Q268" i="41"/>
  <c r="Z268" i="41" s="1"/>
  <c r="Q269" i="41"/>
  <c r="Z269" i="41" s="1"/>
  <c r="Q270" i="41"/>
  <c r="Z270" i="41" s="1"/>
  <c r="Q271" i="41"/>
  <c r="Z271" i="41" s="1"/>
  <c r="Q272" i="41"/>
  <c r="Z272" i="41" s="1"/>
  <c r="Q273" i="41"/>
  <c r="Z273" i="41" s="1"/>
  <c r="Q274" i="41"/>
  <c r="Z274" i="41" s="1"/>
  <c r="Q275" i="41"/>
  <c r="Z275" i="41" s="1"/>
  <c r="Q276" i="41"/>
  <c r="Z276" i="41" s="1"/>
  <c r="Q277" i="41"/>
  <c r="Z277" i="41" s="1"/>
  <c r="Q278" i="41"/>
  <c r="Z278" i="41" s="1"/>
  <c r="Q279" i="41"/>
  <c r="Z279" i="41" s="1"/>
  <c r="Q280" i="41"/>
  <c r="Z280" i="41" s="1"/>
  <c r="Q281" i="41"/>
  <c r="Z281" i="41" s="1"/>
  <c r="Q282" i="41"/>
  <c r="Z282" i="41" s="1"/>
  <c r="Q283" i="41"/>
  <c r="Z283" i="41" s="1"/>
  <c r="Q284" i="41"/>
  <c r="Z284" i="41" s="1"/>
  <c r="Q285" i="41"/>
  <c r="Z285" i="41" s="1"/>
  <c r="Q286" i="41"/>
  <c r="Z286" i="41" s="1"/>
  <c r="Q287" i="41"/>
  <c r="Z287" i="41" s="1"/>
  <c r="Q288" i="41"/>
  <c r="Z288" i="41" s="1"/>
  <c r="Q289" i="41"/>
  <c r="Z289" i="41" s="1"/>
  <c r="Q290" i="41"/>
  <c r="Z290" i="41" s="1"/>
  <c r="Q291" i="41"/>
  <c r="Z291" i="41" s="1"/>
  <c r="Q292" i="41"/>
  <c r="Z292" i="41" s="1"/>
  <c r="Q293" i="41"/>
  <c r="Z293" i="41" s="1"/>
  <c r="Q294" i="41"/>
  <c r="Z294" i="41" s="1"/>
  <c r="Q295" i="41"/>
  <c r="Z295" i="41" s="1"/>
  <c r="Q296" i="41"/>
  <c r="Z296" i="41" s="1"/>
  <c r="Q297" i="41"/>
  <c r="Z297" i="41" s="1"/>
  <c r="Q298" i="41"/>
  <c r="Z298" i="41" s="1"/>
  <c r="Q299" i="41"/>
  <c r="Z299" i="41" s="1"/>
  <c r="Q300" i="41"/>
  <c r="Z300" i="41" s="1"/>
  <c r="Q301" i="41"/>
  <c r="Z301" i="41" s="1"/>
  <c r="Q302" i="41"/>
  <c r="Z302" i="41" s="1"/>
  <c r="Q303" i="41"/>
  <c r="Z303" i="41" s="1"/>
  <c r="Q304" i="41"/>
  <c r="Z304" i="41" s="1"/>
  <c r="Q305" i="41"/>
  <c r="Z305" i="41" s="1"/>
  <c r="Q306" i="41"/>
  <c r="Z306" i="41" s="1"/>
  <c r="Q307" i="41"/>
  <c r="Z307" i="41" s="1"/>
  <c r="Q308" i="41"/>
  <c r="Z308" i="41" s="1"/>
  <c r="Q309" i="41"/>
  <c r="Z309" i="41" s="1"/>
  <c r="Q310" i="41"/>
  <c r="Z310" i="41" s="1"/>
  <c r="Q311" i="41"/>
  <c r="Z311" i="41" s="1"/>
  <c r="Q312" i="41"/>
  <c r="Z312" i="41" s="1"/>
  <c r="Q313" i="41"/>
  <c r="Z313" i="41" s="1"/>
  <c r="Q314" i="41"/>
  <c r="Z314" i="41" s="1"/>
  <c r="Q315" i="41"/>
  <c r="Z315" i="41" s="1"/>
  <c r="Q316" i="41"/>
  <c r="Z316" i="41" s="1"/>
  <c r="Q317" i="41"/>
  <c r="Z317" i="41" s="1"/>
  <c r="Q318" i="41"/>
  <c r="Z318" i="41" s="1"/>
  <c r="Q319" i="41"/>
  <c r="Z319" i="41" s="1"/>
  <c r="Q320" i="41"/>
  <c r="Z320" i="41" s="1"/>
  <c r="Q321" i="41"/>
  <c r="Z321" i="41" s="1"/>
  <c r="Q322" i="41"/>
  <c r="Z322" i="41" s="1"/>
  <c r="Q323" i="41"/>
  <c r="Z323" i="41" s="1"/>
  <c r="Q324" i="41"/>
  <c r="Z324" i="41" s="1"/>
  <c r="Q325" i="41"/>
  <c r="Z325" i="41" s="1"/>
  <c r="Q326" i="41"/>
  <c r="Z326" i="41" s="1"/>
  <c r="Q327" i="41"/>
  <c r="Z327" i="41" s="1"/>
  <c r="Q328" i="41"/>
  <c r="Z328" i="41" s="1"/>
  <c r="Q329" i="41"/>
  <c r="Z329" i="41" s="1"/>
  <c r="Q330" i="41"/>
  <c r="Z330" i="41" s="1"/>
  <c r="Q331" i="41"/>
  <c r="Z331" i="41" s="1"/>
  <c r="Q332" i="41"/>
  <c r="Z332" i="41" s="1"/>
  <c r="Q333" i="41"/>
  <c r="Z333" i="41" s="1"/>
  <c r="Q334" i="41"/>
  <c r="Z334" i="41" s="1"/>
  <c r="Q335" i="41"/>
  <c r="Z335" i="41" s="1"/>
  <c r="Q336" i="41"/>
  <c r="Z336" i="41" s="1"/>
  <c r="Q337" i="41"/>
  <c r="Z337" i="41" s="1"/>
  <c r="Q338" i="41"/>
  <c r="Z338" i="41" s="1"/>
  <c r="Q339" i="41"/>
  <c r="Z339" i="41" s="1"/>
  <c r="Q340" i="41"/>
  <c r="Z340" i="41" s="1"/>
  <c r="Q341" i="41"/>
  <c r="Z341" i="41" s="1"/>
  <c r="Q342" i="41"/>
  <c r="Z342" i="41" s="1"/>
  <c r="Q343" i="41"/>
  <c r="Z343" i="41" s="1"/>
  <c r="Q344" i="41"/>
  <c r="Z344" i="41" s="1"/>
  <c r="Q345" i="41"/>
  <c r="Z345" i="41" s="1"/>
  <c r="Q346" i="41"/>
  <c r="Z346" i="41" s="1"/>
  <c r="Q347" i="41"/>
  <c r="Z347" i="41" s="1"/>
  <c r="Q348" i="41"/>
  <c r="Z348" i="41" s="1"/>
  <c r="Q349" i="41"/>
  <c r="Z349" i="41" s="1"/>
  <c r="Q350" i="41"/>
  <c r="Z350" i="41" s="1"/>
  <c r="Q351" i="41"/>
  <c r="Z351" i="41" s="1"/>
  <c r="Q352" i="41"/>
  <c r="Z352" i="41" s="1"/>
  <c r="Q353" i="41"/>
  <c r="Z353" i="41" s="1"/>
  <c r="Q354" i="41"/>
  <c r="Z354" i="41" s="1"/>
  <c r="Q355" i="41"/>
  <c r="Z355" i="41" s="1"/>
  <c r="Q356" i="41"/>
  <c r="Z356" i="41" s="1"/>
  <c r="Q357" i="41"/>
  <c r="Z357" i="41" s="1"/>
  <c r="Q358" i="41"/>
  <c r="Z358" i="41" s="1"/>
  <c r="Q359" i="41"/>
  <c r="Z359" i="41" s="1"/>
  <c r="Q360" i="41"/>
  <c r="Z360" i="41" s="1"/>
  <c r="Q361" i="41"/>
  <c r="Z361" i="41" s="1"/>
  <c r="Q362" i="41"/>
  <c r="Z362" i="41" s="1"/>
  <c r="Q363" i="41"/>
  <c r="Z363" i="41" s="1"/>
  <c r="Q364" i="41"/>
  <c r="Z364" i="41" s="1"/>
  <c r="Q365" i="41"/>
  <c r="Z365" i="41" s="1"/>
  <c r="Q366" i="41"/>
  <c r="Z366" i="41" s="1"/>
  <c r="Q367" i="41"/>
  <c r="Z367" i="41" s="1"/>
  <c r="Q368" i="41"/>
  <c r="Z368" i="41" s="1"/>
  <c r="Q369" i="41"/>
  <c r="Z369" i="41" s="1"/>
  <c r="Q370" i="41"/>
  <c r="Z370" i="41" s="1"/>
  <c r="Q371" i="41"/>
  <c r="Z371" i="41" s="1"/>
  <c r="Q372" i="41"/>
  <c r="Z372" i="41" s="1"/>
  <c r="Q373" i="41"/>
  <c r="Z373" i="41" s="1"/>
  <c r="Q374" i="41"/>
  <c r="Z374" i="41" s="1"/>
  <c r="Q375" i="41"/>
  <c r="Z375" i="41" s="1"/>
  <c r="Q376" i="41"/>
  <c r="Z376" i="41" s="1"/>
  <c r="Q377" i="41"/>
  <c r="Z377" i="41" s="1"/>
  <c r="Q378" i="41"/>
  <c r="Z378" i="41" s="1"/>
  <c r="Q379" i="41"/>
  <c r="Z379" i="41" s="1"/>
  <c r="Q380" i="41"/>
  <c r="Z380" i="41" s="1"/>
  <c r="Q381" i="41"/>
  <c r="Z381" i="41" s="1"/>
  <c r="Q382" i="41"/>
  <c r="Z382" i="41" s="1"/>
  <c r="Q383" i="41"/>
  <c r="Z383" i="41" s="1"/>
  <c r="Q384" i="41"/>
  <c r="Z384" i="41" s="1"/>
  <c r="Q385" i="41"/>
  <c r="Z385" i="41" s="1"/>
  <c r="Q386" i="41"/>
  <c r="Z386" i="41" s="1"/>
  <c r="Q387" i="41"/>
  <c r="Z387" i="41" s="1"/>
  <c r="Q388" i="41"/>
  <c r="Z388" i="41" s="1"/>
  <c r="Q389" i="41"/>
  <c r="Z389" i="41" s="1"/>
  <c r="Q390" i="41"/>
  <c r="Z390" i="41" s="1"/>
  <c r="Q391" i="41"/>
  <c r="Z391" i="41" s="1"/>
  <c r="Q392" i="41"/>
  <c r="Z392" i="41" s="1"/>
  <c r="Q393" i="41"/>
  <c r="Z393" i="41" s="1"/>
  <c r="Q394" i="41"/>
  <c r="Z394" i="41" s="1"/>
  <c r="Q395" i="41"/>
  <c r="Z395" i="41" s="1"/>
  <c r="Q396" i="41"/>
  <c r="Z396" i="41" s="1"/>
  <c r="Q397" i="41"/>
  <c r="Z397" i="41" s="1"/>
  <c r="Q398" i="41"/>
  <c r="Z398" i="41" s="1"/>
  <c r="Q399" i="41"/>
  <c r="Z399" i="41" s="1"/>
  <c r="Q400" i="41"/>
  <c r="Z400" i="41" s="1"/>
  <c r="Q401" i="41"/>
  <c r="Z401" i="41" s="1"/>
  <c r="Q402" i="41"/>
  <c r="Z402" i="41" s="1"/>
  <c r="Q403" i="41"/>
  <c r="Z403" i="41" s="1"/>
  <c r="Q404" i="41"/>
  <c r="Z404" i="41" s="1"/>
  <c r="Q405" i="41"/>
  <c r="Z405" i="41" s="1"/>
  <c r="Q406" i="41"/>
  <c r="Z406" i="41" s="1"/>
  <c r="Q407" i="41"/>
  <c r="Z407" i="41" s="1"/>
  <c r="Q408" i="41"/>
  <c r="Z408" i="41" s="1"/>
  <c r="Q409" i="41"/>
  <c r="Z409" i="41" s="1"/>
  <c r="Q410" i="41"/>
  <c r="Z410" i="41" s="1"/>
  <c r="Q411" i="41"/>
  <c r="Z411" i="41" s="1"/>
  <c r="Q412" i="41"/>
  <c r="Z412" i="41" s="1"/>
  <c r="Q413" i="41"/>
  <c r="Z413" i="41" s="1"/>
  <c r="Q414" i="41"/>
  <c r="Z414" i="41" s="1"/>
  <c r="Q415" i="41"/>
  <c r="Z415" i="41" s="1"/>
  <c r="Q416" i="41"/>
  <c r="Z416" i="41" s="1"/>
  <c r="Q417" i="41"/>
  <c r="Z417" i="41" s="1"/>
  <c r="Q418" i="41"/>
  <c r="Z418" i="41" s="1"/>
  <c r="Q419" i="41"/>
  <c r="Z419" i="41" s="1"/>
  <c r="Q420" i="41"/>
  <c r="Z420" i="41" s="1"/>
  <c r="Q421" i="41"/>
  <c r="Z421" i="41" s="1"/>
  <c r="Q422" i="41"/>
  <c r="Z422" i="41" s="1"/>
  <c r="Q423" i="41"/>
  <c r="Z423" i="41" s="1"/>
  <c r="Q424" i="41"/>
  <c r="Z424" i="41" s="1"/>
  <c r="Q425" i="41"/>
  <c r="Z425" i="41" s="1"/>
  <c r="Q426" i="41"/>
  <c r="Z426" i="41" s="1"/>
  <c r="Q427" i="41"/>
  <c r="Z427" i="41" s="1"/>
  <c r="Q428" i="41"/>
  <c r="Z428" i="41" s="1"/>
  <c r="Q429" i="41"/>
  <c r="Z429" i="41" s="1"/>
  <c r="Q430" i="41"/>
  <c r="Z430" i="41" s="1"/>
  <c r="Q431" i="41"/>
  <c r="Z431" i="41" s="1"/>
  <c r="Q432" i="41"/>
  <c r="Z432" i="41" s="1"/>
  <c r="Q433" i="41"/>
  <c r="Z433" i="41" s="1"/>
  <c r="Q434" i="41"/>
  <c r="Z434" i="41" s="1"/>
  <c r="Q435" i="41"/>
  <c r="Z435" i="41" s="1"/>
  <c r="Q436" i="41"/>
  <c r="Z436" i="41" s="1"/>
  <c r="Q437" i="41"/>
  <c r="Z437" i="41" s="1"/>
  <c r="Q438" i="41"/>
  <c r="Z438" i="41" s="1"/>
  <c r="Q439" i="41"/>
  <c r="Z439" i="41" s="1"/>
  <c r="Q440" i="41"/>
  <c r="Z440" i="41" s="1"/>
  <c r="Q441" i="41"/>
  <c r="Z441" i="41" s="1"/>
  <c r="Q442" i="41"/>
  <c r="Z442" i="41" s="1"/>
  <c r="Q443" i="41"/>
  <c r="Z443" i="41" s="1"/>
  <c r="Q444" i="41"/>
  <c r="Z444" i="41" s="1"/>
  <c r="Q445" i="41"/>
  <c r="Z445" i="41" s="1"/>
  <c r="Q446" i="41"/>
  <c r="Z446" i="41" s="1"/>
  <c r="Q447" i="41"/>
  <c r="Z447" i="41" s="1"/>
  <c r="Q448" i="41"/>
  <c r="Z448" i="41" s="1"/>
  <c r="Q449" i="41"/>
  <c r="Z449" i="41" s="1"/>
  <c r="Q450" i="41"/>
  <c r="Z450" i="41" s="1"/>
  <c r="Q451" i="41"/>
  <c r="Z451" i="41" s="1"/>
  <c r="Q452" i="41"/>
  <c r="Z452" i="41" s="1"/>
  <c r="Q453" i="41"/>
  <c r="Z453" i="41" s="1"/>
  <c r="Q454" i="41"/>
  <c r="Z454" i="41" s="1"/>
  <c r="Q455" i="41"/>
  <c r="Z455" i="41" s="1"/>
  <c r="Q456" i="41"/>
  <c r="Z456" i="41" s="1"/>
  <c r="Q457" i="41"/>
  <c r="Z457" i="41" s="1"/>
  <c r="Q458" i="41"/>
  <c r="Z458" i="41" s="1"/>
  <c r="Q459" i="41"/>
  <c r="Z459" i="41" s="1"/>
  <c r="Q460" i="41"/>
  <c r="Z460" i="41" s="1"/>
  <c r="Q461" i="41"/>
  <c r="Z461" i="41" s="1"/>
  <c r="Q462" i="41"/>
  <c r="Z462" i="41" s="1"/>
  <c r="Q463" i="41"/>
  <c r="Z463" i="41" s="1"/>
  <c r="Q464" i="41"/>
  <c r="Z464" i="41" s="1"/>
  <c r="Q465" i="41"/>
  <c r="Z465" i="41" s="1"/>
  <c r="Q466" i="41"/>
  <c r="Z466" i="41" s="1"/>
  <c r="Q467" i="41"/>
  <c r="Z467" i="41" s="1"/>
  <c r="Q468" i="41"/>
  <c r="Z468" i="41" s="1"/>
  <c r="Q469" i="41"/>
  <c r="Z469" i="41" s="1"/>
  <c r="Q470" i="41"/>
  <c r="Z470" i="41" s="1"/>
  <c r="Q471" i="41"/>
  <c r="Z471" i="41" s="1"/>
  <c r="Q472" i="41"/>
  <c r="Z472" i="41" s="1"/>
  <c r="Q473" i="41"/>
  <c r="Z473" i="41" s="1"/>
  <c r="Q474" i="41"/>
  <c r="Z474" i="41" s="1"/>
  <c r="Q475" i="41"/>
  <c r="Z475" i="41" s="1"/>
  <c r="Q476" i="41"/>
  <c r="Z476" i="41" s="1"/>
  <c r="Q477" i="41"/>
  <c r="Z477" i="41" s="1"/>
  <c r="Q478" i="41"/>
  <c r="Z478" i="41" s="1"/>
  <c r="Q479" i="41"/>
  <c r="Z479" i="41" s="1"/>
  <c r="Q480" i="41"/>
  <c r="Z480" i="41" s="1"/>
  <c r="Q481" i="41"/>
  <c r="Z481" i="41" s="1"/>
  <c r="Q482" i="41"/>
  <c r="Z482" i="41" s="1"/>
  <c r="Q483" i="41"/>
  <c r="Z483" i="41" s="1"/>
  <c r="Q484" i="41"/>
  <c r="Z484" i="41" s="1"/>
  <c r="Q485" i="41"/>
  <c r="Z485" i="41" s="1"/>
  <c r="Q486" i="41"/>
  <c r="Z486" i="41" s="1"/>
  <c r="Q487" i="41"/>
  <c r="Z487" i="41" s="1"/>
  <c r="Q488" i="41"/>
  <c r="Z488" i="41" s="1"/>
  <c r="Q489" i="41"/>
  <c r="Z489" i="41" s="1"/>
  <c r="Q490" i="41"/>
  <c r="Z490" i="41" s="1"/>
  <c r="Q491" i="41"/>
  <c r="Z491" i="41" s="1"/>
  <c r="Q492" i="41"/>
  <c r="Z492" i="41" s="1"/>
  <c r="Q493" i="41"/>
  <c r="Z493" i="41" s="1"/>
  <c r="Q494" i="41"/>
  <c r="Z494" i="41" s="1"/>
  <c r="Q495" i="41"/>
  <c r="Z495" i="41" s="1"/>
  <c r="Q496" i="41"/>
  <c r="Z496" i="41" s="1"/>
  <c r="Q497" i="41"/>
  <c r="Z497" i="41" s="1"/>
  <c r="Q498" i="41"/>
  <c r="Z498" i="41" s="1"/>
  <c r="Q499" i="41"/>
  <c r="Z499" i="41" s="1"/>
  <c r="Q500" i="41"/>
  <c r="Z500" i="41" s="1"/>
  <c r="Q501" i="41"/>
  <c r="Z501" i="41" s="1"/>
  <c r="Q502" i="41"/>
  <c r="Z502" i="41" s="1"/>
  <c r="Q503" i="41"/>
  <c r="Z503" i="41" s="1"/>
  <c r="Q504" i="41"/>
  <c r="Z504" i="41" s="1"/>
  <c r="Q505" i="41"/>
  <c r="Z505" i="41" s="1"/>
  <c r="Q506" i="41"/>
  <c r="Z506" i="41" s="1"/>
  <c r="Q507" i="41"/>
  <c r="Z507" i="41" s="1"/>
  <c r="Q508" i="41"/>
  <c r="Z508" i="41" s="1"/>
  <c r="Q509" i="41"/>
  <c r="Z509" i="41" s="1"/>
  <c r="Q510" i="41"/>
  <c r="Z510" i="41" s="1"/>
  <c r="Q511" i="41"/>
  <c r="Z511" i="41" s="1"/>
  <c r="Q512" i="41"/>
  <c r="Z512" i="41" s="1"/>
  <c r="Q513" i="41"/>
  <c r="Z513" i="41" s="1"/>
  <c r="Q514" i="41"/>
  <c r="Z514" i="41" s="1"/>
  <c r="Q515" i="41"/>
  <c r="Z515" i="41" s="1"/>
  <c r="Q516" i="41"/>
  <c r="Z516" i="41" s="1"/>
  <c r="Q517" i="41"/>
  <c r="Z517" i="41" s="1"/>
  <c r="Q518" i="41"/>
  <c r="Z518" i="41" s="1"/>
  <c r="Q519" i="41"/>
  <c r="Z519" i="41" s="1"/>
  <c r="Q520" i="41"/>
  <c r="Z520" i="41" s="1"/>
  <c r="Q521" i="41"/>
  <c r="Z521" i="41" s="1"/>
  <c r="Q522" i="41"/>
  <c r="Z522" i="41" s="1"/>
  <c r="Q523" i="41"/>
  <c r="Z523" i="41" s="1"/>
  <c r="Q524" i="41"/>
  <c r="Z524" i="41" s="1"/>
  <c r="Q525" i="41"/>
  <c r="Z525" i="41" s="1"/>
  <c r="Q526" i="41"/>
  <c r="Z526" i="41" s="1"/>
  <c r="Q527" i="41"/>
  <c r="Z527" i="41" s="1"/>
  <c r="Q528" i="41"/>
  <c r="Z528" i="41" s="1"/>
  <c r="Q529" i="41"/>
  <c r="Z529" i="41" s="1"/>
  <c r="Q530" i="41"/>
  <c r="Z530" i="41" s="1"/>
  <c r="Q531" i="41"/>
  <c r="Z531" i="41" s="1"/>
  <c r="Q532" i="41"/>
  <c r="Z532" i="41" s="1"/>
  <c r="Q533" i="41"/>
  <c r="Z533" i="41" s="1"/>
  <c r="Q534" i="41"/>
  <c r="Z534" i="41" s="1"/>
  <c r="Q535" i="41"/>
  <c r="Z535" i="41" s="1"/>
  <c r="Q536" i="41"/>
  <c r="Z536" i="41" s="1"/>
  <c r="Q537" i="41"/>
  <c r="Z537" i="41" s="1"/>
  <c r="Q538" i="41"/>
  <c r="Z538" i="41" s="1"/>
  <c r="Q539" i="41"/>
  <c r="Z539" i="41" s="1"/>
  <c r="Q540" i="41"/>
  <c r="Z540" i="41" s="1"/>
  <c r="Q541" i="41"/>
  <c r="Z541" i="41" s="1"/>
  <c r="Q542" i="41"/>
  <c r="Z542" i="41" s="1"/>
  <c r="Q543" i="41"/>
  <c r="Z543" i="41" s="1"/>
  <c r="Q544" i="41"/>
  <c r="Z544" i="41" s="1"/>
  <c r="Q545" i="41"/>
  <c r="Z545" i="41" s="1"/>
  <c r="Q546" i="41"/>
  <c r="Z546" i="41" s="1"/>
  <c r="Q547" i="41"/>
  <c r="Z547" i="41" s="1"/>
  <c r="Q548" i="41"/>
  <c r="Z548" i="41" s="1"/>
  <c r="Q549" i="41"/>
  <c r="Z549" i="41" s="1"/>
  <c r="Q550" i="41"/>
  <c r="Z550" i="41" s="1"/>
  <c r="Q551" i="41"/>
  <c r="Z551" i="41" s="1"/>
  <c r="Q552" i="41"/>
  <c r="Z552" i="41" s="1"/>
  <c r="Q553" i="41"/>
  <c r="Z553" i="41" s="1"/>
  <c r="Q554" i="41"/>
  <c r="Z554" i="41" s="1"/>
  <c r="Q555" i="41"/>
  <c r="Z555" i="41" s="1"/>
  <c r="Q556" i="41"/>
  <c r="Z556" i="41" s="1"/>
  <c r="Q557" i="41"/>
  <c r="Z557" i="41" s="1"/>
  <c r="Q558" i="41"/>
  <c r="Z558" i="41" s="1"/>
  <c r="Q559" i="41"/>
  <c r="Z559" i="41" s="1"/>
  <c r="Q560" i="41"/>
  <c r="Z560" i="41" s="1"/>
  <c r="Q561" i="41"/>
  <c r="Z561" i="41" s="1"/>
  <c r="Q562" i="41"/>
  <c r="Z562" i="41" s="1"/>
  <c r="Q563" i="41"/>
  <c r="Z563" i="41" s="1"/>
  <c r="Q564" i="41"/>
  <c r="Z564" i="41" s="1"/>
  <c r="Q565" i="41"/>
  <c r="Z565" i="41" s="1"/>
  <c r="Q566" i="41"/>
  <c r="Z566" i="41" s="1"/>
  <c r="Q567" i="41"/>
  <c r="Z567" i="41" s="1"/>
  <c r="Q568" i="41"/>
  <c r="Z568" i="41" s="1"/>
  <c r="Q569" i="41"/>
  <c r="Z569" i="41" s="1"/>
  <c r="Q570" i="41"/>
  <c r="Z570" i="41" s="1"/>
  <c r="Q571" i="41"/>
  <c r="Z571" i="41" s="1"/>
  <c r="Q572" i="41"/>
  <c r="Z572" i="41" s="1"/>
  <c r="Q573" i="41"/>
  <c r="Z573" i="41" s="1"/>
  <c r="Q574" i="41"/>
  <c r="Z574" i="41" s="1"/>
  <c r="Q575" i="41"/>
  <c r="Z575" i="41" s="1"/>
  <c r="Q576" i="41"/>
  <c r="Z576" i="41" s="1"/>
  <c r="Q577" i="41"/>
  <c r="Z577" i="41" s="1"/>
  <c r="Q578" i="41"/>
  <c r="Z578" i="41" s="1"/>
  <c r="Q579" i="41"/>
  <c r="Z579" i="41" s="1"/>
  <c r="Q580" i="41"/>
  <c r="Z580" i="41" s="1"/>
  <c r="Q581" i="41"/>
  <c r="Z581" i="41" s="1"/>
  <c r="Q582" i="41"/>
  <c r="Z582" i="41" s="1"/>
  <c r="Q583" i="41"/>
  <c r="Z583" i="41" s="1"/>
  <c r="Q584" i="41"/>
  <c r="Z584" i="41" s="1"/>
  <c r="AC519" i="41" l="1" a="1"/>
  <c r="AC519" i="41" s="1"/>
  <c r="AC511" i="41" a="1"/>
  <c r="AC511" i="41" s="1"/>
  <c r="AC503" i="41" a="1"/>
  <c r="AC503" i="41" s="1"/>
  <c r="AC495" i="41" a="1"/>
  <c r="AC495" i="41" s="1"/>
  <c r="AC487" i="41" a="1"/>
  <c r="AC487" i="41" s="1"/>
  <c r="AC479" i="41" a="1"/>
  <c r="AC479" i="41" s="1"/>
  <c r="AC471" i="41" a="1"/>
  <c r="AC471" i="41" s="1"/>
  <c r="AC463" i="41" a="1"/>
  <c r="AC463" i="41" s="1"/>
  <c r="AC455" i="41" a="1"/>
  <c r="AC455" i="41" s="1"/>
  <c r="AC447" i="41" a="1"/>
  <c r="AC447" i="41" s="1"/>
  <c r="AC439" i="41" a="1"/>
  <c r="AC439" i="41" s="1"/>
  <c r="AC431" i="41" a="1"/>
  <c r="AC431" i="41" s="1"/>
  <c r="AC423" i="41" a="1"/>
  <c r="AC423" i="41" s="1"/>
  <c r="AC407" i="41" a="1"/>
  <c r="AC407" i="41" s="1"/>
  <c r="AC399" i="41" a="1"/>
  <c r="AC399" i="41" s="1"/>
  <c r="AC383" i="41" a="1"/>
  <c r="AC383" i="41" s="1"/>
  <c r="AC375" i="41" a="1"/>
  <c r="AC375" i="41" s="1"/>
  <c r="AC359" i="41" a="1"/>
  <c r="AC359" i="41" s="1"/>
  <c r="AC351" i="41" a="1"/>
  <c r="AC351" i="41" s="1"/>
  <c r="AC335" i="41" a="1"/>
  <c r="AC335" i="41" s="1"/>
  <c r="AC327" i="41" a="1"/>
  <c r="AC327" i="41" s="1"/>
  <c r="AC319" i="41" a="1"/>
  <c r="AC319" i="41" s="1"/>
  <c r="AC311" i="41" a="1"/>
  <c r="AC311" i="41" s="1"/>
  <c r="AC303" i="41" a="1"/>
  <c r="AC303" i="41" s="1"/>
  <c r="AC287" i="41" a="1"/>
  <c r="AC287" i="41" s="1"/>
  <c r="AC279" i="41" a="1"/>
  <c r="AC279" i="41" s="1"/>
  <c r="AC271" i="41" a="1"/>
  <c r="AC271" i="41" s="1"/>
  <c r="AC263" i="41" a="1"/>
  <c r="AC263" i="41" s="1"/>
  <c r="AC255" i="41" a="1"/>
  <c r="AC255" i="41" s="1"/>
  <c r="AC239" i="41" a="1"/>
  <c r="AC239" i="41" s="1"/>
  <c r="AC231" i="41" a="1"/>
  <c r="AC231" i="41" s="1"/>
  <c r="AC215" i="41" a="1"/>
  <c r="AC215" i="41" s="1"/>
  <c r="AC207" i="41" a="1"/>
  <c r="AC207" i="41" s="1"/>
  <c r="AC199" i="41" a="1"/>
  <c r="AC199" i="41" s="1"/>
  <c r="AC191" i="41" a="1"/>
  <c r="AC191" i="41" s="1"/>
  <c r="AC183" i="41" a="1"/>
  <c r="AC183" i="41" s="1"/>
  <c r="AC175" i="41" a="1"/>
  <c r="AC175" i="41" s="1"/>
  <c r="AC167" i="41" a="1"/>
  <c r="AC167" i="41" s="1"/>
  <c r="AC159" i="41" a="1"/>
  <c r="AC159" i="41" s="1"/>
  <c r="AC151" i="41" a="1"/>
  <c r="AC151" i="41" s="1"/>
  <c r="AC143" i="41" a="1"/>
  <c r="AC143" i="41" s="1"/>
  <c r="AC135" i="41" a="1"/>
  <c r="AC135" i="41" s="1"/>
  <c r="AC119" i="41" a="1"/>
  <c r="AC119" i="41" s="1"/>
  <c r="AC111" i="41" a="1"/>
  <c r="AC111" i="41" s="1"/>
  <c r="AC103" i="41" a="1"/>
  <c r="AC103" i="41" s="1"/>
  <c r="AC95" i="41" a="1"/>
  <c r="AC95" i="41" s="1"/>
  <c r="AC87" i="41" a="1"/>
  <c r="AC87" i="41" s="1"/>
  <c r="AC71" i="41" a="1"/>
  <c r="AC71" i="41" s="1"/>
  <c r="AC63" i="41" a="1"/>
  <c r="AC63" i="41" s="1"/>
  <c r="AC55" i="41" a="1"/>
  <c r="AC55" i="41" s="1"/>
  <c r="AC39" i="41" a="1"/>
  <c r="AC39" i="41" s="1"/>
  <c r="AC31" i="41" a="1"/>
  <c r="AC31" i="41" s="1"/>
  <c r="AC15" i="41" a="1"/>
  <c r="AC15" i="41" s="1"/>
  <c r="AC584" i="41" a="1"/>
  <c r="AC584" i="41" s="1"/>
  <c r="AC575" i="41" a="1"/>
  <c r="AC575" i="41" s="1"/>
  <c r="AC567" i="41" a="1"/>
  <c r="AC567" i="41" s="1"/>
  <c r="AC551" i="41" a="1"/>
  <c r="AC551" i="41" s="1"/>
  <c r="AC543" i="41" a="1"/>
  <c r="AC543" i="41" s="1"/>
  <c r="AC535" i="41" a="1"/>
  <c r="AC535" i="41" s="1"/>
  <c r="AC527" i="41" a="1"/>
  <c r="AC527" i="41" s="1"/>
  <c r="AC582" i="41" a="1"/>
  <c r="AC582" i="41" s="1"/>
  <c r="AC574" i="41" a="1"/>
  <c r="AC574" i="41" s="1"/>
  <c r="AC566" i="41" a="1"/>
  <c r="AC566" i="41" s="1"/>
  <c r="AC558" i="41" a="1"/>
  <c r="AC558" i="41" s="1"/>
  <c r="AC550" i="41" a="1"/>
  <c r="AC550" i="41" s="1"/>
  <c r="AC542" i="41" a="1"/>
  <c r="AC542" i="41" s="1"/>
  <c r="AC534" i="41" a="1"/>
  <c r="AC534" i="41" s="1"/>
  <c r="AC526" i="41" a="1"/>
  <c r="AC526" i="41" s="1"/>
  <c r="AC518" i="41" a="1"/>
  <c r="AC518" i="41" s="1"/>
  <c r="AC510" i="41" a="1"/>
  <c r="AC510" i="41" s="1"/>
  <c r="AC502" i="41" a="1"/>
  <c r="AC502" i="41" s="1"/>
  <c r="AC494" i="41" a="1"/>
  <c r="AC494" i="41" s="1"/>
  <c r="AC486" i="41" a="1"/>
  <c r="AC486" i="41" s="1"/>
  <c r="AC478" i="41" a="1"/>
  <c r="AC478" i="41" s="1"/>
  <c r="AC470" i="41" a="1"/>
  <c r="AC470" i="41" s="1"/>
  <c r="AC462" i="41" a="1"/>
  <c r="AC462" i="41" s="1"/>
  <c r="AC454" i="41" a="1"/>
  <c r="AC454" i="41" s="1"/>
  <c r="AC446" i="41" a="1"/>
  <c r="AC446" i="41" s="1"/>
  <c r="AC438" i="41" a="1"/>
  <c r="AC438" i="41" s="1"/>
  <c r="AC430" i="41" a="1"/>
  <c r="AC430" i="41" s="1"/>
  <c r="AC422" i="41" a="1"/>
  <c r="AC422" i="41" s="1"/>
  <c r="AC414" i="41" a="1"/>
  <c r="AC414" i="41" s="1"/>
  <c r="AC406" i="41" a="1"/>
  <c r="AC406" i="41" s="1"/>
  <c r="AC398" i="41" a="1"/>
  <c r="AC398" i="41" s="1"/>
  <c r="AC390" i="41" a="1"/>
  <c r="AC390" i="41" s="1"/>
  <c r="AC382" i="41" a="1"/>
  <c r="AC382" i="41" s="1"/>
  <c r="AC374" i="41" a="1"/>
  <c r="AC374" i="41" s="1"/>
  <c r="AC366" i="41" a="1"/>
  <c r="AC366" i="41" s="1"/>
  <c r="AC358" i="41" a="1"/>
  <c r="AC358" i="41" s="1"/>
  <c r="AC350" i="41" a="1"/>
  <c r="AC350" i="41" s="1"/>
  <c r="AC342" i="41" a="1"/>
  <c r="AC342" i="41" s="1"/>
  <c r="AC334" i="41" a="1"/>
  <c r="AC334" i="41" s="1"/>
  <c r="AC326" i="41" a="1"/>
  <c r="AC326" i="41" s="1"/>
  <c r="AC318" i="41" a="1"/>
  <c r="AC318" i="41" s="1"/>
  <c r="AC310" i="41" a="1"/>
  <c r="AC310" i="41" s="1"/>
  <c r="AC302" i="41" a="1"/>
  <c r="AC302" i="41" s="1"/>
  <c r="AC294" i="41" a="1"/>
  <c r="AC294" i="41" s="1"/>
  <c r="AC286" i="41" a="1"/>
  <c r="AC286" i="41" s="1"/>
  <c r="AC278" i="41" a="1"/>
  <c r="AC278" i="41" s="1"/>
  <c r="AC270" i="41" a="1"/>
  <c r="AC270" i="41" s="1"/>
  <c r="AC262" i="41" a="1"/>
  <c r="AC262" i="41" s="1"/>
  <c r="AC254" i="41" a="1"/>
  <c r="AC254" i="41" s="1"/>
  <c r="AC246" i="41" a="1"/>
  <c r="AC246" i="41" s="1"/>
  <c r="AC238" i="41" a="1"/>
  <c r="AC238" i="41" s="1"/>
  <c r="AC230" i="41" a="1"/>
  <c r="AC230" i="41" s="1"/>
  <c r="AC222" i="41" a="1"/>
  <c r="AC222" i="41" s="1"/>
  <c r="AC214" i="41" a="1"/>
  <c r="AC214" i="41" s="1"/>
  <c r="AC206" i="41" a="1"/>
  <c r="AC206" i="41" s="1"/>
  <c r="AC198" i="41" a="1"/>
  <c r="AC198" i="41" s="1"/>
  <c r="AC190" i="41" a="1"/>
  <c r="AC190" i="41" s="1"/>
  <c r="AC182" i="41" a="1"/>
  <c r="AC182" i="41" s="1"/>
  <c r="AC174" i="41" a="1"/>
  <c r="AC174" i="41" s="1"/>
  <c r="AC166" i="41" a="1"/>
  <c r="AC166" i="41" s="1"/>
  <c r="AC158" i="41" a="1"/>
  <c r="AC158" i="41" s="1"/>
  <c r="AC150" i="41" a="1"/>
  <c r="AC150" i="41" s="1"/>
  <c r="AC142" i="41" a="1"/>
  <c r="AC142" i="41" s="1"/>
  <c r="AC134" i="41" a="1"/>
  <c r="AC134" i="41" s="1"/>
  <c r="AC126" i="41" a="1"/>
  <c r="AC126" i="41" s="1"/>
  <c r="AC118" i="41" a="1"/>
  <c r="AC118" i="41" s="1"/>
  <c r="AC110" i="41" a="1"/>
  <c r="AC110" i="41" s="1"/>
  <c r="AC102" i="41" a="1"/>
  <c r="AC102" i="41" s="1"/>
  <c r="AC94" i="41" a="1"/>
  <c r="AC94" i="41" s="1"/>
  <c r="AC86" i="41" a="1"/>
  <c r="AC86" i="41" s="1"/>
  <c r="AC70" i="41" a="1"/>
  <c r="AC70" i="41" s="1"/>
  <c r="AC62" i="41" a="1"/>
  <c r="AC62" i="41" s="1"/>
  <c r="AC54" i="41" a="1"/>
  <c r="AC54" i="41" s="1"/>
  <c r="AC46" i="41" a="1"/>
  <c r="AC46" i="41" s="1"/>
  <c r="AC38" i="41" a="1"/>
  <c r="AC38" i="41" s="1"/>
  <c r="AC30" i="41" a="1"/>
  <c r="AC30" i="41" s="1"/>
  <c r="AC22" i="41" a="1"/>
  <c r="AC22" i="41" s="1"/>
  <c r="AC573" i="41" a="1"/>
  <c r="AC573" i="41" s="1"/>
  <c r="AC557" i="41" a="1"/>
  <c r="AC557" i="41" s="1"/>
  <c r="AC549" i="41" a="1"/>
  <c r="AC549" i="41" s="1"/>
  <c r="AC533" i="41" a="1"/>
  <c r="AC533" i="41" s="1"/>
  <c r="AC525" i="41" a="1"/>
  <c r="AC525" i="41" s="1"/>
  <c r="AC517" i="41" a="1"/>
  <c r="AC517" i="41" s="1"/>
  <c r="AC509" i="41" a="1"/>
  <c r="AC509" i="41" s="1"/>
  <c r="AC501" i="41" a="1"/>
  <c r="AC501" i="41" s="1"/>
  <c r="AC493" i="41" a="1"/>
  <c r="AC493" i="41" s="1"/>
  <c r="AC485" i="41" a="1"/>
  <c r="AC485" i="41" s="1"/>
  <c r="AC477" i="41" a="1"/>
  <c r="AC477" i="41" s="1"/>
  <c r="AC461" i="41" a="1"/>
  <c r="AC461" i="41" s="1"/>
  <c r="AC453" i="41" a="1"/>
  <c r="AC453" i="41" s="1"/>
  <c r="AC445" i="41" a="1"/>
  <c r="AC445" i="41" s="1"/>
  <c r="AC437" i="41" a="1"/>
  <c r="AC437" i="41" s="1"/>
  <c r="AC429" i="41" a="1"/>
  <c r="AC429" i="41" s="1"/>
  <c r="AC421" i="41" a="1"/>
  <c r="AC421" i="41" s="1"/>
  <c r="AC413" i="41" a="1"/>
  <c r="AC413" i="41" s="1"/>
  <c r="AC405" i="41" a="1"/>
  <c r="AC405" i="41" s="1"/>
  <c r="AC397" i="41" a="1"/>
  <c r="AC397" i="41" s="1"/>
  <c r="AC389" i="41" a="1"/>
  <c r="AC389" i="41" s="1"/>
  <c r="AC381" i="41" a="1"/>
  <c r="AC381" i="41" s="1"/>
  <c r="AC365" i="41" a="1"/>
  <c r="AC365" i="41" s="1"/>
  <c r="AC357" i="41" a="1"/>
  <c r="AC357" i="41" s="1"/>
  <c r="AC349" i="41" a="1"/>
  <c r="AC349" i="41" s="1"/>
  <c r="AC341" i="41" a="1"/>
  <c r="AC341" i="41" s="1"/>
  <c r="AC333" i="41" a="1"/>
  <c r="AC333" i="41" s="1"/>
  <c r="AC325" i="41" a="1"/>
  <c r="AC325" i="41" s="1"/>
  <c r="AC317" i="41" a="1"/>
  <c r="AC317" i="41" s="1"/>
  <c r="AC309" i="41" a="1"/>
  <c r="AC309" i="41" s="1"/>
  <c r="AC301" i="41" a="1"/>
  <c r="AC301" i="41" s="1"/>
  <c r="AC293" i="41" a="1"/>
  <c r="AC293" i="41" s="1"/>
  <c r="AC285" i="41" a="1"/>
  <c r="AC285" i="41" s="1"/>
  <c r="AC277" i="41" a="1"/>
  <c r="AC277" i="41" s="1"/>
  <c r="AC269" i="41" a="1"/>
  <c r="AC269" i="41" s="1"/>
  <c r="AC261" i="41" a="1"/>
  <c r="AC261" i="41" s="1"/>
  <c r="AC253" i="41" a="1"/>
  <c r="AC253" i="41" s="1"/>
  <c r="AC245" i="41" a="1"/>
  <c r="AC245" i="41" s="1"/>
  <c r="AC237" i="41" a="1"/>
  <c r="AC237" i="41" s="1"/>
  <c r="AC221" i="41" a="1"/>
  <c r="AC221" i="41" s="1"/>
  <c r="AC213" i="41" a="1"/>
  <c r="AC213" i="41" s="1"/>
  <c r="AC197" i="41" a="1"/>
  <c r="AC197" i="41" s="1"/>
  <c r="AC189" i="41" a="1"/>
  <c r="AC189" i="41" s="1"/>
  <c r="AC181" i="41" a="1"/>
  <c r="AC181" i="41" s="1"/>
  <c r="AC173" i="41" a="1"/>
  <c r="AC173" i="41" s="1"/>
  <c r="AC165" i="41" a="1"/>
  <c r="AC165" i="41" s="1"/>
  <c r="AC157" i="41" a="1"/>
  <c r="AC157" i="41" s="1"/>
  <c r="AC149" i="41" a="1"/>
  <c r="AC149" i="41" s="1"/>
  <c r="AC141" i="41" a="1"/>
  <c r="AC141" i="41" s="1"/>
  <c r="AC133" i="41" a="1"/>
  <c r="AC133" i="41" s="1"/>
  <c r="AC125" i="41" a="1"/>
  <c r="AC125" i="41" s="1"/>
  <c r="AC117" i="41" a="1"/>
  <c r="AC117" i="41" s="1"/>
  <c r="AC101" i="41" a="1"/>
  <c r="AC101" i="41" s="1"/>
  <c r="AC93" i="41" a="1"/>
  <c r="AC93" i="41" s="1"/>
  <c r="AC77" i="41" a="1"/>
  <c r="AC77" i="41" s="1"/>
  <c r="AC69" i="41" a="1"/>
  <c r="AC69" i="41" s="1"/>
  <c r="AC61" i="41" a="1"/>
  <c r="AC61" i="41" s="1"/>
  <c r="AC53" i="41" a="1"/>
  <c r="AC53" i="41" s="1"/>
  <c r="AC45" i="41" a="1"/>
  <c r="AC45" i="41" s="1"/>
  <c r="AC37" i="41" a="1"/>
  <c r="AC37" i="41" s="1"/>
  <c r="AC29" i="41" a="1"/>
  <c r="AC29" i="41" s="1"/>
  <c r="AC21" i="41" a="1"/>
  <c r="AC21" i="41" s="1"/>
  <c r="AC13" i="41" a="1"/>
  <c r="AC13" i="41" s="1"/>
  <c r="AC516" i="41" a="1"/>
  <c r="AC516" i="41" s="1"/>
  <c r="AC508" i="41" a="1"/>
  <c r="AC508" i="41" s="1"/>
  <c r="AC500" i="41" a="1"/>
  <c r="AC500" i="41" s="1"/>
  <c r="AC492" i="41" a="1"/>
  <c r="AC492" i="41" s="1"/>
  <c r="AC484" i="41" a="1"/>
  <c r="AC484" i="41" s="1"/>
  <c r="AC476" i="41" a="1"/>
  <c r="AC476" i="41" s="1"/>
  <c r="AC468" i="41" a="1"/>
  <c r="AC468" i="41" s="1"/>
  <c r="AC460" i="41" a="1"/>
  <c r="AC460" i="41" s="1"/>
  <c r="AC452" i="41" a="1"/>
  <c r="AC452" i="41" s="1"/>
  <c r="AC444" i="41" a="1"/>
  <c r="AC444" i="41" s="1"/>
  <c r="AC436" i="41" a="1"/>
  <c r="AC436" i="41" s="1"/>
  <c r="AC428" i="41" a="1"/>
  <c r="AC428" i="41" s="1"/>
  <c r="AC420" i="41" a="1"/>
  <c r="AC420" i="41" s="1"/>
  <c r="AC412" i="41" a="1"/>
  <c r="AC412" i="41" s="1"/>
  <c r="AC404" i="41" a="1"/>
  <c r="AC404" i="41" s="1"/>
  <c r="AC396" i="41" a="1"/>
  <c r="AC396" i="41" s="1"/>
  <c r="AC388" i="41" a="1"/>
  <c r="AC388" i="41" s="1"/>
  <c r="AC380" i="41" a="1"/>
  <c r="AC380" i="41" s="1"/>
  <c r="AC372" i="41" a="1"/>
  <c r="AC372" i="41" s="1"/>
  <c r="AC364" i="41" a="1"/>
  <c r="AC364" i="41" s="1"/>
  <c r="AC356" i="41" a="1"/>
  <c r="AC356" i="41" s="1"/>
  <c r="AC348" i="41" a="1"/>
  <c r="AC348" i="41" s="1"/>
  <c r="AC340" i="41" a="1"/>
  <c r="AC340" i="41" s="1"/>
  <c r="AC332" i="41" a="1"/>
  <c r="AC332" i="41" s="1"/>
  <c r="AC324" i="41" a="1"/>
  <c r="AC324" i="41" s="1"/>
  <c r="AC316" i="41" a="1"/>
  <c r="AC316" i="41" s="1"/>
  <c r="AC308" i="41" a="1"/>
  <c r="AC308" i="41" s="1"/>
  <c r="AC300" i="41" a="1"/>
  <c r="AC300" i="41" s="1"/>
  <c r="AC292" i="41" a="1"/>
  <c r="AC292" i="41" s="1"/>
  <c r="AC284" i="41" a="1"/>
  <c r="AC284" i="41" s="1"/>
  <c r="AC276" i="41" a="1"/>
  <c r="AC276" i="41" s="1"/>
  <c r="AC268" i="41" a="1"/>
  <c r="AC268" i="41" s="1"/>
  <c r="AC260" i="41" a="1"/>
  <c r="AC260" i="41" s="1"/>
  <c r="AC252" i="41" a="1"/>
  <c r="AC252" i="41" s="1"/>
  <c r="AC244" i="41" a="1"/>
  <c r="AC244" i="41" s="1"/>
  <c r="AC236" i="41" a="1"/>
  <c r="AC236" i="41" s="1"/>
  <c r="AC228" i="41" a="1"/>
  <c r="AC228" i="41" s="1"/>
  <c r="AC220" i="41" a="1"/>
  <c r="AC220" i="41" s="1"/>
  <c r="AC212" i="41" a="1"/>
  <c r="AC212" i="41" s="1"/>
  <c r="AC204" i="41" a="1"/>
  <c r="AC204" i="41" s="1"/>
  <c r="AC196" i="41" a="1"/>
  <c r="AC196" i="41" s="1"/>
  <c r="AC188" i="41" a="1"/>
  <c r="AC188" i="41" s="1"/>
  <c r="AC180" i="41" a="1"/>
  <c r="AC180" i="41" s="1"/>
  <c r="AC172" i="41" a="1"/>
  <c r="AC172" i="41" s="1"/>
  <c r="AC164" i="41" a="1"/>
  <c r="AC164" i="41" s="1"/>
  <c r="AC156" i="41" a="1"/>
  <c r="AC156" i="41" s="1"/>
  <c r="AC148" i="41" a="1"/>
  <c r="AC148" i="41" s="1"/>
  <c r="AC140" i="41" a="1"/>
  <c r="AC140" i="41" s="1"/>
  <c r="AC132" i="41" a="1"/>
  <c r="AC132" i="41" s="1"/>
  <c r="AC124" i="41" a="1"/>
  <c r="AC124" i="41" s="1"/>
  <c r="AC116" i="41" a="1"/>
  <c r="AC116" i="41" s="1"/>
  <c r="AC108" i="41" a="1"/>
  <c r="AC108" i="41" s="1"/>
  <c r="AC100" i="41" a="1"/>
  <c r="AC100" i="41" s="1"/>
  <c r="AC92" i="41" a="1"/>
  <c r="AC92" i="41" s="1"/>
  <c r="AC84" i="41" a="1"/>
  <c r="AC84" i="41" s="1"/>
  <c r="AC76" i="41" a="1"/>
  <c r="AC76" i="41" s="1"/>
  <c r="AC68" i="41" a="1"/>
  <c r="AC68" i="41" s="1"/>
  <c r="AC60" i="41" a="1"/>
  <c r="AC60" i="41" s="1"/>
  <c r="AC52" i="41" a="1"/>
  <c r="AC52" i="41" s="1"/>
  <c r="AC44" i="41" a="1"/>
  <c r="AC44" i="41" s="1"/>
  <c r="AC36" i="41" a="1"/>
  <c r="AC36" i="41" s="1"/>
  <c r="AC28" i="41" a="1"/>
  <c r="AC28" i="41" s="1"/>
  <c r="AC20" i="41" a="1"/>
  <c r="AC20" i="41" s="1"/>
  <c r="AC12" i="41" a="1"/>
  <c r="AC12" i="41" s="1"/>
  <c r="AC581" i="41" a="1"/>
  <c r="AC581" i="41" s="1"/>
  <c r="AC564" i="41" a="1"/>
  <c r="AC564" i="41" s="1"/>
  <c r="AC548" i="41" a="1"/>
  <c r="AC548" i="41" s="1"/>
  <c r="AC532" i="41" a="1"/>
  <c r="AC532" i="41" s="1"/>
  <c r="AC579" i="41" a="1"/>
  <c r="AC579" i="41" s="1"/>
  <c r="AC571" i="41" a="1"/>
  <c r="AC571" i="41" s="1"/>
  <c r="AC563" i="41" a="1"/>
  <c r="AC563" i="41" s="1"/>
  <c r="AC555" i="41" a="1"/>
  <c r="AC555" i="41" s="1"/>
  <c r="AC539" i="41" a="1"/>
  <c r="AC539" i="41" s="1"/>
  <c r="AC531" i="41" a="1"/>
  <c r="AC531" i="41" s="1"/>
  <c r="AC523" i="41" a="1"/>
  <c r="AC523" i="41" s="1"/>
  <c r="AC515" i="41" a="1"/>
  <c r="AC515" i="41" s="1"/>
  <c r="AC507" i="41" a="1"/>
  <c r="AC507" i="41" s="1"/>
  <c r="AC499" i="41" a="1"/>
  <c r="AC499" i="41" s="1"/>
  <c r="AC491" i="41" a="1"/>
  <c r="AC491" i="41" s="1"/>
  <c r="AC483" i="41" a="1"/>
  <c r="AC483" i="41" s="1"/>
  <c r="AC475" i="41" a="1"/>
  <c r="AC475" i="41" s="1"/>
  <c r="AC467" i="41" a="1"/>
  <c r="AC467" i="41" s="1"/>
  <c r="AC459" i="41" a="1"/>
  <c r="AC459" i="41" s="1"/>
  <c r="AC451" i="41" a="1"/>
  <c r="AC451" i="41" s="1"/>
  <c r="AC443" i="41" a="1"/>
  <c r="AC443" i="41" s="1"/>
  <c r="AC435" i="41" a="1"/>
  <c r="AC435" i="41" s="1"/>
  <c r="AC427" i="41" a="1"/>
  <c r="AC427" i="41" s="1"/>
  <c r="AC419" i="41" a="1"/>
  <c r="AC419" i="41" s="1"/>
  <c r="AC411" i="41" a="1"/>
  <c r="AC411" i="41" s="1"/>
  <c r="AC403" i="41" a="1"/>
  <c r="AC403" i="41" s="1"/>
  <c r="AC395" i="41" a="1"/>
  <c r="AC395" i="41" s="1"/>
  <c r="AC387" i="41" a="1"/>
  <c r="AC387" i="41" s="1"/>
  <c r="AC379" i="41" a="1"/>
  <c r="AC379" i="41" s="1"/>
  <c r="AC371" i="41" a="1"/>
  <c r="AC371" i="41" s="1"/>
  <c r="AC363" i="41" a="1"/>
  <c r="AC363" i="41" s="1"/>
  <c r="AC347" i="41" a="1"/>
  <c r="AC347" i="41" s="1"/>
  <c r="AC339" i="41" a="1"/>
  <c r="AC339" i="41" s="1"/>
  <c r="AC331" i="41" a="1"/>
  <c r="AC331" i="41" s="1"/>
  <c r="AC323" i="41" a="1"/>
  <c r="AC323" i="41" s="1"/>
  <c r="AC315" i="41" a="1"/>
  <c r="AC315" i="41" s="1"/>
  <c r="AC307" i="41" a="1"/>
  <c r="AC307" i="41" s="1"/>
  <c r="AC299" i="41" a="1"/>
  <c r="AC299" i="41" s="1"/>
  <c r="AC291" i="41" a="1"/>
  <c r="AC291" i="41" s="1"/>
  <c r="AC275" i="41" a="1"/>
  <c r="AC275" i="41" s="1"/>
  <c r="AC267" i="41" a="1"/>
  <c r="AC267" i="41" s="1"/>
  <c r="AC259" i="41" a="1"/>
  <c r="AC259" i="41" s="1"/>
  <c r="AC251" i="41" a="1"/>
  <c r="AC251" i="41" s="1"/>
  <c r="AC243" i="41" a="1"/>
  <c r="AC243" i="41" s="1"/>
  <c r="AC227" i="41" a="1"/>
  <c r="AC227" i="41" s="1"/>
  <c r="AC219" i="41" a="1"/>
  <c r="AC219" i="41" s="1"/>
  <c r="AC211" i="41" a="1"/>
  <c r="AC211" i="41" s="1"/>
  <c r="AC203" i="41" a="1"/>
  <c r="AC203" i="41" s="1"/>
  <c r="AC195" i="41" a="1"/>
  <c r="AC195" i="41" s="1"/>
  <c r="AC187" i="41" a="1"/>
  <c r="AC187" i="41" s="1"/>
  <c r="AC179" i="41" a="1"/>
  <c r="AC179" i="41" s="1"/>
  <c r="AC171" i="41" a="1"/>
  <c r="AC171" i="41" s="1"/>
  <c r="AC163" i="41" a="1"/>
  <c r="AC163" i="41" s="1"/>
  <c r="AC155" i="41" a="1"/>
  <c r="AC155" i="41" s="1"/>
  <c r="AC147" i="41" a="1"/>
  <c r="AC147" i="41" s="1"/>
  <c r="AC139" i="41" a="1"/>
  <c r="AC139" i="41" s="1"/>
  <c r="AC131" i="41" a="1"/>
  <c r="AC131" i="41" s="1"/>
  <c r="AC123" i="41" a="1"/>
  <c r="AC123" i="41" s="1"/>
  <c r="AC115" i="41" a="1"/>
  <c r="AC115" i="41" s="1"/>
  <c r="AC107" i="41" a="1"/>
  <c r="AC107" i="41" s="1"/>
  <c r="AC99" i="41" a="1"/>
  <c r="AC99" i="41" s="1"/>
  <c r="AC91" i="41" a="1"/>
  <c r="AC91" i="41" s="1"/>
  <c r="AC83" i="41" a="1"/>
  <c r="AC83" i="41" s="1"/>
  <c r="AC75" i="41" a="1"/>
  <c r="AC75" i="41" s="1"/>
  <c r="AC67" i="41" a="1"/>
  <c r="AC67" i="41" s="1"/>
  <c r="AC59" i="41" a="1"/>
  <c r="AC59" i="41" s="1"/>
  <c r="AC51" i="41" a="1"/>
  <c r="AC51" i="41" s="1"/>
  <c r="AC35" i="41" a="1"/>
  <c r="AC35" i="41" s="1"/>
  <c r="AC27" i="41" a="1"/>
  <c r="AC27" i="41" s="1"/>
  <c r="AC11" i="41" a="1"/>
  <c r="AC11" i="41" s="1"/>
  <c r="AC562" i="41" a="1"/>
  <c r="AC562" i="41" s="1"/>
  <c r="AC546" i="41" a="1"/>
  <c r="AC546" i="41" s="1"/>
  <c r="AC538" i="41" a="1"/>
  <c r="AC538" i="41" s="1"/>
  <c r="AC530" i="41" a="1"/>
  <c r="AC530" i="41" s="1"/>
  <c r="AC522" i="41" a="1"/>
  <c r="AC522" i="41" s="1"/>
  <c r="AC506" i="41" a="1"/>
  <c r="AC506" i="41" s="1"/>
  <c r="AC498" i="41" a="1"/>
  <c r="AC498" i="41" s="1"/>
  <c r="AC490" i="41" a="1"/>
  <c r="AC490" i="41" s="1"/>
  <c r="AC482" i="41" a="1"/>
  <c r="AC482" i="41" s="1"/>
  <c r="AC466" i="41" a="1"/>
  <c r="AC466" i="41" s="1"/>
  <c r="AC458" i="41" a="1"/>
  <c r="AC458" i="41" s="1"/>
  <c r="AC450" i="41" a="1"/>
  <c r="AC450" i="41" s="1"/>
  <c r="AC442" i="41" a="1"/>
  <c r="AC442" i="41" s="1"/>
  <c r="AC434" i="41" a="1"/>
  <c r="AC434" i="41" s="1"/>
  <c r="AC426" i="41" a="1"/>
  <c r="AC426" i="41" s="1"/>
  <c r="AC418" i="41" a="1"/>
  <c r="AC418" i="41" s="1"/>
  <c r="AC410" i="41" a="1"/>
  <c r="AC410" i="41" s="1"/>
  <c r="AC402" i="41" a="1"/>
  <c r="AC402" i="41" s="1"/>
  <c r="AC386" i="41" a="1"/>
  <c r="AC386" i="41" s="1"/>
  <c r="AC378" i="41" a="1"/>
  <c r="AC378" i="41" s="1"/>
  <c r="AC370" i="41" a="1"/>
  <c r="AC370" i="41" s="1"/>
  <c r="AC354" i="41" a="1"/>
  <c r="AC354" i="41" s="1"/>
  <c r="AC330" i="41" a="1"/>
  <c r="AC330" i="41" s="1"/>
  <c r="AC306" i="41" a="1"/>
  <c r="AC306" i="41" s="1"/>
  <c r="AC298" i="41" a="1"/>
  <c r="AC298" i="41" s="1"/>
  <c r="AC290" i="41" a="1"/>
  <c r="AC290" i="41" s="1"/>
  <c r="AC274" i="41" a="1"/>
  <c r="AC274" i="41" s="1"/>
  <c r="AC266" i="41" a="1"/>
  <c r="AC266" i="41" s="1"/>
  <c r="AC258" i="41" a="1"/>
  <c r="AC258" i="41" s="1"/>
  <c r="AC242" i="41" a="1"/>
  <c r="AC242" i="41" s="1"/>
  <c r="AC234" i="41" a="1"/>
  <c r="AC234" i="41" s="1"/>
  <c r="AC226" i="41" a="1"/>
  <c r="AC226" i="41" s="1"/>
  <c r="AC218" i="41" a="1"/>
  <c r="AC218" i="41" s="1"/>
  <c r="AC210" i="41" a="1"/>
  <c r="AC210" i="41" s="1"/>
  <c r="AC202" i="41" a="1"/>
  <c r="AC202" i="41" s="1"/>
  <c r="AC186" i="41" a="1"/>
  <c r="AC186" i="41" s="1"/>
  <c r="AC178" i="41" a="1"/>
  <c r="AC178" i="41" s="1"/>
  <c r="AC154" i="41" a="1"/>
  <c r="AC154" i="41" s="1"/>
  <c r="AC146" i="41" a="1"/>
  <c r="AC146" i="41" s="1"/>
  <c r="AC138" i="41" a="1"/>
  <c r="AC138" i="41" s="1"/>
  <c r="AC130" i="41" a="1"/>
  <c r="AC130" i="41" s="1"/>
  <c r="AC106" i="41" a="1"/>
  <c r="AC106" i="41" s="1"/>
  <c r="AC90" i="41" a="1"/>
  <c r="AC90" i="41" s="1"/>
  <c r="AC74" i="41" a="1"/>
  <c r="AC74" i="41" s="1"/>
  <c r="AC66" i="41" a="1"/>
  <c r="AC66" i="41" s="1"/>
  <c r="AC58" i="41" a="1"/>
  <c r="AC58" i="41" s="1"/>
  <c r="AC50" i="41" a="1"/>
  <c r="AC50" i="41" s="1"/>
  <c r="AC42" i="41" a="1"/>
  <c r="AC42" i="41" s="1"/>
  <c r="AC18" i="41" a="1"/>
  <c r="AC18" i="41" s="1"/>
  <c r="AC10" i="41" a="1"/>
  <c r="AC10" i="41" s="1"/>
  <c r="AC572" i="41" a="1"/>
  <c r="AC572" i="41" s="1"/>
  <c r="AC556" i="41" a="1"/>
  <c r="AC556" i="41" s="1"/>
  <c r="AC540" i="41" a="1"/>
  <c r="AC540" i="41" s="1"/>
  <c r="AC524" i="41" a="1"/>
  <c r="AC524" i="41" s="1"/>
  <c r="AC554" i="41" a="1"/>
  <c r="AC554" i="41" s="1"/>
  <c r="AC577" i="41" a="1"/>
  <c r="AC577" i="41" s="1"/>
  <c r="AC569" i="41" a="1"/>
  <c r="AC569" i="41" s="1"/>
  <c r="AC561" i="41" a="1"/>
  <c r="AC561" i="41" s="1"/>
  <c r="AC553" i="41" a="1"/>
  <c r="AC553" i="41" s="1"/>
  <c r="AC545" i="41" a="1"/>
  <c r="AC545" i="41" s="1"/>
  <c r="AC537" i="41" a="1"/>
  <c r="AC537" i="41" s="1"/>
  <c r="AC521" i="41" a="1"/>
  <c r="AC521" i="41" s="1"/>
  <c r="AC513" i="41" a="1"/>
  <c r="AC513" i="41" s="1"/>
  <c r="AC505" i="41" a="1"/>
  <c r="AC505" i="41" s="1"/>
  <c r="AC497" i="41" a="1"/>
  <c r="AC497" i="41" s="1"/>
  <c r="AC489" i="41" a="1"/>
  <c r="AC489" i="41" s="1"/>
  <c r="AC481" i="41" a="1"/>
  <c r="AC481" i="41" s="1"/>
  <c r="AC473" i="41" a="1"/>
  <c r="AC473" i="41" s="1"/>
  <c r="AC465" i="41" a="1"/>
  <c r="AC465" i="41" s="1"/>
  <c r="AC457" i="41" a="1"/>
  <c r="AC457" i="41" s="1"/>
  <c r="AC449" i="41" a="1"/>
  <c r="AC449" i="41" s="1"/>
  <c r="AC441" i="41" a="1"/>
  <c r="AC441" i="41" s="1"/>
  <c r="AC433" i="41" a="1"/>
  <c r="AC433" i="41" s="1"/>
  <c r="AC425" i="41" a="1"/>
  <c r="AC425" i="41" s="1"/>
  <c r="AC417" i="41" a="1"/>
  <c r="AC417" i="41" s="1"/>
  <c r="AC409" i="41" a="1"/>
  <c r="AC409" i="41" s="1"/>
  <c r="AC401" i="41" a="1"/>
  <c r="AC401" i="41" s="1"/>
  <c r="AC393" i="41" a="1"/>
  <c r="AC393" i="41" s="1"/>
  <c r="AC377" i="41" a="1"/>
  <c r="AC377" i="41" s="1"/>
  <c r="AC369" i="41" a="1"/>
  <c r="AC369" i="41" s="1"/>
  <c r="AC353" i="41" a="1"/>
  <c r="AC353" i="41" s="1"/>
  <c r="AC345" i="41" a="1"/>
  <c r="AC345" i="41" s="1"/>
  <c r="AC337" i="41" a="1"/>
  <c r="AC337" i="41" s="1"/>
  <c r="AC329" i="41" a="1"/>
  <c r="AC329" i="41" s="1"/>
  <c r="AC321" i="41" a="1"/>
  <c r="AC321" i="41" s="1"/>
  <c r="AC313" i="41" a="1"/>
  <c r="AC313" i="41" s="1"/>
  <c r="AC305" i="41" a="1"/>
  <c r="AC305" i="41" s="1"/>
  <c r="AC297" i="41" a="1"/>
  <c r="AC297" i="41" s="1"/>
  <c r="AC289" i="41" a="1"/>
  <c r="AC289" i="41" s="1"/>
  <c r="AC281" i="41" a="1"/>
  <c r="AC281" i="41" s="1"/>
  <c r="AC273" i="41" a="1"/>
  <c r="AC273" i="41" s="1"/>
  <c r="AC257" i="41" a="1"/>
  <c r="AC257" i="41" s="1"/>
  <c r="AC249" i="41" a="1"/>
  <c r="AC249" i="41" s="1"/>
  <c r="AC241" i="41" a="1"/>
  <c r="AC241" i="41" s="1"/>
  <c r="AC233" i="41" a="1"/>
  <c r="AC233" i="41" s="1"/>
  <c r="AC225" i="41" a="1"/>
  <c r="AC225" i="41" s="1"/>
  <c r="AC209" i="41" a="1"/>
  <c r="AC209" i="41" s="1"/>
  <c r="AC201" i="41" a="1"/>
  <c r="AC201" i="41" s="1"/>
  <c r="AC193" i="41" a="1"/>
  <c r="AC193" i="41" s="1"/>
  <c r="AC185" i="41" a="1"/>
  <c r="AC185" i="41" s="1"/>
  <c r="AC177" i="41" a="1"/>
  <c r="AC177" i="41" s="1"/>
  <c r="AC169" i="41" a="1"/>
  <c r="AC169" i="41" s="1"/>
  <c r="AC161" i="41" a="1"/>
  <c r="AC161" i="41" s="1"/>
  <c r="AC153" i="41" a="1"/>
  <c r="AC153" i="41" s="1"/>
  <c r="AC145" i="41" a="1"/>
  <c r="AC145" i="41" s="1"/>
  <c r="AC137" i="41" a="1"/>
  <c r="AC137" i="41" s="1"/>
  <c r="AC129" i="41" a="1"/>
  <c r="AC129" i="41" s="1"/>
  <c r="AC113" i="41" a="1"/>
  <c r="AC113" i="41" s="1"/>
  <c r="AC105" i="41" a="1"/>
  <c r="AC105" i="41" s="1"/>
  <c r="AC97" i="41" a="1"/>
  <c r="AC97" i="41" s="1"/>
  <c r="AC89" i="41" a="1"/>
  <c r="AC89" i="41" s="1"/>
  <c r="AC81" i="41" a="1"/>
  <c r="AC81" i="41" s="1"/>
  <c r="AC65" i="41" a="1"/>
  <c r="AC65" i="41" s="1"/>
  <c r="AC57" i="41" a="1"/>
  <c r="AC57" i="41" s="1"/>
  <c r="AC49" i="41" a="1"/>
  <c r="AC49" i="41" s="1"/>
  <c r="AC41" i="41" a="1"/>
  <c r="AC41" i="41" s="1"/>
  <c r="AC33" i="41" a="1"/>
  <c r="AC33" i="41" s="1"/>
  <c r="AC25" i="41" a="1"/>
  <c r="AC25" i="41" s="1"/>
  <c r="AC17" i="41" a="1"/>
  <c r="AC17" i="41" s="1"/>
  <c r="AC9" i="41" a="1"/>
  <c r="AC9" i="41" s="1"/>
  <c r="AC580" i="41" a="1"/>
  <c r="AC580" i="41" s="1"/>
  <c r="AC576" i="41" a="1"/>
  <c r="AC576" i="41" s="1"/>
  <c r="AC568" i="41" a="1"/>
  <c r="AC568" i="41" s="1"/>
  <c r="AC560" i="41" a="1"/>
  <c r="AC560" i="41" s="1"/>
  <c r="AC552" i="41" a="1"/>
  <c r="AC552" i="41" s="1"/>
  <c r="AC544" i="41" a="1"/>
  <c r="AC544" i="41" s="1"/>
  <c r="AC536" i="41" a="1"/>
  <c r="AC536" i="41" s="1"/>
  <c r="AC528" i="41" a="1"/>
  <c r="AC528" i="41" s="1"/>
  <c r="AC520" i="41" a="1"/>
  <c r="AC520" i="41" s="1"/>
  <c r="AC512" i="41" a="1"/>
  <c r="AC512" i="41" s="1"/>
  <c r="AC504" i="41" a="1"/>
  <c r="AC504" i="41" s="1"/>
  <c r="AC488" i="41" a="1"/>
  <c r="AC488" i="41" s="1"/>
  <c r="AC480" i="41" a="1"/>
  <c r="AC480" i="41" s="1"/>
  <c r="AC472" i="41" a="1"/>
  <c r="AC472" i="41" s="1"/>
  <c r="AC464" i="41" a="1"/>
  <c r="AC464" i="41" s="1"/>
  <c r="AC456" i="41" a="1"/>
  <c r="AC456" i="41" s="1"/>
  <c r="AC448" i="41" a="1"/>
  <c r="AC448" i="41" s="1"/>
  <c r="AC440" i="41" a="1"/>
  <c r="AC440" i="41" s="1"/>
  <c r="AC432" i="41" a="1"/>
  <c r="AC432" i="41" s="1"/>
  <c r="AC424" i="41" a="1"/>
  <c r="AC424" i="41" s="1"/>
  <c r="AC416" i="41" a="1"/>
  <c r="AC416" i="41" s="1"/>
  <c r="AC408" i="41" a="1"/>
  <c r="AC408" i="41" s="1"/>
  <c r="AC400" i="41" a="1"/>
  <c r="AC400" i="41" s="1"/>
  <c r="AC392" i="41" a="1"/>
  <c r="AC392" i="41" s="1"/>
  <c r="AC384" i="41" a="1"/>
  <c r="AC384" i="41" s="1"/>
  <c r="AC376" i="41" a="1"/>
  <c r="AC376" i="41" s="1"/>
  <c r="AC368" i="41" a="1"/>
  <c r="AC368" i="41" s="1"/>
  <c r="AC360" i="41" a="1"/>
  <c r="AC360" i="41" s="1"/>
  <c r="AC352" i="41" a="1"/>
  <c r="AC352" i="41" s="1"/>
  <c r="AC344" i="41" a="1"/>
  <c r="AC344" i="41" s="1"/>
  <c r="AC336" i="41" a="1"/>
  <c r="AC336" i="41" s="1"/>
  <c r="AC328" i="41" a="1"/>
  <c r="AC328" i="41" s="1"/>
  <c r="AC320" i="41" a="1"/>
  <c r="AC320" i="41" s="1"/>
  <c r="AC312" i="41" a="1"/>
  <c r="AC312" i="41" s="1"/>
  <c r="AC304" i="41" a="1"/>
  <c r="AC304" i="41" s="1"/>
  <c r="AC296" i="41" a="1"/>
  <c r="AC296" i="41" s="1"/>
  <c r="AC288" i="41" a="1"/>
  <c r="AC288" i="41" s="1"/>
  <c r="AC280" i="41" a="1"/>
  <c r="AC280" i="41" s="1"/>
  <c r="AC272" i="41" a="1"/>
  <c r="AC272" i="41" s="1"/>
  <c r="AC264" i="41" a="1"/>
  <c r="AC264" i="41" s="1"/>
  <c r="AC256" i="41" a="1"/>
  <c r="AC256" i="41" s="1"/>
  <c r="AC248" i="41" a="1"/>
  <c r="AC248" i="41" s="1"/>
  <c r="AC240" i="41" a="1"/>
  <c r="AC240" i="41" s="1"/>
  <c r="AC232" i="41" a="1"/>
  <c r="AC232" i="41" s="1"/>
  <c r="AC224" i="41" a="1"/>
  <c r="AC224" i="41" s="1"/>
  <c r="AC216" i="41" a="1"/>
  <c r="AC216" i="41" s="1"/>
  <c r="AC208" i="41" a="1"/>
  <c r="AC208" i="41" s="1"/>
  <c r="AC200" i="41" a="1"/>
  <c r="AC200" i="41" s="1"/>
  <c r="AC192" i="41" a="1"/>
  <c r="AC192" i="41" s="1"/>
  <c r="AC184" i="41" a="1"/>
  <c r="AC184" i="41" s="1"/>
  <c r="AC176" i="41" a="1"/>
  <c r="AC176" i="41" s="1"/>
  <c r="AC168" i="41" a="1"/>
  <c r="AC168" i="41" s="1"/>
  <c r="AC160" i="41" a="1"/>
  <c r="AC160" i="41" s="1"/>
  <c r="AC152" i="41" a="1"/>
  <c r="AC152" i="41" s="1"/>
  <c r="AC144" i="41" a="1"/>
  <c r="AC144" i="41" s="1"/>
  <c r="AC136" i="41" a="1"/>
  <c r="AC136" i="41" s="1"/>
  <c r="AC128" i="41" a="1"/>
  <c r="AC128" i="41" s="1"/>
  <c r="AC120" i="41" a="1"/>
  <c r="AC120" i="41" s="1"/>
  <c r="AC112" i="41" a="1"/>
  <c r="AC112" i="41" s="1"/>
  <c r="AC104" i="41" a="1"/>
  <c r="AC104" i="41" s="1"/>
  <c r="AC96" i="41" a="1"/>
  <c r="AC96" i="41" s="1"/>
  <c r="AC88" i="41" a="1"/>
  <c r="AC88" i="41" s="1"/>
  <c r="AC80" i="41" a="1"/>
  <c r="AC80" i="41" s="1"/>
  <c r="AC72" i="41" a="1"/>
  <c r="AC72" i="41" s="1"/>
  <c r="AC64" i="41" a="1"/>
  <c r="AC64" i="41" s="1"/>
  <c r="AC48" i="41" a="1"/>
  <c r="AC48" i="41" s="1"/>
  <c r="AC40" i="41" a="1"/>
  <c r="AC40" i="41" s="1"/>
  <c r="AC32" i="41" a="1"/>
  <c r="AC32" i="41" s="1"/>
  <c r="AC24" i="41" a="1"/>
  <c r="AC24" i="41" s="1"/>
  <c r="AC16" i="41" a="1"/>
  <c r="AC16" i="41" s="1"/>
  <c r="AC8" i="41" a="1"/>
  <c r="AC8" i="41" s="1"/>
  <c r="AC496" i="41" a="1"/>
  <c r="AC496" i="41" s="1"/>
  <c r="AC578" i="41" a="1"/>
  <c r="AC578" i="41" s="1"/>
  <c r="AC570" i="41" a="1"/>
  <c r="AC570" i="41" s="1"/>
  <c r="AC514" i="41" a="1"/>
  <c r="AC514" i="41" s="1"/>
  <c r="AC474" i="41" a="1"/>
  <c r="AC474" i="41" s="1"/>
  <c r="AC394" i="41" a="1"/>
  <c r="AC394" i="41" s="1"/>
  <c r="AC362" i="41" a="1"/>
  <c r="AC362" i="41" s="1"/>
  <c r="AC346" i="41" a="1"/>
  <c r="AC346" i="41" s="1"/>
  <c r="AC338" i="41" a="1"/>
  <c r="AC338" i="41" s="1"/>
  <c r="AC47" i="41" a="1"/>
  <c r="AC47" i="41" s="1"/>
  <c r="AC23" i="41" a="1"/>
  <c r="AC23" i="41" s="1"/>
  <c r="AC583" i="41" a="1"/>
  <c r="AC583" i="41" s="1"/>
  <c r="AC565" i="41" a="1"/>
  <c r="AC565" i="41" s="1"/>
  <c r="AC559" i="41" a="1"/>
  <c r="AC559" i="41" s="1"/>
  <c r="AC547" i="41" a="1"/>
  <c r="AC547" i="41" s="1"/>
  <c r="AC541" i="41" a="1"/>
  <c r="AC541" i="41" s="1"/>
  <c r="AC529" i="41" a="1"/>
  <c r="AC529" i="41" s="1"/>
  <c r="AC469" i="41" a="1"/>
  <c r="AC469" i="41" s="1"/>
  <c r="AC415" i="41" a="1"/>
  <c r="AC415" i="41" s="1"/>
  <c r="AC391" i="41" a="1"/>
  <c r="AC391" i="41" s="1"/>
  <c r="AC385" i="41" a="1"/>
  <c r="AC385" i="41" s="1"/>
  <c r="AC373" i="41" a="1"/>
  <c r="AC373" i="41" s="1"/>
  <c r="AC367" i="41" a="1"/>
  <c r="AC367" i="41" s="1"/>
  <c r="AC361" i="41" a="1"/>
  <c r="AC361" i="41" s="1"/>
  <c r="AC355" i="41" a="1"/>
  <c r="AC355" i="41" s="1"/>
  <c r="AC343" i="41" a="1"/>
  <c r="AC343" i="41" s="1"/>
  <c r="AC295" i="41" a="1"/>
  <c r="AC295" i="41" s="1"/>
  <c r="AC283" i="41" a="1"/>
  <c r="AC283" i="41" s="1"/>
  <c r="AC265" i="41" a="1"/>
  <c r="AC265" i="41" s="1"/>
  <c r="AC247" i="41" a="1"/>
  <c r="AC247" i="41" s="1"/>
  <c r="AC235" i="41" a="1"/>
  <c r="AC235" i="41" s="1"/>
  <c r="AC229" i="41" a="1"/>
  <c r="AC229" i="41" s="1"/>
  <c r="AC223" i="41" a="1"/>
  <c r="AC223" i="41" s="1"/>
  <c r="AC217" i="41" a="1"/>
  <c r="AC217" i="41" s="1"/>
  <c r="AC205" i="41" a="1"/>
  <c r="AC205" i="41" s="1"/>
  <c r="AC127" i="41" a="1"/>
  <c r="AC127" i="41" s="1"/>
  <c r="AC121" i="41" a="1"/>
  <c r="AC121" i="41" s="1"/>
  <c r="AC109" i="41" a="1"/>
  <c r="AC109" i="41" s="1"/>
  <c r="AC85" i="41" a="1"/>
  <c r="AC85" i="41" s="1"/>
  <c r="AC79" i="41" a="1"/>
  <c r="AC79" i="41" s="1"/>
  <c r="AC73" i="41" a="1"/>
  <c r="AC73" i="41" s="1"/>
  <c r="AC43" i="41" a="1"/>
  <c r="AC43" i="41" s="1"/>
  <c r="AC19" i="41" a="1"/>
  <c r="AC19" i="41" s="1"/>
  <c r="AC7" i="41" a="1"/>
  <c r="AC7" i="41" s="1"/>
  <c r="AC322" i="41" a="1"/>
  <c r="AC322" i="41" s="1"/>
  <c r="AC314" i="41" a="1"/>
  <c r="AC314" i="41" s="1"/>
  <c r="AC282" i="41" a="1"/>
  <c r="AC282" i="41" s="1"/>
  <c r="AC250" i="41" a="1"/>
  <c r="AC250" i="41" s="1"/>
  <c r="AC194" i="41" a="1"/>
  <c r="AC194" i="41" s="1"/>
  <c r="AC170" i="41" a="1"/>
  <c r="AC170" i="41" s="1"/>
  <c r="AC162" i="41" a="1"/>
  <c r="AC162" i="41" s="1"/>
  <c r="AC56" i="41" a="1"/>
  <c r="AC56" i="41" s="1"/>
  <c r="AC122" i="41" a="1"/>
  <c r="AC122" i="41" s="1"/>
  <c r="AC114" i="41" a="1"/>
  <c r="AC114" i="41" s="1"/>
  <c r="AC98" i="41" a="1"/>
  <c r="AC98" i="41" s="1"/>
  <c r="AC82" i="41" a="1"/>
  <c r="AC82" i="41" s="1"/>
  <c r="AC78" i="41" a="1"/>
  <c r="AC78" i="41" s="1"/>
  <c r="AC14" i="41" a="1"/>
  <c r="AC14" i="41" s="1"/>
  <c r="AC6" i="41" a="1"/>
  <c r="AC6" i="41" s="1"/>
  <c r="AC34" i="41" a="1"/>
  <c r="AC34" i="41" s="1"/>
  <c r="AC26" i="41" a="1"/>
  <c r="AC26" i="41" s="1"/>
  <c r="T566" i="41" a="1"/>
  <c r="T566" i="41" s="1"/>
  <c r="U566" i="41" s="1"/>
  <c r="W566" i="41"/>
  <c r="V566" i="41" a="1"/>
  <c r="V566" i="41" s="1"/>
  <c r="W526" i="41"/>
  <c r="V526" i="41" a="1"/>
  <c r="V526" i="41" s="1"/>
  <c r="T494" i="41" a="1"/>
  <c r="T494" i="41" s="1"/>
  <c r="U494" i="41" s="1"/>
  <c r="V494" i="41" a="1"/>
  <c r="V494" i="41" s="1"/>
  <c r="W494" i="41"/>
  <c r="W446" i="41"/>
  <c r="V446" i="41" a="1"/>
  <c r="V446" i="41" s="1"/>
  <c r="W406" i="41"/>
  <c r="V406" i="41" a="1"/>
  <c r="V406" i="41" s="1"/>
  <c r="T366" i="41" a="1"/>
  <c r="T366" i="41" s="1"/>
  <c r="U366" i="41" s="1"/>
  <c r="W366" i="41"/>
  <c r="V366" i="41" a="1"/>
  <c r="V366" i="41" s="1"/>
  <c r="W318" i="41"/>
  <c r="V318" i="41" a="1"/>
  <c r="V318" i="41" s="1"/>
  <c r="V294" i="41" a="1"/>
  <c r="V294" i="41" s="1"/>
  <c r="W294" i="41"/>
  <c r="W246" i="41"/>
  <c r="V246" i="41" a="1"/>
  <c r="V246" i="41" s="1"/>
  <c r="W222" i="41"/>
  <c r="V222" i="41" a="1"/>
  <c r="V222" i="41" s="1"/>
  <c r="W182" i="41"/>
  <c r="V182" i="41" a="1"/>
  <c r="V182" i="41" s="1"/>
  <c r="W150" i="41"/>
  <c r="V150" i="41" a="1"/>
  <c r="V150" i="41" s="1"/>
  <c r="V102" i="41" a="1"/>
  <c r="V102" i="41" s="1"/>
  <c r="W102" i="41"/>
  <c r="W54" i="41"/>
  <c r="V54" i="41" a="1"/>
  <c r="V54" i="41" s="1"/>
  <c r="W6" i="41"/>
  <c r="V6" i="41" a="1"/>
  <c r="V6" i="41" s="1"/>
  <c r="T581" i="41" a="1"/>
  <c r="T581" i="41" s="1"/>
  <c r="U581" i="41" s="1"/>
  <c r="V581" i="41" a="1"/>
  <c r="V581" i="41" s="1"/>
  <c r="W581" i="41"/>
  <c r="T533" i="41" a="1"/>
  <c r="T533" i="41" s="1"/>
  <c r="U533" i="41" s="1"/>
  <c r="W533" i="41"/>
  <c r="V533" i="41" a="1"/>
  <c r="V533" i="41" s="1"/>
  <c r="W501" i="41"/>
  <c r="V501" i="41" a="1"/>
  <c r="V501" i="41" s="1"/>
  <c r="T461" i="41" a="1"/>
  <c r="T461" i="41" s="1"/>
  <c r="U461" i="41" s="1"/>
  <c r="W461" i="41"/>
  <c r="V461" i="41" a="1"/>
  <c r="V461" i="41" s="1"/>
  <c r="W429" i="41"/>
  <c r="V429" i="41" a="1"/>
  <c r="V429" i="41" s="1"/>
  <c r="T389" i="41" a="1"/>
  <c r="T389" i="41" s="1"/>
  <c r="U389" i="41" s="1"/>
  <c r="W389" i="41"/>
  <c r="V389" i="41" a="1"/>
  <c r="V389" i="41" s="1"/>
  <c r="W357" i="41"/>
  <c r="V357" i="41" a="1"/>
  <c r="V357" i="41" s="1"/>
  <c r="W325" i="41"/>
  <c r="V325" i="41" a="1"/>
  <c r="V325" i="41" s="1"/>
  <c r="W285" i="41"/>
  <c r="V285" i="41" a="1"/>
  <c r="V285" i="41" s="1"/>
  <c r="W261" i="41"/>
  <c r="V261" i="41" a="1"/>
  <c r="V261" i="41" s="1"/>
  <c r="W221" i="41"/>
  <c r="V221" i="41" a="1"/>
  <c r="V221" i="41" s="1"/>
  <c r="W181" i="41"/>
  <c r="V181" i="41" a="1"/>
  <c r="V181" i="41" s="1"/>
  <c r="W149" i="41"/>
  <c r="V149" i="41" a="1"/>
  <c r="V149" i="41" s="1"/>
  <c r="W101" i="41"/>
  <c r="V101" i="41" a="1"/>
  <c r="V101" i="41" s="1"/>
  <c r="W69" i="41"/>
  <c r="V69" i="41" a="1"/>
  <c r="V69" i="41" s="1"/>
  <c r="W37" i="41"/>
  <c r="V37" i="41" a="1"/>
  <c r="V37" i="41" s="1"/>
  <c r="W563" i="41"/>
  <c r="V563" i="41" a="1"/>
  <c r="V563" i="41" s="1"/>
  <c r="W547" i="41"/>
  <c r="V547" i="41" a="1"/>
  <c r="V547" i="41" s="1"/>
  <c r="W531" i="41"/>
  <c r="V531" i="41" a="1"/>
  <c r="V531" i="41" s="1"/>
  <c r="W577" i="41"/>
  <c r="V577" i="41" a="1"/>
  <c r="V577" i="41" s="1"/>
  <c r="W561" i="41"/>
  <c r="V561" i="41" a="1"/>
  <c r="V561" i="41" s="1"/>
  <c r="W545" i="41"/>
  <c r="V545" i="41" a="1"/>
  <c r="V545" i="41" s="1"/>
  <c r="W529" i="41"/>
  <c r="V529" i="41" a="1"/>
  <c r="V529" i="41" s="1"/>
  <c r="W584" i="41"/>
  <c r="V584" i="41" a="1"/>
  <c r="V584" i="41" s="1"/>
  <c r="W576" i="41"/>
  <c r="V576" i="41" a="1"/>
  <c r="V576" i="41" s="1"/>
  <c r="W568" i="41"/>
  <c r="V568" i="41" a="1"/>
  <c r="V568" i="41" s="1"/>
  <c r="W560" i="41"/>
  <c r="V560" i="41" a="1"/>
  <c r="V560" i="41" s="1"/>
  <c r="W552" i="41"/>
  <c r="V552" i="41" a="1"/>
  <c r="V552" i="41" s="1"/>
  <c r="W544" i="41"/>
  <c r="V544" i="41" a="1"/>
  <c r="V544" i="41" s="1"/>
  <c r="W536" i="41"/>
  <c r="V536" i="41" a="1"/>
  <c r="V536" i="41" s="1"/>
  <c r="W528" i="41"/>
  <c r="V528" i="41" a="1"/>
  <c r="V528" i="41" s="1"/>
  <c r="W520" i="41"/>
  <c r="V520" i="41" a="1"/>
  <c r="V520" i="41" s="1"/>
  <c r="W512" i="41"/>
  <c r="V512" i="41" a="1"/>
  <c r="V512" i="41" s="1"/>
  <c r="W504" i="41"/>
  <c r="V504" i="41" a="1"/>
  <c r="V504" i="41" s="1"/>
  <c r="V496" i="41" a="1"/>
  <c r="V496" i="41" s="1"/>
  <c r="W496" i="41"/>
  <c r="V488" i="41" a="1"/>
  <c r="V488" i="41" s="1"/>
  <c r="W488" i="41"/>
  <c r="T480" i="41" a="1"/>
  <c r="T480" i="41" s="1"/>
  <c r="U480" i="41" s="1"/>
  <c r="V480" i="41" a="1"/>
  <c r="V480" i="41" s="1"/>
  <c r="W480" i="41"/>
  <c r="V472" i="41" a="1"/>
  <c r="V472" i="41" s="1"/>
  <c r="W472" i="41"/>
  <c r="T464" i="41" a="1"/>
  <c r="T464" i="41" s="1"/>
  <c r="U464" i="41" s="1"/>
  <c r="V464" i="41" a="1"/>
  <c r="V464" i="41" s="1"/>
  <c r="W464" i="41"/>
  <c r="T456" i="41" a="1"/>
  <c r="T456" i="41" s="1"/>
  <c r="U456" i="41" s="1"/>
  <c r="V456" i="41" a="1"/>
  <c r="V456" i="41" s="1"/>
  <c r="W456" i="41"/>
  <c r="V448" i="41" a="1"/>
  <c r="V448" i="41" s="1"/>
  <c r="W448" i="41"/>
  <c r="V440" i="41" a="1"/>
  <c r="V440" i="41" s="1"/>
  <c r="W440" i="41"/>
  <c r="T432" i="41" a="1"/>
  <c r="T432" i="41" s="1"/>
  <c r="U432" i="41" s="1"/>
  <c r="V432" i="41" a="1"/>
  <c r="V432" i="41" s="1"/>
  <c r="W432" i="41"/>
  <c r="V424" i="41" a="1"/>
  <c r="V424" i="41" s="1"/>
  <c r="W424" i="41"/>
  <c r="T416" i="41" a="1"/>
  <c r="T416" i="41" s="1"/>
  <c r="U416" i="41" s="1"/>
  <c r="V416" i="41" a="1"/>
  <c r="V416" i="41" s="1"/>
  <c r="W416" i="41"/>
  <c r="T408" i="41" a="1"/>
  <c r="T408" i="41" s="1"/>
  <c r="U408" i="41" s="1"/>
  <c r="V408" i="41" a="1"/>
  <c r="V408" i="41" s="1"/>
  <c r="W408" i="41"/>
  <c r="V400" i="41" a="1"/>
  <c r="V400" i="41" s="1"/>
  <c r="W400" i="41"/>
  <c r="V392" i="41" a="1"/>
  <c r="V392" i="41" s="1"/>
  <c r="W392" i="41"/>
  <c r="T384" i="41" a="1"/>
  <c r="T384" i="41" s="1"/>
  <c r="U384" i="41" s="1"/>
  <c r="V384" i="41" a="1"/>
  <c r="V384" i="41" s="1"/>
  <c r="W384" i="41"/>
  <c r="V376" i="41" a="1"/>
  <c r="V376" i="41" s="1"/>
  <c r="W376" i="41"/>
  <c r="V368" i="41" a="1"/>
  <c r="V368" i="41" s="1"/>
  <c r="W368" i="41"/>
  <c r="T360" i="41" a="1"/>
  <c r="T360" i="41" s="1"/>
  <c r="U360" i="41" s="1"/>
  <c r="V360" i="41" a="1"/>
  <c r="V360" i="41" s="1"/>
  <c r="W360" i="41"/>
  <c r="W352" i="41"/>
  <c r="V352" i="41" a="1"/>
  <c r="V352" i="41" s="1"/>
  <c r="W344" i="41"/>
  <c r="V344" i="41" a="1"/>
  <c r="V344" i="41" s="1"/>
  <c r="T336" i="41" a="1"/>
  <c r="T336" i="41" s="1"/>
  <c r="U336" i="41" s="1"/>
  <c r="V336" i="41" a="1"/>
  <c r="V336" i="41" s="1"/>
  <c r="W336" i="41"/>
  <c r="W328" i="41"/>
  <c r="V328" i="41" a="1"/>
  <c r="V328" i="41" s="1"/>
  <c r="W320" i="41"/>
  <c r="V320" i="41" a="1"/>
  <c r="V320" i="41" s="1"/>
  <c r="T312" i="41" a="1"/>
  <c r="T312" i="41" s="1"/>
  <c r="U312" i="41" s="1"/>
  <c r="W312" i="41"/>
  <c r="V312" i="41" a="1"/>
  <c r="V312" i="41" s="1"/>
  <c r="T304" i="41" a="1"/>
  <c r="T304" i="41" s="1"/>
  <c r="U304" i="41" s="1"/>
  <c r="W304" i="41"/>
  <c r="V304" i="41" a="1"/>
  <c r="V304" i="41" s="1"/>
  <c r="V296" i="41" a="1"/>
  <c r="V296" i="41" s="1"/>
  <c r="W296" i="41"/>
  <c r="W288" i="41"/>
  <c r="V288" i="41" a="1"/>
  <c r="V288" i="41" s="1"/>
  <c r="W280" i="41"/>
  <c r="V280" i="41" a="1"/>
  <c r="V280" i="41" s="1"/>
  <c r="V272" i="41" a="1"/>
  <c r="V272" i="41" s="1"/>
  <c r="W272" i="41"/>
  <c r="V264" i="41" a="1"/>
  <c r="V264" i="41" s="1"/>
  <c r="W264" i="41"/>
  <c r="V256" i="41" a="1"/>
  <c r="V256" i="41" s="1"/>
  <c r="W256" i="41"/>
  <c r="V248" i="41" a="1"/>
  <c r="V248" i="41" s="1"/>
  <c r="W248" i="41"/>
  <c r="V240" i="41" a="1"/>
  <c r="V240" i="41" s="1"/>
  <c r="W240" i="41"/>
  <c r="W232" i="41"/>
  <c r="V232" i="41" a="1"/>
  <c r="V232" i="41" s="1"/>
  <c r="W224" i="41"/>
  <c r="V224" i="41" a="1"/>
  <c r="V224" i="41" s="1"/>
  <c r="W216" i="41"/>
  <c r="V216" i="41" a="1"/>
  <c r="V216" i="41" s="1"/>
  <c r="V208" i="41" a="1"/>
  <c r="V208" i="41" s="1"/>
  <c r="W208" i="41"/>
  <c r="V200" i="41" a="1"/>
  <c r="V200" i="41" s="1"/>
  <c r="W200" i="41"/>
  <c r="V192" i="41" a="1"/>
  <c r="V192" i="41" s="1"/>
  <c r="W192" i="41"/>
  <c r="W184" i="41"/>
  <c r="V184" i="41" a="1"/>
  <c r="V184" i="41" s="1"/>
  <c r="V176" i="41" a="1"/>
  <c r="V176" i="41" s="1"/>
  <c r="W176" i="41"/>
  <c r="V168" i="41" a="1"/>
  <c r="V168" i="41" s="1"/>
  <c r="W168" i="41"/>
  <c r="V160" i="41" a="1"/>
  <c r="V160" i="41" s="1"/>
  <c r="W160" i="41"/>
  <c r="W152" i="41"/>
  <c r="V152" i="41" a="1"/>
  <c r="V152" i="41" s="1"/>
  <c r="V144" i="41" a="1"/>
  <c r="V144" i="41" s="1"/>
  <c r="W144" i="41"/>
  <c r="W136" i="41"/>
  <c r="V136" i="41" a="1"/>
  <c r="V136" i="41" s="1"/>
  <c r="W128" i="41"/>
  <c r="V128" i="41" a="1"/>
  <c r="V128" i="41" s="1"/>
  <c r="W120" i="41"/>
  <c r="V120" i="41" a="1"/>
  <c r="V120" i="41" s="1"/>
  <c r="V112" i="41" a="1"/>
  <c r="V112" i="41" s="1"/>
  <c r="W112" i="41"/>
  <c r="V104" i="41" a="1"/>
  <c r="V104" i="41" s="1"/>
  <c r="W104" i="41"/>
  <c r="W96" i="41"/>
  <c r="V96" i="41" a="1"/>
  <c r="V96" i="41" s="1"/>
  <c r="W88" i="41"/>
  <c r="V88" i="41" a="1"/>
  <c r="V88" i="41" s="1"/>
  <c r="W80" i="41"/>
  <c r="V80" i="41" a="1"/>
  <c r="V80" i="41" s="1"/>
  <c r="W72" i="41"/>
  <c r="V72" i="41" a="1"/>
  <c r="V72" i="41" s="1"/>
  <c r="W64" i="41"/>
  <c r="V64" i="41" a="1"/>
  <c r="V64" i="41" s="1"/>
  <c r="W56" i="41"/>
  <c r="V56" i="41" a="1"/>
  <c r="V56" i="41" s="1"/>
  <c r="W48" i="41"/>
  <c r="V48" i="41" a="1"/>
  <c r="V48" i="41" s="1"/>
  <c r="W40" i="41"/>
  <c r="V40" i="41" a="1"/>
  <c r="V40" i="41" s="1"/>
  <c r="W32" i="41"/>
  <c r="V32" i="41" a="1"/>
  <c r="V32" i="41" s="1"/>
  <c r="W24" i="41"/>
  <c r="V24" i="41" a="1"/>
  <c r="V24" i="41" s="1"/>
  <c r="W16" i="41"/>
  <c r="V16" i="41" a="1"/>
  <c r="V16" i="41" s="1"/>
  <c r="W8" i="41"/>
  <c r="V8" i="41" a="1"/>
  <c r="V8" i="41" s="1"/>
  <c r="T582" i="41" a="1"/>
  <c r="T582" i="41" s="1"/>
  <c r="U582" i="41" s="1"/>
  <c r="V582" i="41" a="1"/>
  <c r="V582" i="41" s="1"/>
  <c r="W582" i="41"/>
  <c r="W550" i="41"/>
  <c r="V550" i="41" a="1"/>
  <c r="V550" i="41" s="1"/>
  <c r="T510" i="41" a="1"/>
  <c r="T510" i="41" s="1"/>
  <c r="U510" i="41" s="1"/>
  <c r="W510" i="41"/>
  <c r="V510" i="41" a="1"/>
  <c r="V510" i="41" s="1"/>
  <c r="W478" i="41"/>
  <c r="V478" i="41" a="1"/>
  <c r="V478" i="41" s="1"/>
  <c r="W430" i="41"/>
  <c r="V430" i="41" a="1"/>
  <c r="V430" i="41" s="1"/>
  <c r="T398" i="41" a="1"/>
  <c r="T398" i="41" s="1"/>
  <c r="U398" i="41" s="1"/>
  <c r="W398" i="41"/>
  <c r="V398" i="41" a="1"/>
  <c r="V398" i="41" s="1"/>
  <c r="W374" i="41"/>
  <c r="V374" i="41" a="1"/>
  <c r="V374" i="41" s="1"/>
  <c r="W326" i="41"/>
  <c r="V326" i="41" a="1"/>
  <c r="V326" i="41" s="1"/>
  <c r="V302" i="41" a="1"/>
  <c r="V302" i="41" s="1"/>
  <c r="W302" i="41"/>
  <c r="W254" i="41"/>
  <c r="V254" i="41" a="1"/>
  <c r="V254" i="41" s="1"/>
  <c r="W214" i="41"/>
  <c r="V214" i="41" a="1"/>
  <c r="V214" i="41" s="1"/>
  <c r="V174" i="41" a="1"/>
  <c r="V174" i="41" s="1"/>
  <c r="W174" i="41"/>
  <c r="V134" i="41" a="1"/>
  <c r="V134" i="41" s="1"/>
  <c r="W134" i="41"/>
  <c r="W86" i="41"/>
  <c r="V86" i="41" a="1"/>
  <c r="V86" i="41" s="1"/>
  <c r="W38" i="41"/>
  <c r="V38" i="41" a="1"/>
  <c r="V38" i="41" s="1"/>
  <c r="W573" i="41"/>
  <c r="V573" i="41" a="1"/>
  <c r="V573" i="41" s="1"/>
  <c r="T541" i="41" a="1"/>
  <c r="T541" i="41" s="1"/>
  <c r="U541" i="41" s="1"/>
  <c r="W541" i="41"/>
  <c r="V541" i="41" a="1"/>
  <c r="V541" i="41" s="1"/>
  <c r="T509" i="41" a="1"/>
  <c r="T509" i="41" s="1"/>
  <c r="U509" i="41" s="1"/>
  <c r="W509" i="41"/>
  <c r="V509" i="41" a="1"/>
  <c r="V509" i="41" s="1"/>
  <c r="T469" i="41" a="1"/>
  <c r="T469" i="41" s="1"/>
  <c r="U469" i="41" s="1"/>
  <c r="W469" i="41"/>
  <c r="V469" i="41" a="1"/>
  <c r="V469" i="41" s="1"/>
  <c r="T437" i="41" a="1"/>
  <c r="T437" i="41" s="1"/>
  <c r="U437" i="41" s="1"/>
  <c r="W437" i="41"/>
  <c r="V437" i="41" a="1"/>
  <c r="V437" i="41" s="1"/>
  <c r="T397" i="41" a="1"/>
  <c r="T397" i="41" s="1"/>
  <c r="U397" i="41" s="1"/>
  <c r="W397" i="41"/>
  <c r="V397" i="41" a="1"/>
  <c r="V397" i="41" s="1"/>
  <c r="W349" i="41"/>
  <c r="V349" i="41" a="1"/>
  <c r="V349" i="41" s="1"/>
  <c r="W333" i="41"/>
  <c r="V333" i="41" a="1"/>
  <c r="V333" i="41" s="1"/>
  <c r="W293" i="41"/>
  <c r="V293" i="41" a="1"/>
  <c r="V293" i="41" s="1"/>
  <c r="W245" i="41"/>
  <c r="V245" i="41" a="1"/>
  <c r="V245" i="41" s="1"/>
  <c r="W213" i="41"/>
  <c r="V213" i="41" a="1"/>
  <c r="V213" i="41" s="1"/>
  <c r="W173" i="41"/>
  <c r="V173" i="41" a="1"/>
  <c r="V173" i="41" s="1"/>
  <c r="W133" i="41"/>
  <c r="V133" i="41" a="1"/>
  <c r="V133" i="41" s="1"/>
  <c r="W109" i="41"/>
  <c r="V109" i="41" a="1"/>
  <c r="V109" i="41" s="1"/>
  <c r="W61" i="41"/>
  <c r="V61" i="41" a="1"/>
  <c r="V61" i="41" s="1"/>
  <c r="W45" i="41"/>
  <c r="V45" i="41" a="1"/>
  <c r="V45" i="41" s="1"/>
  <c r="W571" i="41"/>
  <c r="V571" i="41" a="1"/>
  <c r="V571" i="41" s="1"/>
  <c r="W555" i="41"/>
  <c r="V555" i="41" a="1"/>
  <c r="V555" i="41" s="1"/>
  <c r="W539" i="41"/>
  <c r="V539" i="41" a="1"/>
  <c r="V539" i="41" s="1"/>
  <c r="W569" i="41"/>
  <c r="V569" i="41" a="1"/>
  <c r="V569" i="41" s="1"/>
  <c r="W553" i="41"/>
  <c r="V553" i="41" a="1"/>
  <c r="V553" i="41" s="1"/>
  <c r="W537" i="41"/>
  <c r="V537" i="41" a="1"/>
  <c r="V537" i="41" s="1"/>
  <c r="W583" i="41"/>
  <c r="V583" i="41" a="1"/>
  <c r="V583" i="41" s="1"/>
  <c r="W575" i="41"/>
  <c r="V575" i="41" a="1"/>
  <c r="V575" i="41" s="1"/>
  <c r="W567" i="41"/>
  <c r="V567" i="41" a="1"/>
  <c r="V567" i="41" s="1"/>
  <c r="W559" i="41"/>
  <c r="V559" i="41" a="1"/>
  <c r="V559" i="41" s="1"/>
  <c r="W551" i="41"/>
  <c r="V551" i="41" a="1"/>
  <c r="V551" i="41" s="1"/>
  <c r="W543" i="41"/>
  <c r="V543" i="41" a="1"/>
  <c r="V543" i="41" s="1"/>
  <c r="W535" i="41"/>
  <c r="V535" i="41" a="1"/>
  <c r="V535" i="41" s="1"/>
  <c r="W527" i="41"/>
  <c r="V527" i="41" a="1"/>
  <c r="V527" i="41" s="1"/>
  <c r="W519" i="41"/>
  <c r="V519" i="41" a="1"/>
  <c r="V519" i="41" s="1"/>
  <c r="T511" i="41" a="1"/>
  <c r="T511" i="41" s="1"/>
  <c r="U511" i="41" s="1"/>
  <c r="W511" i="41"/>
  <c r="V511" i="41" a="1"/>
  <c r="V511" i="41" s="1"/>
  <c r="T503" i="41" a="1"/>
  <c r="T503" i="41" s="1"/>
  <c r="U503" i="41" s="1"/>
  <c r="W503" i="41"/>
  <c r="V503" i="41" a="1"/>
  <c r="V503" i="41" s="1"/>
  <c r="W495" i="41"/>
  <c r="V495" i="41" a="1"/>
  <c r="V495" i="41" s="1"/>
  <c r="T487" i="41" a="1"/>
  <c r="T487" i="41" s="1"/>
  <c r="U487" i="41" s="1"/>
  <c r="W487" i="41"/>
  <c r="V487" i="41" a="1"/>
  <c r="V487" i="41" s="1"/>
  <c r="T479" i="41" a="1"/>
  <c r="T479" i="41" s="1"/>
  <c r="U479" i="41" s="1"/>
  <c r="W479" i="41"/>
  <c r="V479" i="41" a="1"/>
  <c r="V479" i="41" s="1"/>
  <c r="T471" i="41" a="1"/>
  <c r="T471" i="41" s="1"/>
  <c r="U471" i="41" s="1"/>
  <c r="W471" i="41"/>
  <c r="V471" i="41" a="1"/>
  <c r="V471" i="41" s="1"/>
  <c r="T463" i="41" a="1"/>
  <c r="T463" i="41" s="1"/>
  <c r="U463" i="41" s="1"/>
  <c r="W463" i="41"/>
  <c r="V463" i="41" a="1"/>
  <c r="V463" i="41" s="1"/>
  <c r="T455" i="41" a="1"/>
  <c r="T455" i="41" s="1"/>
  <c r="U455" i="41" s="1"/>
  <c r="W455" i="41"/>
  <c r="V455" i="41" a="1"/>
  <c r="V455" i="41" s="1"/>
  <c r="W447" i="41"/>
  <c r="V447" i="41" a="1"/>
  <c r="V447" i="41" s="1"/>
  <c r="T439" i="41" a="1"/>
  <c r="T439" i="41" s="1"/>
  <c r="U439" i="41" s="1"/>
  <c r="W439" i="41"/>
  <c r="V439" i="41" a="1"/>
  <c r="V439" i="41" s="1"/>
  <c r="T431" i="41" a="1"/>
  <c r="T431" i="41" s="1"/>
  <c r="U431" i="41" s="1"/>
  <c r="W431" i="41"/>
  <c r="V431" i="41" a="1"/>
  <c r="V431" i="41" s="1"/>
  <c r="W423" i="41"/>
  <c r="V423" i="41" a="1"/>
  <c r="V423" i="41" s="1"/>
  <c r="T415" i="41" a="1"/>
  <c r="T415" i="41" s="1"/>
  <c r="U415" i="41" s="1"/>
  <c r="W415" i="41"/>
  <c r="V415" i="41" a="1"/>
  <c r="V415" i="41" s="1"/>
  <c r="T407" i="41" a="1"/>
  <c r="T407" i="41" s="1"/>
  <c r="U407" i="41" s="1"/>
  <c r="W407" i="41"/>
  <c r="V407" i="41" a="1"/>
  <c r="V407" i="41" s="1"/>
  <c r="W399" i="41"/>
  <c r="V399" i="41" a="1"/>
  <c r="V399" i="41" s="1"/>
  <c r="T391" i="41" a="1"/>
  <c r="T391" i="41" s="1"/>
  <c r="U391" i="41" s="1"/>
  <c r="W391" i="41"/>
  <c r="V391" i="41" a="1"/>
  <c r="V391" i="41" s="1"/>
  <c r="T383" i="41" a="1"/>
  <c r="T383" i="41" s="1"/>
  <c r="U383" i="41" s="1"/>
  <c r="W383" i="41"/>
  <c r="V383" i="41" a="1"/>
  <c r="V383" i="41" s="1"/>
  <c r="W375" i="41"/>
  <c r="V375" i="41" a="1"/>
  <c r="V375" i="41" s="1"/>
  <c r="T367" i="41" a="1"/>
  <c r="T367" i="41" s="1"/>
  <c r="U367" i="41" s="1"/>
  <c r="W367" i="41"/>
  <c r="V367" i="41" a="1"/>
  <c r="V367" i="41" s="1"/>
  <c r="T359" i="41" a="1"/>
  <c r="T359" i="41" s="1"/>
  <c r="U359" i="41" s="1"/>
  <c r="W359" i="41"/>
  <c r="V359" i="41" a="1"/>
  <c r="V359" i="41" s="1"/>
  <c r="W351" i="41"/>
  <c r="V351" i="41" a="1"/>
  <c r="V351" i="41" s="1"/>
  <c r="W343" i="41"/>
  <c r="V343" i="41" a="1"/>
  <c r="V343" i="41" s="1"/>
  <c r="T335" i="41" a="1"/>
  <c r="T335" i="41" s="1"/>
  <c r="U335" i="41" s="1"/>
  <c r="W335" i="41"/>
  <c r="V335" i="41" a="1"/>
  <c r="V335" i="41" s="1"/>
  <c r="W327" i="41"/>
  <c r="V327" i="41" a="1"/>
  <c r="V327" i="41" s="1"/>
  <c r="W319" i="41"/>
  <c r="V319" i="41" a="1"/>
  <c r="V319" i="41" s="1"/>
  <c r="T311" i="41" a="1"/>
  <c r="T311" i="41" s="1"/>
  <c r="U311" i="41" s="1"/>
  <c r="W311" i="41"/>
  <c r="V311" i="41" a="1"/>
  <c r="V311" i="41" s="1"/>
  <c r="W303" i="41"/>
  <c r="V303" i="41" a="1"/>
  <c r="V303" i="41" s="1"/>
  <c r="W295" i="41"/>
  <c r="V295" i="41" a="1"/>
  <c r="V295" i="41" s="1"/>
  <c r="W287" i="41"/>
  <c r="V287" i="41" a="1"/>
  <c r="V287" i="41" s="1"/>
  <c r="T279" i="41" a="1"/>
  <c r="T279" i="41" s="1"/>
  <c r="U279" i="41" s="1"/>
  <c r="W279" i="41"/>
  <c r="V279" i="41" a="1"/>
  <c r="V279" i="41" s="1"/>
  <c r="W271" i="41"/>
  <c r="V271" i="41" a="1"/>
  <c r="V271" i="41" s="1"/>
  <c r="W263" i="41"/>
  <c r="V263" i="41" a="1"/>
  <c r="V263" i="41" s="1"/>
  <c r="W255" i="41"/>
  <c r="V255" i="41" a="1"/>
  <c r="V255" i="41" s="1"/>
  <c r="W247" i="41"/>
  <c r="V247" i="41" a="1"/>
  <c r="V247" i="41" s="1"/>
  <c r="W239" i="41"/>
  <c r="V239" i="41" a="1"/>
  <c r="V239" i="41" s="1"/>
  <c r="W231" i="41"/>
  <c r="V231" i="41" a="1"/>
  <c r="V231" i="41" s="1"/>
  <c r="W223" i="41"/>
  <c r="V223" i="41" a="1"/>
  <c r="V223" i="41" s="1"/>
  <c r="W215" i="41"/>
  <c r="V215" i="41" a="1"/>
  <c r="V215" i="41" s="1"/>
  <c r="W207" i="41"/>
  <c r="V207" i="41" a="1"/>
  <c r="V207" i="41" s="1"/>
  <c r="W199" i="41"/>
  <c r="V199" i="41" a="1"/>
  <c r="V199" i="41" s="1"/>
  <c r="W191" i="41"/>
  <c r="V191" i="41" a="1"/>
  <c r="V191" i="41" s="1"/>
  <c r="W183" i="41"/>
  <c r="V183" i="41" a="1"/>
  <c r="V183" i="41" s="1"/>
  <c r="W175" i="41"/>
  <c r="V175" i="41" a="1"/>
  <c r="V175" i="41" s="1"/>
  <c r="W167" i="41"/>
  <c r="V167" i="41" a="1"/>
  <c r="V167" i="41" s="1"/>
  <c r="W159" i="41"/>
  <c r="V159" i="41" a="1"/>
  <c r="V159" i="41" s="1"/>
  <c r="W151" i="41"/>
  <c r="V151" i="41" a="1"/>
  <c r="V151" i="41" s="1"/>
  <c r="W143" i="41"/>
  <c r="V143" i="41" a="1"/>
  <c r="V143" i="41" s="1"/>
  <c r="W135" i="41"/>
  <c r="V135" i="41" a="1"/>
  <c r="V135" i="41" s="1"/>
  <c r="W127" i="41"/>
  <c r="V127" i="41" a="1"/>
  <c r="V127" i="41" s="1"/>
  <c r="W119" i="41"/>
  <c r="V119" i="41" a="1"/>
  <c r="V119" i="41" s="1"/>
  <c r="W111" i="41"/>
  <c r="V111" i="41" a="1"/>
  <c r="V111" i="41" s="1"/>
  <c r="W103" i="41"/>
  <c r="V103" i="41" a="1"/>
  <c r="V103" i="41" s="1"/>
  <c r="W95" i="41"/>
  <c r="V95" i="41" a="1"/>
  <c r="V95" i="41" s="1"/>
  <c r="W87" i="41"/>
  <c r="V87" i="41" a="1"/>
  <c r="V87" i="41" s="1"/>
  <c r="W79" i="41"/>
  <c r="V79" i="41" a="1"/>
  <c r="V79" i="41" s="1"/>
  <c r="W71" i="41"/>
  <c r="V71" i="41" a="1"/>
  <c r="V71" i="41" s="1"/>
  <c r="W63" i="41"/>
  <c r="V63" i="41" a="1"/>
  <c r="V63" i="41" s="1"/>
  <c r="V55" i="41" a="1"/>
  <c r="V55" i="41" s="1"/>
  <c r="W55" i="41"/>
  <c r="W47" i="41"/>
  <c r="V47" i="41" a="1"/>
  <c r="V47" i="41" s="1"/>
  <c r="W39" i="41"/>
  <c r="V39" i="41" a="1"/>
  <c r="V39" i="41" s="1"/>
  <c r="W31" i="41"/>
  <c r="V31" i="41" a="1"/>
  <c r="V31" i="41" s="1"/>
  <c r="W23" i="41"/>
  <c r="V23" i="41" a="1"/>
  <c r="V23" i="41" s="1"/>
  <c r="W15" i="41"/>
  <c r="V15" i="41" a="1"/>
  <c r="V15" i="41" s="1"/>
  <c r="W7" i="41"/>
  <c r="V7" i="41" a="1"/>
  <c r="V7" i="41" s="1"/>
  <c r="T462" i="41" a="1"/>
  <c r="T462" i="41" s="1"/>
  <c r="U462" i="41" s="1"/>
  <c r="V462" i="41" a="1"/>
  <c r="V462" i="41" s="1"/>
  <c r="W462" i="41"/>
  <c r="W350" i="41"/>
  <c r="V350" i="41" a="1"/>
  <c r="V350" i="41" s="1"/>
  <c r="V270" i="41" a="1"/>
  <c r="V270" i="41" s="1"/>
  <c r="W270" i="41"/>
  <c r="V190" i="41" a="1"/>
  <c r="V190" i="41" s="1"/>
  <c r="W190" i="41"/>
  <c r="W118" i="41"/>
  <c r="V118" i="41" a="1"/>
  <c r="V118" i="41" s="1"/>
  <c r="W70" i="41"/>
  <c r="V70" i="41" a="1"/>
  <c r="V70" i="41" s="1"/>
  <c r="W30" i="41"/>
  <c r="V30" i="41" a="1"/>
  <c r="V30" i="41" s="1"/>
  <c r="T493" i="41" a="1"/>
  <c r="T493" i="41" s="1"/>
  <c r="U493" i="41" s="1"/>
  <c r="W493" i="41"/>
  <c r="V493" i="41" a="1"/>
  <c r="V493" i="41" s="1"/>
  <c r="W373" i="41"/>
  <c r="V373" i="41" a="1"/>
  <c r="V373" i="41" s="1"/>
  <c r="W269" i="41"/>
  <c r="V269" i="41" a="1"/>
  <c r="V269" i="41" s="1"/>
  <c r="W205" i="41"/>
  <c r="V205" i="41" a="1"/>
  <c r="V205" i="41" s="1"/>
  <c r="W141" i="41"/>
  <c r="V141" i="41" a="1"/>
  <c r="V141" i="41" s="1"/>
  <c r="W77" i="41"/>
  <c r="V77" i="41" a="1"/>
  <c r="V77" i="41" s="1"/>
  <c r="V13" i="41" a="1"/>
  <c r="V13" i="41" s="1"/>
  <c r="W13" i="41"/>
  <c r="W574" i="41"/>
  <c r="V574" i="41" a="1"/>
  <c r="V574" i="41" s="1"/>
  <c r="W542" i="41"/>
  <c r="V542" i="41" a="1"/>
  <c r="V542" i="41" s="1"/>
  <c r="T518" i="41" a="1"/>
  <c r="T518" i="41" s="1"/>
  <c r="U518" i="41" s="1"/>
  <c r="W518" i="41"/>
  <c r="V518" i="41" a="1"/>
  <c r="V518" i="41" s="1"/>
  <c r="T486" i="41" a="1"/>
  <c r="T486" i="41" s="1"/>
  <c r="U486" i="41" s="1"/>
  <c r="W486" i="41"/>
  <c r="V486" i="41" a="1"/>
  <c r="V486" i="41" s="1"/>
  <c r="T454" i="41" a="1"/>
  <c r="T454" i="41" s="1"/>
  <c r="U454" i="41" s="1"/>
  <c r="W454" i="41"/>
  <c r="V454" i="41" a="1"/>
  <c r="V454" i="41" s="1"/>
  <c r="T414" i="41" a="1"/>
  <c r="T414" i="41" s="1"/>
  <c r="U414" i="41" s="1"/>
  <c r="W414" i="41"/>
  <c r="V414" i="41" a="1"/>
  <c r="V414" i="41" s="1"/>
  <c r="W382" i="41"/>
  <c r="V382" i="41" a="1"/>
  <c r="V382" i="41" s="1"/>
  <c r="W334" i="41"/>
  <c r="V334" i="41" a="1"/>
  <c r="V334" i="41" s="1"/>
  <c r="W286" i="41"/>
  <c r="V286" i="41" a="1"/>
  <c r="V286" i="41" s="1"/>
  <c r="V238" i="41" a="1"/>
  <c r="V238" i="41" s="1"/>
  <c r="W238" i="41"/>
  <c r="V206" i="41" a="1"/>
  <c r="V206" i="41" s="1"/>
  <c r="W206" i="41"/>
  <c r="W166" i="41"/>
  <c r="V166" i="41" a="1"/>
  <c r="V166" i="41" s="1"/>
  <c r="V126" i="41" a="1"/>
  <c r="V126" i="41" s="1"/>
  <c r="W126" i="41"/>
  <c r="W94" i="41"/>
  <c r="V94" i="41" a="1"/>
  <c r="V94" i="41" s="1"/>
  <c r="W62" i="41"/>
  <c r="V62" i="41" a="1"/>
  <c r="V62" i="41" s="1"/>
  <c r="W22" i="41"/>
  <c r="V22" i="41" a="1"/>
  <c r="V22" i="41" s="1"/>
  <c r="T557" i="41" a="1"/>
  <c r="T557" i="41" s="1"/>
  <c r="U557" i="41" s="1"/>
  <c r="W557" i="41"/>
  <c r="V557" i="41" a="1"/>
  <c r="V557" i="41" s="1"/>
  <c r="W525" i="41"/>
  <c r="V525" i="41" a="1"/>
  <c r="V525" i="41" s="1"/>
  <c r="W477" i="41"/>
  <c r="V477" i="41" a="1"/>
  <c r="V477" i="41" s="1"/>
  <c r="T445" i="41" a="1"/>
  <c r="T445" i="41" s="1"/>
  <c r="U445" i="41" s="1"/>
  <c r="W445" i="41"/>
  <c r="V445" i="41" a="1"/>
  <c r="V445" i="41" s="1"/>
  <c r="W413" i="41"/>
  <c r="V413" i="41" a="1"/>
  <c r="V413" i="41" s="1"/>
  <c r="W365" i="41"/>
  <c r="V365" i="41" a="1"/>
  <c r="V365" i="41" s="1"/>
  <c r="W317" i="41"/>
  <c r="V317" i="41" a="1"/>
  <c r="V317" i="41" s="1"/>
  <c r="W277" i="41"/>
  <c r="V277" i="41" a="1"/>
  <c r="V277" i="41" s="1"/>
  <c r="W237" i="41"/>
  <c r="V237" i="41" a="1"/>
  <c r="V237" i="41" s="1"/>
  <c r="W189" i="41"/>
  <c r="V189" i="41" a="1"/>
  <c r="V189" i="41" s="1"/>
  <c r="W157" i="41"/>
  <c r="V157" i="41" a="1"/>
  <c r="V157" i="41" s="1"/>
  <c r="W117" i="41"/>
  <c r="V117" i="41" a="1"/>
  <c r="V117" i="41" s="1"/>
  <c r="W85" i="41"/>
  <c r="V85" i="41" a="1"/>
  <c r="V85" i="41" s="1"/>
  <c r="V29" i="41" a="1"/>
  <c r="V29" i="41" s="1"/>
  <c r="W29" i="41"/>
  <c r="W580" i="41"/>
  <c r="V580" i="41" a="1"/>
  <c r="V580" i="41" s="1"/>
  <c r="W572" i="41"/>
  <c r="V572" i="41" a="1"/>
  <c r="V572" i="41" s="1"/>
  <c r="W564" i="41"/>
  <c r="V564" i="41" a="1"/>
  <c r="V564" i="41" s="1"/>
  <c r="W556" i="41"/>
  <c r="V556" i="41" a="1"/>
  <c r="V556" i="41" s="1"/>
  <c r="W548" i="41"/>
  <c r="V548" i="41" a="1"/>
  <c r="V548" i="41" s="1"/>
  <c r="W540" i="41"/>
  <c r="V540" i="41" a="1"/>
  <c r="V540" i="41" s="1"/>
  <c r="W532" i="41"/>
  <c r="V532" i="41" a="1"/>
  <c r="V532" i="41" s="1"/>
  <c r="W524" i="41"/>
  <c r="V524" i="41" a="1"/>
  <c r="V524" i="41" s="1"/>
  <c r="W516" i="41"/>
  <c r="V516" i="41" a="1"/>
  <c r="V516" i="41" s="1"/>
  <c r="T508" i="41" a="1"/>
  <c r="T508" i="41" s="1"/>
  <c r="U508" i="41" s="1"/>
  <c r="W508" i="41"/>
  <c r="V508" i="41" a="1"/>
  <c r="V508" i="41" s="1"/>
  <c r="W500" i="41"/>
  <c r="V500" i="41" a="1"/>
  <c r="V500" i="41" s="1"/>
  <c r="W492" i="41"/>
  <c r="V492" i="41" a="1"/>
  <c r="V492" i="41" s="1"/>
  <c r="W484" i="41"/>
  <c r="V484" i="41" a="1"/>
  <c r="V484" i="41" s="1"/>
  <c r="W476" i="41"/>
  <c r="V476" i="41" a="1"/>
  <c r="V476" i="41" s="1"/>
  <c r="W468" i="41"/>
  <c r="V468" i="41" a="1"/>
  <c r="V468" i="41" s="1"/>
  <c r="W460" i="41"/>
  <c r="V460" i="41" a="1"/>
  <c r="V460" i="41" s="1"/>
  <c r="T452" i="41" a="1"/>
  <c r="T452" i="41" s="1"/>
  <c r="U452" i="41" s="1"/>
  <c r="W452" i="41"/>
  <c r="V452" i="41" a="1"/>
  <c r="V452" i="41" s="1"/>
  <c r="W444" i="41"/>
  <c r="V444" i="41" a="1"/>
  <c r="V444" i="41" s="1"/>
  <c r="W436" i="41"/>
  <c r="V436" i="41" a="1"/>
  <c r="V436" i="41" s="1"/>
  <c r="W428" i="41"/>
  <c r="V428" i="41" a="1"/>
  <c r="V428" i="41" s="1"/>
  <c r="W420" i="41"/>
  <c r="V420" i="41" a="1"/>
  <c r="V420" i="41" s="1"/>
  <c r="W412" i="41"/>
  <c r="V412" i="41" a="1"/>
  <c r="V412" i="41" s="1"/>
  <c r="W404" i="41"/>
  <c r="V404" i="41" a="1"/>
  <c r="V404" i="41" s="1"/>
  <c r="T396" i="41" a="1"/>
  <c r="T396" i="41" s="1"/>
  <c r="U396" i="41" s="1"/>
  <c r="W396" i="41"/>
  <c r="V396" i="41" a="1"/>
  <c r="V396" i="41" s="1"/>
  <c r="T388" i="41" a="1"/>
  <c r="T388" i="41" s="1"/>
  <c r="U388" i="41" s="1"/>
  <c r="W388" i="41"/>
  <c r="V388" i="41" a="1"/>
  <c r="V388" i="41" s="1"/>
  <c r="W380" i="41"/>
  <c r="V380" i="41" a="1"/>
  <c r="V380" i="41" s="1"/>
  <c r="W372" i="41"/>
  <c r="V372" i="41" a="1"/>
  <c r="V372" i="41" s="1"/>
  <c r="W364" i="41"/>
  <c r="V364" i="41" a="1"/>
  <c r="V364" i="41" s="1"/>
  <c r="W356" i="41"/>
  <c r="V356" i="41" a="1"/>
  <c r="V356" i="41" s="1"/>
  <c r="W348" i="41"/>
  <c r="V348" i="41" a="1"/>
  <c r="V348" i="41" s="1"/>
  <c r="W340" i="41"/>
  <c r="V340" i="41" a="1"/>
  <c r="V340" i="41" s="1"/>
  <c r="W332" i="41"/>
  <c r="V332" i="41" a="1"/>
  <c r="V332" i="41" s="1"/>
  <c r="W324" i="41"/>
  <c r="V324" i="41" a="1"/>
  <c r="V324" i="41" s="1"/>
  <c r="T316" i="41" a="1"/>
  <c r="T316" i="41" s="1"/>
  <c r="U316" i="41" s="1"/>
  <c r="W316" i="41"/>
  <c r="V316" i="41" a="1"/>
  <c r="V316" i="41" s="1"/>
  <c r="W308" i="41"/>
  <c r="V308" i="41" a="1"/>
  <c r="V308" i="41" s="1"/>
  <c r="W300" i="41"/>
  <c r="V300" i="41" a="1"/>
  <c r="V300" i="41" s="1"/>
  <c r="W292" i="41"/>
  <c r="V292" i="41" a="1"/>
  <c r="V292" i="41" s="1"/>
  <c r="W284" i="41"/>
  <c r="V284" i="41" a="1"/>
  <c r="V284" i="41" s="1"/>
  <c r="W276" i="41"/>
  <c r="V276" i="41" a="1"/>
  <c r="V276" i="41" s="1"/>
  <c r="W268" i="41"/>
  <c r="V268" i="41" a="1"/>
  <c r="V268" i="41" s="1"/>
  <c r="W260" i="41"/>
  <c r="V260" i="41" a="1"/>
  <c r="V260" i="41" s="1"/>
  <c r="W252" i="41"/>
  <c r="V252" i="41" a="1"/>
  <c r="V252" i="41" s="1"/>
  <c r="W244" i="41"/>
  <c r="V244" i="41" a="1"/>
  <c r="V244" i="41" s="1"/>
  <c r="W236" i="41"/>
  <c r="V236" i="41" a="1"/>
  <c r="V236" i="41" s="1"/>
  <c r="W228" i="41"/>
  <c r="V228" i="41" a="1"/>
  <c r="V228" i="41" s="1"/>
  <c r="W220" i="41"/>
  <c r="V220" i="41" a="1"/>
  <c r="V220" i="41" s="1"/>
  <c r="W212" i="41"/>
  <c r="V212" i="41" a="1"/>
  <c r="V212" i="41" s="1"/>
  <c r="W204" i="41"/>
  <c r="V204" i="41" a="1"/>
  <c r="V204" i="41" s="1"/>
  <c r="W196" i="41"/>
  <c r="V196" i="41" a="1"/>
  <c r="V196" i="41" s="1"/>
  <c r="W188" i="41"/>
  <c r="V188" i="41" a="1"/>
  <c r="V188" i="41" s="1"/>
  <c r="W180" i="41"/>
  <c r="V180" i="41" a="1"/>
  <c r="V180" i="41" s="1"/>
  <c r="W172" i="41"/>
  <c r="V172" i="41" a="1"/>
  <c r="V172" i="41" s="1"/>
  <c r="W164" i="41"/>
  <c r="V164" i="41" a="1"/>
  <c r="V164" i="41" s="1"/>
  <c r="W156" i="41"/>
  <c r="V156" i="41" a="1"/>
  <c r="V156" i="41" s="1"/>
  <c r="W148" i="41"/>
  <c r="V148" i="41" a="1"/>
  <c r="V148" i="41" s="1"/>
  <c r="W140" i="41"/>
  <c r="V140" i="41" a="1"/>
  <c r="V140" i="41" s="1"/>
  <c r="W132" i="41"/>
  <c r="V132" i="41" a="1"/>
  <c r="V132" i="41" s="1"/>
  <c r="W124" i="41"/>
  <c r="V124" i="41" a="1"/>
  <c r="V124" i="41" s="1"/>
  <c r="W116" i="41"/>
  <c r="V116" i="41" a="1"/>
  <c r="V116" i="41" s="1"/>
  <c r="W108" i="41"/>
  <c r="V108" i="41" a="1"/>
  <c r="V108" i="41" s="1"/>
  <c r="W100" i="41"/>
  <c r="V100" i="41" a="1"/>
  <c r="V100" i="41" s="1"/>
  <c r="W92" i="41"/>
  <c r="V92" i="41" a="1"/>
  <c r="V92" i="41" s="1"/>
  <c r="W84" i="41"/>
  <c r="V84" i="41" a="1"/>
  <c r="V84" i="41" s="1"/>
  <c r="W76" i="41"/>
  <c r="V76" i="41" a="1"/>
  <c r="V76" i="41" s="1"/>
  <c r="V68" i="41" a="1"/>
  <c r="V68" i="41" s="1"/>
  <c r="W68" i="41"/>
  <c r="W60" i="41"/>
  <c r="V60" i="41" a="1"/>
  <c r="V60" i="41" s="1"/>
  <c r="W52" i="41"/>
  <c r="V52" i="41" a="1"/>
  <c r="V52" i="41" s="1"/>
  <c r="W44" i="41"/>
  <c r="V44" i="41" a="1"/>
  <c r="V44" i="41" s="1"/>
  <c r="W36" i="41"/>
  <c r="V36" i="41" a="1"/>
  <c r="V36" i="41" s="1"/>
  <c r="W28" i="41"/>
  <c r="V28" i="41" a="1"/>
  <c r="V28" i="41" s="1"/>
  <c r="W20" i="41"/>
  <c r="V20" i="41" a="1"/>
  <c r="V20" i="41" s="1"/>
  <c r="W12" i="41"/>
  <c r="V12" i="41" a="1"/>
  <c r="V12" i="41" s="1"/>
  <c r="W523" i="41"/>
  <c r="V523" i="41" a="1"/>
  <c r="V523" i="41" s="1"/>
  <c r="W515" i="41"/>
  <c r="V515" i="41" a="1"/>
  <c r="V515" i="41" s="1"/>
  <c r="W507" i="41"/>
  <c r="V507" i="41" a="1"/>
  <c r="V507" i="41" s="1"/>
  <c r="W499" i="41"/>
  <c r="V499" i="41" a="1"/>
  <c r="V499" i="41" s="1"/>
  <c r="W491" i="41"/>
  <c r="V491" i="41" a="1"/>
  <c r="V491" i="41" s="1"/>
  <c r="W483" i="41"/>
  <c r="V483" i="41" a="1"/>
  <c r="V483" i="41" s="1"/>
  <c r="T475" i="41" a="1"/>
  <c r="T475" i="41" s="1"/>
  <c r="U475" i="41" s="1"/>
  <c r="W475" i="41"/>
  <c r="V475" i="41" a="1"/>
  <c r="V475" i="41" s="1"/>
  <c r="W467" i="41"/>
  <c r="V467" i="41" a="1"/>
  <c r="V467" i="41" s="1"/>
  <c r="W459" i="41"/>
  <c r="V459" i="41" a="1"/>
  <c r="V459" i="41" s="1"/>
  <c r="W451" i="41"/>
  <c r="V451" i="41" a="1"/>
  <c r="V451" i="41" s="1"/>
  <c r="W443" i="41"/>
  <c r="V443" i="41" a="1"/>
  <c r="V443" i="41" s="1"/>
  <c r="W435" i="41"/>
  <c r="V435" i="41" a="1"/>
  <c r="V435" i="41" s="1"/>
  <c r="W427" i="41"/>
  <c r="V427" i="41" a="1"/>
  <c r="V427" i="41" s="1"/>
  <c r="W419" i="41"/>
  <c r="V419" i="41" a="1"/>
  <c r="V419" i="41" s="1"/>
  <c r="W411" i="41"/>
  <c r="V411" i="41" a="1"/>
  <c r="V411" i="41" s="1"/>
  <c r="W403" i="41"/>
  <c r="V403" i="41" a="1"/>
  <c r="V403" i="41" s="1"/>
  <c r="W395" i="41"/>
  <c r="V395" i="41" a="1"/>
  <c r="V395" i="41" s="1"/>
  <c r="W387" i="41"/>
  <c r="V387" i="41" a="1"/>
  <c r="V387" i="41" s="1"/>
  <c r="W379" i="41"/>
  <c r="V379" i="41" a="1"/>
  <c r="V379" i="41" s="1"/>
  <c r="W371" i="41"/>
  <c r="V371" i="41" a="1"/>
  <c r="V371" i="41" s="1"/>
  <c r="W363" i="41"/>
  <c r="V363" i="41" a="1"/>
  <c r="V363" i="41" s="1"/>
  <c r="W355" i="41"/>
  <c r="V355" i="41" a="1"/>
  <c r="V355" i="41" s="1"/>
  <c r="W347" i="41"/>
  <c r="V347" i="41" a="1"/>
  <c r="V347" i="41" s="1"/>
  <c r="W339" i="41"/>
  <c r="V339" i="41" a="1"/>
  <c r="V339" i="41" s="1"/>
  <c r="W331" i="41"/>
  <c r="V331" i="41" a="1"/>
  <c r="V331" i="41" s="1"/>
  <c r="W323" i="41"/>
  <c r="V323" i="41" a="1"/>
  <c r="V323" i="41" s="1"/>
  <c r="W315" i="41"/>
  <c r="V315" i="41" a="1"/>
  <c r="V315" i="41" s="1"/>
  <c r="W307" i="41"/>
  <c r="V307" i="41" a="1"/>
  <c r="V307" i="41" s="1"/>
  <c r="W299" i="41"/>
  <c r="V299" i="41" a="1"/>
  <c r="V299" i="41" s="1"/>
  <c r="W291" i="41"/>
  <c r="V291" i="41" a="1"/>
  <c r="V291" i="41" s="1"/>
  <c r="W283" i="41"/>
  <c r="V283" i="41" a="1"/>
  <c r="V283" i="41" s="1"/>
  <c r="W275" i="41"/>
  <c r="V275" i="41" a="1"/>
  <c r="V275" i="41" s="1"/>
  <c r="W267" i="41"/>
  <c r="V267" i="41" a="1"/>
  <c r="V267" i="41" s="1"/>
  <c r="T259" i="41" a="1"/>
  <c r="T259" i="41" s="1"/>
  <c r="U259" i="41" s="1"/>
  <c r="W259" i="41"/>
  <c r="V259" i="41" a="1"/>
  <c r="V259" i="41" s="1"/>
  <c r="W251" i="41"/>
  <c r="V251" i="41" a="1"/>
  <c r="V251" i="41" s="1"/>
  <c r="W243" i="41"/>
  <c r="V243" i="41" a="1"/>
  <c r="V243" i="41" s="1"/>
  <c r="W235" i="41"/>
  <c r="V235" i="41" a="1"/>
  <c r="V235" i="41" s="1"/>
  <c r="W227" i="41"/>
  <c r="V227" i="41" a="1"/>
  <c r="V227" i="41" s="1"/>
  <c r="W219" i="41"/>
  <c r="V219" i="41" a="1"/>
  <c r="V219" i="41" s="1"/>
  <c r="W211" i="41"/>
  <c r="V211" i="41" a="1"/>
  <c r="V211" i="41" s="1"/>
  <c r="W203" i="41"/>
  <c r="V203" i="41" a="1"/>
  <c r="V203" i="41" s="1"/>
  <c r="W195" i="41"/>
  <c r="V195" i="41" a="1"/>
  <c r="V195" i="41" s="1"/>
  <c r="W187" i="41"/>
  <c r="V187" i="41" a="1"/>
  <c r="V187" i="41" s="1"/>
  <c r="W179" i="41"/>
  <c r="V179" i="41" a="1"/>
  <c r="V179" i="41" s="1"/>
  <c r="W171" i="41"/>
  <c r="V171" i="41" a="1"/>
  <c r="V171" i="41" s="1"/>
  <c r="W163" i="41"/>
  <c r="V163" i="41" a="1"/>
  <c r="V163" i="41" s="1"/>
  <c r="W155" i="41"/>
  <c r="V155" i="41" a="1"/>
  <c r="V155" i="41" s="1"/>
  <c r="W147" i="41"/>
  <c r="V147" i="41" a="1"/>
  <c r="V147" i="41" s="1"/>
  <c r="W139" i="41"/>
  <c r="V139" i="41" a="1"/>
  <c r="V139" i="41" s="1"/>
  <c r="W131" i="41"/>
  <c r="V131" i="41" a="1"/>
  <c r="V131" i="41" s="1"/>
  <c r="W123" i="41"/>
  <c r="V123" i="41" a="1"/>
  <c r="V123" i="41" s="1"/>
  <c r="W115" i="41"/>
  <c r="V115" i="41" a="1"/>
  <c r="V115" i="41" s="1"/>
  <c r="W107" i="41"/>
  <c r="V107" i="41" a="1"/>
  <c r="V107" i="41" s="1"/>
  <c r="W99" i="41"/>
  <c r="V99" i="41" a="1"/>
  <c r="V99" i="41" s="1"/>
  <c r="W91" i="41"/>
  <c r="V91" i="41" a="1"/>
  <c r="V91" i="41" s="1"/>
  <c r="W83" i="41"/>
  <c r="V83" i="41" a="1"/>
  <c r="V83" i="41" s="1"/>
  <c r="W75" i="41"/>
  <c r="V75" i="41" a="1"/>
  <c r="V75" i="41" s="1"/>
  <c r="W67" i="41"/>
  <c r="V67" i="41" a="1"/>
  <c r="V67" i="41" s="1"/>
  <c r="W59" i="41"/>
  <c r="V59" i="41" a="1"/>
  <c r="V59" i="41" s="1"/>
  <c r="W51" i="41"/>
  <c r="V51" i="41" a="1"/>
  <c r="V51" i="41" s="1"/>
  <c r="W43" i="41"/>
  <c r="V43" i="41" a="1"/>
  <c r="V43" i="41" s="1"/>
  <c r="W35" i="41"/>
  <c r="V35" i="41" a="1"/>
  <c r="V35" i="41" s="1"/>
  <c r="W27" i="41"/>
  <c r="V27" i="41" a="1"/>
  <c r="V27" i="41" s="1"/>
  <c r="W19" i="41"/>
  <c r="V19" i="41" a="1"/>
  <c r="V19" i="41" s="1"/>
  <c r="W11" i="41"/>
  <c r="V11" i="41" a="1"/>
  <c r="V11" i="41" s="1"/>
  <c r="T558" i="41" a="1"/>
  <c r="T558" i="41" s="1"/>
  <c r="U558" i="41" s="1"/>
  <c r="W558" i="41"/>
  <c r="V558" i="41" a="1"/>
  <c r="V558" i="41" s="1"/>
  <c r="W534" i="41"/>
  <c r="V534" i="41" a="1"/>
  <c r="V534" i="41" s="1"/>
  <c r="W502" i="41"/>
  <c r="V502" i="41" a="1"/>
  <c r="V502" i="41" s="1"/>
  <c r="T470" i="41" a="1"/>
  <c r="T470" i="41" s="1"/>
  <c r="U470" i="41" s="1"/>
  <c r="W470" i="41"/>
  <c r="V470" i="41" a="1"/>
  <c r="V470" i="41" s="1"/>
  <c r="T438" i="41" a="1"/>
  <c r="T438" i="41" s="1"/>
  <c r="U438" i="41" s="1"/>
  <c r="W438" i="41"/>
  <c r="V438" i="41" a="1"/>
  <c r="V438" i="41" s="1"/>
  <c r="T422" i="41" a="1"/>
  <c r="T422" i="41" s="1"/>
  <c r="U422" i="41" s="1"/>
  <c r="W422" i="41"/>
  <c r="V422" i="41" a="1"/>
  <c r="V422" i="41" s="1"/>
  <c r="T390" i="41" a="1"/>
  <c r="T390" i="41" s="1"/>
  <c r="U390" i="41" s="1"/>
  <c r="W390" i="41"/>
  <c r="V390" i="41" a="1"/>
  <c r="V390" i="41" s="1"/>
  <c r="W358" i="41"/>
  <c r="V358" i="41" a="1"/>
  <c r="V358" i="41" s="1"/>
  <c r="W342" i="41"/>
  <c r="V342" i="41" a="1"/>
  <c r="V342" i="41" s="1"/>
  <c r="W310" i="41"/>
  <c r="V310" i="41" a="1"/>
  <c r="V310" i="41" s="1"/>
  <c r="W278" i="41"/>
  <c r="V278" i="41" a="1"/>
  <c r="V278" i="41" s="1"/>
  <c r="W262" i="41"/>
  <c r="V262" i="41" a="1"/>
  <c r="V262" i="41" s="1"/>
  <c r="V230" i="41" a="1"/>
  <c r="V230" i="41" s="1"/>
  <c r="W230" i="41"/>
  <c r="V198" i="41" a="1"/>
  <c r="V198" i="41" s="1"/>
  <c r="W198" i="41"/>
  <c r="W158" i="41"/>
  <c r="V158" i="41" a="1"/>
  <c r="V158" i="41" s="1"/>
  <c r="V142" i="41" a="1"/>
  <c r="V142" i="41" s="1"/>
  <c r="W142" i="41"/>
  <c r="V110" i="41" a="1"/>
  <c r="V110" i="41" s="1"/>
  <c r="W110" i="41"/>
  <c r="W78" i="41"/>
  <c r="V78" i="41" a="1"/>
  <c r="V78" i="41" s="1"/>
  <c r="W46" i="41"/>
  <c r="V46" i="41" a="1"/>
  <c r="V46" i="41" s="1"/>
  <c r="W14" i="41"/>
  <c r="V14" i="41" a="1"/>
  <c r="V14" i="41" s="1"/>
  <c r="T565" i="41" a="1"/>
  <c r="T565" i="41" s="1"/>
  <c r="U565" i="41" s="1"/>
  <c r="W565" i="41"/>
  <c r="V565" i="41" a="1"/>
  <c r="V565" i="41" s="1"/>
  <c r="W549" i="41"/>
  <c r="V549" i="41" a="1"/>
  <c r="V549" i="41" s="1"/>
  <c r="T517" i="41" a="1"/>
  <c r="T517" i="41" s="1"/>
  <c r="U517" i="41" s="1"/>
  <c r="W517" i="41"/>
  <c r="V517" i="41" a="1"/>
  <c r="V517" i="41" s="1"/>
  <c r="T485" i="41" a="1"/>
  <c r="T485" i="41" s="1"/>
  <c r="U485" i="41" s="1"/>
  <c r="W485" i="41"/>
  <c r="V485" i="41" a="1"/>
  <c r="V485" i="41" s="1"/>
  <c r="T453" i="41" a="1"/>
  <c r="T453" i="41" s="1"/>
  <c r="U453" i="41" s="1"/>
  <c r="W453" i="41"/>
  <c r="V453" i="41" a="1"/>
  <c r="V453" i="41" s="1"/>
  <c r="T421" i="41" a="1"/>
  <c r="T421" i="41" s="1"/>
  <c r="U421" i="41" s="1"/>
  <c r="W421" i="41"/>
  <c r="V421" i="41" a="1"/>
  <c r="V421" i="41" s="1"/>
  <c r="W405" i="41"/>
  <c r="V405" i="41" a="1"/>
  <c r="V405" i="41" s="1"/>
  <c r="W381" i="41"/>
  <c r="V381" i="41" a="1"/>
  <c r="V381" i="41" s="1"/>
  <c r="T341" i="41" a="1"/>
  <c r="T341" i="41" s="1"/>
  <c r="U341" i="41" s="1"/>
  <c r="W341" i="41"/>
  <c r="V341" i="41" a="1"/>
  <c r="V341" i="41" s="1"/>
  <c r="W309" i="41"/>
  <c r="V309" i="41" a="1"/>
  <c r="V309" i="41" s="1"/>
  <c r="W301" i="41"/>
  <c r="V301" i="41" a="1"/>
  <c r="V301" i="41" s="1"/>
  <c r="W253" i="41"/>
  <c r="V253" i="41" a="1"/>
  <c r="V253" i="41" s="1"/>
  <c r="W229" i="41"/>
  <c r="V229" i="41" a="1"/>
  <c r="V229" i="41" s="1"/>
  <c r="W197" i="41"/>
  <c r="V197" i="41" a="1"/>
  <c r="V197" i="41" s="1"/>
  <c r="W165" i="41"/>
  <c r="V165" i="41" a="1"/>
  <c r="V165" i="41" s="1"/>
  <c r="W125" i="41"/>
  <c r="V125" i="41" a="1"/>
  <c r="V125" i="41" s="1"/>
  <c r="W93" i="41"/>
  <c r="V93" i="41" a="1"/>
  <c r="V93" i="41" s="1"/>
  <c r="W53" i="41"/>
  <c r="V53" i="41" a="1"/>
  <c r="V53" i="41" s="1"/>
  <c r="V21" i="41" a="1"/>
  <c r="V21" i="41" s="1"/>
  <c r="W21" i="41"/>
  <c r="W579" i="41"/>
  <c r="V579" i="41" a="1"/>
  <c r="V579" i="41" s="1"/>
  <c r="W578" i="41"/>
  <c r="V578" i="41" a="1"/>
  <c r="V578" i="41" s="1"/>
  <c r="W570" i="41"/>
  <c r="V570" i="41" a="1"/>
  <c r="V570" i="41" s="1"/>
  <c r="W562" i="41"/>
  <c r="V562" i="41" a="1"/>
  <c r="V562" i="41" s="1"/>
  <c r="W554" i="41"/>
  <c r="V554" i="41" a="1"/>
  <c r="V554" i="41" s="1"/>
  <c r="W546" i="41"/>
  <c r="V546" i="41" a="1"/>
  <c r="V546" i="41" s="1"/>
  <c r="W538" i="41"/>
  <c r="V538" i="41" a="1"/>
  <c r="V538" i="41" s="1"/>
  <c r="W530" i="41"/>
  <c r="V530" i="41" a="1"/>
  <c r="V530" i="41" s="1"/>
  <c r="W522" i="41"/>
  <c r="V522" i="41" a="1"/>
  <c r="V522" i="41" s="1"/>
  <c r="W514" i="41"/>
  <c r="V514" i="41" a="1"/>
  <c r="V514" i="41" s="1"/>
  <c r="W506" i="41"/>
  <c r="V506" i="41" a="1"/>
  <c r="V506" i="41" s="1"/>
  <c r="W498" i="41"/>
  <c r="V498" i="41" a="1"/>
  <c r="V498" i="41" s="1"/>
  <c r="W490" i="41"/>
  <c r="V490" i="41" a="1"/>
  <c r="V490" i="41" s="1"/>
  <c r="W482" i="41"/>
  <c r="V482" i="41" a="1"/>
  <c r="V482" i="41" s="1"/>
  <c r="W474" i="41"/>
  <c r="V474" i="41" a="1"/>
  <c r="V474" i="41" s="1"/>
  <c r="W466" i="41"/>
  <c r="V466" i="41" a="1"/>
  <c r="V466" i="41" s="1"/>
  <c r="W458" i="41"/>
  <c r="V458" i="41" a="1"/>
  <c r="V458" i="41" s="1"/>
  <c r="W450" i="41"/>
  <c r="V450" i="41" a="1"/>
  <c r="V450" i="41" s="1"/>
  <c r="W442" i="41"/>
  <c r="V442" i="41" a="1"/>
  <c r="V442" i="41" s="1"/>
  <c r="W434" i="41"/>
  <c r="V434" i="41" a="1"/>
  <c r="V434" i="41" s="1"/>
  <c r="W426" i="41"/>
  <c r="V426" i="41" a="1"/>
  <c r="V426" i="41" s="1"/>
  <c r="W418" i="41"/>
  <c r="V418" i="41" a="1"/>
  <c r="V418" i="41" s="1"/>
  <c r="W410" i="41"/>
  <c r="V410" i="41" a="1"/>
  <c r="V410" i="41" s="1"/>
  <c r="W402" i="41"/>
  <c r="V402" i="41" a="1"/>
  <c r="V402" i="41" s="1"/>
  <c r="W394" i="41"/>
  <c r="V394" i="41" a="1"/>
  <c r="V394" i="41" s="1"/>
  <c r="T386" i="41" a="1"/>
  <c r="T386" i="41" s="1"/>
  <c r="U386" i="41" s="1"/>
  <c r="W386" i="41"/>
  <c r="V386" i="41" a="1"/>
  <c r="V386" i="41" s="1"/>
  <c r="W378" i="41"/>
  <c r="V378" i="41" a="1"/>
  <c r="V378" i="41" s="1"/>
  <c r="W370" i="41"/>
  <c r="V370" i="41" a="1"/>
  <c r="V370" i="41" s="1"/>
  <c r="W362" i="41"/>
  <c r="V362" i="41" a="1"/>
  <c r="V362" i="41" s="1"/>
  <c r="W354" i="41"/>
  <c r="V354" i="41" a="1"/>
  <c r="V354" i="41" s="1"/>
  <c r="W346" i="41"/>
  <c r="V346" i="41" a="1"/>
  <c r="V346" i="41" s="1"/>
  <c r="W338" i="41"/>
  <c r="V338" i="41" a="1"/>
  <c r="V338" i="41" s="1"/>
  <c r="W330" i="41"/>
  <c r="V330" i="41" a="1"/>
  <c r="V330" i="41" s="1"/>
  <c r="W322" i="41"/>
  <c r="V322" i="41" a="1"/>
  <c r="V322" i="41" s="1"/>
  <c r="W314" i="41"/>
  <c r="V314" i="41" a="1"/>
  <c r="V314" i="41" s="1"/>
  <c r="W306" i="41"/>
  <c r="V306" i="41" a="1"/>
  <c r="V306" i="41" s="1"/>
  <c r="W298" i="41"/>
  <c r="V298" i="41" a="1"/>
  <c r="V298" i="41" s="1"/>
  <c r="W290" i="41"/>
  <c r="V290" i="41" a="1"/>
  <c r="V290" i="41" s="1"/>
  <c r="W282" i="41"/>
  <c r="V282" i="41" a="1"/>
  <c r="V282" i="41" s="1"/>
  <c r="W274" i="41"/>
  <c r="V274" i="41" a="1"/>
  <c r="V274" i="41" s="1"/>
  <c r="W266" i="41"/>
  <c r="V266" i="41" a="1"/>
  <c r="V266" i="41" s="1"/>
  <c r="W258" i="41"/>
  <c r="V258" i="41" a="1"/>
  <c r="V258" i="41" s="1"/>
  <c r="W250" i="41"/>
  <c r="V250" i="41" a="1"/>
  <c r="V250" i="41" s="1"/>
  <c r="W242" i="41"/>
  <c r="V242" i="41" a="1"/>
  <c r="V242" i="41" s="1"/>
  <c r="W234" i="41"/>
  <c r="V234" i="41" a="1"/>
  <c r="V234" i="41" s="1"/>
  <c r="W226" i="41"/>
  <c r="V226" i="41" a="1"/>
  <c r="V226" i="41" s="1"/>
  <c r="W218" i="41"/>
  <c r="V218" i="41" a="1"/>
  <c r="V218" i="41" s="1"/>
  <c r="W210" i="41"/>
  <c r="V210" i="41" a="1"/>
  <c r="V210" i="41" s="1"/>
  <c r="W202" i="41"/>
  <c r="V202" i="41" a="1"/>
  <c r="V202" i="41" s="1"/>
  <c r="W194" i="41"/>
  <c r="V194" i="41" a="1"/>
  <c r="V194" i="41" s="1"/>
  <c r="W186" i="41"/>
  <c r="V186" i="41" a="1"/>
  <c r="V186" i="41" s="1"/>
  <c r="W178" i="41"/>
  <c r="V178" i="41" a="1"/>
  <c r="V178" i="41" s="1"/>
  <c r="W170" i="41"/>
  <c r="V170" i="41" a="1"/>
  <c r="V170" i="41" s="1"/>
  <c r="W162" i="41"/>
  <c r="V162" i="41" a="1"/>
  <c r="V162" i="41" s="1"/>
  <c r="W154" i="41"/>
  <c r="V154" i="41" a="1"/>
  <c r="V154" i="41" s="1"/>
  <c r="W146" i="41"/>
  <c r="V146" i="41" a="1"/>
  <c r="V146" i="41" s="1"/>
  <c r="W138" i="41"/>
  <c r="V138" i="41" a="1"/>
  <c r="V138" i="41" s="1"/>
  <c r="W130" i="41"/>
  <c r="V130" i="41" a="1"/>
  <c r="V130" i="41" s="1"/>
  <c r="W122" i="41"/>
  <c r="V122" i="41" a="1"/>
  <c r="V122" i="41" s="1"/>
  <c r="W114" i="41"/>
  <c r="V114" i="41" a="1"/>
  <c r="V114" i="41" s="1"/>
  <c r="W106" i="41"/>
  <c r="V106" i="41" a="1"/>
  <c r="V106" i="41" s="1"/>
  <c r="W98" i="41"/>
  <c r="V98" i="41" a="1"/>
  <c r="V98" i="41" s="1"/>
  <c r="W90" i="41"/>
  <c r="V90" i="41" a="1"/>
  <c r="V90" i="41" s="1"/>
  <c r="W82" i="41"/>
  <c r="V82" i="41" a="1"/>
  <c r="V82" i="41" s="1"/>
  <c r="W74" i="41"/>
  <c r="V74" i="41" a="1"/>
  <c r="V74" i="41" s="1"/>
  <c r="W66" i="41"/>
  <c r="V66" i="41" a="1"/>
  <c r="V66" i="41" s="1"/>
  <c r="W58" i="41"/>
  <c r="V58" i="41" a="1"/>
  <c r="V58" i="41" s="1"/>
  <c r="W50" i="41"/>
  <c r="V50" i="41" a="1"/>
  <c r="V50" i="41" s="1"/>
  <c r="W42" i="41"/>
  <c r="V42" i="41" a="1"/>
  <c r="V42" i="41" s="1"/>
  <c r="W34" i="41"/>
  <c r="V34" i="41" a="1"/>
  <c r="V34" i="41" s="1"/>
  <c r="W26" i="41"/>
  <c r="V26" i="41" a="1"/>
  <c r="V26" i="41" s="1"/>
  <c r="W18" i="41"/>
  <c r="V18" i="41" a="1"/>
  <c r="V18" i="41" s="1"/>
  <c r="W10" i="41"/>
  <c r="V10" i="41" a="1"/>
  <c r="V10" i="41" s="1"/>
  <c r="W521" i="41"/>
  <c r="V521" i="41" a="1"/>
  <c r="V521" i="41" s="1"/>
  <c r="W513" i="41"/>
  <c r="V513" i="41" a="1"/>
  <c r="V513" i="41" s="1"/>
  <c r="W505" i="41"/>
  <c r="V505" i="41" a="1"/>
  <c r="V505" i="41" s="1"/>
  <c r="W497" i="41"/>
  <c r="V497" i="41" a="1"/>
  <c r="V497" i="41" s="1"/>
  <c r="W489" i="41"/>
  <c r="V489" i="41" a="1"/>
  <c r="V489" i="41" s="1"/>
  <c r="W481" i="41"/>
  <c r="V481" i="41" a="1"/>
  <c r="V481" i="41" s="1"/>
  <c r="W473" i="41"/>
  <c r="V473" i="41" a="1"/>
  <c r="V473" i="41" s="1"/>
  <c r="W465" i="41"/>
  <c r="V465" i="41" a="1"/>
  <c r="V465" i="41" s="1"/>
  <c r="W457" i="41"/>
  <c r="V457" i="41" a="1"/>
  <c r="V457" i="41" s="1"/>
  <c r="W449" i="41"/>
  <c r="V449" i="41" a="1"/>
  <c r="V449" i="41" s="1"/>
  <c r="W441" i="41"/>
  <c r="V441" i="41" a="1"/>
  <c r="V441" i="41" s="1"/>
  <c r="T433" i="41" a="1"/>
  <c r="T433" i="41" s="1"/>
  <c r="U433" i="41" s="1"/>
  <c r="W433" i="41"/>
  <c r="V433" i="41" a="1"/>
  <c r="V433" i="41" s="1"/>
  <c r="W425" i="41"/>
  <c r="V425" i="41" a="1"/>
  <c r="V425" i="41" s="1"/>
  <c r="T417" i="41" a="1"/>
  <c r="T417" i="41" s="1"/>
  <c r="U417" i="41" s="1"/>
  <c r="W417" i="41"/>
  <c r="V417" i="41" a="1"/>
  <c r="V417" i="41" s="1"/>
  <c r="W409" i="41"/>
  <c r="V409" i="41" a="1"/>
  <c r="V409" i="41" s="1"/>
  <c r="T401" i="41" a="1"/>
  <c r="T401" i="41" s="1"/>
  <c r="U401" i="41" s="1"/>
  <c r="W401" i="41"/>
  <c r="V401" i="41" a="1"/>
  <c r="V401" i="41" s="1"/>
  <c r="W393" i="41"/>
  <c r="V393" i="41" a="1"/>
  <c r="V393" i="41" s="1"/>
  <c r="W385" i="41"/>
  <c r="V385" i="41" a="1"/>
  <c r="V385" i="41" s="1"/>
  <c r="W377" i="41"/>
  <c r="V377" i="41" a="1"/>
  <c r="V377" i="41" s="1"/>
  <c r="W369" i="41"/>
  <c r="V369" i="41" a="1"/>
  <c r="V369" i="41" s="1"/>
  <c r="W361" i="41"/>
  <c r="V361" i="41" a="1"/>
  <c r="V361" i="41" s="1"/>
  <c r="W353" i="41"/>
  <c r="V353" i="41" a="1"/>
  <c r="V353" i="41" s="1"/>
  <c r="W345" i="41"/>
  <c r="V345" i="41" a="1"/>
  <c r="V345" i="41" s="1"/>
  <c r="W337" i="41"/>
  <c r="V337" i="41" a="1"/>
  <c r="V337" i="41" s="1"/>
  <c r="W329" i="41"/>
  <c r="V329" i="41" a="1"/>
  <c r="V329" i="41" s="1"/>
  <c r="W321" i="41"/>
  <c r="V321" i="41" a="1"/>
  <c r="V321" i="41" s="1"/>
  <c r="W313" i="41"/>
  <c r="V313" i="41" a="1"/>
  <c r="V313" i="41" s="1"/>
  <c r="W305" i="41"/>
  <c r="V305" i="41" a="1"/>
  <c r="V305" i="41" s="1"/>
  <c r="W297" i="41"/>
  <c r="V297" i="41" a="1"/>
  <c r="V297" i="41" s="1"/>
  <c r="W289" i="41"/>
  <c r="V289" i="41" a="1"/>
  <c r="V289" i="41" s="1"/>
  <c r="W281" i="41"/>
  <c r="V281" i="41" a="1"/>
  <c r="V281" i="41" s="1"/>
  <c r="W273" i="41"/>
  <c r="V273" i="41" a="1"/>
  <c r="V273" i="41" s="1"/>
  <c r="W265" i="41"/>
  <c r="V265" i="41" a="1"/>
  <c r="V265" i="41" s="1"/>
  <c r="W257" i="41"/>
  <c r="V257" i="41" a="1"/>
  <c r="V257" i="41" s="1"/>
  <c r="W249" i="41"/>
  <c r="V249" i="41" a="1"/>
  <c r="V249" i="41" s="1"/>
  <c r="W241" i="41"/>
  <c r="V241" i="41" a="1"/>
  <c r="V241" i="41" s="1"/>
  <c r="W233" i="41"/>
  <c r="V233" i="41" a="1"/>
  <c r="V233" i="41" s="1"/>
  <c r="W225" i="41"/>
  <c r="V225" i="41" a="1"/>
  <c r="V225" i="41" s="1"/>
  <c r="W217" i="41"/>
  <c r="V217" i="41" a="1"/>
  <c r="V217" i="41" s="1"/>
  <c r="W209" i="41"/>
  <c r="V209" i="41" a="1"/>
  <c r="V209" i="41" s="1"/>
  <c r="W201" i="41"/>
  <c r="V201" i="41" a="1"/>
  <c r="V201" i="41" s="1"/>
  <c r="W193" i="41"/>
  <c r="V193" i="41" a="1"/>
  <c r="V193" i="41" s="1"/>
  <c r="W185" i="41"/>
  <c r="V185" i="41" a="1"/>
  <c r="V185" i="41" s="1"/>
  <c r="W177" i="41"/>
  <c r="V177" i="41" a="1"/>
  <c r="V177" i="41" s="1"/>
  <c r="W169" i="41"/>
  <c r="V169" i="41" a="1"/>
  <c r="V169" i="41" s="1"/>
  <c r="W161" i="41"/>
  <c r="V161" i="41" a="1"/>
  <c r="V161" i="41" s="1"/>
  <c r="W153" i="41"/>
  <c r="V153" i="41" a="1"/>
  <c r="V153" i="41" s="1"/>
  <c r="W145" i="41"/>
  <c r="V145" i="41" a="1"/>
  <c r="V145" i="41" s="1"/>
  <c r="W137" i="41"/>
  <c r="V137" i="41" a="1"/>
  <c r="V137" i="41" s="1"/>
  <c r="W129" i="41"/>
  <c r="V129" i="41" a="1"/>
  <c r="V129" i="41" s="1"/>
  <c r="W121" i="41"/>
  <c r="V121" i="41" a="1"/>
  <c r="V121" i="41" s="1"/>
  <c r="W113" i="41"/>
  <c r="V113" i="41" a="1"/>
  <c r="V113" i="41" s="1"/>
  <c r="W105" i="41"/>
  <c r="V105" i="41" a="1"/>
  <c r="V105" i="41" s="1"/>
  <c r="W97" i="41"/>
  <c r="V97" i="41" a="1"/>
  <c r="V97" i="41" s="1"/>
  <c r="W89" i="41"/>
  <c r="V89" i="41" a="1"/>
  <c r="V89" i="41" s="1"/>
  <c r="W81" i="41"/>
  <c r="V81" i="41" a="1"/>
  <c r="V81" i="41" s="1"/>
  <c r="W73" i="41"/>
  <c r="V73" i="41" a="1"/>
  <c r="V73" i="41" s="1"/>
  <c r="W65" i="41"/>
  <c r="V65" i="41" a="1"/>
  <c r="V65" i="41" s="1"/>
  <c r="W57" i="41"/>
  <c r="V57" i="41" a="1"/>
  <c r="V57" i="41" s="1"/>
  <c r="W49" i="41"/>
  <c r="V49" i="41" a="1"/>
  <c r="V49" i="41" s="1"/>
  <c r="W41" i="41"/>
  <c r="V41" i="41" a="1"/>
  <c r="V41" i="41" s="1"/>
  <c r="W33" i="41"/>
  <c r="V33" i="41" a="1"/>
  <c r="V33" i="41" s="1"/>
  <c r="W25" i="41"/>
  <c r="V25" i="41" a="1"/>
  <c r="V25" i="41" s="1"/>
  <c r="W17" i="41"/>
  <c r="V17" i="41" a="1"/>
  <c r="V17" i="41" s="1"/>
  <c r="W9" i="41"/>
  <c r="V9" i="41" a="1"/>
  <c r="V9" i="41" s="1"/>
  <c r="T287" i="41" a="1"/>
  <c r="T287" i="41" s="1"/>
  <c r="U287" i="41" s="1"/>
  <c r="T342" i="41" a="1"/>
  <c r="T342" i="41" s="1"/>
  <c r="U342" i="41" s="1"/>
  <c r="T318" i="41" a="1"/>
  <c r="T318" i="41" s="1"/>
  <c r="U318" i="41" s="1"/>
  <c r="T413" i="41" a="1"/>
  <c r="T413" i="41" s="1"/>
  <c r="U413" i="41" s="1"/>
  <c r="T425" i="41" a="1"/>
  <c r="T425" i="41" s="1"/>
  <c r="U425" i="41" s="1"/>
  <c r="T409" i="41" a="1"/>
  <c r="T409" i="41" s="1"/>
  <c r="U409" i="41" s="1"/>
  <c r="T385" i="41" a="1"/>
  <c r="T385" i="41" s="1"/>
  <c r="U385" i="41" s="1"/>
  <c r="T377" i="41" a="1"/>
  <c r="T377" i="41" s="1"/>
  <c r="U377" i="41" s="1"/>
  <c r="T446" i="41" a="1"/>
  <c r="T446" i="41" s="1"/>
  <c r="U446" i="41" s="1"/>
  <c r="T440" i="41" a="1"/>
  <c r="T440" i="41" s="1"/>
  <c r="U440" i="41" s="1"/>
  <c r="T392" i="41" a="1"/>
  <c r="T392" i="41" s="1"/>
  <c r="U392" i="41" s="1"/>
  <c r="T374" i="41" a="1"/>
  <c r="T374" i="41" s="1"/>
  <c r="U374" i="41" s="1"/>
  <c r="T368" i="41" a="1"/>
  <c r="T368" i="41" s="1"/>
  <c r="U368" i="41" s="1"/>
  <c r="T573" i="41" a="1"/>
  <c r="T573" i="41" s="1"/>
  <c r="U573" i="41" s="1"/>
  <c r="T350" i="41" a="1"/>
  <c r="T350" i="41" s="1"/>
  <c r="U350" i="41" s="1"/>
  <c r="T344" i="41" a="1"/>
  <c r="T344" i="41" s="1"/>
  <c r="U344" i="41" s="1"/>
  <c r="T326" i="41" a="1"/>
  <c r="T326" i="41" s="1"/>
  <c r="U326" i="41" s="1"/>
  <c r="T302" i="41" a="1"/>
  <c r="T302" i="41" s="1"/>
  <c r="U302" i="41" s="1"/>
  <c r="T278" i="41" a="1"/>
  <c r="T278" i="41" s="1"/>
  <c r="U278" i="41" s="1"/>
  <c r="T294" i="41" a="1"/>
  <c r="T294" i="41" s="1"/>
  <c r="U294" i="41" s="1"/>
  <c r="T361" i="41" a="1"/>
  <c r="T361" i="41" s="1"/>
  <c r="U361" i="41" s="1"/>
  <c r="T343" i="41" a="1"/>
  <c r="T343" i="41" s="1"/>
  <c r="U343" i="41" s="1"/>
  <c r="T319" i="41" a="1"/>
  <c r="T319" i="41" s="1"/>
  <c r="U319" i="41" s="1"/>
  <c r="T295" i="41" a="1"/>
  <c r="T295" i="41" s="1"/>
  <c r="U295" i="41" s="1"/>
  <c r="T271" i="41" a="1"/>
  <c r="T271" i="41" s="1"/>
  <c r="U271" i="41" s="1"/>
  <c r="T353" i="41" a="1"/>
  <c r="T353" i="41" s="1"/>
  <c r="U353" i="41" s="1"/>
  <c r="T337" i="41" a="1"/>
  <c r="T337" i="41" s="1"/>
  <c r="U337" i="41" s="1"/>
  <c r="T329" i="41" a="1"/>
  <c r="T329" i="41" s="1"/>
  <c r="U329" i="41" s="1"/>
  <c r="T313" i="41" a="1"/>
  <c r="T313" i="41" s="1"/>
  <c r="U313" i="41" s="1"/>
  <c r="T305" i="41" a="1"/>
  <c r="T305" i="41" s="1"/>
  <c r="U305" i="41" s="1"/>
  <c r="T289" i="41" a="1"/>
  <c r="T289" i="41" s="1"/>
  <c r="U289" i="41" s="1"/>
  <c r="T281" i="41" a="1"/>
  <c r="T281" i="41" s="1"/>
  <c r="U281" i="41" s="1"/>
  <c r="T320" i="41" a="1"/>
  <c r="T320" i="41" s="1"/>
  <c r="U320" i="41" s="1"/>
  <c r="T571" i="41" a="1"/>
  <c r="T571" i="41" s="1"/>
  <c r="U571" i="41" s="1"/>
  <c r="T547" i="41" a="1"/>
  <c r="T547" i="41" s="1"/>
  <c r="U547" i="41" s="1"/>
  <c r="T523" i="41" a="1"/>
  <c r="T523" i="41" s="1"/>
  <c r="U523" i="41" s="1"/>
  <c r="T499" i="41" a="1"/>
  <c r="T499" i="41" s="1"/>
  <c r="U499" i="41" s="1"/>
  <c r="T419" i="41" a="1"/>
  <c r="T419" i="41" s="1"/>
  <c r="U419" i="41" s="1"/>
  <c r="T251" i="41" a="1"/>
  <c r="T251" i="41" s="1"/>
  <c r="U251" i="41" s="1"/>
  <c r="T203" i="41" a="1"/>
  <c r="T203" i="41" s="1"/>
  <c r="U203" i="41" s="1"/>
  <c r="T179" i="41" a="1"/>
  <c r="T179" i="41" s="1"/>
  <c r="U179" i="41" s="1"/>
  <c r="T155" i="41" a="1"/>
  <c r="T155" i="41" s="1"/>
  <c r="U155" i="41" s="1"/>
  <c r="T579" i="41" a="1"/>
  <c r="T579" i="41" s="1"/>
  <c r="U579" i="41" s="1"/>
  <c r="T563" i="41" a="1"/>
  <c r="T563" i="41" s="1"/>
  <c r="U563" i="41" s="1"/>
  <c r="T539" i="41" a="1"/>
  <c r="T539" i="41" s="1"/>
  <c r="U539" i="41" s="1"/>
  <c r="T515" i="41" a="1"/>
  <c r="T515" i="41" s="1"/>
  <c r="U515" i="41" s="1"/>
  <c r="T491" i="41" a="1"/>
  <c r="T491" i="41" s="1"/>
  <c r="U491" i="41" s="1"/>
  <c r="T443" i="41" a="1"/>
  <c r="T443" i="41" s="1"/>
  <c r="U443" i="41" s="1"/>
  <c r="T235" i="41" a="1"/>
  <c r="T235" i="41" s="1"/>
  <c r="U235" i="41" s="1"/>
  <c r="T227" i="41" a="1"/>
  <c r="T227" i="41" s="1"/>
  <c r="U227" i="41" s="1"/>
  <c r="T187" i="41" a="1"/>
  <c r="T187" i="41" s="1"/>
  <c r="U187" i="41" s="1"/>
  <c r="T270" i="41" a="1"/>
  <c r="T270" i="41" s="1"/>
  <c r="U270" i="41" s="1"/>
  <c r="T373" i="41" a="1"/>
  <c r="T373" i="41" s="1"/>
  <c r="U373" i="41" s="1"/>
  <c r="T349" i="41" a="1"/>
  <c r="T349" i="41" s="1"/>
  <c r="U349" i="41" s="1"/>
  <c r="T325" i="41" a="1"/>
  <c r="T325" i="41" s="1"/>
  <c r="U325" i="41" s="1"/>
  <c r="T317" i="41" a="1"/>
  <c r="T317" i="41" s="1"/>
  <c r="U317" i="41" s="1"/>
  <c r="T301" i="41" a="1"/>
  <c r="T301" i="41" s="1"/>
  <c r="U301" i="41" s="1"/>
  <c r="T293" i="41" a="1"/>
  <c r="T293" i="41" s="1"/>
  <c r="U293" i="41" s="1"/>
  <c r="T277" i="41" a="1"/>
  <c r="T277" i="41" s="1"/>
  <c r="U277" i="41" s="1"/>
  <c r="T269" i="41" a="1"/>
  <c r="T269" i="41" s="1"/>
  <c r="U269" i="41" s="1"/>
  <c r="T365" i="41" a="1"/>
  <c r="T365" i="41" s="1"/>
  <c r="U365" i="41" s="1"/>
  <c r="T402" i="41" a="1"/>
  <c r="T402" i="41" s="1"/>
  <c r="U402" i="41" s="1"/>
  <c r="T574" i="41" a="1"/>
  <c r="T574" i="41" s="1"/>
  <c r="U574" i="41" s="1"/>
  <c r="T550" i="41" a="1"/>
  <c r="T550" i="41" s="1"/>
  <c r="U550" i="41" s="1"/>
  <c r="T502" i="41" a="1"/>
  <c r="T502" i="41" s="1"/>
  <c r="U502" i="41" s="1"/>
  <c r="T478" i="41" a="1"/>
  <c r="T478" i="41" s="1"/>
  <c r="U478" i="41" s="1"/>
  <c r="T472" i="41" a="1"/>
  <c r="T472" i="41" s="1"/>
  <c r="U472" i="41" s="1"/>
  <c r="T448" i="41" a="1"/>
  <c r="T448" i="41" s="1"/>
  <c r="U448" i="41" s="1"/>
  <c r="T430" i="41" a="1"/>
  <c r="T430" i="41" s="1"/>
  <c r="U430" i="41" s="1"/>
  <c r="T424" i="41" a="1"/>
  <c r="T424" i="41" s="1"/>
  <c r="U424" i="41" s="1"/>
  <c r="T406" i="41" a="1"/>
  <c r="T406" i="41" s="1"/>
  <c r="U406" i="41" s="1"/>
  <c r="T400" i="41" a="1"/>
  <c r="T400" i="41" s="1"/>
  <c r="U400" i="41" s="1"/>
  <c r="T394" i="41" a="1"/>
  <c r="T394" i="41" s="1"/>
  <c r="U394" i="41" s="1"/>
  <c r="T382" i="41" a="1"/>
  <c r="T382" i="41" s="1"/>
  <c r="U382" i="41" s="1"/>
  <c r="T376" i="41" a="1"/>
  <c r="T376" i="41" s="1"/>
  <c r="U376" i="41" s="1"/>
  <c r="T358" i="41" a="1"/>
  <c r="T358" i="41" s="1"/>
  <c r="U358" i="41" s="1"/>
  <c r="T352" i="41" a="1"/>
  <c r="T352" i="41" s="1"/>
  <c r="U352" i="41" s="1"/>
  <c r="T334" i="41" a="1"/>
  <c r="T334" i="41" s="1"/>
  <c r="U334" i="41" s="1"/>
  <c r="T328" i="41" a="1"/>
  <c r="T328" i="41" s="1"/>
  <c r="U328" i="41" s="1"/>
  <c r="T310" i="41" a="1"/>
  <c r="T310" i="41" s="1"/>
  <c r="U310" i="41" s="1"/>
  <c r="T286" i="41" a="1"/>
  <c r="T286" i="41" s="1"/>
  <c r="U286" i="41" s="1"/>
  <c r="T555" i="41" a="1"/>
  <c r="T555" i="41" s="1"/>
  <c r="U555" i="41" s="1"/>
  <c r="T531" i="41" a="1"/>
  <c r="T531" i="41" s="1"/>
  <c r="U531" i="41" s="1"/>
  <c r="T519" i="41" a="1"/>
  <c r="T519" i="41" s="1"/>
  <c r="U519" i="41" s="1"/>
  <c r="T501" i="41" a="1"/>
  <c r="T501" i="41" s="1"/>
  <c r="U501" i="41" s="1"/>
  <c r="T477" i="41" a="1"/>
  <c r="T477" i="41" s="1"/>
  <c r="U477" i="41" s="1"/>
  <c r="T459" i="41" a="1"/>
  <c r="T459" i="41" s="1"/>
  <c r="U459" i="41" s="1"/>
  <c r="T447" i="41" a="1"/>
  <c r="T447" i="41" s="1"/>
  <c r="U447" i="41" s="1"/>
  <c r="T423" i="41" a="1"/>
  <c r="T423" i="41" s="1"/>
  <c r="U423" i="41" s="1"/>
  <c r="T405" i="41" a="1"/>
  <c r="T405" i="41" s="1"/>
  <c r="U405" i="41" s="1"/>
  <c r="T399" i="41" a="1"/>
  <c r="T399" i="41" s="1"/>
  <c r="U399" i="41" s="1"/>
  <c r="T393" i="41" a="1"/>
  <c r="T393" i="41" s="1"/>
  <c r="U393" i="41" s="1"/>
  <c r="T381" i="41" a="1"/>
  <c r="T381" i="41" s="1"/>
  <c r="U381" i="41" s="1"/>
  <c r="T375" i="41" a="1"/>
  <c r="T375" i="41" s="1"/>
  <c r="U375" i="41" s="1"/>
  <c r="T369" i="41" a="1"/>
  <c r="T369" i="41" s="1"/>
  <c r="U369" i="41" s="1"/>
  <c r="T357" i="41" a="1"/>
  <c r="T357" i="41" s="1"/>
  <c r="U357" i="41" s="1"/>
  <c r="T351" i="41" a="1"/>
  <c r="T351" i="41" s="1"/>
  <c r="U351" i="41" s="1"/>
  <c r="T345" i="41" a="1"/>
  <c r="T345" i="41" s="1"/>
  <c r="U345" i="41" s="1"/>
  <c r="T333" i="41" a="1"/>
  <c r="T333" i="41" s="1"/>
  <c r="U333" i="41" s="1"/>
  <c r="T327" i="41" a="1"/>
  <c r="T327" i="41" s="1"/>
  <c r="U327" i="41" s="1"/>
  <c r="T321" i="41" a="1"/>
  <c r="T321" i="41" s="1"/>
  <c r="U321" i="41" s="1"/>
  <c r="T309" i="41" a="1"/>
  <c r="T309" i="41" s="1"/>
  <c r="U309" i="41" s="1"/>
  <c r="T303" i="41" a="1"/>
  <c r="T303" i="41" s="1"/>
  <c r="U303" i="41" s="1"/>
  <c r="T297" i="41" a="1"/>
  <c r="T297" i="41" s="1"/>
  <c r="U297" i="41" s="1"/>
  <c r="T285" i="41" a="1"/>
  <c r="T285" i="41" s="1"/>
  <c r="U285" i="41" s="1"/>
  <c r="T273" i="41" a="1"/>
  <c r="T273" i="41" s="1"/>
  <c r="U273" i="41" s="1"/>
  <c r="T267" i="41" a="1"/>
  <c r="T267" i="41" s="1"/>
  <c r="U267" i="41" s="1"/>
  <c r="T243" i="41" a="1"/>
  <c r="T243" i="41" s="1"/>
  <c r="U243" i="41" s="1"/>
  <c r="T195" i="41" a="1"/>
  <c r="T195" i="41" s="1"/>
  <c r="U195" i="41" s="1"/>
  <c r="T171" i="41" a="1"/>
  <c r="T171" i="41" s="1"/>
  <c r="U171" i="41" s="1"/>
  <c r="T549" i="41" a="1"/>
  <c r="T549" i="41" s="1"/>
  <c r="U549" i="41" s="1"/>
  <c r="T525" i="41" a="1"/>
  <c r="T525" i="41" s="1"/>
  <c r="U525" i="41" s="1"/>
  <c r="T507" i="41" a="1"/>
  <c r="T507" i="41" s="1"/>
  <c r="U507" i="41" s="1"/>
  <c r="T495" i="41" a="1"/>
  <c r="T495" i="41" s="1"/>
  <c r="U495" i="41" s="1"/>
  <c r="T429" i="41" a="1"/>
  <c r="T429" i="41" s="1"/>
  <c r="U429" i="41" s="1"/>
  <c r="T296" i="41" a="1"/>
  <c r="T296" i="41" s="1"/>
  <c r="U296" i="41" s="1"/>
  <c r="T288" i="41" a="1"/>
  <c r="T288" i="41" s="1"/>
  <c r="U288" i="41" s="1"/>
  <c r="T280" i="41" a="1"/>
  <c r="T280" i="41" s="1"/>
  <c r="U280" i="41" s="1"/>
  <c r="T272" i="41" a="1"/>
  <c r="T272" i="41" s="1"/>
  <c r="U272" i="41" s="1"/>
  <c r="T378" i="41" a="1"/>
  <c r="T378" i="41" s="1"/>
  <c r="U378" i="41" s="1"/>
  <c r="T370" i="41" a="1"/>
  <c r="T370" i="41" s="1"/>
  <c r="U370" i="41" s="1"/>
  <c r="T362" i="41" a="1"/>
  <c r="T362" i="41" s="1"/>
  <c r="U362" i="41" s="1"/>
  <c r="T354" i="41" a="1"/>
  <c r="T354" i="41" s="1"/>
  <c r="U354" i="41" s="1"/>
  <c r="T346" i="41" a="1"/>
  <c r="T346" i="41" s="1"/>
  <c r="U346" i="41" s="1"/>
  <c r="T580" i="41" a="1"/>
  <c r="T580" i="41" s="1"/>
  <c r="U580" i="41" s="1"/>
  <c r="T572" i="41" a="1"/>
  <c r="T572" i="41" s="1"/>
  <c r="U572" i="41" s="1"/>
  <c r="T564" i="41" a="1"/>
  <c r="T564" i="41" s="1"/>
  <c r="U564" i="41" s="1"/>
  <c r="T556" i="41" a="1"/>
  <c r="T556" i="41" s="1"/>
  <c r="U556" i="41" s="1"/>
  <c r="T548" i="41" a="1"/>
  <c r="T548" i="41" s="1"/>
  <c r="U548" i="41" s="1"/>
  <c r="T540" i="41" a="1"/>
  <c r="T540" i="41" s="1"/>
  <c r="U540" i="41" s="1"/>
  <c r="T532" i="41" a="1"/>
  <c r="T532" i="41" s="1"/>
  <c r="U532" i="41" s="1"/>
  <c r="T524" i="41" a="1"/>
  <c r="T524" i="41" s="1"/>
  <c r="U524" i="41" s="1"/>
  <c r="T516" i="41" a="1"/>
  <c r="T516" i="41" s="1"/>
  <c r="U516" i="41" s="1"/>
  <c r="T500" i="41" a="1"/>
  <c r="T500" i="41" s="1"/>
  <c r="U500" i="41" s="1"/>
  <c r="T492" i="41" a="1"/>
  <c r="T492" i="41" s="1"/>
  <c r="U492" i="41" s="1"/>
  <c r="T484" i="41" a="1"/>
  <c r="T484" i="41" s="1"/>
  <c r="U484" i="41" s="1"/>
  <c r="T476" i="41" a="1"/>
  <c r="T476" i="41" s="1"/>
  <c r="U476" i="41" s="1"/>
  <c r="T468" i="41" a="1"/>
  <c r="T468" i="41" s="1"/>
  <c r="U468" i="41" s="1"/>
  <c r="T460" i="41" a="1"/>
  <c r="T460" i="41" s="1"/>
  <c r="U460" i="41" s="1"/>
  <c r="T444" i="41" a="1"/>
  <c r="T444" i="41" s="1"/>
  <c r="U444" i="41" s="1"/>
  <c r="T436" i="41" a="1"/>
  <c r="T436" i="41" s="1"/>
  <c r="U436" i="41" s="1"/>
  <c r="T428" i="41" a="1"/>
  <c r="T428" i="41" s="1"/>
  <c r="U428" i="41" s="1"/>
  <c r="T338" i="41" a="1"/>
  <c r="T338" i="41" s="1"/>
  <c r="U338" i="41" s="1"/>
  <c r="T330" i="41" a="1"/>
  <c r="T330" i="41" s="1"/>
  <c r="U330" i="41" s="1"/>
  <c r="T322" i="41" a="1"/>
  <c r="T322" i="41" s="1"/>
  <c r="U322" i="41" s="1"/>
  <c r="T314" i="41" a="1"/>
  <c r="T314" i="41" s="1"/>
  <c r="U314" i="41" s="1"/>
  <c r="T306" i="41" a="1"/>
  <c r="T306" i="41" s="1"/>
  <c r="U306" i="41" s="1"/>
  <c r="T298" i="41" a="1"/>
  <c r="T298" i="41" s="1"/>
  <c r="U298" i="41" s="1"/>
  <c r="T290" i="41" a="1"/>
  <c r="T290" i="41" s="1"/>
  <c r="U290" i="41" s="1"/>
  <c r="T282" i="41" a="1"/>
  <c r="T282" i="41" s="1"/>
  <c r="U282" i="41" s="1"/>
  <c r="T420" i="41" a="1"/>
  <c r="T420" i="41" s="1"/>
  <c r="U420" i="41" s="1"/>
  <c r="T412" i="41" a="1"/>
  <c r="T412" i="41" s="1"/>
  <c r="U412" i="41" s="1"/>
  <c r="T404" i="41" a="1"/>
  <c r="T404" i="41" s="1"/>
  <c r="U404" i="41" s="1"/>
  <c r="T380" i="41" a="1"/>
  <c r="T380" i="41" s="1"/>
  <c r="U380" i="41" s="1"/>
  <c r="T372" i="41" a="1"/>
  <c r="T372" i="41" s="1"/>
  <c r="U372" i="41" s="1"/>
  <c r="T364" i="41" a="1"/>
  <c r="T364" i="41" s="1"/>
  <c r="U364" i="41" s="1"/>
  <c r="T356" i="41" a="1"/>
  <c r="T356" i="41" s="1"/>
  <c r="U356" i="41" s="1"/>
  <c r="T348" i="41" a="1"/>
  <c r="T348" i="41" s="1"/>
  <c r="U348" i="41" s="1"/>
  <c r="T340" i="41" a="1"/>
  <c r="T340" i="41" s="1"/>
  <c r="U340" i="41" s="1"/>
  <c r="T332" i="41" a="1"/>
  <c r="T332" i="41" s="1"/>
  <c r="U332" i="41" s="1"/>
  <c r="T324" i="41" a="1"/>
  <c r="T324" i="41" s="1"/>
  <c r="U324" i="41" s="1"/>
  <c r="T308" i="41" a="1"/>
  <c r="T308" i="41" s="1"/>
  <c r="U308" i="41" s="1"/>
  <c r="T300" i="41" a="1"/>
  <c r="T300" i="41" s="1"/>
  <c r="U300" i="41" s="1"/>
  <c r="T292" i="41" a="1"/>
  <c r="T292" i="41" s="1"/>
  <c r="U292" i="41" s="1"/>
  <c r="T284" i="41" a="1"/>
  <c r="T284" i="41" s="1"/>
  <c r="U284" i="41" s="1"/>
  <c r="T276" i="41" a="1"/>
  <c r="T276" i="41" s="1"/>
  <c r="U276" i="41" s="1"/>
  <c r="T268" i="41" a="1"/>
  <c r="T268" i="41" s="1"/>
  <c r="U268" i="41" s="1"/>
  <c r="T542" i="41" a="1"/>
  <c r="T542" i="41" s="1"/>
  <c r="U542" i="41" s="1"/>
  <c r="T534" i="41" a="1"/>
  <c r="T534" i="41" s="1"/>
  <c r="U534" i="41" s="1"/>
  <c r="T526" i="41" a="1"/>
  <c r="T526" i="41" s="1"/>
  <c r="U526" i="41" s="1"/>
  <c r="T262" i="41" a="1"/>
  <c r="T262" i="41" s="1"/>
  <c r="U262" i="41" s="1"/>
  <c r="AB554" i="41"/>
  <c r="Y554" i="41" a="1"/>
  <c r="Y554" i="41" s="1"/>
  <c r="AB490" i="41"/>
  <c r="Y490" i="41" a="1"/>
  <c r="Y490" i="41" s="1"/>
  <c r="AB474" i="41"/>
  <c r="Y474" i="41" a="1"/>
  <c r="Y474" i="41" s="1"/>
  <c r="AB466" i="41"/>
  <c r="Y466" i="41" a="1"/>
  <c r="Y466" i="41" s="1"/>
  <c r="AB458" i="41"/>
  <c r="Y458" i="41" a="1"/>
  <c r="Y458" i="41" s="1"/>
  <c r="Y450" i="41" a="1"/>
  <c r="Y450" i="41" s="1"/>
  <c r="AB450" i="41"/>
  <c r="AB442" i="41"/>
  <c r="Y442" i="41" a="1"/>
  <c r="Y442" i="41" s="1"/>
  <c r="AB434" i="41"/>
  <c r="Y434" i="41" a="1"/>
  <c r="Y434" i="41" s="1"/>
  <c r="AB426" i="41"/>
  <c r="Y426" i="41" a="1"/>
  <c r="Y426" i="41" s="1"/>
  <c r="AB418" i="41"/>
  <c r="Y418" i="41" a="1"/>
  <c r="Y418" i="41" s="1"/>
  <c r="AB410" i="41"/>
  <c r="Y410" i="41" a="1"/>
  <c r="Y410" i="41" s="1"/>
  <c r="AB402" i="41"/>
  <c r="Y402" i="41" a="1"/>
  <c r="Y402" i="41" s="1"/>
  <c r="AB394" i="41"/>
  <c r="Y394" i="41" a="1"/>
  <c r="Y394" i="41" s="1"/>
  <c r="AB386" i="41"/>
  <c r="Y386" i="41" a="1"/>
  <c r="Y386" i="41" s="1"/>
  <c r="AB378" i="41"/>
  <c r="Y378" i="41" a="1"/>
  <c r="Y378" i="41" s="1"/>
  <c r="AB370" i="41"/>
  <c r="Y370" i="41" a="1"/>
  <c r="Y370" i="41" s="1"/>
  <c r="AB362" i="41"/>
  <c r="Y362" i="41" a="1"/>
  <c r="Y362" i="41" s="1"/>
  <c r="AB354" i="41"/>
  <c r="Y354" i="41" a="1"/>
  <c r="Y354" i="41" s="1"/>
  <c r="AB346" i="41"/>
  <c r="Y346" i="41" a="1"/>
  <c r="Y346" i="41" s="1"/>
  <c r="Y338" i="41" a="1"/>
  <c r="Y338" i="41" s="1"/>
  <c r="AB338" i="41"/>
  <c r="AB330" i="41"/>
  <c r="Y330" i="41" a="1"/>
  <c r="Y330" i="41" s="1"/>
  <c r="Y322" i="41" a="1"/>
  <c r="Y322" i="41" s="1"/>
  <c r="AB322" i="41"/>
  <c r="AB314" i="41"/>
  <c r="Y314" i="41" a="1"/>
  <c r="Y314" i="41" s="1"/>
  <c r="AB306" i="41"/>
  <c r="Y306" i="41" a="1"/>
  <c r="Y306" i="41" s="1"/>
  <c r="AB298" i="41"/>
  <c r="Y298" i="41" a="1"/>
  <c r="Y298" i="41" s="1"/>
  <c r="AB290" i="41"/>
  <c r="Y290" i="41" a="1"/>
  <c r="Y290" i="41" s="1"/>
  <c r="AB282" i="41"/>
  <c r="Y282" i="41" a="1"/>
  <c r="Y282" i="41" s="1"/>
  <c r="AB274" i="41"/>
  <c r="Y274" i="41" a="1"/>
  <c r="Y274" i="41" s="1"/>
  <c r="T274" i="41" a="1"/>
  <c r="T274" i="41" s="1"/>
  <c r="U274" i="41" s="1"/>
  <c r="AB266" i="41"/>
  <c r="Y266" i="41" a="1"/>
  <c r="Y266" i="41" s="1"/>
  <c r="T266" i="41" a="1"/>
  <c r="T266" i="41" s="1"/>
  <c r="U266" i="41" s="1"/>
  <c r="AB258" i="41"/>
  <c r="Y258" i="41" a="1"/>
  <c r="Y258" i="41" s="1"/>
  <c r="T258" i="41" a="1"/>
  <c r="T258" i="41" s="1"/>
  <c r="U258" i="41" s="1"/>
  <c r="AB250" i="41"/>
  <c r="Y250" i="41" a="1"/>
  <c r="Y250" i="41" s="1"/>
  <c r="T250" i="41" a="1"/>
  <c r="T250" i="41" s="1"/>
  <c r="U250" i="41" s="1"/>
  <c r="AB242" i="41"/>
  <c r="Y242" i="41" a="1"/>
  <c r="Y242" i="41" s="1"/>
  <c r="T242" i="41" a="1"/>
  <c r="T242" i="41" s="1"/>
  <c r="U242" i="41" s="1"/>
  <c r="AB234" i="41"/>
  <c r="Y234" i="41" a="1"/>
  <c r="Y234" i="41" s="1"/>
  <c r="T234" i="41" a="1"/>
  <c r="T234" i="41" s="1"/>
  <c r="U234" i="41" s="1"/>
  <c r="AB226" i="41"/>
  <c r="Y226" i="41" a="1"/>
  <c r="Y226" i="41" s="1"/>
  <c r="T226" i="41" a="1"/>
  <c r="T226" i="41" s="1"/>
  <c r="U226" i="41" s="1"/>
  <c r="AB218" i="41"/>
  <c r="Y218" i="41" a="1"/>
  <c r="Y218" i="41" s="1"/>
  <c r="T218" i="41" a="1"/>
  <c r="T218" i="41" s="1"/>
  <c r="U218" i="41" s="1"/>
  <c r="AB210" i="41"/>
  <c r="Y210" i="41" a="1"/>
  <c r="Y210" i="41" s="1"/>
  <c r="T210" i="41" a="1"/>
  <c r="T210" i="41" s="1"/>
  <c r="U210" i="41" s="1"/>
  <c r="AB202" i="41"/>
  <c r="Y202" i="41" a="1"/>
  <c r="Y202" i="41" s="1"/>
  <c r="T202" i="41" a="1"/>
  <c r="T202" i="41" s="1"/>
  <c r="U202" i="41" s="1"/>
  <c r="AB194" i="41"/>
  <c r="Y194" i="41" a="1"/>
  <c r="Y194" i="41" s="1"/>
  <c r="T194" i="41" a="1"/>
  <c r="T194" i="41" s="1"/>
  <c r="U194" i="41" s="1"/>
  <c r="AB186" i="41"/>
  <c r="Y186" i="41" a="1"/>
  <c r="Y186" i="41" s="1"/>
  <c r="T186" i="41" a="1"/>
  <c r="T186" i="41" s="1"/>
  <c r="U186" i="41" s="1"/>
  <c r="AB178" i="41"/>
  <c r="Y178" i="41" a="1"/>
  <c r="Y178" i="41" s="1"/>
  <c r="T178" i="41" a="1"/>
  <c r="T178" i="41" s="1"/>
  <c r="U178" i="41" s="1"/>
  <c r="AB170" i="41"/>
  <c r="T170" i="41" a="1"/>
  <c r="T170" i="41" s="1"/>
  <c r="U170" i="41" s="1"/>
  <c r="Y170" i="41" a="1"/>
  <c r="Y170" i="41" s="1"/>
  <c r="AB162" i="41"/>
  <c r="Y162" i="41" a="1"/>
  <c r="Y162" i="41" s="1"/>
  <c r="T162" i="41" a="1"/>
  <c r="T162" i="41" s="1"/>
  <c r="U162" i="41" s="1"/>
  <c r="AB154" i="41"/>
  <c r="Y154" i="41" a="1"/>
  <c r="Y154" i="41" s="1"/>
  <c r="T154" i="41" a="1"/>
  <c r="T154" i="41" s="1"/>
  <c r="U154" i="41" s="1"/>
  <c r="AB146" i="41"/>
  <c r="T146" i="41" a="1"/>
  <c r="T146" i="41" s="1"/>
  <c r="U146" i="41" s="1"/>
  <c r="Y146" i="41" a="1"/>
  <c r="Y146" i="41" s="1"/>
  <c r="AB138" i="41"/>
  <c r="Y138" i="41" a="1"/>
  <c r="Y138" i="41" s="1"/>
  <c r="T138" i="41" a="1"/>
  <c r="T138" i="41" s="1"/>
  <c r="U138" i="41" s="1"/>
  <c r="AB130" i="41"/>
  <c r="Y130" i="41" a="1"/>
  <c r="Y130" i="41" s="1"/>
  <c r="T130" i="41" a="1"/>
  <c r="T130" i="41" s="1"/>
  <c r="U130" i="41" s="1"/>
  <c r="AB122" i="41"/>
  <c r="T122" i="41" a="1"/>
  <c r="T122" i="41" s="1"/>
  <c r="U122" i="41" s="1"/>
  <c r="Y122" i="41" a="1"/>
  <c r="Y122" i="41" s="1"/>
  <c r="AB114" i="41"/>
  <c r="Y114" i="41" a="1"/>
  <c r="Y114" i="41" s="1"/>
  <c r="T114" i="41" a="1"/>
  <c r="T114" i="41" s="1"/>
  <c r="U114" i="41" s="1"/>
  <c r="AB106" i="41"/>
  <c r="T106" i="41" a="1"/>
  <c r="T106" i="41" s="1"/>
  <c r="U106" i="41" s="1"/>
  <c r="Y106" i="41" a="1"/>
  <c r="Y106" i="41" s="1"/>
  <c r="AB98" i="41"/>
  <c r="T98" i="41" a="1"/>
  <c r="T98" i="41" s="1"/>
  <c r="U98" i="41" s="1"/>
  <c r="Y98" i="41" a="1"/>
  <c r="Y98" i="41" s="1"/>
  <c r="AB90" i="41"/>
  <c r="Y90" i="41" a="1"/>
  <c r="Y90" i="41" s="1"/>
  <c r="T90" i="41" a="1"/>
  <c r="T90" i="41" s="1"/>
  <c r="U90" i="41" s="1"/>
  <c r="AB82" i="41"/>
  <c r="Y82" i="41" a="1"/>
  <c r="Y82" i="41" s="1"/>
  <c r="T82" i="41" a="1"/>
  <c r="T82" i="41" s="1"/>
  <c r="U82" i="41" s="1"/>
  <c r="AB74" i="41"/>
  <c r="T74" i="41" a="1"/>
  <c r="T74" i="41" s="1"/>
  <c r="U74" i="41" s="1"/>
  <c r="Y74" i="41" a="1"/>
  <c r="Y74" i="41" s="1"/>
  <c r="AB66" i="41"/>
  <c r="T66" i="41" a="1"/>
  <c r="T66" i="41" s="1"/>
  <c r="U66" i="41" s="1"/>
  <c r="Y66" i="41" a="1"/>
  <c r="Y66" i="41" s="1"/>
  <c r="AB58" i="41"/>
  <c r="Y58" i="41" a="1"/>
  <c r="Y58" i="41" s="1"/>
  <c r="T58" i="41" a="1"/>
  <c r="T58" i="41" s="1"/>
  <c r="U58" i="41" s="1"/>
  <c r="AB50" i="41"/>
  <c r="Y50" i="41" a="1"/>
  <c r="Y50" i="41" s="1"/>
  <c r="T50" i="41" a="1"/>
  <c r="T50" i="41" s="1"/>
  <c r="U50" i="41" s="1"/>
  <c r="AB42" i="41"/>
  <c r="T42" i="41" a="1"/>
  <c r="T42" i="41" s="1"/>
  <c r="U42" i="41" s="1"/>
  <c r="Y42" i="41" a="1"/>
  <c r="Y42" i="41" s="1"/>
  <c r="AB34" i="41"/>
  <c r="T34" i="41" a="1"/>
  <c r="T34" i="41" s="1"/>
  <c r="U34" i="41" s="1"/>
  <c r="Y34" i="41" a="1"/>
  <c r="Y34" i="41" s="1"/>
  <c r="AB26" i="41"/>
  <c r="Y26" i="41" a="1"/>
  <c r="Y26" i="41" s="1"/>
  <c r="T26" i="41" a="1"/>
  <c r="T26" i="41" s="1"/>
  <c r="U26" i="41" s="1"/>
  <c r="AB18" i="41"/>
  <c r="Y18" i="41" a="1"/>
  <c r="Y18" i="41" s="1"/>
  <c r="T18" i="41" a="1"/>
  <c r="T18" i="41" s="1"/>
  <c r="U18" i="41" s="1"/>
  <c r="AB10" i="41"/>
  <c r="Y10" i="41" a="1"/>
  <c r="Y10" i="41" s="1"/>
  <c r="T10" i="41" a="1"/>
  <c r="T10" i="41" s="1"/>
  <c r="U10" i="41" s="1"/>
  <c r="AB577" i="41"/>
  <c r="Y577" i="41" a="1"/>
  <c r="Y577" i="41" s="1"/>
  <c r="AB561" i="41"/>
  <c r="Y561" i="41" a="1"/>
  <c r="Y561" i="41" s="1"/>
  <c r="AB545" i="41"/>
  <c r="Y545" i="41" a="1"/>
  <c r="Y545" i="41" s="1"/>
  <c r="AB537" i="41"/>
  <c r="Y537" i="41" a="1"/>
  <c r="Y537" i="41" s="1"/>
  <c r="AB529" i="41"/>
  <c r="Y529" i="41" a="1"/>
  <c r="Y529" i="41" s="1"/>
  <c r="AB521" i="41"/>
  <c r="Y521" i="41" a="1"/>
  <c r="Y521" i="41" s="1"/>
  <c r="AB513" i="41"/>
  <c r="Y513" i="41" a="1"/>
  <c r="Y513" i="41" s="1"/>
  <c r="AB505" i="41"/>
  <c r="Y505" i="41" a="1"/>
  <c r="Y505" i="41" s="1"/>
  <c r="AB497" i="41"/>
  <c r="Y497" i="41" a="1"/>
  <c r="Y497" i="41" s="1"/>
  <c r="AB489" i="41"/>
  <c r="Y489" i="41" a="1"/>
  <c r="Y489" i="41" s="1"/>
  <c r="AB481" i="41"/>
  <c r="Y481" i="41" a="1"/>
  <c r="Y481" i="41" s="1"/>
  <c r="AB473" i="41"/>
  <c r="Y473" i="41" a="1"/>
  <c r="Y473" i="41" s="1"/>
  <c r="AB465" i="41"/>
  <c r="Y465" i="41" a="1"/>
  <c r="Y465" i="41" s="1"/>
  <c r="AB457" i="41"/>
  <c r="Y457" i="41" a="1"/>
  <c r="Y457" i="41" s="1"/>
  <c r="AB449" i="41"/>
  <c r="Y449" i="41" a="1"/>
  <c r="Y449" i="41" s="1"/>
  <c r="AB441" i="41"/>
  <c r="Y441" i="41" a="1"/>
  <c r="Y441" i="41" s="1"/>
  <c r="AB433" i="41"/>
  <c r="Y433" i="41" a="1"/>
  <c r="Y433" i="41" s="1"/>
  <c r="AB425" i="41"/>
  <c r="Y425" i="41" a="1"/>
  <c r="Y425" i="41" s="1"/>
  <c r="AB417" i="41"/>
  <c r="Y417" i="41" a="1"/>
  <c r="Y417" i="41" s="1"/>
  <c r="AB409" i="41"/>
  <c r="Y409" i="41" a="1"/>
  <c r="Y409" i="41" s="1"/>
  <c r="AB401" i="41"/>
  <c r="Y401" i="41" a="1"/>
  <c r="Y401" i="41" s="1"/>
  <c r="AB393" i="41"/>
  <c r="Y393" i="41" a="1"/>
  <c r="Y393" i="41" s="1"/>
  <c r="AB385" i="41"/>
  <c r="Y385" i="41" a="1"/>
  <c r="Y385" i="41" s="1"/>
  <c r="AB377" i="41"/>
  <c r="Y377" i="41" a="1"/>
  <c r="Y377" i="41" s="1"/>
  <c r="AB369" i="41"/>
  <c r="Y369" i="41" a="1"/>
  <c r="Y369" i="41" s="1"/>
  <c r="AB361" i="41"/>
  <c r="Y361" i="41" a="1"/>
  <c r="Y361" i="41" s="1"/>
  <c r="AB353" i="41"/>
  <c r="Y353" i="41" a="1"/>
  <c r="Y353" i="41" s="1"/>
  <c r="AB345" i="41"/>
  <c r="Y345" i="41" a="1"/>
  <c r="Y345" i="41" s="1"/>
  <c r="AB337" i="41"/>
  <c r="Y337" i="41" a="1"/>
  <c r="Y337" i="41" s="1"/>
  <c r="AB329" i="41"/>
  <c r="Y329" i="41" a="1"/>
  <c r="Y329" i="41" s="1"/>
  <c r="AB321" i="41"/>
  <c r="Y321" i="41" a="1"/>
  <c r="Y321" i="41" s="1"/>
  <c r="AB313" i="41"/>
  <c r="Y313" i="41" a="1"/>
  <c r="Y313" i="41" s="1"/>
  <c r="AB305" i="41"/>
  <c r="Y305" i="41" a="1"/>
  <c r="Y305" i="41" s="1"/>
  <c r="AB297" i="41"/>
  <c r="Y297" i="41" a="1"/>
  <c r="Y297" i="41" s="1"/>
  <c r="AB289" i="41"/>
  <c r="Y289" i="41" a="1"/>
  <c r="Y289" i="41" s="1"/>
  <c r="AB281" i="41"/>
  <c r="Y281" i="41" a="1"/>
  <c r="Y281" i="41" s="1"/>
  <c r="AB273" i="41"/>
  <c r="Y273" i="41" a="1"/>
  <c r="Y273" i="41" s="1"/>
  <c r="AB265" i="41"/>
  <c r="Y265" i="41" a="1"/>
  <c r="Y265" i="41" s="1"/>
  <c r="AB257" i="41"/>
  <c r="Y257" i="41" a="1"/>
  <c r="Y257" i="41" s="1"/>
  <c r="T257" i="41" a="1"/>
  <c r="T257" i="41" s="1"/>
  <c r="U257" i="41" s="1"/>
  <c r="AB249" i="41"/>
  <c r="T249" i="41" a="1"/>
  <c r="T249" i="41" s="1"/>
  <c r="U249" i="41" s="1"/>
  <c r="Y249" i="41" a="1"/>
  <c r="Y249" i="41" s="1"/>
  <c r="AB241" i="41"/>
  <c r="Y241" i="41" a="1"/>
  <c r="Y241" i="41" s="1"/>
  <c r="T241" i="41" a="1"/>
  <c r="T241" i="41" s="1"/>
  <c r="U241" i="41" s="1"/>
  <c r="AB233" i="41"/>
  <c r="T233" i="41" a="1"/>
  <c r="T233" i="41" s="1"/>
  <c r="U233" i="41" s="1"/>
  <c r="Y233" i="41" a="1"/>
  <c r="Y233" i="41" s="1"/>
  <c r="AB225" i="41"/>
  <c r="T225" i="41" a="1"/>
  <c r="T225" i="41" s="1"/>
  <c r="U225" i="41" s="1"/>
  <c r="Y225" i="41" a="1"/>
  <c r="Y225" i="41" s="1"/>
  <c r="AB217" i="41"/>
  <c r="Y217" i="41" a="1"/>
  <c r="Y217" i="41" s="1"/>
  <c r="T217" i="41" a="1"/>
  <c r="T217" i="41" s="1"/>
  <c r="U217" i="41" s="1"/>
  <c r="AB209" i="41"/>
  <c r="T209" i="41" a="1"/>
  <c r="T209" i="41" s="1"/>
  <c r="U209" i="41" s="1"/>
  <c r="Y209" i="41" a="1"/>
  <c r="Y209" i="41" s="1"/>
  <c r="AB201" i="41"/>
  <c r="Y201" i="41" a="1"/>
  <c r="Y201" i="41" s="1"/>
  <c r="T201" i="41" a="1"/>
  <c r="T201" i="41" s="1"/>
  <c r="U201" i="41" s="1"/>
  <c r="AB193" i="41"/>
  <c r="Y193" i="41" a="1"/>
  <c r="Y193" i="41" s="1"/>
  <c r="T193" i="41" a="1"/>
  <c r="T193" i="41" s="1"/>
  <c r="U193" i="41" s="1"/>
  <c r="AB185" i="41"/>
  <c r="T185" i="41" a="1"/>
  <c r="T185" i="41" s="1"/>
  <c r="U185" i="41" s="1"/>
  <c r="Y185" i="41" a="1"/>
  <c r="Y185" i="41" s="1"/>
  <c r="AB177" i="41"/>
  <c r="Y177" i="41" a="1"/>
  <c r="Y177" i="41" s="1"/>
  <c r="T177" i="41" a="1"/>
  <c r="T177" i="41" s="1"/>
  <c r="U177" i="41" s="1"/>
  <c r="AB169" i="41"/>
  <c r="T169" i="41" a="1"/>
  <c r="T169" i="41" s="1"/>
  <c r="U169" i="41" s="1"/>
  <c r="Y169" i="41" a="1"/>
  <c r="Y169" i="41" s="1"/>
  <c r="AB161" i="41"/>
  <c r="Y161" i="41" a="1"/>
  <c r="Y161" i="41" s="1"/>
  <c r="T161" i="41" a="1"/>
  <c r="T161" i="41" s="1"/>
  <c r="U161" i="41" s="1"/>
  <c r="AB153" i="41"/>
  <c r="Y153" i="41" a="1"/>
  <c r="Y153" i="41" s="1"/>
  <c r="T153" i="41" a="1"/>
  <c r="T153" i="41" s="1"/>
  <c r="U153" i="41" s="1"/>
  <c r="AB145" i="41"/>
  <c r="T145" i="41" a="1"/>
  <c r="T145" i="41" s="1"/>
  <c r="U145" i="41" s="1"/>
  <c r="Y145" i="41" a="1"/>
  <c r="Y145" i="41" s="1"/>
  <c r="AB137" i="41"/>
  <c r="Y137" i="41" a="1"/>
  <c r="Y137" i="41" s="1"/>
  <c r="T137" i="41" a="1"/>
  <c r="T137" i="41" s="1"/>
  <c r="U137" i="41" s="1"/>
  <c r="AB129" i="41"/>
  <c r="T129" i="41" a="1"/>
  <c r="T129" i="41" s="1"/>
  <c r="U129" i="41" s="1"/>
  <c r="Y129" i="41" a="1"/>
  <c r="Y129" i="41" s="1"/>
  <c r="AB121" i="41"/>
  <c r="T121" i="41" a="1"/>
  <c r="T121" i="41" s="1"/>
  <c r="U121" i="41" s="1"/>
  <c r="Y121" i="41" a="1"/>
  <c r="Y121" i="41" s="1"/>
  <c r="AB113" i="41"/>
  <c r="Y113" i="41" a="1"/>
  <c r="Y113" i="41" s="1"/>
  <c r="T113" i="41" a="1"/>
  <c r="T113" i="41" s="1"/>
  <c r="U113" i="41" s="1"/>
  <c r="AB105" i="41"/>
  <c r="Y105" i="41" a="1"/>
  <c r="Y105" i="41" s="1"/>
  <c r="T105" i="41" a="1"/>
  <c r="T105" i="41" s="1"/>
  <c r="U105" i="41" s="1"/>
  <c r="AB97" i="41"/>
  <c r="Y97" i="41" a="1"/>
  <c r="Y97" i="41" s="1"/>
  <c r="T97" i="41" a="1"/>
  <c r="T97" i="41" s="1"/>
  <c r="U97" i="41" s="1"/>
  <c r="AB89" i="41"/>
  <c r="Y89" i="41" a="1"/>
  <c r="Y89" i="41" s="1"/>
  <c r="T89" i="41" a="1"/>
  <c r="T89" i="41" s="1"/>
  <c r="U89" i="41" s="1"/>
  <c r="AB81" i="41"/>
  <c r="Y81" i="41" a="1"/>
  <c r="Y81" i="41" s="1"/>
  <c r="T81" i="41" a="1"/>
  <c r="T81" i="41" s="1"/>
  <c r="U81" i="41" s="1"/>
  <c r="AB73" i="41"/>
  <c r="Y73" i="41" a="1"/>
  <c r="Y73" i="41" s="1"/>
  <c r="T73" i="41" a="1"/>
  <c r="T73" i="41" s="1"/>
  <c r="U73" i="41" s="1"/>
  <c r="AB65" i="41"/>
  <c r="Y65" i="41" a="1"/>
  <c r="Y65" i="41" s="1"/>
  <c r="T65" i="41" a="1"/>
  <c r="T65" i="41" s="1"/>
  <c r="U65" i="41" s="1"/>
  <c r="AB57" i="41"/>
  <c r="Y57" i="41" a="1"/>
  <c r="Y57" i="41" s="1"/>
  <c r="T57" i="41" a="1"/>
  <c r="T57" i="41" s="1"/>
  <c r="U57" i="41" s="1"/>
  <c r="AB49" i="41"/>
  <c r="Y49" i="41" a="1"/>
  <c r="Y49" i="41" s="1"/>
  <c r="T49" i="41" a="1"/>
  <c r="T49" i="41" s="1"/>
  <c r="U49" i="41" s="1"/>
  <c r="AB41" i="41"/>
  <c r="Y41" i="41" a="1"/>
  <c r="Y41" i="41" s="1"/>
  <c r="T41" i="41" a="1"/>
  <c r="T41" i="41" s="1"/>
  <c r="U41" i="41" s="1"/>
  <c r="AB33" i="41"/>
  <c r="Y33" i="41" a="1"/>
  <c r="Y33" i="41" s="1"/>
  <c r="T33" i="41" a="1"/>
  <c r="T33" i="41" s="1"/>
  <c r="U33" i="41" s="1"/>
  <c r="AB25" i="41"/>
  <c r="Y25" i="41" a="1"/>
  <c r="Y25" i="41" s="1"/>
  <c r="T25" i="41" a="1"/>
  <c r="T25" i="41" s="1"/>
  <c r="U25" i="41" s="1"/>
  <c r="AB17" i="41"/>
  <c r="Y17" i="41" a="1"/>
  <c r="Y17" i="41" s="1"/>
  <c r="T17" i="41" a="1"/>
  <c r="T17" i="41" s="1"/>
  <c r="U17" i="41" s="1"/>
  <c r="AB9" i="41"/>
  <c r="T9" i="41" a="1"/>
  <c r="T9" i="41" s="1"/>
  <c r="U9" i="41" s="1"/>
  <c r="Y9" i="41" a="1"/>
  <c r="Y9" i="41" s="1"/>
  <c r="R2" i="41"/>
  <c r="AB578" i="41"/>
  <c r="Y578" i="41" a="1"/>
  <c r="Y578" i="41" s="1"/>
  <c r="AB570" i="41"/>
  <c r="Y570" i="41" a="1"/>
  <c r="Y570" i="41" s="1"/>
  <c r="AB562" i="41"/>
  <c r="Y562" i="41" a="1"/>
  <c r="Y562" i="41" s="1"/>
  <c r="AB546" i="41"/>
  <c r="Y546" i="41" a="1"/>
  <c r="Y546" i="41" s="1"/>
  <c r="AB538" i="41"/>
  <c r="Y538" i="41" a="1"/>
  <c r="Y538" i="41" s="1"/>
  <c r="AB530" i="41"/>
  <c r="Y530" i="41" a="1"/>
  <c r="Y530" i="41" s="1"/>
  <c r="AB522" i="41"/>
  <c r="Y522" i="41" a="1"/>
  <c r="Y522" i="41" s="1"/>
  <c r="AB514" i="41"/>
  <c r="Y514" i="41" a="1"/>
  <c r="Y514" i="41" s="1"/>
  <c r="AB506" i="41"/>
  <c r="Y506" i="41" a="1"/>
  <c r="Y506" i="41" s="1"/>
  <c r="AB498" i="41"/>
  <c r="Y498" i="41" a="1"/>
  <c r="Y498" i="41" s="1"/>
  <c r="AB482" i="41"/>
  <c r="Y482" i="41" a="1"/>
  <c r="Y482" i="41" s="1"/>
  <c r="Q2" i="41"/>
  <c r="AB5" i="41"/>
  <c r="Y5" i="41" a="1"/>
  <c r="Y5" i="41" s="1"/>
  <c r="T5" i="41" a="1"/>
  <c r="T5" i="41" s="1"/>
  <c r="U5" i="41" s="1"/>
  <c r="AB569" i="41"/>
  <c r="Y569" i="41" a="1"/>
  <c r="Y569" i="41" s="1"/>
  <c r="AB553" i="41"/>
  <c r="Y553" i="41" a="1"/>
  <c r="Y553" i="41" s="1"/>
  <c r="AB584" i="41"/>
  <c r="Y584" i="41" a="1"/>
  <c r="Y584" i="41" s="1"/>
  <c r="AB576" i="41"/>
  <c r="Y576" i="41" a="1"/>
  <c r="Y576" i="41" s="1"/>
  <c r="AB568" i="41"/>
  <c r="Y568" i="41" a="1"/>
  <c r="Y568" i="41" s="1"/>
  <c r="AB560" i="41"/>
  <c r="Y560" i="41" a="1"/>
  <c r="Y560" i="41" s="1"/>
  <c r="AB552" i="41"/>
  <c r="Y552" i="41" a="1"/>
  <c r="Y552" i="41" s="1"/>
  <c r="AB544" i="41"/>
  <c r="Y544" i="41" a="1"/>
  <c r="Y544" i="41" s="1"/>
  <c r="AB536" i="41"/>
  <c r="Y536" i="41" a="1"/>
  <c r="Y536" i="41" s="1"/>
  <c r="AB528" i="41"/>
  <c r="Y528" i="41" a="1"/>
  <c r="Y528" i="41" s="1"/>
  <c r="AB520" i="41"/>
  <c r="Y520" i="41" a="1"/>
  <c r="Y520" i="41" s="1"/>
  <c r="AB512" i="41"/>
  <c r="Y512" i="41" a="1"/>
  <c r="Y512" i="41" s="1"/>
  <c r="AB504" i="41"/>
  <c r="Y504" i="41" a="1"/>
  <c r="Y504" i="41" s="1"/>
  <c r="AB496" i="41"/>
  <c r="Y496" i="41" a="1"/>
  <c r="Y496" i="41" s="1"/>
  <c r="AB488" i="41"/>
  <c r="Y488" i="41" a="1"/>
  <c r="Y488" i="41" s="1"/>
  <c r="AB480" i="41"/>
  <c r="Y480" i="41" a="1"/>
  <c r="Y480" i="41" s="1"/>
  <c r="AB472" i="41"/>
  <c r="Y472" i="41" a="1"/>
  <c r="Y472" i="41" s="1"/>
  <c r="AB464" i="41"/>
  <c r="Y464" i="41" a="1"/>
  <c r="Y464" i="41" s="1"/>
  <c r="AB456" i="41"/>
  <c r="Y456" i="41" a="1"/>
  <c r="Y456" i="41" s="1"/>
  <c r="AB448" i="41"/>
  <c r="Y448" i="41" a="1"/>
  <c r="Y448" i="41" s="1"/>
  <c r="AB440" i="41"/>
  <c r="Y440" i="41" a="1"/>
  <c r="Y440" i="41" s="1"/>
  <c r="AB432" i="41"/>
  <c r="Y432" i="41" a="1"/>
  <c r="Y432" i="41" s="1"/>
  <c r="AB424" i="41"/>
  <c r="Y424" i="41" a="1"/>
  <c r="Y424" i="41" s="1"/>
  <c r="AB416" i="41"/>
  <c r="Y416" i="41" a="1"/>
  <c r="Y416" i="41" s="1"/>
  <c r="AB408" i="41"/>
  <c r="Y408" i="41" a="1"/>
  <c r="Y408" i="41" s="1"/>
  <c r="AB400" i="41"/>
  <c r="Y400" i="41" a="1"/>
  <c r="Y400" i="41" s="1"/>
  <c r="AB392" i="41"/>
  <c r="Y392" i="41" a="1"/>
  <c r="Y392" i="41" s="1"/>
  <c r="AB384" i="41"/>
  <c r="Y384" i="41" a="1"/>
  <c r="Y384" i="41" s="1"/>
  <c r="AB376" i="41"/>
  <c r="Y376" i="41" a="1"/>
  <c r="Y376" i="41" s="1"/>
  <c r="AB368" i="41"/>
  <c r="Y368" i="41" a="1"/>
  <c r="Y368" i="41" s="1"/>
  <c r="AB360" i="41"/>
  <c r="Y360" i="41" a="1"/>
  <c r="Y360" i="41" s="1"/>
  <c r="AB352" i="41"/>
  <c r="Y352" i="41" a="1"/>
  <c r="Y352" i="41" s="1"/>
  <c r="AB344" i="41"/>
  <c r="Y344" i="41" a="1"/>
  <c r="Y344" i="41" s="1"/>
  <c r="AB336" i="41"/>
  <c r="Y336" i="41" a="1"/>
  <c r="Y336" i="41" s="1"/>
  <c r="AB328" i="41"/>
  <c r="Y328" i="41" a="1"/>
  <c r="Y328" i="41" s="1"/>
  <c r="AB320" i="41"/>
  <c r="Y320" i="41" a="1"/>
  <c r="Y320" i="41" s="1"/>
  <c r="AB312" i="41"/>
  <c r="Y312" i="41" a="1"/>
  <c r="Y312" i="41" s="1"/>
  <c r="AB304" i="41"/>
  <c r="Y304" i="41" a="1"/>
  <c r="Y304" i="41" s="1"/>
  <c r="AB296" i="41"/>
  <c r="Y296" i="41" a="1"/>
  <c r="Y296" i="41" s="1"/>
  <c r="AB288" i="41"/>
  <c r="Y288" i="41" a="1"/>
  <c r="Y288" i="41" s="1"/>
  <c r="AB280" i="41"/>
  <c r="Y280" i="41" a="1"/>
  <c r="Y280" i="41" s="1"/>
  <c r="AB272" i="41"/>
  <c r="Y272" i="41" a="1"/>
  <c r="Y272" i="41" s="1"/>
  <c r="AB264" i="41"/>
  <c r="Y264" i="41" a="1"/>
  <c r="Y264" i="41" s="1"/>
  <c r="T264" i="41" a="1"/>
  <c r="T264" i="41" s="1"/>
  <c r="U264" i="41" s="1"/>
  <c r="AB256" i="41"/>
  <c r="T256" i="41" a="1"/>
  <c r="T256" i="41" s="1"/>
  <c r="U256" i="41" s="1"/>
  <c r="Y256" i="41" a="1"/>
  <c r="Y256" i="41" s="1"/>
  <c r="AB248" i="41"/>
  <c r="T248" i="41" a="1"/>
  <c r="T248" i="41" s="1"/>
  <c r="U248" i="41" s="1"/>
  <c r="Y248" i="41" a="1"/>
  <c r="Y248" i="41" s="1"/>
  <c r="AB240" i="41"/>
  <c r="Y240" i="41" a="1"/>
  <c r="Y240" i="41" s="1"/>
  <c r="T240" i="41" a="1"/>
  <c r="T240" i="41" s="1"/>
  <c r="U240" i="41" s="1"/>
  <c r="AB232" i="41"/>
  <c r="T232" i="41" a="1"/>
  <c r="T232" i="41" s="1"/>
  <c r="U232" i="41" s="1"/>
  <c r="Y232" i="41" a="1"/>
  <c r="Y232" i="41" s="1"/>
  <c r="AB224" i="41"/>
  <c r="T224" i="41" a="1"/>
  <c r="T224" i="41" s="1"/>
  <c r="U224" i="41" s="1"/>
  <c r="Y224" i="41" a="1"/>
  <c r="Y224" i="41" s="1"/>
  <c r="AB216" i="41"/>
  <c r="Y216" i="41" a="1"/>
  <c r="Y216" i="41" s="1"/>
  <c r="T216" i="41" a="1"/>
  <c r="T216" i="41" s="1"/>
  <c r="U216" i="41" s="1"/>
  <c r="AB208" i="41"/>
  <c r="T208" i="41" a="1"/>
  <c r="T208" i="41" s="1"/>
  <c r="U208" i="41" s="1"/>
  <c r="Y208" i="41" a="1"/>
  <c r="Y208" i="41" s="1"/>
  <c r="AB200" i="41"/>
  <c r="Y200" i="41" a="1"/>
  <c r="Y200" i="41" s="1"/>
  <c r="T200" i="41" a="1"/>
  <c r="T200" i="41" s="1"/>
  <c r="U200" i="41" s="1"/>
  <c r="AB192" i="41"/>
  <c r="T192" i="41" a="1"/>
  <c r="T192" i="41" s="1"/>
  <c r="U192" i="41" s="1"/>
  <c r="Y192" i="41" a="1"/>
  <c r="Y192" i="41" s="1"/>
  <c r="AB184" i="41"/>
  <c r="T184" i="41" a="1"/>
  <c r="T184" i="41" s="1"/>
  <c r="U184" i="41" s="1"/>
  <c r="Y184" i="41" a="1"/>
  <c r="Y184" i="41" s="1"/>
  <c r="AB176" i="41"/>
  <c r="Y176" i="41" a="1"/>
  <c r="Y176" i="41" s="1"/>
  <c r="T176" i="41" a="1"/>
  <c r="T176" i="41" s="1"/>
  <c r="U176" i="41" s="1"/>
  <c r="AB168" i="41"/>
  <c r="T168" i="41" a="1"/>
  <c r="T168" i="41" s="1"/>
  <c r="U168" i="41" s="1"/>
  <c r="Y168" i="41" a="1"/>
  <c r="Y168" i="41" s="1"/>
  <c r="AB160" i="41"/>
  <c r="Y160" i="41" a="1"/>
  <c r="Y160" i="41" s="1"/>
  <c r="T160" i="41" a="1"/>
  <c r="T160" i="41" s="1"/>
  <c r="U160" i="41" s="1"/>
  <c r="AB152" i="41"/>
  <c r="T152" i="41" a="1"/>
  <c r="T152" i="41" s="1"/>
  <c r="U152" i="41" s="1"/>
  <c r="Y152" i="41" a="1"/>
  <c r="Y152" i="41" s="1"/>
  <c r="AB144" i="41"/>
  <c r="T144" i="41" a="1"/>
  <c r="T144" i="41" s="1"/>
  <c r="U144" i="41" s="1"/>
  <c r="Y144" i="41" a="1"/>
  <c r="Y144" i="41" s="1"/>
  <c r="AB136" i="41"/>
  <c r="Y136" i="41" a="1"/>
  <c r="Y136" i="41" s="1"/>
  <c r="T136" i="41" a="1"/>
  <c r="T136" i="41" s="1"/>
  <c r="U136" i="41" s="1"/>
  <c r="AB128" i="41"/>
  <c r="T128" i="41" a="1"/>
  <c r="T128" i="41" s="1"/>
  <c r="U128" i="41" s="1"/>
  <c r="Y128" i="41" a="1"/>
  <c r="Y128" i="41" s="1"/>
  <c r="AB120" i="41"/>
  <c r="T120" i="41" a="1"/>
  <c r="T120" i="41" s="1"/>
  <c r="U120" i="41" s="1"/>
  <c r="Y120" i="41" a="1"/>
  <c r="Y120" i="41" s="1"/>
  <c r="AB112" i="41"/>
  <c r="Y112" i="41" a="1"/>
  <c r="Y112" i="41" s="1"/>
  <c r="T112" i="41" a="1"/>
  <c r="T112" i="41" s="1"/>
  <c r="U112" i="41" s="1"/>
  <c r="AB104" i="41"/>
  <c r="T104" i="41" a="1"/>
  <c r="T104" i="41" s="1"/>
  <c r="U104" i="41" s="1"/>
  <c r="Y104" i="41" a="1"/>
  <c r="Y104" i="41" s="1"/>
  <c r="AB96" i="41"/>
  <c r="T96" i="41" a="1"/>
  <c r="T96" i="41" s="1"/>
  <c r="U96" i="41" s="1"/>
  <c r="Y96" i="41" a="1"/>
  <c r="Y96" i="41" s="1"/>
  <c r="AB88" i="41"/>
  <c r="Y88" i="41" a="1"/>
  <c r="Y88" i="41" s="1"/>
  <c r="T88" i="41" a="1"/>
  <c r="T88" i="41" s="1"/>
  <c r="U88" i="41" s="1"/>
  <c r="AB80" i="41"/>
  <c r="Y80" i="41" a="1"/>
  <c r="Y80" i="41" s="1"/>
  <c r="T80" i="41" a="1"/>
  <c r="T80" i="41" s="1"/>
  <c r="U80" i="41" s="1"/>
  <c r="AB72" i="41"/>
  <c r="T72" i="41" a="1"/>
  <c r="T72" i="41" s="1"/>
  <c r="U72" i="41" s="1"/>
  <c r="Y72" i="41" a="1"/>
  <c r="Y72" i="41" s="1"/>
  <c r="AB64" i="41"/>
  <c r="T64" i="41" a="1"/>
  <c r="T64" i="41" s="1"/>
  <c r="U64" i="41" s="1"/>
  <c r="Y64" i="41" a="1"/>
  <c r="Y64" i="41" s="1"/>
  <c r="AB56" i="41"/>
  <c r="Y56" i="41" a="1"/>
  <c r="Y56" i="41" s="1"/>
  <c r="T56" i="41" a="1"/>
  <c r="T56" i="41" s="1"/>
  <c r="U56" i="41" s="1"/>
  <c r="AB48" i="41"/>
  <c r="Y48" i="41" a="1"/>
  <c r="Y48" i="41" s="1"/>
  <c r="T48" i="41" a="1"/>
  <c r="T48" i="41" s="1"/>
  <c r="U48" i="41" s="1"/>
  <c r="AB40" i="41"/>
  <c r="T40" i="41" a="1"/>
  <c r="T40" i="41" s="1"/>
  <c r="U40" i="41" s="1"/>
  <c r="Y40" i="41" a="1"/>
  <c r="Y40" i="41" s="1"/>
  <c r="AB32" i="41"/>
  <c r="T32" i="41" a="1"/>
  <c r="T32" i="41" s="1"/>
  <c r="U32" i="41" s="1"/>
  <c r="Y32" i="41" a="1"/>
  <c r="Y32" i="41" s="1"/>
  <c r="AB24" i="41"/>
  <c r="Y24" i="41" a="1"/>
  <c r="Y24" i="41" s="1"/>
  <c r="T24" i="41" a="1"/>
  <c r="T24" i="41" s="1"/>
  <c r="U24" i="41" s="1"/>
  <c r="AB16" i="41"/>
  <c r="Y16" i="41" a="1"/>
  <c r="Y16" i="41" s="1"/>
  <c r="T16" i="41" a="1"/>
  <c r="T16" i="41" s="1"/>
  <c r="U16" i="41" s="1"/>
  <c r="AB8" i="41"/>
  <c r="T8" i="41" a="1"/>
  <c r="T8" i="41" s="1"/>
  <c r="U8" i="41" s="1"/>
  <c r="Y8" i="41" a="1"/>
  <c r="Y8" i="41" s="1"/>
  <c r="AB567" i="41"/>
  <c r="Y567" i="41" a="1"/>
  <c r="Y567" i="41" s="1"/>
  <c r="AB559" i="41"/>
  <c r="Y559" i="41" a="1"/>
  <c r="Y559" i="41" s="1"/>
  <c r="AB551" i="41"/>
  <c r="Y551" i="41" a="1"/>
  <c r="Y551" i="41" s="1"/>
  <c r="AB543" i="41"/>
  <c r="Y543" i="41" a="1"/>
  <c r="Y543" i="41" s="1"/>
  <c r="AB519" i="41"/>
  <c r="Y519" i="41" a="1"/>
  <c r="Y519" i="41" s="1"/>
  <c r="AB511" i="41"/>
  <c r="Y511" i="41" a="1"/>
  <c r="Y511" i="41" s="1"/>
  <c r="AB503" i="41"/>
  <c r="Y503" i="41" a="1"/>
  <c r="Y503" i="41" s="1"/>
  <c r="AB495" i="41"/>
  <c r="Y495" i="41" a="1"/>
  <c r="Y495" i="41" s="1"/>
  <c r="AB487" i="41"/>
  <c r="Y487" i="41" a="1"/>
  <c r="Y487" i="41" s="1"/>
  <c r="AB479" i="41"/>
  <c r="Y479" i="41" a="1"/>
  <c r="Y479" i="41" s="1"/>
  <c r="AB471" i="41"/>
  <c r="Y471" i="41" a="1"/>
  <c r="Y471" i="41" s="1"/>
  <c r="AB463" i="41"/>
  <c r="Y463" i="41" a="1"/>
  <c r="Y463" i="41" s="1"/>
  <c r="AB455" i="41"/>
  <c r="Y455" i="41" a="1"/>
  <c r="Y455" i="41" s="1"/>
  <c r="AB447" i="41"/>
  <c r="Y447" i="41" a="1"/>
  <c r="Y447" i="41" s="1"/>
  <c r="AB439" i="41"/>
  <c r="Y439" i="41" a="1"/>
  <c r="Y439" i="41" s="1"/>
  <c r="AB431" i="41"/>
  <c r="Y431" i="41" a="1"/>
  <c r="Y431" i="41" s="1"/>
  <c r="AB423" i="41"/>
  <c r="Y423" i="41" a="1"/>
  <c r="Y423" i="41" s="1"/>
  <c r="AB415" i="41"/>
  <c r="Y415" i="41" a="1"/>
  <c r="Y415" i="41" s="1"/>
  <c r="AB407" i="41"/>
  <c r="Y407" i="41" a="1"/>
  <c r="Y407" i="41" s="1"/>
  <c r="AB399" i="41"/>
  <c r="Y399" i="41" a="1"/>
  <c r="Y399" i="41" s="1"/>
  <c r="AB391" i="41"/>
  <c r="Y391" i="41" a="1"/>
  <c r="Y391" i="41" s="1"/>
  <c r="AB383" i="41"/>
  <c r="Y383" i="41" a="1"/>
  <c r="Y383" i="41" s="1"/>
  <c r="AB375" i="41"/>
  <c r="Y375" i="41" a="1"/>
  <c r="Y375" i="41" s="1"/>
  <c r="AB367" i="41"/>
  <c r="Y367" i="41" a="1"/>
  <c r="Y367" i="41" s="1"/>
  <c r="AB359" i="41"/>
  <c r="Y359" i="41" a="1"/>
  <c r="Y359" i="41" s="1"/>
  <c r="AB351" i="41"/>
  <c r="Y351" i="41" a="1"/>
  <c r="Y351" i="41" s="1"/>
  <c r="AB343" i="41"/>
  <c r="Y343" i="41" a="1"/>
  <c r="Y343" i="41" s="1"/>
  <c r="AB335" i="41"/>
  <c r="Y335" i="41" a="1"/>
  <c r="Y335" i="41" s="1"/>
  <c r="AB327" i="41"/>
  <c r="Y327" i="41" a="1"/>
  <c r="Y327" i="41" s="1"/>
  <c r="AB319" i="41"/>
  <c r="Y319" i="41" a="1"/>
  <c r="Y319" i="41" s="1"/>
  <c r="AB311" i="41"/>
  <c r="Y311" i="41" a="1"/>
  <c r="Y311" i="41" s="1"/>
  <c r="AB303" i="41"/>
  <c r="Y303" i="41" a="1"/>
  <c r="Y303" i="41" s="1"/>
  <c r="AB295" i="41"/>
  <c r="Y295" i="41" a="1"/>
  <c r="Y295" i="41" s="1"/>
  <c r="AB287" i="41"/>
  <c r="Y287" i="41" a="1"/>
  <c r="Y287" i="41" s="1"/>
  <c r="AB279" i="41"/>
  <c r="Y279" i="41" a="1"/>
  <c r="Y279" i="41" s="1"/>
  <c r="AB271" i="41"/>
  <c r="Y271" i="41" a="1"/>
  <c r="Y271" i="41" s="1"/>
  <c r="AB263" i="41"/>
  <c r="Y263" i="41" a="1"/>
  <c r="Y263" i="41" s="1"/>
  <c r="T263" i="41" a="1"/>
  <c r="T263" i="41" s="1"/>
  <c r="U263" i="41" s="1"/>
  <c r="AB255" i="41"/>
  <c r="T255" i="41" a="1"/>
  <c r="T255" i="41" s="1"/>
  <c r="U255" i="41" s="1"/>
  <c r="Y255" i="41" a="1"/>
  <c r="Y255" i="41" s="1"/>
  <c r="AB247" i="41"/>
  <c r="T247" i="41" a="1"/>
  <c r="T247" i="41" s="1"/>
  <c r="U247" i="41" s="1"/>
  <c r="Y247" i="41" a="1"/>
  <c r="Y247" i="41" s="1"/>
  <c r="AB239" i="41"/>
  <c r="Y239" i="41" a="1"/>
  <c r="Y239" i="41" s="1"/>
  <c r="T239" i="41" a="1"/>
  <c r="T239" i="41" s="1"/>
  <c r="U239" i="41" s="1"/>
  <c r="AB231" i="41"/>
  <c r="T231" i="41" a="1"/>
  <c r="T231" i="41" s="1"/>
  <c r="U231" i="41" s="1"/>
  <c r="Y231" i="41" a="1"/>
  <c r="Y231" i="41" s="1"/>
  <c r="AB223" i="41"/>
  <c r="T223" i="41" a="1"/>
  <c r="T223" i="41" s="1"/>
  <c r="U223" i="41" s="1"/>
  <c r="Y223" i="41" a="1"/>
  <c r="Y223" i="41" s="1"/>
  <c r="AB215" i="41"/>
  <c r="T215" i="41" a="1"/>
  <c r="T215" i="41" s="1"/>
  <c r="U215" i="41" s="1"/>
  <c r="Y215" i="41" a="1"/>
  <c r="Y215" i="41" s="1"/>
  <c r="AB207" i="41"/>
  <c r="T207" i="41" a="1"/>
  <c r="T207" i="41" s="1"/>
  <c r="U207" i="41" s="1"/>
  <c r="Y207" i="41" a="1"/>
  <c r="Y207" i="41" s="1"/>
  <c r="AB199" i="41"/>
  <c r="Y199" i="41" a="1"/>
  <c r="Y199" i="41" s="1"/>
  <c r="T199" i="41" a="1"/>
  <c r="T199" i="41" s="1"/>
  <c r="U199" i="41" s="1"/>
  <c r="AB191" i="41"/>
  <c r="T191" i="41" a="1"/>
  <c r="T191" i="41" s="1"/>
  <c r="U191" i="41" s="1"/>
  <c r="Y191" i="41" a="1"/>
  <c r="Y191" i="41" s="1"/>
  <c r="AB183" i="41"/>
  <c r="T183" i="41" a="1"/>
  <c r="T183" i="41" s="1"/>
  <c r="U183" i="41" s="1"/>
  <c r="Y183" i="41" a="1"/>
  <c r="Y183" i="41" s="1"/>
  <c r="AB175" i="41"/>
  <c r="Y175" i="41" a="1"/>
  <c r="Y175" i="41" s="1"/>
  <c r="T175" i="41" a="1"/>
  <c r="T175" i="41" s="1"/>
  <c r="U175" i="41" s="1"/>
  <c r="AB167" i="41"/>
  <c r="Y167" i="41" a="1"/>
  <c r="Y167" i="41" s="1"/>
  <c r="T167" i="41" a="1"/>
  <c r="T167" i="41" s="1"/>
  <c r="U167" i="41" s="1"/>
  <c r="AB159" i="41"/>
  <c r="Y159" i="41" a="1"/>
  <c r="Y159" i="41" s="1"/>
  <c r="T159" i="41" a="1"/>
  <c r="T159" i="41" s="1"/>
  <c r="U159" i="41" s="1"/>
  <c r="AB151" i="41"/>
  <c r="Y151" i="41" a="1"/>
  <c r="Y151" i="41" s="1"/>
  <c r="T151" i="41" a="1"/>
  <c r="T151" i="41" s="1"/>
  <c r="U151" i="41" s="1"/>
  <c r="AB143" i="41"/>
  <c r="Y143" i="41" a="1"/>
  <c r="Y143" i="41" s="1"/>
  <c r="T143" i="41" a="1"/>
  <c r="T143" i="41" s="1"/>
  <c r="U143" i="41" s="1"/>
  <c r="AB135" i="41"/>
  <c r="Y135" i="41" a="1"/>
  <c r="Y135" i="41" s="1"/>
  <c r="T135" i="41" a="1"/>
  <c r="T135" i="41" s="1"/>
  <c r="U135" i="41" s="1"/>
  <c r="AB127" i="41"/>
  <c r="Y127" i="41" a="1"/>
  <c r="Y127" i="41" s="1"/>
  <c r="T127" i="41" a="1"/>
  <c r="T127" i="41" s="1"/>
  <c r="U127" i="41" s="1"/>
  <c r="AB119" i="41"/>
  <c r="Y119" i="41" a="1"/>
  <c r="Y119" i="41" s="1"/>
  <c r="T119" i="41" a="1"/>
  <c r="T119" i="41" s="1"/>
  <c r="U119" i="41" s="1"/>
  <c r="AB111" i="41"/>
  <c r="Y111" i="41" a="1"/>
  <c r="Y111" i="41" s="1"/>
  <c r="T111" i="41" a="1"/>
  <c r="T111" i="41" s="1"/>
  <c r="U111" i="41" s="1"/>
  <c r="AB103" i="41"/>
  <c r="Y103" i="41" a="1"/>
  <c r="Y103" i="41" s="1"/>
  <c r="T103" i="41" a="1"/>
  <c r="T103" i="41" s="1"/>
  <c r="U103" i="41" s="1"/>
  <c r="AB95" i="41"/>
  <c r="Y95" i="41" a="1"/>
  <c r="Y95" i="41" s="1"/>
  <c r="T95" i="41" a="1"/>
  <c r="T95" i="41" s="1"/>
  <c r="U95" i="41" s="1"/>
  <c r="AB87" i="41"/>
  <c r="Y87" i="41" a="1"/>
  <c r="Y87" i="41" s="1"/>
  <c r="T87" i="41" a="1"/>
  <c r="T87" i="41" s="1"/>
  <c r="U87" i="41" s="1"/>
  <c r="AB79" i="41"/>
  <c r="Y79" i="41" a="1"/>
  <c r="Y79" i="41" s="1"/>
  <c r="T79" i="41" a="1"/>
  <c r="T79" i="41" s="1"/>
  <c r="U79" i="41" s="1"/>
  <c r="AB71" i="41"/>
  <c r="Y71" i="41" a="1"/>
  <c r="Y71" i="41" s="1"/>
  <c r="T71" i="41" a="1"/>
  <c r="T71" i="41" s="1"/>
  <c r="U71" i="41" s="1"/>
  <c r="AB63" i="41"/>
  <c r="Y63" i="41" a="1"/>
  <c r="Y63" i="41" s="1"/>
  <c r="T63" i="41" a="1"/>
  <c r="T63" i="41" s="1"/>
  <c r="U63" i="41" s="1"/>
  <c r="AB55" i="41"/>
  <c r="Y55" i="41" a="1"/>
  <c r="Y55" i="41" s="1"/>
  <c r="T55" i="41" a="1"/>
  <c r="T55" i="41" s="1"/>
  <c r="U55" i="41" s="1"/>
  <c r="AB47" i="41"/>
  <c r="Y47" i="41" a="1"/>
  <c r="Y47" i="41" s="1"/>
  <c r="T47" i="41" a="1"/>
  <c r="T47" i="41" s="1"/>
  <c r="U47" i="41" s="1"/>
  <c r="AB39" i="41"/>
  <c r="Y39" i="41" a="1"/>
  <c r="Y39" i="41" s="1"/>
  <c r="T39" i="41" a="1"/>
  <c r="T39" i="41" s="1"/>
  <c r="U39" i="41" s="1"/>
  <c r="AB31" i="41"/>
  <c r="Y31" i="41" a="1"/>
  <c r="Y31" i="41" s="1"/>
  <c r="T31" i="41" a="1"/>
  <c r="T31" i="41" s="1"/>
  <c r="U31" i="41" s="1"/>
  <c r="AB23" i="41"/>
  <c r="Y23" i="41" a="1"/>
  <c r="Y23" i="41" s="1"/>
  <c r="T23" i="41" a="1"/>
  <c r="T23" i="41" s="1"/>
  <c r="U23" i="41" s="1"/>
  <c r="AB15" i="41"/>
  <c r="Y15" i="41" a="1"/>
  <c r="Y15" i="41" s="1"/>
  <c r="T15" i="41" a="1"/>
  <c r="T15" i="41" s="1"/>
  <c r="U15" i="41" s="1"/>
  <c r="AB7" i="41"/>
  <c r="Y7" i="41" a="1"/>
  <c r="Y7" i="41" s="1"/>
  <c r="T7" i="41" a="1"/>
  <c r="T7" i="41" s="1"/>
  <c r="U7" i="41" s="1"/>
  <c r="T578" i="41" a="1"/>
  <c r="T578" i="41" s="1"/>
  <c r="U578" i="41" s="1"/>
  <c r="T570" i="41" a="1"/>
  <c r="T570" i="41" s="1"/>
  <c r="U570" i="41" s="1"/>
  <c r="T562" i="41" a="1"/>
  <c r="T562" i="41" s="1"/>
  <c r="U562" i="41" s="1"/>
  <c r="T554" i="41" a="1"/>
  <c r="T554" i="41" s="1"/>
  <c r="U554" i="41" s="1"/>
  <c r="T546" i="41" a="1"/>
  <c r="T546" i="41" s="1"/>
  <c r="U546" i="41" s="1"/>
  <c r="T538" i="41" a="1"/>
  <c r="T538" i="41" s="1"/>
  <c r="U538" i="41" s="1"/>
  <c r="T530" i="41" a="1"/>
  <c r="T530" i="41" s="1"/>
  <c r="U530" i="41" s="1"/>
  <c r="AB571" i="41"/>
  <c r="Y571" i="41" a="1"/>
  <c r="Y571" i="41" s="1"/>
  <c r="AB547" i="41"/>
  <c r="Y547" i="41" a="1"/>
  <c r="Y547" i="41" s="1"/>
  <c r="AB531" i="41"/>
  <c r="Y531" i="41" a="1"/>
  <c r="Y531" i="41" s="1"/>
  <c r="AB507" i="41"/>
  <c r="Y507" i="41" a="1"/>
  <c r="Y507" i="41" s="1"/>
  <c r="AB483" i="41"/>
  <c r="Y483" i="41" a="1"/>
  <c r="Y483" i="41" s="1"/>
  <c r="AB467" i="41"/>
  <c r="Y467" i="41" a="1"/>
  <c r="Y467" i="41" s="1"/>
  <c r="AB451" i="41"/>
  <c r="Y451" i="41" a="1"/>
  <c r="Y451" i="41" s="1"/>
  <c r="AB435" i="41"/>
  <c r="Y435" i="41" a="1"/>
  <c r="Y435" i="41" s="1"/>
  <c r="AB411" i="41"/>
  <c r="Y411" i="41" a="1"/>
  <c r="Y411" i="41" s="1"/>
  <c r="AB395" i="41"/>
  <c r="Y395" i="41" a="1"/>
  <c r="Y395" i="41" s="1"/>
  <c r="AB379" i="41"/>
  <c r="Y379" i="41" a="1"/>
  <c r="Y379" i="41" s="1"/>
  <c r="AB355" i="41"/>
  <c r="Y355" i="41" a="1"/>
  <c r="Y355" i="41" s="1"/>
  <c r="AB339" i="41"/>
  <c r="Y339" i="41" a="1"/>
  <c r="Y339" i="41" s="1"/>
  <c r="AB323" i="41"/>
  <c r="Y323" i="41" a="1"/>
  <c r="Y323" i="41" s="1"/>
  <c r="AB299" i="41"/>
  <c r="Y299" i="41" a="1"/>
  <c r="Y299" i="41" s="1"/>
  <c r="AB283" i="41"/>
  <c r="Y283" i="41" a="1"/>
  <c r="Y283" i="41" s="1"/>
  <c r="AB275" i="41"/>
  <c r="Y275" i="41" a="1"/>
  <c r="Y275" i="41" s="1"/>
  <c r="AB259" i="41"/>
  <c r="Y259" i="41" a="1"/>
  <c r="Y259" i="41" s="1"/>
  <c r="AB235" i="41"/>
  <c r="Y235" i="41" a="1"/>
  <c r="Y235" i="41" s="1"/>
  <c r="AB219" i="41"/>
  <c r="Y219" i="41" a="1"/>
  <c r="Y219" i="41" s="1"/>
  <c r="AB203" i="41"/>
  <c r="Y203" i="41" a="1"/>
  <c r="Y203" i="41" s="1"/>
  <c r="AB195" i="41"/>
  <c r="Y195" i="41" a="1"/>
  <c r="Y195" i="41" s="1"/>
  <c r="AB171" i="41"/>
  <c r="Y171" i="41" a="1"/>
  <c r="Y171" i="41" s="1"/>
  <c r="AB163" i="41"/>
  <c r="Y163" i="41" a="1"/>
  <c r="Y163" i="41" s="1"/>
  <c r="AB139" i="41"/>
  <c r="Y139" i="41" a="1"/>
  <c r="Y139" i="41" s="1"/>
  <c r="T139" i="41" a="1"/>
  <c r="T139" i="41" s="1"/>
  <c r="U139" i="41" s="1"/>
  <c r="AB123" i="41"/>
  <c r="Y123" i="41" a="1"/>
  <c r="Y123" i="41" s="1"/>
  <c r="T123" i="41" a="1"/>
  <c r="T123" i="41" s="1"/>
  <c r="U123" i="41" s="1"/>
  <c r="AB99" i="41"/>
  <c r="Y99" i="41" a="1"/>
  <c r="Y99" i="41" s="1"/>
  <c r="T99" i="41" a="1"/>
  <c r="T99" i="41" s="1"/>
  <c r="U99" i="41" s="1"/>
  <c r="AB91" i="41"/>
  <c r="Y91" i="41" a="1"/>
  <c r="Y91" i="41" s="1"/>
  <c r="T91" i="41" a="1"/>
  <c r="T91" i="41" s="1"/>
  <c r="U91" i="41" s="1"/>
  <c r="AB67" i="41"/>
  <c r="Y67" i="41" a="1"/>
  <c r="Y67" i="41" s="1"/>
  <c r="T67" i="41" a="1"/>
  <c r="T67" i="41" s="1"/>
  <c r="U67" i="41" s="1"/>
  <c r="AB59" i="41"/>
  <c r="Y59" i="41" a="1"/>
  <c r="Y59" i="41" s="1"/>
  <c r="T59" i="41" a="1"/>
  <c r="T59" i="41" s="1"/>
  <c r="U59" i="41" s="1"/>
  <c r="AB43" i="41"/>
  <c r="Y43" i="41" a="1"/>
  <c r="Y43" i="41" s="1"/>
  <c r="T43" i="41" a="1"/>
  <c r="T43" i="41" s="1"/>
  <c r="U43" i="41" s="1"/>
  <c r="AB19" i="41"/>
  <c r="Y19" i="41" a="1"/>
  <c r="Y19" i="41" s="1"/>
  <c r="T19" i="41" a="1"/>
  <c r="T19" i="41" s="1"/>
  <c r="U19" i="41" s="1"/>
  <c r="AB582" i="41"/>
  <c r="Y582" i="41" a="1"/>
  <c r="Y582" i="41" s="1"/>
  <c r="AB566" i="41"/>
  <c r="Y566" i="41" a="1"/>
  <c r="Y566" i="41" s="1"/>
  <c r="AB550" i="41"/>
  <c r="Y550" i="41" a="1"/>
  <c r="Y550" i="41" s="1"/>
  <c r="AB542" i="41"/>
  <c r="Y542" i="41" a="1"/>
  <c r="Y542" i="41" s="1"/>
  <c r="AB534" i="41"/>
  <c r="Y534" i="41" a="1"/>
  <c r="Y534" i="41" s="1"/>
  <c r="AB526" i="41"/>
  <c r="Y526" i="41" a="1"/>
  <c r="Y526" i="41" s="1"/>
  <c r="AB518" i="41"/>
  <c r="Y518" i="41" a="1"/>
  <c r="Y518" i="41" s="1"/>
  <c r="AB510" i="41"/>
  <c r="Y510" i="41" a="1"/>
  <c r="Y510" i="41" s="1"/>
  <c r="AB502" i="41"/>
  <c r="Y502" i="41" a="1"/>
  <c r="Y502" i="41" s="1"/>
  <c r="AB494" i="41"/>
  <c r="Y494" i="41" a="1"/>
  <c r="Y494" i="41" s="1"/>
  <c r="AB486" i="41"/>
  <c r="Y486" i="41" a="1"/>
  <c r="Y486" i="41" s="1"/>
  <c r="AB478" i="41"/>
  <c r="Y478" i="41" a="1"/>
  <c r="Y478" i="41" s="1"/>
  <c r="AB470" i="41"/>
  <c r="Y470" i="41" a="1"/>
  <c r="Y470" i="41" s="1"/>
  <c r="AB462" i="41"/>
  <c r="AD462" i="41" s="1"/>
  <c r="Y462" i="41" a="1"/>
  <c r="Y462" i="41" s="1"/>
  <c r="AB454" i="41"/>
  <c r="Y454" i="41" a="1"/>
  <c r="Y454" i="41" s="1"/>
  <c r="AB446" i="41"/>
  <c r="Y446" i="41" a="1"/>
  <c r="Y446" i="41" s="1"/>
  <c r="AB438" i="41"/>
  <c r="AD438" i="41" s="1"/>
  <c r="Y438" i="41" a="1"/>
  <c r="Y438" i="41" s="1"/>
  <c r="AB430" i="41"/>
  <c r="Y430" i="41" a="1"/>
  <c r="Y430" i="41" s="1"/>
  <c r="AB422" i="41"/>
  <c r="Y422" i="41" a="1"/>
  <c r="Y422" i="41" s="1"/>
  <c r="AB414" i="41"/>
  <c r="AD414" i="41" s="1"/>
  <c r="Y414" i="41" a="1"/>
  <c r="Y414" i="41" s="1"/>
  <c r="AB406" i="41"/>
  <c r="Y406" i="41" a="1"/>
  <c r="Y406" i="41" s="1"/>
  <c r="AB398" i="41"/>
  <c r="Y398" i="41" a="1"/>
  <c r="Y398" i="41" s="1"/>
  <c r="AB390" i="41"/>
  <c r="AD390" i="41" s="1"/>
  <c r="Y390" i="41" a="1"/>
  <c r="Y390" i="41" s="1"/>
  <c r="AB382" i="41"/>
  <c r="Y382" i="41" a="1"/>
  <c r="Y382" i="41" s="1"/>
  <c r="AB374" i="41"/>
  <c r="Y374" i="41" a="1"/>
  <c r="Y374" i="41" s="1"/>
  <c r="AB366" i="41"/>
  <c r="AD366" i="41" s="1"/>
  <c r="Y366" i="41" a="1"/>
  <c r="Y366" i="41" s="1"/>
  <c r="AB358" i="41"/>
  <c r="Y358" i="41" a="1"/>
  <c r="Y358" i="41" s="1"/>
  <c r="AB350" i="41"/>
  <c r="Y350" i="41" a="1"/>
  <c r="Y350" i="41" s="1"/>
  <c r="AB342" i="41"/>
  <c r="AD342" i="41" s="1"/>
  <c r="Y342" i="41" a="1"/>
  <c r="Y342" i="41" s="1"/>
  <c r="AB334" i="41"/>
  <c r="Y334" i="41" a="1"/>
  <c r="Y334" i="41" s="1"/>
  <c r="AB326" i="41"/>
  <c r="Y326" i="41" a="1"/>
  <c r="Y326" i="41" s="1"/>
  <c r="AB318" i="41"/>
  <c r="AD318" i="41" s="1"/>
  <c r="Y318" i="41" a="1"/>
  <c r="Y318" i="41" s="1"/>
  <c r="AB310" i="41"/>
  <c r="Y310" i="41" a="1"/>
  <c r="Y310" i="41" s="1"/>
  <c r="AB302" i="41"/>
  <c r="Y302" i="41" a="1"/>
  <c r="Y302" i="41" s="1"/>
  <c r="AB294" i="41"/>
  <c r="AD294" i="41" s="1"/>
  <c r="Y294" i="41" a="1"/>
  <c r="Y294" i="41" s="1"/>
  <c r="AB286" i="41"/>
  <c r="Y286" i="41" a="1"/>
  <c r="Y286" i="41" s="1"/>
  <c r="AB278" i="41"/>
  <c r="Y278" i="41" a="1"/>
  <c r="Y278" i="41" s="1"/>
  <c r="AB270" i="41"/>
  <c r="AD270" i="41" s="1"/>
  <c r="Y270" i="41" a="1"/>
  <c r="Y270" i="41" s="1"/>
  <c r="AB262" i="41"/>
  <c r="Y262" i="41" a="1"/>
  <c r="Y262" i="41" s="1"/>
  <c r="AB254" i="41"/>
  <c r="Y254" i="41" a="1"/>
  <c r="Y254" i="41" s="1"/>
  <c r="T254" i="41" a="1"/>
  <c r="T254" i="41" s="1"/>
  <c r="U254" i="41" s="1"/>
  <c r="AB246" i="41"/>
  <c r="Y246" i="41" a="1"/>
  <c r="Y246" i="41" s="1"/>
  <c r="T246" i="41" a="1"/>
  <c r="T246" i="41" s="1"/>
  <c r="U246" i="41" s="1"/>
  <c r="AB238" i="41"/>
  <c r="Y238" i="41" a="1"/>
  <c r="Y238" i="41" s="1"/>
  <c r="T238" i="41" a="1"/>
  <c r="T238" i="41" s="1"/>
  <c r="U238" i="41" s="1"/>
  <c r="AB230" i="41"/>
  <c r="Y230" i="41" a="1"/>
  <c r="Y230" i="41" s="1"/>
  <c r="T230" i="41" a="1"/>
  <c r="T230" i="41" s="1"/>
  <c r="U230" i="41" s="1"/>
  <c r="AB222" i="41"/>
  <c r="Y222" i="41" a="1"/>
  <c r="Y222" i="41" s="1"/>
  <c r="T222" i="41" a="1"/>
  <c r="T222" i="41" s="1"/>
  <c r="U222" i="41" s="1"/>
  <c r="AB214" i="41"/>
  <c r="Y214" i="41" a="1"/>
  <c r="Y214" i="41" s="1"/>
  <c r="T214" i="41" a="1"/>
  <c r="T214" i="41" s="1"/>
  <c r="U214" i="41" s="1"/>
  <c r="AB206" i="41"/>
  <c r="Y206" i="41" a="1"/>
  <c r="Y206" i="41" s="1"/>
  <c r="T206" i="41" a="1"/>
  <c r="T206" i="41" s="1"/>
  <c r="U206" i="41" s="1"/>
  <c r="AB198" i="41"/>
  <c r="Y198" i="41" a="1"/>
  <c r="Y198" i="41" s="1"/>
  <c r="T198" i="41" a="1"/>
  <c r="T198" i="41" s="1"/>
  <c r="U198" i="41" s="1"/>
  <c r="AB190" i="41"/>
  <c r="AD190" i="41" s="1"/>
  <c r="Y190" i="41" a="1"/>
  <c r="Y190" i="41" s="1"/>
  <c r="T190" i="41" a="1"/>
  <c r="T190" i="41" s="1"/>
  <c r="U190" i="41" s="1"/>
  <c r="AB182" i="41"/>
  <c r="Y182" i="41" a="1"/>
  <c r="Y182" i="41" s="1"/>
  <c r="T182" i="41" a="1"/>
  <c r="T182" i="41" s="1"/>
  <c r="U182" i="41" s="1"/>
  <c r="AB174" i="41"/>
  <c r="Y174" i="41" a="1"/>
  <c r="Y174" i="41" s="1"/>
  <c r="T174" i="41" a="1"/>
  <c r="T174" i="41" s="1"/>
  <c r="U174" i="41" s="1"/>
  <c r="AB166" i="41"/>
  <c r="Y166" i="41" a="1"/>
  <c r="Y166" i="41" s="1"/>
  <c r="T166" i="41" a="1"/>
  <c r="T166" i="41" s="1"/>
  <c r="U166" i="41" s="1"/>
  <c r="AB158" i="41"/>
  <c r="Y158" i="41" a="1"/>
  <c r="Y158" i="41" s="1"/>
  <c r="T158" i="41" a="1"/>
  <c r="T158" i="41" s="1"/>
  <c r="U158" i="41" s="1"/>
  <c r="AB150" i="41"/>
  <c r="Y150" i="41" a="1"/>
  <c r="Y150" i="41" s="1"/>
  <c r="T150" i="41" a="1"/>
  <c r="T150" i="41" s="1"/>
  <c r="U150" i="41" s="1"/>
  <c r="AB142" i="41"/>
  <c r="Y142" i="41" a="1"/>
  <c r="Y142" i="41" s="1"/>
  <c r="T142" i="41" a="1"/>
  <c r="T142" i="41" s="1"/>
  <c r="U142" i="41" s="1"/>
  <c r="AB134" i="41"/>
  <c r="Y134" i="41" a="1"/>
  <c r="Y134" i="41" s="1"/>
  <c r="T134" i="41" a="1"/>
  <c r="T134" i="41" s="1"/>
  <c r="U134" i="41" s="1"/>
  <c r="AB126" i="41"/>
  <c r="Y126" i="41" a="1"/>
  <c r="Y126" i="41" s="1"/>
  <c r="T126" i="41" a="1"/>
  <c r="T126" i="41" s="1"/>
  <c r="U126" i="41" s="1"/>
  <c r="AB118" i="41"/>
  <c r="Y118" i="41" a="1"/>
  <c r="Y118" i="41" s="1"/>
  <c r="T118" i="41" a="1"/>
  <c r="T118" i="41" s="1"/>
  <c r="U118" i="41" s="1"/>
  <c r="AB110" i="41"/>
  <c r="Y110" i="41" a="1"/>
  <c r="Y110" i="41" s="1"/>
  <c r="T110" i="41" a="1"/>
  <c r="T110" i="41" s="1"/>
  <c r="U110" i="41" s="1"/>
  <c r="AB102" i="41"/>
  <c r="Y102" i="41" a="1"/>
  <c r="Y102" i="41" s="1"/>
  <c r="T102" i="41" a="1"/>
  <c r="T102" i="41" s="1"/>
  <c r="U102" i="41" s="1"/>
  <c r="AB94" i="41"/>
  <c r="AD94" i="41" s="1"/>
  <c r="Y94" i="41" a="1"/>
  <c r="Y94" i="41" s="1"/>
  <c r="T94" i="41" a="1"/>
  <c r="T94" i="41" s="1"/>
  <c r="U94" i="41" s="1"/>
  <c r="AB86" i="41"/>
  <c r="Y86" i="41" a="1"/>
  <c r="Y86" i="41" s="1"/>
  <c r="T86" i="41" a="1"/>
  <c r="T86" i="41" s="1"/>
  <c r="U86" i="41" s="1"/>
  <c r="AB78" i="41"/>
  <c r="Y78" i="41" a="1"/>
  <c r="Y78" i="41" s="1"/>
  <c r="T78" i="41" a="1"/>
  <c r="T78" i="41" s="1"/>
  <c r="U78" i="41" s="1"/>
  <c r="AB70" i="41"/>
  <c r="Y70" i="41" a="1"/>
  <c r="Y70" i="41" s="1"/>
  <c r="T70" i="41" a="1"/>
  <c r="T70" i="41" s="1"/>
  <c r="U70" i="41" s="1"/>
  <c r="AB62" i="41"/>
  <c r="Y62" i="41" a="1"/>
  <c r="Y62" i="41" s="1"/>
  <c r="T62" i="41" a="1"/>
  <c r="T62" i="41" s="1"/>
  <c r="U62" i="41" s="1"/>
  <c r="AB54" i="41"/>
  <c r="Y54" i="41" a="1"/>
  <c r="Y54" i="41" s="1"/>
  <c r="T54" i="41" a="1"/>
  <c r="T54" i="41" s="1"/>
  <c r="U54" i="41" s="1"/>
  <c r="AB46" i="41"/>
  <c r="Y46" i="41" a="1"/>
  <c r="Y46" i="41" s="1"/>
  <c r="T46" i="41" a="1"/>
  <c r="T46" i="41" s="1"/>
  <c r="U46" i="41" s="1"/>
  <c r="AB38" i="41"/>
  <c r="Y38" i="41" a="1"/>
  <c r="Y38" i="41" s="1"/>
  <c r="T38" i="41" a="1"/>
  <c r="T38" i="41" s="1"/>
  <c r="U38" i="41" s="1"/>
  <c r="AB30" i="41"/>
  <c r="Y30" i="41" a="1"/>
  <c r="Y30" i="41" s="1"/>
  <c r="T30" i="41" a="1"/>
  <c r="T30" i="41" s="1"/>
  <c r="U30" i="41" s="1"/>
  <c r="AB22" i="41"/>
  <c r="Y22" i="41" a="1"/>
  <c r="Y22" i="41" s="1"/>
  <c r="T22" i="41" a="1"/>
  <c r="T22" i="41" s="1"/>
  <c r="U22" i="41" s="1"/>
  <c r="AB14" i="41"/>
  <c r="Y14" i="41" a="1"/>
  <c r="Y14" i="41" s="1"/>
  <c r="T14" i="41" a="1"/>
  <c r="T14" i="41" s="1"/>
  <c r="U14" i="41" s="1"/>
  <c r="AB6" i="41"/>
  <c r="Y6" i="41" a="1"/>
  <c r="Y6" i="41" s="1"/>
  <c r="T6" i="41" a="1"/>
  <c r="T6" i="41" s="1"/>
  <c r="U6" i="41" s="1"/>
  <c r="T577" i="41" a="1"/>
  <c r="T577" i="41" s="1"/>
  <c r="U577" i="41" s="1"/>
  <c r="T569" i="41" a="1"/>
  <c r="T569" i="41" s="1"/>
  <c r="U569" i="41" s="1"/>
  <c r="T561" i="41" a="1"/>
  <c r="T561" i="41" s="1"/>
  <c r="U561" i="41" s="1"/>
  <c r="T553" i="41" a="1"/>
  <c r="T553" i="41" s="1"/>
  <c r="U553" i="41" s="1"/>
  <c r="T545" i="41" a="1"/>
  <c r="T545" i="41" s="1"/>
  <c r="U545" i="41" s="1"/>
  <c r="T537" i="41" a="1"/>
  <c r="T537" i="41" s="1"/>
  <c r="U537" i="41" s="1"/>
  <c r="T529" i="41" a="1"/>
  <c r="T529" i="41" s="1"/>
  <c r="U529" i="41" s="1"/>
  <c r="T522" i="41" a="1"/>
  <c r="T522" i="41" s="1"/>
  <c r="U522" i="41" s="1"/>
  <c r="T514" i="41" a="1"/>
  <c r="T514" i="41" s="1"/>
  <c r="U514" i="41" s="1"/>
  <c r="T506" i="41" a="1"/>
  <c r="T506" i="41" s="1"/>
  <c r="U506" i="41" s="1"/>
  <c r="T498" i="41" a="1"/>
  <c r="T498" i="41" s="1"/>
  <c r="U498" i="41" s="1"/>
  <c r="T490" i="41" a="1"/>
  <c r="T490" i="41" s="1"/>
  <c r="U490" i="41" s="1"/>
  <c r="T483" i="41" a="1"/>
  <c r="T483" i="41" s="1"/>
  <c r="U483" i="41" s="1"/>
  <c r="T467" i="41" a="1"/>
  <c r="T467" i="41" s="1"/>
  <c r="U467" i="41" s="1"/>
  <c r="T451" i="41" a="1"/>
  <c r="T451" i="41" s="1"/>
  <c r="U451" i="41" s="1"/>
  <c r="T163" i="41" a="1"/>
  <c r="T163" i="41" s="1"/>
  <c r="U163" i="41" s="1"/>
  <c r="AB579" i="41"/>
  <c r="Y579" i="41" a="1"/>
  <c r="Y579" i="41" s="1"/>
  <c r="AB555" i="41"/>
  <c r="Y555" i="41" a="1"/>
  <c r="Y555" i="41" s="1"/>
  <c r="AB523" i="41"/>
  <c r="AD523" i="41" s="1"/>
  <c r="Y523" i="41" a="1"/>
  <c r="Y523" i="41" s="1"/>
  <c r="AB491" i="41"/>
  <c r="Y491" i="41" a="1"/>
  <c r="Y491" i="41" s="1"/>
  <c r="AB427" i="41"/>
  <c r="Y427" i="41" a="1"/>
  <c r="Y427" i="41" s="1"/>
  <c r="Y363" i="41" a="1"/>
  <c r="Y363" i="41" s="1"/>
  <c r="AB363" i="41"/>
  <c r="AB115" i="41"/>
  <c r="Y115" i="41" a="1"/>
  <c r="Y115" i="41" s="1"/>
  <c r="T115" i="41" a="1"/>
  <c r="T115" i="41" s="1"/>
  <c r="U115" i="41" s="1"/>
  <c r="AB583" i="41"/>
  <c r="Y583" i="41" a="1"/>
  <c r="Y583" i="41" s="1"/>
  <c r="AB517" i="41"/>
  <c r="Y517" i="41" a="1"/>
  <c r="Y517" i="41" s="1"/>
  <c r="AB509" i="41"/>
  <c r="Y509" i="41" a="1"/>
  <c r="Y509" i="41" s="1"/>
  <c r="AB501" i="41"/>
  <c r="Y501" i="41" a="1"/>
  <c r="Y501" i="41" s="1"/>
  <c r="AB493" i="41"/>
  <c r="Y493" i="41" a="1"/>
  <c r="Y493" i="41" s="1"/>
  <c r="AB485" i="41"/>
  <c r="Y485" i="41" a="1"/>
  <c r="Y485" i="41" s="1"/>
  <c r="AB477" i="41"/>
  <c r="Y477" i="41" a="1"/>
  <c r="Y477" i="41" s="1"/>
  <c r="AB469" i="41"/>
  <c r="Y469" i="41" a="1"/>
  <c r="Y469" i="41" s="1"/>
  <c r="AB461" i="41"/>
  <c r="Y461" i="41" a="1"/>
  <c r="Y461" i="41" s="1"/>
  <c r="AB453" i="41"/>
  <c r="Y453" i="41" a="1"/>
  <c r="Y453" i="41" s="1"/>
  <c r="AB445" i="41"/>
  <c r="Y445" i="41" a="1"/>
  <c r="Y445" i="41" s="1"/>
  <c r="AB437" i="41"/>
  <c r="Y437" i="41" a="1"/>
  <c r="Y437" i="41" s="1"/>
  <c r="AB429" i="41"/>
  <c r="Y429" i="41" a="1"/>
  <c r="Y429" i="41" s="1"/>
  <c r="AB421" i="41"/>
  <c r="Y421" i="41" a="1"/>
  <c r="Y421" i="41" s="1"/>
  <c r="AB413" i="41"/>
  <c r="Y413" i="41" a="1"/>
  <c r="Y413" i="41" s="1"/>
  <c r="AB405" i="41"/>
  <c r="Y405" i="41" a="1"/>
  <c r="Y405" i="41" s="1"/>
  <c r="AB397" i="41"/>
  <c r="Y397" i="41" a="1"/>
  <c r="Y397" i="41" s="1"/>
  <c r="AB389" i="41"/>
  <c r="Y389" i="41" a="1"/>
  <c r="Y389" i="41" s="1"/>
  <c r="AB381" i="41"/>
  <c r="Y381" i="41" a="1"/>
  <c r="Y381" i="41" s="1"/>
  <c r="AB373" i="41"/>
  <c r="Y373" i="41" a="1"/>
  <c r="Y373" i="41" s="1"/>
  <c r="AB365" i="41"/>
  <c r="Y365" i="41" a="1"/>
  <c r="Y365" i="41" s="1"/>
  <c r="AB357" i="41"/>
  <c r="Y357" i="41" a="1"/>
  <c r="Y357" i="41" s="1"/>
  <c r="AB349" i="41"/>
  <c r="Y349" i="41" a="1"/>
  <c r="Y349" i="41" s="1"/>
  <c r="AB341" i="41"/>
  <c r="Y341" i="41" a="1"/>
  <c r="Y341" i="41" s="1"/>
  <c r="AB333" i="41"/>
  <c r="Y333" i="41" a="1"/>
  <c r="Y333" i="41" s="1"/>
  <c r="AB325" i="41"/>
  <c r="Y325" i="41" a="1"/>
  <c r="Y325" i="41" s="1"/>
  <c r="AB317" i="41"/>
  <c r="Y317" i="41" a="1"/>
  <c r="Y317" i="41" s="1"/>
  <c r="AB309" i="41"/>
  <c r="Y309" i="41" a="1"/>
  <c r="Y309" i="41" s="1"/>
  <c r="AB301" i="41"/>
  <c r="Y301" i="41" a="1"/>
  <c r="Y301" i="41" s="1"/>
  <c r="AB293" i="41"/>
  <c r="Y293" i="41" a="1"/>
  <c r="Y293" i="41" s="1"/>
  <c r="AB285" i="41"/>
  <c r="Y285" i="41" a="1"/>
  <c r="Y285" i="41" s="1"/>
  <c r="AB277" i="41"/>
  <c r="Y277" i="41" a="1"/>
  <c r="Y277" i="41" s="1"/>
  <c r="AB269" i="41"/>
  <c r="Y269" i="41" a="1"/>
  <c r="Y269" i="41" s="1"/>
  <c r="AB261" i="41"/>
  <c r="Y261" i="41" a="1"/>
  <c r="Y261" i="41" s="1"/>
  <c r="T261" i="41" a="1"/>
  <c r="T261" i="41" s="1"/>
  <c r="U261" i="41" s="1"/>
  <c r="AB253" i="41"/>
  <c r="Y253" i="41" a="1"/>
  <c r="Y253" i="41" s="1"/>
  <c r="T253" i="41" a="1"/>
  <c r="T253" i="41" s="1"/>
  <c r="U253" i="41" s="1"/>
  <c r="AB245" i="41"/>
  <c r="Y245" i="41" a="1"/>
  <c r="Y245" i="41" s="1"/>
  <c r="T245" i="41" a="1"/>
  <c r="T245" i="41" s="1"/>
  <c r="U245" i="41" s="1"/>
  <c r="AB237" i="41"/>
  <c r="Y237" i="41" a="1"/>
  <c r="Y237" i="41" s="1"/>
  <c r="T237" i="41" a="1"/>
  <c r="T237" i="41" s="1"/>
  <c r="U237" i="41" s="1"/>
  <c r="AB229" i="41"/>
  <c r="Y229" i="41" a="1"/>
  <c r="Y229" i="41" s="1"/>
  <c r="T229" i="41" a="1"/>
  <c r="T229" i="41" s="1"/>
  <c r="U229" i="41" s="1"/>
  <c r="AB221" i="41"/>
  <c r="Y221" i="41" a="1"/>
  <c r="Y221" i="41" s="1"/>
  <c r="T221" i="41" a="1"/>
  <c r="T221" i="41" s="1"/>
  <c r="U221" i="41" s="1"/>
  <c r="AB213" i="41"/>
  <c r="Y213" i="41" a="1"/>
  <c r="Y213" i="41" s="1"/>
  <c r="T213" i="41" a="1"/>
  <c r="T213" i="41" s="1"/>
  <c r="U213" i="41" s="1"/>
  <c r="AB205" i="41"/>
  <c r="Y205" i="41" a="1"/>
  <c r="Y205" i="41" s="1"/>
  <c r="T205" i="41" a="1"/>
  <c r="T205" i="41" s="1"/>
  <c r="U205" i="41" s="1"/>
  <c r="AB197" i="41"/>
  <c r="Y197" i="41" a="1"/>
  <c r="Y197" i="41" s="1"/>
  <c r="T197" i="41" a="1"/>
  <c r="T197" i="41" s="1"/>
  <c r="U197" i="41" s="1"/>
  <c r="AB189" i="41"/>
  <c r="Y189" i="41" a="1"/>
  <c r="Y189" i="41" s="1"/>
  <c r="T189" i="41" a="1"/>
  <c r="T189" i="41" s="1"/>
  <c r="U189" i="41" s="1"/>
  <c r="AB181" i="41"/>
  <c r="Y181" i="41" a="1"/>
  <c r="Y181" i="41" s="1"/>
  <c r="T181" i="41" a="1"/>
  <c r="T181" i="41" s="1"/>
  <c r="U181" i="41" s="1"/>
  <c r="AB173" i="41"/>
  <c r="Y173" i="41" a="1"/>
  <c r="Y173" i="41" s="1"/>
  <c r="T173" i="41" a="1"/>
  <c r="T173" i="41" s="1"/>
  <c r="U173" i="41" s="1"/>
  <c r="AB165" i="41"/>
  <c r="Y165" i="41" a="1"/>
  <c r="Y165" i="41" s="1"/>
  <c r="T165" i="41" a="1"/>
  <c r="T165" i="41" s="1"/>
  <c r="U165" i="41" s="1"/>
  <c r="AB157" i="41"/>
  <c r="Y157" i="41" a="1"/>
  <c r="Y157" i="41" s="1"/>
  <c r="T157" i="41" a="1"/>
  <c r="T157" i="41" s="1"/>
  <c r="U157" i="41" s="1"/>
  <c r="AB149" i="41"/>
  <c r="Y149" i="41" a="1"/>
  <c r="Y149" i="41" s="1"/>
  <c r="T149" i="41" a="1"/>
  <c r="T149" i="41" s="1"/>
  <c r="U149" i="41" s="1"/>
  <c r="AB141" i="41"/>
  <c r="Y141" i="41" a="1"/>
  <c r="Y141" i="41" s="1"/>
  <c r="T141" i="41" a="1"/>
  <c r="T141" i="41" s="1"/>
  <c r="U141" i="41" s="1"/>
  <c r="AB133" i="41"/>
  <c r="Y133" i="41" a="1"/>
  <c r="Y133" i="41" s="1"/>
  <c r="T133" i="41" a="1"/>
  <c r="T133" i="41" s="1"/>
  <c r="U133" i="41" s="1"/>
  <c r="AB125" i="41"/>
  <c r="Y125" i="41" a="1"/>
  <c r="Y125" i="41" s="1"/>
  <c r="T125" i="41" a="1"/>
  <c r="T125" i="41" s="1"/>
  <c r="U125" i="41" s="1"/>
  <c r="AB117" i="41"/>
  <c r="Y117" i="41" a="1"/>
  <c r="Y117" i="41" s="1"/>
  <c r="T117" i="41" a="1"/>
  <c r="T117" i="41" s="1"/>
  <c r="U117" i="41" s="1"/>
  <c r="AB109" i="41"/>
  <c r="Y109" i="41" a="1"/>
  <c r="Y109" i="41" s="1"/>
  <c r="T109" i="41" a="1"/>
  <c r="T109" i="41" s="1"/>
  <c r="U109" i="41" s="1"/>
  <c r="AB101" i="41"/>
  <c r="Y101" i="41" a="1"/>
  <c r="Y101" i="41" s="1"/>
  <c r="T101" i="41" a="1"/>
  <c r="T101" i="41" s="1"/>
  <c r="U101" i="41" s="1"/>
  <c r="AB93" i="41"/>
  <c r="Y93" i="41" a="1"/>
  <c r="Y93" i="41" s="1"/>
  <c r="T93" i="41" a="1"/>
  <c r="T93" i="41" s="1"/>
  <c r="U93" i="41" s="1"/>
  <c r="AB85" i="41"/>
  <c r="Y85" i="41" a="1"/>
  <c r="Y85" i="41" s="1"/>
  <c r="T85" i="41" a="1"/>
  <c r="T85" i="41" s="1"/>
  <c r="U85" i="41" s="1"/>
  <c r="AB77" i="41"/>
  <c r="Y77" i="41" a="1"/>
  <c r="Y77" i="41" s="1"/>
  <c r="T77" i="41" a="1"/>
  <c r="T77" i="41" s="1"/>
  <c r="U77" i="41" s="1"/>
  <c r="Y69" i="41" a="1"/>
  <c r="Y69" i="41" s="1"/>
  <c r="AB69" i="41"/>
  <c r="T69" i="41" a="1"/>
  <c r="T69" i="41" s="1"/>
  <c r="U69" i="41" s="1"/>
  <c r="AB61" i="41"/>
  <c r="Y61" i="41" a="1"/>
  <c r="Y61" i="41" s="1"/>
  <c r="T61" i="41" a="1"/>
  <c r="T61" i="41" s="1"/>
  <c r="U61" i="41" s="1"/>
  <c r="AB53" i="41"/>
  <c r="Y53" i="41" a="1"/>
  <c r="Y53" i="41" s="1"/>
  <c r="T53" i="41" a="1"/>
  <c r="T53" i="41" s="1"/>
  <c r="U53" i="41" s="1"/>
  <c r="AB45" i="41"/>
  <c r="Y45" i="41" a="1"/>
  <c r="Y45" i="41" s="1"/>
  <c r="T45" i="41" a="1"/>
  <c r="T45" i="41" s="1"/>
  <c r="U45" i="41" s="1"/>
  <c r="AB37" i="41"/>
  <c r="Y37" i="41" a="1"/>
  <c r="Y37" i="41" s="1"/>
  <c r="T37" i="41" a="1"/>
  <c r="T37" i="41" s="1"/>
  <c r="U37" i="41" s="1"/>
  <c r="AB29" i="41"/>
  <c r="Y29" i="41" a="1"/>
  <c r="Y29" i="41" s="1"/>
  <c r="T29" i="41" a="1"/>
  <c r="T29" i="41" s="1"/>
  <c r="U29" i="41" s="1"/>
  <c r="AB21" i="41"/>
  <c r="Y21" i="41" a="1"/>
  <c r="Y21" i="41" s="1"/>
  <c r="T21" i="41" a="1"/>
  <c r="T21" i="41" s="1"/>
  <c r="U21" i="41" s="1"/>
  <c r="AB13" i="41"/>
  <c r="Y13" i="41" a="1"/>
  <c r="Y13" i="41" s="1"/>
  <c r="T13" i="41" a="1"/>
  <c r="T13" i="41" s="1"/>
  <c r="U13" i="41" s="1"/>
  <c r="S2" i="41"/>
  <c r="T584" i="41" a="1"/>
  <c r="T584" i="41" s="1"/>
  <c r="U584" i="41" s="1"/>
  <c r="T576" i="41" a="1"/>
  <c r="T576" i="41" s="1"/>
  <c r="U576" i="41" s="1"/>
  <c r="T568" i="41" a="1"/>
  <c r="T568" i="41" s="1"/>
  <c r="U568" i="41" s="1"/>
  <c r="T560" i="41" a="1"/>
  <c r="T560" i="41" s="1"/>
  <c r="U560" i="41" s="1"/>
  <c r="T552" i="41" a="1"/>
  <c r="T552" i="41" s="1"/>
  <c r="U552" i="41" s="1"/>
  <c r="T544" i="41" a="1"/>
  <c r="T544" i="41" s="1"/>
  <c r="U544" i="41" s="1"/>
  <c r="T536" i="41" a="1"/>
  <c r="T536" i="41" s="1"/>
  <c r="U536" i="41" s="1"/>
  <c r="T528" i="41" a="1"/>
  <c r="T528" i="41" s="1"/>
  <c r="U528" i="41" s="1"/>
  <c r="T521" i="41" a="1"/>
  <c r="T521" i="41" s="1"/>
  <c r="U521" i="41" s="1"/>
  <c r="T513" i="41" a="1"/>
  <c r="T513" i="41" s="1"/>
  <c r="U513" i="41" s="1"/>
  <c r="T505" i="41" a="1"/>
  <c r="T505" i="41" s="1"/>
  <c r="U505" i="41" s="1"/>
  <c r="T497" i="41" a="1"/>
  <c r="T497" i="41" s="1"/>
  <c r="U497" i="41" s="1"/>
  <c r="T489" i="41" a="1"/>
  <c r="T489" i="41" s="1"/>
  <c r="U489" i="41" s="1"/>
  <c r="T482" i="41" a="1"/>
  <c r="T482" i="41" s="1"/>
  <c r="U482" i="41" s="1"/>
  <c r="T474" i="41" a="1"/>
  <c r="T474" i="41" s="1"/>
  <c r="U474" i="41" s="1"/>
  <c r="T466" i="41" a="1"/>
  <c r="T466" i="41" s="1"/>
  <c r="U466" i="41" s="1"/>
  <c r="T458" i="41" a="1"/>
  <c r="T458" i="41" s="1"/>
  <c r="U458" i="41" s="1"/>
  <c r="T450" i="41" a="1"/>
  <c r="T450" i="41" s="1"/>
  <c r="U450" i="41" s="1"/>
  <c r="T442" i="41" a="1"/>
  <c r="T442" i="41" s="1"/>
  <c r="U442" i="41" s="1"/>
  <c r="T435" i="41" a="1"/>
  <c r="T435" i="41" s="1"/>
  <c r="U435" i="41" s="1"/>
  <c r="T427" i="41" a="1"/>
  <c r="T427" i="41" s="1"/>
  <c r="U427" i="41" s="1"/>
  <c r="T411" i="41" a="1"/>
  <c r="T411" i="41" s="1"/>
  <c r="U411" i="41" s="1"/>
  <c r="T219" i="41" a="1"/>
  <c r="T219" i="41" s="1"/>
  <c r="U219" i="41" s="1"/>
  <c r="AB563" i="41"/>
  <c r="Y563" i="41" a="1"/>
  <c r="Y563" i="41" s="1"/>
  <c r="AB539" i="41"/>
  <c r="Y539" i="41" a="1"/>
  <c r="Y539" i="41" s="1"/>
  <c r="AB515" i="41"/>
  <c r="Y515" i="41" a="1"/>
  <c r="Y515" i="41" s="1"/>
  <c r="AB499" i="41"/>
  <c r="Y499" i="41" a="1"/>
  <c r="Y499" i="41" s="1"/>
  <c r="AB475" i="41"/>
  <c r="Y475" i="41" a="1"/>
  <c r="Y475" i="41" s="1"/>
  <c r="AB459" i="41"/>
  <c r="Y459" i="41" a="1"/>
  <c r="Y459" i="41" s="1"/>
  <c r="AB443" i="41"/>
  <c r="Y443" i="41" a="1"/>
  <c r="Y443" i="41" s="1"/>
  <c r="AB419" i="41"/>
  <c r="Y419" i="41" a="1"/>
  <c r="Y419" i="41" s="1"/>
  <c r="AB403" i="41"/>
  <c r="Y403" i="41" a="1"/>
  <c r="Y403" i="41" s="1"/>
  <c r="AB387" i="41"/>
  <c r="Y387" i="41" a="1"/>
  <c r="Y387" i="41" s="1"/>
  <c r="AB371" i="41"/>
  <c r="Y371" i="41" a="1"/>
  <c r="Y371" i="41" s="1"/>
  <c r="AB347" i="41"/>
  <c r="Y347" i="41" a="1"/>
  <c r="Y347" i="41" s="1"/>
  <c r="AB331" i="41"/>
  <c r="Y331" i="41" a="1"/>
  <c r="Y331" i="41" s="1"/>
  <c r="AB315" i="41"/>
  <c r="Y315" i="41" a="1"/>
  <c r="Y315" i="41" s="1"/>
  <c r="AB307" i="41"/>
  <c r="Y307" i="41" a="1"/>
  <c r="Y307" i="41" s="1"/>
  <c r="AB291" i="41"/>
  <c r="Y291" i="41" a="1"/>
  <c r="Y291" i="41" s="1"/>
  <c r="AB267" i="41"/>
  <c r="Y267" i="41" a="1"/>
  <c r="Y267" i="41" s="1"/>
  <c r="AB251" i="41"/>
  <c r="Y251" i="41" a="1"/>
  <c r="Y251" i="41" s="1"/>
  <c r="AB243" i="41"/>
  <c r="Y243" i="41" a="1"/>
  <c r="Y243" i="41" s="1"/>
  <c r="AB227" i="41"/>
  <c r="Y227" i="41" a="1"/>
  <c r="Y227" i="41" s="1"/>
  <c r="AB211" i="41"/>
  <c r="Y211" i="41" a="1"/>
  <c r="Y211" i="41" s="1"/>
  <c r="AB187" i="41"/>
  <c r="Y187" i="41" a="1"/>
  <c r="Y187" i="41" s="1"/>
  <c r="AB179" i="41"/>
  <c r="Y179" i="41" a="1"/>
  <c r="Y179" i="41" s="1"/>
  <c r="AB155" i="41"/>
  <c r="Y155" i="41" a="1"/>
  <c r="Y155" i="41" s="1"/>
  <c r="AB147" i="41"/>
  <c r="Y147" i="41" a="1"/>
  <c r="Y147" i="41" s="1"/>
  <c r="AB131" i="41"/>
  <c r="Y131" i="41" a="1"/>
  <c r="Y131" i="41" s="1"/>
  <c r="T131" i="41" a="1"/>
  <c r="T131" i="41" s="1"/>
  <c r="U131" i="41" s="1"/>
  <c r="AB107" i="41"/>
  <c r="Y107" i="41" a="1"/>
  <c r="Y107" i="41" s="1"/>
  <c r="T107" i="41" a="1"/>
  <c r="T107" i="41" s="1"/>
  <c r="U107" i="41" s="1"/>
  <c r="AB83" i="41"/>
  <c r="Y83" i="41" a="1"/>
  <c r="Y83" i="41" s="1"/>
  <c r="T83" i="41" a="1"/>
  <c r="T83" i="41" s="1"/>
  <c r="U83" i="41" s="1"/>
  <c r="AB75" i="41"/>
  <c r="Y75" i="41" a="1"/>
  <c r="Y75" i="41" s="1"/>
  <c r="T75" i="41" a="1"/>
  <c r="T75" i="41" s="1"/>
  <c r="U75" i="41" s="1"/>
  <c r="AB51" i="41"/>
  <c r="Y51" i="41" a="1"/>
  <c r="Y51" i="41" s="1"/>
  <c r="T51" i="41" a="1"/>
  <c r="T51" i="41" s="1"/>
  <c r="U51" i="41" s="1"/>
  <c r="AB35" i="41"/>
  <c r="Y35" i="41" a="1"/>
  <c r="Y35" i="41" s="1"/>
  <c r="T35" i="41" a="1"/>
  <c r="T35" i="41" s="1"/>
  <c r="U35" i="41" s="1"/>
  <c r="AB27" i="41"/>
  <c r="Y27" i="41" a="1"/>
  <c r="Y27" i="41" s="1"/>
  <c r="T27" i="41" a="1"/>
  <c r="T27" i="41" s="1"/>
  <c r="U27" i="41" s="1"/>
  <c r="AB11" i="41"/>
  <c r="Y11" i="41" a="1"/>
  <c r="Y11" i="41" s="1"/>
  <c r="T11" i="41" a="1"/>
  <c r="T11" i="41" s="1"/>
  <c r="U11" i="41" s="1"/>
  <c r="AB575" i="41"/>
  <c r="Y575" i="41" a="1"/>
  <c r="Y575" i="41" s="1"/>
  <c r="AB535" i="41"/>
  <c r="Y535" i="41" a="1"/>
  <c r="Y535" i="41" s="1"/>
  <c r="AB527" i="41"/>
  <c r="Y527" i="41" a="1"/>
  <c r="Y527" i="41" s="1"/>
  <c r="AB574" i="41"/>
  <c r="Y574" i="41" a="1"/>
  <c r="Y574" i="41" s="1"/>
  <c r="AB558" i="41"/>
  <c r="Y558" i="41" a="1"/>
  <c r="Y558" i="41" s="1"/>
  <c r="AB581" i="41"/>
  <c r="Y581" i="41" a="1"/>
  <c r="Y581" i="41" s="1"/>
  <c r="AB573" i="41"/>
  <c r="Y573" i="41" a="1"/>
  <c r="Y573" i="41" s="1"/>
  <c r="AB565" i="41"/>
  <c r="Y565" i="41" a="1"/>
  <c r="Y565" i="41" s="1"/>
  <c r="AB557" i="41"/>
  <c r="Y557" i="41" a="1"/>
  <c r="Y557" i="41" s="1"/>
  <c r="AB549" i="41"/>
  <c r="Y549" i="41" a="1"/>
  <c r="Y549" i="41" s="1"/>
  <c r="AB541" i="41"/>
  <c r="Y541" i="41" a="1"/>
  <c r="Y541" i="41" s="1"/>
  <c r="Y533" i="41" a="1"/>
  <c r="Y533" i="41" s="1"/>
  <c r="AB533" i="41"/>
  <c r="AB525" i="41"/>
  <c r="Y525" i="41" a="1"/>
  <c r="Y525" i="41" s="1"/>
  <c r="AB580" i="41"/>
  <c r="Y580" i="41" a="1"/>
  <c r="Y580" i="41" s="1"/>
  <c r="AB572" i="41"/>
  <c r="Y572" i="41" a="1"/>
  <c r="Y572" i="41" s="1"/>
  <c r="AB564" i="41"/>
  <c r="Y564" i="41" a="1"/>
  <c r="Y564" i="41" s="1"/>
  <c r="AB556" i="41"/>
  <c r="Y556" i="41" a="1"/>
  <c r="Y556" i="41" s="1"/>
  <c r="AB548" i="41"/>
  <c r="Y548" i="41" a="1"/>
  <c r="Y548" i="41" s="1"/>
  <c r="AB540" i="41"/>
  <c r="Y540" i="41" a="1"/>
  <c r="Y540" i="41" s="1"/>
  <c r="AB532" i="41"/>
  <c r="Y532" i="41" a="1"/>
  <c r="Y532" i="41" s="1"/>
  <c r="Y524" i="41" a="1"/>
  <c r="Y524" i="41" s="1"/>
  <c r="AB524" i="41"/>
  <c r="AB516" i="41"/>
  <c r="Y516" i="41" a="1"/>
  <c r="Y516" i="41" s="1"/>
  <c r="AB508" i="41"/>
  <c r="Y508" i="41" a="1"/>
  <c r="Y508" i="41" s="1"/>
  <c r="AB500" i="41"/>
  <c r="Y500" i="41" a="1"/>
  <c r="Y500" i="41" s="1"/>
  <c r="AB492" i="41"/>
  <c r="Y492" i="41" a="1"/>
  <c r="Y492" i="41" s="1"/>
  <c r="AB484" i="41"/>
  <c r="Y484" i="41" a="1"/>
  <c r="Y484" i="41" s="1"/>
  <c r="AB476" i="41"/>
  <c r="Y476" i="41" a="1"/>
  <c r="Y476" i="41" s="1"/>
  <c r="AB468" i="41"/>
  <c r="Y468" i="41" a="1"/>
  <c r="Y468" i="41" s="1"/>
  <c r="AB460" i="41"/>
  <c r="Y460" i="41" a="1"/>
  <c r="Y460" i="41" s="1"/>
  <c r="AB452" i="41"/>
  <c r="Y452" i="41" a="1"/>
  <c r="Y452" i="41" s="1"/>
  <c r="AB444" i="41"/>
  <c r="Y444" i="41" a="1"/>
  <c r="Y444" i="41" s="1"/>
  <c r="AB436" i="41"/>
  <c r="Y436" i="41" a="1"/>
  <c r="Y436" i="41" s="1"/>
  <c r="AB428" i="41"/>
  <c r="Y428" i="41" a="1"/>
  <c r="Y428" i="41" s="1"/>
  <c r="AB420" i="41"/>
  <c r="Y420" i="41" a="1"/>
  <c r="Y420" i="41" s="1"/>
  <c r="AB412" i="41"/>
  <c r="Y412" i="41" a="1"/>
  <c r="Y412" i="41" s="1"/>
  <c r="AB404" i="41"/>
  <c r="Y404" i="41" a="1"/>
  <c r="Y404" i="41" s="1"/>
  <c r="AB396" i="41"/>
  <c r="Y396" i="41" a="1"/>
  <c r="Y396" i="41" s="1"/>
  <c r="AB388" i="41"/>
  <c r="Y388" i="41" a="1"/>
  <c r="Y388" i="41" s="1"/>
  <c r="AB380" i="41"/>
  <c r="Y380" i="41" a="1"/>
  <c r="Y380" i="41" s="1"/>
  <c r="AB372" i="41"/>
  <c r="Y372" i="41" a="1"/>
  <c r="Y372" i="41" s="1"/>
  <c r="AB364" i="41"/>
  <c r="Y364" i="41" a="1"/>
  <c r="Y364" i="41" s="1"/>
  <c r="Y356" i="41" a="1"/>
  <c r="Y356" i="41" s="1"/>
  <c r="AB356" i="41"/>
  <c r="AB348" i="41"/>
  <c r="Y348" i="41" a="1"/>
  <c r="Y348" i="41" s="1"/>
  <c r="Y340" i="41" a="1"/>
  <c r="Y340" i="41" s="1"/>
  <c r="AB340" i="41"/>
  <c r="AB332" i="41"/>
  <c r="Y332" i="41" a="1"/>
  <c r="Y332" i="41" s="1"/>
  <c r="AB324" i="41"/>
  <c r="Y324" i="41" a="1"/>
  <c r="Y324" i="41" s="1"/>
  <c r="AB316" i="41"/>
  <c r="Y316" i="41" a="1"/>
  <c r="Y316" i="41" s="1"/>
  <c r="AB308" i="41"/>
  <c r="Y308" i="41" a="1"/>
  <c r="Y308" i="41" s="1"/>
  <c r="AB300" i="41"/>
  <c r="Y300" i="41" a="1"/>
  <c r="Y300" i="41" s="1"/>
  <c r="AB292" i="41"/>
  <c r="Y292" i="41" a="1"/>
  <c r="Y292" i="41" s="1"/>
  <c r="AB284" i="41"/>
  <c r="Y284" i="41" a="1"/>
  <c r="Y284" i="41" s="1"/>
  <c r="AB276" i="41"/>
  <c r="Y276" i="41" a="1"/>
  <c r="Y276" i="41" s="1"/>
  <c r="Y268" i="41" a="1"/>
  <c r="Y268" i="41" s="1"/>
  <c r="AB268" i="41"/>
  <c r="Y260" i="41" a="1"/>
  <c r="Y260" i="41" s="1"/>
  <c r="AB260" i="41"/>
  <c r="T260" i="41" a="1"/>
  <c r="T260" i="41" s="1"/>
  <c r="U260" i="41" s="1"/>
  <c r="AB252" i="41"/>
  <c r="Y252" i="41" a="1"/>
  <c r="Y252" i="41" s="1"/>
  <c r="T252" i="41" a="1"/>
  <c r="T252" i="41" s="1"/>
  <c r="U252" i="41" s="1"/>
  <c r="AB244" i="41"/>
  <c r="Y244" i="41" a="1"/>
  <c r="Y244" i="41" s="1"/>
  <c r="T244" i="41" a="1"/>
  <c r="T244" i="41" s="1"/>
  <c r="U244" i="41" s="1"/>
  <c r="Y236" i="41" a="1"/>
  <c r="Y236" i="41" s="1"/>
  <c r="AB236" i="41"/>
  <c r="T236" i="41" a="1"/>
  <c r="T236" i="41" s="1"/>
  <c r="U236" i="41" s="1"/>
  <c r="Y228" i="41" a="1"/>
  <c r="Y228" i="41" s="1"/>
  <c r="AB228" i="41"/>
  <c r="T228" i="41" a="1"/>
  <c r="T228" i="41" s="1"/>
  <c r="U228" i="41" s="1"/>
  <c r="AB220" i="41"/>
  <c r="Y220" i="41" a="1"/>
  <c r="Y220" i="41" s="1"/>
  <c r="T220" i="41" a="1"/>
  <c r="T220" i="41" s="1"/>
  <c r="U220" i="41" s="1"/>
  <c r="AB212" i="41"/>
  <c r="Y212" i="41" a="1"/>
  <c r="Y212" i="41" s="1"/>
  <c r="T212" i="41" a="1"/>
  <c r="T212" i="41" s="1"/>
  <c r="U212" i="41" s="1"/>
  <c r="Y204" i="41" a="1"/>
  <c r="Y204" i="41" s="1"/>
  <c r="AB204" i="41"/>
  <c r="T204" i="41" a="1"/>
  <c r="T204" i="41" s="1"/>
  <c r="U204" i="41" s="1"/>
  <c r="AB196" i="41"/>
  <c r="Y196" i="41" a="1"/>
  <c r="Y196" i="41" s="1"/>
  <c r="T196" i="41" a="1"/>
  <c r="T196" i="41" s="1"/>
  <c r="U196" i="41" s="1"/>
  <c r="AB188" i="41"/>
  <c r="Y188" i="41" a="1"/>
  <c r="Y188" i="41" s="1"/>
  <c r="T188" i="41" a="1"/>
  <c r="T188" i="41" s="1"/>
  <c r="U188" i="41" s="1"/>
  <c r="AB180" i="41"/>
  <c r="Y180" i="41" a="1"/>
  <c r="Y180" i="41" s="1"/>
  <c r="T180" i="41" a="1"/>
  <c r="T180" i="41" s="1"/>
  <c r="U180" i="41" s="1"/>
  <c r="AB172" i="41"/>
  <c r="Y172" i="41" a="1"/>
  <c r="Y172" i="41" s="1"/>
  <c r="T172" i="41" a="1"/>
  <c r="T172" i="41" s="1"/>
  <c r="U172" i="41" s="1"/>
  <c r="AB164" i="41"/>
  <c r="Y164" i="41" a="1"/>
  <c r="Y164" i="41" s="1"/>
  <c r="T164" i="41" a="1"/>
  <c r="T164" i="41" s="1"/>
  <c r="U164" i="41" s="1"/>
  <c r="AB156" i="41"/>
  <c r="Y156" i="41" a="1"/>
  <c r="Y156" i="41" s="1"/>
  <c r="T156" i="41" a="1"/>
  <c r="T156" i="41" s="1"/>
  <c r="U156" i="41" s="1"/>
  <c r="AB148" i="41"/>
  <c r="Y148" i="41" a="1"/>
  <c r="Y148" i="41" s="1"/>
  <c r="T148" i="41" a="1"/>
  <c r="T148" i="41" s="1"/>
  <c r="U148" i="41" s="1"/>
  <c r="Y140" i="41" a="1"/>
  <c r="Y140" i="41" s="1"/>
  <c r="AB140" i="41"/>
  <c r="T140" i="41" a="1"/>
  <c r="T140" i="41" s="1"/>
  <c r="U140" i="41" s="1"/>
  <c r="Y132" i="41" a="1"/>
  <c r="Y132" i="41" s="1"/>
  <c r="AB132" i="41"/>
  <c r="T132" i="41" a="1"/>
  <c r="T132" i="41" s="1"/>
  <c r="U132" i="41" s="1"/>
  <c r="AB124" i="41"/>
  <c r="Y124" i="41" a="1"/>
  <c r="Y124" i="41" s="1"/>
  <c r="T124" i="41" a="1"/>
  <c r="T124" i="41" s="1"/>
  <c r="U124" i="41" s="1"/>
  <c r="AB116" i="41"/>
  <c r="Y116" i="41" a="1"/>
  <c r="Y116" i="41" s="1"/>
  <c r="T116" i="41" a="1"/>
  <c r="T116" i="41" s="1"/>
  <c r="U116" i="41" s="1"/>
  <c r="Y108" i="41" a="1"/>
  <c r="Y108" i="41" s="1"/>
  <c r="AB108" i="41"/>
  <c r="T108" i="41" a="1"/>
  <c r="T108" i="41" s="1"/>
  <c r="U108" i="41" s="1"/>
  <c r="Y100" i="41" a="1"/>
  <c r="Y100" i="41" s="1"/>
  <c r="AB100" i="41"/>
  <c r="T100" i="41" a="1"/>
  <c r="T100" i="41" s="1"/>
  <c r="U100" i="41" s="1"/>
  <c r="AB92" i="41"/>
  <c r="Y92" i="41" a="1"/>
  <c r="Y92" i="41" s="1"/>
  <c r="T92" i="41" a="1"/>
  <c r="T92" i="41" s="1"/>
  <c r="U92" i="41" s="1"/>
  <c r="AB84" i="41"/>
  <c r="Y84" i="41" a="1"/>
  <c r="Y84" i="41" s="1"/>
  <c r="T84" i="41" a="1"/>
  <c r="T84" i="41" s="1"/>
  <c r="U84" i="41" s="1"/>
  <c r="AB76" i="41"/>
  <c r="Y76" i="41" a="1"/>
  <c r="Y76" i="41" s="1"/>
  <c r="T76" i="41" a="1"/>
  <c r="T76" i="41" s="1"/>
  <c r="U76" i="41" s="1"/>
  <c r="AB68" i="41"/>
  <c r="Y68" i="41" a="1"/>
  <c r="Y68" i="41" s="1"/>
  <c r="T68" i="41" a="1"/>
  <c r="T68" i="41" s="1"/>
  <c r="U68" i="41" s="1"/>
  <c r="AB60" i="41"/>
  <c r="Y60" i="41" a="1"/>
  <c r="Y60" i="41" s="1"/>
  <c r="T60" i="41" a="1"/>
  <c r="T60" i="41" s="1"/>
  <c r="U60" i="41" s="1"/>
  <c r="AB52" i="41"/>
  <c r="Y52" i="41" a="1"/>
  <c r="Y52" i="41" s="1"/>
  <c r="T52" i="41" a="1"/>
  <c r="T52" i="41" s="1"/>
  <c r="U52" i="41" s="1"/>
  <c r="AB44" i="41"/>
  <c r="Y44" i="41" a="1"/>
  <c r="Y44" i="41" s="1"/>
  <c r="T44" i="41" a="1"/>
  <c r="T44" i="41" s="1"/>
  <c r="U44" i="41" s="1"/>
  <c r="AB36" i="41"/>
  <c r="Y36" i="41" a="1"/>
  <c r="Y36" i="41" s="1"/>
  <c r="T36" i="41" a="1"/>
  <c r="T36" i="41" s="1"/>
  <c r="U36" i="41" s="1"/>
  <c r="AB28" i="41"/>
  <c r="Y28" i="41" a="1"/>
  <c r="Y28" i="41" s="1"/>
  <c r="T28" i="41" a="1"/>
  <c r="T28" i="41" s="1"/>
  <c r="U28" i="41" s="1"/>
  <c r="AB20" i="41"/>
  <c r="Y20" i="41" a="1"/>
  <c r="Y20" i="41" s="1"/>
  <c r="T20" i="41" a="1"/>
  <c r="T20" i="41" s="1"/>
  <c r="U20" i="41" s="1"/>
  <c r="AB12" i="41"/>
  <c r="Y12" i="41" a="1"/>
  <c r="Y12" i="41" s="1"/>
  <c r="T12" i="41" a="1"/>
  <c r="T12" i="41" s="1"/>
  <c r="U12" i="41" s="1"/>
  <c r="T583" i="41" a="1"/>
  <c r="T583" i="41" s="1"/>
  <c r="U583" i="41" s="1"/>
  <c r="T575" i="41" a="1"/>
  <c r="T575" i="41" s="1"/>
  <c r="U575" i="41" s="1"/>
  <c r="T567" i="41" a="1"/>
  <c r="T567" i="41" s="1"/>
  <c r="U567" i="41" s="1"/>
  <c r="T559" i="41" a="1"/>
  <c r="T559" i="41" s="1"/>
  <c r="U559" i="41" s="1"/>
  <c r="T551" i="41" a="1"/>
  <c r="T551" i="41" s="1"/>
  <c r="U551" i="41" s="1"/>
  <c r="T543" i="41" a="1"/>
  <c r="T543" i="41" s="1"/>
  <c r="U543" i="41" s="1"/>
  <c r="T535" i="41" a="1"/>
  <c r="T535" i="41" s="1"/>
  <c r="U535" i="41" s="1"/>
  <c r="T527" i="41" a="1"/>
  <c r="T527" i="41" s="1"/>
  <c r="U527" i="41" s="1"/>
  <c r="T520" i="41" a="1"/>
  <c r="T520" i="41" s="1"/>
  <c r="U520" i="41" s="1"/>
  <c r="T512" i="41" a="1"/>
  <c r="T512" i="41" s="1"/>
  <c r="U512" i="41" s="1"/>
  <c r="T504" i="41" a="1"/>
  <c r="T504" i="41" s="1"/>
  <c r="U504" i="41" s="1"/>
  <c r="T496" i="41" a="1"/>
  <c r="T496" i="41" s="1"/>
  <c r="U496" i="41" s="1"/>
  <c r="T488" i="41" a="1"/>
  <c r="T488" i="41" s="1"/>
  <c r="U488" i="41" s="1"/>
  <c r="T481" i="41" a="1"/>
  <c r="T481" i="41" s="1"/>
  <c r="U481" i="41" s="1"/>
  <c r="T473" i="41" a="1"/>
  <c r="T473" i="41" s="1"/>
  <c r="U473" i="41" s="1"/>
  <c r="T465" i="41" a="1"/>
  <c r="T465" i="41" s="1"/>
  <c r="U465" i="41" s="1"/>
  <c r="T457" i="41" a="1"/>
  <c r="T457" i="41" s="1"/>
  <c r="U457" i="41" s="1"/>
  <c r="T449" i="41" a="1"/>
  <c r="T449" i="41" s="1"/>
  <c r="U449" i="41" s="1"/>
  <c r="T441" i="41" a="1"/>
  <c r="T441" i="41" s="1"/>
  <c r="U441" i="41" s="1"/>
  <c r="T434" i="41" a="1"/>
  <c r="T434" i="41" s="1"/>
  <c r="U434" i="41" s="1"/>
  <c r="T426" i="41" a="1"/>
  <c r="T426" i="41" s="1"/>
  <c r="U426" i="41" s="1"/>
  <c r="T418" i="41" a="1"/>
  <c r="T418" i="41" s="1"/>
  <c r="U418" i="41" s="1"/>
  <c r="T410" i="41" a="1"/>
  <c r="T410" i="41" s="1"/>
  <c r="U410" i="41" s="1"/>
  <c r="T403" i="41" a="1"/>
  <c r="T403" i="41" s="1"/>
  <c r="U403" i="41" s="1"/>
  <c r="T395" i="41" a="1"/>
  <c r="T395" i="41" s="1"/>
  <c r="U395" i="41" s="1"/>
  <c r="T387" i="41" a="1"/>
  <c r="T387" i="41" s="1"/>
  <c r="U387" i="41" s="1"/>
  <c r="T379" i="41" a="1"/>
  <c r="T379" i="41" s="1"/>
  <c r="U379" i="41" s="1"/>
  <c r="T371" i="41" a="1"/>
  <c r="T371" i="41" s="1"/>
  <c r="U371" i="41" s="1"/>
  <c r="T363" i="41" a="1"/>
  <c r="T363" i="41" s="1"/>
  <c r="U363" i="41" s="1"/>
  <c r="T355" i="41" a="1"/>
  <c r="T355" i="41" s="1"/>
  <c r="U355" i="41" s="1"/>
  <c r="T347" i="41" a="1"/>
  <c r="T347" i="41" s="1"/>
  <c r="U347" i="41" s="1"/>
  <c r="T339" i="41" a="1"/>
  <c r="T339" i="41" s="1"/>
  <c r="U339" i="41" s="1"/>
  <c r="T331" i="41" a="1"/>
  <c r="T331" i="41" s="1"/>
  <c r="U331" i="41" s="1"/>
  <c r="T323" i="41" a="1"/>
  <c r="T323" i="41" s="1"/>
  <c r="U323" i="41" s="1"/>
  <c r="T315" i="41" a="1"/>
  <c r="T315" i="41" s="1"/>
  <c r="U315" i="41" s="1"/>
  <c r="T307" i="41" a="1"/>
  <c r="T307" i="41" s="1"/>
  <c r="U307" i="41" s="1"/>
  <c r="T299" i="41" a="1"/>
  <c r="T299" i="41" s="1"/>
  <c r="U299" i="41" s="1"/>
  <c r="T291" i="41" a="1"/>
  <c r="T291" i="41" s="1"/>
  <c r="U291" i="41" s="1"/>
  <c r="T283" i="41" a="1"/>
  <c r="T283" i="41" s="1"/>
  <c r="U283" i="41" s="1"/>
  <c r="T275" i="41" a="1"/>
  <c r="T275" i="41" s="1"/>
  <c r="U275" i="41" s="1"/>
  <c r="T265" i="41" a="1"/>
  <c r="T265" i="41" s="1"/>
  <c r="U265" i="41" s="1"/>
  <c r="T211" i="41" a="1"/>
  <c r="T211" i="41" s="1"/>
  <c r="U211" i="41" s="1"/>
  <c r="T147" i="41" a="1"/>
  <c r="T147" i="41" s="1"/>
  <c r="U147" i="41" s="1"/>
  <c r="L28" i="51"/>
  <c r="G12" i="67"/>
  <c r="G20" i="67"/>
  <c r="G21" i="67"/>
  <c r="G22" i="67"/>
  <c r="G23" i="67"/>
  <c r="G19" i="67"/>
  <c r="B2" i="66"/>
  <c r="I12" i="67"/>
  <c r="H12" i="67"/>
  <c r="G8" i="67"/>
  <c r="G7" i="67"/>
  <c r="G6" i="67"/>
  <c r="J31" i="67"/>
  <c r="F31" i="67"/>
  <c r="F13" i="67" s="1"/>
  <c r="E31" i="67"/>
  <c r="E13" i="67" s="1"/>
  <c r="G5" i="67"/>
  <c r="K8" i="67" s="1"/>
  <c r="B1" i="66"/>
  <c r="B2" i="65"/>
  <c r="B1" i="65"/>
  <c r="J13" i="64"/>
  <c r="I13" i="64"/>
  <c r="G7" i="64"/>
  <c r="E81" i="64" s="1"/>
  <c r="G8" i="64"/>
  <c r="F81" i="64" s="1"/>
  <c r="G9" i="64"/>
  <c r="G81" i="64" s="1"/>
  <c r="G6" i="64"/>
  <c r="D81" i="64" s="1"/>
  <c r="K64" i="64"/>
  <c r="G64" i="64"/>
  <c r="F64" i="64"/>
  <c r="E64" i="64"/>
  <c r="D64" i="64"/>
  <c r="H63" i="64"/>
  <c r="E31" i="71" s="1"/>
  <c r="I31" i="71" s="1"/>
  <c r="H62" i="64"/>
  <c r="E30" i="71" s="1"/>
  <c r="I30" i="71" s="1"/>
  <c r="H61" i="64"/>
  <c r="E29" i="71" s="1"/>
  <c r="I29" i="71" s="1"/>
  <c r="H60" i="64"/>
  <c r="E28" i="71" s="1"/>
  <c r="I28" i="71" s="1"/>
  <c r="H59" i="64"/>
  <c r="E27" i="71" s="1"/>
  <c r="I27" i="71" s="1"/>
  <c r="H58" i="64"/>
  <c r="E26" i="71" s="1"/>
  <c r="I26" i="71" s="1"/>
  <c r="H57" i="64"/>
  <c r="E25" i="71" s="1"/>
  <c r="I25" i="71" s="1"/>
  <c r="H56" i="64"/>
  <c r="E24" i="71" s="1"/>
  <c r="I24" i="71" s="1"/>
  <c r="H54" i="64"/>
  <c r="E22" i="71" s="1"/>
  <c r="I22" i="71" s="1"/>
  <c r="H53" i="64"/>
  <c r="E21" i="71" s="1"/>
  <c r="I21" i="71" s="1"/>
  <c r="H52" i="64"/>
  <c r="E20" i="71" s="1"/>
  <c r="I20" i="71" s="1"/>
  <c r="K48" i="64"/>
  <c r="G48" i="64"/>
  <c r="F48" i="64"/>
  <c r="E48" i="64"/>
  <c r="D48" i="64"/>
  <c r="H47" i="64"/>
  <c r="E15" i="71" s="1"/>
  <c r="I15" i="71" s="1"/>
  <c r="H46" i="64"/>
  <c r="E14" i="71" s="1"/>
  <c r="I14" i="71" s="1"/>
  <c r="H45" i="64"/>
  <c r="E13" i="71" s="1"/>
  <c r="I13" i="71" s="1"/>
  <c r="H44" i="64"/>
  <c r="E12" i="71" s="1"/>
  <c r="I12" i="71" s="1"/>
  <c r="H43" i="64"/>
  <c r="E11" i="71" s="1"/>
  <c r="E10" i="71"/>
  <c r="I10" i="71" s="1"/>
  <c r="E9" i="71"/>
  <c r="E8" i="71"/>
  <c r="I8" i="71" s="1"/>
  <c r="E7" i="71"/>
  <c r="I7" i="71" s="1"/>
  <c r="E6" i="71"/>
  <c r="I6" i="71" s="1"/>
  <c r="E5" i="71"/>
  <c r="E4" i="71"/>
  <c r="I4" i="71" s="1"/>
  <c r="K32" i="64"/>
  <c r="G32" i="64"/>
  <c r="F32" i="64"/>
  <c r="E32" i="64"/>
  <c r="D32" i="64"/>
  <c r="H30" i="64"/>
  <c r="H29" i="64"/>
  <c r="H28" i="64"/>
  <c r="H27" i="64"/>
  <c r="H26" i="64"/>
  <c r="H25" i="64"/>
  <c r="H24" i="64"/>
  <c r="H23" i="64"/>
  <c r="H22" i="64"/>
  <c r="H21" i="64"/>
  <c r="H20" i="64"/>
  <c r="H13" i="64"/>
  <c r="K9" i="64"/>
  <c r="X392" i="41" l="1"/>
  <c r="X464" i="41"/>
  <c r="X488" i="41"/>
  <c r="H20" i="66"/>
  <c r="H19" i="66"/>
  <c r="H4" i="66"/>
  <c r="H5" i="66"/>
  <c r="H6" i="66"/>
  <c r="H7" i="66"/>
  <c r="H8" i="66"/>
  <c r="E16" i="71"/>
  <c r="I5" i="71"/>
  <c r="D14" i="64"/>
  <c r="E14" i="64"/>
  <c r="F14" i="64"/>
  <c r="F16" i="64" s="1"/>
  <c r="F86" i="64" s="1"/>
  <c r="G14" i="64"/>
  <c r="G16" i="64" s="1"/>
  <c r="G86" i="64" s="1"/>
  <c r="E15" i="66"/>
  <c r="H15" i="66"/>
  <c r="C15" i="66"/>
  <c r="D15" i="66"/>
  <c r="AD77" i="41"/>
  <c r="AD173" i="41"/>
  <c r="AD115" i="41"/>
  <c r="AD491" i="41"/>
  <c r="AD579" i="41"/>
  <c r="AD126" i="41"/>
  <c r="AD222" i="41"/>
  <c r="AD262" i="41"/>
  <c r="AD286" i="41"/>
  <c r="AD310" i="41"/>
  <c r="AD334" i="41"/>
  <c r="AD358" i="41"/>
  <c r="AD382" i="41"/>
  <c r="AD406" i="41"/>
  <c r="AD430" i="41"/>
  <c r="AD454" i="41"/>
  <c r="AD478" i="41"/>
  <c r="AD526" i="41"/>
  <c r="AA110" i="41"/>
  <c r="AA206" i="41"/>
  <c r="X120" i="41"/>
  <c r="X152" i="41"/>
  <c r="X216" i="41"/>
  <c r="X128" i="41"/>
  <c r="X224" i="41"/>
  <c r="X288" i="41"/>
  <c r="AA174" i="41"/>
  <c r="AD502" i="41"/>
  <c r="AD550" i="41"/>
  <c r="X302" i="41"/>
  <c r="X32" i="41"/>
  <c r="X96" i="41"/>
  <c r="X48" i="41"/>
  <c r="X80" i="41"/>
  <c r="X140" i="41"/>
  <c r="X236" i="41"/>
  <c r="X508" i="41"/>
  <c r="X397" i="41"/>
  <c r="AD139" i="41"/>
  <c r="AD195" i="41"/>
  <c r="AA253" i="41"/>
  <c r="AA61" i="41"/>
  <c r="AD13" i="41"/>
  <c r="AD109" i="41"/>
  <c r="AD205" i="41"/>
  <c r="AD427" i="41"/>
  <c r="AD555" i="41"/>
  <c r="AD158" i="41"/>
  <c r="AD254" i="41"/>
  <c r="AD278" i="41"/>
  <c r="AD302" i="41"/>
  <c r="AD326" i="41"/>
  <c r="AD350" i="41"/>
  <c r="AD374" i="41"/>
  <c r="AD398" i="41"/>
  <c r="AD422" i="41"/>
  <c r="AD446" i="41"/>
  <c r="AD470" i="41"/>
  <c r="AD494" i="41"/>
  <c r="AD518" i="41"/>
  <c r="AD542" i="41"/>
  <c r="AD582" i="41"/>
  <c r="AD219" i="41"/>
  <c r="AD323" i="41"/>
  <c r="AD486" i="41"/>
  <c r="AD510" i="41"/>
  <c r="AD534" i="41"/>
  <c r="AD566" i="41"/>
  <c r="AD163" i="41"/>
  <c r="AD259" i="41"/>
  <c r="AA189" i="41"/>
  <c r="AA46" i="41"/>
  <c r="AA142" i="41"/>
  <c r="AA238" i="41"/>
  <c r="X204" i="41"/>
  <c r="X300" i="41"/>
  <c r="X476" i="41"/>
  <c r="AA78" i="41"/>
  <c r="AA508" i="41"/>
  <c r="AD283" i="41"/>
  <c r="AD395" i="41"/>
  <c r="X172" i="41"/>
  <c r="X268" i="41"/>
  <c r="X134" i="41"/>
  <c r="X360" i="41"/>
  <c r="X245" i="41"/>
  <c r="X478" i="41"/>
  <c r="X16" i="41"/>
  <c r="X64" i="41"/>
  <c r="X88" i="41"/>
  <c r="X184" i="41"/>
  <c r="X280" i="41"/>
  <c r="AD172" i="41"/>
  <c r="AA125" i="41"/>
  <c r="AD141" i="41"/>
  <c r="AD237" i="41"/>
  <c r="AD355" i="41"/>
  <c r="AD263" i="41"/>
  <c r="X251" i="41"/>
  <c r="X496" i="41"/>
  <c r="X555" i="41"/>
  <c r="X109" i="41"/>
  <c r="X106" i="41"/>
  <c r="X138" i="41"/>
  <c r="X170" i="41"/>
  <c r="X202" i="41"/>
  <c r="X234" i="41"/>
  <c r="X266" i="41"/>
  <c r="X298" i="41"/>
  <c r="X330" i="41"/>
  <c r="X362" i="41"/>
  <c r="X219" i="41"/>
  <c r="X74" i="41"/>
  <c r="X541" i="41"/>
  <c r="X142" i="41"/>
  <c r="X238" i="41"/>
  <c r="X13" i="41"/>
  <c r="X409" i="41"/>
  <c r="X465" i="41"/>
  <c r="X497" i="41"/>
  <c r="X10" i="41"/>
  <c r="X42" i="41"/>
  <c r="X123" i="41"/>
  <c r="X155" i="41"/>
  <c r="X187" i="41"/>
  <c r="X44" i="41"/>
  <c r="X76" i="41"/>
  <c r="X108" i="41"/>
  <c r="X557" i="41"/>
  <c r="X518" i="41"/>
  <c r="X70" i="41"/>
  <c r="X350" i="41"/>
  <c r="X383" i="41"/>
  <c r="X407" i="41"/>
  <c r="X431" i="41"/>
  <c r="X455" i="41"/>
  <c r="X279" i="41"/>
  <c r="X335" i="41"/>
  <c r="X537" i="41"/>
  <c r="X27" i="41"/>
  <c r="X59" i="41"/>
  <c r="X91" i="41"/>
  <c r="X499" i="41"/>
  <c r="X12" i="41"/>
  <c r="X303" i="41"/>
  <c r="X359" i="41"/>
  <c r="AA572" i="41"/>
  <c r="X247" i="41"/>
  <c r="X527" i="41"/>
  <c r="X559" i="41"/>
  <c r="X582" i="41"/>
  <c r="X408" i="41"/>
  <c r="X432" i="41"/>
  <c r="X241" i="41"/>
  <c r="X273" i="41"/>
  <c r="X305" i="41"/>
  <c r="X337" i="41"/>
  <c r="X369" i="41"/>
  <c r="X401" i="41"/>
  <c r="X425" i="41"/>
  <c r="X309" i="41"/>
  <c r="X167" i="41"/>
  <c r="X199" i="41"/>
  <c r="X231" i="41"/>
  <c r="X263" i="41"/>
  <c r="X319" i="41"/>
  <c r="X543" i="41"/>
  <c r="X575" i="41"/>
  <c r="X569" i="41"/>
  <c r="X45" i="41"/>
  <c r="X173" i="41"/>
  <c r="X333" i="41"/>
  <c r="X304" i="41"/>
  <c r="X328" i="41"/>
  <c r="X429" i="41"/>
  <c r="X292" i="41"/>
  <c r="X385" i="41"/>
  <c r="X558" i="41"/>
  <c r="X145" i="41"/>
  <c r="X177" i="41"/>
  <c r="X209" i="41"/>
  <c r="X570" i="41"/>
  <c r="X53" i="41"/>
  <c r="X197" i="41"/>
  <c r="X103" i="41"/>
  <c r="X135" i="41"/>
  <c r="X406" i="41"/>
  <c r="X102" i="41"/>
  <c r="X24" i="41"/>
  <c r="X56" i="41"/>
  <c r="X461" i="41"/>
  <c r="X353" i="41"/>
  <c r="X446" i="41"/>
  <c r="X17" i="41"/>
  <c r="X49" i="41"/>
  <c r="X81" i="41"/>
  <c r="X113" i="41"/>
  <c r="X474" i="41"/>
  <c r="X506" i="41"/>
  <c r="X538" i="41"/>
  <c r="X342" i="41"/>
  <c r="X502" i="41"/>
  <c r="X427" i="41"/>
  <c r="X459" i="41"/>
  <c r="X7" i="41"/>
  <c r="X39" i="41"/>
  <c r="X71" i="41"/>
  <c r="X321" i="41"/>
  <c r="X158" i="41"/>
  <c r="X278" i="41"/>
  <c r="X390" i="41"/>
  <c r="X411" i="41"/>
  <c r="X443" i="41"/>
  <c r="X475" i="41"/>
  <c r="X151" i="41"/>
  <c r="X183" i="41"/>
  <c r="X215" i="41"/>
  <c r="X503" i="41"/>
  <c r="AD20" i="41"/>
  <c r="AD84" i="41"/>
  <c r="AD62" i="41"/>
  <c r="AD45" i="41"/>
  <c r="X410" i="41"/>
  <c r="X442" i="41"/>
  <c r="X203" i="41"/>
  <c r="X235" i="41"/>
  <c r="X515" i="41"/>
  <c r="X28" i="41"/>
  <c r="X60" i="41"/>
  <c r="X92" i="41"/>
  <c r="X124" i="41"/>
  <c r="X156" i="41"/>
  <c r="X188" i="41"/>
  <c r="X220" i="41"/>
  <c r="X252" i="41"/>
  <c r="X284" i="41"/>
  <c r="X316" i="41"/>
  <c r="X460" i="41"/>
  <c r="X492" i="41"/>
  <c r="X477" i="41"/>
  <c r="X357" i="41"/>
  <c r="X73" i="41"/>
  <c r="X105" i="41"/>
  <c r="X137" i="41"/>
  <c r="X169" i="41"/>
  <c r="X201" i="41"/>
  <c r="X233" i="41"/>
  <c r="X265" i="41"/>
  <c r="X297" i="41"/>
  <c r="X329" i="41"/>
  <c r="X361" i="41"/>
  <c r="X393" i="41"/>
  <c r="X562" i="41"/>
  <c r="X165" i="41"/>
  <c r="X301" i="41"/>
  <c r="X78" i="41"/>
  <c r="X310" i="41"/>
  <c r="X95" i="41"/>
  <c r="X127" i="41"/>
  <c r="X159" i="41"/>
  <c r="X191" i="41"/>
  <c r="X223" i="41"/>
  <c r="X255" i="41"/>
  <c r="X367" i="41"/>
  <c r="X391" i="41"/>
  <c r="X415" i="41"/>
  <c r="X439" i="41"/>
  <c r="X463" i="41"/>
  <c r="X535" i="41"/>
  <c r="X567" i="41"/>
  <c r="X553" i="41"/>
  <c r="X571" i="41"/>
  <c r="X133" i="41"/>
  <c r="X293" i="41"/>
  <c r="X510" i="41"/>
  <c r="X8" i="41"/>
  <c r="X40" i="41"/>
  <c r="X72" i="41"/>
  <c r="X136" i="41"/>
  <c r="X232" i="41"/>
  <c r="X320" i="41"/>
  <c r="X29" i="41"/>
  <c r="X206" i="41"/>
  <c r="X174" i="41"/>
  <c r="X430" i="41"/>
  <c r="X33" i="41"/>
  <c r="X65" i="41"/>
  <c r="X97" i="41"/>
  <c r="X129" i="41"/>
  <c r="X161" i="41"/>
  <c r="X193" i="41"/>
  <c r="X225" i="41"/>
  <c r="X257" i="41"/>
  <c r="X289" i="41"/>
  <c r="X458" i="41"/>
  <c r="X490" i="41"/>
  <c r="X522" i="41"/>
  <c r="X554" i="41"/>
  <c r="X579" i="41"/>
  <c r="X125" i="41"/>
  <c r="X253" i="41"/>
  <c r="X453" i="41"/>
  <c r="X46" i="41"/>
  <c r="X283" i="41"/>
  <c r="X315" i="41"/>
  <c r="X347" i="41"/>
  <c r="X379" i="41"/>
  <c r="X400" i="41"/>
  <c r="X424" i="41"/>
  <c r="X148" i="41"/>
  <c r="X180" i="41"/>
  <c r="X212" i="41"/>
  <c r="X244" i="41"/>
  <c r="X276" i="41"/>
  <c r="X308" i="41"/>
  <c r="X396" i="41"/>
  <c r="X484" i="41"/>
  <c r="X454" i="41"/>
  <c r="AD282" i="41"/>
  <c r="AD314" i="41"/>
  <c r="AD330" i="41"/>
  <c r="AD346" i="41"/>
  <c r="AD378" i="41"/>
  <c r="X194" i="41"/>
  <c r="X226" i="41"/>
  <c r="X258" i="41"/>
  <c r="X290" i="41"/>
  <c r="X322" i="41"/>
  <c r="X354" i="41"/>
  <c r="X386" i="41"/>
  <c r="X19" i="41"/>
  <c r="X51" i="41"/>
  <c r="X83" i="41"/>
  <c r="X115" i="41"/>
  <c r="X147" i="41"/>
  <c r="X179" i="41"/>
  <c r="X211" i="41"/>
  <c r="X243" i="41"/>
  <c r="X491" i="41"/>
  <c r="X523" i="41"/>
  <c r="X36" i="41"/>
  <c r="X100" i="41"/>
  <c r="X132" i="41"/>
  <c r="X164" i="41"/>
  <c r="X196" i="41"/>
  <c r="X228" i="41"/>
  <c r="X260" i="41"/>
  <c r="X468" i="41"/>
  <c r="X500" i="41"/>
  <c r="X525" i="41"/>
  <c r="X30" i="41"/>
  <c r="X471" i="41"/>
  <c r="X126" i="41"/>
  <c r="X55" i="41"/>
  <c r="X150" i="41"/>
  <c r="X394" i="41"/>
  <c r="X426" i="41"/>
  <c r="X417" i="41"/>
  <c r="X441" i="41"/>
  <c r="X473" i="41"/>
  <c r="X505" i="41"/>
  <c r="X18" i="41"/>
  <c r="X50" i="41"/>
  <c r="X82" i="41"/>
  <c r="X114" i="41"/>
  <c r="X146" i="41"/>
  <c r="X178" i="41"/>
  <c r="X210" i="41"/>
  <c r="X242" i="41"/>
  <c r="X274" i="41"/>
  <c r="X306" i="41"/>
  <c r="X338" i="41"/>
  <c r="X370" i="41"/>
  <c r="X21" i="41"/>
  <c r="X381" i="41"/>
  <c r="X549" i="41"/>
  <c r="X198" i="41"/>
  <c r="X470" i="41"/>
  <c r="X35" i="41"/>
  <c r="X67" i="41"/>
  <c r="X99" i="41"/>
  <c r="X131" i="41"/>
  <c r="X163" i="41"/>
  <c r="X195" i="41"/>
  <c r="X227" i="41"/>
  <c r="X259" i="41"/>
  <c r="X507" i="41"/>
  <c r="X20" i="41"/>
  <c r="X52" i="41"/>
  <c r="X84" i="41"/>
  <c r="X116" i="41"/>
  <c r="X118" i="41"/>
  <c r="X311" i="41"/>
  <c r="X509" i="41"/>
  <c r="X38" i="41"/>
  <c r="X214" i="41"/>
  <c r="X374" i="41"/>
  <c r="X104" i="41"/>
  <c r="X168" i="41"/>
  <c r="X200" i="41"/>
  <c r="X264" i="41"/>
  <c r="X296" i="41"/>
  <c r="X344" i="41"/>
  <c r="X376" i="41"/>
  <c r="X456" i="41"/>
  <c r="X480" i="41"/>
  <c r="X504" i="41"/>
  <c r="X536" i="41"/>
  <c r="X568" i="41"/>
  <c r="X545" i="41"/>
  <c r="X547" i="41"/>
  <c r="X101" i="41"/>
  <c r="X261" i="41"/>
  <c r="X389" i="41"/>
  <c r="X501" i="41"/>
  <c r="X6" i="41"/>
  <c r="W2" i="41"/>
  <c r="X182" i="41"/>
  <c r="X318" i="41"/>
  <c r="X494" i="41"/>
  <c r="X9" i="41"/>
  <c r="X41" i="41"/>
  <c r="X402" i="41"/>
  <c r="X434" i="41"/>
  <c r="X466" i="41"/>
  <c r="X498" i="41"/>
  <c r="X530" i="41"/>
  <c r="X291" i="41"/>
  <c r="X323" i="41"/>
  <c r="X355" i="41"/>
  <c r="X387" i="41"/>
  <c r="X419" i="41"/>
  <c r="X451" i="41"/>
  <c r="X340" i="41"/>
  <c r="X372" i="41"/>
  <c r="X428" i="41"/>
  <c r="X516" i="41"/>
  <c r="X548" i="41"/>
  <c r="X580" i="41"/>
  <c r="X157" i="41"/>
  <c r="X317" i="41"/>
  <c r="X22" i="41"/>
  <c r="X166" i="41"/>
  <c r="X334" i="41"/>
  <c r="X542" i="41"/>
  <c r="X141" i="41"/>
  <c r="X493" i="41"/>
  <c r="X190" i="41"/>
  <c r="X31" i="41"/>
  <c r="X63" i="41"/>
  <c r="X449" i="41"/>
  <c r="X481" i="41"/>
  <c r="X513" i="41"/>
  <c r="X26" i="41"/>
  <c r="X58" i="41"/>
  <c r="X90" i="41"/>
  <c r="X122" i="41"/>
  <c r="X154" i="41"/>
  <c r="X186" i="41"/>
  <c r="X218" i="41"/>
  <c r="X250" i="41"/>
  <c r="X282" i="41"/>
  <c r="X314" i="41"/>
  <c r="X346" i="41"/>
  <c r="X378" i="41"/>
  <c r="X405" i="41"/>
  <c r="X485" i="41"/>
  <c r="X565" i="41"/>
  <c r="X110" i="41"/>
  <c r="X230" i="41"/>
  <c r="X422" i="41"/>
  <c r="X11" i="41"/>
  <c r="X43" i="41"/>
  <c r="X75" i="41"/>
  <c r="X107" i="41"/>
  <c r="X139" i="41"/>
  <c r="X171" i="41"/>
  <c r="X483" i="41"/>
  <c r="X287" i="41"/>
  <c r="X343" i="41"/>
  <c r="X487" i="41"/>
  <c r="X511" i="41"/>
  <c r="X437" i="41"/>
  <c r="X86" i="41"/>
  <c r="X254" i="41"/>
  <c r="X398" i="41"/>
  <c r="X112" i="41"/>
  <c r="X144" i="41"/>
  <c r="X176" i="41"/>
  <c r="X208" i="41"/>
  <c r="X240" i="41"/>
  <c r="X272" i="41"/>
  <c r="X352" i="41"/>
  <c r="X384" i="41"/>
  <c r="X512" i="41"/>
  <c r="X544" i="41"/>
  <c r="X576" i="41"/>
  <c r="X561" i="41"/>
  <c r="X563" i="41"/>
  <c r="X149" i="41"/>
  <c r="X285" i="41"/>
  <c r="X533" i="41"/>
  <c r="X54" i="41"/>
  <c r="X222" i="41"/>
  <c r="X366" i="41"/>
  <c r="X267" i="41"/>
  <c r="X299" i="41"/>
  <c r="X331" i="41"/>
  <c r="X363" i="41"/>
  <c r="X395" i="41"/>
  <c r="X68" i="41"/>
  <c r="X348" i="41"/>
  <c r="X380" i="41"/>
  <c r="X404" i="41"/>
  <c r="X436" i="41"/>
  <c r="X524" i="41"/>
  <c r="X556" i="41"/>
  <c r="X189" i="41"/>
  <c r="X365" i="41"/>
  <c r="X62" i="41"/>
  <c r="X382" i="41"/>
  <c r="X486" i="41"/>
  <c r="X574" i="41"/>
  <c r="X205" i="41"/>
  <c r="X270" i="41"/>
  <c r="X457" i="41"/>
  <c r="X489" i="41"/>
  <c r="X521" i="41"/>
  <c r="X34" i="41"/>
  <c r="X66" i="41"/>
  <c r="X98" i="41"/>
  <c r="X130" i="41"/>
  <c r="X162" i="41"/>
  <c r="X421" i="41"/>
  <c r="X295" i="41"/>
  <c r="X351" i="41"/>
  <c r="X375" i="41"/>
  <c r="X399" i="41"/>
  <c r="X423" i="41"/>
  <c r="X447" i="41"/>
  <c r="X550" i="41"/>
  <c r="X248" i="41"/>
  <c r="X336" i="41"/>
  <c r="X416" i="41"/>
  <c r="X440" i="41"/>
  <c r="X520" i="41"/>
  <c r="X552" i="41"/>
  <c r="X584" i="41"/>
  <c r="X577" i="41"/>
  <c r="X37" i="41"/>
  <c r="X181" i="41"/>
  <c r="X325" i="41"/>
  <c r="X581" i="41"/>
  <c r="X246" i="41"/>
  <c r="X526" i="41"/>
  <c r="X25" i="41"/>
  <c r="X57" i="41"/>
  <c r="X89" i="41"/>
  <c r="X121" i="41"/>
  <c r="X153" i="41"/>
  <c r="X185" i="41"/>
  <c r="X217" i="41"/>
  <c r="X249" i="41"/>
  <c r="X281" i="41"/>
  <c r="X313" i="41"/>
  <c r="X345" i="41"/>
  <c r="X377" i="41"/>
  <c r="X433" i="41"/>
  <c r="X418" i="41"/>
  <c r="X450" i="41"/>
  <c r="X482" i="41"/>
  <c r="X514" i="41"/>
  <c r="X546" i="41"/>
  <c r="X578" i="41"/>
  <c r="X93" i="41"/>
  <c r="X229" i="41"/>
  <c r="X341" i="41"/>
  <c r="X517" i="41"/>
  <c r="X14" i="41"/>
  <c r="X262" i="41"/>
  <c r="X358" i="41"/>
  <c r="X438" i="41"/>
  <c r="X534" i="41"/>
  <c r="X275" i="41"/>
  <c r="X307" i="41"/>
  <c r="X339" i="41"/>
  <c r="X371" i="41"/>
  <c r="X403" i="41"/>
  <c r="X435" i="41"/>
  <c r="X467" i="41"/>
  <c r="X324" i="41"/>
  <c r="X356" i="41"/>
  <c r="X388" i="41"/>
  <c r="X412" i="41"/>
  <c r="X444" i="41"/>
  <c r="X532" i="41"/>
  <c r="X564" i="41"/>
  <c r="X85" i="41"/>
  <c r="X237" i="41"/>
  <c r="X413" i="41"/>
  <c r="X94" i="41"/>
  <c r="X414" i="41"/>
  <c r="X269" i="41"/>
  <c r="X15" i="41"/>
  <c r="X47" i="41"/>
  <c r="X79" i="41"/>
  <c r="X111" i="41"/>
  <c r="X143" i="41"/>
  <c r="X175" i="41"/>
  <c r="X207" i="41"/>
  <c r="X239" i="41"/>
  <c r="X271" i="41"/>
  <c r="X327" i="41"/>
  <c r="X495" i="41"/>
  <c r="X519" i="41"/>
  <c r="X551" i="41"/>
  <c r="X583" i="41"/>
  <c r="X539" i="41"/>
  <c r="X61" i="41"/>
  <c r="X213" i="41"/>
  <c r="X349" i="41"/>
  <c r="X469" i="41"/>
  <c r="X294" i="41"/>
  <c r="X573" i="41"/>
  <c r="X326" i="41"/>
  <c r="X160" i="41"/>
  <c r="X192" i="41"/>
  <c r="X256" i="41"/>
  <c r="X312" i="41"/>
  <c r="X368" i="41"/>
  <c r="X448" i="41"/>
  <c r="X472" i="41"/>
  <c r="X528" i="41"/>
  <c r="X560" i="41"/>
  <c r="X529" i="41"/>
  <c r="X531" i="41"/>
  <c r="X69" i="41"/>
  <c r="X221" i="41"/>
  <c r="X566" i="41"/>
  <c r="X332" i="41"/>
  <c r="X364" i="41"/>
  <c r="X420" i="41"/>
  <c r="X452" i="41"/>
  <c r="X540" i="41"/>
  <c r="X572" i="41"/>
  <c r="X117" i="41"/>
  <c r="X277" i="41"/>
  <c r="X445" i="41"/>
  <c r="X286" i="41"/>
  <c r="X77" i="41"/>
  <c r="X373" i="41"/>
  <c r="X462" i="41"/>
  <c r="X23" i="41"/>
  <c r="X87" i="41"/>
  <c r="X119" i="41"/>
  <c r="X479" i="41"/>
  <c r="V2" i="41"/>
  <c r="AD435" i="41"/>
  <c r="AD467" i="41"/>
  <c r="AD507" i="41"/>
  <c r="AD547" i="41"/>
  <c r="AD7" i="41"/>
  <c r="AD71" i="41"/>
  <c r="AD135" i="41"/>
  <c r="AD199" i="41"/>
  <c r="AD279" i="41"/>
  <c r="AD295" i="41"/>
  <c r="AD311" i="41"/>
  <c r="AD327" i="41"/>
  <c r="AD343" i="41"/>
  <c r="AD359" i="41"/>
  <c r="AD375" i="41"/>
  <c r="AD391" i="41"/>
  <c r="AD407" i="41"/>
  <c r="AD423" i="41"/>
  <c r="AD439" i="41"/>
  <c r="AD455" i="41"/>
  <c r="AD471" i="41"/>
  <c r="D48" i="67"/>
  <c r="D64" i="67"/>
  <c r="E48" i="67"/>
  <c r="E64" i="67"/>
  <c r="F48" i="67"/>
  <c r="F64" i="67"/>
  <c r="F45" i="65"/>
  <c r="E45" i="65"/>
  <c r="D45" i="65"/>
  <c r="C45" i="65"/>
  <c r="C98" i="3" s="1"/>
  <c r="C50" i="65"/>
  <c r="C104" i="3" s="1"/>
  <c r="D51" i="65"/>
  <c r="D105" i="3" s="1"/>
  <c r="E52" i="65"/>
  <c r="E106" i="3" s="1"/>
  <c r="F53" i="65"/>
  <c r="F107" i="3" s="1"/>
  <c r="C58" i="65"/>
  <c r="C112" i="3" s="1"/>
  <c r="D59" i="65"/>
  <c r="D113" i="3" s="1"/>
  <c r="E60" i="65"/>
  <c r="E114" i="3" s="1"/>
  <c r="D50" i="65"/>
  <c r="D104" i="3" s="1"/>
  <c r="E51" i="65"/>
  <c r="E105" i="3" s="1"/>
  <c r="F52" i="65"/>
  <c r="F106" i="3" s="1"/>
  <c r="C57" i="65"/>
  <c r="C111" i="3" s="1"/>
  <c r="D58" i="65"/>
  <c r="D112" i="3" s="1"/>
  <c r="E59" i="65"/>
  <c r="E113" i="3" s="1"/>
  <c r="F60" i="65"/>
  <c r="F114" i="3" s="1"/>
  <c r="E55" i="65"/>
  <c r="E109" i="3" s="1"/>
  <c r="C59" i="65"/>
  <c r="C113" i="3" s="1"/>
  <c r="E50" i="65"/>
  <c r="E104" i="3" s="1"/>
  <c r="F51" i="65"/>
  <c r="F105" i="3" s="1"/>
  <c r="C56" i="65"/>
  <c r="C110" i="3" s="1"/>
  <c r="D57" i="65"/>
  <c r="D111" i="3" s="1"/>
  <c r="E58" i="65"/>
  <c r="E112" i="3" s="1"/>
  <c r="F59" i="65"/>
  <c r="F113" i="3" s="1"/>
  <c r="F57" i="65"/>
  <c r="F111" i="3" s="1"/>
  <c r="F56" i="65"/>
  <c r="F110" i="3" s="1"/>
  <c r="F50" i="65"/>
  <c r="F104" i="3" s="1"/>
  <c r="C55" i="65"/>
  <c r="C109" i="3" s="1"/>
  <c r="D56" i="65"/>
  <c r="D110" i="3" s="1"/>
  <c r="E57" i="65"/>
  <c r="E111" i="3" s="1"/>
  <c r="F58" i="65"/>
  <c r="F112" i="3" s="1"/>
  <c r="E56" i="65"/>
  <c r="E110" i="3" s="1"/>
  <c r="C53" i="65"/>
  <c r="C107" i="3" s="1"/>
  <c r="C54" i="65"/>
  <c r="D55" i="65"/>
  <c r="D109" i="3" s="1"/>
  <c r="D54" i="65"/>
  <c r="D108" i="3" s="1"/>
  <c r="C52" i="65"/>
  <c r="C106" i="3" s="1"/>
  <c r="D53" i="65"/>
  <c r="D107" i="3" s="1"/>
  <c r="E54" i="65"/>
  <c r="E108" i="3" s="1"/>
  <c r="F55" i="65"/>
  <c r="F109" i="3" s="1"/>
  <c r="C60" i="65"/>
  <c r="C114" i="3" s="1"/>
  <c r="C51" i="65"/>
  <c r="C105" i="3" s="1"/>
  <c r="D52" i="65"/>
  <c r="D106" i="3" s="1"/>
  <c r="E53" i="65"/>
  <c r="E107" i="3" s="1"/>
  <c r="F54" i="65"/>
  <c r="F108" i="3" s="1"/>
  <c r="D60" i="65"/>
  <c r="D114" i="3" s="1"/>
  <c r="E49" i="65"/>
  <c r="E103" i="3" s="1"/>
  <c r="F49" i="65"/>
  <c r="F103" i="3" s="1"/>
  <c r="C49" i="65"/>
  <c r="C103" i="3" s="1"/>
  <c r="D49" i="65"/>
  <c r="D103" i="3" s="1"/>
  <c r="C45" i="66"/>
  <c r="D45" i="66"/>
  <c r="E45" i="66"/>
  <c r="C35" i="66"/>
  <c r="E36" i="66"/>
  <c r="C39" i="66"/>
  <c r="E40" i="66"/>
  <c r="C43" i="66"/>
  <c r="E44" i="66"/>
  <c r="D39" i="66"/>
  <c r="D35" i="66"/>
  <c r="D43" i="66"/>
  <c r="D44" i="66"/>
  <c r="E35" i="66"/>
  <c r="C38" i="66"/>
  <c r="E39" i="66"/>
  <c r="C42" i="66"/>
  <c r="E43" i="66"/>
  <c r="D41" i="66"/>
  <c r="D40" i="66"/>
  <c r="D38" i="66"/>
  <c r="D42" i="66"/>
  <c r="C37" i="66"/>
  <c r="E38" i="66"/>
  <c r="C41" i="66"/>
  <c r="E42" i="66"/>
  <c r="D37" i="66"/>
  <c r="C36" i="66"/>
  <c r="E37" i="66"/>
  <c r="C40" i="66"/>
  <c r="E41" i="66"/>
  <c r="C44" i="66"/>
  <c r="D36" i="66"/>
  <c r="E34" i="66"/>
  <c r="C34" i="66"/>
  <c r="D34" i="66"/>
  <c r="E30" i="66"/>
  <c r="D30" i="66"/>
  <c r="C30" i="66"/>
  <c r="E21" i="66"/>
  <c r="AD60" i="41"/>
  <c r="AD124" i="41"/>
  <c r="AD252" i="41"/>
  <c r="AD35" i="41"/>
  <c r="AD171" i="41"/>
  <c r="AD203" i="41"/>
  <c r="AD235" i="41"/>
  <c r="AD275" i="41"/>
  <c r="AD299" i="41"/>
  <c r="AD339" i="41"/>
  <c r="AD379" i="41"/>
  <c r="AD411" i="41"/>
  <c r="AD451" i="41"/>
  <c r="AD483" i="41"/>
  <c r="AD30" i="41"/>
  <c r="AA581" i="41"/>
  <c r="AD27" i="41"/>
  <c r="AA51" i="41"/>
  <c r="AA147" i="41"/>
  <c r="AA179" i="41"/>
  <c r="AA211" i="41"/>
  <c r="AA243" i="41"/>
  <c r="AA267" i="41"/>
  <c r="AA307" i="41"/>
  <c r="AA331" i="41"/>
  <c r="AA515" i="41"/>
  <c r="AA133" i="41"/>
  <c r="AD394" i="41"/>
  <c r="AD410" i="41"/>
  <c r="AD426" i="41"/>
  <c r="AA14" i="41"/>
  <c r="AD487" i="41"/>
  <c r="AD28" i="41"/>
  <c r="AD92" i="41"/>
  <c r="AD220" i="41"/>
  <c r="AD484" i="41"/>
  <c r="AA29" i="41"/>
  <c r="AA93" i="41"/>
  <c r="AA157" i="41"/>
  <c r="AA221" i="41"/>
  <c r="AD284" i="41"/>
  <c r="AD300" i="41"/>
  <c r="AD531" i="41"/>
  <c r="AA69" i="41"/>
  <c r="AD43" i="41"/>
  <c r="AA23" i="41"/>
  <c r="AA151" i="41"/>
  <c r="AA87" i="41"/>
  <c r="AA191" i="41"/>
  <c r="AA255" i="41"/>
  <c r="AD146" i="41"/>
  <c r="AD210" i="41"/>
  <c r="AD274" i="41"/>
  <c r="AD290" i="41"/>
  <c r="AD306" i="41"/>
  <c r="AD571" i="41"/>
  <c r="AD167" i="41"/>
  <c r="AD231" i="41"/>
  <c r="AD271" i="41"/>
  <c r="AD287" i="41"/>
  <c r="AA226" i="41"/>
  <c r="AA45" i="41"/>
  <c r="AA109" i="41"/>
  <c r="AA173" i="41"/>
  <c r="AA237" i="41"/>
  <c r="AD354" i="41"/>
  <c r="AD370" i="41"/>
  <c r="AD418" i="41"/>
  <c r="AA204" i="41"/>
  <c r="AA244" i="41"/>
  <c r="AD442" i="41"/>
  <c r="AA427" i="41"/>
  <c r="AA579" i="41"/>
  <c r="AA11" i="41"/>
  <c r="AA223" i="41"/>
  <c r="AA75" i="41"/>
  <c r="AA13" i="41"/>
  <c r="AA77" i="41"/>
  <c r="AA141" i="41"/>
  <c r="AA205" i="41"/>
  <c r="AA277" i="41"/>
  <c r="AA309" i="41"/>
  <c r="AA373" i="41"/>
  <c r="AA437" i="41"/>
  <c r="AA469" i="41"/>
  <c r="AA52" i="41"/>
  <c r="AA116" i="41"/>
  <c r="AA140" i="41"/>
  <c r="AA180" i="41"/>
  <c r="AD316" i="41"/>
  <c r="AD332" i="41"/>
  <c r="AD364" i="41"/>
  <c r="AD380" i="41"/>
  <c r="AD396" i="41"/>
  <c r="AD412" i="41"/>
  <c r="AD428" i="41"/>
  <c r="AD444" i="41"/>
  <c r="AD460" i="41"/>
  <c r="AD492" i="41"/>
  <c r="AD540" i="41"/>
  <c r="AD556" i="41"/>
  <c r="AD525" i="41"/>
  <c r="AD541" i="41"/>
  <c r="AD557" i="41"/>
  <c r="AD276" i="41"/>
  <c r="AD308" i="41"/>
  <c r="AD372" i="41"/>
  <c r="AD404" i="41"/>
  <c r="AD436" i="41"/>
  <c r="AD468" i="41"/>
  <c r="AD500" i="41"/>
  <c r="AD532" i="41"/>
  <c r="AD548" i="41"/>
  <c r="AD386" i="41"/>
  <c r="AD402" i="41"/>
  <c r="AD59" i="41"/>
  <c r="AA441" i="41"/>
  <c r="AA457" i="41"/>
  <c r="AA489" i="41"/>
  <c r="AA505" i="41"/>
  <c r="AA521" i="41"/>
  <c r="AA537" i="41"/>
  <c r="AA162" i="41"/>
  <c r="AD34" i="41"/>
  <c r="AD298" i="41"/>
  <c r="AD362" i="41"/>
  <c r="AD39" i="41"/>
  <c r="AA55" i="41"/>
  <c r="AD103" i="41"/>
  <c r="AA119" i="41"/>
  <c r="AD303" i="41"/>
  <c r="AD319" i="41"/>
  <c r="AD335" i="41"/>
  <c r="AD351" i="41"/>
  <c r="AD367" i="41"/>
  <c r="AD383" i="41"/>
  <c r="AD399" i="41"/>
  <c r="AD415" i="41"/>
  <c r="AD431" i="41"/>
  <c r="AD447" i="41"/>
  <c r="AD463" i="41"/>
  <c r="AD479" i="41"/>
  <c r="AA113" i="41"/>
  <c r="AD161" i="41"/>
  <c r="AD225" i="41"/>
  <c r="AA49" i="41"/>
  <c r="AA517" i="41"/>
  <c r="AA513" i="41"/>
  <c r="AA529" i="41"/>
  <c r="AA545" i="41"/>
  <c r="AA577" i="41"/>
  <c r="AD114" i="41"/>
  <c r="AA130" i="41"/>
  <c r="AD178" i="41"/>
  <c r="AA194" i="41"/>
  <c r="AD242" i="41"/>
  <c r="AA258" i="41"/>
  <c r="AA115" i="41"/>
  <c r="AA478" i="41"/>
  <c r="AA67" i="41"/>
  <c r="AA163" i="41"/>
  <c r="AA195" i="41"/>
  <c r="AA259" i="41"/>
  <c r="AA148" i="41"/>
  <c r="AA212" i="41"/>
  <c r="AD32" i="41"/>
  <c r="AD96" i="41"/>
  <c r="AD160" i="41"/>
  <c r="AD224" i="41"/>
  <c r="AA506" i="41"/>
  <c r="AD9" i="41"/>
  <c r="AD73" i="41"/>
  <c r="AA409" i="41"/>
  <c r="AA425" i="41"/>
  <c r="AD434" i="41"/>
  <c r="AD164" i="41"/>
  <c r="AD8" i="41"/>
  <c r="AA152" i="41"/>
  <c r="AD74" i="41"/>
  <c r="AD140" i="41"/>
  <c r="AD204" i="41"/>
  <c r="AD83" i="41"/>
  <c r="AA131" i="41"/>
  <c r="AA227" i="41"/>
  <c r="AA291" i="41"/>
  <c r="AA419" i="41"/>
  <c r="AA459" i="41"/>
  <c r="AA499" i="41"/>
  <c r="AA37" i="41"/>
  <c r="AA101" i="41"/>
  <c r="AA165" i="41"/>
  <c r="AA269" i="41"/>
  <c r="AA301" i="41"/>
  <c r="AA365" i="41"/>
  <c r="AA429" i="41"/>
  <c r="AA570" i="41"/>
  <c r="AD41" i="41"/>
  <c r="AA385" i="41"/>
  <c r="AA401" i="41"/>
  <c r="AA417" i="41"/>
  <c r="AA433" i="41"/>
  <c r="AA449" i="41"/>
  <c r="AA465" i="41"/>
  <c r="AA481" i="41"/>
  <c r="AA34" i="41"/>
  <c r="AA98" i="41"/>
  <c r="AD573" i="41"/>
  <c r="AD558" i="41"/>
  <c r="AD527" i="41"/>
  <c r="AD131" i="41"/>
  <c r="AD40" i="41"/>
  <c r="AD104" i="41"/>
  <c r="AD168" i="41"/>
  <c r="AD232" i="41"/>
  <c r="AD272" i="41"/>
  <c r="AD288" i="41"/>
  <c r="AD304" i="41"/>
  <c r="AD320" i="41"/>
  <c r="AD81" i="41"/>
  <c r="AD58" i="41"/>
  <c r="AD322" i="41"/>
  <c r="AD338" i="41"/>
  <c r="AA177" i="41"/>
  <c r="AA241" i="41"/>
  <c r="AD265" i="41"/>
  <c r="AD281" i="41"/>
  <c r="AD297" i="41"/>
  <c r="AD313" i="41"/>
  <c r="AD329" i="41"/>
  <c r="AD345" i="41"/>
  <c r="AD361" i="41"/>
  <c r="AD516" i="41"/>
  <c r="AD15" i="41"/>
  <c r="AD79" i="41"/>
  <c r="AD143" i="41"/>
  <c r="AD207" i="41"/>
  <c r="AD72" i="41"/>
  <c r="AD136" i="41"/>
  <c r="AD200" i="41"/>
  <c r="AD264" i="41"/>
  <c r="AD280" i="41"/>
  <c r="AD296" i="41"/>
  <c r="AD312" i="41"/>
  <c r="AD328" i="41"/>
  <c r="AD344" i="41"/>
  <c r="AD360" i="41"/>
  <c r="AD376" i="41"/>
  <c r="AD392" i="41"/>
  <c r="AD408" i="41"/>
  <c r="AD424" i="41"/>
  <c r="AD488" i="41"/>
  <c r="AA19" i="41"/>
  <c r="AD562" i="41"/>
  <c r="AD578" i="41"/>
  <c r="AD25" i="41"/>
  <c r="AD89" i="41"/>
  <c r="AD26" i="41"/>
  <c r="AD458" i="41"/>
  <c r="AD474" i="41"/>
  <c r="AA16" i="41"/>
  <c r="AD64" i="41"/>
  <c r="AA80" i="41"/>
  <c r="AD128" i="41"/>
  <c r="AD192" i="41"/>
  <c r="AD256" i="41"/>
  <c r="AA17" i="41"/>
  <c r="AA81" i="41"/>
  <c r="AD129" i="41"/>
  <c r="AD193" i="41"/>
  <c r="AD257" i="41"/>
  <c r="AD273" i="41"/>
  <c r="AD289" i="41"/>
  <c r="AD305" i="41"/>
  <c r="AD321" i="41"/>
  <c r="AD337" i="41"/>
  <c r="AD353" i="41"/>
  <c r="AD369" i="41"/>
  <c r="AD385" i="41"/>
  <c r="AD401" i="41"/>
  <c r="AD417" i="41"/>
  <c r="AD433" i="41"/>
  <c r="AD449" i="41"/>
  <c r="AD465" i="41"/>
  <c r="AD481" i="41"/>
  <c r="AD175" i="41"/>
  <c r="AD239" i="41"/>
  <c r="AA120" i="41"/>
  <c r="AA184" i="41"/>
  <c r="AA248" i="41"/>
  <c r="AD336" i="41"/>
  <c r="AD352" i="41"/>
  <c r="AD368" i="41"/>
  <c r="AD384" i="41"/>
  <c r="AD400" i="41"/>
  <c r="AD416" i="41"/>
  <c r="AA121" i="41"/>
  <c r="AA185" i="41"/>
  <c r="AA249" i="41"/>
  <c r="AA20" i="41"/>
  <c r="AA84" i="41"/>
  <c r="AA108" i="41"/>
  <c r="AA236" i="41"/>
  <c r="AA260" i="41"/>
  <c r="AA42" i="41"/>
  <c r="AA66" i="41"/>
  <c r="AA112" i="41"/>
  <c r="AA176" i="41"/>
  <c r="AA240" i="41"/>
  <c r="D24" i="66"/>
  <c r="D25" i="66"/>
  <c r="D26" i="66"/>
  <c r="D27" i="66"/>
  <c r="D28" i="66"/>
  <c r="D29" i="66"/>
  <c r="C10" i="66"/>
  <c r="C12" i="66"/>
  <c r="C14" i="66"/>
  <c r="D10" i="66"/>
  <c r="D12" i="66"/>
  <c r="D14" i="66"/>
  <c r="E10" i="66"/>
  <c r="E12" i="66"/>
  <c r="E14" i="66"/>
  <c r="C11" i="66"/>
  <c r="C13" i="66"/>
  <c r="D11" i="66"/>
  <c r="D13" i="66"/>
  <c r="E11" i="66"/>
  <c r="E13" i="66"/>
  <c r="AD363" i="41"/>
  <c r="AD388" i="41"/>
  <c r="AD113" i="41"/>
  <c r="AD177" i="41"/>
  <c r="AD241" i="41"/>
  <c r="AA289" i="41"/>
  <c r="AA305" i="41"/>
  <c r="AA321" i="41"/>
  <c r="AA337" i="41"/>
  <c r="AA353" i="41"/>
  <c r="AA369" i="41"/>
  <c r="AD17" i="41"/>
  <c r="AD57" i="41"/>
  <c r="AA377" i="41"/>
  <c r="AA393" i="41"/>
  <c r="AD450" i="41"/>
  <c r="AD554" i="41"/>
  <c r="AD432" i="41"/>
  <c r="AA329" i="41"/>
  <c r="AA345" i="41"/>
  <c r="AA361" i="41"/>
  <c r="AA27" i="41"/>
  <c r="AA297" i="41"/>
  <c r="AA313" i="41"/>
  <c r="AD466" i="41"/>
  <c r="AD490" i="41"/>
  <c r="AA100" i="41"/>
  <c r="AA228" i="41"/>
  <c r="AD155" i="41"/>
  <c r="AD187" i="41"/>
  <c r="AD227" i="41"/>
  <c r="AD251" i="41"/>
  <c r="AD291" i="41"/>
  <c r="AD347" i="41"/>
  <c r="AD387" i="41"/>
  <c r="AD419" i="41"/>
  <c r="AD459" i="41"/>
  <c r="AD499" i="41"/>
  <c r="AA473" i="41"/>
  <c r="AA561" i="41"/>
  <c r="AA74" i="41"/>
  <c r="AA497" i="41"/>
  <c r="AA145" i="41"/>
  <c r="AA209" i="41"/>
  <c r="AD42" i="41"/>
  <c r="AD5" i="41"/>
  <c r="AD145" i="41"/>
  <c r="AD209" i="41"/>
  <c r="AD12" i="41"/>
  <c r="AD268" i="41"/>
  <c r="AD539" i="41"/>
  <c r="AD37" i="41"/>
  <c r="AD101" i="41"/>
  <c r="AD165" i="41"/>
  <c r="AD498" i="41"/>
  <c r="AD514" i="41"/>
  <c r="AD530" i="41"/>
  <c r="AD440" i="41"/>
  <c r="AD456" i="41"/>
  <c r="AD472" i="41"/>
  <c r="AD504" i="41"/>
  <c r="AD520" i="41"/>
  <c r="AD564" i="41"/>
  <c r="AD580" i="41"/>
  <c r="AD549" i="41"/>
  <c r="AD565" i="41"/>
  <c r="AD581" i="41"/>
  <c r="AD574" i="41"/>
  <c r="AD535" i="41"/>
  <c r="AD147" i="41"/>
  <c r="AD179" i="41"/>
  <c r="AD211" i="41"/>
  <c r="AD243" i="41"/>
  <c r="AD267" i="41"/>
  <c r="AD47" i="41"/>
  <c r="AD111" i="41"/>
  <c r="AD448" i="41"/>
  <c r="AD464" i="41"/>
  <c r="AD480" i="41"/>
  <c r="AD496" i="41"/>
  <c r="AD512" i="41"/>
  <c r="AA32" i="41"/>
  <c r="AA56" i="41"/>
  <c r="AA96" i="41"/>
  <c r="AA224" i="41"/>
  <c r="AA33" i="41"/>
  <c r="AA281" i="41"/>
  <c r="AA10" i="41"/>
  <c r="AA24" i="41"/>
  <c r="AA88" i="41"/>
  <c r="AA216" i="41"/>
  <c r="AA256" i="41"/>
  <c r="AA123" i="41"/>
  <c r="AA31" i="41"/>
  <c r="AA95" i="41"/>
  <c r="AA159" i="41"/>
  <c r="AA21" i="41"/>
  <c r="AA85" i="41"/>
  <c r="AA149" i="41"/>
  <c r="AA213" i="41"/>
  <c r="AA64" i="41"/>
  <c r="AA128" i="41"/>
  <c r="AA192" i="41"/>
  <c r="AA65" i="41"/>
  <c r="AA193" i="41"/>
  <c r="AA257" i="41"/>
  <c r="AA273" i="41"/>
  <c r="AA181" i="41"/>
  <c r="AA245" i="41"/>
  <c r="AA97" i="41"/>
  <c r="AA161" i="41"/>
  <c r="AA265" i="41"/>
  <c r="AD536" i="41"/>
  <c r="AD552" i="41"/>
  <c r="AD568" i="41"/>
  <c r="AD569" i="41"/>
  <c r="AD307" i="41"/>
  <c r="AD331" i="41"/>
  <c r="AA220" i="41"/>
  <c r="AD528" i="41"/>
  <c r="AD52" i="41"/>
  <c r="AD108" i="41"/>
  <c r="AD212" i="41"/>
  <c r="AD36" i="41"/>
  <c r="AD100" i="41"/>
  <c r="AD188" i="41"/>
  <c r="AD228" i="41"/>
  <c r="AD348" i="41"/>
  <c r="AD476" i="41"/>
  <c r="AD508" i="41"/>
  <c r="AD572" i="41"/>
  <c r="AA53" i="41"/>
  <c r="AD61" i="41"/>
  <c r="AA117" i="41"/>
  <c r="AD125" i="41"/>
  <c r="AD189" i="41"/>
  <c r="AD253" i="41"/>
  <c r="AD14" i="41"/>
  <c r="AD78" i="41"/>
  <c r="AD142" i="41"/>
  <c r="AD206" i="41"/>
  <c r="AA406" i="41"/>
  <c r="AA422" i="41"/>
  <c r="AA438" i="41"/>
  <c r="AA454" i="41"/>
  <c r="AA470" i="41"/>
  <c r="AA486" i="41"/>
  <c r="AA502" i="41"/>
  <c r="AA518" i="41"/>
  <c r="AA534" i="41"/>
  <c r="AA550" i="41"/>
  <c r="AA582" i="41"/>
  <c r="AD99" i="41"/>
  <c r="AA379" i="41"/>
  <c r="AA411" i="41"/>
  <c r="AA451" i="41"/>
  <c r="AA483" i="41"/>
  <c r="AA571" i="41"/>
  <c r="AD23" i="41"/>
  <c r="AA39" i="41"/>
  <c r="AD87" i="41"/>
  <c r="AA103" i="41"/>
  <c r="AD151" i="41"/>
  <c r="AA167" i="41"/>
  <c r="AD215" i="41"/>
  <c r="AA271" i="41"/>
  <c r="AA287" i="41"/>
  <c r="AA303" i="41"/>
  <c r="AA319" i="41"/>
  <c r="AA335" i="41"/>
  <c r="AA351" i="41"/>
  <c r="AA367" i="41"/>
  <c r="AA383" i="41"/>
  <c r="AA399" i="41"/>
  <c r="AA415" i="41"/>
  <c r="AA431" i="41"/>
  <c r="AA447" i="41"/>
  <c r="AA463" i="41"/>
  <c r="AA479" i="41"/>
  <c r="AD16" i="41"/>
  <c r="AD80" i="41"/>
  <c r="AD144" i="41"/>
  <c r="AA160" i="41"/>
  <c r="AD208" i="41"/>
  <c r="AA225" i="41"/>
  <c r="AD524" i="41"/>
  <c r="AD575" i="41"/>
  <c r="AD75" i="41"/>
  <c r="AD315" i="41"/>
  <c r="AD229" i="41"/>
  <c r="AD269" i="41"/>
  <c r="AD285" i="41"/>
  <c r="AD301" i="41"/>
  <c r="AD317" i="41"/>
  <c r="AD333" i="41"/>
  <c r="AD349" i="41"/>
  <c r="AD365" i="41"/>
  <c r="AD381" i="41"/>
  <c r="AD397" i="41"/>
  <c r="AD413" i="41"/>
  <c r="AD429" i="41"/>
  <c r="AD445" i="41"/>
  <c r="AD461" i="41"/>
  <c r="AD477" i="41"/>
  <c r="AD493" i="41"/>
  <c r="AD509" i="41"/>
  <c r="AD583" i="41"/>
  <c r="AD54" i="41"/>
  <c r="AD118" i="41"/>
  <c r="AD182" i="41"/>
  <c r="AD246" i="41"/>
  <c r="AD63" i="41"/>
  <c r="AD127" i="41"/>
  <c r="AD191" i="41"/>
  <c r="AD255" i="41"/>
  <c r="AD56" i="41"/>
  <c r="AD120" i="41"/>
  <c r="AD184" i="41"/>
  <c r="AD248" i="41"/>
  <c r="AD546" i="41"/>
  <c r="AD570" i="41"/>
  <c r="AD33" i="41"/>
  <c r="AD97" i="41"/>
  <c r="AD121" i="41"/>
  <c r="AD185" i="41"/>
  <c r="AD249" i="41"/>
  <c r="AD122" i="41"/>
  <c r="AD186" i="41"/>
  <c r="AD250" i="41"/>
  <c r="AD91" i="41"/>
  <c r="AD495" i="41"/>
  <c r="AD511" i="41"/>
  <c r="AD543" i="41"/>
  <c r="AD559" i="41"/>
  <c r="AA48" i="41"/>
  <c r="AD377" i="41"/>
  <c r="AD393" i="41"/>
  <c r="AD409" i="41"/>
  <c r="AD425" i="41"/>
  <c r="AD441" i="41"/>
  <c r="AD457" i="41"/>
  <c r="AD473" i="41"/>
  <c r="AD489" i="41"/>
  <c r="AD505" i="41"/>
  <c r="AD521" i="41"/>
  <c r="AD537" i="41"/>
  <c r="AD561" i="41"/>
  <c r="AD10" i="41"/>
  <c r="AD98" i="41"/>
  <c r="AD162" i="41"/>
  <c r="AD226" i="41"/>
  <c r="AA474" i="41"/>
  <c r="AD260" i="41"/>
  <c r="AD53" i="41"/>
  <c r="AD117" i="41"/>
  <c r="AD181" i="41"/>
  <c r="AD6" i="41"/>
  <c r="AD70" i="41"/>
  <c r="AD134" i="41"/>
  <c r="AD198" i="41"/>
  <c r="AD584" i="41"/>
  <c r="AD49" i="41"/>
  <c r="AD137" i="41"/>
  <c r="AD201" i="41"/>
  <c r="AD50" i="41"/>
  <c r="AD138" i="41"/>
  <c r="AD202" i="41"/>
  <c r="AD266" i="41"/>
  <c r="AD180" i="41"/>
  <c r="AD244" i="41"/>
  <c r="AD245" i="41"/>
  <c r="AD68" i="41"/>
  <c r="AD132" i="41"/>
  <c r="AD156" i="41"/>
  <c r="AD324" i="41"/>
  <c r="AD356" i="41"/>
  <c r="AD452" i="41"/>
  <c r="AD51" i="41"/>
  <c r="AA83" i="41"/>
  <c r="AD107" i="41"/>
  <c r="AD29" i="41"/>
  <c r="AD93" i="41"/>
  <c r="AD157" i="41"/>
  <c r="AD221" i="41"/>
  <c r="AD46" i="41"/>
  <c r="AD110" i="41"/>
  <c r="AD174" i="41"/>
  <c r="AD238" i="41"/>
  <c r="AD55" i="41"/>
  <c r="AD119" i="41"/>
  <c r="AD183" i="41"/>
  <c r="AD247" i="41"/>
  <c r="AD48" i="41"/>
  <c r="AD112" i="41"/>
  <c r="AD176" i="41"/>
  <c r="AD240" i="41"/>
  <c r="AD76" i="41"/>
  <c r="AD116" i="41"/>
  <c r="AA132" i="41"/>
  <c r="AA172" i="41"/>
  <c r="AD196" i="41"/>
  <c r="AD292" i="41"/>
  <c r="AD340" i="41"/>
  <c r="AA356" i="41"/>
  <c r="AD420" i="41"/>
  <c r="AA484" i="41"/>
  <c r="AD533" i="41"/>
  <c r="AD11" i="41"/>
  <c r="AD371" i="41"/>
  <c r="AD403" i="41"/>
  <c r="AD443" i="41"/>
  <c r="AD475" i="41"/>
  <c r="AD515" i="41"/>
  <c r="AD563" i="41"/>
  <c r="AD69" i="41"/>
  <c r="AD133" i="41"/>
  <c r="AD197" i="41"/>
  <c r="AD261" i="41"/>
  <c r="AD277" i="41"/>
  <c r="AD293" i="41"/>
  <c r="AD309" i="41"/>
  <c r="AD325" i="41"/>
  <c r="AD341" i="41"/>
  <c r="AD357" i="41"/>
  <c r="AD373" i="41"/>
  <c r="AD389" i="41"/>
  <c r="AD405" i="41"/>
  <c r="AD421" i="41"/>
  <c r="AD437" i="41"/>
  <c r="AD453" i="41"/>
  <c r="AD469" i="41"/>
  <c r="AD485" i="41"/>
  <c r="AD501" i="41"/>
  <c r="AD517" i="41"/>
  <c r="AD22" i="41"/>
  <c r="AD86" i="41"/>
  <c r="AD150" i="41"/>
  <c r="AD214" i="41"/>
  <c r="AD67" i="41"/>
  <c r="AD123" i="41"/>
  <c r="AD31" i="41"/>
  <c r="AD95" i="41"/>
  <c r="AD159" i="41"/>
  <c r="AD223" i="41"/>
  <c r="AD24" i="41"/>
  <c r="AD88" i="41"/>
  <c r="AD152" i="41"/>
  <c r="AD216" i="41"/>
  <c r="AD482" i="41"/>
  <c r="AD506" i="41"/>
  <c r="AD522" i="41"/>
  <c r="AD538" i="41"/>
  <c r="AD65" i="41"/>
  <c r="AD153" i="41"/>
  <c r="AD217" i="41"/>
  <c r="AD90" i="41"/>
  <c r="AD154" i="41"/>
  <c r="AD218" i="41"/>
  <c r="AD44" i="41"/>
  <c r="AD19" i="41"/>
  <c r="AA215" i="41"/>
  <c r="AD503" i="41"/>
  <c r="AD519" i="41"/>
  <c r="AD551" i="41"/>
  <c r="AD567" i="41"/>
  <c r="AA144" i="41"/>
  <c r="AA208" i="41"/>
  <c r="AD497" i="41"/>
  <c r="AD513" i="41"/>
  <c r="AD529" i="41"/>
  <c r="AD545" i="41"/>
  <c r="AD577" i="41"/>
  <c r="AD66" i="41"/>
  <c r="AA106" i="41"/>
  <c r="AD130" i="41"/>
  <c r="AA170" i="41"/>
  <c r="AD194" i="41"/>
  <c r="AD258" i="41"/>
  <c r="AA434" i="41"/>
  <c r="AA466" i="41"/>
  <c r="AD236" i="41"/>
  <c r="AD148" i="41"/>
  <c r="AD21" i="41"/>
  <c r="AD85" i="41"/>
  <c r="AD149" i="41"/>
  <c r="AD213" i="41"/>
  <c r="AD38" i="41"/>
  <c r="AD102" i="41"/>
  <c r="AD166" i="41"/>
  <c r="AD230" i="41"/>
  <c r="AD544" i="41"/>
  <c r="AD560" i="41"/>
  <c r="AD576" i="41"/>
  <c r="AD553" i="41"/>
  <c r="AD105" i="41"/>
  <c r="AD169" i="41"/>
  <c r="AD233" i="41"/>
  <c r="AD18" i="41"/>
  <c r="AD82" i="41"/>
  <c r="AD106" i="41"/>
  <c r="AD170" i="41"/>
  <c r="AD234" i="41"/>
  <c r="AA188" i="41"/>
  <c r="AA12" i="41"/>
  <c r="AA76" i="41"/>
  <c r="AA164" i="41"/>
  <c r="AA268" i="41"/>
  <c r="AA524" i="41"/>
  <c r="AA575" i="41"/>
  <c r="AA315" i="41"/>
  <c r="AA583" i="41"/>
  <c r="AA491" i="41"/>
  <c r="AA555" i="41"/>
  <c r="AA54" i="41"/>
  <c r="AA94" i="41"/>
  <c r="AA158" i="41"/>
  <c r="AA222" i="41"/>
  <c r="AA262" i="41"/>
  <c r="AA278" i="41"/>
  <c r="AA294" i="41"/>
  <c r="AA310" i="41"/>
  <c r="AA326" i="41"/>
  <c r="AA342" i="41"/>
  <c r="AA358" i="41"/>
  <c r="AA374" i="41"/>
  <c r="AA390" i="41"/>
  <c r="AA231" i="41"/>
  <c r="AA107" i="41"/>
  <c r="AA363" i="41"/>
  <c r="AA6" i="41"/>
  <c r="AA30" i="41"/>
  <c r="AA70" i="41"/>
  <c r="AA134" i="41"/>
  <c r="AA198" i="41"/>
  <c r="AA43" i="41"/>
  <c r="AA91" i="41"/>
  <c r="AA531" i="41"/>
  <c r="AA15" i="41"/>
  <c r="AA79" i="41"/>
  <c r="AA143" i="41"/>
  <c r="AA207" i="41"/>
  <c r="AA495" i="41"/>
  <c r="AA511" i="41"/>
  <c r="AA543" i="41"/>
  <c r="AA559" i="41"/>
  <c r="AA72" i="41"/>
  <c r="AA136" i="41"/>
  <c r="AA200" i="41"/>
  <c r="AA264" i="41"/>
  <c r="AA280" i="41"/>
  <c r="AA296" i="41"/>
  <c r="AA312" i="41"/>
  <c r="AA328" i="41"/>
  <c r="AA344" i="41"/>
  <c r="AA360" i="41"/>
  <c r="AA376" i="41"/>
  <c r="AA392" i="41"/>
  <c r="AA408" i="41"/>
  <c r="AA424" i="41"/>
  <c r="AA440" i="41"/>
  <c r="AA456" i="41"/>
  <c r="AA472" i="41"/>
  <c r="AA504" i="41"/>
  <c r="AA520" i="41"/>
  <c r="AA536" i="41"/>
  <c r="AA552" i="41"/>
  <c r="AA568" i="41"/>
  <c r="AA584" i="41"/>
  <c r="AA9" i="41"/>
  <c r="AA73" i="41"/>
  <c r="AA137" i="41"/>
  <c r="AA201" i="41"/>
  <c r="AA554" i="41"/>
  <c r="AA156" i="41"/>
  <c r="AA183" i="41"/>
  <c r="AA247" i="41"/>
  <c r="AA8" i="41"/>
  <c r="AA488" i="41"/>
  <c r="AA569" i="41"/>
  <c r="AA50" i="41"/>
  <c r="AA114" i="41"/>
  <c r="AA138" i="41"/>
  <c r="AA178" i="41"/>
  <c r="AA202" i="41"/>
  <c r="AA242" i="41"/>
  <c r="AA266" i="41"/>
  <c r="AA282" i="41"/>
  <c r="AA314" i="41"/>
  <c r="AA330" i="41"/>
  <c r="AA346" i="41"/>
  <c r="AA378" i="41"/>
  <c r="AA394" i="41"/>
  <c r="AA410" i="41"/>
  <c r="AA426" i="41"/>
  <c r="AA442" i="41"/>
  <c r="AA458" i="41"/>
  <c r="AA60" i="41"/>
  <c r="AA68" i="41"/>
  <c r="AA276" i="41"/>
  <c r="AA308" i="41"/>
  <c r="AA324" i="41"/>
  <c r="AA372" i="41"/>
  <c r="AA500" i="41"/>
  <c r="AA549" i="41"/>
  <c r="AA565" i="41"/>
  <c r="AA371" i="41"/>
  <c r="AA403" i="41"/>
  <c r="AA563" i="41"/>
  <c r="AA197" i="41"/>
  <c r="AA261" i="41"/>
  <c r="AA293" i="41"/>
  <c r="AA325" i="41"/>
  <c r="AA341" i="41"/>
  <c r="AA357" i="41"/>
  <c r="AA389" i="41"/>
  <c r="AA405" i="41"/>
  <c r="AA421" i="41"/>
  <c r="AA453" i="41"/>
  <c r="AA485" i="41"/>
  <c r="AA501" i="41"/>
  <c r="AA22" i="41"/>
  <c r="AA86" i="41"/>
  <c r="AA150" i="41"/>
  <c r="AA214" i="41"/>
  <c r="AA482" i="41"/>
  <c r="AA538" i="41"/>
  <c r="AA562" i="41"/>
  <c r="AA578" i="41"/>
  <c r="AA25" i="41"/>
  <c r="AA89" i="41"/>
  <c r="AA153" i="41"/>
  <c r="AA217" i="41"/>
  <c r="AA26" i="41"/>
  <c r="AA90" i="41"/>
  <c r="AA154" i="41"/>
  <c r="AA218" i="41"/>
  <c r="AA298" i="41"/>
  <c r="AA362" i="41"/>
  <c r="AA28" i="41"/>
  <c r="AA92" i="41"/>
  <c r="AA404" i="41"/>
  <c r="AA436" i="41"/>
  <c r="AA452" i="41"/>
  <c r="AA468" i="41"/>
  <c r="AA532" i="41"/>
  <c r="AA548" i="41"/>
  <c r="AA564" i="41"/>
  <c r="AA580" i="41"/>
  <c r="AA574" i="41"/>
  <c r="AA535" i="41"/>
  <c r="AA44" i="41"/>
  <c r="AA196" i="41"/>
  <c r="AA292" i="41"/>
  <c r="AA340" i="41"/>
  <c r="AA388" i="41"/>
  <c r="AA420" i="41"/>
  <c r="AA516" i="41"/>
  <c r="AA533" i="41"/>
  <c r="AA443" i="41"/>
  <c r="AA475" i="41"/>
  <c r="AA523" i="41"/>
  <c r="AA62" i="41"/>
  <c r="AA126" i="41"/>
  <c r="AA190" i="41"/>
  <c r="AA254" i="41"/>
  <c r="AA270" i="41"/>
  <c r="AA286" i="41"/>
  <c r="AA302" i="41"/>
  <c r="AA318" i="41"/>
  <c r="AA334" i="41"/>
  <c r="AA350" i="41"/>
  <c r="AA366" i="41"/>
  <c r="AA382" i="41"/>
  <c r="AA398" i="41"/>
  <c r="AA414" i="41"/>
  <c r="AA430" i="41"/>
  <c r="AA446" i="41"/>
  <c r="AA462" i="41"/>
  <c r="AA494" i="41"/>
  <c r="AA510" i="41"/>
  <c r="AA526" i="41"/>
  <c r="AA542" i="41"/>
  <c r="AA566" i="41"/>
  <c r="AA219" i="41"/>
  <c r="AA283" i="41"/>
  <c r="AA323" i="41"/>
  <c r="AA355" i="41"/>
  <c r="AA395" i="41"/>
  <c r="AA435" i="41"/>
  <c r="AA467" i="41"/>
  <c r="AA507" i="41"/>
  <c r="AA547" i="41"/>
  <c r="AA7" i="41"/>
  <c r="AA71" i="41"/>
  <c r="AA135" i="41"/>
  <c r="AA199" i="41"/>
  <c r="AA263" i="41"/>
  <c r="AA279" i="41"/>
  <c r="AA295" i="41"/>
  <c r="AA311" i="41"/>
  <c r="AA327" i="41"/>
  <c r="AA343" i="41"/>
  <c r="AA359" i="41"/>
  <c r="AA375" i="41"/>
  <c r="AA391" i="41"/>
  <c r="AA407" i="41"/>
  <c r="AA423" i="41"/>
  <c r="AA439" i="41"/>
  <c r="AA455" i="41"/>
  <c r="AA471" i="41"/>
  <c r="AA487" i="41"/>
  <c r="AA522" i="41"/>
  <c r="AA129" i="41"/>
  <c r="AA35" i="41"/>
  <c r="AA38" i="41"/>
  <c r="AA102" i="41"/>
  <c r="AA166" i="41"/>
  <c r="AA230" i="41"/>
  <c r="AA99" i="41"/>
  <c r="AA47" i="41"/>
  <c r="AA111" i="41"/>
  <c r="AA175" i="41"/>
  <c r="AA239" i="41"/>
  <c r="AA503" i="41"/>
  <c r="AA519" i="41"/>
  <c r="AA551" i="41"/>
  <c r="AA567" i="41"/>
  <c r="AA40" i="41"/>
  <c r="AA104" i="41"/>
  <c r="AA168" i="41"/>
  <c r="AA232" i="41"/>
  <c r="AA272" i="41"/>
  <c r="AA288" i="41"/>
  <c r="AA304" i="41"/>
  <c r="AA320" i="41"/>
  <c r="AA336" i="41"/>
  <c r="AA352" i="41"/>
  <c r="AA368" i="41"/>
  <c r="AA384" i="41"/>
  <c r="AA400" i="41"/>
  <c r="AA416" i="41"/>
  <c r="AA432" i="41"/>
  <c r="AA448" i="41"/>
  <c r="AA464" i="41"/>
  <c r="AA480" i="41"/>
  <c r="AA496" i="41"/>
  <c r="AA512" i="41"/>
  <c r="AA528" i="41"/>
  <c r="AA544" i="41"/>
  <c r="AA560" i="41"/>
  <c r="AA576" i="41"/>
  <c r="AA553" i="41"/>
  <c r="AA5" i="41"/>
  <c r="AA41" i="41"/>
  <c r="AA105" i="41"/>
  <c r="AA169" i="41"/>
  <c r="AA233" i="41"/>
  <c r="AA490" i="41"/>
  <c r="AA252" i="41"/>
  <c r="AA18" i="41"/>
  <c r="AA82" i="41"/>
  <c r="AA146" i="41"/>
  <c r="AA210" i="41"/>
  <c r="AA234" i="41"/>
  <c r="AA274" i="41"/>
  <c r="AA290" i="41"/>
  <c r="AA306" i="41"/>
  <c r="AA354" i="41"/>
  <c r="AA370" i="41"/>
  <c r="AA418" i="41"/>
  <c r="AA124" i="41"/>
  <c r="AA36" i="41"/>
  <c r="AA284" i="41"/>
  <c r="AA300" i="41"/>
  <c r="AA316" i="41"/>
  <c r="AA332" i="41"/>
  <c r="AA348" i="41"/>
  <c r="AA364" i="41"/>
  <c r="AA380" i="41"/>
  <c r="AA396" i="41"/>
  <c r="AA412" i="41"/>
  <c r="AA428" i="41"/>
  <c r="AA444" i="41"/>
  <c r="AA460" i="41"/>
  <c r="AA476" i="41"/>
  <c r="AA492" i="41"/>
  <c r="AA540" i="41"/>
  <c r="AA556" i="41"/>
  <c r="AA525" i="41"/>
  <c r="AA541" i="41"/>
  <c r="AA557" i="41"/>
  <c r="AA573" i="41"/>
  <c r="AA558" i="41"/>
  <c r="AA527" i="41"/>
  <c r="AA155" i="41"/>
  <c r="AA187" i="41"/>
  <c r="AA251" i="41"/>
  <c r="AA347" i="41"/>
  <c r="AA387" i="41"/>
  <c r="AA539" i="41"/>
  <c r="AA229" i="41"/>
  <c r="AA285" i="41"/>
  <c r="AA317" i="41"/>
  <c r="AA333" i="41"/>
  <c r="AA349" i="41"/>
  <c r="AA381" i="41"/>
  <c r="AA397" i="41"/>
  <c r="AA413" i="41"/>
  <c r="AA445" i="41"/>
  <c r="AA461" i="41"/>
  <c r="AA477" i="41"/>
  <c r="AA493" i="41"/>
  <c r="AA509" i="41"/>
  <c r="AA118" i="41"/>
  <c r="AA182" i="41"/>
  <c r="AA246" i="41"/>
  <c r="AA59" i="41"/>
  <c r="AA139" i="41"/>
  <c r="AA171" i="41"/>
  <c r="AA203" i="41"/>
  <c r="AA235" i="41"/>
  <c r="AA275" i="41"/>
  <c r="AA299" i="41"/>
  <c r="AA339" i="41"/>
  <c r="AA63" i="41"/>
  <c r="AA127" i="41"/>
  <c r="AA498" i="41"/>
  <c r="AA514" i="41"/>
  <c r="AA530" i="41"/>
  <c r="AA546" i="41"/>
  <c r="AA57" i="41"/>
  <c r="AA58" i="41"/>
  <c r="AA122" i="41"/>
  <c r="AA186" i="41"/>
  <c r="AA250" i="41"/>
  <c r="AA322" i="41"/>
  <c r="AA338" i="41"/>
  <c r="AA386" i="41"/>
  <c r="AA402" i="41"/>
  <c r="AA450" i="41"/>
  <c r="H9" i="66"/>
  <c r="Q1" i="41"/>
  <c r="F30" i="65"/>
  <c r="C30" i="65"/>
  <c r="E30" i="65"/>
  <c r="D30" i="65"/>
  <c r="E43" i="65"/>
  <c r="F15" i="65"/>
  <c r="E15" i="65"/>
  <c r="D15" i="65"/>
  <c r="C15" i="65"/>
  <c r="J12" i="67"/>
  <c r="C21" i="66"/>
  <c r="D22" i="66"/>
  <c r="E23" i="66"/>
  <c r="C29" i="66"/>
  <c r="C20" i="66"/>
  <c r="D21" i="66"/>
  <c r="E22" i="66"/>
  <c r="C28" i="66"/>
  <c r="D20" i="66"/>
  <c r="C27" i="66"/>
  <c r="E29" i="66"/>
  <c r="E20" i="66"/>
  <c r="C26" i="66"/>
  <c r="E28" i="66"/>
  <c r="C25" i="66"/>
  <c r="E27" i="66"/>
  <c r="C24" i="66"/>
  <c r="E26" i="66"/>
  <c r="C22" i="66"/>
  <c r="D23" i="66"/>
  <c r="E24" i="66"/>
  <c r="C23" i="66"/>
  <c r="E25" i="66"/>
  <c r="E19" i="66"/>
  <c r="D19" i="66"/>
  <c r="C19" i="66"/>
  <c r="C4" i="66"/>
  <c r="Z2" i="41"/>
  <c r="AB2" i="41"/>
  <c r="Y2" i="41"/>
  <c r="T2" i="41"/>
  <c r="AC2" i="41"/>
  <c r="D15" i="67"/>
  <c r="D66" i="67" s="1"/>
  <c r="I6" i="67"/>
  <c r="J6" i="67" s="1"/>
  <c r="K6" i="67"/>
  <c r="D7" i="67"/>
  <c r="I7" i="67"/>
  <c r="J7" i="67" s="1"/>
  <c r="K7" i="67"/>
  <c r="D8" i="67"/>
  <c r="I8" i="67"/>
  <c r="J8" i="67" s="1"/>
  <c r="D6" i="67"/>
  <c r="C5" i="66"/>
  <c r="D33" i="64"/>
  <c r="F33" i="64"/>
  <c r="E49" i="64"/>
  <c r="E65" i="64"/>
  <c r="F32" i="67"/>
  <c r="E32" i="67"/>
  <c r="H64" i="64"/>
  <c r="E32" i="71" s="1"/>
  <c r="I32" i="71" s="1"/>
  <c r="E16" i="64"/>
  <c r="E86" i="64" s="1"/>
  <c r="F15" i="67"/>
  <c r="F66" i="67" s="1"/>
  <c r="H48" i="64"/>
  <c r="E8" i="66"/>
  <c r="E6" i="66"/>
  <c r="D8" i="66"/>
  <c r="D6" i="66"/>
  <c r="C8" i="66"/>
  <c r="C6" i="66"/>
  <c r="E9" i="66"/>
  <c r="E7" i="66"/>
  <c r="E5" i="66"/>
  <c r="D9" i="66"/>
  <c r="D7" i="66"/>
  <c r="D5" i="66"/>
  <c r="C9" i="66"/>
  <c r="C7" i="66"/>
  <c r="E4" i="66"/>
  <c r="D4" i="66"/>
  <c r="D32" i="67"/>
  <c r="E15" i="67"/>
  <c r="E66" i="67" s="1"/>
  <c r="G31" i="67"/>
  <c r="G13" i="67" s="1"/>
  <c r="G9" i="67"/>
  <c r="C8" i="65"/>
  <c r="C27" i="65"/>
  <c r="E9" i="65"/>
  <c r="E28" i="65"/>
  <c r="C12" i="65"/>
  <c r="C34" i="65"/>
  <c r="C87" i="3" s="1"/>
  <c r="E13" i="65"/>
  <c r="E35" i="65"/>
  <c r="C19" i="65"/>
  <c r="C38" i="65"/>
  <c r="C91" i="3" s="1"/>
  <c r="E20" i="65"/>
  <c r="E39" i="65"/>
  <c r="C4" i="65"/>
  <c r="C23" i="65"/>
  <c r="C42" i="65"/>
  <c r="C95" i="3" s="1"/>
  <c r="E5" i="65"/>
  <c r="E24" i="65"/>
  <c r="D4" i="65"/>
  <c r="F5" i="65"/>
  <c r="D8" i="65"/>
  <c r="F9" i="65"/>
  <c r="D12" i="65"/>
  <c r="F13" i="65"/>
  <c r="D19" i="65"/>
  <c r="F20" i="65"/>
  <c r="D23" i="65"/>
  <c r="F24" i="65"/>
  <c r="D27" i="65"/>
  <c r="F28" i="65"/>
  <c r="D34" i="65"/>
  <c r="F35" i="65"/>
  <c r="D38" i="65"/>
  <c r="F39" i="65"/>
  <c r="D42" i="65"/>
  <c r="F43" i="65"/>
  <c r="E4" i="65"/>
  <c r="C7" i="65"/>
  <c r="E8" i="65"/>
  <c r="C11" i="65"/>
  <c r="E12" i="65"/>
  <c r="E19" i="65"/>
  <c r="C22" i="65"/>
  <c r="E23" i="65"/>
  <c r="C26" i="65"/>
  <c r="E27" i="65"/>
  <c r="E34" i="65"/>
  <c r="C37" i="65"/>
  <c r="C90" i="3" s="1"/>
  <c r="E38" i="65"/>
  <c r="C41" i="65"/>
  <c r="C94" i="3" s="1"/>
  <c r="E42" i="65"/>
  <c r="F4" i="65"/>
  <c r="D7" i="65"/>
  <c r="F8" i="65"/>
  <c r="D11" i="65"/>
  <c r="F12" i="65"/>
  <c r="F19" i="65"/>
  <c r="D22" i="65"/>
  <c r="F23" i="65"/>
  <c r="D26" i="65"/>
  <c r="F27" i="65"/>
  <c r="F34" i="65"/>
  <c r="D37" i="65"/>
  <c r="F38" i="65"/>
  <c r="D41" i="65"/>
  <c r="F42" i="65"/>
  <c r="C6" i="65"/>
  <c r="E7" i="65"/>
  <c r="C10" i="65"/>
  <c r="E11" i="65"/>
  <c r="C14" i="65"/>
  <c r="C21" i="65"/>
  <c r="E22" i="65"/>
  <c r="C25" i="65"/>
  <c r="E26" i="65"/>
  <c r="C29" i="65"/>
  <c r="C36" i="65"/>
  <c r="C89" i="3" s="1"/>
  <c r="E37" i="65"/>
  <c r="C40" i="65"/>
  <c r="C93" i="3" s="1"/>
  <c r="E41" i="65"/>
  <c r="C44" i="65"/>
  <c r="C97" i="3" s="1"/>
  <c r="D6" i="65"/>
  <c r="F7" i="65"/>
  <c r="D10" i="65"/>
  <c r="F11" i="65"/>
  <c r="D14" i="65"/>
  <c r="D21" i="65"/>
  <c r="F22" i="65"/>
  <c r="D25" i="65"/>
  <c r="F26" i="65"/>
  <c r="D29" i="65"/>
  <c r="D36" i="65"/>
  <c r="F37" i="65"/>
  <c r="D40" i="65"/>
  <c r="F41" i="65"/>
  <c r="D44" i="65"/>
  <c r="C5" i="65"/>
  <c r="E6" i="65"/>
  <c r="C9" i="65"/>
  <c r="E10" i="65"/>
  <c r="C13" i="65"/>
  <c r="E14" i="65"/>
  <c r="C20" i="65"/>
  <c r="E21" i="65"/>
  <c r="C24" i="65"/>
  <c r="E25" i="65"/>
  <c r="C28" i="65"/>
  <c r="E29" i="65"/>
  <c r="C35" i="65"/>
  <c r="C88" i="3" s="1"/>
  <c r="E36" i="65"/>
  <c r="C39" i="65"/>
  <c r="C92" i="3" s="1"/>
  <c r="E40" i="65"/>
  <c r="C43" i="65"/>
  <c r="C96" i="3" s="1"/>
  <c r="E44" i="65"/>
  <c r="D5" i="65"/>
  <c r="F6" i="65"/>
  <c r="D9" i="65"/>
  <c r="F10" i="65"/>
  <c r="D13" i="65"/>
  <c r="F14" i="65"/>
  <c r="D20" i="65"/>
  <c r="F21" i="65"/>
  <c r="D24" i="65"/>
  <c r="F25" i="65"/>
  <c r="D28" i="65"/>
  <c r="F29" i="65"/>
  <c r="D35" i="65"/>
  <c r="F36" i="65"/>
  <c r="D39" i="65"/>
  <c r="F40" i="65"/>
  <c r="D43" i="65"/>
  <c r="F44" i="65"/>
  <c r="D49" i="64"/>
  <c r="G33" i="64"/>
  <c r="H32" i="64"/>
  <c r="D16" i="64"/>
  <c r="D86" i="64" s="1"/>
  <c r="D6" i="64"/>
  <c r="K6" i="64"/>
  <c r="D7" i="64"/>
  <c r="K7" i="64"/>
  <c r="D8" i="64"/>
  <c r="K8" i="64"/>
  <c r="D9" i="64"/>
  <c r="G49" i="64"/>
  <c r="F65" i="64"/>
  <c r="G65" i="64"/>
  <c r="E33" i="64"/>
  <c r="D65" i="64"/>
  <c r="I8" i="64"/>
  <c r="J8" i="64" s="1"/>
  <c r="I6" i="64"/>
  <c r="J6" i="64" s="1"/>
  <c r="I9" i="64"/>
  <c r="J9" i="64" s="1"/>
  <c r="F49" i="64"/>
  <c r="G10" i="64"/>
  <c r="H81" i="64" s="1"/>
  <c r="I7" i="64"/>
  <c r="J7" i="64" s="1"/>
  <c r="G105" i="3" l="1"/>
  <c r="G107" i="3"/>
  <c r="G112" i="3"/>
  <c r="G106" i="3"/>
  <c r="G110" i="3"/>
  <c r="G111" i="3"/>
  <c r="G109" i="3"/>
  <c r="G104" i="3"/>
  <c r="G113" i="3"/>
  <c r="G114" i="3"/>
  <c r="E91" i="3"/>
  <c r="H14" i="64"/>
  <c r="H16" i="64" s="1"/>
  <c r="F87" i="3"/>
  <c r="D87" i="3"/>
  <c r="X2" i="41"/>
  <c r="E94" i="3"/>
  <c r="E88" i="3"/>
  <c r="E90" i="3"/>
  <c r="E93" i="3"/>
  <c r="E97" i="3"/>
  <c r="F93" i="3"/>
  <c r="D91" i="3"/>
  <c r="F94" i="3"/>
  <c r="D90" i="3"/>
  <c r="D95" i="3"/>
  <c r="F97" i="3"/>
  <c r="D94" i="3"/>
  <c r="E89" i="3"/>
  <c r="G48" i="67"/>
  <c r="G64" i="67"/>
  <c r="F89" i="3"/>
  <c r="D93" i="3"/>
  <c r="F90" i="3"/>
  <c r="D88" i="3"/>
  <c r="E87" i="3"/>
  <c r="D89" i="3"/>
  <c r="D96" i="3"/>
  <c r="E96" i="3"/>
  <c r="E95" i="3"/>
  <c r="D92" i="3"/>
  <c r="F88" i="3"/>
  <c r="F92" i="3"/>
  <c r="D97" i="3"/>
  <c r="F91" i="3"/>
  <c r="E92" i="3"/>
  <c r="F96" i="3"/>
  <c r="D98" i="3"/>
  <c r="F95" i="3"/>
  <c r="E98" i="3"/>
  <c r="F98" i="3"/>
  <c r="C108" i="3"/>
  <c r="G108" i="3" s="1"/>
  <c r="G103" i="3"/>
  <c r="G51" i="65"/>
  <c r="G60" i="65"/>
  <c r="G53" i="65"/>
  <c r="G59" i="65"/>
  <c r="G57" i="65"/>
  <c r="G58" i="65"/>
  <c r="G52" i="65"/>
  <c r="G56" i="65"/>
  <c r="G54" i="65"/>
  <c r="G55" i="65"/>
  <c r="G50" i="65"/>
  <c r="F61" i="65"/>
  <c r="F115" i="3" s="1"/>
  <c r="D61" i="65"/>
  <c r="D115" i="3" s="1"/>
  <c r="C61" i="65"/>
  <c r="G49" i="65"/>
  <c r="E61" i="65"/>
  <c r="E115" i="3" s="1"/>
  <c r="F40" i="66"/>
  <c r="F45" i="66"/>
  <c r="F41" i="66"/>
  <c r="F42" i="66"/>
  <c r="F43" i="66"/>
  <c r="F36" i="66"/>
  <c r="F37" i="66"/>
  <c r="F44" i="66"/>
  <c r="F38" i="66"/>
  <c r="F39" i="66"/>
  <c r="F35" i="66"/>
  <c r="D46" i="66"/>
  <c r="C46" i="66"/>
  <c r="F34" i="66"/>
  <c r="E46" i="66"/>
  <c r="F11" i="66"/>
  <c r="F15" i="66"/>
  <c r="F13" i="66"/>
  <c r="F14" i="66"/>
  <c r="F12" i="66"/>
  <c r="F10" i="66"/>
  <c r="U2" i="41"/>
  <c r="C99" i="3"/>
  <c r="F24" i="66"/>
  <c r="F22" i="66"/>
  <c r="F26" i="66"/>
  <c r="F19" i="66"/>
  <c r="F23" i="66"/>
  <c r="F20" i="66"/>
  <c r="F29" i="66"/>
  <c r="F25" i="66"/>
  <c r="F28" i="66"/>
  <c r="F27" i="66"/>
  <c r="F21" i="66"/>
  <c r="G15" i="67"/>
  <c r="G66" i="67" s="1"/>
  <c r="K9" i="67"/>
  <c r="H65" i="64"/>
  <c r="F30" i="66"/>
  <c r="D31" i="66"/>
  <c r="C31" i="66"/>
  <c r="E31" i="66"/>
  <c r="AD2" i="41"/>
  <c r="AA2" i="41"/>
  <c r="F8" i="66"/>
  <c r="F9" i="66"/>
  <c r="D9" i="67"/>
  <c r="F6" i="67" s="1"/>
  <c r="F6" i="66"/>
  <c r="F5" i="66"/>
  <c r="F7" i="66"/>
  <c r="F4" i="66"/>
  <c r="G32" i="67"/>
  <c r="H7" i="67"/>
  <c r="E7" i="67" s="1"/>
  <c r="H8" i="67"/>
  <c r="L8" i="67" s="1"/>
  <c r="H6" i="67"/>
  <c r="L6" i="67" s="1"/>
  <c r="D16" i="66"/>
  <c r="C16" i="66"/>
  <c r="E16" i="66"/>
  <c r="G45" i="65"/>
  <c r="G37" i="65"/>
  <c r="G26" i="65"/>
  <c r="G5" i="65"/>
  <c r="G43" i="65"/>
  <c r="G35" i="65"/>
  <c r="G13" i="65"/>
  <c r="G41" i="65"/>
  <c r="G30" i="65"/>
  <c r="G22" i="65"/>
  <c r="G42" i="65"/>
  <c r="G34" i="65"/>
  <c r="G23" i="65"/>
  <c r="G29" i="65"/>
  <c r="G21" i="65"/>
  <c r="C31" i="65"/>
  <c r="G7" i="65"/>
  <c r="F16" i="65"/>
  <c r="C16" i="65"/>
  <c r="C46" i="65"/>
  <c r="G15" i="65"/>
  <c r="G4" i="65"/>
  <c r="G11" i="65"/>
  <c r="G12" i="65"/>
  <c r="G10" i="65"/>
  <c r="G39" i="65"/>
  <c r="G28" i="65"/>
  <c r="G20" i="65"/>
  <c r="G9" i="65"/>
  <c r="G24" i="65"/>
  <c r="G40" i="65"/>
  <c r="G38" i="65"/>
  <c r="G27" i="65"/>
  <c r="G8" i="65"/>
  <c r="F31" i="65"/>
  <c r="G44" i="65"/>
  <c r="G36" i="65"/>
  <c r="G25" i="65"/>
  <c r="G14" i="65"/>
  <c r="G6" i="65"/>
  <c r="F46" i="65"/>
  <c r="E46" i="65"/>
  <c r="E16" i="65"/>
  <c r="D31" i="65"/>
  <c r="G19" i="65"/>
  <c r="E31" i="65"/>
  <c r="D46" i="65"/>
  <c r="D16" i="65"/>
  <c r="D10" i="64"/>
  <c r="H49" i="64"/>
  <c r="H6" i="64"/>
  <c r="E6" i="64" s="1"/>
  <c r="H8" i="64"/>
  <c r="L8" i="64" s="1"/>
  <c r="K10" i="64"/>
  <c r="M6" i="64" s="1"/>
  <c r="H9" i="64"/>
  <c r="E9" i="64" s="1"/>
  <c r="H33" i="64"/>
  <c r="H7" i="64"/>
  <c r="E7" i="64" s="1"/>
  <c r="G87" i="3" l="1"/>
  <c r="G94" i="3"/>
  <c r="G91" i="3"/>
  <c r="G90" i="3"/>
  <c r="G93" i="3"/>
  <c r="G97" i="3"/>
  <c r="G89" i="3"/>
  <c r="G88" i="3"/>
  <c r="G95" i="3"/>
  <c r="G92" i="3"/>
  <c r="G96" i="3"/>
  <c r="D99" i="3"/>
  <c r="C115" i="3"/>
  <c r="F99" i="3"/>
  <c r="G98" i="3"/>
  <c r="E99" i="3"/>
  <c r="G115" i="3"/>
  <c r="F64" i="65"/>
  <c r="E64" i="65"/>
  <c r="F15" i="64" s="1"/>
  <c r="D64" i="65"/>
  <c r="E15" i="64" s="1"/>
  <c r="C64" i="65"/>
  <c r="D15" i="64" s="1"/>
  <c r="G61" i="65"/>
  <c r="E49" i="66"/>
  <c r="F14" i="67" s="1"/>
  <c r="D49" i="66"/>
  <c r="E14" i="67" s="1"/>
  <c r="C49" i="66"/>
  <c r="D14" i="67" s="1"/>
  <c r="F46" i="66"/>
  <c r="F31" i="66"/>
  <c r="F6" i="64"/>
  <c r="L7" i="67"/>
  <c r="I19" i="67" s="1"/>
  <c r="M7" i="67"/>
  <c r="E6" i="67"/>
  <c r="E8" i="67"/>
  <c r="M9" i="67"/>
  <c r="M6" i="67"/>
  <c r="H9" i="67"/>
  <c r="I9" i="67" s="1"/>
  <c r="J9" i="67" s="1"/>
  <c r="M8" i="67"/>
  <c r="F16" i="66"/>
  <c r="G46" i="65"/>
  <c r="G16" i="65"/>
  <c r="G31" i="65"/>
  <c r="L6" i="64"/>
  <c r="F9" i="64"/>
  <c r="M9" i="64"/>
  <c r="E8" i="64"/>
  <c r="I52" i="64" s="1"/>
  <c r="M20" i="71" s="1"/>
  <c r="F7" i="64"/>
  <c r="F8" i="64"/>
  <c r="L9" i="64"/>
  <c r="H10" i="64"/>
  <c r="I10" i="64" s="1"/>
  <c r="J10" i="64" s="1"/>
  <c r="L7" i="64"/>
  <c r="M10" i="64"/>
  <c r="M7" i="64"/>
  <c r="M8" i="64"/>
  <c r="I71" i="64" l="1"/>
  <c r="I74" i="64"/>
  <c r="I79" i="64"/>
  <c r="I69" i="64"/>
  <c r="I70" i="64"/>
  <c r="I72" i="64"/>
  <c r="J72" i="64"/>
  <c r="L72" i="64" s="1"/>
  <c r="U40" i="71" s="1"/>
  <c r="J77" i="64"/>
  <c r="L77" i="64" s="1"/>
  <c r="U45" i="71" s="1"/>
  <c r="J69" i="64"/>
  <c r="L69" i="64" s="1"/>
  <c r="U37" i="71" s="1"/>
  <c r="J74" i="64"/>
  <c r="L74" i="64" s="1"/>
  <c r="U42" i="71" s="1"/>
  <c r="J73" i="64"/>
  <c r="L73" i="64" s="1"/>
  <c r="U41" i="71" s="1"/>
  <c r="J79" i="64"/>
  <c r="L79" i="64" s="1"/>
  <c r="U47" i="71" s="1"/>
  <c r="J71" i="64"/>
  <c r="L71" i="64" s="1"/>
  <c r="U39" i="71" s="1"/>
  <c r="J76" i="64"/>
  <c r="L76" i="64" s="1"/>
  <c r="U44" i="71" s="1"/>
  <c r="J68" i="64"/>
  <c r="J78" i="64"/>
  <c r="L78" i="64" s="1"/>
  <c r="U46" i="71" s="1"/>
  <c r="J70" i="64"/>
  <c r="L70" i="64" s="1"/>
  <c r="U38" i="71" s="1"/>
  <c r="J75" i="64"/>
  <c r="L75" i="64" s="1"/>
  <c r="U43" i="71" s="1"/>
  <c r="G99" i="3"/>
  <c r="I78" i="64"/>
  <c r="I76" i="64"/>
  <c r="I73" i="64"/>
  <c r="I77" i="64"/>
  <c r="I68" i="64"/>
  <c r="M36" i="71" s="1"/>
  <c r="Q36" i="71" s="1"/>
  <c r="I75" i="64"/>
  <c r="G64" i="65"/>
  <c r="H15" i="64" s="1"/>
  <c r="F49" i="66"/>
  <c r="G14" i="67" s="1"/>
  <c r="I53" i="67"/>
  <c r="I61" i="67"/>
  <c r="I58" i="67"/>
  <c r="H62" i="67"/>
  <c r="H54" i="67"/>
  <c r="H57" i="67"/>
  <c r="H60" i="67"/>
  <c r="H52" i="67"/>
  <c r="H53" i="67"/>
  <c r="H55" i="67"/>
  <c r="H56" i="67"/>
  <c r="H58" i="67"/>
  <c r="H61" i="67"/>
  <c r="L30" i="71" s="1"/>
  <c r="H59" i="67"/>
  <c r="H51" i="67"/>
  <c r="L20" i="71" s="1"/>
  <c r="I59" i="67"/>
  <c r="I52" i="67"/>
  <c r="I55" i="67"/>
  <c r="I54" i="67"/>
  <c r="I60" i="67"/>
  <c r="I62" i="67"/>
  <c r="I51" i="67"/>
  <c r="K51" i="67" s="1"/>
  <c r="I56" i="67"/>
  <c r="K56" i="67" s="1"/>
  <c r="H39" i="66" s="1"/>
  <c r="I57" i="67"/>
  <c r="I42" i="67"/>
  <c r="K42" i="67" s="1"/>
  <c r="K38" i="67"/>
  <c r="I43" i="67"/>
  <c r="K43" i="67" s="1"/>
  <c r="I44" i="67"/>
  <c r="K44" i="67" s="1"/>
  <c r="I45" i="67"/>
  <c r="K45" i="67" s="1"/>
  <c r="K41" i="67"/>
  <c r="H45" i="67"/>
  <c r="H44" i="67"/>
  <c r="H42" i="67"/>
  <c r="H46" i="67"/>
  <c r="H43" i="67"/>
  <c r="K37" i="67"/>
  <c r="I46" i="67"/>
  <c r="K46" i="67" s="1"/>
  <c r="K39" i="67"/>
  <c r="K36" i="67"/>
  <c r="L4" i="71"/>
  <c r="I23" i="67"/>
  <c r="I22" i="67"/>
  <c r="K35" i="67"/>
  <c r="I27" i="67"/>
  <c r="K25" i="67"/>
  <c r="H10" i="66" s="1"/>
  <c r="K24" i="67"/>
  <c r="I21" i="67"/>
  <c r="I20" i="67"/>
  <c r="H19" i="67"/>
  <c r="H20" i="67"/>
  <c r="H21" i="67"/>
  <c r="G6" i="66" s="1"/>
  <c r="H22" i="67"/>
  <c r="G7" i="66" s="1"/>
  <c r="H23" i="67"/>
  <c r="G8" i="66" s="1"/>
  <c r="G13" i="66"/>
  <c r="G9" i="66"/>
  <c r="G14" i="66"/>
  <c r="G15" i="66"/>
  <c r="G10" i="66"/>
  <c r="G11" i="66"/>
  <c r="H27" i="67"/>
  <c r="G12" i="66" s="1"/>
  <c r="G15" i="64"/>
  <c r="E10" i="64"/>
  <c r="I45" i="64"/>
  <c r="G5" i="66"/>
  <c r="G4" i="66"/>
  <c r="L9" i="67"/>
  <c r="I62" i="64"/>
  <c r="M30" i="71" s="1"/>
  <c r="H34" i="65"/>
  <c r="I27" i="64"/>
  <c r="M9" i="71"/>
  <c r="M5" i="71"/>
  <c r="I58" i="64"/>
  <c r="M26" i="71" s="1"/>
  <c r="I63" i="64"/>
  <c r="I57" i="64"/>
  <c r="M25" i="71" s="1"/>
  <c r="I56" i="64"/>
  <c r="M24" i="71" s="1"/>
  <c r="I61" i="64"/>
  <c r="M29" i="71" s="1"/>
  <c r="M8" i="71"/>
  <c r="I59" i="64"/>
  <c r="M27" i="71" s="1"/>
  <c r="I55" i="64"/>
  <c r="M23" i="71" s="1"/>
  <c r="I54" i="64"/>
  <c r="M22" i="71" s="1"/>
  <c r="I47" i="64"/>
  <c r="I26" i="64"/>
  <c r="I24" i="64"/>
  <c r="H15" i="65"/>
  <c r="I20" i="64"/>
  <c r="I28" i="64"/>
  <c r="I46" i="64"/>
  <c r="M14" i="71" s="1"/>
  <c r="I53" i="64"/>
  <c r="M21" i="71" s="1"/>
  <c r="M7" i="71"/>
  <c r="M10" i="71"/>
  <c r="I23" i="64"/>
  <c r="M6" i="71"/>
  <c r="I44" i="64"/>
  <c r="M12" i="71" s="1"/>
  <c r="I60" i="64"/>
  <c r="M28" i="71" s="1"/>
  <c r="I30" i="64"/>
  <c r="I21" i="64"/>
  <c r="I25" i="64"/>
  <c r="I29" i="64"/>
  <c r="M4" i="71"/>
  <c r="I22" i="64"/>
  <c r="I43" i="64"/>
  <c r="M11" i="71" s="1"/>
  <c r="J63" i="64"/>
  <c r="L63" i="64" s="1"/>
  <c r="L41" i="64"/>
  <c r="U9" i="71" s="1"/>
  <c r="J47" i="64"/>
  <c r="J26" i="64"/>
  <c r="L26" i="64" s="1"/>
  <c r="L31" i="64"/>
  <c r="I15" i="65" s="1"/>
  <c r="J56" i="64"/>
  <c r="L56" i="64" s="1"/>
  <c r="U24" i="71" s="1"/>
  <c r="J23" i="64"/>
  <c r="L23" i="64" s="1"/>
  <c r="J43" i="64"/>
  <c r="L43" i="64" s="1"/>
  <c r="U11" i="71" s="1"/>
  <c r="J20" i="64"/>
  <c r="J25" i="64"/>
  <c r="L25" i="64" s="1"/>
  <c r="J27" i="64"/>
  <c r="L27" i="64" s="1"/>
  <c r="J21" i="64"/>
  <c r="L21" i="64" s="1"/>
  <c r="J52" i="64"/>
  <c r="L52" i="64" s="1"/>
  <c r="U20" i="71" s="1"/>
  <c r="AC20" i="71" s="1"/>
  <c r="L40" i="64"/>
  <c r="U8" i="71" s="1"/>
  <c r="J28" i="64"/>
  <c r="L28" i="64" s="1"/>
  <c r="L42" i="64"/>
  <c r="U10" i="71" s="1"/>
  <c r="J29" i="64"/>
  <c r="L29" i="64" s="1"/>
  <c r="J60" i="64"/>
  <c r="L60" i="64" s="1"/>
  <c r="U28" i="71" s="1"/>
  <c r="U5" i="71"/>
  <c r="J59" i="64"/>
  <c r="L59" i="64" s="1"/>
  <c r="U27" i="71" s="1"/>
  <c r="J44" i="64"/>
  <c r="L44" i="64" s="1"/>
  <c r="U12" i="71" s="1"/>
  <c r="L38" i="64"/>
  <c r="U6" i="71" s="1"/>
  <c r="J57" i="64"/>
  <c r="L57" i="64" s="1"/>
  <c r="U25" i="71" s="1"/>
  <c r="J45" i="64"/>
  <c r="L45" i="64" s="1"/>
  <c r="U13" i="71" s="1"/>
  <c r="J22" i="64"/>
  <c r="L22" i="64" s="1"/>
  <c r="J53" i="64"/>
  <c r="L53" i="64" s="1"/>
  <c r="U21" i="71" s="1"/>
  <c r="J46" i="64"/>
  <c r="L46" i="64" s="1"/>
  <c r="U14" i="71" s="1"/>
  <c r="J58" i="64"/>
  <c r="L58" i="64" s="1"/>
  <c r="U26" i="71" s="1"/>
  <c r="J54" i="64"/>
  <c r="L54" i="64" s="1"/>
  <c r="U22" i="71" s="1"/>
  <c r="J30" i="64"/>
  <c r="L30" i="64" s="1"/>
  <c r="J61" i="64"/>
  <c r="L61" i="64" s="1"/>
  <c r="U29" i="71" s="1"/>
  <c r="J55" i="64"/>
  <c r="L55" i="64" s="1"/>
  <c r="U23" i="71" s="1"/>
  <c r="L10" i="64"/>
  <c r="J62" i="64"/>
  <c r="L62" i="64" s="1"/>
  <c r="U30" i="71" s="1"/>
  <c r="L39" i="64"/>
  <c r="U7" i="71" s="1"/>
  <c r="J24" i="64"/>
  <c r="L24" i="64" s="1"/>
  <c r="T20" i="71" l="1"/>
  <c r="AB20" i="71" s="1"/>
  <c r="H34" i="66"/>
  <c r="T25" i="71"/>
  <c r="H29" i="66"/>
  <c r="H23" i="66"/>
  <c r="H28" i="66"/>
  <c r="H30" i="66"/>
  <c r="H27" i="66"/>
  <c r="H21" i="66"/>
  <c r="H22" i="66"/>
  <c r="H24" i="66"/>
  <c r="H26" i="66"/>
  <c r="T5" i="71"/>
  <c r="H25" i="66"/>
  <c r="T4" i="71"/>
  <c r="AB4" i="71" s="1"/>
  <c r="T14" i="71"/>
  <c r="T8" i="71"/>
  <c r="T13" i="71"/>
  <c r="T15" i="71"/>
  <c r="T12" i="71"/>
  <c r="T6" i="71"/>
  <c r="T7" i="71"/>
  <c r="T9" i="71"/>
  <c r="T11" i="71"/>
  <c r="T10" i="71"/>
  <c r="AC25" i="71"/>
  <c r="AC21" i="71"/>
  <c r="AC26" i="71"/>
  <c r="AC22" i="71"/>
  <c r="AC23" i="71"/>
  <c r="AC29" i="71"/>
  <c r="AC24" i="71"/>
  <c r="AC12" i="71"/>
  <c r="AC8" i="71"/>
  <c r="AC27" i="71"/>
  <c r="AC28" i="71"/>
  <c r="AC30" i="71"/>
  <c r="I45" i="65"/>
  <c r="U31" i="71"/>
  <c r="G37" i="66"/>
  <c r="L23" i="71"/>
  <c r="Y46" i="71"/>
  <c r="Y45" i="71"/>
  <c r="G41" i="66"/>
  <c r="L27" i="71"/>
  <c r="G45" i="66"/>
  <c r="L31" i="71"/>
  <c r="H58" i="65"/>
  <c r="H112" i="3" s="1"/>
  <c r="M45" i="71"/>
  <c r="Q45" i="71" s="1"/>
  <c r="Y40" i="71"/>
  <c r="G39" i="66"/>
  <c r="L25" i="71"/>
  <c r="H54" i="65"/>
  <c r="H108" i="3" s="1"/>
  <c r="M41" i="71"/>
  <c r="Q41" i="71" s="1"/>
  <c r="Y44" i="71"/>
  <c r="H53" i="65"/>
  <c r="H107" i="3" s="1"/>
  <c r="M40" i="71"/>
  <c r="Q40" i="71" s="1"/>
  <c r="G38" i="66"/>
  <c r="L24" i="71"/>
  <c r="H57" i="65"/>
  <c r="H111" i="3" s="1"/>
  <c r="M44" i="71"/>
  <c r="Q44" i="71" s="1"/>
  <c r="Y39" i="71"/>
  <c r="H51" i="65"/>
  <c r="H105" i="3" s="1"/>
  <c r="M38" i="71"/>
  <c r="Q38" i="71" s="1"/>
  <c r="G36" i="66"/>
  <c r="L22" i="71"/>
  <c r="H59" i="65"/>
  <c r="H113" i="3" s="1"/>
  <c r="M46" i="71"/>
  <c r="Q46" i="71" s="1"/>
  <c r="Y47" i="71"/>
  <c r="H50" i="65"/>
  <c r="H104" i="3" s="1"/>
  <c r="M37" i="71"/>
  <c r="Q37" i="71" s="1"/>
  <c r="G35" i="66"/>
  <c r="L21" i="71"/>
  <c r="Y41" i="71"/>
  <c r="H60" i="65"/>
  <c r="H114" i="3" s="1"/>
  <c r="M47" i="71"/>
  <c r="Q47" i="71" s="1"/>
  <c r="G43" i="66"/>
  <c r="L29" i="71"/>
  <c r="Y43" i="71"/>
  <c r="Y42" i="71"/>
  <c r="H55" i="65"/>
  <c r="H109" i="3" s="1"/>
  <c r="M42" i="71"/>
  <c r="Q42" i="71" s="1"/>
  <c r="H45" i="65"/>
  <c r="M31" i="71"/>
  <c r="G42" i="66"/>
  <c r="L28" i="71"/>
  <c r="G40" i="66"/>
  <c r="L26" i="71"/>
  <c r="H56" i="65"/>
  <c r="H110" i="3" s="1"/>
  <c r="M43" i="71"/>
  <c r="Q43" i="71" s="1"/>
  <c r="Y38" i="71"/>
  <c r="Y37" i="71"/>
  <c r="H52" i="65"/>
  <c r="H106" i="3" s="1"/>
  <c r="M39" i="71"/>
  <c r="Q39" i="71" s="1"/>
  <c r="AC9" i="71"/>
  <c r="AC10" i="71"/>
  <c r="AC11" i="71"/>
  <c r="AC6" i="71"/>
  <c r="AC7" i="71"/>
  <c r="AC14" i="71"/>
  <c r="AC5" i="71"/>
  <c r="G22" i="66"/>
  <c r="L7" i="71"/>
  <c r="G24" i="66"/>
  <c r="L9" i="71"/>
  <c r="G28" i="66"/>
  <c r="L13" i="71"/>
  <c r="G26" i="66"/>
  <c r="L11" i="71"/>
  <c r="G29" i="66"/>
  <c r="L14" i="71"/>
  <c r="G23" i="66"/>
  <c r="L8" i="71"/>
  <c r="G25" i="66"/>
  <c r="L10" i="71"/>
  <c r="G20" i="66"/>
  <c r="L5" i="71"/>
  <c r="AB5" i="71" s="1"/>
  <c r="G27" i="66"/>
  <c r="L12" i="71"/>
  <c r="G21" i="66"/>
  <c r="L6" i="71"/>
  <c r="H30" i="65"/>
  <c r="M15" i="71"/>
  <c r="H28" i="65"/>
  <c r="M13" i="71"/>
  <c r="AC13" i="71" s="1"/>
  <c r="G30" i="66"/>
  <c r="L15" i="71"/>
  <c r="K60" i="67"/>
  <c r="H43" i="66" s="1"/>
  <c r="K54" i="67"/>
  <c r="H37" i="66" s="1"/>
  <c r="K58" i="67"/>
  <c r="H41" i="66" s="1"/>
  <c r="K55" i="67"/>
  <c r="H38" i="66" s="1"/>
  <c r="K61" i="67"/>
  <c r="H44" i="66" s="1"/>
  <c r="K52" i="67"/>
  <c r="H35" i="66" s="1"/>
  <c r="K53" i="67"/>
  <c r="H36" i="66" s="1"/>
  <c r="K57" i="67"/>
  <c r="H40" i="66" s="1"/>
  <c r="K59" i="67"/>
  <c r="H42" i="66" s="1"/>
  <c r="K62" i="67"/>
  <c r="H45" i="66" s="1"/>
  <c r="M76" i="64"/>
  <c r="I57" i="65"/>
  <c r="I80" i="64"/>
  <c r="M48" i="71" s="1"/>
  <c r="Q48" i="71" s="1"/>
  <c r="H49" i="65"/>
  <c r="M77" i="64"/>
  <c r="I58" i="65"/>
  <c r="M71" i="64"/>
  <c r="I52" i="65"/>
  <c r="M79" i="64"/>
  <c r="I60" i="65"/>
  <c r="J80" i="64"/>
  <c r="L68" i="64"/>
  <c r="U36" i="71" s="1"/>
  <c r="M72" i="64"/>
  <c r="I53" i="65"/>
  <c r="M73" i="64"/>
  <c r="I54" i="65"/>
  <c r="M78" i="64"/>
  <c r="I59" i="65"/>
  <c r="M75" i="64"/>
  <c r="I56" i="65"/>
  <c r="M74" i="64"/>
  <c r="I55" i="65"/>
  <c r="M70" i="64"/>
  <c r="I51" i="65"/>
  <c r="M69" i="64"/>
  <c r="I50" i="65"/>
  <c r="G44" i="66"/>
  <c r="G34" i="66"/>
  <c r="L56" i="67"/>
  <c r="H63" i="67"/>
  <c r="L32" i="71" s="1"/>
  <c r="I63" i="67"/>
  <c r="L47" i="64"/>
  <c r="M47" i="64" s="1"/>
  <c r="G19" i="66"/>
  <c r="L44" i="67"/>
  <c r="L42" i="67"/>
  <c r="L45" i="67"/>
  <c r="L43" i="67"/>
  <c r="L41" i="67"/>
  <c r="I47" i="67"/>
  <c r="H47" i="67"/>
  <c r="L40" i="67"/>
  <c r="K22" i="67"/>
  <c r="K21" i="67"/>
  <c r="K19" i="67"/>
  <c r="K20" i="67"/>
  <c r="K23" i="67"/>
  <c r="K28" i="67"/>
  <c r="H13" i="66" s="1"/>
  <c r="K27" i="67"/>
  <c r="H12" i="66" s="1"/>
  <c r="K29" i="67"/>
  <c r="H14" i="66" s="1"/>
  <c r="K26" i="67"/>
  <c r="H11" i="66" s="1"/>
  <c r="K30" i="67"/>
  <c r="H31" i="67"/>
  <c r="H44" i="65"/>
  <c r="I31" i="67"/>
  <c r="H42" i="65"/>
  <c r="H12" i="65"/>
  <c r="H41" i="65"/>
  <c r="H24" i="65"/>
  <c r="I43" i="65"/>
  <c r="I39" i="65"/>
  <c r="I25" i="65"/>
  <c r="I26" i="65"/>
  <c r="H26" i="65"/>
  <c r="H27" i="65"/>
  <c r="H4" i="65"/>
  <c r="H23" i="65"/>
  <c r="H11" i="65"/>
  <c r="I14" i="65"/>
  <c r="I21" i="65"/>
  <c r="I12" i="65"/>
  <c r="I7" i="65"/>
  <c r="H6" i="65"/>
  <c r="H21" i="65"/>
  <c r="H43" i="65"/>
  <c r="I36" i="65"/>
  <c r="I27" i="65"/>
  <c r="I23" i="65"/>
  <c r="H19" i="65"/>
  <c r="H7" i="65"/>
  <c r="H8" i="65"/>
  <c r="H38" i="65"/>
  <c r="I8" i="65"/>
  <c r="I41" i="65"/>
  <c r="H13" i="65"/>
  <c r="H25" i="65"/>
  <c r="H10" i="65"/>
  <c r="H39" i="65"/>
  <c r="I5" i="65"/>
  <c r="I10" i="65"/>
  <c r="H9" i="65"/>
  <c r="H22" i="65"/>
  <c r="I42" i="65"/>
  <c r="H5" i="65"/>
  <c r="H35" i="65"/>
  <c r="H36" i="65"/>
  <c r="H40" i="65"/>
  <c r="I6" i="65"/>
  <c r="I13" i="65"/>
  <c r="I9" i="65"/>
  <c r="H14" i="65"/>
  <c r="H29" i="65"/>
  <c r="H37" i="65"/>
  <c r="H20" i="65"/>
  <c r="M56" i="64"/>
  <c r="I38" i="65"/>
  <c r="M58" i="64"/>
  <c r="I40" i="65"/>
  <c r="M39" i="64"/>
  <c r="I22" i="65"/>
  <c r="M46" i="64"/>
  <c r="I29" i="65"/>
  <c r="M37" i="64"/>
  <c r="I20" i="65"/>
  <c r="M62" i="64"/>
  <c r="I44" i="65"/>
  <c r="M53" i="64"/>
  <c r="I35" i="65"/>
  <c r="M27" i="64"/>
  <c r="I11" i="65"/>
  <c r="M41" i="64"/>
  <c r="I24" i="65"/>
  <c r="M55" i="64"/>
  <c r="I37" i="65"/>
  <c r="M45" i="64"/>
  <c r="I28" i="65"/>
  <c r="M38" i="64"/>
  <c r="M63" i="64"/>
  <c r="M61" i="64"/>
  <c r="M57" i="64"/>
  <c r="M40" i="64"/>
  <c r="M43" i="64"/>
  <c r="M24" i="64"/>
  <c r="M59" i="64"/>
  <c r="M21" i="64"/>
  <c r="M26" i="64"/>
  <c r="I64" i="64"/>
  <c r="M32" i="71" s="1"/>
  <c r="M42" i="64"/>
  <c r="M54" i="64"/>
  <c r="I48" i="64"/>
  <c r="M28" i="64"/>
  <c r="M23" i="64"/>
  <c r="M44" i="64"/>
  <c r="M31" i="64"/>
  <c r="M60" i="64"/>
  <c r="M30" i="64"/>
  <c r="M25" i="64"/>
  <c r="M22" i="64"/>
  <c r="I32" i="64"/>
  <c r="M29" i="64"/>
  <c r="J64" i="64"/>
  <c r="L36" i="64"/>
  <c r="U4" i="71" s="1"/>
  <c r="J48" i="64"/>
  <c r="L20" i="64"/>
  <c r="J32" i="64"/>
  <c r="AB12" i="71" l="1"/>
  <c r="AB10" i="71"/>
  <c r="AB8" i="71"/>
  <c r="AB25" i="71"/>
  <c r="AB11" i="71"/>
  <c r="AB14" i="71"/>
  <c r="AB7" i="71"/>
  <c r="AB15" i="71"/>
  <c r="T16" i="71"/>
  <c r="AB6" i="71"/>
  <c r="AB13" i="71"/>
  <c r="AB9" i="71"/>
  <c r="I22" i="66"/>
  <c r="I26" i="66"/>
  <c r="I24" i="66"/>
  <c r="I23" i="66"/>
  <c r="I21" i="66"/>
  <c r="AC37" i="71"/>
  <c r="I39" i="66"/>
  <c r="I28" i="66"/>
  <c r="AC38" i="71"/>
  <c r="I25" i="66"/>
  <c r="I27" i="66"/>
  <c r="AC41" i="71"/>
  <c r="AC42" i="71"/>
  <c r="AC47" i="71"/>
  <c r="AC43" i="71"/>
  <c r="I41" i="66"/>
  <c r="T27" i="71"/>
  <c r="I45" i="66"/>
  <c r="T31" i="71"/>
  <c r="I37" i="66"/>
  <c r="T23" i="71"/>
  <c r="AC39" i="71"/>
  <c r="AC44" i="71"/>
  <c r="AC46" i="71"/>
  <c r="I42" i="66"/>
  <c r="T28" i="71"/>
  <c r="I43" i="66"/>
  <c r="T29" i="71"/>
  <c r="I40" i="66"/>
  <c r="T26" i="71"/>
  <c r="AC36" i="71"/>
  <c r="Y36" i="71"/>
  <c r="I36" i="66"/>
  <c r="T22" i="71"/>
  <c r="I35" i="66"/>
  <c r="T21" i="71"/>
  <c r="AC31" i="71"/>
  <c r="I44" i="66"/>
  <c r="T30" i="71"/>
  <c r="AC40" i="71"/>
  <c r="L55" i="67"/>
  <c r="T24" i="71"/>
  <c r="AC45" i="71"/>
  <c r="I30" i="65"/>
  <c r="U15" i="71"/>
  <c r="G31" i="66"/>
  <c r="AC4" i="71"/>
  <c r="M16" i="71"/>
  <c r="L16" i="71"/>
  <c r="I29" i="66"/>
  <c r="I30" i="66"/>
  <c r="L54" i="67"/>
  <c r="L58" i="67"/>
  <c r="L62" i="67"/>
  <c r="L60" i="67"/>
  <c r="L61" i="67"/>
  <c r="L53" i="67"/>
  <c r="L59" i="67"/>
  <c r="L52" i="67"/>
  <c r="L57" i="67"/>
  <c r="I38" i="66"/>
  <c r="I109" i="3"/>
  <c r="J109" i="3" s="1"/>
  <c r="J55" i="65"/>
  <c r="I107" i="3"/>
  <c r="J107" i="3" s="1"/>
  <c r="J53" i="65"/>
  <c r="I112" i="3"/>
  <c r="J112" i="3" s="1"/>
  <c r="J58" i="65"/>
  <c r="I110" i="3"/>
  <c r="J110" i="3" s="1"/>
  <c r="J56" i="65"/>
  <c r="L80" i="64"/>
  <c r="M68" i="64"/>
  <c r="I49" i="65"/>
  <c r="H103" i="3"/>
  <c r="H115" i="3" s="1"/>
  <c r="H61" i="65"/>
  <c r="J14" i="64"/>
  <c r="J16" i="64" s="1"/>
  <c r="I14" i="64"/>
  <c r="I16" i="64" s="1"/>
  <c r="I104" i="3"/>
  <c r="J104" i="3" s="1"/>
  <c r="J50" i="65"/>
  <c r="I113" i="3"/>
  <c r="J113" i="3" s="1"/>
  <c r="J59" i="65"/>
  <c r="I114" i="3"/>
  <c r="J114" i="3" s="1"/>
  <c r="J60" i="65"/>
  <c r="I111" i="3"/>
  <c r="J111" i="3" s="1"/>
  <c r="J57" i="65"/>
  <c r="I105" i="3"/>
  <c r="J105" i="3" s="1"/>
  <c r="J51" i="65"/>
  <c r="I108" i="3"/>
  <c r="J108" i="3" s="1"/>
  <c r="J54" i="65"/>
  <c r="I106" i="3"/>
  <c r="J106" i="3" s="1"/>
  <c r="J52" i="65"/>
  <c r="I13" i="67"/>
  <c r="I15" i="67" s="1"/>
  <c r="H13" i="67"/>
  <c r="H15" i="67" s="1"/>
  <c r="I34" i="66"/>
  <c r="G46" i="66"/>
  <c r="L51" i="67"/>
  <c r="K63" i="67"/>
  <c r="L46" i="67"/>
  <c r="I11" i="66"/>
  <c r="L36" i="67"/>
  <c r="L37" i="67"/>
  <c r="L38" i="67"/>
  <c r="L39" i="67"/>
  <c r="I13" i="66"/>
  <c r="I14" i="66"/>
  <c r="I12" i="66"/>
  <c r="I19" i="66"/>
  <c r="I20" i="66"/>
  <c r="K47" i="67"/>
  <c r="L35" i="67"/>
  <c r="L23" i="67"/>
  <c r="L20" i="67"/>
  <c r="L21" i="67"/>
  <c r="I6" i="66"/>
  <c r="L22" i="67"/>
  <c r="I7" i="66"/>
  <c r="L25" i="67"/>
  <c r="L29" i="67"/>
  <c r="L27" i="67"/>
  <c r="L30" i="67"/>
  <c r="L28" i="67"/>
  <c r="L26" i="67"/>
  <c r="L24" i="67"/>
  <c r="I9" i="66"/>
  <c r="K31" i="67"/>
  <c r="L19" i="67"/>
  <c r="I10" i="66"/>
  <c r="I8" i="66"/>
  <c r="I4" i="65"/>
  <c r="I19" i="65"/>
  <c r="I34" i="65"/>
  <c r="I5" i="66"/>
  <c r="G16" i="66"/>
  <c r="L32" i="64"/>
  <c r="M32" i="64" s="1"/>
  <c r="M20" i="64"/>
  <c r="L48" i="64"/>
  <c r="M48" i="64" s="1"/>
  <c r="M36" i="64"/>
  <c r="L64" i="64"/>
  <c r="M52" i="64"/>
  <c r="AB16" i="71" l="1"/>
  <c r="L63" i="67"/>
  <c r="T32" i="71"/>
  <c r="AB21" i="71"/>
  <c r="AB23" i="71"/>
  <c r="AB29" i="71"/>
  <c r="M64" i="64"/>
  <c r="U32" i="71"/>
  <c r="AC32" i="71" s="1"/>
  <c r="AB24" i="71"/>
  <c r="AB22" i="71"/>
  <c r="AB31" i="71"/>
  <c r="AB28" i="71"/>
  <c r="U16" i="71"/>
  <c r="AC16" i="71" s="1"/>
  <c r="AB30" i="71"/>
  <c r="AB27" i="71"/>
  <c r="M80" i="64"/>
  <c r="U48" i="71"/>
  <c r="AC15" i="71"/>
  <c r="AB26" i="71"/>
  <c r="I103" i="3"/>
  <c r="I61" i="65"/>
  <c r="J61" i="65" s="1"/>
  <c r="J49" i="65"/>
  <c r="G49" i="66"/>
  <c r="H14" i="67" s="1"/>
  <c r="H46" i="66"/>
  <c r="I46" i="66" s="1"/>
  <c r="K13" i="67"/>
  <c r="L47" i="67"/>
  <c r="L31" i="67"/>
  <c r="H31" i="66"/>
  <c r="I31" i="66" s="1"/>
  <c r="I15" i="66"/>
  <c r="I4" i="66"/>
  <c r="AC48" i="71" l="1"/>
  <c r="Y48" i="71"/>
  <c r="AB32" i="71"/>
  <c r="I115" i="3"/>
  <c r="J115" i="3" s="1"/>
  <c r="J103" i="3"/>
  <c r="H16" i="66"/>
  <c r="H49" i="66" s="1"/>
  <c r="I14" i="67" l="1"/>
  <c r="J13" i="67" s="1"/>
  <c r="I16" i="66"/>
  <c r="I49" i="66"/>
  <c r="J14" i="67" l="1"/>
  <c r="H45" i="60" l="1" a="1"/>
  <c r="H45" i="60" s="1"/>
  <c r="J45" i="60" s="1"/>
  <c r="AU51" i="17" l="1"/>
  <c r="AT51" i="17"/>
  <c r="AR49" i="17" s="1"/>
  <c r="AV53" i="17" s="1"/>
  <c r="AR51" i="17"/>
  <c r="AS8" i="17"/>
  <c r="AT8" i="17"/>
  <c r="AU8" i="17"/>
  <c r="AU7" i="17"/>
  <c r="AU9" i="17"/>
  <c r="AU5" i="17"/>
  <c r="AT9" i="17"/>
  <c r="AT5" i="17"/>
  <c r="AS7" i="17"/>
  <c r="AS9" i="17"/>
  <c r="AS5" i="17"/>
  <c r="F44" i="44"/>
  <c r="F65" i="3" s="1"/>
  <c r="E44" i="44"/>
  <c r="E65" i="3" s="1"/>
  <c r="D44" i="44"/>
  <c r="D65" i="3" s="1"/>
  <c r="C44" i="44"/>
  <c r="F43" i="44"/>
  <c r="F64" i="3" s="1"/>
  <c r="E43" i="44"/>
  <c r="E64" i="3" s="1"/>
  <c r="D43" i="44"/>
  <c r="D64" i="3" s="1"/>
  <c r="C43" i="44"/>
  <c r="C64" i="3" s="1"/>
  <c r="F42" i="44"/>
  <c r="F63" i="3" s="1"/>
  <c r="E42" i="44"/>
  <c r="E63" i="3" s="1"/>
  <c r="D42" i="44"/>
  <c r="D63" i="3" s="1"/>
  <c r="C42" i="44"/>
  <c r="G43" i="44" l="1"/>
  <c r="G44" i="44"/>
  <c r="G42" i="44"/>
  <c r="G64" i="3"/>
  <c r="C63" i="3"/>
  <c r="C65" i="3"/>
  <c r="G65" i="3" s="1"/>
  <c r="I55" i="17"/>
  <c r="L60" i="17"/>
  <c r="J58" i="17"/>
  <c r="K60" i="17"/>
  <c r="L57" i="17"/>
  <c r="J60" i="17"/>
  <c r="K57" i="17"/>
  <c r="L59" i="17"/>
  <c r="J57" i="17"/>
  <c r="K59" i="17"/>
  <c r="J59" i="17"/>
  <c r="K58" i="17"/>
  <c r="L58" i="17"/>
  <c r="AT53" i="17"/>
  <c r="AU53" i="17"/>
  <c r="AR53" i="17"/>
  <c r="AW51" i="17"/>
  <c r="AV51" i="17"/>
  <c r="AR47" i="17"/>
  <c r="AU47" i="17"/>
  <c r="AT47" i="17"/>
  <c r="AV8" i="17"/>
  <c r="AW45" i="17"/>
  <c r="AW8" i="17"/>
  <c r="AW5" i="17"/>
  <c r="AV7" i="17"/>
  <c r="AV9" i="17"/>
  <c r="AV6" i="17"/>
  <c r="AW7" i="17"/>
  <c r="AV5" i="17"/>
  <c r="AW6" i="17"/>
  <c r="AW9" i="17"/>
  <c r="AV45" i="17"/>
  <c r="AU10" i="17"/>
  <c r="AT10" i="17"/>
  <c r="AS10" i="17"/>
  <c r="H15" i="60" a="1"/>
  <c r="H15" i="60" s="1"/>
  <c r="J15" i="60" s="1"/>
  <c r="B9" i="60"/>
  <c r="C19" i="56" l="1"/>
  <c r="E19" i="56"/>
  <c r="AW47" i="17"/>
  <c r="AV47" i="17"/>
  <c r="AW10" i="17"/>
  <c r="AV10" i="17"/>
  <c r="F11" i="60" a="1"/>
  <c r="F11" i="60" s="1"/>
  <c r="F12" i="60" a="1"/>
  <c r="F12" i="60" s="1"/>
  <c r="F13" i="60" a="1"/>
  <c r="F13" i="60" s="1"/>
  <c r="E44" i="56" s="1"/>
  <c r="F14" i="60" a="1"/>
  <c r="F14" i="60" s="1"/>
  <c r="F15" i="60" a="1"/>
  <c r="F15" i="60" s="1"/>
  <c r="F16" i="60" a="1"/>
  <c r="F16" i="60" s="1"/>
  <c r="F17" i="60" a="1"/>
  <c r="F17" i="60" s="1"/>
  <c r="F18" i="60" a="1"/>
  <c r="F18" i="60" s="1"/>
  <c r="F19" i="60" a="1"/>
  <c r="F19" i="60" s="1"/>
  <c r="F20" i="60" a="1"/>
  <c r="F20" i="60" s="1"/>
  <c r="F21" i="60" a="1"/>
  <c r="F21" i="60" s="1"/>
  <c r="F22" i="60" a="1"/>
  <c r="F22" i="60" s="1"/>
  <c r="F23" i="60" a="1"/>
  <c r="F23" i="60" s="1"/>
  <c r="F24" i="60" a="1"/>
  <c r="F24" i="60" s="1"/>
  <c r="F25" i="60" a="1"/>
  <c r="F25" i="60" s="1"/>
  <c r="F26" i="60" a="1"/>
  <c r="F26" i="60" s="1"/>
  <c r="F27" i="60" a="1"/>
  <c r="F27" i="60" s="1"/>
  <c r="F28" i="60" a="1"/>
  <c r="F28" i="60" s="1"/>
  <c r="F29" i="60" a="1"/>
  <c r="F29" i="60" s="1"/>
  <c r="F30" i="60" a="1"/>
  <c r="F30" i="60" s="1"/>
  <c r="F31" i="60" a="1"/>
  <c r="F31" i="60" s="1"/>
  <c r="F32" i="60" a="1"/>
  <c r="F32" i="60" s="1"/>
  <c r="F33" i="60" a="1"/>
  <c r="F33" i="60" s="1"/>
  <c r="F34" i="60" a="1"/>
  <c r="F34" i="60" s="1"/>
  <c r="F35" i="60" a="1"/>
  <c r="F35" i="60" s="1"/>
  <c r="F36" i="60" a="1"/>
  <c r="F36" i="60" s="1"/>
  <c r="F37" i="60" a="1"/>
  <c r="F37" i="60" s="1"/>
  <c r="F38" i="60" a="1"/>
  <c r="F38" i="60" s="1"/>
  <c r="F39" i="60" a="1"/>
  <c r="F39" i="60" s="1"/>
  <c r="F40" i="60" a="1"/>
  <c r="F40" i="60" s="1"/>
  <c r="F41" i="60" a="1"/>
  <c r="F41" i="60" s="1"/>
  <c r="F42" i="60" a="1"/>
  <c r="F42" i="60" s="1"/>
  <c r="F43" i="60" a="1"/>
  <c r="F43" i="60" s="1"/>
  <c r="F45" i="60" a="1"/>
  <c r="F45" i="60" s="1"/>
  <c r="F46" i="60" a="1"/>
  <c r="F46" i="60" s="1"/>
  <c r="F47" i="60" a="1"/>
  <c r="F47" i="60" s="1"/>
  <c r="F48" i="60" a="1"/>
  <c r="F48" i="60" s="1"/>
  <c r="F49" i="60" a="1"/>
  <c r="F49" i="60" s="1"/>
  <c r="F50" i="60" a="1"/>
  <c r="F50" i="60" s="1"/>
  <c r="F51" i="60" a="1"/>
  <c r="F51" i="60" s="1"/>
  <c r="F52" i="60" a="1"/>
  <c r="F52" i="60" s="1"/>
  <c r="F53" i="60" a="1"/>
  <c r="F53" i="60" s="1"/>
  <c r="F54" i="60" a="1"/>
  <c r="F54" i="60" s="1"/>
  <c r="F55" i="60" a="1"/>
  <c r="F55" i="60" s="1"/>
  <c r="F56" i="60" a="1"/>
  <c r="F56" i="60" s="1"/>
  <c r="F57" i="60" a="1"/>
  <c r="F57" i="60" s="1"/>
  <c r="F58" i="60" a="1"/>
  <c r="F58" i="60" s="1"/>
  <c r="F59" i="60" a="1"/>
  <c r="F59" i="60" s="1"/>
  <c r="F60" i="60" a="1"/>
  <c r="F60" i="60" s="1"/>
  <c r="F61" i="60" a="1"/>
  <c r="F61" i="60" s="1"/>
  <c r="F62" i="60" a="1"/>
  <c r="F62" i="60" s="1"/>
  <c r="F63" i="60" a="1"/>
  <c r="F63" i="60" s="1"/>
  <c r="F64" i="60" a="1"/>
  <c r="F64" i="60" s="1"/>
  <c r="F65" i="60" a="1"/>
  <c r="F65" i="60" s="1"/>
  <c r="F66" i="60" a="1"/>
  <c r="F66" i="60" s="1"/>
  <c r="F67" i="60" a="1"/>
  <c r="F67" i="60" s="1"/>
  <c r="F68" i="60" a="1"/>
  <c r="F68" i="60" s="1"/>
  <c r="E11" i="60" a="1"/>
  <c r="E11" i="60" s="1"/>
  <c r="E12" i="60" a="1"/>
  <c r="E12" i="60" s="1"/>
  <c r="E13" i="60" a="1"/>
  <c r="E13" i="60" s="1"/>
  <c r="E14" i="60" a="1"/>
  <c r="E14" i="60" s="1"/>
  <c r="E15" i="60" a="1"/>
  <c r="E15" i="60" s="1"/>
  <c r="E16" i="60" a="1"/>
  <c r="E16" i="60" s="1"/>
  <c r="E17" i="60" a="1"/>
  <c r="E17" i="60" s="1"/>
  <c r="E18" i="60" a="1"/>
  <c r="E18" i="60" s="1"/>
  <c r="E19" i="60" a="1"/>
  <c r="E19" i="60" s="1"/>
  <c r="E20" i="60" a="1"/>
  <c r="E20" i="60" s="1"/>
  <c r="E21" i="60" a="1"/>
  <c r="E21" i="60" s="1"/>
  <c r="E22" i="60" a="1"/>
  <c r="E22" i="60" s="1"/>
  <c r="E23" i="60" a="1"/>
  <c r="E23" i="60" s="1"/>
  <c r="E24" i="60" a="1"/>
  <c r="E24" i="60" s="1"/>
  <c r="E25" i="60" a="1"/>
  <c r="E25" i="60" s="1"/>
  <c r="E26" i="60" a="1"/>
  <c r="E26" i="60" s="1"/>
  <c r="E27" i="60" a="1"/>
  <c r="E27" i="60" s="1"/>
  <c r="E28" i="60" a="1"/>
  <c r="E28" i="60" s="1"/>
  <c r="E29" i="60" a="1"/>
  <c r="E29" i="60" s="1"/>
  <c r="E30" i="60" a="1"/>
  <c r="E30" i="60" s="1"/>
  <c r="E31" i="60" a="1"/>
  <c r="E31" i="60" s="1"/>
  <c r="E32" i="60" a="1"/>
  <c r="E32" i="60" s="1"/>
  <c r="E33" i="60" a="1"/>
  <c r="E33" i="60" s="1"/>
  <c r="E34" i="60" a="1"/>
  <c r="E34" i="60" s="1"/>
  <c r="E35" i="60" a="1"/>
  <c r="E35" i="60" s="1"/>
  <c r="E36" i="60" a="1"/>
  <c r="E36" i="60" s="1"/>
  <c r="E37" i="60" a="1"/>
  <c r="E37" i="60" s="1"/>
  <c r="E38" i="60" a="1"/>
  <c r="E38" i="60" s="1"/>
  <c r="E39" i="60" a="1"/>
  <c r="E39" i="60" s="1"/>
  <c r="E40" i="60" a="1"/>
  <c r="E40" i="60" s="1"/>
  <c r="E41" i="60" a="1"/>
  <c r="E41" i="60" s="1"/>
  <c r="E42" i="60" a="1"/>
  <c r="E42" i="60" s="1"/>
  <c r="E43" i="60" a="1"/>
  <c r="E43" i="60" s="1"/>
  <c r="E45" i="60" a="1"/>
  <c r="E45" i="60" s="1"/>
  <c r="E46" i="60" a="1"/>
  <c r="E46" i="60" s="1"/>
  <c r="E47" i="60" a="1"/>
  <c r="E47" i="60" s="1"/>
  <c r="E48" i="60" a="1"/>
  <c r="E48" i="60" s="1"/>
  <c r="E49" i="60" a="1"/>
  <c r="E49" i="60" s="1"/>
  <c r="E50" i="60" a="1"/>
  <c r="E50" i="60" s="1"/>
  <c r="E51" i="60" a="1"/>
  <c r="E51" i="60" s="1"/>
  <c r="E52" i="60" a="1"/>
  <c r="E52" i="60" s="1"/>
  <c r="E53" i="60" a="1"/>
  <c r="E53" i="60" s="1"/>
  <c r="E54" i="60" a="1"/>
  <c r="E54" i="60" s="1"/>
  <c r="E55" i="60" a="1"/>
  <c r="E55" i="60" s="1"/>
  <c r="E56" i="60" a="1"/>
  <c r="E56" i="60" s="1"/>
  <c r="E57" i="60" a="1"/>
  <c r="E57" i="60" s="1"/>
  <c r="E58" i="60" a="1"/>
  <c r="E58" i="60" s="1"/>
  <c r="E59" i="60" a="1"/>
  <c r="E59" i="60" s="1"/>
  <c r="E60" i="60" a="1"/>
  <c r="E60" i="60" s="1"/>
  <c r="E61" i="60" a="1"/>
  <c r="E61" i="60" s="1"/>
  <c r="E62" i="60" a="1"/>
  <c r="E62" i="60" s="1"/>
  <c r="E63" i="60" a="1"/>
  <c r="E63" i="60" s="1"/>
  <c r="E64" i="60" a="1"/>
  <c r="E64" i="60" s="1"/>
  <c r="E65" i="60" a="1"/>
  <c r="E65" i="60" s="1"/>
  <c r="E66" i="60" a="1"/>
  <c r="E66" i="60" s="1"/>
  <c r="E67" i="60" a="1"/>
  <c r="E67" i="60" s="1"/>
  <c r="E68" i="60" a="1"/>
  <c r="E68" i="60" s="1"/>
  <c r="D11" i="60" a="1"/>
  <c r="D11" i="60" s="1"/>
  <c r="D12" i="60" a="1"/>
  <c r="D12" i="60" s="1"/>
  <c r="D13" i="60" a="1"/>
  <c r="D13" i="60" s="1"/>
  <c r="D14" i="60" a="1"/>
  <c r="D14" i="60" s="1"/>
  <c r="D15" i="60" a="1"/>
  <c r="D15" i="60" s="1"/>
  <c r="D16" i="60" a="1"/>
  <c r="D16" i="60" s="1"/>
  <c r="D17" i="60" a="1"/>
  <c r="D17" i="60" s="1"/>
  <c r="D18" i="60" a="1"/>
  <c r="D18" i="60" s="1"/>
  <c r="D19" i="60" a="1"/>
  <c r="D19" i="60" s="1"/>
  <c r="D20" i="60" a="1"/>
  <c r="D20" i="60" s="1"/>
  <c r="D21" i="60" a="1"/>
  <c r="D21" i="60" s="1"/>
  <c r="D22" i="60" a="1"/>
  <c r="D22" i="60" s="1"/>
  <c r="D23" i="60" a="1"/>
  <c r="D23" i="60" s="1"/>
  <c r="D24" i="60" a="1"/>
  <c r="D24" i="60" s="1"/>
  <c r="D25" i="60" a="1"/>
  <c r="D25" i="60" s="1"/>
  <c r="D26" i="60" a="1"/>
  <c r="D26" i="60" s="1"/>
  <c r="D27" i="60" a="1"/>
  <c r="D27" i="60" s="1"/>
  <c r="D28" i="60" a="1"/>
  <c r="D28" i="60" s="1"/>
  <c r="D29" i="60" a="1"/>
  <c r="D29" i="60" s="1"/>
  <c r="D30" i="60" a="1"/>
  <c r="D30" i="60" s="1"/>
  <c r="D31" i="60" a="1"/>
  <c r="D31" i="60" s="1"/>
  <c r="D32" i="60" a="1"/>
  <c r="D32" i="60" s="1"/>
  <c r="D33" i="60" a="1"/>
  <c r="D33" i="60" s="1"/>
  <c r="D34" i="60" a="1"/>
  <c r="D34" i="60" s="1"/>
  <c r="D35" i="60" a="1"/>
  <c r="D35" i="60" s="1"/>
  <c r="D36" i="60" a="1"/>
  <c r="D36" i="60" s="1"/>
  <c r="D37" i="60" a="1"/>
  <c r="D37" i="60" s="1"/>
  <c r="D38" i="60" a="1"/>
  <c r="D38" i="60" s="1"/>
  <c r="D39" i="60" a="1"/>
  <c r="D39" i="60" s="1"/>
  <c r="D40" i="60" a="1"/>
  <c r="D40" i="60" s="1"/>
  <c r="D41" i="60" a="1"/>
  <c r="D41" i="60" s="1"/>
  <c r="D42" i="60" a="1"/>
  <c r="D42" i="60" s="1"/>
  <c r="D43" i="60" a="1"/>
  <c r="D43" i="60" s="1"/>
  <c r="D45" i="60" a="1"/>
  <c r="D45" i="60" s="1"/>
  <c r="D46" i="60" a="1"/>
  <c r="D46" i="60" s="1"/>
  <c r="D47" i="60" a="1"/>
  <c r="D47" i="60" s="1"/>
  <c r="D48" i="60" a="1"/>
  <c r="D48" i="60" s="1"/>
  <c r="D49" i="60" a="1"/>
  <c r="D49" i="60" s="1"/>
  <c r="D50" i="60" a="1"/>
  <c r="D50" i="60" s="1"/>
  <c r="D51" i="60" a="1"/>
  <c r="D51" i="60" s="1"/>
  <c r="D52" i="60" a="1"/>
  <c r="D52" i="60" s="1"/>
  <c r="D53" i="60" a="1"/>
  <c r="D53" i="60" s="1"/>
  <c r="D54" i="60" a="1"/>
  <c r="D54" i="60" s="1"/>
  <c r="D55" i="60" a="1"/>
  <c r="D55" i="60" s="1"/>
  <c r="D56" i="60" a="1"/>
  <c r="D56" i="60" s="1"/>
  <c r="D57" i="60" a="1"/>
  <c r="D57" i="60" s="1"/>
  <c r="D58" i="60" a="1"/>
  <c r="D58" i="60" s="1"/>
  <c r="D59" i="60" a="1"/>
  <c r="D59" i="60" s="1"/>
  <c r="D60" i="60" a="1"/>
  <c r="D60" i="60" s="1"/>
  <c r="D61" i="60" a="1"/>
  <c r="D61" i="60" s="1"/>
  <c r="D62" i="60" a="1"/>
  <c r="D62" i="60" s="1"/>
  <c r="D63" i="60" a="1"/>
  <c r="D63" i="60" s="1"/>
  <c r="D64" i="60" a="1"/>
  <c r="D64" i="60" s="1"/>
  <c r="D65" i="60" a="1"/>
  <c r="D65" i="60" s="1"/>
  <c r="D66" i="60" a="1"/>
  <c r="D66" i="60" s="1"/>
  <c r="D67" i="60" a="1"/>
  <c r="D67" i="60" s="1"/>
  <c r="D68" i="60" a="1"/>
  <c r="D68" i="60" s="1"/>
  <c r="H48" i="60" a="1"/>
  <c r="H48" i="60" s="1"/>
  <c r="J48" i="60" s="1"/>
  <c r="D49" i="56" l="1"/>
  <c r="E49" i="56"/>
  <c r="D43" i="56"/>
  <c r="E45" i="56"/>
  <c r="E43" i="56"/>
  <c r="D47" i="56"/>
  <c r="E48" i="56"/>
  <c r="D46" i="56"/>
  <c r="E47" i="56"/>
  <c r="D45" i="56"/>
  <c r="E46" i="56"/>
  <c r="D44" i="56"/>
  <c r="D48" i="56"/>
  <c r="D9" i="60"/>
  <c r="F9" i="60"/>
  <c r="G68" i="60" a="1"/>
  <c r="G68" i="60" s="1"/>
  <c r="G67" i="60" a="1"/>
  <c r="G67" i="60" s="1"/>
  <c r="G66" i="60" a="1"/>
  <c r="G66" i="60" s="1"/>
  <c r="G65" i="60" a="1"/>
  <c r="G65" i="60" s="1"/>
  <c r="G64" i="60" a="1"/>
  <c r="G64" i="60" s="1"/>
  <c r="G63" i="60" a="1"/>
  <c r="G63" i="60" s="1"/>
  <c r="G62" i="60" a="1"/>
  <c r="G62" i="60" s="1"/>
  <c r="G61" i="60" a="1"/>
  <c r="G61" i="60" s="1"/>
  <c r="G60" i="60" a="1"/>
  <c r="G60" i="60" s="1"/>
  <c r="G59" i="60" a="1"/>
  <c r="G59" i="60" s="1"/>
  <c r="G58" i="60" a="1"/>
  <c r="G58" i="60" s="1"/>
  <c r="G57" i="60" a="1"/>
  <c r="G57" i="60" s="1"/>
  <c r="G56" i="60" a="1"/>
  <c r="G56" i="60" s="1"/>
  <c r="G55" i="60" a="1"/>
  <c r="G55" i="60" s="1"/>
  <c r="G54" i="60" a="1"/>
  <c r="G54" i="60" s="1"/>
  <c r="G53" i="60" a="1"/>
  <c r="G53" i="60" s="1"/>
  <c r="G52" i="60" a="1"/>
  <c r="G52" i="60" s="1"/>
  <c r="G51" i="60" a="1"/>
  <c r="G51" i="60" s="1"/>
  <c r="G50" i="60" a="1"/>
  <c r="G50" i="60" s="1"/>
  <c r="G49" i="60" a="1"/>
  <c r="G49" i="60" s="1"/>
  <c r="G48" i="60" a="1"/>
  <c r="G48" i="60" s="1"/>
  <c r="G47" i="60" a="1"/>
  <c r="G47" i="60" s="1"/>
  <c r="G46" i="60" a="1"/>
  <c r="G46" i="60" s="1"/>
  <c r="G45" i="60" a="1"/>
  <c r="G45" i="60" s="1"/>
  <c r="G43" i="60" a="1"/>
  <c r="G43" i="60" s="1"/>
  <c r="G42" i="60" a="1"/>
  <c r="G42" i="60" s="1"/>
  <c r="G41" i="60" a="1"/>
  <c r="G41" i="60" s="1"/>
  <c r="G40" i="60" a="1"/>
  <c r="G40" i="60" s="1"/>
  <c r="G39" i="60" a="1"/>
  <c r="G39" i="60" s="1"/>
  <c r="G38" i="60" a="1"/>
  <c r="G38" i="60" s="1"/>
  <c r="G37" i="60" a="1"/>
  <c r="G37" i="60" s="1"/>
  <c r="G36" i="60" a="1"/>
  <c r="G36" i="60" s="1"/>
  <c r="G35" i="60" a="1"/>
  <c r="G35" i="60" s="1"/>
  <c r="G34" i="60" a="1"/>
  <c r="G34" i="60" s="1"/>
  <c r="G33" i="60" a="1"/>
  <c r="G33" i="60" s="1"/>
  <c r="G32" i="60" a="1"/>
  <c r="G32" i="60" s="1"/>
  <c r="G31" i="60" a="1"/>
  <c r="G31" i="60" s="1"/>
  <c r="G30" i="60" a="1"/>
  <c r="G30" i="60" s="1"/>
  <c r="G29" i="60" a="1"/>
  <c r="G29" i="60" s="1"/>
  <c r="G28" i="60" a="1"/>
  <c r="G28" i="60" s="1"/>
  <c r="G27" i="60" a="1"/>
  <c r="G27" i="60" s="1"/>
  <c r="G26" i="60" a="1"/>
  <c r="G26" i="60" s="1"/>
  <c r="G25" i="60" a="1"/>
  <c r="G25" i="60" s="1"/>
  <c r="G24" i="60" a="1"/>
  <c r="G24" i="60" s="1"/>
  <c r="G23" i="60" a="1"/>
  <c r="G23" i="60" s="1"/>
  <c r="G22" i="60" a="1"/>
  <c r="G22" i="60" s="1"/>
  <c r="G21" i="60" a="1"/>
  <c r="G21" i="60" s="1"/>
  <c r="G20" i="60" a="1"/>
  <c r="G20" i="60" s="1"/>
  <c r="G19" i="60" a="1"/>
  <c r="G19" i="60" s="1"/>
  <c r="G18" i="60" a="1"/>
  <c r="G18" i="60" s="1"/>
  <c r="G17" i="60" a="1"/>
  <c r="G17" i="60" s="1"/>
  <c r="G16" i="60" a="1"/>
  <c r="G16" i="60" s="1"/>
  <c r="G15" i="60" a="1"/>
  <c r="G15" i="60" s="1"/>
  <c r="G14" i="60" a="1"/>
  <c r="G14" i="60" s="1"/>
  <c r="G13" i="60" a="1"/>
  <c r="G13" i="60" s="1"/>
  <c r="G12" i="60" a="1"/>
  <c r="G12" i="60" s="1"/>
  <c r="G11" i="60" a="1"/>
  <c r="G11" i="60" s="1"/>
  <c r="H16" i="60" a="1"/>
  <c r="H16" i="60" s="1"/>
  <c r="J16" i="60" s="1"/>
  <c r="H61" i="60" a="1"/>
  <c r="H61" i="60" s="1"/>
  <c r="J61" i="60" s="1"/>
  <c r="F49" i="56" l="1"/>
  <c r="F47" i="56"/>
  <c r="F45" i="56"/>
  <c r="F46" i="56"/>
  <c r="D50" i="56"/>
  <c r="F44" i="56"/>
  <c r="F48" i="56"/>
  <c r="E50" i="56"/>
  <c r="F43" i="56"/>
  <c r="H11" i="60" a="1"/>
  <c r="H11" i="60" s="1"/>
  <c r="J11" i="60" s="1"/>
  <c r="H12" i="60" a="1"/>
  <c r="H12" i="60" s="1"/>
  <c r="J12" i="60" s="1"/>
  <c r="H13" i="60" a="1"/>
  <c r="H13" i="60" s="1"/>
  <c r="J13" i="60" s="1"/>
  <c r="H14" i="60" a="1"/>
  <c r="H14" i="60" s="1"/>
  <c r="J14" i="60" s="1"/>
  <c r="H17" i="60" a="1"/>
  <c r="H17" i="60" s="1"/>
  <c r="J17" i="60" s="1"/>
  <c r="H18" i="60" a="1"/>
  <c r="H18" i="60" s="1"/>
  <c r="J18" i="60" s="1"/>
  <c r="H19" i="60" a="1"/>
  <c r="H19" i="60" s="1"/>
  <c r="J19" i="60" s="1"/>
  <c r="H20" i="60" a="1"/>
  <c r="H20" i="60" s="1"/>
  <c r="J20" i="60" s="1"/>
  <c r="H21" i="60" a="1"/>
  <c r="H21" i="60" s="1"/>
  <c r="J21" i="60" s="1"/>
  <c r="H22" i="60" a="1"/>
  <c r="H22" i="60" s="1"/>
  <c r="J22" i="60" s="1"/>
  <c r="H23" i="60" a="1"/>
  <c r="H23" i="60" s="1"/>
  <c r="J23" i="60" s="1"/>
  <c r="H24" i="60" a="1"/>
  <c r="H24" i="60" s="1"/>
  <c r="J24" i="60" s="1"/>
  <c r="H25" i="60" a="1"/>
  <c r="H25" i="60" s="1"/>
  <c r="J25" i="60" s="1"/>
  <c r="H26" i="60" a="1"/>
  <c r="H26" i="60" s="1"/>
  <c r="J26" i="60" s="1"/>
  <c r="H27" i="60" a="1"/>
  <c r="H27" i="60" s="1"/>
  <c r="J27" i="60" s="1"/>
  <c r="H28" i="60" a="1"/>
  <c r="H28" i="60" s="1"/>
  <c r="J28" i="60" s="1"/>
  <c r="H29" i="60" a="1"/>
  <c r="H29" i="60" s="1"/>
  <c r="J29" i="60" s="1"/>
  <c r="H30" i="60" a="1"/>
  <c r="H30" i="60" s="1"/>
  <c r="J30" i="60" s="1"/>
  <c r="H31" i="60" a="1"/>
  <c r="H31" i="60" s="1"/>
  <c r="J31" i="60" s="1"/>
  <c r="H32" i="60" a="1"/>
  <c r="H32" i="60" s="1"/>
  <c r="J32" i="60" s="1"/>
  <c r="H33" i="60" a="1"/>
  <c r="H33" i="60" s="1"/>
  <c r="J33" i="60" s="1"/>
  <c r="H34" i="60" a="1"/>
  <c r="H34" i="60" s="1"/>
  <c r="J34" i="60" s="1"/>
  <c r="H35" i="60" a="1"/>
  <c r="H35" i="60" s="1"/>
  <c r="J35" i="60" s="1"/>
  <c r="H36" i="60" a="1"/>
  <c r="H36" i="60" s="1"/>
  <c r="J36" i="60" s="1"/>
  <c r="H37" i="60" a="1"/>
  <c r="H37" i="60" s="1"/>
  <c r="J37" i="60" s="1"/>
  <c r="H38" i="60" a="1"/>
  <c r="H38" i="60" s="1"/>
  <c r="J38" i="60" s="1"/>
  <c r="H39" i="60" a="1"/>
  <c r="H39" i="60" s="1"/>
  <c r="J39" i="60" s="1"/>
  <c r="H40" i="60" a="1"/>
  <c r="H40" i="60" s="1"/>
  <c r="J40" i="60" s="1"/>
  <c r="H41" i="60" a="1"/>
  <c r="H41" i="60" s="1"/>
  <c r="J41" i="60" s="1"/>
  <c r="H42" i="60" a="1"/>
  <c r="H42" i="60" s="1"/>
  <c r="J42" i="60" s="1"/>
  <c r="H43" i="60" a="1"/>
  <c r="H43" i="60" s="1"/>
  <c r="J43" i="60" s="1"/>
  <c r="H46" i="60" a="1"/>
  <c r="H46" i="60" s="1"/>
  <c r="J46" i="60" s="1"/>
  <c r="H47" i="60" a="1"/>
  <c r="H47" i="60" s="1"/>
  <c r="J47" i="60" s="1"/>
  <c r="H49" i="60" a="1"/>
  <c r="H49" i="60" s="1"/>
  <c r="J49" i="60" s="1"/>
  <c r="H50" i="60" a="1"/>
  <c r="H50" i="60" s="1"/>
  <c r="J50" i="60" s="1"/>
  <c r="H51" i="60" a="1"/>
  <c r="H51" i="60" s="1"/>
  <c r="J51" i="60" s="1"/>
  <c r="H52" i="60" a="1"/>
  <c r="H52" i="60" s="1"/>
  <c r="J52" i="60" s="1"/>
  <c r="H53" i="60" a="1"/>
  <c r="H53" i="60" s="1"/>
  <c r="J53" i="60" s="1"/>
  <c r="H54" i="60" a="1"/>
  <c r="H54" i="60" s="1"/>
  <c r="J54" i="60" s="1"/>
  <c r="J55" i="60"/>
  <c r="J56" i="60"/>
  <c r="H57" i="60" a="1"/>
  <c r="H57" i="60" s="1"/>
  <c r="J57" i="60" s="1"/>
  <c r="H58" i="60" a="1"/>
  <c r="H58" i="60" s="1"/>
  <c r="J58" i="60" s="1"/>
  <c r="H59" i="60" a="1"/>
  <c r="H59" i="60" s="1"/>
  <c r="J59" i="60" s="1"/>
  <c r="H60" i="60" a="1"/>
  <c r="H60" i="60" s="1"/>
  <c r="J60" i="60" s="1"/>
  <c r="H62" i="60" a="1"/>
  <c r="H62" i="60" s="1"/>
  <c r="J62" i="60" s="1"/>
  <c r="H63" i="60" a="1"/>
  <c r="H63" i="60" s="1"/>
  <c r="J63" i="60" s="1"/>
  <c r="H64" i="60" a="1"/>
  <c r="H64" i="60" s="1"/>
  <c r="J64" i="60" s="1"/>
  <c r="H65" i="60" a="1"/>
  <c r="H65" i="60" s="1"/>
  <c r="J65" i="60" s="1"/>
  <c r="H66" i="60" a="1"/>
  <c r="H66" i="60" s="1"/>
  <c r="J66" i="60" s="1"/>
  <c r="H67" i="60" a="1"/>
  <c r="H67" i="60" s="1"/>
  <c r="J67" i="60" s="1"/>
  <c r="H68" i="60" a="1"/>
  <c r="H68" i="60" s="1"/>
  <c r="J68" i="60" s="1"/>
  <c r="E54" i="56"/>
  <c r="D54" i="56"/>
  <c r="C54" i="56"/>
  <c r="F50" i="56" l="1"/>
  <c r="F54" i="56"/>
  <c r="I5" i="60"/>
  <c r="E5" i="60"/>
  <c r="C5" i="60"/>
  <c r="E4" i="60"/>
  <c r="E3" i="60"/>
  <c r="I4" i="60" s="1"/>
  <c r="D5" i="60" l="1"/>
  <c r="J5" i="60"/>
  <c r="G4" i="60"/>
  <c r="F4" i="60" s="1"/>
  <c r="C4" i="60"/>
  <c r="D4" i="60" l="1"/>
  <c r="J4" i="60"/>
  <c r="H4" i="60"/>
  <c r="E53" i="56" l="1"/>
  <c r="E55" i="56" s="1"/>
  <c r="C53" i="56"/>
  <c r="C55" i="56" s="1"/>
  <c r="D53" i="56"/>
  <c r="D55" i="56" s="1"/>
  <c r="C24" i="56"/>
  <c r="D24" i="56"/>
  <c r="E24" i="56"/>
  <c r="C25" i="56"/>
  <c r="D25" i="56"/>
  <c r="E25" i="56"/>
  <c r="C26" i="56"/>
  <c r="D26" i="56"/>
  <c r="E26" i="56"/>
  <c r="C27" i="56"/>
  <c r="D27" i="56"/>
  <c r="E27" i="56"/>
  <c r="C28" i="56"/>
  <c r="D28" i="56"/>
  <c r="E28" i="56"/>
  <c r="C29" i="56"/>
  <c r="D29" i="56"/>
  <c r="E29" i="56"/>
  <c r="C30" i="56"/>
  <c r="D30" i="56"/>
  <c r="E30" i="56"/>
  <c r="C31" i="56"/>
  <c r="D31" i="56"/>
  <c r="E31" i="56"/>
  <c r="C32" i="56"/>
  <c r="D32" i="56"/>
  <c r="E32" i="56"/>
  <c r="C33" i="56"/>
  <c r="D33" i="56"/>
  <c r="E33" i="56"/>
  <c r="E23" i="56"/>
  <c r="D23" i="56"/>
  <c r="C23" i="56"/>
  <c r="C9" i="56"/>
  <c r="C10" i="56"/>
  <c r="C11" i="56"/>
  <c r="C12" i="56"/>
  <c r="C13" i="56"/>
  <c r="C14" i="56"/>
  <c r="C15" i="56"/>
  <c r="C16" i="56"/>
  <c r="C17" i="56"/>
  <c r="C18" i="56"/>
  <c r="C8" i="56"/>
  <c r="C4" i="56"/>
  <c r="C5" i="56" s="1"/>
  <c r="D19" i="56"/>
  <c r="D8" i="56"/>
  <c r="E8" i="56"/>
  <c r="D9" i="56"/>
  <c r="E9" i="56"/>
  <c r="D10" i="56"/>
  <c r="E10" i="56"/>
  <c r="D11" i="56"/>
  <c r="E11" i="56"/>
  <c r="D12" i="56"/>
  <c r="E12" i="56"/>
  <c r="D14" i="56"/>
  <c r="E14" i="56"/>
  <c r="D15" i="56"/>
  <c r="E15" i="56"/>
  <c r="D16" i="56"/>
  <c r="E16" i="56"/>
  <c r="D17" i="56"/>
  <c r="E17" i="56"/>
  <c r="D18" i="56"/>
  <c r="E18" i="56"/>
  <c r="E13" i="56"/>
  <c r="D13" i="56"/>
  <c r="E4" i="56"/>
  <c r="E5" i="56" s="1"/>
  <c r="D4" i="56"/>
  <c r="D5" i="56" s="1"/>
  <c r="H40" i="3"/>
  <c r="B31" i="44"/>
  <c r="B16" i="44"/>
  <c r="F55" i="56" l="1"/>
  <c r="F5" i="56"/>
  <c r="F32" i="56"/>
  <c r="F24" i="56"/>
  <c r="D35" i="56"/>
  <c r="F33" i="56"/>
  <c r="F53" i="56"/>
  <c r="F31" i="56"/>
  <c r="F29" i="56"/>
  <c r="F34" i="56"/>
  <c r="F25" i="56"/>
  <c r="F26" i="56"/>
  <c r="E35" i="56"/>
  <c r="F23" i="56"/>
  <c r="F28" i="56"/>
  <c r="F30" i="56"/>
  <c r="C35" i="56"/>
  <c r="F27" i="56"/>
  <c r="F14" i="56"/>
  <c r="F17" i="56"/>
  <c r="F15" i="56"/>
  <c r="F16" i="56"/>
  <c r="F19" i="56"/>
  <c r="F13" i="56"/>
  <c r="D20" i="56"/>
  <c r="F18" i="56"/>
  <c r="F12" i="56"/>
  <c r="F11" i="56"/>
  <c r="F10" i="56"/>
  <c r="F9" i="56"/>
  <c r="E20" i="56"/>
  <c r="F8" i="56"/>
  <c r="I38" i="3"/>
  <c r="I39" i="3"/>
  <c r="I40" i="3"/>
  <c r="I41" i="3"/>
  <c r="I37" i="3"/>
  <c r="H38" i="3"/>
  <c r="H39" i="3"/>
  <c r="H41" i="3"/>
  <c r="H37" i="3"/>
  <c r="D38" i="3"/>
  <c r="E38" i="3"/>
  <c r="F38" i="3"/>
  <c r="D39" i="3"/>
  <c r="E39" i="3"/>
  <c r="F39" i="3"/>
  <c r="D40" i="3"/>
  <c r="E40" i="3"/>
  <c r="F40" i="3"/>
  <c r="D41" i="3"/>
  <c r="E41" i="3"/>
  <c r="F41" i="3"/>
  <c r="F37" i="3"/>
  <c r="E37" i="3"/>
  <c r="D37" i="3"/>
  <c r="C37" i="3"/>
  <c r="C38" i="3"/>
  <c r="C39" i="3"/>
  <c r="C40" i="3"/>
  <c r="C41" i="3"/>
  <c r="F35" i="56" l="1"/>
  <c r="F20" i="56"/>
  <c r="I5" i="43" l="1"/>
  <c r="I8" i="43"/>
  <c r="I7" i="43"/>
  <c r="K64" i="51"/>
  <c r="G64" i="51"/>
  <c r="F64" i="51"/>
  <c r="E64" i="51"/>
  <c r="D64" i="51"/>
  <c r="H63" i="51"/>
  <c r="H62" i="51"/>
  <c r="H61" i="51"/>
  <c r="H60" i="51"/>
  <c r="H59" i="51"/>
  <c r="C11" i="71" s="1"/>
  <c r="I11" i="71" s="1"/>
  <c r="C9" i="71"/>
  <c r="K32" i="51"/>
  <c r="H21" i="51"/>
  <c r="H22" i="51"/>
  <c r="H23" i="51"/>
  <c r="H24" i="51"/>
  <c r="H25" i="51"/>
  <c r="H26" i="51"/>
  <c r="H27" i="51"/>
  <c r="C16" i="71" l="1"/>
  <c r="I9" i="71"/>
  <c r="I16" i="71" s="1"/>
  <c r="E14" i="51"/>
  <c r="F14" i="51"/>
  <c r="G14" i="51"/>
  <c r="H64" i="51"/>
  <c r="E8" i="17"/>
  <c r="D8" i="17"/>
  <c r="C8" i="17"/>
  <c r="M52" i="44" s="1"/>
  <c r="E7" i="17"/>
  <c r="D7" i="17"/>
  <c r="C7" i="17"/>
  <c r="M51" i="44" s="1"/>
  <c r="E6" i="17"/>
  <c r="D6" i="17"/>
  <c r="C6" i="17"/>
  <c r="M50" i="44" s="1"/>
  <c r="E5" i="17"/>
  <c r="D5" i="17"/>
  <c r="E40" i="17"/>
  <c r="C40" i="17"/>
  <c r="E39" i="17"/>
  <c r="C39" i="17"/>
  <c r="E38" i="17"/>
  <c r="C38" i="17"/>
  <c r="E37" i="17"/>
  <c r="C37" i="17"/>
  <c r="E16" i="17"/>
  <c r="D16" i="17"/>
  <c r="C16" i="17"/>
  <c r="E15" i="17"/>
  <c r="D15" i="17"/>
  <c r="C15" i="17"/>
  <c r="E14" i="17"/>
  <c r="D14" i="17"/>
  <c r="C14" i="17"/>
  <c r="E13" i="17"/>
  <c r="D13" i="17"/>
  <c r="C13" i="17"/>
  <c r="J30" i="17"/>
  <c r="L30" i="17"/>
  <c r="J31" i="17"/>
  <c r="L31" i="17"/>
  <c r="J32" i="17"/>
  <c r="L32" i="17"/>
  <c r="L29" i="17"/>
  <c r="J29" i="17"/>
  <c r="E32" i="17"/>
  <c r="D32" i="17"/>
  <c r="C32" i="17"/>
  <c r="E31" i="17"/>
  <c r="D31" i="17"/>
  <c r="C31" i="17"/>
  <c r="E30" i="17"/>
  <c r="D30" i="17"/>
  <c r="C30" i="17"/>
  <c r="E29" i="17"/>
  <c r="D29" i="17"/>
  <c r="C29" i="17"/>
  <c r="J22" i="17"/>
  <c r="O35" i="52" s="1"/>
  <c r="L22" i="17"/>
  <c r="J23" i="17"/>
  <c r="O36" i="52" s="1"/>
  <c r="L23" i="17"/>
  <c r="J24" i="17"/>
  <c r="O37" i="52" s="1"/>
  <c r="L24" i="17"/>
  <c r="L21" i="17"/>
  <c r="J21" i="17"/>
  <c r="O34" i="52" s="1"/>
  <c r="L16" i="17"/>
  <c r="L15" i="17"/>
  <c r="L14" i="17"/>
  <c r="L13" i="17"/>
  <c r="J14" i="17"/>
  <c r="J15" i="17"/>
  <c r="J16" i="17"/>
  <c r="J13" i="17"/>
  <c r="O38" i="52" l="1"/>
  <c r="G5" i="51"/>
  <c r="D6" i="51" l="1"/>
  <c r="D7" i="51"/>
  <c r="D8" i="51"/>
  <c r="D9" i="51"/>
  <c r="R2" i="51"/>
  <c r="R3" i="51"/>
  <c r="R4" i="51"/>
  <c r="P2" i="51"/>
  <c r="S3" i="51"/>
  <c r="Q2" i="51"/>
  <c r="P4" i="51"/>
  <c r="S2" i="51"/>
  <c r="Q4" i="51"/>
  <c r="P3" i="51"/>
  <c r="S4" i="51"/>
  <c r="Q3" i="51"/>
  <c r="R6" i="51" l="1"/>
  <c r="R5" i="51"/>
  <c r="Q5" i="51"/>
  <c r="S6" i="51"/>
  <c r="Q6" i="51"/>
  <c r="S5" i="51"/>
  <c r="P6" i="51"/>
  <c r="T4" i="51"/>
  <c r="T3" i="51"/>
  <c r="P5" i="51"/>
  <c r="T2" i="51"/>
  <c r="J12" i="43"/>
  <c r="T5" i="51" l="1"/>
  <c r="T6" i="51"/>
  <c r="C20" i="56"/>
  <c r="B1" i="44" l="1"/>
  <c r="C50" i="44" l="1"/>
  <c r="C51" i="44"/>
  <c r="C52" i="44"/>
  <c r="C53" i="44"/>
  <c r="C54" i="44"/>
  <c r="C55" i="44"/>
  <c r="C56" i="44"/>
  <c r="C57" i="44"/>
  <c r="C58" i="44"/>
  <c r="C59" i="44"/>
  <c r="C60" i="44"/>
  <c r="D50" i="44"/>
  <c r="D51" i="44"/>
  <c r="D52" i="44"/>
  <c r="D53" i="44"/>
  <c r="D54" i="44"/>
  <c r="D55" i="44"/>
  <c r="D56" i="44"/>
  <c r="D57" i="44"/>
  <c r="D58" i="44"/>
  <c r="D59" i="44"/>
  <c r="D60" i="44"/>
  <c r="E50" i="44"/>
  <c r="E51" i="44"/>
  <c r="E52" i="44"/>
  <c r="E53" i="44"/>
  <c r="E54" i="44"/>
  <c r="E55" i="44"/>
  <c r="E56" i="44"/>
  <c r="E57" i="44"/>
  <c r="E58" i="44"/>
  <c r="E59" i="44"/>
  <c r="E60" i="44"/>
  <c r="F50" i="44"/>
  <c r="F51" i="44"/>
  <c r="F52" i="44"/>
  <c r="F53" i="44"/>
  <c r="F54" i="44"/>
  <c r="F55" i="44"/>
  <c r="F56" i="44"/>
  <c r="F57" i="44"/>
  <c r="F58" i="44"/>
  <c r="F59" i="44"/>
  <c r="F60" i="44"/>
  <c r="F49" i="44"/>
  <c r="E49" i="44"/>
  <c r="D49" i="44"/>
  <c r="C49" i="44"/>
  <c r="Q55" i="44"/>
  <c r="Q54" i="44"/>
  <c r="Q52" i="44"/>
  <c r="Q51" i="44"/>
  <c r="Q50" i="44"/>
  <c r="Q49" i="44"/>
  <c r="H30" i="44"/>
  <c r="I30" i="44"/>
  <c r="E30" i="44"/>
  <c r="F30" i="44"/>
  <c r="C30" i="44"/>
  <c r="D30" i="44"/>
  <c r="H24" i="44"/>
  <c r="F40" i="44"/>
  <c r="D39" i="44"/>
  <c r="F36" i="44"/>
  <c r="D35" i="44"/>
  <c r="F29" i="44"/>
  <c r="D28" i="44"/>
  <c r="F25" i="44"/>
  <c r="C24" i="44"/>
  <c r="C38" i="44"/>
  <c r="E35" i="44"/>
  <c r="E40" i="44"/>
  <c r="C39" i="44"/>
  <c r="E36" i="44"/>
  <c r="C35" i="44"/>
  <c r="E29" i="44"/>
  <c r="C28" i="44"/>
  <c r="E25" i="44"/>
  <c r="F41" i="44"/>
  <c r="D40" i="44"/>
  <c r="F37" i="44"/>
  <c r="D36" i="44"/>
  <c r="D29" i="44"/>
  <c r="F26" i="44"/>
  <c r="D25" i="44"/>
  <c r="C27" i="44"/>
  <c r="E41" i="44"/>
  <c r="C40" i="44"/>
  <c r="E37" i="44"/>
  <c r="C36" i="44"/>
  <c r="C29" i="44"/>
  <c r="E26" i="44"/>
  <c r="C25" i="44"/>
  <c r="D41" i="44"/>
  <c r="F38" i="44"/>
  <c r="D37" i="44"/>
  <c r="F34" i="44"/>
  <c r="F27" i="44"/>
  <c r="D26" i="44"/>
  <c r="I24" i="44"/>
  <c r="E39" i="44"/>
  <c r="C34" i="44"/>
  <c r="D24" i="44"/>
  <c r="C41" i="44"/>
  <c r="E38" i="44"/>
  <c r="C37" i="44"/>
  <c r="E34" i="44"/>
  <c r="E27" i="44"/>
  <c r="C26" i="44"/>
  <c r="F24" i="44"/>
  <c r="E28" i="44"/>
  <c r="F39" i="44"/>
  <c r="D38" i="44"/>
  <c r="F35" i="44"/>
  <c r="D34" i="44"/>
  <c r="F28" i="44"/>
  <c r="D27" i="44"/>
  <c r="E24" i="44"/>
  <c r="K5" i="43"/>
  <c r="K6" i="43"/>
  <c r="K7" i="43"/>
  <c r="K8" i="43"/>
  <c r="P52" i="44" l="1"/>
  <c r="P51" i="44"/>
  <c r="P50" i="44"/>
  <c r="P49" i="44"/>
  <c r="G57" i="44"/>
  <c r="G56" i="44"/>
  <c r="G55" i="44"/>
  <c r="G54" i="44"/>
  <c r="G53" i="44"/>
  <c r="G60" i="44"/>
  <c r="G52" i="44"/>
  <c r="G59" i="44"/>
  <c r="G51" i="44"/>
  <c r="G58" i="44"/>
  <c r="G50" i="44"/>
  <c r="D61" i="44"/>
  <c r="E61" i="44"/>
  <c r="F61" i="44"/>
  <c r="G49" i="44"/>
  <c r="C61" i="44"/>
  <c r="Q56" i="44"/>
  <c r="Q53" i="44"/>
  <c r="E2" i="17"/>
  <c r="AN62" i="17" l="1"/>
  <c r="AM62" i="17"/>
  <c r="AL62" i="17"/>
  <c r="Z62" i="17"/>
  <c r="Z64" i="17" s="1"/>
  <c r="AG62" i="17"/>
  <c r="AF62" i="17"/>
  <c r="AE62" i="17"/>
  <c r="Y62" i="17"/>
  <c r="Y64" i="17" s="1"/>
  <c r="X62" i="17"/>
  <c r="S62" i="17"/>
  <c r="S64" i="17" s="1"/>
  <c r="R62" i="17" a="1"/>
  <c r="R62" i="17" s="1"/>
  <c r="R64" i="17" s="1"/>
  <c r="Q62" i="17"/>
  <c r="C62" i="17"/>
  <c r="G61" i="44"/>
  <c r="B55" i="17"/>
  <c r="E60" i="17"/>
  <c r="AU60" i="17" s="1"/>
  <c r="C58" i="17"/>
  <c r="AS58" i="17" s="1"/>
  <c r="D60" i="17"/>
  <c r="AT60" i="17" s="1"/>
  <c r="E57" i="17"/>
  <c r="AU57" i="17" s="1"/>
  <c r="C60" i="17"/>
  <c r="AS60" i="17" s="1"/>
  <c r="D57" i="17"/>
  <c r="AT57" i="17" s="1"/>
  <c r="E59" i="17"/>
  <c r="AU59" i="17" s="1"/>
  <c r="C57" i="17"/>
  <c r="AS57" i="17" s="1"/>
  <c r="D58" i="17"/>
  <c r="AT58" i="17" s="1"/>
  <c r="D59" i="17"/>
  <c r="AT59" i="17" s="1"/>
  <c r="C59" i="17"/>
  <c r="AS59" i="17" s="1"/>
  <c r="E58" i="17"/>
  <c r="AU58" i="17" s="1"/>
  <c r="E22" i="17"/>
  <c r="E23" i="17"/>
  <c r="E24" i="17"/>
  <c r="E21" i="17"/>
  <c r="D22" i="17"/>
  <c r="D23" i="17"/>
  <c r="D24" i="17"/>
  <c r="D21" i="17"/>
  <c r="C22" i="17"/>
  <c r="N50" i="44" s="1"/>
  <c r="O50" i="44" s="1"/>
  <c r="C23" i="17"/>
  <c r="N51" i="44" s="1"/>
  <c r="O51" i="44" s="1"/>
  <c r="C24" i="17"/>
  <c r="N52" i="44" s="1"/>
  <c r="O52" i="44" s="1"/>
  <c r="C21" i="17"/>
  <c r="N49" i="44" s="1"/>
  <c r="AL64" i="17" l="1"/>
  <c r="AL63" i="17"/>
  <c r="AM64" i="17"/>
  <c r="AM63" i="17"/>
  <c r="AP62" i="17"/>
  <c r="AP63" i="17" s="1"/>
  <c r="AO62" i="17"/>
  <c r="AO63" i="17" s="1"/>
  <c r="AN64" i="17"/>
  <c r="AN63" i="17"/>
  <c r="AE64" i="17"/>
  <c r="AE63" i="17"/>
  <c r="AF64" i="17"/>
  <c r="AF63" i="17"/>
  <c r="AI62" i="17"/>
  <c r="AI63" i="17" s="1"/>
  <c r="AH62" i="17"/>
  <c r="AH63" i="17" s="1"/>
  <c r="AG64" i="17"/>
  <c r="AG63" i="17"/>
  <c r="AV60" i="17"/>
  <c r="AV59" i="17"/>
  <c r="Q63" i="17"/>
  <c r="Q64" i="17"/>
  <c r="X63" i="17"/>
  <c r="X64" i="17"/>
  <c r="AW59" i="17"/>
  <c r="AV58" i="17"/>
  <c r="AW58" i="17"/>
  <c r="AV57" i="17"/>
  <c r="AW57" i="17"/>
  <c r="AW60" i="17"/>
  <c r="N53" i="44"/>
  <c r="D30" i="43" l="1"/>
  <c r="K62" i="43" l="1"/>
  <c r="E62" i="43"/>
  <c r="E13" i="43" s="1"/>
  <c r="F62" i="43"/>
  <c r="F13" i="43" s="1"/>
  <c r="G62" i="43"/>
  <c r="D62" i="43"/>
  <c r="H62" i="43" l="1"/>
  <c r="H13" i="43" s="1"/>
  <c r="L51" i="17"/>
  <c r="K51" i="17"/>
  <c r="I51" i="17"/>
  <c r="L40" i="17"/>
  <c r="L39" i="17"/>
  <c r="L38" i="17"/>
  <c r="L37" i="17"/>
  <c r="L8" i="17"/>
  <c r="J8" i="17"/>
  <c r="N37" i="52" s="1"/>
  <c r="P37" i="52" s="1"/>
  <c r="L7" i="17"/>
  <c r="J7" i="17"/>
  <c r="N36" i="52" s="1"/>
  <c r="P36" i="52" s="1"/>
  <c r="L6" i="17"/>
  <c r="J6" i="17"/>
  <c r="N35" i="52" s="1"/>
  <c r="P35" i="52" s="1"/>
  <c r="L5" i="17"/>
  <c r="J5" i="17"/>
  <c r="N34" i="52" s="1"/>
  <c r="P34" i="52" s="1"/>
  <c r="P38" i="52" l="1"/>
  <c r="N38" i="52"/>
  <c r="L41" i="17"/>
  <c r="L47" i="17" s="1"/>
  <c r="N39" i="17"/>
  <c r="M45" i="17"/>
  <c r="N40" i="17"/>
  <c r="I53" i="17"/>
  <c r="K53" i="17"/>
  <c r="L53" i="17"/>
  <c r="I49" i="17"/>
  <c r="M53" i="17" s="1"/>
  <c r="N45" i="17"/>
  <c r="M51" i="17"/>
  <c r="N51" i="17"/>
  <c r="M16" i="17"/>
  <c r="K9" i="17"/>
  <c r="J25" i="17"/>
  <c r="J33" i="17"/>
  <c r="N31" i="17"/>
  <c r="N22" i="17"/>
  <c r="K17" i="17"/>
  <c r="N15" i="17"/>
  <c r="M6" i="17"/>
  <c r="N7" i="17"/>
  <c r="K33" i="17"/>
  <c r="M14" i="17"/>
  <c r="M30" i="17"/>
  <c r="N32" i="17"/>
  <c r="L25" i="17"/>
  <c r="N38" i="17"/>
  <c r="K25" i="17"/>
  <c r="J41" i="17"/>
  <c r="K41" i="17"/>
  <c r="K47" i="17" s="1"/>
  <c r="J17" i="17"/>
  <c r="M13" i="17"/>
  <c r="N8" i="17"/>
  <c r="L9" i="17"/>
  <c r="L33" i="17"/>
  <c r="N24" i="17"/>
  <c r="N14" i="17"/>
  <c r="N23" i="17"/>
  <c r="M40" i="17"/>
  <c r="M38" i="17"/>
  <c r="M39" i="17"/>
  <c r="M37" i="17"/>
  <c r="N37" i="17"/>
  <c r="M24" i="17"/>
  <c r="N13" i="17"/>
  <c r="M21" i="17"/>
  <c r="M32" i="17"/>
  <c r="N30" i="17"/>
  <c r="M15" i="17"/>
  <c r="N21" i="17"/>
  <c r="M29" i="17"/>
  <c r="N16" i="17"/>
  <c r="L17" i="17"/>
  <c r="M23" i="17"/>
  <c r="N29" i="17"/>
  <c r="M31" i="17"/>
  <c r="M22" i="17"/>
  <c r="J9" i="17"/>
  <c r="M8" i="17"/>
  <c r="N6" i="17"/>
  <c r="M7" i="17"/>
  <c r="M5" i="17"/>
  <c r="N5" i="17"/>
  <c r="D13" i="41"/>
  <c r="I47" i="17" l="1"/>
  <c r="N25" i="17"/>
  <c r="N9" i="17"/>
  <c r="N41" i="17"/>
  <c r="N47" i="17"/>
  <c r="M33" i="17"/>
  <c r="N33" i="17"/>
  <c r="M9" i="17"/>
  <c r="M41" i="17"/>
  <c r="M25" i="17"/>
  <c r="N17" i="17"/>
  <c r="M17" i="17"/>
  <c r="M47" i="17" l="1"/>
  <c r="J13" i="51" l="1"/>
  <c r="G9" i="51"/>
  <c r="G8" i="51"/>
  <c r="G7" i="51"/>
  <c r="G6" i="51"/>
  <c r="D65" i="51" l="1"/>
  <c r="D81" i="51"/>
  <c r="E65" i="51"/>
  <c r="E81" i="51"/>
  <c r="F65" i="51"/>
  <c r="F81" i="51"/>
  <c r="G65" i="51"/>
  <c r="G81" i="51"/>
  <c r="E15" i="52"/>
  <c r="F15" i="52"/>
  <c r="C15" i="52"/>
  <c r="D15" i="52"/>
  <c r="H15" i="52"/>
  <c r="I15" i="52"/>
  <c r="F44" i="52"/>
  <c r="F81" i="3" s="1"/>
  <c r="D43" i="52"/>
  <c r="D80" i="3" s="1"/>
  <c r="F40" i="52"/>
  <c r="F77" i="3" s="1"/>
  <c r="D39" i="52"/>
  <c r="D76" i="3" s="1"/>
  <c r="F36" i="52"/>
  <c r="F73" i="3" s="1"/>
  <c r="D35" i="52"/>
  <c r="D72" i="3" s="1"/>
  <c r="F61" i="3"/>
  <c r="D60" i="3"/>
  <c r="F21" i="52"/>
  <c r="D20" i="52"/>
  <c r="F14" i="52"/>
  <c r="D13" i="52"/>
  <c r="F10" i="52"/>
  <c r="D9" i="52"/>
  <c r="I7" i="52"/>
  <c r="F6" i="52"/>
  <c r="D5" i="52"/>
  <c r="E44" i="52"/>
  <c r="E81" i="3" s="1"/>
  <c r="C43" i="52"/>
  <c r="C80" i="3" s="1"/>
  <c r="E40" i="52"/>
  <c r="E77" i="3" s="1"/>
  <c r="C39" i="52"/>
  <c r="C76" i="3" s="1"/>
  <c r="E36" i="52"/>
  <c r="E73" i="3" s="1"/>
  <c r="C35" i="52"/>
  <c r="C72" i="3" s="1"/>
  <c r="E61" i="3"/>
  <c r="C60" i="3"/>
  <c r="E21" i="52"/>
  <c r="C20" i="52"/>
  <c r="E14" i="52"/>
  <c r="C13" i="52"/>
  <c r="E10" i="52"/>
  <c r="C9" i="52"/>
  <c r="H7" i="52"/>
  <c r="E6" i="52"/>
  <c r="C5" i="52"/>
  <c r="F45" i="52"/>
  <c r="F82" i="3" s="1"/>
  <c r="D44" i="52"/>
  <c r="D81" i="3" s="1"/>
  <c r="F41" i="52"/>
  <c r="F78" i="3" s="1"/>
  <c r="D40" i="52"/>
  <c r="D77" i="3" s="1"/>
  <c r="F37" i="52"/>
  <c r="F74" i="3" s="1"/>
  <c r="D36" i="52"/>
  <c r="D73" i="3" s="1"/>
  <c r="F62" i="3"/>
  <c r="D61" i="3"/>
  <c r="F22" i="52"/>
  <c r="F58" i="3" s="1"/>
  <c r="D21" i="52"/>
  <c r="D14" i="52"/>
  <c r="F11" i="52"/>
  <c r="D10" i="52"/>
  <c r="I8" i="52"/>
  <c r="F7" i="52"/>
  <c r="D6" i="52"/>
  <c r="I4" i="52"/>
  <c r="C42" i="52"/>
  <c r="C79" i="3" s="1"/>
  <c r="E20" i="52"/>
  <c r="C12" i="52"/>
  <c r="E5" i="52"/>
  <c r="E45" i="52"/>
  <c r="E82" i="3" s="1"/>
  <c r="C44" i="52"/>
  <c r="C81" i="3" s="1"/>
  <c r="E41" i="52"/>
  <c r="E78" i="3" s="1"/>
  <c r="C40" i="52"/>
  <c r="C77" i="3" s="1"/>
  <c r="E37" i="52"/>
  <c r="E74" i="3" s="1"/>
  <c r="C36" i="52"/>
  <c r="C73" i="3" s="1"/>
  <c r="E62" i="3"/>
  <c r="C61" i="3"/>
  <c r="E22" i="52"/>
  <c r="E58" i="3" s="1"/>
  <c r="C21" i="52"/>
  <c r="C14" i="52"/>
  <c r="E11" i="52"/>
  <c r="C10" i="52"/>
  <c r="H8" i="52"/>
  <c r="E7" i="52"/>
  <c r="C6" i="52"/>
  <c r="H4" i="52"/>
  <c r="E43" i="52"/>
  <c r="E80" i="3" s="1"/>
  <c r="E35" i="52"/>
  <c r="E72" i="3" s="1"/>
  <c r="E60" i="3"/>
  <c r="D45" i="52"/>
  <c r="D82" i="3" s="1"/>
  <c r="F42" i="52"/>
  <c r="F79" i="3" s="1"/>
  <c r="D41" i="52"/>
  <c r="D78" i="3" s="1"/>
  <c r="F38" i="52"/>
  <c r="F75" i="3" s="1"/>
  <c r="D37" i="52"/>
  <c r="D74" i="3" s="1"/>
  <c r="F34" i="52"/>
  <c r="F71" i="3" s="1"/>
  <c r="D62" i="3"/>
  <c r="F23" i="52"/>
  <c r="F59" i="3" s="1"/>
  <c r="D22" i="52"/>
  <c r="D58" i="3" s="1"/>
  <c r="F19" i="52"/>
  <c r="F12" i="52"/>
  <c r="D11" i="52"/>
  <c r="I9" i="52"/>
  <c r="F8" i="52"/>
  <c r="D7" i="52"/>
  <c r="I5" i="52"/>
  <c r="F4" i="52"/>
  <c r="E39" i="52"/>
  <c r="E76" i="3" s="1"/>
  <c r="H6" i="52"/>
  <c r="C45" i="52"/>
  <c r="C82" i="3" s="1"/>
  <c r="E42" i="52"/>
  <c r="E79" i="3" s="1"/>
  <c r="C41" i="52"/>
  <c r="C78" i="3" s="1"/>
  <c r="E38" i="52"/>
  <c r="E75" i="3" s="1"/>
  <c r="C37" i="52"/>
  <c r="C74" i="3" s="1"/>
  <c r="E34" i="52"/>
  <c r="E71" i="3" s="1"/>
  <c r="C62" i="3"/>
  <c r="E23" i="52"/>
  <c r="E59" i="3" s="1"/>
  <c r="C22" i="52"/>
  <c r="C58" i="3" s="1"/>
  <c r="E19" i="52"/>
  <c r="E12" i="52"/>
  <c r="C11" i="52"/>
  <c r="H9" i="52"/>
  <c r="E8" i="52"/>
  <c r="C7" i="52"/>
  <c r="H5" i="52"/>
  <c r="E4" i="52"/>
  <c r="E13" i="52"/>
  <c r="E9" i="52"/>
  <c r="C4" i="52"/>
  <c r="F43" i="52"/>
  <c r="F80" i="3" s="1"/>
  <c r="D42" i="52"/>
  <c r="D79" i="3" s="1"/>
  <c r="F39" i="52"/>
  <c r="F76" i="3" s="1"/>
  <c r="D38" i="52"/>
  <c r="D75" i="3" s="1"/>
  <c r="F35" i="52"/>
  <c r="F72" i="3" s="1"/>
  <c r="D34" i="52"/>
  <c r="D71" i="3" s="1"/>
  <c r="F60" i="3"/>
  <c r="D23" i="52"/>
  <c r="D59" i="3" s="1"/>
  <c r="F20" i="52"/>
  <c r="D19" i="52"/>
  <c r="F13" i="52"/>
  <c r="D12" i="52"/>
  <c r="F9" i="52"/>
  <c r="D8" i="52"/>
  <c r="I6" i="52"/>
  <c r="F5" i="52"/>
  <c r="D4" i="52"/>
  <c r="C38" i="52"/>
  <c r="C75" i="3" s="1"/>
  <c r="C34" i="52"/>
  <c r="C71" i="3" s="1"/>
  <c r="C23" i="52"/>
  <c r="C59" i="3" s="1"/>
  <c r="C19" i="52"/>
  <c r="C8" i="52"/>
  <c r="I15" i="44"/>
  <c r="H15" i="44"/>
  <c r="F15" i="44"/>
  <c r="E15" i="44"/>
  <c r="D15" i="44"/>
  <c r="C15" i="44"/>
  <c r="D32" i="51"/>
  <c r="D14" i="51" s="1"/>
  <c r="H20" i="51"/>
  <c r="H32" i="51" s="1"/>
  <c r="H13" i="51"/>
  <c r="Q37" i="52" l="1"/>
  <c r="T37" i="52" s="1"/>
  <c r="Q35" i="52"/>
  <c r="T35" i="52" s="1"/>
  <c r="Q34" i="52"/>
  <c r="S34" i="52" s="1"/>
  <c r="Q36" i="52"/>
  <c r="T36" i="52" s="1"/>
  <c r="G73" i="3"/>
  <c r="G74" i="3"/>
  <c r="G77" i="3"/>
  <c r="G82" i="3"/>
  <c r="G78" i="3"/>
  <c r="G81" i="3"/>
  <c r="G72" i="3"/>
  <c r="G76" i="3"/>
  <c r="G75" i="3"/>
  <c r="G79" i="3"/>
  <c r="G80" i="3"/>
  <c r="Q70" i="51"/>
  <c r="N69" i="51"/>
  <c r="N70" i="51"/>
  <c r="O69" i="51"/>
  <c r="O75" i="51"/>
  <c r="P71" i="51"/>
  <c r="Q74" i="51"/>
  <c r="Q56" i="51"/>
  <c r="P62" i="51"/>
  <c r="O61" i="51"/>
  <c r="N59" i="51"/>
  <c r="P52" i="51"/>
  <c r="Q69" i="51"/>
  <c r="O70" i="51"/>
  <c r="P78" i="51"/>
  <c r="P60" i="51"/>
  <c r="O53" i="51"/>
  <c r="O73" i="51"/>
  <c r="O64" i="51"/>
  <c r="N62" i="51"/>
  <c r="N77" i="51"/>
  <c r="N75" i="51"/>
  <c r="O77" i="51"/>
  <c r="Q73" i="51"/>
  <c r="P69" i="51"/>
  <c r="Q79" i="51"/>
  <c r="Q63" i="51"/>
  <c r="Q52" i="51"/>
  <c r="N68" i="51"/>
  <c r="P61" i="51"/>
  <c r="P59" i="51"/>
  <c r="O59" i="51"/>
  <c r="N56" i="51"/>
  <c r="P54" i="51"/>
  <c r="O72" i="51"/>
  <c r="Q54" i="51"/>
  <c r="P63" i="51"/>
  <c r="O54" i="51"/>
  <c r="P72" i="51"/>
  <c r="N76" i="51"/>
  <c r="P53" i="51"/>
  <c r="N78" i="51"/>
  <c r="N72" i="51"/>
  <c r="O74" i="51"/>
  <c r="Q75" i="51"/>
  <c r="P77" i="51"/>
  <c r="Q78" i="51"/>
  <c r="Q64" i="51"/>
  <c r="Q61" i="51"/>
  <c r="P58" i="51"/>
  <c r="O58" i="51"/>
  <c r="O56" i="51"/>
  <c r="N58" i="51"/>
  <c r="N52" i="51"/>
  <c r="P70" i="51"/>
  <c r="O60" i="51"/>
  <c r="O80" i="51"/>
  <c r="Q68" i="51"/>
  <c r="O57" i="51"/>
  <c r="P80" i="51"/>
  <c r="Q60" i="51"/>
  <c r="N74" i="51"/>
  <c r="N80" i="51"/>
  <c r="O71" i="51"/>
  <c r="P75" i="51"/>
  <c r="P74" i="51"/>
  <c r="Q77" i="51"/>
  <c r="P64" i="51"/>
  <c r="Q57" i="51"/>
  <c r="P56" i="51"/>
  <c r="O55" i="51"/>
  <c r="N55" i="51"/>
  <c r="N61" i="51"/>
  <c r="N54" i="51"/>
  <c r="O76" i="51"/>
  <c r="N64" i="51"/>
  <c r="N73" i="51"/>
  <c r="Q72" i="51"/>
  <c r="Q76" i="51"/>
  <c r="P57" i="51"/>
  <c r="Q55" i="51"/>
  <c r="N71" i="51"/>
  <c r="Q71" i="51"/>
  <c r="O79" i="51"/>
  <c r="P79" i="51"/>
  <c r="P73" i="51"/>
  <c r="O68" i="51"/>
  <c r="Q53" i="51"/>
  <c r="P55" i="51"/>
  <c r="O63" i="51"/>
  <c r="N63" i="51"/>
  <c r="O52" i="51"/>
  <c r="N53" i="51"/>
  <c r="N79" i="51"/>
  <c r="P76" i="51"/>
  <c r="P68" i="51"/>
  <c r="Q59" i="51"/>
  <c r="N60" i="51"/>
  <c r="Q80" i="51"/>
  <c r="Q58" i="51"/>
  <c r="N57" i="51"/>
  <c r="O78" i="51"/>
  <c r="Q62" i="51"/>
  <c r="O62" i="51"/>
  <c r="F57" i="3"/>
  <c r="D57" i="3"/>
  <c r="E57" i="3"/>
  <c r="C57" i="3"/>
  <c r="R38" i="52"/>
  <c r="F56" i="3"/>
  <c r="C56" i="3"/>
  <c r="D56" i="3"/>
  <c r="E56" i="3"/>
  <c r="F55" i="3"/>
  <c r="E55" i="3"/>
  <c r="D55" i="3"/>
  <c r="C55" i="3"/>
  <c r="G61" i="3"/>
  <c r="G58" i="3"/>
  <c r="G62" i="3"/>
  <c r="G60" i="3"/>
  <c r="G59" i="3"/>
  <c r="G63" i="3"/>
  <c r="F43" i="3"/>
  <c r="E43" i="3"/>
  <c r="C43" i="3"/>
  <c r="D43" i="3"/>
  <c r="G45" i="52"/>
  <c r="G44" i="52"/>
  <c r="G36" i="52"/>
  <c r="G38" i="52"/>
  <c r="G40" i="52"/>
  <c r="G43" i="52"/>
  <c r="G42" i="52"/>
  <c r="G37" i="52"/>
  <c r="G39" i="52"/>
  <c r="G41" i="52"/>
  <c r="G35" i="52"/>
  <c r="G34" i="52"/>
  <c r="C46" i="52"/>
  <c r="E46" i="52"/>
  <c r="D46" i="52"/>
  <c r="F46" i="52"/>
  <c r="E31" i="52"/>
  <c r="F31" i="52"/>
  <c r="D31" i="52"/>
  <c r="C31" i="52"/>
  <c r="G30" i="52"/>
  <c r="G4" i="52"/>
  <c r="G7" i="52"/>
  <c r="G29" i="52"/>
  <c r="G10" i="52"/>
  <c r="G8" i="52"/>
  <c r="G12" i="52"/>
  <c r="G5" i="52"/>
  <c r="G25" i="52"/>
  <c r="G6" i="52"/>
  <c r="G13" i="52"/>
  <c r="G26" i="52"/>
  <c r="G14" i="52"/>
  <c r="G11" i="52"/>
  <c r="G9" i="52"/>
  <c r="G15" i="52"/>
  <c r="G27" i="52"/>
  <c r="G20" i="52"/>
  <c r="G21" i="52"/>
  <c r="G23" i="52"/>
  <c r="G24" i="52"/>
  <c r="G22" i="52"/>
  <c r="G28" i="52"/>
  <c r="G19" i="52"/>
  <c r="C16" i="52"/>
  <c r="D16" i="52"/>
  <c r="F16" i="52"/>
  <c r="E16" i="52"/>
  <c r="D16" i="51"/>
  <c r="D83" i="51" s="1"/>
  <c r="E16" i="51"/>
  <c r="E83" i="51" s="1"/>
  <c r="G16" i="51"/>
  <c r="G83" i="51" s="1"/>
  <c r="F16" i="51"/>
  <c r="F83" i="51" s="1"/>
  <c r="K8" i="51"/>
  <c r="K9" i="51"/>
  <c r="K6" i="51"/>
  <c r="K7" i="51"/>
  <c r="F33" i="51"/>
  <c r="E49" i="51"/>
  <c r="G33" i="51"/>
  <c r="F49" i="51"/>
  <c r="G49" i="51"/>
  <c r="D49" i="51"/>
  <c r="G10" i="51"/>
  <c r="D33" i="51"/>
  <c r="E33" i="51"/>
  <c r="I9" i="51"/>
  <c r="J9" i="51" s="1"/>
  <c r="I7" i="51"/>
  <c r="J7" i="51" s="1"/>
  <c r="I8" i="51"/>
  <c r="J8" i="51" s="1"/>
  <c r="I6" i="51"/>
  <c r="J6" i="51" s="1"/>
  <c r="J62" i="17" l="1"/>
  <c r="M82" i="3"/>
  <c r="M80" i="3"/>
  <c r="M77" i="3"/>
  <c r="M79" i="3"/>
  <c r="M74" i="3"/>
  <c r="M75" i="3"/>
  <c r="M73" i="3"/>
  <c r="M76" i="3"/>
  <c r="M72" i="3"/>
  <c r="M81" i="3"/>
  <c r="M78" i="3"/>
  <c r="H65" i="51"/>
  <c r="H81" i="51"/>
  <c r="E64" i="52"/>
  <c r="D64" i="52"/>
  <c r="F64" i="52"/>
  <c r="C64" i="52"/>
  <c r="H14" i="51"/>
  <c r="H16" i="51" s="1"/>
  <c r="H83" i="51" s="1"/>
  <c r="G57" i="3"/>
  <c r="S35" i="52"/>
  <c r="S37" i="52"/>
  <c r="S36" i="52"/>
  <c r="T34" i="52"/>
  <c r="Q38" i="52"/>
  <c r="S38" i="52" s="1"/>
  <c r="G56" i="3"/>
  <c r="G55" i="3"/>
  <c r="G31" i="52"/>
  <c r="G16" i="52"/>
  <c r="H8" i="51"/>
  <c r="L8" i="51" s="1"/>
  <c r="K10" i="51"/>
  <c r="M9" i="51" s="1"/>
  <c r="H7" i="51"/>
  <c r="L7" i="51" s="1"/>
  <c r="H6" i="51"/>
  <c r="H49" i="51"/>
  <c r="H33" i="51"/>
  <c r="D10" i="51"/>
  <c r="H9" i="51"/>
  <c r="E9" i="51" s="1"/>
  <c r="G46" i="52" l="1"/>
  <c r="G64" i="52" s="1"/>
  <c r="F9" i="51"/>
  <c r="E15" i="51"/>
  <c r="F15" i="51"/>
  <c r="G15" i="51"/>
  <c r="D15" i="51"/>
  <c r="E8" i="51"/>
  <c r="M7" i="51"/>
  <c r="M8" i="51"/>
  <c r="F7" i="51"/>
  <c r="E7" i="51"/>
  <c r="L9" i="51"/>
  <c r="H10" i="51"/>
  <c r="I10" i="51" s="1"/>
  <c r="J10" i="51" s="1"/>
  <c r="E6" i="51"/>
  <c r="M10" i="51"/>
  <c r="F6" i="51"/>
  <c r="L6" i="51"/>
  <c r="F8" i="51"/>
  <c r="M6" i="51"/>
  <c r="J76" i="51" l="1"/>
  <c r="L76" i="51" s="1"/>
  <c r="J68" i="51"/>
  <c r="L68" i="51" s="1"/>
  <c r="J79" i="51"/>
  <c r="L79" i="51" s="1"/>
  <c r="J71" i="51"/>
  <c r="L71" i="51" s="1"/>
  <c r="J74" i="51"/>
  <c r="L74" i="51" s="1"/>
  <c r="J77" i="51"/>
  <c r="L77" i="51" s="1"/>
  <c r="J69" i="51"/>
  <c r="L69" i="51" s="1"/>
  <c r="J72" i="51"/>
  <c r="L72" i="51" s="1"/>
  <c r="J73" i="51"/>
  <c r="L73" i="51" s="1"/>
  <c r="J75" i="51"/>
  <c r="L75" i="51" s="1"/>
  <c r="J78" i="51"/>
  <c r="L78" i="51" s="1"/>
  <c r="J70" i="51"/>
  <c r="L70" i="51" s="1"/>
  <c r="I73" i="51"/>
  <c r="I76" i="51"/>
  <c r="I68" i="51"/>
  <c r="I79" i="51"/>
  <c r="I71" i="51"/>
  <c r="I74" i="51"/>
  <c r="I70" i="51"/>
  <c r="I77" i="51"/>
  <c r="I69" i="51"/>
  <c r="I78" i="51"/>
  <c r="I72" i="51"/>
  <c r="I75" i="51"/>
  <c r="K9" i="71"/>
  <c r="I60" i="51"/>
  <c r="K12" i="71" s="1"/>
  <c r="K4" i="71"/>
  <c r="I63" i="51"/>
  <c r="K15" i="71" s="1"/>
  <c r="K7" i="71"/>
  <c r="K10" i="71"/>
  <c r="I61" i="51"/>
  <c r="K13" i="71" s="1"/>
  <c r="K5" i="71"/>
  <c r="K8" i="71"/>
  <c r="I59" i="51"/>
  <c r="K11" i="71" s="1"/>
  <c r="I62" i="51"/>
  <c r="K14" i="71" s="1"/>
  <c r="K6" i="71"/>
  <c r="J60" i="51"/>
  <c r="L60" i="51" s="1"/>
  <c r="S12" i="71" s="1"/>
  <c r="L52" i="51"/>
  <c r="S4" i="71" s="1"/>
  <c r="J63" i="51"/>
  <c r="L63" i="51" s="1"/>
  <c r="S15" i="71" s="1"/>
  <c r="L55" i="51"/>
  <c r="S7" i="71" s="1"/>
  <c r="L58" i="51"/>
  <c r="S10" i="71" s="1"/>
  <c r="J61" i="51"/>
  <c r="L61" i="51" s="1"/>
  <c r="S13" i="71" s="1"/>
  <c r="L53" i="51"/>
  <c r="S5" i="71" s="1"/>
  <c r="L56" i="51"/>
  <c r="S8" i="71" s="1"/>
  <c r="J59" i="51"/>
  <c r="L59" i="51" s="1"/>
  <c r="S11" i="71" s="1"/>
  <c r="J62" i="51"/>
  <c r="L62" i="51" s="1"/>
  <c r="S14" i="71" s="1"/>
  <c r="L54" i="51"/>
  <c r="S6" i="71" s="1"/>
  <c r="L57" i="51"/>
  <c r="S9" i="71" s="1"/>
  <c r="I20" i="51"/>
  <c r="I21" i="51"/>
  <c r="I22" i="51"/>
  <c r="I27" i="51"/>
  <c r="I23" i="51"/>
  <c r="I24" i="51"/>
  <c r="I25" i="51"/>
  <c r="I26" i="51"/>
  <c r="L46" i="51"/>
  <c r="L37" i="51"/>
  <c r="L41" i="51"/>
  <c r="L45" i="51"/>
  <c r="L42" i="51"/>
  <c r="L40" i="51"/>
  <c r="L38" i="51"/>
  <c r="L44" i="51"/>
  <c r="L39" i="51"/>
  <c r="L43" i="51"/>
  <c r="L47" i="51"/>
  <c r="J26" i="51"/>
  <c r="L26" i="51" s="1"/>
  <c r="J27" i="51"/>
  <c r="L27" i="51" s="1"/>
  <c r="H15" i="51"/>
  <c r="L10" i="51"/>
  <c r="J22" i="51"/>
  <c r="L22" i="51" s="1"/>
  <c r="J25" i="51"/>
  <c r="L25" i="51" s="1"/>
  <c r="J24" i="51"/>
  <c r="L24" i="51" s="1"/>
  <c r="J20" i="51"/>
  <c r="L20" i="51" s="1"/>
  <c r="J23" i="51"/>
  <c r="L23" i="51" s="1"/>
  <c r="J21" i="51"/>
  <c r="L21" i="51" s="1"/>
  <c r="AA5" i="71" l="1"/>
  <c r="AA13" i="71"/>
  <c r="H53" i="52"/>
  <c r="H91" i="3" s="1"/>
  <c r="K24" i="71"/>
  <c r="Q24" i="71" s="1"/>
  <c r="H49" i="52"/>
  <c r="H87" i="3" s="1"/>
  <c r="K20" i="71"/>
  <c r="Q20" i="71" s="1"/>
  <c r="I50" i="52"/>
  <c r="I88" i="3" s="1"/>
  <c r="S21" i="71"/>
  <c r="S16" i="71"/>
  <c r="AA10" i="71"/>
  <c r="H59" i="52"/>
  <c r="H97" i="3" s="1"/>
  <c r="K30" i="71"/>
  <c r="Q30" i="71" s="1"/>
  <c r="H57" i="52"/>
  <c r="H95" i="3" s="1"/>
  <c r="K28" i="71"/>
  <c r="Q28" i="71" s="1"/>
  <c r="I58" i="52"/>
  <c r="I96" i="3" s="1"/>
  <c r="S29" i="71"/>
  <c r="I53" i="52"/>
  <c r="I91" i="3" s="1"/>
  <c r="S24" i="71"/>
  <c r="AA7" i="71"/>
  <c r="H50" i="52"/>
  <c r="H88" i="3" s="1"/>
  <c r="K21" i="71"/>
  <c r="Q21" i="71" s="1"/>
  <c r="H54" i="52"/>
  <c r="H92" i="3" s="1"/>
  <c r="K25" i="71"/>
  <c r="Q25" i="71" s="1"/>
  <c r="I55" i="52"/>
  <c r="I93" i="3" s="1"/>
  <c r="S26" i="71"/>
  <c r="H60" i="52"/>
  <c r="H98" i="3" s="1"/>
  <c r="K31" i="71"/>
  <c r="Q31" i="71" s="1"/>
  <c r="AA6" i="71"/>
  <c r="AA15" i="71"/>
  <c r="H58" i="52"/>
  <c r="H96" i="3" s="1"/>
  <c r="K29" i="71"/>
  <c r="Q29" i="71" s="1"/>
  <c r="I51" i="52"/>
  <c r="I89" i="3" s="1"/>
  <c r="S22" i="71"/>
  <c r="I52" i="52"/>
  <c r="I90" i="3" s="1"/>
  <c r="S23" i="71"/>
  <c r="AA14" i="71"/>
  <c r="H51" i="52"/>
  <c r="H89" i="3" s="1"/>
  <c r="K22" i="71"/>
  <c r="Q22" i="71" s="1"/>
  <c r="I59" i="52"/>
  <c r="I97" i="3" s="1"/>
  <c r="S30" i="71"/>
  <c r="I60" i="52"/>
  <c r="I98" i="3" s="1"/>
  <c r="S31" i="71"/>
  <c r="H56" i="52"/>
  <c r="H94" i="3" s="1"/>
  <c r="K27" i="71"/>
  <c r="Q27" i="71" s="1"/>
  <c r="AA11" i="71"/>
  <c r="AA12" i="71"/>
  <c r="H55" i="52"/>
  <c r="H93" i="3" s="1"/>
  <c r="K26" i="71"/>
  <c r="Q26" i="71" s="1"/>
  <c r="I56" i="52"/>
  <c r="I94" i="3" s="1"/>
  <c r="S27" i="71"/>
  <c r="I49" i="52"/>
  <c r="I87" i="3" s="1"/>
  <c r="S20" i="71"/>
  <c r="AA8" i="71"/>
  <c r="AA9" i="71"/>
  <c r="H52" i="52"/>
  <c r="H90" i="3" s="1"/>
  <c r="K23" i="71"/>
  <c r="Q23" i="71" s="1"/>
  <c r="I54" i="52"/>
  <c r="I92" i="3" s="1"/>
  <c r="S25" i="71"/>
  <c r="I57" i="52"/>
  <c r="I95" i="3" s="1"/>
  <c r="S28" i="71"/>
  <c r="AA4" i="71"/>
  <c r="K16" i="71"/>
  <c r="M74" i="51"/>
  <c r="M70" i="51"/>
  <c r="M72" i="51"/>
  <c r="I80" i="51"/>
  <c r="K32" i="71" s="1"/>
  <c r="Q32" i="71" s="1"/>
  <c r="M69" i="51"/>
  <c r="M77" i="51"/>
  <c r="M71" i="51"/>
  <c r="M78" i="51"/>
  <c r="M79" i="51"/>
  <c r="M75" i="51"/>
  <c r="J80" i="51"/>
  <c r="M73" i="51"/>
  <c r="M76" i="51"/>
  <c r="J5" i="65"/>
  <c r="J8" i="65"/>
  <c r="J7" i="65"/>
  <c r="J9" i="65"/>
  <c r="J6" i="65"/>
  <c r="H10" i="52"/>
  <c r="J10" i="65"/>
  <c r="I12" i="52"/>
  <c r="I37" i="52"/>
  <c r="I21" i="52"/>
  <c r="H29" i="52"/>
  <c r="H21" i="52"/>
  <c r="H14" i="52"/>
  <c r="I36" i="52"/>
  <c r="I45" i="52"/>
  <c r="H43" i="52"/>
  <c r="I27" i="52"/>
  <c r="H35" i="52"/>
  <c r="I11" i="52"/>
  <c r="I23" i="52"/>
  <c r="H28" i="52"/>
  <c r="H20" i="52"/>
  <c r="I44" i="52"/>
  <c r="H40" i="52"/>
  <c r="H22" i="52"/>
  <c r="I14" i="52"/>
  <c r="J14" i="65"/>
  <c r="I25" i="52"/>
  <c r="H27" i="52"/>
  <c r="H19" i="52"/>
  <c r="H13" i="52"/>
  <c r="I41" i="52"/>
  <c r="I42" i="52"/>
  <c r="H37" i="52"/>
  <c r="I38" i="52"/>
  <c r="H36" i="52"/>
  <c r="H45" i="52"/>
  <c r="I39" i="52"/>
  <c r="I28" i="52"/>
  <c r="J28" i="65"/>
  <c r="H26" i="52"/>
  <c r="I24" i="52"/>
  <c r="H25" i="52"/>
  <c r="H12" i="52"/>
  <c r="I35" i="52"/>
  <c r="H44" i="52"/>
  <c r="H34" i="52"/>
  <c r="I26" i="52"/>
  <c r="J26" i="65"/>
  <c r="I20" i="52"/>
  <c r="H24" i="52"/>
  <c r="I43" i="52"/>
  <c r="H41" i="52"/>
  <c r="H42" i="52"/>
  <c r="H11" i="52"/>
  <c r="I13" i="52"/>
  <c r="I22" i="52"/>
  <c r="I29" i="52"/>
  <c r="H23" i="52"/>
  <c r="I40" i="52"/>
  <c r="J40" i="65"/>
  <c r="H38" i="52"/>
  <c r="H39" i="52"/>
  <c r="I10" i="52"/>
  <c r="M57" i="51"/>
  <c r="M55" i="51"/>
  <c r="M54" i="51"/>
  <c r="M59" i="51"/>
  <c r="M60" i="51"/>
  <c r="M62" i="51"/>
  <c r="M56" i="51"/>
  <c r="M63" i="51"/>
  <c r="M61" i="51"/>
  <c r="J64" i="51"/>
  <c r="M53" i="51"/>
  <c r="I64" i="51"/>
  <c r="M58" i="51"/>
  <c r="J32" i="51"/>
  <c r="I32" i="51"/>
  <c r="M46" i="51"/>
  <c r="M45" i="51"/>
  <c r="M47" i="51"/>
  <c r="L36" i="51"/>
  <c r="L48" i="51" s="1"/>
  <c r="M48" i="51" s="1"/>
  <c r="M29" i="51"/>
  <c r="M22" i="51"/>
  <c r="M28" i="51"/>
  <c r="M30" i="51"/>
  <c r="M26" i="51"/>
  <c r="M24" i="51"/>
  <c r="M27" i="51"/>
  <c r="M23" i="51"/>
  <c r="M31" i="51"/>
  <c r="M25" i="51"/>
  <c r="M21" i="51"/>
  <c r="M38" i="51"/>
  <c r="M37" i="51"/>
  <c r="M43" i="51"/>
  <c r="M39" i="51"/>
  <c r="M41" i="51"/>
  <c r="M40" i="51"/>
  <c r="M42" i="51"/>
  <c r="M44" i="51"/>
  <c r="L62" i="17" l="1"/>
  <c r="K62" i="17"/>
  <c r="J90" i="3"/>
  <c r="J91" i="3"/>
  <c r="J97" i="3"/>
  <c r="J87" i="3"/>
  <c r="J95" i="3"/>
  <c r="J88" i="3"/>
  <c r="J92" i="3"/>
  <c r="J57" i="52"/>
  <c r="J93" i="3"/>
  <c r="J96" i="3"/>
  <c r="J89" i="3"/>
  <c r="J49" i="52"/>
  <c r="J58" i="52"/>
  <c r="J50" i="52"/>
  <c r="J51" i="52"/>
  <c r="J94" i="3"/>
  <c r="J55" i="52"/>
  <c r="J52" i="52"/>
  <c r="H61" i="52"/>
  <c r="AA30" i="71"/>
  <c r="Y30" i="71"/>
  <c r="AA29" i="71"/>
  <c r="Y29" i="71"/>
  <c r="AA21" i="71"/>
  <c r="Y21" i="71"/>
  <c r="I61" i="52"/>
  <c r="AA16" i="71"/>
  <c r="J54" i="52"/>
  <c r="J56" i="52"/>
  <c r="AA28" i="71"/>
  <c r="Y28" i="71"/>
  <c r="AA20" i="71"/>
  <c r="Y20" i="71"/>
  <c r="J60" i="52"/>
  <c r="AA23" i="71"/>
  <c r="Y23" i="71"/>
  <c r="AA22" i="71"/>
  <c r="Y22" i="71"/>
  <c r="AA26" i="71"/>
  <c r="Y26" i="71"/>
  <c r="J59" i="52"/>
  <c r="J53" i="52"/>
  <c r="AA25" i="71"/>
  <c r="Y25" i="71"/>
  <c r="AA27" i="71"/>
  <c r="Y27" i="71"/>
  <c r="AA31" i="71"/>
  <c r="Y31" i="71"/>
  <c r="AA24" i="71"/>
  <c r="Y24" i="71"/>
  <c r="Q39" i="52"/>
  <c r="S39" i="52" s="1"/>
  <c r="J14" i="51"/>
  <c r="I14" i="51"/>
  <c r="I16" i="51" s="1"/>
  <c r="I83" i="51" s="1"/>
  <c r="L80" i="51"/>
  <c r="M68" i="51"/>
  <c r="J43" i="52"/>
  <c r="J45" i="52"/>
  <c r="J43" i="65"/>
  <c r="L32" i="51"/>
  <c r="J4" i="65"/>
  <c r="H16" i="65"/>
  <c r="J21" i="65"/>
  <c r="J29" i="65"/>
  <c r="J38" i="52"/>
  <c r="J38" i="65"/>
  <c r="J36" i="65"/>
  <c r="J42" i="52"/>
  <c r="J39" i="52"/>
  <c r="J22" i="65"/>
  <c r="H46" i="65"/>
  <c r="H99" i="3" s="1"/>
  <c r="J20" i="65"/>
  <c r="J24" i="65"/>
  <c r="J39" i="65"/>
  <c r="H31" i="65"/>
  <c r="J27" i="65"/>
  <c r="J15" i="65"/>
  <c r="J35" i="65"/>
  <c r="J30" i="65"/>
  <c r="J42" i="65"/>
  <c r="J23" i="65"/>
  <c r="J37" i="65"/>
  <c r="I19" i="52"/>
  <c r="J19" i="52" s="1"/>
  <c r="I34" i="52"/>
  <c r="J13" i="65"/>
  <c r="J41" i="65"/>
  <c r="J25" i="65"/>
  <c r="J44" i="65"/>
  <c r="J11" i="65"/>
  <c r="I16" i="65"/>
  <c r="J45" i="65"/>
  <c r="J12" i="65"/>
  <c r="J37" i="52"/>
  <c r="J41" i="52"/>
  <c r="J44" i="52"/>
  <c r="J40" i="52"/>
  <c r="J36" i="52"/>
  <c r="H46" i="52"/>
  <c r="J35" i="52"/>
  <c r="L64" i="51"/>
  <c r="M52" i="51"/>
  <c r="M20" i="51"/>
  <c r="J9" i="52"/>
  <c r="J13" i="52"/>
  <c r="J8" i="52"/>
  <c r="J10" i="52"/>
  <c r="J12" i="52"/>
  <c r="J11" i="52"/>
  <c r="J5" i="52"/>
  <c r="J4" i="52"/>
  <c r="J14" i="52"/>
  <c r="J6" i="52"/>
  <c r="J7" i="52"/>
  <c r="H31" i="52"/>
  <c r="J15" i="52"/>
  <c r="M36" i="51"/>
  <c r="J61" i="52" l="1"/>
  <c r="M80" i="51"/>
  <c r="S32" i="71"/>
  <c r="Q40" i="52"/>
  <c r="S40" i="52" s="1"/>
  <c r="J16" i="51"/>
  <c r="J83" i="51" s="1"/>
  <c r="H64" i="65"/>
  <c r="M32" i="51"/>
  <c r="L82" i="51"/>
  <c r="M82" i="51" s="1"/>
  <c r="M64" i="51"/>
  <c r="J16" i="65"/>
  <c r="J19" i="65"/>
  <c r="I31" i="65"/>
  <c r="J34" i="65"/>
  <c r="I46" i="65"/>
  <c r="J34" i="52"/>
  <c r="I46" i="52"/>
  <c r="I31" i="52"/>
  <c r="C23" i="44"/>
  <c r="L25" i="43"/>
  <c r="AA32" i="71" l="1"/>
  <c r="Y32" i="71"/>
  <c r="Q41" i="52"/>
  <c r="S41" i="52" s="1"/>
  <c r="I64" i="65"/>
  <c r="J64" i="65" s="1"/>
  <c r="J46" i="65"/>
  <c r="I15" i="64"/>
  <c r="J31" i="65"/>
  <c r="J46" i="52"/>
  <c r="E42" i="3"/>
  <c r="C45" i="3"/>
  <c r="E46" i="3"/>
  <c r="C12" i="44"/>
  <c r="E13" i="44"/>
  <c r="C19" i="44"/>
  <c r="E20" i="44"/>
  <c r="D12" i="44"/>
  <c r="F13" i="44"/>
  <c r="D19" i="44"/>
  <c r="F20" i="44"/>
  <c r="D23" i="44"/>
  <c r="F42" i="3"/>
  <c r="D45" i="3"/>
  <c r="F46" i="3"/>
  <c r="E12" i="44"/>
  <c r="C22" i="44"/>
  <c r="E23" i="44"/>
  <c r="C44" i="3"/>
  <c r="E45" i="3"/>
  <c r="D11" i="44"/>
  <c r="F12" i="44"/>
  <c r="F19" i="44"/>
  <c r="D22" i="44"/>
  <c r="F23" i="44"/>
  <c r="D44" i="3"/>
  <c r="F45" i="3"/>
  <c r="E19" i="44"/>
  <c r="E11" i="44"/>
  <c r="C14" i="44"/>
  <c r="C21" i="44"/>
  <c r="E22" i="44"/>
  <c r="E44" i="3"/>
  <c r="C47" i="3"/>
  <c r="F11" i="44"/>
  <c r="D14" i="44"/>
  <c r="D21" i="44"/>
  <c r="F22" i="44"/>
  <c r="F44" i="3"/>
  <c r="D47" i="3"/>
  <c r="C13" i="44"/>
  <c r="E14" i="44"/>
  <c r="C20" i="44"/>
  <c r="E21" i="44"/>
  <c r="C42" i="3"/>
  <c r="C46" i="3"/>
  <c r="E47" i="3"/>
  <c r="C11" i="44"/>
  <c r="I11" i="44"/>
  <c r="D13" i="44"/>
  <c r="F14" i="44"/>
  <c r="D20" i="44"/>
  <c r="F21" i="44"/>
  <c r="D42" i="3"/>
  <c r="D46" i="3"/>
  <c r="F47" i="3"/>
  <c r="J98" i="3" l="1"/>
  <c r="I99" i="3"/>
  <c r="J99" i="3" s="1"/>
  <c r="J15" i="64"/>
  <c r="K15" i="64" s="1"/>
  <c r="B46" i="44" l="1"/>
  <c r="F45" i="44" l="1"/>
  <c r="E45" i="44"/>
  <c r="D45" i="44"/>
  <c r="C45" i="44"/>
  <c r="G40" i="44"/>
  <c r="G41" i="44"/>
  <c r="G39" i="44"/>
  <c r="G37" i="44"/>
  <c r="G35" i="44"/>
  <c r="G38" i="44"/>
  <c r="G36" i="44"/>
  <c r="G34" i="44"/>
  <c r="E51" i="17"/>
  <c r="C66" i="3" l="1"/>
  <c r="D66" i="3"/>
  <c r="D67" i="3" s="1"/>
  <c r="E66" i="3"/>
  <c r="F66" i="3"/>
  <c r="G45" i="44"/>
  <c r="G46" i="44" s="1"/>
  <c r="D46" i="44"/>
  <c r="E46" i="44"/>
  <c r="F46" i="44"/>
  <c r="C46" i="44"/>
  <c r="G66" i="3" l="1"/>
  <c r="R50" i="44"/>
  <c r="S50" i="44"/>
  <c r="R52" i="44"/>
  <c r="S52" i="44"/>
  <c r="R49" i="44"/>
  <c r="P53" i="44"/>
  <c r="R53" i="44" s="1"/>
  <c r="R51" i="44"/>
  <c r="S51" i="44"/>
  <c r="C67" i="3"/>
  <c r="E67" i="3"/>
  <c r="F67" i="3"/>
  <c r="C5" i="17"/>
  <c r="M49" i="44" s="1"/>
  <c r="O49" i="44" l="1"/>
  <c r="M53" i="44"/>
  <c r="G67" i="3"/>
  <c r="G21" i="17"/>
  <c r="F24" i="17"/>
  <c r="E17" i="17"/>
  <c r="G22" i="17"/>
  <c r="G23" i="17"/>
  <c r="G5" i="17"/>
  <c r="G24" i="17"/>
  <c r="G16" i="17"/>
  <c r="C17" i="17"/>
  <c r="D25" i="17"/>
  <c r="F14" i="17"/>
  <c r="E25" i="17"/>
  <c r="F21" i="17"/>
  <c r="F23" i="17"/>
  <c r="F5" i="17"/>
  <c r="F22" i="17"/>
  <c r="G14" i="17"/>
  <c r="F16" i="17"/>
  <c r="G15" i="17"/>
  <c r="G13" i="17"/>
  <c r="G6" i="17"/>
  <c r="F6" i="17"/>
  <c r="D17" i="17"/>
  <c r="F15" i="17"/>
  <c r="F13" i="17"/>
  <c r="C25" i="17"/>
  <c r="S49" i="44" l="1"/>
  <c r="O53" i="44"/>
  <c r="G17" i="17"/>
  <c r="F17" i="17"/>
  <c r="G25" i="17"/>
  <c r="F25" i="17"/>
  <c r="D5" i="41"/>
  <c r="D6" i="41"/>
  <c r="D7" i="41"/>
  <c r="D8" i="41"/>
  <c r="D9" i="41"/>
  <c r="D10" i="41"/>
  <c r="D11" i="41"/>
  <c r="D12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2" i="41"/>
  <c r="D93" i="41"/>
  <c r="D94" i="41"/>
  <c r="D95" i="41"/>
  <c r="D96" i="41"/>
  <c r="D97" i="41"/>
  <c r="D98" i="41"/>
  <c r="D99" i="41"/>
  <c r="D100" i="41"/>
  <c r="D101" i="41"/>
  <c r="D102" i="41"/>
  <c r="D103" i="41"/>
  <c r="D104" i="41"/>
  <c r="D105" i="41"/>
  <c r="D106" i="41"/>
  <c r="D107" i="41"/>
  <c r="D108" i="41"/>
  <c r="D109" i="41"/>
  <c r="D110" i="41"/>
  <c r="D111" i="41"/>
  <c r="D112" i="41"/>
  <c r="D113" i="41"/>
  <c r="D114" i="41"/>
  <c r="D115" i="41"/>
  <c r="D116" i="41"/>
  <c r="D117" i="41"/>
  <c r="D118" i="41"/>
  <c r="D119" i="41"/>
  <c r="D120" i="41"/>
  <c r="D121" i="41"/>
  <c r="D122" i="41"/>
  <c r="D123" i="41"/>
  <c r="D124" i="41"/>
  <c r="D125" i="41"/>
  <c r="D126" i="41"/>
  <c r="D127" i="41"/>
  <c r="D128" i="41"/>
  <c r="D129" i="41"/>
  <c r="D130" i="41"/>
  <c r="D131" i="41"/>
  <c r="D132" i="41"/>
  <c r="D133" i="41"/>
  <c r="D134" i="41"/>
  <c r="D135" i="41"/>
  <c r="D136" i="41"/>
  <c r="D137" i="41"/>
  <c r="D138" i="41"/>
  <c r="D139" i="41"/>
  <c r="D140" i="41"/>
  <c r="D141" i="41"/>
  <c r="D142" i="41"/>
  <c r="D143" i="41"/>
  <c r="D144" i="41"/>
  <c r="D145" i="41"/>
  <c r="D146" i="41"/>
  <c r="D147" i="41"/>
  <c r="D148" i="41"/>
  <c r="D149" i="41"/>
  <c r="D150" i="41"/>
  <c r="D151" i="41"/>
  <c r="D152" i="41"/>
  <c r="D153" i="41"/>
  <c r="D154" i="41"/>
  <c r="D155" i="41"/>
  <c r="D156" i="41"/>
  <c r="D157" i="41"/>
  <c r="D158" i="41"/>
  <c r="D159" i="41"/>
  <c r="D160" i="41"/>
  <c r="D161" i="41"/>
  <c r="D162" i="41"/>
  <c r="D163" i="41"/>
  <c r="D164" i="41"/>
  <c r="D165" i="41"/>
  <c r="D166" i="41"/>
  <c r="D167" i="41"/>
  <c r="D168" i="41"/>
  <c r="D169" i="41"/>
  <c r="D170" i="41"/>
  <c r="D171" i="41"/>
  <c r="D172" i="41"/>
  <c r="D173" i="41"/>
  <c r="D174" i="41"/>
  <c r="D175" i="41"/>
  <c r="D176" i="41"/>
  <c r="D177" i="41"/>
  <c r="D178" i="41"/>
  <c r="D179" i="41"/>
  <c r="D180" i="41"/>
  <c r="D181" i="41"/>
  <c r="D182" i="41"/>
  <c r="D183" i="41"/>
  <c r="D184" i="41"/>
  <c r="D185" i="41"/>
  <c r="D186" i="41"/>
  <c r="D187" i="41"/>
  <c r="D188" i="41"/>
  <c r="D189" i="41"/>
  <c r="D190" i="41"/>
  <c r="D191" i="41"/>
  <c r="D192" i="41"/>
  <c r="D193" i="41"/>
  <c r="D194" i="41"/>
  <c r="D195" i="41"/>
  <c r="D196" i="41"/>
  <c r="D197" i="41"/>
  <c r="D198" i="41"/>
  <c r="D199" i="41"/>
  <c r="D200" i="41"/>
  <c r="D201" i="41"/>
  <c r="D202" i="41"/>
  <c r="D203" i="41"/>
  <c r="D204" i="41"/>
  <c r="D205" i="41"/>
  <c r="D206" i="41"/>
  <c r="D207" i="41"/>
  <c r="D208" i="41"/>
  <c r="D209" i="41"/>
  <c r="D210" i="41"/>
  <c r="D211" i="41"/>
  <c r="D212" i="41"/>
  <c r="D213" i="41"/>
  <c r="D214" i="41"/>
  <c r="D215" i="41"/>
  <c r="D216" i="41"/>
  <c r="D217" i="41"/>
  <c r="D218" i="41"/>
  <c r="D219" i="41"/>
  <c r="D220" i="41"/>
  <c r="D221" i="41"/>
  <c r="D222" i="41"/>
  <c r="D223" i="41"/>
  <c r="D224" i="41"/>
  <c r="D225" i="41"/>
  <c r="D226" i="41"/>
  <c r="D227" i="41"/>
  <c r="D228" i="41"/>
  <c r="D229" i="41"/>
  <c r="D230" i="41"/>
  <c r="D231" i="41"/>
  <c r="D232" i="41"/>
  <c r="D233" i="41"/>
  <c r="D234" i="41"/>
  <c r="D235" i="41"/>
  <c r="D236" i="41"/>
  <c r="D237" i="41"/>
  <c r="D238" i="41"/>
  <c r="D239" i="41"/>
  <c r="D240" i="41"/>
  <c r="D241" i="41"/>
  <c r="D242" i="41"/>
  <c r="D243" i="41"/>
  <c r="D244" i="41"/>
  <c r="D245" i="41"/>
  <c r="D246" i="41"/>
  <c r="D247" i="41"/>
  <c r="D248" i="41"/>
  <c r="D249" i="41"/>
  <c r="D250" i="41"/>
  <c r="D251" i="41"/>
  <c r="D252" i="41"/>
  <c r="D253" i="41"/>
  <c r="D254" i="41"/>
  <c r="D255" i="41"/>
  <c r="D256" i="41"/>
  <c r="D257" i="41"/>
  <c r="D258" i="41"/>
  <c r="D259" i="41"/>
  <c r="D260" i="41"/>
  <c r="D261" i="41"/>
  <c r="D262" i="41"/>
  <c r="D263" i="41"/>
  <c r="D264" i="41"/>
  <c r="D265" i="41"/>
  <c r="D266" i="41"/>
  <c r="D267" i="41"/>
  <c r="D268" i="41"/>
  <c r="D269" i="41"/>
  <c r="D270" i="41"/>
  <c r="D271" i="41"/>
  <c r="D272" i="41"/>
  <c r="D273" i="41"/>
  <c r="D274" i="41"/>
  <c r="D275" i="41"/>
  <c r="D276" i="41"/>
  <c r="D277" i="41"/>
  <c r="D278" i="41"/>
  <c r="D279" i="41"/>
  <c r="D280" i="41"/>
  <c r="D281" i="41"/>
  <c r="D282" i="41"/>
  <c r="D283" i="41"/>
  <c r="D284" i="41"/>
  <c r="D285" i="41"/>
  <c r="D286" i="41"/>
  <c r="D287" i="41"/>
  <c r="D288" i="41"/>
  <c r="D289" i="41"/>
  <c r="D290" i="41"/>
  <c r="D291" i="41"/>
  <c r="D292" i="41"/>
  <c r="D293" i="41"/>
  <c r="D294" i="41"/>
  <c r="D295" i="41"/>
  <c r="D296" i="41"/>
  <c r="D297" i="41"/>
  <c r="D298" i="41"/>
  <c r="D299" i="41"/>
  <c r="D300" i="41"/>
  <c r="D301" i="41"/>
  <c r="D302" i="41"/>
  <c r="D303" i="41"/>
  <c r="D304" i="41"/>
  <c r="D305" i="41"/>
  <c r="D306" i="41"/>
  <c r="D307" i="41"/>
  <c r="D308" i="41"/>
  <c r="D309" i="41"/>
  <c r="D310" i="41"/>
  <c r="D311" i="41"/>
  <c r="D312" i="41"/>
  <c r="D313" i="41"/>
  <c r="D314" i="41"/>
  <c r="D315" i="41"/>
  <c r="D316" i="41"/>
  <c r="D317" i="41"/>
  <c r="D318" i="41"/>
  <c r="D319" i="41"/>
  <c r="D320" i="41"/>
  <c r="D321" i="41"/>
  <c r="D322" i="41"/>
  <c r="D323" i="41"/>
  <c r="D324" i="41"/>
  <c r="D325" i="41"/>
  <c r="D326" i="41"/>
  <c r="D327" i="41"/>
  <c r="D328" i="41"/>
  <c r="D329" i="41"/>
  <c r="D330" i="41"/>
  <c r="D331" i="41"/>
  <c r="D332" i="41"/>
  <c r="D333" i="41"/>
  <c r="D334" i="41"/>
  <c r="D335" i="41"/>
  <c r="D336" i="41"/>
  <c r="D337" i="41"/>
  <c r="D338" i="41"/>
  <c r="D339" i="41"/>
  <c r="D340" i="41"/>
  <c r="D341" i="41"/>
  <c r="D342" i="41"/>
  <c r="D343" i="41"/>
  <c r="D344" i="41"/>
  <c r="D345" i="41"/>
  <c r="D346" i="41"/>
  <c r="D347" i="41"/>
  <c r="D348" i="41"/>
  <c r="D349" i="41"/>
  <c r="D350" i="41"/>
  <c r="D351" i="41"/>
  <c r="D352" i="41"/>
  <c r="D353" i="41"/>
  <c r="D354" i="41"/>
  <c r="D355" i="41"/>
  <c r="D356" i="41"/>
  <c r="D357" i="41"/>
  <c r="D358" i="41"/>
  <c r="D359" i="41"/>
  <c r="D360" i="41"/>
  <c r="D361" i="41"/>
  <c r="D362" i="41"/>
  <c r="D363" i="41"/>
  <c r="D364" i="41"/>
  <c r="D365" i="41"/>
  <c r="D366" i="41"/>
  <c r="D367" i="41"/>
  <c r="D368" i="41"/>
  <c r="D369" i="41"/>
  <c r="D370" i="41"/>
  <c r="D371" i="41"/>
  <c r="D372" i="41"/>
  <c r="D373" i="41"/>
  <c r="D374" i="41"/>
  <c r="D375" i="41"/>
  <c r="D376" i="41"/>
  <c r="D377" i="41"/>
  <c r="D378" i="41"/>
  <c r="D379" i="41"/>
  <c r="D380" i="41"/>
  <c r="D381" i="41"/>
  <c r="D382" i="41"/>
  <c r="D383" i="41"/>
  <c r="D384" i="41"/>
  <c r="D385" i="41"/>
  <c r="D386" i="41"/>
  <c r="D387" i="41"/>
  <c r="D388" i="41"/>
  <c r="D389" i="41"/>
  <c r="D390" i="41"/>
  <c r="D391" i="41"/>
  <c r="D392" i="41"/>
  <c r="D393" i="41"/>
  <c r="D394" i="41"/>
  <c r="D395" i="41"/>
  <c r="D396" i="41"/>
  <c r="D397" i="41"/>
  <c r="D398" i="41"/>
  <c r="D399" i="41"/>
  <c r="D400" i="41"/>
  <c r="D401" i="41"/>
  <c r="D402" i="41"/>
  <c r="D403" i="41"/>
  <c r="D404" i="41"/>
  <c r="D405" i="41"/>
  <c r="D406" i="41"/>
  <c r="D407" i="41"/>
  <c r="D408" i="41"/>
  <c r="D409" i="41"/>
  <c r="D410" i="41"/>
  <c r="D411" i="41"/>
  <c r="D412" i="41"/>
  <c r="D413" i="41"/>
  <c r="D414" i="41"/>
  <c r="D415" i="41"/>
  <c r="D416" i="41"/>
  <c r="D417" i="41"/>
  <c r="D418" i="41"/>
  <c r="D419" i="41"/>
  <c r="D420" i="41"/>
  <c r="D421" i="41"/>
  <c r="D422" i="41"/>
  <c r="D423" i="41"/>
  <c r="D424" i="41"/>
  <c r="D425" i="41"/>
  <c r="D426" i="41"/>
  <c r="D427" i="41"/>
  <c r="D428" i="41"/>
  <c r="D429" i="41"/>
  <c r="D430" i="41"/>
  <c r="D431" i="41"/>
  <c r="D432" i="41"/>
  <c r="D433" i="41"/>
  <c r="D434" i="41"/>
  <c r="D435" i="41"/>
  <c r="D436" i="41"/>
  <c r="D437" i="41"/>
  <c r="D438" i="41"/>
  <c r="D439" i="41"/>
  <c r="D440" i="41"/>
  <c r="D441" i="41"/>
  <c r="D442" i="41"/>
  <c r="D443" i="41"/>
  <c r="D444" i="41"/>
  <c r="D445" i="41"/>
  <c r="D446" i="41"/>
  <c r="D447" i="41"/>
  <c r="D448" i="41"/>
  <c r="D449" i="41"/>
  <c r="D450" i="41"/>
  <c r="D451" i="41"/>
  <c r="D452" i="41"/>
  <c r="D453" i="41"/>
  <c r="D454" i="41"/>
  <c r="D455" i="41"/>
  <c r="D456" i="41"/>
  <c r="D457" i="41"/>
  <c r="D458" i="41"/>
  <c r="D459" i="41"/>
  <c r="D460" i="41"/>
  <c r="D461" i="41"/>
  <c r="D462" i="41"/>
  <c r="D463" i="41"/>
  <c r="D464" i="41"/>
  <c r="D465" i="41"/>
  <c r="D466" i="41"/>
  <c r="D467" i="41"/>
  <c r="D468" i="41"/>
  <c r="D469" i="41"/>
  <c r="D470" i="41"/>
  <c r="D471" i="41"/>
  <c r="D472" i="41"/>
  <c r="D473" i="41"/>
  <c r="D474" i="41"/>
  <c r="D475" i="41"/>
  <c r="D476" i="41"/>
  <c r="D477" i="41"/>
  <c r="D478" i="41"/>
  <c r="D479" i="41"/>
  <c r="D480" i="41"/>
  <c r="D481" i="41"/>
  <c r="D482" i="41"/>
  <c r="D483" i="41"/>
  <c r="D484" i="41"/>
  <c r="D485" i="41"/>
  <c r="D486" i="41"/>
  <c r="D487" i="41"/>
  <c r="D488" i="41"/>
  <c r="D489" i="41"/>
  <c r="D490" i="41"/>
  <c r="D491" i="41"/>
  <c r="D492" i="41"/>
  <c r="D493" i="41"/>
  <c r="D494" i="41"/>
  <c r="D495" i="41"/>
  <c r="D496" i="41"/>
  <c r="D497" i="41"/>
  <c r="D498" i="41"/>
  <c r="D499" i="41"/>
  <c r="D500" i="41"/>
  <c r="D501" i="41"/>
  <c r="D502" i="41"/>
  <c r="D503" i="41"/>
  <c r="D504" i="41"/>
  <c r="D505" i="41"/>
  <c r="D506" i="41"/>
  <c r="D507" i="41"/>
  <c r="D508" i="41"/>
  <c r="D509" i="41"/>
  <c r="D510" i="41"/>
  <c r="D511" i="41"/>
  <c r="D512" i="41"/>
  <c r="D513" i="41"/>
  <c r="D514" i="41"/>
  <c r="D515" i="41"/>
  <c r="D516" i="41"/>
  <c r="D517" i="41"/>
  <c r="D518" i="41"/>
  <c r="D519" i="41"/>
  <c r="D520" i="41"/>
  <c r="D521" i="41"/>
  <c r="D522" i="41"/>
  <c r="D523" i="41"/>
  <c r="D524" i="41"/>
  <c r="D525" i="41"/>
  <c r="D526" i="41"/>
  <c r="D527" i="41"/>
  <c r="D528" i="41"/>
  <c r="D529" i="41"/>
  <c r="D530" i="41"/>
  <c r="D531" i="41"/>
  <c r="D532" i="41"/>
  <c r="D533" i="41"/>
  <c r="D534" i="41"/>
  <c r="D535" i="41"/>
  <c r="D536" i="41"/>
  <c r="D537" i="41"/>
  <c r="D538" i="41"/>
  <c r="D539" i="41"/>
  <c r="D540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49" i="41"/>
  <c r="C150" i="41"/>
  <c r="C151" i="41"/>
  <c r="C152" i="41"/>
  <c r="C153" i="41"/>
  <c r="C154" i="41"/>
  <c r="C155" i="41"/>
  <c r="C156" i="41"/>
  <c r="C157" i="41"/>
  <c r="C158" i="41"/>
  <c r="C159" i="41"/>
  <c r="C160" i="41"/>
  <c r="C161" i="41"/>
  <c r="C162" i="41"/>
  <c r="C163" i="41"/>
  <c r="C164" i="41"/>
  <c r="C165" i="41"/>
  <c r="C166" i="41"/>
  <c r="C167" i="4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C289" i="41"/>
  <c r="C290" i="41"/>
  <c r="C291" i="41"/>
  <c r="C292" i="41"/>
  <c r="C293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321" i="41"/>
  <c r="C322" i="41"/>
  <c r="C323" i="41"/>
  <c r="C324" i="41"/>
  <c r="C325" i="41"/>
  <c r="C326" i="41"/>
  <c r="C327" i="41"/>
  <c r="C328" i="41"/>
  <c r="C329" i="41"/>
  <c r="C330" i="41"/>
  <c r="C331" i="41"/>
  <c r="C332" i="41"/>
  <c r="C333" i="41"/>
  <c r="C334" i="41"/>
  <c r="C335" i="41"/>
  <c r="C336" i="41"/>
  <c r="C337" i="41"/>
  <c r="C338" i="41"/>
  <c r="C339" i="41"/>
  <c r="C340" i="41"/>
  <c r="C341" i="41"/>
  <c r="C342" i="41"/>
  <c r="C343" i="41"/>
  <c r="C344" i="41"/>
  <c r="C345" i="41"/>
  <c r="C346" i="41"/>
  <c r="C347" i="41"/>
  <c r="C348" i="41"/>
  <c r="C349" i="41"/>
  <c r="C350" i="41"/>
  <c r="C351" i="41"/>
  <c r="C352" i="41"/>
  <c r="C353" i="41"/>
  <c r="C354" i="41"/>
  <c r="C355" i="41"/>
  <c r="C356" i="41"/>
  <c r="C357" i="41"/>
  <c r="C358" i="41"/>
  <c r="C359" i="41"/>
  <c r="C360" i="41"/>
  <c r="C361" i="41"/>
  <c r="C362" i="41"/>
  <c r="C363" i="41"/>
  <c r="C364" i="41"/>
  <c r="C365" i="41"/>
  <c r="C366" i="41"/>
  <c r="C367" i="41"/>
  <c r="C368" i="41"/>
  <c r="C369" i="41"/>
  <c r="C370" i="41"/>
  <c r="C371" i="41"/>
  <c r="C372" i="41"/>
  <c r="C373" i="41"/>
  <c r="C374" i="41"/>
  <c r="C375" i="41"/>
  <c r="C376" i="41"/>
  <c r="C377" i="41"/>
  <c r="C378" i="41"/>
  <c r="C379" i="41"/>
  <c r="C380" i="41"/>
  <c r="C381" i="41"/>
  <c r="C382" i="41"/>
  <c r="C383" i="41"/>
  <c r="C384" i="41"/>
  <c r="C385" i="41"/>
  <c r="C386" i="41"/>
  <c r="C387" i="41"/>
  <c r="C388" i="41"/>
  <c r="C389" i="41"/>
  <c r="C390" i="41"/>
  <c r="C391" i="41"/>
  <c r="C392" i="41"/>
  <c r="C393" i="41"/>
  <c r="C394" i="41"/>
  <c r="C395" i="41"/>
  <c r="C396" i="41"/>
  <c r="C397" i="41"/>
  <c r="C398" i="41"/>
  <c r="C399" i="41"/>
  <c r="C400" i="41"/>
  <c r="C401" i="41"/>
  <c r="C402" i="41"/>
  <c r="C403" i="41"/>
  <c r="C404" i="41"/>
  <c r="C405" i="41"/>
  <c r="C406" i="41"/>
  <c r="C407" i="41"/>
  <c r="C408" i="41"/>
  <c r="C409" i="41"/>
  <c r="C410" i="41"/>
  <c r="C411" i="41"/>
  <c r="C412" i="41"/>
  <c r="C413" i="41"/>
  <c r="C414" i="41"/>
  <c r="C415" i="41"/>
  <c r="C416" i="41"/>
  <c r="C417" i="41"/>
  <c r="C418" i="41"/>
  <c r="C419" i="41"/>
  <c r="C420" i="41"/>
  <c r="C421" i="41"/>
  <c r="C422" i="41"/>
  <c r="C423" i="41"/>
  <c r="C424" i="41"/>
  <c r="C425" i="41"/>
  <c r="C426" i="41"/>
  <c r="C427" i="41"/>
  <c r="C428" i="41"/>
  <c r="C429" i="41"/>
  <c r="C430" i="41"/>
  <c r="C431" i="41"/>
  <c r="C432" i="41"/>
  <c r="C433" i="41"/>
  <c r="C434" i="41"/>
  <c r="C435" i="41"/>
  <c r="C436" i="41"/>
  <c r="C437" i="41"/>
  <c r="C438" i="41"/>
  <c r="C439" i="41"/>
  <c r="C440" i="41"/>
  <c r="C441" i="41"/>
  <c r="C442" i="41"/>
  <c r="C443" i="41"/>
  <c r="C444" i="41"/>
  <c r="C445" i="41"/>
  <c r="C446" i="41"/>
  <c r="C447" i="41"/>
  <c r="C448" i="41"/>
  <c r="C449" i="41"/>
  <c r="C450" i="41"/>
  <c r="C451" i="41"/>
  <c r="C452" i="41"/>
  <c r="C453" i="41"/>
  <c r="C454" i="41"/>
  <c r="C455" i="41"/>
  <c r="C456" i="41"/>
  <c r="C457" i="41"/>
  <c r="C458" i="41"/>
  <c r="C459" i="41"/>
  <c r="C460" i="41"/>
  <c r="C461" i="41"/>
  <c r="C462" i="41"/>
  <c r="C463" i="41"/>
  <c r="C464" i="41"/>
  <c r="C465" i="41"/>
  <c r="C466" i="41"/>
  <c r="C467" i="41"/>
  <c r="C468" i="41"/>
  <c r="C469" i="41"/>
  <c r="C470" i="41"/>
  <c r="C471" i="41"/>
  <c r="C472" i="41"/>
  <c r="C473" i="41"/>
  <c r="C474" i="41"/>
  <c r="C475" i="41"/>
  <c r="C476" i="41"/>
  <c r="C477" i="41"/>
  <c r="C478" i="41"/>
  <c r="C479" i="41"/>
  <c r="C480" i="41"/>
  <c r="C481" i="41"/>
  <c r="C482" i="41"/>
  <c r="C483" i="41"/>
  <c r="C484" i="41"/>
  <c r="C485" i="41"/>
  <c r="C486" i="41"/>
  <c r="C487" i="41"/>
  <c r="C488" i="41"/>
  <c r="C489" i="41"/>
  <c r="C490" i="41"/>
  <c r="C491" i="41"/>
  <c r="C492" i="41"/>
  <c r="C493" i="41"/>
  <c r="C494" i="41"/>
  <c r="C495" i="41"/>
  <c r="C496" i="41"/>
  <c r="C497" i="41"/>
  <c r="C498" i="41"/>
  <c r="C499" i="41"/>
  <c r="C500" i="41"/>
  <c r="C501" i="41"/>
  <c r="C502" i="41"/>
  <c r="C503" i="41"/>
  <c r="C504" i="41"/>
  <c r="C505" i="41"/>
  <c r="C506" i="41"/>
  <c r="C507" i="41"/>
  <c r="C508" i="41"/>
  <c r="C509" i="41"/>
  <c r="C510" i="41"/>
  <c r="C511" i="41"/>
  <c r="C512" i="41"/>
  <c r="C513" i="41"/>
  <c r="C514" i="41"/>
  <c r="C515" i="41"/>
  <c r="C516" i="41"/>
  <c r="C517" i="41"/>
  <c r="C518" i="41"/>
  <c r="C519" i="41"/>
  <c r="C520" i="41"/>
  <c r="C521" i="41"/>
  <c r="C522" i="41"/>
  <c r="C523" i="41"/>
  <c r="C524" i="41"/>
  <c r="C525" i="41"/>
  <c r="C526" i="41"/>
  <c r="C527" i="41"/>
  <c r="C528" i="41"/>
  <c r="C529" i="41"/>
  <c r="C530" i="41"/>
  <c r="C531" i="41"/>
  <c r="C532" i="41"/>
  <c r="C533" i="41"/>
  <c r="C534" i="41"/>
  <c r="C535" i="41"/>
  <c r="C536" i="41"/>
  <c r="C537" i="41"/>
  <c r="C538" i="41"/>
  <c r="C539" i="41"/>
  <c r="C540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K370" i="41" s="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K395" i="41" s="1"/>
  <c r="B396" i="41"/>
  <c r="B397" i="41"/>
  <c r="B398" i="41"/>
  <c r="B399" i="41"/>
  <c r="B400" i="41"/>
  <c r="B401" i="41"/>
  <c r="B402" i="41"/>
  <c r="K402" i="41" s="1"/>
  <c r="B403" i="41"/>
  <c r="B404" i="41"/>
  <c r="B405" i="41"/>
  <c r="B406" i="41"/>
  <c r="B407" i="41"/>
  <c r="B408" i="41"/>
  <c r="B409" i="41"/>
  <c r="B410" i="41"/>
  <c r="B411" i="41"/>
  <c r="B412" i="41"/>
  <c r="K412" i="41" s="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7" i="41"/>
  <c r="B428" i="41"/>
  <c r="B429" i="41"/>
  <c r="B430" i="41"/>
  <c r="B431" i="41"/>
  <c r="B432" i="41"/>
  <c r="B433" i="41"/>
  <c r="B434" i="41"/>
  <c r="B435" i="41"/>
  <c r="B436" i="41"/>
  <c r="B437" i="41"/>
  <c r="B438" i="41"/>
  <c r="B439" i="41"/>
  <c r="B440" i="41"/>
  <c r="B441" i="41"/>
  <c r="B442" i="41"/>
  <c r="B443" i="41"/>
  <c r="B444" i="41"/>
  <c r="B445" i="41"/>
  <c r="B446" i="41"/>
  <c r="B447" i="41"/>
  <c r="B448" i="41"/>
  <c r="B449" i="41"/>
  <c r="B450" i="41"/>
  <c r="B451" i="41"/>
  <c r="B452" i="41"/>
  <c r="B453" i="41"/>
  <c r="B454" i="41"/>
  <c r="B455" i="41"/>
  <c r="B456" i="41"/>
  <c r="B457" i="41"/>
  <c r="B458" i="41"/>
  <c r="B459" i="41"/>
  <c r="B460" i="41"/>
  <c r="B461" i="41"/>
  <c r="B462" i="41"/>
  <c r="B463" i="41"/>
  <c r="B464" i="41"/>
  <c r="B465" i="41"/>
  <c r="B466" i="41"/>
  <c r="B467" i="41"/>
  <c r="B468" i="41"/>
  <c r="B469" i="41"/>
  <c r="K469" i="41" s="1"/>
  <c r="B470" i="41"/>
  <c r="B471" i="41"/>
  <c r="B472" i="41"/>
  <c r="B473" i="41"/>
  <c r="B474" i="41"/>
  <c r="B475" i="41"/>
  <c r="B476" i="41"/>
  <c r="B477" i="41"/>
  <c r="B478" i="41"/>
  <c r="B479" i="41"/>
  <c r="B480" i="41"/>
  <c r="B481" i="41"/>
  <c r="B482" i="41"/>
  <c r="B483" i="41"/>
  <c r="B484" i="41"/>
  <c r="B485" i="41"/>
  <c r="B486" i="41"/>
  <c r="B487" i="41"/>
  <c r="B488" i="41"/>
  <c r="B489" i="41"/>
  <c r="B490" i="41"/>
  <c r="B491" i="41"/>
  <c r="B492" i="41"/>
  <c r="B493" i="41"/>
  <c r="B494" i="41"/>
  <c r="B495" i="41"/>
  <c r="B496" i="41"/>
  <c r="B497" i="41"/>
  <c r="B498" i="41"/>
  <c r="B499" i="41"/>
  <c r="B500" i="41"/>
  <c r="B501" i="41"/>
  <c r="B502" i="41"/>
  <c r="B503" i="41"/>
  <c r="B504" i="41"/>
  <c r="B505" i="41"/>
  <c r="B506" i="41"/>
  <c r="B507" i="41"/>
  <c r="B508" i="41"/>
  <c r="B509" i="41"/>
  <c r="B510" i="41"/>
  <c r="B511" i="41"/>
  <c r="B512" i="41"/>
  <c r="B513" i="41"/>
  <c r="B514" i="41"/>
  <c r="B515" i="41"/>
  <c r="B516" i="41"/>
  <c r="K516" i="41" s="1"/>
  <c r="B517" i="41"/>
  <c r="B518" i="41"/>
  <c r="B519" i="41"/>
  <c r="B520" i="41"/>
  <c r="B521" i="41"/>
  <c r="B522" i="41"/>
  <c r="B523" i="41"/>
  <c r="B524" i="41"/>
  <c r="B525" i="41"/>
  <c r="B526" i="41"/>
  <c r="B527" i="41"/>
  <c r="B528" i="41"/>
  <c r="B529" i="41"/>
  <c r="B530" i="41"/>
  <c r="B531" i="41"/>
  <c r="B532" i="41"/>
  <c r="B533" i="41"/>
  <c r="B534" i="41"/>
  <c r="B535" i="41"/>
  <c r="B536" i="41"/>
  <c r="B537" i="41"/>
  <c r="B538" i="41"/>
  <c r="K538" i="41" s="1"/>
  <c r="B539" i="41"/>
  <c r="B540" i="41"/>
  <c r="B5" i="41"/>
  <c r="H517" i="41" l="1"/>
  <c r="G517" i="41" a="1"/>
  <c r="G517" i="41" s="1"/>
  <c r="H509" i="41"/>
  <c r="G509" i="41" a="1"/>
  <c r="G509" i="41" s="1"/>
  <c r="H501" i="41"/>
  <c r="G501" i="41" a="1"/>
  <c r="G501" i="41" s="1"/>
  <c r="H493" i="41"/>
  <c r="G493" i="41" a="1"/>
  <c r="G493" i="41" s="1"/>
  <c r="H485" i="41"/>
  <c r="G485" i="41" a="1"/>
  <c r="G485" i="41" s="1"/>
  <c r="H477" i="41"/>
  <c r="G477" i="41" a="1"/>
  <c r="G477" i="41" s="1"/>
  <c r="H469" i="41"/>
  <c r="G469" i="41" a="1"/>
  <c r="G469" i="41" s="1"/>
  <c r="H461" i="41"/>
  <c r="G461" i="41" a="1"/>
  <c r="G461" i="41" s="1"/>
  <c r="H453" i="41"/>
  <c r="G453" i="41" a="1"/>
  <c r="G453" i="41" s="1"/>
  <c r="H445" i="41"/>
  <c r="G445" i="41" a="1"/>
  <c r="G445" i="41" s="1"/>
  <c r="H437" i="41"/>
  <c r="G437" i="41" a="1"/>
  <c r="G437" i="41" s="1"/>
  <c r="H429" i="41"/>
  <c r="G429" i="41" a="1"/>
  <c r="G429" i="41" s="1"/>
  <c r="H421" i="41"/>
  <c r="G421" i="41" a="1"/>
  <c r="G421" i="41" s="1"/>
  <c r="H413" i="41"/>
  <c r="G413" i="41" a="1"/>
  <c r="G413" i="41" s="1"/>
  <c r="H405" i="41"/>
  <c r="G405" i="41" a="1"/>
  <c r="G405" i="41" s="1"/>
  <c r="H397" i="41"/>
  <c r="G397" i="41" a="1"/>
  <c r="G397" i="41" s="1"/>
  <c r="H389" i="41"/>
  <c r="G389" i="41" a="1"/>
  <c r="G389" i="41" s="1"/>
  <c r="H381" i="41"/>
  <c r="G381" i="41" a="1"/>
  <c r="G381" i="41" s="1"/>
  <c r="H373" i="41"/>
  <c r="G373" i="41" a="1"/>
  <c r="G373" i="41" s="1"/>
  <c r="H365" i="41"/>
  <c r="G365" i="41" a="1"/>
  <c r="G365" i="41" s="1"/>
  <c r="H357" i="41"/>
  <c r="G357" i="41" a="1"/>
  <c r="G357" i="41" s="1"/>
  <c r="H349" i="41"/>
  <c r="G349" i="41" a="1"/>
  <c r="G349" i="41" s="1"/>
  <c r="H341" i="41"/>
  <c r="G341" i="41" a="1"/>
  <c r="G341" i="41" s="1"/>
  <c r="H333" i="41"/>
  <c r="G333" i="41" a="1"/>
  <c r="G333" i="41" s="1"/>
  <c r="H325" i="41"/>
  <c r="G325" i="41" a="1"/>
  <c r="G325" i="41" s="1"/>
  <c r="H317" i="41"/>
  <c r="G317" i="41" a="1"/>
  <c r="G317" i="41" s="1"/>
  <c r="H309" i="41"/>
  <c r="G309" i="41" a="1"/>
  <c r="G309" i="41" s="1"/>
  <c r="H301" i="41"/>
  <c r="G301" i="41" a="1"/>
  <c r="G301" i="41" s="1"/>
  <c r="H293" i="41"/>
  <c r="G293" i="41" a="1"/>
  <c r="G293" i="41" s="1"/>
  <c r="H285" i="41"/>
  <c r="G285" i="41" a="1"/>
  <c r="G285" i="41" s="1"/>
  <c r="H277" i="41"/>
  <c r="G277" i="41" a="1"/>
  <c r="G277" i="41" s="1"/>
  <c r="H269" i="41"/>
  <c r="G269" i="41" a="1"/>
  <c r="G269" i="41" s="1"/>
  <c r="H261" i="41"/>
  <c r="G261" i="41" a="1"/>
  <c r="G261" i="41" s="1"/>
  <c r="H253" i="41"/>
  <c r="G253" i="41" a="1"/>
  <c r="G253" i="41" s="1"/>
  <c r="H245" i="41"/>
  <c r="G245" i="41" a="1"/>
  <c r="G245" i="41" s="1"/>
  <c r="H237" i="41"/>
  <c r="G237" i="41" a="1"/>
  <c r="G237" i="41" s="1"/>
  <c r="H229" i="41"/>
  <c r="G229" i="41" a="1"/>
  <c r="G229" i="41" s="1"/>
  <c r="G221" i="41" a="1"/>
  <c r="G221" i="41" s="1"/>
  <c r="H221" i="41"/>
  <c r="G213" i="41" a="1"/>
  <c r="G213" i="41" s="1"/>
  <c r="H213" i="41"/>
  <c r="G205" i="41" a="1"/>
  <c r="G205" i="41" s="1"/>
  <c r="H205" i="41"/>
  <c r="I205" i="41" s="1"/>
  <c r="G197" i="41" a="1"/>
  <c r="G197" i="41" s="1"/>
  <c r="H197" i="41"/>
  <c r="I197" i="41" s="1"/>
  <c r="G189" i="41" a="1"/>
  <c r="G189" i="41" s="1"/>
  <c r="H189" i="41"/>
  <c r="G181" i="41" a="1"/>
  <c r="G181" i="41" s="1"/>
  <c r="H181" i="41"/>
  <c r="G173" i="41" a="1"/>
  <c r="G173" i="41" s="1"/>
  <c r="H173" i="41"/>
  <c r="H165" i="41"/>
  <c r="G165" i="41" a="1"/>
  <c r="G165" i="41" s="1"/>
  <c r="G157" i="41" a="1"/>
  <c r="G157" i="41" s="1"/>
  <c r="H157" i="41"/>
  <c r="G149" i="41" a="1"/>
  <c r="G149" i="41" s="1"/>
  <c r="H149" i="41"/>
  <c r="G141" i="41" a="1"/>
  <c r="G141" i="41" s="1"/>
  <c r="H141" i="41"/>
  <c r="G133" i="41" a="1"/>
  <c r="G133" i="41" s="1"/>
  <c r="H133" i="41"/>
  <c r="I133" i="41" s="1"/>
  <c r="H125" i="41"/>
  <c r="G125" i="41" a="1"/>
  <c r="G125" i="41" s="1"/>
  <c r="H117" i="41"/>
  <c r="G117" i="41" a="1"/>
  <c r="G117" i="41" s="1"/>
  <c r="H109" i="41"/>
  <c r="G109" i="41" a="1"/>
  <c r="G109" i="41" s="1"/>
  <c r="H101" i="41"/>
  <c r="G101" i="41" a="1"/>
  <c r="G101" i="41" s="1"/>
  <c r="H93" i="41"/>
  <c r="G93" i="41" a="1"/>
  <c r="G93" i="41" s="1"/>
  <c r="H85" i="41"/>
  <c r="G85" i="41" a="1"/>
  <c r="G85" i="41" s="1"/>
  <c r="H77" i="41"/>
  <c r="G77" i="41" a="1"/>
  <c r="G77" i="41" s="1"/>
  <c r="H69" i="41"/>
  <c r="G69" i="41" a="1"/>
  <c r="G69" i="41" s="1"/>
  <c r="G61" i="41" a="1"/>
  <c r="G61" i="41" s="1"/>
  <c r="H61" i="41"/>
  <c r="H53" i="41"/>
  <c r="G53" i="41" a="1"/>
  <c r="G53" i="41" s="1"/>
  <c r="G45" i="41" a="1"/>
  <c r="G45" i="41" s="1"/>
  <c r="H45" i="41"/>
  <c r="G37" i="41" a="1"/>
  <c r="G37" i="41" s="1"/>
  <c r="H37" i="41"/>
  <c r="G29" i="41" a="1"/>
  <c r="G29" i="41" s="1"/>
  <c r="H29" i="41"/>
  <c r="H21" i="41"/>
  <c r="G21" i="41" a="1"/>
  <c r="G21" i="41" s="1"/>
  <c r="G13" i="41" a="1"/>
  <c r="G13" i="41" s="1"/>
  <c r="H13" i="41"/>
  <c r="H524" i="41"/>
  <c r="G524" i="41" a="1"/>
  <c r="G524" i="41" s="1"/>
  <c r="H476" i="41"/>
  <c r="G476" i="41" a="1"/>
  <c r="G476" i="41" s="1"/>
  <c r="H468" i="41"/>
  <c r="G468" i="41" a="1"/>
  <c r="G468" i="41" s="1"/>
  <c r="H460" i="41"/>
  <c r="G460" i="41" a="1"/>
  <c r="G460" i="41" s="1"/>
  <c r="H452" i="41"/>
  <c r="G452" i="41" a="1"/>
  <c r="G452" i="41" s="1"/>
  <c r="H444" i="41"/>
  <c r="G444" i="41" a="1"/>
  <c r="G444" i="41" s="1"/>
  <c r="H436" i="41"/>
  <c r="G436" i="41" a="1"/>
  <c r="G436" i="41" s="1"/>
  <c r="H428" i="41"/>
  <c r="G428" i="41" a="1"/>
  <c r="G428" i="41" s="1"/>
  <c r="H420" i="41"/>
  <c r="G420" i="41" a="1"/>
  <c r="G420" i="41" s="1"/>
  <c r="H412" i="41"/>
  <c r="G412" i="41" a="1"/>
  <c r="G412" i="41" s="1"/>
  <c r="H404" i="41"/>
  <c r="G404" i="41" a="1"/>
  <c r="G404" i="41" s="1"/>
  <c r="H396" i="41"/>
  <c r="G396" i="41" a="1"/>
  <c r="G396" i="41" s="1"/>
  <c r="H388" i="41"/>
  <c r="G388" i="41" a="1"/>
  <c r="G388" i="41" s="1"/>
  <c r="H380" i="41"/>
  <c r="G380" i="41" a="1"/>
  <c r="G380" i="41" s="1"/>
  <c r="H372" i="41"/>
  <c r="G372" i="41" a="1"/>
  <c r="G372" i="41" s="1"/>
  <c r="H364" i="41"/>
  <c r="G364" i="41" a="1"/>
  <c r="G364" i="41" s="1"/>
  <c r="H356" i="41"/>
  <c r="G356" i="41" a="1"/>
  <c r="G356" i="41" s="1"/>
  <c r="H348" i="41"/>
  <c r="G348" i="41" a="1"/>
  <c r="G348" i="41" s="1"/>
  <c r="H340" i="41"/>
  <c r="G340" i="41" a="1"/>
  <c r="G340" i="41" s="1"/>
  <c r="H332" i="41"/>
  <c r="G332" i="41" a="1"/>
  <c r="G332" i="41" s="1"/>
  <c r="H324" i="41"/>
  <c r="G324" i="41" a="1"/>
  <c r="G324" i="41" s="1"/>
  <c r="H316" i="41"/>
  <c r="G316" i="41" a="1"/>
  <c r="G316" i="41" s="1"/>
  <c r="H308" i="41"/>
  <c r="G308" i="41" a="1"/>
  <c r="G308" i="41" s="1"/>
  <c r="H300" i="41"/>
  <c r="G300" i="41" a="1"/>
  <c r="G300" i="41" s="1"/>
  <c r="H292" i="41"/>
  <c r="G292" i="41" a="1"/>
  <c r="G292" i="41" s="1"/>
  <c r="H284" i="41"/>
  <c r="G284" i="41" a="1"/>
  <c r="G284" i="41" s="1"/>
  <c r="H276" i="41"/>
  <c r="G276" i="41" a="1"/>
  <c r="G276" i="41" s="1"/>
  <c r="H268" i="41"/>
  <c r="G268" i="41" a="1"/>
  <c r="G268" i="41" s="1"/>
  <c r="H260" i="41"/>
  <c r="G260" i="41" a="1"/>
  <c r="G260" i="41" s="1"/>
  <c r="H252" i="41"/>
  <c r="G252" i="41" a="1"/>
  <c r="G252" i="41" s="1"/>
  <c r="H244" i="41"/>
  <c r="G244" i="41" a="1"/>
  <c r="G244" i="41" s="1"/>
  <c r="H236" i="41"/>
  <c r="G236" i="41" a="1"/>
  <c r="G236" i="41" s="1"/>
  <c r="H228" i="41"/>
  <c r="G228" i="41" a="1"/>
  <c r="G228" i="41" s="1"/>
  <c r="H220" i="41"/>
  <c r="G220" i="41" a="1"/>
  <c r="G220" i="41" s="1"/>
  <c r="G212" i="41" a="1"/>
  <c r="G212" i="41" s="1"/>
  <c r="H212" i="41"/>
  <c r="H204" i="41"/>
  <c r="G204" i="41" a="1"/>
  <c r="G204" i="41" s="1"/>
  <c r="G196" i="41" a="1"/>
  <c r="G196" i="41" s="1"/>
  <c r="H196" i="41"/>
  <c r="I196" i="41" s="1"/>
  <c r="H188" i="41"/>
  <c r="G188" i="41" a="1"/>
  <c r="G188" i="41" s="1"/>
  <c r="H180" i="41"/>
  <c r="G180" i="41" a="1"/>
  <c r="G180" i="41" s="1"/>
  <c r="H172" i="41"/>
  <c r="G172" i="41" a="1"/>
  <c r="G172" i="41" s="1"/>
  <c r="H164" i="41"/>
  <c r="G164" i="41" a="1"/>
  <c r="G164" i="41" s="1"/>
  <c r="H156" i="41"/>
  <c r="G156" i="41" a="1"/>
  <c r="G156" i="41" s="1"/>
  <c r="H148" i="41"/>
  <c r="G148" i="41" a="1"/>
  <c r="G148" i="41" s="1"/>
  <c r="H140" i="41"/>
  <c r="G140" i="41" a="1"/>
  <c r="G140" i="41" s="1"/>
  <c r="G132" i="41" a="1"/>
  <c r="G132" i="41" s="1"/>
  <c r="H132" i="41"/>
  <c r="I132" i="41" s="1"/>
  <c r="H124" i="41"/>
  <c r="G124" i="41" a="1"/>
  <c r="G124" i="41" s="1"/>
  <c r="H116" i="41"/>
  <c r="G116" i="41" a="1"/>
  <c r="G116" i="41" s="1"/>
  <c r="H108" i="41"/>
  <c r="G108" i="41" a="1"/>
  <c r="G108" i="41" s="1"/>
  <c r="H100" i="41"/>
  <c r="G100" i="41" a="1"/>
  <c r="G100" i="41" s="1"/>
  <c r="H92" i="41"/>
  <c r="G92" i="41" a="1"/>
  <c r="G92" i="41" s="1"/>
  <c r="H84" i="41"/>
  <c r="G84" i="41" a="1"/>
  <c r="G84" i="41" s="1"/>
  <c r="H76" i="41"/>
  <c r="G76" i="41" a="1"/>
  <c r="G76" i="41" s="1"/>
  <c r="H68" i="41"/>
  <c r="G68" i="41" a="1"/>
  <c r="G68" i="41" s="1"/>
  <c r="H60" i="41"/>
  <c r="G60" i="41" a="1"/>
  <c r="G60" i="41" s="1"/>
  <c r="H52" i="41"/>
  <c r="G52" i="41" a="1"/>
  <c r="G52" i="41" s="1"/>
  <c r="G44" i="41" a="1"/>
  <c r="G44" i="41" s="1"/>
  <c r="H44" i="41"/>
  <c r="H36" i="41"/>
  <c r="G36" i="41" a="1"/>
  <c r="G36" i="41" s="1"/>
  <c r="H28" i="41"/>
  <c r="G28" i="41" a="1"/>
  <c r="G28" i="41" s="1"/>
  <c r="G20" i="41" a="1"/>
  <c r="G20" i="41" s="1"/>
  <c r="H20" i="41"/>
  <c r="H12" i="41"/>
  <c r="G12" i="41" a="1"/>
  <c r="G12" i="41" s="1"/>
  <c r="H527" i="41"/>
  <c r="G527" i="41" a="1"/>
  <c r="G527" i="41" s="1"/>
  <c r="G534" i="41" a="1"/>
  <c r="G534" i="41" s="1"/>
  <c r="H534" i="41"/>
  <c r="H510" i="41"/>
  <c r="G510" i="41" a="1"/>
  <c r="G510" i="41" s="1"/>
  <c r="H486" i="41"/>
  <c r="G486" i="41" a="1"/>
  <c r="G486" i="41" s="1"/>
  <c r="H478" i="41"/>
  <c r="G478" i="41" a="1"/>
  <c r="G478" i="41" s="1"/>
  <c r="H454" i="41"/>
  <c r="G454" i="41" a="1"/>
  <c r="G454" i="41" s="1"/>
  <c r="H438" i="41"/>
  <c r="G438" i="41" a="1"/>
  <c r="G438" i="41" s="1"/>
  <c r="H414" i="41"/>
  <c r="G414" i="41" a="1"/>
  <c r="G414" i="41" s="1"/>
  <c r="H406" i="41"/>
  <c r="G406" i="41" a="1"/>
  <c r="G406" i="41" s="1"/>
  <c r="H382" i="41"/>
  <c r="G382" i="41" a="1"/>
  <c r="G382" i="41" s="1"/>
  <c r="H374" i="41"/>
  <c r="G374" i="41" a="1"/>
  <c r="G374" i="41" s="1"/>
  <c r="H350" i="41"/>
  <c r="G350" i="41" a="1"/>
  <c r="G350" i="41" s="1"/>
  <c r="H326" i="41"/>
  <c r="G326" i="41" a="1"/>
  <c r="G326" i="41" s="1"/>
  <c r="H318" i="41"/>
  <c r="G318" i="41" a="1"/>
  <c r="G318" i="41" s="1"/>
  <c r="H302" i="41"/>
  <c r="G302" i="41" a="1"/>
  <c r="G302" i="41" s="1"/>
  <c r="H270" i="41"/>
  <c r="G270" i="41" a="1"/>
  <c r="G270" i="41" s="1"/>
  <c r="H262" i="41"/>
  <c r="G262" i="41" a="1"/>
  <c r="G262" i="41" s="1"/>
  <c r="H246" i="41"/>
  <c r="G246" i="41" a="1"/>
  <c r="G246" i="41" s="1"/>
  <c r="H222" i="41"/>
  <c r="G222" i="41" a="1"/>
  <c r="G222" i="41" s="1"/>
  <c r="G198" i="41" a="1"/>
  <c r="G198" i="41" s="1"/>
  <c r="H198" i="41"/>
  <c r="H182" i="41"/>
  <c r="G182" i="41" a="1"/>
  <c r="G182" i="41" s="1"/>
  <c r="H158" i="41"/>
  <c r="G158" i="41" a="1"/>
  <c r="G158" i="41" s="1"/>
  <c r="H142" i="41"/>
  <c r="G142" i="41" a="1"/>
  <c r="G142" i="41" s="1"/>
  <c r="H118" i="41"/>
  <c r="G118" i="41" a="1"/>
  <c r="G118" i="41" s="1"/>
  <c r="H102" i="41"/>
  <c r="G102" i="41" a="1"/>
  <c r="G102" i="41" s="1"/>
  <c r="G86" i="41" a="1"/>
  <c r="G86" i="41" s="1"/>
  <c r="H86" i="41"/>
  <c r="G70" i="41" a="1"/>
  <c r="G70" i="41" s="1"/>
  <c r="H70" i="41"/>
  <c r="G54" i="41" a="1"/>
  <c r="G54" i="41" s="1"/>
  <c r="H54" i="41"/>
  <c r="I54" i="41" s="1"/>
  <c r="H38" i="41"/>
  <c r="G38" i="41" a="1"/>
  <c r="G38" i="41" s="1"/>
  <c r="G22" i="41" a="1"/>
  <c r="G22" i="41" s="1"/>
  <c r="H22" i="41"/>
  <c r="H6" i="41"/>
  <c r="G6" i="41" a="1"/>
  <c r="G6" i="41" s="1"/>
  <c r="G523" i="41" a="1"/>
  <c r="G523" i="41" s="1"/>
  <c r="H523" i="41"/>
  <c r="H515" i="41"/>
  <c r="G515" i="41" a="1"/>
  <c r="G515" i="41" s="1"/>
  <c r="H507" i="41"/>
  <c r="G507" i="41" a="1"/>
  <c r="G507" i="41" s="1"/>
  <c r="G499" i="41" a="1"/>
  <c r="G499" i="41" s="1"/>
  <c r="H499" i="41"/>
  <c r="H491" i="41"/>
  <c r="G491" i="41" a="1"/>
  <c r="G491" i="41" s="1"/>
  <c r="H483" i="41"/>
  <c r="G483" i="41" a="1"/>
  <c r="G483" i="41" s="1"/>
  <c r="H475" i="41"/>
  <c r="G475" i="41" a="1"/>
  <c r="G475" i="41" s="1"/>
  <c r="H467" i="41"/>
  <c r="G467" i="41" a="1"/>
  <c r="G467" i="41" s="1"/>
  <c r="H459" i="41"/>
  <c r="G459" i="41" a="1"/>
  <c r="G459" i="41" s="1"/>
  <c r="H451" i="41"/>
  <c r="G451" i="41" a="1"/>
  <c r="G451" i="41" s="1"/>
  <c r="H443" i="41"/>
  <c r="G443" i="41" a="1"/>
  <c r="G443" i="41" s="1"/>
  <c r="H435" i="41"/>
  <c r="G435" i="41" a="1"/>
  <c r="G435" i="41" s="1"/>
  <c r="H427" i="41"/>
  <c r="G427" i="41" a="1"/>
  <c r="G427" i="41" s="1"/>
  <c r="H419" i="41"/>
  <c r="G419" i="41" a="1"/>
  <c r="G419" i="41" s="1"/>
  <c r="H411" i="41"/>
  <c r="G411" i="41" a="1"/>
  <c r="G411" i="41" s="1"/>
  <c r="H403" i="41"/>
  <c r="G403" i="41" a="1"/>
  <c r="G403" i="41" s="1"/>
  <c r="H395" i="41"/>
  <c r="G395" i="41" a="1"/>
  <c r="G395" i="41" s="1"/>
  <c r="H387" i="41"/>
  <c r="G387" i="41" a="1"/>
  <c r="G387" i="41" s="1"/>
  <c r="H379" i="41"/>
  <c r="G379" i="41" a="1"/>
  <c r="G379" i="41" s="1"/>
  <c r="H371" i="41"/>
  <c r="G371" i="41" a="1"/>
  <c r="G371" i="41" s="1"/>
  <c r="H363" i="41"/>
  <c r="G363" i="41" a="1"/>
  <c r="G363" i="41" s="1"/>
  <c r="H355" i="41"/>
  <c r="G355" i="41" a="1"/>
  <c r="G355" i="41" s="1"/>
  <c r="H347" i="41"/>
  <c r="G347" i="41" a="1"/>
  <c r="G347" i="41" s="1"/>
  <c r="H339" i="41"/>
  <c r="G339" i="41" a="1"/>
  <c r="G339" i="41" s="1"/>
  <c r="H331" i="41"/>
  <c r="G331" i="41" a="1"/>
  <c r="G331" i="41" s="1"/>
  <c r="H323" i="41"/>
  <c r="G323" i="41" a="1"/>
  <c r="G323" i="41" s="1"/>
  <c r="G315" i="41" a="1"/>
  <c r="G315" i="41" s="1"/>
  <c r="H315" i="41"/>
  <c r="H307" i="41"/>
  <c r="G307" i="41" a="1"/>
  <c r="G307" i="41" s="1"/>
  <c r="H299" i="41"/>
  <c r="G299" i="41" a="1"/>
  <c r="G299" i="41" s="1"/>
  <c r="H291" i="41"/>
  <c r="G291" i="41" a="1"/>
  <c r="G291" i="41" s="1"/>
  <c r="H283" i="41"/>
  <c r="G283" i="41" a="1"/>
  <c r="G283" i="41" s="1"/>
  <c r="H275" i="41"/>
  <c r="G275" i="41" a="1"/>
  <c r="G275" i="41" s="1"/>
  <c r="H267" i="41"/>
  <c r="G267" i="41" a="1"/>
  <c r="G267" i="41" s="1"/>
  <c r="H259" i="41"/>
  <c r="G259" i="41" a="1"/>
  <c r="G259" i="41" s="1"/>
  <c r="H251" i="41"/>
  <c r="G251" i="41" a="1"/>
  <c r="G251" i="41" s="1"/>
  <c r="H243" i="41"/>
  <c r="G243" i="41" a="1"/>
  <c r="G243" i="41" s="1"/>
  <c r="H235" i="41"/>
  <c r="G235" i="41" a="1"/>
  <c r="G235" i="41" s="1"/>
  <c r="H227" i="41"/>
  <c r="G227" i="41" a="1"/>
  <c r="G227" i="41" s="1"/>
  <c r="H219" i="41"/>
  <c r="G219" i="41" a="1"/>
  <c r="G219" i="41" s="1"/>
  <c r="H211" i="41"/>
  <c r="G211" i="41" a="1"/>
  <c r="G211" i="41" s="1"/>
  <c r="H203" i="41"/>
  <c r="G203" i="41" a="1"/>
  <c r="G203" i="41" s="1"/>
  <c r="H195" i="41"/>
  <c r="G195" i="41" a="1"/>
  <c r="G195" i="41" s="1"/>
  <c r="H187" i="41"/>
  <c r="G187" i="41" a="1"/>
  <c r="G187" i="41" s="1"/>
  <c r="H179" i="41"/>
  <c r="G179" i="41" a="1"/>
  <c r="G179" i="41" s="1"/>
  <c r="H171" i="41"/>
  <c r="G171" i="41" a="1"/>
  <c r="G171" i="41" s="1"/>
  <c r="H163" i="41"/>
  <c r="G163" i="41" a="1"/>
  <c r="G163" i="41" s="1"/>
  <c r="G155" i="41" a="1"/>
  <c r="G155" i="41" s="1"/>
  <c r="H155" i="41"/>
  <c r="H147" i="41"/>
  <c r="G147" i="41" a="1"/>
  <c r="G147" i="41" s="1"/>
  <c r="H139" i="41"/>
  <c r="G139" i="41" a="1"/>
  <c r="G139" i="41" s="1"/>
  <c r="G131" i="41" a="1"/>
  <c r="G131" i="41" s="1"/>
  <c r="H131" i="41"/>
  <c r="H123" i="41"/>
  <c r="G123" i="41" a="1"/>
  <c r="G123" i="41" s="1"/>
  <c r="G115" i="41" a="1"/>
  <c r="G115" i="41" s="1"/>
  <c r="H115" i="41"/>
  <c r="H107" i="41"/>
  <c r="G107" i="41" a="1"/>
  <c r="G107" i="41" s="1"/>
  <c r="H99" i="41"/>
  <c r="G99" i="41" a="1"/>
  <c r="G99" i="41" s="1"/>
  <c r="H91" i="41"/>
  <c r="G91" i="41" a="1"/>
  <c r="G91" i="41" s="1"/>
  <c r="H83" i="41"/>
  <c r="G83" i="41" a="1"/>
  <c r="G83" i="41" s="1"/>
  <c r="H75" i="41"/>
  <c r="G75" i="41" a="1"/>
  <c r="G75" i="41" s="1"/>
  <c r="G67" i="41" a="1"/>
  <c r="G67" i="41" s="1"/>
  <c r="H67" i="41"/>
  <c r="G59" i="41" a="1"/>
  <c r="G59" i="41" s="1"/>
  <c r="H59" i="41"/>
  <c r="H51" i="41"/>
  <c r="G51" i="41" a="1"/>
  <c r="G51" i="41" s="1"/>
  <c r="H43" i="41"/>
  <c r="G43" i="41" a="1"/>
  <c r="G43" i="41" s="1"/>
  <c r="G35" i="41" a="1"/>
  <c r="G35" i="41" s="1"/>
  <c r="H35" i="41"/>
  <c r="H27" i="41"/>
  <c r="G27" i="41" a="1"/>
  <c r="G27" i="41" s="1"/>
  <c r="H19" i="41"/>
  <c r="G19" i="41" a="1"/>
  <c r="G19" i="41" s="1"/>
  <c r="H11" i="41"/>
  <c r="G11" i="41" a="1"/>
  <c r="G11" i="41" s="1"/>
  <c r="H518" i="41"/>
  <c r="G518" i="41" a="1"/>
  <c r="G518" i="41" s="1"/>
  <c r="H430" i="41"/>
  <c r="G430" i="41" a="1"/>
  <c r="G430" i="41" s="1"/>
  <c r="H358" i="41"/>
  <c r="G358" i="41" a="1"/>
  <c r="G358" i="41" s="1"/>
  <c r="H286" i="41"/>
  <c r="G286" i="41" a="1"/>
  <c r="G286" i="41" s="1"/>
  <c r="H230" i="41"/>
  <c r="G230" i="41" a="1"/>
  <c r="G230" i="41" s="1"/>
  <c r="H174" i="41"/>
  <c r="G174" i="41" a="1"/>
  <c r="G174" i="41" s="1"/>
  <c r="H134" i="41"/>
  <c r="G134" i="41" a="1"/>
  <c r="G134" i="41" s="1"/>
  <c r="G94" i="41" a="1"/>
  <c r="G94" i="41" s="1"/>
  <c r="H94" i="41"/>
  <c r="H62" i="41"/>
  <c r="G62" i="41" a="1"/>
  <c r="G62" i="41" s="1"/>
  <c r="H46" i="41"/>
  <c r="G46" i="41" a="1"/>
  <c r="G46" i="41" s="1"/>
  <c r="H30" i="41"/>
  <c r="G30" i="41" a="1"/>
  <c r="G30" i="41" s="1"/>
  <c r="H14" i="41"/>
  <c r="G14" i="41" a="1"/>
  <c r="G14" i="41" s="1"/>
  <c r="H500" i="41"/>
  <c r="G500" i="41" a="1"/>
  <c r="G500" i="41" s="1"/>
  <c r="H506" i="41"/>
  <c r="G506" i="41" a="1"/>
  <c r="G506" i="41" s="1"/>
  <c r="H474" i="41"/>
  <c r="G474" i="41" a="1"/>
  <c r="G474" i="41" s="1"/>
  <c r="H466" i="41"/>
  <c r="G466" i="41" a="1"/>
  <c r="G466" i="41" s="1"/>
  <c r="H458" i="41"/>
  <c r="G458" i="41" a="1"/>
  <c r="G458" i="41" s="1"/>
  <c r="G450" i="41" a="1"/>
  <c r="G450" i="41" s="1"/>
  <c r="H450" i="41"/>
  <c r="H442" i="41"/>
  <c r="G442" i="41" a="1"/>
  <c r="G442" i="41" s="1"/>
  <c r="H434" i="41"/>
  <c r="G434" i="41" a="1"/>
  <c r="G434" i="41" s="1"/>
  <c r="G426" i="41" a="1"/>
  <c r="G426" i="41" s="1"/>
  <c r="H426" i="41"/>
  <c r="H418" i="41"/>
  <c r="G418" i="41" a="1"/>
  <c r="G418" i="41" s="1"/>
  <c r="H410" i="41"/>
  <c r="G410" i="41" a="1"/>
  <c r="G410" i="41" s="1"/>
  <c r="H402" i="41"/>
  <c r="G402" i="41" a="1"/>
  <c r="G402" i="41" s="1"/>
  <c r="H394" i="41"/>
  <c r="G394" i="41" a="1"/>
  <c r="G394" i="41" s="1"/>
  <c r="H386" i="41"/>
  <c r="G386" i="41" a="1"/>
  <c r="G386" i="41" s="1"/>
  <c r="H378" i="41"/>
  <c r="G378" i="41" a="1"/>
  <c r="G378" i="41" s="1"/>
  <c r="H370" i="41"/>
  <c r="G370" i="41" a="1"/>
  <c r="G370" i="41" s="1"/>
  <c r="H362" i="41"/>
  <c r="G362" i="41" a="1"/>
  <c r="G362" i="41" s="1"/>
  <c r="H354" i="41"/>
  <c r="G354" i="41" a="1"/>
  <c r="G354" i="41" s="1"/>
  <c r="H346" i="41"/>
  <c r="G346" i="41" a="1"/>
  <c r="G346" i="41" s="1"/>
  <c r="H338" i="41"/>
  <c r="G338" i="41" a="1"/>
  <c r="G338" i="41" s="1"/>
  <c r="H330" i="41"/>
  <c r="G330" i="41" a="1"/>
  <c r="G330" i="41" s="1"/>
  <c r="H322" i="41"/>
  <c r="G322" i="41" a="1"/>
  <c r="G322" i="41" s="1"/>
  <c r="H314" i="41"/>
  <c r="G314" i="41" a="1"/>
  <c r="G314" i="41" s="1"/>
  <c r="H306" i="41"/>
  <c r="G306" i="41" a="1"/>
  <c r="G306" i="41" s="1"/>
  <c r="H298" i="41"/>
  <c r="G298" i="41" a="1"/>
  <c r="G298" i="41" s="1"/>
  <c r="H290" i="41"/>
  <c r="G290" i="41" a="1"/>
  <c r="G290" i="41" s="1"/>
  <c r="H282" i="41"/>
  <c r="G282" i="41" a="1"/>
  <c r="G282" i="41" s="1"/>
  <c r="H274" i="41"/>
  <c r="G274" i="41" a="1"/>
  <c r="G274" i="41" s="1"/>
  <c r="H266" i="41"/>
  <c r="G266" i="41" a="1"/>
  <c r="G266" i="41" s="1"/>
  <c r="H258" i="41"/>
  <c r="G258" i="41" a="1"/>
  <c r="G258" i="41" s="1"/>
  <c r="H250" i="41"/>
  <c r="G250" i="41" a="1"/>
  <c r="G250" i="41" s="1"/>
  <c r="H242" i="41"/>
  <c r="G242" i="41" a="1"/>
  <c r="G242" i="41" s="1"/>
  <c r="H234" i="41"/>
  <c r="G234" i="41" a="1"/>
  <c r="G234" i="41" s="1"/>
  <c r="H226" i="41"/>
  <c r="G226" i="41" a="1"/>
  <c r="G226" i="41" s="1"/>
  <c r="H218" i="41"/>
  <c r="G218" i="41" a="1"/>
  <c r="G218" i="41" s="1"/>
  <c r="H210" i="41"/>
  <c r="G210" i="41" a="1"/>
  <c r="G210" i="41" s="1"/>
  <c r="H202" i="41"/>
  <c r="G202" i="41" a="1"/>
  <c r="G202" i="41" s="1"/>
  <c r="G194" i="41" a="1"/>
  <c r="G194" i="41" s="1"/>
  <c r="H194" i="41"/>
  <c r="H186" i="41"/>
  <c r="G186" i="41" a="1"/>
  <c r="G186" i="41" s="1"/>
  <c r="H178" i="41"/>
  <c r="G178" i="41" a="1"/>
  <c r="G178" i="41" s="1"/>
  <c r="H170" i="41"/>
  <c r="G170" i="41" a="1"/>
  <c r="G170" i="41" s="1"/>
  <c r="H162" i="41"/>
  <c r="G162" i="41" a="1"/>
  <c r="G162" i="41" s="1"/>
  <c r="H154" i="41"/>
  <c r="G154" i="41" a="1"/>
  <c r="G154" i="41" s="1"/>
  <c r="H146" i="41"/>
  <c r="G146" i="41" a="1"/>
  <c r="G146" i="41" s="1"/>
  <c r="H138" i="41"/>
  <c r="G138" i="41" a="1"/>
  <c r="G138" i="41" s="1"/>
  <c r="H130" i="41"/>
  <c r="G130" i="41" a="1"/>
  <c r="G130" i="41" s="1"/>
  <c r="H122" i="41"/>
  <c r="G122" i="41" a="1"/>
  <c r="G122" i="41" s="1"/>
  <c r="G114" i="41" a="1"/>
  <c r="G114" i="41" s="1"/>
  <c r="H114" i="41"/>
  <c r="I114" i="41" s="1"/>
  <c r="H106" i="41"/>
  <c r="G106" i="41" a="1"/>
  <c r="G106" i="41" s="1"/>
  <c r="G98" i="41" a="1"/>
  <c r="G98" i="41" s="1"/>
  <c r="H98" i="41"/>
  <c r="H90" i="41"/>
  <c r="G90" i="41" a="1"/>
  <c r="G90" i="41" s="1"/>
  <c r="G82" i="41" a="1"/>
  <c r="G82" i="41" s="1"/>
  <c r="H82" i="41"/>
  <c r="I82" i="41" s="1"/>
  <c r="H74" i="41"/>
  <c r="G74" i="41" a="1"/>
  <c r="G74" i="41" s="1"/>
  <c r="H66" i="41"/>
  <c r="G66" i="41" a="1"/>
  <c r="G66" i="41" s="1"/>
  <c r="H58" i="41"/>
  <c r="G58" i="41" a="1"/>
  <c r="G58" i="41" s="1"/>
  <c r="H50" i="41"/>
  <c r="G50" i="41" a="1"/>
  <c r="G50" i="41" s="1"/>
  <c r="H42" i="41"/>
  <c r="G42" i="41" a="1"/>
  <c r="G42" i="41" s="1"/>
  <c r="H34" i="41"/>
  <c r="G34" i="41" a="1"/>
  <c r="G34" i="41" s="1"/>
  <c r="H26" i="41"/>
  <c r="G26" i="41" a="1"/>
  <c r="G26" i="41" s="1"/>
  <c r="H18" i="41"/>
  <c r="G18" i="41" a="1"/>
  <c r="G18" i="41" s="1"/>
  <c r="H10" i="41"/>
  <c r="G10" i="41" a="1"/>
  <c r="G10" i="41" s="1"/>
  <c r="H521" i="41"/>
  <c r="G521" i="41" a="1"/>
  <c r="G521" i="41" s="1"/>
  <c r="H481" i="41"/>
  <c r="G481" i="41" a="1"/>
  <c r="G481" i="41" s="1"/>
  <c r="H473" i="41"/>
  <c r="G473" i="41" a="1"/>
  <c r="G473" i="41" s="1"/>
  <c r="H465" i="41"/>
  <c r="G465" i="41" a="1"/>
  <c r="G465" i="41" s="1"/>
  <c r="H457" i="41"/>
  <c r="G457" i="41" a="1"/>
  <c r="G457" i="41" s="1"/>
  <c r="H449" i="41"/>
  <c r="G449" i="41" a="1"/>
  <c r="G449" i="41" s="1"/>
  <c r="H441" i="41"/>
  <c r="G441" i="41" a="1"/>
  <c r="G441" i="41" s="1"/>
  <c r="H433" i="41"/>
  <c r="G433" i="41" a="1"/>
  <c r="G433" i="41" s="1"/>
  <c r="H425" i="41"/>
  <c r="G425" i="41" a="1"/>
  <c r="G425" i="41" s="1"/>
  <c r="H417" i="41"/>
  <c r="G417" i="41" a="1"/>
  <c r="G417" i="41" s="1"/>
  <c r="H409" i="41"/>
  <c r="G409" i="41" a="1"/>
  <c r="G409" i="41" s="1"/>
  <c r="H401" i="41"/>
  <c r="G401" i="41" a="1"/>
  <c r="G401" i="41" s="1"/>
  <c r="H393" i="41"/>
  <c r="G393" i="41" a="1"/>
  <c r="G393" i="41" s="1"/>
  <c r="H385" i="41"/>
  <c r="G385" i="41" a="1"/>
  <c r="G385" i="41" s="1"/>
  <c r="H377" i="41"/>
  <c r="G377" i="41" a="1"/>
  <c r="G377" i="41" s="1"/>
  <c r="H369" i="41"/>
  <c r="G369" i="41" a="1"/>
  <c r="G369" i="41" s="1"/>
  <c r="H361" i="41"/>
  <c r="G361" i="41" a="1"/>
  <c r="G361" i="41" s="1"/>
  <c r="H353" i="41"/>
  <c r="G353" i="41" a="1"/>
  <c r="G353" i="41" s="1"/>
  <c r="H345" i="41"/>
  <c r="G345" i="41" a="1"/>
  <c r="G345" i="41" s="1"/>
  <c r="H337" i="41"/>
  <c r="G337" i="41" a="1"/>
  <c r="G337" i="41" s="1"/>
  <c r="H329" i="41"/>
  <c r="G329" i="41" a="1"/>
  <c r="G329" i="41" s="1"/>
  <c r="H321" i="41"/>
  <c r="G321" i="41" a="1"/>
  <c r="G321" i="41" s="1"/>
  <c r="H313" i="41"/>
  <c r="G313" i="41" a="1"/>
  <c r="G313" i="41" s="1"/>
  <c r="H305" i="41"/>
  <c r="G305" i="41" a="1"/>
  <c r="G305" i="41" s="1"/>
  <c r="H297" i="41"/>
  <c r="G297" i="41" a="1"/>
  <c r="G297" i="41" s="1"/>
  <c r="H289" i="41"/>
  <c r="G289" i="41" a="1"/>
  <c r="G289" i="41" s="1"/>
  <c r="H281" i="41"/>
  <c r="G281" i="41" a="1"/>
  <c r="G281" i="41" s="1"/>
  <c r="H273" i="41"/>
  <c r="G273" i="41" a="1"/>
  <c r="G273" i="41" s="1"/>
  <c r="H265" i="41"/>
  <c r="G265" i="41" a="1"/>
  <c r="G265" i="41" s="1"/>
  <c r="H257" i="41"/>
  <c r="G257" i="41" a="1"/>
  <c r="G257" i="41" s="1"/>
  <c r="H249" i="41"/>
  <c r="G249" i="41" a="1"/>
  <c r="G249" i="41" s="1"/>
  <c r="H241" i="41"/>
  <c r="G241" i="41" a="1"/>
  <c r="G241" i="41" s="1"/>
  <c r="H233" i="41"/>
  <c r="G233" i="41" a="1"/>
  <c r="G233" i="41" s="1"/>
  <c r="H225" i="41"/>
  <c r="G225" i="41" a="1"/>
  <c r="G225" i="41" s="1"/>
  <c r="H217" i="41"/>
  <c r="G217" i="41" a="1"/>
  <c r="G217" i="41" s="1"/>
  <c r="H209" i="41"/>
  <c r="G209" i="41" a="1"/>
  <c r="G209" i="41" s="1"/>
  <c r="H201" i="41"/>
  <c r="G201" i="41" a="1"/>
  <c r="G201" i="41" s="1"/>
  <c r="H193" i="41"/>
  <c r="G193" i="41" a="1"/>
  <c r="G193" i="41" s="1"/>
  <c r="G185" i="41" a="1"/>
  <c r="G185" i="41" s="1"/>
  <c r="H185" i="41"/>
  <c r="I185" i="41" s="1"/>
  <c r="H177" i="41"/>
  <c r="G177" i="41" a="1"/>
  <c r="G177" i="41" s="1"/>
  <c r="H169" i="41"/>
  <c r="G169" i="41" a="1"/>
  <c r="G169" i="41" s="1"/>
  <c r="H161" i="41"/>
  <c r="G161" i="41" a="1"/>
  <c r="G161" i="41" s="1"/>
  <c r="H153" i="41"/>
  <c r="G153" i="41" a="1"/>
  <c r="G153" i="41" s="1"/>
  <c r="H145" i="41"/>
  <c r="G145" i="41" a="1"/>
  <c r="G145" i="41" s="1"/>
  <c r="H137" i="41"/>
  <c r="G137" i="41" a="1"/>
  <c r="G137" i="41" s="1"/>
  <c r="H129" i="41"/>
  <c r="G129" i="41" a="1"/>
  <c r="G129" i="41" s="1"/>
  <c r="G121" i="41" a="1"/>
  <c r="G121" i="41" s="1"/>
  <c r="H121" i="41"/>
  <c r="I121" i="41" s="1"/>
  <c r="G113" i="41" a="1"/>
  <c r="G113" i="41" s="1"/>
  <c r="H113" i="41"/>
  <c r="I113" i="41" s="1"/>
  <c r="H105" i="41"/>
  <c r="G105" i="41" a="1"/>
  <c r="G105" i="41" s="1"/>
  <c r="G97" i="41" a="1"/>
  <c r="G97" i="41" s="1"/>
  <c r="H97" i="41"/>
  <c r="I97" i="41" s="1"/>
  <c r="G89" i="41" a="1"/>
  <c r="G89" i="41" s="1"/>
  <c r="H89" i="41"/>
  <c r="I89" i="41" s="1"/>
  <c r="H81" i="41"/>
  <c r="G81" i="41" a="1"/>
  <c r="G81" i="41" s="1"/>
  <c r="H73" i="41"/>
  <c r="G73" i="41" a="1"/>
  <c r="G73" i="41" s="1"/>
  <c r="H65" i="41"/>
  <c r="G65" i="41" a="1"/>
  <c r="G65" i="41" s="1"/>
  <c r="G57" i="41" a="1"/>
  <c r="G57" i="41" s="1"/>
  <c r="H57" i="41"/>
  <c r="H49" i="41"/>
  <c r="G49" i="41" a="1"/>
  <c r="G49" i="41" s="1"/>
  <c r="H41" i="41"/>
  <c r="G41" i="41" a="1"/>
  <c r="G41" i="41" s="1"/>
  <c r="H33" i="41"/>
  <c r="G33" i="41" a="1"/>
  <c r="G33" i="41" s="1"/>
  <c r="H25" i="41"/>
  <c r="G25" i="41" a="1"/>
  <c r="G25" i="41" s="1"/>
  <c r="H17" i="41"/>
  <c r="G17" i="41" a="1"/>
  <c r="G17" i="41" s="1"/>
  <c r="G9" i="41" a="1"/>
  <c r="G9" i="41" s="1"/>
  <c r="H9" i="41"/>
  <c r="H535" i="41"/>
  <c r="G535" i="41" a="1"/>
  <c r="G535" i="41" s="1"/>
  <c r="H526" i="41"/>
  <c r="G526" i="41" a="1"/>
  <c r="G526" i="41" s="1"/>
  <c r="H502" i="41"/>
  <c r="G502" i="41" a="1"/>
  <c r="G502" i="41" s="1"/>
  <c r="H494" i="41"/>
  <c r="G494" i="41" a="1"/>
  <c r="G494" i="41" s="1"/>
  <c r="H470" i="41"/>
  <c r="G470" i="41" a="1"/>
  <c r="G470" i="41" s="1"/>
  <c r="H462" i="41"/>
  <c r="G462" i="41" a="1"/>
  <c r="G462" i="41" s="1"/>
  <c r="H446" i="41"/>
  <c r="G446" i="41" a="1"/>
  <c r="G446" i="41" s="1"/>
  <c r="H422" i="41"/>
  <c r="G422" i="41" a="1"/>
  <c r="G422" i="41" s="1"/>
  <c r="H398" i="41"/>
  <c r="G398" i="41" a="1"/>
  <c r="G398" i="41" s="1"/>
  <c r="H390" i="41"/>
  <c r="G390" i="41" a="1"/>
  <c r="G390" i="41" s="1"/>
  <c r="H366" i="41"/>
  <c r="G366" i="41" a="1"/>
  <c r="G366" i="41" s="1"/>
  <c r="H342" i="41"/>
  <c r="G342" i="41" a="1"/>
  <c r="G342" i="41" s="1"/>
  <c r="H334" i="41"/>
  <c r="G334" i="41" a="1"/>
  <c r="G334" i="41" s="1"/>
  <c r="H310" i="41"/>
  <c r="G310" i="41" a="1"/>
  <c r="G310" i="41" s="1"/>
  <c r="H294" i="41"/>
  <c r="G294" i="41" a="1"/>
  <c r="G294" i="41" s="1"/>
  <c r="H278" i="41"/>
  <c r="G278" i="41" a="1"/>
  <c r="G278" i="41" s="1"/>
  <c r="H254" i="41"/>
  <c r="G254" i="41" a="1"/>
  <c r="G254" i="41" s="1"/>
  <c r="H238" i="41"/>
  <c r="G238" i="41" a="1"/>
  <c r="G238" i="41" s="1"/>
  <c r="G214" i="41" a="1"/>
  <c r="G214" i="41" s="1"/>
  <c r="H214" i="41"/>
  <c r="I214" i="41" s="1"/>
  <c r="H206" i="41"/>
  <c r="G206" i="41" a="1"/>
  <c r="G206" i="41" s="1"/>
  <c r="H190" i="41"/>
  <c r="G190" i="41" a="1"/>
  <c r="G190" i="41" s="1"/>
  <c r="G166" i="41" a="1"/>
  <c r="G166" i="41" s="1"/>
  <c r="H166" i="41"/>
  <c r="I166" i="41" s="1"/>
  <c r="G150" i="41" a="1"/>
  <c r="G150" i="41" s="1"/>
  <c r="H150" i="41"/>
  <c r="I150" i="41" s="1"/>
  <c r="G126" i="41" a="1"/>
  <c r="G126" i="41" s="1"/>
  <c r="H126" i="41"/>
  <c r="H110" i="41"/>
  <c r="G110" i="41" a="1"/>
  <c r="G110" i="41" s="1"/>
  <c r="G78" i="41" a="1"/>
  <c r="G78" i="41" s="1"/>
  <c r="H78" i="41"/>
  <c r="I78" i="41" s="1"/>
  <c r="H5" i="41"/>
  <c r="G5" i="41" a="1"/>
  <c r="G5" i="41" s="1"/>
  <c r="H533" i="41"/>
  <c r="G533" i="41" a="1"/>
  <c r="G533" i="41" s="1"/>
  <c r="H525" i="41"/>
  <c r="G525" i="41" a="1"/>
  <c r="G525" i="41" s="1"/>
  <c r="H540" i="41"/>
  <c r="G540" i="41" a="1"/>
  <c r="G540" i="41" s="1"/>
  <c r="H532" i="41"/>
  <c r="G532" i="41" a="1"/>
  <c r="G532" i="41" s="1"/>
  <c r="H516" i="41"/>
  <c r="G516" i="41" a="1"/>
  <c r="G516" i="41" s="1"/>
  <c r="H508" i="41"/>
  <c r="G508" i="41" a="1"/>
  <c r="G508" i="41" s="1"/>
  <c r="H492" i="41"/>
  <c r="G492" i="41" a="1"/>
  <c r="G492" i="41" s="1"/>
  <c r="H484" i="41"/>
  <c r="G484" i="41" a="1"/>
  <c r="G484" i="41" s="1"/>
  <c r="H539" i="41"/>
  <c r="G539" i="41" a="1"/>
  <c r="G539" i="41" s="1"/>
  <c r="H531" i="41"/>
  <c r="G531" i="41" a="1"/>
  <c r="G531" i="41" s="1"/>
  <c r="H538" i="41"/>
  <c r="G538" i="41" a="1"/>
  <c r="G538" i="41" s="1"/>
  <c r="H530" i="41"/>
  <c r="G530" i="41" a="1"/>
  <c r="G530" i="41" s="1"/>
  <c r="H522" i="41"/>
  <c r="G522" i="41" a="1"/>
  <c r="G522" i="41" s="1"/>
  <c r="H514" i="41"/>
  <c r="G514" i="41" a="1"/>
  <c r="G514" i="41" s="1"/>
  <c r="H498" i="41"/>
  <c r="G498" i="41" a="1"/>
  <c r="G498" i="41" s="1"/>
  <c r="H490" i="41"/>
  <c r="G490" i="41" a="1"/>
  <c r="G490" i="41" s="1"/>
  <c r="H482" i="41"/>
  <c r="G482" i="41" a="1"/>
  <c r="G482" i="41" s="1"/>
  <c r="H537" i="41"/>
  <c r="G537" i="41" a="1"/>
  <c r="G537" i="41" s="1"/>
  <c r="H529" i="41"/>
  <c r="G529" i="41" a="1"/>
  <c r="G529" i="41" s="1"/>
  <c r="H513" i="41"/>
  <c r="G513" i="41" a="1"/>
  <c r="G513" i="41" s="1"/>
  <c r="H505" i="41"/>
  <c r="G505" i="41" a="1"/>
  <c r="G505" i="41" s="1"/>
  <c r="H497" i="41"/>
  <c r="G497" i="41" a="1"/>
  <c r="G497" i="41" s="1"/>
  <c r="H489" i="41"/>
  <c r="G489" i="41" a="1"/>
  <c r="G489" i="41" s="1"/>
  <c r="H536" i="41"/>
  <c r="G536" i="41" a="1"/>
  <c r="G536" i="41" s="1"/>
  <c r="H528" i="41"/>
  <c r="G528" i="41" a="1"/>
  <c r="G528" i="41" s="1"/>
  <c r="H520" i="41"/>
  <c r="G520" i="41" a="1"/>
  <c r="G520" i="41" s="1"/>
  <c r="H512" i="41"/>
  <c r="G512" i="41" a="1"/>
  <c r="G512" i="41" s="1"/>
  <c r="H504" i="41"/>
  <c r="G504" i="41" a="1"/>
  <c r="G504" i="41" s="1"/>
  <c r="H496" i="41"/>
  <c r="G496" i="41" a="1"/>
  <c r="G496" i="41" s="1"/>
  <c r="H488" i="41"/>
  <c r="G488" i="41" a="1"/>
  <c r="G488" i="41" s="1"/>
  <c r="H480" i="41"/>
  <c r="G480" i="41" a="1"/>
  <c r="G480" i="41" s="1"/>
  <c r="H472" i="41"/>
  <c r="G472" i="41" a="1"/>
  <c r="G472" i="41" s="1"/>
  <c r="H464" i="41"/>
  <c r="G464" i="41" a="1"/>
  <c r="G464" i="41" s="1"/>
  <c r="H456" i="41"/>
  <c r="G456" i="41" a="1"/>
  <c r="G456" i="41" s="1"/>
  <c r="H448" i="41"/>
  <c r="G448" i="41" a="1"/>
  <c r="G448" i="41" s="1"/>
  <c r="H440" i="41"/>
  <c r="G440" i="41" a="1"/>
  <c r="G440" i="41" s="1"/>
  <c r="H432" i="41"/>
  <c r="G432" i="41" a="1"/>
  <c r="G432" i="41" s="1"/>
  <c r="H424" i="41"/>
  <c r="G424" i="41" a="1"/>
  <c r="G424" i="41" s="1"/>
  <c r="H416" i="41"/>
  <c r="G416" i="41" a="1"/>
  <c r="G416" i="41" s="1"/>
  <c r="H408" i="41"/>
  <c r="G408" i="41" a="1"/>
  <c r="G408" i="41" s="1"/>
  <c r="H400" i="41"/>
  <c r="G400" i="41" a="1"/>
  <c r="G400" i="41" s="1"/>
  <c r="H392" i="41"/>
  <c r="G392" i="41" a="1"/>
  <c r="G392" i="41" s="1"/>
  <c r="H384" i="41"/>
  <c r="G384" i="41" a="1"/>
  <c r="G384" i="41" s="1"/>
  <c r="H376" i="41"/>
  <c r="G376" i="41" a="1"/>
  <c r="G376" i="41" s="1"/>
  <c r="H368" i="41"/>
  <c r="G368" i="41" a="1"/>
  <c r="G368" i="41" s="1"/>
  <c r="H360" i="41"/>
  <c r="G360" i="41" a="1"/>
  <c r="G360" i="41" s="1"/>
  <c r="H352" i="41"/>
  <c r="G352" i="41" a="1"/>
  <c r="G352" i="41" s="1"/>
  <c r="H344" i="41"/>
  <c r="G344" i="41" a="1"/>
  <c r="G344" i="41" s="1"/>
  <c r="H336" i="41"/>
  <c r="G336" i="41" a="1"/>
  <c r="G336" i="41" s="1"/>
  <c r="G328" i="41" a="1"/>
  <c r="G328" i="41" s="1"/>
  <c r="H328" i="41"/>
  <c r="I328" i="41" s="1"/>
  <c r="H320" i="41"/>
  <c r="G320" i="41" a="1"/>
  <c r="G320" i="41" s="1"/>
  <c r="H312" i="41"/>
  <c r="G312" i="41" a="1"/>
  <c r="G312" i="41" s="1"/>
  <c r="H304" i="41"/>
  <c r="G304" i="41" a="1"/>
  <c r="G304" i="41" s="1"/>
  <c r="H296" i="41"/>
  <c r="G296" i="41" a="1"/>
  <c r="G296" i="41" s="1"/>
  <c r="H288" i="41"/>
  <c r="G288" i="41" a="1"/>
  <c r="G288" i="41" s="1"/>
  <c r="H280" i="41"/>
  <c r="G280" i="41" a="1"/>
  <c r="G280" i="41" s="1"/>
  <c r="H272" i="41"/>
  <c r="G272" i="41" a="1"/>
  <c r="G272" i="41" s="1"/>
  <c r="H264" i="41"/>
  <c r="G264" i="41" a="1"/>
  <c r="G264" i="41" s="1"/>
  <c r="H256" i="41"/>
  <c r="G256" i="41" a="1"/>
  <c r="G256" i="41" s="1"/>
  <c r="H248" i="41"/>
  <c r="G248" i="41" a="1"/>
  <c r="G248" i="41" s="1"/>
  <c r="H240" i="41"/>
  <c r="G240" i="41" a="1"/>
  <c r="G240" i="41" s="1"/>
  <c r="G232" i="41" a="1"/>
  <c r="G232" i="41" s="1"/>
  <c r="H232" i="41"/>
  <c r="I232" i="41" s="1"/>
  <c r="H224" i="41"/>
  <c r="G224" i="41" a="1"/>
  <c r="G224" i="41" s="1"/>
  <c r="H216" i="41"/>
  <c r="G216" i="41" a="1"/>
  <c r="G216" i="41" s="1"/>
  <c r="H208" i="41"/>
  <c r="G208" i="41" a="1"/>
  <c r="G208" i="41" s="1"/>
  <c r="H200" i="41"/>
  <c r="G200" i="41" a="1"/>
  <c r="G200" i="41" s="1"/>
  <c r="H192" i="41"/>
  <c r="G192" i="41" a="1"/>
  <c r="G192" i="41" s="1"/>
  <c r="H184" i="41"/>
  <c r="G184" i="41" a="1"/>
  <c r="G184" i="41" s="1"/>
  <c r="H176" i="41"/>
  <c r="G176" i="41" a="1"/>
  <c r="G176" i="41" s="1"/>
  <c r="H168" i="41"/>
  <c r="G168" i="41" a="1"/>
  <c r="G168" i="41" s="1"/>
  <c r="H160" i="41"/>
  <c r="G160" i="41" a="1"/>
  <c r="G160" i="41" s="1"/>
  <c r="H152" i="41"/>
  <c r="G152" i="41" a="1"/>
  <c r="G152" i="41" s="1"/>
  <c r="H144" i="41"/>
  <c r="G144" i="41" a="1"/>
  <c r="G144" i="41" s="1"/>
  <c r="H136" i="41"/>
  <c r="G136" i="41" a="1"/>
  <c r="G136" i="41" s="1"/>
  <c r="H128" i="41"/>
  <c r="G128" i="41" a="1"/>
  <c r="G128" i="41" s="1"/>
  <c r="H120" i="41"/>
  <c r="G120" i="41" a="1"/>
  <c r="G120" i="41" s="1"/>
  <c r="H112" i="41"/>
  <c r="G112" i="41" a="1"/>
  <c r="G112" i="41" s="1"/>
  <c r="H104" i="41"/>
  <c r="G104" i="41" a="1"/>
  <c r="G104" i="41" s="1"/>
  <c r="H96" i="41"/>
  <c r="G96" i="41" a="1"/>
  <c r="G96" i="41" s="1"/>
  <c r="H88" i="41"/>
  <c r="G88" i="41" a="1"/>
  <c r="G88" i="41" s="1"/>
  <c r="H80" i="41"/>
  <c r="G80" i="41" a="1"/>
  <c r="G80" i="41" s="1"/>
  <c r="H72" i="41"/>
  <c r="G72" i="41" a="1"/>
  <c r="G72" i="41" s="1"/>
  <c r="H64" i="41"/>
  <c r="G64" i="41" a="1"/>
  <c r="G64" i="41" s="1"/>
  <c r="H56" i="41"/>
  <c r="G56" i="41" a="1"/>
  <c r="G56" i="41" s="1"/>
  <c r="H48" i="41"/>
  <c r="G48" i="41" a="1"/>
  <c r="G48" i="41" s="1"/>
  <c r="G40" i="41" a="1"/>
  <c r="G40" i="41" s="1"/>
  <c r="H40" i="41"/>
  <c r="I40" i="41" s="1"/>
  <c r="H32" i="41"/>
  <c r="G32" i="41" a="1"/>
  <c r="G32" i="41" s="1"/>
  <c r="H24" i="41"/>
  <c r="G24" i="41" a="1"/>
  <c r="G24" i="41" s="1"/>
  <c r="H16" i="41"/>
  <c r="G16" i="41" a="1"/>
  <c r="G16" i="41" s="1"/>
  <c r="G8" i="41" a="1"/>
  <c r="G8" i="41" s="1"/>
  <c r="H8" i="41"/>
  <c r="H519" i="41"/>
  <c r="G519" i="41" a="1"/>
  <c r="G519" i="41" s="1"/>
  <c r="H511" i="41"/>
  <c r="G511" i="41" a="1"/>
  <c r="G511" i="41" s="1"/>
  <c r="H503" i="41"/>
  <c r="G503" i="41" a="1"/>
  <c r="G503" i="41" s="1"/>
  <c r="H495" i="41"/>
  <c r="G495" i="41" a="1"/>
  <c r="G495" i="41" s="1"/>
  <c r="H487" i="41"/>
  <c r="G487" i="41" a="1"/>
  <c r="G487" i="41" s="1"/>
  <c r="H479" i="41"/>
  <c r="G479" i="41" a="1"/>
  <c r="G479" i="41" s="1"/>
  <c r="H471" i="41"/>
  <c r="G471" i="41" a="1"/>
  <c r="G471" i="41" s="1"/>
  <c r="G463" i="41" a="1"/>
  <c r="G463" i="41" s="1"/>
  <c r="H463" i="41"/>
  <c r="I463" i="41" s="1"/>
  <c r="H455" i="41"/>
  <c r="G455" i="41" a="1"/>
  <c r="G455" i="41" s="1"/>
  <c r="H447" i="41"/>
  <c r="G447" i="41" a="1"/>
  <c r="G447" i="41" s="1"/>
  <c r="H439" i="41"/>
  <c r="G439" i="41" a="1"/>
  <c r="G439" i="41" s="1"/>
  <c r="H431" i="41"/>
  <c r="G431" i="41" a="1"/>
  <c r="G431" i="41" s="1"/>
  <c r="H423" i="41"/>
  <c r="G423" i="41" a="1"/>
  <c r="G423" i="41" s="1"/>
  <c r="H415" i="41"/>
  <c r="G415" i="41" a="1"/>
  <c r="G415" i="41" s="1"/>
  <c r="H407" i="41"/>
  <c r="G407" i="41" a="1"/>
  <c r="G407" i="41" s="1"/>
  <c r="H399" i="41"/>
  <c r="G399" i="41" a="1"/>
  <c r="G399" i="41" s="1"/>
  <c r="H391" i="41"/>
  <c r="G391" i="41" a="1"/>
  <c r="G391" i="41" s="1"/>
  <c r="H383" i="41"/>
  <c r="G383" i="41" a="1"/>
  <c r="G383" i="41" s="1"/>
  <c r="H375" i="41"/>
  <c r="G375" i="41" a="1"/>
  <c r="G375" i="41" s="1"/>
  <c r="H367" i="41"/>
  <c r="G367" i="41" a="1"/>
  <c r="G367" i="41" s="1"/>
  <c r="H359" i="41"/>
  <c r="G359" i="41" a="1"/>
  <c r="G359" i="41" s="1"/>
  <c r="H351" i="41"/>
  <c r="G351" i="41" a="1"/>
  <c r="G351" i="41" s="1"/>
  <c r="G343" i="41" a="1"/>
  <c r="G343" i="41" s="1"/>
  <c r="H343" i="41"/>
  <c r="I343" i="41" s="1"/>
  <c r="H335" i="41"/>
  <c r="G335" i="41" a="1"/>
  <c r="G335" i="41" s="1"/>
  <c r="H327" i="41"/>
  <c r="G327" i="41" a="1"/>
  <c r="G327" i="41" s="1"/>
  <c r="H319" i="41"/>
  <c r="G319" i="41" a="1"/>
  <c r="G319" i="41" s="1"/>
  <c r="H311" i="41"/>
  <c r="G311" i="41" a="1"/>
  <c r="G311" i="41" s="1"/>
  <c r="H303" i="41"/>
  <c r="G303" i="41" a="1"/>
  <c r="G303" i="41" s="1"/>
  <c r="H295" i="41"/>
  <c r="G295" i="41" a="1"/>
  <c r="G295" i="41" s="1"/>
  <c r="G287" i="41" a="1"/>
  <c r="G287" i="41" s="1"/>
  <c r="H287" i="41"/>
  <c r="H279" i="41"/>
  <c r="G279" i="41" a="1"/>
  <c r="G279" i="41" s="1"/>
  <c r="H271" i="41"/>
  <c r="G271" i="41" a="1"/>
  <c r="G271" i="41" s="1"/>
  <c r="H263" i="41"/>
  <c r="G263" i="41" a="1"/>
  <c r="G263" i="41" s="1"/>
  <c r="H255" i="41"/>
  <c r="G255" i="41" a="1"/>
  <c r="G255" i="41" s="1"/>
  <c r="H247" i="41"/>
  <c r="G247" i="41" a="1"/>
  <c r="G247" i="41" s="1"/>
  <c r="H239" i="41"/>
  <c r="G239" i="41" a="1"/>
  <c r="G239" i="41" s="1"/>
  <c r="H231" i="41"/>
  <c r="G231" i="41" a="1"/>
  <c r="G231" i="41" s="1"/>
  <c r="H223" i="41"/>
  <c r="G223" i="41" a="1"/>
  <c r="G223" i="41" s="1"/>
  <c r="G215" i="41" a="1"/>
  <c r="G215" i="41" s="1"/>
  <c r="H215" i="41"/>
  <c r="H207" i="41"/>
  <c r="G207" i="41" a="1"/>
  <c r="G207" i="41" s="1"/>
  <c r="H199" i="41"/>
  <c r="G199" i="41" a="1"/>
  <c r="G199" i="41" s="1"/>
  <c r="H191" i="41"/>
  <c r="G191" i="41" a="1"/>
  <c r="G191" i="41" s="1"/>
  <c r="H183" i="41"/>
  <c r="G183" i="41" a="1"/>
  <c r="G183" i="41" s="1"/>
  <c r="G175" i="41" a="1"/>
  <c r="G175" i="41" s="1"/>
  <c r="H175" i="41"/>
  <c r="I175" i="41" s="1"/>
  <c r="G167" i="41" a="1"/>
  <c r="G167" i="41" s="1"/>
  <c r="H167" i="41"/>
  <c r="H159" i="41"/>
  <c r="G159" i="41" a="1"/>
  <c r="G159" i="41" s="1"/>
  <c r="G151" i="41" a="1"/>
  <c r="G151" i="41" s="1"/>
  <c r="H151" i="41"/>
  <c r="I151" i="41" s="1"/>
  <c r="H143" i="41"/>
  <c r="G143" i="41" a="1"/>
  <c r="G143" i="41" s="1"/>
  <c r="G135" i="41" a="1"/>
  <c r="G135" i="41" s="1"/>
  <c r="H135" i="41"/>
  <c r="I135" i="41" s="1"/>
  <c r="H127" i="41"/>
  <c r="G127" i="41" a="1"/>
  <c r="G127" i="41" s="1"/>
  <c r="H119" i="41"/>
  <c r="G119" i="41" a="1"/>
  <c r="G119" i="41" s="1"/>
  <c r="H111" i="41"/>
  <c r="G111" i="41" a="1"/>
  <c r="G111" i="41" s="1"/>
  <c r="G103" i="41" a="1"/>
  <c r="G103" i="41" s="1"/>
  <c r="H103" i="41"/>
  <c r="I103" i="41" s="1"/>
  <c r="H95" i="41"/>
  <c r="G95" i="41" a="1"/>
  <c r="G95" i="41" s="1"/>
  <c r="H87" i="41"/>
  <c r="G87" i="41" a="1"/>
  <c r="G87" i="41" s="1"/>
  <c r="G79" i="41" a="1"/>
  <c r="G79" i="41" s="1"/>
  <c r="H79" i="41"/>
  <c r="I79" i="41" s="1"/>
  <c r="G71" i="41" a="1"/>
  <c r="G71" i="41" s="1"/>
  <c r="H71" i="41"/>
  <c r="H63" i="41"/>
  <c r="G63" i="41" a="1"/>
  <c r="G63" i="41" s="1"/>
  <c r="H55" i="41"/>
  <c r="G55" i="41" a="1"/>
  <c r="G55" i="41" s="1"/>
  <c r="H47" i="41"/>
  <c r="G47" i="41" a="1"/>
  <c r="G47" i="41" s="1"/>
  <c r="H39" i="41"/>
  <c r="G39" i="41" a="1"/>
  <c r="G39" i="41" s="1"/>
  <c r="H31" i="41"/>
  <c r="G31" i="41" a="1"/>
  <c r="G31" i="41" s="1"/>
  <c r="H23" i="41"/>
  <c r="G23" i="41" a="1"/>
  <c r="G23" i="41" s="1"/>
  <c r="H15" i="41"/>
  <c r="G15" i="41" a="1"/>
  <c r="G15" i="41" s="1"/>
  <c r="H7" i="41"/>
  <c r="G7" i="41" a="1"/>
  <c r="G7" i="41" s="1"/>
  <c r="N533" i="41" a="1"/>
  <c r="N533" i="41" s="1"/>
  <c r="J533" i="41" a="1"/>
  <c r="J533" i="41" s="1"/>
  <c r="E533" i="41" a="1"/>
  <c r="E533" i="41" s="1"/>
  <c r="N493" i="41" a="1"/>
  <c r="N493" i="41" s="1"/>
  <c r="E493" i="41" a="1"/>
  <c r="E493" i="41" s="1"/>
  <c r="J493" i="41" a="1"/>
  <c r="J493" i="41" s="1"/>
  <c r="N453" i="41" a="1"/>
  <c r="N453" i="41" s="1"/>
  <c r="E453" i="41" a="1"/>
  <c r="E453" i="41" s="1"/>
  <c r="J453" i="41" a="1"/>
  <c r="J453" i="41" s="1"/>
  <c r="N437" i="41" a="1"/>
  <c r="N437" i="41" s="1"/>
  <c r="J437" i="41" a="1"/>
  <c r="J437" i="41" s="1"/>
  <c r="E437" i="41" a="1"/>
  <c r="E437" i="41" s="1"/>
  <c r="N413" i="41" a="1"/>
  <c r="N413" i="41" s="1"/>
  <c r="J413" i="41" a="1"/>
  <c r="J413" i="41" s="1"/>
  <c r="E413" i="41" a="1"/>
  <c r="E413" i="41" s="1"/>
  <c r="N389" i="41" a="1"/>
  <c r="N389" i="41" s="1"/>
  <c r="J389" i="41" a="1"/>
  <c r="J389" i="41" s="1"/>
  <c r="E389" i="41" a="1"/>
  <c r="E389" i="41" s="1"/>
  <c r="N365" i="41" a="1"/>
  <c r="N365" i="41" s="1"/>
  <c r="J365" i="41" a="1"/>
  <c r="J365" i="41" s="1"/>
  <c r="E365" i="41" a="1"/>
  <c r="E365" i="41" s="1"/>
  <c r="N341" i="41" a="1"/>
  <c r="N341" i="41" s="1"/>
  <c r="J341" i="41" a="1"/>
  <c r="J341" i="41" s="1"/>
  <c r="E341" i="41" a="1"/>
  <c r="E341" i="41" s="1"/>
  <c r="N333" i="41" a="1"/>
  <c r="N333" i="41" s="1"/>
  <c r="J333" i="41" a="1"/>
  <c r="J333" i="41" s="1"/>
  <c r="E333" i="41" a="1"/>
  <c r="E333" i="41" s="1"/>
  <c r="N309" i="41" a="1"/>
  <c r="N309" i="41" s="1"/>
  <c r="J309" i="41" a="1"/>
  <c r="J309" i="41" s="1"/>
  <c r="E309" i="41" a="1"/>
  <c r="E309" i="41" s="1"/>
  <c r="N285" i="41" a="1"/>
  <c r="N285" i="41" s="1"/>
  <c r="J285" i="41" a="1"/>
  <c r="J285" i="41" s="1"/>
  <c r="E285" i="41" a="1"/>
  <c r="E285" i="41" s="1"/>
  <c r="N269" i="41" a="1"/>
  <c r="N269" i="41" s="1"/>
  <c r="J269" i="41" a="1"/>
  <c r="J269" i="41" s="1"/>
  <c r="E269" i="41" a="1"/>
  <c r="E269" i="41" s="1"/>
  <c r="N237" i="41" a="1"/>
  <c r="N237" i="41" s="1"/>
  <c r="J237" i="41" a="1"/>
  <c r="J237" i="41" s="1"/>
  <c r="E237" i="41" a="1"/>
  <c r="E237" i="41" s="1"/>
  <c r="N532" i="41" a="1"/>
  <c r="N532" i="41" s="1"/>
  <c r="J532" i="41" a="1"/>
  <c r="J532" i="41" s="1"/>
  <c r="E532" i="41" a="1"/>
  <c r="E532" i="41" s="1"/>
  <c r="N500" i="41" a="1"/>
  <c r="N500" i="41" s="1"/>
  <c r="J500" i="41" a="1"/>
  <c r="J500" i="41" s="1"/>
  <c r="E500" i="41" a="1"/>
  <c r="E500" i="41" s="1"/>
  <c r="N484" i="41" a="1"/>
  <c r="N484" i="41" s="1"/>
  <c r="J484" i="41" a="1"/>
  <c r="J484" i="41" s="1"/>
  <c r="E484" i="41" a="1"/>
  <c r="E484" i="41" s="1"/>
  <c r="F484" i="41" s="1"/>
  <c r="N468" i="41" a="1"/>
  <c r="N468" i="41" s="1"/>
  <c r="J468" i="41" a="1"/>
  <c r="J468" i="41" s="1"/>
  <c r="E468" i="41" a="1"/>
  <c r="E468" i="41" s="1"/>
  <c r="N452" i="41" a="1"/>
  <c r="N452" i="41" s="1"/>
  <c r="J452" i="41" a="1"/>
  <c r="J452" i="41" s="1"/>
  <c r="E452" i="41" a="1"/>
  <c r="E452" i="41" s="1"/>
  <c r="N428" i="41" a="1"/>
  <c r="N428" i="41" s="1"/>
  <c r="J428" i="41" a="1"/>
  <c r="J428" i="41" s="1"/>
  <c r="E428" i="41" a="1"/>
  <c r="E428" i="41" s="1"/>
  <c r="N404" i="41" a="1"/>
  <c r="N404" i="41" s="1"/>
  <c r="J404" i="41" a="1"/>
  <c r="J404" i="41" s="1"/>
  <c r="E404" i="41" a="1"/>
  <c r="E404" i="41" s="1"/>
  <c r="N388" i="41" a="1"/>
  <c r="N388" i="41" s="1"/>
  <c r="J388" i="41" a="1"/>
  <c r="J388" i="41" s="1"/>
  <c r="E388" i="41" a="1"/>
  <c r="E388" i="41" s="1"/>
  <c r="N372" i="41" a="1"/>
  <c r="N372" i="41" s="1"/>
  <c r="J372" i="41" a="1"/>
  <c r="J372" i="41" s="1"/>
  <c r="E372" i="41" a="1"/>
  <c r="E372" i="41" s="1"/>
  <c r="N356" i="41" a="1"/>
  <c r="N356" i="41" s="1"/>
  <c r="E356" i="41" a="1"/>
  <c r="E356" i="41" s="1"/>
  <c r="J356" i="41" a="1"/>
  <c r="J356" i="41" s="1"/>
  <c r="N324" i="41" a="1"/>
  <c r="N324" i="41" s="1"/>
  <c r="J324" i="41" a="1"/>
  <c r="J324" i="41" s="1"/>
  <c r="E324" i="41" a="1"/>
  <c r="E324" i="41" s="1"/>
  <c r="N300" i="41" a="1"/>
  <c r="N300" i="41" s="1"/>
  <c r="J300" i="41" a="1"/>
  <c r="J300" i="41" s="1"/>
  <c r="E300" i="41" a="1"/>
  <c r="E300" i="41" s="1"/>
  <c r="J284" i="41" a="1"/>
  <c r="J284" i="41" s="1"/>
  <c r="E284" i="41" a="1"/>
  <c r="E284" i="41" s="1"/>
  <c r="N284" i="41" a="1"/>
  <c r="N284" i="41" s="1"/>
  <c r="N252" i="41" a="1"/>
  <c r="N252" i="41" s="1"/>
  <c r="J252" i="41" a="1"/>
  <c r="J252" i="41" s="1"/>
  <c r="E252" i="41" a="1"/>
  <c r="E252" i="41" s="1"/>
  <c r="N236" i="41" a="1"/>
  <c r="N236" i="41" s="1"/>
  <c r="J236" i="41" a="1"/>
  <c r="J236" i="41" s="1"/>
  <c r="E236" i="41" a="1"/>
  <c r="E236" i="41" s="1"/>
  <c r="F236" i="41" s="1"/>
  <c r="N531" i="41" a="1"/>
  <c r="N531" i="41" s="1"/>
  <c r="J531" i="41" a="1"/>
  <c r="J531" i="41" s="1"/>
  <c r="E531" i="41" a="1"/>
  <c r="E531" i="41" s="1"/>
  <c r="N515" i="41" a="1"/>
  <c r="N515" i="41" s="1"/>
  <c r="J515" i="41" a="1"/>
  <c r="J515" i="41" s="1"/>
  <c r="E515" i="41" a="1"/>
  <c r="E515" i="41" s="1"/>
  <c r="N499" i="41" a="1"/>
  <c r="N499" i="41" s="1"/>
  <c r="J499" i="41" a="1"/>
  <c r="J499" i="41" s="1"/>
  <c r="E499" i="41" a="1"/>
  <c r="E499" i="41" s="1"/>
  <c r="N475" i="41" a="1"/>
  <c r="N475" i="41" s="1"/>
  <c r="J475" i="41" a="1"/>
  <c r="J475" i="41" s="1"/>
  <c r="E475" i="41" a="1"/>
  <c r="E475" i="41" s="1"/>
  <c r="N459" i="41" a="1"/>
  <c r="N459" i="41" s="1"/>
  <c r="J459" i="41" a="1"/>
  <c r="J459" i="41" s="1"/>
  <c r="E459" i="41" a="1"/>
  <c r="E459" i="41" s="1"/>
  <c r="N443" i="41" a="1"/>
  <c r="N443" i="41" s="1"/>
  <c r="J443" i="41" a="1"/>
  <c r="J443" i="41" s="1"/>
  <c r="E443" i="41" a="1"/>
  <c r="E443" i="41" s="1"/>
  <c r="N435" i="41" a="1"/>
  <c r="N435" i="41" s="1"/>
  <c r="J435" i="41" a="1"/>
  <c r="J435" i="41" s="1"/>
  <c r="E435" i="41" a="1"/>
  <c r="E435" i="41" s="1"/>
  <c r="N419" i="41" a="1"/>
  <c r="N419" i="41" s="1"/>
  <c r="J419" i="41" a="1"/>
  <c r="J419" i="41" s="1"/>
  <c r="E419" i="41" a="1"/>
  <c r="E419" i="41" s="1"/>
  <c r="F419" i="41" s="1"/>
  <c r="N395" i="41" a="1"/>
  <c r="N395" i="41" s="1"/>
  <c r="J395" i="41" a="1"/>
  <c r="J395" i="41" s="1"/>
  <c r="E395" i="41" a="1"/>
  <c r="E395" i="41" s="1"/>
  <c r="N379" i="41" a="1"/>
  <c r="N379" i="41" s="1"/>
  <c r="J379" i="41" a="1"/>
  <c r="J379" i="41" s="1"/>
  <c r="E379" i="41" a="1"/>
  <c r="E379" i="41" s="1"/>
  <c r="N363" i="41" a="1"/>
  <c r="N363" i="41" s="1"/>
  <c r="J363" i="41" a="1"/>
  <c r="J363" i="41" s="1"/>
  <c r="E363" i="41" a="1"/>
  <c r="E363" i="41" s="1"/>
  <c r="N347" i="41" a="1"/>
  <c r="N347" i="41" s="1"/>
  <c r="J347" i="41" a="1"/>
  <c r="J347" i="41" s="1"/>
  <c r="E347" i="41" a="1"/>
  <c r="E347" i="41" s="1"/>
  <c r="F347" i="41" s="1"/>
  <c r="N323" i="41" a="1"/>
  <c r="N323" i="41" s="1"/>
  <c r="J323" i="41" a="1"/>
  <c r="J323" i="41" s="1"/>
  <c r="E323" i="41" a="1"/>
  <c r="E323" i="41" s="1"/>
  <c r="N307" i="41" a="1"/>
  <c r="N307" i="41" s="1"/>
  <c r="J307" i="41" a="1"/>
  <c r="J307" i="41" s="1"/>
  <c r="E307" i="41" a="1"/>
  <c r="E307" i="41" s="1"/>
  <c r="F307" i="41" s="1"/>
  <c r="N291" i="41" a="1"/>
  <c r="N291" i="41" s="1"/>
  <c r="J291" i="41" a="1"/>
  <c r="J291" i="41" s="1"/>
  <c r="E291" i="41" a="1"/>
  <c r="E291" i="41" s="1"/>
  <c r="N275" i="41" a="1"/>
  <c r="N275" i="41" s="1"/>
  <c r="E275" i="41" a="1"/>
  <c r="E275" i="41" s="1"/>
  <c r="J275" i="41" a="1"/>
  <c r="J275" i="41" s="1"/>
  <c r="N243" i="41" a="1"/>
  <c r="N243" i="41" s="1"/>
  <c r="E243" i="41" a="1"/>
  <c r="E243" i="41" s="1"/>
  <c r="J243" i="41" a="1"/>
  <c r="J243" i="41" s="1"/>
  <c r="N522" i="41" a="1"/>
  <c r="N522" i="41" s="1"/>
  <c r="J522" i="41" a="1"/>
  <c r="J522" i="41" s="1"/>
  <c r="E522" i="41" a="1"/>
  <c r="E522" i="41" s="1"/>
  <c r="F522" i="41" s="1"/>
  <c r="N514" i="41" a="1"/>
  <c r="N514" i="41" s="1"/>
  <c r="E514" i="41" a="1"/>
  <c r="E514" i="41" s="1"/>
  <c r="J514" i="41" a="1"/>
  <c r="J514" i="41" s="1"/>
  <c r="N506" i="41" a="1"/>
  <c r="N506" i="41" s="1"/>
  <c r="J506" i="41" a="1"/>
  <c r="J506" i="41" s="1"/>
  <c r="E506" i="41" a="1"/>
  <c r="E506" i="41" s="1"/>
  <c r="N498" i="41" a="1"/>
  <c r="N498" i="41" s="1"/>
  <c r="J498" i="41" a="1"/>
  <c r="J498" i="41" s="1"/>
  <c r="E498" i="41" a="1"/>
  <c r="E498" i="41" s="1"/>
  <c r="N490" i="41" a="1"/>
  <c r="N490" i="41" s="1"/>
  <c r="J490" i="41" a="1"/>
  <c r="J490" i="41" s="1"/>
  <c r="E490" i="41" a="1"/>
  <c r="E490" i="41" s="1"/>
  <c r="F490" i="41" s="1"/>
  <c r="N482" i="41" a="1"/>
  <c r="N482" i="41" s="1"/>
  <c r="E482" i="41" a="1"/>
  <c r="E482" i="41" s="1"/>
  <c r="F482" i="41" s="1"/>
  <c r="J482" i="41" a="1"/>
  <c r="J482" i="41" s="1"/>
  <c r="N474" i="41" a="1"/>
  <c r="N474" i="41" s="1"/>
  <c r="J474" i="41" a="1"/>
  <c r="J474" i="41" s="1"/>
  <c r="E474" i="41" a="1"/>
  <c r="E474" i="41" s="1"/>
  <c r="F474" i="41" s="1"/>
  <c r="N466" i="41" a="1"/>
  <c r="N466" i="41" s="1"/>
  <c r="J466" i="41" a="1"/>
  <c r="J466" i="41" s="1"/>
  <c r="E466" i="41" a="1"/>
  <c r="E466" i="41" s="1"/>
  <c r="N458" i="41" a="1"/>
  <c r="N458" i="41" s="1"/>
  <c r="J458" i="41" a="1"/>
  <c r="J458" i="41" s="1"/>
  <c r="E458" i="41" a="1"/>
  <c r="E458" i="41" s="1"/>
  <c r="N450" i="41" a="1"/>
  <c r="N450" i="41" s="1"/>
  <c r="J450" i="41" a="1"/>
  <c r="J450" i="41" s="1"/>
  <c r="E450" i="41" a="1"/>
  <c r="E450" i="41" s="1"/>
  <c r="N442" i="41" a="1"/>
  <c r="N442" i="41" s="1"/>
  <c r="J442" i="41" a="1"/>
  <c r="J442" i="41" s="1"/>
  <c r="E442" i="41" a="1"/>
  <c r="E442" i="41" s="1"/>
  <c r="F442" i="41" s="1"/>
  <c r="N434" i="41" a="1"/>
  <c r="N434" i="41" s="1"/>
  <c r="J434" i="41" a="1"/>
  <c r="J434" i="41" s="1"/>
  <c r="E434" i="41" a="1"/>
  <c r="E434" i="41" s="1"/>
  <c r="N426" i="41" a="1"/>
  <c r="N426" i="41" s="1"/>
  <c r="J426" i="41" a="1"/>
  <c r="J426" i="41" s="1"/>
  <c r="E426" i="41" a="1"/>
  <c r="E426" i="41" s="1"/>
  <c r="F426" i="41" s="1"/>
  <c r="N418" i="41" a="1"/>
  <c r="N418" i="41" s="1"/>
  <c r="J418" i="41" a="1"/>
  <c r="J418" i="41" s="1"/>
  <c r="E418" i="41" a="1"/>
  <c r="E418" i="41" s="1"/>
  <c r="N410" i="41" a="1"/>
  <c r="N410" i="41" s="1"/>
  <c r="J410" i="41" a="1"/>
  <c r="J410" i="41" s="1"/>
  <c r="E410" i="41" a="1"/>
  <c r="E410" i="41" s="1"/>
  <c r="N402" i="41" a="1"/>
  <c r="N402" i="41" s="1"/>
  <c r="J402" i="41" a="1"/>
  <c r="J402" i="41" s="1"/>
  <c r="E402" i="41" a="1"/>
  <c r="E402" i="41" s="1"/>
  <c r="N394" i="41" a="1"/>
  <c r="N394" i="41" s="1"/>
  <c r="J394" i="41" a="1"/>
  <c r="J394" i="41" s="1"/>
  <c r="E394" i="41" a="1"/>
  <c r="E394" i="41" s="1"/>
  <c r="F394" i="41" s="1"/>
  <c r="N386" i="41" a="1"/>
  <c r="N386" i="41" s="1"/>
  <c r="J386" i="41" a="1"/>
  <c r="J386" i="41" s="1"/>
  <c r="E386" i="41" a="1"/>
  <c r="E386" i="41" s="1"/>
  <c r="N378" i="41" a="1"/>
  <c r="N378" i="41" s="1"/>
  <c r="E378" i="41" a="1"/>
  <c r="E378" i="41" s="1"/>
  <c r="J378" i="41" a="1"/>
  <c r="J378" i="41" s="1"/>
  <c r="N370" i="41" a="1"/>
  <c r="N370" i="41" s="1"/>
  <c r="J370" i="41" a="1"/>
  <c r="J370" i="41" s="1"/>
  <c r="E370" i="41" a="1"/>
  <c r="E370" i="41" s="1"/>
  <c r="N362" i="41" a="1"/>
  <c r="N362" i="41" s="1"/>
  <c r="E362" i="41" a="1"/>
  <c r="E362" i="41" s="1"/>
  <c r="F362" i="41" s="1"/>
  <c r="J362" i="41" a="1"/>
  <c r="J362" i="41" s="1"/>
  <c r="N354" i="41" a="1"/>
  <c r="N354" i="41" s="1"/>
  <c r="J354" i="41" a="1"/>
  <c r="J354" i="41" s="1"/>
  <c r="E354" i="41" a="1"/>
  <c r="E354" i="41" s="1"/>
  <c r="N346" i="41" a="1"/>
  <c r="N346" i="41" s="1"/>
  <c r="J346" i="41" a="1"/>
  <c r="J346" i="41" s="1"/>
  <c r="E346" i="41" a="1"/>
  <c r="E346" i="41" s="1"/>
  <c r="F346" i="41" s="1"/>
  <c r="J338" i="41" a="1"/>
  <c r="J338" i="41" s="1"/>
  <c r="E338" i="41" a="1"/>
  <c r="E338" i="41" s="1"/>
  <c r="N338" i="41" a="1"/>
  <c r="N338" i="41" s="1"/>
  <c r="N330" i="41" a="1"/>
  <c r="N330" i="41" s="1"/>
  <c r="J330" i="41" a="1"/>
  <c r="J330" i="41" s="1"/>
  <c r="E330" i="41" a="1"/>
  <c r="E330" i="41" s="1"/>
  <c r="N322" i="41" a="1"/>
  <c r="N322" i="41" s="1"/>
  <c r="J322" i="41" a="1"/>
  <c r="J322" i="41" s="1"/>
  <c r="E322" i="41" a="1"/>
  <c r="E322" i="41" s="1"/>
  <c r="N314" i="41" a="1"/>
  <c r="N314" i="41" s="1"/>
  <c r="J314" i="41" a="1"/>
  <c r="J314" i="41" s="1"/>
  <c r="E314" i="41" a="1"/>
  <c r="E314" i="41" s="1"/>
  <c r="F314" i="41" s="1"/>
  <c r="N306" i="41" a="1"/>
  <c r="N306" i="41" s="1"/>
  <c r="J306" i="41" a="1"/>
  <c r="J306" i="41" s="1"/>
  <c r="E306" i="41" a="1"/>
  <c r="E306" i="41" s="1"/>
  <c r="N298" i="41" a="1"/>
  <c r="N298" i="41" s="1"/>
  <c r="J298" i="41" a="1"/>
  <c r="J298" i="41" s="1"/>
  <c r="E298" i="41" a="1"/>
  <c r="E298" i="41" s="1"/>
  <c r="F298" i="41" s="1"/>
  <c r="N290" i="41" a="1"/>
  <c r="N290" i="41" s="1"/>
  <c r="J290" i="41" a="1"/>
  <c r="J290" i="41" s="1"/>
  <c r="E290" i="41" a="1"/>
  <c r="E290" i="41" s="1"/>
  <c r="N282" i="41" a="1"/>
  <c r="N282" i="41" s="1"/>
  <c r="J282" i="41" a="1"/>
  <c r="J282" i="41" s="1"/>
  <c r="E282" i="41" a="1"/>
  <c r="E282" i="41" s="1"/>
  <c r="N274" i="41" a="1"/>
  <c r="N274" i="41" s="1"/>
  <c r="J274" i="41" a="1"/>
  <c r="J274" i="41" s="1"/>
  <c r="E274" i="41" a="1"/>
  <c r="E274" i="41" s="1"/>
  <c r="N266" i="41" a="1"/>
  <c r="N266" i="41" s="1"/>
  <c r="J266" i="41" a="1"/>
  <c r="J266" i="41" s="1"/>
  <c r="E266" i="41" a="1"/>
  <c r="E266" i="41" s="1"/>
  <c r="F266" i="41" s="1"/>
  <c r="N258" i="41" a="1"/>
  <c r="N258" i="41" s="1"/>
  <c r="J258" i="41" a="1"/>
  <c r="J258" i="41" s="1"/>
  <c r="E258" i="41" a="1"/>
  <c r="E258" i="41" s="1"/>
  <c r="N250" i="41" a="1"/>
  <c r="N250" i="41" s="1"/>
  <c r="J250" i="41" a="1"/>
  <c r="J250" i="41" s="1"/>
  <c r="E250" i="41" a="1"/>
  <c r="E250" i="41" s="1"/>
  <c r="F250" i="41" s="1"/>
  <c r="N242" i="41" a="1"/>
  <c r="N242" i="41" s="1"/>
  <c r="J242" i="41" a="1"/>
  <c r="J242" i="41" s="1"/>
  <c r="E242" i="41" a="1"/>
  <c r="E242" i="41" s="1"/>
  <c r="N234" i="41" a="1"/>
  <c r="N234" i="41" s="1"/>
  <c r="J234" i="41" a="1"/>
  <c r="J234" i="41" s="1"/>
  <c r="E234" i="41" a="1"/>
  <c r="E234" i="41" s="1"/>
  <c r="N226" i="41" a="1"/>
  <c r="N226" i="41" s="1"/>
  <c r="J226" i="41" a="1"/>
  <c r="J226" i="41" s="1"/>
  <c r="E226" i="41" a="1"/>
  <c r="E226" i="41" s="1"/>
  <c r="N218" i="41" a="1"/>
  <c r="N218" i="41" s="1"/>
  <c r="J218" i="41" a="1"/>
  <c r="J218" i="41" s="1"/>
  <c r="E218" i="41" a="1"/>
  <c r="E218" i="41" s="1"/>
  <c r="F218" i="41" s="1"/>
  <c r="N210" i="41" a="1"/>
  <c r="N210" i="41" s="1"/>
  <c r="J210" i="41" a="1"/>
  <c r="J210" i="41" s="1"/>
  <c r="E210" i="41" a="1"/>
  <c r="E210" i="41" s="1"/>
  <c r="N202" i="41" a="1"/>
  <c r="N202" i="41" s="1"/>
  <c r="J202" i="41" a="1"/>
  <c r="J202" i="41" s="1"/>
  <c r="E202" i="41" a="1"/>
  <c r="E202" i="41" s="1"/>
  <c r="F202" i="41" s="1"/>
  <c r="N194" i="41" a="1"/>
  <c r="N194" i="41" s="1"/>
  <c r="J194" i="41" a="1"/>
  <c r="J194" i="41" s="1"/>
  <c r="E194" i="41" a="1"/>
  <c r="E194" i="41" s="1"/>
  <c r="N186" i="41" a="1"/>
  <c r="N186" i="41" s="1"/>
  <c r="J186" i="41" a="1"/>
  <c r="J186" i="41" s="1"/>
  <c r="E186" i="41" a="1"/>
  <c r="E186" i="41" s="1"/>
  <c r="F186" i="41" s="1"/>
  <c r="N178" i="41" a="1"/>
  <c r="N178" i="41" s="1"/>
  <c r="J178" i="41" a="1"/>
  <c r="J178" i="41" s="1"/>
  <c r="E178" i="41" a="1"/>
  <c r="E178" i="41" s="1"/>
  <c r="N170" i="41" a="1"/>
  <c r="N170" i="41" s="1"/>
  <c r="J170" i="41" a="1"/>
  <c r="J170" i="41" s="1"/>
  <c r="E170" i="41" a="1"/>
  <c r="E170" i="41" s="1"/>
  <c r="F170" i="41" s="1"/>
  <c r="N162" i="41" a="1"/>
  <c r="N162" i="41" s="1"/>
  <c r="J162" i="41" a="1"/>
  <c r="J162" i="41" s="1"/>
  <c r="E162" i="41" a="1"/>
  <c r="E162" i="41" s="1"/>
  <c r="N154" i="41" a="1"/>
  <c r="N154" i="41" s="1"/>
  <c r="J154" i="41" a="1"/>
  <c r="J154" i="41" s="1"/>
  <c r="E154" i="41" a="1"/>
  <c r="E154" i="41" s="1"/>
  <c r="N146" i="41" a="1"/>
  <c r="N146" i="41" s="1"/>
  <c r="J146" i="41" a="1"/>
  <c r="J146" i="41" s="1"/>
  <c r="E146" i="41" a="1"/>
  <c r="E146" i="41" s="1"/>
  <c r="N138" i="41" a="1"/>
  <c r="N138" i="41" s="1"/>
  <c r="J138" i="41" a="1"/>
  <c r="J138" i="41" s="1"/>
  <c r="E138" i="41" a="1"/>
  <c r="E138" i="41" s="1"/>
  <c r="F138" i="41" s="1"/>
  <c r="N130" i="41" a="1"/>
  <c r="N130" i="41" s="1"/>
  <c r="J130" i="41" a="1"/>
  <c r="J130" i="41" s="1"/>
  <c r="E130" i="41" a="1"/>
  <c r="E130" i="41" s="1"/>
  <c r="N122" i="41" a="1"/>
  <c r="N122" i="41" s="1"/>
  <c r="J122" i="41" a="1"/>
  <c r="J122" i="41" s="1"/>
  <c r="E122" i="41" a="1"/>
  <c r="E122" i="41" s="1"/>
  <c r="F122" i="41" s="1"/>
  <c r="N114" i="41" a="1"/>
  <c r="N114" i="41" s="1"/>
  <c r="J114" i="41" a="1"/>
  <c r="J114" i="41" s="1"/>
  <c r="E114" i="41" a="1"/>
  <c r="E114" i="41" s="1"/>
  <c r="N106" i="41" a="1"/>
  <c r="N106" i="41" s="1"/>
  <c r="J106" i="41" a="1"/>
  <c r="J106" i="41" s="1"/>
  <c r="E106" i="41" a="1"/>
  <c r="E106" i="41" s="1"/>
  <c r="F106" i="41" s="1"/>
  <c r="N98" i="41" a="1"/>
  <c r="N98" i="41" s="1"/>
  <c r="J98" i="41" a="1"/>
  <c r="J98" i="41" s="1"/>
  <c r="E98" i="41" a="1"/>
  <c r="E98" i="41" s="1"/>
  <c r="N90" i="41" a="1"/>
  <c r="N90" i="41" s="1"/>
  <c r="J90" i="41" a="1"/>
  <c r="J90" i="41" s="1"/>
  <c r="E90" i="41" a="1"/>
  <c r="E90" i="41" s="1"/>
  <c r="F90" i="41" s="1"/>
  <c r="J82" i="41" a="1"/>
  <c r="J82" i="41" s="1"/>
  <c r="N82" i="41" a="1"/>
  <c r="N82" i="41" s="1"/>
  <c r="E82" i="41" a="1"/>
  <c r="E82" i="41" s="1"/>
  <c r="J74" i="41" a="1"/>
  <c r="J74" i="41" s="1"/>
  <c r="N74" i="41" a="1"/>
  <c r="N74" i="41" s="1"/>
  <c r="E74" i="41" a="1"/>
  <c r="E74" i="41" s="1"/>
  <c r="F74" i="41" s="1"/>
  <c r="J66" i="41" a="1"/>
  <c r="J66" i="41" s="1"/>
  <c r="N66" i="41" a="1"/>
  <c r="N66" i="41" s="1"/>
  <c r="E66" i="41" a="1"/>
  <c r="E66" i="41" s="1"/>
  <c r="N58" i="41" a="1"/>
  <c r="N58" i="41" s="1"/>
  <c r="J58" i="41" a="1"/>
  <c r="J58" i="41" s="1"/>
  <c r="E58" i="41" a="1"/>
  <c r="E58" i="41" s="1"/>
  <c r="F58" i="41" s="1"/>
  <c r="N50" i="41" a="1"/>
  <c r="N50" i="41" s="1"/>
  <c r="J50" i="41" a="1"/>
  <c r="J50" i="41" s="1"/>
  <c r="E50" i="41" a="1"/>
  <c r="E50" i="41" s="1"/>
  <c r="N42" i="41" a="1"/>
  <c r="N42" i="41" s="1"/>
  <c r="J42" i="41" a="1"/>
  <c r="J42" i="41" s="1"/>
  <c r="E42" i="41" a="1"/>
  <c r="E42" i="41" s="1"/>
  <c r="N34" i="41" a="1"/>
  <c r="N34" i="41" s="1"/>
  <c r="J34" i="41" a="1"/>
  <c r="J34" i="41" s="1"/>
  <c r="E34" i="41" a="1"/>
  <c r="E34" i="41" s="1"/>
  <c r="J26" i="41" a="1"/>
  <c r="J26" i="41" s="1"/>
  <c r="N26" i="41" a="1"/>
  <c r="N26" i="41" s="1"/>
  <c r="E26" i="41" a="1"/>
  <c r="E26" i="41" s="1"/>
  <c r="F26" i="41" s="1"/>
  <c r="J18" i="41" a="1"/>
  <c r="J18" i="41" s="1"/>
  <c r="N18" i="41" a="1"/>
  <c r="N18" i="41" s="1"/>
  <c r="E18" i="41" a="1"/>
  <c r="E18" i="41" s="1"/>
  <c r="J10" i="41" a="1"/>
  <c r="J10" i="41" s="1"/>
  <c r="N10" i="41" a="1"/>
  <c r="N10" i="41" s="1"/>
  <c r="E10" i="41" a="1"/>
  <c r="E10" i="41" s="1"/>
  <c r="N5" i="41" a="1"/>
  <c r="N5" i="41" s="1"/>
  <c r="J5" i="41" a="1"/>
  <c r="J5" i="41" s="1"/>
  <c r="E5" i="41" a="1"/>
  <c r="E5" i="41" s="1"/>
  <c r="N517" i="41" a="1"/>
  <c r="N517" i="41" s="1"/>
  <c r="J517" i="41" a="1"/>
  <c r="J517" i="41" s="1"/>
  <c r="E517" i="41" a="1"/>
  <c r="E517" i="41" s="1"/>
  <c r="F517" i="41" s="1"/>
  <c r="N477" i="41" a="1"/>
  <c r="N477" i="41" s="1"/>
  <c r="J477" i="41" a="1"/>
  <c r="J477" i="41" s="1"/>
  <c r="E477" i="41" a="1"/>
  <c r="E477" i="41" s="1"/>
  <c r="N445" i="41" a="1"/>
  <c r="N445" i="41" s="1"/>
  <c r="J445" i="41" a="1"/>
  <c r="J445" i="41" s="1"/>
  <c r="E445" i="41" a="1"/>
  <c r="E445" i="41" s="1"/>
  <c r="F445" i="41" s="1"/>
  <c r="N421" i="41" a="1"/>
  <c r="N421" i="41" s="1"/>
  <c r="J421" i="41" a="1"/>
  <c r="J421" i="41" s="1"/>
  <c r="E421" i="41" a="1"/>
  <c r="E421" i="41" s="1"/>
  <c r="N405" i="41" a="1"/>
  <c r="N405" i="41" s="1"/>
  <c r="E405" i="41" a="1"/>
  <c r="E405" i="41" s="1"/>
  <c r="F405" i="41" s="1"/>
  <c r="J405" i="41" a="1"/>
  <c r="J405" i="41" s="1"/>
  <c r="N381" i="41" a="1"/>
  <c r="N381" i="41" s="1"/>
  <c r="J381" i="41" a="1"/>
  <c r="J381" i="41" s="1"/>
  <c r="E381" i="41" a="1"/>
  <c r="E381" i="41" s="1"/>
  <c r="N357" i="41" a="1"/>
  <c r="N357" i="41" s="1"/>
  <c r="J357" i="41" a="1"/>
  <c r="J357" i="41" s="1"/>
  <c r="E357" i="41" a="1"/>
  <c r="E357" i="41" s="1"/>
  <c r="F357" i="41" s="1"/>
  <c r="N349" i="41" a="1"/>
  <c r="N349" i="41" s="1"/>
  <c r="J349" i="41" a="1"/>
  <c r="J349" i="41" s="1"/>
  <c r="E349" i="41" a="1"/>
  <c r="E349" i="41" s="1"/>
  <c r="J325" i="41" a="1"/>
  <c r="J325" i="41" s="1"/>
  <c r="N325" i="41" a="1"/>
  <c r="N325" i="41" s="1"/>
  <c r="E325" i="41" a="1"/>
  <c r="E325" i="41" s="1"/>
  <c r="F325" i="41" s="1"/>
  <c r="N301" i="41" a="1"/>
  <c r="N301" i="41" s="1"/>
  <c r="J301" i="41" a="1"/>
  <c r="J301" i="41" s="1"/>
  <c r="E301" i="41" a="1"/>
  <c r="E301" i="41" s="1"/>
  <c r="N277" i="41" a="1"/>
  <c r="N277" i="41" s="1"/>
  <c r="J277" i="41" a="1"/>
  <c r="J277" i="41" s="1"/>
  <c r="E277" i="41" a="1"/>
  <c r="E277" i="41" s="1"/>
  <c r="F277" i="41" s="1"/>
  <c r="J261" i="41" a="1"/>
  <c r="J261" i="41" s="1"/>
  <c r="N261" i="41" a="1"/>
  <c r="N261" i="41" s="1"/>
  <c r="E261" i="41" a="1"/>
  <c r="E261" i="41" s="1"/>
  <c r="N245" i="41" a="1"/>
  <c r="N245" i="41" s="1"/>
  <c r="J245" i="41" a="1"/>
  <c r="J245" i="41" s="1"/>
  <c r="E245" i="41" a="1"/>
  <c r="E245" i="41" s="1"/>
  <c r="F245" i="41" s="1"/>
  <c r="N540" i="41" a="1"/>
  <c r="N540" i="41" s="1"/>
  <c r="J540" i="41" a="1"/>
  <c r="J540" i="41" s="1"/>
  <c r="E540" i="41" a="1"/>
  <c r="E540" i="41" s="1"/>
  <c r="N516" i="41" a="1"/>
  <c r="N516" i="41" s="1"/>
  <c r="J516" i="41" a="1"/>
  <c r="J516" i="41" s="1"/>
  <c r="E516" i="41" a="1"/>
  <c r="E516" i="41" s="1"/>
  <c r="F516" i="41" s="1"/>
  <c r="N492" i="41" a="1"/>
  <c r="N492" i="41" s="1"/>
  <c r="J492" i="41" a="1"/>
  <c r="J492" i="41" s="1"/>
  <c r="E492" i="41" a="1"/>
  <c r="E492" i="41" s="1"/>
  <c r="N476" i="41" a="1"/>
  <c r="N476" i="41" s="1"/>
  <c r="J476" i="41" a="1"/>
  <c r="J476" i="41" s="1"/>
  <c r="E476" i="41" a="1"/>
  <c r="E476" i="41" s="1"/>
  <c r="F476" i="41" s="1"/>
  <c r="N460" i="41" a="1"/>
  <c r="N460" i="41" s="1"/>
  <c r="J460" i="41" a="1"/>
  <c r="J460" i="41" s="1"/>
  <c r="E460" i="41" a="1"/>
  <c r="E460" i="41" s="1"/>
  <c r="N444" i="41" a="1"/>
  <c r="N444" i="41" s="1"/>
  <c r="J444" i="41" a="1"/>
  <c r="J444" i="41" s="1"/>
  <c r="E444" i="41" a="1"/>
  <c r="E444" i="41" s="1"/>
  <c r="F444" i="41" s="1"/>
  <c r="N420" i="41" a="1"/>
  <c r="N420" i="41" s="1"/>
  <c r="J420" i="41" a="1"/>
  <c r="J420" i="41" s="1"/>
  <c r="E420" i="41" a="1"/>
  <c r="E420" i="41" s="1"/>
  <c r="N396" i="41" a="1"/>
  <c r="N396" i="41" s="1"/>
  <c r="J396" i="41" a="1"/>
  <c r="J396" i="41" s="1"/>
  <c r="E396" i="41" a="1"/>
  <c r="E396" i="41" s="1"/>
  <c r="F396" i="41" s="1"/>
  <c r="N380" i="41" a="1"/>
  <c r="N380" i="41" s="1"/>
  <c r="J380" i="41" a="1"/>
  <c r="J380" i="41" s="1"/>
  <c r="E380" i="41" a="1"/>
  <c r="E380" i="41" s="1"/>
  <c r="N364" i="41" a="1"/>
  <c r="N364" i="41" s="1"/>
  <c r="J364" i="41" a="1"/>
  <c r="J364" i="41" s="1"/>
  <c r="E364" i="41" a="1"/>
  <c r="E364" i="41" s="1"/>
  <c r="F364" i="41" s="1"/>
  <c r="N332" i="41" a="1"/>
  <c r="N332" i="41" s="1"/>
  <c r="J332" i="41" a="1"/>
  <c r="J332" i="41" s="1"/>
  <c r="E332" i="41" a="1"/>
  <c r="E332" i="41" s="1"/>
  <c r="N316" i="41" a="1"/>
  <c r="N316" i="41" s="1"/>
  <c r="J316" i="41" a="1"/>
  <c r="J316" i="41" s="1"/>
  <c r="E316" i="41" a="1"/>
  <c r="E316" i="41" s="1"/>
  <c r="F316" i="41" s="1"/>
  <c r="N308" i="41" a="1"/>
  <c r="N308" i="41" s="1"/>
  <c r="J308" i="41" a="1"/>
  <c r="J308" i="41" s="1"/>
  <c r="E308" i="41" a="1"/>
  <c r="E308" i="41" s="1"/>
  <c r="N292" i="41" a="1"/>
  <c r="N292" i="41" s="1"/>
  <c r="J292" i="41" a="1"/>
  <c r="J292" i="41" s="1"/>
  <c r="E292" i="41" a="1"/>
  <c r="E292" i="41" s="1"/>
  <c r="F292" i="41" s="1"/>
  <c r="N260" i="41" a="1"/>
  <c r="N260" i="41" s="1"/>
  <c r="J260" i="41" a="1"/>
  <c r="J260" i="41" s="1"/>
  <c r="E260" i="41" a="1"/>
  <c r="E260" i="41" s="1"/>
  <c r="N244" i="41" a="1"/>
  <c r="N244" i="41" s="1"/>
  <c r="J244" i="41" a="1"/>
  <c r="J244" i="41" s="1"/>
  <c r="E244" i="41" a="1"/>
  <c r="E244" i="41" s="1"/>
  <c r="F244" i="41" s="1"/>
  <c r="N539" i="41" a="1"/>
  <c r="N539" i="41" s="1"/>
  <c r="E539" i="41" a="1"/>
  <c r="E539" i="41" s="1"/>
  <c r="F539" i="41" s="1"/>
  <c r="J539" i="41" a="1"/>
  <c r="J539" i="41" s="1"/>
  <c r="N523" i="41" a="1"/>
  <c r="N523" i="41" s="1"/>
  <c r="E523" i="41" a="1"/>
  <c r="E523" i="41" s="1"/>
  <c r="J523" i="41" a="1"/>
  <c r="J523" i="41" s="1"/>
  <c r="N507" i="41" a="1"/>
  <c r="N507" i="41" s="1"/>
  <c r="E507" i="41" a="1"/>
  <c r="E507" i="41" s="1"/>
  <c r="F507" i="41" s="1"/>
  <c r="J507" i="41" a="1"/>
  <c r="J507" i="41" s="1"/>
  <c r="N483" i="41" a="1"/>
  <c r="N483" i="41" s="1"/>
  <c r="E483" i="41" a="1"/>
  <c r="E483" i="41" s="1"/>
  <c r="F483" i="41" s="1"/>
  <c r="J483" i="41" a="1"/>
  <c r="J483" i="41" s="1"/>
  <c r="N467" i="41" a="1"/>
  <c r="N467" i="41" s="1"/>
  <c r="J467" i="41" a="1"/>
  <c r="J467" i="41" s="1"/>
  <c r="E467" i="41" a="1"/>
  <c r="E467" i="41" s="1"/>
  <c r="N451" i="41" a="1"/>
  <c r="N451" i="41" s="1"/>
  <c r="J451" i="41" a="1"/>
  <c r="J451" i="41" s="1"/>
  <c r="E451" i="41" a="1"/>
  <c r="E451" i="41" s="1"/>
  <c r="F451" i="41" s="1"/>
  <c r="N427" i="41" a="1"/>
  <c r="N427" i="41" s="1"/>
  <c r="J427" i="41" a="1"/>
  <c r="J427" i="41" s="1"/>
  <c r="E427" i="41" a="1"/>
  <c r="E427" i="41" s="1"/>
  <c r="N411" i="41" a="1"/>
  <c r="N411" i="41" s="1"/>
  <c r="J411" i="41" a="1"/>
  <c r="J411" i="41" s="1"/>
  <c r="E411" i="41" a="1"/>
  <c r="E411" i="41" s="1"/>
  <c r="F411" i="41" s="1"/>
  <c r="N387" i="41" a="1"/>
  <c r="N387" i="41" s="1"/>
  <c r="J387" i="41" a="1"/>
  <c r="J387" i="41" s="1"/>
  <c r="E387" i="41" a="1"/>
  <c r="E387" i="41" s="1"/>
  <c r="N371" i="41" a="1"/>
  <c r="N371" i="41" s="1"/>
  <c r="J371" i="41" a="1"/>
  <c r="J371" i="41" s="1"/>
  <c r="E371" i="41" a="1"/>
  <c r="E371" i="41" s="1"/>
  <c r="F371" i="41" s="1"/>
  <c r="N355" i="41" a="1"/>
  <c r="N355" i="41" s="1"/>
  <c r="J355" i="41" a="1"/>
  <c r="J355" i="41" s="1"/>
  <c r="E355" i="41" a="1"/>
  <c r="E355" i="41" s="1"/>
  <c r="N339" i="41" a="1"/>
  <c r="N339" i="41" s="1"/>
  <c r="J339" i="41" a="1"/>
  <c r="J339" i="41" s="1"/>
  <c r="E339" i="41" a="1"/>
  <c r="E339" i="41" s="1"/>
  <c r="F339" i="41" s="1"/>
  <c r="N315" i="41" a="1"/>
  <c r="N315" i="41" s="1"/>
  <c r="E315" i="41" a="1"/>
  <c r="E315" i="41" s="1"/>
  <c r="F315" i="41" s="1"/>
  <c r="J315" i="41" a="1"/>
  <c r="J315" i="41" s="1"/>
  <c r="N299" i="41" a="1"/>
  <c r="N299" i="41" s="1"/>
  <c r="J299" i="41" a="1"/>
  <c r="J299" i="41" s="1"/>
  <c r="E299" i="41" a="1"/>
  <c r="E299" i="41" s="1"/>
  <c r="F299" i="41" s="1"/>
  <c r="N283" i="41" a="1"/>
  <c r="N283" i="41" s="1"/>
  <c r="E283" i="41" a="1"/>
  <c r="E283" i="41" s="1"/>
  <c r="F283" i="41" s="1"/>
  <c r="J283" i="41" a="1"/>
  <c r="J283" i="41" s="1"/>
  <c r="N259" i="41" a="1"/>
  <c r="N259" i="41" s="1"/>
  <c r="J259" i="41" a="1"/>
  <c r="J259" i="41" s="1"/>
  <c r="E259" i="41" a="1"/>
  <c r="E259" i="41" s="1"/>
  <c r="F259" i="41" s="1"/>
  <c r="N251" i="41" a="1"/>
  <c r="N251" i="41" s="1"/>
  <c r="E251" i="41" a="1"/>
  <c r="E251" i="41" s="1"/>
  <c r="F251" i="41" s="1"/>
  <c r="J251" i="41" a="1"/>
  <c r="J251" i="41" s="1"/>
  <c r="N235" i="41" a="1"/>
  <c r="N235" i="41" s="1"/>
  <c r="E235" i="41" a="1"/>
  <c r="E235" i="41" s="1"/>
  <c r="J235" i="41" a="1"/>
  <c r="J235" i="41" s="1"/>
  <c r="N219" i="41" a="1"/>
  <c r="N219" i="41" s="1"/>
  <c r="J219" i="41" a="1"/>
  <c r="J219" i="41" s="1"/>
  <c r="E219" i="41" a="1"/>
  <c r="E219" i="41" s="1"/>
  <c r="N203" i="41" a="1"/>
  <c r="N203" i="41" s="1"/>
  <c r="J203" i="41" a="1"/>
  <c r="J203" i="41" s="1"/>
  <c r="E203" i="41" a="1"/>
  <c r="E203" i="41" s="1"/>
  <c r="F203" i="41" s="1"/>
  <c r="N538" i="41" a="1"/>
  <c r="N538" i="41" s="1"/>
  <c r="J538" i="41" a="1"/>
  <c r="J538" i="41" s="1"/>
  <c r="E538" i="41" a="1"/>
  <c r="E538" i="41" s="1"/>
  <c r="N530" i="41" a="1"/>
  <c r="N530" i="41" s="1"/>
  <c r="E530" i="41" a="1"/>
  <c r="E530" i="41" s="1"/>
  <c r="F530" i="41" s="1"/>
  <c r="J530" i="41" a="1"/>
  <c r="J530" i="41" s="1"/>
  <c r="N537" i="41" a="1"/>
  <c r="N537" i="41" s="1"/>
  <c r="J537" i="41" a="1"/>
  <c r="J537" i="41" s="1"/>
  <c r="E537" i="41" a="1"/>
  <c r="E537" i="41" s="1"/>
  <c r="N529" i="41" a="1"/>
  <c r="N529" i="41" s="1"/>
  <c r="J529" i="41" a="1"/>
  <c r="J529" i="41" s="1"/>
  <c r="E529" i="41" a="1"/>
  <c r="E529" i="41" s="1"/>
  <c r="F529" i="41" s="1"/>
  <c r="N521" i="41" a="1"/>
  <c r="N521" i="41" s="1"/>
  <c r="J521" i="41" a="1"/>
  <c r="J521" i="41" s="1"/>
  <c r="E521" i="41" a="1"/>
  <c r="E521" i="41" s="1"/>
  <c r="N513" i="41" a="1"/>
  <c r="N513" i="41" s="1"/>
  <c r="J513" i="41" a="1"/>
  <c r="J513" i="41" s="1"/>
  <c r="E513" i="41" a="1"/>
  <c r="E513" i="41" s="1"/>
  <c r="F513" i="41" s="1"/>
  <c r="N505" i="41" a="1"/>
  <c r="N505" i="41" s="1"/>
  <c r="J505" i="41" a="1"/>
  <c r="J505" i="41" s="1"/>
  <c r="E505" i="41" a="1"/>
  <c r="E505" i="41" s="1"/>
  <c r="N497" i="41" a="1"/>
  <c r="N497" i="41" s="1"/>
  <c r="J497" i="41" a="1"/>
  <c r="J497" i="41" s="1"/>
  <c r="E497" i="41" a="1"/>
  <c r="E497" i="41" s="1"/>
  <c r="F497" i="41" s="1"/>
  <c r="N489" i="41" a="1"/>
  <c r="N489" i="41" s="1"/>
  <c r="J489" i="41" a="1"/>
  <c r="J489" i="41" s="1"/>
  <c r="E489" i="41" a="1"/>
  <c r="E489" i="41" s="1"/>
  <c r="N481" i="41" a="1"/>
  <c r="N481" i="41" s="1"/>
  <c r="J481" i="41" a="1"/>
  <c r="J481" i="41" s="1"/>
  <c r="E481" i="41" a="1"/>
  <c r="E481" i="41" s="1"/>
  <c r="F481" i="41" s="1"/>
  <c r="N473" i="41" a="1"/>
  <c r="N473" i="41" s="1"/>
  <c r="J473" i="41" a="1"/>
  <c r="J473" i="41" s="1"/>
  <c r="E473" i="41" a="1"/>
  <c r="E473" i="41" s="1"/>
  <c r="N465" i="41" a="1"/>
  <c r="N465" i="41" s="1"/>
  <c r="J465" i="41" a="1"/>
  <c r="J465" i="41" s="1"/>
  <c r="E465" i="41" a="1"/>
  <c r="E465" i="41" s="1"/>
  <c r="F465" i="41" s="1"/>
  <c r="N457" i="41" a="1"/>
  <c r="N457" i="41" s="1"/>
  <c r="J457" i="41" a="1"/>
  <c r="J457" i="41" s="1"/>
  <c r="E457" i="41" a="1"/>
  <c r="E457" i="41" s="1"/>
  <c r="N449" i="41" a="1"/>
  <c r="N449" i="41" s="1"/>
  <c r="J449" i="41" a="1"/>
  <c r="J449" i="41" s="1"/>
  <c r="E449" i="41" a="1"/>
  <c r="E449" i="41" s="1"/>
  <c r="F449" i="41" s="1"/>
  <c r="N441" i="41" a="1"/>
  <c r="N441" i="41" s="1"/>
  <c r="J441" i="41" a="1"/>
  <c r="J441" i="41" s="1"/>
  <c r="E441" i="41" a="1"/>
  <c r="E441" i="41" s="1"/>
  <c r="N433" i="41" a="1"/>
  <c r="N433" i="41" s="1"/>
  <c r="J433" i="41" a="1"/>
  <c r="J433" i="41" s="1"/>
  <c r="E433" i="41" a="1"/>
  <c r="E433" i="41" s="1"/>
  <c r="F433" i="41" s="1"/>
  <c r="N425" i="41" a="1"/>
  <c r="N425" i="41" s="1"/>
  <c r="J425" i="41" a="1"/>
  <c r="J425" i="41" s="1"/>
  <c r="E425" i="41" a="1"/>
  <c r="E425" i="41" s="1"/>
  <c r="N417" i="41" a="1"/>
  <c r="N417" i="41" s="1"/>
  <c r="J417" i="41" a="1"/>
  <c r="J417" i="41" s="1"/>
  <c r="E417" i="41" a="1"/>
  <c r="E417" i="41" s="1"/>
  <c r="F417" i="41" s="1"/>
  <c r="N409" i="41" a="1"/>
  <c r="N409" i="41" s="1"/>
  <c r="J409" i="41" a="1"/>
  <c r="J409" i="41" s="1"/>
  <c r="E409" i="41" a="1"/>
  <c r="E409" i="41" s="1"/>
  <c r="N401" i="41" a="1"/>
  <c r="N401" i="41" s="1"/>
  <c r="J401" i="41" a="1"/>
  <c r="J401" i="41" s="1"/>
  <c r="E401" i="41" a="1"/>
  <c r="E401" i="41" s="1"/>
  <c r="F401" i="41" s="1"/>
  <c r="N393" i="41" a="1"/>
  <c r="N393" i="41" s="1"/>
  <c r="J393" i="41" a="1"/>
  <c r="J393" i="41" s="1"/>
  <c r="E393" i="41" a="1"/>
  <c r="E393" i="41" s="1"/>
  <c r="N385" i="41" a="1"/>
  <c r="N385" i="41" s="1"/>
  <c r="J385" i="41" a="1"/>
  <c r="J385" i="41" s="1"/>
  <c r="E385" i="41" a="1"/>
  <c r="E385" i="41" s="1"/>
  <c r="F385" i="41" s="1"/>
  <c r="N377" i="41" a="1"/>
  <c r="N377" i="41" s="1"/>
  <c r="J377" i="41" a="1"/>
  <c r="J377" i="41" s="1"/>
  <c r="E377" i="41" a="1"/>
  <c r="E377" i="41" s="1"/>
  <c r="N369" i="41" a="1"/>
  <c r="N369" i="41" s="1"/>
  <c r="J369" i="41" a="1"/>
  <c r="J369" i="41" s="1"/>
  <c r="E369" i="41" a="1"/>
  <c r="E369" i="41" s="1"/>
  <c r="F369" i="41" s="1"/>
  <c r="N361" i="41" a="1"/>
  <c r="N361" i="41" s="1"/>
  <c r="J361" i="41" a="1"/>
  <c r="J361" i="41" s="1"/>
  <c r="E361" i="41" a="1"/>
  <c r="E361" i="41" s="1"/>
  <c r="N353" i="41" a="1"/>
  <c r="N353" i="41" s="1"/>
  <c r="J353" i="41" a="1"/>
  <c r="J353" i="41" s="1"/>
  <c r="E353" i="41" a="1"/>
  <c r="E353" i="41" s="1"/>
  <c r="F353" i="41" s="1"/>
  <c r="N345" i="41" a="1"/>
  <c r="N345" i="41" s="1"/>
  <c r="J345" i="41" a="1"/>
  <c r="J345" i="41" s="1"/>
  <c r="E345" i="41" a="1"/>
  <c r="E345" i="41" s="1"/>
  <c r="N337" i="41" a="1"/>
  <c r="N337" i="41" s="1"/>
  <c r="J337" i="41" a="1"/>
  <c r="J337" i="41" s="1"/>
  <c r="E337" i="41" a="1"/>
  <c r="E337" i="41" s="1"/>
  <c r="F337" i="41" s="1"/>
  <c r="N329" i="41" a="1"/>
  <c r="N329" i="41" s="1"/>
  <c r="J329" i="41" a="1"/>
  <c r="J329" i="41" s="1"/>
  <c r="E329" i="41" a="1"/>
  <c r="E329" i="41" s="1"/>
  <c r="N321" i="41" a="1"/>
  <c r="N321" i="41" s="1"/>
  <c r="J321" i="41" a="1"/>
  <c r="J321" i="41" s="1"/>
  <c r="E321" i="41" a="1"/>
  <c r="E321" i="41" s="1"/>
  <c r="F321" i="41" s="1"/>
  <c r="N313" i="41" a="1"/>
  <c r="N313" i="41" s="1"/>
  <c r="J313" i="41" a="1"/>
  <c r="J313" i="41" s="1"/>
  <c r="E313" i="41" a="1"/>
  <c r="E313" i="41" s="1"/>
  <c r="N305" i="41" a="1"/>
  <c r="N305" i="41" s="1"/>
  <c r="J305" i="41" a="1"/>
  <c r="J305" i="41" s="1"/>
  <c r="E305" i="41" a="1"/>
  <c r="E305" i="41" s="1"/>
  <c r="F305" i="41" s="1"/>
  <c r="N297" i="41" a="1"/>
  <c r="N297" i="41" s="1"/>
  <c r="J297" i="41" a="1"/>
  <c r="J297" i="41" s="1"/>
  <c r="E297" i="41" a="1"/>
  <c r="E297" i="41" s="1"/>
  <c r="N289" i="41" a="1"/>
  <c r="N289" i="41" s="1"/>
  <c r="J289" i="41" a="1"/>
  <c r="J289" i="41" s="1"/>
  <c r="E289" i="41" a="1"/>
  <c r="E289" i="41" s="1"/>
  <c r="F289" i="41" s="1"/>
  <c r="N281" i="41" a="1"/>
  <c r="N281" i="41" s="1"/>
  <c r="J281" i="41" a="1"/>
  <c r="J281" i="41" s="1"/>
  <c r="E281" i="41" a="1"/>
  <c r="E281" i="41" s="1"/>
  <c r="N273" i="41" a="1"/>
  <c r="N273" i="41" s="1"/>
  <c r="J273" i="41" a="1"/>
  <c r="J273" i="41" s="1"/>
  <c r="E273" i="41" a="1"/>
  <c r="E273" i="41" s="1"/>
  <c r="F273" i="41" s="1"/>
  <c r="N265" i="41" a="1"/>
  <c r="N265" i="41" s="1"/>
  <c r="J265" i="41" a="1"/>
  <c r="J265" i="41" s="1"/>
  <c r="E265" i="41" a="1"/>
  <c r="E265" i="41" s="1"/>
  <c r="N257" i="41" a="1"/>
  <c r="N257" i="41" s="1"/>
  <c r="J257" i="41" a="1"/>
  <c r="J257" i="41" s="1"/>
  <c r="E257" i="41" a="1"/>
  <c r="E257" i="41" s="1"/>
  <c r="F257" i="41" s="1"/>
  <c r="N249" i="41" a="1"/>
  <c r="N249" i="41" s="1"/>
  <c r="J249" i="41" a="1"/>
  <c r="J249" i="41" s="1"/>
  <c r="E249" i="41" a="1"/>
  <c r="E249" i="41" s="1"/>
  <c r="N241" i="41" a="1"/>
  <c r="N241" i="41" s="1"/>
  <c r="J241" i="41" a="1"/>
  <c r="J241" i="41" s="1"/>
  <c r="E241" i="41" a="1"/>
  <c r="E241" i="41" s="1"/>
  <c r="F241" i="41" s="1"/>
  <c r="N233" i="41" a="1"/>
  <c r="N233" i="41" s="1"/>
  <c r="J233" i="41" a="1"/>
  <c r="J233" i="41" s="1"/>
  <c r="E233" i="41" a="1"/>
  <c r="E233" i="41" s="1"/>
  <c r="J225" i="41" a="1"/>
  <c r="J225" i="41" s="1"/>
  <c r="N225" i="41" a="1"/>
  <c r="N225" i="41" s="1"/>
  <c r="E225" i="41" a="1"/>
  <c r="E225" i="41" s="1"/>
  <c r="F225" i="41" s="1"/>
  <c r="N217" i="41" a="1"/>
  <c r="N217" i="41" s="1"/>
  <c r="J217" i="41" a="1"/>
  <c r="J217" i="41" s="1"/>
  <c r="E217" i="41" a="1"/>
  <c r="E217" i="41" s="1"/>
  <c r="N209" i="41" a="1"/>
  <c r="N209" i="41" s="1"/>
  <c r="J209" i="41" a="1"/>
  <c r="J209" i="41" s="1"/>
  <c r="E209" i="41" a="1"/>
  <c r="E209" i="41" s="1"/>
  <c r="F209" i="41" s="1"/>
  <c r="N201" i="41" a="1"/>
  <c r="N201" i="41" s="1"/>
  <c r="J201" i="41" a="1"/>
  <c r="J201" i="41" s="1"/>
  <c r="E201" i="41" a="1"/>
  <c r="E201" i="41" s="1"/>
  <c r="N193" i="41" a="1"/>
  <c r="N193" i="41" s="1"/>
  <c r="J193" i="41" a="1"/>
  <c r="J193" i="41" s="1"/>
  <c r="E193" i="41" a="1"/>
  <c r="E193" i="41" s="1"/>
  <c r="F193" i="41" s="1"/>
  <c r="N185" i="41" a="1"/>
  <c r="N185" i="41" s="1"/>
  <c r="J185" i="41" a="1"/>
  <c r="J185" i="41" s="1"/>
  <c r="E185" i="41" a="1"/>
  <c r="E185" i="41" s="1"/>
  <c r="N177" i="41" a="1"/>
  <c r="N177" i="41" s="1"/>
  <c r="J177" i="41" a="1"/>
  <c r="J177" i="41" s="1"/>
  <c r="E177" i="41" a="1"/>
  <c r="E177" i="41" s="1"/>
  <c r="F177" i="41" s="1"/>
  <c r="N169" i="41" a="1"/>
  <c r="N169" i="41" s="1"/>
  <c r="J169" i="41" a="1"/>
  <c r="J169" i="41" s="1"/>
  <c r="E169" i="41" a="1"/>
  <c r="E169" i="41" s="1"/>
  <c r="J161" i="41" a="1"/>
  <c r="J161" i="41" s="1"/>
  <c r="N161" i="41" a="1"/>
  <c r="N161" i="41" s="1"/>
  <c r="E161" i="41" a="1"/>
  <c r="E161" i="41" s="1"/>
  <c r="F161" i="41" s="1"/>
  <c r="N153" i="41" a="1"/>
  <c r="N153" i="41" s="1"/>
  <c r="J153" i="41" a="1"/>
  <c r="J153" i="41" s="1"/>
  <c r="E153" i="41" a="1"/>
  <c r="E153" i="41" s="1"/>
  <c r="N145" i="41" a="1"/>
  <c r="N145" i="41" s="1"/>
  <c r="J145" i="41" a="1"/>
  <c r="J145" i="41" s="1"/>
  <c r="E145" i="41" a="1"/>
  <c r="E145" i="41" s="1"/>
  <c r="F145" i="41" s="1"/>
  <c r="N137" i="41" a="1"/>
  <c r="N137" i="41" s="1"/>
  <c r="J137" i="41" a="1"/>
  <c r="J137" i="41" s="1"/>
  <c r="E137" i="41" a="1"/>
  <c r="E137" i="41" s="1"/>
  <c r="N129" i="41" a="1"/>
  <c r="N129" i="41" s="1"/>
  <c r="J129" i="41" a="1"/>
  <c r="J129" i="41" s="1"/>
  <c r="E129" i="41" a="1"/>
  <c r="E129" i="41" s="1"/>
  <c r="F129" i="41" s="1"/>
  <c r="N121" i="41" a="1"/>
  <c r="N121" i="41" s="1"/>
  <c r="J121" i="41" a="1"/>
  <c r="J121" i="41" s="1"/>
  <c r="E121" i="41" a="1"/>
  <c r="E121" i="41" s="1"/>
  <c r="N113" i="41" a="1"/>
  <c r="N113" i="41" s="1"/>
  <c r="J113" i="41" a="1"/>
  <c r="J113" i="41" s="1"/>
  <c r="E113" i="41" a="1"/>
  <c r="E113" i="41" s="1"/>
  <c r="F113" i="41" s="1"/>
  <c r="N105" i="41" a="1"/>
  <c r="N105" i="41" s="1"/>
  <c r="J105" i="41" a="1"/>
  <c r="J105" i="41" s="1"/>
  <c r="E105" i="41" a="1"/>
  <c r="E105" i="41" s="1"/>
  <c r="N97" i="41" a="1"/>
  <c r="N97" i="41" s="1"/>
  <c r="J97" i="41" a="1"/>
  <c r="J97" i="41" s="1"/>
  <c r="E97" i="41" a="1"/>
  <c r="E97" i="41" s="1"/>
  <c r="F97" i="41" s="1"/>
  <c r="J89" i="41" a="1"/>
  <c r="J89" i="41" s="1"/>
  <c r="N89" i="41" a="1"/>
  <c r="N89" i="41" s="1"/>
  <c r="E89" i="41" a="1"/>
  <c r="E89" i="41" s="1"/>
  <c r="J81" i="41" a="1"/>
  <c r="J81" i="41" s="1"/>
  <c r="N81" i="41" a="1"/>
  <c r="N81" i="41" s="1"/>
  <c r="E81" i="41" a="1"/>
  <c r="E81" i="41" s="1"/>
  <c r="F81" i="41" s="1"/>
  <c r="J73" i="41" a="1"/>
  <c r="J73" i="41" s="1"/>
  <c r="N73" i="41" a="1"/>
  <c r="N73" i="41" s="1"/>
  <c r="E73" i="41" a="1"/>
  <c r="E73" i="41" s="1"/>
  <c r="J65" i="41" a="1"/>
  <c r="J65" i="41" s="1"/>
  <c r="N65" i="41" a="1"/>
  <c r="N65" i="41" s="1"/>
  <c r="E65" i="41" a="1"/>
  <c r="E65" i="41" s="1"/>
  <c r="F65" i="41" s="1"/>
  <c r="N57" i="41" a="1"/>
  <c r="N57" i="41" s="1"/>
  <c r="J57" i="41" a="1"/>
  <c r="J57" i="41" s="1"/>
  <c r="E57" i="41" a="1"/>
  <c r="E57" i="41" s="1"/>
  <c r="N49" i="41" a="1"/>
  <c r="N49" i="41" s="1"/>
  <c r="J49" i="41" a="1"/>
  <c r="J49" i="41" s="1"/>
  <c r="E49" i="41" a="1"/>
  <c r="E49" i="41" s="1"/>
  <c r="F49" i="41" s="1"/>
  <c r="N41" i="41" a="1"/>
  <c r="N41" i="41" s="1"/>
  <c r="J41" i="41" a="1"/>
  <c r="J41" i="41" s="1"/>
  <c r="E41" i="41" a="1"/>
  <c r="E41" i="41" s="1"/>
  <c r="F41" i="41" s="1"/>
  <c r="N33" i="41" a="1"/>
  <c r="N33" i="41" s="1"/>
  <c r="J33" i="41" a="1"/>
  <c r="J33" i="41" s="1"/>
  <c r="E33" i="41" a="1"/>
  <c r="E33" i="41" s="1"/>
  <c r="F33" i="41" s="1"/>
  <c r="J25" i="41" a="1"/>
  <c r="J25" i="41" s="1"/>
  <c r="N25" i="41" a="1"/>
  <c r="N25" i="41" s="1"/>
  <c r="E25" i="41" a="1"/>
  <c r="E25" i="41" s="1"/>
  <c r="J17" i="41" a="1"/>
  <c r="J17" i="41" s="1"/>
  <c r="N17" i="41" a="1"/>
  <c r="N17" i="41" s="1"/>
  <c r="E17" i="41" a="1"/>
  <c r="E17" i="41" s="1"/>
  <c r="F17" i="41" s="1"/>
  <c r="J9" i="41" a="1"/>
  <c r="J9" i="41" s="1"/>
  <c r="N9" i="41" a="1"/>
  <c r="N9" i="41" s="1"/>
  <c r="E9" i="41" a="1"/>
  <c r="E9" i="41" s="1"/>
  <c r="F9" i="41" s="1"/>
  <c r="J536" i="41" a="1"/>
  <c r="J536" i="41" s="1"/>
  <c r="N536" i="41" a="1"/>
  <c r="N536" i="41" s="1"/>
  <c r="E536" i="41" a="1"/>
  <c r="E536" i="41" s="1"/>
  <c r="F536" i="41" s="1"/>
  <c r="J480" i="41" a="1"/>
  <c r="J480" i="41" s="1"/>
  <c r="N480" i="41" a="1"/>
  <c r="N480" i="41" s="1"/>
  <c r="E480" i="41" a="1"/>
  <c r="E480" i="41" s="1"/>
  <c r="J424" i="41" a="1"/>
  <c r="J424" i="41" s="1"/>
  <c r="N424" i="41" a="1"/>
  <c r="N424" i="41" s="1"/>
  <c r="E424" i="41" a="1"/>
  <c r="E424" i="41" s="1"/>
  <c r="F424" i="41" s="1"/>
  <c r="J376" i="41" a="1"/>
  <c r="J376" i="41" s="1"/>
  <c r="N376" i="41" a="1"/>
  <c r="N376" i="41" s="1"/>
  <c r="E376" i="41" a="1"/>
  <c r="E376" i="41" s="1"/>
  <c r="F376" i="41" s="1"/>
  <c r="N328" i="41" a="1"/>
  <c r="N328" i="41" s="1"/>
  <c r="J328" i="41" a="1"/>
  <c r="J328" i="41" s="1"/>
  <c r="E328" i="41" a="1"/>
  <c r="E328" i="41" s="1"/>
  <c r="F328" i="41" s="1"/>
  <c r="N296" i="41" a="1"/>
  <c r="N296" i="41" s="1"/>
  <c r="J296" i="41" a="1"/>
  <c r="J296" i="41" s="1"/>
  <c r="E296" i="41" a="1"/>
  <c r="E296" i="41" s="1"/>
  <c r="N288" i="41" a="1"/>
  <c r="N288" i="41" s="1"/>
  <c r="J288" i="41" a="1"/>
  <c r="J288" i="41" s="1"/>
  <c r="E288" i="41" a="1"/>
  <c r="E288" i="41" s="1"/>
  <c r="F288" i="41" s="1"/>
  <c r="N280" i="41" a="1"/>
  <c r="N280" i="41" s="1"/>
  <c r="J280" i="41" a="1"/>
  <c r="J280" i="41" s="1"/>
  <c r="E280" i="41" a="1"/>
  <c r="E280" i="41" s="1"/>
  <c r="F280" i="41" s="1"/>
  <c r="N272" i="41" a="1"/>
  <c r="N272" i="41" s="1"/>
  <c r="J272" i="41" a="1"/>
  <c r="J272" i="41" s="1"/>
  <c r="E272" i="41" a="1"/>
  <c r="E272" i="41" s="1"/>
  <c r="F272" i="41" s="1"/>
  <c r="N264" i="41" a="1"/>
  <c r="N264" i="41" s="1"/>
  <c r="J264" i="41" a="1"/>
  <c r="J264" i="41" s="1"/>
  <c r="E264" i="41" a="1"/>
  <c r="E264" i="41" s="1"/>
  <c r="N256" i="41" a="1"/>
  <c r="N256" i="41" s="1"/>
  <c r="J256" i="41" a="1"/>
  <c r="J256" i="41" s="1"/>
  <c r="E256" i="41" a="1"/>
  <c r="E256" i="41" s="1"/>
  <c r="F256" i="41" s="1"/>
  <c r="N248" i="41" a="1"/>
  <c r="N248" i="41" s="1"/>
  <c r="J248" i="41" a="1"/>
  <c r="J248" i="41" s="1"/>
  <c r="E248" i="41" a="1"/>
  <c r="E248" i="41" s="1"/>
  <c r="F248" i="41" s="1"/>
  <c r="N240" i="41" a="1"/>
  <c r="N240" i="41" s="1"/>
  <c r="J240" i="41" a="1"/>
  <c r="J240" i="41" s="1"/>
  <c r="E240" i="41" a="1"/>
  <c r="E240" i="41" s="1"/>
  <c r="F240" i="41" s="1"/>
  <c r="N232" i="41" a="1"/>
  <c r="N232" i="41" s="1"/>
  <c r="J232" i="41" a="1"/>
  <c r="J232" i="41" s="1"/>
  <c r="E232" i="41" a="1"/>
  <c r="E232" i="41" s="1"/>
  <c r="N224" i="41" a="1"/>
  <c r="N224" i="41" s="1"/>
  <c r="J224" i="41" a="1"/>
  <c r="J224" i="41" s="1"/>
  <c r="E224" i="41" a="1"/>
  <c r="E224" i="41" s="1"/>
  <c r="F224" i="41" s="1"/>
  <c r="N216" i="41" a="1"/>
  <c r="N216" i="41" s="1"/>
  <c r="J216" i="41" a="1"/>
  <c r="J216" i="41" s="1"/>
  <c r="E216" i="41" a="1"/>
  <c r="E216" i="41" s="1"/>
  <c r="F216" i="41" s="1"/>
  <c r="N208" i="41" a="1"/>
  <c r="N208" i="41" s="1"/>
  <c r="J208" i="41" a="1"/>
  <c r="J208" i="41" s="1"/>
  <c r="E208" i="41" a="1"/>
  <c r="E208" i="41" s="1"/>
  <c r="F208" i="41" s="1"/>
  <c r="N200" i="41" a="1"/>
  <c r="N200" i="41" s="1"/>
  <c r="J200" i="41" a="1"/>
  <c r="J200" i="41" s="1"/>
  <c r="E200" i="41" a="1"/>
  <c r="E200" i="41" s="1"/>
  <c r="N192" i="41" a="1"/>
  <c r="N192" i="41" s="1"/>
  <c r="J192" i="41" a="1"/>
  <c r="J192" i="41" s="1"/>
  <c r="E192" i="41" a="1"/>
  <c r="E192" i="41" s="1"/>
  <c r="F192" i="41" s="1"/>
  <c r="N184" i="41" a="1"/>
  <c r="N184" i="41" s="1"/>
  <c r="J184" i="41" a="1"/>
  <c r="J184" i="41" s="1"/>
  <c r="E184" i="41" a="1"/>
  <c r="E184" i="41" s="1"/>
  <c r="F184" i="41" s="1"/>
  <c r="N176" i="41" a="1"/>
  <c r="N176" i="41" s="1"/>
  <c r="J176" i="41" a="1"/>
  <c r="J176" i="41" s="1"/>
  <c r="E176" i="41" a="1"/>
  <c r="E176" i="41" s="1"/>
  <c r="F176" i="41" s="1"/>
  <c r="J168" i="41" a="1"/>
  <c r="J168" i="41" s="1"/>
  <c r="N168" i="41" a="1"/>
  <c r="N168" i="41" s="1"/>
  <c r="E168" i="41" a="1"/>
  <c r="E168" i="41" s="1"/>
  <c r="N160" i="41" a="1"/>
  <c r="N160" i="41" s="1"/>
  <c r="J160" i="41" a="1"/>
  <c r="J160" i="41" s="1"/>
  <c r="E160" i="41" a="1"/>
  <c r="E160" i="41" s="1"/>
  <c r="F160" i="41" s="1"/>
  <c r="N152" i="41" a="1"/>
  <c r="N152" i="41" s="1"/>
  <c r="J152" i="41" a="1"/>
  <c r="J152" i="41" s="1"/>
  <c r="E152" i="41" a="1"/>
  <c r="E152" i="41" s="1"/>
  <c r="F152" i="41" s="1"/>
  <c r="N144" i="41" a="1"/>
  <c r="N144" i="41" s="1"/>
  <c r="J144" i="41" a="1"/>
  <c r="J144" i="41" s="1"/>
  <c r="E144" i="41" a="1"/>
  <c r="E144" i="41" s="1"/>
  <c r="F144" i="41" s="1"/>
  <c r="N136" i="41" a="1"/>
  <c r="N136" i="41" s="1"/>
  <c r="J136" i="41" a="1"/>
  <c r="J136" i="41" s="1"/>
  <c r="E136" i="41" a="1"/>
  <c r="E136" i="41" s="1"/>
  <c r="N128" i="41" a="1"/>
  <c r="N128" i="41" s="1"/>
  <c r="J128" i="41" a="1"/>
  <c r="J128" i="41" s="1"/>
  <c r="E128" i="41" a="1"/>
  <c r="E128" i="41" s="1"/>
  <c r="F128" i="41" s="1"/>
  <c r="N120" i="41" a="1"/>
  <c r="N120" i="41" s="1"/>
  <c r="J120" i="41" a="1"/>
  <c r="J120" i="41" s="1"/>
  <c r="E120" i="41" a="1"/>
  <c r="E120" i="41" s="1"/>
  <c r="N112" i="41" a="1"/>
  <c r="N112" i="41" s="1"/>
  <c r="J112" i="41" a="1"/>
  <c r="J112" i="41" s="1"/>
  <c r="E112" i="41" a="1"/>
  <c r="E112" i="41" s="1"/>
  <c r="F112" i="41" s="1"/>
  <c r="N104" i="41" a="1"/>
  <c r="N104" i="41" s="1"/>
  <c r="J104" i="41" a="1"/>
  <c r="J104" i="41" s="1"/>
  <c r="E104" i="41" a="1"/>
  <c r="E104" i="41" s="1"/>
  <c r="N96" i="41" a="1"/>
  <c r="N96" i="41" s="1"/>
  <c r="J96" i="41" a="1"/>
  <c r="J96" i="41" s="1"/>
  <c r="E96" i="41" a="1"/>
  <c r="E96" i="41" s="1"/>
  <c r="F96" i="41" s="1"/>
  <c r="J88" i="41" a="1"/>
  <c r="J88" i="41" s="1"/>
  <c r="N88" i="41" a="1"/>
  <c r="N88" i="41" s="1"/>
  <c r="E88" i="41" a="1"/>
  <c r="E88" i="41" s="1"/>
  <c r="F88" i="41" s="1"/>
  <c r="J80" i="41" a="1"/>
  <c r="J80" i="41" s="1"/>
  <c r="N80" i="41" a="1"/>
  <c r="N80" i="41" s="1"/>
  <c r="E80" i="41" a="1"/>
  <c r="E80" i="41" s="1"/>
  <c r="F80" i="41" s="1"/>
  <c r="J72" i="41" a="1"/>
  <c r="J72" i="41" s="1"/>
  <c r="N72" i="41" a="1"/>
  <c r="N72" i="41" s="1"/>
  <c r="E72" i="41" a="1"/>
  <c r="E72" i="41" s="1"/>
  <c r="J64" i="41" a="1"/>
  <c r="J64" i="41" s="1"/>
  <c r="N64" i="41" a="1"/>
  <c r="N64" i="41" s="1"/>
  <c r="E64" i="41" a="1"/>
  <c r="E64" i="41" s="1"/>
  <c r="F64" i="41" s="1"/>
  <c r="N56" i="41" a="1"/>
  <c r="N56" i="41" s="1"/>
  <c r="J56" i="41" a="1"/>
  <c r="J56" i="41" s="1"/>
  <c r="E56" i="41" a="1"/>
  <c r="E56" i="41" s="1"/>
  <c r="F56" i="41" s="1"/>
  <c r="N48" i="41" a="1"/>
  <c r="N48" i="41" s="1"/>
  <c r="J48" i="41" a="1"/>
  <c r="J48" i="41" s="1"/>
  <c r="E48" i="41" a="1"/>
  <c r="E48" i="41" s="1"/>
  <c r="F48" i="41" s="1"/>
  <c r="N40" i="41" a="1"/>
  <c r="N40" i="41" s="1"/>
  <c r="J40" i="41" a="1"/>
  <c r="J40" i="41" s="1"/>
  <c r="E40" i="41" a="1"/>
  <c r="E40" i="41" s="1"/>
  <c r="F40" i="41" s="1"/>
  <c r="J32" i="41" a="1"/>
  <c r="J32" i="41" s="1"/>
  <c r="N32" i="41" a="1"/>
  <c r="N32" i="41" s="1"/>
  <c r="E32" i="41" a="1"/>
  <c r="E32" i="41" s="1"/>
  <c r="F32" i="41" s="1"/>
  <c r="J24" i="41" a="1"/>
  <c r="J24" i="41" s="1"/>
  <c r="N24" i="41" a="1"/>
  <c r="N24" i="41" s="1"/>
  <c r="E24" i="41" a="1"/>
  <c r="E24" i="41" s="1"/>
  <c r="F24" i="41" s="1"/>
  <c r="J16" i="41" a="1"/>
  <c r="J16" i="41" s="1"/>
  <c r="N16" i="41" a="1"/>
  <c r="N16" i="41" s="1"/>
  <c r="E16" i="41" a="1"/>
  <c r="E16" i="41" s="1"/>
  <c r="F16" i="41" s="1"/>
  <c r="J8" i="41" a="1"/>
  <c r="J8" i="41" s="1"/>
  <c r="N8" i="41" a="1"/>
  <c r="N8" i="41" s="1"/>
  <c r="E8" i="41" a="1"/>
  <c r="E8" i="41" s="1"/>
  <c r="N469" i="41" a="1"/>
  <c r="N469" i="41" s="1"/>
  <c r="J469" i="41" a="1"/>
  <c r="J469" i="41" s="1"/>
  <c r="E469" i="41" a="1"/>
  <c r="E469" i="41" s="1"/>
  <c r="F469" i="41" s="1"/>
  <c r="J496" i="41" a="1"/>
  <c r="J496" i="41" s="1"/>
  <c r="N496" i="41" a="1"/>
  <c r="N496" i="41" s="1"/>
  <c r="E496" i="41" a="1"/>
  <c r="E496" i="41" s="1"/>
  <c r="F496" i="41" s="1"/>
  <c r="J440" i="41" a="1"/>
  <c r="J440" i="41" s="1"/>
  <c r="N440" i="41" a="1"/>
  <c r="N440" i="41" s="1"/>
  <c r="E440" i="41" a="1"/>
  <c r="E440" i="41" s="1"/>
  <c r="F440" i="41" s="1"/>
  <c r="J392" i="41" a="1"/>
  <c r="J392" i="41" s="1"/>
  <c r="E392" i="41" a="1"/>
  <c r="E392" i="41" s="1"/>
  <c r="F392" i="41" s="1"/>
  <c r="N392" i="41" a="1"/>
  <c r="N392" i="41" s="1"/>
  <c r="N344" i="41" a="1"/>
  <c r="N344" i="41" s="1"/>
  <c r="J344" i="41" a="1"/>
  <c r="J344" i="41" s="1"/>
  <c r="E344" i="41" a="1"/>
  <c r="E344" i="41" s="1"/>
  <c r="F344" i="41" s="1"/>
  <c r="N304" i="41" a="1"/>
  <c r="N304" i="41" s="1"/>
  <c r="J304" i="41" a="1"/>
  <c r="J304" i="41" s="1"/>
  <c r="E304" i="41" a="1"/>
  <c r="E304" i="41" s="1"/>
  <c r="F304" i="41" s="1"/>
  <c r="N487" i="41" a="1"/>
  <c r="N487" i="41" s="1"/>
  <c r="J487" i="41" a="1"/>
  <c r="J487" i="41" s="1"/>
  <c r="E487" i="41" a="1"/>
  <c r="E487" i="41" s="1"/>
  <c r="F487" i="41" s="1"/>
  <c r="N439" i="41" a="1"/>
  <c r="N439" i="41" s="1"/>
  <c r="J439" i="41" a="1"/>
  <c r="J439" i="41" s="1"/>
  <c r="E439" i="41" a="1"/>
  <c r="E439" i="41" s="1"/>
  <c r="N383" i="41" a="1"/>
  <c r="N383" i="41" s="1"/>
  <c r="J383" i="41" a="1"/>
  <c r="J383" i="41" s="1"/>
  <c r="E383" i="41" a="1"/>
  <c r="E383" i="41" s="1"/>
  <c r="F383" i="41" s="1"/>
  <c r="N343" i="41" a="1"/>
  <c r="N343" i="41" s="1"/>
  <c r="J343" i="41" a="1"/>
  <c r="J343" i="41" s="1"/>
  <c r="E343" i="41" a="1"/>
  <c r="E343" i="41" s="1"/>
  <c r="F343" i="41" s="1"/>
  <c r="N303" i="41" a="1"/>
  <c r="N303" i="41" s="1"/>
  <c r="J303" i="41" a="1"/>
  <c r="J303" i="41" s="1"/>
  <c r="E303" i="41" a="1"/>
  <c r="E303" i="41" s="1"/>
  <c r="F303" i="41" s="1"/>
  <c r="N271" i="41" a="1"/>
  <c r="N271" i="41" s="1"/>
  <c r="J271" i="41" a="1"/>
  <c r="J271" i="41" s="1"/>
  <c r="E271" i="41" a="1"/>
  <c r="E271" i="41" s="1"/>
  <c r="F271" i="41" s="1"/>
  <c r="N255" i="41" a="1"/>
  <c r="N255" i="41" s="1"/>
  <c r="J255" i="41" a="1"/>
  <c r="J255" i="41" s="1"/>
  <c r="E255" i="41" a="1"/>
  <c r="E255" i="41" s="1"/>
  <c r="F255" i="41" s="1"/>
  <c r="N247" i="41" a="1"/>
  <c r="N247" i="41" s="1"/>
  <c r="J247" i="41" a="1"/>
  <c r="J247" i="41" s="1"/>
  <c r="E247" i="41" a="1"/>
  <c r="E247" i="41" s="1"/>
  <c r="F247" i="41" s="1"/>
  <c r="N239" i="41" a="1"/>
  <c r="N239" i="41" s="1"/>
  <c r="J239" i="41" a="1"/>
  <c r="J239" i="41" s="1"/>
  <c r="E239" i="41" a="1"/>
  <c r="E239" i="41" s="1"/>
  <c r="F239" i="41" s="1"/>
  <c r="N231" i="41" a="1"/>
  <c r="N231" i="41" s="1"/>
  <c r="J231" i="41" a="1"/>
  <c r="J231" i="41" s="1"/>
  <c r="E231" i="41" a="1"/>
  <c r="E231" i="41" s="1"/>
  <c r="N223" i="41" a="1"/>
  <c r="N223" i="41" s="1"/>
  <c r="J223" i="41" a="1"/>
  <c r="J223" i="41" s="1"/>
  <c r="E223" i="41" a="1"/>
  <c r="E223" i="41" s="1"/>
  <c r="F223" i="41" s="1"/>
  <c r="N215" i="41" a="1"/>
  <c r="N215" i="41" s="1"/>
  <c r="J215" i="41" a="1"/>
  <c r="J215" i="41" s="1"/>
  <c r="E215" i="41" a="1"/>
  <c r="E215" i="41" s="1"/>
  <c r="F215" i="41" s="1"/>
  <c r="N207" i="41" a="1"/>
  <c r="N207" i="41" s="1"/>
  <c r="J207" i="41" a="1"/>
  <c r="J207" i="41" s="1"/>
  <c r="E207" i="41" a="1"/>
  <c r="E207" i="41" s="1"/>
  <c r="F207" i="41" s="1"/>
  <c r="N199" i="41" a="1"/>
  <c r="N199" i="41" s="1"/>
  <c r="J199" i="41" a="1"/>
  <c r="J199" i="41" s="1"/>
  <c r="E199" i="41" a="1"/>
  <c r="E199" i="41" s="1"/>
  <c r="F199" i="41" s="1"/>
  <c r="N191" i="41" a="1"/>
  <c r="N191" i="41" s="1"/>
  <c r="J191" i="41" a="1"/>
  <c r="J191" i="41" s="1"/>
  <c r="E191" i="41" a="1"/>
  <c r="E191" i="41" s="1"/>
  <c r="F191" i="41" s="1"/>
  <c r="N183" i="41" a="1"/>
  <c r="N183" i="41" s="1"/>
  <c r="J183" i="41" a="1"/>
  <c r="J183" i="41" s="1"/>
  <c r="E183" i="41" a="1"/>
  <c r="E183" i="41" s="1"/>
  <c r="F183" i="41" s="1"/>
  <c r="N175" i="41" a="1"/>
  <c r="N175" i="41" s="1"/>
  <c r="J175" i="41" a="1"/>
  <c r="J175" i="41" s="1"/>
  <c r="E175" i="41" a="1"/>
  <c r="E175" i="41" s="1"/>
  <c r="F175" i="41" s="1"/>
  <c r="N167" i="41" a="1"/>
  <c r="N167" i="41" s="1"/>
  <c r="J167" i="41" a="1"/>
  <c r="J167" i="41" s="1"/>
  <c r="E167" i="41" a="1"/>
  <c r="E167" i="41" s="1"/>
  <c r="N159" i="41" a="1"/>
  <c r="N159" i="41" s="1"/>
  <c r="J159" i="41" a="1"/>
  <c r="J159" i="41" s="1"/>
  <c r="E159" i="41" a="1"/>
  <c r="E159" i="41" s="1"/>
  <c r="F159" i="41" s="1"/>
  <c r="N151" i="41" a="1"/>
  <c r="N151" i="41" s="1"/>
  <c r="J151" i="41" a="1"/>
  <c r="J151" i="41" s="1"/>
  <c r="E151" i="41" a="1"/>
  <c r="E151" i="41" s="1"/>
  <c r="F151" i="41" s="1"/>
  <c r="N143" i="41" a="1"/>
  <c r="N143" i="41" s="1"/>
  <c r="J143" i="41" a="1"/>
  <c r="J143" i="41" s="1"/>
  <c r="E143" i="41" a="1"/>
  <c r="E143" i="41" s="1"/>
  <c r="F143" i="41" s="1"/>
  <c r="N135" i="41" a="1"/>
  <c r="N135" i="41" s="1"/>
  <c r="J135" i="41" a="1"/>
  <c r="J135" i="41" s="1"/>
  <c r="E135" i="41" a="1"/>
  <c r="E135" i="41" s="1"/>
  <c r="F135" i="41" s="1"/>
  <c r="N127" i="41" a="1"/>
  <c r="N127" i="41" s="1"/>
  <c r="J127" i="41" a="1"/>
  <c r="J127" i="41" s="1"/>
  <c r="E127" i="41" a="1"/>
  <c r="E127" i="41" s="1"/>
  <c r="F127" i="41" s="1"/>
  <c r="N119" i="41" a="1"/>
  <c r="N119" i="41" s="1"/>
  <c r="J119" i="41" a="1"/>
  <c r="J119" i="41" s="1"/>
  <c r="E119" i="41" a="1"/>
  <c r="E119" i="41" s="1"/>
  <c r="F119" i="41" s="1"/>
  <c r="N111" i="41" a="1"/>
  <c r="N111" i="41" s="1"/>
  <c r="J111" i="41" a="1"/>
  <c r="J111" i="41" s="1"/>
  <c r="E111" i="41" a="1"/>
  <c r="E111" i="41" s="1"/>
  <c r="F111" i="41" s="1"/>
  <c r="J103" i="41" a="1"/>
  <c r="J103" i="41" s="1"/>
  <c r="N103" i="41" a="1"/>
  <c r="N103" i="41" s="1"/>
  <c r="E103" i="41" a="1"/>
  <c r="E103" i="41" s="1"/>
  <c r="F103" i="41" s="1"/>
  <c r="N95" i="41" a="1"/>
  <c r="N95" i="41" s="1"/>
  <c r="J95" i="41" a="1"/>
  <c r="J95" i="41" s="1"/>
  <c r="E95" i="41" a="1"/>
  <c r="E95" i="41" s="1"/>
  <c r="F95" i="41" s="1"/>
  <c r="N87" i="41" a="1"/>
  <c r="N87" i="41" s="1"/>
  <c r="J87" i="41" a="1"/>
  <c r="J87" i="41" s="1"/>
  <c r="E87" i="41" a="1"/>
  <c r="E87" i="41" s="1"/>
  <c r="F87" i="41" s="1"/>
  <c r="J79" i="41" a="1"/>
  <c r="J79" i="41" s="1"/>
  <c r="N79" i="41" a="1"/>
  <c r="N79" i="41" s="1"/>
  <c r="E79" i="41" a="1"/>
  <c r="E79" i="41" s="1"/>
  <c r="F79" i="41" s="1"/>
  <c r="J71" i="41" a="1"/>
  <c r="J71" i="41" s="1"/>
  <c r="N71" i="41" a="1"/>
  <c r="N71" i="41" s="1"/>
  <c r="E71" i="41" a="1"/>
  <c r="E71" i="41" s="1"/>
  <c r="F71" i="41" s="1"/>
  <c r="J63" i="41" a="1"/>
  <c r="J63" i="41" s="1"/>
  <c r="N63" i="41" a="1"/>
  <c r="N63" i="41" s="1"/>
  <c r="E63" i="41" a="1"/>
  <c r="E63" i="41" s="1"/>
  <c r="F63" i="41" s="1"/>
  <c r="N55" i="41" a="1"/>
  <c r="N55" i="41" s="1"/>
  <c r="J55" i="41" a="1"/>
  <c r="J55" i="41" s="1"/>
  <c r="E55" i="41" a="1"/>
  <c r="E55" i="41" s="1"/>
  <c r="F55" i="41" s="1"/>
  <c r="N47" i="41" a="1"/>
  <c r="N47" i="41" s="1"/>
  <c r="J47" i="41" a="1"/>
  <c r="J47" i="41" s="1"/>
  <c r="E47" i="41" a="1"/>
  <c r="E47" i="41" s="1"/>
  <c r="F47" i="41" s="1"/>
  <c r="J39" i="41" a="1"/>
  <c r="J39" i="41" s="1"/>
  <c r="N39" i="41" a="1"/>
  <c r="N39" i="41" s="1"/>
  <c r="E39" i="41" a="1"/>
  <c r="E39" i="41" s="1"/>
  <c r="F39" i="41" s="1"/>
  <c r="J31" i="41" a="1"/>
  <c r="J31" i="41" s="1"/>
  <c r="N31" i="41" a="1"/>
  <c r="N31" i="41" s="1"/>
  <c r="E31" i="41" a="1"/>
  <c r="E31" i="41" s="1"/>
  <c r="F31" i="41" s="1"/>
  <c r="J23" i="41" a="1"/>
  <c r="J23" i="41" s="1"/>
  <c r="N23" i="41" a="1"/>
  <c r="N23" i="41" s="1"/>
  <c r="E23" i="41" a="1"/>
  <c r="E23" i="41" s="1"/>
  <c r="F23" i="41" s="1"/>
  <c r="J15" i="41" a="1"/>
  <c r="J15" i="41" s="1"/>
  <c r="N15" i="41" a="1"/>
  <c r="N15" i="41" s="1"/>
  <c r="E15" i="41" a="1"/>
  <c r="E15" i="41" s="1"/>
  <c r="F15" i="41" s="1"/>
  <c r="N7" i="41" a="1"/>
  <c r="N7" i="41" s="1"/>
  <c r="J7" i="41" a="1"/>
  <c r="J7" i="41" s="1"/>
  <c r="E7" i="41" a="1"/>
  <c r="E7" i="41" s="1"/>
  <c r="N525" i="41" a="1"/>
  <c r="N525" i="41" s="1"/>
  <c r="J525" i="41" a="1"/>
  <c r="J525" i="41" s="1"/>
  <c r="E525" i="41" a="1"/>
  <c r="E525" i="41" s="1"/>
  <c r="F525" i="41" s="1"/>
  <c r="N501" i="41" a="1"/>
  <c r="N501" i="41" s="1"/>
  <c r="J501" i="41" a="1"/>
  <c r="J501" i="41" s="1"/>
  <c r="E501" i="41" a="1"/>
  <c r="E501" i="41" s="1"/>
  <c r="F501" i="41" s="1"/>
  <c r="N461" i="41" a="1"/>
  <c r="N461" i="41" s="1"/>
  <c r="J461" i="41" a="1"/>
  <c r="J461" i="41" s="1"/>
  <c r="E461" i="41" a="1"/>
  <c r="E461" i="41" s="1"/>
  <c r="F461" i="41" s="1"/>
  <c r="N429" i="41" a="1"/>
  <c r="N429" i="41" s="1"/>
  <c r="J429" i="41" a="1"/>
  <c r="J429" i="41" s="1"/>
  <c r="E429" i="41" a="1"/>
  <c r="E429" i="41" s="1"/>
  <c r="F429" i="41" s="1"/>
  <c r="N528" i="41" a="1"/>
  <c r="N528" i="41" s="1"/>
  <c r="J528" i="41" a="1"/>
  <c r="J528" i="41" s="1"/>
  <c r="E528" i="41" a="1"/>
  <c r="E528" i="41" s="1"/>
  <c r="F528" i="41" s="1"/>
  <c r="J520" i="41" a="1"/>
  <c r="J520" i="41" s="1"/>
  <c r="N520" i="41" a="1"/>
  <c r="N520" i="41" s="1"/>
  <c r="E520" i="41" a="1"/>
  <c r="E520" i="41" s="1"/>
  <c r="F520" i="41" s="1"/>
  <c r="J512" i="41" a="1"/>
  <c r="J512" i="41" s="1"/>
  <c r="N512" i="41" a="1"/>
  <c r="N512" i="41" s="1"/>
  <c r="E512" i="41" a="1"/>
  <c r="E512" i="41" s="1"/>
  <c r="F512" i="41" s="1"/>
  <c r="N504" i="41" a="1"/>
  <c r="N504" i="41" s="1"/>
  <c r="J504" i="41" a="1"/>
  <c r="J504" i="41" s="1"/>
  <c r="E504" i="41" a="1"/>
  <c r="E504" i="41" s="1"/>
  <c r="F504" i="41" s="1"/>
  <c r="N488" i="41" a="1"/>
  <c r="N488" i="41" s="1"/>
  <c r="J488" i="41" a="1"/>
  <c r="J488" i="41" s="1"/>
  <c r="E488" i="41" a="1"/>
  <c r="E488" i="41" s="1"/>
  <c r="F488" i="41" s="1"/>
  <c r="N472" i="41" a="1"/>
  <c r="N472" i="41" s="1"/>
  <c r="J472" i="41" a="1"/>
  <c r="J472" i="41" s="1"/>
  <c r="E472" i="41" a="1"/>
  <c r="E472" i="41" s="1"/>
  <c r="F472" i="41" s="1"/>
  <c r="N464" i="41" a="1"/>
  <c r="N464" i="41" s="1"/>
  <c r="J464" i="41" a="1"/>
  <c r="J464" i="41" s="1"/>
  <c r="E464" i="41" a="1"/>
  <c r="E464" i="41" s="1"/>
  <c r="F464" i="41" s="1"/>
  <c r="J456" i="41" a="1"/>
  <c r="J456" i="41" s="1"/>
  <c r="N456" i="41" a="1"/>
  <c r="N456" i="41" s="1"/>
  <c r="E456" i="41" a="1"/>
  <c r="E456" i="41" s="1"/>
  <c r="F456" i="41" s="1"/>
  <c r="N448" i="41" a="1"/>
  <c r="N448" i="41" s="1"/>
  <c r="J448" i="41" a="1"/>
  <c r="J448" i="41" s="1"/>
  <c r="E448" i="41" a="1"/>
  <c r="E448" i="41" s="1"/>
  <c r="F448" i="41" s="1"/>
  <c r="N432" i="41" a="1"/>
  <c r="N432" i="41" s="1"/>
  <c r="J432" i="41" a="1"/>
  <c r="J432" i="41" s="1"/>
  <c r="E432" i="41" a="1"/>
  <c r="E432" i="41" s="1"/>
  <c r="F432" i="41" s="1"/>
  <c r="N416" i="41" a="1"/>
  <c r="N416" i="41" s="1"/>
  <c r="J416" i="41" a="1"/>
  <c r="J416" i="41" s="1"/>
  <c r="E416" i="41" a="1"/>
  <c r="E416" i="41" s="1"/>
  <c r="F416" i="41" s="1"/>
  <c r="N408" i="41" a="1"/>
  <c r="N408" i="41" s="1"/>
  <c r="J408" i="41" a="1"/>
  <c r="J408" i="41" s="1"/>
  <c r="E408" i="41" a="1"/>
  <c r="E408" i="41" s="1"/>
  <c r="F408" i="41" s="1"/>
  <c r="N400" i="41" a="1"/>
  <c r="N400" i="41" s="1"/>
  <c r="E400" i="41" a="1"/>
  <c r="E400" i="41" s="1"/>
  <c r="F400" i="41" s="1"/>
  <c r="J400" i="41" a="1"/>
  <c r="J400" i="41" s="1"/>
  <c r="N384" i="41" a="1"/>
  <c r="N384" i="41" s="1"/>
  <c r="J384" i="41" a="1"/>
  <c r="J384" i="41" s="1"/>
  <c r="E384" i="41" a="1"/>
  <c r="E384" i="41" s="1"/>
  <c r="F384" i="41" s="1"/>
  <c r="J368" i="41" a="1"/>
  <c r="J368" i="41" s="1"/>
  <c r="N368" i="41" a="1"/>
  <c r="N368" i="41" s="1"/>
  <c r="E368" i="41" a="1"/>
  <c r="E368" i="41" s="1"/>
  <c r="F368" i="41" s="1"/>
  <c r="N360" i="41" a="1"/>
  <c r="N360" i="41" s="1"/>
  <c r="J360" i="41" a="1"/>
  <c r="J360" i="41" s="1"/>
  <c r="E360" i="41" a="1"/>
  <c r="E360" i="41" s="1"/>
  <c r="F360" i="41" s="1"/>
  <c r="N352" i="41" a="1"/>
  <c r="N352" i="41" s="1"/>
  <c r="J352" i="41" a="1"/>
  <c r="J352" i="41" s="1"/>
  <c r="E352" i="41" a="1"/>
  <c r="E352" i="41" s="1"/>
  <c r="F352" i="41" s="1"/>
  <c r="N336" i="41" a="1"/>
  <c r="N336" i="41" s="1"/>
  <c r="J336" i="41" a="1"/>
  <c r="J336" i="41" s="1"/>
  <c r="E336" i="41" a="1"/>
  <c r="E336" i="41" s="1"/>
  <c r="F336" i="41" s="1"/>
  <c r="N320" i="41" a="1"/>
  <c r="N320" i="41" s="1"/>
  <c r="J320" i="41" a="1"/>
  <c r="J320" i="41" s="1"/>
  <c r="E320" i="41" a="1"/>
  <c r="E320" i="41" s="1"/>
  <c r="F320" i="41" s="1"/>
  <c r="N312" i="41" a="1"/>
  <c r="N312" i="41" s="1"/>
  <c r="J312" i="41" a="1"/>
  <c r="J312" i="41" s="1"/>
  <c r="E312" i="41" a="1"/>
  <c r="E312" i="41" s="1"/>
  <c r="F312" i="41" s="1"/>
  <c r="N535" i="41" a="1"/>
  <c r="N535" i="41" s="1"/>
  <c r="J535" i="41" a="1"/>
  <c r="J535" i="41" s="1"/>
  <c r="E535" i="41" a="1"/>
  <c r="E535" i="41" s="1"/>
  <c r="F535" i="41" s="1"/>
  <c r="N527" i="41" a="1"/>
  <c r="N527" i="41" s="1"/>
  <c r="J527" i="41" a="1"/>
  <c r="J527" i="41" s="1"/>
  <c r="E527" i="41" a="1"/>
  <c r="E527" i="41" s="1"/>
  <c r="F527" i="41" s="1"/>
  <c r="N519" i="41" a="1"/>
  <c r="N519" i="41" s="1"/>
  <c r="J519" i="41" a="1"/>
  <c r="J519" i="41" s="1"/>
  <c r="E519" i="41" a="1"/>
  <c r="E519" i="41" s="1"/>
  <c r="F519" i="41" s="1"/>
  <c r="N511" i="41" a="1"/>
  <c r="N511" i="41" s="1"/>
  <c r="J511" i="41" a="1"/>
  <c r="J511" i="41" s="1"/>
  <c r="E511" i="41" a="1"/>
  <c r="E511" i="41" s="1"/>
  <c r="F511" i="41" s="1"/>
  <c r="N503" i="41" a="1"/>
  <c r="N503" i="41" s="1"/>
  <c r="J503" i="41" a="1"/>
  <c r="J503" i="41" s="1"/>
  <c r="E503" i="41" a="1"/>
  <c r="E503" i="41" s="1"/>
  <c r="F503" i="41" s="1"/>
  <c r="N495" i="41" a="1"/>
  <c r="N495" i="41" s="1"/>
  <c r="J495" i="41" a="1"/>
  <c r="J495" i="41" s="1"/>
  <c r="E495" i="41" a="1"/>
  <c r="E495" i="41" s="1"/>
  <c r="F495" i="41" s="1"/>
  <c r="N479" i="41" a="1"/>
  <c r="N479" i="41" s="1"/>
  <c r="J479" i="41" a="1"/>
  <c r="J479" i="41" s="1"/>
  <c r="E479" i="41" a="1"/>
  <c r="E479" i="41" s="1"/>
  <c r="F479" i="41" s="1"/>
  <c r="N471" i="41" a="1"/>
  <c r="N471" i="41" s="1"/>
  <c r="J471" i="41" a="1"/>
  <c r="J471" i="41" s="1"/>
  <c r="E471" i="41" a="1"/>
  <c r="E471" i="41" s="1"/>
  <c r="F471" i="41" s="1"/>
  <c r="N463" i="41" a="1"/>
  <c r="N463" i="41" s="1"/>
  <c r="J463" i="41" a="1"/>
  <c r="J463" i="41" s="1"/>
  <c r="E463" i="41" a="1"/>
  <c r="E463" i="41" s="1"/>
  <c r="F463" i="41" s="1"/>
  <c r="N455" i="41" a="1"/>
  <c r="N455" i="41" s="1"/>
  <c r="J455" i="41" a="1"/>
  <c r="J455" i="41" s="1"/>
  <c r="E455" i="41" a="1"/>
  <c r="E455" i="41" s="1"/>
  <c r="F455" i="41" s="1"/>
  <c r="N447" i="41" a="1"/>
  <c r="N447" i="41" s="1"/>
  <c r="J447" i="41" a="1"/>
  <c r="J447" i="41" s="1"/>
  <c r="E447" i="41" a="1"/>
  <c r="E447" i="41" s="1"/>
  <c r="F447" i="41" s="1"/>
  <c r="N431" i="41" a="1"/>
  <c r="N431" i="41" s="1"/>
  <c r="J431" i="41" a="1"/>
  <c r="J431" i="41" s="1"/>
  <c r="E431" i="41" a="1"/>
  <c r="E431" i="41" s="1"/>
  <c r="F431" i="41" s="1"/>
  <c r="N423" i="41" a="1"/>
  <c r="N423" i="41" s="1"/>
  <c r="J423" i="41" a="1"/>
  <c r="J423" i="41" s="1"/>
  <c r="E423" i="41" a="1"/>
  <c r="E423" i="41" s="1"/>
  <c r="F423" i="41" s="1"/>
  <c r="N415" i="41" a="1"/>
  <c r="N415" i="41" s="1"/>
  <c r="J415" i="41" a="1"/>
  <c r="J415" i="41" s="1"/>
  <c r="E415" i="41" a="1"/>
  <c r="E415" i="41" s="1"/>
  <c r="F415" i="41" s="1"/>
  <c r="N407" i="41" a="1"/>
  <c r="N407" i="41" s="1"/>
  <c r="J407" i="41" a="1"/>
  <c r="J407" i="41" s="1"/>
  <c r="E407" i="41" a="1"/>
  <c r="E407" i="41" s="1"/>
  <c r="F407" i="41" s="1"/>
  <c r="N399" i="41" a="1"/>
  <c r="N399" i="41" s="1"/>
  <c r="J399" i="41" a="1"/>
  <c r="J399" i="41" s="1"/>
  <c r="E399" i="41" a="1"/>
  <c r="E399" i="41" s="1"/>
  <c r="F399" i="41" s="1"/>
  <c r="N391" i="41" a="1"/>
  <c r="N391" i="41" s="1"/>
  <c r="J391" i="41" a="1"/>
  <c r="J391" i="41" s="1"/>
  <c r="E391" i="41" a="1"/>
  <c r="E391" i="41" s="1"/>
  <c r="F391" i="41" s="1"/>
  <c r="N375" i="41" a="1"/>
  <c r="N375" i="41" s="1"/>
  <c r="J375" i="41" a="1"/>
  <c r="J375" i="41" s="1"/>
  <c r="E375" i="41" a="1"/>
  <c r="E375" i="41" s="1"/>
  <c r="F375" i="41" s="1"/>
  <c r="N367" i="41" a="1"/>
  <c r="N367" i="41" s="1"/>
  <c r="E367" i="41" a="1"/>
  <c r="E367" i="41" s="1"/>
  <c r="F367" i="41" s="1"/>
  <c r="J367" i="41" a="1"/>
  <c r="J367" i="41" s="1"/>
  <c r="N359" i="41" a="1"/>
  <c r="N359" i="41" s="1"/>
  <c r="J359" i="41" a="1"/>
  <c r="J359" i="41" s="1"/>
  <c r="E359" i="41" a="1"/>
  <c r="E359" i="41" s="1"/>
  <c r="F359" i="41" s="1"/>
  <c r="N351" i="41" a="1"/>
  <c r="N351" i="41" s="1"/>
  <c r="J351" i="41" a="1"/>
  <c r="J351" i="41" s="1"/>
  <c r="E351" i="41" a="1"/>
  <c r="E351" i="41" s="1"/>
  <c r="F351" i="41" s="1"/>
  <c r="N335" i="41" a="1"/>
  <c r="N335" i="41" s="1"/>
  <c r="J335" i="41" a="1"/>
  <c r="J335" i="41" s="1"/>
  <c r="E335" i="41" a="1"/>
  <c r="E335" i="41" s="1"/>
  <c r="F335" i="41" s="1"/>
  <c r="N327" i="41" a="1"/>
  <c r="N327" i="41" s="1"/>
  <c r="J327" i="41" a="1"/>
  <c r="J327" i="41" s="1"/>
  <c r="E327" i="41" a="1"/>
  <c r="E327" i="41" s="1"/>
  <c r="F327" i="41" s="1"/>
  <c r="N319" i="41" a="1"/>
  <c r="N319" i="41" s="1"/>
  <c r="J319" i="41" a="1"/>
  <c r="J319" i="41" s="1"/>
  <c r="E319" i="41" a="1"/>
  <c r="E319" i="41" s="1"/>
  <c r="F319" i="41" s="1"/>
  <c r="N311" i="41" a="1"/>
  <c r="N311" i="41" s="1"/>
  <c r="J311" i="41" a="1"/>
  <c r="J311" i="41" s="1"/>
  <c r="E311" i="41" a="1"/>
  <c r="E311" i="41" s="1"/>
  <c r="F311" i="41" s="1"/>
  <c r="N295" i="41" a="1"/>
  <c r="N295" i="41" s="1"/>
  <c r="J295" i="41" a="1"/>
  <c r="J295" i="41" s="1"/>
  <c r="E295" i="41" a="1"/>
  <c r="E295" i="41" s="1"/>
  <c r="F295" i="41" s="1"/>
  <c r="N287" i="41" a="1"/>
  <c r="N287" i="41" s="1"/>
  <c r="J287" i="41" a="1"/>
  <c r="J287" i="41" s="1"/>
  <c r="E287" i="41" a="1"/>
  <c r="E287" i="41" s="1"/>
  <c r="F287" i="41" s="1"/>
  <c r="N279" i="41" a="1"/>
  <c r="N279" i="41" s="1"/>
  <c r="J279" i="41" a="1"/>
  <c r="J279" i="41" s="1"/>
  <c r="E279" i="41" a="1"/>
  <c r="E279" i="41" s="1"/>
  <c r="F279" i="41" s="1"/>
  <c r="N263" i="41" a="1"/>
  <c r="N263" i="41" s="1"/>
  <c r="J263" i="41" a="1"/>
  <c r="J263" i="41" s="1"/>
  <c r="E263" i="41" a="1"/>
  <c r="E263" i="41" s="1"/>
  <c r="F263" i="41" s="1"/>
  <c r="N534" i="41" a="1"/>
  <c r="N534" i="41" s="1"/>
  <c r="J534" i="41" a="1"/>
  <c r="J534" i="41" s="1"/>
  <c r="E534" i="41" a="1"/>
  <c r="E534" i="41" s="1"/>
  <c r="F534" i="41" s="1"/>
  <c r="N526" i="41" a="1"/>
  <c r="N526" i="41" s="1"/>
  <c r="J526" i="41" a="1"/>
  <c r="J526" i="41" s="1"/>
  <c r="E526" i="41" a="1"/>
  <c r="E526" i="41" s="1"/>
  <c r="F526" i="41" s="1"/>
  <c r="N518" i="41" a="1"/>
  <c r="N518" i="41" s="1"/>
  <c r="J518" i="41" a="1"/>
  <c r="J518" i="41" s="1"/>
  <c r="E518" i="41" a="1"/>
  <c r="E518" i="41" s="1"/>
  <c r="F518" i="41" s="1"/>
  <c r="N510" i="41" a="1"/>
  <c r="N510" i="41" s="1"/>
  <c r="J510" i="41" a="1"/>
  <c r="J510" i="41" s="1"/>
  <c r="E510" i="41" a="1"/>
  <c r="E510" i="41" s="1"/>
  <c r="F510" i="41" s="1"/>
  <c r="N502" i="41" a="1"/>
  <c r="N502" i="41" s="1"/>
  <c r="J502" i="41" a="1"/>
  <c r="J502" i="41" s="1"/>
  <c r="E502" i="41" a="1"/>
  <c r="E502" i="41" s="1"/>
  <c r="F502" i="41" s="1"/>
  <c r="N494" i="41" a="1"/>
  <c r="N494" i="41" s="1"/>
  <c r="J494" i="41" a="1"/>
  <c r="J494" i="41" s="1"/>
  <c r="E494" i="41" a="1"/>
  <c r="E494" i="41" s="1"/>
  <c r="F494" i="41" s="1"/>
  <c r="N486" i="41" a="1"/>
  <c r="N486" i="41" s="1"/>
  <c r="J486" i="41" a="1"/>
  <c r="J486" i="41" s="1"/>
  <c r="E486" i="41" a="1"/>
  <c r="E486" i="41" s="1"/>
  <c r="F486" i="41" s="1"/>
  <c r="N478" i="41" a="1"/>
  <c r="N478" i="41" s="1"/>
  <c r="J478" i="41" a="1"/>
  <c r="J478" i="41" s="1"/>
  <c r="E478" i="41" a="1"/>
  <c r="E478" i="41" s="1"/>
  <c r="F478" i="41" s="1"/>
  <c r="N470" i="41" a="1"/>
  <c r="N470" i="41" s="1"/>
  <c r="J470" i="41" a="1"/>
  <c r="J470" i="41" s="1"/>
  <c r="E470" i="41" a="1"/>
  <c r="E470" i="41" s="1"/>
  <c r="F470" i="41" s="1"/>
  <c r="N462" i="41" a="1"/>
  <c r="N462" i="41" s="1"/>
  <c r="J462" i="41" a="1"/>
  <c r="J462" i="41" s="1"/>
  <c r="E462" i="41" a="1"/>
  <c r="E462" i="41" s="1"/>
  <c r="F462" i="41" s="1"/>
  <c r="N454" i="41" a="1"/>
  <c r="N454" i="41" s="1"/>
  <c r="J454" i="41" a="1"/>
  <c r="J454" i="41" s="1"/>
  <c r="E454" i="41" a="1"/>
  <c r="E454" i="41" s="1"/>
  <c r="F454" i="41" s="1"/>
  <c r="N446" i="41" a="1"/>
  <c r="N446" i="41" s="1"/>
  <c r="J446" i="41" a="1"/>
  <c r="J446" i="41" s="1"/>
  <c r="E446" i="41" a="1"/>
  <c r="E446" i="41" s="1"/>
  <c r="F446" i="41" s="1"/>
  <c r="N438" i="41" a="1"/>
  <c r="N438" i="41" s="1"/>
  <c r="J438" i="41" a="1"/>
  <c r="J438" i="41" s="1"/>
  <c r="E438" i="41" a="1"/>
  <c r="E438" i="41" s="1"/>
  <c r="F438" i="41" s="1"/>
  <c r="N430" i="41" a="1"/>
  <c r="N430" i="41" s="1"/>
  <c r="J430" i="41" a="1"/>
  <c r="J430" i="41" s="1"/>
  <c r="E430" i="41" a="1"/>
  <c r="E430" i="41" s="1"/>
  <c r="F430" i="41" s="1"/>
  <c r="N422" i="41" a="1"/>
  <c r="N422" i="41" s="1"/>
  <c r="J422" i="41" a="1"/>
  <c r="J422" i="41" s="1"/>
  <c r="E422" i="41" a="1"/>
  <c r="E422" i="41" s="1"/>
  <c r="F422" i="41" s="1"/>
  <c r="N414" i="41" a="1"/>
  <c r="N414" i="41" s="1"/>
  <c r="J414" i="41" a="1"/>
  <c r="J414" i="41" s="1"/>
  <c r="E414" i="41" a="1"/>
  <c r="E414" i="41" s="1"/>
  <c r="F414" i="41" s="1"/>
  <c r="N406" i="41" a="1"/>
  <c r="N406" i="41" s="1"/>
  <c r="J406" i="41" a="1"/>
  <c r="J406" i="41" s="1"/>
  <c r="E406" i="41" a="1"/>
  <c r="E406" i="41" s="1"/>
  <c r="F406" i="41" s="1"/>
  <c r="N398" i="41" a="1"/>
  <c r="N398" i="41" s="1"/>
  <c r="J398" i="41" a="1"/>
  <c r="J398" i="41" s="1"/>
  <c r="E398" i="41" a="1"/>
  <c r="E398" i="41" s="1"/>
  <c r="F398" i="41" s="1"/>
  <c r="N390" i="41" a="1"/>
  <c r="N390" i="41" s="1"/>
  <c r="J390" i="41" a="1"/>
  <c r="J390" i="41" s="1"/>
  <c r="E390" i="41" a="1"/>
  <c r="E390" i="41" s="1"/>
  <c r="F390" i="41" s="1"/>
  <c r="N382" i="41" a="1"/>
  <c r="N382" i="41" s="1"/>
  <c r="J382" i="41" a="1"/>
  <c r="J382" i="41" s="1"/>
  <c r="E382" i="41" a="1"/>
  <c r="E382" i="41" s="1"/>
  <c r="F382" i="41" s="1"/>
  <c r="N374" i="41" a="1"/>
  <c r="N374" i="41" s="1"/>
  <c r="J374" i="41" a="1"/>
  <c r="J374" i="41" s="1"/>
  <c r="E374" i="41" a="1"/>
  <c r="E374" i="41" s="1"/>
  <c r="F374" i="41" s="1"/>
  <c r="N366" i="41" a="1"/>
  <c r="N366" i="41" s="1"/>
  <c r="J366" i="41" a="1"/>
  <c r="J366" i="41" s="1"/>
  <c r="E366" i="41" a="1"/>
  <c r="E366" i="41" s="1"/>
  <c r="F366" i="41" s="1"/>
  <c r="N358" i="41" a="1"/>
  <c r="N358" i="41" s="1"/>
  <c r="J358" i="41" a="1"/>
  <c r="J358" i="41" s="1"/>
  <c r="E358" i="41" a="1"/>
  <c r="E358" i="41" s="1"/>
  <c r="F358" i="41" s="1"/>
  <c r="N350" i="41" a="1"/>
  <c r="N350" i="41" s="1"/>
  <c r="J350" i="41" a="1"/>
  <c r="J350" i="41" s="1"/>
  <c r="E350" i="41" a="1"/>
  <c r="E350" i="41" s="1"/>
  <c r="F350" i="41" s="1"/>
  <c r="N342" i="41" a="1"/>
  <c r="N342" i="41" s="1"/>
  <c r="J342" i="41" a="1"/>
  <c r="J342" i="41" s="1"/>
  <c r="E342" i="41" a="1"/>
  <c r="E342" i="41" s="1"/>
  <c r="F342" i="41" s="1"/>
  <c r="N334" i="41" a="1"/>
  <c r="N334" i="41" s="1"/>
  <c r="J334" i="41" a="1"/>
  <c r="J334" i="41" s="1"/>
  <c r="E334" i="41" a="1"/>
  <c r="E334" i="41" s="1"/>
  <c r="F334" i="41" s="1"/>
  <c r="N326" i="41" a="1"/>
  <c r="N326" i="41" s="1"/>
  <c r="J326" i="41" a="1"/>
  <c r="J326" i="41" s="1"/>
  <c r="E326" i="41" a="1"/>
  <c r="E326" i="41" s="1"/>
  <c r="F326" i="41" s="1"/>
  <c r="N318" i="41" a="1"/>
  <c r="N318" i="41" s="1"/>
  <c r="J318" i="41" a="1"/>
  <c r="J318" i="41" s="1"/>
  <c r="E318" i="41" a="1"/>
  <c r="E318" i="41" s="1"/>
  <c r="F318" i="41" s="1"/>
  <c r="N310" i="41" a="1"/>
  <c r="N310" i="41" s="1"/>
  <c r="J310" i="41" a="1"/>
  <c r="J310" i="41" s="1"/>
  <c r="E310" i="41" a="1"/>
  <c r="E310" i="41" s="1"/>
  <c r="F310" i="41" s="1"/>
  <c r="N302" i="41" a="1"/>
  <c r="N302" i="41" s="1"/>
  <c r="J302" i="41" a="1"/>
  <c r="J302" i="41" s="1"/>
  <c r="E302" i="41" a="1"/>
  <c r="E302" i="41" s="1"/>
  <c r="F302" i="41" s="1"/>
  <c r="N294" i="41" a="1"/>
  <c r="N294" i="41" s="1"/>
  <c r="J294" i="41" a="1"/>
  <c r="J294" i="41" s="1"/>
  <c r="E294" i="41" a="1"/>
  <c r="E294" i="41" s="1"/>
  <c r="F294" i="41" s="1"/>
  <c r="N286" i="41" a="1"/>
  <c r="N286" i="41" s="1"/>
  <c r="J286" i="41" a="1"/>
  <c r="J286" i="41" s="1"/>
  <c r="E286" i="41" a="1"/>
  <c r="E286" i="41" s="1"/>
  <c r="F286" i="41" s="1"/>
  <c r="N278" i="41" a="1"/>
  <c r="N278" i="41" s="1"/>
  <c r="J278" i="41" a="1"/>
  <c r="J278" i="41" s="1"/>
  <c r="E278" i="41" a="1"/>
  <c r="E278" i="41" s="1"/>
  <c r="F278" i="41" s="1"/>
  <c r="N270" i="41" a="1"/>
  <c r="N270" i="41" s="1"/>
  <c r="J270" i="41" a="1"/>
  <c r="J270" i="41" s="1"/>
  <c r="E270" i="41" a="1"/>
  <c r="E270" i="41" s="1"/>
  <c r="F270" i="41" s="1"/>
  <c r="N262" i="41" a="1"/>
  <c r="N262" i="41" s="1"/>
  <c r="J262" i="41" a="1"/>
  <c r="J262" i="41" s="1"/>
  <c r="E262" i="41" a="1"/>
  <c r="E262" i="41" s="1"/>
  <c r="F262" i="41" s="1"/>
  <c r="N254" i="41" a="1"/>
  <c r="N254" i="41" s="1"/>
  <c r="J254" i="41" a="1"/>
  <c r="J254" i="41" s="1"/>
  <c r="E254" i="41" a="1"/>
  <c r="E254" i="41" s="1"/>
  <c r="F254" i="41" s="1"/>
  <c r="N246" i="41" a="1"/>
  <c r="N246" i="41" s="1"/>
  <c r="J246" i="41" a="1"/>
  <c r="J246" i="41" s="1"/>
  <c r="E246" i="41" a="1"/>
  <c r="E246" i="41" s="1"/>
  <c r="F246" i="41" s="1"/>
  <c r="N238" i="41" a="1"/>
  <c r="N238" i="41" s="1"/>
  <c r="J238" i="41" a="1"/>
  <c r="J238" i="41" s="1"/>
  <c r="E238" i="41" a="1"/>
  <c r="E238" i="41" s="1"/>
  <c r="F238" i="41" s="1"/>
  <c r="N230" i="41" a="1"/>
  <c r="N230" i="41" s="1"/>
  <c r="J230" i="41" a="1"/>
  <c r="J230" i="41" s="1"/>
  <c r="E230" i="41" a="1"/>
  <c r="E230" i="41" s="1"/>
  <c r="F230" i="41" s="1"/>
  <c r="N222" i="41" a="1"/>
  <c r="N222" i="41" s="1"/>
  <c r="J222" i="41" a="1"/>
  <c r="J222" i="41" s="1"/>
  <c r="E222" i="41" a="1"/>
  <c r="E222" i="41" s="1"/>
  <c r="F222" i="41" s="1"/>
  <c r="N214" i="41" a="1"/>
  <c r="N214" i="41" s="1"/>
  <c r="J214" i="41" a="1"/>
  <c r="J214" i="41" s="1"/>
  <c r="E214" i="41" a="1"/>
  <c r="E214" i="41" s="1"/>
  <c r="F214" i="41" s="1"/>
  <c r="N206" i="41" a="1"/>
  <c r="N206" i="41" s="1"/>
  <c r="J206" i="41" a="1"/>
  <c r="J206" i="41" s="1"/>
  <c r="E206" i="41" a="1"/>
  <c r="E206" i="41" s="1"/>
  <c r="F206" i="41" s="1"/>
  <c r="N198" i="41" a="1"/>
  <c r="N198" i="41" s="1"/>
  <c r="J198" i="41" a="1"/>
  <c r="J198" i="41" s="1"/>
  <c r="E198" i="41" a="1"/>
  <c r="E198" i="41" s="1"/>
  <c r="F198" i="41" s="1"/>
  <c r="N190" i="41" a="1"/>
  <c r="N190" i="41" s="1"/>
  <c r="J190" i="41" a="1"/>
  <c r="J190" i="41" s="1"/>
  <c r="E190" i="41" a="1"/>
  <c r="E190" i="41" s="1"/>
  <c r="F190" i="41" s="1"/>
  <c r="N182" i="41" a="1"/>
  <c r="N182" i="41" s="1"/>
  <c r="J182" i="41" a="1"/>
  <c r="J182" i="41" s="1"/>
  <c r="E182" i="41" a="1"/>
  <c r="E182" i="41" s="1"/>
  <c r="F182" i="41" s="1"/>
  <c r="N174" i="41" a="1"/>
  <c r="N174" i="41" s="1"/>
  <c r="J174" i="41" a="1"/>
  <c r="J174" i="41" s="1"/>
  <c r="E174" i="41" a="1"/>
  <c r="E174" i="41" s="1"/>
  <c r="F174" i="41" s="1"/>
  <c r="N166" i="41" a="1"/>
  <c r="N166" i="41" s="1"/>
  <c r="J166" i="41" a="1"/>
  <c r="J166" i="41" s="1"/>
  <c r="E166" i="41" a="1"/>
  <c r="E166" i="41" s="1"/>
  <c r="F166" i="41" s="1"/>
  <c r="N158" i="41" a="1"/>
  <c r="N158" i="41" s="1"/>
  <c r="J158" i="41" a="1"/>
  <c r="J158" i="41" s="1"/>
  <c r="E158" i="41" a="1"/>
  <c r="E158" i="41" s="1"/>
  <c r="F158" i="41" s="1"/>
  <c r="N150" i="41" a="1"/>
  <c r="N150" i="41" s="1"/>
  <c r="J150" i="41" a="1"/>
  <c r="J150" i="41" s="1"/>
  <c r="E150" i="41" a="1"/>
  <c r="E150" i="41" s="1"/>
  <c r="F150" i="41" s="1"/>
  <c r="N142" i="41" a="1"/>
  <c r="N142" i="41" s="1"/>
  <c r="J142" i="41" a="1"/>
  <c r="J142" i="41" s="1"/>
  <c r="E142" i="41" a="1"/>
  <c r="E142" i="41" s="1"/>
  <c r="F142" i="41" s="1"/>
  <c r="N134" i="41" a="1"/>
  <c r="N134" i="41" s="1"/>
  <c r="J134" i="41" a="1"/>
  <c r="J134" i="41" s="1"/>
  <c r="E134" i="41" a="1"/>
  <c r="E134" i="41" s="1"/>
  <c r="F134" i="41" s="1"/>
  <c r="N126" i="41" a="1"/>
  <c r="N126" i="41" s="1"/>
  <c r="J126" i="41" a="1"/>
  <c r="J126" i="41" s="1"/>
  <c r="E126" i="41" a="1"/>
  <c r="E126" i="41" s="1"/>
  <c r="F126" i="41" s="1"/>
  <c r="N118" i="41" a="1"/>
  <c r="N118" i="41" s="1"/>
  <c r="J118" i="41" a="1"/>
  <c r="J118" i="41" s="1"/>
  <c r="E118" i="41" a="1"/>
  <c r="E118" i="41" s="1"/>
  <c r="F118" i="41" s="1"/>
  <c r="J110" i="41" a="1"/>
  <c r="J110" i="41" s="1"/>
  <c r="N110" i="41" a="1"/>
  <c r="N110" i="41" s="1"/>
  <c r="E110" i="41" a="1"/>
  <c r="E110" i="41" s="1"/>
  <c r="F110" i="41" s="1"/>
  <c r="N102" i="41" a="1"/>
  <c r="N102" i="41" s="1"/>
  <c r="J102" i="41" a="1"/>
  <c r="J102" i="41" s="1"/>
  <c r="E102" i="41" a="1"/>
  <c r="E102" i="41" s="1"/>
  <c r="F102" i="41" s="1"/>
  <c r="N94" i="41" a="1"/>
  <c r="N94" i="41" s="1"/>
  <c r="J94" i="41" a="1"/>
  <c r="J94" i="41" s="1"/>
  <c r="E94" i="41" a="1"/>
  <c r="E94" i="41" s="1"/>
  <c r="F94" i="41" s="1"/>
  <c r="N86" i="41" a="1"/>
  <c r="N86" i="41" s="1"/>
  <c r="J86" i="41" a="1"/>
  <c r="J86" i="41" s="1"/>
  <c r="E86" i="41" a="1"/>
  <c r="E86" i="41" s="1"/>
  <c r="F86" i="41" s="1"/>
  <c r="N78" i="41" a="1"/>
  <c r="N78" i="41" s="1"/>
  <c r="J78" i="41" a="1"/>
  <c r="J78" i="41" s="1"/>
  <c r="E78" i="41" a="1"/>
  <c r="E78" i="41" s="1"/>
  <c r="F78" i="41" s="1"/>
  <c r="N70" i="41" a="1"/>
  <c r="N70" i="41" s="1"/>
  <c r="J70" i="41" a="1"/>
  <c r="J70" i="41" s="1"/>
  <c r="E70" i="41" a="1"/>
  <c r="E70" i="41" s="1"/>
  <c r="F70" i="41" s="1"/>
  <c r="N62" i="41" a="1"/>
  <c r="N62" i="41" s="1"/>
  <c r="J62" i="41" a="1"/>
  <c r="J62" i="41" s="1"/>
  <c r="E62" i="41" a="1"/>
  <c r="E62" i="41" s="1"/>
  <c r="F62" i="41" s="1"/>
  <c r="J54" i="41" a="1"/>
  <c r="J54" i="41" s="1"/>
  <c r="N54" i="41" a="1"/>
  <c r="N54" i="41" s="1"/>
  <c r="E54" i="41" a="1"/>
  <c r="E54" i="41" s="1"/>
  <c r="F54" i="41" s="1"/>
  <c r="N46" i="41" a="1"/>
  <c r="N46" i="41" s="1"/>
  <c r="E46" i="41" a="1"/>
  <c r="E46" i="41" s="1"/>
  <c r="F46" i="41" s="1"/>
  <c r="J46" i="41" a="1"/>
  <c r="J46" i="41" s="1"/>
  <c r="N38" i="41" a="1"/>
  <c r="N38" i="41" s="1"/>
  <c r="E38" i="41" a="1"/>
  <c r="E38" i="41" s="1"/>
  <c r="F38" i="41" s="1"/>
  <c r="J38" i="41" a="1"/>
  <c r="J38" i="41" s="1"/>
  <c r="N30" i="41" a="1"/>
  <c r="N30" i="41" s="1"/>
  <c r="E30" i="41" a="1"/>
  <c r="E30" i="41" s="1"/>
  <c r="F30" i="41" s="1"/>
  <c r="J30" i="41" a="1"/>
  <c r="J30" i="41" s="1"/>
  <c r="N22" i="41" a="1"/>
  <c r="N22" i="41" s="1"/>
  <c r="E22" i="41" a="1"/>
  <c r="E22" i="41" s="1"/>
  <c r="F22" i="41" s="1"/>
  <c r="J22" i="41" a="1"/>
  <c r="J22" i="41" s="1"/>
  <c r="N14" i="41" a="1"/>
  <c r="N14" i="41" s="1"/>
  <c r="E14" i="41" a="1"/>
  <c r="E14" i="41" s="1"/>
  <c r="F14" i="41" s="1"/>
  <c r="J14" i="41" a="1"/>
  <c r="J14" i="41" s="1"/>
  <c r="N6" i="41" a="1"/>
  <c r="N6" i="41" s="1"/>
  <c r="J6" i="41" a="1"/>
  <c r="J6" i="41" s="1"/>
  <c r="E6" i="41" a="1"/>
  <c r="E6" i="41" s="1"/>
  <c r="F6" i="41" s="1"/>
  <c r="N509" i="41" a="1"/>
  <c r="N509" i="41" s="1"/>
  <c r="E509" i="41" a="1"/>
  <c r="E509" i="41" s="1"/>
  <c r="F509" i="41" s="1"/>
  <c r="J509" i="41" a="1"/>
  <c r="J509" i="41" s="1"/>
  <c r="N397" i="41" a="1"/>
  <c r="N397" i="41" s="1"/>
  <c r="J397" i="41" a="1"/>
  <c r="J397" i="41" s="1"/>
  <c r="E397" i="41" a="1"/>
  <c r="E397" i="41" s="1"/>
  <c r="F397" i="41" s="1"/>
  <c r="J317" i="41" a="1"/>
  <c r="J317" i="41" s="1"/>
  <c r="N317" i="41" a="1"/>
  <c r="N317" i="41" s="1"/>
  <c r="E317" i="41" a="1"/>
  <c r="E317" i="41" s="1"/>
  <c r="F317" i="41" s="1"/>
  <c r="N253" i="41" a="1"/>
  <c r="N253" i="41" s="1"/>
  <c r="J253" i="41" a="1"/>
  <c r="J253" i="41" s="1"/>
  <c r="E253" i="41" a="1"/>
  <c r="E253" i="41" s="1"/>
  <c r="F253" i="41" s="1"/>
  <c r="N229" i="41" a="1"/>
  <c r="N229" i="41" s="1"/>
  <c r="J229" i="41" a="1"/>
  <c r="J229" i="41" s="1"/>
  <c r="E229" i="41" a="1"/>
  <c r="E229" i="41" s="1"/>
  <c r="F229" i="41" s="1"/>
  <c r="N221" i="41" a="1"/>
  <c r="N221" i="41" s="1"/>
  <c r="J221" i="41" a="1"/>
  <c r="J221" i="41" s="1"/>
  <c r="E221" i="41" a="1"/>
  <c r="E221" i="41" s="1"/>
  <c r="F221" i="41" s="1"/>
  <c r="N213" i="41" a="1"/>
  <c r="N213" i="41" s="1"/>
  <c r="J213" i="41" a="1"/>
  <c r="J213" i="41" s="1"/>
  <c r="E213" i="41" a="1"/>
  <c r="E213" i="41" s="1"/>
  <c r="F213" i="41" s="1"/>
  <c r="N205" i="41" a="1"/>
  <c r="N205" i="41" s="1"/>
  <c r="J205" i="41" a="1"/>
  <c r="J205" i="41" s="1"/>
  <c r="E205" i="41" a="1"/>
  <c r="E205" i="41" s="1"/>
  <c r="F205" i="41" s="1"/>
  <c r="N197" i="41" a="1"/>
  <c r="N197" i="41" s="1"/>
  <c r="J197" i="41" a="1"/>
  <c r="J197" i="41" s="1"/>
  <c r="E197" i="41" a="1"/>
  <c r="E197" i="41" s="1"/>
  <c r="F197" i="41" s="1"/>
  <c r="N189" i="41" a="1"/>
  <c r="N189" i="41" s="1"/>
  <c r="J189" i="41" a="1"/>
  <c r="J189" i="41" s="1"/>
  <c r="E189" i="41" a="1"/>
  <c r="E189" i="41" s="1"/>
  <c r="F189" i="41" s="1"/>
  <c r="N181" i="41" a="1"/>
  <c r="N181" i="41" s="1"/>
  <c r="J181" i="41" a="1"/>
  <c r="J181" i="41" s="1"/>
  <c r="E181" i="41" a="1"/>
  <c r="E181" i="41" s="1"/>
  <c r="F181" i="41" s="1"/>
  <c r="N173" i="41" a="1"/>
  <c r="N173" i="41" s="1"/>
  <c r="J173" i="41" a="1"/>
  <c r="J173" i="41" s="1"/>
  <c r="E173" i="41" a="1"/>
  <c r="E173" i="41" s="1"/>
  <c r="F173" i="41" s="1"/>
  <c r="N165" i="41" a="1"/>
  <c r="N165" i="41" s="1"/>
  <c r="J165" i="41" a="1"/>
  <c r="J165" i="41" s="1"/>
  <c r="E165" i="41" a="1"/>
  <c r="E165" i="41" s="1"/>
  <c r="F165" i="41" s="1"/>
  <c r="N157" i="41" a="1"/>
  <c r="N157" i="41" s="1"/>
  <c r="J157" i="41" a="1"/>
  <c r="J157" i="41" s="1"/>
  <c r="E157" i="41" a="1"/>
  <c r="E157" i="41" s="1"/>
  <c r="F157" i="41" s="1"/>
  <c r="N149" i="41" a="1"/>
  <c r="N149" i="41" s="1"/>
  <c r="J149" i="41" a="1"/>
  <c r="J149" i="41" s="1"/>
  <c r="E149" i="41" a="1"/>
  <c r="E149" i="41" s="1"/>
  <c r="F149" i="41" s="1"/>
  <c r="N141" i="41" a="1"/>
  <c r="N141" i="41" s="1"/>
  <c r="J141" i="41" a="1"/>
  <c r="J141" i="41" s="1"/>
  <c r="E141" i="41" a="1"/>
  <c r="E141" i="41" s="1"/>
  <c r="F141" i="41" s="1"/>
  <c r="N133" i="41" a="1"/>
  <c r="N133" i="41" s="1"/>
  <c r="J133" i="41" a="1"/>
  <c r="J133" i="41" s="1"/>
  <c r="E133" i="41" a="1"/>
  <c r="E133" i="41" s="1"/>
  <c r="F133" i="41" s="1"/>
  <c r="N125" i="41" a="1"/>
  <c r="N125" i="41" s="1"/>
  <c r="J125" i="41" a="1"/>
  <c r="J125" i="41" s="1"/>
  <c r="E125" i="41" a="1"/>
  <c r="E125" i="41" s="1"/>
  <c r="F125" i="41" s="1"/>
  <c r="N117" i="41" a="1"/>
  <c r="N117" i="41" s="1"/>
  <c r="J117" i="41" a="1"/>
  <c r="J117" i="41" s="1"/>
  <c r="E117" i="41" a="1"/>
  <c r="E117" i="41" s="1"/>
  <c r="F117" i="41" s="1"/>
  <c r="N109" i="41" a="1"/>
  <c r="N109" i="41" s="1"/>
  <c r="J109" i="41" a="1"/>
  <c r="J109" i="41" s="1"/>
  <c r="E109" i="41" a="1"/>
  <c r="E109" i="41" s="1"/>
  <c r="F109" i="41" s="1"/>
  <c r="N101" i="41" a="1"/>
  <c r="N101" i="41" s="1"/>
  <c r="J101" i="41" a="1"/>
  <c r="J101" i="41" s="1"/>
  <c r="E101" i="41" a="1"/>
  <c r="E101" i="41" s="1"/>
  <c r="F101" i="41" s="1"/>
  <c r="N93" i="41" a="1"/>
  <c r="N93" i="41" s="1"/>
  <c r="J93" i="41" a="1"/>
  <c r="J93" i="41" s="1"/>
  <c r="E93" i="41" a="1"/>
  <c r="E93" i="41" s="1"/>
  <c r="F93" i="41" s="1"/>
  <c r="N85" i="41" a="1"/>
  <c r="N85" i="41" s="1"/>
  <c r="J85" i="41" a="1"/>
  <c r="J85" i="41" s="1"/>
  <c r="E85" i="41" a="1"/>
  <c r="E85" i="41" s="1"/>
  <c r="F85" i="41" s="1"/>
  <c r="N77" i="41" a="1"/>
  <c r="N77" i="41" s="1"/>
  <c r="J77" i="41" a="1"/>
  <c r="J77" i="41" s="1"/>
  <c r="E77" i="41" a="1"/>
  <c r="E77" i="41" s="1"/>
  <c r="F77" i="41" s="1"/>
  <c r="N69" i="41" a="1"/>
  <c r="N69" i="41" s="1"/>
  <c r="J69" i="41" a="1"/>
  <c r="J69" i="41" s="1"/>
  <c r="E69" i="41" a="1"/>
  <c r="E69" i="41" s="1"/>
  <c r="F69" i="41" s="1"/>
  <c r="J61" i="41" a="1"/>
  <c r="J61" i="41" s="1"/>
  <c r="N61" i="41" a="1"/>
  <c r="N61" i="41" s="1"/>
  <c r="E61" i="41" a="1"/>
  <c r="E61" i="41" s="1"/>
  <c r="F61" i="41" s="1"/>
  <c r="N53" i="41" a="1"/>
  <c r="N53" i="41" s="1"/>
  <c r="J53" i="41" a="1"/>
  <c r="J53" i="41" s="1"/>
  <c r="E53" i="41" a="1"/>
  <c r="E53" i="41" s="1"/>
  <c r="F53" i="41" s="1"/>
  <c r="N45" i="41" a="1"/>
  <c r="N45" i="41" s="1"/>
  <c r="J45" i="41" a="1"/>
  <c r="J45" i="41" s="1"/>
  <c r="E45" i="41" a="1"/>
  <c r="E45" i="41" s="1"/>
  <c r="F45" i="41" s="1"/>
  <c r="N37" i="41" a="1"/>
  <c r="N37" i="41" s="1"/>
  <c r="J37" i="41" a="1"/>
  <c r="J37" i="41" s="1"/>
  <c r="E37" i="41" a="1"/>
  <c r="E37" i="41" s="1"/>
  <c r="F37" i="41" s="1"/>
  <c r="N29" i="41" a="1"/>
  <c r="N29" i="41" s="1"/>
  <c r="J29" i="41" a="1"/>
  <c r="J29" i="41" s="1"/>
  <c r="E29" i="41" a="1"/>
  <c r="E29" i="41" s="1"/>
  <c r="F29" i="41" s="1"/>
  <c r="N21" i="41" a="1"/>
  <c r="N21" i="41" s="1"/>
  <c r="J21" i="41" a="1"/>
  <c r="J21" i="41" s="1"/>
  <c r="E21" i="41" a="1"/>
  <c r="E21" i="41" s="1"/>
  <c r="F21" i="41" s="1"/>
  <c r="N13" i="41" a="1"/>
  <c r="N13" i="41" s="1"/>
  <c r="J13" i="41" a="1"/>
  <c r="J13" i="41" s="1"/>
  <c r="E13" i="41" a="1"/>
  <c r="E13" i="41" s="1"/>
  <c r="F13" i="41" s="1"/>
  <c r="N524" i="41" a="1"/>
  <c r="N524" i="41" s="1"/>
  <c r="E524" i="41" a="1"/>
  <c r="E524" i="41" s="1"/>
  <c r="F524" i="41" s="1"/>
  <c r="J524" i="41" a="1"/>
  <c r="J524" i="41" s="1"/>
  <c r="N436" i="41" a="1"/>
  <c r="N436" i="41" s="1"/>
  <c r="J436" i="41" a="1"/>
  <c r="J436" i="41" s="1"/>
  <c r="E436" i="41" a="1"/>
  <c r="E436" i="41" s="1"/>
  <c r="F436" i="41" s="1"/>
  <c r="N348" i="41" a="1"/>
  <c r="N348" i="41" s="1"/>
  <c r="J348" i="41" a="1"/>
  <c r="J348" i="41" s="1"/>
  <c r="E348" i="41" a="1"/>
  <c r="E348" i="41" s="1"/>
  <c r="F348" i="41" s="1"/>
  <c r="J276" i="41" a="1"/>
  <c r="J276" i="41" s="1"/>
  <c r="N276" i="41" a="1"/>
  <c r="N276" i="41" s="1"/>
  <c r="E276" i="41" a="1"/>
  <c r="E276" i="41" s="1"/>
  <c r="F276" i="41" s="1"/>
  <c r="N228" i="41" a="1"/>
  <c r="N228" i="41" s="1"/>
  <c r="J228" i="41" a="1"/>
  <c r="J228" i="41" s="1"/>
  <c r="E228" i="41" a="1"/>
  <c r="E228" i="41" s="1"/>
  <c r="F228" i="41" s="1"/>
  <c r="N220" i="41" a="1"/>
  <c r="N220" i="41" s="1"/>
  <c r="J220" i="41" a="1"/>
  <c r="J220" i="41" s="1"/>
  <c r="E220" i="41" a="1"/>
  <c r="E220" i="41" s="1"/>
  <c r="F220" i="41" s="1"/>
  <c r="N212" i="41" a="1"/>
  <c r="N212" i="41" s="1"/>
  <c r="J212" i="41" a="1"/>
  <c r="J212" i="41" s="1"/>
  <c r="E212" i="41" a="1"/>
  <c r="E212" i="41" s="1"/>
  <c r="F212" i="41" s="1"/>
  <c r="N204" i="41" a="1"/>
  <c r="N204" i="41" s="1"/>
  <c r="J204" i="41" a="1"/>
  <c r="J204" i="41" s="1"/>
  <c r="E204" i="41" a="1"/>
  <c r="E204" i="41" s="1"/>
  <c r="F204" i="41" s="1"/>
  <c r="N196" i="41" a="1"/>
  <c r="N196" i="41" s="1"/>
  <c r="J196" i="41" a="1"/>
  <c r="J196" i="41" s="1"/>
  <c r="E196" i="41" a="1"/>
  <c r="E196" i="41" s="1"/>
  <c r="F196" i="41" s="1"/>
  <c r="N188" i="41" a="1"/>
  <c r="N188" i="41" s="1"/>
  <c r="J188" i="41" a="1"/>
  <c r="J188" i="41" s="1"/>
  <c r="E188" i="41" a="1"/>
  <c r="E188" i="41" s="1"/>
  <c r="F188" i="41" s="1"/>
  <c r="N180" i="41" a="1"/>
  <c r="N180" i="41" s="1"/>
  <c r="J180" i="41" a="1"/>
  <c r="J180" i="41" s="1"/>
  <c r="E180" i="41" a="1"/>
  <c r="E180" i="41" s="1"/>
  <c r="F180" i="41" s="1"/>
  <c r="N172" i="41" a="1"/>
  <c r="N172" i="41" s="1"/>
  <c r="J172" i="41" a="1"/>
  <c r="J172" i="41" s="1"/>
  <c r="E172" i="41" a="1"/>
  <c r="E172" i="41" s="1"/>
  <c r="F172" i="41" s="1"/>
  <c r="N164" i="41" a="1"/>
  <c r="N164" i="41" s="1"/>
  <c r="J164" i="41" a="1"/>
  <c r="J164" i="41" s="1"/>
  <c r="E164" i="41" a="1"/>
  <c r="E164" i="41" s="1"/>
  <c r="F164" i="41" s="1"/>
  <c r="N156" i="41" a="1"/>
  <c r="N156" i="41" s="1"/>
  <c r="J156" i="41" a="1"/>
  <c r="J156" i="41" s="1"/>
  <c r="E156" i="41" a="1"/>
  <c r="E156" i="41" s="1"/>
  <c r="F156" i="41" s="1"/>
  <c r="N148" i="41" a="1"/>
  <c r="N148" i="41" s="1"/>
  <c r="J148" i="41" a="1"/>
  <c r="J148" i="41" s="1"/>
  <c r="E148" i="41" a="1"/>
  <c r="E148" i="41" s="1"/>
  <c r="F148" i="41" s="1"/>
  <c r="N140" i="41" a="1"/>
  <c r="N140" i="41" s="1"/>
  <c r="J140" i="41" a="1"/>
  <c r="J140" i="41" s="1"/>
  <c r="E140" i="41" a="1"/>
  <c r="E140" i="41" s="1"/>
  <c r="F140" i="41" s="1"/>
  <c r="N132" i="41" a="1"/>
  <c r="N132" i="41" s="1"/>
  <c r="J132" i="41" a="1"/>
  <c r="J132" i="41" s="1"/>
  <c r="E132" i="41" a="1"/>
  <c r="E132" i="41" s="1"/>
  <c r="F132" i="41" s="1"/>
  <c r="N124" i="41" a="1"/>
  <c r="N124" i="41" s="1"/>
  <c r="J124" i="41" a="1"/>
  <c r="J124" i="41" s="1"/>
  <c r="E124" i="41" a="1"/>
  <c r="E124" i="41" s="1"/>
  <c r="F124" i="41" s="1"/>
  <c r="N116" i="41" a="1"/>
  <c r="N116" i="41" s="1"/>
  <c r="J116" i="41" a="1"/>
  <c r="J116" i="41" s="1"/>
  <c r="E116" i="41" a="1"/>
  <c r="E116" i="41" s="1"/>
  <c r="F116" i="41" s="1"/>
  <c r="N108" i="41" a="1"/>
  <c r="N108" i="41" s="1"/>
  <c r="J108" i="41" a="1"/>
  <c r="J108" i="41" s="1"/>
  <c r="E108" i="41" a="1"/>
  <c r="E108" i="41" s="1"/>
  <c r="F108" i="41" s="1"/>
  <c r="N100" i="41" a="1"/>
  <c r="N100" i="41" s="1"/>
  <c r="J100" i="41" a="1"/>
  <c r="J100" i="41" s="1"/>
  <c r="E100" i="41" a="1"/>
  <c r="E100" i="41" s="1"/>
  <c r="F100" i="41" s="1"/>
  <c r="N92" i="41" a="1"/>
  <c r="N92" i="41" s="1"/>
  <c r="J92" i="41" a="1"/>
  <c r="J92" i="41" s="1"/>
  <c r="E92" i="41" a="1"/>
  <c r="E92" i="41" s="1"/>
  <c r="F92" i="41" s="1"/>
  <c r="N84" i="41" a="1"/>
  <c r="N84" i="41" s="1"/>
  <c r="J84" i="41" a="1"/>
  <c r="J84" i="41" s="1"/>
  <c r="E84" i="41" a="1"/>
  <c r="E84" i="41" s="1"/>
  <c r="F84" i="41" s="1"/>
  <c r="N76" i="41" a="1"/>
  <c r="N76" i="41" s="1"/>
  <c r="J76" i="41" a="1"/>
  <c r="J76" i="41" s="1"/>
  <c r="E76" i="41" a="1"/>
  <c r="E76" i="41" s="1"/>
  <c r="F76" i="41" s="1"/>
  <c r="J68" i="41" a="1"/>
  <c r="J68" i="41" s="1"/>
  <c r="N68" i="41" a="1"/>
  <c r="N68" i="41" s="1"/>
  <c r="E68" i="41" a="1"/>
  <c r="E68" i="41" s="1"/>
  <c r="F68" i="41" s="1"/>
  <c r="N60" i="41" a="1"/>
  <c r="N60" i="41" s="1"/>
  <c r="J60" i="41" a="1"/>
  <c r="J60" i="41" s="1"/>
  <c r="E60" i="41" a="1"/>
  <c r="E60" i="41" s="1"/>
  <c r="F60" i="41" s="1"/>
  <c r="N52" i="41" a="1"/>
  <c r="N52" i="41" s="1"/>
  <c r="J52" i="41" a="1"/>
  <c r="J52" i="41" s="1"/>
  <c r="E52" i="41" a="1"/>
  <c r="E52" i="41" s="1"/>
  <c r="F52" i="41" s="1"/>
  <c r="N44" i="41" a="1"/>
  <c r="N44" i="41" s="1"/>
  <c r="J44" i="41" a="1"/>
  <c r="J44" i="41" s="1"/>
  <c r="E44" i="41" a="1"/>
  <c r="E44" i="41" s="1"/>
  <c r="F44" i="41" s="1"/>
  <c r="N36" i="41" a="1"/>
  <c r="N36" i="41" s="1"/>
  <c r="J36" i="41" a="1"/>
  <c r="J36" i="41" s="1"/>
  <c r="E36" i="41" a="1"/>
  <c r="E36" i="41" s="1"/>
  <c r="F36" i="41" s="1"/>
  <c r="N28" i="41" a="1"/>
  <c r="N28" i="41" s="1"/>
  <c r="J28" i="41" a="1"/>
  <c r="J28" i="41" s="1"/>
  <c r="E28" i="41" a="1"/>
  <c r="E28" i="41" s="1"/>
  <c r="F28" i="41" s="1"/>
  <c r="N20" i="41" a="1"/>
  <c r="N20" i="41" s="1"/>
  <c r="J20" i="41" a="1"/>
  <c r="J20" i="41" s="1"/>
  <c r="E20" i="41" a="1"/>
  <c r="E20" i="41" s="1"/>
  <c r="F20" i="41" s="1"/>
  <c r="N12" i="41" a="1"/>
  <c r="N12" i="41" s="1"/>
  <c r="J12" i="41" a="1"/>
  <c r="J12" i="41" s="1"/>
  <c r="E12" i="41" a="1"/>
  <c r="E12" i="41" s="1"/>
  <c r="F12" i="41" s="1"/>
  <c r="N485" i="41" a="1"/>
  <c r="N485" i="41" s="1"/>
  <c r="J485" i="41" a="1"/>
  <c r="J485" i="41" s="1"/>
  <c r="E485" i="41" a="1"/>
  <c r="E485" i="41" s="1"/>
  <c r="F485" i="41" s="1"/>
  <c r="N373" i="41" a="1"/>
  <c r="N373" i="41" s="1"/>
  <c r="J373" i="41" a="1"/>
  <c r="J373" i="41" s="1"/>
  <c r="E373" i="41" a="1"/>
  <c r="E373" i="41" s="1"/>
  <c r="F373" i="41" s="1"/>
  <c r="N293" i="41" a="1"/>
  <c r="N293" i="41" s="1"/>
  <c r="J293" i="41" a="1"/>
  <c r="J293" i="41" s="1"/>
  <c r="E293" i="41" a="1"/>
  <c r="E293" i="41" s="1"/>
  <c r="F293" i="41" s="1"/>
  <c r="N508" i="41" a="1"/>
  <c r="N508" i="41" s="1"/>
  <c r="E508" i="41" a="1"/>
  <c r="E508" i="41" s="1"/>
  <c r="F508" i="41" s="1"/>
  <c r="J508" i="41" a="1"/>
  <c r="J508" i="41" s="1"/>
  <c r="N412" i="41" a="1"/>
  <c r="N412" i="41" s="1"/>
  <c r="J412" i="41" a="1"/>
  <c r="J412" i="41" s="1"/>
  <c r="E412" i="41" a="1"/>
  <c r="E412" i="41" s="1"/>
  <c r="F412" i="41" s="1"/>
  <c r="N340" i="41" a="1"/>
  <c r="N340" i="41" s="1"/>
  <c r="J340" i="41" a="1"/>
  <c r="J340" i="41" s="1"/>
  <c r="E340" i="41" a="1"/>
  <c r="E340" i="41" s="1"/>
  <c r="F340" i="41" s="1"/>
  <c r="J268" i="41" a="1"/>
  <c r="J268" i="41" s="1"/>
  <c r="N268" i="41" a="1"/>
  <c r="N268" i="41" s="1"/>
  <c r="E268" i="41" a="1"/>
  <c r="E268" i="41" s="1"/>
  <c r="F268" i="41" s="1"/>
  <c r="N491" i="41" a="1"/>
  <c r="N491" i="41" s="1"/>
  <c r="J491" i="41" a="1"/>
  <c r="J491" i="41" s="1"/>
  <c r="E491" i="41" a="1"/>
  <c r="E491" i="41" s="1"/>
  <c r="F491" i="41" s="1"/>
  <c r="N403" i="41" a="1"/>
  <c r="N403" i="41" s="1"/>
  <c r="J403" i="41" a="1"/>
  <c r="J403" i="41" s="1"/>
  <c r="E403" i="41" a="1"/>
  <c r="E403" i="41" s="1"/>
  <c r="F403" i="41" s="1"/>
  <c r="N331" i="41" a="1"/>
  <c r="N331" i="41" s="1"/>
  <c r="J331" i="41" a="1"/>
  <c r="J331" i="41" s="1"/>
  <c r="E331" i="41" a="1"/>
  <c r="E331" i="41" s="1"/>
  <c r="F331" i="41" s="1"/>
  <c r="N267" i="41" a="1"/>
  <c r="N267" i="41" s="1"/>
  <c r="J267" i="41" a="1"/>
  <c r="J267" i="41" s="1"/>
  <c r="E267" i="41" a="1"/>
  <c r="E267" i="41" s="1"/>
  <c r="F267" i="41" s="1"/>
  <c r="N227" i="41" a="1"/>
  <c r="N227" i="41" s="1"/>
  <c r="E227" i="41" a="1"/>
  <c r="E227" i="41" s="1"/>
  <c r="F227" i="41" s="1"/>
  <c r="J227" i="41" a="1"/>
  <c r="J227" i="41" s="1"/>
  <c r="N211" i="41" a="1"/>
  <c r="N211" i="41" s="1"/>
  <c r="J211" i="41" a="1"/>
  <c r="J211" i="41" s="1"/>
  <c r="E211" i="41" a="1"/>
  <c r="E211" i="41" s="1"/>
  <c r="F211" i="41" s="1"/>
  <c r="N195" i="41" a="1"/>
  <c r="N195" i="41" s="1"/>
  <c r="J195" i="41" a="1"/>
  <c r="J195" i="41" s="1"/>
  <c r="E195" i="41" a="1"/>
  <c r="E195" i="41" s="1"/>
  <c r="F195" i="41" s="1"/>
  <c r="N187" i="41" a="1"/>
  <c r="N187" i="41" s="1"/>
  <c r="E187" i="41" a="1"/>
  <c r="E187" i="41" s="1"/>
  <c r="F187" i="41" s="1"/>
  <c r="J187" i="41" a="1"/>
  <c r="J187" i="41" s="1"/>
  <c r="N179" i="41" a="1"/>
  <c r="N179" i="41" s="1"/>
  <c r="E179" i="41" a="1"/>
  <c r="E179" i="41" s="1"/>
  <c r="F179" i="41" s="1"/>
  <c r="J179" i="41" a="1"/>
  <c r="J179" i="41" s="1"/>
  <c r="N171" i="41" a="1"/>
  <c r="N171" i="41" s="1"/>
  <c r="E171" i="41" a="1"/>
  <c r="E171" i="41" s="1"/>
  <c r="F171" i="41" s="1"/>
  <c r="J171" i="41" a="1"/>
  <c r="J171" i="41" s="1"/>
  <c r="N163" i="41" a="1"/>
  <c r="N163" i="41" s="1"/>
  <c r="J163" i="41" a="1"/>
  <c r="J163" i="41" s="1"/>
  <c r="E163" i="41" a="1"/>
  <c r="E163" i="41" s="1"/>
  <c r="F163" i="41" s="1"/>
  <c r="N155" i="41" a="1"/>
  <c r="N155" i="41" s="1"/>
  <c r="J155" i="41" a="1"/>
  <c r="J155" i="41" s="1"/>
  <c r="E155" i="41" a="1"/>
  <c r="E155" i="41" s="1"/>
  <c r="F155" i="41" s="1"/>
  <c r="N147" i="41" a="1"/>
  <c r="N147" i="41" s="1"/>
  <c r="J147" i="41" a="1"/>
  <c r="J147" i="41" s="1"/>
  <c r="E147" i="41" a="1"/>
  <c r="E147" i="41" s="1"/>
  <c r="F147" i="41" s="1"/>
  <c r="N139" i="41" a="1"/>
  <c r="N139" i="41" s="1"/>
  <c r="J139" i="41" a="1"/>
  <c r="J139" i="41" s="1"/>
  <c r="E139" i="41" a="1"/>
  <c r="E139" i="41" s="1"/>
  <c r="F139" i="41" s="1"/>
  <c r="N131" i="41" a="1"/>
  <c r="N131" i="41" s="1"/>
  <c r="J131" i="41" a="1"/>
  <c r="J131" i="41" s="1"/>
  <c r="E131" i="41" a="1"/>
  <c r="E131" i="41" s="1"/>
  <c r="F131" i="41" s="1"/>
  <c r="N123" i="41" a="1"/>
  <c r="N123" i="41" s="1"/>
  <c r="E123" i="41" a="1"/>
  <c r="E123" i="41" s="1"/>
  <c r="F123" i="41" s="1"/>
  <c r="J123" i="41" a="1"/>
  <c r="J123" i="41" s="1"/>
  <c r="N115" i="41" a="1"/>
  <c r="N115" i="41" s="1"/>
  <c r="E115" i="41" a="1"/>
  <c r="E115" i="41" s="1"/>
  <c r="F115" i="41" s="1"/>
  <c r="J115" i="41" a="1"/>
  <c r="J115" i="41" s="1"/>
  <c r="N107" i="41" a="1"/>
  <c r="N107" i="41" s="1"/>
  <c r="E107" i="41" a="1"/>
  <c r="E107" i="41" s="1"/>
  <c r="F107" i="41" s="1"/>
  <c r="J107" i="41" a="1"/>
  <c r="J107" i="41" s="1"/>
  <c r="N99" i="41" a="1"/>
  <c r="N99" i="41" s="1"/>
  <c r="E99" i="41" a="1"/>
  <c r="E99" i="41" s="1"/>
  <c r="F99" i="41" s="1"/>
  <c r="J99" i="41" a="1"/>
  <c r="J99" i="41" s="1"/>
  <c r="N91" i="41" a="1"/>
  <c r="N91" i="41" s="1"/>
  <c r="E91" i="41" a="1"/>
  <c r="E91" i="41" s="1"/>
  <c r="F91" i="41" s="1"/>
  <c r="J91" i="41" a="1"/>
  <c r="J91" i="41" s="1"/>
  <c r="N83" i="41" a="1"/>
  <c r="N83" i="41" s="1"/>
  <c r="J83" i="41" a="1"/>
  <c r="J83" i="41" s="1"/>
  <c r="E83" i="41" a="1"/>
  <c r="E83" i="41" s="1"/>
  <c r="F83" i="41" s="1"/>
  <c r="N75" i="41" a="1"/>
  <c r="N75" i="41" s="1"/>
  <c r="J75" i="41" a="1"/>
  <c r="J75" i="41" s="1"/>
  <c r="E75" i="41" a="1"/>
  <c r="E75" i="41" s="1"/>
  <c r="F75" i="41" s="1"/>
  <c r="J67" i="41" a="1"/>
  <c r="J67" i="41" s="1"/>
  <c r="N67" i="41" a="1"/>
  <c r="N67" i="41" s="1"/>
  <c r="E67" i="41" a="1"/>
  <c r="E67" i="41" s="1"/>
  <c r="F67" i="41" s="1"/>
  <c r="N59" i="41" a="1"/>
  <c r="N59" i="41" s="1"/>
  <c r="J59" i="41" a="1"/>
  <c r="J59" i="41" s="1"/>
  <c r="E59" i="41" a="1"/>
  <c r="E59" i="41" s="1"/>
  <c r="F59" i="41" s="1"/>
  <c r="N51" i="41" a="1"/>
  <c r="N51" i="41" s="1"/>
  <c r="J51" i="41" a="1"/>
  <c r="J51" i="41" s="1"/>
  <c r="E51" i="41" a="1"/>
  <c r="E51" i="41" s="1"/>
  <c r="F51" i="41" s="1"/>
  <c r="N43" i="41" a="1"/>
  <c r="N43" i="41" s="1"/>
  <c r="J43" i="41" a="1"/>
  <c r="J43" i="41" s="1"/>
  <c r="E43" i="41" a="1"/>
  <c r="E43" i="41" s="1"/>
  <c r="F43" i="41" s="1"/>
  <c r="N35" i="41" a="1"/>
  <c r="N35" i="41" s="1"/>
  <c r="J35" i="41" a="1"/>
  <c r="J35" i="41" s="1"/>
  <c r="E35" i="41" a="1"/>
  <c r="E35" i="41" s="1"/>
  <c r="F35" i="41" s="1"/>
  <c r="N27" i="41" a="1"/>
  <c r="N27" i="41" s="1"/>
  <c r="J27" i="41" a="1"/>
  <c r="J27" i="41" s="1"/>
  <c r="E27" i="41" a="1"/>
  <c r="E27" i="41" s="1"/>
  <c r="F27" i="41" s="1"/>
  <c r="N19" i="41" a="1"/>
  <c r="N19" i="41" s="1"/>
  <c r="J19" i="41" a="1"/>
  <c r="J19" i="41" s="1"/>
  <c r="E19" i="41" a="1"/>
  <c r="E19" i="41" s="1"/>
  <c r="F19" i="41" s="1"/>
  <c r="N11" i="41" a="1"/>
  <c r="N11" i="41" s="1"/>
  <c r="J11" i="41" a="1"/>
  <c r="J11" i="41" s="1"/>
  <c r="E11" i="41" a="1"/>
  <c r="E11" i="41" s="1"/>
  <c r="F11" i="41" s="1"/>
  <c r="M522" i="41"/>
  <c r="M514" i="41"/>
  <c r="O514" i="41" s="1"/>
  <c r="M506" i="41"/>
  <c r="M498" i="41"/>
  <c r="M490" i="41"/>
  <c r="M482" i="41"/>
  <c r="M474" i="41"/>
  <c r="M466" i="41"/>
  <c r="M458" i="41"/>
  <c r="M450" i="41"/>
  <c r="M442" i="41"/>
  <c r="M434" i="41"/>
  <c r="M426" i="41"/>
  <c r="M418" i="41"/>
  <c r="O418" i="41" s="1"/>
  <c r="M410" i="41"/>
  <c r="M402" i="41"/>
  <c r="M394" i="41"/>
  <c r="M386" i="41"/>
  <c r="M378" i="41"/>
  <c r="M370" i="41"/>
  <c r="M362" i="41"/>
  <c r="M354" i="41"/>
  <c r="M346" i="41"/>
  <c r="M338" i="41"/>
  <c r="M330" i="41"/>
  <c r="M322" i="41"/>
  <c r="O322" i="41" s="1"/>
  <c r="M314" i="41"/>
  <c r="M306" i="41"/>
  <c r="M298" i="41"/>
  <c r="M290" i="41"/>
  <c r="M282" i="41"/>
  <c r="M274" i="41"/>
  <c r="M266" i="41"/>
  <c r="M258" i="41"/>
  <c r="M250" i="41"/>
  <c r="M242" i="41"/>
  <c r="M234" i="41"/>
  <c r="M226" i="41"/>
  <c r="O226" i="41" s="1"/>
  <c r="M218" i="41"/>
  <c r="M210" i="41"/>
  <c r="M202" i="41"/>
  <c r="M194" i="41"/>
  <c r="M186" i="41"/>
  <c r="M178" i="41"/>
  <c r="M170" i="41"/>
  <c r="M162" i="41"/>
  <c r="M154" i="41"/>
  <c r="M146" i="41"/>
  <c r="M138" i="41"/>
  <c r="M130" i="41"/>
  <c r="O130" i="41" s="1"/>
  <c r="M122" i="41"/>
  <c r="M114" i="41"/>
  <c r="M106" i="41"/>
  <c r="M98" i="41"/>
  <c r="M90" i="41"/>
  <c r="M82" i="41"/>
  <c r="M74" i="41"/>
  <c r="M66" i="41"/>
  <c r="M58" i="41"/>
  <c r="M50" i="41"/>
  <c r="M42" i="41"/>
  <c r="M34" i="41"/>
  <c r="O34" i="41" s="1"/>
  <c r="M26" i="41"/>
  <c r="M18" i="41"/>
  <c r="M10" i="41"/>
  <c r="M521" i="41"/>
  <c r="M513" i="41"/>
  <c r="M505" i="41"/>
  <c r="M497" i="41"/>
  <c r="M489" i="41"/>
  <c r="M481" i="41"/>
  <c r="M473" i="41"/>
  <c r="M465" i="41"/>
  <c r="M457" i="41"/>
  <c r="M449" i="41"/>
  <c r="M441" i="41"/>
  <c r="M433" i="41"/>
  <c r="M425" i="41"/>
  <c r="M417" i="41"/>
  <c r="M409" i="41"/>
  <c r="M401" i="41"/>
  <c r="M393" i="41"/>
  <c r="M385" i="41"/>
  <c r="M377" i="41"/>
  <c r="M369" i="41"/>
  <c r="M361" i="41"/>
  <c r="M353" i="41"/>
  <c r="M345" i="41"/>
  <c r="M337" i="41"/>
  <c r="M329" i="41"/>
  <c r="M321" i="41"/>
  <c r="M313" i="41"/>
  <c r="M305" i="41"/>
  <c r="M297" i="41"/>
  <c r="M289" i="41"/>
  <c r="M281" i="41"/>
  <c r="M273" i="41"/>
  <c r="M265" i="41"/>
  <c r="M257" i="41"/>
  <c r="M249" i="41"/>
  <c r="M241" i="41"/>
  <c r="M233" i="41"/>
  <c r="M225" i="41"/>
  <c r="O225" i="41" s="1"/>
  <c r="M217" i="41"/>
  <c r="M209" i="41"/>
  <c r="M201" i="41"/>
  <c r="M193" i="41"/>
  <c r="M185" i="41"/>
  <c r="M177" i="41"/>
  <c r="M169" i="41"/>
  <c r="M161" i="41"/>
  <c r="M153" i="41"/>
  <c r="M145" i="41"/>
  <c r="M137" i="41"/>
  <c r="M129" i="41"/>
  <c r="M121" i="41"/>
  <c r="M113" i="41"/>
  <c r="M105" i="41"/>
  <c r="M97" i="41"/>
  <c r="M89" i="41"/>
  <c r="M81" i="41"/>
  <c r="M73" i="41"/>
  <c r="M65" i="41"/>
  <c r="M57" i="41"/>
  <c r="M49" i="41"/>
  <c r="M41" i="41"/>
  <c r="M33" i="41"/>
  <c r="M25" i="41"/>
  <c r="M17" i="41"/>
  <c r="M9" i="41"/>
  <c r="M538" i="41"/>
  <c r="M464" i="41"/>
  <c r="M376" i="41"/>
  <c r="M304" i="41"/>
  <c r="M240" i="41"/>
  <c r="M184" i="41"/>
  <c r="M152" i="41"/>
  <c r="M128" i="41"/>
  <c r="M120" i="41"/>
  <c r="M112" i="41"/>
  <c r="M104" i="41"/>
  <c r="M96" i="41"/>
  <c r="M88" i="41"/>
  <c r="M80" i="41"/>
  <c r="M72" i="41"/>
  <c r="M64" i="41"/>
  <c r="M56" i="41"/>
  <c r="M48" i="41"/>
  <c r="M40" i="41"/>
  <c r="M32" i="41"/>
  <c r="M24" i="41"/>
  <c r="M16" i="41"/>
  <c r="M8" i="41"/>
  <c r="M480" i="41"/>
  <c r="M400" i="41"/>
  <c r="M328" i="41"/>
  <c r="M264" i="41"/>
  <c r="M200" i="41"/>
  <c r="M160" i="41"/>
  <c r="M463" i="41"/>
  <c r="M383" i="41"/>
  <c r="M327" i="41"/>
  <c r="M295" i="41"/>
  <c r="M263" i="41"/>
  <c r="M239" i="41"/>
  <c r="M223" i="41"/>
  <c r="M215" i="41"/>
  <c r="M207" i="41"/>
  <c r="M199" i="41"/>
  <c r="M191" i="41"/>
  <c r="M183" i="41"/>
  <c r="M175" i="41"/>
  <c r="M167" i="41"/>
  <c r="M159" i="41"/>
  <c r="M151" i="41"/>
  <c r="M143" i="41"/>
  <c r="M135" i="41"/>
  <c r="M127" i="41"/>
  <c r="M119" i="41"/>
  <c r="M111" i="41"/>
  <c r="M103" i="41"/>
  <c r="M95" i="41"/>
  <c r="M87" i="41"/>
  <c r="M79" i="41"/>
  <c r="M71" i="41"/>
  <c r="M63" i="41"/>
  <c r="M55" i="41"/>
  <c r="M47" i="41"/>
  <c r="M39" i="41"/>
  <c r="M31" i="41"/>
  <c r="M23" i="41"/>
  <c r="M15" i="41"/>
  <c r="M7" i="41"/>
  <c r="M540" i="41"/>
  <c r="O540" i="41" s="1"/>
  <c r="M530" i="41"/>
  <c r="M529" i="41"/>
  <c r="M528" i="41"/>
  <c r="M512" i="41"/>
  <c r="M496" i="41"/>
  <c r="M456" i="41"/>
  <c r="M440" i="41"/>
  <c r="M424" i="41"/>
  <c r="M408" i="41"/>
  <c r="M384" i="41"/>
  <c r="M360" i="41"/>
  <c r="M344" i="41"/>
  <c r="M320" i="41"/>
  <c r="M296" i="41"/>
  <c r="M280" i="41"/>
  <c r="M256" i="41"/>
  <c r="M232" i="41"/>
  <c r="M216" i="41"/>
  <c r="M192" i="41"/>
  <c r="M168" i="41"/>
  <c r="M136" i="41"/>
  <c r="M527" i="41"/>
  <c r="M511" i="41"/>
  <c r="M495" i="41"/>
  <c r="M479" i="41"/>
  <c r="M455" i="41"/>
  <c r="M439" i="41"/>
  <c r="M423" i="41"/>
  <c r="M415" i="41"/>
  <c r="M399" i="41"/>
  <c r="M375" i="41"/>
  <c r="M367" i="41"/>
  <c r="M351" i="41"/>
  <c r="M343" i="41"/>
  <c r="M335" i="41"/>
  <c r="M319" i="41"/>
  <c r="M311" i="41"/>
  <c r="M303" i="41"/>
  <c r="M287" i="41"/>
  <c r="M279" i="41"/>
  <c r="M271" i="41"/>
  <c r="M255" i="41"/>
  <c r="M247" i="41"/>
  <c r="M231" i="41"/>
  <c r="M534" i="41"/>
  <c r="M526" i="41"/>
  <c r="M518" i="41"/>
  <c r="M510" i="41"/>
  <c r="M502" i="41"/>
  <c r="M494" i="41"/>
  <c r="M486" i="41"/>
  <c r="M478" i="41"/>
  <c r="M470" i="41"/>
  <c r="M462" i="41"/>
  <c r="M454" i="41"/>
  <c r="M446" i="41"/>
  <c r="M438" i="41"/>
  <c r="M430" i="41"/>
  <c r="M422" i="41"/>
  <c r="M414" i="41"/>
  <c r="M406" i="41"/>
  <c r="M398" i="41"/>
  <c r="M390" i="41"/>
  <c r="M382" i="41"/>
  <c r="M374" i="41"/>
  <c r="M366" i="41"/>
  <c r="M358" i="41"/>
  <c r="M350" i="41"/>
  <c r="M342" i="41"/>
  <c r="M334" i="41"/>
  <c r="M326" i="41"/>
  <c r="M318" i="41"/>
  <c r="M310" i="41"/>
  <c r="M302" i="41"/>
  <c r="M294" i="41"/>
  <c r="M286" i="41"/>
  <c r="M278" i="41"/>
  <c r="M270" i="41"/>
  <c r="M262" i="41"/>
  <c r="M254" i="41"/>
  <c r="M246" i="41"/>
  <c r="M238" i="41"/>
  <c r="M230" i="41"/>
  <c r="M222" i="41"/>
  <c r="M214" i="41"/>
  <c r="M206" i="41"/>
  <c r="M198" i="41"/>
  <c r="M190" i="41"/>
  <c r="M182" i="41"/>
  <c r="M174" i="41"/>
  <c r="M166" i="41"/>
  <c r="M158" i="41"/>
  <c r="M150" i="41"/>
  <c r="M142" i="41"/>
  <c r="M134" i="41"/>
  <c r="M126" i="41"/>
  <c r="M118" i="41"/>
  <c r="M110" i="41"/>
  <c r="M102" i="41"/>
  <c r="M94" i="41"/>
  <c r="M86" i="41"/>
  <c r="M78" i="41"/>
  <c r="M70" i="41"/>
  <c r="M62" i="41"/>
  <c r="M54" i="41"/>
  <c r="M46" i="41"/>
  <c r="M38" i="41"/>
  <c r="M30" i="41"/>
  <c r="M22" i="41"/>
  <c r="M14" i="41"/>
  <c r="M6" i="41"/>
  <c r="M524" i="41"/>
  <c r="M537" i="41"/>
  <c r="O537" i="41" s="1"/>
  <c r="M536" i="41"/>
  <c r="M520" i="41"/>
  <c r="M504" i="41"/>
  <c r="M488" i="41"/>
  <c r="M472" i="41"/>
  <c r="M448" i="41"/>
  <c r="M432" i="41"/>
  <c r="M416" i="41"/>
  <c r="M392" i="41"/>
  <c r="M368" i="41"/>
  <c r="M352" i="41"/>
  <c r="M336" i="41"/>
  <c r="M312" i="41"/>
  <c r="M288" i="41"/>
  <c r="M272" i="41"/>
  <c r="M248" i="41"/>
  <c r="M224" i="41"/>
  <c r="M208" i="41"/>
  <c r="M176" i="41"/>
  <c r="M144" i="41"/>
  <c r="M535" i="41"/>
  <c r="M519" i="41"/>
  <c r="M503" i="41"/>
  <c r="M487" i="41"/>
  <c r="M471" i="41"/>
  <c r="M447" i="41"/>
  <c r="M431" i="41"/>
  <c r="M407" i="41"/>
  <c r="M391" i="41"/>
  <c r="M359" i="41"/>
  <c r="M5" i="41"/>
  <c r="M533" i="41"/>
  <c r="O533" i="41" s="1"/>
  <c r="M525" i="41"/>
  <c r="M517" i="41"/>
  <c r="M509" i="41"/>
  <c r="M501" i="41"/>
  <c r="O501" i="41" s="1"/>
  <c r="M493" i="41"/>
  <c r="M485" i="41"/>
  <c r="M477" i="41"/>
  <c r="O477" i="41" s="1"/>
  <c r="M469" i="41"/>
  <c r="M461" i="41"/>
  <c r="M453" i="41"/>
  <c r="O453" i="41" s="1"/>
  <c r="M445" i="41"/>
  <c r="M437" i="41"/>
  <c r="O437" i="41" s="1"/>
  <c r="M429" i="41"/>
  <c r="M421" i="41"/>
  <c r="M413" i="41"/>
  <c r="O413" i="41" s="1"/>
  <c r="M405" i="41"/>
  <c r="M397" i="41"/>
  <c r="M389" i="41"/>
  <c r="M381" i="41"/>
  <c r="O381" i="41" s="1"/>
  <c r="M373" i="41"/>
  <c r="M365" i="41"/>
  <c r="M357" i="41"/>
  <c r="M349" i="41"/>
  <c r="M341" i="41"/>
  <c r="O341" i="41" s="1"/>
  <c r="M333" i="41"/>
  <c r="M325" i="41"/>
  <c r="M317" i="41"/>
  <c r="M309" i="41"/>
  <c r="O309" i="41" s="1"/>
  <c r="M301" i="41"/>
  <c r="M293" i="41"/>
  <c r="M285" i="41"/>
  <c r="M277" i="41"/>
  <c r="M269" i="41"/>
  <c r="M261" i="41"/>
  <c r="M253" i="41"/>
  <c r="M245" i="41"/>
  <c r="M237" i="41"/>
  <c r="M229" i="41"/>
  <c r="M221" i="41"/>
  <c r="M213" i="41"/>
  <c r="M205" i="41"/>
  <c r="M197" i="41"/>
  <c r="M189" i="41"/>
  <c r="M181" i="41"/>
  <c r="M173" i="41"/>
  <c r="M165" i="41"/>
  <c r="M157" i="41"/>
  <c r="M149" i="41"/>
  <c r="M141" i="41"/>
  <c r="M133" i="41"/>
  <c r="M125" i="41"/>
  <c r="M117" i="41"/>
  <c r="M109" i="41"/>
  <c r="M101" i="41"/>
  <c r="M93" i="41"/>
  <c r="M85" i="41"/>
  <c r="M77" i="41"/>
  <c r="M69" i="41"/>
  <c r="M61" i="41"/>
  <c r="M53" i="41"/>
  <c r="M45" i="41"/>
  <c r="M37" i="41"/>
  <c r="M29" i="41"/>
  <c r="M21" i="41"/>
  <c r="M13" i="41"/>
  <c r="M476" i="41"/>
  <c r="M436" i="41"/>
  <c r="M396" i="41"/>
  <c r="M356" i="41"/>
  <c r="M316" i="41"/>
  <c r="M284" i="41"/>
  <c r="M252" i="41"/>
  <c r="M220" i="41"/>
  <c r="M196" i="41"/>
  <c r="M180" i="41"/>
  <c r="M172" i="41"/>
  <c r="M164" i="41"/>
  <c r="M156" i="41"/>
  <c r="M148" i="41"/>
  <c r="M140" i="41"/>
  <c r="M132" i="41"/>
  <c r="M124" i="41"/>
  <c r="M116" i="41"/>
  <c r="M108" i="41"/>
  <c r="M100" i="41"/>
  <c r="M92" i="41"/>
  <c r="M84" i="41"/>
  <c r="M76" i="41"/>
  <c r="M68" i="41"/>
  <c r="M60" i="41"/>
  <c r="M52" i="41"/>
  <c r="M44" i="41"/>
  <c r="M36" i="41"/>
  <c r="M28" i="41"/>
  <c r="M20" i="41"/>
  <c r="M12" i="41"/>
  <c r="M532" i="41"/>
  <c r="O532" i="41" s="1"/>
  <c r="M516" i="41"/>
  <c r="M508" i="41"/>
  <c r="M500" i="41"/>
  <c r="O500" i="41" s="1"/>
  <c r="M492" i="41"/>
  <c r="M484" i="41"/>
  <c r="M468" i="41"/>
  <c r="M460" i="41"/>
  <c r="M452" i="41"/>
  <c r="M444" i="41"/>
  <c r="M428" i="41"/>
  <c r="O428" i="41" s="1"/>
  <c r="M420" i="41"/>
  <c r="M412" i="41"/>
  <c r="M404" i="41"/>
  <c r="O404" i="41" s="1"/>
  <c r="M388" i="41"/>
  <c r="M380" i="41"/>
  <c r="O380" i="41" s="1"/>
  <c r="M372" i="41"/>
  <c r="M364" i="41"/>
  <c r="M348" i="41"/>
  <c r="M340" i="41"/>
  <c r="M332" i="41"/>
  <c r="M324" i="41"/>
  <c r="O324" i="41" s="1"/>
  <c r="M308" i="41"/>
  <c r="M300" i="41"/>
  <c r="M292" i="41"/>
  <c r="M276" i="41"/>
  <c r="M268" i="41"/>
  <c r="M260" i="41"/>
  <c r="M244" i="41"/>
  <c r="M236" i="41"/>
  <c r="M228" i="41"/>
  <c r="M212" i="41"/>
  <c r="M204" i="41"/>
  <c r="M188" i="41"/>
  <c r="M539" i="41"/>
  <c r="M531" i="41"/>
  <c r="M523" i="41"/>
  <c r="O523" i="41" s="1"/>
  <c r="M515" i="41"/>
  <c r="O515" i="41" s="1"/>
  <c r="M507" i="41"/>
  <c r="M499" i="41"/>
  <c r="M491" i="41"/>
  <c r="M483" i="41"/>
  <c r="M475" i="41"/>
  <c r="M467" i="41"/>
  <c r="M459" i="41"/>
  <c r="M451" i="41"/>
  <c r="M443" i="41"/>
  <c r="M435" i="41"/>
  <c r="M427" i="41"/>
  <c r="O427" i="41" s="1"/>
  <c r="M419" i="41"/>
  <c r="M411" i="41"/>
  <c r="M403" i="41"/>
  <c r="M395" i="41"/>
  <c r="M387" i="41"/>
  <c r="M379" i="41"/>
  <c r="M371" i="41"/>
  <c r="M363" i="41"/>
  <c r="M355" i="41"/>
  <c r="O355" i="41" s="1"/>
  <c r="M347" i="41"/>
  <c r="M339" i="41"/>
  <c r="M331" i="41"/>
  <c r="M323" i="41"/>
  <c r="M315" i="41"/>
  <c r="M307" i="41"/>
  <c r="O307" i="41" s="1"/>
  <c r="M299" i="41"/>
  <c r="M291" i="41"/>
  <c r="M283" i="41"/>
  <c r="O283" i="41" s="1"/>
  <c r="M275" i="41"/>
  <c r="M267" i="41"/>
  <c r="M259" i="41"/>
  <c r="M251" i="41"/>
  <c r="M243" i="41"/>
  <c r="M235" i="41"/>
  <c r="M227" i="41"/>
  <c r="M219" i="41"/>
  <c r="M211" i="41"/>
  <c r="M203" i="41"/>
  <c r="M195" i="41"/>
  <c r="M187" i="41"/>
  <c r="M179" i="41"/>
  <c r="M171" i="41"/>
  <c r="M163" i="41"/>
  <c r="M155" i="41"/>
  <c r="M147" i="41"/>
  <c r="M139" i="41"/>
  <c r="M131" i="41"/>
  <c r="M123" i="41"/>
  <c r="M115" i="41"/>
  <c r="M107" i="41"/>
  <c r="M99" i="41"/>
  <c r="M91" i="41"/>
  <c r="M83" i="41"/>
  <c r="M75" i="41"/>
  <c r="M67" i="41"/>
  <c r="M59" i="41"/>
  <c r="M51" i="41"/>
  <c r="M43" i="41"/>
  <c r="M35" i="41"/>
  <c r="M27" i="41"/>
  <c r="M19" i="41"/>
  <c r="M11" i="41"/>
  <c r="K540" i="41"/>
  <c r="K477" i="41"/>
  <c r="L477" i="41" s="1"/>
  <c r="F499" i="41"/>
  <c r="F532" i="41"/>
  <c r="F468" i="41"/>
  <c r="F435" i="41"/>
  <c r="F492" i="41"/>
  <c r="F420" i="41"/>
  <c r="F500" i="41"/>
  <c r="F404" i="41"/>
  <c r="F421" i="41"/>
  <c r="F538" i="41"/>
  <c r="F434" i="41"/>
  <c r="F418" i="41"/>
  <c r="F402" i="41"/>
  <c r="F458" i="41"/>
  <c r="F466" i="41"/>
  <c r="F378" i="41"/>
  <c r="F5" i="41"/>
  <c r="K5" i="41"/>
  <c r="L5" i="41" s="1"/>
  <c r="K533" i="41"/>
  <c r="L533" i="41" s="1"/>
  <c r="K525" i="41"/>
  <c r="K517" i="41"/>
  <c r="L517" i="41" s="1"/>
  <c r="K509" i="41"/>
  <c r="K501" i="41"/>
  <c r="K493" i="41"/>
  <c r="L493" i="41" s="1"/>
  <c r="K485" i="41"/>
  <c r="K539" i="41"/>
  <c r="L539" i="41" s="1"/>
  <c r="K531" i="41"/>
  <c r="L531" i="41" s="1"/>
  <c r="K523" i="41"/>
  <c r="K515" i="41"/>
  <c r="L515" i="41" s="1"/>
  <c r="K507" i="41"/>
  <c r="L507" i="41" s="1"/>
  <c r="K491" i="41"/>
  <c r="K483" i="41"/>
  <c r="K475" i="41"/>
  <c r="L475" i="41" s="1"/>
  <c r="K467" i="41"/>
  <c r="K459" i="41"/>
  <c r="L459" i="41" s="1"/>
  <c r="K451" i="41"/>
  <c r="L451" i="41" s="1"/>
  <c r="K443" i="41"/>
  <c r="L443" i="41" s="1"/>
  <c r="K427" i="41"/>
  <c r="K419" i="41"/>
  <c r="L419" i="41" s="1"/>
  <c r="K411" i="41"/>
  <c r="L411" i="41" s="1"/>
  <c r="K403" i="41"/>
  <c r="L395" i="41"/>
  <c r="F395" i="41"/>
  <c r="K387" i="41"/>
  <c r="F387" i="41"/>
  <c r="K371" i="41"/>
  <c r="L371" i="41" s="1"/>
  <c r="K363" i="41"/>
  <c r="L363" i="41" s="1"/>
  <c r="F363" i="41"/>
  <c r="K355" i="41"/>
  <c r="F355" i="41"/>
  <c r="K347" i="41"/>
  <c r="L347" i="41" s="1"/>
  <c r="K339" i="41"/>
  <c r="L339" i="41" s="1"/>
  <c r="K323" i="41"/>
  <c r="L323" i="41" s="1"/>
  <c r="F323" i="41"/>
  <c r="K315" i="41"/>
  <c r="L315" i="41" s="1"/>
  <c r="K307" i="41"/>
  <c r="L307" i="41" s="1"/>
  <c r="K299" i="41"/>
  <c r="L299" i="41" s="1"/>
  <c r="K291" i="41"/>
  <c r="L291" i="41" s="1"/>
  <c r="F291" i="41"/>
  <c r="K275" i="41"/>
  <c r="L275" i="41" s="1"/>
  <c r="F275" i="41"/>
  <c r="K267" i="41"/>
  <c r="K259" i="41"/>
  <c r="L259" i="41" s="1"/>
  <c r="K251" i="41"/>
  <c r="L251" i="41" s="1"/>
  <c r="K235" i="41"/>
  <c r="F235" i="41"/>
  <c r="K227" i="41"/>
  <c r="K219" i="41"/>
  <c r="F219" i="41"/>
  <c r="K203" i="41"/>
  <c r="L203" i="41" s="1"/>
  <c r="K195" i="41"/>
  <c r="K187" i="41"/>
  <c r="K179" i="41"/>
  <c r="K163" i="41"/>
  <c r="K155" i="41"/>
  <c r="K147" i="41"/>
  <c r="K131" i="41"/>
  <c r="K123" i="41"/>
  <c r="K107" i="41"/>
  <c r="K99" i="41"/>
  <c r="K83" i="41"/>
  <c r="K75" i="41"/>
  <c r="K59" i="41"/>
  <c r="K43" i="41"/>
  <c r="K35" i="41"/>
  <c r="K19" i="41"/>
  <c r="K11" i="41"/>
  <c r="K522" i="41"/>
  <c r="L522" i="41" s="1"/>
  <c r="K514" i="41"/>
  <c r="L514" i="41" s="1"/>
  <c r="K506" i="41"/>
  <c r="L506" i="41" s="1"/>
  <c r="K498" i="41"/>
  <c r="L498" i="41" s="1"/>
  <c r="K490" i="41"/>
  <c r="L490" i="41" s="1"/>
  <c r="K482" i="41"/>
  <c r="L482" i="41" s="1"/>
  <c r="K474" i="41"/>
  <c r="L474" i="41" s="1"/>
  <c r="K450" i="41"/>
  <c r="L450" i="41" s="1"/>
  <c r="K442" i="41"/>
  <c r="L442" i="41" s="1"/>
  <c r="K537" i="41"/>
  <c r="K529" i="41"/>
  <c r="L529" i="41" s="1"/>
  <c r="K521" i="41"/>
  <c r="K513" i="41"/>
  <c r="L513" i="41" s="1"/>
  <c r="K505" i="41"/>
  <c r="L505" i="41" s="1"/>
  <c r="K489" i="41"/>
  <c r="K481" i="41"/>
  <c r="L481" i="41" s="1"/>
  <c r="K473" i="41"/>
  <c r="F473" i="41"/>
  <c r="K465" i="41"/>
  <c r="L465" i="41" s="1"/>
  <c r="K457" i="41"/>
  <c r="F457" i="41"/>
  <c r="K449" i="41"/>
  <c r="L449" i="41" s="1"/>
  <c r="K441" i="41"/>
  <c r="F441" i="41"/>
  <c r="K425" i="41"/>
  <c r="F425" i="41"/>
  <c r="K536" i="41"/>
  <c r="K528" i="41"/>
  <c r="K520" i="41"/>
  <c r="K512" i="41"/>
  <c r="K504" i="41"/>
  <c r="K496" i="41"/>
  <c r="K488" i="41"/>
  <c r="K480" i="41"/>
  <c r="K472" i="41"/>
  <c r="K464" i="41"/>
  <c r="L464" i="41" s="1"/>
  <c r="K456" i="41"/>
  <c r="K448" i="41"/>
  <c r="K440" i="41"/>
  <c r="K432" i="41"/>
  <c r="K424" i="41"/>
  <c r="K416" i="41"/>
  <c r="L416" i="41" s="1"/>
  <c r="K408" i="41"/>
  <c r="K400" i="41"/>
  <c r="K392" i="41"/>
  <c r="K384" i="41"/>
  <c r="K376" i="41"/>
  <c r="K368" i="41"/>
  <c r="K360" i="41"/>
  <c r="K352" i="41"/>
  <c r="K344" i="41"/>
  <c r="L344" i="41" s="1"/>
  <c r="K336" i="41"/>
  <c r="K328" i="41"/>
  <c r="L328" i="41" s="1"/>
  <c r="K320" i="41"/>
  <c r="L320" i="41" s="1"/>
  <c r="K312" i="41"/>
  <c r="K304" i="41"/>
  <c r="K296" i="41"/>
  <c r="F296" i="41"/>
  <c r="K288" i="41"/>
  <c r="L288" i="41" s="1"/>
  <c r="K280" i="41"/>
  <c r="K272" i="41"/>
  <c r="L272" i="41" s="1"/>
  <c r="K264" i="41"/>
  <c r="F264" i="41"/>
  <c r="K256" i="41"/>
  <c r="L256" i="41" s="1"/>
  <c r="K248" i="41"/>
  <c r="K240" i="41"/>
  <c r="L240" i="41" s="1"/>
  <c r="K232" i="41"/>
  <c r="F232" i="41"/>
  <c r="K224" i="41"/>
  <c r="K216" i="41"/>
  <c r="K208" i="41"/>
  <c r="L208" i="41" s="1"/>
  <c r="K200" i="41"/>
  <c r="F200" i="41"/>
  <c r="K192" i="41"/>
  <c r="L192" i="41" s="1"/>
  <c r="K184" i="41"/>
  <c r="K176" i="41"/>
  <c r="L176" i="41" s="1"/>
  <c r="K168" i="41"/>
  <c r="F168" i="41"/>
  <c r="K160" i="41"/>
  <c r="L160" i="41" s="1"/>
  <c r="K152" i="41"/>
  <c r="K144" i="41"/>
  <c r="L144" i="41" s="1"/>
  <c r="K136" i="41"/>
  <c r="F136" i="41"/>
  <c r="K128" i="41"/>
  <c r="K120" i="41"/>
  <c r="F120" i="41"/>
  <c r="K112" i="41"/>
  <c r="L112" i="41" s="1"/>
  <c r="K104" i="41"/>
  <c r="F104" i="41"/>
  <c r="K96" i="41"/>
  <c r="L96" i="41" s="1"/>
  <c r="K88" i="41"/>
  <c r="K80" i="41"/>
  <c r="K72" i="41"/>
  <c r="F72" i="41"/>
  <c r="K64" i="41"/>
  <c r="K56" i="41"/>
  <c r="K48" i="41"/>
  <c r="L48" i="41" s="1"/>
  <c r="K40" i="41"/>
  <c r="K32" i="41"/>
  <c r="K24" i="41"/>
  <c r="K16" i="41"/>
  <c r="K8" i="41"/>
  <c r="F8" i="41"/>
  <c r="K519" i="41"/>
  <c r="K511" i="41"/>
  <c r="K503" i="41"/>
  <c r="K495" i="41"/>
  <c r="K487" i="41"/>
  <c r="L487" i="41" s="1"/>
  <c r="K479" i="41"/>
  <c r="L479" i="41" s="1"/>
  <c r="K471" i="41"/>
  <c r="K463" i="41"/>
  <c r="K455" i="41"/>
  <c r="K447" i="41"/>
  <c r="K439" i="41"/>
  <c r="K431" i="41"/>
  <c r="K423" i="41"/>
  <c r="K415" i="41"/>
  <c r="K407" i="41"/>
  <c r="L407" i="41" s="1"/>
  <c r="K399" i="41"/>
  <c r="K391" i="41"/>
  <c r="K383" i="41"/>
  <c r="L383" i="41" s="1"/>
  <c r="K375" i="41"/>
  <c r="K367" i="41"/>
  <c r="K359" i="41"/>
  <c r="K351" i="41"/>
  <c r="K343" i="41"/>
  <c r="K335" i="41"/>
  <c r="K327" i="41"/>
  <c r="K319" i="41"/>
  <c r="K311" i="41"/>
  <c r="K303" i="41"/>
  <c r="L303" i="41" s="1"/>
  <c r="K295" i="41"/>
  <c r="K287" i="41"/>
  <c r="K279" i="41"/>
  <c r="K271" i="41"/>
  <c r="K263" i="41"/>
  <c r="K255" i="41"/>
  <c r="L255" i="41" s="1"/>
  <c r="K247" i="41"/>
  <c r="K239" i="41"/>
  <c r="L239" i="41" s="1"/>
  <c r="K231" i="41"/>
  <c r="F231" i="41"/>
  <c r="K223" i="41"/>
  <c r="K215" i="41"/>
  <c r="K207" i="41"/>
  <c r="L207" i="41" s="1"/>
  <c r="K199" i="41"/>
  <c r="K191" i="41"/>
  <c r="K183" i="41"/>
  <c r="K175" i="41"/>
  <c r="L175" i="41" s="1"/>
  <c r="K167" i="41"/>
  <c r="F167" i="41"/>
  <c r="K159" i="41"/>
  <c r="K151" i="41"/>
  <c r="K143" i="41"/>
  <c r="L143" i="41" s="1"/>
  <c r="K135" i="41"/>
  <c r="K127" i="41"/>
  <c r="K119" i="41"/>
  <c r="K111" i="41"/>
  <c r="L111" i="41" s="1"/>
  <c r="K103" i="41"/>
  <c r="K95" i="41"/>
  <c r="K87" i="41"/>
  <c r="K79" i="41"/>
  <c r="K71" i="41"/>
  <c r="K63" i="41"/>
  <c r="K55" i="41"/>
  <c r="K47" i="41"/>
  <c r="L47" i="41" s="1"/>
  <c r="K39" i="41"/>
  <c r="K31" i="41"/>
  <c r="K23" i="41"/>
  <c r="K15" i="41"/>
  <c r="K7" i="41"/>
  <c r="F7" i="41"/>
  <c r="F477" i="41"/>
  <c r="F467" i="41"/>
  <c r="K518" i="41"/>
  <c r="K510" i="41"/>
  <c r="K502" i="41"/>
  <c r="K494" i="41"/>
  <c r="K486" i="41"/>
  <c r="K478" i="41"/>
  <c r="K470" i="41"/>
  <c r="K462" i="41"/>
  <c r="K454" i="41"/>
  <c r="K446" i="41"/>
  <c r="K438" i="41"/>
  <c r="K430" i="41"/>
  <c r="K422" i="41"/>
  <c r="K414" i="41"/>
  <c r="K406" i="41"/>
  <c r="K398" i="41"/>
  <c r="K390" i="41"/>
  <c r="K382" i="41"/>
  <c r="K374" i="41"/>
  <c r="K366" i="41"/>
  <c r="K358" i="41"/>
  <c r="K350" i="41"/>
  <c r="K342" i="41"/>
  <c r="K334" i="41"/>
  <c r="K326" i="41"/>
  <c r="K318" i="41"/>
  <c r="K310" i="41"/>
  <c r="K302" i="41"/>
  <c r="K294" i="41"/>
  <c r="K286" i="41"/>
  <c r="K278" i="41"/>
  <c r="K270" i="41"/>
  <c r="K262" i="41"/>
  <c r="K254" i="41"/>
  <c r="K246" i="41"/>
  <c r="K238" i="41"/>
  <c r="K230" i="41"/>
  <c r="K222" i="41"/>
  <c r="K214" i="41"/>
  <c r="K206" i="41"/>
  <c r="K198" i="41"/>
  <c r="K190" i="41"/>
  <c r="K182" i="41"/>
  <c r="K174" i="41"/>
  <c r="K166" i="41"/>
  <c r="K158" i="41"/>
  <c r="K150" i="41"/>
  <c r="K142" i="41"/>
  <c r="K134" i="41"/>
  <c r="K126" i="41"/>
  <c r="K118" i="41"/>
  <c r="K110" i="41"/>
  <c r="K102" i="41"/>
  <c r="K94" i="41"/>
  <c r="K86" i="41"/>
  <c r="K78" i="41"/>
  <c r="K70" i="41"/>
  <c r="K62" i="41"/>
  <c r="K54" i="41"/>
  <c r="K46" i="41"/>
  <c r="K38" i="41"/>
  <c r="K30" i="41"/>
  <c r="K22" i="41"/>
  <c r="K14" i="41"/>
  <c r="K6" i="41"/>
  <c r="F533" i="41"/>
  <c r="F493" i="41"/>
  <c r="K461" i="41"/>
  <c r="L461" i="41" s="1"/>
  <c r="K453" i="41"/>
  <c r="L453" i="41" s="1"/>
  <c r="K445" i="41"/>
  <c r="L445" i="41" s="1"/>
  <c r="K437" i="41"/>
  <c r="L437" i="41" s="1"/>
  <c r="K429" i="41"/>
  <c r="K421" i="41"/>
  <c r="L421" i="41" s="1"/>
  <c r="K413" i="41"/>
  <c r="L413" i="41" s="1"/>
  <c r="F413" i="41"/>
  <c r="K405" i="41"/>
  <c r="K397" i="41"/>
  <c r="K389" i="41"/>
  <c r="L389" i="41" s="1"/>
  <c r="F389" i="41"/>
  <c r="K381" i="41"/>
  <c r="F381" i="41"/>
  <c r="K373" i="41"/>
  <c r="K365" i="41"/>
  <c r="L365" i="41" s="1"/>
  <c r="F365" i="41"/>
  <c r="K357" i="41"/>
  <c r="L357" i="41" s="1"/>
  <c r="K349" i="41"/>
  <c r="L349" i="41" s="1"/>
  <c r="F349" i="41"/>
  <c r="K341" i="41"/>
  <c r="L341" i="41" s="1"/>
  <c r="F341" i="41"/>
  <c r="K333" i="41"/>
  <c r="L333" i="41" s="1"/>
  <c r="F333" i="41"/>
  <c r="K325" i="41"/>
  <c r="K317" i="41"/>
  <c r="K309" i="41"/>
  <c r="L309" i="41" s="1"/>
  <c r="F309" i="41"/>
  <c r="K301" i="41"/>
  <c r="F301" i="41"/>
  <c r="K293" i="41"/>
  <c r="K285" i="41"/>
  <c r="F285" i="41"/>
  <c r="K277" i="41"/>
  <c r="L277" i="41" s="1"/>
  <c r="K269" i="41"/>
  <c r="L269" i="41" s="1"/>
  <c r="F269" i="41"/>
  <c r="K261" i="41"/>
  <c r="F261" i="41"/>
  <c r="K253" i="41"/>
  <c r="K245" i="41"/>
  <c r="L245" i="41" s="1"/>
  <c r="K237" i="41"/>
  <c r="L237" i="41" s="1"/>
  <c r="F237" i="41"/>
  <c r="K229" i="41"/>
  <c r="K221" i="41"/>
  <c r="K213" i="41"/>
  <c r="K205" i="41"/>
  <c r="K197" i="41"/>
  <c r="K189" i="41"/>
  <c r="K181" i="41"/>
  <c r="K173" i="41"/>
  <c r="K165" i="41"/>
  <c r="K157" i="41"/>
  <c r="K149" i="41"/>
  <c r="K141" i="41"/>
  <c r="K133" i="41"/>
  <c r="K125" i="41"/>
  <c r="K117" i="41"/>
  <c r="K109" i="41"/>
  <c r="K101" i="41"/>
  <c r="K93" i="41"/>
  <c r="K85" i="41"/>
  <c r="K77" i="41"/>
  <c r="K69" i="41"/>
  <c r="K61" i="41"/>
  <c r="K53" i="41"/>
  <c r="K45" i="41"/>
  <c r="K37" i="41"/>
  <c r="K29" i="41"/>
  <c r="K21" i="41"/>
  <c r="K13" i="41"/>
  <c r="C2" i="41"/>
  <c r="D2" i="41"/>
  <c r="F540" i="41"/>
  <c r="F475" i="41"/>
  <c r="F453" i="41"/>
  <c r="F443" i="41"/>
  <c r="K532" i="41"/>
  <c r="L532" i="41" s="1"/>
  <c r="K524" i="41"/>
  <c r="L516" i="41"/>
  <c r="K508" i="41"/>
  <c r="K500" i="41"/>
  <c r="L500" i="41" s="1"/>
  <c r="K492" i="41"/>
  <c r="K484" i="41"/>
  <c r="L484" i="41" s="1"/>
  <c r="K476" i="41"/>
  <c r="L476" i="41" s="1"/>
  <c r="K468" i="41"/>
  <c r="L468" i="41" s="1"/>
  <c r="K460" i="41"/>
  <c r="L460" i="41" s="1"/>
  <c r="K452" i="41"/>
  <c r="L452" i="41" s="1"/>
  <c r="K444" i="41"/>
  <c r="L444" i="41" s="1"/>
  <c r="K436" i="41"/>
  <c r="K428" i="41"/>
  <c r="L428" i="41" s="1"/>
  <c r="K420" i="41"/>
  <c r="K404" i="41"/>
  <c r="L404" i="41" s="1"/>
  <c r="K396" i="41"/>
  <c r="L396" i="41" s="1"/>
  <c r="K388" i="41"/>
  <c r="L388" i="41" s="1"/>
  <c r="F388" i="41"/>
  <c r="K380" i="41"/>
  <c r="L380" i="41" s="1"/>
  <c r="F380" i="41"/>
  <c r="K372" i="41"/>
  <c r="L372" i="41" s="1"/>
  <c r="F372" i="41"/>
  <c r="K364" i="41"/>
  <c r="L364" i="41" s="1"/>
  <c r="K356" i="41"/>
  <c r="L356" i="41" s="1"/>
  <c r="F356" i="41"/>
  <c r="K348" i="41"/>
  <c r="K340" i="41"/>
  <c r="K332" i="41"/>
  <c r="F332" i="41"/>
  <c r="K324" i="41"/>
  <c r="L324" i="41" s="1"/>
  <c r="F324" i="41"/>
  <c r="K316" i="41"/>
  <c r="L316" i="41" s="1"/>
  <c r="K308" i="41"/>
  <c r="F308" i="41"/>
  <c r="K300" i="41"/>
  <c r="L300" i="41" s="1"/>
  <c r="F300" i="41"/>
  <c r="K292" i="41"/>
  <c r="L292" i="41" s="1"/>
  <c r="K284" i="41"/>
  <c r="L284" i="41" s="1"/>
  <c r="F284" i="41"/>
  <c r="K276" i="41"/>
  <c r="K268" i="41"/>
  <c r="K260" i="41"/>
  <c r="F260" i="41"/>
  <c r="K252" i="41"/>
  <c r="L252" i="41" s="1"/>
  <c r="F252" i="41"/>
  <c r="K244" i="41"/>
  <c r="L244" i="41" s="1"/>
  <c r="K236" i="41"/>
  <c r="L236" i="41" s="1"/>
  <c r="K228" i="41"/>
  <c r="K220" i="41"/>
  <c r="K212" i="41"/>
  <c r="K204" i="41"/>
  <c r="K196" i="41"/>
  <c r="K188" i="41"/>
  <c r="K180" i="41"/>
  <c r="K172" i="41"/>
  <c r="K164" i="41"/>
  <c r="K156" i="41"/>
  <c r="K148" i="41"/>
  <c r="K140" i="41"/>
  <c r="K132" i="41"/>
  <c r="K124" i="41"/>
  <c r="K116" i="41"/>
  <c r="K108" i="41"/>
  <c r="K100" i="41"/>
  <c r="K92" i="41"/>
  <c r="K84" i="41"/>
  <c r="K76" i="41"/>
  <c r="K68" i="41"/>
  <c r="K60" i="41"/>
  <c r="K52" i="41"/>
  <c r="K44" i="41"/>
  <c r="K36" i="41"/>
  <c r="K28" i="41"/>
  <c r="K20" i="41"/>
  <c r="K12" i="41"/>
  <c r="F531" i="41"/>
  <c r="F523" i="41"/>
  <c r="F515" i="41"/>
  <c r="F452" i="41"/>
  <c r="K499" i="41"/>
  <c r="L499" i="41" s="1"/>
  <c r="K435" i="41"/>
  <c r="K379" i="41"/>
  <c r="L379" i="41" s="1"/>
  <c r="F379" i="41"/>
  <c r="K331" i="41"/>
  <c r="K283" i="41"/>
  <c r="L283" i="41" s="1"/>
  <c r="K243" i="41"/>
  <c r="L243" i="41" s="1"/>
  <c r="F243" i="41"/>
  <c r="K211" i="41"/>
  <c r="K171" i="41"/>
  <c r="K139" i="41"/>
  <c r="K115" i="41"/>
  <c r="K91" i="41"/>
  <c r="K67" i="41"/>
  <c r="K51" i="41"/>
  <c r="K27" i="41"/>
  <c r="F514" i="41"/>
  <c r="F506" i="41"/>
  <c r="F498" i="41"/>
  <c r="F439" i="41"/>
  <c r="F428" i="41"/>
  <c r="K534" i="41"/>
  <c r="K526" i="41"/>
  <c r="L526" i="41" s="1"/>
  <c r="K466" i="41"/>
  <c r="L466" i="41" s="1"/>
  <c r="K434" i="41"/>
  <c r="L434" i="41" s="1"/>
  <c r="K426" i="41"/>
  <c r="L426" i="41" s="1"/>
  <c r="K418" i="41"/>
  <c r="L418" i="41" s="1"/>
  <c r="K410" i="41"/>
  <c r="L410" i="41" s="1"/>
  <c r="L402" i="41"/>
  <c r="K394" i="41"/>
  <c r="L394" i="41" s="1"/>
  <c r="K386" i="41"/>
  <c r="L386" i="41" s="1"/>
  <c r="K378" i="41"/>
  <c r="L370" i="41"/>
  <c r="F370" i="41"/>
  <c r="K362" i="41"/>
  <c r="L362" i="41" s="1"/>
  <c r="K354" i="41"/>
  <c r="F354" i="41"/>
  <c r="K346" i="41"/>
  <c r="L346" i="41" s="1"/>
  <c r="K338" i="41"/>
  <c r="L338" i="41" s="1"/>
  <c r="F338" i="41"/>
  <c r="K330" i="41"/>
  <c r="L330" i="41" s="1"/>
  <c r="F330" i="41"/>
  <c r="K322" i="41"/>
  <c r="L322" i="41" s="1"/>
  <c r="F322" i="41"/>
  <c r="K314" i="41"/>
  <c r="L314" i="41" s="1"/>
  <c r="K306" i="41"/>
  <c r="L306" i="41" s="1"/>
  <c r="F306" i="41"/>
  <c r="K298" i="41"/>
  <c r="L298" i="41" s="1"/>
  <c r="K290" i="41"/>
  <c r="L290" i="41" s="1"/>
  <c r="F290" i="41"/>
  <c r="K282" i="41"/>
  <c r="L282" i="41" s="1"/>
  <c r="F282" i="41"/>
  <c r="K274" i="41"/>
  <c r="L274" i="41" s="1"/>
  <c r="F274" i="41"/>
  <c r="K266" i="41"/>
  <c r="L266" i="41" s="1"/>
  <c r="K258" i="41"/>
  <c r="L258" i="41" s="1"/>
  <c r="F258" i="41"/>
  <c r="K250" i="41"/>
  <c r="L250" i="41" s="1"/>
  <c r="K242" i="41"/>
  <c r="L242" i="41" s="1"/>
  <c r="F242" i="41"/>
  <c r="K234" i="41"/>
  <c r="L234" i="41" s="1"/>
  <c r="F234" i="41"/>
  <c r="K226" i="41"/>
  <c r="L226" i="41" s="1"/>
  <c r="F226" i="41"/>
  <c r="K218" i="41"/>
  <c r="L218" i="41" s="1"/>
  <c r="K210" i="41"/>
  <c r="L210" i="41" s="1"/>
  <c r="F210" i="41"/>
  <c r="K202" i="41"/>
  <c r="L202" i="41" s="1"/>
  <c r="K194" i="41"/>
  <c r="L194" i="41" s="1"/>
  <c r="F194" i="41"/>
  <c r="K186" i="41"/>
  <c r="L186" i="41" s="1"/>
  <c r="K178" i="41"/>
  <c r="L178" i="41" s="1"/>
  <c r="F178" i="41"/>
  <c r="K170" i="41"/>
  <c r="L170" i="41" s="1"/>
  <c r="K162" i="41"/>
  <c r="F162" i="41"/>
  <c r="K154" i="41"/>
  <c r="L154" i="41" s="1"/>
  <c r="F154" i="41"/>
  <c r="K146" i="41"/>
  <c r="L146" i="41" s="1"/>
  <c r="F146" i="41"/>
  <c r="K138" i="41"/>
  <c r="L138" i="41" s="1"/>
  <c r="K130" i="41"/>
  <c r="L130" i="41" s="1"/>
  <c r="F130" i="41"/>
  <c r="K122" i="41"/>
  <c r="L122" i="41" s="1"/>
  <c r="K114" i="41"/>
  <c r="F114" i="41"/>
  <c r="K106" i="41"/>
  <c r="L106" i="41" s="1"/>
  <c r="K98" i="41"/>
  <c r="F98" i="41"/>
  <c r="K90" i="41"/>
  <c r="L90" i="41" s="1"/>
  <c r="K82" i="41"/>
  <c r="F82" i="41"/>
  <c r="K74" i="41"/>
  <c r="K66" i="41"/>
  <c r="L66" i="41" s="1"/>
  <c r="F66" i="41"/>
  <c r="K58" i="41"/>
  <c r="L58" i="41" s="1"/>
  <c r="K50" i="41"/>
  <c r="F50" i="41"/>
  <c r="K42" i="41"/>
  <c r="L42" i="41" s="1"/>
  <c r="F42" i="41"/>
  <c r="K34" i="41"/>
  <c r="F34" i="41"/>
  <c r="K26" i="41"/>
  <c r="K18" i="41"/>
  <c r="F18" i="41"/>
  <c r="K10" i="41"/>
  <c r="F10" i="41"/>
  <c r="F537" i="41"/>
  <c r="F521" i="41"/>
  <c r="F505" i="41"/>
  <c r="F489" i="41"/>
  <c r="F480" i="41"/>
  <c r="F460" i="41"/>
  <c r="F450" i="41"/>
  <c r="F427" i="41"/>
  <c r="F386" i="41"/>
  <c r="K535" i="41"/>
  <c r="L535" i="41" s="1"/>
  <c r="K527" i="41"/>
  <c r="K530" i="41"/>
  <c r="K458" i="41"/>
  <c r="L458" i="41" s="1"/>
  <c r="K497" i="41"/>
  <c r="L497" i="41" s="1"/>
  <c r="K433" i="41"/>
  <c r="L433" i="41" s="1"/>
  <c r="K417" i="41"/>
  <c r="L417" i="41" s="1"/>
  <c r="K409" i="41"/>
  <c r="F409" i="41"/>
  <c r="K401" i="41"/>
  <c r="L401" i="41" s="1"/>
  <c r="K393" i="41"/>
  <c r="F393" i="41"/>
  <c r="K385" i="41"/>
  <c r="L385" i="41" s="1"/>
  <c r="K377" i="41"/>
  <c r="F377" i="41"/>
  <c r="K369" i="41"/>
  <c r="L369" i="41" s="1"/>
  <c r="K361" i="41"/>
  <c r="F361" i="41"/>
  <c r="K353" i="41"/>
  <c r="L353" i="41" s="1"/>
  <c r="K345" i="41"/>
  <c r="F345" i="41"/>
  <c r="K337" i="41"/>
  <c r="L337" i="41" s="1"/>
  <c r="K329" i="41"/>
  <c r="F329" i="41"/>
  <c r="K321" i="41"/>
  <c r="L321" i="41" s="1"/>
  <c r="K313" i="41"/>
  <c r="F313" i="41"/>
  <c r="K305" i="41"/>
  <c r="L305" i="41" s="1"/>
  <c r="K297" i="41"/>
  <c r="F297" i="41"/>
  <c r="K289" i="41"/>
  <c r="L289" i="41" s="1"/>
  <c r="K281" i="41"/>
  <c r="F281" i="41"/>
  <c r="K273" i="41"/>
  <c r="L273" i="41" s="1"/>
  <c r="K265" i="41"/>
  <c r="F265" i="41"/>
  <c r="K257" i="41"/>
  <c r="L257" i="41" s="1"/>
  <c r="K249" i="41"/>
  <c r="F249" i="41"/>
  <c r="K241" i="41"/>
  <c r="L241" i="41" s="1"/>
  <c r="K233" i="41"/>
  <c r="F233" i="41"/>
  <c r="K225" i="41"/>
  <c r="K217" i="41"/>
  <c r="F217" i="41"/>
  <c r="K209" i="41"/>
  <c r="L209" i="41" s="1"/>
  <c r="K201" i="41"/>
  <c r="F201" i="41"/>
  <c r="K193" i="41"/>
  <c r="L193" i="41" s="1"/>
  <c r="K185" i="41"/>
  <c r="F185" i="41"/>
  <c r="K177" i="41"/>
  <c r="L177" i="41" s="1"/>
  <c r="K169" i="41"/>
  <c r="F169" i="41"/>
  <c r="K161" i="41"/>
  <c r="K153" i="41"/>
  <c r="F153" i="41"/>
  <c r="K145" i="41"/>
  <c r="L145" i="41" s="1"/>
  <c r="K137" i="41"/>
  <c r="F137" i="41"/>
  <c r="K129" i="41"/>
  <c r="L129" i="41" s="1"/>
  <c r="K121" i="41"/>
  <c r="F121" i="41"/>
  <c r="K113" i="41"/>
  <c r="L113" i="41" s="1"/>
  <c r="K105" i="41"/>
  <c r="F105" i="41"/>
  <c r="K97" i="41"/>
  <c r="L97" i="41" s="1"/>
  <c r="K89" i="41"/>
  <c r="F89" i="41"/>
  <c r="K81" i="41"/>
  <c r="K73" i="41"/>
  <c r="F73" i="41"/>
  <c r="K65" i="41"/>
  <c r="K57" i="41"/>
  <c r="F57" i="41"/>
  <c r="K49" i="41"/>
  <c r="L49" i="41" s="1"/>
  <c r="K41" i="41"/>
  <c r="K33" i="41"/>
  <c r="L33" i="41" s="1"/>
  <c r="K25" i="41"/>
  <c r="F25" i="41"/>
  <c r="K17" i="41"/>
  <c r="K9" i="41"/>
  <c r="F459" i="41"/>
  <c r="F437" i="41"/>
  <c r="F410" i="41"/>
  <c r="B2" i="41"/>
  <c r="I221" i="41" l="1"/>
  <c r="L327" i="41"/>
  <c r="L519" i="41"/>
  <c r="L89" i="41"/>
  <c r="L354" i="41"/>
  <c r="L50" i="41"/>
  <c r="L381" i="41"/>
  <c r="L462" i="41"/>
  <c r="L74" i="41"/>
  <c r="L325" i="41"/>
  <c r="L332" i="41"/>
  <c r="I149" i="41"/>
  <c r="I181" i="41"/>
  <c r="L287" i="41"/>
  <c r="O303" i="41"/>
  <c r="L260" i="41"/>
  <c r="L301" i="41"/>
  <c r="L492" i="41"/>
  <c r="I426" i="41"/>
  <c r="I450" i="41"/>
  <c r="I35" i="41"/>
  <c r="I131" i="41"/>
  <c r="I70" i="41"/>
  <c r="L355" i="41"/>
  <c r="L219" i="41"/>
  <c r="L378" i="41"/>
  <c r="L435" i="41"/>
  <c r="L10" i="41"/>
  <c r="L162" i="41"/>
  <c r="L393" i="41"/>
  <c r="L201" i="41"/>
  <c r="L329" i="41"/>
  <c r="L34" i="41"/>
  <c r="L285" i="41"/>
  <c r="L98" i="41"/>
  <c r="O357" i="41"/>
  <c r="L297" i="41"/>
  <c r="L137" i="41"/>
  <c r="L265" i="41"/>
  <c r="L105" i="41"/>
  <c r="L233" i="41"/>
  <c r="L361" i="41"/>
  <c r="L114" i="41"/>
  <c r="L538" i="41"/>
  <c r="I37" i="41"/>
  <c r="L457" i="41"/>
  <c r="L521" i="41"/>
  <c r="L528" i="41"/>
  <c r="L467" i="41"/>
  <c r="O259" i="41"/>
  <c r="L391" i="41"/>
  <c r="L540" i="41"/>
  <c r="L281" i="41"/>
  <c r="L409" i="41"/>
  <c r="I59" i="41"/>
  <c r="I155" i="41"/>
  <c r="I315" i="41"/>
  <c r="I22" i="41"/>
  <c r="I29" i="41"/>
  <c r="I61" i="41"/>
  <c r="I157" i="41"/>
  <c r="I13" i="41"/>
  <c r="I173" i="41"/>
  <c r="L387" i="41"/>
  <c r="O316" i="41"/>
  <c r="L153" i="41"/>
  <c r="L8" i="41"/>
  <c r="L18" i="41"/>
  <c r="L405" i="41"/>
  <c r="L523" i="41"/>
  <c r="L530" i="41"/>
  <c r="L235" i="41"/>
  <c r="L483" i="41"/>
  <c r="L23" i="41"/>
  <c r="L88" i="41"/>
  <c r="I71" i="41"/>
  <c r="I167" i="41"/>
  <c r="I215" i="41"/>
  <c r="I287" i="41"/>
  <c r="I8" i="41"/>
  <c r="I126" i="41"/>
  <c r="I9" i="41"/>
  <c r="I57" i="41"/>
  <c r="L168" i="41"/>
  <c r="L376" i="41"/>
  <c r="L520" i="41"/>
  <c r="O219" i="41"/>
  <c r="O315" i="41"/>
  <c r="L73" i="41"/>
  <c r="L82" i="41"/>
  <c r="L261" i="41"/>
  <c r="L9" i="41"/>
  <c r="L72" i="41"/>
  <c r="O296" i="41"/>
  <c r="O291" i="41"/>
  <c r="L65" i="41"/>
  <c r="L26" i="41"/>
  <c r="I98" i="41"/>
  <c r="I194" i="41"/>
  <c r="I94" i="41"/>
  <c r="I67" i="41"/>
  <c r="I115" i="41"/>
  <c r="I499" i="41"/>
  <c r="I523" i="41"/>
  <c r="I86" i="41"/>
  <c r="I198" i="41"/>
  <c r="I534" i="41"/>
  <c r="I20" i="41"/>
  <c r="I44" i="41"/>
  <c r="I212" i="41"/>
  <c r="I45" i="41"/>
  <c r="I141" i="41"/>
  <c r="I189" i="41"/>
  <c r="I213" i="41"/>
  <c r="L24" i="41"/>
  <c r="L136" i="41"/>
  <c r="L216" i="41"/>
  <c r="L496" i="41"/>
  <c r="L17" i="41"/>
  <c r="L41" i="41"/>
  <c r="L169" i="41"/>
  <c r="L537" i="41"/>
  <c r="L152" i="41"/>
  <c r="L280" i="41"/>
  <c r="L304" i="41"/>
  <c r="L368" i="41"/>
  <c r="L429" i="41"/>
  <c r="L167" i="41"/>
  <c r="L384" i="41"/>
  <c r="L400" i="41"/>
  <c r="L15" i="41"/>
  <c r="L79" i="41"/>
  <c r="L424" i="41"/>
  <c r="L511" i="41"/>
  <c r="L185" i="41"/>
  <c r="L313" i="41"/>
  <c r="L441" i="41"/>
  <c r="L215" i="41"/>
  <c r="L56" i="41"/>
  <c r="L489" i="41"/>
  <c r="L120" i="41"/>
  <c r="L248" i="41"/>
  <c r="L425" i="41"/>
  <c r="L420" i="41"/>
  <c r="G2" i="41"/>
  <c r="H2" i="41"/>
  <c r="L343" i="41"/>
  <c r="L55" i="41"/>
  <c r="L119" i="41"/>
  <c r="L501" i="41"/>
  <c r="L63" i="41"/>
  <c r="L183" i="41"/>
  <c r="L308" i="41"/>
  <c r="L151" i="41"/>
  <c r="L427" i="41"/>
  <c r="L217" i="41"/>
  <c r="L345" i="41"/>
  <c r="L87" i="41"/>
  <c r="L473" i="41"/>
  <c r="L81" i="41"/>
  <c r="L377" i="41"/>
  <c r="L32" i="41"/>
  <c r="L184" i="41"/>
  <c r="L536" i="41"/>
  <c r="L527" i="41"/>
  <c r="L64" i="41"/>
  <c r="I7" i="41"/>
  <c r="I39" i="41"/>
  <c r="I199" i="41"/>
  <c r="I231" i="41"/>
  <c r="I263" i="41"/>
  <c r="I295" i="41"/>
  <c r="I327" i="41"/>
  <c r="I359" i="41"/>
  <c r="I391" i="41"/>
  <c r="I423" i="41"/>
  <c r="I455" i="41"/>
  <c r="I487" i="41"/>
  <c r="I519" i="41"/>
  <c r="I32" i="41"/>
  <c r="I64" i="41"/>
  <c r="I96" i="41"/>
  <c r="I128" i="41"/>
  <c r="I160" i="41"/>
  <c r="I192" i="41"/>
  <c r="I224" i="41"/>
  <c r="I256" i="41"/>
  <c r="I288" i="41"/>
  <c r="I320" i="41"/>
  <c r="I352" i="41"/>
  <c r="I384" i="41"/>
  <c r="I416" i="41"/>
  <c r="I448" i="41"/>
  <c r="I480" i="41"/>
  <c r="I512" i="41"/>
  <c r="I489" i="41"/>
  <c r="I529" i="41"/>
  <c r="I498" i="41"/>
  <c r="I538" i="41"/>
  <c r="I492" i="41"/>
  <c r="I540" i="41"/>
  <c r="I238" i="41"/>
  <c r="I310" i="41"/>
  <c r="I390" i="41"/>
  <c r="I462" i="41"/>
  <c r="I526" i="41"/>
  <c r="I25" i="41"/>
  <c r="I153" i="41"/>
  <c r="I217" i="41"/>
  <c r="I249" i="41"/>
  <c r="I281" i="41"/>
  <c r="I313" i="41"/>
  <c r="I345" i="41"/>
  <c r="I377" i="41"/>
  <c r="I409" i="41"/>
  <c r="I441" i="41"/>
  <c r="I473" i="41"/>
  <c r="I18" i="41"/>
  <c r="I50" i="41"/>
  <c r="I146" i="41"/>
  <c r="I178" i="41"/>
  <c r="I210" i="41"/>
  <c r="I242" i="41"/>
  <c r="I274" i="41"/>
  <c r="I306" i="41"/>
  <c r="I338" i="41"/>
  <c r="I370" i="41"/>
  <c r="I402" i="41"/>
  <c r="I434" i="41"/>
  <c r="I466" i="41"/>
  <c r="I14" i="41"/>
  <c r="I286" i="41"/>
  <c r="I11" i="41"/>
  <c r="I43" i="41"/>
  <c r="I75" i="41"/>
  <c r="I107" i="41"/>
  <c r="I139" i="41"/>
  <c r="I171" i="41"/>
  <c r="I203" i="41"/>
  <c r="I235" i="41"/>
  <c r="I267" i="41"/>
  <c r="I299" i="41"/>
  <c r="I331" i="41"/>
  <c r="I363" i="41"/>
  <c r="I395" i="41"/>
  <c r="I427" i="41"/>
  <c r="I459" i="41"/>
  <c r="I491" i="41"/>
  <c r="I118" i="41"/>
  <c r="I270" i="41"/>
  <c r="I350" i="41"/>
  <c r="I414" i="41"/>
  <c r="I486" i="41"/>
  <c r="I12" i="41"/>
  <c r="I76" i="41"/>
  <c r="I108" i="41"/>
  <c r="I140" i="41"/>
  <c r="I172" i="41"/>
  <c r="I204" i="41"/>
  <c r="I236" i="41"/>
  <c r="I268" i="41"/>
  <c r="I300" i="41"/>
  <c r="I332" i="41"/>
  <c r="I364" i="41"/>
  <c r="I396" i="41"/>
  <c r="I428" i="41"/>
  <c r="I460" i="41"/>
  <c r="I77" i="41"/>
  <c r="I109" i="41"/>
  <c r="I237" i="41"/>
  <c r="I269" i="41"/>
  <c r="I301" i="41"/>
  <c r="I333" i="41"/>
  <c r="I365" i="41"/>
  <c r="I397" i="41"/>
  <c r="I429" i="41"/>
  <c r="I461" i="41"/>
  <c r="I493" i="41"/>
  <c r="I15" i="41"/>
  <c r="I47" i="41"/>
  <c r="I111" i="41"/>
  <c r="I143" i="41"/>
  <c r="I207" i="41"/>
  <c r="I239" i="41"/>
  <c r="I271" i="41"/>
  <c r="I303" i="41"/>
  <c r="I335" i="41"/>
  <c r="I367" i="41"/>
  <c r="I399" i="41"/>
  <c r="I431" i="41"/>
  <c r="I495" i="41"/>
  <c r="I72" i="41"/>
  <c r="I104" i="41"/>
  <c r="I136" i="41"/>
  <c r="I168" i="41"/>
  <c r="I200" i="41"/>
  <c r="I264" i="41"/>
  <c r="I296" i="41"/>
  <c r="I360" i="41"/>
  <c r="I392" i="41"/>
  <c r="I424" i="41"/>
  <c r="I456" i="41"/>
  <c r="I488" i="41"/>
  <c r="I520" i="41"/>
  <c r="I497" i="41"/>
  <c r="I537" i="41"/>
  <c r="I514" i="41"/>
  <c r="I531" i="41"/>
  <c r="I508" i="41"/>
  <c r="I525" i="41"/>
  <c r="I110" i="41"/>
  <c r="I190" i="41"/>
  <c r="I254" i="41"/>
  <c r="I334" i="41"/>
  <c r="I398" i="41"/>
  <c r="I470" i="41"/>
  <c r="I535" i="41"/>
  <c r="I33" i="41"/>
  <c r="I65" i="41"/>
  <c r="I129" i="41"/>
  <c r="I161" i="41"/>
  <c r="I193" i="41"/>
  <c r="I225" i="41"/>
  <c r="I257" i="41"/>
  <c r="I289" i="41"/>
  <c r="I321" i="41"/>
  <c r="I353" i="41"/>
  <c r="I385" i="41"/>
  <c r="I417" i="41"/>
  <c r="I449" i="41"/>
  <c r="I481" i="41"/>
  <c r="I26" i="41"/>
  <c r="I58" i="41"/>
  <c r="I90" i="41"/>
  <c r="I122" i="41"/>
  <c r="I154" i="41"/>
  <c r="I186" i="41"/>
  <c r="I218" i="41"/>
  <c r="I250" i="41"/>
  <c r="I282" i="41"/>
  <c r="I314" i="41"/>
  <c r="I346" i="41"/>
  <c r="I378" i="41"/>
  <c r="I410" i="41"/>
  <c r="I442" i="41"/>
  <c r="I474" i="41"/>
  <c r="I30" i="41"/>
  <c r="I134" i="41"/>
  <c r="I358" i="41"/>
  <c r="I19" i="41"/>
  <c r="I51" i="41"/>
  <c r="I83" i="41"/>
  <c r="I147" i="41"/>
  <c r="I179" i="41"/>
  <c r="I211" i="41"/>
  <c r="I243" i="41"/>
  <c r="I275" i="41"/>
  <c r="I307" i="41"/>
  <c r="I339" i="41"/>
  <c r="I371" i="41"/>
  <c r="I403" i="41"/>
  <c r="I435" i="41"/>
  <c r="I467" i="41"/>
  <c r="I6" i="41"/>
  <c r="I142" i="41"/>
  <c r="I222" i="41"/>
  <c r="I302" i="41"/>
  <c r="I374" i="41"/>
  <c r="I438" i="41"/>
  <c r="I510" i="41"/>
  <c r="I52" i="41"/>
  <c r="I84" i="41"/>
  <c r="I116" i="41"/>
  <c r="I148" i="41"/>
  <c r="I180" i="41"/>
  <c r="I244" i="41"/>
  <c r="I276" i="41"/>
  <c r="I308" i="41"/>
  <c r="I340" i="41"/>
  <c r="I372" i="41"/>
  <c r="I404" i="41"/>
  <c r="I436" i="41"/>
  <c r="I468" i="41"/>
  <c r="I21" i="41"/>
  <c r="I53" i="41"/>
  <c r="I85" i="41"/>
  <c r="I117" i="41"/>
  <c r="I245" i="41"/>
  <c r="I277" i="41"/>
  <c r="I309" i="41"/>
  <c r="I341" i="41"/>
  <c r="I373" i="41"/>
  <c r="I405" i="41"/>
  <c r="I437" i="41"/>
  <c r="I469" i="41"/>
  <c r="I501" i="41"/>
  <c r="L247" i="41"/>
  <c r="I23" i="41"/>
  <c r="I55" i="41"/>
  <c r="I87" i="41"/>
  <c r="I119" i="41"/>
  <c r="I183" i="41"/>
  <c r="I247" i="41"/>
  <c r="I279" i="41"/>
  <c r="I311" i="41"/>
  <c r="I375" i="41"/>
  <c r="I407" i="41"/>
  <c r="I439" i="41"/>
  <c r="I471" i="41"/>
  <c r="I503" i="41"/>
  <c r="I16" i="41"/>
  <c r="I48" i="41"/>
  <c r="I80" i="41"/>
  <c r="I112" i="41"/>
  <c r="I144" i="41"/>
  <c r="I176" i="41"/>
  <c r="I208" i="41"/>
  <c r="I240" i="41"/>
  <c r="I272" i="41"/>
  <c r="I304" i="41"/>
  <c r="I336" i="41"/>
  <c r="I368" i="41"/>
  <c r="I400" i="41"/>
  <c r="I432" i="41"/>
  <c r="I464" i="41"/>
  <c r="I496" i="41"/>
  <c r="I528" i="41"/>
  <c r="I505" i="41"/>
  <c r="I482" i="41"/>
  <c r="I522" i="41"/>
  <c r="I539" i="41"/>
  <c r="I516" i="41"/>
  <c r="I533" i="41"/>
  <c r="I206" i="41"/>
  <c r="I278" i="41"/>
  <c r="I342" i="41"/>
  <c r="I422" i="41"/>
  <c r="I494" i="41"/>
  <c r="I41" i="41"/>
  <c r="I73" i="41"/>
  <c r="I105" i="41"/>
  <c r="I137" i="41"/>
  <c r="I169" i="41"/>
  <c r="I201" i="41"/>
  <c r="I233" i="41"/>
  <c r="I265" i="41"/>
  <c r="I297" i="41"/>
  <c r="I329" i="41"/>
  <c r="I361" i="41"/>
  <c r="I393" i="41"/>
  <c r="I425" i="41"/>
  <c r="I457" i="41"/>
  <c r="I521" i="41"/>
  <c r="I34" i="41"/>
  <c r="I66" i="41"/>
  <c r="I130" i="41"/>
  <c r="I162" i="41"/>
  <c r="I226" i="41"/>
  <c r="I258" i="41"/>
  <c r="I290" i="41"/>
  <c r="I322" i="41"/>
  <c r="I354" i="41"/>
  <c r="I386" i="41"/>
  <c r="I418" i="41"/>
  <c r="I506" i="41"/>
  <c r="I46" i="41"/>
  <c r="I174" i="41"/>
  <c r="I430" i="41"/>
  <c r="I27" i="41"/>
  <c r="I91" i="41"/>
  <c r="I123" i="41"/>
  <c r="I187" i="41"/>
  <c r="I219" i="41"/>
  <c r="I251" i="41"/>
  <c r="I283" i="41"/>
  <c r="I347" i="41"/>
  <c r="I379" i="41"/>
  <c r="I411" i="41"/>
  <c r="I443" i="41"/>
  <c r="I475" i="41"/>
  <c r="I507" i="41"/>
  <c r="I158" i="41"/>
  <c r="I246" i="41"/>
  <c r="I318" i="41"/>
  <c r="I382" i="41"/>
  <c r="I454" i="41"/>
  <c r="I28" i="41"/>
  <c r="I60" i="41"/>
  <c r="I92" i="41"/>
  <c r="I124" i="41"/>
  <c r="I156" i="41"/>
  <c r="I188" i="41"/>
  <c r="I220" i="41"/>
  <c r="I252" i="41"/>
  <c r="I284" i="41"/>
  <c r="I316" i="41"/>
  <c r="I348" i="41"/>
  <c r="I380" i="41"/>
  <c r="I412" i="41"/>
  <c r="I444" i="41"/>
  <c r="I476" i="41"/>
  <c r="I93" i="41"/>
  <c r="I125" i="41"/>
  <c r="I253" i="41"/>
  <c r="I285" i="41"/>
  <c r="I317" i="41"/>
  <c r="I349" i="41"/>
  <c r="I381" i="41"/>
  <c r="I413" i="41"/>
  <c r="I445" i="41"/>
  <c r="I477" i="41"/>
  <c r="I509" i="41"/>
  <c r="I31" i="41"/>
  <c r="I63" i="41"/>
  <c r="I95" i="41"/>
  <c r="I127" i="41"/>
  <c r="I159" i="41"/>
  <c r="I191" i="41"/>
  <c r="I223" i="41"/>
  <c r="I255" i="41"/>
  <c r="I319" i="41"/>
  <c r="I351" i="41"/>
  <c r="I383" i="41"/>
  <c r="I415" i="41"/>
  <c r="I447" i="41"/>
  <c r="I479" i="41"/>
  <c r="I511" i="41"/>
  <c r="I24" i="41"/>
  <c r="I56" i="41"/>
  <c r="I88" i="41"/>
  <c r="I120" i="41"/>
  <c r="I152" i="41"/>
  <c r="I184" i="41"/>
  <c r="I216" i="41"/>
  <c r="I248" i="41"/>
  <c r="I280" i="41"/>
  <c r="I312" i="41"/>
  <c r="I344" i="41"/>
  <c r="I376" i="41"/>
  <c r="I408" i="41"/>
  <c r="I440" i="41"/>
  <c r="I472" i="41"/>
  <c r="I504" i="41"/>
  <c r="I536" i="41"/>
  <c r="I513" i="41"/>
  <c r="I490" i="41"/>
  <c r="I530" i="41"/>
  <c r="I484" i="41"/>
  <c r="I532" i="41"/>
  <c r="I5" i="41"/>
  <c r="I294" i="41"/>
  <c r="I366" i="41"/>
  <c r="I446" i="41"/>
  <c r="I502" i="41"/>
  <c r="I17" i="41"/>
  <c r="I49" i="41"/>
  <c r="I81" i="41"/>
  <c r="I145" i="41"/>
  <c r="I177" i="41"/>
  <c r="I209" i="41"/>
  <c r="I241" i="41"/>
  <c r="I273" i="41"/>
  <c r="I305" i="41"/>
  <c r="I337" i="41"/>
  <c r="I369" i="41"/>
  <c r="I401" i="41"/>
  <c r="I433" i="41"/>
  <c r="I465" i="41"/>
  <c r="I10" i="41"/>
  <c r="I42" i="41"/>
  <c r="I74" i="41"/>
  <c r="I106" i="41"/>
  <c r="I138" i="41"/>
  <c r="I170" i="41"/>
  <c r="I202" i="41"/>
  <c r="I234" i="41"/>
  <c r="I266" i="41"/>
  <c r="I298" i="41"/>
  <c r="I330" i="41"/>
  <c r="I362" i="41"/>
  <c r="I394" i="41"/>
  <c r="I458" i="41"/>
  <c r="I500" i="41"/>
  <c r="I62" i="41"/>
  <c r="I230" i="41"/>
  <c r="I518" i="41"/>
  <c r="I99" i="41"/>
  <c r="I163" i="41"/>
  <c r="I195" i="41"/>
  <c r="I227" i="41"/>
  <c r="I259" i="41"/>
  <c r="I291" i="41"/>
  <c r="I323" i="41"/>
  <c r="I355" i="41"/>
  <c r="I387" i="41"/>
  <c r="I419" i="41"/>
  <c r="I451" i="41"/>
  <c r="I483" i="41"/>
  <c r="I515" i="41"/>
  <c r="I38" i="41"/>
  <c r="I102" i="41"/>
  <c r="I182" i="41"/>
  <c r="I262" i="41"/>
  <c r="I326" i="41"/>
  <c r="I406" i="41"/>
  <c r="I478" i="41"/>
  <c r="I527" i="41"/>
  <c r="I36" i="41"/>
  <c r="I68" i="41"/>
  <c r="I100" i="41"/>
  <c r="I164" i="41"/>
  <c r="I228" i="41"/>
  <c r="I260" i="41"/>
  <c r="I292" i="41"/>
  <c r="I324" i="41"/>
  <c r="I356" i="41"/>
  <c r="I388" i="41"/>
  <c r="I420" i="41"/>
  <c r="I452" i="41"/>
  <c r="I524" i="41"/>
  <c r="I69" i="41"/>
  <c r="I101" i="41"/>
  <c r="I165" i="41"/>
  <c r="I229" i="41"/>
  <c r="I261" i="41"/>
  <c r="I293" i="41"/>
  <c r="I325" i="41"/>
  <c r="I357" i="41"/>
  <c r="I389" i="41"/>
  <c r="I421" i="41"/>
  <c r="I453" i="41"/>
  <c r="I485" i="41"/>
  <c r="I517" i="41"/>
  <c r="L335" i="41"/>
  <c r="L38" i="41"/>
  <c r="L351" i="41"/>
  <c r="L423" i="41"/>
  <c r="L253" i="41"/>
  <c r="L61" i="41"/>
  <c r="L44" i="41"/>
  <c r="L108" i="41"/>
  <c r="L172" i="41"/>
  <c r="L524" i="41"/>
  <c r="L12" i="41"/>
  <c r="L76" i="41"/>
  <c r="L204" i="41"/>
  <c r="L440" i="41"/>
  <c r="L231" i="41"/>
  <c r="L25" i="41"/>
  <c r="L161" i="41"/>
  <c r="L127" i="41"/>
  <c r="L80" i="41"/>
  <c r="L128" i="41"/>
  <c r="L224" i="41"/>
  <c r="L264" i="41"/>
  <c r="L448" i="41"/>
  <c r="L512" i="41"/>
  <c r="L121" i="41"/>
  <c r="L249" i="41"/>
  <c r="L71" i="41"/>
  <c r="L191" i="41"/>
  <c r="L439" i="41"/>
  <c r="L503" i="41"/>
  <c r="L392" i="41"/>
  <c r="L456" i="41"/>
  <c r="L225" i="41"/>
  <c r="L159" i="41"/>
  <c r="L469" i="41"/>
  <c r="L104" i="41"/>
  <c r="L480" i="41"/>
  <c r="L57" i="41"/>
  <c r="L39" i="41"/>
  <c r="L103" i="41"/>
  <c r="L223" i="41"/>
  <c r="L200" i="41"/>
  <c r="L296" i="41"/>
  <c r="L488" i="41"/>
  <c r="L525" i="41"/>
  <c r="L7" i="41"/>
  <c r="L135" i="41"/>
  <c r="L40" i="41"/>
  <c r="L232" i="41"/>
  <c r="L271" i="41"/>
  <c r="L495" i="41"/>
  <c r="L336" i="41"/>
  <c r="L447" i="41"/>
  <c r="L359" i="41"/>
  <c r="L16" i="41"/>
  <c r="L312" i="41"/>
  <c r="L504" i="41"/>
  <c r="L295" i="41"/>
  <c r="L311" i="41"/>
  <c r="L31" i="41"/>
  <c r="L95" i="41"/>
  <c r="L463" i="41"/>
  <c r="L352" i="41"/>
  <c r="L367" i="41"/>
  <c r="L415" i="41"/>
  <c r="L432" i="41"/>
  <c r="L534" i="41"/>
  <c r="L86" i="41"/>
  <c r="L150" i="41"/>
  <c r="L214" i="41"/>
  <c r="L278" i="41"/>
  <c r="L342" i="41"/>
  <c r="L406" i="41"/>
  <c r="L470" i="41"/>
  <c r="L375" i="41"/>
  <c r="L182" i="41"/>
  <c r="L246" i="41"/>
  <c r="L310" i="41"/>
  <c r="L374" i="41"/>
  <c r="L438" i="41"/>
  <c r="L502" i="41"/>
  <c r="L455" i="41"/>
  <c r="L472" i="41"/>
  <c r="L397" i="41"/>
  <c r="L213" i="41"/>
  <c r="L398" i="41"/>
  <c r="L149" i="41"/>
  <c r="L22" i="41"/>
  <c r="L302" i="41"/>
  <c r="L366" i="41"/>
  <c r="L430" i="41"/>
  <c r="L494" i="41"/>
  <c r="L199" i="41"/>
  <c r="L101" i="41"/>
  <c r="L165" i="41"/>
  <c r="L229" i="41"/>
  <c r="L14" i="41"/>
  <c r="L78" i="41"/>
  <c r="L142" i="41"/>
  <c r="L206" i="41"/>
  <c r="L270" i="41"/>
  <c r="L334" i="41"/>
  <c r="L54" i="41"/>
  <c r="L221" i="41"/>
  <c r="L117" i="41"/>
  <c r="L181" i="41"/>
  <c r="L174" i="41"/>
  <c r="L238" i="41"/>
  <c r="L189" i="41"/>
  <c r="L157" i="41"/>
  <c r="L188" i="41"/>
  <c r="L21" i="41"/>
  <c r="L85" i="41"/>
  <c r="L508" i="41"/>
  <c r="L140" i="41"/>
  <c r="L431" i="41"/>
  <c r="L294" i="41"/>
  <c r="L358" i="41"/>
  <c r="L422" i="41"/>
  <c r="L486" i="41"/>
  <c r="L509" i="41"/>
  <c r="L279" i="41"/>
  <c r="L360" i="41"/>
  <c r="L230" i="41"/>
  <c r="L62" i="41"/>
  <c r="L126" i="41"/>
  <c r="L190" i="41"/>
  <c r="L254" i="41"/>
  <c r="L318" i="41"/>
  <c r="L382" i="41"/>
  <c r="L446" i="41"/>
  <c r="L510" i="41"/>
  <c r="L399" i="41"/>
  <c r="L262" i="41"/>
  <c r="L326" i="41"/>
  <c r="L390" i="41"/>
  <c r="L454" i="41"/>
  <c r="L518" i="41"/>
  <c r="L471" i="41"/>
  <c r="L45" i="41"/>
  <c r="L109" i="41"/>
  <c r="L173" i="41"/>
  <c r="L102" i="41"/>
  <c r="L166" i="41"/>
  <c r="L93" i="41"/>
  <c r="L92" i="41"/>
  <c r="L220" i="41"/>
  <c r="L46" i="41"/>
  <c r="L29" i="41"/>
  <c r="L28" i="41"/>
  <c r="L156" i="41"/>
  <c r="L319" i="41"/>
  <c r="L180" i="41"/>
  <c r="L118" i="41"/>
  <c r="L408" i="41"/>
  <c r="L317" i="41"/>
  <c r="L30" i="41"/>
  <c r="L94" i="41"/>
  <c r="L158" i="41"/>
  <c r="L222" i="41"/>
  <c r="L286" i="41"/>
  <c r="L350" i="41"/>
  <c r="L414" i="41"/>
  <c r="L478" i="41"/>
  <c r="L110" i="41"/>
  <c r="L263" i="41"/>
  <c r="L70" i="41"/>
  <c r="L134" i="41"/>
  <c r="L198" i="41"/>
  <c r="L131" i="41"/>
  <c r="L268" i="41"/>
  <c r="L147" i="41"/>
  <c r="L37" i="41"/>
  <c r="L171" i="41"/>
  <c r="L125" i="41"/>
  <c r="L124" i="41"/>
  <c r="L107" i="41"/>
  <c r="L195" i="41"/>
  <c r="L436" i="41"/>
  <c r="L60" i="41"/>
  <c r="L35" i="41"/>
  <c r="L13" i="41"/>
  <c r="L141" i="41"/>
  <c r="L75" i="41"/>
  <c r="L205" i="41"/>
  <c r="L163" i="41"/>
  <c r="L139" i="41"/>
  <c r="L77" i="41"/>
  <c r="L373" i="41"/>
  <c r="L6" i="41"/>
  <c r="L11" i="41"/>
  <c r="L91" i="41"/>
  <c r="L331" i="41"/>
  <c r="L36" i="41"/>
  <c r="L100" i="41"/>
  <c r="L164" i="41"/>
  <c r="L228" i="41"/>
  <c r="L43" i="41"/>
  <c r="L276" i="41"/>
  <c r="L69" i="41"/>
  <c r="L133" i="41"/>
  <c r="L197" i="41"/>
  <c r="L227" i="41"/>
  <c r="L412" i="41"/>
  <c r="L211" i="41"/>
  <c r="L68" i="41"/>
  <c r="L132" i="41"/>
  <c r="L196" i="41"/>
  <c r="L99" i="41"/>
  <c r="L187" i="41"/>
  <c r="L27" i="41"/>
  <c r="L51" i="41"/>
  <c r="L20" i="41"/>
  <c r="L84" i="41"/>
  <c r="L148" i="41"/>
  <c r="L212" i="41"/>
  <c r="L340" i="41"/>
  <c r="L19" i="41"/>
  <c r="L123" i="41"/>
  <c r="L67" i="41"/>
  <c r="L348" i="41"/>
  <c r="L53" i="41"/>
  <c r="L267" i="41"/>
  <c r="L403" i="41"/>
  <c r="L485" i="41"/>
  <c r="L115" i="41"/>
  <c r="L59" i="41"/>
  <c r="L155" i="41"/>
  <c r="L491" i="41"/>
  <c r="L116" i="41"/>
  <c r="L52" i="41"/>
  <c r="L293" i="41"/>
  <c r="L83" i="41"/>
  <c r="L179" i="41"/>
  <c r="O379" i="41"/>
  <c r="B1" i="41"/>
  <c r="O96" i="41"/>
  <c r="O520" i="41"/>
  <c r="O525" i="41"/>
  <c r="O124" i="41"/>
  <c r="O456" i="41"/>
  <c r="O336" i="41"/>
  <c r="O235" i="41"/>
  <c r="O359" i="41"/>
  <c r="O511" i="41"/>
  <c r="O360" i="41"/>
  <c r="O448" i="41"/>
  <c r="O33" i="41"/>
  <c r="O129" i="41"/>
  <c r="O321" i="41"/>
  <c r="O417" i="41"/>
  <c r="O513" i="41"/>
  <c r="O419" i="41"/>
  <c r="O516" i="41"/>
  <c r="O396" i="41"/>
  <c r="O97" i="41"/>
  <c r="O193" i="41"/>
  <c r="O289" i="41"/>
  <c r="O385" i="41"/>
  <c r="O481" i="41"/>
  <c r="O58" i="41"/>
  <c r="O476" i="41"/>
  <c r="O245" i="41"/>
  <c r="O299" i="41"/>
  <c r="O244" i="41"/>
  <c r="O312" i="41"/>
  <c r="O304" i="41"/>
  <c r="O495" i="41"/>
  <c r="O424" i="41"/>
  <c r="O64" i="41"/>
  <c r="O472" i="41"/>
  <c r="O190" i="41"/>
  <c r="O407" i="41"/>
  <c r="O288" i="41"/>
  <c r="O416" i="41"/>
  <c r="O510" i="41"/>
  <c r="O95" i="41"/>
  <c r="O143" i="41"/>
  <c r="O191" i="41"/>
  <c r="O263" i="41"/>
  <c r="O399" i="41"/>
  <c r="O414" i="41"/>
  <c r="O102" i="41"/>
  <c r="O150" i="41"/>
  <c r="O342" i="41"/>
  <c r="O390" i="41"/>
  <c r="O22" i="41"/>
  <c r="O166" i="41"/>
  <c r="O126" i="41"/>
  <c r="O222" i="41"/>
  <c r="O519" i="41"/>
  <c r="O319" i="41"/>
  <c r="O471" i="41"/>
  <c r="O78" i="41"/>
  <c r="O125" i="41"/>
  <c r="O189" i="41"/>
  <c r="O317" i="41"/>
  <c r="O29" i="41"/>
  <c r="O93" i="41"/>
  <c r="O165" i="41"/>
  <c r="O6" i="41"/>
  <c r="O70" i="41"/>
  <c r="O21" i="41"/>
  <c r="O69" i="41"/>
  <c r="O197" i="41"/>
  <c r="O30" i="41"/>
  <c r="O94" i="41"/>
  <c r="O118" i="41"/>
  <c r="O228" i="41"/>
  <c r="O132" i="41"/>
  <c r="O211" i="41"/>
  <c r="O100" i="41"/>
  <c r="O268" i="41"/>
  <c r="O54" i="41"/>
  <c r="O487" i="41"/>
  <c r="O47" i="41"/>
  <c r="O267" i="41"/>
  <c r="O53" i="41"/>
  <c r="O117" i="41"/>
  <c r="O180" i="41"/>
  <c r="O331" i="41"/>
  <c r="O293" i="41"/>
  <c r="O213" i="41"/>
  <c r="O212" i="41"/>
  <c r="O220" i="41"/>
  <c r="O509" i="41"/>
  <c r="O508" i="41"/>
  <c r="O84" i="41"/>
  <c r="O155" i="41"/>
  <c r="O412" i="41"/>
  <c r="O171" i="41"/>
  <c r="O221" i="41"/>
  <c r="O491" i="41"/>
  <c r="O68" i="41"/>
  <c r="O196" i="41"/>
  <c r="O485" i="41"/>
  <c r="O76" i="41"/>
  <c r="O83" i="41"/>
  <c r="O463" i="41"/>
  <c r="O123" i="41"/>
  <c r="O262" i="41"/>
  <c r="O286" i="41"/>
  <c r="O310" i="41"/>
  <c r="O334" i="41"/>
  <c r="O382" i="41"/>
  <c r="O454" i="41"/>
  <c r="O478" i="41"/>
  <c r="O526" i="41"/>
  <c r="O279" i="41"/>
  <c r="O343" i="41"/>
  <c r="O423" i="41"/>
  <c r="O512" i="41"/>
  <c r="O15" i="41"/>
  <c r="O39" i="41"/>
  <c r="O159" i="41"/>
  <c r="O207" i="41"/>
  <c r="O239" i="41"/>
  <c r="O328" i="41"/>
  <c r="O26" i="41"/>
  <c r="O98" i="41"/>
  <c r="O194" i="41"/>
  <c r="O290" i="41"/>
  <c r="O386" i="41"/>
  <c r="O482" i="41"/>
  <c r="O111" i="41"/>
  <c r="O122" i="41"/>
  <c r="O154" i="41"/>
  <c r="O218" i="41"/>
  <c r="O250" i="41"/>
  <c r="O314" i="41"/>
  <c r="O346" i="41"/>
  <c r="O506" i="41"/>
  <c r="O502" i="41"/>
  <c r="O534" i="41"/>
  <c r="O271" i="41"/>
  <c r="O415" i="41"/>
  <c r="O23" i="41"/>
  <c r="O87" i="41"/>
  <c r="O183" i="41"/>
  <c r="O215" i="41"/>
  <c r="O160" i="41"/>
  <c r="O400" i="41"/>
  <c r="O24" i="41"/>
  <c r="O88" i="41"/>
  <c r="O120" i="41"/>
  <c r="O538" i="41"/>
  <c r="O184" i="41"/>
  <c r="O464" i="41"/>
  <c r="O25" i="41"/>
  <c r="O57" i="41"/>
  <c r="O121" i="41"/>
  <c r="O153" i="41"/>
  <c r="O217" i="41"/>
  <c r="O410" i="41"/>
  <c r="O442" i="41"/>
  <c r="O249" i="41"/>
  <c r="O313" i="41"/>
  <c r="O345" i="41"/>
  <c r="O409" i="41"/>
  <c r="O441" i="41"/>
  <c r="O505" i="41"/>
  <c r="O142" i="41"/>
  <c r="O406" i="41"/>
  <c r="O256" i="41"/>
  <c r="O270" i="41"/>
  <c r="O462" i="41"/>
  <c r="O455" i="41"/>
  <c r="O527" i="41"/>
  <c r="O216" i="41"/>
  <c r="O438" i="41"/>
  <c r="O311" i="41"/>
  <c r="O351" i="41"/>
  <c r="O408" i="41"/>
  <c r="O119" i="41"/>
  <c r="O486" i="41"/>
  <c r="O375" i="41"/>
  <c r="O192" i="41"/>
  <c r="O528" i="41"/>
  <c r="O318" i="41"/>
  <c r="O371" i="41"/>
  <c r="O467" i="41"/>
  <c r="O140" i="41"/>
  <c r="O214" i="41"/>
  <c r="O261" i="41"/>
  <c r="O389" i="41"/>
  <c r="O198" i="41"/>
  <c r="O358" i="41"/>
  <c r="O179" i="41"/>
  <c r="O435" i="41"/>
  <c r="O149" i="41"/>
  <c r="O405" i="41"/>
  <c r="O246" i="41"/>
  <c r="O539" i="41"/>
  <c r="O285" i="41"/>
  <c r="O35" i="41"/>
  <c r="O294" i="41"/>
  <c r="O71" i="41"/>
  <c r="O135" i="41"/>
  <c r="O167" i="41"/>
  <c r="O231" i="41"/>
  <c r="O367" i="41"/>
  <c r="O16" i="41"/>
  <c r="O48" i="41"/>
  <c r="O112" i="41"/>
  <c r="O144" i="41"/>
  <c r="O208" i="41"/>
  <c r="O240" i="41"/>
  <c r="O392" i="41"/>
  <c r="O107" i="41"/>
  <c r="O164" i="41"/>
  <c r="O9" i="41"/>
  <c r="O73" i="41"/>
  <c r="O105" i="41"/>
  <c r="O169" i="41"/>
  <c r="O201" i="41"/>
  <c r="O265" i="41"/>
  <c r="O297" i="41"/>
  <c r="O361" i="41"/>
  <c r="O393" i="41"/>
  <c r="O457" i="41"/>
  <c r="O489" i="41"/>
  <c r="O51" i="41"/>
  <c r="O195" i="41"/>
  <c r="O499" i="41"/>
  <c r="O116" i="41"/>
  <c r="O388" i="41"/>
  <c r="O10" i="41"/>
  <c r="O74" i="41"/>
  <c r="O106" i="41"/>
  <c r="O170" i="41"/>
  <c r="O202" i="41"/>
  <c r="O266" i="41"/>
  <c r="O298" i="41"/>
  <c r="O362" i="41"/>
  <c r="O394" i="41"/>
  <c r="O458" i="41"/>
  <c r="O490" i="41"/>
  <c r="O59" i="41"/>
  <c r="O187" i="41"/>
  <c r="O443" i="41"/>
  <c r="O20" i="41"/>
  <c r="O300" i="41"/>
  <c r="O444" i="41"/>
  <c r="O37" i="41"/>
  <c r="O61" i="41"/>
  <c r="O85" i="41"/>
  <c r="O133" i="41"/>
  <c r="O157" i="41"/>
  <c r="O181" i="41"/>
  <c r="O229" i="41"/>
  <c r="O253" i="41"/>
  <c r="O277" i="41"/>
  <c r="O325" i="41"/>
  <c r="O349" i="41"/>
  <c r="O373" i="41"/>
  <c r="O421" i="41"/>
  <c r="O445" i="41"/>
  <c r="O469" i="41"/>
  <c r="O493" i="41"/>
  <c r="O517" i="41"/>
  <c r="O5" i="41"/>
  <c r="O247" i="41"/>
  <c r="O335" i="41"/>
  <c r="O391" i="41"/>
  <c r="O447" i="41"/>
  <c r="O503" i="41"/>
  <c r="O320" i="41"/>
  <c r="O352" i="41"/>
  <c r="O384" i="41"/>
  <c r="O496" i="41"/>
  <c r="O43" i="41"/>
  <c r="O163" i="41"/>
  <c r="O395" i="41"/>
  <c r="O507" i="41"/>
  <c r="O44" i="41"/>
  <c r="O260" i="41"/>
  <c r="O356" i="41"/>
  <c r="O484" i="41"/>
  <c r="O14" i="41"/>
  <c r="O38" i="41"/>
  <c r="O62" i="41"/>
  <c r="O86" i="41"/>
  <c r="O134" i="41"/>
  <c r="O158" i="41"/>
  <c r="O182" i="41"/>
  <c r="O206" i="41"/>
  <c r="O230" i="41"/>
  <c r="O254" i="41"/>
  <c r="O278" i="41"/>
  <c r="O326" i="41"/>
  <c r="O350" i="41"/>
  <c r="O374" i="41"/>
  <c r="O398" i="41"/>
  <c r="O422" i="41"/>
  <c r="O446" i="41"/>
  <c r="O470" i="41"/>
  <c r="O518" i="41"/>
  <c r="O327" i="41"/>
  <c r="O383" i="41"/>
  <c r="O431" i="41"/>
  <c r="O479" i="41"/>
  <c r="O535" i="41"/>
  <c r="O376" i="41"/>
  <c r="O432" i="41"/>
  <c r="O488" i="41"/>
  <c r="O536" i="41"/>
  <c r="O115" i="41"/>
  <c r="O251" i="41"/>
  <c r="O339" i="41"/>
  <c r="O451" i="41"/>
  <c r="O52" i="41"/>
  <c r="O308" i="41"/>
  <c r="O420" i="41"/>
  <c r="O7" i="41"/>
  <c r="O31" i="41"/>
  <c r="O55" i="41"/>
  <c r="O79" i="41"/>
  <c r="O103" i="41"/>
  <c r="O127" i="41"/>
  <c r="O151" i="41"/>
  <c r="O175" i="41"/>
  <c r="O199" i="41"/>
  <c r="O255" i="41"/>
  <c r="O439" i="41"/>
  <c r="O460" i="41"/>
  <c r="O8" i="41"/>
  <c r="O32" i="41"/>
  <c r="O56" i="41"/>
  <c r="O80" i="41"/>
  <c r="O104" i="41"/>
  <c r="O128" i="41"/>
  <c r="O152" i="41"/>
  <c r="O176" i="41"/>
  <c r="O200" i="41"/>
  <c r="O224" i="41"/>
  <c r="O248" i="41"/>
  <c r="O272" i="41"/>
  <c r="O344" i="41"/>
  <c r="O27" i="41"/>
  <c r="O403" i="41"/>
  <c r="O108" i="41"/>
  <c r="O332" i="41"/>
  <c r="O41" i="41"/>
  <c r="O65" i="41"/>
  <c r="O89" i="41"/>
  <c r="O137" i="41"/>
  <c r="O161" i="41"/>
  <c r="O185" i="41"/>
  <c r="O233" i="41"/>
  <c r="O257" i="41"/>
  <c r="O281" i="41"/>
  <c r="O329" i="41"/>
  <c r="O353" i="41"/>
  <c r="O377" i="41"/>
  <c r="O425" i="41"/>
  <c r="O449" i="41"/>
  <c r="O473" i="41"/>
  <c r="O521" i="41"/>
  <c r="O11" i="41"/>
  <c r="O131" i="41"/>
  <c r="O363" i="41"/>
  <c r="O459" i="41"/>
  <c r="O36" i="41"/>
  <c r="O252" i="41"/>
  <c r="O364" i="41"/>
  <c r="O468" i="41"/>
  <c r="O42" i="41"/>
  <c r="O66" i="41"/>
  <c r="O90" i="41"/>
  <c r="O138" i="41"/>
  <c r="O162" i="41"/>
  <c r="O186" i="41"/>
  <c r="O234" i="41"/>
  <c r="O258" i="41"/>
  <c r="O282" i="41"/>
  <c r="O330" i="41"/>
  <c r="O354" i="41"/>
  <c r="O378" i="41"/>
  <c r="O426" i="41"/>
  <c r="O450" i="41"/>
  <c r="O474" i="41"/>
  <c r="O522" i="41"/>
  <c r="O19" i="41"/>
  <c r="O139" i="41"/>
  <c r="O323" i="41"/>
  <c r="O411" i="41"/>
  <c r="O483" i="41"/>
  <c r="O172" i="41"/>
  <c r="O276" i="41"/>
  <c r="O372" i="41"/>
  <c r="O147" i="41"/>
  <c r="O236" i="41"/>
  <c r="O17" i="41"/>
  <c r="O145" i="41"/>
  <c r="O273" i="41"/>
  <c r="O401" i="41"/>
  <c r="O465" i="41"/>
  <c r="O497" i="41"/>
  <c r="O529" i="41"/>
  <c r="O91" i="41"/>
  <c r="O243" i="41"/>
  <c r="O387" i="41"/>
  <c r="O531" i="41"/>
  <c r="O148" i="41"/>
  <c r="O284" i="41"/>
  <c r="O436" i="41"/>
  <c r="O18" i="41"/>
  <c r="O50" i="41"/>
  <c r="O82" i="41"/>
  <c r="O114" i="41"/>
  <c r="O146" i="41"/>
  <c r="O178" i="41"/>
  <c r="O210" i="41"/>
  <c r="O242" i="41"/>
  <c r="O274" i="41"/>
  <c r="O306" i="41"/>
  <c r="O338" i="41"/>
  <c r="O370" i="41"/>
  <c r="O402" i="41"/>
  <c r="O434" i="41"/>
  <c r="O466" i="41"/>
  <c r="O498" i="41"/>
  <c r="O530" i="41"/>
  <c r="O99" i="41"/>
  <c r="O227" i="41"/>
  <c r="O347" i="41"/>
  <c r="O475" i="41"/>
  <c r="O60" i="41"/>
  <c r="O204" i="41"/>
  <c r="O340" i="41"/>
  <c r="O492" i="41"/>
  <c r="O75" i="41"/>
  <c r="O101" i="41"/>
  <c r="O440" i="41"/>
  <c r="O188" i="41"/>
  <c r="O203" i="41"/>
  <c r="O92" i="41"/>
  <c r="O280" i="41"/>
  <c r="O480" i="41"/>
  <c r="O28" i="41"/>
  <c r="O49" i="41"/>
  <c r="O81" i="41"/>
  <c r="O113" i="41"/>
  <c r="O177" i="41"/>
  <c r="O209" i="41"/>
  <c r="O241" i="41"/>
  <c r="O305" i="41"/>
  <c r="O337" i="41"/>
  <c r="O369" i="41"/>
  <c r="O433" i="41"/>
  <c r="O13" i="41"/>
  <c r="O45" i="41"/>
  <c r="O77" i="41"/>
  <c r="O109" i="41"/>
  <c r="O141" i="41"/>
  <c r="O173" i="41"/>
  <c r="O205" i="41"/>
  <c r="O237" i="41"/>
  <c r="O269" i="41"/>
  <c r="O301" i="41"/>
  <c r="O333" i="41"/>
  <c r="O365" i="41"/>
  <c r="O397" i="41"/>
  <c r="O429" i="41"/>
  <c r="O461" i="41"/>
  <c r="O287" i="41"/>
  <c r="O368" i="41"/>
  <c r="O275" i="41"/>
  <c r="O12" i="41"/>
  <c r="O156" i="41"/>
  <c r="O292" i="41"/>
  <c r="O46" i="41"/>
  <c r="O110" i="41"/>
  <c r="O174" i="41"/>
  <c r="O238" i="41"/>
  <c r="O302" i="41"/>
  <c r="O366" i="41"/>
  <c r="O430" i="41"/>
  <c r="O494" i="41"/>
  <c r="O504" i="41"/>
  <c r="O348" i="41"/>
  <c r="O524" i="41"/>
  <c r="O63" i="41"/>
  <c r="O223" i="41"/>
  <c r="O295" i="41"/>
  <c r="O40" i="41"/>
  <c r="O72" i="41"/>
  <c r="O136" i="41"/>
  <c r="O168" i="41"/>
  <c r="O232" i="41"/>
  <c r="O264" i="41"/>
  <c r="O67" i="41"/>
  <c r="O452" i="41"/>
  <c r="N2" i="41"/>
  <c r="M2" i="41"/>
  <c r="K61" i="17"/>
  <c r="K64" i="17" s="1"/>
  <c r="M58" i="17"/>
  <c r="N58" i="17"/>
  <c r="L61" i="17"/>
  <c r="L64" i="17" s="1"/>
  <c r="N57" i="17"/>
  <c r="M57" i="17"/>
  <c r="N60" i="17"/>
  <c r="M60" i="17"/>
  <c r="J61" i="17"/>
  <c r="N59" i="17"/>
  <c r="M59" i="17"/>
  <c r="F2" i="41"/>
  <c r="J2" i="41"/>
  <c r="K2" i="41"/>
  <c r="E2" i="41"/>
  <c r="J63" i="17" l="1"/>
  <c r="J64" i="17"/>
  <c r="I2" i="41"/>
  <c r="O2" i="41"/>
  <c r="N61" i="17"/>
  <c r="M61" i="17"/>
  <c r="L2" i="41"/>
  <c r="G6" i="43" l="1"/>
  <c r="G7" i="43"/>
  <c r="G8" i="43"/>
  <c r="G5" i="43"/>
  <c r="D79" i="43" s="1"/>
  <c r="B51" i="17"/>
  <c r="G63" i="43" l="1"/>
  <c r="G79" i="43"/>
  <c r="F63" i="43"/>
  <c r="F79" i="43"/>
  <c r="E63" i="43"/>
  <c r="E79" i="43"/>
  <c r="D63" i="43"/>
  <c r="D31" i="43"/>
  <c r="G30" i="17"/>
  <c r="G51" i="17"/>
  <c r="G29" i="17"/>
  <c r="G8" i="17"/>
  <c r="G38" i="17"/>
  <c r="D9" i="17"/>
  <c r="C33" i="17"/>
  <c r="D33" i="17"/>
  <c r="G31" i="17"/>
  <c r="F30" i="17"/>
  <c r="G40" i="17"/>
  <c r="G7" i="17"/>
  <c r="C9" i="17"/>
  <c r="G32" i="17"/>
  <c r="C41" i="17"/>
  <c r="F39" i="17"/>
  <c r="B53" i="17"/>
  <c r="G37" i="17"/>
  <c r="G39" i="17"/>
  <c r="B49" i="17"/>
  <c r="F53" i="17" s="1"/>
  <c r="F8" i="17"/>
  <c r="E41" i="17"/>
  <c r="E47" i="17" s="1"/>
  <c r="F38" i="17"/>
  <c r="G45" i="17"/>
  <c r="F32" i="17"/>
  <c r="F7" i="17"/>
  <c r="F29" i="17"/>
  <c r="E33" i="17"/>
  <c r="D53" i="17"/>
  <c r="E53" i="17"/>
  <c r="E9" i="17"/>
  <c r="F31" i="17"/>
  <c r="F45" i="17"/>
  <c r="F40" i="17"/>
  <c r="D41" i="17"/>
  <c r="D47" i="17" s="1"/>
  <c r="F37" i="17"/>
  <c r="F51" i="17"/>
  <c r="F41" i="17" l="1"/>
  <c r="B47" i="17"/>
  <c r="F47" i="17" s="1"/>
  <c r="G41" i="17"/>
  <c r="G47" i="17"/>
  <c r="G33" i="17"/>
  <c r="F33" i="17"/>
  <c r="F9" i="17"/>
  <c r="G9" i="17"/>
  <c r="I5" i="44" l="1"/>
  <c r="I6" i="44"/>
  <c r="I7" i="44"/>
  <c r="I8" i="44"/>
  <c r="I9" i="44"/>
  <c r="I10" i="44"/>
  <c r="I4" i="44"/>
  <c r="H5" i="44"/>
  <c r="H6" i="44"/>
  <c r="H7" i="44"/>
  <c r="H8" i="44"/>
  <c r="H9" i="44"/>
  <c r="H10" i="44"/>
  <c r="H4" i="44"/>
  <c r="C5" i="44"/>
  <c r="D5" i="44"/>
  <c r="E5" i="44"/>
  <c r="F5" i="44"/>
  <c r="C6" i="44"/>
  <c r="D6" i="44"/>
  <c r="E6" i="44"/>
  <c r="F6" i="44"/>
  <c r="C7" i="44"/>
  <c r="D7" i="44"/>
  <c r="E7" i="44"/>
  <c r="F7" i="44"/>
  <c r="C8" i="44"/>
  <c r="D8" i="44"/>
  <c r="E8" i="44"/>
  <c r="F8" i="44"/>
  <c r="C9" i="44"/>
  <c r="D9" i="44"/>
  <c r="E9" i="44"/>
  <c r="F9" i="44"/>
  <c r="C10" i="44"/>
  <c r="D10" i="44"/>
  <c r="E10" i="44"/>
  <c r="F10" i="44"/>
  <c r="F4" i="44"/>
  <c r="E4" i="44"/>
  <c r="D4" i="44"/>
  <c r="C4" i="44"/>
  <c r="G20" i="44" l="1"/>
  <c r="G38" i="3" s="1"/>
  <c r="G29" i="44"/>
  <c r="G47" i="3" s="1"/>
  <c r="G25" i="44"/>
  <c r="G43" i="3" s="1"/>
  <c r="G21" i="44"/>
  <c r="G39" i="3" s="1"/>
  <c r="G26" i="44"/>
  <c r="G44" i="3" s="1"/>
  <c r="G22" i="44"/>
  <c r="G40" i="3" s="1"/>
  <c r="G23" i="44"/>
  <c r="G41" i="3" s="1"/>
  <c r="G27" i="44"/>
  <c r="G45" i="3" s="1"/>
  <c r="G24" i="44"/>
  <c r="G42" i="3" s="1"/>
  <c r="G28" i="44"/>
  <c r="G46" i="3" s="1"/>
  <c r="G19" i="44"/>
  <c r="G37" i="3" s="1"/>
  <c r="G14" i="44"/>
  <c r="G10" i="44"/>
  <c r="G6" i="44"/>
  <c r="G11" i="44"/>
  <c r="G7" i="44"/>
  <c r="G12" i="44"/>
  <c r="G8" i="44"/>
  <c r="G13" i="44"/>
  <c r="G9" i="44"/>
  <c r="G5" i="44"/>
  <c r="G59" i="17" l="1"/>
  <c r="F59" i="17"/>
  <c r="C61" i="17"/>
  <c r="C64" i="17" s="1"/>
  <c r="D61" i="17"/>
  <c r="G60" i="17"/>
  <c r="F60" i="17"/>
  <c r="E61" i="17"/>
  <c r="F57" i="17"/>
  <c r="G57" i="17"/>
  <c r="G58" i="17"/>
  <c r="F58" i="17"/>
  <c r="AS61" i="17" l="1"/>
  <c r="C63" i="17"/>
  <c r="AT61" i="17"/>
  <c r="AU61" i="17"/>
  <c r="G61" i="17"/>
  <c r="F61" i="17"/>
  <c r="AV61" i="17" l="1"/>
  <c r="AW61" i="17"/>
  <c r="H12" i="43"/>
  <c r="D48" i="3" l="1"/>
  <c r="E48" i="3"/>
  <c r="C48" i="3"/>
  <c r="F48" i="3"/>
  <c r="J5" i="44"/>
  <c r="J4" i="44"/>
  <c r="J8" i="44"/>
  <c r="J9" i="44"/>
  <c r="J6" i="44"/>
  <c r="J7" i="44"/>
  <c r="J10" i="44"/>
  <c r="G4" i="44"/>
  <c r="E51" i="3" l="1"/>
  <c r="F51" i="3"/>
  <c r="D51" i="3"/>
  <c r="C51" i="3"/>
  <c r="D31" i="44"/>
  <c r="E31" i="44"/>
  <c r="F31" i="44"/>
  <c r="G30" i="44"/>
  <c r="G15" i="44"/>
  <c r="C16" i="44"/>
  <c r="D16" i="44"/>
  <c r="E16" i="44"/>
  <c r="C31" i="44"/>
  <c r="F16" i="44"/>
  <c r="D64" i="44" l="1"/>
  <c r="C64" i="44"/>
  <c r="E64" i="44"/>
  <c r="F64" i="44"/>
  <c r="G31" i="44"/>
  <c r="G48" i="3"/>
  <c r="G16" i="44"/>
  <c r="G64" i="44" l="1"/>
  <c r="H14" i="43" s="1"/>
  <c r="G51" i="3"/>
  <c r="F14" i="43"/>
  <c r="E14" i="43"/>
  <c r="G14" i="43"/>
  <c r="D14" i="43"/>
  <c r="K46" i="43"/>
  <c r="L52" i="43" s="1"/>
  <c r="K30" i="43"/>
  <c r="L43" i="43" s="1"/>
  <c r="G30" i="43"/>
  <c r="F30" i="43"/>
  <c r="E30" i="43"/>
  <c r="E83" i="3" l="1"/>
  <c r="D83" i="3"/>
  <c r="F83" i="3"/>
  <c r="D15" i="43"/>
  <c r="D81" i="43" s="1"/>
  <c r="G15" i="43"/>
  <c r="G81" i="43" s="1"/>
  <c r="F15" i="43"/>
  <c r="F81" i="43" s="1"/>
  <c r="E15" i="43"/>
  <c r="E81" i="43" s="1"/>
  <c r="F31" i="43"/>
  <c r="E31" i="43"/>
  <c r="F47" i="43"/>
  <c r="E47" i="43"/>
  <c r="H5" i="43"/>
  <c r="D47" i="43"/>
  <c r="H8" i="43"/>
  <c r="G47" i="43"/>
  <c r="G31" i="43"/>
  <c r="J7" i="43"/>
  <c r="H7" i="43"/>
  <c r="J6" i="43"/>
  <c r="H6" i="43"/>
  <c r="L6" i="43" s="1"/>
  <c r="J8" i="43"/>
  <c r="G9" i="43"/>
  <c r="J5" i="43"/>
  <c r="H30" i="43"/>
  <c r="F6" i="43"/>
  <c r="K9" i="43"/>
  <c r="M6" i="43" s="1"/>
  <c r="H63" i="43" l="1"/>
  <c r="H79" i="43"/>
  <c r="E8" i="43"/>
  <c r="L8" i="43"/>
  <c r="E7" i="43"/>
  <c r="L7" i="43"/>
  <c r="E6" i="43"/>
  <c r="L5" i="43"/>
  <c r="E5" i="43"/>
  <c r="G71" i="3"/>
  <c r="C83" i="3"/>
  <c r="H31" i="43"/>
  <c r="H47" i="43"/>
  <c r="H15" i="43"/>
  <c r="H9" i="43"/>
  <c r="I9" i="43" s="1"/>
  <c r="M5" i="43"/>
  <c r="F5" i="43"/>
  <c r="F7" i="43"/>
  <c r="F8" i="43"/>
  <c r="M9" i="43"/>
  <c r="M7" i="43"/>
  <c r="M8" i="43"/>
  <c r="M71" i="3" l="1"/>
  <c r="AS62" i="17"/>
  <c r="J66" i="43"/>
  <c r="L66" i="43" s="1"/>
  <c r="R4" i="71" s="1"/>
  <c r="J70" i="43"/>
  <c r="L70" i="43" s="1"/>
  <c r="J74" i="43"/>
  <c r="L74" i="43" s="1"/>
  <c r="J67" i="43"/>
  <c r="L67" i="43" s="1"/>
  <c r="L71" i="43"/>
  <c r="J75" i="43"/>
  <c r="L75" i="43" s="1"/>
  <c r="L72" i="43"/>
  <c r="J76" i="43"/>
  <c r="L76" i="43" s="1"/>
  <c r="J73" i="43"/>
  <c r="L73" i="43" s="1"/>
  <c r="J69" i="43"/>
  <c r="L69" i="43" s="1"/>
  <c r="I66" i="43"/>
  <c r="J4" i="71" s="1"/>
  <c r="I70" i="43"/>
  <c r="I74" i="43"/>
  <c r="I67" i="43"/>
  <c r="I75" i="43"/>
  <c r="I76" i="43"/>
  <c r="I69" i="43"/>
  <c r="I73" i="43"/>
  <c r="I77" i="43"/>
  <c r="J77" i="43"/>
  <c r="L77" i="43" s="1"/>
  <c r="G83" i="3"/>
  <c r="L36" i="43"/>
  <c r="L53" i="43"/>
  <c r="I37" i="44" s="1"/>
  <c r="I58" i="3" s="1"/>
  <c r="J61" i="43"/>
  <c r="J59" i="43"/>
  <c r="L59" i="43" s="1"/>
  <c r="I43" i="44" s="1"/>
  <c r="I64" i="3" s="1"/>
  <c r="J60" i="43"/>
  <c r="H37" i="44"/>
  <c r="H58" i="3" s="1"/>
  <c r="I61" i="43"/>
  <c r="H38" i="44"/>
  <c r="H59" i="3" s="1"/>
  <c r="H39" i="44"/>
  <c r="H60" i="3" s="1"/>
  <c r="H40" i="44"/>
  <c r="H61" i="3" s="1"/>
  <c r="H41" i="44"/>
  <c r="H62" i="3" s="1"/>
  <c r="H42" i="44"/>
  <c r="H63" i="3" s="1"/>
  <c r="I59" i="43"/>
  <c r="I60" i="43"/>
  <c r="L51" i="43"/>
  <c r="I35" i="44" s="1"/>
  <c r="I56" i="3" s="1"/>
  <c r="I36" i="44"/>
  <c r="L50" i="43"/>
  <c r="H35" i="44"/>
  <c r="H56" i="3" s="1"/>
  <c r="H36" i="44"/>
  <c r="L38" i="43"/>
  <c r="L37" i="43"/>
  <c r="L44" i="43"/>
  <c r="L35" i="43"/>
  <c r="L42" i="43"/>
  <c r="L34" i="43"/>
  <c r="L41" i="43"/>
  <c r="L39" i="43"/>
  <c r="L40" i="43"/>
  <c r="H11" i="44"/>
  <c r="L9" i="43"/>
  <c r="AS63" i="17" l="1"/>
  <c r="AS64" i="17"/>
  <c r="M83" i="3"/>
  <c r="I60" i="44"/>
  <c r="I82" i="3" s="1"/>
  <c r="R15" i="71"/>
  <c r="Y15" i="71" s="1"/>
  <c r="I55" i="44"/>
  <c r="I77" i="3" s="1"/>
  <c r="R10" i="71"/>
  <c r="Y10" i="71" s="1"/>
  <c r="I58" i="44"/>
  <c r="I80" i="3" s="1"/>
  <c r="R13" i="71"/>
  <c r="Y13" i="71" s="1"/>
  <c r="I54" i="44"/>
  <c r="I76" i="3" s="1"/>
  <c r="R9" i="71"/>
  <c r="Y9" i="71" s="1"/>
  <c r="I50" i="44"/>
  <c r="R5" i="71"/>
  <c r="Y5" i="71" s="1"/>
  <c r="I52" i="44"/>
  <c r="I74" i="3" s="1"/>
  <c r="R7" i="71"/>
  <c r="Y7" i="71" s="1"/>
  <c r="I57" i="44"/>
  <c r="I79" i="3" s="1"/>
  <c r="R12" i="71"/>
  <c r="Y12" i="71" s="1"/>
  <c r="I56" i="44"/>
  <c r="I78" i="3" s="1"/>
  <c r="R11" i="71"/>
  <c r="Y11" i="71" s="1"/>
  <c r="I53" i="44"/>
  <c r="I75" i="3" s="1"/>
  <c r="R8" i="71"/>
  <c r="Y8" i="71" s="1"/>
  <c r="I59" i="44"/>
  <c r="I81" i="3" s="1"/>
  <c r="R14" i="71"/>
  <c r="Y14" i="71" s="1"/>
  <c r="Y4" i="71"/>
  <c r="H60" i="44"/>
  <c r="H82" i="3" s="1"/>
  <c r="J15" i="71"/>
  <c r="H50" i="44"/>
  <c r="J5" i="71"/>
  <c r="H54" i="44"/>
  <c r="H76" i="3" s="1"/>
  <c r="J9" i="71"/>
  <c r="H56" i="44"/>
  <c r="H78" i="3" s="1"/>
  <c r="J11" i="71"/>
  <c r="H57" i="44"/>
  <c r="H79" i="3" s="1"/>
  <c r="J12" i="71"/>
  <c r="H52" i="44"/>
  <c r="H74" i="3" s="1"/>
  <c r="J7" i="71"/>
  <c r="H53" i="44"/>
  <c r="H75" i="3" s="1"/>
  <c r="J8" i="71"/>
  <c r="H59" i="44"/>
  <c r="H81" i="3" s="1"/>
  <c r="J14" i="71"/>
  <c r="H55" i="44"/>
  <c r="H77" i="3" s="1"/>
  <c r="J10" i="71"/>
  <c r="H51" i="44"/>
  <c r="H73" i="3" s="1"/>
  <c r="J6" i="71"/>
  <c r="H58" i="44"/>
  <c r="H80" i="3" s="1"/>
  <c r="J13" i="71"/>
  <c r="Q4" i="71"/>
  <c r="Z4" i="71"/>
  <c r="H49" i="44"/>
  <c r="H71" i="3" s="1"/>
  <c r="I49" i="44"/>
  <c r="L68" i="43"/>
  <c r="M77" i="43"/>
  <c r="M76" i="43"/>
  <c r="M72" i="43"/>
  <c r="M71" i="43"/>
  <c r="M67" i="43"/>
  <c r="M69" i="43"/>
  <c r="M74" i="43"/>
  <c r="M73" i="43"/>
  <c r="M70" i="43"/>
  <c r="M66" i="43"/>
  <c r="J78" i="43"/>
  <c r="I78" i="43"/>
  <c r="H45" i="44"/>
  <c r="H66" i="3" s="1"/>
  <c r="H44" i="44"/>
  <c r="H65" i="3" s="1"/>
  <c r="H43" i="44"/>
  <c r="H64" i="3" s="1"/>
  <c r="L57" i="43"/>
  <c r="I41" i="44" s="1"/>
  <c r="I62" i="3" s="1"/>
  <c r="L56" i="43"/>
  <c r="I40" i="44" s="1"/>
  <c r="I61" i="3" s="1"/>
  <c r="L55" i="43"/>
  <c r="I39" i="44" s="1"/>
  <c r="I60" i="3" s="1"/>
  <c r="L61" i="43"/>
  <c r="I45" i="44" s="1"/>
  <c r="I66" i="3" s="1"/>
  <c r="L60" i="43"/>
  <c r="I44" i="44" s="1"/>
  <c r="L58" i="43"/>
  <c r="L54" i="43"/>
  <c r="I38" i="44" s="1"/>
  <c r="I59" i="3" s="1"/>
  <c r="I57" i="3"/>
  <c r="H57" i="3"/>
  <c r="H29" i="44"/>
  <c r="I28" i="44"/>
  <c r="I46" i="3" s="1"/>
  <c r="I34" i="44"/>
  <c r="I55" i="3" s="1"/>
  <c r="H28" i="44"/>
  <c r="H46" i="3" s="1"/>
  <c r="I29" i="44"/>
  <c r="I27" i="44"/>
  <c r="I45" i="3" s="1"/>
  <c r="I25" i="44"/>
  <c r="I26" i="44"/>
  <c r="I44" i="3" s="1"/>
  <c r="H26" i="44"/>
  <c r="H44" i="3" s="1"/>
  <c r="H25" i="44"/>
  <c r="H43" i="3" s="1"/>
  <c r="H27" i="44"/>
  <c r="H45" i="3" s="1"/>
  <c r="H34" i="44"/>
  <c r="H55" i="3" s="1"/>
  <c r="I62" i="43"/>
  <c r="J62" i="43"/>
  <c r="H19" i="44"/>
  <c r="I42" i="3"/>
  <c r="H22" i="44"/>
  <c r="I21" i="44"/>
  <c r="H12" i="44"/>
  <c r="I22" i="44"/>
  <c r="H23" i="44"/>
  <c r="H13" i="44"/>
  <c r="I19" i="44"/>
  <c r="I43" i="3"/>
  <c r="H20" i="44"/>
  <c r="J26" i="52"/>
  <c r="H14" i="44"/>
  <c r="H21" i="44"/>
  <c r="H42" i="3"/>
  <c r="J27" i="52"/>
  <c r="I23" i="44"/>
  <c r="I20" i="44"/>
  <c r="J20" i="52"/>
  <c r="M53" i="43"/>
  <c r="M52" i="43"/>
  <c r="M51" i="43"/>
  <c r="L29" i="43"/>
  <c r="L26" i="43"/>
  <c r="L28" i="43"/>
  <c r="L27" i="43"/>
  <c r="M38" i="43"/>
  <c r="M39" i="43"/>
  <c r="M44" i="43"/>
  <c r="M40" i="43"/>
  <c r="M43" i="43"/>
  <c r="I30" i="43"/>
  <c r="M42" i="43"/>
  <c r="M37" i="43"/>
  <c r="M35" i="43"/>
  <c r="M36" i="43"/>
  <c r="M41" i="43"/>
  <c r="J30" i="43"/>
  <c r="M34" i="43"/>
  <c r="AB62" i="17" l="1"/>
  <c r="AB63" i="17" s="1"/>
  <c r="AA62" i="17"/>
  <c r="AA63" i="17" s="1"/>
  <c r="Z63" i="17"/>
  <c r="Y63" i="17"/>
  <c r="K63" i="17"/>
  <c r="I72" i="3"/>
  <c r="H72" i="3"/>
  <c r="AT62" i="17" s="1"/>
  <c r="AT64" i="17" s="1"/>
  <c r="D62" i="17"/>
  <c r="D64" i="17" s="1"/>
  <c r="J78" i="3"/>
  <c r="J76" i="3"/>
  <c r="J75" i="3"/>
  <c r="J74" i="3"/>
  <c r="J79" i="3"/>
  <c r="J80" i="3"/>
  <c r="J81" i="3"/>
  <c r="J77" i="3"/>
  <c r="J82" i="3"/>
  <c r="J55" i="44"/>
  <c r="J60" i="44"/>
  <c r="I51" i="44"/>
  <c r="I73" i="3" s="1"/>
  <c r="J73" i="3" s="1"/>
  <c r="R6" i="71"/>
  <c r="J57" i="44"/>
  <c r="J52" i="44"/>
  <c r="J50" i="44"/>
  <c r="J16" i="71"/>
  <c r="J59" i="44"/>
  <c r="J54" i="44"/>
  <c r="J58" i="44"/>
  <c r="J56" i="44"/>
  <c r="Q14" i="71"/>
  <c r="Z14" i="71"/>
  <c r="Q11" i="71"/>
  <c r="Z11" i="71"/>
  <c r="Q13" i="71"/>
  <c r="Z13" i="71"/>
  <c r="Q8" i="71"/>
  <c r="Z8" i="71"/>
  <c r="Q9" i="71"/>
  <c r="Z9" i="71"/>
  <c r="J53" i="44"/>
  <c r="Q6" i="71"/>
  <c r="Q7" i="71"/>
  <c r="Z7" i="71"/>
  <c r="Q5" i="71"/>
  <c r="Z5" i="71"/>
  <c r="Q10" i="71"/>
  <c r="Z10" i="71"/>
  <c r="Q12" i="71"/>
  <c r="Z12" i="71"/>
  <c r="Q15" i="71"/>
  <c r="Z15" i="71"/>
  <c r="P55" i="44"/>
  <c r="I71" i="3"/>
  <c r="H61" i="44"/>
  <c r="P54" i="44"/>
  <c r="R54" i="44" s="1"/>
  <c r="J49" i="44"/>
  <c r="I13" i="43"/>
  <c r="I15" i="43" s="1"/>
  <c r="I81" i="43" s="1"/>
  <c r="M68" i="43"/>
  <c r="M75" i="43"/>
  <c r="L78" i="43"/>
  <c r="J43" i="44"/>
  <c r="J44" i="44"/>
  <c r="I65" i="3"/>
  <c r="J45" i="44"/>
  <c r="I42" i="44"/>
  <c r="I63" i="3" s="1"/>
  <c r="M57" i="43"/>
  <c r="M55" i="43"/>
  <c r="M60" i="43"/>
  <c r="M56" i="43"/>
  <c r="M58" i="43"/>
  <c r="M61" i="43"/>
  <c r="M54" i="43"/>
  <c r="M59" i="43"/>
  <c r="L45" i="43" s="1"/>
  <c r="I48" i="3"/>
  <c r="H48" i="3"/>
  <c r="I47" i="3"/>
  <c r="H47" i="3"/>
  <c r="H67" i="3"/>
  <c r="J60" i="3"/>
  <c r="J61" i="3"/>
  <c r="J59" i="3"/>
  <c r="J64" i="3"/>
  <c r="J56" i="3"/>
  <c r="J57" i="3"/>
  <c r="J58" i="3"/>
  <c r="J62" i="3"/>
  <c r="J16" i="44"/>
  <c r="L62" i="43"/>
  <c r="H46" i="44"/>
  <c r="J26" i="44"/>
  <c r="J20" i="44"/>
  <c r="J38" i="44"/>
  <c r="J25" i="44"/>
  <c r="J28" i="44"/>
  <c r="J27" i="44"/>
  <c r="J41" i="44"/>
  <c r="J19" i="44"/>
  <c r="J25" i="52"/>
  <c r="J30" i="52"/>
  <c r="J30" i="44"/>
  <c r="J23" i="44"/>
  <c r="J39" i="44"/>
  <c r="J21" i="44"/>
  <c r="J24" i="52"/>
  <c r="J40" i="44"/>
  <c r="J22" i="44"/>
  <c r="J36" i="44"/>
  <c r="J24" i="44"/>
  <c r="J37" i="44"/>
  <c r="I14" i="44"/>
  <c r="J22" i="52"/>
  <c r="I12" i="44"/>
  <c r="J23" i="52"/>
  <c r="J15" i="44"/>
  <c r="H16" i="52"/>
  <c r="J21" i="52"/>
  <c r="J28" i="52"/>
  <c r="J29" i="52"/>
  <c r="I13" i="44"/>
  <c r="M50" i="43"/>
  <c r="M27" i="43"/>
  <c r="M29" i="43"/>
  <c r="M26" i="43"/>
  <c r="M28" i="43"/>
  <c r="M25" i="43"/>
  <c r="L30" i="43"/>
  <c r="M30" i="43" s="1"/>
  <c r="I31" i="44"/>
  <c r="J29" i="44"/>
  <c r="H16" i="44"/>
  <c r="H31" i="44"/>
  <c r="H64" i="52" l="1"/>
  <c r="E62" i="17"/>
  <c r="E64" i="17" s="1"/>
  <c r="N62" i="17"/>
  <c r="N63" i="17" s="1"/>
  <c r="H83" i="3"/>
  <c r="L63" i="17"/>
  <c r="M62" i="17"/>
  <c r="M63" i="17" s="1"/>
  <c r="R63" i="17"/>
  <c r="J72" i="3"/>
  <c r="U62" i="17"/>
  <c r="U63" i="17" s="1"/>
  <c r="T62" i="17"/>
  <c r="T63" i="17" s="1"/>
  <c r="S63" i="17"/>
  <c r="D63" i="17"/>
  <c r="AU62" i="17"/>
  <c r="AU64" i="17" s="1"/>
  <c r="J51" i="44"/>
  <c r="Y6" i="71"/>
  <c r="R16" i="71"/>
  <c r="Z16" i="71" s="1"/>
  <c r="Z6" i="71"/>
  <c r="Q16" i="71"/>
  <c r="I83" i="3"/>
  <c r="J71" i="3"/>
  <c r="J13" i="43"/>
  <c r="H64" i="44"/>
  <c r="M78" i="43"/>
  <c r="I61" i="44"/>
  <c r="J61" i="44" s="1"/>
  <c r="J42" i="44"/>
  <c r="R55" i="44"/>
  <c r="J66" i="3"/>
  <c r="J65" i="3"/>
  <c r="L46" i="43"/>
  <c r="M46" i="43" s="1"/>
  <c r="M45" i="43"/>
  <c r="M62" i="43"/>
  <c r="H51" i="3"/>
  <c r="AT63" i="17"/>
  <c r="J55" i="3"/>
  <c r="J34" i="44"/>
  <c r="I46" i="44"/>
  <c r="J46" i="44" s="1"/>
  <c r="I16" i="52"/>
  <c r="J31" i="52"/>
  <c r="J35" i="44"/>
  <c r="J12" i="44"/>
  <c r="J14" i="44"/>
  <c r="J11" i="44"/>
  <c r="I16" i="44"/>
  <c r="J13" i="44"/>
  <c r="J31" i="44"/>
  <c r="I64" i="52" l="1"/>
  <c r="J64" i="52" s="1"/>
  <c r="E63" i="17"/>
  <c r="F62" i="17"/>
  <c r="F63" i="17" s="1"/>
  <c r="G62" i="17"/>
  <c r="G63" i="17" s="1"/>
  <c r="J83" i="3"/>
  <c r="Y16" i="71"/>
  <c r="I64" i="44"/>
  <c r="J14" i="43" s="1"/>
  <c r="P56" i="44"/>
  <c r="R56" i="44" s="1"/>
  <c r="AU63" i="17"/>
  <c r="J63" i="3"/>
  <c r="J16" i="52"/>
  <c r="I67" i="3"/>
  <c r="J67" i="3" s="1"/>
  <c r="I15" i="51"/>
  <c r="I14" i="43"/>
  <c r="AV62" i="17" l="1"/>
  <c r="AV63" i="17" s="1"/>
  <c r="AW62" i="17"/>
  <c r="AW63" i="17" s="1"/>
  <c r="J15" i="51"/>
  <c r="J64" i="44"/>
  <c r="J15" i="43" l="1"/>
  <c r="J81" i="43" s="1"/>
  <c r="D16" i="3"/>
  <c r="F16" i="3"/>
  <c r="E16" i="3"/>
  <c r="C16" i="3" l="1"/>
  <c r="G16" i="3" l="1"/>
  <c r="H16" i="3" l="1"/>
  <c r="I16" i="3" l="1"/>
  <c r="J16" i="3" l="1"/>
  <c r="K16" i="3" s="1"/>
  <c r="J39" i="3" l="1"/>
  <c r="I51" i="3"/>
  <c r="J38" i="3"/>
  <c r="J40" i="3" l="1"/>
  <c r="J37" i="3"/>
  <c r="J47" i="3" l="1"/>
  <c r="J43" i="3"/>
  <c r="J45" i="3" l="1"/>
  <c r="J46" i="3"/>
  <c r="J44" i="3"/>
  <c r="J48" i="3"/>
  <c r="J42" i="3"/>
  <c r="J41" i="3"/>
  <c r="J51" i="3" l="1"/>
  <c r="F7" i="67"/>
  <c r="F8" i="6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R44" authorId="0" shapeId="0" xr:uid="{8F3B345B-9F13-48EA-B138-4E66926816BF}">
      <text>
        <r>
          <rPr>
            <b/>
            <sz val="9"/>
            <color indexed="81"/>
            <rFont val="Tahoma"/>
            <family val="2"/>
            <charset val="204"/>
          </rPr>
          <t>13,54  разница проданных квартир по старой S</t>
        </r>
      </text>
    </comment>
    <comment ref="B46" authorId="0" shapeId="0" xr:uid="{F074B9EC-BCD8-4D99-8945-8C1D1C1CE8BC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I46" authorId="0" shapeId="0" xr:uid="{2F2AC47B-A409-4A53-A1D6-E1F90BEE2AC2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P46" authorId="0" shapeId="0" xr:uid="{E8B61F13-9031-46B4-82CA-B3EFECA664C1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W46" authorId="0" shapeId="0" xr:uid="{7367BC3B-8E66-4713-B2DD-7C38C3A446F9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D46" authorId="0" shapeId="0" xr:uid="{1862BD9C-3445-4F80-955D-28ACB135F3F2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K46" authorId="0" shapeId="0" xr:uid="{FCC640AE-FD8C-443A-B08D-22CEB104F4C9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R46" authorId="0" shapeId="0" xr:uid="{946D6E34-1D8E-4EB9-B70A-AB94191DC87D}">
      <text>
        <r>
          <rPr>
            <sz val="14"/>
            <color indexed="81"/>
            <rFont val="Tahoma"/>
            <family val="2"/>
            <charset val="204"/>
          </rPr>
          <t xml:space="preserve">Отклонения между ПП и реестром ДДУ указывает на разницу в сумме и площади реестров. Таким образом можно выявить расхождения и устранить их.
</t>
        </r>
        <r>
          <rPr>
            <b/>
            <sz val="14"/>
            <color indexed="81"/>
            <rFont val="Tahoma"/>
            <family val="2"/>
            <charset val="204"/>
          </rPr>
          <t>В конечном итоге  все значения должны быть равны 0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H40" authorId="0" shapeId="0" xr:uid="{E86B995E-45FE-48AB-B0C0-0B6BFE2574EA}">
      <text>
        <r>
          <rPr>
            <b/>
            <sz val="9"/>
            <color indexed="81"/>
            <rFont val="Tahoma"/>
            <family val="2"/>
            <charset val="204"/>
          </rPr>
          <t>2,13 разница в пл после обмеров дом 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P33" authorId="0" shapeId="0" xr:uid="{63979867-1443-4AE0-877F-75A323C2282F}">
      <text>
        <r>
          <rPr>
            <b/>
            <sz val="9"/>
            <color indexed="81"/>
            <rFont val="Tahoma"/>
            <family val="2"/>
            <charset val="204"/>
          </rPr>
          <t>Свободно + 0,5 брони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7E2D7F9A-2F4B-446D-954C-5630CE1D6BD6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7CF3AF9B-FDA1-439A-B4F4-95AAADAD4F76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46C8348C-7D9F-49C6-9C48-C603CF3900F8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8" authorId="0" shapeId="0" xr:uid="{62C0DC0C-6142-4EE7-A0AE-A60F5FD3A473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34" authorId="0" shapeId="0" xr:uid="{B32D9988-DF0E-4447-B5FD-0B8BB7B74A65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50" authorId="0" shapeId="0" xr:uid="{F4351273-C803-4910-A0C2-1A7DB2CA430E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66" authorId="0" shapeId="0" xr:uid="{038C8B65-4FB9-41DA-8BB7-0E547A9BFADE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6544A610-E0EA-4E64-A027-827941039169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658C3E1D-1195-4A4F-9D89-643D6C72CC4F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1C7613B8-1D49-47D1-A01C-F2D2315FF6F4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8" authorId="0" shapeId="0" xr:uid="{4EC2F3C8-40F5-407A-A71D-A5694DBE5DC0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34" authorId="0" shapeId="0" xr:uid="{7D3A1E2F-34CE-4EF8-B899-8EAB157E5F0C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50" authorId="0" shapeId="0" xr:uid="{EB2951E9-7F07-48B3-939F-5164E43960F8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66" authorId="0" shapeId="0" xr:uid="{C72DC7EA-D5D9-46D9-AE1F-7A4EB4CEECE9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6A476393-ADB1-4BEC-843F-65C718160E13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D42B5730-41D2-4466-BBD5-F76D83E19A56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F815BDF2-5779-478F-9AF6-48D650FF0B25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9" authorId="0" shapeId="0" xr:uid="{BFC26EB2-FB55-46EB-8E84-4846ED89D7A9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35" authorId="0" shapeId="0" xr:uid="{5F4D994F-DF72-4D2C-B991-4E4E04A805CF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51" authorId="0" shapeId="0" xr:uid="{C813DE79-E5BE-4801-997F-72524DCDE616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67" authorId="0" shapeId="0" xr:uid="{24B28F45-95F4-4140-A400-097A31E8EE9A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8955320E-7F97-478E-A8EF-9DBFD662D503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7384C5CD-532E-4CFF-9A21-E3B8E91D13D8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0B4E6EF7-C4AE-4782-B630-297851FF3EF1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J18" authorId="0" shapeId="0" xr:uid="{5B97CD6B-C7CD-480F-90B4-240D7DAE8D48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J34" authorId="0" shapeId="0" xr:uid="{FF3C1616-BCBD-458B-9EFE-5587BDF6DFC3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J50" authorId="0" shapeId="0" xr:uid="{7829312C-CFBC-4DB5-A0CD-9C3D082B9666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462FB046-4046-43C0-B4C7-351F0B3F1BCF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5FCFA765-8E58-4744-A716-FCE5FAC8504D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1358B695-5F53-4324-8BAA-1F39B06BEB3A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9" authorId="0" shapeId="0" xr:uid="{1A706664-0489-4C0D-AADC-3A068D2E9B68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стоимости
</t>
        </r>
      </text>
    </comment>
    <comment ref="K35" authorId="0" shapeId="0" xr:uid="{1A408CD1-2BC3-4FEB-84C1-97A220E3F867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стоимости
</t>
        </r>
      </text>
    </comment>
    <comment ref="K51" authorId="0" shapeId="0" xr:uid="{3EC4F3B4-3436-4A7C-817B-D84DE387CA26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стоимости
</t>
        </r>
      </text>
    </comment>
    <comment ref="K67" authorId="0" shapeId="0" xr:uid="{57202B6E-2BA4-426A-8777-2EE4734E859C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стоимости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4" authorId="0" shapeId="0" xr:uid="{00000000-0006-0000-1000-000001000000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4" authorId="0" shapeId="0" xr:uid="{00000000-0006-0000-1000-000002000000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4" authorId="0" shapeId="0" xr:uid="{4E8A8FEA-BE94-4D45-A5DE-E71FBF3D3917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7" authorId="0" shapeId="0" xr:uid="{00000000-0006-0000-1000-000004000000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33" authorId="0" shapeId="0" xr:uid="{00000000-0006-0000-1000-000005000000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49" authorId="0" shapeId="0" xr:uid="{3204F689-68D3-45F5-9BBD-EFCD7513BF02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65" authorId="0" shapeId="0" xr:uid="{39D90343-85D3-45DE-9788-D2AA430E1BAB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B3" authorId="0" shapeId="0" xr:uid="{ABFCB94A-F514-4D79-9899-CFAA10734593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D3" authorId="0" shapeId="0" xr:uid="{847A53F0-C869-4C63-9A04-6B7DBED3A983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E3" authorId="0" shapeId="0" xr:uid="{BD6545EE-BBE4-4C36-BC14-CFDE18513DF1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Астахов Максим Александрович</author>
  </authors>
  <commentList>
    <comment ref="C5" authorId="0" shapeId="0" xr:uid="{4A15C284-5FA3-4D6E-A885-B27E9BB81093}">
      <text>
        <r>
          <rPr>
            <b/>
            <sz val="9"/>
            <color indexed="81"/>
            <rFont val="Tahoma"/>
            <family val="2"/>
            <charset val="204"/>
          </rPr>
          <t>Формула:</t>
        </r>
        <r>
          <rPr>
            <sz val="9"/>
            <color indexed="81"/>
            <rFont val="Tahoma"/>
            <family val="2"/>
            <charset val="204"/>
          </rPr>
          <t xml:space="preserve">
Общая площадь по типу ОН в доме - площадь проданных ОН
</t>
        </r>
      </text>
    </comment>
    <comment ref="E5" authorId="0" shapeId="0" xr:uid="{64124B11-5479-450A-B512-35B7052F4EAE}">
      <text>
        <r>
          <rPr>
            <b/>
            <sz val="9"/>
            <color indexed="81"/>
            <rFont val="Tahoma"/>
            <family val="2"/>
            <charset val="204"/>
          </rPr>
          <t>Формула
Сумма площадей / на кол-во остатков</t>
        </r>
      </text>
    </comment>
    <comment ref="G5" authorId="0" shapeId="0" xr:uid="{D09A6896-DB3D-48AF-844F-284797765BCA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Для корректного подсчета остатков необходимо указать 1 число месяца после чего разнести отклонения </t>
        </r>
      </text>
    </comment>
    <comment ref="K18" authorId="0" shapeId="0" xr:uid="{501C969C-BD86-4582-B93F-B8EAF04CF03E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34" authorId="0" shapeId="0" xr:uid="{F827A0FB-1968-489C-B473-49F839858DF2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50" authorId="0" shapeId="0" xr:uid="{13F084C3-9FB5-4CFE-AF20-200C259AFC7B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  <comment ref="K66" authorId="0" shapeId="0" xr:uid="{BEF8E626-EA92-4C7D-A1BD-F063512ACFD8}">
      <text>
        <r>
          <rPr>
            <b/>
            <sz val="9"/>
            <color indexed="81"/>
            <rFont val="Tahoma"/>
            <family val="2"/>
            <charset val="204"/>
          </rPr>
          <t>Астахов Максим Александрович:</t>
        </r>
        <r>
          <rPr>
            <sz val="9"/>
            <color indexed="81"/>
            <rFont val="Tahoma"/>
            <family val="2"/>
            <charset val="204"/>
          </rPr>
          <t xml:space="preserve">
!Использовать только для планирования изменения стоимость
после согласования результатов планирования поле очистить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A32502-C8D3-46B3-B3E2-FA5ED510321B}" keepAlive="1" name="Запрос — Д401" description="Соединение с запросом &quot;Д401&quot; в книге." type="5" refreshedVersion="8" background="1" saveData="1">
    <dbPr connection="Provider=Microsoft.Mashup.OleDb.1;Data Source=$Workbook$;Location=Д401;Extended Properties=&quot;&quot;" command="SELECT * FROM [Д401]"/>
  </connection>
  <connection id="2" xr16:uid="{4BDFD81B-C8CE-4ABF-A8A9-6F567D804B9F}" keepAlive="1" name="Запрос — Д402" description="Соединение с запросом &quot;Д402&quot; в книге." type="5" refreshedVersion="8" background="1" saveData="1">
    <dbPr connection="Provider=Microsoft.Mashup.OleDb.1;Data Source=$Workbook$;Location=Д402;Extended Properties=&quot;&quot;" command="SELECT * FROM [Д402]"/>
  </connection>
  <connection id="3" xr16:uid="{63463067-6EFC-49BF-8551-AD175553F92E}" keepAlive="1" name="Запрос — Д403" description="Соединение с запросом &quot;Д403&quot; в книге." type="5" refreshedVersion="8" background="1" saveData="1">
    <dbPr connection="Provider=Microsoft.Mashup.OleDb.1;Data Source=$Workbook$;Location=Д403;Extended Properties=&quot;&quot;" command="SELECT * FROM [Д403]"/>
  </connection>
  <connection id="4" xr16:uid="{B04699AB-491B-4729-864E-35C0A6872F80}" keepAlive="1" name="Запрос — Д404" description="Соединение с запросом &quot;Д404&quot; в книге." type="5" refreshedVersion="8" background="1" saveData="1">
    <dbPr connection="Provider=Microsoft.Mashup.OleDb.1;Data Source=$Workbook$;Location=Д404;Extended Properties=&quot;&quot;" command="SELECT * FROM [Д404]"/>
  </connection>
  <connection id="5" xr16:uid="{C9C3FDBF-9885-4AA1-BE39-2A76243DBFC2}" keepAlive="1" name="Запрос — Коммерция" description="Соединение с запросом &quot;Коммерция&quot; в книге." type="5" refreshedVersion="8" background="1" saveData="1">
    <dbPr connection="Provider=Microsoft.Mashup.OleDb.1;Data Source=$Workbook$;Location=Коммерция;Extended Properties=&quot;&quot;" command="SELECT * FROM [Коммерция]"/>
  </connection>
  <connection id="6" xr16:uid="{5B02676A-C74D-46F0-BA48-0AAEDE7CA835}" keepAlive="1" name="Запрос — РД" description="Соединение с запросом &quot;РД&quot; в книге." type="5" refreshedVersion="8" background="1" saveData="1">
    <dbPr connection="Provider=Microsoft.Mashup.OleDb.1;Data Source=$Workbook$;Location=РД;Extended Properties=&quot;&quot;" command="SELECT * FROM [РД]"/>
  </connection>
  <connection id="7" xr16:uid="{2E38F0BD-2068-47EB-A2CE-1FE72A76FA41}" keepAlive="1" name="Запрос — Реестр Д4" description="Соединение с запросом &quot;Реестр Д4&quot; в книге." type="5" refreshedVersion="8" background="1" saveData="1">
    <dbPr connection="Provider=Microsoft.Mashup.OleDb.1;Data Source=$Workbook$;Location=&quot;Реестр Д4&quot;;Extended Properties=&quot;&quot;" command="SELECT * FROM [Реестр Д4]"/>
  </connection>
  <connection id="8" xr16:uid="{526FE907-ACE6-4720-9A76-E9A4AD8C5A10}" keepAlive="1" name="Запрос — Реестр Д5" description="Соединение с запросом &quot;Реестр Д5&quot; в книге." type="5" refreshedVersion="8" background="1" saveData="1">
    <dbPr connection="Provider=Microsoft.Mashup.OleDb.1;Data Source=$Workbook$;Location=&quot;Реестр Д5&quot;;Extended Properties=&quot;&quot;" command="SELECT * FROM [Реестр Д5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<sst xmlns="http://schemas.openxmlformats.org/spreadsheetml/2006/main" count="82292" uniqueCount="9119">
  <si>
    <t>Период</t>
  </si>
  <si>
    <t>Отклонение</t>
  </si>
  <si>
    <t>ФАКТ</t>
  </si>
  <si>
    <t>Свободно</t>
  </si>
  <si>
    <t>Студия</t>
  </si>
  <si>
    <t>Б</t>
  </si>
  <si>
    <t>А</t>
  </si>
  <si>
    <t>Статусы CRM</t>
  </si>
  <si>
    <t>Статус</t>
  </si>
  <si>
    <t>Отделка</t>
  </si>
  <si>
    <t>№</t>
  </si>
  <si>
    <t>Сумма площадей по комнатнасти</t>
  </si>
  <si>
    <t>Сумма стоимости по комнатности</t>
  </si>
  <si>
    <t>Е</t>
  </si>
  <si>
    <t>Д</t>
  </si>
  <si>
    <t>Г</t>
  </si>
  <si>
    <t>В</t>
  </si>
  <si>
    <t>Ср. цена м</t>
  </si>
  <si>
    <t>Итого по 2021</t>
  </si>
  <si>
    <t>Дом 2</t>
  </si>
  <si>
    <t>Дом 1</t>
  </si>
  <si>
    <t>4 комн</t>
  </si>
  <si>
    <t>1 комн</t>
  </si>
  <si>
    <t>2 комн</t>
  </si>
  <si>
    <t>3 комн</t>
  </si>
  <si>
    <t>Итого в шт</t>
  </si>
  <si>
    <t>План</t>
  </si>
  <si>
    <t>Дом 3</t>
  </si>
  <si>
    <t>СВОД все дома 2021</t>
  </si>
  <si>
    <t>Итого по 2022</t>
  </si>
  <si>
    <t>Итого по 2023</t>
  </si>
  <si>
    <t>СВОД все дома 2022</t>
  </si>
  <si>
    <t>Тип кв</t>
  </si>
  <si>
    <t>Общая стоимость ОН</t>
  </si>
  <si>
    <t>Все</t>
  </si>
  <si>
    <t>Стр. Резерв</t>
  </si>
  <si>
    <t>Черновая</t>
  </si>
  <si>
    <t>Предчистовая</t>
  </si>
  <si>
    <t>Чистовая</t>
  </si>
  <si>
    <t>Продажа</t>
  </si>
  <si>
    <t>Секция</t>
  </si>
  <si>
    <t>Этаж</t>
  </si>
  <si>
    <t>1</t>
  </si>
  <si>
    <t>2</t>
  </si>
  <si>
    <t>3</t>
  </si>
  <si>
    <t>4</t>
  </si>
  <si>
    <t>Стоимость отделки</t>
  </si>
  <si>
    <t>Цена м2 с отделкой</t>
  </si>
  <si>
    <t>Стоимость квартиры с отделкой</t>
  </si>
  <si>
    <t>остаток:</t>
  </si>
  <si>
    <t>Остатки на</t>
  </si>
  <si>
    <t>Площадь</t>
  </si>
  <si>
    <t>Стоимость</t>
  </si>
  <si>
    <t>Остатки</t>
  </si>
  <si>
    <t>К реализации</t>
  </si>
  <si>
    <t>Скидка</t>
  </si>
  <si>
    <t>Примечание</t>
  </si>
  <si>
    <t>Да</t>
  </si>
  <si>
    <t>Стоимость ОН</t>
  </si>
  <si>
    <t>Итого</t>
  </si>
  <si>
    <t>Предчистовая отделка в подарок</t>
  </si>
  <si>
    <t>Весь период</t>
  </si>
  <si>
    <t>Комментарий</t>
  </si>
  <si>
    <t>Статус CRM</t>
  </si>
  <si>
    <t>Сумма скидки</t>
  </si>
  <si>
    <t>Проверка статуса</t>
  </si>
  <si>
    <t>Общая реализация дома</t>
  </si>
  <si>
    <t>Сверка</t>
  </si>
  <si>
    <t>Доли продаж</t>
  </si>
  <si>
    <t>Продано шт</t>
  </si>
  <si>
    <t>Остаток шт</t>
  </si>
  <si>
    <t>Всегошт</t>
  </si>
  <si>
    <t>Площади</t>
  </si>
  <si>
    <t>S ДДУ</t>
  </si>
  <si>
    <t>S ПП</t>
  </si>
  <si>
    <t>Площадь
комната 1</t>
  </si>
  <si>
    <t>Площадь
комната 2</t>
  </si>
  <si>
    <t>Площадь
комната 3</t>
  </si>
  <si>
    <t>Площадь
кухни</t>
  </si>
  <si>
    <t>Площадь
ванная</t>
  </si>
  <si>
    <t>Площадь
с\у</t>
  </si>
  <si>
    <t>гардеробная</t>
  </si>
  <si>
    <t>Площадь
вх группа</t>
  </si>
  <si>
    <t>Площадь
Лоджии</t>
  </si>
  <si>
    <t>Площадь
2 Лоджии</t>
  </si>
  <si>
    <t>Летние</t>
  </si>
  <si>
    <t>Скидка %</t>
  </si>
  <si>
    <t>Цена м2 без отделки со скидкой</t>
  </si>
  <si>
    <t>Стоимость ОН без отделки со скидкой</t>
  </si>
  <si>
    <t>Сумма отделки</t>
  </si>
  <si>
    <t>ОН ХИТ</t>
  </si>
  <si>
    <t>Дом 4</t>
  </si>
  <si>
    <t>ТИП ОН</t>
  </si>
  <si>
    <t>Свод ПП</t>
  </si>
  <si>
    <t>Продано по реестру договоров</t>
  </si>
  <si>
    <t>S</t>
  </si>
  <si>
    <t>ШТ</t>
  </si>
  <si>
    <t>Ср. цена м2</t>
  </si>
  <si>
    <t>Ср. стоимость ОН</t>
  </si>
  <si>
    <t>Общая стоимость</t>
  </si>
  <si>
    <t>% остатков по стоимости</t>
  </si>
  <si>
    <t>% остатков по м2</t>
  </si>
  <si>
    <t>Средняя цена ОН</t>
  </si>
  <si>
    <t xml:space="preserve">Cредняя S </t>
  </si>
  <si>
    <t>Расчет площадей</t>
  </si>
  <si>
    <t>Расчет стоимости</t>
  </si>
  <si>
    <t>Доля продаж</t>
  </si>
  <si>
    <t>Стоимость с повышением</t>
  </si>
  <si>
    <t>% Повышения</t>
  </si>
  <si>
    <t>Всего шт</t>
  </si>
  <si>
    <t>Остаток</t>
  </si>
  <si>
    <t>S Сверка</t>
  </si>
  <si>
    <t>Цена по фактическим обмерам. Клиент Без доплат</t>
  </si>
  <si>
    <t>Расчетная проектная площадь</t>
  </si>
  <si>
    <t>Скидка фиксированная</t>
  </si>
  <si>
    <t>Итоговая сумма скидки</t>
  </si>
  <si>
    <t>Проверка</t>
  </si>
  <si>
    <t>№ кв</t>
  </si>
  <si>
    <t>Дата расторжения</t>
  </si>
  <si>
    <t>1/2-22/292</t>
  </si>
  <si>
    <t>Окунев</t>
  </si>
  <si>
    <t>100%</t>
  </si>
  <si>
    <t>1/1-02/001</t>
  </si>
  <si>
    <t>Овчинникова</t>
  </si>
  <si>
    <t>Рассрочка</t>
  </si>
  <si>
    <t>1/1-06/042</t>
  </si>
  <si>
    <t>Никишов</t>
  </si>
  <si>
    <t>1/1-09/072</t>
  </si>
  <si>
    <t>1/1-13/117</t>
  </si>
  <si>
    <t>1/2-21/288</t>
  </si>
  <si>
    <t>Калачева</t>
  </si>
  <si>
    <t>1/1-16/147</t>
  </si>
  <si>
    <t>1/2-23/301</t>
  </si>
  <si>
    <t>1/1-08/069</t>
  </si>
  <si>
    <t>1/2-09/201</t>
  </si>
  <si>
    <t>Интернет</t>
  </si>
  <si>
    <t>1/2-09/203</t>
  </si>
  <si>
    <t>Ипотека</t>
  </si>
  <si>
    <t>Французова</t>
  </si>
  <si>
    <t>1/2-23/302</t>
  </si>
  <si>
    <t>1/3-02/314</t>
  </si>
  <si>
    <t>Кагирова</t>
  </si>
  <si>
    <t>1/2-24-307</t>
  </si>
  <si>
    <t>1/2-19/275</t>
  </si>
  <si>
    <t>1/2-20/280</t>
  </si>
  <si>
    <t>1/1-05/031</t>
  </si>
  <si>
    <t>Сайт</t>
  </si>
  <si>
    <t>1/2-18/264</t>
  </si>
  <si>
    <t>1/2-17/257</t>
  </si>
  <si>
    <t>1/1-08/067</t>
  </si>
  <si>
    <t>1/3-03/322</t>
  </si>
  <si>
    <t>1/1-11/092</t>
  </si>
  <si>
    <t>1/1-04/021</t>
  </si>
  <si>
    <t>1/3-07/355</t>
  </si>
  <si>
    <t>1/1-07/054</t>
  </si>
  <si>
    <t>1/2-21/287</t>
  </si>
  <si>
    <t>1/1-15/134</t>
  </si>
  <si>
    <t>1/2-07/186</t>
  </si>
  <si>
    <t>1/2-23/300</t>
  </si>
  <si>
    <t>1/2-16/252</t>
  </si>
  <si>
    <t>1/2-02/154</t>
  </si>
  <si>
    <t>1/1-06/045</t>
  </si>
  <si>
    <t>Астафурова</t>
  </si>
  <si>
    <t>1/1-07/056</t>
  </si>
  <si>
    <t>1/2-17/260</t>
  </si>
  <si>
    <t>1/3-04/335</t>
  </si>
  <si>
    <t>1/2-15/243</t>
  </si>
  <si>
    <t>1/1-09/075</t>
  </si>
  <si>
    <t>1/2-21/290</t>
  </si>
  <si>
    <t>1/2-12/222</t>
  </si>
  <si>
    <t>1/3-06/351</t>
  </si>
  <si>
    <t>1/3-05/338</t>
  </si>
  <si>
    <t>1/2-05/175</t>
  </si>
  <si>
    <t>1/2-05/174</t>
  </si>
  <si>
    <t>1/2-19/273</t>
  </si>
  <si>
    <t>1/1-15/138</t>
  </si>
  <si>
    <t>1/2-24/308</t>
  </si>
  <si>
    <t>1/1-04/025</t>
  </si>
  <si>
    <t>1/1-04/027</t>
  </si>
  <si>
    <t>1/1-07/058</t>
  </si>
  <si>
    <t>1/1-05/034</t>
  </si>
  <si>
    <t>1/2-08/195</t>
  </si>
  <si>
    <t>1/3-03/320</t>
  </si>
  <si>
    <t>1/1-08/064</t>
  </si>
  <si>
    <t>1/2-19/274</t>
  </si>
  <si>
    <t>1/3-02/315</t>
  </si>
  <si>
    <t>1/3-02/312</t>
  </si>
  <si>
    <t>1/2-22/297</t>
  </si>
  <si>
    <t>1/1-02/004</t>
  </si>
  <si>
    <t>1/3-02/316</t>
  </si>
  <si>
    <t>1/1-08/062</t>
  </si>
  <si>
    <t>1/2-24/311</t>
  </si>
  <si>
    <t>1/1-08/066</t>
  </si>
  <si>
    <t>1/1-10/084</t>
  </si>
  <si>
    <t>1/2-07/188</t>
  </si>
  <si>
    <t>1/1-03/012</t>
  </si>
  <si>
    <t>1/1-03/011</t>
  </si>
  <si>
    <t>1/1-08/061</t>
  </si>
  <si>
    <t>1/2-19/270</t>
  </si>
  <si>
    <t>1/1-07/059</t>
  </si>
  <si>
    <t>1/1-02/010</t>
  </si>
  <si>
    <t>1/2-03/164</t>
  </si>
  <si>
    <t>1/1-16/144</t>
  </si>
  <si>
    <t>1/1-13/111</t>
  </si>
  <si>
    <t>1/2-19/276</t>
  </si>
  <si>
    <t>1/2-05/176</t>
  </si>
  <si>
    <t>1/1-07/060</t>
  </si>
  <si>
    <t>1/2-07/187</t>
  </si>
  <si>
    <t>1/3-06/346</t>
  </si>
  <si>
    <t>1/2-18/266</t>
  </si>
  <si>
    <t>1/2-17/261</t>
  </si>
  <si>
    <t>1/2-22/291</t>
  </si>
  <si>
    <t>1/2-03/163</t>
  </si>
  <si>
    <t>1/2-18/268</t>
  </si>
  <si>
    <t>1/2-14/238</t>
  </si>
  <si>
    <t>1/1-16/142</t>
  </si>
  <si>
    <t>1/1-16/145</t>
  </si>
  <si>
    <t>1/1-09/079</t>
  </si>
  <si>
    <t>1/3-05/342</t>
  </si>
  <si>
    <t>1/2-13/233</t>
  </si>
  <si>
    <t>1/2-02/156</t>
  </si>
  <si>
    <t>1/1-15/139</t>
  </si>
  <si>
    <t>1/2-06/184</t>
  </si>
  <si>
    <t>1/2-12/224</t>
  </si>
  <si>
    <t>1/2-13/231</t>
  </si>
  <si>
    <t>1/2-23/303</t>
  </si>
  <si>
    <t>1/2-24/305</t>
  </si>
  <si>
    <t>1/2-24/309</t>
  </si>
  <si>
    <t>1/2-10/208</t>
  </si>
  <si>
    <t>1/1-05/037</t>
  </si>
  <si>
    <t>1/1-12/102</t>
  </si>
  <si>
    <t>1/2-02/152</t>
  </si>
  <si>
    <t>1/3-03/321</t>
  </si>
  <si>
    <t>1/1-04/022</t>
  </si>
  <si>
    <t>1/2-04/171</t>
  </si>
  <si>
    <t>1/2-18/267</t>
  </si>
  <si>
    <t>1/1-02/007</t>
  </si>
  <si>
    <t>1/1-09/076</t>
  </si>
  <si>
    <t>1/2-06/183</t>
  </si>
  <si>
    <t>1/2-21/286</t>
  </si>
  <si>
    <t>1/1-03/020</t>
  </si>
  <si>
    <t>1/2-14/241</t>
  </si>
  <si>
    <t>1/2-12/221</t>
  </si>
  <si>
    <t>1/1-08/070</t>
  </si>
  <si>
    <t>1/1-21/289</t>
  </si>
  <si>
    <t>1/2-03/159</t>
  </si>
  <si>
    <t>1/3-07/357</t>
  </si>
  <si>
    <t>1/2-10/213</t>
  </si>
  <si>
    <t>1/2-24/306</t>
  </si>
  <si>
    <t>1/1-12/104</t>
  </si>
  <si>
    <t>1/1-10/089</t>
  </si>
  <si>
    <t>1/1-16/141</t>
  </si>
  <si>
    <t>1/3-03/327</t>
  </si>
  <si>
    <t>1/2-04/168</t>
  </si>
  <si>
    <t>1/1-16/143</t>
  </si>
  <si>
    <t>1/2-04/170</t>
  </si>
  <si>
    <t>1/1-14/124</t>
  </si>
  <si>
    <t>1/1-10/081</t>
  </si>
  <si>
    <t>1/2-13/229</t>
  </si>
  <si>
    <t>1/2-05/178</t>
  </si>
  <si>
    <t>1/2-10/212</t>
  </si>
  <si>
    <t>1/1-12/110</t>
  </si>
  <si>
    <t>1/1-03/019</t>
  </si>
  <si>
    <t>1/2-10/209</t>
  </si>
  <si>
    <t>1/2-13/234</t>
  </si>
  <si>
    <t>1/3-02/319</t>
  </si>
  <si>
    <t>1/2-09/205</t>
  </si>
  <si>
    <t>1/2-19/272</t>
  </si>
  <si>
    <t>1/2-06/185</t>
  </si>
  <si>
    <t>1/1-12/105</t>
  </si>
  <si>
    <t>1/2-17/262</t>
  </si>
  <si>
    <t>1/2-07/192</t>
  </si>
  <si>
    <t>1/1-14/128</t>
  </si>
  <si>
    <t>1/2-08/196</t>
  </si>
  <si>
    <t>1/1-13/114</t>
  </si>
  <si>
    <t>1/1-07/051</t>
  </si>
  <si>
    <t>1/2-06/180</t>
  </si>
  <si>
    <t>1/2-11/216</t>
  </si>
  <si>
    <t>1/2-04/166</t>
  </si>
  <si>
    <t>1/3-03/323</t>
  </si>
  <si>
    <t>1/1-04/029</t>
  </si>
  <si>
    <t>1/1-16/149</t>
  </si>
  <si>
    <t>1/1-14/125</t>
  </si>
  <si>
    <t>1/2-07/189</t>
  </si>
  <si>
    <t>1/2-14/237</t>
  </si>
  <si>
    <t>1/2-15/244</t>
  </si>
  <si>
    <t>1/2-06/182</t>
  </si>
  <si>
    <t>1/2-22/293</t>
  </si>
  <si>
    <t>1/1-06/041</t>
  </si>
  <si>
    <t>1/1-05/035</t>
  </si>
  <si>
    <t>1/2-16/253</t>
  </si>
  <si>
    <t>1/2-15/247</t>
  </si>
  <si>
    <t>1/2-18/265</t>
  </si>
  <si>
    <t>1/2-22/294</t>
  </si>
  <si>
    <t>1/3-07/354</t>
  </si>
  <si>
    <t>1/1-02/009</t>
  </si>
  <si>
    <t>1/1-16/150</t>
  </si>
  <si>
    <t>1/1-14/129</t>
  </si>
  <si>
    <t>1/1-07/055</t>
  </si>
  <si>
    <t>1/2-10/211</t>
  </si>
  <si>
    <t>1/2-04/167</t>
  </si>
  <si>
    <t>1% Дом.Клик</t>
  </si>
  <si>
    <t>1/3-04/333</t>
  </si>
  <si>
    <t>1/3-07/353</t>
  </si>
  <si>
    <t>1/2-13/230</t>
  </si>
  <si>
    <t>1/1-09/078</t>
  </si>
  <si>
    <t>1/2-08/198</t>
  </si>
  <si>
    <t>1/1-05/039</t>
  </si>
  <si>
    <t>1/3-04/331</t>
  </si>
  <si>
    <t>1/1-14/123</t>
  </si>
  <si>
    <t>1/1-11/099</t>
  </si>
  <si>
    <t>1/3-06/348</t>
  </si>
  <si>
    <t>1/1-10/088</t>
  </si>
  <si>
    <t>1/1-12/108</t>
  </si>
  <si>
    <t>1/2-17/258</t>
  </si>
  <si>
    <t>1/1-13/120</t>
  </si>
  <si>
    <t>1/1-03/015</t>
  </si>
  <si>
    <t>1/1-06/048</t>
  </si>
  <si>
    <t>1/1-11/098</t>
  </si>
  <si>
    <t>1/3-02/317</t>
  </si>
  <si>
    <t>1/1-06/050</t>
  </si>
  <si>
    <t>Индивидуальная скидка</t>
  </si>
  <si>
    <t>1/1-05/038</t>
  </si>
  <si>
    <t>1/2-16/251</t>
  </si>
  <si>
    <t xml:space="preserve">Зачетная квартира </t>
  </si>
  <si>
    <t>1/2-08/197</t>
  </si>
  <si>
    <t>1/2-03/161</t>
  </si>
  <si>
    <t>1/1-10/083</t>
  </si>
  <si>
    <t>1/1-02/008</t>
  </si>
  <si>
    <t>1/2-11/218</t>
  </si>
  <si>
    <t>1/1-12/101</t>
  </si>
  <si>
    <t>1/1-14/126</t>
  </si>
  <si>
    <t>1/1-12/107</t>
  </si>
  <si>
    <t>1/1-06/049</t>
  </si>
  <si>
    <t>1/1-12/109</t>
  </si>
  <si>
    <t>1/1-08/068</t>
  </si>
  <si>
    <t>1/1-14/130</t>
  </si>
  <si>
    <t>1/2-11/215</t>
  </si>
  <si>
    <t>1/1-02/005</t>
  </si>
  <si>
    <t>1/1-14/127</t>
  </si>
  <si>
    <t>1/3-02/313</t>
  </si>
  <si>
    <t>1/2-04/165</t>
  </si>
  <si>
    <t>1/1-11/100</t>
  </si>
  <si>
    <t>1/2-02/153</t>
  </si>
  <si>
    <t>1/2-16/249</t>
  </si>
  <si>
    <t>1/3-04/329</t>
  </si>
  <si>
    <t>1/1-04/028</t>
  </si>
  <si>
    <t>1/1-13/113</t>
  </si>
  <si>
    <t>1/2-04/169</t>
  </si>
  <si>
    <t>1/1-15/137</t>
  </si>
  <si>
    <t>Скидка сотруднику</t>
  </si>
  <si>
    <t>1/2-09/204</t>
  </si>
  <si>
    <t>1/1-13/119</t>
  </si>
  <si>
    <t>1/3-03/324</t>
  </si>
  <si>
    <t>1/1-03/017</t>
  </si>
  <si>
    <t>Виденева</t>
  </si>
  <si>
    <t>1/1-07/057</t>
  </si>
  <si>
    <t>1/1-02/006</t>
  </si>
  <si>
    <t>1/3-05/336</t>
  </si>
  <si>
    <t>1/1-04/030</t>
  </si>
  <si>
    <t>1/1-11/097</t>
  </si>
  <si>
    <t>1/3-07/358</t>
  </si>
  <si>
    <t>1/2-20/278</t>
  </si>
  <si>
    <t>1/3-04/334</t>
  </si>
  <si>
    <t>1/1-16/148</t>
  </si>
  <si>
    <t>1/1-09/077</t>
  </si>
  <si>
    <t>1/2-18/263</t>
  </si>
  <si>
    <t>1/1-08/063</t>
  </si>
  <si>
    <t>1/2-12/225</t>
  </si>
  <si>
    <t>1/1-09/073</t>
  </si>
  <si>
    <t>1/2-10/210</t>
  </si>
  <si>
    <t>1/1-03/014</t>
  </si>
  <si>
    <t>1/1-12/103</t>
  </si>
  <si>
    <t>1/1-06/046</t>
  </si>
  <si>
    <t>1/3-05/340</t>
  </si>
  <si>
    <t>1/1-10/087</t>
  </si>
  <si>
    <t>1/1-16/146</t>
  </si>
  <si>
    <t>1/2-02/157</t>
  </si>
  <si>
    <t>1/1-08/065</t>
  </si>
  <si>
    <t>1/2-05/177</t>
  </si>
  <si>
    <t>1/1-13/116</t>
  </si>
  <si>
    <t>1/2-13/232</t>
  </si>
  <si>
    <t>1/1-12/106</t>
  </si>
  <si>
    <t>1/1-09/080</t>
  </si>
  <si>
    <t>1/2-22/295</t>
  </si>
  <si>
    <t>1/1-03/016</t>
  </si>
  <si>
    <t>1/2-14/236</t>
  </si>
  <si>
    <t>1/1-11/093</t>
  </si>
  <si>
    <t>1/2-09/202</t>
  </si>
  <si>
    <t>1/1-07/052</t>
  </si>
  <si>
    <t>1/2-03/160</t>
  </si>
  <si>
    <t>1/1-06/047</t>
  </si>
  <si>
    <t>1/1-09/074</t>
  </si>
  <si>
    <t>1/2-11/217</t>
  </si>
  <si>
    <t>1/2-15/248</t>
  </si>
  <si>
    <t>1/3-04/330</t>
  </si>
  <si>
    <t>1/1-05/032</t>
  </si>
  <si>
    <t>1/1-13/118</t>
  </si>
  <si>
    <t>1/1-13/112</t>
  </si>
  <si>
    <t>Гайганова</t>
  </si>
  <si>
    <t>1/2-17/256</t>
  </si>
  <si>
    <t>1/2-05/173</t>
  </si>
  <si>
    <t>1/1-10/082</t>
  </si>
  <si>
    <t>1/2-12/223</t>
  </si>
  <si>
    <t>1/2-08/199</t>
  </si>
  <si>
    <t>1/2-02/155</t>
  </si>
  <si>
    <t>1/2-08/194</t>
  </si>
  <si>
    <t>1/3-05/343</t>
  </si>
  <si>
    <t>1/1-03/018</t>
  </si>
  <si>
    <t>1/2-11/220</t>
  </si>
  <si>
    <t>1/1-13/115</t>
  </si>
  <si>
    <t>1/2-24/310</t>
  </si>
  <si>
    <t>1/3-06/350</t>
  </si>
  <si>
    <t>1/2-16/250</t>
  </si>
  <si>
    <t>1/2-05/172</t>
  </si>
  <si>
    <t>1/3-06/349</t>
  </si>
  <si>
    <t>1/2-14/239</t>
  </si>
  <si>
    <t>1/3-06/347</t>
  </si>
  <si>
    <t>1/2-20/283</t>
  </si>
  <si>
    <t>1/3-04/332</t>
  </si>
  <si>
    <t>1/2-06/179</t>
  </si>
  <si>
    <t>1/2-16/254</t>
  </si>
  <si>
    <t>1/2-17/259</t>
  </si>
  <si>
    <t>1/2-19/271</t>
  </si>
  <si>
    <t>1/2-23/304</t>
  </si>
  <si>
    <t>1/3-02/318</t>
  </si>
  <si>
    <t>1/2-18/269</t>
  </si>
  <si>
    <t>1/2-15/245</t>
  </si>
  <si>
    <t>1/1-04/026</t>
  </si>
  <si>
    <t>1/1-06/043</t>
  </si>
  <si>
    <t>1/2-09/206</t>
  </si>
  <si>
    <t>1/1-10/085</t>
  </si>
  <si>
    <t>1/3-05/341</t>
  </si>
  <si>
    <t>1/1-11/094</t>
  </si>
  <si>
    <t>1/2-11/219</t>
  </si>
  <si>
    <t>1/1-11/095</t>
  </si>
  <si>
    <t>1/1-10/086</t>
  </si>
  <si>
    <t>1/2-07/190</t>
  </si>
  <si>
    <t>1/2-20/279</t>
  </si>
  <si>
    <t>1/2-02/151</t>
  </si>
  <si>
    <t>1/1-14/121</t>
  </si>
  <si>
    <t>1/3-07/356</t>
  </si>
  <si>
    <t>1/1-10/090</t>
  </si>
  <si>
    <t>1/2-10/207</t>
  </si>
  <si>
    <t>1/1-15/135</t>
  </si>
  <si>
    <t>1/3-03/325</t>
  </si>
  <si>
    <t>1/1-15/136</t>
  </si>
  <si>
    <t>1/2-23/298</t>
  </si>
  <si>
    <t>1/1-14/122</t>
  </si>
  <si>
    <t>1/2-20/282</t>
  </si>
  <si>
    <t>1/1-15/131</t>
  </si>
  <si>
    <t>1/2-12/227</t>
  </si>
  <si>
    <t>1/2-14/240</t>
  </si>
  <si>
    <t>1/2-15/246</t>
  </si>
  <si>
    <t>1/1-15/140</t>
  </si>
  <si>
    <t>1/2-12/226</t>
  </si>
  <si>
    <t>2/1-21/135</t>
  </si>
  <si>
    <t>1/3-07/359</t>
  </si>
  <si>
    <t>1/2-06/181</t>
  </si>
  <si>
    <t>1/2-14/235</t>
  </si>
  <si>
    <t>1/2-16/255</t>
  </si>
  <si>
    <t>1/1-05/040</t>
  </si>
  <si>
    <t>1/2-11/214</t>
  </si>
  <si>
    <t>1/1-07/053</t>
  </si>
  <si>
    <t>1/1-03/013</t>
  </si>
  <si>
    <t>1/1-11/091</t>
  </si>
  <si>
    <t>1/1-04/023</t>
  </si>
  <si>
    <t>1/2-07/191</t>
  </si>
  <si>
    <t>1/3-04/328</t>
  </si>
  <si>
    <t>1/1-15/133</t>
  </si>
  <si>
    <t>1/1-11/096</t>
  </si>
  <si>
    <t>2/1-03/009</t>
  </si>
  <si>
    <t>2/1-03/013</t>
  </si>
  <si>
    <t>2/1-03/014</t>
  </si>
  <si>
    <t>2/1-09/055</t>
  </si>
  <si>
    <t>2/1-19/125</t>
  </si>
  <si>
    <t>2/2-02/167</t>
  </si>
  <si>
    <t>2/2-02/171</t>
  </si>
  <si>
    <t>2/2-04/186</t>
  </si>
  <si>
    <t>2/2-04/188</t>
  </si>
  <si>
    <t>2/2-07/220</t>
  </si>
  <si>
    <t>2/2-10/252</t>
  </si>
  <si>
    <t>2/2-12/272</t>
  </si>
  <si>
    <t>2/2-13/289</t>
  </si>
  <si>
    <t>2/2-13/293</t>
  </si>
  <si>
    <t>1/1-05/033</t>
  </si>
  <si>
    <t>1/3-07/352</t>
  </si>
  <si>
    <t>2/1-12/072</t>
  </si>
  <si>
    <t>2/2-02/162</t>
  </si>
  <si>
    <t>2/2-03/179</t>
  </si>
  <si>
    <t>2/2-03/180</t>
  </si>
  <si>
    <t>2/2-15/307</t>
  </si>
  <si>
    <t>2/2-03/174</t>
  </si>
  <si>
    <t>2/2-03/178</t>
  </si>
  <si>
    <t>2/2-04/184</t>
  </si>
  <si>
    <t>2/2-09/246</t>
  </si>
  <si>
    <t>2/2-09/247</t>
  </si>
  <si>
    <t>2/2-09/248</t>
  </si>
  <si>
    <t>2/2-13/290</t>
  </si>
  <si>
    <t>2/2-14/303</t>
  </si>
  <si>
    <t>2/1-20/130</t>
  </si>
  <si>
    <t>2/2-08/231</t>
  </si>
  <si>
    <t>2/2-13/285</t>
  </si>
  <si>
    <t>2/2-14/294</t>
  </si>
  <si>
    <t>1/2-20/281</t>
  </si>
  <si>
    <t>2/1-12/077</t>
  </si>
  <si>
    <t>2/2-09/240</t>
  </si>
  <si>
    <t>2/2-10/253</t>
  </si>
  <si>
    <t>2/2-11/262</t>
  </si>
  <si>
    <t>2/2-04/187</t>
  </si>
  <si>
    <t>2/2-11/271</t>
  </si>
  <si>
    <t>2/2-02/172</t>
  </si>
  <si>
    <t>2/2-06/206</t>
  </si>
  <si>
    <t>2/2-08/228</t>
  </si>
  <si>
    <t>1/2-21/284</t>
  </si>
  <si>
    <t>2/1-10/063</t>
  </si>
  <si>
    <t>2/1-06/034</t>
  </si>
  <si>
    <t>2/2-06/215</t>
  </si>
  <si>
    <t>2/2-14/298</t>
  </si>
  <si>
    <t>2/2-12/279</t>
  </si>
  <si>
    <t>2/2-12/281</t>
  </si>
  <si>
    <t>2/1-06/035</t>
  </si>
  <si>
    <t>2/1-20/133</t>
  </si>
  <si>
    <t>2/1-21/134</t>
  </si>
  <si>
    <t>2/2-09/249</t>
  </si>
  <si>
    <t>2/1-12/071</t>
  </si>
  <si>
    <t>2/1-12/076</t>
  </si>
  <si>
    <t>2/1-23/149</t>
  </si>
  <si>
    <t>2/2-05/205</t>
  </si>
  <si>
    <t>2/2-07/222</t>
  </si>
  <si>
    <t>2/2-14/297</t>
  </si>
  <si>
    <t>2/1-09/052</t>
  </si>
  <si>
    <t>2/1-12/075</t>
  </si>
  <si>
    <t>1/2-08/193</t>
  </si>
  <si>
    <t>2/1-22/147</t>
  </si>
  <si>
    <t>2/1-23/148</t>
  </si>
  <si>
    <t>2/1-06/029</t>
  </si>
  <si>
    <t>2/1-09/053</t>
  </si>
  <si>
    <t>2/1-12/074</t>
  </si>
  <si>
    <t>2/1-16/105</t>
  </si>
  <si>
    <t>2/1-24/155</t>
  </si>
  <si>
    <t>2/2-02/166</t>
  </si>
  <si>
    <t>2/2-03/181</t>
  </si>
  <si>
    <t>2/2-08/237</t>
  </si>
  <si>
    <t>2/2-10/259</t>
  </si>
  <si>
    <t>2/2-11/267</t>
  </si>
  <si>
    <t>2/2-06/210</t>
  </si>
  <si>
    <t>2/1-07/042</t>
  </si>
  <si>
    <t>2/1-18/113</t>
  </si>
  <si>
    <t>2/2-12/282</t>
  </si>
  <si>
    <t>2/2-13/284</t>
  </si>
  <si>
    <t>2/2-07/227</t>
  </si>
  <si>
    <t>2/2-09/239</t>
  </si>
  <si>
    <t>2/1-12/073</t>
  </si>
  <si>
    <t>2/2-04/193</t>
  </si>
  <si>
    <t>2/1-03/010</t>
  </si>
  <si>
    <t>2/1-20/128</t>
  </si>
  <si>
    <t>2/2-07/221</t>
  </si>
  <si>
    <t>2/2-14/299</t>
  </si>
  <si>
    <t>2/1-02/001</t>
  </si>
  <si>
    <t>2/2-06/211</t>
  </si>
  <si>
    <t>2/2-10/260</t>
  </si>
  <si>
    <t>2/2-03/182</t>
  </si>
  <si>
    <t>2/2-11/265</t>
  </si>
  <si>
    <t>2/1-02/005</t>
  </si>
  <si>
    <t>2/2-08/230</t>
  </si>
  <si>
    <t>2/2-10/254</t>
  </si>
  <si>
    <t>2/2-03/183</t>
  </si>
  <si>
    <t>2/1-04/021</t>
  </si>
  <si>
    <t>2/1-14/085</t>
  </si>
  <si>
    <t>2/1-15/092</t>
  </si>
  <si>
    <t>2/2-06/214</t>
  </si>
  <si>
    <t>2/2-10/256</t>
  </si>
  <si>
    <t>2/2-12/277</t>
  </si>
  <si>
    <t>2/1-04/015</t>
  </si>
  <si>
    <t>2/1-09/051</t>
  </si>
  <si>
    <t>2/1-17/106</t>
  </si>
  <si>
    <t>2/1-17/107</t>
  </si>
  <si>
    <t>2/2-07/223</t>
  </si>
  <si>
    <t>2/2-07/226</t>
  </si>
  <si>
    <t>2/1-16/104</t>
  </si>
  <si>
    <t>2/1-13/081</t>
  </si>
  <si>
    <t>2/1-14/086</t>
  </si>
  <si>
    <t>2/1-20/127</t>
  </si>
  <si>
    <t>2/2-04/190</t>
  </si>
  <si>
    <t>2/2-08/232</t>
  </si>
  <si>
    <t>2/1-02/007</t>
  </si>
  <si>
    <t>2/1-03/008</t>
  </si>
  <si>
    <t>2/1-05/023</t>
  </si>
  <si>
    <t>2/1-08/044</t>
  </si>
  <si>
    <t>2/2-08/238</t>
  </si>
  <si>
    <t>2/2-09/245</t>
  </si>
  <si>
    <t>2/1-04/020</t>
  </si>
  <si>
    <t>1/2-03/162</t>
  </si>
  <si>
    <t>1/3-06/345</t>
  </si>
  <si>
    <t>2/1-15/095</t>
  </si>
  <si>
    <t>2/1-19/121</t>
  </si>
  <si>
    <t>2/1-02/006</t>
  </si>
  <si>
    <t>2/1-06/031</t>
  </si>
  <si>
    <t>2/1-16/099</t>
  </si>
  <si>
    <t>2/2-12/274</t>
  </si>
  <si>
    <t>2/1-14/091</t>
  </si>
  <si>
    <t>2/1-19/123</t>
  </si>
  <si>
    <t>1/1-05/036</t>
  </si>
  <si>
    <t>2/2-10/255</t>
  </si>
  <si>
    <t>1/3-05/339</t>
  </si>
  <si>
    <t>3/4-08/565</t>
  </si>
  <si>
    <t>2/2-05/199</t>
  </si>
  <si>
    <t>2/2-05/200</t>
  </si>
  <si>
    <t>2/1-05/022</t>
  </si>
  <si>
    <t>1/3-06/344</t>
  </si>
  <si>
    <t>1/3-03/326</t>
  </si>
  <si>
    <t>2/2-06/209</t>
  </si>
  <si>
    <t>2/2-06/213</t>
  </si>
  <si>
    <t>2/2-09/244</t>
  </si>
  <si>
    <t>2/2-14/301</t>
  </si>
  <si>
    <t>2/1-03/011</t>
  </si>
  <si>
    <t>2/2-11/266</t>
  </si>
  <si>
    <t>2/2-05/202</t>
  </si>
  <si>
    <t>2/1-21/136</t>
  </si>
  <si>
    <t>3/4-03/522</t>
  </si>
  <si>
    <t>2/2-08/236</t>
  </si>
  <si>
    <t>2/1-08/043</t>
  </si>
  <si>
    <t>2/2-13/287</t>
  </si>
  <si>
    <t>2/1-07/037</t>
  </si>
  <si>
    <t>2/1-13/082</t>
  </si>
  <si>
    <t>3/2-04/228</t>
  </si>
  <si>
    <t>1/2-21/285</t>
  </si>
  <si>
    <t>2/1-06/032</t>
  </si>
  <si>
    <t>3/4-03/523</t>
  </si>
  <si>
    <t>3/2-12/290</t>
  </si>
  <si>
    <t>3/3-14/494</t>
  </si>
  <si>
    <t>3/4-15/620</t>
  </si>
  <si>
    <t>3/4-12/592</t>
  </si>
  <si>
    <t>3/4-08/561</t>
  </si>
  <si>
    <t>3/4-12/599</t>
  </si>
  <si>
    <t>3/4-07/559</t>
  </si>
  <si>
    <t>3/4-04/533</t>
  </si>
  <si>
    <t>3/2-09/271</t>
  </si>
  <si>
    <t>3/4-10/578</t>
  </si>
  <si>
    <t>3/2-12/293</t>
  </si>
  <si>
    <t>Захарьев</t>
  </si>
  <si>
    <t>2/2-15/306</t>
  </si>
  <si>
    <t>Договор Дарения</t>
  </si>
  <si>
    <t>Подарок</t>
  </si>
  <si>
    <t>2/2-02/169</t>
  </si>
  <si>
    <t>2/2-14/295</t>
  </si>
  <si>
    <t>2/2-14/302</t>
  </si>
  <si>
    <t>1/2-23/299</t>
  </si>
  <si>
    <t>3/4-03/524</t>
  </si>
  <si>
    <t>3/4-11/591</t>
  </si>
  <si>
    <t>2/2-07/224</t>
  </si>
  <si>
    <t>3/4-03/527</t>
  </si>
  <si>
    <t>3/4-13/603</t>
  </si>
  <si>
    <t>3/4-09/570</t>
  </si>
  <si>
    <t>3/2-17/335</t>
  </si>
  <si>
    <t>2/2-14/296</t>
  </si>
  <si>
    <t>2/1-04/019</t>
  </si>
  <si>
    <t>2/1-18/117</t>
  </si>
  <si>
    <t>3/4-14/611</t>
  </si>
  <si>
    <t>3/4-04/531</t>
  </si>
  <si>
    <t>3/4-12/598</t>
  </si>
  <si>
    <t>3/1-24/199</t>
  </si>
  <si>
    <t>3/4-02/517</t>
  </si>
  <si>
    <t>2/2-13/292</t>
  </si>
  <si>
    <t>3/3-10/458</t>
  </si>
  <si>
    <t>3/3-08/444</t>
  </si>
  <si>
    <t>3/3-08/442</t>
  </si>
  <si>
    <t>3/4-08/562</t>
  </si>
  <si>
    <t>3/4-10/583</t>
  </si>
  <si>
    <t>3/3-08/447</t>
  </si>
  <si>
    <t>2/2-08/235</t>
  </si>
  <si>
    <t>3/3-05/423</t>
  </si>
  <si>
    <t>3/2-06/246</t>
  </si>
  <si>
    <t>3/3-14/495</t>
  </si>
  <si>
    <t>2/2-04/185</t>
  </si>
  <si>
    <t>3/2-11/282</t>
  </si>
  <si>
    <t>3/4-04/535</t>
  </si>
  <si>
    <t>3/2-07/255</t>
  </si>
  <si>
    <t>2/2-11/270</t>
  </si>
  <si>
    <t>2/1-05/025</t>
  </si>
  <si>
    <t>2/1-23/150</t>
  </si>
  <si>
    <t>3/2-11/284</t>
  </si>
  <si>
    <t>3/4-08/564</t>
  </si>
  <si>
    <t>3/4-11/584</t>
  </si>
  <si>
    <t>3/2-06/247</t>
  </si>
  <si>
    <t>3/2-13/303</t>
  </si>
  <si>
    <t>3/4-06/547</t>
  </si>
  <si>
    <t>1/2-20/277</t>
  </si>
  <si>
    <t>Крюков</t>
  </si>
  <si>
    <t>2/2-11/263</t>
  </si>
  <si>
    <t>2/2-11/269</t>
  </si>
  <si>
    <t>2/2-12/275</t>
  </si>
  <si>
    <t>3/4-09/572</t>
  </si>
  <si>
    <t>1/1-09/071</t>
  </si>
  <si>
    <t>3/4-13/604</t>
  </si>
  <si>
    <t>1/2-15/242</t>
  </si>
  <si>
    <t>2/2-15/312</t>
  </si>
  <si>
    <t>2/1-13/079</t>
  </si>
  <si>
    <t>2/1-13/080</t>
  </si>
  <si>
    <t>3/2-04/226</t>
  </si>
  <si>
    <t>3/2-07/254</t>
  </si>
  <si>
    <t>3/2-16/327</t>
  </si>
  <si>
    <t>2/2-12/276</t>
  </si>
  <si>
    <t>2/1-06/033</t>
  </si>
  <si>
    <t>2/1-21/139</t>
  </si>
  <si>
    <t>3/4-12/595</t>
  </si>
  <si>
    <t>3/2-10/277</t>
  </si>
  <si>
    <t>1/2-13/228</t>
  </si>
  <si>
    <t>3/4-14/610</t>
  </si>
  <si>
    <t>3/4-05/540</t>
  </si>
  <si>
    <t>3/3-15/498</t>
  </si>
  <si>
    <t>3/2-05/233</t>
  </si>
  <si>
    <t>2/2-09/243</t>
  </si>
  <si>
    <t>3/4-03/525</t>
  </si>
  <si>
    <t>3/2-13/300</t>
  </si>
  <si>
    <t>3/2-11/281</t>
  </si>
  <si>
    <t>2/2-02/165</t>
  </si>
  <si>
    <t>3/4-02/515</t>
  </si>
  <si>
    <t>3/4-08/566</t>
  </si>
  <si>
    <t>3/4-03/526</t>
  </si>
  <si>
    <t>3/3-13/482</t>
  </si>
  <si>
    <t>3/2-10/276</t>
  </si>
  <si>
    <t>3/4-07/557</t>
  </si>
  <si>
    <t>3/4-07/555</t>
  </si>
  <si>
    <t>3/4-12/596</t>
  </si>
  <si>
    <t>3/4-08/560</t>
  </si>
  <si>
    <t>3/4-04/534</t>
  </si>
  <si>
    <t>3/4-10/581</t>
  </si>
  <si>
    <t>3/2-03/223</t>
  </si>
  <si>
    <t>3/4-05/542</t>
  </si>
  <si>
    <t>3/4-09/573</t>
  </si>
  <si>
    <t>3/4-08/567</t>
  </si>
  <si>
    <t>3/4-07/558</t>
  </si>
  <si>
    <t>3/3-05/421</t>
  </si>
  <si>
    <t>2/1-07/040</t>
  </si>
  <si>
    <t>2/1-17/108</t>
  </si>
  <si>
    <t>2/2-05/203</t>
  </si>
  <si>
    <t>3/4-14/614</t>
  </si>
  <si>
    <t>3/3-05/417</t>
  </si>
  <si>
    <t>2/2-04/194</t>
  </si>
  <si>
    <t>1/1-04/024</t>
  </si>
  <si>
    <t>2/2-08/234</t>
  </si>
  <si>
    <t>3/2-10/274</t>
  </si>
  <si>
    <t>3/2-02/210</t>
  </si>
  <si>
    <t>2/2-06/208</t>
  </si>
  <si>
    <t>3/4-08/563</t>
  </si>
  <si>
    <t>3/2-09/267</t>
  </si>
  <si>
    <t>2/2-07/218</t>
  </si>
  <si>
    <t>2/1-05/027</t>
  </si>
  <si>
    <t>2/1-10/058</t>
  </si>
  <si>
    <t>3/3-08/445</t>
  </si>
  <si>
    <t>3/2-12/289</t>
  </si>
  <si>
    <t>3/4-09/575</t>
  </si>
  <si>
    <t>3/2-16/326</t>
  </si>
  <si>
    <t>1/1-02/003</t>
  </si>
  <si>
    <t>3/4-04/532</t>
  </si>
  <si>
    <t>3/3-06/426</t>
  </si>
  <si>
    <t>2/1-04/018</t>
  </si>
  <si>
    <t>3/2-17/330</t>
  </si>
  <si>
    <t>3/2-15/314</t>
  </si>
  <si>
    <t>3/4-09/574</t>
  </si>
  <si>
    <t>3/4-05/537</t>
  </si>
  <si>
    <t>3/2-05/234</t>
  </si>
  <si>
    <t>3/2-16/322</t>
  </si>
  <si>
    <t>3/3-11/469</t>
  </si>
  <si>
    <t>3/2-06/242</t>
  </si>
  <si>
    <t>3/4-05/538</t>
  </si>
  <si>
    <t>2/1-19/120</t>
  </si>
  <si>
    <t>2/1-20/129</t>
  </si>
  <si>
    <t>2/1-23/151</t>
  </si>
  <si>
    <t>Ак Чагдаш</t>
  </si>
  <si>
    <t>3/4-15/617</t>
  </si>
  <si>
    <t>3/2-14/306</t>
  </si>
  <si>
    <t>3/2-08/262</t>
  </si>
  <si>
    <t>3/2-08/258</t>
  </si>
  <si>
    <t>2/1-13/084</t>
  </si>
  <si>
    <t>3/3-02/395</t>
  </si>
  <si>
    <t>3/2-12/291</t>
  </si>
  <si>
    <t>3/2-13/302</t>
  </si>
  <si>
    <t>3/2-16/324</t>
  </si>
  <si>
    <t>2/2-06/212</t>
  </si>
  <si>
    <t>3/4-13/606</t>
  </si>
  <si>
    <t>3/2-13/298</t>
  </si>
  <si>
    <t>3/4-11/585</t>
  </si>
  <si>
    <t>3/4-13/605</t>
  </si>
  <si>
    <t>3/3-10/459</t>
  </si>
  <si>
    <t>3/5-13/736</t>
  </si>
  <si>
    <t>2/2-15/310</t>
  </si>
  <si>
    <t>3/2-19/350</t>
  </si>
  <si>
    <t>3/4-13/601</t>
  </si>
  <si>
    <t>3/4-11/586</t>
  </si>
  <si>
    <t>3/2-18/337</t>
  </si>
  <si>
    <t>3/2-12/295</t>
  </si>
  <si>
    <t>Артемьева</t>
  </si>
  <si>
    <t>1/2-09/200</t>
  </si>
  <si>
    <t>1/2-03/158</t>
  </si>
  <si>
    <t>3/4-11/590</t>
  </si>
  <si>
    <t>3/2-11/287</t>
  </si>
  <si>
    <t>2/2-13/288</t>
  </si>
  <si>
    <t>3/2-07/252</t>
  </si>
  <si>
    <t>3/2-05/239</t>
  </si>
  <si>
    <t>2/1-22/143</t>
  </si>
  <si>
    <t>3/2-18/343</t>
  </si>
  <si>
    <t>3/3-14/490</t>
  </si>
  <si>
    <t>3/2-18/338</t>
  </si>
  <si>
    <t>3/4-14/612</t>
  </si>
  <si>
    <t>3/4-07/552</t>
  </si>
  <si>
    <t>2/1-03/012</t>
  </si>
  <si>
    <t>3/2-14/311</t>
  </si>
  <si>
    <t>3/2-04/231</t>
  </si>
  <si>
    <t>3/4-06/549</t>
  </si>
  <si>
    <t>3/3-11/470</t>
  </si>
  <si>
    <t>3/3-13/487</t>
  </si>
  <si>
    <t>2/1-07/036</t>
  </si>
  <si>
    <t>3/3-09/450</t>
  </si>
  <si>
    <t>3/4-07/556</t>
  </si>
  <si>
    <t>3/4-14/613</t>
  </si>
  <si>
    <t>2/2-04/191</t>
  </si>
  <si>
    <t>3/3-11/465</t>
  </si>
  <si>
    <t>3/2-07/253</t>
  </si>
  <si>
    <t>3/3-12/473</t>
  </si>
  <si>
    <t>3/3-05/420</t>
  </si>
  <si>
    <t>3/4-05/543</t>
  </si>
  <si>
    <t>2/1-17/109</t>
  </si>
  <si>
    <t>3/4-10/580</t>
  </si>
  <si>
    <t>3/3-03/402</t>
  </si>
  <si>
    <t>3/3-14/492</t>
  </si>
  <si>
    <t>3/4-05/539</t>
  </si>
  <si>
    <t>3/2-09/270</t>
  </si>
  <si>
    <t>3/3-12/474</t>
  </si>
  <si>
    <t>3/3-11/468</t>
  </si>
  <si>
    <t>2/2-13/286</t>
  </si>
  <si>
    <t>2/1-14/089</t>
  </si>
  <si>
    <t>2/2-09/241</t>
  </si>
  <si>
    <t>2/1-22/146</t>
  </si>
  <si>
    <t>3/4-02/514</t>
  </si>
  <si>
    <t>2/2-15/313</t>
  </si>
  <si>
    <t>2/2-10/257</t>
  </si>
  <si>
    <t>1/2-22/296</t>
  </si>
  <si>
    <t>2/1-15/093</t>
  </si>
  <si>
    <t>Ли Цинхуа</t>
  </si>
  <si>
    <t>2/2-04/192</t>
  </si>
  <si>
    <t>3/4-15/616</t>
  </si>
  <si>
    <t>3/4-02/516</t>
  </si>
  <si>
    <t>3/2-08/263</t>
  </si>
  <si>
    <t>3/4-05/541</t>
  </si>
  <si>
    <t>2/1-11/067</t>
  </si>
  <si>
    <t>3/3-07/434</t>
  </si>
  <si>
    <t>2/1-16/103</t>
  </si>
  <si>
    <t>3/3-05/418</t>
  </si>
  <si>
    <t>3/4-14/615</t>
  </si>
  <si>
    <t>2/1-10/061</t>
  </si>
  <si>
    <t>2/2-06/216</t>
  </si>
  <si>
    <t>3/4-12/594</t>
  </si>
  <si>
    <t>2/2-03/176</t>
  </si>
  <si>
    <t>3/2-04/225</t>
  </si>
  <si>
    <t>1/1-06/044</t>
  </si>
  <si>
    <t>3/2-04/229</t>
  </si>
  <si>
    <t>3/4-13/607</t>
  </si>
  <si>
    <t>3/3-09/455</t>
  </si>
  <si>
    <t>3/4-15/622</t>
  </si>
  <si>
    <t>3/3-02/396</t>
  </si>
  <si>
    <t>3/3-02/394</t>
  </si>
  <si>
    <t>3/5-19/784</t>
  </si>
  <si>
    <t>3/3-06/431</t>
  </si>
  <si>
    <t>3/4-15/618</t>
  </si>
  <si>
    <t>2/1-02/004</t>
  </si>
  <si>
    <t>3/4-06/551</t>
  </si>
  <si>
    <t>3/4-14/608</t>
  </si>
  <si>
    <t>3/2-18/342</t>
  </si>
  <si>
    <t>2/1-11/070</t>
  </si>
  <si>
    <t>2/2-14/304</t>
  </si>
  <si>
    <t>3/2-18/340</t>
  </si>
  <si>
    <t>2/1-09/056</t>
  </si>
  <si>
    <t>3/3-13/481</t>
  </si>
  <si>
    <t>3/3-11/471</t>
  </si>
  <si>
    <t>3/4-16/628</t>
  </si>
  <si>
    <t>3/4-15/621</t>
  </si>
  <si>
    <t>2/1-16/102</t>
  </si>
  <si>
    <t>2/2-05/201</t>
  </si>
  <si>
    <t>2/1-08/046</t>
  </si>
  <si>
    <t>2/2-08/229</t>
  </si>
  <si>
    <t>3/1-03/016</t>
  </si>
  <si>
    <t>3/4-06/548</t>
  </si>
  <si>
    <t>3/6-09/898</t>
  </si>
  <si>
    <t>3/1-07/051</t>
  </si>
  <si>
    <t>3/6-05/863</t>
  </si>
  <si>
    <t>3/5-05/661</t>
  </si>
  <si>
    <t>2/1-19/124</t>
  </si>
  <si>
    <t>2/2-02/168</t>
  </si>
  <si>
    <t>3/6-02/838</t>
  </si>
  <si>
    <t>2/2-15/311</t>
  </si>
  <si>
    <t>2/1-21/138</t>
  </si>
  <si>
    <t>3/4-06/544</t>
  </si>
  <si>
    <t>3/5-11/716</t>
  </si>
  <si>
    <t>3/4-11/589</t>
  </si>
  <si>
    <t>3/6-08/890</t>
  </si>
  <si>
    <t>3/5-13/734</t>
  </si>
  <si>
    <t>2/1-05/026</t>
  </si>
  <si>
    <t>3/3-14/493</t>
  </si>
  <si>
    <t>3/1-13/105</t>
  </si>
  <si>
    <t>2/1-18/114</t>
  </si>
  <si>
    <t>3/2-07/250</t>
  </si>
  <si>
    <t>3/5-10/707</t>
  </si>
  <si>
    <t>3/5-13/733</t>
  </si>
  <si>
    <t>3/1-08/059</t>
  </si>
  <si>
    <t>2/1-14/088</t>
  </si>
  <si>
    <t>3/5-16/761</t>
  </si>
  <si>
    <t>2/2-08/233</t>
  </si>
  <si>
    <t>3/5-11/717</t>
  </si>
  <si>
    <t>3/2-15/319</t>
  </si>
  <si>
    <t>2/1-08/047</t>
  </si>
  <si>
    <t>3/6-09/899</t>
  </si>
  <si>
    <t>3/1-04/024</t>
  </si>
  <si>
    <t>3/3-06/425</t>
  </si>
  <si>
    <t>3/3-08/443</t>
  </si>
  <si>
    <t>3/1-13/102</t>
  </si>
  <si>
    <t>3/1-04/021</t>
  </si>
  <si>
    <t>3/5-06/673</t>
  </si>
  <si>
    <t>3/5-05/662</t>
  </si>
  <si>
    <t>3/5-02/634</t>
  </si>
  <si>
    <t>2/2-04/189</t>
  </si>
  <si>
    <t>2/1-09/054</t>
  </si>
  <si>
    <t>3/4-06/550</t>
  </si>
  <si>
    <t>2/1-22/145</t>
  </si>
  <si>
    <t>3/5-03/646</t>
  </si>
  <si>
    <t>3/1-17/136</t>
  </si>
  <si>
    <t>3/5-10/706</t>
  </si>
  <si>
    <t>3/6-02/836</t>
  </si>
  <si>
    <t>3/6-07/884</t>
  </si>
  <si>
    <t>2/1-09/050</t>
  </si>
  <si>
    <t>2/2-03/177</t>
  </si>
  <si>
    <t>3/2-03/217</t>
  </si>
  <si>
    <t>3/2-17/329</t>
  </si>
  <si>
    <t>3/2-18/339</t>
  </si>
  <si>
    <t>2/2-02/163</t>
  </si>
  <si>
    <t>3/6-10/908</t>
  </si>
  <si>
    <t>2/2-06/207</t>
  </si>
  <si>
    <t>3/5-14/742</t>
  </si>
  <si>
    <t>2/1-06/030</t>
  </si>
  <si>
    <t>2/2-03/173</t>
  </si>
  <si>
    <t>3/6-06/871</t>
  </si>
  <si>
    <t>3/5-06/671</t>
  </si>
  <si>
    <t>3/6-10/907</t>
  </si>
  <si>
    <t>3/4-15/623</t>
  </si>
  <si>
    <t>2/1-17/110</t>
  </si>
  <si>
    <t>3/3-02/397</t>
  </si>
  <si>
    <t>2/2-09/242</t>
  </si>
  <si>
    <t>3/2-13/299</t>
  </si>
  <si>
    <t>2/2-12/278</t>
  </si>
  <si>
    <t>3/1-04/026</t>
  </si>
  <si>
    <t>3/2-17/332</t>
  </si>
  <si>
    <t>3/1-11/090</t>
  </si>
  <si>
    <t>3/1-08/062</t>
  </si>
  <si>
    <t>3/1-02/004</t>
  </si>
  <si>
    <t>3/1-07/050</t>
  </si>
  <si>
    <t>3/6-03/848</t>
  </si>
  <si>
    <t>3/2-16/321</t>
  </si>
  <si>
    <t>3/1-07/049</t>
  </si>
  <si>
    <t>3/5-09/697</t>
  </si>
  <si>
    <t>3/1-04/027</t>
  </si>
  <si>
    <t>3/4-07/554</t>
  </si>
  <si>
    <t>2/1-18/119</t>
  </si>
  <si>
    <t>2/1-20/131</t>
  </si>
  <si>
    <t>3/4-09/568</t>
  </si>
  <si>
    <t>2/1-15/096</t>
  </si>
  <si>
    <t>2/1-15/094</t>
  </si>
  <si>
    <t>2/2-15/309</t>
  </si>
  <si>
    <t>2/1-23/152</t>
  </si>
  <si>
    <t>3/6-03/845</t>
  </si>
  <si>
    <t>3/2-09/268</t>
  </si>
  <si>
    <t>3/4-04/528</t>
  </si>
  <si>
    <t>3/1-12/091</t>
  </si>
  <si>
    <t>3/2-15/316</t>
  </si>
  <si>
    <t>3/6-07/881</t>
  </si>
  <si>
    <t>3/1-04/020</t>
  </si>
  <si>
    <t>3/1-12/099</t>
  </si>
  <si>
    <t>Ветеран боевых действий</t>
  </si>
  <si>
    <t>3/4-03/520</t>
  </si>
  <si>
    <t>3/2-14/308</t>
  </si>
  <si>
    <t>3/2-06/244</t>
  </si>
  <si>
    <t>Координатор</t>
  </si>
  <si>
    <t>2/1-21/137</t>
  </si>
  <si>
    <t>2/2-12/280</t>
  </si>
  <si>
    <t>3/2-16/325</t>
  </si>
  <si>
    <t>3/6-04/854</t>
  </si>
  <si>
    <t>3/2-08/260</t>
  </si>
  <si>
    <t>3/1-03/018</t>
  </si>
  <si>
    <t>2/1-10/060</t>
  </si>
  <si>
    <t>3/5-04/652</t>
  </si>
  <si>
    <t>Галюга Станислав</t>
  </si>
  <si>
    <t>3/3-12/476</t>
  </si>
  <si>
    <t>3/3-09/452</t>
  </si>
  <si>
    <t>3/1-04/022</t>
  </si>
  <si>
    <t>3/2-14/305</t>
  </si>
  <si>
    <t>3/2-09/265</t>
  </si>
  <si>
    <t>2/2-05/198</t>
  </si>
  <si>
    <t>3/5-03/644</t>
  </si>
  <si>
    <t>2/2-11/268</t>
  </si>
  <si>
    <t>3/4-16/631</t>
  </si>
  <si>
    <t>3/1-19/154</t>
  </si>
  <si>
    <t>3/3-09/449</t>
  </si>
  <si>
    <t>2/1-08/045</t>
  </si>
  <si>
    <t>3/1-08/063</t>
  </si>
  <si>
    <t>2/1-14/090</t>
  </si>
  <si>
    <t>3/3-06/428</t>
  </si>
  <si>
    <t>3/2-10/273</t>
  </si>
  <si>
    <t>3/6-05/864</t>
  </si>
  <si>
    <t>2/1-11/068</t>
  </si>
  <si>
    <t>2/1-08/048</t>
  </si>
  <si>
    <t>3/3-10/460</t>
  </si>
  <si>
    <t>2/1-18/116</t>
  </si>
  <si>
    <t>2/1-24/158</t>
  </si>
  <si>
    <t>3/1-12/093</t>
  </si>
  <si>
    <t>2/2-05/204</t>
  </si>
  <si>
    <t>2/2-12/273</t>
  </si>
  <si>
    <t>2/1-11/065</t>
  </si>
  <si>
    <t>3/4-04/530</t>
  </si>
  <si>
    <t>3/1-13/101</t>
  </si>
  <si>
    <t>3/2-13/297</t>
  </si>
  <si>
    <t>3/4-13/602</t>
  </si>
  <si>
    <t>3/1-13/100</t>
  </si>
  <si>
    <t>3/1-09/067</t>
  </si>
  <si>
    <t>3/5-03/647</t>
  </si>
  <si>
    <t>3/3-10/457</t>
  </si>
  <si>
    <t>3/3-13/484</t>
  </si>
  <si>
    <t>3/1-15/123</t>
  </si>
  <si>
    <t>3/5-09/698</t>
  </si>
  <si>
    <t>3/4-09/569</t>
  </si>
  <si>
    <t>3/5-14/743</t>
  </si>
  <si>
    <t>3/4-10/576</t>
  </si>
  <si>
    <t>3/1-08/057</t>
  </si>
  <si>
    <t>3/2-13/301</t>
  </si>
  <si>
    <t>3/2-23/380</t>
  </si>
  <si>
    <t>3/2-15/313</t>
  </si>
  <si>
    <t>3/2-12/292</t>
  </si>
  <si>
    <t>3/2-06/241</t>
  </si>
  <si>
    <t>3/3-04/410</t>
  </si>
  <si>
    <t>3/1-10/081</t>
  </si>
  <si>
    <t>2/2-11/264</t>
  </si>
  <si>
    <t>3/4-11/588</t>
  </si>
  <si>
    <t>2/2-14/300</t>
  </si>
  <si>
    <t>3/1-10/077</t>
  </si>
  <si>
    <t>3/2-05/236</t>
  </si>
  <si>
    <t>3/3-07/436</t>
  </si>
  <si>
    <t>3/1-12/096</t>
  </si>
  <si>
    <t>2/1-11/066</t>
  </si>
  <si>
    <t>3/1-02/007</t>
  </si>
  <si>
    <t>3/1-03/014</t>
  </si>
  <si>
    <t>3/2-04/227</t>
  </si>
  <si>
    <t>3/4-12/597</t>
  </si>
  <si>
    <t>2/1-07/039</t>
  </si>
  <si>
    <t>3/5-10/708</t>
  </si>
  <si>
    <t>3/2-20/356</t>
  </si>
  <si>
    <t>2/2-10/258</t>
  </si>
  <si>
    <t>3/1-09/064</t>
  </si>
  <si>
    <t>3/5-07/679</t>
  </si>
  <si>
    <t>3/4-02/512</t>
  </si>
  <si>
    <t>2/1-22/142</t>
  </si>
  <si>
    <t>3/4-06/546</t>
  </si>
  <si>
    <t>3/4-16/629</t>
  </si>
  <si>
    <t>3/4-14/609</t>
  </si>
  <si>
    <t>2/2-15/315</t>
  </si>
  <si>
    <t>2/2-10/250</t>
  </si>
  <si>
    <t>3/1-13/108</t>
  </si>
  <si>
    <t>3/1-09/072</t>
  </si>
  <si>
    <t>3/5-08/688</t>
  </si>
  <si>
    <t>3/1-06/042</t>
  </si>
  <si>
    <t>3/6-04/851</t>
  </si>
  <si>
    <t>3/5-18/780</t>
  </si>
  <si>
    <t>3/2-10/279</t>
  </si>
  <si>
    <t>3/5-16/763</t>
  </si>
  <si>
    <t>3/1-08/060</t>
  </si>
  <si>
    <t>3/1-03/015</t>
  </si>
  <si>
    <t>3/6-06/872</t>
  </si>
  <si>
    <t>3/4-15/619</t>
  </si>
  <si>
    <t>3/4-16/626</t>
  </si>
  <si>
    <t>2/2-05/196</t>
  </si>
  <si>
    <t>3/1-16/134</t>
  </si>
  <si>
    <t>3/4-16/624</t>
  </si>
  <si>
    <t>3/1-13/107</t>
  </si>
  <si>
    <t>3/3-15/501</t>
  </si>
  <si>
    <t>3/3-16/509</t>
  </si>
  <si>
    <t>3/4-06/545</t>
  </si>
  <si>
    <t>3/2-04/230</t>
  </si>
  <si>
    <t>3/1-17/137</t>
  </si>
  <si>
    <t>3/1-10/080</t>
  </si>
  <si>
    <t>3/1-12/092</t>
  </si>
  <si>
    <t>3/1-09/071</t>
  </si>
  <si>
    <t>3/2-08/257</t>
  </si>
  <si>
    <t>3/5-08/689</t>
  </si>
  <si>
    <t>3/3-04/409</t>
  </si>
  <si>
    <t>3/1-07/053</t>
  </si>
  <si>
    <t>3/3-12/477</t>
  </si>
  <si>
    <t>3/5-05/663</t>
  </si>
  <si>
    <t>3/1-06/045</t>
  </si>
  <si>
    <t>3/4-16/630</t>
  </si>
  <si>
    <t>3/3-08/441</t>
  </si>
  <si>
    <t>3/1-05/036</t>
  </si>
  <si>
    <t>3/1-15/122</t>
  </si>
  <si>
    <t>3/1-10/076</t>
  </si>
  <si>
    <t>3/3-04/415</t>
  </si>
  <si>
    <t>3/3-08/446</t>
  </si>
  <si>
    <t>3/6-02/833</t>
  </si>
  <si>
    <t>2/1-15/097</t>
  </si>
  <si>
    <t>3/4-10/582</t>
  </si>
  <si>
    <t>3/3-07/433</t>
  </si>
  <si>
    <t>3/2-21/364</t>
  </si>
  <si>
    <t>3/1-05/028</t>
  </si>
  <si>
    <t>3/5-22/811</t>
  </si>
  <si>
    <t>3/1-05/035</t>
  </si>
  <si>
    <t>2/1-22/144</t>
  </si>
  <si>
    <t>3/3-03/404</t>
  </si>
  <si>
    <t>3/2-03/220</t>
  </si>
  <si>
    <t>3/4-02/513</t>
  </si>
  <si>
    <t>2/2-15/308</t>
  </si>
  <si>
    <t>3/1-12/098</t>
  </si>
  <si>
    <t>2/2-10/251</t>
  </si>
  <si>
    <t>3/3-03/401</t>
  </si>
  <si>
    <t>3/1-14/114</t>
  </si>
  <si>
    <t>3/4-09/571</t>
  </si>
  <si>
    <t>3/4-12/593</t>
  </si>
  <si>
    <t>3/3-05/419</t>
  </si>
  <si>
    <t>3/1-09/069</t>
  </si>
  <si>
    <t>3/3-11/467</t>
  </si>
  <si>
    <t>3/3-09/453</t>
  </si>
  <si>
    <t>3/2-15/315</t>
  </si>
  <si>
    <t>3/1-14/109</t>
  </si>
  <si>
    <t>2/1-24/159</t>
  </si>
  <si>
    <t>3/5-20/794</t>
  </si>
  <si>
    <t>3/1-13/104</t>
  </si>
  <si>
    <t>3/2-10/275</t>
  </si>
  <si>
    <t>3/1-16/128</t>
  </si>
  <si>
    <t>3/1-11/087</t>
  </si>
  <si>
    <t>3/1-04/025</t>
  </si>
  <si>
    <t>3/3-14/491</t>
  </si>
  <si>
    <t>3/2-07/249</t>
  </si>
  <si>
    <t>2/2-15/305</t>
  </si>
  <si>
    <t>Скидка 4% на 4к</t>
  </si>
  <si>
    <t>2/1-24/160</t>
  </si>
  <si>
    <t>3/1-08/056</t>
  </si>
  <si>
    <t>3/1-10/078</t>
  </si>
  <si>
    <t>за месяц</t>
  </si>
  <si>
    <t>Дата подачи на регистрацию</t>
  </si>
  <si>
    <t>Дом</t>
  </si>
  <si>
    <t xml:space="preserve">Отделка </t>
  </si>
  <si>
    <t>Сумма договора</t>
  </si>
  <si>
    <t>Пл. бронь</t>
  </si>
  <si>
    <t>Стоимость с отделкой итог</t>
  </si>
  <si>
    <t>Цена м2 с отделкой итог</t>
  </si>
  <si>
    <t>Стоимость без отделки итог</t>
  </si>
  <si>
    <t>Цена м2 без отделки итог</t>
  </si>
  <si>
    <t>Вариант оплаты</t>
  </si>
  <si>
    <t>Название акции</t>
  </si>
  <si>
    <t>Дата договора</t>
  </si>
  <si>
    <t>№ договора</t>
  </si>
  <si>
    <t>Состояние</t>
  </si>
  <si>
    <t>Электронная регистрация</t>
  </si>
  <si>
    <t>Тип покупки</t>
  </si>
  <si>
    <t>Основной клиент</t>
  </si>
  <si>
    <t>Мобильный телефон</t>
  </si>
  <si>
    <t>Электронная почта</t>
  </si>
  <si>
    <t>Источник обращения</t>
  </si>
  <si>
    <t>Источник рекламы</t>
  </si>
  <si>
    <t>МОП</t>
  </si>
  <si>
    <t>ИМ</t>
  </si>
  <si>
    <t/>
  </si>
  <si>
    <t>МФЦ</t>
  </si>
  <si>
    <t>Эфендиев Юрий Исмаилович</t>
  </si>
  <si>
    <t>yuriief63@gmail.com</t>
  </si>
  <si>
    <t>Встреча</t>
  </si>
  <si>
    <t>Расторгнут</t>
  </si>
  <si>
    <t>Мельникова Светлана Геннадьевна</t>
  </si>
  <si>
    <t>melnikova@globalvsn.com</t>
  </si>
  <si>
    <t>Аглиуллина Рузалия Минвалиевна</t>
  </si>
  <si>
    <t>biktimerovasamara@gmail.com</t>
  </si>
  <si>
    <t>Дериглазова Оксана Викторовна</t>
  </si>
  <si>
    <t>Deriglazova-oks@mail.ru</t>
  </si>
  <si>
    <t>Рудченко Анна Владимировна</t>
  </si>
  <si>
    <t>rudchenko1980@mail.ru</t>
  </si>
  <si>
    <t>Федченко Юрий Николаевич</t>
  </si>
  <si>
    <t>as909jf@mail.ru</t>
  </si>
  <si>
    <t>Тенишева Оксана Анатольевна</t>
  </si>
  <si>
    <t>astrat63@yandex.ru</t>
  </si>
  <si>
    <t>Гроздова Виктория Александровна</t>
  </si>
  <si>
    <t>VKravtsova1991@yandex.ru</t>
  </si>
  <si>
    <t>Никонорова Ольга Викторовна</t>
  </si>
  <si>
    <t>vovan.samara.72@mail.ru</t>
  </si>
  <si>
    <t>Мезенцев Дмитрий Владимирович</t>
  </si>
  <si>
    <t>dmitrijmezencev24@gmail.com</t>
  </si>
  <si>
    <t>Хурамшин Марсель Исмагилович</t>
  </si>
  <si>
    <t>kseniya.huramshina@mail.ru</t>
  </si>
  <si>
    <t>Минигалимов Мазит Минзуфарович</t>
  </si>
  <si>
    <t>rinkom277@yandex.ru</t>
  </si>
  <si>
    <t>Стасенко Сергей Валерьевич</t>
  </si>
  <si>
    <t>stasenko.serge@yandex.ru</t>
  </si>
  <si>
    <t>Доп. бронь (Вторичная)</t>
  </si>
  <si>
    <t>Полуэктов Виталий Викторович</t>
  </si>
  <si>
    <t>vintag.w@list.ru</t>
  </si>
  <si>
    <t>Хомякова Ольга Леонидовна</t>
  </si>
  <si>
    <t>makhamat2017@yandex.ru</t>
  </si>
  <si>
    <t>Синицын Алексей Михайлович</t>
  </si>
  <si>
    <t>no@no</t>
  </si>
  <si>
    <t>Салахова Гулина Наильевна</t>
  </si>
  <si>
    <t>l.evk@yandex.ru</t>
  </si>
  <si>
    <t>Карманникова Светлана Вячеславовна</t>
  </si>
  <si>
    <t>svk2805@mail.ru</t>
  </si>
  <si>
    <t>Басова Елена Анатольевна</t>
  </si>
  <si>
    <t>jasmin77777@yandex.ru</t>
  </si>
  <si>
    <t>Минина Анастасия Алексеевна</t>
  </si>
  <si>
    <t>Kesha_as163@mail.ru</t>
  </si>
  <si>
    <t>Звонок</t>
  </si>
  <si>
    <t>Корнилин Александр Александрович</t>
  </si>
  <si>
    <t>aakornilin@gmail.com</t>
  </si>
  <si>
    <t>Хадыкин Сергей Владимирович</t>
  </si>
  <si>
    <t>Ebash_hardcore163@rambler.ru</t>
  </si>
  <si>
    <t>Каширова Ольга Михайловна</t>
  </si>
  <si>
    <t>okashirova36@gmail.ru</t>
  </si>
  <si>
    <t>Ланцов Алексей Александрович</t>
  </si>
  <si>
    <t>tcfantom1@yandex.ru</t>
  </si>
  <si>
    <t>Гладецкий Эдуард Вадимович</t>
  </si>
  <si>
    <t>gladetskiy@list.ru</t>
  </si>
  <si>
    <t>Галимов Ринат Рифатович</t>
  </si>
  <si>
    <t>rinat250580@gmail.com</t>
  </si>
  <si>
    <t>Вольных Дмитрий Юрьевич</t>
  </si>
  <si>
    <t>v777op@mail.ru</t>
  </si>
  <si>
    <t>Кичатова Анна Сергеевна</t>
  </si>
  <si>
    <t>anna_50898@mail.ru</t>
  </si>
  <si>
    <t>Золотов Дмитрий Олегович</t>
  </si>
  <si>
    <t>zorro638@gmail.com</t>
  </si>
  <si>
    <t>Патрина Татьяна Николаевна</t>
  </si>
  <si>
    <t>t.patrina73@yandex.ru</t>
  </si>
  <si>
    <t>Шипунов Сергей Александрович</t>
  </si>
  <si>
    <t>lena333376@mail.ru</t>
  </si>
  <si>
    <t>Серебрякова Ольга Валентиновна</t>
  </si>
  <si>
    <t>leliklapteva@mail.ru</t>
  </si>
  <si>
    <t>Баньковский Станислав Евгеньевич</t>
  </si>
  <si>
    <t>bankovse@gmail.com</t>
  </si>
  <si>
    <t>Гагиева Кристина Андреевна</t>
  </si>
  <si>
    <t>tinochka_kriska@mail.ru</t>
  </si>
  <si>
    <t>Кузнецова Елена Александровна</t>
  </si>
  <si>
    <t>kuzneea@yandex.ru</t>
  </si>
  <si>
    <t>Тарзян Дина Сергеевна</t>
  </si>
  <si>
    <t>mirra2019@bk.ru</t>
  </si>
  <si>
    <t>Овцинов Александр Викторович</t>
  </si>
  <si>
    <t>orelsamara1961@gmail.com</t>
  </si>
  <si>
    <t>Галдеев Сергей Михайлович</t>
  </si>
  <si>
    <t>galdeeu@mail.ru</t>
  </si>
  <si>
    <t>Хохлова Александра Владимировна</t>
  </si>
  <si>
    <t>tory013@yandex.ru</t>
  </si>
  <si>
    <t>Хохлова Виктория Игоревна</t>
  </si>
  <si>
    <t>Засыпкина Виктория Сергеевна</t>
  </si>
  <si>
    <t>viktoriyazas99@icloud.com</t>
  </si>
  <si>
    <t>Штанин Вадим Олегович</t>
  </si>
  <si>
    <t>lil.1000.p@yandex.ru</t>
  </si>
  <si>
    <t>Нуждина Галина Петровна</t>
  </si>
  <si>
    <t>Солкин Андрей Викторович</t>
  </si>
  <si>
    <t>solkraboh@mail.ru</t>
  </si>
  <si>
    <t>Артищев Роман Владимирович</t>
  </si>
  <si>
    <t>Artischev.roman@yandex.ru</t>
  </si>
  <si>
    <t>Касаткина Наталья Николаевна</t>
  </si>
  <si>
    <t>kasatkina.natalia.2013@mail.ru</t>
  </si>
  <si>
    <t>Атанов Алексей Евгеньевич</t>
  </si>
  <si>
    <t>atansamara@mail.ru</t>
  </si>
  <si>
    <t>Смирнов Евгений Владимирович</t>
  </si>
  <si>
    <t>Smirnov-201276@yandex.ru</t>
  </si>
  <si>
    <t>Коршиков Андрей Александрович</t>
  </si>
  <si>
    <t>Korshikovandrei@mail.ru</t>
  </si>
  <si>
    <t>Кардапольцев Сергей Леонидович</t>
  </si>
  <si>
    <t>sergekard@gmail.com</t>
  </si>
  <si>
    <t>Мелентьев Александр Владимирович</t>
  </si>
  <si>
    <t>melentev_av@list.ru</t>
  </si>
  <si>
    <t>Гаврилов Евгений Валерьевич</t>
  </si>
  <si>
    <t>leha063.com@mail.ru</t>
  </si>
  <si>
    <t>Милютина Галина Геннадьевна</t>
  </si>
  <si>
    <t>esk.gala@gmail.com</t>
  </si>
  <si>
    <t>Голубкова Юлия Сергеевна</t>
  </si>
  <si>
    <t>golubkova_74@list.ru</t>
  </si>
  <si>
    <t>Ерофеева Татьяна Владимировна</t>
  </si>
  <si>
    <t>erotanya79@mail.ru</t>
  </si>
  <si>
    <t>Бугрова Анастасия Андреевна</t>
  </si>
  <si>
    <t>nastya.bugrova.93@mail.ru</t>
  </si>
  <si>
    <t>Андреева Лариса Михайловна</t>
  </si>
  <si>
    <t>ya_krasavchik001@mail.ru</t>
  </si>
  <si>
    <t>Топориков Антон Алексеевич</t>
  </si>
  <si>
    <t>toporikova-018@mail.ru</t>
  </si>
  <si>
    <t>Левшин Алексей Михайлович</t>
  </si>
  <si>
    <t>2022025@mail.ru</t>
  </si>
  <si>
    <t>Носовская Наталья Геннадьевна</t>
  </si>
  <si>
    <t>Nosovskaya80@mail.ru</t>
  </si>
  <si>
    <t>Томилов Владимир Владимирович</t>
  </si>
  <si>
    <t>tomilovkuzov@mail.ru</t>
  </si>
  <si>
    <t>Орешкин Никита Сергеевич</t>
  </si>
  <si>
    <t>maria.trachuk99@mail.ru</t>
  </si>
  <si>
    <t>Столярова Наталья Викторовна</t>
  </si>
  <si>
    <t>stolyarova.nv@list.ru</t>
  </si>
  <si>
    <t>Некрасов Дмитрий Сергеевич</t>
  </si>
  <si>
    <t>NekrasovPSD@yandex.ru</t>
  </si>
  <si>
    <t>Потапов Вячеслав Владимирович</t>
  </si>
  <si>
    <t>holod-sl@mail.ru</t>
  </si>
  <si>
    <t>Кирдяпкин Геннадий Егорович</t>
  </si>
  <si>
    <t>Kirdyapkina.darya@yandex.ru</t>
  </si>
  <si>
    <t>Бешерян Захар Абелович</t>
  </si>
  <si>
    <t>besherianAA@trcont.ru</t>
  </si>
  <si>
    <t>Зотова Екатерина Васильевна</t>
  </si>
  <si>
    <t>Katya5.85@mail.ru</t>
  </si>
  <si>
    <t>Рогожкина Анастасия Андреевна</t>
  </si>
  <si>
    <t>Katerina.kis2009@mail.ru</t>
  </si>
  <si>
    <t>Клочков Александр Витальевич</t>
  </si>
  <si>
    <t>79879622214@yandex.ru</t>
  </si>
  <si>
    <t>Сафронов Сергей Викторович</t>
  </si>
  <si>
    <t>elenasergsafronova@gmail.com</t>
  </si>
  <si>
    <t>Радаев Алексей Дмитриевич</t>
  </si>
  <si>
    <t>radaeva.dina@mail.ru</t>
  </si>
  <si>
    <t>Погорелов Александр Владимирович</t>
  </si>
  <si>
    <t>Забродин Денис Владимирович</t>
  </si>
  <si>
    <t>denis.zabrodin1986@mail.ru</t>
  </si>
  <si>
    <t>Коптелина Ксения Тимуровна</t>
  </si>
  <si>
    <t>ksenchik883@gmail.com</t>
  </si>
  <si>
    <t>Кудряшов Евгений Сергеевич</t>
  </si>
  <si>
    <t>tsarkovanatasha@mail.ru</t>
  </si>
  <si>
    <t>Кирилов Алексей Сергеевич</t>
  </si>
  <si>
    <t>Aleksey.kirilov@mt.com</t>
  </si>
  <si>
    <t>Кузьмичев Павел Александрович</t>
  </si>
  <si>
    <t>paval85@mail.ru</t>
  </si>
  <si>
    <t>Кавкаев Александр Вячеславович</t>
  </si>
  <si>
    <t>kavkaev97@inbox.ru</t>
  </si>
  <si>
    <t>Штирбу Иван Иванович</t>
  </si>
  <si>
    <t>schtirbu@mail.ru</t>
  </si>
  <si>
    <t>Олейник Олеся Валерьевна</t>
  </si>
  <si>
    <t>olesya_eva_80@inbox.ru</t>
  </si>
  <si>
    <t>Никифоров, Алексей Михайлович</t>
  </si>
  <si>
    <t>olis91@mail.ru</t>
  </si>
  <si>
    <t>Козадаева Юлия Александровна</t>
  </si>
  <si>
    <t>Latysh_y@mail.ru</t>
  </si>
  <si>
    <t>Курьянов Максим Владимирович</t>
  </si>
  <si>
    <t>Kuryanova.kuryanova2017@yandex.ru</t>
  </si>
  <si>
    <t>Панов Юрий Юрьевич</t>
  </si>
  <si>
    <t>georgiyconecs@mail.ru</t>
  </si>
  <si>
    <t>СЭР</t>
  </si>
  <si>
    <t>Ахмадуллин Фанис Ринатович</t>
  </si>
  <si>
    <t>fanis83ar@mail.ru</t>
  </si>
  <si>
    <t>Сиряев Олег Владимирович</t>
  </si>
  <si>
    <t>d.safina_92@mail.ru</t>
  </si>
  <si>
    <t>Файрушин Раис Гильмитдинович</t>
  </si>
  <si>
    <t>Rais.Fajrushin@bk.ru</t>
  </si>
  <si>
    <t>Малышов, Олег Алексеевич</t>
  </si>
  <si>
    <t>malyshov-oleg@mail.ru</t>
  </si>
  <si>
    <t>Попова Светлана Михайловна</t>
  </si>
  <si>
    <t>89276570056@mail.ru</t>
  </si>
  <si>
    <t>Геплюк Наталья Николаевна</t>
  </si>
  <si>
    <t>Train44727@gmail.com</t>
  </si>
  <si>
    <t>Царёва Дарья, Алексей Николаевна</t>
  </si>
  <si>
    <t>stsar63eva@yandex.ru</t>
  </si>
  <si>
    <t>Кузнецов Дмитрий Игоревич</t>
  </si>
  <si>
    <t>ola.kuz@yandex.ru</t>
  </si>
  <si>
    <t>Моисеев Александр Алексеевич</t>
  </si>
  <si>
    <t>mois.aa70@mail.ru</t>
  </si>
  <si>
    <t>Пчелинцев Андрей Викторович</t>
  </si>
  <si>
    <t>natalya.pchelinc@mail.ru</t>
  </si>
  <si>
    <t>Грибкова Наталья Ивановна</t>
  </si>
  <si>
    <t>Gribok1982@mail.ru</t>
  </si>
  <si>
    <t>Федоров Александр Сергеевич</t>
  </si>
  <si>
    <t>f3bofyodorov@yandex.ru</t>
  </si>
  <si>
    <t>Умерова Анастасия Николаевна</t>
  </si>
  <si>
    <t>staciy@mail.ru</t>
  </si>
  <si>
    <t>Андрюхина Оксана Николаевна</t>
  </si>
  <si>
    <t>andryukhina7397@mail.ru</t>
  </si>
  <si>
    <t>Кузнецов Вячеслав Эльчинович</t>
  </si>
  <si>
    <t>Мацнев Дмитрий Викторович</t>
  </si>
  <si>
    <t>matsnev.dmitri@gmail.com</t>
  </si>
  <si>
    <t>Хан Алексей Афанасьевич</t>
  </si>
  <si>
    <t>khanter@yandex.ru</t>
  </si>
  <si>
    <t>Толкачева Ольга Сергеевна</t>
  </si>
  <si>
    <t>Krvina2008@mail.ru</t>
  </si>
  <si>
    <t>Беспалова Роза Шагеевна</t>
  </si>
  <si>
    <t>89372856666@mail.ru</t>
  </si>
  <si>
    <t>Сабитова Екатерина Владимировна</t>
  </si>
  <si>
    <t>kdisplacement@yandex.ru</t>
  </si>
  <si>
    <t>Немыслина Яна Геннадьевна</t>
  </si>
  <si>
    <t>Nemyslina90@mail.ru</t>
  </si>
  <si>
    <t>Докторов Иван Алексеевич</t>
  </si>
  <si>
    <t>vip.doktorov@mail.ru</t>
  </si>
  <si>
    <t>Перфильева Оксана Валерьевна</t>
  </si>
  <si>
    <t>medicina173@mail.ru</t>
  </si>
  <si>
    <t>Домрачев Дмитрий Владимирович</t>
  </si>
  <si>
    <t>kamjanx@gmail.com</t>
  </si>
  <si>
    <t>Непряхин Артем Олегович</t>
  </si>
  <si>
    <t>ls-08@inbox.ru</t>
  </si>
  <si>
    <t>Морозов Максим Владимирович</t>
  </si>
  <si>
    <t>m.maksonchik@mail.ru</t>
  </si>
  <si>
    <t>Голинский Антон Яковлевич</t>
  </si>
  <si>
    <t>golinskiy@bk.ru</t>
  </si>
  <si>
    <t>Челеев Артем Вячеславович</t>
  </si>
  <si>
    <t>arch.06@mail.ru</t>
  </si>
  <si>
    <t>Иванова Наталья Михайловна Михайловна</t>
  </si>
  <si>
    <t>ivanovayantar@mail.ru</t>
  </si>
  <si>
    <t>Барабанова Мария Александровна</t>
  </si>
  <si>
    <t>barmar79@yandex.ru</t>
  </si>
  <si>
    <t>Петров Павел Алексеевич</t>
  </si>
  <si>
    <t>pavel-paha-1977-petrov@mail.ru</t>
  </si>
  <si>
    <t>Кочкина Елизавета Борисовна</t>
  </si>
  <si>
    <t>ebkochkina@mail.ru</t>
  </si>
  <si>
    <t>Назарова Татьяна Олеговна</t>
  </si>
  <si>
    <t>roman0493@gmail.com</t>
  </si>
  <si>
    <t>Нагорнов Игорь Николаевич</t>
  </si>
  <si>
    <t>T_vladimirovna@mail.ru</t>
  </si>
  <si>
    <t>Кошкин Сергей Николаевич</t>
  </si>
  <si>
    <t>koshkinsn@mail.ru</t>
  </si>
  <si>
    <t>Пехота Дмитрий Петрович</t>
  </si>
  <si>
    <t>Dmitrytarget@mail.ru</t>
  </si>
  <si>
    <t>Ежков Дмитрий Владимирович</t>
  </si>
  <si>
    <t>Ejkovdv@mail.ru</t>
  </si>
  <si>
    <t>Кредышева Евгения Сергеевна</t>
  </si>
  <si>
    <t>mila8650@mail.ru</t>
  </si>
  <si>
    <t>Малышева Евгения Викторовна</t>
  </si>
  <si>
    <t>Vfksi_82@mail.ru</t>
  </si>
  <si>
    <t>Бережная Оксана Ильясовна</t>
  </si>
  <si>
    <t>goldvolga13@mail.ru</t>
  </si>
  <si>
    <t>Павлов Юрий Юрьевич</t>
  </si>
  <si>
    <t>ponab80@gmail.com</t>
  </si>
  <si>
    <t>Сусин Михаил Михайлович</t>
  </si>
  <si>
    <t>Mikhailsusin92@yandex.ru</t>
  </si>
  <si>
    <t>Искорнев Виктор Александрович</t>
  </si>
  <si>
    <t>Iskornevva@mail.ru</t>
  </si>
  <si>
    <t>Лактионов Алексей Сергеевич</t>
  </si>
  <si>
    <t>laktionova58@gmail.com</t>
  </si>
  <si>
    <t>Белова Любовь Александровна</t>
  </si>
  <si>
    <t>lubelova@mail.ru</t>
  </si>
  <si>
    <t>Ильин Александр Юрьевич</t>
  </si>
  <si>
    <t>vikin-345@mail.ru</t>
  </si>
  <si>
    <t>Губанова Екатерина Валерьевна</t>
  </si>
  <si>
    <t>fohx63@gmail.com</t>
  </si>
  <si>
    <t>Андропов Евгений Юрьевич</t>
  </si>
  <si>
    <t>sportivnay03@rambler.ru</t>
  </si>
  <si>
    <t>Сорокин Вячеслав Борисович</t>
  </si>
  <si>
    <t>sorokin06061966@gmail.com</t>
  </si>
  <si>
    <t>Аношина Ольга Олеговна</t>
  </si>
  <si>
    <t>lelya.anoshina@gmail.com</t>
  </si>
  <si>
    <t>Латыпов Ринат Фаритович</t>
  </si>
  <si>
    <t>darthrinat@rambler.ru</t>
  </si>
  <si>
    <t>Иванченко Ольга Викторовна</t>
  </si>
  <si>
    <t>legkoiprosto2014@mail.ru</t>
  </si>
  <si>
    <t>Карташов Николай Сергеевич</t>
  </si>
  <si>
    <t>Kartashov1.077@mail.ru</t>
  </si>
  <si>
    <t>Зубов Алексей Николаевич</t>
  </si>
  <si>
    <t>alekseizn@mail.ru</t>
  </si>
  <si>
    <t>Квасов Сергей Владимирович</t>
  </si>
  <si>
    <t>kvas94kvasov@yandex.ru</t>
  </si>
  <si>
    <t>Мусина Юлия Маратовна</t>
  </si>
  <si>
    <t>kamecon@mail.ru</t>
  </si>
  <si>
    <t>Борискина Татьяна Васильевна</t>
  </si>
  <si>
    <t>tboriskina8@yandex.ru</t>
  </si>
  <si>
    <t>Чичановская Марина Михайловна</t>
  </si>
  <si>
    <t>89376457066@mail.ru</t>
  </si>
  <si>
    <t>Булатов Хайдяр Закиевич</t>
  </si>
  <si>
    <t>xajdyar.bulatov@inbox.ru</t>
  </si>
  <si>
    <t>Асабин Сергей Николаевич</t>
  </si>
  <si>
    <t>serzh.asabin.94@mail.ru</t>
  </si>
  <si>
    <t>Тетюков Дмитрий Викторович</t>
  </si>
  <si>
    <t>modern_84_84@mail.ru</t>
  </si>
  <si>
    <t>Галичкина Татьяна Михайловна</t>
  </si>
  <si>
    <t>08082020p@mail.ru</t>
  </si>
  <si>
    <t>Богатская Елена Сергеевна</t>
  </si>
  <si>
    <t>e.bogatskaja@yandex.ru</t>
  </si>
  <si>
    <t>Петрова Диана Валерьевна</t>
  </si>
  <si>
    <t>dianapetrova17@gmail.com</t>
  </si>
  <si>
    <t>Царькова Татьяна Александровна</t>
  </si>
  <si>
    <t>nik.czarkov@bk.ru</t>
  </si>
  <si>
    <t>Сабаев Виталий Владимирович</t>
  </si>
  <si>
    <t>vv_sabayev@mail.ru</t>
  </si>
  <si>
    <t>Золотухин Владимир Иванович</t>
  </si>
  <si>
    <t>Лушина Александра Николаевна</t>
  </si>
  <si>
    <t>Alexandra063@yandex.ru</t>
  </si>
  <si>
    <t>Борисова Ирина Александровна</t>
  </si>
  <si>
    <t>79379981066@ya.ru</t>
  </si>
  <si>
    <t>Кашаев Владимир Геннадьевич</t>
  </si>
  <si>
    <t>Kristina7114@mail.ru</t>
  </si>
  <si>
    <t>Кубжасаров Данияр Галимжанович</t>
  </si>
  <si>
    <t>kubzhasarov95@mail.ru</t>
  </si>
  <si>
    <t>Коровин Денис Сергеевич</t>
  </si>
  <si>
    <t>samaraden007@mail.ru</t>
  </si>
  <si>
    <t>Хомутецкий Александр Сергеевич</t>
  </si>
  <si>
    <t>khomutetskiy93@mail.ru</t>
  </si>
  <si>
    <t>Тюркина Нина Васильевна</t>
  </si>
  <si>
    <t>avm0476@yandex.ru</t>
  </si>
  <si>
    <t>Кушаев Тимур Рауфович</t>
  </si>
  <si>
    <t>Timur.kushaev@gmail.com</t>
  </si>
  <si>
    <t>Бычкова Татьяна Геннадьевна</t>
  </si>
  <si>
    <t>Abychkov76@mail.ru</t>
  </si>
  <si>
    <t>Борисевич Ольга Евгеньевна</t>
  </si>
  <si>
    <t>olya041160@mail.ru</t>
  </si>
  <si>
    <t>Ревина Инесса Александровна</t>
  </si>
  <si>
    <t>inessa2811@yandex.ru</t>
  </si>
  <si>
    <t>Воронин Александр Сергеевич</t>
  </si>
  <si>
    <t>voron163@mail.ru</t>
  </si>
  <si>
    <t>Андреев Дмитрий Александрович</t>
  </si>
  <si>
    <t>andreevymvm@gmail.com</t>
  </si>
  <si>
    <t>Кожаева Светлана Раисовна</t>
  </si>
  <si>
    <t>tultilana@hotmail.com</t>
  </si>
  <si>
    <t>Кушаева Динара Рауфовна</t>
  </si>
  <si>
    <t>dinara_kushaeva@mail.ru</t>
  </si>
  <si>
    <t>Егорова Васелина Юрьевна</t>
  </si>
  <si>
    <t>Egorik-80@mail.ru</t>
  </si>
  <si>
    <t>Валентинова Татьяна Юрьевна</t>
  </si>
  <si>
    <t>lenovo_is_tatiana@hotmail.com</t>
  </si>
  <si>
    <t>Буренин Александр Дмитриевич</t>
  </si>
  <si>
    <t>aleksandr.flat2020@gmail.com</t>
  </si>
  <si>
    <t>Шатохина Марина Анатольевна</t>
  </si>
  <si>
    <t>marinaa22_2010@mail.ru</t>
  </si>
  <si>
    <t>Майборода Дмитрий Николаевич</t>
  </si>
  <si>
    <t>Olenka_79-2008@mail.ru</t>
  </si>
  <si>
    <t>Козлова Татьяна Юрьевна</t>
  </si>
  <si>
    <t>keis1977@mail.ru</t>
  </si>
  <si>
    <t>Кулагина Татьяна Сергеевна</t>
  </si>
  <si>
    <t>kts2210@rambler.ru</t>
  </si>
  <si>
    <t>Чучанов Александр Сергеевич</t>
  </si>
  <si>
    <t>schuchanov@yandex.ru</t>
  </si>
  <si>
    <t>Бараненко Евгения Сергеевна</t>
  </si>
  <si>
    <t>lady-death@yandex.ru</t>
  </si>
  <si>
    <t>Пеняев Юрий Николаевич</t>
  </si>
  <si>
    <t>Penyaev81@mail.ru</t>
  </si>
  <si>
    <t>Шарипова Гулия Андреевна</t>
  </si>
  <si>
    <t>79277210771@yandex.ru</t>
  </si>
  <si>
    <t>Удачин Андрей Юрьевич</t>
  </si>
  <si>
    <t>andrei.udachin@yandex.ru</t>
  </si>
  <si>
    <t>Липатов Дмитрий Юрьевич</t>
  </si>
  <si>
    <t>lipatd29@gmail.com</t>
  </si>
  <si>
    <t>Демендеев Олег Александрович</t>
  </si>
  <si>
    <t>oleg-demendeev@yandex.ru</t>
  </si>
  <si>
    <t>Вербицкая Галина Владимировна</t>
  </si>
  <si>
    <t>verbitskaya-galina@yandex.kz</t>
  </si>
  <si>
    <t>Калачикова Наталья Равильевна</t>
  </si>
  <si>
    <t>Natalya.kalachikova@mail.ru</t>
  </si>
  <si>
    <t>Алимгулов Ильдар Ренатович</t>
  </si>
  <si>
    <t>alimgulow.ildar@yandex.ru</t>
  </si>
  <si>
    <t>Ерофеева Татьяна Христофоровна</t>
  </si>
  <si>
    <t>Manh@bmail.ru</t>
  </si>
  <si>
    <t>Кузнецов Олег Михайлович</t>
  </si>
  <si>
    <t>oleg.k163@mail.ru</t>
  </si>
  <si>
    <t>Пантелеева Елена Владимировна</t>
  </si>
  <si>
    <t>liderzao@yandex.ru</t>
  </si>
  <si>
    <t>Гладышева Юлия Павловна</t>
  </si>
  <si>
    <t>gladysh0711@mail.ru</t>
  </si>
  <si>
    <t>Чернышев Дмитрий Леонидович</t>
  </si>
  <si>
    <t>mr.dm.chernyshev@gmail.com</t>
  </si>
  <si>
    <t>Сямуков Егор Юрьевич</t>
  </si>
  <si>
    <t>egor.syamukov@mail.ru</t>
  </si>
  <si>
    <t>Попурко Анастасия Ивановна</t>
  </si>
  <si>
    <t>p-nastia@yandex.ru</t>
  </si>
  <si>
    <t>Лапаева Лариса Михайловна</t>
  </si>
  <si>
    <t>Дусеева Армат Гали-Арстанович</t>
  </si>
  <si>
    <t>duseeffintra@gmail.com</t>
  </si>
  <si>
    <t>Почиталин Владимир Николаевич</t>
  </si>
  <si>
    <t>yu.gulchenko@gmail.com</t>
  </si>
  <si>
    <t>Хабибуллин Виталий Закиуллович</t>
  </si>
  <si>
    <t>Lyubovhab@yandex.ru</t>
  </si>
  <si>
    <t>Хачатрян Шаке Коляевна</t>
  </si>
  <si>
    <t>Shake1972@mail.ru</t>
  </si>
  <si>
    <t>Кириллов Алексей Александрович</t>
  </si>
  <si>
    <t>kirillov.lesha@yandex.ru</t>
  </si>
  <si>
    <t>Брагина Юлия Валентиновна</t>
  </si>
  <si>
    <t>bragina07.09.79@yandex.ru</t>
  </si>
  <si>
    <t>Ильясов Шамель Барыевич</t>
  </si>
  <si>
    <t>ilyasova_gu@icloud.com</t>
  </si>
  <si>
    <t>Никитина Яна Григорьевна</t>
  </si>
  <si>
    <t>byyanulyaaaa97@gmail.com</t>
  </si>
  <si>
    <t>Шкляров Максим Николаевич</t>
  </si>
  <si>
    <t>MNShklyarov@gmail.com</t>
  </si>
  <si>
    <t>Ахметгалиев Жардем Тлекович</t>
  </si>
  <si>
    <t>azhardem@mail.ru</t>
  </si>
  <si>
    <t>Заикин Александр Сергеевич</t>
  </si>
  <si>
    <t>Nastya.89-24@mail.ru</t>
  </si>
  <si>
    <t>Казеннова Евгения Анатольевна</t>
  </si>
  <si>
    <t>yasnaia@bk.ru</t>
  </si>
  <si>
    <t>Малов Евгений Александрович</t>
  </si>
  <si>
    <t>sk_ruff@mail.ru</t>
  </si>
  <si>
    <t>Горшенин Сергей Владимирович</t>
  </si>
  <si>
    <t>gorsheninsv@ya.ru</t>
  </si>
  <si>
    <t>Кононенко Роман Андреевич</t>
  </si>
  <si>
    <t>xjaegger@gmail.com</t>
  </si>
  <si>
    <t>Рожков Иван Анатольевич</t>
  </si>
  <si>
    <t>rozhkov.IV88@mail.ru</t>
  </si>
  <si>
    <t>Газизова Нурия Гумаровна</t>
  </si>
  <si>
    <t>gazizovanuria23@gmail.com</t>
  </si>
  <si>
    <t>Лыскова Ирина Владимировна</t>
  </si>
  <si>
    <t>lyskova@globalvsn.com</t>
  </si>
  <si>
    <t>Сиротина Виктория Владимировна</t>
  </si>
  <si>
    <t>sirotina.vikulya@list.ru</t>
  </si>
  <si>
    <t>Седых Кристина Андреевна</t>
  </si>
  <si>
    <t>sulmeldis@mail.ru</t>
  </si>
  <si>
    <t>Симановская Елена Владимировна</t>
  </si>
  <si>
    <t>0711652806@mail.ru</t>
  </si>
  <si>
    <t>Павлова Вероника Николаевна</t>
  </si>
  <si>
    <t>Pav_veronika71@mail.ru</t>
  </si>
  <si>
    <t>Дидковский Александр Владимирович</t>
  </si>
  <si>
    <t>ded-fin@mail.ru</t>
  </si>
  <si>
    <t>Тырнов Сергей Александрович</t>
  </si>
  <si>
    <t>sergeytyrnov87@gmail.com</t>
  </si>
  <si>
    <t>Салихова Менира Решидовна</t>
  </si>
  <si>
    <t>Svet-2004@yandex.ru</t>
  </si>
  <si>
    <t>Кирпиков Алексей Владиславович</t>
  </si>
  <si>
    <t>kirpikov.av@gmail.com</t>
  </si>
  <si>
    <t>Колесникова Ольга Сергеевна</t>
  </si>
  <si>
    <t>olka1185@yandex.ru</t>
  </si>
  <si>
    <t>Курманбакиев Марат Ильдарович</t>
  </si>
  <si>
    <t>maratk@outlook.com</t>
  </si>
  <si>
    <t>Косов Сергей Владимирович</t>
  </si>
  <si>
    <t>ksv063063@yandex.ru</t>
  </si>
  <si>
    <t>Светличный Алексей Петрович</t>
  </si>
  <si>
    <t>aleksey.svet@yandex.ru</t>
  </si>
  <si>
    <t>Ведерников Сергей Андреевич</t>
  </si>
  <si>
    <t>vsaustu@mail.ru</t>
  </si>
  <si>
    <t>Погосян Дантес Аразович</t>
  </si>
  <si>
    <t>armdp2994@mail.ru</t>
  </si>
  <si>
    <t>Федоров Николай Владимирович</t>
  </si>
  <si>
    <t>KoshechkaSadykova@mail.ru</t>
  </si>
  <si>
    <t>Рыжов Михаил Викторович</t>
  </si>
  <si>
    <t>zetstat@yandex.ru</t>
  </si>
  <si>
    <t>Горбунов Андрей Владимирович</t>
  </si>
  <si>
    <t>samsamara1966@mail.ru</t>
  </si>
  <si>
    <t>Волчков Иван Васильевич</t>
  </si>
  <si>
    <t>Volchkovivan@rambler.ru</t>
  </si>
  <si>
    <t>Ноздряков Евгений Александрович</t>
  </si>
  <si>
    <t>lady.miracle@list.ru</t>
  </si>
  <si>
    <t>Курова Ирина Александровна</t>
  </si>
  <si>
    <t>rita.kurova@mail.ru</t>
  </si>
  <si>
    <t>Ольшевская Марина Алексеевна</t>
  </si>
  <si>
    <t>olshevskayama@gmail.com</t>
  </si>
  <si>
    <t>Дяченко Татьяна Александровна</t>
  </si>
  <si>
    <t>tatty006@rambler.ru</t>
  </si>
  <si>
    <t>Кумашева Елена Александровна</t>
  </si>
  <si>
    <t>elena-kumasheva@yandex.ru</t>
  </si>
  <si>
    <t>Патрахина Людмила Григорьевна</t>
  </si>
  <si>
    <t>patrahina.mila@yandex.ru</t>
  </si>
  <si>
    <t>Чекерес Виктория Николаевна</t>
  </si>
  <si>
    <t>Info@balans63.ru</t>
  </si>
  <si>
    <t>Данченко Никита Васильевич</t>
  </si>
  <si>
    <t>nikdan321@gmail.com</t>
  </si>
  <si>
    <t>Казакова Ирина Александровна</t>
  </si>
  <si>
    <t>irka.3107@mail.ru</t>
  </si>
  <si>
    <t>Муханова Дельда Гавриловна</t>
  </si>
  <si>
    <t>mukhanov94@inbox.ru</t>
  </si>
  <si>
    <t>Качурин Алексей Николаевич</t>
  </si>
  <si>
    <t>kalengasky@gmail.com</t>
  </si>
  <si>
    <t>Борисов Владимир Сергеевич</t>
  </si>
  <si>
    <t>smr_director@aluminstroy.ru</t>
  </si>
  <si>
    <t>Сердюкова Ирина Александровна</t>
  </si>
  <si>
    <t>samarchanka69@mail.ru</t>
  </si>
  <si>
    <t>Кузьмин Дмитрий Михайлович</t>
  </si>
  <si>
    <t>deman9952@gmail.com</t>
  </si>
  <si>
    <t>Кузнецов Евгений Владимирович</t>
  </si>
  <si>
    <t>Akuzn93@gmail.com</t>
  </si>
  <si>
    <t>Дядик Михаил Викторович</t>
  </si>
  <si>
    <t>mihail.dyadik@cchellenic.com</t>
  </si>
  <si>
    <t>Кокин Сергей Александрович</t>
  </si>
  <si>
    <t>Ykokina@icloud.com</t>
  </si>
  <si>
    <t>Давыдов Сергей Васильевич</t>
  </si>
  <si>
    <t>davydovnik23@mail.ru</t>
  </si>
  <si>
    <t>Самородова Наталья Николаевна</t>
  </si>
  <si>
    <t>samor0dova.n@yandex.ru</t>
  </si>
  <si>
    <t>Аюкасов Наиль Фаильевич</t>
  </si>
  <si>
    <t>nail.aiuckasov2011@yandex.ru</t>
  </si>
  <si>
    <t>Тюрина Альбина Сергеевна</t>
  </si>
  <si>
    <t>tenrr2004@gmail.com</t>
  </si>
  <si>
    <t>Катанов Сергей Анатольевич</t>
  </si>
  <si>
    <t>Katanova76@mail.ru</t>
  </si>
  <si>
    <t>Кутырева Ирина Олеговна</t>
  </si>
  <si>
    <t>Irinakut95@mail.ru</t>
  </si>
  <si>
    <t>Андилевко Денис Анатольевич</t>
  </si>
  <si>
    <t>naturaljob@yandex.ru</t>
  </si>
  <si>
    <t>Кухлянский Алексей Сергеевич</t>
  </si>
  <si>
    <t>akukhlya@gmail.com</t>
  </si>
  <si>
    <t>Семенов Василий Васильевич</t>
  </si>
  <si>
    <t>vvsemenov1977@mail.ru</t>
  </si>
  <si>
    <t>Бондаренко Михаил Владимирович</t>
  </si>
  <si>
    <t>mixa261193@mail.ru</t>
  </si>
  <si>
    <t>Слепышева Ольга Владимировна</t>
  </si>
  <si>
    <t>28olga@mail.ru</t>
  </si>
  <si>
    <t>Якупов Наиль Сабирзянович</t>
  </si>
  <si>
    <t>asgard-kms@mail.ru</t>
  </si>
  <si>
    <t>Бодрая Татьяна Васильевна</t>
  </si>
  <si>
    <t>Viktoria.muhametsabirova@yandex.ru</t>
  </si>
  <si>
    <t>Степанова Галина Александровна</t>
  </si>
  <si>
    <t>stmazlova@gmail.com</t>
  </si>
  <si>
    <t>Окунев Иван Юрьевич</t>
  </si>
  <si>
    <t>karding2012@gmail.com</t>
  </si>
  <si>
    <t>Дазиденко Юрий Александрович</t>
  </si>
  <si>
    <t>dazidenkoya@rambler.ru</t>
  </si>
  <si>
    <t>Кокарев Александр Александрович</t>
  </si>
  <si>
    <t>sveta-7474@yandex.ru</t>
  </si>
  <si>
    <t>Ляпунова Ирина Ивановна</t>
  </si>
  <si>
    <t>Rodrlgo63@mail.ru</t>
  </si>
  <si>
    <t>Соколов Алексей Константинович</t>
  </si>
  <si>
    <t>Sokolov-l-2010@mail.ru</t>
  </si>
  <si>
    <t>Жаркенева Райхан Махмудовна</t>
  </si>
  <si>
    <t>Raihan_kz777@mail.ru</t>
  </si>
  <si>
    <t>Белослудцева Людмила Анатольевна</t>
  </si>
  <si>
    <t>plutik1973@gmail.com</t>
  </si>
  <si>
    <t>Барышев Александр Владимирович</t>
  </si>
  <si>
    <t>Alex_barysheb@mail.ru</t>
  </si>
  <si>
    <t>Лазарев Александр Витальевич</t>
  </si>
  <si>
    <t>sanek_163rus@mail.ru</t>
  </si>
  <si>
    <t>Курбаева Мария Маратовна</t>
  </si>
  <si>
    <t>egorkin-00@mail.ru</t>
  </si>
  <si>
    <t>Пономарева Дагиба Раисовна</t>
  </si>
  <si>
    <t>dagiba.ponomareva@mail.ru</t>
  </si>
  <si>
    <t>Попов Юрий Анатольевич</t>
  </si>
  <si>
    <t>yura.popov1987@mail.ru</t>
  </si>
  <si>
    <t>Уваров Алексей Георгиевич</t>
  </si>
  <si>
    <t>alexei.uvarov@gmail.com</t>
  </si>
  <si>
    <t>Акимова Анна Сергеевна</t>
  </si>
  <si>
    <t>akimovaanna@inbox.ru</t>
  </si>
  <si>
    <t>Гайнутдинов Фаил Минахметович</t>
  </si>
  <si>
    <t>husnullova@list.ru</t>
  </si>
  <si>
    <t>Манукян Астхик Артуровна</t>
  </si>
  <si>
    <t>astkhik.m.a@gmail.com</t>
  </si>
  <si>
    <t>Чугунова Ирина Викторовна</t>
  </si>
  <si>
    <t>chugunova_1979@inbox.ru</t>
  </si>
  <si>
    <t>Овчинников Никита Валерьевич</t>
  </si>
  <si>
    <t>nikita-ok@yandex.ru</t>
  </si>
  <si>
    <t>Панченко Сергей Николаевич</t>
  </si>
  <si>
    <t>psn19750111@gmail.com</t>
  </si>
  <si>
    <t>Образцов Андрей Викторович</t>
  </si>
  <si>
    <t>Obrazcov_AV@mail.ru</t>
  </si>
  <si>
    <t>Рунова Татьяна Михайловна</t>
  </si>
  <si>
    <t>tatiana_8811811@mail.ru</t>
  </si>
  <si>
    <t>Потапова Наталья Николаевна</t>
  </si>
  <si>
    <t>potapova.natali@rambler.ru</t>
  </si>
  <si>
    <t>Рангаева Виктория Николаевна</t>
  </si>
  <si>
    <t>kvn_86@rambler.ru</t>
  </si>
  <si>
    <t>Зайнутдинова Ирина Алексеевна</t>
  </si>
  <si>
    <t>ia110153@mail.ru</t>
  </si>
  <si>
    <t>Светкин Дмитрий Анатольевич</t>
  </si>
  <si>
    <t>mercury-033@ro.ru</t>
  </si>
  <si>
    <t>Харьковская Светлана Николаевна</t>
  </si>
  <si>
    <t>alena.efko.sv@gmail.com</t>
  </si>
  <si>
    <t>Никитин Игорь Вячеславович</t>
  </si>
  <si>
    <t>nikitiniv33@gmail.com</t>
  </si>
  <si>
    <t>Шнель Александра Владимировна</t>
  </si>
  <si>
    <t>riddle__94@mail.ru</t>
  </si>
  <si>
    <t>Бакин Денис Игоревич</t>
  </si>
  <si>
    <t>denisik.bakin@yandex.ru</t>
  </si>
  <si>
    <t>Панова Анна Васильевна</t>
  </si>
  <si>
    <t>73.panova@gmail.com</t>
  </si>
  <si>
    <t>Авдеева Галина Николаевна</t>
  </si>
  <si>
    <t>sergey-av@mail.ru</t>
  </si>
  <si>
    <t>Акиров Рашит Сайфетдинович</t>
  </si>
  <si>
    <t>akirov_rashit@mail.ru</t>
  </si>
  <si>
    <t>Скворцова Олеся Анатольевна</t>
  </si>
  <si>
    <t>ac-dc2015g@yandex.ru</t>
  </si>
  <si>
    <t>Карныгина Марина Анатольевна</t>
  </si>
  <si>
    <t>arsa-mebel@mail.ru</t>
  </si>
  <si>
    <t>Кельчина Олеся Олеговна</t>
  </si>
  <si>
    <t>Kudinova.1988@mail.ru</t>
  </si>
  <si>
    <t>Андрейкина Наталья Александровна</t>
  </si>
  <si>
    <t>alexbezen@mail.ru</t>
  </si>
  <si>
    <t>Самсонов Максим Сергеевич</t>
  </si>
  <si>
    <t>Severjak@rambler.ru</t>
  </si>
  <si>
    <t>Дорофеев Сергей Александрович</t>
  </si>
  <si>
    <t>saav991312@mail.ru</t>
  </si>
  <si>
    <t>Ремнев Евгений Владимирович</t>
  </si>
  <si>
    <t>ev.remnev@gmail.com</t>
  </si>
  <si>
    <t>Другое</t>
  </si>
  <si>
    <t>Разгоняева Дарья Владимировна</t>
  </si>
  <si>
    <t>daryanarazgonyaeva@gmail.com</t>
  </si>
  <si>
    <t>Котиков Сергей Алексеевич</t>
  </si>
  <si>
    <t>samara163@hotmail.com</t>
  </si>
  <si>
    <t>Имаммерзоев Кодирали Тохирджонович</t>
  </si>
  <si>
    <t>musoevkadir@gmail.com</t>
  </si>
  <si>
    <t>Ковредов Александр Николаевич</t>
  </si>
  <si>
    <t>aaanutikkk@mail.ru</t>
  </si>
  <si>
    <t>КУДИНОВ ВИКТОР ЮРЬЕВИЧ</t>
  </si>
  <si>
    <t>Kudinoff.v@mail.ru</t>
  </si>
  <si>
    <t>Николаев Александр Анатольевич</t>
  </si>
  <si>
    <t>elenakudyrova@gmail.com</t>
  </si>
  <si>
    <t>Бабенко Сергей Владимирович</t>
  </si>
  <si>
    <t>bsv1988@mail.ru</t>
  </si>
  <si>
    <t>Луконин Сергей Викторович</t>
  </si>
  <si>
    <t>lukonin_001@mail.ru</t>
  </si>
  <si>
    <t>Николаев Сергей Александрович</t>
  </si>
  <si>
    <t>tanulga@mail.ru</t>
  </si>
  <si>
    <t>ЧУДНЕНКО ЕВГЕНИЙ АНДРЕЕВИЧ</t>
  </si>
  <si>
    <t>chudnenko93@gmail.com</t>
  </si>
  <si>
    <t>Командирова Ирина Алексеевна</t>
  </si>
  <si>
    <t>Gen250@mail.ru</t>
  </si>
  <si>
    <t>Таразанова Мария Александровна</t>
  </si>
  <si>
    <t>c180-87@mail.ru</t>
  </si>
  <si>
    <t>Меликов Артём Георгиевич</t>
  </si>
  <si>
    <t>artemmelikov98@gmail.com</t>
  </si>
  <si>
    <t>Якимова Мария Олеговна</t>
  </si>
  <si>
    <t>victoor.yakimov@gmail.com</t>
  </si>
  <si>
    <t>Байбикова Альмира Маратовна</t>
  </si>
  <si>
    <t>karimova_almira@mail.ru</t>
  </si>
  <si>
    <t>Никоноров Олег Викторович</t>
  </si>
  <si>
    <t>nikonorov88@list.ru</t>
  </si>
  <si>
    <t>Васильев Андрей Викторович</t>
  </si>
  <si>
    <t>dronresp@gmail.com</t>
  </si>
  <si>
    <t>Бильданова Гюзель Харуновна</t>
  </si>
  <si>
    <t>samira12.06@mail.ru</t>
  </si>
  <si>
    <t>Сенновская Оксана Валерьевна</t>
  </si>
  <si>
    <t>volk5.98@mail.ru</t>
  </si>
  <si>
    <t>Носков Михаил Юрьевич</t>
  </si>
  <si>
    <t>panzer007@bk.ru</t>
  </si>
  <si>
    <t>Просвиров Сергей Сергеевич</t>
  </si>
  <si>
    <t>27sergio@mail.ru</t>
  </si>
  <si>
    <t>Гусейнов Эдгар Рахметуллаевич</t>
  </si>
  <si>
    <t>guseinov06101989@icloud.com</t>
  </si>
  <si>
    <t>Балашкина Оксана Васильевна</t>
  </si>
  <si>
    <t>balashkina1979@mail.ru</t>
  </si>
  <si>
    <t>Андросов Сергей Юрьевич</t>
  </si>
  <si>
    <t>nadnik014@yandex.ru</t>
  </si>
  <si>
    <t>Прошина Елена Александровна</t>
  </si>
  <si>
    <t>Eproshina79@mail.ru</t>
  </si>
  <si>
    <t>Гайлис Алексей Валентинович</t>
  </si>
  <si>
    <t>inna69gai@gmail.com</t>
  </si>
  <si>
    <t>Иванова Екатерина Егоровна</t>
  </si>
  <si>
    <t>sergejsalasov23@gmail.com</t>
  </si>
  <si>
    <t>Гришин Андрей Валериевич</t>
  </si>
  <si>
    <t>grishin-a-v@mail.ru</t>
  </si>
  <si>
    <t>Сиразов Марсель Фоатович</t>
  </si>
  <si>
    <t>sirazov.92@gmail.com</t>
  </si>
  <si>
    <t>Муродалиев Акрамджон Мавджудалиевич</t>
  </si>
  <si>
    <t>akpam73@mail.ru</t>
  </si>
  <si>
    <t>Курочкин Дмитрий Александрович</t>
  </si>
  <si>
    <t>skodnik13@mail.ru</t>
  </si>
  <si>
    <t>Размазина Марина Валентиновна</t>
  </si>
  <si>
    <t>artem_abaimov@list.ru</t>
  </si>
  <si>
    <t>Полянская Екатерина Александровна</t>
  </si>
  <si>
    <t>katja-poljanskaja2@rambler.ru</t>
  </si>
  <si>
    <t>Муханов Берик Болатович</t>
  </si>
  <si>
    <t>muchanov94@inbox.ru</t>
  </si>
  <si>
    <t>Амирова Анастасия Геннадьевна</t>
  </si>
  <si>
    <t>Klementevaag@mail.ru</t>
  </si>
  <si>
    <t>БЕРЕЗИНА СВЕТЛАНА АЛЕКСАНДРОВНА</t>
  </si>
  <si>
    <t>cwetyk567@gmail.com</t>
  </si>
  <si>
    <t>ЖУКОВА АНЖЕЛИКА ВАЛЕРЬЕВНА</t>
  </si>
  <si>
    <t>Angel9870@rambler.ru</t>
  </si>
  <si>
    <t>РЯБИКИН ОЛЕГ ВАЛЕРЬЕВИЧ</t>
  </si>
  <si>
    <t>olegryaba@mail.ru</t>
  </si>
  <si>
    <t>Рябков Алексей Александрович</t>
  </si>
  <si>
    <t>ryabkov.alex85@yandex.ru</t>
  </si>
  <si>
    <t>МОСОЛОВ ВАСИЛИЙ ГЕННАДЬЕВИЧ</t>
  </si>
  <si>
    <t>vasekmosol8@icloud.com</t>
  </si>
  <si>
    <t>Симонова Екатерина Геннадьевна</t>
  </si>
  <si>
    <t>van101182@yandex.ru</t>
  </si>
  <si>
    <t>Фильченков Евгений Александрович</t>
  </si>
  <si>
    <t>evgen.fill@yandex.ru</t>
  </si>
  <si>
    <t>СИВАКОВ АРТЕМ ДМИТРИЕВИЧ</t>
  </si>
  <si>
    <t>Sivakov.a.d@yandex.ru</t>
  </si>
  <si>
    <t>Лещева Надежда Петровна</t>
  </si>
  <si>
    <t>nadya.lesheva1974@yandex.ru</t>
  </si>
  <si>
    <t>БАБЕНКО ЕЛЕНА ВИТАЛЬЕВНА</t>
  </si>
  <si>
    <t>helen9702@mail.ru</t>
  </si>
  <si>
    <t>Зубарев Игорь Олегович</t>
  </si>
  <si>
    <t>newgar63@gmail.com</t>
  </si>
  <si>
    <t>Шубин Евгений Геннадьевич</t>
  </si>
  <si>
    <t>Shub2006@mail.ru</t>
  </si>
  <si>
    <t>ФИЛАТОВ ДЕНИС ЮРЬЕВИЧ</t>
  </si>
  <si>
    <t>vbs-samara@rambler.ru</t>
  </si>
  <si>
    <t>Пешкова Татьяна Анатольевна</t>
  </si>
  <si>
    <t>7079812@gmail.com</t>
  </si>
  <si>
    <t>Чекурова Ольга Сергеевна</t>
  </si>
  <si>
    <t>sergeevaolga1988@gmail.com</t>
  </si>
  <si>
    <t>Векилова Ирина Юрьевна</t>
  </si>
  <si>
    <t>vekilova@inbox.ru</t>
  </si>
  <si>
    <t>Бисингалиев Аймрза Абилькаерович</t>
  </si>
  <si>
    <t>abisingaliev@mail.ru</t>
  </si>
  <si>
    <t>Берникова Наталья Александровна</t>
  </si>
  <si>
    <t>natasha19761206@yandex.ru</t>
  </si>
  <si>
    <t>Пономаренко Елена Семеновна</t>
  </si>
  <si>
    <t>delta-163@inbox.ru</t>
  </si>
  <si>
    <t>Будкова Оксана Юрьевна</t>
  </si>
  <si>
    <t>oks60@yandex.ru</t>
  </si>
  <si>
    <t>Черкашина Ирина Вячеславовна</t>
  </si>
  <si>
    <t>rigenkaj2781@mail.ru</t>
  </si>
  <si>
    <t>Ухова Лилия Васильевна</t>
  </si>
  <si>
    <t>Lilkat@mail.ru</t>
  </si>
  <si>
    <t>ГАЛИАКБЕРОВА АЛЬФИЯ РАФАИЛОВНА</t>
  </si>
  <si>
    <t>alfika78@mail.ru</t>
  </si>
  <si>
    <t>ЧАПАЙКИН ПЕТР ВИКТОРОВИЧ</t>
  </si>
  <si>
    <t>chapay7772009@gmail.com</t>
  </si>
  <si>
    <t>Затулеев Антон Алексеевич</t>
  </si>
  <si>
    <t>Luska979@yandex.ru</t>
  </si>
  <si>
    <t>Рубинский Константин Павлович</t>
  </si>
  <si>
    <t>samnikita@mail.ru</t>
  </si>
  <si>
    <t>Хархардин Александр Андреевич</t>
  </si>
  <si>
    <t>BlackTulips@mail.ru</t>
  </si>
  <si>
    <t>Чадина Зоя Юрьевна</t>
  </si>
  <si>
    <t>Chadina.zoya@mail.ru</t>
  </si>
  <si>
    <t>Синекопова Оксана Геннадьевна</t>
  </si>
  <si>
    <t>sog21@mail.ru</t>
  </si>
  <si>
    <t>Кудинова Мария Николаевна</t>
  </si>
  <si>
    <t>mari.kudinova.98@bk.ru</t>
  </si>
  <si>
    <t>Поварова Татьяна Петровна</t>
  </si>
  <si>
    <t>povarovatp@globalvsn.com</t>
  </si>
  <si>
    <t>Мамыркин Александр Владимирович</t>
  </si>
  <si>
    <t>mav-898@yandex.ru</t>
  </si>
  <si>
    <t>ДМИТРИЕВ ДМИТРИЙ ЮРЬЕВИЧ</t>
  </si>
  <si>
    <t>dmitriyeva1984@internet.ru</t>
  </si>
  <si>
    <t>Нехаев Евгений Владимирович</t>
  </si>
  <si>
    <t>Mozg73@yandex.ru</t>
  </si>
  <si>
    <t>Илларионов Евгений Александрович</t>
  </si>
  <si>
    <t>illarionov.evgeniy63@yandex.ru</t>
  </si>
  <si>
    <t>Кистанова Нина Сергеевна</t>
  </si>
  <si>
    <t>kuznetsoff94@mail.ru</t>
  </si>
  <si>
    <t>БОРОДИЧ МАРИНА АЛЕКСАНДРОВНА</t>
  </si>
  <si>
    <t>b0r0dich@yandex.ru</t>
  </si>
  <si>
    <t>Радаева Анна Анатольевна</t>
  </si>
  <si>
    <t>abushov_kostya@mail.ru</t>
  </si>
  <si>
    <t>Заверяев Алексей Николаевич</t>
  </si>
  <si>
    <t>alex5679@mail.ru</t>
  </si>
  <si>
    <t>КОЛЕСИХИНА ТАТЬЯНА АЛЕКСЕЕВНА</t>
  </si>
  <si>
    <t>Kolesihinatatyana@gmail.com</t>
  </si>
  <si>
    <t>Захарова Эльвира Сергеевна</t>
  </si>
  <si>
    <t>pewkovadina@mail.ru</t>
  </si>
  <si>
    <t>Куликова Анастасия Александровна</t>
  </si>
  <si>
    <t>nast.kulikowa@yandex.ru</t>
  </si>
  <si>
    <t>Сливина Ирина Алексеевна</t>
  </si>
  <si>
    <t>slivina.ia@hvorostyanka.ru</t>
  </si>
  <si>
    <t>Мухамеджанова Людмила Сергеевна</t>
  </si>
  <si>
    <t>wokrobs@mail.ru</t>
  </si>
  <si>
    <t>Вретто Марина Евгеньевна</t>
  </si>
  <si>
    <t>marina116363@gmail.com</t>
  </si>
  <si>
    <t>МАЛАХОВА ЕКАТЕРИНА ВЯЧЕСЛАВОВНА</t>
  </si>
  <si>
    <t>malahovakat@mail.ru</t>
  </si>
  <si>
    <t>МАРИНИНА МАРИЯ АЛЕКСАНДРОВНА</t>
  </si>
  <si>
    <t>dyshechka367@rambler.ru</t>
  </si>
  <si>
    <t>Мокшин Владимир Валерьевич</t>
  </si>
  <si>
    <t>Wowqa.m@gmail.com</t>
  </si>
  <si>
    <t>КЛИПИКОВ АНДРЕЙ АЛЕКСАНДРОВИЧ</t>
  </si>
  <si>
    <t>Brain_best_01@mail.ru</t>
  </si>
  <si>
    <t>Персиянцева Наталья Владимировна</t>
  </si>
  <si>
    <t>Persik19@live.com</t>
  </si>
  <si>
    <t>Казверов Андрей Александрович</t>
  </si>
  <si>
    <t>Vybor-63@yandex.ru</t>
  </si>
  <si>
    <t>Руднева Юлия Геннадьевна</t>
  </si>
  <si>
    <t>Mpmk@bk.ru</t>
  </si>
  <si>
    <t>Тюрина Екатерина Александровна</t>
  </si>
  <si>
    <t>kisska125@mail.ru</t>
  </si>
  <si>
    <t>Колычева Инна Валентиновна</t>
  </si>
  <si>
    <t>inna-smp@rambler.ru</t>
  </si>
  <si>
    <t>Долгих Ольга Алексеевна</t>
  </si>
  <si>
    <t>angara1988@yandex.ru</t>
  </si>
  <si>
    <t>Харитонова Татьяна Александровна</t>
  </si>
  <si>
    <t>tatyana.lvova.1982@mail.ru</t>
  </si>
  <si>
    <t>Полунина Наталья Геннадьевна</t>
  </si>
  <si>
    <t>an.polunin@yandex.ru</t>
  </si>
  <si>
    <t>ЖЕСКОВ АЛЕКСАНДР ВЯЧЕСЛАВОВИЧ</t>
  </si>
  <si>
    <t>zheskov63@yandex.ru</t>
  </si>
  <si>
    <t>МИРОШНИЧЕНКО АНТОН АЛЕКСАНДРОВИЧ</t>
  </si>
  <si>
    <t>antonmirosh163@gmail.com</t>
  </si>
  <si>
    <t>Сысоев Юрий Алексеевич</t>
  </si>
  <si>
    <t>Marina@travel63.ru</t>
  </si>
  <si>
    <t>Бурмаков Роман Сергеевич</t>
  </si>
  <si>
    <t>dananik09@gmail.com</t>
  </si>
  <si>
    <t>Власенко Олег Анатольевич</t>
  </si>
  <si>
    <t>oltrsmail@gmail.com</t>
  </si>
  <si>
    <t>Полунин Денис Александрович</t>
  </si>
  <si>
    <t>Den.pol2010@ya.ru</t>
  </si>
  <si>
    <t>Краснова Ирина Александровна</t>
  </si>
  <si>
    <t>krasnovayulia000@yandex.ru</t>
  </si>
  <si>
    <t>Рудакова Дарья Юрьевна</t>
  </si>
  <si>
    <t>rudakovadasha@icloud.com</t>
  </si>
  <si>
    <t>Чанчарова Акслу Аватовна</t>
  </si>
  <si>
    <t>chancharova26@gmail.com</t>
  </si>
  <si>
    <t>Карисова Асель Кусаиновна</t>
  </si>
  <si>
    <t>Karisova.95@mail.ru</t>
  </si>
  <si>
    <t>Сайфуллин Марат Амерзянович</t>
  </si>
  <si>
    <t>chigan163@gmail.com</t>
  </si>
  <si>
    <t>Аитова Ирина Валериевна</t>
  </si>
  <si>
    <t>Aitova.irina2016@yandex.ru</t>
  </si>
  <si>
    <t>Волкова Ирина Сергеевна</t>
  </si>
  <si>
    <t>arisha.volkova.19@inbox.ru</t>
  </si>
  <si>
    <t>Склепкович Антон Евгеньевич</t>
  </si>
  <si>
    <t>S3riousss@gmail.com</t>
  </si>
  <si>
    <t>Мотин Олег Александрович</t>
  </si>
  <si>
    <t>omotin@mail.ru</t>
  </si>
  <si>
    <t>Российская, Светлана Викторовна</t>
  </si>
  <si>
    <t>artem-rossiyskiy@mail.ru</t>
  </si>
  <si>
    <t>УЧАКИНА ЕКАТЕРИНА ВЛАДИМИРОВНА</t>
  </si>
  <si>
    <t>katrine72@mail.ru</t>
  </si>
  <si>
    <t>Егорова Людмила Николаевна</t>
  </si>
  <si>
    <t>malaluns@gmail.com</t>
  </si>
  <si>
    <t>Уткин Евгений Александрович</t>
  </si>
  <si>
    <t>uzhenja@yandex.ru</t>
  </si>
  <si>
    <t>Пономаренко Владимир Алексеевич</t>
  </si>
  <si>
    <t>ДАВЫДОВ АЛЕКСЕЙ АНАТОЛЬЕВИЧ</t>
  </si>
  <si>
    <t>davydov211284@yandex.ru</t>
  </si>
  <si>
    <t>Сологубова Кристина Александровна</t>
  </si>
  <si>
    <t>kristina-gorshko@mail.ru</t>
  </si>
  <si>
    <t>НУРМАМАДШОЕВ МУСЛИМ РАХМАТШОЕВИЧ</t>
  </si>
  <si>
    <t>muslim.nur.0@mail.ru</t>
  </si>
  <si>
    <t>ИСКАКОВА УЛДАЙ ГОПАСОВНА</t>
  </si>
  <si>
    <t>sitkalieva777@mail.ru</t>
  </si>
  <si>
    <t>Норкин Максим Александрович</t>
  </si>
  <si>
    <t>norkin550@gmail.com</t>
  </si>
  <si>
    <t>Ахмедов Махмуд Муродиллоевич</t>
  </si>
  <si>
    <t>v.yagudina1980@yandex.ru</t>
  </si>
  <si>
    <t>Зуева, Татьяна Анатольевна</t>
  </si>
  <si>
    <t>Zuev175@icloud.com</t>
  </si>
  <si>
    <t>Городецкий Сергей Юрьевич</t>
  </si>
  <si>
    <t>Sergey030873@yandex.ru</t>
  </si>
  <si>
    <t>Мотин Александр Петрович</t>
  </si>
  <si>
    <t>Джелилова Алие Эдемовна</t>
  </si>
  <si>
    <t>alka55-55@mail.ru</t>
  </si>
  <si>
    <t>Арстанова Гульнара Игнатьевна</t>
  </si>
  <si>
    <t>gusik_yo@mail.ru</t>
  </si>
  <si>
    <t>Филиппов, Виталий Александрович</t>
  </si>
  <si>
    <t>vittamin@mail.ru</t>
  </si>
  <si>
    <t>Медведев Александр Георгиевич</t>
  </si>
  <si>
    <t>alexchard2012@gmail.com</t>
  </si>
  <si>
    <t>СМЕРНИЦКИЙ ВИТАЛИЙ ГЕННАДЬЕВИЧ</t>
  </si>
  <si>
    <t>sv063@bk.ru</t>
  </si>
  <si>
    <t>Филимонова Надежда Сергеевна</t>
  </si>
  <si>
    <t>filimonova_ns@mail.ru</t>
  </si>
  <si>
    <t>ВИШНЯКОВ ФЕДОР СЕРГЕЕВИЧ</t>
  </si>
  <si>
    <t>f.vishnyaKov@mail.ru</t>
  </si>
  <si>
    <t>СЛОБОДЧИКОВ ВИКТОР МИХАЙЛОВИЧ</t>
  </si>
  <si>
    <t>Viktor.slobodchikov@bk.ru</t>
  </si>
  <si>
    <t>Ульченко Ольга Валерьевна</t>
  </si>
  <si>
    <t>OLGAulchenko@rambler.ru</t>
  </si>
  <si>
    <t>Привалова Людмила Юрьевна</t>
  </si>
  <si>
    <t>volavirp@yandex.ru</t>
  </si>
  <si>
    <t>Шацких Евгений Игоревич</t>
  </si>
  <si>
    <t>Shatskih163@gmail.com</t>
  </si>
  <si>
    <t>Турков Дмитрий Владимироич</t>
  </si>
  <si>
    <t>dm.turkov@mail.ru</t>
  </si>
  <si>
    <t>ЯШИН ПАВЕЛ ЮРЬЕВИЧ</t>
  </si>
  <si>
    <t>Pavelyashin1971@gmail.com</t>
  </si>
  <si>
    <t>ЕГОРОВ ДМИТРИЙ ВИКТОРОВИЧ</t>
  </si>
  <si>
    <t>egorov.dv92@icloud.com</t>
  </si>
  <si>
    <t>Сопова Анастасия Александровна</t>
  </si>
  <si>
    <t>sopovaaa@bk.ru</t>
  </si>
  <si>
    <t>Земсков Роман Владимирович</t>
  </si>
  <si>
    <t>zemskovzema@mail.ru</t>
  </si>
  <si>
    <t>Котерева, Марина Васильевна</t>
  </si>
  <si>
    <t>kotereva.m@mail.ru</t>
  </si>
  <si>
    <t>Гузанова Алиса Спартаковна</t>
  </si>
  <si>
    <t>alisaguzanva@rambler.ru</t>
  </si>
  <si>
    <t>Шевякова Ольга Владимировна</t>
  </si>
  <si>
    <t>polt-vladimir@yandex.ru</t>
  </si>
  <si>
    <t>Писарева Наталья Петровна</t>
  </si>
  <si>
    <t>pisareva.55@list.ru</t>
  </si>
  <si>
    <t>Турдиева Надира Косимовна</t>
  </si>
  <si>
    <t>nodirakhon.turdieva@bk.ru</t>
  </si>
  <si>
    <t>ВИШНЯКОВА ВИКТОРИЯ ВИКТОРОВНА</t>
  </si>
  <si>
    <t>vennika@yandex.ru</t>
  </si>
  <si>
    <t>Васильев Виктор Владимирович</t>
  </si>
  <si>
    <t>doublekris37@gmail.com</t>
  </si>
  <si>
    <t>Буров Леонид Олегович</t>
  </si>
  <si>
    <t>lenya_burov@mail.ru</t>
  </si>
  <si>
    <t>Пустобаев Сергей Алексеевич</t>
  </si>
  <si>
    <t>pustobaev.sergei@mail.ru</t>
  </si>
  <si>
    <t>АБРААМЯН СУРЕН СЕРЕЖЕВИЧ</t>
  </si>
  <si>
    <t>suren-abraamyan@mail.ru</t>
  </si>
  <si>
    <t>Осипова Ольга Игоревна</t>
  </si>
  <si>
    <t>lina.osipova.2018@inbox.ru</t>
  </si>
  <si>
    <t>Байкулова Ольга Витальевна</t>
  </si>
  <si>
    <t>olga.chepakova@mail.ru</t>
  </si>
  <si>
    <t>Кузьменко Виталий Владимирович</t>
  </si>
  <si>
    <t>bestslime@mail.ru</t>
  </si>
  <si>
    <t>Корежин, Дмитрий Геннадьевич</t>
  </si>
  <si>
    <t>dmitrii-korezhin@mail.ru</t>
  </si>
  <si>
    <t>Колесников Николай Анатольевич</t>
  </si>
  <si>
    <t>Nikolay-kolesnikov92@mail.ru</t>
  </si>
  <si>
    <t>Нураев Фярхать Дефярович</t>
  </si>
  <si>
    <t>al1mu2nu3p1n2@mail.ru</t>
  </si>
  <si>
    <t>Иващев Владимир Федорович</t>
  </si>
  <si>
    <t>ivf585@yandex.ru</t>
  </si>
  <si>
    <t>Моисеев Петр Владимирович</t>
  </si>
  <si>
    <t>irina-solkina@mail.ru</t>
  </si>
  <si>
    <t>Разливанова Елена Александровна</t>
  </si>
  <si>
    <t>Razlivanov94@mail.ru</t>
  </si>
  <si>
    <t>Киселев Роман Павлович</t>
  </si>
  <si>
    <t>Romakise@rambler.ru</t>
  </si>
  <si>
    <t>Оганисян Айк Саядович</t>
  </si>
  <si>
    <t>haykrim0197@yandex.ru</t>
  </si>
  <si>
    <t>Притолюк Денис Витальевич</t>
  </si>
  <si>
    <t>skorp-den@mail.ru</t>
  </si>
  <si>
    <t>СУМАРОКОВА ИРИНА ВЛАДИМИРОВНА</t>
  </si>
  <si>
    <t>sumarokov.v98@mail.ru</t>
  </si>
  <si>
    <t>Манукян Левон Павликович</t>
  </si>
  <si>
    <t>Lmanukyan89@gmail.com</t>
  </si>
  <si>
    <t>Бобровникова Екатерина</t>
  </si>
  <si>
    <t>Сновида Микаэла Михайловна</t>
  </si>
  <si>
    <t>nata.dyakova.79@inbox.ru</t>
  </si>
  <si>
    <t>Бильданова Джамиля Минигиреевна</t>
  </si>
  <si>
    <t>Aliyabildanova@icloud.com</t>
  </si>
  <si>
    <t>Бекназаров Буниёд Тиллоевич</t>
  </si>
  <si>
    <t>tilloev860111@gmail.com</t>
  </si>
  <si>
    <t>Тулепов Нургали Закарьевич</t>
  </si>
  <si>
    <t>777_almagulya@mail.ru</t>
  </si>
  <si>
    <t>Низамеева Алена Андреевна</t>
  </si>
  <si>
    <t>lelikbeyb@mail.ru</t>
  </si>
  <si>
    <t>Азина Анастасия Геннадьевна</t>
  </si>
  <si>
    <t>iyariclatyshev2@gmail.com</t>
  </si>
  <si>
    <t>Александров Сергей Владимирович</t>
  </si>
  <si>
    <t>ALEKS130884SERJ@mail.ru</t>
  </si>
  <si>
    <t>Грищенко Светлана Витальевна</t>
  </si>
  <si>
    <t>svetlana-150@yandex.ru</t>
  </si>
  <si>
    <t>МЕЩЕРЯКОВ ВАДИМ ДМИТРИЕВИЧ</t>
  </si>
  <si>
    <t>eo18eo@yandex.ru</t>
  </si>
  <si>
    <t>Лаврентьева Марина Павловна</t>
  </si>
  <si>
    <t>marina.lavrenteva.72@mail.ru</t>
  </si>
  <si>
    <t>Мельников Александр Владимирович</t>
  </si>
  <si>
    <t>oorangeskyy@gmail.com</t>
  </si>
  <si>
    <t>Панин Максим Викторович</t>
  </si>
  <si>
    <t>paninmakc@mail.ru</t>
  </si>
  <si>
    <t>ЧЕСНОВА ЭЛЬВИРА ШАВКАТОВНА</t>
  </si>
  <si>
    <t>elvira.chesnova@mail.ru</t>
  </si>
  <si>
    <t>Хазиров Булат Гарифуллович</t>
  </si>
  <si>
    <t>khazirv@rambler.ru</t>
  </si>
  <si>
    <t>Хабарина Вера Федоровна</t>
  </si>
  <si>
    <t>khabarinvv@mail.ru</t>
  </si>
  <si>
    <t>Порунов Алексей Викторович</t>
  </si>
  <si>
    <t>porunov81@mail.ru</t>
  </si>
  <si>
    <t>Кривов Денис Владимирович</t>
  </si>
  <si>
    <t>Krivoolia@bk.ru</t>
  </si>
  <si>
    <t>Григорян Нунэ Карленовна</t>
  </si>
  <si>
    <t>arturg.88@mail.ru</t>
  </si>
  <si>
    <t>Захаров Кирилл Константинович</t>
  </si>
  <si>
    <t>19kirill97z@gmail.com</t>
  </si>
  <si>
    <t>Кулясова Татьяна Валерьевна</t>
  </si>
  <si>
    <t>kulyasova998@mail.ru</t>
  </si>
  <si>
    <t>Уртамбаева Айжан Камидуллаевна</t>
  </si>
  <si>
    <t>aizhan4ik.93@mail.ru</t>
  </si>
  <si>
    <t>КАГИРОВА АЛИЯ РАВИЛЬЕВНА</t>
  </si>
  <si>
    <t>aliyakagirova@yandex.ru</t>
  </si>
  <si>
    <t>Шкарин Александр Геннадьевич</t>
  </si>
  <si>
    <t>dmitry-sytchev@rambler.ru</t>
  </si>
  <si>
    <t>Лопатинская Татьяна Александровна</t>
  </si>
  <si>
    <t>tatiana.lopatinskaya@yandex.ru</t>
  </si>
  <si>
    <t>Сорокина Ольга Александровна</t>
  </si>
  <si>
    <t>s.r.19@yandex.ru</t>
  </si>
  <si>
    <t>Куликов Юрий Вячеславович</t>
  </si>
  <si>
    <t>KYV01061966@mail.ru</t>
  </si>
  <si>
    <t>Фасахов Алмаз Асхатович</t>
  </si>
  <si>
    <t>anyuta-samara@yandex.ru</t>
  </si>
  <si>
    <t>Рожнякова Дарья Александровна</t>
  </si>
  <si>
    <t>Dasha06387@mail.ru</t>
  </si>
  <si>
    <t>Балакирев Алексей Алексеевич</t>
  </si>
  <si>
    <t>abalakirev@inbox.ru</t>
  </si>
  <si>
    <t>НИКИТИН АЛЕКСЕЙ ВЛАДИМИРОВИЧ</t>
  </si>
  <si>
    <t>baevka@bk.ru</t>
  </si>
  <si>
    <t>Удовенко Валерий Николаевич</t>
  </si>
  <si>
    <t>udovenko_lily@mail.ru</t>
  </si>
  <si>
    <t>Кузьмин Евгений Владимирович</t>
  </si>
  <si>
    <t>new2017@mail.ru</t>
  </si>
  <si>
    <t>Олейников Артем Юрьевич</t>
  </si>
  <si>
    <t>oleuv123@yandex.ru</t>
  </si>
  <si>
    <t>Сысоева Оксана Леонидовна</t>
  </si>
  <si>
    <t>ДД-1/3-05/337</t>
  </si>
  <si>
    <t>Минигалимов Радиф Мазитович</t>
  </si>
  <si>
    <t>ГОНТАРЕНКО АЛЛА ВИКТОРОВНА</t>
  </si>
  <si>
    <t>All352005@yandex.ru</t>
  </si>
  <si>
    <t>НИКИШОВ МИХАИЛ АНАТОЛЬЕВИЧ</t>
  </si>
  <si>
    <t>Nikmihail82@yandex.ru</t>
  </si>
  <si>
    <t>Шебела, Михаил Иванович</t>
  </si>
  <si>
    <t>shiba199133@gmail.com</t>
  </si>
  <si>
    <t>Ларьков Вадим Игоревич</t>
  </si>
  <si>
    <t>ТОКАРЕВА ВЕРА НИКОЛАЕВНА</t>
  </si>
  <si>
    <t>tokarevavera@yandex.ru</t>
  </si>
  <si>
    <t>Хаерзаманов Рафаэль Рашитович</t>
  </si>
  <si>
    <t>seahawkru@gmail.com</t>
  </si>
  <si>
    <t>Макаров Анатолий Анатольевич</t>
  </si>
  <si>
    <t>Makarovone2015@gmail.com</t>
  </si>
  <si>
    <t>Василенко Светлана Вениаминовна</t>
  </si>
  <si>
    <t>Vasilenko.s.v@yandex.ru</t>
  </si>
  <si>
    <t>olesakulikova105@gmail.com</t>
  </si>
  <si>
    <t>ЖУРАВЛЕВ АЛЕКСАНДР НИКОЛАЕВИЧ</t>
  </si>
  <si>
    <t>anz-s@mail.ru</t>
  </si>
  <si>
    <t>АСТАФЬЕВ СЕРГЕЙ ВИКТОРОВИЧ</t>
  </si>
  <si>
    <t>egypt06@mail.ru</t>
  </si>
  <si>
    <t>Диенко, Алексей Владимирович</t>
  </si>
  <si>
    <t>lana.t.95@mail.ru</t>
  </si>
  <si>
    <t>КАУФМАНН ЕВГЕНИЙ ИГОРЕВИЧ</t>
  </si>
  <si>
    <t>Ledystyle2@mail.ru</t>
  </si>
  <si>
    <t>ПЕТРУНИН ДЕНИС СЕРГЕЕВИЧ</t>
  </si>
  <si>
    <t>28331vh@mail.ru</t>
  </si>
  <si>
    <t>Молостов Константин Владимирович</t>
  </si>
  <si>
    <t>molostovkv@mail.ru</t>
  </si>
  <si>
    <t>ИНОЗЕМЦЕВА ЕКАТЕРИНА КОНСТАНТИНОВНА</t>
  </si>
  <si>
    <t>Velichko-2009@mail.ru</t>
  </si>
  <si>
    <t>Белов Артём Алексеевич</t>
  </si>
  <si>
    <t>White01www1988@mail.ru</t>
  </si>
  <si>
    <t>Малькова Юлия Игоревна</t>
  </si>
  <si>
    <t>malkova.iu@yandex.ru</t>
  </si>
  <si>
    <t>Депутатов Никита Витальевич</t>
  </si>
  <si>
    <t>deputatov.stom@mail.ru</t>
  </si>
  <si>
    <t>Малахова Наталья Сергеевна</t>
  </si>
  <si>
    <t>n.malakhova-63@mail.ru</t>
  </si>
  <si>
    <t>МЕЙХЕР ОКСАНА ГЕННАДЬЕВНА</t>
  </si>
  <si>
    <t>Meykher1983@mail.ru</t>
  </si>
  <si>
    <t>Федюкова Наталья Евгеньевна</t>
  </si>
  <si>
    <t>ЗУБОВ МИХАИЛ ВАЛЕРЬЕВИЧ</t>
  </si>
  <si>
    <t>al-biruni@ya.ru</t>
  </si>
  <si>
    <t>Аптечкин, Максим Владимирович</t>
  </si>
  <si>
    <t>Irinaaptechkina@mail.ru</t>
  </si>
  <si>
    <t>ШИМАНЧИК НАТАЛЬЯ ЕВГЕНЬЕВНА</t>
  </si>
  <si>
    <t>Danilkin.denis@mail.ru</t>
  </si>
  <si>
    <t>БЕРЕЖНАЯ ГЮЛЬНАРА ЭДУАРДОВНА</t>
  </si>
  <si>
    <t>John.Doe32@mail.ru</t>
  </si>
  <si>
    <t>Самойленко Василий Васильевич</t>
  </si>
  <si>
    <t>samoilenko-66@mail.ru</t>
  </si>
  <si>
    <t>ФОМИН ДМИТРИЙ АЛЕКСАНДРОВИЧ</t>
  </si>
  <si>
    <t>coccok@mail.ru</t>
  </si>
  <si>
    <t>Мещеряков Владимир Владимирович</t>
  </si>
  <si>
    <t>vm6004934@yandex.ru</t>
  </si>
  <si>
    <t>Иванов Сергей Валерьевич</t>
  </si>
  <si>
    <t>veroniika1986@mail.ru</t>
  </si>
  <si>
    <t>Чижкова, Светлана Владимировна</t>
  </si>
  <si>
    <t>svchso@gmail.com</t>
  </si>
  <si>
    <t>Зеленова Дарья Андреевна</t>
  </si>
  <si>
    <t>Ree-bok@yandex.ru</t>
  </si>
  <si>
    <t>ШИНИНА АННА МИХАЙЛОВНА</t>
  </si>
  <si>
    <t>shininanet@gmail.com</t>
  </si>
  <si>
    <t>Шляпугин Андрей Александрович</t>
  </si>
  <si>
    <t>scar_-_ckk@mail.ru</t>
  </si>
  <si>
    <t>Пермяков Александр Владимирович</t>
  </si>
  <si>
    <t>permyakov16011980@mail.ru</t>
  </si>
  <si>
    <t>СТРЕЛЬЦОВА ВАЛЕНТИНА ВИКТОРОВНА</t>
  </si>
  <si>
    <t>ss198@mail.ru</t>
  </si>
  <si>
    <t>Зарщиков Андрей Владимирович</t>
  </si>
  <si>
    <t>КАБАСАКАЛОВ ВЯЧИСЛАВ ВЯЧИСЛАВОВИЧ</t>
  </si>
  <si>
    <t>markova_katerina96@inbox.ru</t>
  </si>
  <si>
    <t>Хурамшина Ксения Юрьевна</t>
  </si>
  <si>
    <t>Просвирнин Сергей Викторович</t>
  </si>
  <si>
    <t>proswirnin.serezha2017@yandex.ru</t>
  </si>
  <si>
    <t>ПОЛУКАРОВ АЛЕКСЕЙ АНДРЕЕВИЧ</t>
  </si>
  <si>
    <t>olga.polukarova.95@mail.ru</t>
  </si>
  <si>
    <t>Верхоглядов Павел Олегович</t>
  </si>
  <si>
    <t>dongod@bk.ru</t>
  </si>
  <si>
    <t>Терентьев Виктор Александрович</t>
  </si>
  <si>
    <t>viktor_terentyev@mail.ru</t>
  </si>
  <si>
    <t>Гараева Ирина Александровна</t>
  </si>
  <si>
    <t>irengaraeva@yandex.ru</t>
  </si>
  <si>
    <t>Ткачук Евгения Николаевна</t>
  </si>
  <si>
    <t>evgeniatkacuk2@gmail.com</t>
  </si>
  <si>
    <t>ДД-1/1-15/132</t>
  </si>
  <si>
    <t>Пудовкина Юлия Сергеевна</t>
  </si>
  <si>
    <t>Доронина Светлана Евгеньевна</t>
  </si>
  <si>
    <t>tropinkakatya@mail.ru</t>
  </si>
  <si>
    <t>Калашникова Елена Михайловна</t>
  </si>
  <si>
    <t>Elenak1905@mail.ru</t>
  </si>
  <si>
    <t>БОИНА ИРИНА ВИКТОРОВНА</t>
  </si>
  <si>
    <t>ivboina@bk.ru</t>
  </si>
  <si>
    <t>АБРААМЯН АРТУР ЮРИЕВИЧ</t>
  </si>
  <si>
    <t>artur_abraamyan_79@mail.ru</t>
  </si>
  <si>
    <t>Куринной Александр Владимирович</t>
  </si>
  <si>
    <t>Caneknet@mail.ru</t>
  </si>
  <si>
    <t>Ефремов Юрий Алексеевич</t>
  </si>
  <si>
    <t>eyrik777@mail.ru</t>
  </si>
  <si>
    <t>ТОМАШЕВСКАЯ СОФИЯ АЛЕКСАНДРОВНА</t>
  </si>
  <si>
    <t>tomsofiya@rambler.ru</t>
  </si>
  <si>
    <t>Кромский Алексей Павлович</t>
  </si>
  <si>
    <t>www.kromskiy@mail.ru</t>
  </si>
  <si>
    <t>Комиссарова Юлия Юрьевна</t>
  </si>
  <si>
    <t>Kom3235@yandex.ru</t>
  </si>
  <si>
    <t>Евсюков Роман Владимирович</t>
  </si>
  <si>
    <t>roman582@bk.ru</t>
  </si>
  <si>
    <t>ДД-1/1-02/002</t>
  </si>
  <si>
    <t>Ульянов Олег Николаевич</t>
  </si>
  <si>
    <t>Скворцов Владислав Игоревич</t>
  </si>
  <si>
    <t>kostina19.99@mail.ru</t>
  </si>
  <si>
    <t>КАРНАУХОВА КСЕНИЯ ЮРЬЕВНА</t>
  </si>
  <si>
    <t>kkarnauhova_88@mail.ru</t>
  </si>
  <si>
    <t>Гайганова Ульяна Геннадьевна</t>
  </si>
  <si>
    <t>gayganovaulyana@gmail.com</t>
  </si>
  <si>
    <t>Попова Ирина Юрьевна</t>
  </si>
  <si>
    <t>natali.popova999@icloud.com</t>
  </si>
  <si>
    <t>Мелконян Самвел Артурович</t>
  </si>
  <si>
    <t>melkonyan.s@mail.ru</t>
  </si>
  <si>
    <t>КАЛАШНИКОВА ЮЛИЯ АЛЕКСЕЕВНА</t>
  </si>
  <si>
    <t>yulya.pershina.1993@mail.ru</t>
  </si>
  <si>
    <t>Сапрыкина Галина Павловна</t>
  </si>
  <si>
    <t>FIFA-112@mail.ru</t>
  </si>
  <si>
    <t>Петрова Надежда Яковлевна</t>
  </si>
  <si>
    <t>Flower.999@mail.ru</t>
  </si>
  <si>
    <t>Джаксумбаев Бауржан Рамазанович</t>
  </si>
  <si>
    <t>baur9326@gmail.com</t>
  </si>
  <si>
    <t>Литвинова Ксения Юрьевна</t>
  </si>
  <si>
    <t>Ksukarmel@mail.ru</t>
  </si>
  <si>
    <t>Кравчук Юлия Николаевна</t>
  </si>
  <si>
    <t>Djskl@bk.ru</t>
  </si>
  <si>
    <t>Шилин Михаил Александрович</t>
  </si>
  <si>
    <t>mikhashilinshilin@yandex.ru</t>
  </si>
  <si>
    <t>Лукьянова Юлия Равильевна</t>
  </si>
  <si>
    <t>Lukyanovayulia@bk.ru</t>
  </si>
  <si>
    <t>Рыжова Нина Геннадьевна</t>
  </si>
  <si>
    <t>mng1982@bk.ru</t>
  </si>
  <si>
    <t>Прозоров Павел Николаевич</t>
  </si>
  <si>
    <t>elizavetaprozorova@yandex.ru</t>
  </si>
  <si>
    <t>Земцов Виктор Аркадьевич</t>
  </si>
  <si>
    <t>Vitya.zemtsov@mail.ru</t>
  </si>
  <si>
    <t>Шведов Павел Николаевич</t>
  </si>
  <si>
    <t>Shved_samara@mail.ru</t>
  </si>
  <si>
    <t>Нешитая Мария Аркадьевна</t>
  </si>
  <si>
    <t>volkov1013@mail.ru</t>
  </si>
  <si>
    <t>Лесных Айгуль Абугалиевна</t>
  </si>
  <si>
    <t>ya_luntik@mail.ru</t>
  </si>
  <si>
    <t>Кочергин Сергей Михайлович</t>
  </si>
  <si>
    <t>serezhenka_kochergin@mail.ru</t>
  </si>
  <si>
    <t>Дугушов Андрей Валериевич</t>
  </si>
  <si>
    <t>dugushov1977@mail.ru</t>
  </si>
  <si>
    <t>Кулаков Виктор Сергеевич</t>
  </si>
  <si>
    <t>ae.nwc@mail.ru</t>
  </si>
  <si>
    <t>Лаухина Елена Васильевна</t>
  </si>
  <si>
    <t>Lena_Lau@mail.ru</t>
  </si>
  <si>
    <t>Воронин Николай Сергеевич</t>
  </si>
  <si>
    <t>nikolajvoronin63@gmail.com</t>
  </si>
  <si>
    <t>Арисова Марина Петровна</t>
  </si>
  <si>
    <t>Иванова Марина Ивановна</t>
  </si>
  <si>
    <t>Suhova5599@mail.ru</t>
  </si>
  <si>
    <t>Деревянкина Валентина Викторовна</t>
  </si>
  <si>
    <t>agach@mail.ru</t>
  </si>
  <si>
    <t>Булатова Екатерина Валерьевна</t>
  </si>
  <si>
    <t>Katerina0122@yandex.ru</t>
  </si>
  <si>
    <t>Зайцев Олег Николаевич</t>
  </si>
  <si>
    <t>yan7557@yandex.ru</t>
  </si>
  <si>
    <t>Панков Николай Александрович</t>
  </si>
  <si>
    <t>yana22pankova@gmail.com</t>
  </si>
  <si>
    <t>Кромский Александр Павлович</t>
  </si>
  <si>
    <t>kromskiysanek3@gmail.com</t>
  </si>
  <si>
    <t>Соколов Виктор Викторович</t>
  </si>
  <si>
    <t>elrass@list.ru</t>
  </si>
  <si>
    <t>Уткелбаева Жанара Дсуповна</t>
  </si>
  <si>
    <t>ulyan_uralsk@mail.ru</t>
  </si>
  <si>
    <t>Сафонова Татьяна Сергеевна</t>
  </si>
  <si>
    <t>Safonovatanya1990@gmail.com</t>
  </si>
  <si>
    <t>Тихомиров Егор Георгиевич</t>
  </si>
  <si>
    <t>Крыга Алексей Александрович</t>
  </si>
  <si>
    <t>Krygat@ucloud.com</t>
  </si>
  <si>
    <t>Федисова Маргарита Александровна</t>
  </si>
  <si>
    <t>oh_rita_rita@mail.ru</t>
  </si>
  <si>
    <t>Григорьева Олеся Евгеньевна</t>
  </si>
  <si>
    <t>raketa2508@icloud.com</t>
  </si>
  <si>
    <t>Вагизов Артур Талгатович</t>
  </si>
  <si>
    <t>svi_rabota@mail.ru</t>
  </si>
  <si>
    <t>Загорулько Евгений Андреевич</t>
  </si>
  <si>
    <t>Zagorulko_04@mail.ru</t>
  </si>
  <si>
    <t>Соколова Эльза Рякибовна</t>
  </si>
  <si>
    <t>sokolovajulia11012@gmail.com</t>
  </si>
  <si>
    <t>АВЕРКИЕВА ТАТЬЯНА МИХАЙЛОВНА</t>
  </si>
  <si>
    <t>s_averkiev@mail.ru</t>
  </si>
  <si>
    <t>Исаева Мария Юрьевна</t>
  </si>
  <si>
    <t>intertop10@mail.ru</t>
  </si>
  <si>
    <t>Алексеева Мария Федоровна</t>
  </si>
  <si>
    <t>stasia-27@yandex.ru</t>
  </si>
  <si>
    <t>Корбан Сергей Александрович</t>
  </si>
  <si>
    <t>korsa1995@gmail.ru</t>
  </si>
  <si>
    <t>Попов Олег Николаевич</t>
  </si>
  <si>
    <t>popova19787@gmail.com</t>
  </si>
  <si>
    <t>Евстигнеева Екатерина Юрьевна</t>
  </si>
  <si>
    <t>kat93-mail.ru@yandex.ru</t>
  </si>
  <si>
    <t>Илясова Светлана Викторовна</t>
  </si>
  <si>
    <t>sv.iliasova@yandex.ru</t>
  </si>
  <si>
    <t>Гималетдинова Зарина Радиковна</t>
  </si>
  <si>
    <t>ilnazei@icloud.com</t>
  </si>
  <si>
    <t>Мариныч Анатолий</t>
  </si>
  <si>
    <t>Евсеева Светлана Владимировна</t>
  </si>
  <si>
    <t>dmtrjjvsv@rambler.ru</t>
  </si>
  <si>
    <t>Решетов Кирилл Сергеевич</t>
  </si>
  <si>
    <t>ly4manov@yandex.ru</t>
  </si>
  <si>
    <t>Халиулин Ришат Романович</t>
  </si>
  <si>
    <t>khaliulin163@mail.ru</t>
  </si>
  <si>
    <t>Соколова Наталья Викторовна</t>
  </si>
  <si>
    <t>natalya-cliring@mail.ru</t>
  </si>
  <si>
    <t>Ошкин Александр Андреевич</t>
  </si>
  <si>
    <t>Мирошкина Любовь Викторовна</t>
  </si>
  <si>
    <t>MIROSHKINA-1960@YANDEX.RU</t>
  </si>
  <si>
    <t>Пестрова Татьяна Олеговна</t>
  </si>
  <si>
    <t>logist@nwc-g.com</t>
  </si>
  <si>
    <t>Савенков Юрий Николаевич</t>
  </si>
  <si>
    <t>Syn7474@mail.ru</t>
  </si>
  <si>
    <t>Казакова Мария Сергеевна</t>
  </si>
  <si>
    <t>marusj100982@yandex.ru</t>
  </si>
  <si>
    <t>cagdas.ak34@gmail.com</t>
  </si>
  <si>
    <t>Николаева, Ксения Александровна</t>
  </si>
  <si>
    <t>kseniya.nikolayeva.1996@mail.ru</t>
  </si>
  <si>
    <t>Шульдешов Дмитрий Петрович</t>
  </si>
  <si>
    <t>raket108500@mail.ru</t>
  </si>
  <si>
    <t>Петрова Ирина Юрьевна</t>
  </si>
  <si>
    <t>ip_ip2018@list.ru</t>
  </si>
  <si>
    <t>Суханова Наталья Геннадьевна</t>
  </si>
  <si>
    <t>nata20163009@gmail.com</t>
  </si>
  <si>
    <t>Ушков Павел Владимирович</t>
  </si>
  <si>
    <t>Strix925@yandex.ru</t>
  </si>
  <si>
    <t>Голубев Валерий Михайлович</t>
  </si>
  <si>
    <t>gol_86@list.ru</t>
  </si>
  <si>
    <t>Харлашин Андрей Олегович</t>
  </si>
  <si>
    <t>olgysha19950@gmail.com</t>
  </si>
  <si>
    <t>Дубошин Николай Юрьевич</t>
  </si>
  <si>
    <t>dnu58@rambler.ru</t>
  </si>
  <si>
    <t>Гоголь Светлана Петровна</t>
  </si>
  <si>
    <t>Svetlanaggl@rambler.ru</t>
  </si>
  <si>
    <t>Цыганова Лариса Васильевна</t>
  </si>
  <si>
    <t>larissa100560@yandex.ru</t>
  </si>
  <si>
    <t>Майстренко Сергей Владимирович</t>
  </si>
  <si>
    <t>Nsk446200@mail.ru</t>
  </si>
  <si>
    <t>Вилькотзин Ольга Валериевна</t>
  </si>
  <si>
    <t>kudryavaya-samara@yandex.ru</t>
  </si>
  <si>
    <t>Мурзакова Татьяна Николаевна</t>
  </si>
  <si>
    <t>mur.tanya86@mail.ru</t>
  </si>
  <si>
    <t>Гришаева Екатерина Владимировна</t>
  </si>
  <si>
    <t>katerina293@mail.ru</t>
  </si>
  <si>
    <t>Узбяков Рушан Харрясьевич</t>
  </si>
  <si>
    <t>rais.ru@inbox.ru</t>
  </si>
  <si>
    <t>Исакова Екатерина Олеговна</t>
  </si>
  <si>
    <t>tomkrys@mail.ru</t>
  </si>
  <si>
    <t>Кадиров Хазратали Усмонович</t>
  </si>
  <si>
    <t>Chambers89-89@mail.ru</t>
  </si>
  <si>
    <t>Возненко Наталия Ивановна</t>
  </si>
  <si>
    <t>lady.nata38@yandex.ru</t>
  </si>
  <si>
    <t>Утешев Альберт Мурзагалиевич</t>
  </si>
  <si>
    <t>uteshev.albert@bk.ru</t>
  </si>
  <si>
    <t>Приц Наталья Игоревна</t>
  </si>
  <si>
    <t>Alpric@yandex.ru</t>
  </si>
  <si>
    <t>Малышева Татьяна Ивановна</t>
  </si>
  <si>
    <t>vl.m65@mail.ru</t>
  </si>
  <si>
    <t>Рогожина Ольга Викторовна</t>
  </si>
  <si>
    <t>rogozhinaov@mail.ru</t>
  </si>
  <si>
    <t>Варюхин Вячеслав Викторович</t>
  </si>
  <si>
    <t>Зирюкина Татьяна Николаевна</t>
  </si>
  <si>
    <t>ziryukina@gesnv.ru</t>
  </si>
  <si>
    <t>Слепов Алексей Александрович</t>
  </si>
  <si>
    <t>aleksey_111@mail.ru</t>
  </si>
  <si>
    <t>Павлов Евгений Витальевич</t>
  </si>
  <si>
    <t>ewgenypavlov@yandex.ru</t>
  </si>
  <si>
    <t>Кирдяпкина, Елена Александровна</t>
  </si>
  <si>
    <t>Порывай Максим Романович</t>
  </si>
  <si>
    <t>max5289565@gmail.com</t>
  </si>
  <si>
    <t>Борисов Игорь Иванович</t>
  </si>
  <si>
    <t>Назаркина Оксана Станиславовна</t>
  </si>
  <si>
    <t>nazarkina.oksana@mail.ru</t>
  </si>
  <si>
    <t>Мякисев Николай Леонидович</t>
  </si>
  <si>
    <t>nikola0610@bk.ru</t>
  </si>
  <si>
    <t>Гафарова Мария Александровна</t>
  </si>
  <si>
    <t>matrewka_87@mail.ru</t>
  </si>
  <si>
    <t>Ланкин Алексей Федорович</t>
  </si>
  <si>
    <t>ch-angela@mail.ru</t>
  </si>
  <si>
    <t>Зарипова Эльмира Мусагитовна</t>
  </si>
  <si>
    <t>elnar.zaripov2011@yandex.ru</t>
  </si>
  <si>
    <t>Зарипова Руфия Мухтасаровна</t>
  </si>
  <si>
    <t>Rufiazaripova@yandex.ru</t>
  </si>
  <si>
    <t>Позняков Дмитрий Владимирович</t>
  </si>
  <si>
    <t>poznyakov.dmitriy@mail.ru</t>
  </si>
  <si>
    <t>Сизова Лилия Андреевна</t>
  </si>
  <si>
    <t>Тугушева Лилия Вильдановна</t>
  </si>
  <si>
    <t>tugusheva.80@bk.ru</t>
  </si>
  <si>
    <t>Антонова Юлия Валерьевна</t>
  </si>
  <si>
    <t>julia_antonova_01@mail.ru</t>
  </si>
  <si>
    <t>Журавлев Дмитрий Станиславович</t>
  </si>
  <si>
    <t>Turondim63@yandex.ru</t>
  </si>
  <si>
    <t>Каракова Виктория Николаевна</t>
  </si>
  <si>
    <t>Кривуля Эвелина Валерьевна</t>
  </si>
  <si>
    <t>evelinafbu@yandex.ru</t>
  </si>
  <si>
    <t>Кузнецова Ольга Евгеньевна</t>
  </si>
  <si>
    <t>olga6040@icloud.com</t>
  </si>
  <si>
    <t>Никитина Татьяна Владимировна</t>
  </si>
  <si>
    <t>tomasvulf@gmail.com</t>
  </si>
  <si>
    <t>Жамбатырова Равиля Юсуповна</t>
  </si>
  <si>
    <t>zryu1973@mail.ru</t>
  </si>
  <si>
    <t>Борисова Наталья Григорьевна</t>
  </si>
  <si>
    <t>dmitriyborisov1967@gmail.com</t>
  </si>
  <si>
    <t>Хайдаров Дамир Рамузович</t>
  </si>
  <si>
    <t>santa_damir@mail.ru</t>
  </si>
  <si>
    <t>Болотина Мария Федоровна</t>
  </si>
  <si>
    <t>Badanovaea@mail.ru</t>
  </si>
  <si>
    <t>Калинкин Сергей Валентинович</t>
  </si>
  <si>
    <t>kalinchik2420@mail.ru</t>
  </si>
  <si>
    <t>Шафигуллин Ильгам Минзагитович</t>
  </si>
  <si>
    <t>iamkill@mail.ru</t>
  </si>
  <si>
    <t>Яндуков Александр Евгеньевич</t>
  </si>
  <si>
    <t>yandukov93@mail.ru</t>
  </si>
  <si>
    <t>Назимова Наталья Владимировна</t>
  </si>
  <si>
    <t>n_nazimova@mail.ru</t>
  </si>
  <si>
    <t>Макарова Марина Вазгеновна</t>
  </si>
  <si>
    <t>makarova_marina82@mail.ru</t>
  </si>
  <si>
    <t>Лунина Любовь Викторовна</t>
  </si>
  <si>
    <t>Lunina-1974@mail.ru</t>
  </si>
  <si>
    <t>Танич Александр Иванович</t>
  </si>
  <si>
    <t>tanich.al@yandex.ru</t>
  </si>
  <si>
    <t>Спирина Ирина Сергеевна</t>
  </si>
  <si>
    <t>metallistmw@mail.ru</t>
  </si>
  <si>
    <t>Лапухов Андрей Евгеньевич</t>
  </si>
  <si>
    <t>lapuhow.andrei@yandex.ru</t>
  </si>
  <si>
    <t>Плотникова Марина Владимировна</t>
  </si>
  <si>
    <t>lt.plotnikova@gmail.ru</t>
  </si>
  <si>
    <t>Чернышин Сергей Вячеславович</t>
  </si>
  <si>
    <t>sserdji@gmail.com</t>
  </si>
  <si>
    <t>Гирченко Ирина Вячеславовна</t>
  </si>
  <si>
    <t>irina.harasowa@yandex.ru</t>
  </si>
  <si>
    <t>Фаткуллин Рустам Риммович</t>
  </si>
  <si>
    <t>iamrystam@yandex.ru</t>
  </si>
  <si>
    <t>Игнатов Артем Юрьевич</t>
  </si>
  <si>
    <t>yudeckii@gmail.com</t>
  </si>
  <si>
    <t>Сахипова Татьяна Владимировна</t>
  </si>
  <si>
    <t>tsakhipova@mvd.ru</t>
  </si>
  <si>
    <t>Черкасов Иван Александрович</t>
  </si>
  <si>
    <t>lana.rassvet@yandex.ru</t>
  </si>
  <si>
    <t>ya.ivan1983@yandex.ru</t>
  </si>
  <si>
    <t>Шишина Светлана Атимбековна</t>
  </si>
  <si>
    <t>tsinhuali@yandex.ru</t>
  </si>
  <si>
    <t>Беляков Сергей Викторович</t>
  </si>
  <si>
    <t>Sergei.156@yandex.ru</t>
  </si>
  <si>
    <t>Кондратенко Юлия Леонидовна</t>
  </si>
  <si>
    <t>Julykondratenko@gmail.com</t>
  </si>
  <si>
    <t>Чувашов Спартак Николаевич</t>
  </si>
  <si>
    <t>spartaksamara@mail.ru</t>
  </si>
  <si>
    <t>Киселев Дмитрий Анатольевич</t>
  </si>
  <si>
    <t>kiselevdmitri13@gmail.com</t>
  </si>
  <si>
    <t>Григорьева Елена Николаевна</t>
  </si>
  <si>
    <t>g-elena75@mail.ru</t>
  </si>
  <si>
    <t>Будко Анна Александровна</t>
  </si>
  <si>
    <t>budko-1973@yandex.ru</t>
  </si>
  <si>
    <t>Галузина Мария Юрьевна</t>
  </si>
  <si>
    <t>galuzinam@mail.ru</t>
  </si>
  <si>
    <t>Мелек Авни</t>
  </si>
  <si>
    <t>Тупиков, Иван Дмитриевич</t>
  </si>
  <si>
    <t>ivan2017tupikov@yandex.ru</t>
  </si>
  <si>
    <t>Насекин Олег Борисович</t>
  </si>
  <si>
    <t>nasekin.danil2013@yandex.ru</t>
  </si>
  <si>
    <t>Вырыпаева Екатерина Вячеславовна</t>
  </si>
  <si>
    <t>k.vyrypaeva@mail.ru</t>
  </si>
  <si>
    <t>Инкина Инна Александровна</t>
  </si>
  <si>
    <t>Попов Роман Михайлович</t>
  </si>
  <si>
    <t>zjiodeu@inbox.ru</t>
  </si>
  <si>
    <t>Быков Игорь Викторович</t>
  </si>
  <si>
    <t>nataly8121@yandex.ru</t>
  </si>
  <si>
    <t>Быкова Наталья Геннадиевна</t>
  </si>
  <si>
    <t>Раганян Самвел Тигранович</t>
  </si>
  <si>
    <t>2184833@mail.ru</t>
  </si>
  <si>
    <t>Андреева Елена Евгеньевна</t>
  </si>
  <si>
    <t>andreeva.elena2007@yandex.ru</t>
  </si>
  <si>
    <t>Демченко Алена Андреевна</t>
  </si>
  <si>
    <t>alyonademchenko@yandex.ru</t>
  </si>
  <si>
    <t>Файзуллоев Гайрат Махсудович</t>
  </si>
  <si>
    <t>gayrat-887@mail.ru</t>
  </si>
  <si>
    <t>Мустаева Эльвира Мухаммедовна</t>
  </si>
  <si>
    <t>anvar.ru.mama@gmail.com</t>
  </si>
  <si>
    <t>Насырова Динара Хасановна</t>
  </si>
  <si>
    <t>nasyrov_aynur@mail.ru</t>
  </si>
  <si>
    <t>Щербицкий Вячеслав Олегович</t>
  </si>
  <si>
    <t>59-07@mail.ru</t>
  </si>
  <si>
    <t>Леонтьев Андрей Петрович</t>
  </si>
  <si>
    <t>and1488rus@gmail.com</t>
  </si>
  <si>
    <t>Рыжова Валерия Андреевна</t>
  </si>
  <si>
    <t>valeriryz@yandex.ru</t>
  </si>
  <si>
    <t>Мальцев Алексей Андреевич</t>
  </si>
  <si>
    <t>alekseymasev@gmail.com</t>
  </si>
  <si>
    <t>Жданов Юрий Александрович</t>
  </si>
  <si>
    <t>zhdanoff.iur@yandex.ru</t>
  </si>
  <si>
    <t>Кисилева Юлия Константиновна</t>
  </si>
  <si>
    <t>kisilevay6@yandex.ru</t>
  </si>
  <si>
    <t>Кредышева Светлана Борисовна</t>
  </si>
  <si>
    <t>kredysheva70@mail.ru</t>
  </si>
  <si>
    <t>Ахметова Алена Раисовна</t>
  </si>
  <si>
    <t>Ahmetovairt@yandex.ru</t>
  </si>
  <si>
    <t>Епифанова Анна Евгеньевна</t>
  </si>
  <si>
    <t>anechkaepifanova@yandex.ru</t>
  </si>
  <si>
    <t>Корнеев Дмитрий Алексеевич</t>
  </si>
  <si>
    <t>dmitrij.korneeff1991@yandex.ru</t>
  </si>
  <si>
    <t>Потапова Тамара Геннадьевна</t>
  </si>
  <si>
    <t>Toma.p1607@mail.ru</t>
  </si>
  <si>
    <t>Матыцин Ефим Владимирович</t>
  </si>
  <si>
    <t>mr.brazz@gmail.com</t>
  </si>
  <si>
    <t>Байрамов Ислам Гусейбегович</t>
  </si>
  <si>
    <t>Islammilena050@icloud.com</t>
  </si>
  <si>
    <t>Вишнякова Дарья Вадимовна</t>
  </si>
  <si>
    <t>Nikolaeva.d.v.97@yandex.ru</t>
  </si>
  <si>
    <t>Изенкова Екатерина Александровна</t>
  </si>
  <si>
    <t>tixonowa@mail.ru</t>
  </si>
  <si>
    <t>Туринцева Алла Викторовна</t>
  </si>
  <si>
    <t>belousova.alla@mail.ru</t>
  </si>
  <si>
    <t>Чурсин Евгений Валерьевич</t>
  </si>
  <si>
    <t>anachurr@gmail.com</t>
  </si>
  <si>
    <t>Беляков Петр Викторович</t>
  </si>
  <si>
    <t>Petr.Belyakov156@yandex.ru</t>
  </si>
  <si>
    <t>Миндаров Ришат Хайдарзянович</t>
  </si>
  <si>
    <t>mindarova87@list.ru</t>
  </si>
  <si>
    <t>Бредихина Ольга Николаевна</t>
  </si>
  <si>
    <t>Буланова Янина Ионаса</t>
  </si>
  <si>
    <t>yaninabulanova@yandex.ru</t>
  </si>
  <si>
    <t>Власова Светлана Викторовна</t>
  </si>
  <si>
    <t>ru-08100direktor@belwest.com</t>
  </si>
  <si>
    <t>Рогачев Николай Геннадьевич</t>
  </si>
  <si>
    <t>rogachev8@mail.ru</t>
  </si>
  <si>
    <t>Новиков Никита Сергеевич</t>
  </si>
  <si>
    <t>nikitanovikov163@gmail.com</t>
  </si>
  <si>
    <t>Кашинцева Татьяна Михайловна</t>
  </si>
  <si>
    <t>Kashincev69@yandex.ru</t>
  </si>
  <si>
    <t>Данцуй Сергей Сергеевич</t>
  </si>
  <si>
    <t>dantsuy@bk.ru</t>
  </si>
  <si>
    <t>Нечаева Галина Викторовна</t>
  </si>
  <si>
    <t>Nechgv@yfndex.ru</t>
  </si>
  <si>
    <t>Сараев Кирилл Андреевич</t>
  </si>
  <si>
    <t>Saraev_K@mail.ru</t>
  </si>
  <si>
    <t>Иевлев Максим Александрович</t>
  </si>
  <si>
    <t>ferina2008@yandex.ru</t>
  </si>
  <si>
    <t>Дунаев Алексей Петрович</t>
  </si>
  <si>
    <t>dunaev00x@mail.ru</t>
  </si>
  <si>
    <t>Сурских Сергей Сергеевич</t>
  </si>
  <si>
    <t>nadezhdanka2702@gmail.com</t>
  </si>
  <si>
    <t>Сафиханов Низами Хантамир-Оглы</t>
  </si>
  <si>
    <t>Safikhanov78@gmail.com</t>
  </si>
  <si>
    <t>Тимофеев Дмитрий Владимирович</t>
  </si>
  <si>
    <t>dvtimoff@gmail.com</t>
  </si>
  <si>
    <t>Лагашкина Юлия Дмитриевна</t>
  </si>
  <si>
    <t>Рыбакова Лариса Юрьевна</t>
  </si>
  <si>
    <t>ribacova63@rambler.ru</t>
  </si>
  <si>
    <t>Германюк Анастасия Николаевна</t>
  </si>
  <si>
    <t>Germanyuk@bk.ru</t>
  </si>
  <si>
    <t>Брызгалов Руслан Владимирович</t>
  </si>
  <si>
    <t>Rbryzgalov@bk.ru</t>
  </si>
  <si>
    <t>Смирнова Ирина Алексеевна</t>
  </si>
  <si>
    <t>non.sons@mail.ru</t>
  </si>
  <si>
    <t>Баурчану Наталья Владимировна</t>
  </si>
  <si>
    <t>aleksbau@yandex.ru</t>
  </si>
  <si>
    <t>Заварзина Влада Александровна</t>
  </si>
  <si>
    <t>eriomina.vlada@yandex.ru</t>
  </si>
  <si>
    <t>Салихова Алена Александровна</t>
  </si>
  <si>
    <t>Popovaaloyna@gmail.com</t>
  </si>
  <si>
    <t>Тикин Александр Сергеевич</t>
  </si>
  <si>
    <t>Юсупов Гаджимурат</t>
  </si>
  <si>
    <t>Yusupov.gadjimurad@yandex.ru</t>
  </si>
  <si>
    <t>Шишова Анна Павловна</t>
  </si>
  <si>
    <t>Ikler2008@rambler.ru</t>
  </si>
  <si>
    <t>Баканова Ольга Юрьевна</t>
  </si>
  <si>
    <t>Olgasupergaz@mail.ru</t>
  </si>
  <si>
    <t>Кеняйкин Артем Сергеевич</t>
  </si>
  <si>
    <t>Belka.89@inbox.ru</t>
  </si>
  <si>
    <t>Башарина Наталья Николаевна</t>
  </si>
  <si>
    <t>mox.natali@yandex.ru</t>
  </si>
  <si>
    <t>Калачев Константин Михайлович</t>
  </si>
  <si>
    <t>km_post@list.ru</t>
  </si>
  <si>
    <t>Мольков Дмитрий Борисович</t>
  </si>
  <si>
    <t>malek-off@yandex.ru</t>
  </si>
  <si>
    <t>Федотова Елена Александровна</t>
  </si>
  <si>
    <t>Sv-fedotova80@mail.ru</t>
  </si>
  <si>
    <t>Токарева Алёна Владимировна</t>
  </si>
  <si>
    <t>alena2203@mail.ru</t>
  </si>
  <si>
    <t>Жаркова Анна Васильевна</t>
  </si>
  <si>
    <t>anja-555@mail.ru</t>
  </si>
  <si>
    <t>Астапов Владимир Гаврилович</t>
  </si>
  <si>
    <t>tazinayv1@mail.ru</t>
  </si>
  <si>
    <t>Милкин Николай Николаевич</t>
  </si>
  <si>
    <t>milkinnikolay@yandex.ru</t>
  </si>
  <si>
    <t>Кадиров Икромжон Усманович</t>
  </si>
  <si>
    <t>Гусарова Марина Юрьевна</t>
  </si>
  <si>
    <t>m607@mail.ru</t>
  </si>
  <si>
    <t>Жамбатыров Ильдар Салаватович</t>
  </si>
  <si>
    <t>Bashmakovakaty63@gmail.com</t>
  </si>
  <si>
    <t>Жданов Андрей Сергеевич</t>
  </si>
  <si>
    <t>infopmation163@yandex.ru</t>
  </si>
  <si>
    <t>Тимофеева Светлана Викторовна</t>
  </si>
  <si>
    <t>svtim15@gmail.com</t>
  </si>
  <si>
    <t>Бабушкина Надежда Николаевна</t>
  </si>
  <si>
    <t>nadezhda_babushkina@bk.ru</t>
  </si>
  <si>
    <t>Золотов Денис Андреевич</t>
  </si>
  <si>
    <t>deonis.zolotov@gmail.com</t>
  </si>
  <si>
    <t>Кузнецова Светлана Сергеевна</t>
  </si>
  <si>
    <t>sveto4ka_kuz@mail.ru</t>
  </si>
  <si>
    <t>Лебедка Владимир Васильевич</t>
  </si>
  <si>
    <t>vlad-rl@yandex.ru</t>
  </si>
  <si>
    <t>Желобкович Ольга Николаевна</t>
  </si>
  <si>
    <t>Janborisova@yandex.ru</t>
  </si>
  <si>
    <t>Сергейчев Александр Владимирович</t>
  </si>
  <si>
    <t>vertanya20@yandex.ru</t>
  </si>
  <si>
    <t>Шестаев Игорь Николаевич</t>
  </si>
  <si>
    <t>gichkalov@reg.ru</t>
  </si>
  <si>
    <t>Аксютина Рания Раильевна</t>
  </si>
  <si>
    <t>raniya-94@mail.ru</t>
  </si>
  <si>
    <t>Чаус Андрей Игоревич</t>
  </si>
  <si>
    <t>andrchaus@gmail.com</t>
  </si>
  <si>
    <t>Данцуй Владимир Сергеевич</t>
  </si>
  <si>
    <t>Dancyi1618@mail.ru</t>
  </si>
  <si>
    <t>Хамирова Марина Валериевна</t>
  </si>
  <si>
    <t>Пчелякова Ирина Александровна</t>
  </si>
  <si>
    <t>natyrella_1@mail.ru</t>
  </si>
  <si>
    <t>Каракулов Субхиддин Гулмуродович</t>
  </si>
  <si>
    <t>Елисеев Дмитрий Владимирович</t>
  </si>
  <si>
    <t>tatiana@samaradom.ru</t>
  </si>
  <si>
    <t>Малыхина Светлана Дмитриевна</t>
  </si>
  <si>
    <t>sweta_mal_76@mail.ru</t>
  </si>
  <si>
    <t>Исхакова Лилия Камильевна</t>
  </si>
  <si>
    <t>ishakoval71@gmail.com</t>
  </si>
  <si>
    <t>Назаралиева Фадме Надировна</t>
  </si>
  <si>
    <t>fadmenazaralieva05@gmail.com</t>
  </si>
  <si>
    <t>Хабибуллин Раиль Халилович</t>
  </si>
  <si>
    <t>Москвичев Геннадий Сергеевич</t>
  </si>
  <si>
    <t>3417557@gmail.com</t>
  </si>
  <si>
    <t>Трегубов Дмитрий Михайлович</t>
  </si>
  <si>
    <t>dmitriymihailovicht@gmail.com</t>
  </si>
  <si>
    <t>Буркова Дарья Павловна</t>
  </si>
  <si>
    <t>darena6324@gmail.com</t>
  </si>
  <si>
    <t>Гордеева Екатерина Владимировна</t>
  </si>
  <si>
    <t>ais.chpv@mail.ru</t>
  </si>
  <si>
    <t>Бабич Дмитрий Алексеевич</t>
  </si>
  <si>
    <t>dmitriy.babich.1996@mail.ru</t>
  </si>
  <si>
    <t>Асанов Ильнур Маратович</t>
  </si>
  <si>
    <t>ilnur.asanov@gmail.com</t>
  </si>
  <si>
    <t>Асанова Эльвира Алиевловна</t>
  </si>
  <si>
    <t>Савельев Андрей Васильевич</t>
  </si>
  <si>
    <t>andrei-samara.81@mail.ru</t>
  </si>
  <si>
    <t>Ларин Александр Николаевич</t>
  </si>
  <si>
    <t>Larin_69@list.ru</t>
  </si>
  <si>
    <t>Калядяева Алина Геннадьевна</t>
  </si>
  <si>
    <t>tarasova123@bk.ru</t>
  </si>
  <si>
    <t>Имангулов Александр Дамирович</t>
  </si>
  <si>
    <t>sasha16362@gmail.com</t>
  </si>
  <si>
    <t>Ямолова Светлана Петровна</t>
  </si>
  <si>
    <t>svetlana_yamolov@mail.ru</t>
  </si>
  <si>
    <t>Еранов Максим Михайлович</t>
  </si>
  <si>
    <t>Манучарян Рузана Мушеговна</t>
  </si>
  <si>
    <t>ruzanna2010@mail.ru</t>
  </si>
  <si>
    <t>Поздняков Евгений Александрович</t>
  </si>
  <si>
    <t>eap163@ya.ru</t>
  </si>
  <si>
    <t>Кропотова Саодат Назаралиевна</t>
  </si>
  <si>
    <t>s_a_o_d_a_t@mail.ru</t>
  </si>
  <si>
    <t>Irinaigorevna270389@yandex.ru</t>
  </si>
  <si>
    <t>Клюшникова Виктория Викторовна</t>
  </si>
  <si>
    <t>klybnichka88@mail.ru</t>
  </si>
  <si>
    <t>Топорков Артем Юрьевич</t>
  </si>
  <si>
    <t>a.toporkov@delta-energy.ru</t>
  </si>
  <si>
    <t>Хаванцев Иван Юрьевич</t>
  </si>
  <si>
    <t>havantsevivan@mail.ru</t>
  </si>
  <si>
    <t>Гринькевич Анна Павловна</t>
  </si>
  <si>
    <t>annagrin81@mail.ru</t>
  </si>
  <si>
    <t>Бурцева Инна Владимировна</t>
  </si>
  <si>
    <t>burceva_inna@list.ru</t>
  </si>
  <si>
    <t>Кусакина Ольга Николаевна</t>
  </si>
  <si>
    <t>Трошкин Алексей Геннадьевич</t>
  </si>
  <si>
    <t>Tro_leks@mail.ru</t>
  </si>
  <si>
    <t>Мухамедьяров Ринат Рафаильевич</t>
  </si>
  <si>
    <t>rinat_wit@mail.ru</t>
  </si>
  <si>
    <t>Galugas@mail.ru</t>
  </si>
  <si>
    <t>Литвинов Александр Николаевич</t>
  </si>
  <si>
    <t>Sandro9@mail.ru</t>
  </si>
  <si>
    <t>Андреева Ольга Валерьевна</t>
  </si>
  <si>
    <t>helga2003514@mail.ru</t>
  </si>
  <si>
    <t>Абалымова Светлана Сергеевна</t>
  </si>
  <si>
    <t>ss21081991@yandex.ru</t>
  </si>
  <si>
    <t>Буравлева Татьяна Григорьевна</t>
  </si>
  <si>
    <t>myrzabaeva@mail.ru</t>
  </si>
  <si>
    <t>Вердин Виталий Евгеньевич</t>
  </si>
  <si>
    <t>vitaliy_v_v_e_90@mail.ru</t>
  </si>
  <si>
    <t>Хамидуллова Гузель Зарифовна</t>
  </si>
  <si>
    <t>gezelkaham992@mail.ru</t>
  </si>
  <si>
    <t>Потапов Николай Семенович</t>
  </si>
  <si>
    <t>samara-sns@yandex.ru</t>
  </si>
  <si>
    <t>Кокорина Галина Сергеевна</t>
  </si>
  <si>
    <t>galacernyseva46752@gmail.com</t>
  </si>
  <si>
    <t>Ильина Валентина Сергеевна</t>
  </si>
  <si>
    <t>Rock-Dozor-Muzon@mail.ru</t>
  </si>
  <si>
    <t>Коренченко Михаил Анатольевич</t>
  </si>
  <si>
    <t>m17122@mail.ru</t>
  </si>
  <si>
    <t>Лохмотова Алла Владимировна</t>
  </si>
  <si>
    <t>rikushash30@gmail.com</t>
  </si>
  <si>
    <t>Поляков Евгений Николаевич</t>
  </si>
  <si>
    <t>epol80@mail.ru</t>
  </si>
  <si>
    <t>Анненкова Ирина Александровна</t>
  </si>
  <si>
    <t>Гаврилюк Ольга Владимировна</t>
  </si>
  <si>
    <t>Sferi63@yandex.ru</t>
  </si>
  <si>
    <t>Фадеев Алексей Александрович</t>
  </si>
  <si>
    <t>aleksey.fadeev@hotmail.com</t>
  </si>
  <si>
    <t>Чурилов Никита Сергеевич</t>
  </si>
  <si>
    <t>futbolhelp@mail.ru</t>
  </si>
  <si>
    <t>Лапина Татьяна Владимировна</t>
  </si>
  <si>
    <t>lesnovatanja@gmail.com</t>
  </si>
  <si>
    <t>Дендюро Артем Дмитриевич</t>
  </si>
  <si>
    <t>Dendyuro@inbox.ru</t>
  </si>
  <si>
    <t>Авдеева Валентина Николаевна</t>
  </si>
  <si>
    <t>Lv.aleshina@mail.ru</t>
  </si>
  <si>
    <t>Чустиль Ирина Нурлисламовна</t>
  </si>
  <si>
    <t>irinashn@list.ru</t>
  </si>
  <si>
    <t>Чустиль Максим Сергеевич</t>
  </si>
  <si>
    <t>Maks_952205@mail.ru</t>
  </si>
  <si>
    <t>Ярлыгаева Мярьям Идрисовна</t>
  </si>
  <si>
    <t>malaninka555@yandex.ru</t>
  </si>
  <si>
    <t>Уряшова Оксана Сергеевна</t>
  </si>
  <si>
    <t>Kopeykina1987@mail.ru</t>
  </si>
  <si>
    <t>Садыкова Нина Игорьевна</t>
  </si>
  <si>
    <t>nina.matveeva4999@gmail.com</t>
  </si>
  <si>
    <t>Ионова Юлия Викторовна</t>
  </si>
  <si>
    <t>ionovajulia99@mail.ru</t>
  </si>
  <si>
    <t>Цыбанов Евгений Владимирович</t>
  </si>
  <si>
    <t>Tsybanov63@gmail.com</t>
  </si>
  <si>
    <t>Казанин Игорь Николаевич</t>
  </si>
  <si>
    <t>Kazanin.in@yandex.ru</t>
  </si>
  <si>
    <t>Яковлева Венера Искяндяровна</t>
  </si>
  <si>
    <t>yacovlevavenera@yandex.ru</t>
  </si>
  <si>
    <t>Арзамасцев Евгений Сергеевич</t>
  </si>
  <si>
    <t>zhenya-arzamascev@yandex.ru</t>
  </si>
  <si>
    <t>Зеленин Андрей Романович</t>
  </si>
  <si>
    <t>gecube@ya.ru</t>
  </si>
  <si>
    <t>Никитин Андрей Анатольевич</t>
  </si>
  <si>
    <t>andreinikitin1984@mail.ru</t>
  </si>
  <si>
    <t>Хрипунова Ольга Николаевна</t>
  </si>
  <si>
    <t>hon_samara@mail.ru</t>
  </si>
  <si>
    <t>Кортукова Диана Гумеровна</t>
  </si>
  <si>
    <t>valeeva09@mail.ru</t>
  </si>
  <si>
    <t>Сарычева Екатерина Евгеньевна</t>
  </si>
  <si>
    <t>sarychev-t@mail.ru</t>
  </si>
  <si>
    <t>Абушаев Усман Саитович</t>
  </si>
  <si>
    <t>Lili_samara008@mail.ru</t>
  </si>
  <si>
    <t>Кишинин Андрей Анатольевич</t>
  </si>
  <si>
    <t>Anna_Kishinina@mail.ru</t>
  </si>
  <si>
    <t>Калинин Андрей Михайлович</t>
  </si>
  <si>
    <t>kalinin063_ne@mail.ru</t>
  </si>
  <si>
    <t>Истомина Яна Валентиновна</t>
  </si>
  <si>
    <t>mylatka_1011@mail.ru</t>
  </si>
  <si>
    <t>Ким Евдокия Дмитриевна</t>
  </si>
  <si>
    <t>kimeudo@yandex.ru</t>
  </si>
  <si>
    <t>Кузьмин Сергей Васильевич</t>
  </si>
  <si>
    <t>89171082224@yandex.ru</t>
  </si>
  <si>
    <t>Михеев Денис Борисович</t>
  </si>
  <si>
    <t>den.freelancer@gmail.com</t>
  </si>
  <si>
    <t>Комова Ирина Игоревна</t>
  </si>
  <si>
    <t>Дугушев Дмитрий Анатольевич</t>
  </si>
  <si>
    <t>firstdd@mail.ru</t>
  </si>
  <si>
    <t>Нестеров Станислав Валериевич</t>
  </si>
  <si>
    <t>Nesstval@rambler.ru</t>
  </si>
  <si>
    <t>Борисова Евгения Юрьевна</t>
  </si>
  <si>
    <t>evgeniashatkova@mail.ru</t>
  </si>
  <si>
    <t>Дорогойченков Василий Александрович</t>
  </si>
  <si>
    <t>Dorogoichenkov@mail.ru</t>
  </si>
  <si>
    <t>Герфорт Сергей Викторович</t>
  </si>
  <si>
    <t>sergej.gerfort@mail.ru</t>
  </si>
  <si>
    <t>Рахматуллина Елена Робертовна</t>
  </si>
  <si>
    <t>rahmatullinaelena98@gmail.com</t>
  </si>
  <si>
    <t>Виноградова Юлия Васильевна</t>
  </si>
  <si>
    <t>vinogradova.julia27@yandex.ru</t>
  </si>
  <si>
    <t>Пахомова Анна Борисовна</t>
  </si>
  <si>
    <t>anutick.pakhomova@gmail.com</t>
  </si>
  <si>
    <t>Саранцев Дмитрий Валентинович</t>
  </si>
  <si>
    <t>sarancev.dmitriy@mail.ru</t>
  </si>
  <si>
    <t>Григорян Сергей Гамлетович</t>
  </si>
  <si>
    <t>grigoryan_64@mail.ru</t>
  </si>
  <si>
    <t>Бесов Андрей Владимирович</t>
  </si>
  <si>
    <t>andrei10051996@yandex.ru</t>
  </si>
  <si>
    <t>Ахтямова Земфира Расыховна</t>
  </si>
  <si>
    <t>mif-81-81@mail.ru</t>
  </si>
  <si>
    <t>Семенчук Дмитрий Владимирович</t>
  </si>
  <si>
    <t>dimancm@mail.ru</t>
  </si>
  <si>
    <t>Смирнова Людмила Геннадьевна</t>
  </si>
  <si>
    <t>lovenikolai2012@yandex.ru</t>
  </si>
  <si>
    <t>Бешанин Иван Александрович</t>
  </si>
  <si>
    <t>donlost007@mail.ru</t>
  </si>
  <si>
    <t>Игонина Анастасия Александровна</t>
  </si>
  <si>
    <t>Igonina6600@mail.ru</t>
  </si>
  <si>
    <t>Ермончик Яна Игорьевна</t>
  </si>
  <si>
    <t>yanateacher@mail.ru</t>
  </si>
  <si>
    <t>Фролов Сергей Юрьевич</t>
  </si>
  <si>
    <t>frolv.s@mail.ru</t>
  </si>
  <si>
    <t>Мукальянц Татьяна Ивановна</t>
  </si>
  <si>
    <t>misha19745@rambler.ru</t>
  </si>
  <si>
    <t>Полякова Марина Витальевна</t>
  </si>
  <si>
    <t>x_letter@mail.ru</t>
  </si>
  <si>
    <t>Каськ Сергей Вячеславович</t>
  </si>
  <si>
    <t>kask92@mail.ru</t>
  </si>
  <si>
    <t>Полякова Лидия Афанасьевна</t>
  </si>
  <si>
    <t>Малицкий Павел Александрович</t>
  </si>
  <si>
    <t>Sheti@list.ru</t>
  </si>
  <si>
    <t>Яшкина Кристина Анатольевна</t>
  </si>
  <si>
    <t>Tina154@mail.ru</t>
  </si>
  <si>
    <t>Дудашвили Нузгари Нодарович</t>
  </si>
  <si>
    <t>Maruchakirina1993@mail.ru</t>
  </si>
  <si>
    <t>Кашина Юлия Владимировна</t>
  </si>
  <si>
    <t>solnechnaya-yuliya@mail.ru</t>
  </si>
  <si>
    <t>Карташева Наталья Наилевна</t>
  </si>
  <si>
    <t>natalirsu10@mail.ru</t>
  </si>
  <si>
    <t>Лобачев Антон Сергеевич</t>
  </si>
  <si>
    <t>Antolob@yandex.ru</t>
  </si>
  <si>
    <t>Ардашева Наталья Владимировна</t>
  </si>
  <si>
    <t>Ardasheva.N.V@yandex.ru</t>
  </si>
  <si>
    <t>Тажиахмятов Дамир Сяитович</t>
  </si>
  <si>
    <t>Damir140usa@yandex.ru</t>
  </si>
  <si>
    <t>Ваганова Марина Валентиновна</t>
  </si>
  <si>
    <t>marinavagan69@gmail.com</t>
  </si>
  <si>
    <t>Малахова Наталья Васильевна</t>
  </si>
  <si>
    <t>a-krivo1@rambler.ru</t>
  </si>
  <si>
    <t>Корнеев Евгений Александрович</t>
  </si>
  <si>
    <t>nktec1@gmail.com</t>
  </si>
  <si>
    <t>Вишневская Елена Викторовна</t>
  </si>
  <si>
    <t>Vishnevskayaev63@gmail.com</t>
  </si>
  <si>
    <t>Кутузов Денис Михайлович</t>
  </si>
  <si>
    <t>denis12345693@mail.ru</t>
  </si>
  <si>
    <t>Никонова Оксана Сергеевна</t>
  </si>
  <si>
    <t>lebedeva163@mail.ru</t>
  </si>
  <si>
    <t>Кашмина Оксана Анатольевна</t>
  </si>
  <si>
    <t>Kashminaoa095@mail.ru</t>
  </si>
  <si>
    <t>Корнилова Елена Михайловна</t>
  </si>
  <si>
    <t>elenakornilova88@mail.ru</t>
  </si>
  <si>
    <t>Волкова Людмила Николаевна</t>
  </si>
  <si>
    <t>ms.smile76@mail.ru</t>
  </si>
  <si>
    <t>Лимина, Марина Сергеевна</t>
  </si>
  <si>
    <t>twix163@bk.ru</t>
  </si>
  <si>
    <t>Дмитриев Виталий Валентинович</t>
  </si>
  <si>
    <t>Vital1vitali@yandex.ru</t>
  </si>
  <si>
    <t>Муромцева Мария Николаевна</t>
  </si>
  <si>
    <t>mariya200584@list.ru</t>
  </si>
  <si>
    <t>Чалова Екатерина Васильевна</t>
  </si>
  <si>
    <t>ev7989878@gmail.com</t>
  </si>
  <si>
    <t>2/2-13/283</t>
  </si>
  <si>
    <t>Бреус Сергей Владимирович</t>
  </si>
  <si>
    <t>Sbrs@list.ru</t>
  </si>
  <si>
    <t>Шалдыбина Ольга Николаевна</t>
  </si>
  <si>
    <t>Oshaldybina@rambler.ru</t>
  </si>
  <si>
    <t>Малкин Юрий Владимирович</t>
  </si>
  <si>
    <t>supertones@yandex.ru</t>
  </si>
  <si>
    <t>Белоусова Елена Николаевна</t>
  </si>
  <si>
    <t>Whiteleka@yandex.ru</t>
  </si>
  <si>
    <t>Смирнова Марианна Алексеевна</t>
  </si>
  <si>
    <t>maslovamarianna13@gmail.com</t>
  </si>
  <si>
    <t>Шуриева Айслу Мрзбаевна</t>
  </si>
  <si>
    <t>Ayslashes@yandex.ru</t>
  </si>
  <si>
    <t>Титов Сергей Константинович</t>
  </si>
  <si>
    <t>sergej-titov-2019@mail.ru</t>
  </si>
  <si>
    <t>Матина Ольга Викторовна</t>
  </si>
  <si>
    <t>yuriymatin@gmail.com</t>
  </si>
  <si>
    <t>Денисова Екатерина Викторовна</t>
  </si>
  <si>
    <t>la_katarina.ssu.1993@mail.ru</t>
  </si>
  <si>
    <t>Сафронов Василий Александрович</t>
  </si>
  <si>
    <t>natalja85@mail.ru</t>
  </si>
  <si>
    <t>Иванова Ольга Викторовна</t>
  </si>
  <si>
    <t>O.vivanova@yandex.ru</t>
  </si>
  <si>
    <t>Башева Ирина Николаевна</t>
  </si>
  <si>
    <t>bashevairina69@mail.ru</t>
  </si>
  <si>
    <t>Прокопьева Ольга Владимировна</t>
  </si>
  <si>
    <t>olga.prokopeva.80@bk.ru</t>
  </si>
  <si>
    <t>Головкин Юрий Викторович</t>
  </si>
  <si>
    <t>golovkinurij046@gmail.com</t>
  </si>
  <si>
    <t>Папп Владислав Викторович</t>
  </si>
  <si>
    <t>PappVV@velesstroy.com</t>
  </si>
  <si>
    <t>Котрухов Валерий Анатольевич</t>
  </si>
  <si>
    <t>denis9226@mail.ru</t>
  </si>
  <si>
    <t>Солдатенков Иван Андреевич</t>
  </si>
  <si>
    <t>Soldatenkov.ivan111@gmail.com</t>
  </si>
  <si>
    <t>Семёнов Владимир Андреевич</t>
  </si>
  <si>
    <t>vova.semenov98@mail.ru</t>
  </si>
  <si>
    <t>Коссе Евгений Александрович</t>
  </si>
  <si>
    <t>k2019evgenij@gmail.com</t>
  </si>
  <si>
    <t>Марданова Елена Генадьевна</t>
  </si>
  <si>
    <t>timur79555@gmail.com</t>
  </si>
  <si>
    <t>Стоянова Вера Дмитриевна</t>
  </si>
  <si>
    <t>vera300158@yandex.ru</t>
  </si>
  <si>
    <t>Мантров Олег Геннадьевич</t>
  </si>
  <si>
    <t>mantrovaegenia@yandex.ru</t>
  </si>
  <si>
    <t>Давыденко Евгений Александрович</t>
  </si>
  <si>
    <t>eadavydenko@sib.rosneft.ru</t>
  </si>
  <si>
    <t>Жерельева Лиана Марсельевна</t>
  </si>
  <si>
    <t>lyho95@mail.ru</t>
  </si>
  <si>
    <t>Дерков Андрей Геннадьевич</t>
  </si>
  <si>
    <t>Aderkov@yandex.ru</t>
  </si>
  <si>
    <t>Найденко Екатерина Викторовна</t>
  </si>
  <si>
    <t>Katay19892008@mail.ru</t>
  </si>
  <si>
    <t>Мулендеева Лариса Николаевна</t>
  </si>
  <si>
    <t>Muln@mail.ru</t>
  </si>
  <si>
    <t>Одиноков Алексей Викторович</t>
  </si>
  <si>
    <t>odinokovav@gmail.com</t>
  </si>
  <si>
    <t>Мещерякова Анастасия Владимировна</t>
  </si>
  <si>
    <t>anastasijameserakova2020@gmail.com</t>
  </si>
  <si>
    <t>Мумбер Елена Ильинична</t>
  </si>
  <si>
    <t>mumber@inbox.ru</t>
  </si>
  <si>
    <t>Альферович Александр Андреевич</t>
  </si>
  <si>
    <t>Alferovich89@gmail.com</t>
  </si>
  <si>
    <t>Гусаров Андрей Александрович</t>
  </si>
  <si>
    <t>iraiola.apneka@yandex.ru</t>
  </si>
  <si>
    <t>Судариков Александр Владимирович</t>
  </si>
  <si>
    <t>sudarikova1978@mail.ru</t>
  </si>
  <si>
    <t>Курбангулов Ильшат Явдатович</t>
  </si>
  <si>
    <t>Guz_el@mail.ru</t>
  </si>
  <si>
    <t>Поротькина Ирина Вячеславовна</t>
  </si>
  <si>
    <t>irina109@mail.ru</t>
  </si>
  <si>
    <t>Деханова Ольга Сергеевна</t>
  </si>
  <si>
    <t>Dehanova-olga@mail.ru</t>
  </si>
  <si>
    <t>Абитаева Рамиля Рашатовна</t>
  </si>
  <si>
    <t>aditaeva1981@gmail.com</t>
  </si>
  <si>
    <t>Лазарева Ксения Дмитриевна</t>
  </si>
  <si>
    <t>fil110798@mail.ru</t>
  </si>
  <si>
    <t>Ливанова Лариса Вячеславовна</t>
  </si>
  <si>
    <t>Livanov-an@mail.ru</t>
  </si>
  <si>
    <t>Костанян Мамикон Каренович</t>
  </si>
  <si>
    <t>mamikon_7@mail.ru</t>
  </si>
  <si>
    <t>Колмычкова Галина Валентиновна</t>
  </si>
  <si>
    <t>galka270384@mail.ru</t>
  </si>
  <si>
    <t>Алешина Елена Борисовна</t>
  </si>
  <si>
    <t>lovelorn_191@mail.ru</t>
  </si>
  <si>
    <t>Полякова Татьяна Александровна</t>
  </si>
  <si>
    <t>Tatyana_polyakova_85_85@mail.ru</t>
  </si>
  <si>
    <t>Кобелян Наира Хачиковна</t>
  </si>
  <si>
    <t>tcogik.21@mail.ru</t>
  </si>
  <si>
    <t>Винокуров Сергей Александрович</t>
  </si>
  <si>
    <t>sv-prac-kamaz@mail.ru</t>
  </si>
  <si>
    <t>Каюкова Анастасия Олеговна</t>
  </si>
  <si>
    <t>Kayukovata@mail.ru</t>
  </si>
  <si>
    <t>Салманов Кирилл Геннадьевич</t>
  </si>
  <si>
    <t>As.atelier2016@gmail.com</t>
  </si>
  <si>
    <t>Исмайлова Екатерина Олеговна</t>
  </si>
  <si>
    <t>Ismylova999@mail.ru</t>
  </si>
  <si>
    <t>Тарабарова Марина Анатольевна</t>
  </si>
  <si>
    <t>savelieva1977@yandex.ru</t>
  </si>
  <si>
    <t>3/2-07/251</t>
  </si>
  <si>
    <t>Котова Любовь Борисовна</t>
  </si>
  <si>
    <t>kotova011964@gmail.com</t>
  </si>
  <si>
    <t>3/3-03/405</t>
  </si>
  <si>
    <t>Кадауб Даниял Маннепович</t>
  </si>
  <si>
    <t>Gulnara.isabekova@mail.ru</t>
  </si>
  <si>
    <t>Сафонова Людмила Юрьевна</t>
  </si>
  <si>
    <t>89171565888@mail.ru</t>
  </si>
  <si>
    <t>2/2-07/225</t>
  </si>
  <si>
    <t>Семкин Александр Александрович</t>
  </si>
  <si>
    <t>nastika8899@list.ru</t>
  </si>
  <si>
    <t>3/1-09/065</t>
  </si>
  <si>
    <t>Никитина Марина Викторовна</t>
  </si>
  <si>
    <t>niki_marine@mail.ru</t>
  </si>
  <si>
    <t>2/1-16/100</t>
  </si>
  <si>
    <t>Круткин Николай Геннадьевич</t>
  </si>
  <si>
    <t>krutrin@mail.ru</t>
  </si>
  <si>
    <t>2/2-11/261</t>
  </si>
  <si>
    <t>Черцов Юрий Юрьевич</t>
  </si>
  <si>
    <t>Andre.c@mail.ru</t>
  </si>
  <si>
    <t>3/1-14/111</t>
  </si>
  <si>
    <t>Пушин Дмитрий Владимирович</t>
  </si>
  <si>
    <t>mityapuschin@yandex.ru</t>
  </si>
  <si>
    <t>3/5-17/768</t>
  </si>
  <si>
    <t>Хачатуров Эдуард Андраникович</t>
  </si>
  <si>
    <t>hachaturovea85@icloud.com</t>
  </si>
  <si>
    <t>3/2-09/266</t>
  </si>
  <si>
    <t>Мироненко Елена Леонидовна</t>
  </si>
  <si>
    <t>milovica-kz@mail.ru</t>
  </si>
  <si>
    <t>2/2-15/314</t>
  </si>
  <si>
    <t>Мухатьянова Сагиля Танышпайевна</t>
  </si>
  <si>
    <t>Sagily@mail.ru</t>
  </si>
  <si>
    <t>3/1-05/033</t>
  </si>
  <si>
    <t>Гогорян Паруйр Степанович</t>
  </si>
  <si>
    <t>Lusinar-92@mail.ru</t>
  </si>
  <si>
    <t>3/5-23/820</t>
  </si>
  <si>
    <t>Буренкова Елизавета Вячеславовна</t>
  </si>
  <si>
    <t>elenabur0875@yandex.ru</t>
  </si>
  <si>
    <t>3/5-13/732</t>
  </si>
  <si>
    <t>Стрелкин Александр Сергеевич</t>
  </si>
  <si>
    <t>strelkin.1998@yandex.ru</t>
  </si>
  <si>
    <t>3/5-10/710</t>
  </si>
  <si>
    <t>Мамедова Айтен Шохрат Кзы</t>
  </si>
  <si>
    <t>Ajtenmamedova308@gmail.com</t>
  </si>
  <si>
    <t>Умнов, Виталий Викторович</t>
  </si>
  <si>
    <t>lola.savchuk@yandex.ru</t>
  </si>
  <si>
    <t>Давыдова Ольга Анатольевна</t>
  </si>
  <si>
    <t>devid446ss@gmail.com</t>
  </si>
  <si>
    <t>3/1-17/138</t>
  </si>
  <si>
    <t>Воронова Наталья Николаевна</t>
  </si>
  <si>
    <t>nkodolova@mail.ru</t>
  </si>
  <si>
    <t>Поддержка от застройщика 2022</t>
  </si>
  <si>
    <t>Папанов Вячеслав Юрьевич</t>
  </si>
  <si>
    <t>papanov.s@gmail.com</t>
  </si>
  <si>
    <t>3/2-10/278</t>
  </si>
  <si>
    <t>Карян Давид Жораевич</t>
  </si>
  <si>
    <t>dkaryan58@mail.ru</t>
  </si>
  <si>
    <t>3/2-05/235</t>
  </si>
  <si>
    <t>Савенкова Екатерина Борисовна</t>
  </si>
  <si>
    <t>savenkovakat82@yandex.ru</t>
  </si>
  <si>
    <t>3/2-03/222</t>
  </si>
  <si>
    <t>Конаныхин Алексей Юрьевич</t>
  </si>
  <si>
    <t>vip.saw1988@mail.ru</t>
  </si>
  <si>
    <t>3/4-05/536</t>
  </si>
  <si>
    <t>Вилданов Дим Сафиуллович</t>
  </si>
  <si>
    <t>dim.vildanov@mail.ru</t>
  </si>
  <si>
    <t>Столярова Полина Юрьевна</t>
  </si>
  <si>
    <t>Банк</t>
  </si>
  <si>
    <t>Реклама в ТК - Брандмауэр на Амбаре</t>
  </si>
  <si>
    <t>Партнерство - Другое (указать источник)</t>
  </si>
  <si>
    <t>Объект - Стройка</t>
  </si>
  <si>
    <t>Соцсети - ВКонтакте</t>
  </si>
  <si>
    <t>Дом.РФ</t>
  </si>
  <si>
    <t>ВТБ</t>
  </si>
  <si>
    <t>Полиграфия - Лифлет</t>
  </si>
  <si>
    <t>Сбербанк</t>
  </si>
  <si>
    <t>Абсолют банк</t>
  </si>
  <si>
    <t>Пресса - СМИ online</t>
  </si>
  <si>
    <t>Повторное обращение</t>
  </si>
  <si>
    <t>Полиграфия - Буклеты</t>
  </si>
  <si>
    <t>Рекомендации - Клиенты</t>
  </si>
  <si>
    <t>Реклама в ТК - Навигация в Амбаре</t>
  </si>
  <si>
    <t>Наружная реклама - Щиты, видеоэкраны Самара</t>
  </si>
  <si>
    <t>АКБ Связь Банк</t>
  </si>
  <si>
    <t>Агрегаторы - Циан</t>
  </si>
  <si>
    <t>ТВ</t>
  </si>
  <si>
    <t>Рекомендации - Жители</t>
  </si>
  <si>
    <t>Уралсиб банк</t>
  </si>
  <si>
    <t>Транспорт - Автобусы</t>
  </si>
  <si>
    <t>Радио</t>
  </si>
  <si>
    <t>Рекомендации - от сотрудников ГВ</t>
  </si>
  <si>
    <t>Объект - Баннер на доме с телефоном</t>
  </si>
  <si>
    <t>Партнерство - Риелторы</t>
  </si>
  <si>
    <t>Агрегаторы - Авито</t>
  </si>
  <si>
    <t>Реклама в ТК - Стойка с листовками</t>
  </si>
  <si>
    <t>Соцсети - Instagram</t>
  </si>
  <si>
    <t>Россельхозбанк</t>
  </si>
  <si>
    <t>Рекомендации - Сотрудники</t>
  </si>
  <si>
    <t>Агрегаторы - ДомКлик</t>
  </si>
  <si>
    <t>Нет ответа</t>
  </si>
  <si>
    <t>Альфа-банк</t>
  </si>
  <si>
    <t>Агрегаторы - Домстрой.рф</t>
  </si>
  <si>
    <t>Агрегаторы - Яндекс.Недвижимость</t>
  </si>
  <si>
    <t>Агрегаторы - ДомКлик (Витрина)</t>
  </si>
  <si>
    <t>Совкомбанк</t>
  </si>
  <si>
    <t>Реклама в ТК - Рекламные щиты на парковке Амбара</t>
  </si>
  <si>
    <t>Партнерство - Банки</t>
  </si>
  <si>
    <t>Открытие</t>
  </si>
  <si>
    <t>Росбанк</t>
  </si>
  <si>
    <t>Домклик</t>
  </si>
  <si>
    <t>Агрегаторы - ДомКлик (Витрина 1%)</t>
  </si>
  <si>
    <t>Промсвязьбанк</t>
  </si>
  <si>
    <t>Рассылка ГОРОД</t>
  </si>
  <si>
    <t>3/2-22/372</t>
  </si>
  <si>
    <t>Климачева Екатерина Сергеевна</t>
  </si>
  <si>
    <t>klimacheva_yekaterina@mail.ru</t>
  </si>
  <si>
    <t>3/5-08/691</t>
  </si>
  <si>
    <t>Кучкаров Музаффар Муродович</t>
  </si>
  <si>
    <t>muzaffarkuchkarov@mail.ru</t>
  </si>
  <si>
    <t>2/1-02/003</t>
  </si>
  <si>
    <t>ДКП</t>
  </si>
  <si>
    <t>Седельников Александр Геннадьевич</t>
  </si>
  <si>
    <t>89372050607@mail.ru</t>
  </si>
  <si>
    <t>2/2-02/164</t>
  </si>
  <si>
    <t>3/1-08/055</t>
  </si>
  <si>
    <t>Субочев Владимир Владимирович</t>
  </si>
  <si>
    <t>subochevvolodimir@yandex.ru</t>
  </si>
  <si>
    <t>2/1-24/157</t>
  </si>
  <si>
    <t>2/1-24/161</t>
  </si>
  <si>
    <t>2/2-02/170</t>
  </si>
  <si>
    <t>2/2-05/195</t>
  </si>
  <si>
    <t>3/5-07/683</t>
  </si>
  <si>
    <t>Горшкова Елена Александровна</t>
  </si>
  <si>
    <t>gorshkovae@mail.ru</t>
  </si>
  <si>
    <t>3/4-07/553</t>
  </si>
  <si>
    <t>3/5-06/670</t>
  </si>
  <si>
    <t>Михайлюк Ольга Сергеевна</t>
  </si>
  <si>
    <t>mixajlyuk59@bk.ru</t>
  </si>
  <si>
    <t>3/3-16/506</t>
  </si>
  <si>
    <t>3/1-19/159</t>
  </si>
  <si>
    <t>Окунев Алексей Леонидович</t>
  </si>
  <si>
    <t>okunev.alexey13@yandex.ru</t>
  </si>
  <si>
    <t>3/5-21/803</t>
  </si>
  <si>
    <t>Лизунов Владимир Юрьевич</t>
  </si>
  <si>
    <t>alfimovanastya@mail.ru</t>
  </si>
  <si>
    <t>№ на этаже</t>
  </si>
  <si>
    <t>Жилая площадь по проекту</t>
  </si>
  <si>
    <t>Общая площадь по проекту</t>
  </si>
  <si>
    <t>Площадь без летних</t>
  </si>
  <si>
    <t>3/1-15/120</t>
  </si>
  <si>
    <t>Яшина Марина Ивановна</t>
  </si>
  <si>
    <t>elena_feizikova@mail.ru</t>
  </si>
  <si>
    <t>3/1-02/009</t>
  </si>
  <si>
    <t>3/1-05/029</t>
  </si>
  <si>
    <t>Хамзин Дамир Наильевич</t>
  </si>
  <si>
    <t>Vault797@gmail.com</t>
  </si>
  <si>
    <t>Доля продаж по 4 дому</t>
  </si>
  <si>
    <t>2/1-16/101</t>
  </si>
  <si>
    <t>Шлыкова Елена Викторовна</t>
  </si>
  <si>
    <t>yellow-964@mail.ru</t>
  </si>
  <si>
    <t>Марочкина</t>
  </si>
  <si>
    <t>3/5-12/724</t>
  </si>
  <si>
    <t>Гондрабура Ольга Владимировна</t>
  </si>
  <si>
    <t>olga.gondrabura@yandex.ru</t>
  </si>
  <si>
    <t>3/1-06/038</t>
  </si>
  <si>
    <t>Лопатюк Яна Владимировна</t>
  </si>
  <si>
    <t>Yana-l@nwc-g.com</t>
  </si>
  <si>
    <t>3/6-09/895</t>
  </si>
  <si>
    <t>Степанян Сатеник Татуловна</t>
  </si>
  <si>
    <t>satstepanyan28@gmail.com</t>
  </si>
  <si>
    <t>3/2-24/386</t>
  </si>
  <si>
    <t>Аникина Наталья Александровна</t>
  </si>
  <si>
    <t>pobeda_kriss@mail.ru</t>
  </si>
  <si>
    <t>3/1-22/185</t>
  </si>
  <si>
    <t>pavlicenkomaria99@gmail.com</t>
  </si>
  <si>
    <t>3/1-11/082</t>
  </si>
  <si>
    <t>Мендгазиева Айжана Токтарбаевна</t>
  </si>
  <si>
    <t>aishanamyxa@mail.ru</t>
  </si>
  <si>
    <t>3/1-10/073</t>
  </si>
  <si>
    <t>Хусаинов Рифат Асхатович</t>
  </si>
  <si>
    <t>Logrifat@gmail.com</t>
  </si>
  <si>
    <t>3/1-11/089</t>
  </si>
  <si>
    <t>Малышева Надежда Викторовна</t>
  </si>
  <si>
    <t>malyschewa.nadezhda@yandex.ru</t>
  </si>
  <si>
    <t>3/6-05/858</t>
  </si>
  <si>
    <t>Кулаев Петр Николаевич</t>
  </si>
  <si>
    <t>tania.ilyin@yandex.ru</t>
  </si>
  <si>
    <t>3/6-08/887</t>
  </si>
  <si>
    <t>Акимова Надежда Александровна</t>
  </si>
  <si>
    <t>nadya.akimova.2016@mail.ru</t>
  </si>
  <si>
    <t>3/6-05/860</t>
  </si>
  <si>
    <t>Маркова Светлана Геннадьевна</t>
  </si>
  <si>
    <t>smarkowa@gmail.com</t>
  </si>
  <si>
    <t>2/1-07/041</t>
  </si>
  <si>
    <t>Карчевская Ирина Александровна</t>
  </si>
  <si>
    <t>karchevskaya.GN@yandex.ru</t>
  </si>
  <si>
    <t>3/4-13/600</t>
  </si>
  <si>
    <t>Казимов Виктор Владимирович</t>
  </si>
  <si>
    <t>KAZIMOV174RUS@MAIL.RU</t>
  </si>
  <si>
    <t>4/1-15/111</t>
  </si>
  <si>
    <t>4/3-13/324</t>
  </si>
  <si>
    <t>Ядрышникова Людмила Ивановна</t>
  </si>
  <si>
    <t>11.02.85@mail.ru</t>
  </si>
  <si>
    <t>4/3-11/310</t>
  </si>
  <si>
    <t>Шайкин Александр Александрович</t>
  </si>
  <si>
    <t>1q2w3e_56@mail.ru</t>
  </si>
  <si>
    <t>4/2-03/134</t>
  </si>
  <si>
    <t>Павлов Дмитрий Васильевич</t>
  </si>
  <si>
    <t>pv.dmitry@mail.ru</t>
  </si>
  <si>
    <t>4/3-14/331</t>
  </si>
  <si>
    <t>Шайкиева Римма Ришатовна</t>
  </si>
  <si>
    <t>Sh.rimmochka@yandex.ru</t>
  </si>
  <si>
    <t>4/1-03/016</t>
  </si>
  <si>
    <t>Огудин Юрий Владимирович</t>
  </si>
  <si>
    <t>ogudin@mail.ru</t>
  </si>
  <si>
    <t>3/6-08/885</t>
  </si>
  <si>
    <t>Уланов Валерий Николаевич</t>
  </si>
  <si>
    <t>serzh.ulanov.1980@mail.ru</t>
  </si>
  <si>
    <t>4/2-02/128</t>
  </si>
  <si>
    <t>4/1-13/095</t>
  </si>
  <si>
    <t>4/3-16/345</t>
  </si>
  <si>
    <t>Польская Екатерина Ильинична</t>
  </si>
  <si>
    <t>pei_05@mail.ru</t>
  </si>
  <si>
    <t>4/3-08/289</t>
  </si>
  <si>
    <t>Черников Вячеслав Викторович</t>
  </si>
  <si>
    <t>maria4cher14@gmail.com</t>
  </si>
  <si>
    <t>4/2-06/155</t>
  </si>
  <si>
    <t>4/1-04/024</t>
  </si>
  <si>
    <t>Мельникова Евгения Александровна</t>
  </si>
  <si>
    <t>venera-star@mail.ru</t>
  </si>
  <si>
    <t>4/2-04/137</t>
  </si>
  <si>
    <t>Нестерова Ирина Александровна</t>
  </si>
  <si>
    <t>snesterova39@gmail.com</t>
  </si>
  <si>
    <t>4/3-05/268</t>
  </si>
  <si>
    <t>Нагорная Татьяна Александровна</t>
  </si>
  <si>
    <t>nagornay21@gmail.com</t>
  </si>
  <si>
    <t>4/2-05/145</t>
  </si>
  <si>
    <t>Клинов Дмитрий Дмитриевич</t>
  </si>
  <si>
    <t>Rockstar7@yandex.ru</t>
  </si>
  <si>
    <t>4/1-02/008</t>
  </si>
  <si>
    <t>khamirova36@gmail.com</t>
  </si>
  <si>
    <t>ПП</t>
  </si>
  <si>
    <t>ДДУ</t>
  </si>
  <si>
    <t>Город</t>
  </si>
  <si>
    <t>ДЕПАРТАМЕНТ УПРАВЛЕНИЯ ИМУЩЕСТВОМ ГОРОДСКОГО ОКРУГА САМАРА</t>
  </si>
  <si>
    <t>Итого по 2024</t>
  </si>
  <si>
    <t>4/3-09/296</t>
  </si>
  <si>
    <t>Потапенко Илья Михайлович</t>
  </si>
  <si>
    <t>il.potapenko3227@gmail.com</t>
  </si>
  <si>
    <t>4/3-17/349</t>
  </si>
  <si>
    <t>Мухопад Нина Геннадьевна</t>
  </si>
  <si>
    <t>nin.muhopad@gmail.com</t>
  </si>
  <si>
    <t>К-137</t>
  </si>
  <si>
    <t>К-103</t>
  </si>
  <si>
    <t>К-105</t>
  </si>
  <si>
    <t>К-107</t>
  </si>
  <si>
    <t>К-108</t>
  </si>
  <si>
    <t>К-109</t>
  </si>
  <si>
    <t>К-110</t>
  </si>
  <si>
    <t>К-111</t>
  </si>
  <si>
    <t>К-112</t>
  </si>
  <si>
    <t>К-113</t>
  </si>
  <si>
    <t>К-114</t>
  </si>
  <si>
    <t>К-115</t>
  </si>
  <si>
    <t>К-116</t>
  </si>
  <si>
    <t>К-117</t>
  </si>
  <si>
    <t>К-118</t>
  </si>
  <si>
    <t>К-119</t>
  </si>
  <si>
    <t>К-120</t>
  </si>
  <si>
    <t>К-121</t>
  </si>
  <si>
    <t>К-122</t>
  </si>
  <si>
    <t>К-123</t>
  </si>
  <si>
    <t>К-124</t>
  </si>
  <si>
    <t>К-125</t>
  </si>
  <si>
    <t>К-126</t>
  </si>
  <si>
    <t>К-127</t>
  </si>
  <si>
    <t>К-128</t>
  </si>
  <si>
    <t>К-129</t>
  </si>
  <si>
    <t>К-130</t>
  </si>
  <si>
    <t>К-131</t>
  </si>
  <si>
    <t>К-132</t>
  </si>
  <si>
    <t>К-133</t>
  </si>
  <si>
    <t>К-134</t>
  </si>
  <si>
    <t>К-135</t>
  </si>
  <si>
    <t>4/3-07/282</t>
  </si>
  <si>
    <t>Кульмаметова Зульфия Анваровна</t>
  </si>
  <si>
    <t>kammfc@mail.ru</t>
  </si>
  <si>
    <t>4/1-03/015</t>
  </si>
  <si>
    <t>Оликова Ольга Юрьевна</t>
  </si>
  <si>
    <t>Olikov.03@mail.ru</t>
  </si>
  <si>
    <t>3/1-16/130</t>
  </si>
  <si>
    <t>Усманов Ильсаф Ансафович</t>
  </si>
  <si>
    <t>usmanovilsaf@yandex.ru</t>
  </si>
  <si>
    <t>3/1-11/085</t>
  </si>
  <si>
    <t>popovaSM333@mail.ru</t>
  </si>
  <si>
    <t>4/1-11/077</t>
  </si>
  <si>
    <t>Петрова Юлия Владимировна</t>
  </si>
  <si>
    <t>kat-ti76@mail.ru</t>
  </si>
  <si>
    <t>2/2-07/219</t>
  </si>
  <si>
    <t>Халидов Зейнал Джангирович</t>
  </si>
  <si>
    <t>Xalidovz@mail.ru</t>
  </si>
  <si>
    <t>4/2-05/147</t>
  </si>
  <si>
    <t>Пирогов Юрий Сергеевич</t>
  </si>
  <si>
    <t>y.s.pirogov@mail.ru</t>
  </si>
  <si>
    <t>3/1-09/066</t>
  </si>
  <si>
    <t>Чапаева Альбина Ряхимовна</t>
  </si>
  <si>
    <t>tata2810@mail.ru</t>
  </si>
  <si>
    <t>4/3-15/338</t>
  </si>
  <si>
    <t>Камаева Лилия Рашитовна</t>
  </si>
  <si>
    <t>Lika88-rash@mail.ru</t>
  </si>
  <si>
    <t>4/3-06/271</t>
  </si>
  <si>
    <t>4/2-11/195</t>
  </si>
  <si>
    <t>4/3-06/275</t>
  </si>
  <si>
    <t>4/2-04/141</t>
  </si>
  <si>
    <t>3/1-11/083</t>
  </si>
  <si>
    <t>Якупова Гузелия Ислямовна</t>
  </si>
  <si>
    <t>yakupova_1597@mail.ru</t>
  </si>
  <si>
    <t>4/4-13/506</t>
  </si>
  <si>
    <t>Хомчук Владимир Михайлович</t>
  </si>
  <si>
    <t>ilinykh.e.o@gmail.com</t>
  </si>
  <si>
    <t>2/1-04/017</t>
  </si>
  <si>
    <t>Стрельников Василий Николаевич</t>
  </si>
  <si>
    <t>svn_2010@mail.ru</t>
  </si>
  <si>
    <t>4/3-13/322</t>
  </si>
  <si>
    <t>Акимова, Оксана Владимировна</t>
  </si>
  <si>
    <t>oksana.akimova1977@gmail.com</t>
  </si>
  <si>
    <t>3/5-15/751</t>
  </si>
  <si>
    <t>Климашов Илья Вячеславович</t>
  </si>
  <si>
    <t>ivklimashov@mail.ru</t>
  </si>
  <si>
    <t>4/3-03/248</t>
  </si>
  <si>
    <t>Кинжигалиева Зауре Дуйсембаевна</t>
  </si>
  <si>
    <t>Zau_2011@mail.ru</t>
  </si>
  <si>
    <t>3/5-02/635</t>
  </si>
  <si>
    <t>Зайцева Мария Владимировна</t>
  </si>
  <si>
    <t>mzaj@rambler.ru</t>
  </si>
  <si>
    <t>3/1-07/047</t>
  </si>
  <si>
    <t>Кириченко Татьяна Сергеевна</t>
  </si>
  <si>
    <t>kirichenkots@yandex.ru</t>
  </si>
  <si>
    <t>3/6-05/866</t>
  </si>
  <si>
    <t>Шульгин Тихон Владимирович</t>
  </si>
  <si>
    <t>tihon163@gmail.com</t>
  </si>
  <si>
    <t>Журбенко</t>
  </si>
  <si>
    <t>М2 с учетом K</t>
  </si>
  <si>
    <t>18.07.22 Повышение 5%</t>
  </si>
  <si>
    <t>Фикс 18.07.22</t>
  </si>
  <si>
    <t>Фикс 16.08.22</t>
  </si>
  <si>
    <t>Утв цена м2</t>
  </si>
  <si>
    <t>5</t>
  </si>
  <si>
    <t>6</t>
  </si>
  <si>
    <t>7</t>
  </si>
  <si>
    <t>8</t>
  </si>
  <si>
    <t>К-104</t>
  </si>
  <si>
    <t>К-106</t>
  </si>
  <si>
    <t>2/1-10/062</t>
  </si>
  <si>
    <t>Бабаян Разалия Равильевна</t>
  </si>
  <si>
    <t>paserov20@gmail.com</t>
  </si>
  <si>
    <t>4/1-02/001</t>
  </si>
  <si>
    <t>4/2-03/129</t>
  </si>
  <si>
    <t>4/1-04/023</t>
  </si>
  <si>
    <t>4/1-02/007</t>
  </si>
  <si>
    <t>Табаков Олег Валентинович</t>
  </si>
  <si>
    <t>ddtr1987@mail.ru</t>
  </si>
  <si>
    <t>3/1-10/074</t>
  </si>
  <si>
    <t>Ахметшина Мадина Робеноровна</t>
  </si>
  <si>
    <t>Akhmetshina.madina@yandex.ru</t>
  </si>
  <si>
    <t>3/5-07/680</t>
  </si>
  <si>
    <t>Емшанова Ольга Анатольевна</t>
  </si>
  <si>
    <t>emshanova_olga@mail.ru</t>
  </si>
  <si>
    <t>Комната 1</t>
  </si>
  <si>
    <t>Комната 2</t>
  </si>
  <si>
    <t>Комната 3</t>
  </si>
  <si>
    <t>Кухня</t>
  </si>
  <si>
    <t>Ванная</t>
  </si>
  <si>
    <t>С\У</t>
  </si>
  <si>
    <t>Гардеробная</t>
  </si>
  <si>
    <t>Коридор</t>
  </si>
  <si>
    <t>Лоджия 1</t>
  </si>
  <si>
    <t>Лоджия 2</t>
  </si>
  <si>
    <t>Лоджия 3</t>
  </si>
  <si>
    <t>утв цена м2</t>
  </si>
  <si>
    <t>Цена м2 с отделкой2</t>
  </si>
  <si>
    <t>проверка статуса</t>
  </si>
  <si>
    <t>м2 после К</t>
  </si>
  <si>
    <t>Стоимость до скидки</t>
  </si>
  <si>
    <t>Дом 5</t>
  </si>
  <si>
    <t>СВОД все дома 2023</t>
  </si>
  <si>
    <t>Квартира месяца</t>
  </si>
  <si>
    <t>2/1-14/087</t>
  </si>
  <si>
    <t>Амелькина Анна Васильевна</t>
  </si>
  <si>
    <t>Nuraamelkina@rambler.ru</t>
  </si>
  <si>
    <t>2/1-10/057</t>
  </si>
  <si>
    <t>Чобанян Воскеат Вачагановна</t>
  </si>
  <si>
    <t>isoyan.sonya@mail.ru</t>
  </si>
  <si>
    <t>3/1-10/075</t>
  </si>
  <si>
    <t>Славкина Елена Владимировна</t>
  </si>
  <si>
    <t>elena.slavkina@gmail.com</t>
  </si>
  <si>
    <t>2/1-11/064</t>
  </si>
  <si>
    <t>Юдаков Валерий Юрьевич</t>
  </si>
  <si>
    <t>u-dva@list.ru</t>
  </si>
  <si>
    <t>3/5-15/752</t>
  </si>
  <si>
    <t>Сазонова Татьяна Геннадьевна</t>
  </si>
  <si>
    <t>masupria@mail.ru</t>
  </si>
  <si>
    <t>3/1-03/011</t>
  </si>
  <si>
    <t>Суворова Ирина Константиновна</t>
  </si>
  <si>
    <t>suvorova.suvor-k@yandex.ru</t>
  </si>
  <si>
    <t>3/5-16/762</t>
  </si>
  <si>
    <t>Люкшин, Игорь Александрович</t>
  </si>
  <si>
    <t>lyukshina90@internet.ru</t>
  </si>
  <si>
    <t>4/1-16/113</t>
  </si>
  <si>
    <t>Серяпина Юлия Юрьевна</t>
  </si>
  <si>
    <t>suu001@yandex.ru</t>
  </si>
  <si>
    <t>3/1-14/110</t>
  </si>
  <si>
    <t>Котляров Алексей Николаевич</t>
  </si>
  <si>
    <t>director@npartner63.ru</t>
  </si>
  <si>
    <t>3/6-04/856</t>
  </si>
  <si>
    <t>Сенина Виктория Сергеевна</t>
  </si>
  <si>
    <t>Solovova_vika@mail.ru</t>
  </si>
  <si>
    <t>2/1-18/115</t>
  </si>
  <si>
    <t>Токарев Никита Евгеньевич</t>
  </si>
  <si>
    <t>nikita-tokarev163@yandex.ru</t>
  </si>
  <si>
    <t>3/1-11/084</t>
  </si>
  <si>
    <t>Жук Эльвира Вячеславовна</t>
  </si>
  <si>
    <t>saetgalin@bk.ru</t>
  </si>
  <si>
    <t>3/6-08/893</t>
  </si>
  <si>
    <t>Блудилина Екатерина Геннадьевна</t>
  </si>
  <si>
    <t>Fedor235@bk.ru</t>
  </si>
  <si>
    <t>4/4-08/461</t>
  </si>
  <si>
    <t>Вавилкина Ольга Владимировна</t>
  </si>
  <si>
    <t>vsam604@gmail.com</t>
  </si>
  <si>
    <t>4/3-12/317</t>
  </si>
  <si>
    <t>Гросс Илья Сергеевич</t>
  </si>
  <si>
    <t>ilia_gross@rambler.ru</t>
  </si>
  <si>
    <t>Савченко Екатерина Алексеевна</t>
  </si>
  <si>
    <t>kate16savchenko@gmail.com</t>
  </si>
  <si>
    <t>3/5-08/690</t>
  </si>
  <si>
    <t>Каркула Вадим Юрьевич</t>
  </si>
  <si>
    <t>Vadim.karkula@mail.ru</t>
  </si>
  <si>
    <t>Зачетная квартира</t>
  </si>
  <si>
    <t>4/3-06/269</t>
  </si>
  <si>
    <t>Тарасевич Ирина Александровна</t>
  </si>
  <si>
    <t>tia-tlt@yandex.ru</t>
  </si>
  <si>
    <t>3/3-11/466</t>
  </si>
  <si>
    <t>Маслов Даниил Максимович</t>
  </si>
  <si>
    <t>maslov2daniil@gmail.com</t>
  </si>
  <si>
    <t>3/6-02/839</t>
  </si>
  <si>
    <t>3/5-24/825</t>
  </si>
  <si>
    <t>Петров Дмитрий Алексеевич</t>
  </si>
  <si>
    <t>Dmitry0424@yandex.ru</t>
  </si>
  <si>
    <t>4/1-16/115</t>
  </si>
  <si>
    <t>Розенблюм Анна Моисеевна</t>
  </si>
  <si>
    <t>any-r@rambler.ru</t>
  </si>
  <si>
    <t>3/6-06/874</t>
  </si>
  <si>
    <t>Кубжасаров Дархан Галимжанович</t>
  </si>
  <si>
    <t>khantwain@mail.ru</t>
  </si>
  <si>
    <t>4/4-12/493</t>
  </si>
  <si>
    <t>Ащеулова Полина Васильевна</t>
  </si>
  <si>
    <t>polina.asheulova@mail.ru</t>
  </si>
  <si>
    <t>3/1-16/129</t>
  </si>
  <si>
    <t>Сенатова Светлана Ивановна</t>
  </si>
  <si>
    <t>usenatova@gmail.com</t>
  </si>
  <si>
    <t>3/1-19/158</t>
  </si>
  <si>
    <t>Солодова Анастасия Александровна</t>
  </si>
  <si>
    <t>Ann4am@yandex.ru</t>
  </si>
  <si>
    <t>3/6-03/847</t>
  </si>
  <si>
    <t>Тихонов Виктор Михайлович</t>
  </si>
  <si>
    <t>xokkey1987@yandex.ru</t>
  </si>
  <si>
    <t>3/1-07/048</t>
  </si>
  <si>
    <t>Коннова Галина Александровна</t>
  </si>
  <si>
    <t>Gala130366@mail.ru</t>
  </si>
  <si>
    <t>Способ регистрации</t>
  </si>
  <si>
    <t>Метр квадратный</t>
  </si>
  <si>
    <t>4/3-19/362</t>
  </si>
  <si>
    <t>Мякченко Ирина Александровна</t>
  </si>
  <si>
    <t>irina-grafova@bk.ru</t>
  </si>
  <si>
    <t>3/1-19/156</t>
  </si>
  <si>
    <t>Князюк Иван Иванович</t>
  </si>
  <si>
    <t>Kseniya.Knyazyk@russianpost.ru</t>
  </si>
  <si>
    <t>2/1-07/038</t>
  </si>
  <si>
    <t>Феденева Анастасия Александровна</t>
  </si>
  <si>
    <t>63rts@bk.ru</t>
  </si>
  <si>
    <t>3/1-15/119</t>
  </si>
  <si>
    <t>Малица Дмитрий Иванович</t>
  </si>
  <si>
    <t>dmitrymal@list.ru</t>
  </si>
  <si>
    <t>3/1-04/023</t>
  </si>
  <si>
    <t>Вашуркин Владимир Олегович</t>
  </si>
  <si>
    <t>vashurckin.vladim@yandex.ru</t>
  </si>
  <si>
    <t>3/5-22/809</t>
  </si>
  <si>
    <t>Уралев Андрей Сергеевич</t>
  </si>
  <si>
    <t>andreyya111@gmail.com</t>
  </si>
  <si>
    <t>4/3-16/342</t>
  </si>
  <si>
    <t>Володин Евгений Игоревич</t>
  </si>
  <si>
    <t>zhenek173@mail.ru</t>
  </si>
  <si>
    <t>3/1-03/013</t>
  </si>
  <si>
    <t>Мукминова Римма Нажиповна</t>
  </si>
  <si>
    <t>mukminovarimma01@gmail.com</t>
  </si>
  <si>
    <t>3/3-04/412</t>
  </si>
  <si>
    <t>Кипар Татьяна Евгеньевна</t>
  </si>
  <si>
    <t>kipart@mail.ru</t>
  </si>
  <si>
    <t>3/1-19/157</t>
  </si>
  <si>
    <t>Царева Елена Владимировна</t>
  </si>
  <si>
    <t>ele1609427462@yandex.ru</t>
  </si>
  <si>
    <t>3/5-15/755</t>
  </si>
  <si>
    <t>Кашкин Денис Иванович</t>
  </si>
  <si>
    <t>denismail01@gmail.com</t>
  </si>
  <si>
    <t>3/5-16/764</t>
  </si>
  <si>
    <t>Репях Виктория Павловна</t>
  </si>
  <si>
    <t>vpp95@yandex.ru</t>
  </si>
  <si>
    <t>3/1-20/164</t>
  </si>
  <si>
    <t>Чапланов Юрий Дмитриевич</t>
  </si>
  <si>
    <t>Chaplanov1@ya.ru</t>
  </si>
  <si>
    <t>Рекомендации - Знакомые</t>
  </si>
  <si>
    <t>Молодая семья</t>
  </si>
  <si>
    <t>3/5-17/771</t>
  </si>
  <si>
    <t>Лопанский Михаил Алексеевич</t>
  </si>
  <si>
    <t>zykova_irina94@mail.ru</t>
  </si>
  <si>
    <t>3/1-22/186</t>
  </si>
  <si>
    <t>Атлашова, Светлана Юрьевна</t>
  </si>
  <si>
    <t>atlasu71@mail.ru</t>
  </si>
  <si>
    <t>3/5-11/715</t>
  </si>
  <si>
    <t>Егоров Николай Юрьевич</t>
  </si>
  <si>
    <t>egorov.nikolas@yandex.ru</t>
  </si>
  <si>
    <t>3/1-19/162</t>
  </si>
  <si>
    <t>Суфьянова Лена Рамильевна</t>
  </si>
  <si>
    <t>sufyanova_lena@mail.ru</t>
  </si>
  <si>
    <t>2/1-13/083</t>
  </si>
  <si>
    <t>Антонова Ольга Сергеевна</t>
  </si>
  <si>
    <t>mironiha_olga@mail.ru</t>
  </si>
  <si>
    <t>3/1-02/005</t>
  </si>
  <si>
    <t>Коржова София Алексеевна</t>
  </si>
  <si>
    <t>SERVOKORZOV@gmail.com</t>
  </si>
  <si>
    <t>К-169</t>
  </si>
  <si>
    <t>К-170</t>
  </si>
  <si>
    <t>Мед работник</t>
  </si>
  <si>
    <t>Гордость России</t>
  </si>
  <si>
    <t>Многодетная семья</t>
  </si>
  <si>
    <t>Дети с ограниченными возможностями</t>
  </si>
  <si>
    <t>Скидка иногородним</t>
  </si>
  <si>
    <t>3/5-08/692</t>
  </si>
  <si>
    <t>Лещев Сергей Иванович</t>
  </si>
  <si>
    <t>Raketa024@mail.ru</t>
  </si>
  <si>
    <t>3/5-12/725</t>
  </si>
  <si>
    <t>Хрущева Олеся Вячеславовна</t>
  </si>
  <si>
    <t>Xrushhyova20@mail.ru</t>
  </si>
  <si>
    <t>3/1-11/086</t>
  </si>
  <si>
    <t>Зайцева Лилия Михайловна</t>
  </si>
  <si>
    <t>zaycev_vv1964@mail.ru</t>
  </si>
  <si>
    <t>Завьялова Ольга Степановна</t>
  </si>
  <si>
    <t>zavyalova56@inbox.ru </t>
  </si>
  <si>
    <t>4/2-16/233</t>
  </si>
  <si>
    <t>Фомин Александр Владимирович</t>
  </si>
  <si>
    <t>alex.fomin@gmail.com</t>
  </si>
  <si>
    <t>3/1-12/095</t>
  </si>
  <si>
    <t>Мазур Дмитрий Васильевич</t>
  </si>
  <si>
    <t>ip.13@mail.ru</t>
  </si>
  <si>
    <t>3/5-11/719</t>
  </si>
  <si>
    <t>svivanov10@mail.ru</t>
  </si>
  <si>
    <t>3/5-04/653</t>
  </si>
  <si>
    <t>Терских Тамара Владимировна</t>
  </si>
  <si>
    <t>aleksei.terskih@yandex.ru</t>
  </si>
  <si>
    <t>3/6-04/857</t>
  </si>
  <si>
    <t>Пугачева Юлия Владимировна</t>
  </si>
  <si>
    <t>juliapug1003@mail.ru</t>
  </si>
  <si>
    <t>Серебряный возраст</t>
  </si>
  <si>
    <t>3/6-08/892</t>
  </si>
  <si>
    <t>3/1-23/192</t>
  </si>
  <si>
    <t>Луценко Алексей Павлович</t>
  </si>
  <si>
    <t>Kontakt_2011@list.ru</t>
  </si>
  <si>
    <t>3/6-05/865</t>
  </si>
  <si>
    <t>4/3-05/266</t>
  </si>
  <si>
    <t>Зайцева Елизавета Игоревна</t>
  </si>
  <si>
    <t>irina61072@mail.ru</t>
  </si>
  <si>
    <t>3/5-14/746</t>
  </si>
  <si>
    <t>Ионова Наталья Николаевна</t>
  </si>
  <si>
    <t>tata.lica.nova@mail.ru</t>
  </si>
  <si>
    <t>3/5-04/651</t>
  </si>
  <si>
    <t>3/5-18/777</t>
  </si>
  <si>
    <t>Анисова Елена Олеговна</t>
  </si>
  <si>
    <t>anisovaelena.1998@gmail.com</t>
  </si>
  <si>
    <t>4/2-13/209</t>
  </si>
  <si>
    <t>Кондакова Елена Викторовна</t>
  </si>
  <si>
    <t>lenakondakova2011@yandex.ru</t>
  </si>
  <si>
    <t>3/2-05/238</t>
  </si>
  <si>
    <t>Хлопяник Анна Игоревна</t>
  </si>
  <si>
    <t>Apitoxin@mail.ru</t>
  </si>
  <si>
    <t>3/4-16/627</t>
  </si>
  <si>
    <t>Остапенко Дмитрий Андреевич</t>
  </si>
  <si>
    <t>ostkata@icloud.com</t>
  </si>
  <si>
    <t>4/2-16/236</t>
  </si>
  <si>
    <t>Боровец Алексей Николаевич</t>
  </si>
  <si>
    <t>alexeiborovets123@gmail.com</t>
  </si>
  <si>
    <t>3/2-11/286</t>
  </si>
  <si>
    <t>Ахмедов Хантемир Зафар Оглы</t>
  </si>
  <si>
    <t>xantamiraxmed@gmail.com</t>
  </si>
  <si>
    <t>3/1-19/161</t>
  </si>
  <si>
    <t>Фомичева Юлия Владимировна</t>
  </si>
  <si>
    <t>fomichiova1996@mail.ru</t>
  </si>
  <si>
    <t>3/5-05/665</t>
  </si>
  <si>
    <t>Кузнецова Ирина Анатольевна</t>
  </si>
  <si>
    <t>kuznetcovaia@list.ru</t>
  </si>
  <si>
    <t>3/6-07/876</t>
  </si>
  <si>
    <t>Цыганова Мария Сергеевна</t>
  </si>
  <si>
    <t>mciganova@bk.ru</t>
  </si>
  <si>
    <t>3/2-22/370</t>
  </si>
  <si>
    <t>Шехурдин Илья Сергеевич</t>
  </si>
  <si>
    <t>ilya.shexurdin@mail.ru</t>
  </si>
  <si>
    <t>2/1-13/078</t>
  </si>
  <si>
    <t>Пайдуганов Александр Владиславович</t>
  </si>
  <si>
    <t>payduganow@gmail.com</t>
  </si>
  <si>
    <t>3/4-10/577</t>
  </si>
  <si>
    <t>Шаяхметов Радик Нуриахметович</t>
  </si>
  <si>
    <t>guzelaladeva@gmail.com</t>
  </si>
  <si>
    <t>2/1-15/098</t>
  </si>
  <si>
    <t>Голиков Евгений Андреевич</t>
  </si>
  <si>
    <t>fatimka_9@mail.ru</t>
  </si>
  <si>
    <t>3/6-09/896</t>
  </si>
  <si>
    <t>Плохотниченко Анастасия Юрьевна</t>
  </si>
  <si>
    <t>Pl13an10@rambler.ru</t>
  </si>
  <si>
    <t>4/3-02/244</t>
  </si>
  <si>
    <t>3/5-12/726</t>
  </si>
  <si>
    <t>Ганускус Анастасия Порферьевна</t>
  </si>
  <si>
    <t>aganuskus@mail.ru</t>
  </si>
  <si>
    <t>3/5-14/744</t>
  </si>
  <si>
    <t>Егоров Виталий Александрович</t>
  </si>
  <si>
    <t>Helen-ok@mail.ru</t>
  </si>
  <si>
    <t>3/5-06/674</t>
  </si>
  <si>
    <t>Козлова Светлана Сергеевна</t>
  </si>
  <si>
    <t>svetlana.kozlova.2023@inbox.ru</t>
  </si>
  <si>
    <t>3/2-19/346</t>
  </si>
  <si>
    <t>Меликова Ольга Михайловна</t>
  </si>
  <si>
    <t>vdv.melikov@icloud.com</t>
  </si>
  <si>
    <t>3/5-09/699</t>
  </si>
  <si>
    <t>Гущина Ирина Сергеевна</t>
  </si>
  <si>
    <t>gushinairisha@gmail.com</t>
  </si>
  <si>
    <t>3/1-09/068</t>
  </si>
  <si>
    <t>Харисова Алина Анваровна</t>
  </si>
  <si>
    <t>harisovaalina642@gmail.com</t>
  </si>
  <si>
    <t>4/2-14/219</t>
  </si>
  <si>
    <t>Зайчикова Наталья Николаевна</t>
  </si>
  <si>
    <t>Amazon72@mail.ru</t>
  </si>
  <si>
    <t>3/2-12/294</t>
  </si>
  <si>
    <t>Кабанов Александр Яковлевич</t>
  </si>
  <si>
    <t>aleks.kab@mail.ru</t>
  </si>
  <si>
    <t>3/1-18/150</t>
  </si>
  <si>
    <t>Умиров Садулла Туйчиевич</t>
  </si>
  <si>
    <t>umirovsadullo@yandex.ru</t>
  </si>
  <si>
    <t>3/5-12/728</t>
  </si>
  <si>
    <t>Хандин Андрей Валерьевич</t>
  </si>
  <si>
    <t>akhandin@mail.ru</t>
  </si>
  <si>
    <t>3/5-19/785</t>
  </si>
  <si>
    <t>Мешкова Татьяна Павловна</t>
  </si>
  <si>
    <t>dr.meshkovak@mail.ru</t>
  </si>
  <si>
    <t>3/5-21/801</t>
  </si>
  <si>
    <t>Вознюк Дмитрий Алексеевич</t>
  </si>
  <si>
    <t>d.voznyuk@rambler.ru</t>
  </si>
  <si>
    <t>3/5-09/701</t>
  </si>
  <si>
    <t>Нуретдинова Алёна Вячеславовна</t>
  </si>
  <si>
    <t>nuretdinova.alena@mail.ru</t>
  </si>
  <si>
    <t>РВИ</t>
  </si>
  <si>
    <t>Первый ДДУ дом 4</t>
  </si>
  <si>
    <t>Онлайн бронирование</t>
  </si>
  <si>
    <t>Субсидирование 701 222</t>
  </si>
  <si>
    <t xml:space="preserve">Субсидия </t>
  </si>
  <si>
    <t>4/2-06/158</t>
  </si>
  <si>
    <t>Астанков Дмитрий Александрович</t>
  </si>
  <si>
    <t>astankov24121975@mail.ru</t>
  </si>
  <si>
    <t>4/1-03/009</t>
  </si>
  <si>
    <t>Карпова Ирина Александровна</t>
  </si>
  <si>
    <t>kiainfo@mail.ru</t>
  </si>
  <si>
    <t>3/6-09/901</t>
  </si>
  <si>
    <t>Черный Евгений Александрович</t>
  </si>
  <si>
    <t>archi.xiii@mail.ru</t>
  </si>
  <si>
    <t>3/2-03/218</t>
  </si>
  <si>
    <t>Арефьева Марина Сергеевна</t>
  </si>
  <si>
    <t>sergeevna-22@yandex.ru</t>
  </si>
  <si>
    <t>4/1-04/017</t>
  </si>
  <si>
    <t>Балонова Светлана Геннадьевна</t>
  </si>
  <si>
    <t>balonova68@mail.ru</t>
  </si>
  <si>
    <t>3/2-02/212</t>
  </si>
  <si>
    <t>Кудинов Александр Евгеньевич</t>
  </si>
  <si>
    <t>Kudinovae159@yandex.ru</t>
  </si>
  <si>
    <t>2/1-04/016</t>
  </si>
  <si>
    <t>Плодунова Ольга Сергеевна</t>
  </si>
  <si>
    <t>Plodunov63rus@bk.ru</t>
  </si>
  <si>
    <t>4/2-05/149</t>
  </si>
  <si>
    <t>Лобачева Анастасия Сергеевна</t>
  </si>
  <si>
    <t>Lobacheva81@mail.ru</t>
  </si>
  <si>
    <t>4/1-09/057</t>
  </si>
  <si>
    <t>Овчинникова Наталья Владимировна</t>
  </si>
  <si>
    <t>natali29012000@bk.ru</t>
  </si>
  <si>
    <t>3/1-19/155</t>
  </si>
  <si>
    <t>Притула Сергей Сергеевич</t>
  </si>
  <si>
    <t>pritula.s@list.ru</t>
  </si>
  <si>
    <t>4/3-14/329</t>
  </si>
  <si>
    <t>Поленова Татьяна Валентиновна</t>
  </si>
  <si>
    <t>polenova82@yandex.ru</t>
  </si>
  <si>
    <t>4/3-09/294</t>
  </si>
  <si>
    <t>Тимиркин Сергей Александрович</t>
  </si>
  <si>
    <t>Belochka94@list.ru</t>
  </si>
  <si>
    <t>3/1-21/173</t>
  </si>
  <si>
    <t>Попов Евгений Викторович</t>
  </si>
  <si>
    <t>nadezhda.popova.1981icloud.com@mail.ru</t>
  </si>
  <si>
    <t>3/1-14/112</t>
  </si>
  <si>
    <t>Криволапов Ян Павлович</t>
  </si>
  <si>
    <t>profsouz63@rambler.ru</t>
  </si>
  <si>
    <t>4/2-07/168</t>
  </si>
  <si>
    <t>Макаров Алексей Сергеевич</t>
  </si>
  <si>
    <t>makar0398@mail.ru</t>
  </si>
  <si>
    <t>4/2-08/171</t>
  </si>
  <si>
    <t>Асланова Тарана Биннат Кзы</t>
  </si>
  <si>
    <t>cool.gse2013@yandex.ru</t>
  </si>
  <si>
    <t>3/1-23/191</t>
  </si>
  <si>
    <t>Гусейнова Амина Бейдуллаевна</t>
  </si>
  <si>
    <t>amina.guseynova.2906@mail.ru</t>
  </si>
  <si>
    <t>4/2-09/184</t>
  </si>
  <si>
    <t>Родионова Мария Олеговна</t>
  </si>
  <si>
    <t>rodionovamaria2022@mail.ru</t>
  </si>
  <si>
    <t>4/2-13/215</t>
  </si>
  <si>
    <t>Назаренко Назар Сергеевич</t>
  </si>
  <si>
    <t>Фикс 17.11.22</t>
  </si>
  <si>
    <t>К-289</t>
  </si>
  <si>
    <t>4/3-13/321</t>
  </si>
  <si>
    <t>Матросова Ольга Анатольевна</t>
  </si>
  <si>
    <t>matrosovaolga@inbox.ru</t>
  </si>
  <si>
    <t>4/2-03/136</t>
  </si>
  <si>
    <t>Старенко Родион Дмитриевич</t>
  </si>
  <si>
    <t>Fefe13@yandex.ru</t>
  </si>
  <si>
    <t>3/1-21/174</t>
  </si>
  <si>
    <t>Воевода Владимир Сергеевич</t>
  </si>
  <si>
    <t>Voevoda63@icloud.com</t>
  </si>
  <si>
    <t>Ближе к звездам</t>
  </si>
  <si>
    <t>3/5-23/817</t>
  </si>
  <si>
    <t>Григорьева Юлия Николаевна</t>
  </si>
  <si>
    <t>Komuss@rambler.ru</t>
  </si>
  <si>
    <t>3/1-14/113</t>
  </si>
  <si>
    <t>Елистратова Елена Алексеевна</t>
  </si>
  <si>
    <t>elistratova.elena99@yandex.ru</t>
  </si>
  <si>
    <t>4/3-23/392</t>
  </si>
  <si>
    <t>Жирнова Александра Владимировна</t>
  </si>
  <si>
    <t>sasha_lorgina@mail.ru</t>
  </si>
  <si>
    <t>4/2-15/225</t>
  </si>
  <si>
    <t>Никифорова Кристина Валерьевна</t>
  </si>
  <si>
    <t>Creative-art@bk.ru</t>
  </si>
  <si>
    <t>4/2-12/203</t>
  </si>
  <si>
    <t>Овчинникова Олеся Викторовна</t>
  </si>
  <si>
    <t>Ls-mebel@mail.ru</t>
  </si>
  <si>
    <t>4/4-11/484</t>
  </si>
  <si>
    <t>Авдонькин Евгений Дмитриевич</t>
  </si>
  <si>
    <t>eavdonkin4@gmail.com</t>
  </si>
  <si>
    <t>3/1-20/165</t>
  </si>
  <si>
    <t>Краснов Егор Алексеевич</t>
  </si>
  <si>
    <t>Egor.h022et@gmail.com</t>
  </si>
  <si>
    <t>4/1-07/041</t>
  </si>
  <si>
    <t>Федосеева Елена Юрьевна</t>
  </si>
  <si>
    <t>Clinova.lena@mail.ru</t>
  </si>
  <si>
    <t>23.11.22 Повышение 0,0123%</t>
  </si>
  <si>
    <t>Фикс 23.11.22</t>
  </si>
  <si>
    <t>199-ГВД</t>
  </si>
  <si>
    <t>3/5-17/769</t>
  </si>
  <si>
    <t>Евдокимов Вячеслав Михайлович</t>
  </si>
  <si>
    <t>evdokimov.d13@mail.ru</t>
  </si>
  <si>
    <t>4/3-08/284</t>
  </si>
  <si>
    <t>Лобов Сергей Сергеевич</t>
  </si>
  <si>
    <t>lss1102@yandex.ru</t>
  </si>
  <si>
    <t>4/1-16/116</t>
  </si>
  <si>
    <t>Коротков Антон Владимирович</t>
  </si>
  <si>
    <t>a.korotkov@list.ru</t>
  </si>
  <si>
    <t>3/5-06/672</t>
  </si>
  <si>
    <t>Ковалевская Наталия Васильевна</t>
  </si>
  <si>
    <t>kv56kvl@mail.ru</t>
  </si>
  <si>
    <t>3/5-12/727</t>
  </si>
  <si>
    <t>Аркуша Светлана Олеговна</t>
  </si>
  <si>
    <t>svetafeb84@mail.ru</t>
  </si>
  <si>
    <t>Захарова Елена Дмитриевна</t>
  </si>
  <si>
    <t>harlam1978@mail.ru</t>
  </si>
  <si>
    <t>4/4-12/495</t>
  </si>
  <si>
    <t>Когулько Олеся Анатольевна</t>
  </si>
  <si>
    <t>olesa.kogulko2006@gmail.com</t>
  </si>
  <si>
    <t>3/1-06/041</t>
  </si>
  <si>
    <t>Коновалов Роман Сергеевич</t>
  </si>
  <si>
    <t>bgt-konovalov@yandex.ru</t>
  </si>
  <si>
    <t>3/5-20/793</t>
  </si>
  <si>
    <t>Саламонова Ольга Александровна</t>
  </si>
  <si>
    <t>O.sallamonova@mail.ru</t>
  </si>
  <si>
    <t>4/2-07/161</t>
  </si>
  <si>
    <t>Полстьянова Мария Владимировна</t>
  </si>
  <si>
    <t>polstyanova82@mail.ru</t>
  </si>
  <si>
    <t>4/2-16/240</t>
  </si>
  <si>
    <t>Бикеев Максим Павлович</t>
  </si>
  <si>
    <t>m-bikeev@mail.ru</t>
  </si>
  <si>
    <t>Город*</t>
  </si>
  <si>
    <t>СВОД все дома 2024</t>
  </si>
  <si>
    <t>4/3-10/303</t>
  </si>
  <si>
    <t>Морозов Александр Васильевич</t>
  </si>
  <si>
    <t>moroz2.anuta-1010@yandex.ru</t>
  </si>
  <si>
    <t>3/5-15/753</t>
  </si>
  <si>
    <t>Борзых Анастасия Алексеевна</t>
  </si>
  <si>
    <t>anastasy5566@gmail.com</t>
  </si>
  <si>
    <t>4/1-16/118</t>
  </si>
  <si>
    <t>Арефьев Александр Валериевич</t>
  </si>
  <si>
    <t>algeodi@yandex.ru</t>
  </si>
  <si>
    <t>3/3-15/500</t>
  </si>
  <si>
    <t>Анисимова Бану Мавлетовна</t>
  </si>
  <si>
    <t>nelli.anisimova.2014@mail.ru</t>
  </si>
  <si>
    <t>4/1-03/011</t>
  </si>
  <si>
    <t>Ганихин Дмитрий Сергеевич</t>
  </si>
  <si>
    <t>coolpro20@yandex.ru</t>
  </si>
  <si>
    <t>3/1-18/146</t>
  </si>
  <si>
    <t>4/4-16/530</t>
  </si>
  <si>
    <t>Гусак Роман Александрович</t>
  </si>
  <si>
    <t>gusakroman@icloud.com</t>
  </si>
  <si>
    <t>4/3-10/299</t>
  </si>
  <si>
    <t>Васянин Алексей Павлович</t>
  </si>
  <si>
    <t>vasaninaleksej9@gmail.com</t>
  </si>
  <si>
    <t>01.12.22 Повышение  5% на 0К и 1К</t>
  </si>
  <si>
    <t>Фикс 01.12.22</t>
  </si>
  <si>
    <t>4/1-05/027</t>
  </si>
  <si>
    <t>Мамедова Наталья Петровна</t>
  </si>
  <si>
    <t>mamedovanatala04@gmail.com</t>
  </si>
  <si>
    <t>4/3-15/335</t>
  </si>
  <si>
    <t>Головатенко Мария Сергеевна</t>
  </si>
  <si>
    <t>Mimago@mail.ru</t>
  </si>
  <si>
    <t>4/4-11/486</t>
  </si>
  <si>
    <t>Коннов Александр Владиславович</t>
  </si>
  <si>
    <t>ev.shadieva@.mail.ru</t>
  </si>
  <si>
    <t>4/1-14/101</t>
  </si>
  <si>
    <t>Саймуков Евгений Сергеевич</t>
  </si>
  <si>
    <t>nevermoresf99@mail.ru</t>
  </si>
  <si>
    <t>4/2-04/139</t>
  </si>
  <si>
    <t>Тюрин Евгений Александрович</t>
  </si>
  <si>
    <t>teatur1111@gmail.com</t>
  </si>
  <si>
    <t>4/1-07/047</t>
  </si>
  <si>
    <t>Астанин Сергей Анатольевич</t>
  </si>
  <si>
    <t>ast_a_shonok@bk.ru</t>
  </si>
  <si>
    <t>4/2-04/143</t>
  </si>
  <si>
    <t>Сайитбурханова Дилдора Арапжоновна</t>
  </si>
  <si>
    <t>Men.bu.men95@mail.ru</t>
  </si>
  <si>
    <t>4/1-05/026</t>
  </si>
  <si>
    <t>Погосян Римма Рушановна</t>
  </si>
  <si>
    <t>rimma.akhmetshina.97@gmail.com</t>
  </si>
  <si>
    <t>3/1-05/031</t>
  </si>
  <si>
    <t>2/2-03/175</t>
  </si>
  <si>
    <t>Семкин Максим Дмитриевич</t>
  </si>
  <si>
    <t>meenger@mail.ru</t>
  </si>
  <si>
    <t>4/3-14/325</t>
  </si>
  <si>
    <t>Щербова Анастасия Викторовна</t>
  </si>
  <si>
    <t>asherbova@icloud.com</t>
  </si>
  <si>
    <t>4/2-09/177</t>
  </si>
  <si>
    <t>Шадских Юрий Михайлович</t>
  </si>
  <si>
    <t>yura.shadskikh@bk.ru</t>
  </si>
  <si>
    <t>4/4-10/479</t>
  </si>
  <si>
    <t>Худошина Лариса Олеговна</t>
  </si>
  <si>
    <t>dima91lora@mail.ru</t>
  </si>
  <si>
    <t>4/2-08/172</t>
  </si>
  <si>
    <t>Елизаркин Евгений Геннадьевич</t>
  </si>
  <si>
    <t>Eliblog@yandex.ru</t>
  </si>
  <si>
    <t>4/3-19/364</t>
  </si>
  <si>
    <t>Гилетина Евгения Евгеньевна</t>
  </si>
  <si>
    <t>e.nikitina.1975@mail.ru</t>
  </si>
  <si>
    <t>4/1-13/089</t>
  </si>
  <si>
    <t>Еремина Юлия Владимировна</t>
  </si>
  <si>
    <t>eremina-htpng@mail.ru</t>
  </si>
  <si>
    <t>4/4-14/514</t>
  </si>
  <si>
    <t>Акиняев Дмитрий Николаевич</t>
  </si>
  <si>
    <t>dugusheva.nastyona@yandex.ru</t>
  </si>
  <si>
    <t>2/1-10/059</t>
  </si>
  <si>
    <t>Багдасарян Геворг Рубикович</t>
  </si>
  <si>
    <t>bruschatka.63@mail.ru</t>
  </si>
  <si>
    <t>4/4-14/515</t>
  </si>
  <si>
    <t>Кудряшов Александр Игоревич</t>
  </si>
  <si>
    <t>nikisparda@gmail.com</t>
  </si>
  <si>
    <t>4/3-24/396</t>
  </si>
  <si>
    <t>Попов Олег Владимирович</t>
  </si>
  <si>
    <t>olegspopov@yandex.ru</t>
  </si>
  <si>
    <t>4/1-06/035</t>
  </si>
  <si>
    <t>Старикова Екатерина Евгеньевна</t>
  </si>
  <si>
    <t>Eliseeva.ee@mail.ru</t>
  </si>
  <si>
    <t>4/1-10/066</t>
  </si>
  <si>
    <t>Кочарян Флора Кареновна</t>
  </si>
  <si>
    <t>flora.kocharyan@yandex.ru</t>
  </si>
  <si>
    <t>3/1-17/139</t>
  </si>
  <si>
    <t>Матвеев Александр Анатольевич</t>
  </si>
  <si>
    <t>matveevaa63@mail.ru</t>
  </si>
  <si>
    <t>4/4-08/458</t>
  </si>
  <si>
    <t>Гасанов Табриз Тейюб Оглы</t>
  </si>
  <si>
    <t>tabriz.gasanov.63@mail.ru</t>
  </si>
  <si>
    <t>4/1-12/083</t>
  </si>
  <si>
    <t>Ишбулдина Диана Сергеевна</t>
  </si>
  <si>
    <t>dianaisbuldina@gmail.com</t>
  </si>
  <si>
    <t>4/1-09/061</t>
  </si>
  <si>
    <t>Артемьев Юрий Владимирович</t>
  </si>
  <si>
    <t>artemev87@mail.ru</t>
  </si>
  <si>
    <t>3/6-07/883</t>
  </si>
  <si>
    <t>Ерошкина Любовь Владимировна</t>
  </si>
  <si>
    <t>lub.eroschkina@yandex.ru</t>
  </si>
  <si>
    <t>3/1-22/182</t>
  </si>
  <si>
    <t>Жиганов Евгений Константинович</t>
  </si>
  <si>
    <t>zhiganovek@mail.ru</t>
  </si>
  <si>
    <t>Кофанова</t>
  </si>
  <si>
    <t>4/4-03/412</t>
  </si>
  <si>
    <t>Кузнецова Алла Владимировна</t>
  </si>
  <si>
    <t>kuznetsovaalv@mail.ru</t>
  </si>
  <si>
    <t>4/1-05/028</t>
  </si>
  <si>
    <t>Кузнецов Евгений Игоревич</t>
  </si>
  <si>
    <t>Price.kuznetsov@yandex.ru</t>
  </si>
  <si>
    <t>3/1-06/040</t>
  </si>
  <si>
    <t>Дмитриенко Татьяна Юрьевна</t>
  </si>
  <si>
    <t>ztarasov1@yandex.ru</t>
  </si>
  <si>
    <t>4/1-06/040</t>
  </si>
  <si>
    <t>Сидоренко Любовь Григорьевна</t>
  </si>
  <si>
    <t>Gloss-samara@yandex.ru</t>
  </si>
  <si>
    <t>Наружная реклама - Щиты в области</t>
  </si>
  <si>
    <t>4/1-09/064</t>
  </si>
  <si>
    <t>Фоминых Павел</t>
  </si>
  <si>
    <t>Zapisvisa_ag@mail.ru</t>
  </si>
  <si>
    <t>3/1-05/032</t>
  </si>
  <si>
    <t>Бабамуратова Евгения Бекмуратовна</t>
  </si>
  <si>
    <t>eu@busareva.com</t>
  </si>
  <si>
    <t>4/1-06/039</t>
  </si>
  <si>
    <t>Буряк Елена Николаевна</t>
  </si>
  <si>
    <t>A.buryak86@mail.ru</t>
  </si>
  <si>
    <t>4/3-08/287</t>
  </si>
  <si>
    <t>Гришин Александр Анатольевич</t>
  </si>
  <si>
    <t>Aleksandr.grishin.81@inbox.ru</t>
  </si>
  <si>
    <t>3/6-09/902</t>
  </si>
  <si>
    <t>Крылов Максим Александрович</t>
  </si>
  <si>
    <t>tan0739@bk.ru</t>
  </si>
  <si>
    <t>4/1-02/004</t>
  </si>
  <si>
    <t>Короткова Наталья Васильевна</t>
  </si>
  <si>
    <t>Andrej.korotkov.74@mail.ru</t>
  </si>
  <si>
    <t>3/1-08/058</t>
  </si>
  <si>
    <t>Калитикова Татьяна Владимировна</t>
  </si>
  <si>
    <t>tasya.com@mail.ru</t>
  </si>
  <si>
    <t>4/2-16/238</t>
  </si>
  <si>
    <t>Богомолова Олеся Владимировна</t>
  </si>
  <si>
    <t>Oliesia_boghomolova@mail.ru</t>
  </si>
  <si>
    <t>4/2-12/208</t>
  </si>
  <si>
    <t>Корнилов Павел Андреевич</t>
  </si>
  <si>
    <t>pavelk1990@yandex.ru</t>
  </si>
  <si>
    <t>3/1-22/188</t>
  </si>
  <si>
    <t>Зайцева Екатерина Владимировна</t>
  </si>
  <si>
    <t>buravshik@mail.ru</t>
  </si>
  <si>
    <t>3/5-01/018</t>
  </si>
  <si>
    <t>Коммерция</t>
  </si>
  <si>
    <t>Трынов Олег Леонидович</t>
  </si>
  <si>
    <t>Olegovich.70@mail.ru</t>
  </si>
  <si>
    <t>3/5-01/019</t>
  </si>
  <si>
    <t>4/4-06/441</t>
  </si>
  <si>
    <t>Касьянов Виталий Геннадьевич</t>
  </si>
  <si>
    <t>kasyanov_vg@mail.ru</t>
  </si>
  <si>
    <t>Многодетным семьям</t>
  </si>
  <si>
    <t>4/2-08/176</t>
  </si>
  <si>
    <t>4/1-12/088</t>
  </si>
  <si>
    <t>Макарова Дарья Николаевна</t>
  </si>
  <si>
    <t>dmak163@mail.ru</t>
  </si>
  <si>
    <t>2/2-05/197</t>
  </si>
  <si>
    <t>Бондарева Диана Александровна</t>
  </si>
  <si>
    <t>3/1-20/166</t>
  </si>
  <si>
    <t>Герасимов Семён Михайлович</t>
  </si>
  <si>
    <t>semen16.99@mail.ru</t>
  </si>
  <si>
    <t>4/2-05/152</t>
  </si>
  <si>
    <t>Реализация шт</t>
  </si>
  <si>
    <t>4/1-07/045</t>
  </si>
  <si>
    <t>Сарбитова Анастасия Юрьевна</t>
  </si>
  <si>
    <t>stefanyuk96@mail.ru</t>
  </si>
  <si>
    <t>4/1-06/036</t>
  </si>
  <si>
    <t>Антонов Александр Олегович</t>
  </si>
  <si>
    <t>sasha08.98.2015@yandex.ru</t>
  </si>
  <si>
    <t>3/1-21/179</t>
  </si>
  <si>
    <t>Меньших Сергей Федорович</t>
  </si>
  <si>
    <t>mst@evrobiotech.ru</t>
  </si>
  <si>
    <t>3/6-10/911</t>
  </si>
  <si>
    <t>Давлетов Азамат Ахметджанович</t>
  </si>
  <si>
    <t>Zamadavletov@gmail.com</t>
  </si>
  <si>
    <t>4/1-16/120</t>
  </si>
  <si>
    <t>Артемьев Сергей Викторович</t>
  </si>
  <si>
    <t>89277507454@yandex.ru</t>
  </si>
  <si>
    <t>3/2-23/378</t>
  </si>
  <si>
    <t>Смирнов Максим Николаевич</t>
  </si>
  <si>
    <t>smirnowmax1990@gmail.com</t>
  </si>
  <si>
    <t>Скидка погибшему в СВО</t>
  </si>
  <si>
    <t>4/3-11/308</t>
  </si>
  <si>
    <t>Осипкина Екатерина Сергеевна</t>
  </si>
  <si>
    <t>sharova.2@yandex.ru</t>
  </si>
  <si>
    <t>4/1-11/080</t>
  </si>
  <si>
    <t>Елышкин Александр Евгеньевич</t>
  </si>
  <si>
    <t>Elysh07@gmail.com</t>
  </si>
  <si>
    <t>Департамент управления делами Губернатора Самарской области и Правительства Самарской области</t>
  </si>
  <si>
    <t>4/4-11/485</t>
  </si>
  <si>
    <t>Слатов Михаил Владимирович</t>
  </si>
  <si>
    <t>mv.slatov113@gmail.com</t>
  </si>
  <si>
    <t>4/3-06/273</t>
  </si>
  <si>
    <t>Кондратьев Максим Сергеевич</t>
  </si>
  <si>
    <t>Shtylc@yandex.ru</t>
  </si>
  <si>
    <t>3/1-12/094</t>
  </si>
  <si>
    <t>Мурзина Екатерина Юрьевна</t>
  </si>
  <si>
    <t>murzina_katay@mail.ru</t>
  </si>
  <si>
    <t>4/2-13/211</t>
  </si>
  <si>
    <t>Гармышева Людмила Александровна</t>
  </si>
  <si>
    <t>vip.lyda2010@mail.ru</t>
  </si>
  <si>
    <t>4/1-13/090</t>
  </si>
  <si>
    <t>Ахметова Аида Альбековна</t>
  </si>
  <si>
    <t>Ahmetova_1999@icloud.com</t>
  </si>
  <si>
    <t>3/1-22/184</t>
  </si>
  <si>
    <t>Носиков Иван Сергеевич</t>
  </si>
  <si>
    <t>nosikovivan04@gmail.com</t>
  </si>
  <si>
    <t>4/2-02/121</t>
  </si>
  <si>
    <t>Борисова Наталья Александровна</t>
  </si>
  <si>
    <t>Bna.1989y392ak@gmail.com</t>
  </si>
  <si>
    <t>4/2-05/151</t>
  </si>
  <si>
    <t>Акулов Илья Павлович</t>
  </si>
  <si>
    <t>p.akulov73@mail.ru</t>
  </si>
  <si>
    <t>3/6-01/022</t>
  </si>
  <si>
    <t>Джурик Денис Васильевич</t>
  </si>
  <si>
    <t>ddzhurik@yandex.ru</t>
  </si>
  <si>
    <t>3/4-01/011</t>
  </si>
  <si>
    <t>4/3-05/265</t>
  </si>
  <si>
    <t>Погосян Арман Масисович</t>
  </si>
  <si>
    <t>pogarm_95@mail.ru</t>
  </si>
  <si>
    <t>4/2-09/183</t>
  </si>
  <si>
    <t>Терещенко Дмитрий Валерьевич</t>
  </si>
  <si>
    <t>1grv@mail.ru</t>
  </si>
  <si>
    <t>4/4-06/440</t>
  </si>
  <si>
    <t>Трыков Николай Олегович</t>
  </si>
  <si>
    <t>truk07@mail.ru</t>
  </si>
  <si>
    <t>4/1-08/051</t>
  </si>
  <si>
    <t>Мельникова Елена Николаевна</t>
  </si>
  <si>
    <t>kurochka_rjaba@list.ru</t>
  </si>
  <si>
    <t>4/2-11/193</t>
  </si>
  <si>
    <t>Пчелинцева Клавдия Сергеевна</t>
  </si>
  <si>
    <t>klaudiashifer1989@mail.ru</t>
  </si>
  <si>
    <t>3/4-01/013</t>
  </si>
  <si>
    <t>Синютин Антон Вячеславович</t>
  </si>
  <si>
    <t>samara_beer@mail.ru</t>
  </si>
  <si>
    <t>3/4-01/014</t>
  </si>
  <si>
    <t>4/3-05/262</t>
  </si>
  <si>
    <t>Скрибец Гузель Киямодиновна</t>
  </si>
  <si>
    <t>yari208@mail.ru</t>
  </si>
  <si>
    <t>Фикс 01.02.23</t>
  </si>
  <si>
    <t>4/4-09/467</t>
  </si>
  <si>
    <t>Максимова Яна Анатольевна</t>
  </si>
  <si>
    <t>yana.maksimova.1688@mail.ru</t>
  </si>
  <si>
    <t>4/4-08/462</t>
  </si>
  <si>
    <t>Каримов Рузиль Рамильевич</t>
  </si>
  <si>
    <t>ruzik700@gmail.com</t>
  </si>
  <si>
    <t>3/1-18/149</t>
  </si>
  <si>
    <t>Рамазанов Ильдар Рахимжанович</t>
  </si>
  <si>
    <t>ildarramazanov22008@yandex.ru</t>
  </si>
  <si>
    <t>студии секции А 10% / 1К Г 4 на этаже - 5%</t>
  </si>
  <si>
    <t>0</t>
  </si>
  <si>
    <t>Бронирование</t>
  </si>
  <si>
    <t>4/3-07/280</t>
  </si>
  <si>
    <t>Шукалаков Руслан Бахатович</t>
  </si>
  <si>
    <t>ruslanshukalakov@mail.ru</t>
  </si>
  <si>
    <t>3/4-01/012</t>
  </si>
  <si>
    <t>Ковалев Евгений Олегович</t>
  </si>
  <si>
    <t>kovalyov85@mail.ru</t>
  </si>
  <si>
    <t>3/1-01/001</t>
  </si>
  <si>
    <t>Попова Людмила Викторовна</t>
  </si>
  <si>
    <t>89270122532@mail.ru</t>
  </si>
  <si>
    <t>4/2-02/124</t>
  </si>
  <si>
    <t>Штефан Валерия Владимировна</t>
  </si>
  <si>
    <t>Ler4ik-1.92@mail.ru</t>
  </si>
  <si>
    <t>3/1-13/103</t>
  </si>
  <si>
    <t>Изотов Роман Олегович</t>
  </si>
  <si>
    <t>izotovroman30041997@mail.ru</t>
  </si>
  <si>
    <t>4/2-10/187</t>
  </si>
  <si>
    <t>Бочкарева Марина Анатольевна</t>
  </si>
  <si>
    <t>Yesragdoll@gmail.com</t>
  </si>
  <si>
    <t>Агентство недвижимости</t>
  </si>
  <si>
    <t>4/4-07/450</t>
  </si>
  <si>
    <t>Копылов Николай Александрович</t>
  </si>
  <si>
    <t>4/3-24/401</t>
  </si>
  <si>
    <t>Бобров Дмитрий Степанович</t>
  </si>
  <si>
    <t>4/3-02/247</t>
  </si>
  <si>
    <t>Филатова Анастасия Васильевна</t>
  </si>
  <si>
    <t>nastena.filatova.19@mail.ru</t>
  </si>
  <si>
    <t>Офис</t>
  </si>
  <si>
    <t>3/6-06/875</t>
  </si>
  <si>
    <t>Лукьянов Виталий Евгеньевич</t>
  </si>
  <si>
    <t>vitaliylukianov66@gmail.com</t>
  </si>
  <si>
    <t>4/3-18/357</t>
  </si>
  <si>
    <t>Макина Мария Степановна</t>
  </si>
  <si>
    <t>Masha0makina@yandex.ru</t>
  </si>
  <si>
    <t>4/3-09/292</t>
  </si>
  <si>
    <t>Филиппов Виталий Валерьевич</t>
  </si>
  <si>
    <t>vita.vitalya@mail.ru</t>
  </si>
  <si>
    <t>Программа кредитования</t>
  </si>
  <si>
    <t>Господдержка 2020</t>
  </si>
  <si>
    <t>Семейная ипотека</t>
  </si>
  <si>
    <t>IT</t>
  </si>
  <si>
    <t>РЖД</t>
  </si>
  <si>
    <t>4/2-04/140</t>
  </si>
  <si>
    <t>Седов Михаил Юрьевич</t>
  </si>
  <si>
    <t>sedovaolv4@yandex.ru</t>
  </si>
  <si>
    <t>3/1-16/131</t>
  </si>
  <si>
    <t>Шафиков Ришат Рашитович</t>
  </si>
  <si>
    <t>shr08091979@mail.ru</t>
  </si>
  <si>
    <t>4/1-06/037</t>
  </si>
  <si>
    <t>Леднев Алексей Сергеевич</t>
  </si>
  <si>
    <t>mari.lednewa.93@mail.ru</t>
  </si>
  <si>
    <t>4/2-03/131</t>
  </si>
  <si>
    <t>Лысова Юлия Владимировна</t>
  </si>
  <si>
    <t>Zubnaya_feia@mail.ru</t>
  </si>
  <si>
    <t>4/1-07/044</t>
  </si>
  <si>
    <t>Назаргалеева Алина Азатовна</t>
  </si>
  <si>
    <t>alina030488@mail.ru</t>
  </si>
  <si>
    <t>4/3-17/346</t>
  </si>
  <si>
    <t>Титова Любовь Михайловна</t>
  </si>
  <si>
    <t>anastasiay2595@gmail.com</t>
  </si>
  <si>
    <t>4/3-04/259</t>
  </si>
  <si>
    <t>Сафонова Светлана Владимировна</t>
  </si>
  <si>
    <t>Sveta.tolstova.16@bk.ru</t>
  </si>
  <si>
    <t>4/4-15/523</t>
  </si>
  <si>
    <t>4/1-13/091</t>
  </si>
  <si>
    <t>Ивлева Юлия Викторовна</t>
  </si>
  <si>
    <t>alex.ivlev2012@gmail.com</t>
  </si>
  <si>
    <t>4/4-09/470</t>
  </si>
  <si>
    <t>Каткасов Александр Викторович</t>
  </si>
  <si>
    <t>katckasov@yandex.ru</t>
  </si>
  <si>
    <t>4/4-15/522</t>
  </si>
  <si>
    <t>3/1-23/193</t>
  </si>
  <si>
    <t>Петрова Галина Владимировна</t>
  </si>
  <si>
    <t>Linka_1970@mail.ru</t>
  </si>
  <si>
    <t>4/1-04/019</t>
  </si>
  <si>
    <t>Каштанова Юлия Сергеевна</t>
  </si>
  <si>
    <t>ms.julia251@mail.ru</t>
  </si>
  <si>
    <t>4/2-06/153</t>
  </si>
  <si>
    <t>Арбузова Елена Александровна</t>
  </si>
  <si>
    <t>Arbuzova.lenka@mail.ru</t>
  </si>
  <si>
    <t>4/4-15/524</t>
  </si>
  <si>
    <t>Пересыпкина Светлана Юрьевна</t>
  </si>
  <si>
    <t>peresypkina.svitlana@yandex.ru</t>
  </si>
  <si>
    <t>4/1-15/107</t>
  </si>
  <si>
    <t>Небайкин Андрей Сергеевич</t>
  </si>
  <si>
    <t>Andrey.pegas20@bk.ru</t>
  </si>
  <si>
    <t>4/1-12/085</t>
  </si>
  <si>
    <t>Страхова Лариса Александровна</t>
  </si>
  <si>
    <t>Lara.st.7878@mail.ru</t>
  </si>
  <si>
    <t>4/1-10/069</t>
  </si>
  <si>
    <t>Доронина Наталья Евгеньевна</t>
  </si>
  <si>
    <t>doronina27@mail.ru</t>
  </si>
  <si>
    <t>Повышение 24.02.23
1к -3%, 2К-2%, 3К-3%</t>
  </si>
  <si>
    <t>4/3-04/261</t>
  </si>
  <si>
    <t>Акопян, Ольга Васильевна</t>
  </si>
  <si>
    <t>olga.sergeeva0309@gmail.com</t>
  </si>
  <si>
    <t>4/3-15/336</t>
  </si>
  <si>
    <t>Жильцов Александр Юрьевич</t>
  </si>
  <si>
    <t>a.zhiltsoff@yandex.ru</t>
  </si>
  <si>
    <t>4/3-03/253</t>
  </si>
  <si>
    <t>Яздонов Мухаммадюсуф Бахтиёрович</t>
  </si>
  <si>
    <t>yazdonov95@bk.ru</t>
  </si>
  <si>
    <t>3/2-19/348</t>
  </si>
  <si>
    <t>Гулий Владислав Александрович</t>
  </si>
  <si>
    <t>gelik_99@bk.ru</t>
  </si>
  <si>
    <t>4/3-10/301</t>
  </si>
  <si>
    <t>Курносов Павел Павлович</t>
  </si>
  <si>
    <t>valentina06101998@yandex.ru</t>
  </si>
  <si>
    <t>3/1-15/121</t>
  </si>
  <si>
    <t>Меркушев Сергей Александрович</t>
  </si>
  <si>
    <t>merkusheva.88@mail.ru</t>
  </si>
  <si>
    <t>4/2-07/167</t>
  </si>
  <si>
    <t>Мачинский Николай Васильевич</t>
  </si>
  <si>
    <t>koliso1981@mail.ru</t>
  </si>
  <si>
    <t>3/2-01/005</t>
  </si>
  <si>
    <t>Стройкомфорт</t>
  </si>
  <si>
    <t>№ ДДУ в ЕГРН (и на договоре) 3/2-05/005</t>
  </si>
  <si>
    <t>3/4-01/015</t>
  </si>
  <si>
    <t>Зайцева Анастасия Олеговна</t>
  </si>
  <si>
    <t>Zaitev.a.m@gmail.com</t>
  </si>
  <si>
    <t>4/1-06/034</t>
  </si>
  <si>
    <t>Павлов Данил Владимирович</t>
  </si>
  <si>
    <t>yeezylumba@gmail.com</t>
  </si>
  <si>
    <t>4/4-09/469</t>
  </si>
  <si>
    <t>Дик</t>
  </si>
  <si>
    <t>4/1-04/021</t>
  </si>
  <si>
    <t>Антонов Дмитрий Алексеевич</t>
  </si>
  <si>
    <t>alesya3alex@yandex.ru</t>
  </si>
  <si>
    <t>3/1-17/140</t>
  </si>
  <si>
    <t>Мальчевский Иван Юрьевич</t>
  </si>
  <si>
    <t>i.malchevskiy@mail.ru</t>
  </si>
  <si>
    <t>Квартира на застройщике *</t>
  </si>
  <si>
    <t>Весна</t>
  </si>
  <si>
    <t>4/3-12/315</t>
  </si>
  <si>
    <t>Елин Василий Николаевич</t>
  </si>
  <si>
    <t>Vasigggg@yandex.ru</t>
  </si>
  <si>
    <t>4/4-13/503</t>
  </si>
  <si>
    <t>Борисов Александр Викторович</t>
  </si>
  <si>
    <t>Croshi4ka@mail.ru</t>
  </si>
  <si>
    <t>4/2-08/169</t>
  </si>
  <si>
    <t>Жилкин Виктор Владимирович</t>
  </si>
  <si>
    <t>viktor.zhilkin.1997@mail.ru</t>
  </si>
  <si>
    <t>4/4-04/422</t>
  </si>
  <si>
    <t>Язанов Алишер Рустамович</t>
  </si>
  <si>
    <t>vaxdat@mail.ru</t>
  </si>
  <si>
    <t>4/4-12/496</t>
  </si>
  <si>
    <t>Федосов Алексей Евгеньевич</t>
  </si>
  <si>
    <t>elenafedosova1977@bk.ru</t>
  </si>
  <si>
    <t>4/2-11/198</t>
  </si>
  <si>
    <t>Учватова Ирина Михайловна</t>
  </si>
  <si>
    <t>it-resource.pro@ya.ru</t>
  </si>
  <si>
    <t>4/2-16/237</t>
  </si>
  <si>
    <t>Привалов Денис Николаевич</t>
  </si>
  <si>
    <t>4/1-08/053</t>
  </si>
  <si>
    <t>Шилов Владислав Вадимович</t>
  </si>
  <si>
    <t>vlad.motionup@gmail.com</t>
  </si>
  <si>
    <t>4/3-18/356</t>
  </si>
  <si>
    <t>Карасев Юрий Алексеевич</t>
  </si>
  <si>
    <t>Karasev.56@yandex.ru</t>
  </si>
  <si>
    <t>4/3-14/328</t>
  </si>
  <si>
    <t>Комендантов Алексей Викторович</t>
  </si>
  <si>
    <t>Lexa-kom-333@yandex.ru</t>
  </si>
  <si>
    <t>4/1-10/067</t>
  </si>
  <si>
    <t>Шибаков Александр Владимирович</t>
  </si>
  <si>
    <t>mariyashirobokova@rambler.ru</t>
  </si>
  <si>
    <t>4/1-02/005</t>
  </si>
  <si>
    <t>Суфиев Зафар Ахмадович</t>
  </si>
  <si>
    <t>rmavdzhuda@mail.ru</t>
  </si>
  <si>
    <t>Пресса - СМИ online Прогород.ру</t>
  </si>
  <si>
    <t>4/4-07/449</t>
  </si>
  <si>
    <t>Богатенкова Екатерина Владимировна</t>
  </si>
  <si>
    <t>katya19021979@mail.ru</t>
  </si>
  <si>
    <t>4/3-08/283</t>
  </si>
  <si>
    <t>Поляков Антон Григорьевич</t>
  </si>
  <si>
    <t>sviatoj2707@gmail.com</t>
  </si>
  <si>
    <t>4/3-20/373</t>
  </si>
  <si>
    <t>Гринкевич Алеся Андреевна</t>
  </si>
  <si>
    <t>grinkevich2000@mail.ru</t>
  </si>
  <si>
    <t>3/1-18/148</t>
  </si>
  <si>
    <t>Назин Александр Сергеевич</t>
  </si>
  <si>
    <t>nazin1986@mail.ru</t>
  </si>
  <si>
    <t>3/2-21/362</t>
  </si>
  <si>
    <t>Журавлев Николай Геннадьевич</t>
  </si>
  <si>
    <t>Bep901@yandex.ru</t>
  </si>
  <si>
    <t>4/4-03/413</t>
  </si>
  <si>
    <t>Кочоян Амаяк Агасович</t>
  </si>
  <si>
    <t>amayak.kochoyan@mail.ru</t>
  </si>
  <si>
    <t>4/2-03/133</t>
  </si>
  <si>
    <t>Черепкова Наталия Валериевна</t>
  </si>
  <si>
    <t>Cherepkova.1977@mail.ru</t>
  </si>
  <si>
    <t>3/1-20/167</t>
  </si>
  <si>
    <t>Саяпин Евгений Анатольевич</t>
  </si>
  <si>
    <t>John_78@inbox.ru</t>
  </si>
  <si>
    <t xml:space="preserve"> </t>
  </si>
  <si>
    <t>3/1-23/197</t>
  </si>
  <si>
    <t>Кочарова Татьяна Гарриевна</t>
  </si>
  <si>
    <t>kocharova89@mail.ru</t>
  </si>
  <si>
    <t>4/1-13/092</t>
  </si>
  <si>
    <t>Магасова Ольга Ивановна</t>
  </si>
  <si>
    <t>ol.yudina.ol@gmail.com</t>
  </si>
  <si>
    <t>3/2-24/388</t>
  </si>
  <si>
    <t>Улитина Екатерина Сергеевна</t>
  </si>
  <si>
    <t>eulitina8@mail.ru</t>
  </si>
  <si>
    <t>4/1-08/052</t>
  </si>
  <si>
    <t>Баев Василий Викторович</t>
  </si>
  <si>
    <t>Vasilisk.1205baev1968@gmail.com</t>
  </si>
  <si>
    <t>4/4-04/421</t>
  </si>
  <si>
    <t>Слепнева Альфия Ришатовна</t>
  </si>
  <si>
    <t>imamova163@yandex.ru</t>
  </si>
  <si>
    <t>4/3-04/258</t>
  </si>
  <si>
    <t>Карпеченко Ирина Александровна</t>
  </si>
  <si>
    <t>klub_belogorsk2@mail.ru</t>
  </si>
  <si>
    <t>Фикс 24.02.23</t>
  </si>
  <si>
    <t>4/4-04/426</t>
  </si>
  <si>
    <t>Золотцева Евгения Игоревна</t>
  </si>
  <si>
    <t>tyz_84@mail.ru</t>
  </si>
  <si>
    <t>4/4-05/431</t>
  </si>
  <si>
    <t>Костюченко Николай Юрьевич</t>
  </si>
  <si>
    <t>nick.kost.63@gmail.com</t>
  </si>
  <si>
    <t>4/2-16/235</t>
  </si>
  <si>
    <t>Тихонова Марина Юрьевна</t>
  </si>
  <si>
    <t>tihonova.angelcatp@gmail.com</t>
  </si>
  <si>
    <t>3/2-01/007</t>
  </si>
  <si>
    <t>Альянс</t>
  </si>
  <si>
    <t>4/3-04/255</t>
  </si>
  <si>
    <t>Хачатурян Марина Рамановна</t>
  </si>
  <si>
    <t>khachaturyan.83@internet.ru</t>
  </si>
  <si>
    <t>4/4-05/432</t>
  </si>
  <si>
    <t>Галиулин Владимир Михайлович</t>
  </si>
  <si>
    <t>Vladimir.sam63@yandex.ru</t>
  </si>
  <si>
    <t>4/1-15/105</t>
  </si>
  <si>
    <t>Мелькина Алена Юрьевна</t>
  </si>
  <si>
    <t>alencik888@mail.ru</t>
  </si>
  <si>
    <t>Повышение 23.03.23
все 1%, хиты 3%</t>
  </si>
  <si>
    <t>Фикс 23.03.23</t>
  </si>
  <si>
    <t>4/2-10/186</t>
  </si>
  <si>
    <t>Соболев Дмитрий Александрович</t>
  </si>
  <si>
    <t>soboiev86rus@mail.ru</t>
  </si>
  <si>
    <t>4/2-09/181</t>
  </si>
  <si>
    <t>Гаврилова Ольга Владимировна</t>
  </si>
  <si>
    <t>gavrilova.olga81@yandex.ru</t>
  </si>
  <si>
    <t>3/1-21/176</t>
  </si>
  <si>
    <t>Гранкина Дарья Владимировна</t>
  </si>
  <si>
    <t>Grankinadv@yandex.ru</t>
  </si>
  <si>
    <t>4/4-05/434</t>
  </si>
  <si>
    <t>Ибоян Садо Гагикович</t>
  </si>
  <si>
    <t>grisha.iboyan@mail.ru</t>
  </si>
  <si>
    <t>4/4-07/452</t>
  </si>
  <si>
    <t>Ибоян Джако Гагикович</t>
  </si>
  <si>
    <t>vip.djako@mail.ru</t>
  </si>
  <si>
    <t>Общая фактическая</t>
  </si>
  <si>
    <t>Фикс м2</t>
  </si>
  <si>
    <t>Повышение 01.02.23</t>
  </si>
  <si>
    <t>Повышение 24.02.23</t>
  </si>
  <si>
    <t>Цена м2</t>
  </si>
  <si>
    <t>стоимость лота</t>
  </si>
  <si>
    <t>Арендатор</t>
  </si>
  <si>
    <t>Частично ЭГС Телеком</t>
  </si>
  <si>
    <t>Частично ИП Чекуров, Wildberries</t>
  </si>
  <si>
    <t>ИП Тверецкая</t>
  </si>
  <si>
    <t>За застройщиком</t>
  </si>
  <si>
    <t>СЗ ГВД</t>
  </si>
  <si>
    <t>УК ДД</t>
  </si>
  <si>
    <t>ДС Мармелатки</t>
  </si>
  <si>
    <t>Город дом 3*</t>
  </si>
  <si>
    <t>За весь период</t>
  </si>
  <si>
    <t>Офисы</t>
  </si>
  <si>
    <t>ППС</t>
  </si>
  <si>
    <t>ДДУС</t>
  </si>
  <si>
    <t>СверкаС</t>
  </si>
  <si>
    <t>Скидки</t>
  </si>
  <si>
    <t>3/1-24/203</t>
  </si>
  <si>
    <t>Хусаинова Зарина Маратовна</t>
  </si>
  <si>
    <t>zar-00@mail.ru</t>
  </si>
  <si>
    <t>4/2-10/188</t>
  </si>
  <si>
    <t>4/4-06/442</t>
  </si>
  <si>
    <t>Галкин Даниил Сергеевич</t>
  </si>
  <si>
    <t>lfybk13@gmail.com</t>
  </si>
  <si>
    <t>3/1-23/194</t>
  </si>
  <si>
    <t>Курганова Клавдия Сергеевна</t>
  </si>
  <si>
    <t>Klava_boikova@mail.ru</t>
  </si>
  <si>
    <t>3/6-10/910</t>
  </si>
  <si>
    <t>Николаев Денис Викторович</t>
  </si>
  <si>
    <t>denisfarh1982@gmail.com</t>
  </si>
  <si>
    <t>3/2-20/354</t>
  </si>
  <si>
    <t>Кондратьева Мария Валериевна</t>
  </si>
  <si>
    <t>MariaZemskova21@yandex.ru</t>
  </si>
  <si>
    <t>4/2-06/159</t>
  </si>
  <si>
    <t>Атнагулов Сергей Вячеславович</t>
  </si>
  <si>
    <t>kristina.atnagulova@mail.ru</t>
  </si>
  <si>
    <t>Рассылка Рощинский</t>
  </si>
  <si>
    <t>4/2-04/144</t>
  </si>
  <si>
    <t>Паутов Максим Николаевич</t>
  </si>
  <si>
    <t>maks.pautov23@mail.ru</t>
  </si>
  <si>
    <t>4/2-12/205</t>
  </si>
  <si>
    <t>Зарипова Вероника Андреевна</t>
  </si>
  <si>
    <t>Veronika25sva@mail.ru</t>
  </si>
  <si>
    <t>4/2-12/207</t>
  </si>
  <si>
    <t>Уварова Дина Есмухамбетовна</t>
  </si>
  <si>
    <t>dina.uvarova.1984@mail.ru</t>
  </si>
  <si>
    <t>3/3-01/008</t>
  </si>
  <si>
    <t>4/1-05/031</t>
  </si>
  <si>
    <t>Царев Владимир Сергеевич</t>
  </si>
  <si>
    <t>v.s.tsaryov@mail.ru</t>
  </si>
  <si>
    <t>4/4-02/406</t>
  </si>
  <si>
    <t>Исмаилов Тимурбек Мухмадович</t>
  </si>
  <si>
    <t>ismailov95959595@icloud.com</t>
  </si>
  <si>
    <t>Инвестор</t>
  </si>
  <si>
    <t>4/3-21/378</t>
  </si>
  <si>
    <t>4/3-05/264</t>
  </si>
  <si>
    <t>Просвиркин Константин Владимирович</t>
  </si>
  <si>
    <t>konstantin.prosvirkin@gmail.com</t>
  </si>
  <si>
    <t>4/3-20/367</t>
  </si>
  <si>
    <t>Хусанова Сабина Садыковна</t>
  </si>
  <si>
    <t>mishashykshin@mail.ru</t>
  </si>
  <si>
    <t>4/4-10/474</t>
  </si>
  <si>
    <t>Ярисова Марина Васильевна</t>
  </si>
  <si>
    <t>jrisova@mail.ru</t>
  </si>
  <si>
    <t>4/2-07/163</t>
  </si>
  <si>
    <t>Антонян Марина Эдуардовна</t>
  </si>
  <si>
    <t>antonaushka@yandex.ru</t>
  </si>
  <si>
    <t>4/2-14/217</t>
  </si>
  <si>
    <t>Ниденс Максим Дмитриевич</t>
  </si>
  <si>
    <t>xlsc6wzz@gmail.com</t>
  </si>
  <si>
    <t>4/1-11/078</t>
  </si>
  <si>
    <t>Абдуназаров Бунёджон</t>
  </si>
  <si>
    <t>bunedzonabdunazarov@gmail.com</t>
  </si>
  <si>
    <t>4/4-10/476</t>
  </si>
  <si>
    <t>Алямовская Ольга Владимировна</t>
  </si>
  <si>
    <t>alamovskaaolga@gmail.com</t>
  </si>
  <si>
    <t>4/3-11/304</t>
  </si>
  <si>
    <t>Ахматова Анастасия Александровна</t>
  </si>
  <si>
    <t>29121919@rambler.ru</t>
  </si>
  <si>
    <t>Куликова Олеся Михайловна</t>
  </si>
  <si>
    <t>4/1-03/012</t>
  </si>
  <si>
    <t>Прокаева Елена Александровна</t>
  </si>
  <si>
    <t>PROKAEVA.EL@YANDEX.RU</t>
  </si>
  <si>
    <t>4/2-10/190</t>
  </si>
  <si>
    <t>Хвостов Николай Евгеньевич</t>
  </si>
  <si>
    <t>tuman-63@yandex.ru</t>
  </si>
  <si>
    <t>4/4-10/478</t>
  </si>
  <si>
    <t>Анисова Ольга Юрьевна</t>
  </si>
  <si>
    <t>oanatan127@gmail.com</t>
  </si>
  <si>
    <t>Бондарчик Ирина Геннадьевна</t>
  </si>
  <si>
    <t>irinabondarchik@gmail.com</t>
  </si>
  <si>
    <t>Хомутова Мария Александровна</t>
  </si>
  <si>
    <t>khomutovamariya@yandex.ru</t>
  </si>
  <si>
    <t>Одинцов Сергей Сергеевич</t>
  </si>
  <si>
    <t>Natasha7271995@mail.ru</t>
  </si>
  <si>
    <t>4/3-07/279</t>
  </si>
  <si>
    <t>Ибоян Зорба Гагикович</t>
  </si>
  <si>
    <t>iboyan.88@mail.ru</t>
  </si>
  <si>
    <t>4/1-07/043</t>
  </si>
  <si>
    <t>Тюрин Анатолий</t>
  </si>
  <si>
    <t>turin56@mail.ru</t>
  </si>
  <si>
    <t>Асмолова Ирина Константиновна</t>
  </si>
  <si>
    <t>dr.irina-asmolova@gmail.com</t>
  </si>
  <si>
    <t>4/3-08/286</t>
  </si>
  <si>
    <t>Бурбыга Василий Анатольевич</t>
  </si>
  <si>
    <t>Vasya-96.97@mail.ru</t>
  </si>
  <si>
    <t>4/3-23/388</t>
  </si>
  <si>
    <t>Фокин Сергей Александрович</t>
  </si>
  <si>
    <t>9170191797S@gmail.com</t>
  </si>
  <si>
    <t>4/2-07/165</t>
  </si>
  <si>
    <t>Куликов Александр Иванович</t>
  </si>
  <si>
    <t>anna.kulikova83@mail.ru</t>
  </si>
  <si>
    <t>4/4-15/527</t>
  </si>
  <si>
    <t>Самошенкова Елизавета Васильевна</t>
  </si>
  <si>
    <t>samoshenkowa@mail.ru</t>
  </si>
  <si>
    <t>3/1-21/175</t>
  </si>
  <si>
    <t>Маукенова Улбулсын Тлеубаевна</t>
  </si>
  <si>
    <t>g.maukenova@yandex.ru</t>
  </si>
  <si>
    <t>4/4-16/532</t>
  </si>
  <si>
    <t>Жиляев Михаил Юрьевич</t>
  </si>
  <si>
    <t>mikhailzhilyaev8@gmail.com</t>
  </si>
  <si>
    <t>4/4-09/473</t>
  </si>
  <si>
    <t>Лазарева Анна Юрьевна</t>
  </si>
  <si>
    <t>Sladost144@yandex.ru</t>
  </si>
  <si>
    <t>3/3-16/508</t>
  </si>
  <si>
    <t>Иванова Елена Викторовна</t>
  </si>
  <si>
    <t>kaketka73eiv@gmail.com</t>
  </si>
  <si>
    <t>4/4-05/433</t>
  </si>
  <si>
    <t>Джамалова Фируза Мансуровна</t>
  </si>
  <si>
    <t>firuza.dzhamalova.94@mail.ru</t>
  </si>
  <si>
    <t>4/3-13/318</t>
  </si>
  <si>
    <t>Вишневская, Наталья Юрьевна</t>
  </si>
  <si>
    <t>besianka@mail.ru</t>
  </si>
  <si>
    <t>4/3-02/245</t>
  </si>
  <si>
    <t>Хвостов Юрий Евгеньевич</t>
  </si>
  <si>
    <t>khvostowa.anna@yandex.ru</t>
  </si>
  <si>
    <t>4/4-15/521</t>
  </si>
  <si>
    <t>Михелев Никита Петрович</t>
  </si>
  <si>
    <t>mihelev.n@yandex.ru</t>
  </si>
  <si>
    <t>3/1-24/202</t>
  </si>
  <si>
    <t>Приступа Роман Евгеньевич</t>
  </si>
  <si>
    <t>romapristupa@yandex.ru</t>
  </si>
  <si>
    <t>4/2-02/123</t>
  </si>
  <si>
    <t>Митина Мария Геннадьевна</t>
  </si>
  <si>
    <t>mondeooptima@mail.ru</t>
  </si>
  <si>
    <t>4/4-16/531</t>
  </si>
  <si>
    <t>Печкурова Елена Николаевна</t>
  </si>
  <si>
    <t>pechkurovir@gmail.co446101</t>
  </si>
  <si>
    <t>4/3-17/351</t>
  </si>
  <si>
    <t>Форафонов Валерий Андреевич</t>
  </si>
  <si>
    <t>forafonovva007@gmail.com</t>
  </si>
  <si>
    <t>4/1-11/076</t>
  </si>
  <si>
    <t>Матвеев Борис Исаевич</t>
  </si>
  <si>
    <t>lisinaaa1985@gmail.com</t>
  </si>
  <si>
    <t>4/2-15/230</t>
  </si>
  <si>
    <t>Бабаян Георгий Артурович</t>
  </si>
  <si>
    <t>elenab17548@gmail.com</t>
  </si>
  <si>
    <t>4/2-03/130</t>
  </si>
  <si>
    <t>Ефимов Владимир Юрьевич</t>
  </si>
  <si>
    <t>efimov_vladimir93@rambler.ru</t>
  </si>
  <si>
    <t>4/2-10/191</t>
  </si>
  <si>
    <t>Скорикова Анна Олеговна</t>
  </si>
  <si>
    <t>Master-fyd@yandex.ru</t>
  </si>
  <si>
    <t>2/1-05/024</t>
  </si>
  <si>
    <t>Максимов Еммануил Борисович</t>
  </si>
  <si>
    <t>manylka9439@gmail.com</t>
  </si>
  <si>
    <t>4/1-15/106</t>
  </si>
  <si>
    <t>Медведев Иван Владимирович</t>
  </si>
  <si>
    <t>lenin194522@yandex.ru</t>
  </si>
  <si>
    <t>4/4-03/411</t>
  </si>
  <si>
    <t>Завьялова Лидия Анатольевна</t>
  </si>
  <si>
    <t>lidiyanatolevna5@gmail.com</t>
  </si>
  <si>
    <t>4/4-02/410</t>
  </si>
  <si>
    <t>Генералова Екатерина Сергеевна</t>
  </si>
  <si>
    <t>Generalovaes08@gmail.com</t>
  </si>
  <si>
    <t>4/3-11/306</t>
  </si>
  <si>
    <t>Итяксова Снежана Александровна</t>
  </si>
  <si>
    <t>ityaksova01@inbox.ru</t>
  </si>
  <si>
    <t>4/4-13/505</t>
  </si>
  <si>
    <t>Мищенкова Елена Владимировна</t>
  </si>
  <si>
    <t>astra163@mail.ru</t>
  </si>
  <si>
    <t>4/3-20/369</t>
  </si>
  <si>
    <t>Сенатов Виктор Тихонович</t>
  </si>
  <si>
    <t>Elena.A.Senatova@yandex.ru</t>
  </si>
  <si>
    <t>Продукты у дома</t>
  </si>
  <si>
    <t>Снято с продажи резерв под К&amp;Б</t>
  </si>
  <si>
    <t>Снято с продажи под опорный пункт полиции</t>
  </si>
  <si>
    <t>Хохлова Александра Георгиевна</t>
  </si>
  <si>
    <t>89270160100@mail.ru</t>
  </si>
  <si>
    <t>4/3-04/260</t>
  </si>
  <si>
    <t>Шеломенцев Владимир Александрович</t>
  </si>
  <si>
    <t>vladimir_nsk_89@mail.ru</t>
  </si>
  <si>
    <t>4/2-15/228</t>
  </si>
  <si>
    <t>Орехова Светлана Николаевна</t>
  </si>
  <si>
    <t>swetl.orehova2017@yandex.ru</t>
  </si>
  <si>
    <t>4/3-03/254</t>
  </si>
  <si>
    <t>Новиков Евгений Анатольевич</t>
  </si>
  <si>
    <t>evgen_novikov@bk.ru</t>
  </si>
  <si>
    <t>4/2-08/175</t>
  </si>
  <si>
    <t>Карякина Анна Павловна</t>
  </si>
  <si>
    <t>brianna-set@mail.ru</t>
  </si>
  <si>
    <t>4/3-12/314</t>
  </si>
  <si>
    <t>Дорофеев Константин Дмитриевич</t>
  </si>
  <si>
    <t>nv.d0rofeeva@yandex.ru</t>
  </si>
  <si>
    <t>Маренин Максим Михайлович</t>
  </si>
  <si>
    <t>maxarabessky@gmail.com</t>
  </si>
  <si>
    <t>4/1-14/100</t>
  </si>
  <si>
    <t>Дьяконова Ина Сергеевна</t>
  </si>
  <si>
    <t>Lucky969@mail.ru</t>
  </si>
  <si>
    <t>Повышение 03.05.23
все 2%, хиты 4%</t>
  </si>
  <si>
    <t>Фикс 03.05.23</t>
  </si>
  <si>
    <t>Скидка инвестору</t>
  </si>
  <si>
    <t>4/2-03/132</t>
  </si>
  <si>
    <t>Даньшов Дмитрий Анатольевич</t>
  </si>
  <si>
    <t>anna.danshova@mail.ru</t>
  </si>
  <si>
    <t>4/2-15/229</t>
  </si>
  <si>
    <t>Землянкин Роман Юрьевич</t>
  </si>
  <si>
    <t>zemlyankina.nelli@yandex.ru</t>
  </si>
  <si>
    <t>4/3-08/288</t>
  </si>
  <si>
    <t>Рабаева Нургуль Сериковна</t>
  </si>
  <si>
    <t>rabaeva06@mail.ru</t>
  </si>
  <si>
    <t>4/3-09/295</t>
  </si>
  <si>
    <t>Оганова Дианна Григорьевна</t>
  </si>
  <si>
    <t>oganova.diana@yandex.ru</t>
  </si>
  <si>
    <t>4/4-04/424</t>
  </si>
  <si>
    <t>Силаева Ольга Валерьевна</t>
  </si>
  <si>
    <t>silaevaolga88@mail.ru</t>
  </si>
  <si>
    <t>4/4-14/518</t>
  </si>
  <si>
    <t>Максимов Сергей Анатольевич</t>
  </si>
  <si>
    <t>xse-star@mail.ru</t>
  </si>
  <si>
    <t>4/1-09/060</t>
  </si>
  <si>
    <t>Биктагиров Дмитрий Альбертович</t>
  </si>
  <si>
    <t>biktagirovda@mail.ru</t>
  </si>
  <si>
    <t>4/4-16/536</t>
  </si>
  <si>
    <t>Тихонова Анастасия Алексеевна</t>
  </si>
  <si>
    <t>nastya.tihonova@internet.ru</t>
  </si>
  <si>
    <t>Тропинина Екатерина Валерьевна</t>
  </si>
  <si>
    <t>valeria344@mail.ru</t>
  </si>
  <si>
    <t>Изменение отделки с черновой на чистовую, в связи с предоставлением индивидуальной компенсации участникам СВО</t>
  </si>
  <si>
    <t>Изменение отделки с предчистовой на чистовую, в связи с предоставлением индивидуальной компенсации участникам СВО</t>
  </si>
  <si>
    <t>4/4-11/490</t>
  </si>
  <si>
    <t>Чебакова Марина Павловна</t>
  </si>
  <si>
    <t>Chebakova.m1@mail.ru</t>
  </si>
  <si>
    <t>4/1-16/114</t>
  </si>
  <si>
    <t>Абрамкина Наталья Алексеевна</t>
  </si>
  <si>
    <t>natali-abramkina@yandex.ru</t>
  </si>
  <si>
    <t>Доля продаж по 5 дому</t>
  </si>
  <si>
    <t>4/4-07/451</t>
  </si>
  <si>
    <t>ТрансКапиталБанк</t>
  </si>
  <si>
    <t>Сайдалиев Санжар Улжабоевич</t>
  </si>
  <si>
    <t>yjugign89@gmail.com</t>
  </si>
  <si>
    <t>4/3-15/334</t>
  </si>
  <si>
    <t>Солдатова Галина Владимировна</t>
  </si>
  <si>
    <t>gsmadlen@gmail.com</t>
  </si>
  <si>
    <t>Итого по 2025</t>
  </si>
  <si>
    <t>СВОД все дома 2025</t>
  </si>
  <si>
    <t>Сидуллин Денис Аркадьевич</t>
  </si>
  <si>
    <t>sidullin@mail.ru</t>
  </si>
  <si>
    <t>Костина Елена Игоревна</t>
  </si>
  <si>
    <t>utkinalena294@gmail.com</t>
  </si>
  <si>
    <t>Зарубина Ирина Сергеевна</t>
  </si>
  <si>
    <t>irina.zarubina_dyakova@mail.ru</t>
  </si>
  <si>
    <t>4/4-03/416</t>
  </si>
  <si>
    <t>Боярская Арина Ивановна</t>
  </si>
  <si>
    <t>arinagorb88@gmail.com</t>
  </si>
  <si>
    <t>4/2-10/185</t>
  </si>
  <si>
    <t>Богданова Елена Сергеевна</t>
  </si>
  <si>
    <t>bogdanovaelena63@mail.ru</t>
  </si>
  <si>
    <t>4/2-11/197</t>
  </si>
  <si>
    <t>Сенчева Виктория Геннадьевна</t>
  </si>
  <si>
    <t>sencheva.vg@yandex.ru</t>
  </si>
  <si>
    <t>4/2-14/223</t>
  </si>
  <si>
    <t>Грабилин Андрей Витальевич</t>
  </si>
  <si>
    <t>Grandrvit@yandex.ru</t>
  </si>
  <si>
    <t>1/1-01/005</t>
  </si>
  <si>
    <t>Повышение 25.05.23
Студия 5% 1к -2%, 2К-3%,3к-3%</t>
  </si>
  <si>
    <t>Фикс 25.05.23</t>
  </si>
  <si>
    <t>4/1-10/071</t>
  </si>
  <si>
    <t>Антипова Анфиса Геронтьевна</t>
  </si>
  <si>
    <t>anfiska.antipova@mail.ru</t>
  </si>
  <si>
    <t>4/4-03/418</t>
  </si>
  <si>
    <t>Иванушкин Николай Олегович</t>
  </si>
  <si>
    <t>ira.ivanuh2010@yandex.ru</t>
  </si>
  <si>
    <t>4/1-16/117</t>
  </si>
  <si>
    <t>Артюшевский Дмитрий Евгеньевич</t>
  </si>
  <si>
    <t>Katerin.a.bel@yandex.ru</t>
  </si>
  <si>
    <t>4/4-16/528</t>
  </si>
  <si>
    <t>Жирельева Анна Юрьевна</t>
  </si>
  <si>
    <t>annayurevna2804@mail.ru</t>
  </si>
  <si>
    <t>4/3-24/400</t>
  </si>
  <si>
    <t>Висков Дмитрий Владимирович</t>
  </si>
  <si>
    <t>Ltvnvnstj@rambler.ru</t>
  </si>
  <si>
    <t>4/1-11/075</t>
  </si>
  <si>
    <t>Бурлакова Ольга Владимировна</t>
  </si>
  <si>
    <t>O_cityvision@mail.ru</t>
  </si>
  <si>
    <t>4/1-13/093</t>
  </si>
  <si>
    <t>Селезнёва Ангелина Владимировна</t>
  </si>
  <si>
    <t>angelselezniowa@yandex.ru</t>
  </si>
  <si>
    <t>4/4-12/492</t>
  </si>
  <si>
    <t>Лазарев Валерий Викторович</t>
  </si>
  <si>
    <t>lazarev.valera1979@yandex.ru</t>
  </si>
  <si>
    <t>4/4-08/460</t>
  </si>
  <si>
    <t>Рауш Александра Сергеевна</t>
  </si>
  <si>
    <t>alya.raush.92@mail.ru</t>
  </si>
  <si>
    <t>4/1-05/025</t>
  </si>
  <si>
    <t>Шайдулин Ильнур Хайдарович</t>
  </si>
  <si>
    <t>ilnurik123@mail.ru</t>
  </si>
  <si>
    <t>4/3-10/298</t>
  </si>
  <si>
    <t>Староверов Дмитрий Викторович</t>
  </si>
  <si>
    <t>Golubova7@mail.ru</t>
  </si>
  <si>
    <t>4/2-12/201</t>
  </si>
  <si>
    <t>Гончаров Валерий Васильевич</t>
  </si>
  <si>
    <t>dfkthf1949@mail.ru</t>
  </si>
  <si>
    <t>Площадь по проекту жилая</t>
  </si>
  <si>
    <t>Площадь по проекту(общая)</t>
  </si>
  <si>
    <t>Площадь по проекту отапл (без летних)</t>
  </si>
  <si>
    <t>Новостройка</t>
  </si>
  <si>
    <t>4/3-08/285</t>
  </si>
  <si>
    <t>Калинников Александр Аркадьевич</t>
  </si>
  <si>
    <t>sasha.kalinnikov.65@mail.ru</t>
  </si>
  <si>
    <t>4/1-11/073</t>
  </si>
  <si>
    <t>Шмырёва Юлия Юрьевна</t>
  </si>
  <si>
    <t>yulya.shmyryova.88@bk.ru</t>
  </si>
  <si>
    <t>4/1-15/108</t>
  </si>
  <si>
    <t>Антонов Владимир Олегович</t>
  </si>
  <si>
    <t>nastya.styapkina@gmail.com</t>
  </si>
  <si>
    <t>Хит</t>
  </si>
  <si>
    <t>МГН</t>
  </si>
  <si>
    <t>Антихит</t>
  </si>
  <si>
    <t>ХИТ</t>
  </si>
  <si>
    <t>4/3-11/307</t>
  </si>
  <si>
    <t>Крюков Николай Александрович</t>
  </si>
  <si>
    <t>n.a.kryukov@mail.ru</t>
  </si>
  <si>
    <t>4/3-23/393</t>
  </si>
  <si>
    <t>Артемеев Евгений Васильевич</t>
  </si>
  <si>
    <t>artemeev.russia@gmail.com</t>
  </si>
  <si>
    <t>4/3-23/394</t>
  </si>
  <si>
    <t>4/2-02/125</t>
  </si>
  <si>
    <t>Бирюкова Инна Андреевна</t>
  </si>
  <si>
    <t>innacow@mail.ru</t>
  </si>
  <si>
    <t>4/1-04/020</t>
  </si>
  <si>
    <t>Лебедев Александр Сергеевич</t>
  </si>
  <si>
    <t>Lebedeff.aleksandr2012@yandex.ru</t>
  </si>
  <si>
    <t>4/4-11/488</t>
  </si>
  <si>
    <t>Беляев Александр Владимирович</t>
  </si>
  <si>
    <t>sanbel.1987.63@gmail.com</t>
  </si>
  <si>
    <t>4/3-22/387</t>
  </si>
  <si>
    <t>Кредышев Роман Дмитриевич</t>
  </si>
  <si>
    <t>roman.kredyshev.99@bk.ru</t>
  </si>
  <si>
    <t>4/2-04/142</t>
  </si>
  <si>
    <t>Матосова Светлана Николаевна</t>
  </si>
  <si>
    <t>Matosova_82@mail.ru</t>
  </si>
  <si>
    <t>4/2-14/221</t>
  </si>
  <si>
    <t>Таласов Нурман Жарлыкапович</t>
  </si>
  <si>
    <t>n.talasoff@mail.ru</t>
  </si>
  <si>
    <t>4/3-17/350</t>
  </si>
  <si>
    <t>Соковых Елена Владимировна</t>
  </si>
  <si>
    <t>bykova138@inbox.ru</t>
  </si>
  <si>
    <t>4/1-12/087</t>
  </si>
  <si>
    <t>Юзькива Зухра Андржановна</t>
  </si>
  <si>
    <t>Zuhra1984@yandex.ru</t>
  </si>
  <si>
    <t>4/3-03/251</t>
  </si>
  <si>
    <t>Кирина Ирина Юрьевна</t>
  </si>
  <si>
    <t>4/1-09/059</t>
  </si>
  <si>
    <t>Елизарова Екатерина Викторовна</t>
  </si>
  <si>
    <t>Ekaterina.swelam@mail.ru</t>
  </si>
  <si>
    <t>4/1-05/032</t>
  </si>
  <si>
    <t>Калинина Ольга Анатольевна</t>
  </si>
  <si>
    <t>olgak4linina@yandex.ru</t>
  </si>
  <si>
    <t>4/4-09/472</t>
  </si>
  <si>
    <t>Ховрычева Алёна Сергеевна</t>
  </si>
  <si>
    <t>01wo12@rambler.ru</t>
  </si>
  <si>
    <t>4/1-08/056</t>
  </si>
  <si>
    <t>Биишева Татьяна Викторовна</t>
  </si>
  <si>
    <t>masv.01@mail.ru</t>
  </si>
  <si>
    <t>4/4-07/448</t>
  </si>
  <si>
    <t>Рудик Сергей Андреевич</t>
  </si>
  <si>
    <t>Serjik.Rudik@yandex.ru</t>
  </si>
  <si>
    <t>4/3-21/379</t>
  </si>
  <si>
    <t>Егоров Алексей Юрьевич</t>
  </si>
  <si>
    <t>Ninjabalu.ae@gmail.com</t>
  </si>
  <si>
    <t>Планируемая дата продажи</t>
  </si>
  <si>
    <t>№ Офиса</t>
  </si>
  <si>
    <t>Факт продаж</t>
  </si>
  <si>
    <t>Распределение</t>
  </si>
  <si>
    <t>Аренда супермаркета</t>
  </si>
  <si>
    <t>4/4-03/414</t>
  </si>
  <si>
    <t>Вавилина Лилия Ростямовна</t>
  </si>
  <si>
    <t>lilya-zhenya2012@mail.ru</t>
  </si>
  <si>
    <t>4/3-11/309</t>
  </si>
  <si>
    <t>Синицин Виталий Вячеславович</t>
  </si>
  <si>
    <t>siniy1993@yandex.ru</t>
  </si>
  <si>
    <t>3/6-01/020</t>
  </si>
  <si>
    <t>Гришкова Ольга Исаковна</t>
  </si>
  <si>
    <t>rogozhina_kristi@mail.ru</t>
  </si>
  <si>
    <t>4/3-07/276</t>
  </si>
  <si>
    <t>Халимдарова Марлэна Каюмовна</t>
  </si>
  <si>
    <t>Murlena-halimdarova@mail.ru</t>
  </si>
  <si>
    <t>Рассылка - e-mail</t>
  </si>
  <si>
    <t>4/3-16/340</t>
  </si>
  <si>
    <t>Валиахметов Алмаз Филюсович</t>
  </si>
  <si>
    <t>Valialmaz@mail.ru</t>
  </si>
  <si>
    <t>4/1-05/029</t>
  </si>
  <si>
    <t>Мингазова Римма Римовна</t>
  </si>
  <si>
    <t>rimma.mingazova2019@mail.ru</t>
  </si>
  <si>
    <t>Оzon</t>
  </si>
  <si>
    <t>Фабрика качества</t>
  </si>
  <si>
    <t>Центр добрососедства</t>
  </si>
  <si>
    <t>Парикмахерская\Яндекс</t>
  </si>
  <si>
    <t>Продукты</t>
  </si>
  <si>
    <t>Частично Пекарня и Аптека Вита</t>
  </si>
  <si>
    <t>4/3-22/383</t>
  </si>
  <si>
    <t>Храмова Наталья Владимировна</t>
  </si>
  <si>
    <t>n.hramova@mail.ru</t>
  </si>
  <si>
    <t>4/3-16/339</t>
  </si>
  <si>
    <t>Припиченко Любовь Витальевна</t>
  </si>
  <si>
    <t>Lybov.pripichenko@icloud.com</t>
  </si>
  <si>
    <t>4/3-02/241</t>
  </si>
  <si>
    <t>Вечканова Анна Германовна</t>
  </si>
  <si>
    <t>Anyasok1994@mail.ru</t>
  </si>
  <si>
    <t>4/3-21/375</t>
  </si>
  <si>
    <t>4/4-01/018</t>
  </si>
  <si>
    <t>4/2-08/174</t>
  </si>
  <si>
    <t>Нехаев Вадим Владимирович</t>
  </si>
  <si>
    <t>vadik.nehaev@yandex.ru</t>
  </si>
  <si>
    <t>Арендаторы</t>
  </si>
  <si>
    <t>Повышение 01.07.23 3%</t>
  </si>
  <si>
    <t>Фикс 01.07.23</t>
  </si>
  <si>
    <t>4/4-07/447</t>
  </si>
  <si>
    <t>Милентьева Анастасия Сергеевна</t>
  </si>
  <si>
    <t>milentieva.a@yandex.</t>
  </si>
  <si>
    <t>4/4-01/014</t>
  </si>
  <si>
    <t>4/1-06/033</t>
  </si>
  <si>
    <t>4/3-09/290</t>
  </si>
  <si>
    <t>Виноходов Евгений Алексеевич</t>
  </si>
  <si>
    <t>Eavinokhodov5@gmail.com</t>
  </si>
  <si>
    <t>4/4-14/511</t>
  </si>
  <si>
    <t>Хасанова Альбина Сакитовна</t>
  </si>
  <si>
    <t>tatarkaxas@iCloud.com</t>
  </si>
  <si>
    <t>4/1-05/030</t>
  </si>
  <si>
    <t>Русяева Ирина Александровна</t>
  </si>
  <si>
    <t>ria-9@mail.ru</t>
  </si>
  <si>
    <t>4/4-01/013</t>
  </si>
  <si>
    <t>4/4-01/016</t>
  </si>
  <si>
    <t>Ковалева Екатерина Михайловна</t>
  </si>
  <si>
    <t>katrinzetrin@mail.ru</t>
  </si>
  <si>
    <t>4/1-14/102</t>
  </si>
  <si>
    <t>Романов Игорь Владимирович</t>
  </si>
  <si>
    <t>romanovboss1975@mail.ru</t>
  </si>
  <si>
    <t>4/4-01/015</t>
  </si>
  <si>
    <t>Кожевников Сергей Анатольевич</t>
  </si>
  <si>
    <t>Kozhevnikov.s.a@mail.ru</t>
  </si>
  <si>
    <t>3/5-01/017</t>
  </si>
  <si>
    <t>Волкова Мария Олеговна</t>
  </si>
  <si>
    <t>yavolkovamariya@gmail.com</t>
  </si>
  <si>
    <t>Повышение 04.07.2023</t>
  </si>
  <si>
    <t>Фикс 04.07.23</t>
  </si>
  <si>
    <t>4/2-02/126</t>
  </si>
  <si>
    <t>Курова Валентина Валентиновна</t>
  </si>
  <si>
    <t>4/1-14/104</t>
  </si>
  <si>
    <t>Давыденко Иван Иванович</t>
  </si>
  <si>
    <t>dawydenkoiv@yandex.ru</t>
  </si>
  <si>
    <t>4/4-12/500</t>
  </si>
  <si>
    <t>Чижиков Дмитрий Валерьевич</t>
  </si>
  <si>
    <t>chigikof@mail.ru</t>
  </si>
  <si>
    <t>4/2-10/192</t>
  </si>
  <si>
    <t>Шатковский Юрий Сергеевич</t>
  </si>
  <si>
    <t>Granta.yura@mail.ru</t>
  </si>
  <si>
    <t>Частично Wildberries 48,3 м2</t>
  </si>
  <si>
    <t>Частично Оzon 19,9 м2</t>
  </si>
  <si>
    <t>стратегический объект не для продажи</t>
  </si>
  <si>
    <t>4/2-03/135</t>
  </si>
  <si>
    <t>Акименко Сергей Николаевич</t>
  </si>
  <si>
    <t>Chester36@mail.ru</t>
  </si>
  <si>
    <t>4/3-22/384</t>
  </si>
  <si>
    <t>Курлаганов Максим Владимирович</t>
  </si>
  <si>
    <t>Mv.kyrlaganov@gmail.com</t>
  </si>
  <si>
    <t>ТЕРМЫ: для розыгрыша</t>
  </si>
  <si>
    <t>4/1-07/046</t>
  </si>
  <si>
    <t>Челеев Вячеслав Александрович</t>
  </si>
  <si>
    <t>cheleyeva@gmail.com</t>
  </si>
  <si>
    <t>4/4-15/525</t>
  </si>
  <si>
    <t>Пасечников Никита Александрович</t>
  </si>
  <si>
    <t>nikita.pasechnikov@yandex.ru</t>
  </si>
  <si>
    <t>4/4-12/494</t>
  </si>
  <si>
    <t>Михедько Виталий Александрович</t>
  </si>
  <si>
    <t>V.mihedko@gmail.com</t>
  </si>
  <si>
    <t>4/3-17/352</t>
  </si>
  <si>
    <t>Тарасов Максим Владимирович</t>
  </si>
  <si>
    <t>tarasovmaximvladimirovich@gmail.com</t>
  </si>
  <si>
    <t>4/3-22/381</t>
  </si>
  <si>
    <t>Павлов Алексей Александрович</t>
  </si>
  <si>
    <t>alexeypavlov163@gmail.com</t>
  </si>
  <si>
    <t>4/4-06/443</t>
  </si>
  <si>
    <t>Мендалиев Нурсултан Сансызбаевич</t>
  </si>
  <si>
    <t>nursultan.erkanaliev@yandex.ru</t>
  </si>
  <si>
    <t>3/6-01/021</t>
  </si>
  <si>
    <t>Косенко, Дмитрий Александрович</t>
  </si>
  <si>
    <t>89278991897@mail.ru</t>
  </si>
  <si>
    <t>Комментарии</t>
  </si>
  <si>
    <t>4/4-02/402</t>
  </si>
  <si>
    <t>Сабитова Анастасия Павловна</t>
  </si>
  <si>
    <t>Kumertau@list.ru</t>
  </si>
  <si>
    <t>4/1-10/065</t>
  </si>
  <si>
    <t>Дельвиг Алиса Юрьевна</t>
  </si>
  <si>
    <t>alice.delvig@yandex.ru</t>
  </si>
  <si>
    <t>Бронь</t>
  </si>
  <si>
    <t>Доля продаж по коммерции</t>
  </si>
  <si>
    <t>Общая реализация коммерции</t>
  </si>
  <si>
    <t>4/2-08/170</t>
  </si>
  <si>
    <t>Рахманкулова Александра Рустамовна</t>
  </si>
  <si>
    <t>Alexrahman1010@gmail.com</t>
  </si>
  <si>
    <t>4/3-12/312</t>
  </si>
  <si>
    <t>Ухлова Елена Николаевна</t>
  </si>
  <si>
    <t>elena.uhlova@mail.ru</t>
  </si>
  <si>
    <t>4/3-04/257</t>
  </si>
  <si>
    <t>Хохлов Сергей Михайлович</t>
  </si>
  <si>
    <t>hgns@mail.ru</t>
  </si>
  <si>
    <t>4/2-08/173</t>
  </si>
  <si>
    <t>Байцони Алексей Владимирович</t>
  </si>
  <si>
    <t>baiconi.aleksei@mail.ru</t>
  </si>
  <si>
    <t>4/4-13/508</t>
  </si>
  <si>
    <t>Арестанова Сагадат Куанышкалиевна</t>
  </si>
  <si>
    <t>sagadat-aytasova@mail.ru</t>
  </si>
  <si>
    <t>4/1-14/099</t>
  </si>
  <si>
    <t>Круглова Ирина Сергеевна</t>
  </si>
  <si>
    <t>kis40sb@yandex.ru</t>
  </si>
  <si>
    <t>4/4-05/429</t>
  </si>
  <si>
    <t>Тишаков Максим Павлович</t>
  </si>
  <si>
    <t>Garrett911@mail.ru</t>
  </si>
  <si>
    <t>Предчистовая в подарок. Июль</t>
  </si>
  <si>
    <t>Предчистовая в подарок. Апрель</t>
  </si>
  <si>
    <t>Предчистовая в подарок. Июнь</t>
  </si>
  <si>
    <t>Предчистовая в подарок. Май</t>
  </si>
  <si>
    <t>4/4-08/456</t>
  </si>
  <si>
    <t>Маслов Руслан Евгеньевич</t>
  </si>
  <si>
    <t>maslovruslan77@rambler.ru</t>
  </si>
  <si>
    <t>4/3-22/386</t>
  </si>
  <si>
    <t>Тарасенко Роман Олегович</t>
  </si>
  <si>
    <t>romanolegovich.t@gmail.com</t>
  </si>
  <si>
    <t>4/4-10/480</t>
  </si>
  <si>
    <t>Плахова Анна Владимировна</t>
  </si>
  <si>
    <t>stn-rf@yandex.ru</t>
  </si>
  <si>
    <t>4/3-18/358</t>
  </si>
  <si>
    <t>Медведев Вадим Геннадьевич</t>
  </si>
  <si>
    <t>medva13@yandex.ru</t>
  </si>
  <si>
    <t>4/2-06/157</t>
  </si>
  <si>
    <t>Шульпин Михаил Анатольевич</t>
  </si>
  <si>
    <t>panina22@mail.ru</t>
  </si>
  <si>
    <t>4/2-01/009</t>
  </si>
  <si>
    <t>Абзибаров Валерий Фарыхович</t>
  </si>
  <si>
    <t>Vashparikmaher@rambler.ru</t>
  </si>
  <si>
    <t>4/1-08/049</t>
  </si>
  <si>
    <t>4/2-11/200</t>
  </si>
  <si>
    <t>Крашенинникова Евгения Валерьевна</t>
  </si>
  <si>
    <t>evgeshka2582@mail.ru</t>
  </si>
  <si>
    <t>4/1-16/119</t>
  </si>
  <si>
    <t>Агаев Ульви Акьбер Оглы</t>
  </si>
  <si>
    <t>agaevulvi@yandex.ru</t>
  </si>
  <si>
    <t>4/3-03/250</t>
  </si>
  <si>
    <t>Муталимова Анна Сергеевна</t>
  </si>
  <si>
    <t>anna.koltun@bk.ru</t>
  </si>
  <si>
    <t>4/3-07/278</t>
  </si>
  <si>
    <t>Гончаренко Диана Валерьевна</t>
  </si>
  <si>
    <t>Aers5@yandex.ru</t>
  </si>
  <si>
    <t>4/1-09/063</t>
  </si>
  <si>
    <t>Таскаева Юлия Андреевна</t>
  </si>
  <si>
    <t>bilinaya@bk.ru</t>
  </si>
  <si>
    <t>4/1-08/050</t>
  </si>
  <si>
    <t>Куракин Роман Олегович</t>
  </si>
  <si>
    <t>Defragmentos@yandex.ru</t>
  </si>
  <si>
    <t>(-3% НА ОСТАТОК)</t>
  </si>
  <si>
    <t>Савосин Михаил Игоревич</t>
  </si>
  <si>
    <t>mihail.savosin@yandex.ru</t>
  </si>
  <si>
    <t>Подарочный сертификат</t>
  </si>
  <si>
    <t>3/3-01/010</t>
  </si>
  <si>
    <t>4/3-15/332</t>
  </si>
  <si>
    <t>Мелконян Элен Артуровна</t>
  </si>
  <si>
    <t>Melkonyanelen@bk.ru</t>
  </si>
  <si>
    <t>Пыресев Александр Александрович</t>
  </si>
  <si>
    <t>m.pyreseva@icloud.com</t>
  </si>
  <si>
    <t>Дусеев Армат Гали-Арстанович</t>
  </si>
  <si>
    <t>duseeff.a@yandex.ru</t>
  </si>
  <si>
    <t>Итого по 2026</t>
  </si>
  <si>
    <t>Повышение 16.08.23 - 5%</t>
  </si>
  <si>
    <t>Фикс 16.08.23</t>
  </si>
  <si>
    <t>Повышение 29.08.23 - 3%</t>
  </si>
  <si>
    <t>Фикс 29.08.23</t>
  </si>
  <si>
    <t>НЕТ</t>
  </si>
  <si>
    <t>16.08.22 Повышение 4% на 1к кроме Г9</t>
  </si>
  <si>
    <t>17.11.2022 Повышение 5% на 1К и 2К</t>
  </si>
  <si>
    <t>Повышение 18.08.23 5%</t>
  </si>
  <si>
    <t>Фикс 18.08.23</t>
  </si>
  <si>
    <t>Повышение 22.08.23 3%</t>
  </si>
  <si>
    <t>Фикс 22.08.23</t>
  </si>
  <si>
    <t>Фикс 23.08.23</t>
  </si>
  <si>
    <t>6.09.23 Повышение 3к 3%</t>
  </si>
  <si>
    <t>Фикс 6.09.23</t>
  </si>
  <si>
    <t>Чертилов Андрей Александрович</t>
  </si>
  <si>
    <t>anime7@mail.ru</t>
  </si>
  <si>
    <t>4/3-06/272</t>
  </si>
  <si>
    <t>Евсеев Сергей Сергеевич</t>
  </si>
  <si>
    <t>evseev85@icloud.com</t>
  </si>
  <si>
    <t>4/3-20/372</t>
  </si>
  <si>
    <t>Багиров Мирзафар Мирджафар Оглы</t>
  </si>
  <si>
    <t>bagirchik007@icloud.com</t>
  </si>
  <si>
    <t>4/2-04/138</t>
  </si>
  <si>
    <t>Зайнетдинова Анна Эдуардовна</t>
  </si>
  <si>
    <t>anna-e1988@yandex.ru</t>
  </si>
  <si>
    <t>4/4-01/017</t>
  </si>
  <si>
    <t>Хурчак Елена Вячеславовна</t>
  </si>
  <si>
    <t>kh_alena@mail.ru</t>
  </si>
  <si>
    <t>4/1-02/003</t>
  </si>
  <si>
    <t>Щербакова Ольга Сергеевна</t>
  </si>
  <si>
    <t>scherbakov-oleg@mail.ru</t>
  </si>
  <si>
    <t>4/2-14/224</t>
  </si>
  <si>
    <t>4/3-10/300</t>
  </si>
  <si>
    <t>Скуратова Екатерина Валериевна</t>
  </si>
  <si>
    <t>skuratoffa1978@mail.ru</t>
  </si>
  <si>
    <t>4/3-21/376</t>
  </si>
  <si>
    <t>Краснова Полина Александровна</t>
  </si>
  <si>
    <t>P.bannova@yandex.ru</t>
  </si>
  <si>
    <t>4/4-15/519</t>
  </si>
  <si>
    <t>Ерофеев Илья Евгеньевич</t>
  </si>
  <si>
    <t>rsc.smr@yandex.ru</t>
  </si>
  <si>
    <t>4/3-24/399</t>
  </si>
  <si>
    <t>Козлов Александр Михайлович</t>
  </si>
  <si>
    <t>mr.soier@yandex.ru</t>
  </si>
  <si>
    <t>4/3-19/360</t>
  </si>
  <si>
    <t>Инчакова Анастасия Александровна</t>
  </si>
  <si>
    <t>Nasya.flota@yandex.ru</t>
  </si>
  <si>
    <t>4/2-05/150</t>
  </si>
  <si>
    <t>Хашимов Рустам Бахромджонович</t>
  </si>
  <si>
    <t>Krot890934@mail.ru</t>
  </si>
  <si>
    <t>4/4-04/420</t>
  </si>
  <si>
    <t>Казакул Елена Ивановна</t>
  </si>
  <si>
    <t>helepers@yandex.ru</t>
  </si>
  <si>
    <t>4/4-04/425</t>
  </si>
  <si>
    <t>Батраева Лилия Владимировна</t>
  </si>
  <si>
    <t>Liliabatraeva@gmail.com</t>
  </si>
  <si>
    <t>4/3-12/311</t>
  </si>
  <si>
    <t>Гришин Владислав Олегович</t>
  </si>
  <si>
    <t>kristina_trifonova@rambler.ru</t>
  </si>
  <si>
    <t>4/3-19/365</t>
  </si>
  <si>
    <t>Тихонов Иван Юрьевич</t>
  </si>
  <si>
    <t>Lucky_person5@mail.ru</t>
  </si>
  <si>
    <t>4/4-06/439</t>
  </si>
  <si>
    <t>Карапетян Гразолета Гарегиновна</t>
  </si>
  <si>
    <t>Lori.kgg@mail.ru</t>
  </si>
  <si>
    <t>4/4-02/409</t>
  </si>
  <si>
    <t>Шагинян Армине Нельсоновна</t>
  </si>
  <si>
    <t>karapetyan.arminka9889@gmail.com</t>
  </si>
  <si>
    <t>4/1-03/013</t>
  </si>
  <si>
    <t>Мекле Юлия Геннадьевна</t>
  </si>
  <si>
    <t>mekleulia50463@mail.ru</t>
  </si>
  <si>
    <t>4/4-02/407</t>
  </si>
  <si>
    <t>Водякова Наталья Михайловна</t>
  </si>
  <si>
    <t>Vodyakovanat@yandex.ru</t>
  </si>
  <si>
    <t>Сотрудник сбера</t>
  </si>
  <si>
    <t>4/2-13/214</t>
  </si>
  <si>
    <t>Буранов Егор Александрович</t>
  </si>
  <si>
    <t>rusih.6@mail.ru</t>
  </si>
  <si>
    <t>4/4-12/497</t>
  </si>
  <si>
    <t>Домнина Татьяна Анатольевна</t>
  </si>
  <si>
    <t>Domninata_745@list.ru</t>
  </si>
  <si>
    <t>4/3-13/320</t>
  </si>
  <si>
    <t>Швырина Галина Владимировна</t>
  </si>
  <si>
    <t>madam.irinavladi@yandex.ru</t>
  </si>
  <si>
    <t>4/2-11/199</t>
  </si>
  <si>
    <t>Волкова Екатерина Андреевна</t>
  </si>
  <si>
    <t>Sokolovaketrin6973@gmail.com</t>
  </si>
  <si>
    <t>4/4-02/403</t>
  </si>
  <si>
    <t>Казарян Анна Сейрановна</t>
  </si>
  <si>
    <t>megaanna1@yandex.ru</t>
  </si>
  <si>
    <t>4/1-10/072</t>
  </si>
  <si>
    <t>Усенков Денис Владимирович</t>
  </si>
  <si>
    <t>Airklubb@gmail.com</t>
  </si>
  <si>
    <t>4/1-10/070</t>
  </si>
  <si>
    <t>Дубченок Андрей Михайлович</t>
  </si>
  <si>
    <t>efremova2507@mail.ru</t>
  </si>
  <si>
    <t>4/2-15/231</t>
  </si>
  <si>
    <t>Куненков Алексей Романович</t>
  </si>
  <si>
    <t>Alekseikunenkov@mail.ru</t>
  </si>
  <si>
    <t>4/4-11/483</t>
  </si>
  <si>
    <t>Кожухова Галина Александровна</t>
  </si>
  <si>
    <t>glanina@bk.ru</t>
  </si>
  <si>
    <t>4/3-05/267</t>
  </si>
  <si>
    <t>Насрединова Фарангез Амирхоновна</t>
  </si>
  <si>
    <t>rushona25ali@gmail.com</t>
  </si>
  <si>
    <t>Траншевая ипотека</t>
  </si>
  <si>
    <t>4/4-14/513</t>
  </si>
  <si>
    <t>Хритин Евгений Александрович</t>
  </si>
  <si>
    <t>jeka-tech@mail.ru</t>
  </si>
  <si>
    <t>4/4-10/475</t>
  </si>
  <si>
    <t>Сергеев Вячеслав Сергеевич</t>
  </si>
  <si>
    <t>katya2702@yandex.ru</t>
  </si>
  <si>
    <t>4/4-08/457</t>
  </si>
  <si>
    <t>Сальникова Олеся Юрьевна</t>
  </si>
  <si>
    <t>Salnikovaolesa33@yandex.ru</t>
  </si>
  <si>
    <t>4/1-12/081</t>
  </si>
  <si>
    <t>4/2-13/212</t>
  </si>
  <si>
    <t>Яндакова Анастасия Витальевна</t>
  </si>
  <si>
    <t>anastasia_bikova93@mail.ru</t>
  </si>
  <si>
    <t>4/4-13/501</t>
  </si>
  <si>
    <t>Кильдишов Даниил Алексеевич</t>
  </si>
  <si>
    <t>kildishov99@gmail.com</t>
  </si>
  <si>
    <t>4/2-06/156</t>
  </si>
  <si>
    <t>Джалилова Эльнара Рустямовна</t>
  </si>
  <si>
    <t>elnara-dzhali@yandex.ru</t>
  </si>
  <si>
    <t>4/4-07/454</t>
  </si>
  <si>
    <t>Шагинян Анастасия Васильевна</t>
  </si>
  <si>
    <t>shaginyan-1991@bk.ru</t>
  </si>
  <si>
    <t>4/3-24/395</t>
  </si>
  <si>
    <t>Ходорожия Елена Александровна</t>
  </si>
  <si>
    <t>hodoroghija@mail.ru</t>
  </si>
  <si>
    <t>4/4-16/529</t>
  </si>
  <si>
    <t>Сидоров Родион Романович</t>
  </si>
  <si>
    <t>sidorofff2010@ya.ru</t>
  </si>
  <si>
    <t>4/3-14/330</t>
  </si>
  <si>
    <t>Ризаханов Марат Ризаханович</t>
  </si>
  <si>
    <t>marat.rizakhanov@gmail.com</t>
  </si>
  <si>
    <t>4/4-05/436</t>
  </si>
  <si>
    <t>Сергеева Лилит Нельсоновна</t>
  </si>
  <si>
    <t>karapetyan.lilit.1312@mail.ru</t>
  </si>
  <si>
    <t>4/2-02/127</t>
  </si>
  <si>
    <t>Калашникова Тамара Ивановна</t>
  </si>
  <si>
    <t>kalasholeg@39gmail.com</t>
  </si>
  <si>
    <t>4/3-06/270</t>
  </si>
  <si>
    <t>Соседов Александр Олегович</t>
  </si>
  <si>
    <t>sosedov_ao@mail.ru</t>
  </si>
  <si>
    <t>4/1-06/038</t>
  </si>
  <si>
    <t>Дульский Максим Сергеевич</t>
  </si>
  <si>
    <t>dulskaya69@mail.ru</t>
  </si>
  <si>
    <t>4/2-15/232</t>
  </si>
  <si>
    <t>Блохин Роман Сергеевич</t>
  </si>
  <si>
    <t>roman063rus@gmail.com</t>
  </si>
  <si>
    <t>4/3-18/355</t>
  </si>
  <si>
    <t>Игнатьева Ирина Юрьевна</t>
  </si>
  <si>
    <t>irinaignatyeva55@gmail.com</t>
  </si>
  <si>
    <t>Лоджия в подарок</t>
  </si>
  <si>
    <t>Повышение 23.08.23 6%
СТ - А, В1; 
1К - Б, В, Г4, Г1; 
3К - Г2 - 4%</t>
  </si>
  <si>
    <t>15.09.23 3% студий секция А</t>
  </si>
  <si>
    <t>Фикс 15.09.23</t>
  </si>
  <si>
    <t>ано под город</t>
  </si>
  <si>
    <t>4/4-13/502</t>
  </si>
  <si>
    <t>SumIrinaV75@yandex.ru</t>
  </si>
  <si>
    <t>05-028</t>
  </si>
  <si>
    <t>Министерство строительства Самарской области</t>
  </si>
  <si>
    <t>07-002</t>
  </si>
  <si>
    <t>5/2-02/124</t>
  </si>
  <si>
    <t>Есаян Мария Ширазовна</t>
  </si>
  <si>
    <t>mari.yeremyan.96@mail.ru</t>
  </si>
  <si>
    <t>5/2-03/131</t>
  </si>
  <si>
    <t>Еремян Анжелика Ширазовна</t>
  </si>
  <si>
    <t>anjelikaeremyan@mail.ru</t>
  </si>
  <si>
    <t>5/2-10/178</t>
  </si>
  <si>
    <t>4/4-11/487</t>
  </si>
  <si>
    <t>Гусейнова Агида Ариф Кызы</t>
  </si>
  <si>
    <t>ag.bagirova@yandex.ru</t>
  </si>
  <si>
    <t>5/2-14/206</t>
  </si>
  <si>
    <t>Шалунова Ольга Александровна</t>
  </si>
  <si>
    <t>simsim-a@yandex.ru</t>
  </si>
  <si>
    <t>5/4-08/449</t>
  </si>
  <si>
    <t>Татаров Антон Дмитриевич</t>
  </si>
  <si>
    <t>anthony10@mail.ru</t>
  </si>
  <si>
    <t>5/1-14/093</t>
  </si>
  <si>
    <t>Елистратова Олеся Сергеевна</t>
  </si>
  <si>
    <t>ip.o.elistratova@gmail.com</t>
  </si>
  <si>
    <t>5/1-04/025</t>
  </si>
  <si>
    <t>Беляцкий Виталий Николаевич</t>
  </si>
  <si>
    <t>vental.1@mail.ru</t>
  </si>
  <si>
    <t>5/2-14/204</t>
  </si>
  <si>
    <t>Левушкин Сергей Николаевич</t>
  </si>
  <si>
    <t>levushkin_sergey@mail.ru</t>
  </si>
  <si>
    <t>5/3-13/312</t>
  </si>
  <si>
    <t>Солдатов Николай Юрьевич</t>
  </si>
  <si>
    <t>marinaereman328@gmail.com</t>
  </si>
  <si>
    <t>5/4-10/467</t>
  </si>
  <si>
    <t>Гафаров Искандер Нилович</t>
  </si>
  <si>
    <t>iskandergafaroff@gmail.com</t>
  </si>
  <si>
    <t>4/1-14/097</t>
  </si>
  <si>
    <t>Косырев Сергей Сергеевич</t>
  </si>
  <si>
    <t>bobrisheva@bk.ru</t>
  </si>
  <si>
    <t>5/2-07/155</t>
  </si>
  <si>
    <t>Саймукова Елена Владимировна</t>
  </si>
  <si>
    <t>kidkidkid15@mail.ru</t>
  </si>
  <si>
    <t>5/2-05/140</t>
  </si>
  <si>
    <t>Первый ДДУ дом 5</t>
  </si>
  <si>
    <t>5/4-06/429</t>
  </si>
  <si>
    <t>5/4-11/471</t>
  </si>
  <si>
    <t>Вострикова Виктория Олеговна</t>
  </si>
  <si>
    <t>Mamasik@list.ru</t>
  </si>
  <si>
    <t>5/4-04/417</t>
  </si>
  <si>
    <t>Карпова Наталья Викторовна</t>
  </si>
  <si>
    <t>nKarpova2008@yandex.ru</t>
  </si>
  <si>
    <t>5/1-05/031</t>
  </si>
  <si>
    <t>Фоменко Илья Владимирович</t>
  </si>
  <si>
    <t>foma-ilya@mail.ru</t>
  </si>
  <si>
    <t>5/4-02/399</t>
  </si>
  <si>
    <t>Ильдюганова Елена Александровна</t>
  </si>
  <si>
    <t>Ildyuganova.good@gmail.com</t>
  </si>
  <si>
    <t>4/3-09/291</t>
  </si>
  <si>
    <t>Герасимов Денис Викторович</t>
  </si>
  <si>
    <t>Skaael@mail.ru</t>
  </si>
  <si>
    <t>5/4-06/434</t>
  </si>
  <si>
    <t>Толмачев Дмитрий Валерьевич</t>
  </si>
  <si>
    <t>tolmachevdima22324@gmail.com</t>
  </si>
  <si>
    <t>5/3-13/308</t>
  </si>
  <si>
    <t>Емуранов Игорь Александрович</t>
  </si>
  <si>
    <t>idelieve3000@gmail.com</t>
  </si>
  <si>
    <t>5/1-01/001</t>
  </si>
  <si>
    <t>Гололобов Олег Валерьевич</t>
  </si>
  <si>
    <t>gololobov.15@mail.ru</t>
  </si>
  <si>
    <t>4/3-21/374</t>
  </si>
  <si>
    <t>Рязанцева Ксения Викторовна</t>
  </si>
  <si>
    <t>ryazantseva.99@gmail.com</t>
  </si>
  <si>
    <t>4/4-11/491</t>
  </si>
  <si>
    <t>Уколова Алина Валерьевна</t>
  </si>
  <si>
    <t>a.vyatleva@yandex.ru</t>
  </si>
  <si>
    <t>4/4-10/481</t>
  </si>
  <si>
    <t>Воробьев Дмитрий Александрович</t>
  </si>
  <si>
    <t>Skorpion.979@yandex.ru</t>
  </si>
  <si>
    <t>5/2-06/147</t>
  </si>
  <si>
    <t>Крепчук Сергей Николаевич</t>
  </si>
  <si>
    <t>krephuk@yandex.ru</t>
  </si>
  <si>
    <t>4/1-10/068</t>
  </si>
  <si>
    <t>Королева Карина Алексеевна</t>
  </si>
  <si>
    <t>k.koroleva1994@icloud.com</t>
  </si>
  <si>
    <t>5/1-06/037</t>
  </si>
  <si>
    <t>Буров, Кирилл Алексеевич</t>
  </si>
  <si>
    <t>burov.kirill2017@yandex.ru</t>
  </si>
  <si>
    <t>5/4-03/407</t>
  </si>
  <si>
    <t>Зубков Дмитрий Геннадьевич</t>
  </si>
  <si>
    <t>zubkovdg1967@mail.ru</t>
  </si>
  <si>
    <t>5/2-07/157</t>
  </si>
  <si>
    <t>Кроневальд Тамара Алексеевна</t>
  </si>
  <si>
    <t>adanadelina@yandex.ru</t>
  </si>
  <si>
    <t>5/2-03/129</t>
  </si>
  <si>
    <t>5/4-03/406</t>
  </si>
  <si>
    <t>Холюнова Дарья Владимировна</t>
  </si>
  <si>
    <t>dusiynchik@rambler.ru</t>
  </si>
  <si>
    <t>5/2-10/176</t>
  </si>
  <si>
    <t>5/3-08/275</t>
  </si>
  <si>
    <t>Егоров Максим Сергеевич</t>
  </si>
  <si>
    <t>5/4-02/397</t>
  </si>
  <si>
    <t>Лучинина Надежда Владимировна</t>
  </si>
  <si>
    <t>nlucinina630mail.com@mail.ru</t>
  </si>
  <si>
    <t>5/2-12/189</t>
  </si>
  <si>
    <t>Таганов Андрей Александрович</t>
  </si>
  <si>
    <t>bk_kb_@bk.ru</t>
  </si>
  <si>
    <t>5/4-04/413</t>
  </si>
  <si>
    <t>Земсков Александр Анатольевич</t>
  </si>
  <si>
    <t>aazemskov@yandex.ru</t>
  </si>
  <si>
    <t>5/1-03/016</t>
  </si>
  <si>
    <t>Идельбаева Алина Сайфитдиновна</t>
  </si>
  <si>
    <t>adelbush@yandex.ru</t>
  </si>
  <si>
    <t>5/1-01/005</t>
  </si>
  <si>
    <t>Вострышев Сергей Геннадьевич</t>
  </si>
  <si>
    <t>natalia.ismagilova.84@mail.ru</t>
  </si>
  <si>
    <t>5/4-13/485</t>
  </si>
  <si>
    <t>Волкова Елена Андреевна</t>
  </si>
  <si>
    <t>karpova.lenaa@yandex.ru</t>
  </si>
  <si>
    <t>5/2-04/133</t>
  </si>
  <si>
    <t>Хорунов Александр Николаевич</t>
  </si>
  <si>
    <t>Ankhor80@gmail.com</t>
  </si>
  <si>
    <t>5/3-01/224</t>
  </si>
  <si>
    <t>5/3-02/230</t>
  </si>
  <si>
    <t>Алимбекова Наталья Сергеевна</t>
  </si>
  <si>
    <t>nsshitova@yandex.ru</t>
  </si>
  <si>
    <t>5/2-01/113</t>
  </si>
  <si>
    <t>Половинкина Наталья Сергеевна</t>
  </si>
  <si>
    <t>niista@list.ru</t>
  </si>
  <si>
    <t>5/4-08/448</t>
  </si>
  <si>
    <t>Бутусова Полина Владимировна</t>
  </si>
  <si>
    <t>polinabutusova@yandex.ru</t>
  </si>
  <si>
    <t>5/3-03/237</t>
  </si>
  <si>
    <t>Александров Александр Александрович</t>
  </si>
  <si>
    <t>aleksandrov87x@mail.ru</t>
  </si>
  <si>
    <t>5/1-03/014</t>
  </si>
  <si>
    <t>Шеркунов Михаил Михайлович</t>
  </si>
  <si>
    <t>Metall.samara@mail.ru</t>
  </si>
  <si>
    <t>5/4-10/463</t>
  </si>
  <si>
    <t>Гукалова Валентина Николаевна</t>
  </si>
  <si>
    <t>a.gukalov@yandex.ru</t>
  </si>
  <si>
    <t>5/4-10/466</t>
  </si>
  <si>
    <t>Подольхова Ильмира Ильдусовна</t>
  </si>
  <si>
    <t>ilmiratv@list.ru</t>
  </si>
  <si>
    <t>5/2-04/136</t>
  </si>
  <si>
    <t>5/4-03/412</t>
  </si>
  <si>
    <t>Мирзоева Наргиза Насриддиновна</t>
  </si>
  <si>
    <t>mirzoeva_nargiza@inbox.ru</t>
  </si>
  <si>
    <t>5/4-01/392</t>
  </si>
  <si>
    <t>Савина Оксана Сергеевна</t>
  </si>
  <si>
    <t>waseliok@mail.ru</t>
  </si>
  <si>
    <t>5/4-04/418</t>
  </si>
  <si>
    <t>Гордиенко Александр Викторович</t>
  </si>
  <si>
    <t>isewgordi@mail.ru</t>
  </si>
  <si>
    <t>5/3-03/240</t>
  </si>
  <si>
    <t>Гордиенко Елена Олеговна</t>
  </si>
  <si>
    <t>5/4-15/508</t>
  </si>
  <si>
    <t>Бурнаева Алёна Викторовна</t>
  </si>
  <si>
    <t>burnaewa.al@yandex.ru</t>
  </si>
  <si>
    <t>5/2-04/137</t>
  </si>
  <si>
    <t>Галанина Ольга Сергеевна</t>
  </si>
  <si>
    <t>Helga2011gal@yandex.ru</t>
  </si>
  <si>
    <t>5/4-04/414</t>
  </si>
  <si>
    <t>Кузнецова Ирина Евгеньевна</t>
  </si>
  <si>
    <t>Levon08052014@mail.ru</t>
  </si>
  <si>
    <t>Полехович</t>
  </si>
  <si>
    <t>5/4-09/454</t>
  </si>
  <si>
    <t>5/3-01/228</t>
  </si>
  <si>
    <t>Подмарев Руслан Хафизович</t>
  </si>
  <si>
    <t>rus.podmarev@mail.ru</t>
  </si>
  <si>
    <t>5/4-23/565</t>
  </si>
  <si>
    <t>Шумилкина Елизавета Васильевна</t>
  </si>
  <si>
    <t>liza9713@mail.ru</t>
  </si>
  <si>
    <t>5/1-16/107</t>
  </si>
  <si>
    <t>5/3-16/332</t>
  </si>
  <si>
    <t>Савельев Евгений Вячеславович</t>
  </si>
  <si>
    <t>F-genii@rambler.ru</t>
  </si>
  <si>
    <t>4/1-12/086</t>
  </si>
  <si>
    <t>Альдебенев Михаил Леонидович</t>
  </si>
  <si>
    <t>mihailaldebenev35801@gmail.com</t>
  </si>
  <si>
    <t>5/1-10/063</t>
  </si>
  <si>
    <t>Ельмеев Тимофей Павлович</t>
  </si>
  <si>
    <t>Elmeev_88@mail.ru</t>
  </si>
  <si>
    <t>5/3-05/251</t>
  </si>
  <si>
    <t>Коротеева Евгения Олеговна</t>
  </si>
  <si>
    <t>koroteeva.ev@yandex.ru</t>
  </si>
  <si>
    <t>5/3-03/238</t>
  </si>
  <si>
    <t>Карев Владислав Вадимович</t>
  </si>
  <si>
    <t>vladKarev911@gmail.com</t>
  </si>
  <si>
    <t>4/3-24/397</t>
  </si>
  <si>
    <t>Валитова Надия Зинятулловна</t>
  </si>
  <si>
    <t>guzel.rahimova@mail.ru</t>
  </si>
  <si>
    <t>4/3-01/011</t>
  </si>
  <si>
    <t>Ступников Николай Валериевич</t>
  </si>
  <si>
    <t>rino20@yandex.ru</t>
  </si>
  <si>
    <t>КОД ОН</t>
  </si>
  <si>
    <t>АГК-001-А-01-001</t>
  </si>
  <si>
    <t>АГК-001-А-02-002</t>
  </si>
  <si>
    <t>АГК-001-А-03-003</t>
  </si>
  <si>
    <t>АГК-001-А-04-004</t>
  </si>
  <si>
    <t>АГК-001-А-05-005</t>
  </si>
  <si>
    <t>АГК-001-А-06-006</t>
  </si>
  <si>
    <t>АГК-001-Б-01-007</t>
  </si>
  <si>
    <t>АГК-001-Б-03-008</t>
  </si>
  <si>
    <t>АГК-002-А-01-001</t>
  </si>
  <si>
    <t>АГК-002-А-02-002</t>
  </si>
  <si>
    <t>АГК-002-А-03-003</t>
  </si>
  <si>
    <t>АГК-002-Б-01-004</t>
  </si>
  <si>
    <t>АГК-002-Б-02-005</t>
  </si>
  <si>
    <t>АГК-002-Б-03-006</t>
  </si>
  <si>
    <t>АГК-002-Б-04-007</t>
  </si>
  <si>
    <t>АГК-003-А-01-001</t>
  </si>
  <si>
    <t>АГК-003-А-02-002</t>
  </si>
  <si>
    <t>АГК-003-А-03-003</t>
  </si>
  <si>
    <t>АГК-003-А-04-004</t>
  </si>
  <si>
    <t>АГК-003-Б-01-005</t>
  </si>
  <si>
    <t>АГК-003-Б-02-006</t>
  </si>
  <si>
    <t>АГК-003-Б-03-007</t>
  </si>
  <si>
    <t>АГК-003-В-01-008</t>
  </si>
  <si>
    <t>АГК-003-В-02-009</t>
  </si>
  <si>
    <t>АГК-003-В-03-010</t>
  </si>
  <si>
    <t>АГК-003-Г-01-011</t>
  </si>
  <si>
    <t>АГК-003-Г-02-012</t>
  </si>
  <si>
    <t>АГК-003-Г-03-013</t>
  </si>
  <si>
    <t>АГК-003-Г-05-014</t>
  </si>
  <si>
    <t>АГК-003-Г-05-015</t>
  </si>
  <si>
    <t>АГК-003-Д-02-017</t>
  </si>
  <si>
    <t>АГК-003-Д-03-018</t>
  </si>
  <si>
    <t>АГК-003-Д-04-019</t>
  </si>
  <si>
    <t>АГК-003-Е-01-020</t>
  </si>
  <si>
    <t>АГК-003-Е-02-021</t>
  </si>
  <si>
    <t>АГК-003-Е-03-022</t>
  </si>
  <si>
    <t>АГК-004-А-01-001</t>
  </si>
  <si>
    <t>АГК-004-Б-02-006</t>
  </si>
  <si>
    <t>АГК-004-Б-03-007</t>
  </si>
  <si>
    <t>АГК-004-Б-04-008</t>
  </si>
  <si>
    <t>АГК-004-Б-05-009</t>
  </si>
  <si>
    <t>АГК-004-В-01-010</t>
  </si>
  <si>
    <t>АГК-004-Г-04-016</t>
  </si>
  <si>
    <t>АГК-004-Г-05-017</t>
  </si>
  <si>
    <t>АГ-005-А-01-01-001</t>
  </si>
  <si>
    <t>АГ-005-А-01-02-002</t>
  </si>
  <si>
    <t>АГ-005-А-01-03-003</t>
  </si>
  <si>
    <t>АГ-005-А-01-04-004</t>
  </si>
  <si>
    <t>АГ-005-А-01-05-005</t>
  </si>
  <si>
    <t>АГ-005-А-01-06-006</t>
  </si>
  <si>
    <t>АГ-005-А-02-01-007</t>
  </si>
  <si>
    <t>АГ-005-А-02-02-008</t>
  </si>
  <si>
    <t>АГ-005-А-02-03-009</t>
  </si>
  <si>
    <t>АГ-005-А-02-04-010</t>
  </si>
  <si>
    <t>АГ-005-А-02-05-011</t>
  </si>
  <si>
    <t>АГ-005-А-02-06-012</t>
  </si>
  <si>
    <t>АГ-005-А-02-07-013</t>
  </si>
  <si>
    <t>АГ-005-А-03-01-014</t>
  </si>
  <si>
    <t>АГ-005-А-03-02-015</t>
  </si>
  <si>
    <t>АГ-005-А-03-03-016</t>
  </si>
  <si>
    <t>АГ-005-А-03-04-017</t>
  </si>
  <si>
    <t>АГ-005-А-03-05-018</t>
  </si>
  <si>
    <t>АГ-005-А-03-06-019</t>
  </si>
  <si>
    <t>АГ-005-А-03-07-020</t>
  </si>
  <si>
    <t>АГ-005-А-04-01-021</t>
  </si>
  <si>
    <t>АГ-005-А-04-02-022</t>
  </si>
  <si>
    <t>АГ-005-А-04-03-023</t>
  </si>
  <si>
    <t>АГ-005-А-04-04-024</t>
  </si>
  <si>
    <t>АГ-005-А-04-05-025</t>
  </si>
  <si>
    <t>АГ-005-А-04-06-026</t>
  </si>
  <si>
    <t>АГ-005-А-04-07-027</t>
  </si>
  <si>
    <t>АГ-005-А-05-01-028</t>
  </si>
  <si>
    <t>АГ-005-А-05-02-029</t>
  </si>
  <si>
    <t>АГ-005-А-05-03-030</t>
  </si>
  <si>
    <t>АГ-005-А-05-04-031</t>
  </si>
  <si>
    <t>АГ-005-А-05-05-032</t>
  </si>
  <si>
    <t>АГ-005-А-05-06-033</t>
  </si>
  <si>
    <t>АГ-005-А-05-07-034</t>
  </si>
  <si>
    <t>АГ-005-А-06-01-035</t>
  </si>
  <si>
    <t>АГ-005-А-06-02-036</t>
  </si>
  <si>
    <t>АГ-005-А-06-03-037</t>
  </si>
  <si>
    <t>АГ-005-А-06-04-038</t>
  </si>
  <si>
    <t>АГ-005-А-06-05-039</t>
  </si>
  <si>
    <t>АГ-005-А-06-06-040</t>
  </si>
  <si>
    <t>АГ-005-А-06-07-041</t>
  </si>
  <si>
    <t>АГ-005-А-07-01-042</t>
  </si>
  <si>
    <t>АГ-005-А-07-02-043</t>
  </si>
  <si>
    <t>АГ-005-А-07-03-044</t>
  </si>
  <si>
    <t>АГ-005-А-07-04-045</t>
  </si>
  <si>
    <t>АГ-005-А-07-05-046</t>
  </si>
  <si>
    <t>АГ-005-А-07-06-047</t>
  </si>
  <si>
    <t>АГ-005-А-07-07-048</t>
  </si>
  <si>
    <t>АГ-005-А-08-01-049</t>
  </si>
  <si>
    <t>АГ-005-А-08-02-050</t>
  </si>
  <si>
    <t>АГ-005-А-08-03-051</t>
  </si>
  <si>
    <t>АГ-005-А-08-04-052</t>
  </si>
  <si>
    <t>АГ-005-А-08-05-053</t>
  </si>
  <si>
    <t>АГ-005-А-08-06-054</t>
  </si>
  <si>
    <t>АГ-005-А-08-07-055</t>
  </si>
  <si>
    <t>АГ-005-А-09-01-056</t>
  </si>
  <si>
    <t>АГ-005-А-09-02-057</t>
  </si>
  <si>
    <t>АГ-005-А-09-03-058</t>
  </si>
  <si>
    <t>АГ-005-А-09-04-059</t>
  </si>
  <si>
    <t>АГ-005-А-09-05-060</t>
  </si>
  <si>
    <t>АГ-005-А-09-06-061</t>
  </si>
  <si>
    <t>АГ-005-А-09-07-062</t>
  </si>
  <si>
    <t>АГ-005-А-10-01-063</t>
  </si>
  <si>
    <t>АГ-005-А-10-02-064</t>
  </si>
  <si>
    <t>АГ-005-А-10-03-065</t>
  </si>
  <si>
    <t>АГ-005-А-10-04-066</t>
  </si>
  <si>
    <t>АГ-005-А-10-05-067</t>
  </si>
  <si>
    <t>АГ-005-А-10-06-068</t>
  </si>
  <si>
    <t>АГ-005-А-10-07-069</t>
  </si>
  <si>
    <t>АГ-005-А-11-01-070</t>
  </si>
  <si>
    <t>АГ-005-А-11-02-071</t>
  </si>
  <si>
    <t>АГ-005-А-11-03-072</t>
  </si>
  <si>
    <t>АГ-005-А-11-04-073</t>
  </si>
  <si>
    <t>АГ-005-А-11-05-074</t>
  </si>
  <si>
    <t>АГ-005-А-11-06-075</t>
  </si>
  <si>
    <t>АГ-005-А-11-07-076</t>
  </si>
  <si>
    <t>АГ-005-А-12-01-077</t>
  </si>
  <si>
    <t>АГ-005-А-12-02-078</t>
  </si>
  <si>
    <t>АГ-005-А-12-03-079</t>
  </si>
  <si>
    <t>АГ-005-А-12-04-080</t>
  </si>
  <si>
    <t>АГ-005-А-12-05-081</t>
  </si>
  <si>
    <t>АГ-005-А-12-06-082</t>
  </si>
  <si>
    <t>АГ-005-А-12-07-083</t>
  </si>
  <si>
    <t>АГ-005-А-13-01-084</t>
  </si>
  <si>
    <t>АГ-005-А-13-02-085</t>
  </si>
  <si>
    <t>АГ-005-А-13-03-086</t>
  </si>
  <si>
    <t>АГ-005-А-13-04-087</t>
  </si>
  <si>
    <t>АГ-005-А-13-05-088</t>
  </si>
  <si>
    <t>АГ-005-А-13-06-089</t>
  </si>
  <si>
    <t>АГ-005-А-13-07-090</t>
  </si>
  <si>
    <t>АГ-005-А-14-01-091</t>
  </si>
  <si>
    <t>АГ-005-А-14-02-092</t>
  </si>
  <si>
    <t>АГ-005-А-14-03-093</t>
  </si>
  <si>
    <t>АГ-005-А-14-04-094</t>
  </si>
  <si>
    <t>АГ-005-А-14-05-095</t>
  </si>
  <si>
    <t>АГ-005-А-14-06-096</t>
  </si>
  <si>
    <t>АГ-005-А-14-07-097</t>
  </si>
  <si>
    <t>АГ-005-А-15-01-098</t>
  </si>
  <si>
    <t>АГ-005-А-15-02-099</t>
  </si>
  <si>
    <t>АГ-005-А-15-03-100</t>
  </si>
  <si>
    <t>АГ-005-А-15-04-101</t>
  </si>
  <si>
    <t>АГ-005-А-15-05-102</t>
  </si>
  <si>
    <t>АГ-005-А-15-06-103</t>
  </si>
  <si>
    <t>АГ-005-А-15-07-104</t>
  </si>
  <si>
    <t>АГ-005-А-16-01-105</t>
  </si>
  <si>
    <t>АГ-005-А-16-02-106</t>
  </si>
  <si>
    <t>АГ-005-А-16-03-107</t>
  </si>
  <si>
    <t>АГ-005-А-16-04-108</t>
  </si>
  <si>
    <t>АГ-005-А-16-05-109</t>
  </si>
  <si>
    <t>АГ-005-А-16-06-110</t>
  </si>
  <si>
    <t>АГ-005-А-16-07-111</t>
  </si>
  <si>
    <t>АГ-005-Б-01-01-112</t>
  </si>
  <si>
    <t>АГ-005-Б-01-02-113</t>
  </si>
  <si>
    <t>АГ-005-Б-01-03-114</t>
  </si>
  <si>
    <t>АГ-005-Б-01-04-115</t>
  </si>
  <si>
    <t>АГ-005-Б-01-05-116</t>
  </si>
  <si>
    <t>АГ-005-Б-01-06-117</t>
  </si>
  <si>
    <t>АГ-005-Б-02-01-118</t>
  </si>
  <si>
    <t>АГ-005-Б-02-02-119</t>
  </si>
  <si>
    <t>АГ-005-Б-02-03-120</t>
  </si>
  <si>
    <t>АГ-005-Б-02-04-121</t>
  </si>
  <si>
    <t>АГ-005-Б-02-05-122</t>
  </si>
  <si>
    <t>АГ-005-Б-02-06-123</t>
  </si>
  <si>
    <t>АГ-005-Б-02-07-124</t>
  </si>
  <si>
    <t>АГ-005-Б-03-01-125</t>
  </si>
  <si>
    <t>АГ-005-Б-03-02-126</t>
  </si>
  <si>
    <t>АГ-005-Б-03-03-127</t>
  </si>
  <si>
    <t>АГ-005-Б-03-04-128</t>
  </si>
  <si>
    <t>АГ-005-Б-03-05-129</t>
  </si>
  <si>
    <t>АГ-005-Б-03-06-130</t>
  </si>
  <si>
    <t>АГ-005-Б-03-07-131</t>
  </si>
  <si>
    <t>АГ-005-Б-04-01-132</t>
  </si>
  <si>
    <t>АГ-005-Б-04-02-133</t>
  </si>
  <si>
    <t>АГ-005-Б-04-03-134</t>
  </si>
  <si>
    <t>АГ-005-Б-04-04-135</t>
  </si>
  <si>
    <t>АГ-005-Б-04-05-136</t>
  </si>
  <si>
    <t>АГ-005-Б-04-06-137</t>
  </si>
  <si>
    <t>АГ-005-Б-04-07-138</t>
  </si>
  <si>
    <t>АГ-005-Б-05-01-139</t>
  </si>
  <si>
    <t>АГ-005-Б-05-02-140</t>
  </si>
  <si>
    <t>АГ-005-Б-05-03-141</t>
  </si>
  <si>
    <t>АГ-005-Б-05-04-142</t>
  </si>
  <si>
    <t>АГ-005-Б-05-05-143</t>
  </si>
  <si>
    <t>АГ-005-Б-05-06-144</t>
  </si>
  <si>
    <t>АГ-005-Б-05-07-145</t>
  </si>
  <si>
    <t>АГ-005-Б-06-01-146</t>
  </si>
  <si>
    <t>АГ-005-Б-06-02-147</t>
  </si>
  <si>
    <t>АГ-005-Б-06-03-148</t>
  </si>
  <si>
    <t>АГ-005-Б-06-04-149</t>
  </si>
  <si>
    <t>АГ-005-Б-06-05-150</t>
  </si>
  <si>
    <t>АГ-005-Б-06-06-151</t>
  </si>
  <si>
    <t>АГ-005-Б-06-07-152</t>
  </si>
  <si>
    <t>АГ-005-Б-07-01-153</t>
  </si>
  <si>
    <t>АГ-005-Б-07-02-154</t>
  </si>
  <si>
    <t>АГ-005-Б-07-03-155</t>
  </si>
  <si>
    <t>АГ-005-Б-07-04-156</t>
  </si>
  <si>
    <t>АГ-005-Б-07-05-157</t>
  </si>
  <si>
    <t>АГ-005-Б-07-06-158</t>
  </si>
  <si>
    <t>АГ-005-Б-07-07-159</t>
  </si>
  <si>
    <t>АГ-005-Б-08-01-160</t>
  </si>
  <si>
    <t>АГ-005-Б-08-02-161</t>
  </si>
  <si>
    <t>АГ-005-Б-08-03-162</t>
  </si>
  <si>
    <t>АГ-005-Б-08-04-163</t>
  </si>
  <si>
    <t>АГ-005-Б-08-05-164</t>
  </si>
  <si>
    <t>АГ-005-Б-08-06-165</t>
  </si>
  <si>
    <t>АГ-005-Б-08-07-166</t>
  </si>
  <si>
    <t>АГ-005-Б-09-01-167</t>
  </si>
  <si>
    <t>АГ-005-Б-09-02-168</t>
  </si>
  <si>
    <t>АГ-005-Б-09-03-169</t>
  </si>
  <si>
    <t>АГ-005-Б-09-04-170</t>
  </si>
  <si>
    <t>АГ-005-Б-09-05-171</t>
  </si>
  <si>
    <t>АГ-005-Б-09-06-172</t>
  </si>
  <si>
    <t>АГ-005-Б-09-07-173</t>
  </si>
  <si>
    <t>АГ-005-Б-10-01-174</t>
  </si>
  <si>
    <t>АГ-005-Б-10-02-175</t>
  </si>
  <si>
    <t>АГ-005-Б-10-03-176</t>
  </si>
  <si>
    <t>АГ-005-Б-10-04-177</t>
  </si>
  <si>
    <t>АГ-005-Б-10-05-178</t>
  </si>
  <si>
    <t>АГ-005-Б-10-06-179</t>
  </si>
  <si>
    <t>АГ-005-Б-10-07-180</t>
  </si>
  <si>
    <t>АГ-005-Б-11-01-181</t>
  </si>
  <si>
    <t>АГ-005-Б-11-02-182</t>
  </si>
  <si>
    <t>АГ-005-Б-11-03-183</t>
  </si>
  <si>
    <t>АГ-005-Б-11-04-184</t>
  </si>
  <si>
    <t>АГ-005-Б-11-05-185</t>
  </si>
  <si>
    <t>АГ-005-Б-11-06-186</t>
  </si>
  <si>
    <t>АГ-005-Б-11-07-187</t>
  </si>
  <si>
    <t>АГ-005-Б-12-01-188</t>
  </si>
  <si>
    <t>АГ-005-Б-12-02-189</t>
  </si>
  <si>
    <t>АГ-005-Б-12-03-190</t>
  </si>
  <si>
    <t>АГ-005-Б-12-04-191</t>
  </si>
  <si>
    <t>АГ-005-Б-12-05-192</t>
  </si>
  <si>
    <t>АГ-005-Б-12-06-193</t>
  </si>
  <si>
    <t>АГ-005-Б-12-07-194</t>
  </si>
  <si>
    <t>АГ-005-Б-13-01-195</t>
  </si>
  <si>
    <t>АГ-005-Б-13-02-196</t>
  </si>
  <si>
    <t>АГ-005-Б-13-03-197</t>
  </si>
  <si>
    <t>АГ-005-Б-13-04-198</t>
  </si>
  <si>
    <t>АГ-005-Б-13-05-199</t>
  </si>
  <si>
    <t>АГ-005-Б-13-06-200</t>
  </si>
  <si>
    <t>АГ-005-Б-13-07-201</t>
  </si>
  <si>
    <t>АГ-005-Б-14-01-202</t>
  </si>
  <si>
    <t>АГ-005-Б-14-02-203</t>
  </si>
  <si>
    <t>АГ-005-Б-14-03-204</t>
  </si>
  <si>
    <t>АГ-005-Б-14-04-205</t>
  </si>
  <si>
    <t>АГ-005-Б-14-05-206</t>
  </si>
  <si>
    <t>АГ-005-Б-14-06-207</t>
  </si>
  <si>
    <t>АГ-005-Б-14-07-208</t>
  </si>
  <si>
    <t>АГ-005-Б-15-01-209</t>
  </si>
  <si>
    <t>АГ-005-Б-15-02-210</t>
  </si>
  <si>
    <t>АГ-005-Б-15-03-211</t>
  </si>
  <si>
    <t>АГ-005-Б-15-04-212</t>
  </si>
  <si>
    <t>АГ-005-Б-15-05-213</t>
  </si>
  <si>
    <t>АГ-005-Б-15-06-214</t>
  </si>
  <si>
    <t>АГ-005-Б-15-07-215</t>
  </si>
  <si>
    <t>АГ-005-Б-16-01-216</t>
  </si>
  <si>
    <t>АГ-005-Б-16-02-217</t>
  </si>
  <si>
    <t>АГ-005-Б-16-03-218</t>
  </si>
  <si>
    <t>АГ-005-Б-16-04-219</t>
  </si>
  <si>
    <t>АГ-005-Б-16-05-220</t>
  </si>
  <si>
    <t>АГ-005-Б-16-06-221</t>
  </si>
  <si>
    <t>АГ-005-Б-16-07-222</t>
  </si>
  <si>
    <t>АГ-005-В-01-01-223</t>
  </si>
  <si>
    <t>АГ-005-В-01-02-224</t>
  </si>
  <si>
    <t>АГ-005-В-01-03-225</t>
  </si>
  <si>
    <t>АГ-005-В-01-04-226</t>
  </si>
  <si>
    <t>АГ-005-В-01-05-227</t>
  </si>
  <si>
    <t>АГ-005-В-01-06-228</t>
  </si>
  <si>
    <t>АГ-005-В-02-01-229</t>
  </si>
  <si>
    <t>АГ-005-В-02-02-230</t>
  </si>
  <si>
    <t>АГ-005-В-02-03-231</t>
  </si>
  <si>
    <t>АГ-005-В-02-04-232</t>
  </si>
  <si>
    <t>АГ-005-В-02-05-233</t>
  </si>
  <si>
    <t>АГ-005-В-02-06-234</t>
  </si>
  <si>
    <t>АГ-005-В-02-07-235</t>
  </si>
  <si>
    <t>АГ-005-В-03-01-236</t>
  </si>
  <si>
    <t>АГ-005-В-03-02-237</t>
  </si>
  <si>
    <t>АГ-005-В-03-03-238</t>
  </si>
  <si>
    <t>АГ-005-В-03-04-239</t>
  </si>
  <si>
    <t>АГ-005-В-03-05-240</t>
  </si>
  <si>
    <t>АГ-005-В-03-06-241</t>
  </si>
  <si>
    <t>АГ-005-В-03-07-242</t>
  </si>
  <si>
    <t>АГ-005-В-04-01-243</t>
  </si>
  <si>
    <t>АГ-005-В-04-02-244</t>
  </si>
  <si>
    <t>АГ-005-В-04-03-245</t>
  </si>
  <si>
    <t>АГ-005-В-04-04-246</t>
  </si>
  <si>
    <t>АГ-005-В-04-05-247</t>
  </si>
  <si>
    <t>АГ-005-В-04-06-248</t>
  </si>
  <si>
    <t>АГ-005-В-04-07-249</t>
  </si>
  <si>
    <t>АГ-005-В-05-01-250</t>
  </si>
  <si>
    <t>АГ-005-В-05-02-251</t>
  </si>
  <si>
    <t>АГ-005-В-05-03-252</t>
  </si>
  <si>
    <t>АГ-005-В-05-04-253</t>
  </si>
  <si>
    <t>АГ-005-В-05-05-254</t>
  </si>
  <si>
    <t>АГ-005-В-05-06-255</t>
  </si>
  <si>
    <t>АГ-005-В-05-07-256</t>
  </si>
  <si>
    <t>АГ-005-В-06-01-257</t>
  </si>
  <si>
    <t>АГ-005-В-06-02-258</t>
  </si>
  <si>
    <t>АГ-005-В-06-03-259</t>
  </si>
  <si>
    <t>АГ-005-В-06-04-260</t>
  </si>
  <si>
    <t>АГ-005-В-06-05-261</t>
  </si>
  <si>
    <t>АГ-005-В-06-06-262</t>
  </si>
  <si>
    <t>АГ-005-В-06-07-263</t>
  </si>
  <si>
    <t>АГ-005-В-07-01-264</t>
  </si>
  <si>
    <t>АГ-005-В-07-02-265</t>
  </si>
  <si>
    <t>АГ-005-В-07-03-266</t>
  </si>
  <si>
    <t>АГ-005-В-07-04-267</t>
  </si>
  <si>
    <t>АГ-005-В-07-05-268</t>
  </si>
  <si>
    <t>АГ-005-В-07-06-269</t>
  </si>
  <si>
    <t>АГ-005-В-07-07-270</t>
  </si>
  <si>
    <t>АГ-005-В-08-01-271</t>
  </si>
  <si>
    <t>АГ-005-В-08-02-272</t>
  </si>
  <si>
    <t>АГ-005-В-08-03-273</t>
  </si>
  <si>
    <t>АГ-005-В-08-04-274</t>
  </si>
  <si>
    <t>АГ-005-В-08-05-275</t>
  </si>
  <si>
    <t>АГ-005-В-08-06-276</t>
  </si>
  <si>
    <t>АГ-005-В-08-07-277</t>
  </si>
  <si>
    <t>АГ-005-В-09-01-278</t>
  </si>
  <si>
    <t>АГ-005-В-09-02-279</t>
  </si>
  <si>
    <t>АГ-005-В-09-03-280</t>
  </si>
  <si>
    <t>АГ-005-В-09-04-281</t>
  </si>
  <si>
    <t>АГ-005-В-09-05-282</t>
  </si>
  <si>
    <t>АГ-005-В-09-06-283</t>
  </si>
  <si>
    <t>АГ-005-В-09-07-284</t>
  </si>
  <si>
    <t>АГ-005-В-10-01-285</t>
  </si>
  <si>
    <t>АГ-005-В-10-02-286</t>
  </si>
  <si>
    <t>АГ-005-В-10-03-287</t>
  </si>
  <si>
    <t>АГ-005-В-10-04-288</t>
  </si>
  <si>
    <t>АГ-005-В-10-05-289</t>
  </si>
  <si>
    <t>АГ-005-В-10-06-290</t>
  </si>
  <si>
    <t>АГ-005-В-10-07-291</t>
  </si>
  <si>
    <t>АГ-005-В-11-01-292</t>
  </si>
  <si>
    <t>АГ-005-В-11-02-293</t>
  </si>
  <si>
    <t>АГ-005-В-11-03-294</t>
  </si>
  <si>
    <t>АГ-005-В-11-04-295</t>
  </si>
  <si>
    <t>АГ-005-В-11-05-296</t>
  </si>
  <si>
    <t>АГ-005-В-11-06-297</t>
  </si>
  <si>
    <t>АГ-005-В-11-07-298</t>
  </si>
  <si>
    <t>АГ-005-В-12-01-299</t>
  </si>
  <si>
    <t>АГ-005-В-12-02-300</t>
  </si>
  <si>
    <t>АГ-005-В-12-03-301</t>
  </si>
  <si>
    <t>АГ-005-В-12-04-302</t>
  </si>
  <si>
    <t>АГ-005-В-12-05-303</t>
  </si>
  <si>
    <t>АГ-005-В-12-06-304</t>
  </si>
  <si>
    <t>АГ-005-В-12-07-305</t>
  </si>
  <si>
    <t>АГ-005-В-13-01-306</t>
  </si>
  <si>
    <t>АГ-005-В-13-02-307</t>
  </si>
  <si>
    <t>АГ-005-В-13-03-308</t>
  </si>
  <si>
    <t>АГ-005-В-13-04-309</t>
  </si>
  <si>
    <t>АГ-005-В-13-05-310</t>
  </si>
  <si>
    <t>АГ-005-В-13-06-311</t>
  </si>
  <si>
    <t>АГ-005-В-13-07-312</t>
  </si>
  <si>
    <t>АГ-005-В-14-01-313</t>
  </si>
  <si>
    <t>АГ-005-В-14-02-314</t>
  </si>
  <si>
    <t>АГ-005-В-14-03-315</t>
  </si>
  <si>
    <t>АГ-005-В-14-04-316</t>
  </si>
  <si>
    <t>АГ-005-В-14-05-317</t>
  </si>
  <si>
    <t>АГ-005-В-14-06-318</t>
  </si>
  <si>
    <t>АГ-005-В-14-07-319</t>
  </si>
  <si>
    <t>АГ-005-В-15-01-320</t>
  </si>
  <si>
    <t>АГ-005-В-15-02-321</t>
  </si>
  <si>
    <t>АГ-005-В-15-03-322</t>
  </si>
  <si>
    <t>АГ-005-В-15-04-323</t>
  </si>
  <si>
    <t>АГ-005-В-15-05-324</t>
  </si>
  <si>
    <t>АГ-005-В-15-06-325</t>
  </si>
  <si>
    <t>АГ-005-В-15-07-326</t>
  </si>
  <si>
    <t>АГ-005-В-16-01-327</t>
  </si>
  <si>
    <t>АГ-005-В-16-02-328</t>
  </si>
  <si>
    <t>АГ-005-В-16-03-329</t>
  </si>
  <si>
    <t>АГ-005-В-16-04-330</t>
  </si>
  <si>
    <t>АГ-005-В-16-05-331</t>
  </si>
  <si>
    <t>АГ-005-В-16-06-332</t>
  </si>
  <si>
    <t>АГ-005-В-16-07-333</t>
  </si>
  <si>
    <t>АГ-005-В-17-01-334</t>
  </si>
  <si>
    <t>АГ-005-В-17-02-335</t>
  </si>
  <si>
    <t>АГ-005-В-17-03-336</t>
  </si>
  <si>
    <t>АГ-005-В-17-04-337</t>
  </si>
  <si>
    <t>АГ-005-В-17-05-338</t>
  </si>
  <si>
    <t>АГ-005-В-17-06-339</t>
  </si>
  <si>
    <t>АГ-005-В-17-07-340</t>
  </si>
  <si>
    <t>АГ-005-В-18-01-341</t>
  </si>
  <si>
    <t>АГ-005-В-18-02-342</t>
  </si>
  <si>
    <t>АГ-005-В-18-03-343</t>
  </si>
  <si>
    <t>АГ-005-В-18-04-344</t>
  </si>
  <si>
    <t>АГ-005-В-18-05-345</t>
  </si>
  <si>
    <t>АГ-005-В-18-06-346</t>
  </si>
  <si>
    <t>АГ-005-В-18-07-347</t>
  </si>
  <si>
    <t>АГ-005-В-19-01-348</t>
  </si>
  <si>
    <t>АГ-005-В-19-02-349</t>
  </si>
  <si>
    <t>АГ-005-В-19-03-350</t>
  </si>
  <si>
    <t>АГ-005-В-19-04-351</t>
  </si>
  <si>
    <t>АГ-005-В-19-05-352</t>
  </si>
  <si>
    <t>АГ-005-В-19-06-353</t>
  </si>
  <si>
    <t>АГ-005-В-19-07-354</t>
  </si>
  <si>
    <t>АГ-005-В-20-01-355</t>
  </si>
  <si>
    <t>АГ-005-В-20-02-356</t>
  </si>
  <si>
    <t>АГ-005-В-20-03-357</t>
  </si>
  <si>
    <t>АГ-005-В-20-04-358</t>
  </si>
  <si>
    <t>АГ-005-В-20-05-359</t>
  </si>
  <si>
    <t>АГ-005-В-20-06-360</t>
  </si>
  <si>
    <t>АГ-005-В-20-07-361</t>
  </si>
  <si>
    <t>АГ-005-В-21-01-362</t>
  </si>
  <si>
    <t>АГ-005-В-21-02-363</t>
  </si>
  <si>
    <t>АГ-005-В-21-03-364</t>
  </si>
  <si>
    <t>АГ-005-В-21-04-365</t>
  </si>
  <si>
    <t>АГ-005-В-21-05-366</t>
  </si>
  <si>
    <t>АГ-005-В-21-06-367</t>
  </si>
  <si>
    <t>АГ-005-В-21-07-368</t>
  </si>
  <si>
    <t>АГ-005-В-22-01-369</t>
  </si>
  <si>
    <t>АГ-005-В-22-02-370</t>
  </si>
  <si>
    <t>АГ-005-В-22-03-371</t>
  </si>
  <si>
    <t>АГ-005-В-22-04-372</t>
  </si>
  <si>
    <t>АГ-005-В-22-05-373</t>
  </si>
  <si>
    <t>АГ-005-В-22-06-374</t>
  </si>
  <si>
    <t>АГ-005-В-22-07-375</t>
  </si>
  <si>
    <t>АГ-005-В-23-01-376</t>
  </si>
  <si>
    <t>АГ-005-В-23-02-377</t>
  </si>
  <si>
    <t>АГ-005-В-23-03-378</t>
  </si>
  <si>
    <t>АГ-005-В-23-04-379</t>
  </si>
  <si>
    <t>АГ-005-В-23-05-380</t>
  </si>
  <si>
    <t>АГ-005-В-23-06-381</t>
  </si>
  <si>
    <t>АГ-005-В-23-07-382</t>
  </si>
  <si>
    <t>АГ-005-В-24-01-383</t>
  </si>
  <si>
    <t>АГ-005-В-24-02-384</t>
  </si>
  <si>
    <t>АГ-005-В-24-03-385</t>
  </si>
  <si>
    <t>АГ-005-В-24-04-386</t>
  </si>
  <si>
    <t>АГ-005-В-24-05-387</t>
  </si>
  <si>
    <t>АГ-005-В-24-06-388</t>
  </si>
  <si>
    <t>АГ-005-В-24-07-389</t>
  </si>
  <si>
    <t>АГ-005-Г-01-01-390</t>
  </si>
  <si>
    <t>АГ-005-Г-01-02-391</t>
  </si>
  <si>
    <t>АГ-005-Г-01-03-392</t>
  </si>
  <si>
    <t>АГ-005-Г-01-04-393</t>
  </si>
  <si>
    <t>АГ-005-Г-01-05-394</t>
  </si>
  <si>
    <t>АГ-005-Г-01-06-395</t>
  </si>
  <si>
    <t>АГ-005-Г-01-07-396</t>
  </si>
  <si>
    <t>АГ-005-Г-02-01-397</t>
  </si>
  <si>
    <t>АГ-005-Г-02-02-398</t>
  </si>
  <si>
    <t>АГ-005-Г-02-03-399</t>
  </si>
  <si>
    <t>АГ-005-Г-02-04-400</t>
  </si>
  <si>
    <t>АГ-005-Г-02-05-401</t>
  </si>
  <si>
    <t>АГ-005-Г-02-06-402</t>
  </si>
  <si>
    <t>АГ-005-Г-02-07-403</t>
  </si>
  <si>
    <t>АГ-005-Г-02-08-404</t>
  </si>
  <si>
    <t>АГ-005-Г-03-01-405</t>
  </si>
  <si>
    <t>АГ-005-Г-03-02-406</t>
  </si>
  <si>
    <t>АГ-005-Г-03-03-407</t>
  </si>
  <si>
    <t>АГ-005-Г-03-04-408</t>
  </si>
  <si>
    <t>АГ-005-Г-03-05-409</t>
  </si>
  <si>
    <t>АГ-005-Г-03-06-410</t>
  </si>
  <si>
    <t>АГ-005-Г-03-07-411</t>
  </si>
  <si>
    <t>АГ-005-Г-03-08-412</t>
  </si>
  <si>
    <t>АГ-005-Г-04-01-413</t>
  </si>
  <si>
    <t>АГ-005-Г-04-02-414</t>
  </si>
  <si>
    <t>АГ-005-Г-04-03-415</t>
  </si>
  <si>
    <t>АГ-005-Г-04-04-416</t>
  </si>
  <si>
    <t>АГ-005-Г-04-05-417</t>
  </si>
  <si>
    <t>АГ-005-Г-04-06-418</t>
  </si>
  <si>
    <t>АГ-005-Г-04-07-419</t>
  </si>
  <si>
    <t>АГ-005-Г-04-08-420</t>
  </si>
  <si>
    <t>АГ-005-Г-05-01-421</t>
  </si>
  <si>
    <t>АГ-005-Г-05-02-422</t>
  </si>
  <si>
    <t>АГ-005-Г-05-03-423</t>
  </si>
  <si>
    <t>АГ-005-Г-05-04-424</t>
  </si>
  <si>
    <t>АГ-005-Г-05-05-425</t>
  </si>
  <si>
    <t>АГ-005-Г-05-06-426</t>
  </si>
  <si>
    <t>АГ-005-Г-05-07-427</t>
  </si>
  <si>
    <t>АГ-005-Г-05-08-428</t>
  </si>
  <si>
    <t>АГ-005-Г-06-01-429</t>
  </si>
  <si>
    <t>АГ-005-Г-06-02-430</t>
  </si>
  <si>
    <t>АГ-005-Г-06-03-431</t>
  </si>
  <si>
    <t>АГ-005-Г-06-04-432</t>
  </si>
  <si>
    <t>АГ-005-Г-06-05-433</t>
  </si>
  <si>
    <t>АГ-005-Г-06-06-434</t>
  </si>
  <si>
    <t>АГ-005-Г-06-07-435</t>
  </si>
  <si>
    <t>АГ-005-Г-06-08-436</t>
  </si>
  <si>
    <t>АГ-005-Г-07-01-437</t>
  </si>
  <si>
    <t>АГ-005-Г-07-02-438</t>
  </si>
  <si>
    <t>АГ-005-Г-07-03-439</t>
  </si>
  <si>
    <t>АГ-005-Г-07-04-440</t>
  </si>
  <si>
    <t>АГ-005-Г-07-05-441</t>
  </si>
  <si>
    <t>АГ-005-Г-07-06-442</t>
  </si>
  <si>
    <t>АГ-005-Г-07-07-443</t>
  </si>
  <si>
    <t>АГ-005-Г-07-08-444</t>
  </si>
  <si>
    <t>АГ-005-Г-08-01-445</t>
  </si>
  <si>
    <t>АГ-005-Г-08-02-446</t>
  </si>
  <si>
    <t>АГ-005-Г-08-03-447</t>
  </si>
  <si>
    <t>АГ-005-Г-08-04-448</t>
  </si>
  <si>
    <t>АГ-005-Г-08-05-449</t>
  </si>
  <si>
    <t>АГ-005-Г-08-06-450</t>
  </si>
  <si>
    <t>АГ-005-Г-08-07-451</t>
  </si>
  <si>
    <t>АГ-005-Г-08-08-452</t>
  </si>
  <si>
    <t>АГ-005-Г-09-01-453</t>
  </si>
  <si>
    <t>АГ-005-Г-09-02-454</t>
  </si>
  <si>
    <t>АГ-005-Г-09-03-455</t>
  </si>
  <si>
    <t>АГ-005-Г-09-04-456</t>
  </si>
  <si>
    <t>АГ-005-Г-09-05-457</t>
  </si>
  <si>
    <t>АГ-005-Г-09-06-458</t>
  </si>
  <si>
    <t>АГ-005-Г-09-07-459</t>
  </si>
  <si>
    <t>АГ-005-Г-09-08-460</t>
  </si>
  <si>
    <t>АГ-005-Г-10-01-461</t>
  </si>
  <si>
    <t>АГ-005-Г-10-02-462</t>
  </si>
  <si>
    <t>АГ-005-Г-10-03-463</t>
  </si>
  <si>
    <t>АГ-005-Г-10-04-464</t>
  </si>
  <si>
    <t>АГ-005-Г-10-05-465</t>
  </si>
  <si>
    <t>АГ-005-Г-10-06-466</t>
  </si>
  <si>
    <t>АГ-005-Г-10-07-467</t>
  </si>
  <si>
    <t>АГ-005-Г-10-08-468</t>
  </si>
  <si>
    <t>АГ-005-Г-11-01-469</t>
  </si>
  <si>
    <t>АГ-005-Г-11-02-470</t>
  </si>
  <si>
    <t>АГ-005-Г-11-03-471</t>
  </si>
  <si>
    <t>АГ-005-Г-11-04-472</t>
  </si>
  <si>
    <t>АГ-005-Г-11-05-473</t>
  </si>
  <si>
    <t>АГ-005-Г-11-06-474</t>
  </si>
  <si>
    <t>АГ-005-Г-11-07-475</t>
  </si>
  <si>
    <t>АГ-005-Г-11-08-476</t>
  </si>
  <si>
    <t>АГ-005-Г-12-01-477</t>
  </si>
  <si>
    <t>АГ-005-Г-12-02-478</t>
  </si>
  <si>
    <t>АГ-005-Г-12-03-479</t>
  </si>
  <si>
    <t>АГ-005-Г-12-04-480</t>
  </si>
  <si>
    <t>АГ-005-Г-12-05-481</t>
  </si>
  <si>
    <t>АГ-005-Г-12-06-482</t>
  </si>
  <si>
    <t>АГ-005-Г-12-07-483</t>
  </si>
  <si>
    <t>АГ-005-Г-12-08-484</t>
  </si>
  <si>
    <t>АГ-005-Г-13-01-485</t>
  </si>
  <si>
    <t>АГ-005-Г-13-02-486</t>
  </si>
  <si>
    <t>АГ-005-Г-13-03-487</t>
  </si>
  <si>
    <t>АГ-005-Г-13-04-488</t>
  </si>
  <si>
    <t>АГ-005-Г-13-05-489</t>
  </si>
  <si>
    <t>АГ-005-Г-13-06-490</t>
  </si>
  <si>
    <t>АГ-005-Г-13-07-491</t>
  </si>
  <si>
    <t>АГ-005-Г-13-08-492</t>
  </si>
  <si>
    <t>АГ-005-Г-14-01-493</t>
  </si>
  <si>
    <t>АГ-005-Г-14-02-494</t>
  </si>
  <si>
    <t>АГ-005-Г-14-03-495</t>
  </si>
  <si>
    <t>АГ-005-Г-14-04-496</t>
  </si>
  <si>
    <t>АГ-005-Г-14-05-497</t>
  </si>
  <si>
    <t>АГ-005-Г-14-06-498</t>
  </si>
  <si>
    <t>АГ-005-Г-14-07-499</t>
  </si>
  <si>
    <t>АГ-005-Г-14-08-500</t>
  </si>
  <si>
    <t>АГ-005-Г-15-01-501</t>
  </si>
  <si>
    <t>АГ-005-Г-15-02-502</t>
  </si>
  <si>
    <t>АГ-005-Г-15-03-503</t>
  </si>
  <si>
    <t>АГ-005-Г-15-04-504</t>
  </si>
  <si>
    <t>АГ-005-Г-15-05-505</t>
  </si>
  <si>
    <t>АГ-005-Г-15-06-506</t>
  </si>
  <si>
    <t>АГ-005-Г-15-07-507</t>
  </si>
  <si>
    <t>АГ-005-Г-15-08-508</t>
  </si>
  <si>
    <t>АГ-005-Г-16-01-509</t>
  </si>
  <si>
    <t>АГ-005-Г-16-02-510</t>
  </si>
  <si>
    <t>АГ-005-Г-16-03-511</t>
  </si>
  <si>
    <t>АГ-005-Г-16-04-512</t>
  </si>
  <si>
    <t>АГ-005-Г-16-05-513</t>
  </si>
  <si>
    <t>АГ-005-Г-16-06-514</t>
  </si>
  <si>
    <t>АГ-005-Г-16-07-515</t>
  </si>
  <si>
    <t>АГ-005-Г-16-08-516</t>
  </si>
  <si>
    <t>АГ-005-Г-17-01-517</t>
  </si>
  <si>
    <t>АГ-005-Г-17-02-518</t>
  </si>
  <si>
    <t>АГ-005-Г-17-03-519</t>
  </si>
  <si>
    <t>АГ-005-Г-17-04-520</t>
  </si>
  <si>
    <t>АГ-005-Г-17-05-521</t>
  </si>
  <si>
    <t>АГ-005-Г-17-06-522</t>
  </si>
  <si>
    <t>АГ-005-Г-17-07-523</t>
  </si>
  <si>
    <t>АГ-005-Г-17-08-524</t>
  </si>
  <si>
    <t>АГ-005-Г-18-01-525</t>
  </si>
  <si>
    <t>АГ-005-Г-18-02-526</t>
  </si>
  <si>
    <t>АГ-005-Г-18-03-527</t>
  </si>
  <si>
    <t>АГ-005-Г-18-04-528</t>
  </si>
  <si>
    <t>АГ-005-Г-18-05-529</t>
  </si>
  <si>
    <t>АГ-005-Г-18-06-530</t>
  </si>
  <si>
    <t>АГ-005-Г-18-07-531</t>
  </si>
  <si>
    <t>АГ-005-Г-18-08-532</t>
  </si>
  <si>
    <t>АГ-005-Г-19-01-533</t>
  </si>
  <si>
    <t>АГ-005-Г-19-02-534</t>
  </si>
  <si>
    <t>АГ-005-Г-19-03-535</t>
  </si>
  <si>
    <t>АГ-005-Г-19-04-536</t>
  </si>
  <si>
    <t>АГ-005-Г-19-05-537</t>
  </si>
  <si>
    <t>АГ-005-Г-19-06-538</t>
  </si>
  <si>
    <t>АГ-005-Г-19-07-539</t>
  </si>
  <si>
    <t>АГ-005-Г-19-08-540</t>
  </si>
  <si>
    <t>АГ-005-Г-20-01-541</t>
  </si>
  <si>
    <t>АГ-005-Г-20-02-542</t>
  </si>
  <si>
    <t>АГ-005-Г-20-03-543</t>
  </si>
  <si>
    <t>АГ-005-Г-20-04-544</t>
  </si>
  <si>
    <t>АГ-005-Г-20-05-545</t>
  </si>
  <si>
    <t>АГ-005-Г-20-06-546</t>
  </si>
  <si>
    <t>АГ-005-Г-20-07-547</t>
  </si>
  <si>
    <t>АГ-005-Г-20-08-548</t>
  </si>
  <si>
    <t>АГ-005-Г-21-01-549</t>
  </si>
  <si>
    <t>АГ-005-Г-21-02-550</t>
  </si>
  <si>
    <t>АГ-005-Г-21-03-551</t>
  </si>
  <si>
    <t>АГ-005-Г-21-04-552</t>
  </si>
  <si>
    <t>АГ-005-Г-21-05-553</t>
  </si>
  <si>
    <t>АГ-005-Г-21-06-554</t>
  </si>
  <si>
    <t>АГ-005-Г-21-07-555</t>
  </si>
  <si>
    <t>АГ-005-Г-21-08-556</t>
  </si>
  <si>
    <t>АГ-005-Г-22-01-557</t>
  </si>
  <si>
    <t>АГ-005-Г-22-02-558</t>
  </si>
  <si>
    <t>АГ-005-Г-22-03-559</t>
  </si>
  <si>
    <t>АГ-005-Г-22-04-560</t>
  </si>
  <si>
    <t>АГ-005-Г-22-05-561</t>
  </si>
  <si>
    <t>АГ-005-Г-22-06-562</t>
  </si>
  <si>
    <t>АГ-005-Г-22-07-563</t>
  </si>
  <si>
    <t>АГ-005-Г-22-08-564</t>
  </si>
  <si>
    <t>АГ-005-Г-23-01-565</t>
  </si>
  <si>
    <t>АГ-005-Г-23-02-566</t>
  </si>
  <si>
    <t>АГ-005-Г-23-03-567</t>
  </si>
  <si>
    <t>АГ-005-Г-23-04-568</t>
  </si>
  <si>
    <t>АГ-005-Г-23-05-569</t>
  </si>
  <si>
    <t>АГ-005-Г-23-06-570</t>
  </si>
  <si>
    <t>АГ-005-Г-23-07-571</t>
  </si>
  <si>
    <t>АГ-005-Г-23-08-572</t>
  </si>
  <si>
    <t>АГ-005-Г-24-01-573</t>
  </si>
  <si>
    <t>АГ-005-Г-24-02-574</t>
  </si>
  <si>
    <t>АГ-005-Г-24-03-575</t>
  </si>
  <si>
    <t>АГ-005-Г-24-04-576</t>
  </si>
  <si>
    <t>АГ-005-Г-24-05-577</t>
  </si>
  <si>
    <t>АГ-005-Г-24-06-578</t>
  </si>
  <si>
    <t>АГ-005-Г-24-07-579</t>
  </si>
  <si>
    <t>АГ-005-Г-24-08-580</t>
  </si>
  <si>
    <t>АГ-004-А-02-01-001</t>
  </si>
  <si>
    <t>АГ-004-А-02-02-002</t>
  </si>
  <si>
    <t>АГ-004-А-02-03-003</t>
  </si>
  <si>
    <t>АГ-004-А-02-04-004</t>
  </si>
  <si>
    <t>АГ-004-А-02-05-005</t>
  </si>
  <si>
    <t>АГ-004-А-02-06-006</t>
  </si>
  <si>
    <t>АГ-004-А-02-07-007</t>
  </si>
  <si>
    <t>АГ-004-А-02-08-008</t>
  </si>
  <si>
    <t>АГ-004-А-03-01-009</t>
  </si>
  <si>
    <t>АГ-004-А-03-02-010</t>
  </si>
  <si>
    <t>АГ-004-А-03-03-011</t>
  </si>
  <si>
    <t>АГ-004-А-03-04-012</t>
  </si>
  <si>
    <t>АГ-004-А-03-05-013</t>
  </si>
  <si>
    <t>АГ-004-А-03-06-014</t>
  </si>
  <si>
    <t>АГ-004-А-03-07-015</t>
  </si>
  <si>
    <t>АГ-004-А-03-08-016</t>
  </si>
  <si>
    <t>АГ-004-А-04-01-017</t>
  </si>
  <si>
    <t>АГ-004-А-04-02-018</t>
  </si>
  <si>
    <t>АГ-004-А-04-03-019</t>
  </si>
  <si>
    <t>АГ-004-А-04-04-020</t>
  </si>
  <si>
    <t>АГ-004-А-04-05-021</t>
  </si>
  <si>
    <t>АГ-004-А-04-06-022</t>
  </si>
  <si>
    <t>АГ-004-А-04-07-023</t>
  </si>
  <si>
    <t>АГ-004-А-04-08-024</t>
  </si>
  <si>
    <t>АГ-004-А-05-01-025</t>
  </si>
  <si>
    <t>АГ-004-А-05-02-026</t>
  </si>
  <si>
    <t>АГ-004-А-05-03-027</t>
  </si>
  <si>
    <t>АГ-004-А-05-04-028</t>
  </si>
  <si>
    <t>АГ-004-А-05-05-029</t>
  </si>
  <si>
    <t>АГ-004-А-05-06-030</t>
  </si>
  <si>
    <t>АГ-004-А-05-07-031</t>
  </si>
  <si>
    <t>АГ-004-А-05-08-032</t>
  </si>
  <si>
    <t>АГ-004-А-06-01-033</t>
  </si>
  <si>
    <t>АГ-004-А-06-02-034</t>
  </si>
  <si>
    <t>АГ-004-А-06-03-035</t>
  </si>
  <si>
    <t>АГ-004-А-06-04-036</t>
  </si>
  <si>
    <t>АГ-004-А-06-05-037</t>
  </si>
  <si>
    <t>АГ-004-А-06-06-038</t>
  </si>
  <si>
    <t>АГ-004-А-06-07-039</t>
  </si>
  <si>
    <t>АГ-004-А-06-08-040</t>
  </si>
  <si>
    <t>АГ-004-А-07-01-041</t>
  </si>
  <si>
    <t>АГ-004-А-07-02-042</t>
  </si>
  <si>
    <t>АГ-004-А-07-03-043</t>
  </si>
  <si>
    <t>АГ-004-А-07-04-044</t>
  </si>
  <si>
    <t>АГ-004-А-07-05-045</t>
  </si>
  <si>
    <t>АГ-004-А-07-06-046</t>
  </si>
  <si>
    <t>АГ-004-А-07-07-047</t>
  </si>
  <si>
    <t>АГ-004-А-07-08-048</t>
  </si>
  <si>
    <t>АГ-004-А-08-01-049</t>
  </si>
  <si>
    <t>АГ-004-А-08-02-050</t>
  </si>
  <si>
    <t>АГ-004-А-08-03-051</t>
  </si>
  <si>
    <t>АГ-004-А-08-04-052</t>
  </si>
  <si>
    <t>АГ-004-А-08-05-053</t>
  </si>
  <si>
    <t>АГ-004-А-08-06-054</t>
  </si>
  <si>
    <t>АГ-004-А-08-07-055</t>
  </si>
  <si>
    <t>АГ-004-А-08-08-056</t>
  </si>
  <si>
    <t>АГ-004-А-09-01-057</t>
  </si>
  <si>
    <t>АГ-004-А-09-02-058</t>
  </si>
  <si>
    <t>АГ-004-А-09-03-059</t>
  </si>
  <si>
    <t>АГ-004-А-09-04-060</t>
  </si>
  <si>
    <t>АГ-004-А-09-05-061</t>
  </si>
  <si>
    <t>АГ-004-А-09-06-062</t>
  </si>
  <si>
    <t>АГ-004-А-09-07-063</t>
  </si>
  <si>
    <t>АГ-004-А-09-08-064</t>
  </si>
  <si>
    <t>АГ-004-А-10-01-065</t>
  </si>
  <si>
    <t>АГ-004-А-10-02-066</t>
  </si>
  <si>
    <t>АГ-004-А-10-03-067</t>
  </si>
  <si>
    <t>АГ-004-А-10-04-068</t>
  </si>
  <si>
    <t>АГ-004-А-10-05-069</t>
  </si>
  <si>
    <t>АГ-004-А-10-06-070</t>
  </si>
  <si>
    <t>АГ-004-А-10-07-071</t>
  </si>
  <si>
    <t>АГ-004-А-10-08-072</t>
  </si>
  <si>
    <t>АГ-004-А-11-01-073</t>
  </si>
  <si>
    <t>АГ-004-А-11-02-074</t>
  </si>
  <si>
    <t>АГ-004-А-11-03-075</t>
  </si>
  <si>
    <t>АГ-004-А-11-04-076</t>
  </si>
  <si>
    <t>АГ-004-А-11-05-077</t>
  </si>
  <si>
    <t>АГ-004-А-11-06-078</t>
  </si>
  <si>
    <t>АГ-004-А-11-07-079</t>
  </si>
  <si>
    <t>АГ-004-А-11-08-080</t>
  </si>
  <si>
    <t>АГ-004-А-12-01-081</t>
  </si>
  <si>
    <t>АГ-004-А-12-02-082</t>
  </si>
  <si>
    <t>АГ-004-А-12-03-083</t>
  </si>
  <si>
    <t>АГ-004-А-12-04-084</t>
  </si>
  <si>
    <t>АГ-004-А-12-05-085</t>
  </si>
  <si>
    <t>АГ-004-А-12-06-086</t>
  </si>
  <si>
    <t>АГ-004-А-12-07-087</t>
  </si>
  <si>
    <t>АГ-004-А-12-08-088</t>
  </si>
  <si>
    <t>АГ-004-А-13-01-089</t>
  </si>
  <si>
    <t>АГ-004-А-13-02-090</t>
  </si>
  <si>
    <t>АГ-004-А-13-03-091</t>
  </si>
  <si>
    <t>АГ-004-А-13-04-092</t>
  </si>
  <si>
    <t>АГ-004-А-13-05-093</t>
  </si>
  <si>
    <t>АГ-004-А-13-06-094</t>
  </si>
  <si>
    <t>АГ-004-А-13-07-095</t>
  </si>
  <si>
    <t>АГ-004-А-13-08-096</t>
  </si>
  <si>
    <t>АГ-004-А-14-01-097</t>
  </si>
  <si>
    <t>АГ-004-А-14-02-098</t>
  </si>
  <si>
    <t>АГ-004-А-14-03-099</t>
  </si>
  <si>
    <t>АГ-004-А-14-04-100</t>
  </si>
  <si>
    <t>АГ-004-А-14-05-101</t>
  </si>
  <si>
    <t>АГ-004-А-14-06-102</t>
  </si>
  <si>
    <t>АГ-004-А-14-07-103</t>
  </si>
  <si>
    <t>АГ-004-А-14-08-104</t>
  </si>
  <si>
    <t>АГ-004-А-15-01-105</t>
  </si>
  <si>
    <t>АГ-004-А-15-02-106</t>
  </si>
  <si>
    <t>АГ-004-А-15-03-107</t>
  </si>
  <si>
    <t>АГ-004-А-15-04-108</t>
  </si>
  <si>
    <t>АГ-004-А-15-05-109</t>
  </si>
  <si>
    <t>АГ-004-А-15-06-110</t>
  </si>
  <si>
    <t>АГ-004-А-15-07-111</t>
  </si>
  <si>
    <t>АГ-004-А-15-08-112</t>
  </si>
  <si>
    <t>АГ-004-А-16-01-113</t>
  </si>
  <si>
    <t>АГ-004-А-16-02-114</t>
  </si>
  <si>
    <t>АГ-004-А-16-03-115</t>
  </si>
  <si>
    <t>АГ-004-А-16-04-116</t>
  </si>
  <si>
    <t>АГ-004-А-16-05-117</t>
  </si>
  <si>
    <t>АГ-004-А-16-06-118</t>
  </si>
  <si>
    <t>АГ-004-А-16-07-119</t>
  </si>
  <si>
    <t>АГ-004-А-16-08-120</t>
  </si>
  <si>
    <t>АГ-004-Б-02-01-121</t>
  </si>
  <si>
    <t>АГ-004-Б-02-02-122</t>
  </si>
  <si>
    <t>АГ-004-Б-02-03-123</t>
  </si>
  <si>
    <t>АГ-004-Б-02-04-124</t>
  </si>
  <si>
    <t>АГ-004-Б-02-05-125</t>
  </si>
  <si>
    <t>АГ-004-Б-02-06-126</t>
  </si>
  <si>
    <t>АГ-004-Б-02-07-127</t>
  </si>
  <si>
    <t>АГ-004-Б-02-08-128</t>
  </si>
  <si>
    <t>АГ-004-Б-03-01-129</t>
  </si>
  <si>
    <t>АГ-004-Б-03-02-130</t>
  </si>
  <si>
    <t>АГ-004-Б-03-03-131</t>
  </si>
  <si>
    <t>АГ-004-Б-03-04-132</t>
  </si>
  <si>
    <t>АГ-004-Б-03-05-133</t>
  </si>
  <si>
    <t>АГ-004-Б-03-06-134</t>
  </si>
  <si>
    <t>АГ-004-Б-03-07-135</t>
  </si>
  <si>
    <t>АГ-004-Б-03-08-136</t>
  </si>
  <si>
    <t>АГ-004-Б-04-01-137</t>
  </si>
  <si>
    <t>АГ-004-Б-04-02-138</t>
  </si>
  <si>
    <t>АГ-004-Б-04-03-139</t>
  </si>
  <si>
    <t>АГ-004-Б-04-04-140</t>
  </si>
  <si>
    <t>АГ-004-Б-04-05-141</t>
  </si>
  <si>
    <t>АГ-004-Б-04-06-142</t>
  </si>
  <si>
    <t>АГ-004-Б-04-07-143</t>
  </si>
  <si>
    <t>АГ-004-Б-04-08-144</t>
  </si>
  <si>
    <t>АГ-004-Б-05-01-145</t>
  </si>
  <si>
    <t>АГ-004-Б-05-02-146</t>
  </si>
  <si>
    <t>АГ-004-Б-05-03-147</t>
  </si>
  <si>
    <t>АГ-004-Б-05-04-148</t>
  </si>
  <si>
    <t>АГ-004-Б-05-05-149</t>
  </si>
  <si>
    <t>АГ-004-Б-05-06-150</t>
  </si>
  <si>
    <t>АГ-004-Б-05-07-151</t>
  </si>
  <si>
    <t>АГ-004-Б-05-08-152</t>
  </si>
  <si>
    <t>АГ-004-Б-06-01-153</t>
  </si>
  <si>
    <t>АГ-004-Б-06-02-154</t>
  </si>
  <si>
    <t>АГ-004-Б-06-03-155</t>
  </si>
  <si>
    <t>АГ-004-Б-06-04-156</t>
  </si>
  <si>
    <t>АГ-004-Б-06-05-157</t>
  </si>
  <si>
    <t>АГ-004-Б-06-06-158</t>
  </si>
  <si>
    <t>АГ-004-Б-06-07-159</t>
  </si>
  <si>
    <t>АГ-004-Б-06-08-160</t>
  </si>
  <si>
    <t>АГ-004-Б-07-01-161</t>
  </si>
  <si>
    <t>АГ-004-Б-07-02-162</t>
  </si>
  <si>
    <t>АГ-004-Б-07-03-163</t>
  </si>
  <si>
    <t>АГ-004-Б-07-04-164</t>
  </si>
  <si>
    <t>АГ-004-Б-07-05-165</t>
  </si>
  <si>
    <t>АГ-004-Б-07-06-166</t>
  </si>
  <si>
    <t>АГ-004-Б-07-07-167</t>
  </si>
  <si>
    <t>АГ-004-Б-07-08-168</t>
  </si>
  <si>
    <t>АГ-004-Б-08-01-169</t>
  </si>
  <si>
    <t>АГ-004-Б-08-02-170</t>
  </si>
  <si>
    <t>АГ-004-Б-08-03-171</t>
  </si>
  <si>
    <t>АГ-004-Б-08-04-172</t>
  </si>
  <si>
    <t>АГ-004-Б-08-05-173</t>
  </si>
  <si>
    <t>АГ-004-Б-08-06-174</t>
  </si>
  <si>
    <t>АГ-004-Б-08-07-175</t>
  </si>
  <si>
    <t>АГ-004-Б-08-08-176</t>
  </si>
  <si>
    <t>АГ-004-Б-09-01-177</t>
  </si>
  <si>
    <t>АГ-004-Б-09-02-178</t>
  </si>
  <si>
    <t>АГ-004-Б-09-03-179</t>
  </si>
  <si>
    <t>АГ-004-Б-09-04-180</t>
  </si>
  <si>
    <t>АГ-004-Б-09-05-181</t>
  </si>
  <si>
    <t>АГ-004-Б-09-06-182</t>
  </si>
  <si>
    <t>АГ-004-Б-09-07-183</t>
  </si>
  <si>
    <t>АГ-004-Б-09-08-184</t>
  </si>
  <si>
    <t>АГ-004-Б-10-01-185</t>
  </si>
  <si>
    <t>АГ-004-Б-10-02-186</t>
  </si>
  <si>
    <t>АГ-004-Б-10-03-187</t>
  </si>
  <si>
    <t>АГ-004-Б-10-04-188</t>
  </si>
  <si>
    <t>АГ-004-Б-10-05-189</t>
  </si>
  <si>
    <t>АГ-004-Б-10-06-190</t>
  </si>
  <si>
    <t>АГ-004-Б-10-07-191</t>
  </si>
  <si>
    <t>АГ-004-Б-10-08-192</t>
  </si>
  <si>
    <t>АГ-004-Б-11-01-193</t>
  </si>
  <si>
    <t>АГ-004-Б-11-02-194</t>
  </si>
  <si>
    <t>АГ-004-Б-11-03-195</t>
  </si>
  <si>
    <t>АГ-004-Б-11-04-196</t>
  </si>
  <si>
    <t>АГ-004-Б-11-05-197</t>
  </si>
  <si>
    <t>АГ-004-Б-11-06-198</t>
  </si>
  <si>
    <t>АГ-004-Б-11-07-199</t>
  </si>
  <si>
    <t>АГ-004-Б-11-08-200</t>
  </si>
  <si>
    <t>АГ-004-Б-12-01-201</t>
  </si>
  <si>
    <t>АГ-004-Б-12-02-202</t>
  </si>
  <si>
    <t>АГ-004-Б-12-03-203</t>
  </si>
  <si>
    <t>АГ-004-Б-12-04-204</t>
  </si>
  <si>
    <t>АГ-004-Б-12-05-205</t>
  </si>
  <si>
    <t>АГ-004-Б-12-06-206</t>
  </si>
  <si>
    <t>АГ-004-Б-12-07-207</t>
  </si>
  <si>
    <t>АГ-004-Б-12-08-208</t>
  </si>
  <si>
    <t>АГ-004-Б-13-01-209</t>
  </si>
  <si>
    <t>АГ-004-Б-13-02-210</t>
  </si>
  <si>
    <t>АГ-004-Б-13-03-211</t>
  </si>
  <si>
    <t>АГ-004-Б-13-04-212</t>
  </si>
  <si>
    <t>АГ-004-Б-13-05-213</t>
  </si>
  <si>
    <t>АГ-004-Б-13-06-214</t>
  </si>
  <si>
    <t>АГ-004-Б-13-07-215</t>
  </si>
  <si>
    <t>АГ-004-Б-13-08-216</t>
  </si>
  <si>
    <t>АГ-004-Б-14-01-217</t>
  </si>
  <si>
    <t>АГ-004-Б-14-02-218</t>
  </si>
  <si>
    <t>АГ-004-Б-14-03-219</t>
  </si>
  <si>
    <t>АГ-004-Б-14-04-220</t>
  </si>
  <si>
    <t>АГ-004-Б-14-05-221</t>
  </si>
  <si>
    <t>АГ-004-Б-14-06-222</t>
  </si>
  <si>
    <t>АГ-004-Б-14-07-223</t>
  </si>
  <si>
    <t>АГ-004-Б-14-08-224</t>
  </si>
  <si>
    <t>АГ-004-Б-15-01-225</t>
  </si>
  <si>
    <t>АГ-004-Б-15-02-226</t>
  </si>
  <si>
    <t>АГ-004-Б-15-03-227</t>
  </si>
  <si>
    <t>АГ-004-Б-15-04-228</t>
  </si>
  <si>
    <t>АГ-004-Б-15-05-229</t>
  </si>
  <si>
    <t>АГ-004-Б-15-06-230</t>
  </si>
  <si>
    <t>АГ-004-Б-15-07-231</t>
  </si>
  <si>
    <t>АГ-004-Б-15-08-232</t>
  </si>
  <si>
    <t>АГ-004-Б-16-01-233</t>
  </si>
  <si>
    <t>АГ-004-Б-16-02-234</t>
  </si>
  <si>
    <t>АГ-004-Б-16-03-235</t>
  </si>
  <si>
    <t>АГ-004-Б-16-04-236</t>
  </si>
  <si>
    <t>АГ-004-Б-16-05-237</t>
  </si>
  <si>
    <t>АГ-004-Б-16-06-238</t>
  </si>
  <si>
    <t>АГ-004-Б-16-07-239</t>
  </si>
  <si>
    <t>АГ-004-Б-16-08-240</t>
  </si>
  <si>
    <t>АГ-004-В-02-01-241</t>
  </si>
  <si>
    <t>АГ-004-В-02-02-242</t>
  </si>
  <si>
    <t>АГ-004-В-02-03-243</t>
  </si>
  <si>
    <t>АГ-004-В-02-04-244</t>
  </si>
  <si>
    <t>АГ-004-В-02-05-245</t>
  </si>
  <si>
    <t>АГ-004-В-02-06-246</t>
  </si>
  <si>
    <t>АГ-004-В-02-07-247</t>
  </si>
  <si>
    <t>АГ-004-В-03-01-248</t>
  </si>
  <si>
    <t>АГ-004-В-03-02-249</t>
  </si>
  <si>
    <t>АГ-004-В-03-03-250</t>
  </si>
  <si>
    <t>АГ-004-В-03-04-251</t>
  </si>
  <si>
    <t>АГ-004-В-03-05-252</t>
  </si>
  <si>
    <t>АГ-004-В-03-06-253</t>
  </si>
  <si>
    <t>АГ-004-В-03-07-254</t>
  </si>
  <si>
    <t>АГ-004-В-04-01-255</t>
  </si>
  <si>
    <t>АГ-004-В-04-02-256</t>
  </si>
  <si>
    <t>АГ-004-В-04-03-257</t>
  </si>
  <si>
    <t>АГ-004-В-04-04-258</t>
  </si>
  <si>
    <t>АГ-004-В-04-05-259</t>
  </si>
  <si>
    <t>АГ-004-В-04-06-260</t>
  </si>
  <si>
    <t>АГ-004-В-04-07-261</t>
  </si>
  <si>
    <t>АГ-004-В-05-01-262</t>
  </si>
  <si>
    <t>АГ-004-В-05-02-263</t>
  </si>
  <si>
    <t>АГ-004-В-05-03-264</t>
  </si>
  <si>
    <t>АГ-004-В-05-04-265</t>
  </si>
  <si>
    <t>АГ-004-В-05-05-266</t>
  </si>
  <si>
    <t>АГ-004-В-05-06-267</t>
  </si>
  <si>
    <t>АГ-004-В-05-07-268</t>
  </si>
  <si>
    <t>АГ-004-В-06-01-269</t>
  </si>
  <si>
    <t>АГ-004-В-06-02-270</t>
  </si>
  <si>
    <t>АГ-004-В-06-03-271</t>
  </si>
  <si>
    <t>АГ-004-В-06-04-272</t>
  </si>
  <si>
    <t>АГ-004-В-06-05-273</t>
  </si>
  <si>
    <t>АГ-004-В-06-06-274</t>
  </si>
  <si>
    <t>АГ-004-В-06-07-275</t>
  </si>
  <si>
    <t>АГ-004-В-07-01-276</t>
  </si>
  <si>
    <t>АГ-004-В-07-02-277</t>
  </si>
  <si>
    <t>АГ-004-В-07-03-278</t>
  </si>
  <si>
    <t>АГ-004-В-07-04-279</t>
  </si>
  <si>
    <t>АГ-004-В-07-05-280</t>
  </si>
  <si>
    <t>АГ-004-В-07-06-281</t>
  </si>
  <si>
    <t>АГ-004-В-07-07-282</t>
  </si>
  <si>
    <t>АГ-004-В-08-01-283</t>
  </si>
  <si>
    <t>АГ-004-В-08-02-284</t>
  </si>
  <si>
    <t>АГ-004-В-08-03-285</t>
  </si>
  <si>
    <t>АГ-004-В-08-04-286</t>
  </si>
  <si>
    <t>АГ-004-В-08-05-287</t>
  </si>
  <si>
    <t>АГ-004-В-08-06-288</t>
  </si>
  <si>
    <t>АГ-004-В-08-07-289</t>
  </si>
  <si>
    <t>АГ-004-В-09-01-290</t>
  </si>
  <si>
    <t>АГ-004-В-09-02-291</t>
  </si>
  <si>
    <t>АГ-004-В-09-03-292</t>
  </si>
  <si>
    <t>АГ-004-В-09-04-293</t>
  </si>
  <si>
    <t>АГ-004-В-09-05-294</t>
  </si>
  <si>
    <t>АГ-004-В-09-06-295</t>
  </si>
  <si>
    <t>АГ-004-В-09-07-296</t>
  </si>
  <si>
    <t>АГ-004-В-10-01-297</t>
  </si>
  <si>
    <t>АГ-004-В-10-02-298</t>
  </si>
  <si>
    <t>АГ-004-В-10-03-299</t>
  </si>
  <si>
    <t>АГ-004-В-10-04-300</t>
  </si>
  <si>
    <t>АГ-004-В-10-05-301</t>
  </si>
  <si>
    <t>АГ-004-В-10-06-302</t>
  </si>
  <si>
    <t>АГ-004-В-10-07-303</t>
  </si>
  <si>
    <t>АГ-004-В-11-01-304</t>
  </si>
  <si>
    <t>АГ-004-В-11-02-305</t>
  </si>
  <si>
    <t>АГ-004-В-11-03-306</t>
  </si>
  <si>
    <t>АГ-004-В-11-04-307</t>
  </si>
  <si>
    <t>АГ-004-В-11-05-308</t>
  </si>
  <si>
    <t>АГ-004-В-11-06-309</t>
  </si>
  <si>
    <t>АГ-004-В-11-07-310</t>
  </si>
  <si>
    <t>АГ-004-В-12-01-311</t>
  </si>
  <si>
    <t>АГ-004-В-12-02-312</t>
  </si>
  <si>
    <t>АГ-004-В-12-03-313</t>
  </si>
  <si>
    <t>АГ-004-В-12-04-314</t>
  </si>
  <si>
    <t>АГ-004-В-12-05-315</t>
  </si>
  <si>
    <t>АГ-004-В-12-06-316</t>
  </si>
  <si>
    <t>АГ-004-В-12-07-317</t>
  </si>
  <si>
    <t>АГ-004-В-13-01-318</t>
  </si>
  <si>
    <t>АГ-004-В-13-02-319</t>
  </si>
  <si>
    <t>АГ-004-В-13-03-320</t>
  </si>
  <si>
    <t>АГ-004-В-13-04-321</t>
  </si>
  <si>
    <t>АГ-004-В-13-05-322</t>
  </si>
  <si>
    <t>АГ-004-В-13-06-323</t>
  </si>
  <si>
    <t>АГ-004-В-13-07-324</t>
  </si>
  <si>
    <t>АГ-004-В-14-01-325</t>
  </si>
  <si>
    <t>АГ-004-В-14-02-326</t>
  </si>
  <si>
    <t>АГ-004-В-14-03-327</t>
  </si>
  <si>
    <t>АГ-004-В-14-04-328</t>
  </si>
  <si>
    <t>АГ-004-В-14-05-329</t>
  </si>
  <si>
    <t>АГ-004-В-14-06-330</t>
  </si>
  <si>
    <t>АГ-004-В-14-07-331</t>
  </si>
  <si>
    <t>АГ-004-В-15-01-332</t>
  </si>
  <si>
    <t>АГ-004-В-15-02-333</t>
  </si>
  <si>
    <t>АГ-004-В-15-03-334</t>
  </si>
  <si>
    <t>АГ-004-В-15-04-335</t>
  </si>
  <si>
    <t>АГ-004-В-15-05-336</t>
  </si>
  <si>
    <t>АГ-004-В-15-06-337</t>
  </si>
  <si>
    <t>АГ-004-В-15-07-338</t>
  </si>
  <si>
    <t>АГ-004-В-16-01-339</t>
  </si>
  <si>
    <t>АГ-004-В-16-02-340</t>
  </si>
  <si>
    <t>АГ-004-В-16-03-341</t>
  </si>
  <si>
    <t>АГ-004-В-16-04-342</t>
  </si>
  <si>
    <t>АГ-004-В-16-05-343</t>
  </si>
  <si>
    <t>АГ-004-В-16-06-344</t>
  </si>
  <si>
    <t>АГ-004-В-16-07-345</t>
  </si>
  <si>
    <t>АГ-004-В-17-01-346</t>
  </si>
  <si>
    <t>АГ-004-В-17-02-347</t>
  </si>
  <si>
    <t>АГ-004-В-17-03-348</t>
  </si>
  <si>
    <t>АГ-004-В-17-04-349</t>
  </si>
  <si>
    <t>АГ-004-В-17-05-350</t>
  </si>
  <si>
    <t>АГ-004-В-17-06-351</t>
  </si>
  <si>
    <t>АГ-004-В-17-07-352</t>
  </si>
  <si>
    <t>АГ-004-В-18-01-353</t>
  </si>
  <si>
    <t>АГ-004-В-18-02-354</t>
  </si>
  <si>
    <t>АГ-004-В-18-03-355</t>
  </si>
  <si>
    <t>АГ-004-В-18-04-356</t>
  </si>
  <si>
    <t>АГ-004-В-18-05-357</t>
  </si>
  <si>
    <t>АГ-004-В-18-06-358</t>
  </si>
  <si>
    <t>АГ-004-В-18-07-359</t>
  </si>
  <si>
    <t>АГ-004-В-19-01-360</t>
  </si>
  <si>
    <t>АГ-004-В-19-02-361</t>
  </si>
  <si>
    <t>АГ-004-В-19-03-362</t>
  </si>
  <si>
    <t>АГ-004-В-19-04-363</t>
  </si>
  <si>
    <t>АГ-004-В-19-05-364</t>
  </si>
  <si>
    <t>АГ-004-В-19-06-365</t>
  </si>
  <si>
    <t>АГ-004-В-19-07-366</t>
  </si>
  <si>
    <t>АГ-004-В-20-01-367</t>
  </si>
  <si>
    <t>АГ-004-В-20-02-368</t>
  </si>
  <si>
    <t>АГ-004-В-20-03-369</t>
  </si>
  <si>
    <t>АГ-004-В-20-04-370</t>
  </si>
  <si>
    <t>АГ-004-В-20-05-371</t>
  </si>
  <si>
    <t>АГ-004-В-20-06-372</t>
  </si>
  <si>
    <t>АГ-004-В-20-07-373</t>
  </si>
  <si>
    <t>АГ-004-В-21-01-374</t>
  </si>
  <si>
    <t>АГ-004-В-21-02-375</t>
  </si>
  <si>
    <t>АГ-004-В-21-03-376</t>
  </si>
  <si>
    <t>АГ-004-В-21-04-377</t>
  </si>
  <si>
    <t>АГ-004-В-21-05-378</t>
  </si>
  <si>
    <t>АГ-004-В-21-06-379</t>
  </si>
  <si>
    <t>АГ-004-В-21-07-380</t>
  </si>
  <si>
    <t>АГ-004-В-22-01-381</t>
  </si>
  <si>
    <t>АГ-004-В-22-02-382</t>
  </si>
  <si>
    <t>АГ-004-В-22-03-383</t>
  </si>
  <si>
    <t>АГ-004-В-22-04-384</t>
  </si>
  <si>
    <t>АГ-004-В-22-05-385</t>
  </si>
  <si>
    <t>АГ-004-В-22-06-386</t>
  </si>
  <si>
    <t>АГ-004-В-22-07-387</t>
  </si>
  <si>
    <t>АГ-004-В-23-01-388</t>
  </si>
  <si>
    <t>АГ-004-В-23-02-389</t>
  </si>
  <si>
    <t>АГ-004-В-23-03-390</t>
  </si>
  <si>
    <t>АГ-004-В-23-04-391</t>
  </si>
  <si>
    <t>АГ-004-В-23-05-392</t>
  </si>
  <si>
    <t>АГ-004-В-23-06-393</t>
  </si>
  <si>
    <t>АГ-004-В-23-07-394</t>
  </si>
  <si>
    <t>АГ-004-В-24-01-395</t>
  </si>
  <si>
    <t>АГ-004-В-24-02-396</t>
  </si>
  <si>
    <t>АГ-004-В-24-03-397</t>
  </si>
  <si>
    <t>АГ-004-В-24-04-398</t>
  </si>
  <si>
    <t>АГ-004-В-24-05-399</t>
  </si>
  <si>
    <t>АГ-004-В-24-06-400</t>
  </si>
  <si>
    <t>АГ-004-В-24-07-401</t>
  </si>
  <si>
    <t>АГ-004-Г-02-01-402</t>
  </si>
  <si>
    <t>АГ-004-Г-02-02-403</t>
  </si>
  <si>
    <t>АГ-004-Г-02-03-404</t>
  </si>
  <si>
    <t>АГ-004-Г-02-04-405</t>
  </si>
  <si>
    <t>АГ-004-Г-02-05-406</t>
  </si>
  <si>
    <t>АГ-004-Г-02-06-407</t>
  </si>
  <si>
    <t>АГ-004-Г-02-07-408</t>
  </si>
  <si>
    <t>АГ-004-Г-02-08-409</t>
  </si>
  <si>
    <t>АГ-004-Г-02-09-410</t>
  </si>
  <si>
    <t>АГ-004-Г-03-01-411</t>
  </si>
  <si>
    <t>АГ-004-Г-03-02-412</t>
  </si>
  <si>
    <t>АГ-004-Г-03-03-413</t>
  </si>
  <si>
    <t>АГ-004-Г-03-04-414</t>
  </si>
  <si>
    <t>АГ-004-Г-03-05-415</t>
  </si>
  <si>
    <t>АГ-004-Г-03-06-416</t>
  </si>
  <si>
    <t>АГ-004-Г-03-07-417</t>
  </si>
  <si>
    <t>АГ-004-Г-03-08-418</t>
  </si>
  <si>
    <t>АГ-004-Г-03-09-419</t>
  </si>
  <si>
    <t>АГ-004-Г-04-01-420</t>
  </si>
  <si>
    <t>АГ-004-Г-04-02-421</t>
  </si>
  <si>
    <t>АГ-004-Г-04-03-422</t>
  </si>
  <si>
    <t>АГ-004-Г-04-04-423</t>
  </si>
  <si>
    <t>АГ-004-Г-04-05-424</t>
  </si>
  <si>
    <t>АГ-004-Г-04-06-425</t>
  </si>
  <si>
    <t>АГ-004-Г-04-07-426</t>
  </si>
  <si>
    <t>АГ-004-Г-04-08-427</t>
  </si>
  <si>
    <t>АГ-004-Г-04-09-428</t>
  </si>
  <si>
    <t>АГ-004-Г-05-01-429</t>
  </si>
  <si>
    <t>АГ-004-Г-05-02-430</t>
  </si>
  <si>
    <t>АГ-004-Г-05-03-431</t>
  </si>
  <si>
    <t>АГ-004-Г-05-04-432</t>
  </si>
  <si>
    <t>АГ-004-Г-05-05-433</t>
  </si>
  <si>
    <t>АГ-004-Г-05-06-434</t>
  </si>
  <si>
    <t>АГ-004-Г-05-07-435</t>
  </si>
  <si>
    <t>АГ-004-Г-05-08-436</t>
  </si>
  <si>
    <t>АГ-004-Г-05-09-437</t>
  </si>
  <si>
    <t>АГ-004-Г-06-01-438</t>
  </si>
  <si>
    <t>АГ-004-Г-06-02-439</t>
  </si>
  <si>
    <t>АГ-004-Г-06-03-440</t>
  </si>
  <si>
    <t>АГ-004-Г-06-04-441</t>
  </si>
  <si>
    <t>АГ-004-Г-06-05-442</t>
  </si>
  <si>
    <t>АГ-004-Г-06-06-443</t>
  </si>
  <si>
    <t>АГ-004-Г-06-07-444</t>
  </si>
  <si>
    <t>АГ-004-Г-06-08-445</t>
  </si>
  <si>
    <t>АГ-004-Г-06-09-446</t>
  </si>
  <si>
    <t>АГ-004-Г-07-01-447</t>
  </si>
  <si>
    <t>АГ-004-Г-07-02-448</t>
  </si>
  <si>
    <t>АГ-004-Г-07-03-449</t>
  </si>
  <si>
    <t>АГ-004-Г-07-04-450</t>
  </si>
  <si>
    <t>АГ-004-Г-07-05-451</t>
  </si>
  <si>
    <t>АГ-004-Г-07-06-452</t>
  </si>
  <si>
    <t>АГ-004-Г-07-07-453</t>
  </si>
  <si>
    <t>АГ-004-Г-07-08-454</t>
  </si>
  <si>
    <t>АГ-004-Г-07-09-455</t>
  </si>
  <si>
    <t>АГ-004-Г-08-01-456</t>
  </si>
  <si>
    <t>АГ-004-Г-08-02-457</t>
  </si>
  <si>
    <t>АГ-004-Г-08-03-458</t>
  </si>
  <si>
    <t>АГ-004-Г-08-04-459</t>
  </si>
  <si>
    <t>АГ-004-Г-08-05-460</t>
  </si>
  <si>
    <t>АГ-004-Г-08-06-461</t>
  </si>
  <si>
    <t>АГ-004-Г-08-07-462</t>
  </si>
  <si>
    <t>АГ-004-Г-08-08-463</t>
  </si>
  <si>
    <t>АГ-004-Г-08-09-464</t>
  </si>
  <si>
    <t>АГ-004-Г-09-01-465</t>
  </si>
  <si>
    <t>АГ-004-Г-09-02-466</t>
  </si>
  <si>
    <t>АГ-004-Г-09-03-467</t>
  </si>
  <si>
    <t>АГ-004-Г-09-04-468</t>
  </si>
  <si>
    <t>АГ-004-Г-09-05-469</t>
  </si>
  <si>
    <t>АГ-004-Г-09-06-470</t>
  </si>
  <si>
    <t>АГ-004-Г-09-07-471</t>
  </si>
  <si>
    <t>АГ-004-Г-09-08-472</t>
  </si>
  <si>
    <t>АГ-004-Г-09-09-473</t>
  </si>
  <si>
    <t>АГ-004-Г-10-01-474</t>
  </si>
  <si>
    <t>АГ-004-Г-10-02-475</t>
  </si>
  <si>
    <t>АГ-004-Г-10-03-476</t>
  </si>
  <si>
    <t>АГ-004-Г-10-04-477</t>
  </si>
  <si>
    <t>АГ-004-Г-10-05-478</t>
  </si>
  <si>
    <t>АГ-004-Г-10-06-479</t>
  </si>
  <si>
    <t>АГ-004-Г-10-07-480</t>
  </si>
  <si>
    <t>АГ-004-Г-10-08-481</t>
  </si>
  <si>
    <t>АГ-004-Г-10-09-482</t>
  </si>
  <si>
    <t>АГ-004-Г-11-01-483</t>
  </si>
  <si>
    <t>АГ-004-Г-11-02-484</t>
  </si>
  <si>
    <t>АГ-004-Г-11-03-485</t>
  </si>
  <si>
    <t>АГ-004-Г-11-04-486</t>
  </si>
  <si>
    <t>АГ-004-Г-11-05-487</t>
  </si>
  <si>
    <t>АГ-004-Г-11-06-488</t>
  </si>
  <si>
    <t>АГ-004-Г-11-07-489</t>
  </si>
  <si>
    <t>АГ-004-Г-11-08-490</t>
  </si>
  <si>
    <t>АГ-004-Г-11-09-491</t>
  </si>
  <si>
    <t>АГ-004-Г-12-01-492</t>
  </si>
  <si>
    <t>АГ-004-Г-12-02-493</t>
  </si>
  <si>
    <t>АГ-004-Г-12-03-494</t>
  </si>
  <si>
    <t>АГ-004-Г-12-04-495</t>
  </si>
  <si>
    <t>АГ-004-Г-12-05-496</t>
  </si>
  <si>
    <t>АГ-004-Г-12-06-497</t>
  </si>
  <si>
    <t>АГ-004-Г-12-07-498</t>
  </si>
  <si>
    <t>АГ-004-Г-12-08-499</t>
  </si>
  <si>
    <t>АГ-004-Г-12-09-500</t>
  </si>
  <si>
    <t>АГ-004-Г-13-01-501</t>
  </si>
  <si>
    <t>АГ-004-Г-13-02-502</t>
  </si>
  <si>
    <t>АГ-004-Г-13-03-503</t>
  </si>
  <si>
    <t>АГ-004-Г-13-04-504</t>
  </si>
  <si>
    <t>АГ-004-Г-13-05-505</t>
  </si>
  <si>
    <t>АГ-004-Г-13-06-506</t>
  </si>
  <si>
    <t>АГ-004-Г-13-07-507</t>
  </si>
  <si>
    <t>АГ-004-Г-13-08-508</t>
  </si>
  <si>
    <t>АГ-004-Г-13-09-509</t>
  </si>
  <si>
    <t>АГ-004-Г-14-01-510</t>
  </si>
  <si>
    <t>АГ-004-Г-14-02-511</t>
  </si>
  <si>
    <t>АГ-004-Г-14-03-512</t>
  </si>
  <si>
    <t>АГ-004-Г-14-04-513</t>
  </si>
  <si>
    <t>АГ-004-Г-14-05-514</t>
  </si>
  <si>
    <t>АГ-004-Г-14-06-515</t>
  </si>
  <si>
    <t>АГ-004-Г-14-07-516</t>
  </si>
  <si>
    <t>АГ-004-Г-14-08-517</t>
  </si>
  <si>
    <t>АГ-004-Г-14-09-518</t>
  </si>
  <si>
    <t>АГ-004-Г-15-01-519</t>
  </si>
  <si>
    <t>АГ-004-Г-15-02-520</t>
  </si>
  <si>
    <t>АГ-004-Г-15-03-521</t>
  </si>
  <si>
    <t>АГ-004-Г-15-04-522</t>
  </si>
  <si>
    <t>АГ-004-Г-15-05-523</t>
  </si>
  <si>
    <t>АГ-004-Г-15-06-524</t>
  </si>
  <si>
    <t>АГ-004-Г-15-07-525</t>
  </si>
  <si>
    <t>АГ-004-Г-15-08-526</t>
  </si>
  <si>
    <t>АГ-004-Г-15-09-527</t>
  </si>
  <si>
    <t>АГ-004-Г-16-01-528</t>
  </si>
  <si>
    <t>АГ-004-Г-16-02-529</t>
  </si>
  <si>
    <t>АГ-004-Г-16-03-530</t>
  </si>
  <si>
    <t>АГ-004-Г-16-04-531</t>
  </si>
  <si>
    <t>АГ-004-Г-16-05-532</t>
  </si>
  <si>
    <t>АГ-004-Г-16-06-533</t>
  </si>
  <si>
    <t>АГ-004-Г-16-07-534</t>
  </si>
  <si>
    <t>АГ-004-Г-16-08-535</t>
  </si>
  <si>
    <t>АГ-004-Г-16-09-536</t>
  </si>
  <si>
    <t>Н - Все метры</t>
  </si>
  <si>
    <t>Н - Новая жизнь</t>
  </si>
  <si>
    <t>5/3-12/300</t>
  </si>
  <si>
    <t>Букарева Ольга Витальевна</t>
  </si>
  <si>
    <t>klimenko.vera.v@yandex.ru</t>
  </si>
  <si>
    <t>5/1-02/007</t>
  </si>
  <si>
    <t>5/4-06/431</t>
  </si>
  <si>
    <t>Белькина Галина Васильевна</t>
  </si>
  <si>
    <t>galya.belkina.45@mail.ru</t>
  </si>
  <si>
    <t>4/2-07/166</t>
  </si>
  <si>
    <t>Челнокова Елена Михайловна</t>
  </si>
  <si>
    <t>E.chelnockova@yandex.ru</t>
  </si>
  <si>
    <t>5/2-14/208</t>
  </si>
  <si>
    <t>Троценко Никита Вадимович</t>
  </si>
  <si>
    <t>n1kita92@yandex.ru</t>
  </si>
  <si>
    <t>5/4-20/547</t>
  </si>
  <si>
    <t>Халиуллина Юлия Талгатовна</t>
  </si>
  <si>
    <t>Yuliaruae@gmail.com</t>
  </si>
  <si>
    <t>5/3-07/270</t>
  </si>
  <si>
    <t>Солодилова Татьяна Владимировна</t>
  </si>
  <si>
    <t>SolodilovaTV@mail.ru</t>
  </si>
  <si>
    <t>5/2-02/119</t>
  </si>
  <si>
    <t>Шишкова Светлана Михайловна</t>
  </si>
  <si>
    <t>shishkova_s_m@mail.ru</t>
  </si>
  <si>
    <t>5/3-24/384</t>
  </si>
  <si>
    <t>5/4-09/453</t>
  </si>
  <si>
    <t>Арефьева Галина Андреевна</t>
  </si>
  <si>
    <t>shura.arefev.85@bk.ru</t>
  </si>
  <si>
    <t>5/4-17/524</t>
  </si>
  <si>
    <t>Ягудина Юлия Султановна</t>
  </si>
  <si>
    <t>njulias@mail.ru</t>
  </si>
  <si>
    <t>5/3-03/242</t>
  </si>
  <si>
    <t>Манахова Наталья Александровна</t>
  </si>
  <si>
    <t>Dmanakhov@mail.ru</t>
  </si>
  <si>
    <t>5/4-15/504</t>
  </si>
  <si>
    <t>Любаков Сергей Михайлович</t>
  </si>
  <si>
    <t>lenok527217@yandex.ru</t>
  </si>
  <si>
    <t>5/2-06/152</t>
  </si>
  <si>
    <t>Нестеренко Александр Владимирович</t>
  </si>
  <si>
    <t>Belchik272@mail.ru</t>
  </si>
  <si>
    <t>4/3-21/380</t>
  </si>
  <si>
    <t>Семенова Виктория Олеговна</t>
  </si>
  <si>
    <t>avetory21@gmail.com</t>
  </si>
  <si>
    <t>5/4-08/450</t>
  </si>
  <si>
    <t>5/4-01/394</t>
  </si>
  <si>
    <t>Марьина Татьяна Николаевна</t>
  </si>
  <si>
    <t>Ttbol@mail.ru</t>
  </si>
  <si>
    <t>4/3-01/010</t>
  </si>
  <si>
    <t>Агапов Артём Вячеславович</t>
  </si>
  <si>
    <t>ip.agapov.av@mail.ru</t>
  </si>
  <si>
    <t>3/3-01/009</t>
  </si>
  <si>
    <t>Агапов Егор Артемович</t>
  </si>
  <si>
    <t>agapovea@mail.ru</t>
  </si>
  <si>
    <t>АГК-004-Б-01-005</t>
  </si>
  <si>
    <t>4/3-18/354</t>
  </si>
  <si>
    <t>Капкова Юлия Дмитриевна</t>
  </si>
  <si>
    <t>capckova@yandex.ru</t>
  </si>
  <si>
    <t>5/3-24/385</t>
  </si>
  <si>
    <t>Хуснуллина Гульфия Рафаиловна</t>
  </si>
  <si>
    <t>samaraguf@mail.ru</t>
  </si>
  <si>
    <t>Супермаркет</t>
  </si>
  <si>
    <t>АГК-004-А-02-002</t>
  </si>
  <si>
    <t>АГК-004-А-03-003</t>
  </si>
  <si>
    <t>АГК-004-А-04-004</t>
  </si>
  <si>
    <t>АГК-004-В-02-011</t>
  </si>
  <si>
    <t>АГК-004-В-03-012</t>
  </si>
  <si>
    <t>АГК-004-Г-01-013</t>
  </si>
  <si>
    <t>АГК-004-Г-02-014</t>
  </si>
  <si>
    <t>АГК-004-Г-03-015</t>
  </si>
  <si>
    <t>АГК-004-Г-06-018</t>
  </si>
  <si>
    <t>5/3-02/232</t>
  </si>
  <si>
    <t>Сеидова Мальвина Ахмедовна</t>
  </si>
  <si>
    <t>Le.farid@ya.ru</t>
  </si>
  <si>
    <t>5/3-12/304</t>
  </si>
  <si>
    <t>Мамышева Лилия Рашидовна</t>
  </si>
  <si>
    <t>lublumamu@yandex.ru</t>
  </si>
  <si>
    <t>4/1-01/004</t>
  </si>
  <si>
    <t>Власов Михаил Геннадьевич</t>
  </si>
  <si>
    <t>logform@inbox.ru</t>
  </si>
  <si>
    <t>5/3-23/382</t>
  </si>
  <si>
    <t>Степаненко Виктория Николаевна</t>
  </si>
  <si>
    <t>v9170340514@gmail.com</t>
  </si>
  <si>
    <t>4/1-01/001</t>
  </si>
  <si>
    <t>Агапова Татьяна Олеговна</t>
  </si>
  <si>
    <t>a22.agapova@yandex.ru</t>
  </si>
  <si>
    <t>4/1-01/002</t>
  </si>
  <si>
    <t>20.10.2023
3% на 48 и 55 кв</t>
  </si>
  <si>
    <t>4/1-01/003</t>
  </si>
  <si>
    <t>Морятова Ольга Витальевна</t>
  </si>
  <si>
    <t>m.tolia@mail.ru</t>
  </si>
  <si>
    <t>Фикс 06.09.23</t>
  </si>
  <si>
    <t>Фикс 23.10.23</t>
  </si>
  <si>
    <t>Фикс 20.10.23</t>
  </si>
  <si>
    <t>4/4-09/468</t>
  </si>
  <si>
    <t>Лещенко Юлия Андреевна</t>
  </si>
  <si>
    <t>yuliya.leshchenko.14@mail.ru</t>
  </si>
  <si>
    <t>5/3-17/337</t>
  </si>
  <si>
    <t>Новопольский Роман Алексеевич</t>
  </si>
  <si>
    <t>nowopolsky@yandex.ru</t>
  </si>
  <si>
    <t>5/1-01/006</t>
  </si>
  <si>
    <t>Хайбулатов Диас Космович</t>
  </si>
  <si>
    <t>haidias693@icloud.com</t>
  </si>
  <si>
    <t>4/4-07/455</t>
  </si>
  <si>
    <t>Свешникова Марина Сергеевна</t>
  </si>
  <si>
    <t>Promarina13@mail.ru</t>
  </si>
  <si>
    <t>5/1-15/104</t>
  </si>
  <si>
    <t>Азимова Надежда Анатольевна</t>
  </si>
  <si>
    <t>nadezhda-vasileva-84@Mail.ru</t>
  </si>
  <si>
    <t>5/1-14/095</t>
  </si>
  <si>
    <t>Ивасенко Анна Сергеевна</t>
  </si>
  <si>
    <t>antonvshtml@gmail.com</t>
  </si>
  <si>
    <t>4/2-05/148</t>
  </si>
  <si>
    <t>Ивахова Алена Михайловна</t>
  </si>
  <si>
    <t>alyona_ivakhova@mail.ru</t>
  </si>
  <si>
    <t>4/2-12/206</t>
  </si>
  <si>
    <t>Чечёткин Александр Сергеевич</t>
  </si>
  <si>
    <t>Chechetkin.as@mail.ru</t>
  </si>
  <si>
    <t>4/3-09/293</t>
  </si>
  <si>
    <t>Артемьев Александр Евгеньевич</t>
  </si>
  <si>
    <t>Dir@artemev-1.ru</t>
  </si>
  <si>
    <t>4/4-03/417</t>
  </si>
  <si>
    <t>Капанжа Андрей Иванович</t>
  </si>
  <si>
    <t>Kapanzha21@yandex.ru</t>
  </si>
  <si>
    <t>5/4-13/491</t>
  </si>
  <si>
    <t>Дмитриев Денис Николаевич</t>
  </si>
  <si>
    <t>Verbohka14@gmail.com</t>
  </si>
  <si>
    <t>4/4-12/499</t>
  </si>
  <si>
    <t>Алексеев Александр Александрович</t>
  </si>
  <si>
    <t>Aleksarmia2017@icloud.com</t>
  </si>
  <si>
    <t>4/4-06/445</t>
  </si>
  <si>
    <t>Алексеев Андрей Дмитриевич</t>
  </si>
  <si>
    <t>Andreyd.alexeev@gmail.com</t>
  </si>
  <si>
    <t>4/4-05/430</t>
  </si>
  <si>
    <t>Сметанин Сергей Михайлович</t>
  </si>
  <si>
    <t>ressika@yandex.ru</t>
  </si>
  <si>
    <t>5/4-18/529</t>
  </si>
  <si>
    <t>Кармышев Иван Алексеевич</t>
  </si>
  <si>
    <t>mag983@yandex.ru</t>
  </si>
  <si>
    <t>5/4-13/489</t>
  </si>
  <si>
    <t>Зеленская Ханум Варужановна</t>
  </si>
  <si>
    <t>9603605225xv@gmail.com</t>
  </si>
  <si>
    <t>5/4-11/472</t>
  </si>
  <si>
    <t>Антонов Иван Дмитриевич</t>
  </si>
  <si>
    <t>desantivan28@mail.ru</t>
  </si>
  <si>
    <t>5/1-04/027</t>
  </si>
  <si>
    <t>Абузярова Виктория Владимировна</t>
  </si>
  <si>
    <t>kalinina-87@bk.ru</t>
  </si>
  <si>
    <t>5/2-04/135</t>
  </si>
  <si>
    <t>Кузнецова Людмила Васильевна</t>
  </si>
  <si>
    <t>kuznezov.a.n@mail.ru</t>
  </si>
  <si>
    <t>4/3-20/371</t>
  </si>
  <si>
    <t>Мошков Сергей Валерьевич</t>
  </si>
  <si>
    <t>Moshkov.1364@mail.ru</t>
  </si>
  <si>
    <t>5/2-11/187</t>
  </si>
  <si>
    <t>Пазельский Максим Вячеславович</t>
  </si>
  <si>
    <t>pazelsky@mail.ru</t>
  </si>
  <si>
    <t>4/3-11/305</t>
  </si>
  <si>
    <t>Сандальнова Анастасия Александровна</t>
  </si>
  <si>
    <t>dixikom@yandex.ru</t>
  </si>
  <si>
    <t>5/2-07/154</t>
  </si>
  <si>
    <t>Доля</t>
  </si>
  <si>
    <t>5/4-12/484</t>
  </si>
  <si>
    <t>Терехов Егор Романович</t>
  </si>
  <si>
    <t>web-quant@mail.ru</t>
  </si>
  <si>
    <t>Техсбой в банке, направление в Росреестр в ноябре</t>
  </si>
  <si>
    <t>4/3-22/385</t>
  </si>
  <si>
    <t>Хайруллина Светлана Владимировна</t>
  </si>
  <si>
    <t>svhkomi@mail.ru</t>
  </si>
  <si>
    <t>5/4-14/497</t>
  </si>
  <si>
    <t>Колесникова Ольга Владимировна</t>
  </si>
  <si>
    <t>Zausalina666@mail.ru</t>
  </si>
  <si>
    <t>5/3-02/235</t>
  </si>
  <si>
    <t>Лысов Александр Геннадьевич</t>
  </si>
  <si>
    <t>korneliyatanya@gmail.com</t>
  </si>
  <si>
    <t>4/1-07/048</t>
  </si>
  <si>
    <t>Глазунов Леонид Юрьевич</t>
  </si>
  <si>
    <t>Zavolsheleonid@gmail.com</t>
  </si>
  <si>
    <t>Повышение 06.09.23 СТ и 1К</t>
  </si>
  <si>
    <t xml:space="preserve">Повышение 23.10.23  В4 </t>
  </si>
  <si>
    <t>Повышение 8.11.23 1К 5%</t>
  </si>
  <si>
    <t>Фикс 8.11.23</t>
  </si>
  <si>
    <t>5/4-08/451</t>
  </si>
  <si>
    <t>Егоров Дмитрий Васильевич</t>
  </si>
  <si>
    <t>Kristy.kit@mail.ru</t>
  </si>
  <si>
    <t>4/2-06/160</t>
  </si>
  <si>
    <t>Титов Александр Константинович</t>
  </si>
  <si>
    <t>ssaasshhaa222.titov@mail.ru</t>
  </si>
  <si>
    <t>Скидка за наличные</t>
  </si>
  <si>
    <t>5/1-12/082</t>
  </si>
  <si>
    <t>Чмелева Анастасия Анатольевна</t>
  </si>
  <si>
    <t>nesteamsd@mail.ru</t>
  </si>
  <si>
    <t>5/3-05/255</t>
  </si>
  <si>
    <t>Анферов Николай Павлович</t>
  </si>
  <si>
    <t>marina_anferova_@mail.ru</t>
  </si>
  <si>
    <t>4/4-16/533</t>
  </si>
  <si>
    <t>Давлатназаров Давлатназар Бойназарович</t>
  </si>
  <si>
    <t>farangezalinazarova229@gmail.com</t>
  </si>
  <si>
    <t>Андрейкин Николай Владимирович</t>
  </si>
  <si>
    <t>kolaaaa196@gmail.com</t>
  </si>
  <si>
    <t>5/1-13/086</t>
  </si>
  <si>
    <t>Быкова Екатерина Семеновна</t>
  </si>
  <si>
    <t>bikova2405@gmail.com</t>
  </si>
  <si>
    <t>5/3-05/254</t>
  </si>
  <si>
    <t>Костякова Анастасия Алексеевна</t>
  </si>
  <si>
    <t>pechkina4@gmail.com</t>
  </si>
  <si>
    <t>4/4-13/509</t>
  </si>
  <si>
    <t>Дорш Полина Эдуардовна</t>
  </si>
  <si>
    <t>polina.dorsh@mail.ru</t>
  </si>
  <si>
    <t>4/2-12/202</t>
  </si>
  <si>
    <t>Улисов Александр Андреевич</t>
  </si>
  <si>
    <t>brendik2222@list.ru</t>
  </si>
  <si>
    <t>4/3-04/256</t>
  </si>
  <si>
    <t>Чебодаев Ахбай Станиславович</t>
  </si>
  <si>
    <t>chebodaev30@gmail.com</t>
  </si>
  <si>
    <t>4/3-02/242</t>
  </si>
  <si>
    <t>Юсупова Альфия Ахатовна</t>
  </si>
  <si>
    <t>alfiya.shaykhieva@mail.ru</t>
  </si>
  <si>
    <t>5/3-11/295</t>
  </si>
  <si>
    <t>Швед Сергей Евгеньевич</t>
  </si>
  <si>
    <t>shvedserega28051996@gmail.com</t>
  </si>
  <si>
    <t>5/1-02/012</t>
  </si>
  <si>
    <t>Карий Дарья Андреевна</t>
  </si>
  <si>
    <t>dashakarij16@gmail.com</t>
  </si>
  <si>
    <t>4/1-12/084</t>
  </si>
  <si>
    <t>Гладков Павел Алексеевич</t>
  </si>
  <si>
    <t>Pavel.gladkoff@gmail.com</t>
  </si>
  <si>
    <t>4/2-16/234</t>
  </si>
  <si>
    <t>Бабаева Туркел Заманали Кызы</t>
  </si>
  <si>
    <t>tuti-91@mail.ru</t>
  </si>
  <si>
    <t>5/2-15/212</t>
  </si>
  <si>
    <t>Ахинян Артур Ашотович</t>
  </si>
  <si>
    <t>artur_ashotovich96@mail.ru</t>
  </si>
  <si>
    <t>5/2-09/170</t>
  </si>
  <si>
    <t>Ивасенко Антон Валериевич</t>
  </si>
  <si>
    <t>5/4-23/570</t>
  </si>
  <si>
    <t>4/1-11/074</t>
  </si>
  <si>
    <t>Тугушев Рамиль Рушанович</t>
  </si>
  <si>
    <t>ramil.tugushev.88@bk.ru</t>
  </si>
  <si>
    <t>EVENT - Событие</t>
  </si>
  <si>
    <t>5/1-11/076</t>
  </si>
  <si>
    <t>Кузнецова Людмила Александровна</t>
  </si>
  <si>
    <t>Luda05061961@yandex.ru</t>
  </si>
  <si>
    <t>4/1-13/094</t>
  </si>
  <si>
    <t>Дрогунов Дмитрий Григорьевич</t>
  </si>
  <si>
    <t>badgertail115@gmail.com</t>
  </si>
  <si>
    <t>Округление</t>
  </si>
  <si>
    <t>ДА</t>
  </si>
  <si>
    <t>4/4-15/520</t>
  </si>
  <si>
    <t>Дербиш Артур Александрович</t>
  </si>
  <si>
    <t>Artd2204@mail.ru</t>
  </si>
  <si>
    <t>4/3-12/313</t>
  </si>
  <si>
    <t>Соколов Андрей Владимирович</t>
  </si>
  <si>
    <t>TwinkieSAV8@yandex.ru</t>
  </si>
  <si>
    <t>5/4-15/505</t>
  </si>
  <si>
    <t>Амонов Адхамжон Ахмаджонович</t>
  </si>
  <si>
    <t>adham_24@mail.ru</t>
  </si>
  <si>
    <t>5/4-12/477</t>
  </si>
  <si>
    <t>Кудряшов Павел Александрович</t>
  </si>
  <si>
    <t>Pavel260482@mail.ru</t>
  </si>
  <si>
    <t>Фикс 8.11.24</t>
  </si>
  <si>
    <t>Фикс 24.11.23</t>
  </si>
  <si>
    <t>5/3-04/245</t>
  </si>
  <si>
    <t>5/2-08/162</t>
  </si>
  <si>
    <t>Целых Сергей Александрович</t>
  </si>
  <si>
    <t>sergei-i1984@mail.ru</t>
  </si>
  <si>
    <t>5/3-09/280</t>
  </si>
  <si>
    <t>Елисеева Екатерина Николаевна</t>
  </si>
  <si>
    <t>katena.ekat.belova@mail.ru</t>
  </si>
  <si>
    <t>4/3-16/343</t>
  </si>
  <si>
    <t>Раджабов Эльяр Бахтиярович</t>
  </si>
  <si>
    <t>tatyinbox@mail.ru</t>
  </si>
  <si>
    <t>4/1-07/042</t>
  </si>
  <si>
    <t>Окунева Лидия Николаевна</t>
  </si>
  <si>
    <t>Okuneva-lida@mail.ru</t>
  </si>
  <si>
    <t>4/1-15/110</t>
  </si>
  <si>
    <t>Махамадиев Сарваржон Сайридинович</t>
  </si>
  <si>
    <t>sarvar4ik.m@inbox.ru</t>
  </si>
  <si>
    <t>4/4-04/428</t>
  </si>
  <si>
    <t>Алмардонов Абдужаббор Абдугапорович</t>
  </si>
  <si>
    <t>almardonovam9@gmail.com</t>
  </si>
  <si>
    <t>4/4-06/446</t>
  </si>
  <si>
    <t>Гордюшкина Мария Викторовна</t>
  </si>
  <si>
    <t>Gsv510@yandex.ru</t>
  </si>
  <si>
    <t>4/3-02/243</t>
  </si>
  <si>
    <t>Ошуркова Марина Михайловна</t>
  </si>
  <si>
    <t>oshmm@mail.ru</t>
  </si>
  <si>
    <t>4/2-14/218</t>
  </si>
  <si>
    <t>Мухаева Ольга Александровна</t>
  </si>
  <si>
    <t>Lelechka161990@mail.ru</t>
  </si>
  <si>
    <t>4/4-11/489</t>
  </si>
  <si>
    <t>Искрина Виктория Алексеевна</t>
  </si>
  <si>
    <t>avg2003vva@gmail.com</t>
  </si>
  <si>
    <t>5/2-01/116</t>
  </si>
  <si>
    <t>Байбеков Айся Шавкятович</t>
  </si>
  <si>
    <t>nasimya.baybekova@bk.ru</t>
  </si>
  <si>
    <t>Рассылка - SMS</t>
  </si>
  <si>
    <t>4/2-11/196</t>
  </si>
  <si>
    <t>Чиркова Алина Сергеевна</t>
  </si>
  <si>
    <t>msjames@mail.ru</t>
  </si>
  <si>
    <t>4/1-08/054</t>
  </si>
  <si>
    <t>Дяконенко Сергей Николаевич</t>
  </si>
  <si>
    <t>alex.sportbox@yandex.ru</t>
  </si>
  <si>
    <t>5/4-06/433</t>
  </si>
  <si>
    <t>Афанасьева Елизавета Викентьева</t>
  </si>
  <si>
    <t>here.and.now-1@yandex.ru</t>
  </si>
  <si>
    <t>5/1-01/004</t>
  </si>
  <si>
    <t>Марталог Светлана Петровна</t>
  </si>
  <si>
    <t>svetlanamartalog@yandex.ru</t>
  </si>
  <si>
    <t>5/4-07/438</t>
  </si>
  <si>
    <t>Давлетьянова Лилия Робертовна</t>
  </si>
  <si>
    <t>d_liliy@mail.ru</t>
  </si>
  <si>
    <t>4/2-15/227</t>
  </si>
  <si>
    <t>Иванова Галина Юрьевна</t>
  </si>
  <si>
    <t>igalina614@mail.ru</t>
  </si>
  <si>
    <t>5/4-22/558</t>
  </si>
  <si>
    <t>Малых Полина Ивановна</t>
  </si>
  <si>
    <t>polinashepitsyna@yandex.ru</t>
  </si>
  <si>
    <t>АГК-001-В-01-009</t>
  </si>
  <si>
    <t>АГК-001-В-02-010</t>
  </si>
  <si>
    <t>5/4-05/424</t>
  </si>
  <si>
    <t>Купряев Павел Алексеевич</t>
  </si>
  <si>
    <t>kupryaev_pavel@mail.ru</t>
  </si>
  <si>
    <t>да</t>
  </si>
  <si>
    <t>4/3-17/348</t>
  </si>
  <si>
    <t>Митрощенко Светлана Викторовна</t>
  </si>
  <si>
    <t>svetlana.mitroshenko@mail.ru</t>
  </si>
  <si>
    <t>Скидка с елки</t>
  </si>
  <si>
    <t xml:space="preserve"> Ключников Евгений Владимирович</t>
  </si>
  <si>
    <t>rem.dvi@yandex.ru</t>
  </si>
  <si>
    <t>4/3-10/297</t>
  </si>
  <si>
    <t>Курбангалеева, Алеся Михайловна</t>
  </si>
  <si>
    <t>alesya1502@mail.ru</t>
  </si>
  <si>
    <t>Н - Волжский квартал</t>
  </si>
  <si>
    <t>5/3-12/299</t>
  </si>
  <si>
    <t>Сафронов Андрей Васильевич</t>
  </si>
  <si>
    <t>ksu2904@mail.ru</t>
  </si>
  <si>
    <t>5/4-16/511</t>
  </si>
  <si>
    <t>Ермольчева Александра Алексеевна</t>
  </si>
  <si>
    <t>alexandraermolcheva@mail.ru</t>
  </si>
  <si>
    <t>4/4-03/419</t>
  </si>
  <si>
    <t>Левина Надежда Вячеславовна</t>
  </si>
  <si>
    <t>nadinlevina@mail.ru</t>
  </si>
  <si>
    <t>4/3-13/319</t>
  </si>
  <si>
    <t>Царев Владимир Николаевич</t>
  </si>
  <si>
    <t>olgunka_80@vk.com</t>
  </si>
  <si>
    <t>5/1-07/046</t>
  </si>
  <si>
    <t>Кучерявый Иван Викторович</t>
  </si>
  <si>
    <t>nxt@nextmail.ru</t>
  </si>
  <si>
    <t>4/2-11/194</t>
  </si>
  <si>
    <t>Жижко Владислав Игоревич</t>
  </si>
  <si>
    <t>vladzizko35@gmail.com</t>
  </si>
  <si>
    <t>4/3-14/326</t>
  </si>
  <si>
    <t>Вечканова Полина Владимировна</t>
  </si>
  <si>
    <t>veckanovapolina928@gmail.com</t>
  </si>
  <si>
    <t>5/3-11/294</t>
  </si>
  <si>
    <t>Терехова Светлана Анатольевна</t>
  </si>
  <si>
    <t>amelkinaswetlana@rambler.ru</t>
  </si>
  <si>
    <t>5/1-15/103</t>
  </si>
  <si>
    <t>Ильина Алина Александровна</t>
  </si>
  <si>
    <t>Alinvavilova@yandex.ru</t>
  </si>
  <si>
    <t>5/1-09/059</t>
  </si>
  <si>
    <t>Азизова Хадисахон</t>
  </si>
  <si>
    <t>5/3-10/290</t>
  </si>
  <si>
    <t>Григорьев Василий Анатольевич</t>
  </si>
  <si>
    <t>bratka.gva@mail.ru</t>
  </si>
  <si>
    <t>5/1-12/080</t>
  </si>
  <si>
    <t>Федрушкова Зоя Васильевна</t>
  </si>
  <si>
    <t>zoyafedrushkova@gmail.com</t>
  </si>
  <si>
    <t>5/4-17/522</t>
  </si>
  <si>
    <t>5/1-02/013</t>
  </si>
  <si>
    <t>Тутова Светлана Юрьевна</t>
  </si>
  <si>
    <t>tutovas@list.ru</t>
  </si>
  <si>
    <t>5/3-16/327</t>
  </si>
  <si>
    <t>Воронина Наталья Павловна</t>
  </si>
  <si>
    <t>voronina.1980dd@mail.ru</t>
  </si>
  <si>
    <t>5/2-14/205</t>
  </si>
  <si>
    <t>Пашкевич Ольга Владимировна</t>
  </si>
  <si>
    <t>olga11021983@yandex.ru</t>
  </si>
  <si>
    <t>4/4-10/482</t>
  </si>
  <si>
    <t>Кузерова Маргарита Анатольевна</t>
  </si>
  <si>
    <t>ritaKuz2610@mail.ru</t>
  </si>
  <si>
    <t>АН</t>
  </si>
  <si>
    <t>ПЛАН</t>
  </si>
  <si>
    <t>Скидка за наличный расчет</t>
  </si>
  <si>
    <t>4/4-14/516</t>
  </si>
  <si>
    <t>Саяпин Максим Петрович</t>
  </si>
  <si>
    <t>maksisay@ya.ru</t>
  </si>
  <si>
    <t>4/3-15/337</t>
  </si>
  <si>
    <t>Муратов Роман Олегович</t>
  </si>
  <si>
    <t>Asdmuv24@gmail.com</t>
  </si>
  <si>
    <t>4/3-19/361</t>
  </si>
  <si>
    <t>Бутаев Охунжон Одилжонович</t>
  </si>
  <si>
    <t>muazzam.amonova@mail.ru</t>
  </si>
  <si>
    <t>5/2-07/159</t>
  </si>
  <si>
    <t>Тужилова Светлана Александровна</t>
  </si>
  <si>
    <t>Svetlanatza@gmail.com</t>
  </si>
  <si>
    <t>4/4-09/471</t>
  </si>
  <si>
    <t>Рамазанова Светлана Борисовна</t>
  </si>
  <si>
    <t>kam.ramazanow@yandex.ru</t>
  </si>
  <si>
    <t>5/2-05/141</t>
  </si>
  <si>
    <t>Петросян Алла Владимировна</t>
  </si>
  <si>
    <t>akopyan_d_a@inbox.ru</t>
  </si>
  <si>
    <t>Наличный расчет</t>
  </si>
  <si>
    <t>5/4-14/494</t>
  </si>
  <si>
    <t>Черных Екатерина Геннадьевна</t>
  </si>
  <si>
    <t>sharya_ekaterina@mail.ru</t>
  </si>
  <si>
    <t>5/4-03/410</t>
  </si>
  <si>
    <t>Михайлова Марина Валерьевна</t>
  </si>
  <si>
    <t>mar88mih@mail.ru</t>
  </si>
  <si>
    <t>Наценка 22.12.23 2К. А2 - 1000;  А6, В5 -  2000;  А5, Г5, Г8 - 3000</t>
  </si>
  <si>
    <t>Фикс 22.12.23</t>
  </si>
  <si>
    <t>5/2-08/165</t>
  </si>
  <si>
    <t>Румянцев Никита Юрьевич</t>
  </si>
  <si>
    <t>dobryinikita@gmail.com</t>
  </si>
  <si>
    <t>5/4-23/568</t>
  </si>
  <si>
    <t>Рознюк Анастасия Андреевна</t>
  </si>
  <si>
    <t>Gruzoperevozwk@gmail.com</t>
  </si>
  <si>
    <t>Н - Юпитер</t>
  </si>
  <si>
    <t>Саликова Алина Наильевна</t>
  </si>
  <si>
    <t>Salikova2012@list.ru</t>
  </si>
  <si>
    <t>5/3-09/284</t>
  </si>
  <si>
    <t>Архипова Евгения Ильинична</t>
  </si>
  <si>
    <t>5/1-08/054</t>
  </si>
  <si>
    <t>Лузгина Светлана Александровна</t>
  </si>
  <si>
    <t>luzgina84sa@mail.ru</t>
  </si>
  <si>
    <t>5/3-06/257</t>
  </si>
  <si>
    <t>Пеньков Сергей Сергеевич</t>
  </si>
  <si>
    <t>wu-tang13@yandex.ru</t>
  </si>
  <si>
    <t>4/4-04/427</t>
  </si>
  <si>
    <t>Абрамова Олеся Геннадьевна</t>
  </si>
  <si>
    <t>balabanovaolesya5@mail.ru</t>
  </si>
  <si>
    <t>4/4-02/405</t>
  </si>
  <si>
    <t>Горбунов Вадим Васильевич</t>
  </si>
  <si>
    <t>lenchik_63@bk.ru</t>
  </si>
  <si>
    <t>Скидка для семей с детьми ОВЗ</t>
  </si>
  <si>
    <t>5/3-22/375</t>
  </si>
  <si>
    <t>5/3-13/307</t>
  </si>
  <si>
    <t>4/2-05/146</t>
  </si>
  <si>
    <t>Милютин Виталий Юрьевич</t>
  </si>
  <si>
    <t>Katya1984.ru@yandex.ru</t>
  </si>
  <si>
    <t>4/1-15/109</t>
  </si>
  <si>
    <t>Исоян Серго Шотаевич</t>
  </si>
  <si>
    <t>4/4-10/477</t>
  </si>
  <si>
    <t>Сотаев Камалдин Сираджинович</t>
  </si>
  <si>
    <t>kamalsotaev95@mail.ru</t>
  </si>
  <si>
    <t>5/4-11/474</t>
  </si>
  <si>
    <t>Зинина Юлия Александровна</t>
  </si>
  <si>
    <t>zinina05041987@mail.ru</t>
  </si>
  <si>
    <t>5/2-11/185</t>
  </si>
  <si>
    <t>Тимербулатов Тимур Алиевич</t>
  </si>
  <si>
    <t>ttim2011@yandex.ru</t>
  </si>
  <si>
    <t>5/2-12/193</t>
  </si>
  <si>
    <t>Утешкалиев Зурканай Амантаевич</t>
  </si>
  <si>
    <t>Zurkanay.uteshkaliev@mail.ru</t>
  </si>
  <si>
    <t>5/1-03/018</t>
  </si>
  <si>
    <t>Нестерова Анастасия Викторовна</t>
  </si>
  <si>
    <t>anactaciadeviatkina777@gmail.com</t>
  </si>
  <si>
    <t>4/2-14/220</t>
  </si>
  <si>
    <t>Нувильев Роман Владимирович</t>
  </si>
  <si>
    <t>nuvilevroman10@gmail.com</t>
  </si>
  <si>
    <t>4/4-14/510</t>
  </si>
  <si>
    <t>Османова Рамиля Шихкеримовна</t>
  </si>
  <si>
    <t>osmanova01.07@bk.ru</t>
  </si>
  <si>
    <t>Наценка за отделку 29.12.23 1%</t>
  </si>
  <si>
    <t>Фикс 29.12.23</t>
  </si>
  <si>
    <t>White Box</t>
  </si>
  <si>
    <t>4/4-12/498</t>
  </si>
  <si>
    <t>Шахматов Глеб Владимирович</t>
  </si>
  <si>
    <t>glebalfa@mail.ru</t>
  </si>
  <si>
    <t>5/4-09/460</t>
  </si>
  <si>
    <t>Каримов Руслан Фуркатович</t>
  </si>
  <si>
    <t>1703notorious@gmail.com</t>
  </si>
  <si>
    <t>Наценка 10.01.2024 5%</t>
  </si>
  <si>
    <t>Фикс 10.01.2024</t>
  </si>
  <si>
    <t>Наценка 10.01.24 5%</t>
  </si>
  <si>
    <t>Фикс 10.01.24</t>
  </si>
  <si>
    <t>Экспозиция</t>
  </si>
  <si>
    <t>5/3-19/352</t>
  </si>
  <si>
    <t>Тюфутина Анна Алексеевна</t>
  </si>
  <si>
    <t>tyfutina01@gmail.ru</t>
  </si>
  <si>
    <t>5/4-06/432</t>
  </si>
  <si>
    <t>Сидоров Иван Валерьевич</t>
  </si>
  <si>
    <t>tatiana.oii.1246@gmail.com</t>
  </si>
  <si>
    <t>4/2-09/179</t>
  </si>
  <si>
    <t>Шабашов Виктор Сергеевич</t>
  </si>
  <si>
    <t>Shabashov.95@inbox.ru</t>
  </si>
  <si>
    <t>4/4-03/415</t>
  </si>
  <si>
    <t>Абрамова Татьяна Петровна</t>
  </si>
  <si>
    <t>tatyabramova@mail.ru</t>
  </si>
  <si>
    <t>4/3-14/327</t>
  </si>
  <si>
    <t>Гержан Никита Викторович</t>
  </si>
  <si>
    <t>ngerzhan@list.ru</t>
  </si>
  <si>
    <t>4/2-12/204</t>
  </si>
  <si>
    <t>Яхина Джамиля Ринатовна</t>
  </si>
  <si>
    <t>yakhina.d@list.ru</t>
  </si>
  <si>
    <t>4/2-16/239</t>
  </si>
  <si>
    <t>Маковский Дмитрий Васильевич</t>
  </si>
  <si>
    <t>63VDV63@bk.ru</t>
  </si>
  <si>
    <t>ТЕРМЫ</t>
  </si>
  <si>
    <t>5/4-18/531</t>
  </si>
  <si>
    <t>Хамроева Нозанин Таджиддиновна</t>
  </si>
  <si>
    <t>hamroeva2222@mail.ru</t>
  </si>
  <si>
    <t>Гвоздев</t>
  </si>
  <si>
    <t>5/2-06/151</t>
  </si>
  <si>
    <t>Махмудов Хурсанд Абдугафарович</t>
  </si>
  <si>
    <t>khursand.makhmudov@mail.ru</t>
  </si>
  <si>
    <t>4/3-03/249</t>
  </si>
  <si>
    <t>Грунвальд Нина Альфридовна</t>
  </si>
  <si>
    <t>grunvalold62@mail.ru</t>
  </si>
  <si>
    <t>4/2-02/122</t>
  </si>
  <si>
    <t>Каюмова Сарвиноз Маъруфовна</t>
  </si>
  <si>
    <t>kaumodmv1111@gmail.com</t>
  </si>
  <si>
    <t>4/2-09/182</t>
  </si>
  <si>
    <t>Фролова Владелина Анатольевна</t>
  </si>
  <si>
    <t>frolovavlada2002@gmail.com</t>
  </si>
  <si>
    <t>Стоимость по переуступке</t>
  </si>
  <si>
    <t>Цена м2 по переуступке</t>
  </si>
  <si>
    <t>аларм</t>
  </si>
  <si>
    <t>Анализ наполненности</t>
  </si>
  <si>
    <t>Предчистовая в подарок. Декабрь</t>
  </si>
  <si>
    <t>Корректировка 24.11.23 - 1К В5, 2К А2, №233</t>
  </si>
  <si>
    <t>4/4-05/435</t>
  </si>
  <si>
    <t>Симонов Александр Александрович</t>
  </si>
  <si>
    <t>simonov_alexandr2014@mail.ru</t>
  </si>
  <si>
    <t>4/2-07/164</t>
  </si>
  <si>
    <t>Бахтеева Гульфия Ильгизаровна</t>
  </si>
  <si>
    <t>zarina.andreeva.94@mail.ru</t>
  </si>
  <si>
    <t>5/3-04/244</t>
  </si>
  <si>
    <t>Заряева Ольга Сергеевна</t>
  </si>
  <si>
    <t>Zaryayeva87@bk.ru</t>
  </si>
  <si>
    <t>5/3-16/328</t>
  </si>
  <si>
    <t>Волков Станислав Александрович</t>
  </si>
  <si>
    <t>Volkov29011984@mail.ru</t>
  </si>
  <si>
    <t>5/4-01/391</t>
  </si>
  <si>
    <t>Кочетков Павел Александрович</t>
  </si>
  <si>
    <t>pavel.141287@gmail.com</t>
  </si>
  <si>
    <t>1/1-01/001</t>
  </si>
  <si>
    <t>Богомолов Сергей Петрович</t>
  </si>
  <si>
    <t>aulkin@mail.ru</t>
  </si>
  <si>
    <t>4/1-08/055</t>
  </si>
  <si>
    <t>Гвоздев Юрий Алексеевич</t>
  </si>
  <si>
    <t>ylen@mail.ru</t>
  </si>
  <si>
    <t>Наценка 24.11.23 
1к - Б4, Г9
С - А +5%, В +3%</t>
  </si>
  <si>
    <t>4/4-09/466</t>
  </si>
  <si>
    <t>Слукина Юлия Владимировна</t>
  </si>
  <si>
    <t>slukina1983@gmail.com</t>
  </si>
  <si>
    <t>5/4-11/473</t>
  </si>
  <si>
    <t>Шмакова Людмила Владимировна</t>
  </si>
  <si>
    <t>Lyudmila.shmackova@yandex.ru</t>
  </si>
  <si>
    <t>4/4-08/464</t>
  </si>
  <si>
    <t>Наценка 13.02.24 Студии А снижение  - 7500, 2К - 1000, 3К,1К, 0 - 500</t>
  </si>
  <si>
    <t>Фикс 13.02.2024</t>
  </si>
  <si>
    <t>5/2-04/132</t>
  </si>
  <si>
    <t>Кабиева Гульнара Раскалиевна</t>
  </si>
  <si>
    <t>katy.parry2010@yandex.ru</t>
  </si>
  <si>
    <t>5/4-17/519</t>
  </si>
  <si>
    <t>Ример Валерий Викторович</t>
  </si>
  <si>
    <t>rimvv@mail.ru</t>
  </si>
  <si>
    <t>Фикс 26.02.24</t>
  </si>
  <si>
    <t>4/1-14/098</t>
  </si>
  <si>
    <t>Ашуров Хуршед Шавкатович</t>
  </si>
  <si>
    <t>next_9100@mail.ru</t>
  </si>
  <si>
    <t>4/4-15/526</t>
  </si>
  <si>
    <t>Лисенкова Анастасия Михайловна</t>
  </si>
  <si>
    <t>anastasialisenkova96@gmail.com</t>
  </si>
  <si>
    <t>4/2-09/180</t>
  </si>
  <si>
    <t>Хлыстун Арина Тарасовна</t>
  </si>
  <si>
    <t>Ledi_arinakiss@mail.ru</t>
  </si>
  <si>
    <t>5/4-14/499</t>
  </si>
  <si>
    <t>Баротов Голибджон Зафарович</t>
  </si>
  <si>
    <t>galib_hi_tech@mail.ru</t>
  </si>
  <si>
    <t>Отделка CRM</t>
  </si>
  <si>
    <t>Сверка отделки</t>
  </si>
  <si>
    <t>Стоимость CRM</t>
  </si>
  <si>
    <t xml:space="preserve">Сверка стоимость </t>
  </si>
  <si>
    <t>5/2-13/195</t>
  </si>
  <si>
    <t>Котлярова Мария Михайловна</t>
  </si>
  <si>
    <t>5/1-07/042</t>
  </si>
  <si>
    <t>Хаустова Татьяна Павловна</t>
  </si>
  <si>
    <t>Xmc85@mail.ru</t>
  </si>
  <si>
    <t>Коммерческая ипотека</t>
  </si>
  <si>
    <t>1/2-01/009</t>
  </si>
  <si>
    <t>Зайцев Александр Максимович</t>
  </si>
  <si>
    <t>1/2-01/010</t>
  </si>
  <si>
    <t>Продано</t>
  </si>
  <si>
    <t>%</t>
  </si>
  <si>
    <t>4/2-13/210</t>
  </si>
  <si>
    <t>Демычев Антон Валерьевич</t>
  </si>
  <si>
    <t>demych.27@mail.ru</t>
  </si>
  <si>
    <t>5/2-07/153</t>
  </si>
  <si>
    <t>Синяева Альбина Евгеньевна</t>
  </si>
  <si>
    <t>a.derevskova@mail.ru</t>
  </si>
  <si>
    <t>5/4-07/442</t>
  </si>
  <si>
    <t>Булавин Иван Игоревич</t>
  </si>
  <si>
    <t>Bulavinii@rambler.ru</t>
  </si>
  <si>
    <t>5/2-16/216</t>
  </si>
  <si>
    <t>Митянин Николай Александрович</t>
  </si>
  <si>
    <t>Kolyan.mityanin98@mail.ru</t>
  </si>
  <si>
    <t>5/4-19/534</t>
  </si>
  <si>
    <t>Горбашов Сергей Владимирович</t>
  </si>
  <si>
    <t>SergeyVG84@mail.ru.</t>
  </si>
  <si>
    <t>5/2-10/174</t>
  </si>
  <si>
    <t>Михеева Анна Михайловна</t>
  </si>
  <si>
    <t>annmixeev@rambler.ru</t>
  </si>
  <si>
    <t>4/2-09/178</t>
  </si>
  <si>
    <t>Савельева Екатерина Сергеевна</t>
  </si>
  <si>
    <t>savelevaekaterina185@gmail.com</t>
  </si>
  <si>
    <t>4/3-16/341</t>
  </si>
  <si>
    <t>5/2-10/177</t>
  </si>
  <si>
    <t>Кежаева София Юрьевна</t>
  </si>
  <si>
    <t>sofiasincova93@mail.ru</t>
  </si>
  <si>
    <t>4/3-21/377</t>
  </si>
  <si>
    <t>Ионов Алексей Владимирович</t>
  </si>
  <si>
    <t>svetaionova1974@yandex.ru</t>
  </si>
  <si>
    <t>5/3-08/274</t>
  </si>
  <si>
    <t>Карпенко Сергей Александрович</t>
  </si>
  <si>
    <t>karpenkoekater1na@yandex.ru</t>
  </si>
  <si>
    <t>Наценка 26.02.24 1 Этаж</t>
  </si>
  <si>
    <t>Наценка 06.03.24
СТ, 1К - 3%
2К, 3К - 2%</t>
  </si>
  <si>
    <t>Фикс 06.03.24</t>
  </si>
  <si>
    <t>4/2-13/216</t>
  </si>
  <si>
    <t>Боровик Егор Михайлович</t>
  </si>
  <si>
    <t>egorborovik63@gmail.com</t>
  </si>
  <si>
    <t>5/3-07/268</t>
  </si>
  <si>
    <t>Катаева Ирина Михайловна</t>
  </si>
  <si>
    <t>Lazurnaya69@mail.ru</t>
  </si>
  <si>
    <t>Наценка Г2+500</t>
  </si>
  <si>
    <t>Фикс 13.03.25</t>
  </si>
  <si>
    <t>4/1-09/058</t>
  </si>
  <si>
    <t>Белякова Наталья Викторовна</t>
  </si>
  <si>
    <t>n.belykova@yandex.ru</t>
  </si>
  <si>
    <t>4/4-08/463</t>
  </si>
  <si>
    <t>Хужамова Хабиба Садуллоевна</t>
  </si>
  <si>
    <t>hudjamovahabiba@gmail.com</t>
  </si>
  <si>
    <t>Н - Этажи</t>
  </si>
  <si>
    <t>4/1-11/079</t>
  </si>
  <si>
    <t>Ращенко Ирина Алексеевна</t>
  </si>
  <si>
    <t>starikovai894@gmail.com</t>
  </si>
  <si>
    <t>4/1-12/082</t>
  </si>
  <si>
    <t>Румянцев Денис Сергеевич</t>
  </si>
  <si>
    <t>trepova2021@mail.ru</t>
  </si>
  <si>
    <t>5/1-07/044</t>
  </si>
  <si>
    <t>Никулов Андрей Владимирович</t>
  </si>
  <si>
    <t>Nik.cool2007@mail.ru</t>
  </si>
  <si>
    <t>4/4-07/453</t>
  </si>
  <si>
    <t>Меновщиков Алексей Петрович</t>
  </si>
  <si>
    <t>a.menovschikov@yandex.ru</t>
  </si>
  <si>
    <t>Наценка 06.03.24 2%</t>
  </si>
  <si>
    <t>Наличные</t>
  </si>
  <si>
    <t>4/1-03/010</t>
  </si>
  <si>
    <t>Данилова Евгения Владимировна</t>
  </si>
  <si>
    <t>ZhenyaBizer89@mail.ru</t>
  </si>
  <si>
    <t>4/4-06/444</t>
  </si>
  <si>
    <t>Есина Юлия Олеговна</t>
  </si>
  <si>
    <t>jsunitsa@gmail.com</t>
  </si>
  <si>
    <t>5/3-10/285</t>
  </si>
  <si>
    <t>Чустиль Виктория Сергеевна</t>
  </si>
  <si>
    <t>Vkistaubaeva@gmail.com</t>
  </si>
  <si>
    <t>5/4-12/478</t>
  </si>
  <si>
    <t>Семёнов Александр Юриевич</t>
  </si>
  <si>
    <t>djfan@bk.ru</t>
  </si>
  <si>
    <t>4/1-02/002</t>
  </si>
  <si>
    <t>Головченко Людмила Александровна</t>
  </si>
  <si>
    <t>ludmila.qol@gmail.com</t>
  </si>
  <si>
    <t>Наценка 20.03.24
2К, 3К - 2%</t>
  </si>
  <si>
    <t>Фикс 20.03.24</t>
  </si>
  <si>
    <t>Общий итог</t>
  </si>
  <si>
    <t>4/3-03/252</t>
  </si>
  <si>
    <t>Мусаев Артур Адамович</t>
  </si>
  <si>
    <t>El_is@icloud.com</t>
  </si>
  <si>
    <t>5/4-10/462</t>
  </si>
  <si>
    <t>Леванова Яна Александровна</t>
  </si>
  <si>
    <t>levanova-0107@mail.ru</t>
  </si>
  <si>
    <t>4/2-14/222</t>
  </si>
  <si>
    <t>Павлов Анатолий Михайлович</t>
  </si>
  <si>
    <t>tolya.pavlov.123@mail.ru</t>
  </si>
  <si>
    <t>5/4-15/502</t>
  </si>
  <si>
    <t>Семёнова Азиза Ролановна</t>
  </si>
  <si>
    <t>zi.r.semenova@gmail.com</t>
  </si>
  <si>
    <t>5/3-14/317</t>
  </si>
  <si>
    <t>Шердяев Артем Николаевич</t>
  </si>
  <si>
    <t>Sherd_97@mail.rru</t>
  </si>
  <si>
    <t>5/2-09/169</t>
  </si>
  <si>
    <t>Рашевский Валерий Сергеевич</t>
  </si>
  <si>
    <t>rush168@mail.ru</t>
  </si>
  <si>
    <t>5/2-03/128</t>
  </si>
  <si>
    <t>Банько Елена Николаевна</t>
  </si>
  <si>
    <t>1980banko@gmail.com</t>
  </si>
  <si>
    <t>5/3-21/366</t>
  </si>
  <si>
    <t>Шаронов Алексей Юрьевич</t>
  </si>
  <si>
    <t>Sharonov_a_yu@mail.ru</t>
  </si>
  <si>
    <t>4/2-10/189</t>
  </si>
  <si>
    <t>Липняков Артём Владимирович</t>
  </si>
  <si>
    <t>LIDON1921@ya.ru</t>
  </si>
  <si>
    <t>4/4-05/437</t>
  </si>
  <si>
    <t>Павлуткин Андрей Федорович</t>
  </si>
  <si>
    <t>andrey.andrey.titov.1984.titov@mail.ru</t>
  </si>
  <si>
    <t>Наценка 26.03.24 5%
Кроме 3К и 2К: А6, В2</t>
  </si>
  <si>
    <t>Фикс 26.03.24</t>
  </si>
  <si>
    <t>Дата продажи</t>
  </si>
  <si>
    <t>5/2-15/214</t>
  </si>
  <si>
    <t>Медведев Вадим Андреевич</t>
  </si>
  <si>
    <t>vadim19972811@mail.ru</t>
  </si>
  <si>
    <t>5/1-07/045</t>
  </si>
  <si>
    <t>Полуянов Анатолий Игоревич</t>
  </si>
  <si>
    <t>poluyanov.tolya@list.ru</t>
  </si>
  <si>
    <t>5/4-20/548</t>
  </si>
  <si>
    <t>Виноградова Татьяна Витальевна</t>
  </si>
  <si>
    <t>levkov-84@mail.ru</t>
  </si>
  <si>
    <t>5/1-11/070</t>
  </si>
  <si>
    <t>Ткач Татьяна Ивановна</t>
  </si>
  <si>
    <t>tanyatkachivan@gmail.com</t>
  </si>
  <si>
    <t>4/1-04/018</t>
  </si>
  <si>
    <t>Каримова Мадина Содировна</t>
  </si>
  <si>
    <t>MadinaKar01@yandex.ru</t>
  </si>
  <si>
    <t>4/3-18/353</t>
  </si>
  <si>
    <t>Петров Данила Сергеевич</t>
  </si>
  <si>
    <t>Unclever@mail.ru</t>
  </si>
  <si>
    <t>5/3-19/353</t>
  </si>
  <si>
    <t>Колдакова Надежда Александровна</t>
  </si>
  <si>
    <t>nkoldakova1978@mail.ru</t>
  </si>
  <si>
    <t>4/3-05/263</t>
  </si>
  <si>
    <t>Антипов Владимир Сергеевич</t>
  </si>
  <si>
    <t>Antipovvladimir95@mail.ru</t>
  </si>
  <si>
    <t>сумм</t>
  </si>
  <si>
    <t>ср S</t>
  </si>
  <si>
    <t>ср $</t>
  </si>
  <si>
    <t>СВОД все дома 2026</t>
  </si>
  <si>
    <t>Цена м2 по типам ОН</t>
  </si>
  <si>
    <t>Поехали в Амград</t>
  </si>
  <si>
    <t>Поехади в амград</t>
  </si>
  <si>
    <t>Сверка скидки</t>
  </si>
  <si>
    <t>Фикс 08.04.24</t>
  </si>
  <si>
    <t>4/4-13/504</t>
  </si>
  <si>
    <t>Романова Юлия Николаевна</t>
  </si>
  <si>
    <t>5/4-18/526</t>
  </si>
  <si>
    <t>Щербакова Елена Александровна</t>
  </si>
  <si>
    <t>elena07630@gmail.com</t>
  </si>
  <si>
    <t>5/4-05/426</t>
  </si>
  <si>
    <t>Сланин Дмитрий Николаевич</t>
  </si>
  <si>
    <t>dima-0602@bk.ru</t>
  </si>
  <si>
    <t>4/3-07/277</t>
  </si>
  <si>
    <t>Малыгина Севил Тельмановна</t>
  </si>
  <si>
    <t>sevil.malygina@mail.ru</t>
  </si>
  <si>
    <t>5/3-10/287</t>
  </si>
  <si>
    <t>Григоров Евгений Сергеевич</t>
  </si>
  <si>
    <t>egrigorov5@gmail.com</t>
  </si>
  <si>
    <t>5/1-11/073</t>
  </si>
  <si>
    <t>Пампуров Алексей Алексеевич</t>
  </si>
  <si>
    <t>Didited@inbox.ru</t>
  </si>
  <si>
    <t>5/3-15/322</t>
  </si>
  <si>
    <t>Плахотников Илья Алексеевич</t>
  </si>
  <si>
    <t>udinaelenanik@mail.ru</t>
  </si>
  <si>
    <t>5/4-04/416</t>
  </si>
  <si>
    <t>Овсянников Александр Васильевич</t>
  </si>
  <si>
    <t>RS-MX@mail.ru</t>
  </si>
  <si>
    <t>5/2-08/164</t>
  </si>
  <si>
    <t>Поступайло Алексей Юрьевич</t>
  </si>
  <si>
    <t>alexey_063@mail.ru</t>
  </si>
  <si>
    <t>4/3-23/390</t>
  </si>
  <si>
    <t>Бузланов Михаил Дмитриевич</t>
  </si>
  <si>
    <t>buzlanov.misha@mail.ru</t>
  </si>
  <si>
    <t>Наценка 16.04.24 +500</t>
  </si>
  <si>
    <t>Фикс 16.04.24</t>
  </si>
  <si>
    <t>5/3-01/227</t>
  </si>
  <si>
    <t>Константинов Андрей Георгиевич</t>
  </si>
  <si>
    <t>anutka1991@inbox.ru</t>
  </si>
  <si>
    <t>Н - ИП Филимонова</t>
  </si>
  <si>
    <t>5/2-07/156</t>
  </si>
  <si>
    <t>Девяткин Илья Сергеевич</t>
  </si>
  <si>
    <t>pro86@mail.ru</t>
  </si>
  <si>
    <t>5/4-04/419</t>
  </si>
  <si>
    <t>Аветисян Бабкен Гагикович</t>
  </si>
  <si>
    <t>Babken-09@mail.ru</t>
  </si>
  <si>
    <t>5/3-01/226</t>
  </si>
  <si>
    <t>Голенко</t>
  </si>
  <si>
    <t>5/1-13/088</t>
  </si>
  <si>
    <t>Гайнуллин Марат Нягимович</t>
  </si>
  <si>
    <t>gainyllin1992@yandex.ru</t>
  </si>
  <si>
    <t>4/4-06/438</t>
  </si>
  <si>
    <t>Чеснокова Полина Владимировна</t>
  </si>
  <si>
    <t>Polina.chesnokova.vl@gmail.com</t>
  </si>
  <si>
    <t>4/4-04/423</t>
  </si>
  <si>
    <t>Куприянова Анастасия Мансуржоновна</t>
  </si>
  <si>
    <t>ZhuraevaA@yandex.ru</t>
  </si>
  <si>
    <t>План АН</t>
  </si>
  <si>
    <t>5/4-08/447</t>
  </si>
  <si>
    <t>Коноплева Светлана Александровна</t>
  </si>
  <si>
    <t>bobysvetlana@yandex.ru</t>
  </si>
  <si>
    <t>4/2-06/154</t>
  </si>
  <si>
    <t>Бартновский Леонид Борисович</t>
  </si>
  <si>
    <t>lenya.bart@gmail.com</t>
  </si>
  <si>
    <t>5/4-13/488</t>
  </si>
  <si>
    <t>Брель Екатерина Алексеевна</t>
  </si>
  <si>
    <t>brelkatya@mail.ru</t>
  </si>
  <si>
    <t>5/3-24/388</t>
  </si>
  <si>
    <t>Одинцов Андрей Дмитриевич</t>
  </si>
  <si>
    <t>odinandrey163@gmail.com</t>
  </si>
  <si>
    <t>4/3-18/359</t>
  </si>
  <si>
    <t>Захаров Руслан Ахмарович</t>
  </si>
  <si>
    <t>orrriole@yandex.ru</t>
  </si>
  <si>
    <t xml:space="preserve"> Индивидуальная скидка</t>
  </si>
  <si>
    <t>5/4-12/483</t>
  </si>
  <si>
    <t>Смирнова Наталья Сергеевна</t>
  </si>
  <si>
    <t>denis242409@mail.ru</t>
  </si>
  <si>
    <t>5/4-16/515</t>
  </si>
  <si>
    <t>Шуругин Петр Юрьевич</t>
  </si>
  <si>
    <t>shuruginpetr@mail.ru</t>
  </si>
  <si>
    <t>5/1-09/062</t>
  </si>
  <si>
    <t>Пелин Артем Александрович</t>
  </si>
  <si>
    <t>PelinVUC@yandex.ru</t>
  </si>
  <si>
    <t>5/1-05/033</t>
  </si>
  <si>
    <t>Алиева Ирина Владимировна</t>
  </si>
  <si>
    <t>Boricenko221097@mail.ru</t>
  </si>
  <si>
    <t>5/3-14/319</t>
  </si>
  <si>
    <t>Савлук Егор Владимирович</t>
  </si>
  <si>
    <t>Wgew02@mail.ru</t>
  </si>
  <si>
    <t>5/3-15/325</t>
  </si>
  <si>
    <t>Сысоев Николай Владимирович</t>
  </si>
  <si>
    <t>sisoev.lil1989@mail.ru</t>
  </si>
  <si>
    <t>5/4-14/498</t>
  </si>
  <si>
    <t>Дедюлина Екатерина Дмитриевна</t>
  </si>
  <si>
    <t>dka1703@mail.ru</t>
  </si>
  <si>
    <t>Акция для партнеров</t>
  </si>
  <si>
    <t>Скидка 3% за 100%-ю оплату</t>
  </si>
  <si>
    <t>Скидка 3% для многодетных семей</t>
  </si>
  <si>
    <t>Скидка 3% на 100-ю оплату</t>
  </si>
  <si>
    <t>4/1-13/096</t>
  </si>
  <si>
    <t>Егорова Анна Игоревна</t>
  </si>
  <si>
    <t>anna_egorova0287@mail.ru</t>
  </si>
  <si>
    <t>5/2-10/179</t>
  </si>
  <si>
    <t>Якимов Александр Алексеевич</t>
  </si>
  <si>
    <t>63xalex@gmail.com</t>
  </si>
  <si>
    <t>5/4-16/509</t>
  </si>
  <si>
    <t>Шесткова Юлия Сергеевна</t>
  </si>
  <si>
    <t>ju.shestkova@mail.ru</t>
  </si>
  <si>
    <t>4/3-17/347</t>
  </si>
  <si>
    <t>Баранов Константин Анатольевич</t>
  </si>
  <si>
    <t>kot2oper365@mail.ru</t>
  </si>
  <si>
    <t>4/1-09/062</t>
  </si>
  <si>
    <t>Токмило Тамара Матвеевна</t>
  </si>
  <si>
    <t>iristokmilo79@mail.ru</t>
  </si>
  <si>
    <t>5/3-22/371</t>
  </si>
  <si>
    <t>Быкова Анна Викторовна</t>
  </si>
  <si>
    <t>bykoff86@inbox.ru</t>
  </si>
  <si>
    <t>5/4-07/443</t>
  </si>
  <si>
    <t>Литвиненко Александр Сергеевич</t>
  </si>
  <si>
    <t>meekanec.al@gmail.com</t>
  </si>
  <si>
    <t>5/2-12/188</t>
  </si>
  <si>
    <t>Ильдюганов Андрей Александрович</t>
  </si>
  <si>
    <t>bezen163region@mail.ru</t>
  </si>
  <si>
    <t>5/1-04/023</t>
  </si>
  <si>
    <t>Миронова Мария Викторовна</t>
  </si>
  <si>
    <t>mariymir@inbox.ru</t>
  </si>
  <si>
    <t>4/2-15/226</t>
  </si>
  <si>
    <t>Сулейманов Станислав Асанович</t>
  </si>
  <si>
    <t>ktnj210590@inbox.ru</t>
  </si>
  <si>
    <t>5/1-15/100</t>
  </si>
  <si>
    <t>Прокопчук Ирина Александровна</t>
  </si>
  <si>
    <t>prokop4ukirina@mail.ru</t>
  </si>
  <si>
    <t>4/3-06/274</t>
  </si>
  <si>
    <t>Самиев Суханоро Содикович</t>
  </si>
  <si>
    <t>durdonasamieva502@gmail.com</t>
  </si>
  <si>
    <t>4/3-13/323</t>
  </si>
  <si>
    <t>Мухаметьянов Радим Корбангалиевич</t>
  </si>
  <si>
    <t>nataliazenina882809@mail.ru</t>
  </si>
  <si>
    <t>5/1-05/034</t>
  </si>
  <si>
    <t>Виноградов Илья Владимирович</t>
  </si>
  <si>
    <t>Il.vinogradov2010@yandex.ru</t>
  </si>
  <si>
    <t>Наценка 08.04.24 
2К: В3 - 150
3К: Г7 +1000</t>
  </si>
  <si>
    <t>Фикс 16.05.24</t>
  </si>
  <si>
    <t>Наценка 24.05.24
1% - Б4, Б5,Г2,Г6
2% - А1,А3,А5,Б2,Г7</t>
  </si>
  <si>
    <t>Фикс 24.05.24</t>
  </si>
  <si>
    <t>5/4-21/549</t>
  </si>
  <si>
    <t>4/1-15/112</t>
  </si>
  <si>
    <t>Никудимова Ольга Александровна</t>
  </si>
  <si>
    <t>vovkapopov@yandex.ru</t>
  </si>
  <si>
    <t>5/3-07/266</t>
  </si>
  <si>
    <t>Маслов Евгений Юрьевич</t>
  </si>
  <si>
    <t>evgmasl6@yandex.ru</t>
  </si>
  <si>
    <t>Н - ГК Самолет</t>
  </si>
  <si>
    <t>Акция для IT-специалистов</t>
  </si>
  <si>
    <t>4/3-07/281</t>
  </si>
  <si>
    <t>Сапожников Дмитрий Александрович</t>
  </si>
  <si>
    <t>Vezunhik14@mail.ru</t>
  </si>
  <si>
    <t>5/1-06/041</t>
  </si>
  <si>
    <t>Оленич Олег Александрович</t>
  </si>
  <si>
    <t>Chornyi.almaz@mail.ru</t>
  </si>
  <si>
    <t>5/3-08/273</t>
  </si>
  <si>
    <t>Саломатина Марина Владимировна</t>
  </si>
  <si>
    <t>gaginamarina@mail.ru</t>
  </si>
  <si>
    <t>5/4-09/455</t>
  </si>
  <si>
    <t>Погосян Цогик</t>
  </si>
  <si>
    <t>vezunchik1101@mail.ru</t>
  </si>
  <si>
    <t>5/2-15/211</t>
  </si>
  <si>
    <t>Гиндус Марк Всеволодович</t>
  </si>
  <si>
    <t>markzm@mail.ru</t>
  </si>
  <si>
    <t>5/3-12/303</t>
  </si>
  <si>
    <t>Горбунова Елена Викторовна</t>
  </si>
  <si>
    <t>heleng1990@mail.ru</t>
  </si>
  <si>
    <t>5/4-07/444</t>
  </si>
  <si>
    <t>Репченко Анна Владимировна</t>
  </si>
  <si>
    <t>chaban.anna@mail.ru</t>
  </si>
  <si>
    <t>5/3-06/258</t>
  </si>
  <si>
    <t>Фильченко Ольга Владимировна</t>
  </si>
  <si>
    <t>filchenkoovv@mail.ru</t>
  </si>
  <si>
    <t>5/4-10/461</t>
  </si>
  <si>
    <t>Горячев Михаил Александрович</t>
  </si>
  <si>
    <t>mikhailgoryachev1@gmail.com</t>
  </si>
  <si>
    <t>5/2-13/198</t>
  </si>
  <si>
    <t>Атнагулова Кристина Николаевна</t>
  </si>
  <si>
    <t>5/1-08/051</t>
  </si>
  <si>
    <t>Смирнова Юлия Михайловна</t>
  </si>
  <si>
    <t>Julia250486@rambler.ru</t>
  </si>
  <si>
    <t>4/1-14/103</t>
  </si>
  <si>
    <t>Форкунова Елизавета Владимировна</t>
  </si>
  <si>
    <t>forkunova.liza@gmail.com</t>
  </si>
  <si>
    <t>4/3-10/302</t>
  </si>
  <si>
    <t>Дрофа Анастасия Андреевна</t>
  </si>
  <si>
    <t>maratpolush@gmail.com</t>
  </si>
  <si>
    <t>4/3-15/333</t>
  </si>
  <si>
    <t>Учина Екатерина Сергеевна</t>
  </si>
  <si>
    <t>Uchinaes@gmail.com</t>
  </si>
  <si>
    <t>Евсеев Владимир Александрович</t>
  </si>
  <si>
    <t>evseeva.galina056@mail.ru</t>
  </si>
  <si>
    <t>5/4-01/393</t>
  </si>
  <si>
    <t>Кеняйкин Илья Сергеевич</t>
  </si>
  <si>
    <t>visota_163@mail.ru</t>
  </si>
  <si>
    <t>5/4-03/405</t>
  </si>
  <si>
    <t>Кишонкова Лариса Геннадьевна</t>
  </si>
  <si>
    <t>larisa26081968@mail.ru</t>
  </si>
  <si>
    <t>5/1-09/058</t>
  </si>
  <si>
    <t>Филатова Екатерина Сергеевна</t>
  </si>
  <si>
    <t>Filatovavn2008@mail.ru</t>
  </si>
  <si>
    <t xml:space="preserve">Акция для IT-специалистов </t>
  </si>
  <si>
    <t>4/4-13/507</t>
  </si>
  <si>
    <t>Луканов Алексей Вячеславович</t>
  </si>
  <si>
    <t>rezedakh2012@mail.ru</t>
  </si>
  <si>
    <t>Наценка 16.05.24 1%
А4,А6,Б3,Б6,Б7,В2,В3,В5,В6,Г1,Г3-Г5</t>
  </si>
  <si>
    <t>% продаж</t>
  </si>
  <si>
    <t>Статус пополнения</t>
  </si>
  <si>
    <t>5/1-10/068</t>
  </si>
  <si>
    <t>Гараева Надежда Анатольевна</t>
  </si>
  <si>
    <t>Garaeva_1977@mail.ru</t>
  </si>
  <si>
    <t>5/4-06/430</t>
  </si>
  <si>
    <t>Бронский Игорь Сергеевич</t>
  </si>
  <si>
    <t>larisaa68.68@mail.ru</t>
  </si>
  <si>
    <t>5/3-13/311</t>
  </si>
  <si>
    <t>Назин Дмитрий Сергеевич</t>
  </si>
  <si>
    <t>Nazind@mail.ru</t>
  </si>
  <si>
    <t>Фикс 06.06.24</t>
  </si>
  <si>
    <t>5/4-09/459</t>
  </si>
  <si>
    <t>Куликова Юлия Михайловна</t>
  </si>
  <si>
    <t>Kulikova.y82@icloud.com</t>
  </si>
  <si>
    <t>Наценка 06.06.24
0К: В2,Г3 +0,5%
1К: А7, Б5/4, Г6 +0,5%
3К: В6 +0,5%
1К: А3 +1%</t>
  </si>
  <si>
    <t>5/4-02/404</t>
  </si>
  <si>
    <t>Чёпов Сергей Викторович</t>
  </si>
  <si>
    <t>sergei.v.chepov@gmail.com</t>
  </si>
  <si>
    <t>5/1-14/092</t>
  </si>
  <si>
    <t>Платонов Алексей</t>
  </si>
  <si>
    <t>p2y19830303@gmail.com</t>
  </si>
  <si>
    <t>5/4-23/567</t>
  </si>
  <si>
    <t>Семина Александра Андреевна</t>
  </si>
  <si>
    <t>Semina_aleksandra@mail.ru</t>
  </si>
  <si>
    <t>5/4-09/458</t>
  </si>
  <si>
    <t>Сордия Ульяна Анатольевна</t>
  </si>
  <si>
    <t>usordiya@mail.ru</t>
  </si>
  <si>
    <t>5/2-06/150</t>
  </si>
  <si>
    <t>Панова Светлана Владимировна</t>
  </si>
  <si>
    <t>Vell.84@mail.ru</t>
  </si>
  <si>
    <t>5/4-04/415</t>
  </si>
  <si>
    <t>Якупова Гульфия Минахметовна</t>
  </si>
  <si>
    <t>gylfina1993@mail.ru</t>
  </si>
  <si>
    <t>5/1-16/109</t>
  </si>
  <si>
    <t>Корхалев Денис Константинович</t>
  </si>
  <si>
    <t>d.korhalev.dodo@gmail.com</t>
  </si>
  <si>
    <t>13.06.2024
3К - 2%</t>
  </si>
  <si>
    <t>Фикс 13.06.24</t>
  </si>
  <si>
    <t>4/1-02/006</t>
  </si>
  <si>
    <t>Пешкова Анастасия Евгеньевна</t>
  </si>
  <si>
    <t>peshkova_60@mail.ru</t>
  </si>
  <si>
    <t>5/2-04/138</t>
  </si>
  <si>
    <t>Гвоздев Владислав Игоревич</t>
  </si>
  <si>
    <t>Thebestguf2004@mail.ru</t>
  </si>
  <si>
    <t>5/1-13/084</t>
  </si>
  <si>
    <t>Шарафутдинов Денис Рашитович</t>
  </si>
  <si>
    <t>89292707865@list.ru</t>
  </si>
  <si>
    <t>АГК-003-Д-01-016.1</t>
  </si>
  <si>
    <t>АГК-003-Д-01-016.2</t>
  </si>
  <si>
    <t>5/3-08/271</t>
  </si>
  <si>
    <t>Курмашов Аскар Сагитович</t>
  </si>
  <si>
    <t>askar.curmashov@yandex.ru</t>
  </si>
  <si>
    <t>5/1-04/021</t>
  </si>
  <si>
    <t>Ященко Алексей Михайлович</t>
  </si>
  <si>
    <t>yashenko_leha@mail.ru</t>
  </si>
  <si>
    <t>5/4-05/423</t>
  </si>
  <si>
    <t>Мурзаева Ирина Петровна</t>
  </si>
  <si>
    <t>murzaewa.irina2012@yandex.ru</t>
  </si>
  <si>
    <t>Подъезд</t>
  </si>
  <si>
    <t>АГ-401-Б-02-01-001</t>
  </si>
  <si>
    <t>АГ-401-Б-02-02-002</t>
  </si>
  <si>
    <t>АГ-401-Б-02-03-003</t>
  </si>
  <si>
    <t>АГ-401-Б-02-04-004</t>
  </si>
  <si>
    <t>АГ-401-Б-03-01-005</t>
  </si>
  <si>
    <t>АГ-401-Б-03-02-006</t>
  </si>
  <si>
    <t>АГ-401-Б-03-03-007</t>
  </si>
  <si>
    <t>АГ-401-Б-03-04-008</t>
  </si>
  <si>
    <t>АГ-401-Б-04-01-009</t>
  </si>
  <si>
    <t>АГ-401-Б-04-02-010</t>
  </si>
  <si>
    <t>АГ-401-Б-04-03-011</t>
  </si>
  <si>
    <t>АГ-401-Б-04-04-012</t>
  </si>
  <si>
    <t>АГ-401-Б-05-01-013</t>
  </si>
  <si>
    <t>АГ-401-Б-05-02-014</t>
  </si>
  <si>
    <t>АГ-401-Б-05-03-015</t>
  </si>
  <si>
    <t>АГ-401-Б-05-04-016</t>
  </si>
  <si>
    <t>АГ-401-Б-06-01-017</t>
  </si>
  <si>
    <t>АГ-401-Б-06-02-018</t>
  </si>
  <si>
    <t>АГ-401-Б-06-03-019</t>
  </si>
  <si>
    <t>АГ-401-Б-06-04-020</t>
  </si>
  <si>
    <t>АГ-401-Б-07-01-021</t>
  </si>
  <si>
    <t>АГ-401-Б-07-02-022</t>
  </si>
  <si>
    <t>АГ-401-Б-07-03-023</t>
  </si>
  <si>
    <t>АГ-401-Б-07-04-024</t>
  </si>
  <si>
    <t>АГ-401-Б-08-01-025</t>
  </si>
  <si>
    <t>АГ-401-Б-08-02-026</t>
  </si>
  <si>
    <t>АГ-401-Б-08-03-027</t>
  </si>
  <si>
    <t>АГ-401-Б-08-04-028</t>
  </si>
  <si>
    <t>АГ-401-Б-09-01-029</t>
  </si>
  <si>
    <t>АГ-401-Б-09-02-030</t>
  </si>
  <si>
    <t>АГ-401-Б-09-03-031</t>
  </si>
  <si>
    <t>АГ-401-Б-09-04-032</t>
  </si>
  <si>
    <t>АГ-401-Б-10-01-033</t>
  </si>
  <si>
    <t>АГ-401-Б-10-02-034</t>
  </si>
  <si>
    <t>АГ-401-Б-10-03-035</t>
  </si>
  <si>
    <t>АГ-401-Б-10-04-036</t>
  </si>
  <si>
    <t>АГ-401-Б-11-01-037</t>
  </si>
  <si>
    <t>АГ-401-Б-11-02-038</t>
  </si>
  <si>
    <t>АГ-401-Б-11-03-039</t>
  </si>
  <si>
    <t>АГ-401-Б-11-04-040</t>
  </si>
  <si>
    <t>АГ-401-Б-12-01-041</t>
  </si>
  <si>
    <t>АГ-401-Б-12-02-042</t>
  </si>
  <si>
    <t>АГ-401-Б-12-03-043</t>
  </si>
  <si>
    <t>АГ-401-Б-12-04-044</t>
  </si>
  <si>
    <t>АГ-401-Б-13-01-045</t>
  </si>
  <si>
    <t>АГ-401-Б-13-02-046</t>
  </si>
  <si>
    <t>АГ-401-Б-13-03-047</t>
  </si>
  <si>
    <t>АГ-401-Б-13-04-048</t>
  </si>
  <si>
    <t>АГ-401-Б-14-01-049</t>
  </si>
  <si>
    <t>АГ-401-Б-14-02-050</t>
  </si>
  <si>
    <t>АГ-401-Б-14-03-051</t>
  </si>
  <si>
    <t>АГ-401-Б-14-04-052</t>
  </si>
  <si>
    <t>АГ-401-Б-15-01-053</t>
  </si>
  <si>
    <t>АГ-401-Б-15-02-054</t>
  </si>
  <si>
    <t>АГ-401-Б-15-03-055</t>
  </si>
  <si>
    <t>АГ-401-Б-15-04-056</t>
  </si>
  <si>
    <t>АГ-401-А-02-01-057</t>
  </si>
  <si>
    <t>АГ-401-А-02-02-058</t>
  </si>
  <si>
    <t>АГ-401-А-02-03-059</t>
  </si>
  <si>
    <t>АГ-401-А-02-04-060</t>
  </si>
  <si>
    <t>АГ-401-А-02-05-061</t>
  </si>
  <si>
    <t>АГ-401-А-03-01-062</t>
  </si>
  <si>
    <t>АГ-401-А-03-02-063</t>
  </si>
  <si>
    <t>АГ-401-А-03-03-064</t>
  </si>
  <si>
    <t>АГ-401-А-03-04-065</t>
  </si>
  <si>
    <t>АГ-401-А-03-05-066</t>
  </si>
  <si>
    <t>АГ-401-А-04-01-067</t>
  </si>
  <si>
    <t>АГ-401-А-04-02-068</t>
  </si>
  <si>
    <t>АГ-401-А-04-03-069</t>
  </si>
  <si>
    <t>АГ-401-А-04-04-070</t>
  </si>
  <si>
    <t>АГ-401-А-04-05-071</t>
  </si>
  <si>
    <t>АГ-401-А-05-01-072</t>
  </si>
  <si>
    <t>АГ-401-А-05-02-073</t>
  </si>
  <si>
    <t>АГ-401-А-05-03-074</t>
  </si>
  <si>
    <t>АГ-401-А-05-04-075</t>
  </si>
  <si>
    <t>АГ-401-А-05-05-076</t>
  </si>
  <si>
    <t>АГ-401-А-06-01-077</t>
  </si>
  <si>
    <t>АГ-401-А-06-02-078</t>
  </si>
  <si>
    <t>АГ-401-А-06-03-079</t>
  </si>
  <si>
    <t>АГ-401-А-06-04-080</t>
  </si>
  <si>
    <t>АГ-401-А-06-05-081</t>
  </si>
  <si>
    <t>АГ-401-А-07-01-082</t>
  </si>
  <si>
    <t>АГ-401-А-07-02-083</t>
  </si>
  <si>
    <t>АГ-401-А-07-03-084</t>
  </si>
  <si>
    <t>АГ-401-А-07-04-085</t>
  </si>
  <si>
    <t>АГ-401-А-07-05-086</t>
  </si>
  <si>
    <t>АГ-401-А-08-01-087</t>
  </si>
  <si>
    <t>АГ-401-А-08-02-088</t>
  </si>
  <si>
    <t>АГ-401-А-08-03-089</t>
  </si>
  <si>
    <t>АГ-401-А-08-04-090</t>
  </si>
  <si>
    <t>АГ-401-А-08-05-091</t>
  </si>
  <si>
    <t>АГ-401-А-09-01-092</t>
  </si>
  <si>
    <t>АГ-401-А-09-02-093</t>
  </si>
  <si>
    <t>АГ-401-А-09-03-094</t>
  </si>
  <si>
    <t>АГ-401-А-09-04-095</t>
  </si>
  <si>
    <t>АГ-401-А-09-05-096</t>
  </si>
  <si>
    <t>АГ-401-А-10-01-097</t>
  </si>
  <si>
    <t>АГ-401-А-10-02-098</t>
  </si>
  <si>
    <t>АГ-401-А-10-03-099</t>
  </si>
  <si>
    <t>АГ-401-А-10-04-100</t>
  </si>
  <si>
    <t>АГ-401-А-10-05-101</t>
  </si>
  <si>
    <t>4/4-14/517</t>
  </si>
  <si>
    <t>Карабаненко Мадина Леонидовна</t>
  </si>
  <si>
    <t>danilpokoritel@gmail.com</t>
  </si>
  <si>
    <t>5/1-12/079</t>
  </si>
  <si>
    <t>Сельсков Александр Александрович</t>
  </si>
  <si>
    <t>selskov.99@mail.ru</t>
  </si>
  <si>
    <t>Скидка мед работнику</t>
  </si>
  <si>
    <t>5/1-15/098</t>
  </si>
  <si>
    <t>Махинько Семён Алексеевич</t>
  </si>
  <si>
    <t>mahinkosemen91@gmail.com</t>
  </si>
  <si>
    <t>4/1-04/022</t>
  </si>
  <si>
    <t>Мякишева Алёна Вячеславовна</t>
  </si>
  <si>
    <t>info@krost63.ru</t>
  </si>
  <si>
    <t>5/2-11/183</t>
  </si>
  <si>
    <t>Преснякова Оксана Сергеевна</t>
  </si>
  <si>
    <t>oksana.presnyakova@mail.ru</t>
  </si>
  <si>
    <t xml:space="preserve">Мед работник </t>
  </si>
  <si>
    <t>5/1-10/064</t>
  </si>
  <si>
    <t>Лямина Ирина Владимировна</t>
  </si>
  <si>
    <t>Lyaminaiv@mail.ru</t>
  </si>
  <si>
    <t>5/3-21/367</t>
  </si>
  <si>
    <t>Эрназарова Юлдузой Хамзалиевна</t>
  </si>
  <si>
    <t>akmal.mail.kom@gmail.com</t>
  </si>
  <si>
    <t>5/1-13/087</t>
  </si>
  <si>
    <t>Баев Дмитрий Олегович</t>
  </si>
  <si>
    <t>zheksenova91@inbox.ru</t>
  </si>
  <si>
    <t>5/3-08/277</t>
  </si>
  <si>
    <t>Ашмарин Дмитрий Евгеньевич</t>
  </si>
  <si>
    <t>Ashmarindima228@yandex.ru</t>
  </si>
  <si>
    <t>5/3-10/289</t>
  </si>
  <si>
    <t>Муругова Екатерина Александровна</t>
  </si>
  <si>
    <t>Myrygova_Ekateri@mail.ru</t>
  </si>
  <si>
    <t>5/4-06/436</t>
  </si>
  <si>
    <t>Курбанаева, Гульфия Гарифулловна</t>
  </si>
  <si>
    <t>kurbanaeva.gulfiya@mail.ru</t>
  </si>
  <si>
    <t>5/4-20/546</t>
  </si>
  <si>
    <t>Коткова Елена Петровна</t>
  </si>
  <si>
    <t>kotkovaelena@mail.ru</t>
  </si>
  <si>
    <t>5/1-15/099</t>
  </si>
  <si>
    <t>Хиль Ирина Михайловна</t>
  </si>
  <si>
    <t>Hilira1909@gmail.com</t>
  </si>
  <si>
    <t>4/1-03/014</t>
  </si>
  <si>
    <t>Назарова Юлия Игоревна</t>
  </si>
  <si>
    <t>uliyanazarova1977@mail.ru</t>
  </si>
  <si>
    <t>4/4-08/459</t>
  </si>
  <si>
    <t>Андреева Ирина Витальевна</t>
  </si>
  <si>
    <t>yuraadreev@gmail.com</t>
  </si>
  <si>
    <t>5/2-09/173</t>
  </si>
  <si>
    <t>Калюжин Константин Михайлович</t>
  </si>
  <si>
    <t>Kaluga9719@gmail.com</t>
  </si>
  <si>
    <t>5/2-16/222</t>
  </si>
  <si>
    <t>Чибидин Александр Андреевич</t>
  </si>
  <si>
    <t>canec077@yandex.ru</t>
  </si>
  <si>
    <t>5/2-04/134</t>
  </si>
  <si>
    <t>Радина Марина Михайловна</t>
  </si>
  <si>
    <t>morskaya5759@mail.ru</t>
  </si>
  <si>
    <t>4 Квартал Дом 1</t>
  </si>
  <si>
    <t>Юнусов Руслан Ринатович</t>
  </si>
  <si>
    <t>rus.yunus@yandex.ru</t>
  </si>
  <si>
    <t>АГК-401-А-01-001</t>
  </si>
  <si>
    <t>АГК-401-А-01-002</t>
  </si>
  <si>
    <t>АГК-401-А-01-003</t>
  </si>
  <si>
    <t>АГК-401-А-01-004</t>
  </si>
  <si>
    <t>АГК-401-Б-01-005</t>
  </si>
  <si>
    <t>АГК-401-Б-01-006</t>
  </si>
  <si>
    <t>АГК-401-Б-01-007</t>
  </si>
  <si>
    <t>5/4-03/408</t>
  </si>
  <si>
    <t>Дошимов Самат Омирзакович</t>
  </si>
  <si>
    <t>dosimov415@gmail.com</t>
  </si>
  <si>
    <t>5/2-16/218</t>
  </si>
  <si>
    <t>ele5792@yandex.ru</t>
  </si>
  <si>
    <t>5/4-01/395</t>
  </si>
  <si>
    <t>Сейидли Мирмагомед Мирмехман Оглы</t>
  </si>
  <si>
    <t>miri.azer@mail.ru</t>
  </si>
  <si>
    <t>*Бронь</t>
  </si>
  <si>
    <t>Доля продаж по 1 дому 4 квартала</t>
  </si>
  <si>
    <t>5/4-15/506</t>
  </si>
  <si>
    <t>Дворникова Екатерина Александровна</t>
  </si>
  <si>
    <t>6991dea@mail.ru</t>
  </si>
  <si>
    <t>5/2-12/194</t>
  </si>
  <si>
    <t>Беликов Сергей Алексеевич</t>
  </si>
  <si>
    <t>amsterdam1991.AA@gmail.com</t>
  </si>
  <si>
    <t>5/3-17/336</t>
  </si>
  <si>
    <t xml:space="preserve">Мостовщикова Татьяна </t>
  </si>
  <si>
    <t>yagotka_8686@mail.ru</t>
  </si>
  <si>
    <t>Солодилова Елена Сергеевна</t>
  </si>
  <si>
    <t>lenok_kz93@mail.ru</t>
  </si>
  <si>
    <t>5/3-14/315</t>
  </si>
  <si>
    <t>Рогозянский Иван Сергеевич</t>
  </si>
  <si>
    <t>rogozyanskyivan@mail.ru</t>
  </si>
  <si>
    <t>5/1-04/026</t>
  </si>
  <si>
    <t>Халиков Бахтиёр Мансурович</t>
  </si>
  <si>
    <t>bahahalikov2@mail.ru</t>
  </si>
  <si>
    <t>5/2-15/209</t>
  </si>
  <si>
    <t>Ширяева Наталья Сергеевна</t>
  </si>
  <si>
    <t>x600et@ya.ru</t>
  </si>
  <si>
    <t>Сверка стоимости</t>
  </si>
  <si>
    <t xml:space="preserve">Акция для партнеров </t>
  </si>
  <si>
    <t>4/3-16/344</t>
  </si>
  <si>
    <t>Солдатова Юлия Викторовна</t>
  </si>
  <si>
    <t>kinza199@yandex.ru</t>
  </si>
  <si>
    <t>5/3-04/249</t>
  </si>
  <si>
    <t>Толмачева Татьяна Сергеевна</t>
  </si>
  <si>
    <t>Tolmacheva_TS@akelon.com</t>
  </si>
  <si>
    <t>5/1-06/035</t>
  </si>
  <si>
    <t>Филимонова Юлия Сергеевна</t>
  </si>
  <si>
    <t>artem.panfilov.13@mail.ru</t>
  </si>
  <si>
    <t>5/3-02/233</t>
  </si>
  <si>
    <t>Коба Мария Васильевна</t>
  </si>
  <si>
    <t>koba_mari84@mail.ru</t>
  </si>
  <si>
    <t>5/1-16/108</t>
  </si>
  <si>
    <t>Корнеев Илья Николаевич</t>
  </si>
  <si>
    <t>ilyakorneev@mail.ru</t>
  </si>
  <si>
    <t>5/3-11/297</t>
  </si>
  <si>
    <t>Ронжина Наталья Александровна</t>
  </si>
  <si>
    <t>Fomina.natasha@list.ru</t>
  </si>
  <si>
    <t>5/2-03/127</t>
  </si>
  <si>
    <t>Краснослободцева Татьяна Александровна</t>
  </si>
  <si>
    <t>tatyana-buzykina@yandex.ru</t>
  </si>
  <si>
    <t>5/4-09/456</t>
  </si>
  <si>
    <t>Оганнисян Феликс Камоевич</t>
  </si>
  <si>
    <t>anahitfrangulyan@mail.ru</t>
  </si>
  <si>
    <t>5/4-17/521</t>
  </si>
  <si>
    <t>Шевченко Екатерина Вадимовна</t>
  </si>
  <si>
    <t>k_sobolenko96@mail.ru</t>
  </si>
  <si>
    <t>4/2-07/162</t>
  </si>
  <si>
    <t>Колпакова Дарья Андреевна</t>
  </si>
  <si>
    <t>daryakolpakova@mail.ru</t>
  </si>
  <si>
    <t>5/3-18/345</t>
  </si>
  <si>
    <t>5/2-14/207</t>
  </si>
  <si>
    <t>Джумаева Зайнура Комилджоновна</t>
  </si>
  <si>
    <t>galiushechka86@mail.ru</t>
  </si>
  <si>
    <t>02.07.2024: Г3 А1 А3 Б5 Б7 Г2 Г6 Б3 Б4 В3 Г7 2,5% ост 0,5-1,5%</t>
  </si>
  <si>
    <t>Фикс 02.07.24</t>
  </si>
  <si>
    <t>5/1-08/050</t>
  </si>
  <si>
    <t>Елин Вячеслав Юрьевич</t>
  </si>
  <si>
    <t>slava.613@yandex.ru</t>
  </si>
  <si>
    <t>Первый ДДУ 4 квартал дом 1, регистрация 02.07.</t>
  </si>
  <si>
    <t>Переуступка</t>
  </si>
  <si>
    <t>5/2-11/182</t>
  </si>
  <si>
    <t>Валов Анатолий Петрович</t>
  </si>
  <si>
    <t>4/4-02/404</t>
  </si>
  <si>
    <t>Сатдаров Рауф Харрасович</t>
  </si>
  <si>
    <t>Satd19@mail.ru</t>
  </si>
  <si>
    <t>5/1-03/020</t>
  </si>
  <si>
    <t>Филиппов Алексей Николаевич</t>
  </si>
  <si>
    <t>Gabbasova_yelena@mail.ru</t>
  </si>
  <si>
    <t>4/4-16/535</t>
  </si>
  <si>
    <t>Зотова Екатерина Александровна</t>
  </si>
  <si>
    <t>ekaterinasipovskih@gmail.com</t>
  </si>
  <si>
    <t>Келлер</t>
  </si>
  <si>
    <t>5/3-05/252</t>
  </si>
  <si>
    <t>Юрченко Евгения Олеговна</t>
  </si>
  <si>
    <t>yur4encko.evge@yandex.ru</t>
  </si>
  <si>
    <t>5/2-05/139</t>
  </si>
  <si>
    <t>Бабенков Андрей Андреевич</t>
  </si>
  <si>
    <t>andreybabenkov56@yandex.ru</t>
  </si>
  <si>
    <t>5/4-12/481</t>
  </si>
  <si>
    <t>Юлтыева Регина Зигануровна</t>
  </si>
  <si>
    <t>Bahteeyarova.r@gmail.com</t>
  </si>
  <si>
    <t>5/4-16/516</t>
  </si>
  <si>
    <t>Рашидова Дилрабо Туракуловна</t>
  </si>
  <si>
    <t>dilyarashidova545@gmail.com</t>
  </si>
  <si>
    <t>ЭГС Телеком</t>
  </si>
  <si>
    <t>5/1-16/106</t>
  </si>
  <si>
    <t>Ведькалов Дмитрий Александрович</t>
  </si>
  <si>
    <t>dvcasper1@mail.ru</t>
  </si>
  <si>
    <t>Частично Мебель ООО "Альпина"</t>
  </si>
  <si>
    <t>Доп.соглашение о смене отделки с черновой на предчистовую</t>
  </si>
  <si>
    <t>Доп.соглашение о смене отделки с черновой на чистовую</t>
  </si>
  <si>
    <t>Предчистовая отделка в подарок + 3% сотруднику</t>
  </si>
  <si>
    <t>Доп.соглашение о смене отделки с предчистовой на чистовую</t>
  </si>
  <si>
    <t>5/3-06/262</t>
  </si>
  <si>
    <t>Немчинов Иван Юрьевич</t>
  </si>
  <si>
    <t>waanneek@mail.ru</t>
  </si>
  <si>
    <t>5/1-07/047</t>
  </si>
  <si>
    <t>Краснова Анастасия Аркадьевна</t>
  </si>
  <si>
    <t>krasnovaanastasia07@gmail.com</t>
  </si>
  <si>
    <t>5/4-07/441</t>
  </si>
  <si>
    <t>Вильданова Гелия Равилевна</t>
  </si>
  <si>
    <t>iagr73-63@mail.ru</t>
  </si>
  <si>
    <t>5/1-12/083</t>
  </si>
  <si>
    <t>Мечова Марина Викторовна</t>
  </si>
  <si>
    <t>marinabezsanova@gmail.com</t>
  </si>
  <si>
    <t>Коммерческое помещение</t>
  </si>
  <si>
    <t>4/3-01/012</t>
  </si>
  <si>
    <t>5/4-11/475</t>
  </si>
  <si>
    <t>Меделяева Марина Викторовна</t>
  </si>
  <si>
    <t>Marinamedelaeva@gmail.com</t>
  </si>
  <si>
    <t>5/2-15/210</t>
  </si>
  <si>
    <t>Циунель Мария Олеговна</t>
  </si>
  <si>
    <t>msoloma@internet.ru</t>
  </si>
  <si>
    <t>стратегический объект Вита</t>
  </si>
  <si>
    <t>стратегический объект ДС Мармеладки</t>
  </si>
  <si>
    <t>5/4-05/428</t>
  </si>
  <si>
    <t>Клянин Евгений Витальевич</t>
  </si>
  <si>
    <t>klyanin6@gmail.com</t>
  </si>
  <si>
    <t>5/3-10/286</t>
  </si>
  <si>
    <t>Левагина Екатерина Максимовна</t>
  </si>
  <si>
    <t>struna.14sd@mail.ru</t>
  </si>
  <si>
    <t>5/4-13/487</t>
  </si>
  <si>
    <t>2679057@mail.ru</t>
  </si>
  <si>
    <t>Подсохина Ольга Анатольевна</t>
  </si>
  <si>
    <t>ol.bxgg@mail.ru</t>
  </si>
  <si>
    <t>Сайдалиев Муслим Давляталиевич</t>
  </si>
  <si>
    <t>Kombiz_1997@bk.ru</t>
  </si>
  <si>
    <t>Васнёва Динара Расимовна</t>
  </si>
  <si>
    <t>aysi.92@mail.ru</t>
  </si>
  <si>
    <t>Сулейманова Сакина Паша Кызы</t>
  </si>
  <si>
    <t>valieva.sakina@mail.ru</t>
  </si>
  <si>
    <t>Сочивко Светлана</t>
  </si>
  <si>
    <t>s-sochivko@mail.ru</t>
  </si>
  <si>
    <t>5/4-18/532</t>
  </si>
  <si>
    <t>Филиппова Виктория Алексеевна</t>
  </si>
  <si>
    <t>vikatkach2002@mail.ru</t>
  </si>
  <si>
    <t>Н - Тими</t>
  </si>
  <si>
    <t>Курбанова Равзат Мусаевна</t>
  </si>
  <si>
    <t>Roma.kurbanov.800@mail.ru</t>
  </si>
  <si>
    <t>Смирнова Татьяна Юрьевна</t>
  </si>
  <si>
    <t>smirnova.tat60@list.ru</t>
  </si>
  <si>
    <t>Пописташ Борис Викторович</t>
  </si>
  <si>
    <t>boris@rachitele.ru</t>
  </si>
  <si>
    <t>Пономарев Андрей Александрович</t>
  </si>
  <si>
    <t>4/2-13/213</t>
  </si>
  <si>
    <t>Баркова Галина Евгеньевна</t>
  </si>
  <si>
    <t>galya.barkova.77@mail.ru</t>
  </si>
  <si>
    <t>5/4-03/409</t>
  </si>
  <si>
    <t>Туйзюкова Ольга Петровна</t>
  </si>
  <si>
    <t>ат-бот</t>
  </si>
  <si>
    <t>Донорская</t>
  </si>
  <si>
    <t>5/4-05/425</t>
  </si>
  <si>
    <t>Пантелеева Ирина Сергеевна</t>
  </si>
  <si>
    <t>iriska7787@mail.ru</t>
  </si>
  <si>
    <t>5/1-06/036</t>
  </si>
  <si>
    <t>Шигильчин Вадим Михайлович</t>
  </si>
  <si>
    <t>wm2486@yandex.ru</t>
  </si>
  <si>
    <t>5/4-05/421</t>
  </si>
  <si>
    <t>Савельев Владимир Владимирович</t>
  </si>
  <si>
    <t>vladsava84@mail.ru</t>
  </si>
  <si>
    <t>АГК-401-А-02-008</t>
  </si>
  <si>
    <t>АГК-401-А-03-009</t>
  </si>
  <si>
    <t>АГК-401-А-04-010</t>
  </si>
  <si>
    <t>АГК-401-А-05-011</t>
  </si>
  <si>
    <t>АГК-401-А-06-012</t>
  </si>
  <si>
    <t>АГК-401-А-07-013</t>
  </si>
  <si>
    <t>АГК-401-А-08-014</t>
  </si>
  <si>
    <t>АГК-401-А-09-015</t>
  </si>
  <si>
    <t>АГК-401-А-10-016</t>
  </si>
  <si>
    <t>Ефимов Алексей Михайлович</t>
  </si>
  <si>
    <t>Arus-75@mail.ru</t>
  </si>
  <si>
    <t>Новоселье близко</t>
  </si>
  <si>
    <t>Сейсалиев Сержан Фаритович</t>
  </si>
  <si>
    <t>Seysaliev@bk.ru</t>
  </si>
  <si>
    <t>4/3-19/366</t>
  </si>
  <si>
    <t>Хачатурян Армине Робиковна</t>
  </si>
  <si>
    <t>Arminka.khachaturyan.94@mail.ru</t>
  </si>
  <si>
    <t>Рузиев Абдурашид Джуракулович</t>
  </si>
  <si>
    <t>Adu_9595@inbox.ru</t>
  </si>
  <si>
    <t>4/3-22/382</t>
  </si>
  <si>
    <t>Меметова Фериде Изетовна</t>
  </si>
  <si>
    <t>Feride92b@yandex.ru</t>
  </si>
  <si>
    <t>Солоненко</t>
  </si>
  <si>
    <t>Афанасьева Елена Александровна</t>
  </si>
  <si>
    <t>e.a.afanaseva05@gmail.com</t>
  </si>
  <si>
    <t>5/3-16/333</t>
  </si>
  <si>
    <t>Чистякова Ольга Анатольевна</t>
  </si>
  <si>
    <t>e-thistykow@yandex.ru</t>
  </si>
  <si>
    <t>5/3-15/321</t>
  </si>
  <si>
    <t>Мордашова Елена Викторовна</t>
  </si>
  <si>
    <t>fedorchevalenochka84@gmail.com</t>
  </si>
  <si>
    <t>5/4-08/446</t>
  </si>
  <si>
    <t>Землянова Елена Валерьевна</t>
  </si>
  <si>
    <t>lenadima1806@gmail.com</t>
  </si>
  <si>
    <t>5/3-07/267</t>
  </si>
  <si>
    <t>Шалунова Ольга Борисовна</t>
  </si>
  <si>
    <t>olenka-lite@mail.ru</t>
  </si>
  <si>
    <t>5/4-15/507</t>
  </si>
  <si>
    <t>Очеретенко Дмитрий Петрович</t>
  </si>
  <si>
    <t>ocheretenkod@yandex.ru</t>
  </si>
  <si>
    <t>7,9% на 12 месяцев, далее 19,9</t>
  </si>
  <si>
    <t>5/3-18/346</t>
  </si>
  <si>
    <t>Акопян Даниил Гарушович</t>
  </si>
  <si>
    <t>2018dany1998@gmail.com</t>
  </si>
  <si>
    <t>4/3-20/368</t>
  </si>
  <si>
    <t>Лымарева Елена Владимировна</t>
  </si>
  <si>
    <t>mrstaraz@mail.ru</t>
  </si>
  <si>
    <t>dmitri56110683@gmail.com</t>
  </si>
  <si>
    <t>4/3-23/389</t>
  </si>
  <si>
    <t>Нурдинов Николай Искендарович</t>
  </si>
  <si>
    <t>nikolai_9@mail.ru</t>
  </si>
  <si>
    <t>Фикс 04.09.24</t>
  </si>
  <si>
    <t>5/3-23/377</t>
  </si>
  <si>
    <t>Рыбакин Степан Анатольевич</t>
  </si>
  <si>
    <t>stepan.rybakin@mal.ru</t>
  </si>
  <si>
    <t>04.09.2024 +500
0К - Б2; 1К - А3;
2К - А6, Б4, В3, Г5</t>
  </si>
  <si>
    <t>Субсидия 961094,00</t>
  </si>
  <si>
    <t>4/3-12/316</t>
  </si>
  <si>
    <t>Грамзина Екатерина Константиновна</t>
  </si>
  <si>
    <t>gramzin2015@yandex.ru</t>
  </si>
  <si>
    <t>5/4-10/464</t>
  </si>
  <si>
    <t>Милохов Никита Максимович</t>
  </si>
  <si>
    <t>Farikbuharik@mail.ru</t>
  </si>
  <si>
    <t>Фикс 16.09.2024</t>
  </si>
  <si>
    <t>Наценка 16.09.2024
1К: А1,В7,Г6/7,Г8 - 2%
2К: А4,А5,А6,Б1,Б6,Б3/4,В3,В4,Г4,Г5 - 4%
3К: 4%</t>
  </si>
  <si>
    <t>Скидка семьям с детьми с ОВЗ</t>
  </si>
  <si>
    <t>4/3-19/363</t>
  </si>
  <si>
    <t>Чекунов Владимир Леонидович</t>
  </si>
  <si>
    <t>vthebast1990@mail.ru</t>
  </si>
  <si>
    <t>5/4-02/401</t>
  </si>
  <si>
    <t>Иглин Дмитрий Олегович</t>
  </si>
  <si>
    <t>d89879808981@ya.ru</t>
  </si>
  <si>
    <t>5/2-08/160</t>
  </si>
  <si>
    <t>Козяев Роман Иванович</t>
  </si>
  <si>
    <t>roman.kozyaev2017@yandex.ru</t>
  </si>
  <si>
    <t>5/4-16/512</t>
  </si>
  <si>
    <t>chugunov7575@bk.ru</t>
  </si>
  <si>
    <t>5/2-06/148</t>
  </si>
  <si>
    <t>Набиева Мукаддасхон Нозимджоновна</t>
  </si>
  <si>
    <t>mukaddaskhon79@bk.ru</t>
  </si>
  <si>
    <t>5/3-06/263</t>
  </si>
  <si>
    <t>Арефьев Михаил Олегович</t>
  </si>
  <si>
    <t>nievazhno2012@mail.ru</t>
  </si>
  <si>
    <t>5/1-08/049</t>
  </si>
  <si>
    <t>Глазунов Игорь Юрьевич</t>
  </si>
  <si>
    <t>igorglazunov93@gmail.com</t>
  </si>
  <si>
    <t>Столбец12</t>
  </si>
  <si>
    <t>5/3-05/253</t>
  </si>
  <si>
    <t>Гаврилов Павел Сергеевич</t>
  </si>
  <si>
    <t>PavelGavrilov163@yandex.ru</t>
  </si>
  <si>
    <t>5/3-15/324</t>
  </si>
  <si>
    <t>Сынкова Елена Сергеевна</t>
  </si>
  <si>
    <t>bannikova.lenochka11@yandex.ru</t>
  </si>
  <si>
    <t>5/3-02/234</t>
  </si>
  <si>
    <t>Алексеева Екатерина Александровна</t>
  </si>
  <si>
    <t>79122772452@yandex.ru</t>
  </si>
  <si>
    <t>5/1-05/032</t>
  </si>
  <si>
    <t>Киреев Алексей Александрович</t>
  </si>
  <si>
    <t>alexs.kireev@gmail.com</t>
  </si>
  <si>
    <t>идогенерация</t>
  </si>
  <si>
    <t>4/4-14/512</t>
  </si>
  <si>
    <t>Якимов Василий Игоревич</t>
  </si>
  <si>
    <t>ericvicemusic@gmail.com</t>
  </si>
  <si>
    <t>4/3-02/246</t>
  </si>
  <si>
    <t>Косимов Ахрор Исломович</t>
  </si>
  <si>
    <t>kosimovahror08@gmail.com</t>
  </si>
  <si>
    <t>4/3-20/370</t>
  </si>
  <si>
    <t>Буланов Артём Витальевич</t>
  </si>
  <si>
    <t>mariag0rb@yandex.ru</t>
  </si>
  <si>
    <t>Итого по 2027</t>
  </si>
  <si>
    <t>СВОД все дома 2027</t>
  </si>
  <si>
    <t>svetlana_kosyrev@mail.ru</t>
  </si>
  <si>
    <t>5/4-24/573</t>
  </si>
  <si>
    <t>Горбачева Наталья Евгеньевна</t>
  </si>
  <si>
    <t>natali.e.r@mail.ru</t>
  </si>
  <si>
    <t>5/4-20/541</t>
  </si>
  <si>
    <t>Лайкова Екатерина Алексеевна</t>
  </si>
  <si>
    <t>katya_laykova@mail.ru</t>
  </si>
  <si>
    <t>5/4-19/540</t>
  </si>
  <si>
    <t>Ланьшова Юлия Сергеевна</t>
  </si>
  <si>
    <t>inkar-mebel@yandex.ru</t>
  </si>
  <si>
    <t>Парикмахерская 21,3 м2  / Яндекс 22,8 м2</t>
  </si>
  <si>
    <t>Аптека Вита 38,8 м2 / Детский центр Гениум 35,20 м2</t>
  </si>
  <si>
    <t>5/3-03/241</t>
  </si>
  <si>
    <t>ВБРР</t>
  </si>
  <si>
    <t>Померанцев Денис Михайлович</t>
  </si>
  <si>
    <t>samara163pomer@yandex.ru</t>
  </si>
  <si>
    <t>5/1-15/102</t>
  </si>
  <si>
    <t>Гусейнов Магомед Курбанович</t>
  </si>
  <si>
    <t>aida.rashkueva@bk.ru</t>
  </si>
  <si>
    <t>5/2-02/122</t>
  </si>
  <si>
    <t>Аюев Александр Владимирович</t>
  </si>
  <si>
    <t>89276967303@yandex.ru</t>
  </si>
  <si>
    <t>5/4-17/520</t>
  </si>
  <si>
    <t>Архипов Роман Сергеевич</t>
  </si>
  <si>
    <t>romahram.yr@mail.ru</t>
  </si>
  <si>
    <t>5/1-05/028</t>
  </si>
  <si>
    <t>Панарина Ирина Владимировна</t>
  </si>
  <si>
    <t>Panarinai@yandex.ru</t>
  </si>
  <si>
    <t>Индивидуальная скидка партнеру (Абсолют банк)</t>
  </si>
  <si>
    <t>Схема продажи</t>
  </si>
  <si>
    <t>Доплата</t>
  </si>
  <si>
    <t>Стоимость с доплатой</t>
  </si>
  <si>
    <t>5/3-14/316</t>
  </si>
  <si>
    <t>Саханова Анастасия Владиславовна</t>
  </si>
  <si>
    <t>Ereminaav@dalimo.ru</t>
  </si>
  <si>
    <t>СО ДДУ</t>
  </si>
  <si>
    <t>СО ПП</t>
  </si>
  <si>
    <t>СО сверка</t>
  </si>
  <si>
    <t>401/2-13/090</t>
  </si>
  <si>
    <t>401/1-03/063</t>
  </si>
  <si>
    <t>401/1-06/079</t>
  </si>
  <si>
    <t>5/1-13/090</t>
  </si>
  <si>
    <t>Мхитарян Джульета Арамаисовна</t>
  </si>
  <si>
    <t>shik_akchik@mail.ru</t>
  </si>
  <si>
    <t>5/4-21/550</t>
  </si>
  <si>
    <t>Власик Дилором Алижоновна</t>
  </si>
  <si>
    <t>diloromvlasik20@yandex.ru</t>
  </si>
  <si>
    <t>5/1-16/111</t>
  </si>
  <si>
    <t>Сафиулина Анжела Сергеевна</t>
  </si>
  <si>
    <t>lvovalova79@mail.ru</t>
  </si>
  <si>
    <t>5/1-14/096</t>
  </si>
  <si>
    <t>5/3-18/347</t>
  </si>
  <si>
    <t>Петрова Ксения Олеговна</t>
  </si>
  <si>
    <t>ksenia.tkachenko6@gmail.com</t>
  </si>
  <si>
    <t>5/2-03/126</t>
  </si>
  <si>
    <t>Гизатулин Тимур Русланович</t>
  </si>
  <si>
    <t>shot.977@yandex.ru</t>
  </si>
  <si>
    <t>Стоимость + О</t>
  </si>
  <si>
    <t>Nsn0112@mail.ru</t>
  </si>
  <si>
    <t>5/3-08/276</t>
  </si>
  <si>
    <t>Кодиров Бобур Акмалович</t>
  </si>
  <si>
    <t>boburkodirov19@gmail.com</t>
  </si>
  <si>
    <t>5/1-10/066</t>
  </si>
  <si>
    <t>Василишин Егор</t>
  </si>
  <si>
    <t>egorvas2003@gmail.com</t>
  </si>
  <si>
    <t>5/1-12/077</t>
  </si>
  <si>
    <t>Акбулатова Айнагуль Наурызбаевна</t>
  </si>
  <si>
    <t>akbulatova.di@icloud.com</t>
  </si>
  <si>
    <t>5/1-02/009</t>
  </si>
  <si>
    <t>Черепова Оксана Викторовна</t>
  </si>
  <si>
    <t>burdyganova.o@sgspu.ru</t>
  </si>
  <si>
    <t>5/2-10/175</t>
  </si>
  <si>
    <t>Сергеев Дмитрий Владимирович</t>
  </si>
  <si>
    <t>ds44sergeev@ya.ru</t>
  </si>
  <si>
    <t>Н - ДомКлик</t>
  </si>
  <si>
    <t>5/3-14/313</t>
  </si>
  <si>
    <t>Филатова Екатерина Алексеевна</t>
  </si>
  <si>
    <t>Katerina110295@rambler.ru</t>
  </si>
  <si>
    <t>5/3-17/338</t>
  </si>
  <si>
    <t>Кожевникова Татьяна Борисовна</t>
  </si>
  <si>
    <t>Tatka_b81@mail.ru</t>
  </si>
  <si>
    <t>Фикс 24.10.24</t>
  </si>
  <si>
    <t>5/1-07/048</t>
  </si>
  <si>
    <t>Петров Дмитрий Николаевич</t>
  </si>
  <si>
    <t>dimapetrov888@yandex.ru</t>
  </si>
  <si>
    <t>5/3-12/302</t>
  </si>
  <si>
    <t>Сарханова Альфия Рифхатовна</t>
  </si>
  <si>
    <t>alfiya.sarkhanova.92@mail.ru</t>
  </si>
  <si>
    <t>5/3-07/269</t>
  </si>
  <si>
    <t>Блажева Татьяна Ивановна</t>
  </si>
  <si>
    <t>irene.lukich.l7@mail.ru</t>
  </si>
  <si>
    <t>kcvladimirovna@yandex.ru</t>
  </si>
  <si>
    <t>5/3-16/330</t>
  </si>
  <si>
    <t>Тарасевич Алексей Сергеевич</t>
  </si>
  <si>
    <t>Tarasevich97@internet.ru</t>
  </si>
  <si>
    <t>5/4-02/402</t>
  </si>
  <si>
    <t>Морозова Марина Геннадьевна</t>
  </si>
  <si>
    <t>ivanmorozov77@inbox.ru</t>
  </si>
  <si>
    <t>5/3-22/370</t>
  </si>
  <si>
    <t>Ли Евгений Александрович</t>
  </si>
  <si>
    <t>lievgenij111@gmail.com</t>
  </si>
  <si>
    <t>5/2-09/171</t>
  </si>
  <si>
    <t>Данилина Наталья Александровна</t>
  </si>
  <si>
    <t>danilinaleksa@yandex.ru</t>
  </si>
  <si>
    <t>5/3-07/265</t>
  </si>
  <si>
    <t>Маркова Анастасия Владимировна</t>
  </si>
  <si>
    <t>etna4ka@gmail.com</t>
  </si>
  <si>
    <t>5/2-05/142</t>
  </si>
  <si>
    <t>Иванченко Ирина Ивановна</t>
  </si>
  <si>
    <t>irishka9580@mail.ru</t>
  </si>
  <si>
    <t>Наценка 24.10.24 индивид за КВ</t>
  </si>
  <si>
    <t>5/4-08/445</t>
  </si>
  <si>
    <t>Макарова Елена Николаевна</t>
  </si>
  <si>
    <t>En.makarowa@yandex.ru</t>
  </si>
  <si>
    <t>5/4-14/500</t>
  </si>
  <si>
    <t>Дуспулов Канат Сакиевич</t>
  </si>
  <si>
    <t>Duspulov@gmail.com</t>
  </si>
  <si>
    <t>5/3-09/283</t>
  </si>
  <si>
    <t>Курбанов Нурилислам Алилович</t>
  </si>
  <si>
    <t>Nurik.dag1990@gmail.com</t>
  </si>
  <si>
    <t>5/3-23/376</t>
  </si>
  <si>
    <t>Мирзоева Арзу Худаверди кызы</t>
  </si>
  <si>
    <t>arzu.mirzayeva.20@bk.ru</t>
  </si>
  <si>
    <t>5/4-15/501</t>
  </si>
  <si>
    <t>Коновалова Лариса Леонидовна</t>
  </si>
  <si>
    <t>dr.L.L.Konovalova@yandex.ru</t>
  </si>
  <si>
    <t>5/4-23/571</t>
  </si>
  <si>
    <t>Оруджев Маил Малик Оглы</t>
  </si>
  <si>
    <t>mail.orucov@mail.ru</t>
  </si>
  <si>
    <t>Наценка 01.11.24
СТ: 4%
1К: 34-40м 5%; 40м+ 8%; МГН 1%
2К: 55-70м 6%; 70-73м 7%; 73-76м 8% 
3К: 5%</t>
  </si>
  <si>
    <t>Фикс 01.11.24</t>
  </si>
  <si>
    <t>5/3-20/355</t>
  </si>
  <si>
    <t>Теплов Артем Александрович</t>
  </si>
  <si>
    <t>Teplov527@gmail.com</t>
  </si>
  <si>
    <t>5/3-18/341</t>
  </si>
  <si>
    <t>Абдурахмонов Файзулло Умаркосимович</t>
  </si>
  <si>
    <t>fayzulloabduraxmonov8751@gmail.com</t>
  </si>
  <si>
    <t>5/4-04/420</t>
  </si>
  <si>
    <t>Черникова Елена Константиновна</t>
  </si>
  <si>
    <t>ecernikova518@gmail.com</t>
  </si>
  <si>
    <t>Скидка ИТ</t>
  </si>
  <si>
    <t>Фикс 06.11.24</t>
  </si>
  <si>
    <t>5/3-09/281</t>
  </si>
  <si>
    <t>Чернова Елена Михайловна</t>
  </si>
  <si>
    <t>cherri880@bk.ru</t>
  </si>
  <si>
    <t>Наценка 06.11 13%</t>
  </si>
  <si>
    <t>401/1-07/083</t>
  </si>
  <si>
    <t>Насибов Ровшан Эльчин Оглы</t>
  </si>
  <si>
    <t>nasibov07@yandex.ru</t>
  </si>
  <si>
    <t>5/3-13/306</t>
  </si>
  <si>
    <t>Богомолова Татьяна Васильевна</t>
  </si>
  <si>
    <t>tbogoolova@mail.ru</t>
  </si>
  <si>
    <t>5/4-12/480</t>
  </si>
  <si>
    <t>Яздонов Баходурджон Бахтиёрович</t>
  </si>
  <si>
    <t>yazdanov.bahodur94@gmail.com</t>
  </si>
  <si>
    <t>5/4-14/495</t>
  </si>
  <si>
    <t>Заика Алина Владимировна</t>
  </si>
  <si>
    <t>alinazaika55007@gmail.com</t>
  </si>
  <si>
    <t>5/2-11/184</t>
  </si>
  <si>
    <t>Маркушин Сергей Андреевич</t>
  </si>
  <si>
    <t>sergeimarkushin2022@mail.ru</t>
  </si>
  <si>
    <t>5/4-07/440</t>
  </si>
  <si>
    <t>Жумагалиева Диана Максудовна</t>
  </si>
  <si>
    <t>diana_56.90@mail.ru</t>
  </si>
  <si>
    <t>Черная пятница</t>
  </si>
  <si>
    <t>5/2-05/145</t>
  </si>
  <si>
    <t>Шигирданов Сергей Геннадьевич</t>
  </si>
  <si>
    <t>sergeev.mf2013@mail.ru</t>
  </si>
  <si>
    <t>401/2-14/051</t>
  </si>
  <si>
    <t>Мусаева Полина Владимировна</t>
  </si>
  <si>
    <t>pol.musaewa@yandex.ru</t>
  </si>
  <si>
    <t>Фикс 21.11.24
доплата за КВ</t>
  </si>
  <si>
    <t>Фикс 21.11.24</t>
  </si>
  <si>
    <t>5/2-16/217</t>
  </si>
  <si>
    <t>Разумова Анастасия Рафаэльевна</t>
  </si>
  <si>
    <t>Usypova90@mail.ru</t>
  </si>
  <si>
    <t>401/2-05/015</t>
  </si>
  <si>
    <t>Юлдашева Тахмина Тахировна</t>
  </si>
  <si>
    <t>tahmina9796@mail.ru</t>
  </si>
  <si>
    <t>5/4-17/518</t>
  </si>
  <si>
    <t>Мороз Владимир Сергеевич</t>
  </si>
  <si>
    <t>Vovamoroz13@mail.ru</t>
  </si>
  <si>
    <t>5/2-14/202</t>
  </si>
  <si>
    <t>Курбангалеев Евгений Федорович</t>
  </si>
  <si>
    <t>reconsmr@yandex.ru</t>
  </si>
  <si>
    <t>5/4-24/575</t>
  </si>
  <si>
    <t>Трифонова Дарья Евгеньевна</t>
  </si>
  <si>
    <t>daratrifonova591@mail.ru</t>
  </si>
  <si>
    <t>Скидка для IT</t>
  </si>
  <si>
    <t>5/3-05/250</t>
  </si>
  <si>
    <t>Вахобов Жасурбек Зафарчонович</t>
  </si>
  <si>
    <t>vahobovjasur9798@gmail.com</t>
  </si>
  <si>
    <t>5/3-15/326</t>
  </si>
  <si>
    <t>Уваров Дмитрий Борисович</t>
  </si>
  <si>
    <t>dbuvarov@gmail.com</t>
  </si>
  <si>
    <t>5/3-17/335</t>
  </si>
  <si>
    <t>Демина Эльвира Рашитовна</t>
  </si>
  <si>
    <t>elvira.gizatulina94@gmail.com</t>
  </si>
  <si>
    <t>03.12.2024
2к-3к = 130 000
+2% ЗА ПАНАРАМУ</t>
  </si>
  <si>
    <t>Фикс 03.12.2024</t>
  </si>
  <si>
    <t>02.12.2024</t>
  </si>
  <si>
    <t>Фикс 20.12.24</t>
  </si>
  <si>
    <t>проверка стоимости</t>
  </si>
  <si>
    <t>Проверка отделки</t>
  </si>
  <si>
    <t>4 Квартал Дом 2</t>
  </si>
  <si>
    <t>АГ-402-А-02-01-001</t>
  </si>
  <si>
    <t>АГ-402-А-02-02-002</t>
  </si>
  <si>
    <t>АГ-402-А-02-03-003</t>
  </si>
  <si>
    <t>АГ-402-А-02-04-004</t>
  </si>
  <si>
    <t>АГ-402-А-02-05-005</t>
  </si>
  <si>
    <t>АГ-402-А-02-06-006</t>
  </si>
  <si>
    <t>АГ-402-А-03-01-007</t>
  </si>
  <si>
    <t>АГ-402-А-03-02-008</t>
  </si>
  <si>
    <t>АГ-402-А-03-03-009</t>
  </si>
  <si>
    <t>АГ-402-А-03-04-010</t>
  </si>
  <si>
    <t>АГ-402-А-03-05-011</t>
  </si>
  <si>
    <t>АГ-402-А-03-06-012</t>
  </si>
  <si>
    <t>АГ-402-А-04-01-013</t>
  </si>
  <si>
    <t>АГ-402-А-04-02-014</t>
  </si>
  <si>
    <t>АГ-402-А-04-03-015</t>
  </si>
  <si>
    <t>АГ-402-А-04-04-016</t>
  </si>
  <si>
    <t>АГ-402-А-04-05-017</t>
  </si>
  <si>
    <t>АГ-402-А-04-06-018</t>
  </si>
  <si>
    <t>АГ-402-А-05-01-019</t>
  </si>
  <si>
    <t>АГ-402-А-05-02-020</t>
  </si>
  <si>
    <t>АГ-402-А-05-03-021</t>
  </si>
  <si>
    <t>АГ-402-А-05-04-022</t>
  </si>
  <si>
    <t>АГ-402-А-05-05-023</t>
  </si>
  <si>
    <t>АГ-402-А-05-06-024</t>
  </si>
  <si>
    <t>АГ-402-А-06-01-025</t>
  </si>
  <si>
    <t>АГ-402-А-06-02-026</t>
  </si>
  <si>
    <t>АГ-402-А-06-03-027</t>
  </si>
  <si>
    <t>АГ-402-А-06-04-028</t>
  </si>
  <si>
    <t>АГ-402-А-06-05-029</t>
  </si>
  <si>
    <t>АГ-402-А-06-06-030</t>
  </si>
  <si>
    <t>АГ-402-А-07-01-031</t>
  </si>
  <si>
    <t>АГ-402-А-07-02-032</t>
  </si>
  <si>
    <t>АГ-402-А-07-03-033</t>
  </si>
  <si>
    <t>АГ-402-А-07-04-034</t>
  </si>
  <si>
    <t>АГ-402-А-07-05-035</t>
  </si>
  <si>
    <t>АГ-402-А-07-06-036</t>
  </si>
  <si>
    <t>АГ-402-А-08-01-037</t>
  </si>
  <si>
    <t>АГ-402-А-08-02-038</t>
  </si>
  <si>
    <t>АГ-402-А-08-03-039</t>
  </si>
  <si>
    <t>АГ-402-А-08-04-040</t>
  </si>
  <si>
    <t>АГ-402-А-08-05-041</t>
  </si>
  <si>
    <t>АГ-402-А-08-06-042</t>
  </si>
  <si>
    <t>АГ-402-А-09-01-043</t>
  </si>
  <si>
    <t>АГ-402-А-09-02-044</t>
  </si>
  <si>
    <t>АГ-402-А-09-03-045</t>
  </si>
  <si>
    <t>АГ-402-А-09-04-046</t>
  </si>
  <si>
    <t>АГ-402-А-09-05-047</t>
  </si>
  <si>
    <t>АГ-402-А-09-06-048</t>
  </si>
  <si>
    <t>АГ-402-А-10-01-049</t>
  </si>
  <si>
    <t>АГ-402-А-10-02-050</t>
  </si>
  <si>
    <t>АГ-402-А-10-03-051</t>
  </si>
  <si>
    <t>АГ-402-А-10-04-052</t>
  </si>
  <si>
    <t>АГ-402-А-10-05-053</t>
  </si>
  <si>
    <t>АГ-402-А-10-06-054</t>
  </si>
  <si>
    <t>АГ-402-А-11-01-055</t>
  </si>
  <si>
    <t>АГ-402-А-11-02-056</t>
  </si>
  <si>
    <t>АГ-402-А-11-03-057</t>
  </si>
  <si>
    <t>АГ-402-А-11-04-058</t>
  </si>
  <si>
    <t>АГ-402-А-11-05-059</t>
  </si>
  <si>
    <t>АГ-402-А-11-06-060</t>
  </si>
  <si>
    <t>АГ-402-А-12-01-061</t>
  </si>
  <si>
    <t>АГ-402-А-12-02-062</t>
  </si>
  <si>
    <t>АГ-402-А-12-03-063</t>
  </si>
  <si>
    <t>АГ-402-А-12-04-064</t>
  </si>
  <si>
    <t>АГ-402-А-12-05-065</t>
  </si>
  <si>
    <t>АГ-402-А-12-06-066</t>
  </si>
  <si>
    <t>АГ-402-А-13-01-067</t>
  </si>
  <si>
    <t>АГ-402-А-13-02-068</t>
  </si>
  <si>
    <t>АГ-402-А-13-03-069</t>
  </si>
  <si>
    <t>АГ-402-А-13-04-070</t>
  </si>
  <si>
    <t>АГ-402-А-13-05-071</t>
  </si>
  <si>
    <t>АГ-402-А-13-06-072</t>
  </si>
  <si>
    <t>АГ-402-А-14-01-073</t>
  </si>
  <si>
    <t>АГ-402-А-14-02-074</t>
  </si>
  <si>
    <t>АГ-402-А-14-03-075</t>
  </si>
  <si>
    <t>АГ-402-А-14-04-076</t>
  </si>
  <si>
    <t>АГ-402-А-14-05-077</t>
  </si>
  <si>
    <t>АГ-402-А-14-06-078</t>
  </si>
  <si>
    <t>АГ-402-А-15-01-079</t>
  </si>
  <si>
    <t>АГ-402-А-15-02-080</t>
  </si>
  <si>
    <t>АГ-402-А-15-03-081</t>
  </si>
  <si>
    <t>АГ-402-А-15-04-082</t>
  </si>
  <si>
    <t>АГ-402-А-15-05-083</t>
  </si>
  <si>
    <t>АГ-402-А-15-06-084</t>
  </si>
  <si>
    <t>АГ-402-А-16-01-085</t>
  </si>
  <si>
    <t>АГ-402-А-16-02-086</t>
  </si>
  <si>
    <t>АГ-402-А-16-03-087</t>
  </si>
  <si>
    <t>АГ-402-А-16-04-088</t>
  </si>
  <si>
    <t>АГ-402-А-16-05-089</t>
  </si>
  <si>
    <t>АГ-402-А-16-06-090</t>
  </si>
  <si>
    <t>АГ-402-А-17-01-091</t>
  </si>
  <si>
    <t>АГ-402-А-17-02-092</t>
  </si>
  <si>
    <t>АГ-402-А-17-03-093</t>
  </si>
  <si>
    <t>АГ-402-А-17-04-094</t>
  </si>
  <si>
    <t>АГ-402-А-17-05-095</t>
  </si>
  <si>
    <t>АГ-402-А-17-06-096</t>
  </si>
  <si>
    <t>АГ-402-А-18-01-097</t>
  </si>
  <si>
    <t>АГ-402-А-18-02-098</t>
  </si>
  <si>
    <t>АГ-402-А-18-03-099</t>
  </si>
  <si>
    <t>АГ-402-А-18-04-100</t>
  </si>
  <si>
    <t>АГ-402-А-18-05-101</t>
  </si>
  <si>
    <t>АГ-402-А-18-06-102</t>
  </si>
  <si>
    <t>АГ-402-А-19-01-103</t>
  </si>
  <si>
    <t>АГ-402-А-19-02-104</t>
  </si>
  <si>
    <t>АГ-402-А-19-03-105</t>
  </si>
  <si>
    <t>АГ-402-А-19-04-106</t>
  </si>
  <si>
    <t>АГ-402-А-19-05-107</t>
  </si>
  <si>
    <t>АГ-402-А-19-06-108</t>
  </si>
  <si>
    <t>АГ-402-Б-02-01-109</t>
  </si>
  <si>
    <t>АГ-402-Б-02-02-110</t>
  </si>
  <si>
    <t>АГ-402-Б-02-03-111</t>
  </si>
  <si>
    <t>АГ-402-Б-02-04-112</t>
  </si>
  <si>
    <t>АГ-402-Б-02-05-113</t>
  </si>
  <si>
    <t>АГ-402-Б-02-06-114</t>
  </si>
  <si>
    <t>АГ-402-Б-03-01-115</t>
  </si>
  <si>
    <t>АГ-402-Б-03-02-116</t>
  </si>
  <si>
    <t>АГ-402-Б-03-03-117</t>
  </si>
  <si>
    <t>АГ-402-Б-03-04-118</t>
  </si>
  <si>
    <t>АГ-402-Б-03-05-119</t>
  </si>
  <si>
    <t>АГ-402-Б-03-06-120</t>
  </si>
  <si>
    <t>АГ-402-Б-04-01-121</t>
  </si>
  <si>
    <t>АГ-402-Б-04-02-122</t>
  </si>
  <si>
    <t>АГ-402-Б-04-03-123</t>
  </si>
  <si>
    <t>АГ-402-Б-04-04-124</t>
  </si>
  <si>
    <t>АГ-402-Б-04-05-125</t>
  </si>
  <si>
    <t>АГ-402-Б-04-06-126</t>
  </si>
  <si>
    <t>АГ-402-Б-05-01-127</t>
  </si>
  <si>
    <t>АГ-402-Б-05-02-128</t>
  </si>
  <si>
    <t>АГ-402-Б-05-03-129</t>
  </si>
  <si>
    <t>АГ-402-Б-05-04-130</t>
  </si>
  <si>
    <t>АГ-402-Б-05-05-131</t>
  </si>
  <si>
    <t>АГ-402-Б-05-06-132</t>
  </si>
  <si>
    <t>АГ-402-Б-06-01-133</t>
  </si>
  <si>
    <t>АГ-402-Б-06-02-134</t>
  </si>
  <si>
    <t>АГ-402-Б-06-03-135</t>
  </si>
  <si>
    <t>АГ-402-Б-06-04-136</t>
  </si>
  <si>
    <t>АГ-402-Б-06-05-137</t>
  </si>
  <si>
    <t>АГ-402-Б-06-06-138</t>
  </si>
  <si>
    <t>АГ-402-Б-07-01-139</t>
  </si>
  <si>
    <t>АГ-402-Б-07-02-140</t>
  </si>
  <si>
    <t>АГ-402-Б-07-03-141</t>
  </si>
  <si>
    <t>АГ-402-Б-07-04-142</t>
  </si>
  <si>
    <t>АГ-402-Б-07-05-143</t>
  </si>
  <si>
    <t>АГ-402-Б-07-06-144</t>
  </si>
  <si>
    <t>АГ-402-Б-08-01-145</t>
  </si>
  <si>
    <t>АГ-402-Б-08-02-146</t>
  </si>
  <si>
    <t>АГ-402-Б-08-03-147</t>
  </si>
  <si>
    <t>АГ-402-Б-08-04-148</t>
  </si>
  <si>
    <t>АГ-402-Б-08-05-149</t>
  </si>
  <si>
    <t>АГ-402-Б-08-06-150</t>
  </si>
  <si>
    <t>АГ-402-Б-09-01-151</t>
  </si>
  <si>
    <t>АГ-402-Б-09-02-152</t>
  </si>
  <si>
    <t>АГ-402-Б-09-03-153</t>
  </si>
  <si>
    <t>АГ-402-Б-09-04-154</t>
  </si>
  <si>
    <t>АГ-402-Б-09-05-155</t>
  </si>
  <si>
    <t>АГ-402-Б-09-06-156</t>
  </si>
  <si>
    <t>АГ-402-Б-10-01-157</t>
  </si>
  <si>
    <t>АГ-402-Б-10-02-158</t>
  </si>
  <si>
    <t>АГ-402-Б-10-03-159</t>
  </si>
  <si>
    <t>АГ-402-Б-10-04-160</t>
  </si>
  <si>
    <t>АГ-402-Б-10-05-161</t>
  </si>
  <si>
    <t>АГ-402-Б-10-06-162</t>
  </si>
  <si>
    <t>АГ-402-Б-11-01-163</t>
  </si>
  <si>
    <t>АГ-402-Б-11-02-164</t>
  </si>
  <si>
    <t>АГ-402-Б-11-03-165</t>
  </si>
  <si>
    <t>АГ-402-Б-11-04-166</t>
  </si>
  <si>
    <t>АГ-402-Б-11-05-167</t>
  </si>
  <si>
    <t>АГ-402-Б-11-06-168</t>
  </si>
  <si>
    <t>АГ-402-Б-12-01-169</t>
  </si>
  <si>
    <t>АГ-402-Б-12-02-170</t>
  </si>
  <si>
    <t>АГ-402-Б-12-03-171</t>
  </si>
  <si>
    <t>АГ-402-Б-12-04-172</t>
  </si>
  <si>
    <t>АГ-402-Б-12-05-173</t>
  </si>
  <si>
    <t>АГ-402-Б-12-06-174</t>
  </si>
  <si>
    <t>АГ-402-Б-13-01-175</t>
  </si>
  <si>
    <t>АГ-402-Б-13-02-176</t>
  </si>
  <si>
    <t>АГ-402-Б-13-03-177</t>
  </si>
  <si>
    <t>АГ-402-Б-13-04-178</t>
  </si>
  <si>
    <t>АГ-402-Б-13-05-179</t>
  </si>
  <si>
    <t>АГ-402-Б-13-06-180</t>
  </si>
  <si>
    <t>АГ-402-В-02-01-181</t>
  </si>
  <si>
    <t>АГ-402-В-02-02-182</t>
  </si>
  <si>
    <t>АГ-402-В-02-03-183</t>
  </si>
  <si>
    <t>АГ-402-В-02-04-184</t>
  </si>
  <si>
    <t>АГ-402-В-02-05-185</t>
  </si>
  <si>
    <t>АГ-402-В-02-06-186</t>
  </si>
  <si>
    <t>АГ-402-В-03-01-187</t>
  </si>
  <si>
    <t>АГ-402-В-03-02-188</t>
  </si>
  <si>
    <t>АГ-402-В-03-03-189</t>
  </si>
  <si>
    <t>АГ-402-В-03-04-190</t>
  </si>
  <si>
    <t>АГ-402-В-03-05-191</t>
  </si>
  <si>
    <t>АГ-402-В-03-06-192</t>
  </si>
  <si>
    <t>АГ-402-В-04-01-193</t>
  </si>
  <si>
    <t>АГ-402-В-04-02-194</t>
  </si>
  <si>
    <t>АГ-402-В-04-03-195</t>
  </si>
  <si>
    <t>АГ-402-В-04-04-196</t>
  </si>
  <si>
    <t>АГ-402-В-04-05-197</t>
  </si>
  <si>
    <t>АГ-402-В-04-06-198</t>
  </si>
  <si>
    <t>АГ-402-В-05-01-199</t>
  </si>
  <si>
    <t>АГ-402-В-05-02-200</t>
  </si>
  <si>
    <t>АГ-402-В-05-03-201</t>
  </si>
  <si>
    <t>АГ-402-В-05-04-202</t>
  </si>
  <si>
    <t>АГ-402-В-05-05-203</t>
  </si>
  <si>
    <t>АГ-402-В-05-06-204</t>
  </si>
  <si>
    <t>АГ-402-В-06-01-205</t>
  </si>
  <si>
    <t>АГ-402-В-06-02-206</t>
  </si>
  <si>
    <t>АГ-402-В-06-03-207</t>
  </si>
  <si>
    <t>АГ-402-В-06-04-208</t>
  </si>
  <si>
    <t>АГ-402-В-06-05-209</t>
  </si>
  <si>
    <t>АГ-402-В-06-06-210</t>
  </si>
  <si>
    <t>АГ-402-В-07-01-211</t>
  </si>
  <si>
    <t>АГ-402-В-07-02-212</t>
  </si>
  <si>
    <t>АГ-402-В-07-03-213</t>
  </si>
  <si>
    <t>АГ-402-В-07-04-214</t>
  </si>
  <si>
    <t>АГ-402-В-07-05-215</t>
  </si>
  <si>
    <t>АГ-402-В-07-06-216</t>
  </si>
  <si>
    <t>АГ-402-В-08-01-217</t>
  </si>
  <si>
    <t>АГ-402-В-08-02-218</t>
  </si>
  <si>
    <t>АГ-402-В-08-03-219</t>
  </si>
  <si>
    <t>АГ-402-В-08-04-220</t>
  </si>
  <si>
    <t>АГ-402-В-08-05-221</t>
  </si>
  <si>
    <t>АГ-402-В-08-06-222</t>
  </si>
  <si>
    <t>АГ-402-В-09-01-223</t>
  </si>
  <si>
    <t>АГ-402-В-09-02-224</t>
  </si>
  <si>
    <t>АГ-402-В-09-03-225</t>
  </si>
  <si>
    <t>АГ-402-В-09-04-226</t>
  </si>
  <si>
    <t>АГ-402-В-09-05-227</t>
  </si>
  <si>
    <t>АГ-402-В-09-06-228</t>
  </si>
  <si>
    <t>АГ-402-В-10-01-229</t>
  </si>
  <si>
    <t>АГ-402-В-10-02-230</t>
  </si>
  <si>
    <t>АГ-402-В-10-03-231</t>
  </si>
  <si>
    <t>АГ-402-В-10-04-232</t>
  </si>
  <si>
    <t>АГ-402-В-10-05-233</t>
  </si>
  <si>
    <t>АГ-402-В-10-06-234</t>
  </si>
  <si>
    <t>АГ-402-В-11-01-235</t>
  </si>
  <si>
    <t>АГ-402-В-11-02-236</t>
  </si>
  <si>
    <t>АГ-402-В-11-03-237</t>
  </si>
  <si>
    <t>АГ-402-В-11-04-238</t>
  </si>
  <si>
    <t>АГ-402-В-11-05-239</t>
  </si>
  <si>
    <t>АГ-402-В-11-06-240</t>
  </si>
  <si>
    <t>АГ-402-В-12-01-241</t>
  </si>
  <si>
    <t>АГ-402-В-12-02-242</t>
  </si>
  <si>
    <t>АГ-402-В-12-03-243</t>
  </si>
  <si>
    <t>АГ-402-В-12-04-244</t>
  </si>
  <si>
    <t>АГ-402-В-12-05-245</t>
  </si>
  <si>
    <t>АГ-402-В-12-06-246</t>
  </si>
  <si>
    <t>АГ-402-В-13-01-247</t>
  </si>
  <si>
    <t>АГ-402-В-13-02-248</t>
  </si>
  <si>
    <t>АГ-402-В-13-03-249</t>
  </si>
  <si>
    <t>АГ-402-В-13-04-250</t>
  </si>
  <si>
    <t>АГ-402-В-13-05-251</t>
  </si>
  <si>
    <t>АГ-402-В-13-06-252</t>
  </si>
  <si>
    <t>АГ-402-В-14-01-253</t>
  </si>
  <si>
    <t>АГ-402-В-14-02-254</t>
  </si>
  <si>
    <t>АГ-402-В-14-03-255</t>
  </si>
  <si>
    <t>АГ-402-В-14-04-256</t>
  </si>
  <si>
    <t>АГ-402-В-14-05-257</t>
  </si>
  <si>
    <t>АГ-402-В-14-06-258</t>
  </si>
  <si>
    <t>АГ-402-В-15-01-259</t>
  </si>
  <si>
    <t>АГ-402-В-15-02-260</t>
  </si>
  <si>
    <t>АГ-402-В-15-03-261</t>
  </si>
  <si>
    <t>АГ-402-В-15-04-262</t>
  </si>
  <si>
    <t>АГ-402-В-15-05-263</t>
  </si>
  <si>
    <t>АГ-402-В-15-06-264</t>
  </si>
  <si>
    <t>АГ-402-В-16-01-265</t>
  </si>
  <si>
    <t>АГ-402-В-16-02-266</t>
  </si>
  <si>
    <t>АГ-402-В-16-03-267</t>
  </si>
  <si>
    <t>АГ-402-В-16-04-268</t>
  </si>
  <si>
    <t>АГ-402-В-16-05-269</t>
  </si>
  <si>
    <t>АГ-402-В-16-06-270</t>
  </si>
  <si>
    <t>АГ-402-В-17-01-271</t>
  </si>
  <si>
    <t>АГ-402-В-17-02-272</t>
  </si>
  <si>
    <t>АГ-402-В-17-03-273</t>
  </si>
  <si>
    <t>АГ-402-В-17-04-274</t>
  </si>
  <si>
    <t>АГ-402-В-17-05-275</t>
  </si>
  <si>
    <t>АГ-402-В-17-06-276</t>
  </si>
  <si>
    <t>АГ-402-В-18-01-277</t>
  </si>
  <si>
    <t>АГ-402-В-18-02-278</t>
  </si>
  <si>
    <t>АГ-402-В-18-03-279</t>
  </si>
  <si>
    <t>АГ-402-В-18-04-280</t>
  </si>
  <si>
    <t>АГ-402-В-18-05-281</t>
  </si>
  <si>
    <t>АГ-402-В-18-06-282</t>
  </si>
  <si>
    <t>АГ-402-В-19-01-283</t>
  </si>
  <si>
    <t>АГ-402-В-19-02-284</t>
  </si>
  <si>
    <t>АГ-402-В-19-03-285</t>
  </si>
  <si>
    <t>АГ-402-В-19-04-286</t>
  </si>
  <si>
    <t>АГ-402-В-19-05-287</t>
  </si>
  <si>
    <t>АГ-402-В-19-06-288</t>
  </si>
  <si>
    <t>проверка ст</t>
  </si>
  <si>
    <t>5/1-06/040</t>
  </si>
  <si>
    <t>Русскин Андрей Алексеевич</t>
  </si>
  <si>
    <t>e.yu.kislinskaya@reaviz.online</t>
  </si>
  <si>
    <t>5/4-17/523</t>
  </si>
  <si>
    <t>Пронин Александр Андреевич</t>
  </si>
  <si>
    <t>aleksandr.pronin.2001@gmail.com</t>
  </si>
  <si>
    <t>3/1-01/003</t>
  </si>
  <si>
    <t>СПЕЦУНИВЕРСАЛ</t>
  </si>
  <si>
    <t>Опорный пункт полиции</t>
  </si>
  <si>
    <t>Скидка для иногородних</t>
  </si>
  <si>
    <t>402/3-17/272</t>
  </si>
  <si>
    <t>4/2-01/005</t>
  </si>
  <si>
    <t>5/1-09/057</t>
  </si>
  <si>
    <t>Соколов Илья Константинович</t>
  </si>
  <si>
    <t>aleksa-survizova2011@yandex.ru</t>
  </si>
  <si>
    <t>401/1-09/096</t>
  </si>
  <si>
    <t>Неясова Марина Константиновна</t>
  </si>
  <si>
    <t>petrowaolga2010@yandex.ru</t>
  </si>
  <si>
    <t>402/3-17/271</t>
  </si>
  <si>
    <t>Богатова Ольга Александровна</t>
  </si>
  <si>
    <t>rex_samara@mail.ru</t>
  </si>
  <si>
    <t>5/4-16/513</t>
  </si>
  <si>
    <t>Самойлов Андрей Игоревич</t>
  </si>
  <si>
    <t>sert@aliansexpert.ru</t>
  </si>
  <si>
    <t>5/4-11/476</t>
  </si>
  <si>
    <t>Куанышева Талшын Зиноллаевна</t>
  </si>
  <si>
    <t>talsyn093@gmail.com</t>
  </si>
  <si>
    <t>401/2-14/050</t>
  </si>
  <si>
    <t>Германова Мария Сергеевна</t>
  </si>
  <si>
    <t>manuna9393@mail.ru</t>
  </si>
  <si>
    <t>Нуждина</t>
  </si>
  <si>
    <t>5/2-02/120</t>
  </si>
  <si>
    <t>Саблукова Юлия Валерьевна</t>
  </si>
  <si>
    <t>yulya.sablukova@internet.ru</t>
  </si>
  <si>
    <t>402/3-14/255</t>
  </si>
  <si>
    <t>Каргина Виктория Игоревна</t>
  </si>
  <si>
    <t>vsb125240@gmail.com</t>
  </si>
  <si>
    <t>Наценка 18.12.24 распределение КВ</t>
  </si>
  <si>
    <t>Фикс 18.12.24</t>
  </si>
  <si>
    <t>23.12.24 СП +1000</t>
  </si>
  <si>
    <t>Фикс 23.12.24</t>
  </si>
  <si>
    <t>5/4-11/469</t>
  </si>
  <si>
    <t>Гукасян Лилит Грантовна</t>
  </si>
  <si>
    <t>lilit13111993@mail.ru</t>
  </si>
  <si>
    <t>402/1-06/029</t>
  </si>
  <si>
    <t>Санталова Ольга Олеговна</t>
  </si>
  <si>
    <t>olya_sant@mail.ru</t>
  </si>
  <si>
    <t>5/3-06/259</t>
  </si>
  <si>
    <t>Тошмадов Халимжон Рахимович</t>
  </si>
  <si>
    <t>halimzontosmadov509@gmail.com</t>
  </si>
  <si>
    <t>5/4-14/493</t>
  </si>
  <si>
    <t>Дурандин Евгений Геннадьевич</t>
  </si>
  <si>
    <t>5/4-13/486</t>
  </si>
  <si>
    <t>Леднев Самуил Дмитриевич</t>
  </si>
  <si>
    <t>Samuillednev7@xmail.ru</t>
  </si>
  <si>
    <t>5/1-02/008</t>
  </si>
  <si>
    <t>Комарова Екатерина Феликсовна</t>
  </si>
  <si>
    <t>sara_6989@mail.ru</t>
  </si>
  <si>
    <t>401/2-04/010</t>
  </si>
  <si>
    <t>Усманов Айрат Сафиуллович</t>
  </si>
  <si>
    <t>nemesia55@mail.ru</t>
  </si>
  <si>
    <t>5/1-06/038</t>
  </si>
  <si>
    <t>Шустикова Лилия Ринатовна</t>
  </si>
  <si>
    <t>Shustikovda@yandex.ru</t>
  </si>
  <si>
    <t>4-1/1-03/009</t>
  </si>
  <si>
    <t>5/1-05/029</t>
  </si>
  <si>
    <t>Моисеев Алексей Евгеньевич</t>
  </si>
  <si>
    <t>moiseev_97@mail.ru</t>
  </si>
  <si>
    <t>5/4-15/503</t>
  </si>
  <si>
    <t>Явкаева Варианна Сергеевна</t>
  </si>
  <si>
    <t>varianna63@mail.ru</t>
  </si>
  <si>
    <t>4/2-01/006</t>
  </si>
  <si>
    <t>4 Квартал Дом №3</t>
  </si>
  <si>
    <t>Итого по 2028</t>
  </si>
  <si>
    <t>4 Квартал Дом 3</t>
  </si>
  <si>
    <t>Штуки</t>
  </si>
  <si>
    <t>Дома</t>
  </si>
  <si>
    <t>3 кв</t>
  </si>
  <si>
    <t>итог</t>
  </si>
  <si>
    <t>итого</t>
  </si>
  <si>
    <t>СВОД все дома 2028</t>
  </si>
  <si>
    <t>4 Квартал Дом №4</t>
  </si>
  <si>
    <t>402/1-09/047</t>
  </si>
  <si>
    <t>Котович Илья Сергеевич</t>
  </si>
  <si>
    <t>kotovich.i163@gmail.com</t>
  </si>
  <si>
    <t>5/3-19/350</t>
  </si>
  <si>
    <t>Исайчева Евгения Юрьевна</t>
  </si>
  <si>
    <t>isaicheva.zhenia@yandex.ru</t>
  </si>
  <si>
    <t>5/3-11/296</t>
  </si>
  <si>
    <t>Шнякин Кирилл Вячеславович</t>
  </si>
  <si>
    <t>shnyakin_kv@mail.ru</t>
  </si>
  <si>
    <t>Петрова</t>
  </si>
  <si>
    <t>402/3-10/230</t>
  </si>
  <si>
    <t>Смеловская Елена Сергеевна</t>
  </si>
  <si>
    <t>SmelovskyaES@aoekza.ru</t>
  </si>
  <si>
    <t>402/1-11/055</t>
  </si>
  <si>
    <t>Цой Сергей Александрович</t>
  </si>
  <si>
    <t>sergalets@gmail.com</t>
  </si>
  <si>
    <t>402/3-04/194</t>
  </si>
  <si>
    <t>Керосиров Дмитрий Николаевич</t>
  </si>
  <si>
    <t>roman0va.al3na@yandex.ru</t>
  </si>
  <si>
    <t>Факт АН</t>
  </si>
  <si>
    <t>% АН</t>
  </si>
  <si>
    <t>402/3-07/213</t>
  </si>
  <si>
    <t>Циммерман Алена Викторовна</t>
  </si>
  <si>
    <t>c_alena@list.ru</t>
  </si>
  <si>
    <t>5/4-05/422</t>
  </si>
  <si>
    <t>Ястребова Елена Александровна</t>
  </si>
  <si>
    <t>elenka1987@bk.ru</t>
  </si>
  <si>
    <t>402/1-13/071</t>
  </si>
  <si>
    <t>Семенова Евгения Павловна</t>
  </si>
  <si>
    <t>Kungurtcevaevgenya@gmail.com</t>
  </si>
  <si>
    <t>402/3-09/223</t>
  </si>
  <si>
    <t>Халитов Ленар Искендерович</t>
  </si>
  <si>
    <t>Lenarkhalitov116@mail.ru</t>
  </si>
  <si>
    <t>5/2-03/125</t>
  </si>
  <si>
    <t>Шуругина Кристина Валерьевна</t>
  </si>
  <si>
    <t>Tinac2360@gmail.com</t>
  </si>
  <si>
    <t>401/2-12/041</t>
  </si>
  <si>
    <t>Владимиров Иван Владимирович</t>
  </si>
  <si>
    <t>legioneer163@gmail.com</t>
  </si>
  <si>
    <t>Наценка 10.02.25 +1%
1К: А3
2К: Б3, В3</t>
  </si>
  <si>
    <t>Фикс 10.02.25</t>
  </si>
  <si>
    <t>402/1-11/059</t>
  </si>
  <si>
    <t>Пешкина Юлия Константиновна</t>
  </si>
  <si>
    <t>kovaleva.yuk@yandex.ru</t>
  </si>
  <si>
    <t>Н - ПГР</t>
  </si>
  <si>
    <t>5/1-11/072</t>
  </si>
  <si>
    <t>Банк России</t>
  </si>
  <si>
    <t>Долбин Дмитрий Сергеевич</t>
  </si>
  <si>
    <t>liam161@inbox.ru</t>
  </si>
  <si>
    <t>402/2-06/138</t>
  </si>
  <si>
    <t>Романова Елена Николаевна</t>
  </si>
  <si>
    <t>a88karaganda@mail.ru</t>
  </si>
  <si>
    <t>5/3-12/301</t>
  </si>
  <si>
    <t>Макарова Марина Владимировна</t>
  </si>
  <si>
    <t>korovkina084@gmail.com</t>
  </si>
  <si>
    <t>402/3-12/242</t>
  </si>
  <si>
    <t>Протопопова Полина Алексеевна</t>
  </si>
  <si>
    <t>Polya.protopopova@yandex.ru</t>
  </si>
  <si>
    <t>5/3-18/343</t>
  </si>
  <si>
    <t>Алижонова Фатима Абдулазизовна</t>
  </si>
  <si>
    <t>Fatima.3.03.2003@gmail.com</t>
  </si>
  <si>
    <t>402/3-11/235</t>
  </si>
  <si>
    <t>402/3-06/206</t>
  </si>
  <si>
    <t>Климов Евгений Евгеньевич</t>
  </si>
  <si>
    <t>evgeniy_klimov_1952@mail.ru</t>
  </si>
  <si>
    <t>Факт</t>
  </si>
  <si>
    <t>402/1-10/053</t>
  </si>
  <si>
    <t>Усеинов Руслан Рустемович</t>
  </si>
  <si>
    <t>useinova16@yandex.ru</t>
  </si>
  <si>
    <t>5/4-07/437</t>
  </si>
  <si>
    <t>Тухфатуллина Регина Михайловна</t>
  </si>
  <si>
    <t>reginatuhfatullina2211@gmail.com</t>
  </si>
  <si>
    <t>402/3-15/261</t>
  </si>
  <si>
    <t>Леонгард Таисия Алексеевна</t>
  </si>
  <si>
    <t>tayssh@mail.ru</t>
  </si>
  <si>
    <t>Повышение 20.02.25</t>
  </si>
  <si>
    <t>Фикс 20.02.25</t>
  </si>
  <si>
    <t>402/1-15/079</t>
  </si>
  <si>
    <t>Латыпова Ольга Алексеевна</t>
  </si>
  <si>
    <t>Ollatypova@yandex.ru</t>
  </si>
  <si>
    <t>Арефьев</t>
  </si>
  <si>
    <t>401/2-11/038</t>
  </si>
  <si>
    <t>Бабушкина Марина Владимировна</t>
  </si>
  <si>
    <t>babushkina867@gmail.ru</t>
  </si>
  <si>
    <t>Повышение 24.02.2025</t>
  </si>
  <si>
    <t>Фикс 24.02.25</t>
  </si>
  <si>
    <t>Скидка для военнослужащих</t>
  </si>
  <si>
    <t>Лазарев Виталий Николаевич</t>
  </si>
  <si>
    <t>vitaliy.lazarev.89@bk.ru</t>
  </si>
  <si>
    <t>402/2-10/157</t>
  </si>
  <si>
    <t>Вилков Кирилл Александрович</t>
  </si>
  <si>
    <t>Rom369@mail.ru</t>
  </si>
  <si>
    <t>402/2-10/158</t>
  </si>
  <si>
    <t>401/1-03/066</t>
  </si>
  <si>
    <t>Абдуллаева Курманжан Арстановна</t>
  </si>
  <si>
    <t>abdullaevakurmanzan@gmail.com</t>
  </si>
  <si>
    <t>402/3-07/211</t>
  </si>
  <si>
    <t>Шевчук Татьяна Алексеевна</t>
  </si>
  <si>
    <t>Tatyana.gorchkova@mail.ru</t>
  </si>
  <si>
    <t xml:space="preserve">Готовое </t>
  </si>
  <si>
    <t>Люкова Любовь Тихонова</t>
  </si>
  <si>
    <t>Lukova_lubov@mail.ru</t>
  </si>
  <si>
    <t>402/1-07/035</t>
  </si>
  <si>
    <t>Колчина Светлана Алексеевна</t>
  </si>
  <si>
    <t>s.kolchina@yandex.ru</t>
  </si>
  <si>
    <t>402/3-14/254</t>
  </si>
  <si>
    <t>Жлуктов Андрей Владимирович</t>
  </si>
  <si>
    <t>b4d63rus@gmail.com</t>
  </si>
  <si>
    <t>402/3-17/273</t>
  </si>
  <si>
    <t>Соколов Александр Викторович</t>
  </si>
  <si>
    <t>Sokolov077@yandex.ru</t>
  </si>
  <si>
    <t>401/1-03/065</t>
  </si>
  <si>
    <t>Каменко Вячеслав Владиславович</t>
  </si>
  <si>
    <t>kamenko1974@gmail.com</t>
  </si>
  <si>
    <t>402/1-14/077</t>
  </si>
  <si>
    <t>Маркова Марина Евгеньевна</t>
  </si>
  <si>
    <t>ypmarkova@mail.ru</t>
  </si>
  <si>
    <t>Охранник ОИ - спецскидка  4 019 100 (40%)</t>
  </si>
  <si>
    <t>402/1-08/041</t>
  </si>
  <si>
    <t>Петрова Надежда Викторовна</t>
  </si>
  <si>
    <t>witch_sn@mail.ru</t>
  </si>
  <si>
    <t>5/2-14/203</t>
  </si>
  <si>
    <t>Беликов Александр Андреевич</t>
  </si>
  <si>
    <t>Nazarova_tatyana2102@yandex.ru</t>
  </si>
  <si>
    <t>5/4-02/400</t>
  </si>
  <si>
    <t>Абдуллоева Махина Бахтиёровна</t>
  </si>
  <si>
    <t>milana.milaeva.12.12.mail.com@mail.ru</t>
  </si>
  <si>
    <t>5/3-12/305</t>
  </si>
  <si>
    <t>Новосельская Яна Сергеевна</t>
  </si>
  <si>
    <t>nov0306@mail.ru</t>
  </si>
  <si>
    <t>402/3-03/187</t>
  </si>
  <si>
    <t>Гоцуляк Татьяна Анатольевна</t>
  </si>
  <si>
    <t>sanya.gotsulyak@inbox.ru</t>
  </si>
  <si>
    <t>402/3-13/247</t>
  </si>
  <si>
    <t>Дубошина Надежда Юрьевна</t>
  </si>
  <si>
    <t>nadezhdasahvan@yandex.ru</t>
  </si>
  <si>
    <t>Доля продаж по 2 дому 4 квартала</t>
  </si>
  <si>
    <t xml:space="preserve">Повышение 05.03.2025
1К: до 40м - 1,5%, 40+ 0,5%
2К - 0,5% </t>
  </si>
  <si>
    <t>401/1-06/081</t>
  </si>
  <si>
    <t>Валиева Гулираъно Наимовна</t>
  </si>
  <si>
    <t>vgulirano@mail.ru</t>
  </si>
  <si>
    <t>402/3-11/237</t>
  </si>
  <si>
    <t>Коржов Иван Михайлович</t>
  </si>
  <si>
    <t>i23893179@gmail.com</t>
  </si>
  <si>
    <t>402/3-05/199</t>
  </si>
  <si>
    <t>Рослякова Алёна Владимировна</t>
  </si>
  <si>
    <t>alenkakyzj@mail.ru</t>
  </si>
  <si>
    <t>402/2-02/109</t>
  </si>
  <si>
    <t>Головченко Сергей Александрович</t>
  </si>
  <si>
    <t>sergeigolovchenko1977@gmail.com</t>
  </si>
  <si>
    <t>402/3-08/219</t>
  </si>
  <si>
    <t>Ахмедова Гулбахор Дадожоновна</t>
  </si>
  <si>
    <t>gulbahorahmedova25@gmail.com</t>
  </si>
  <si>
    <t>Время действовать / Ветеран боевых действий</t>
  </si>
  <si>
    <t>402/1-17/091</t>
  </si>
  <si>
    <t>Михальченко Алла Адильевна</t>
  </si>
  <si>
    <t>Allamihalchenko@yandex.ru</t>
  </si>
  <si>
    <t>401/1-10/101</t>
  </si>
  <si>
    <t>Денисов Владимир Егорович</t>
  </si>
  <si>
    <t>Larkovasveta93@gmail.com</t>
  </si>
  <si>
    <t>Время действовать / Многодетная семья</t>
  </si>
  <si>
    <t>индивидуальная скидка</t>
  </si>
  <si>
    <t>Время действовать</t>
  </si>
  <si>
    <t>Фикс 05.03.25</t>
  </si>
  <si>
    <t>повышение 14.03.25 1К-1%</t>
  </si>
  <si>
    <t>Фикс 14.03.25</t>
  </si>
  <si>
    <t>СЗ купил квартиру у собственника</t>
  </si>
  <si>
    <t>402/3-19/283</t>
  </si>
  <si>
    <t>Оруджова Нарындж Гусейнбала Кызы</t>
  </si>
  <si>
    <t>nelyaorudzhova@gmail.com</t>
  </si>
  <si>
    <t>402/3-15/259</t>
  </si>
  <si>
    <t>Оруджев Осман Маил Оглы</t>
  </si>
  <si>
    <t>emilorudzhev@bk.ru</t>
  </si>
  <si>
    <t>402/1-17/095</t>
  </si>
  <si>
    <t>Волков Дмитрий Анатольевич</t>
  </si>
  <si>
    <t>TaisaV4740@yandex.ru</t>
  </si>
  <si>
    <t>402/3-11/236</t>
  </si>
  <si>
    <t>Уварова Алена Алексеевна</t>
  </si>
  <si>
    <t>Lalyona87@yandex.ru</t>
  </si>
  <si>
    <t>402/3-08/218</t>
  </si>
  <si>
    <t>5/3-05/256</t>
  </si>
  <si>
    <t>Герасимова Елизавета Андреевна</t>
  </si>
  <si>
    <t>berloginaliza@mail.ru</t>
  </si>
  <si>
    <t>Ветеран боевых действий/Время действовать</t>
  </si>
  <si>
    <t>5/4-18/528</t>
  </si>
  <si>
    <t>Каратаева Ирина Адольфовна</t>
  </si>
  <si>
    <t>karataevairina315@gmail.com</t>
  </si>
  <si>
    <t>3/2-01/006</t>
  </si>
  <si>
    <t>Дмитриева Лилия Мирасовна</t>
  </si>
  <si>
    <t>dmitrieva@ab63.ru</t>
  </si>
  <si>
    <t>402/3-15/260</t>
  </si>
  <si>
    <t>Бекетов Евгений Викторович</t>
  </si>
  <si>
    <t>Mr.beket001@mail.ru</t>
  </si>
  <si>
    <t>АГК-005-А-01-001</t>
  </si>
  <si>
    <t>АГК-005-А-02-002</t>
  </si>
  <si>
    <t>АГК-005-Б-01-003</t>
  </si>
  <si>
    <t>АГК-005-Б-02-004</t>
  </si>
  <si>
    <t>АГК-005-В-01-005</t>
  </si>
  <si>
    <t>АГК-005-В-02-006</t>
  </si>
  <si>
    <t>402/1-15/083</t>
  </si>
  <si>
    <t>Кирдяшева Кристина Алексеевна</t>
  </si>
  <si>
    <t>kirdyasheva01@bk.ru</t>
  </si>
  <si>
    <t>402/3-06/207</t>
  </si>
  <si>
    <t>Зражевская Илона Шамильевна</t>
  </si>
  <si>
    <t>402/3-13/249</t>
  </si>
  <si>
    <t>Дикая Юлия Сергеевна</t>
  </si>
  <si>
    <t>Dikaya-yuliya@mail.ru</t>
  </si>
  <si>
    <t>5/4-18/530</t>
  </si>
  <si>
    <t>Дьячкова, Оксана Вячеславовна</t>
  </si>
  <si>
    <t>wenok777@bk.ru</t>
  </si>
  <si>
    <t>5/3-13/309</t>
  </si>
  <si>
    <t>Шерин Виталий Сергеевич</t>
  </si>
  <si>
    <t>Ooosibstandart@gmail.com</t>
  </si>
  <si>
    <t>5/4-07/439</t>
  </si>
  <si>
    <t>Гергерт Светлана Юрьевна</t>
  </si>
  <si>
    <t>teksservice@yandex.ru</t>
  </si>
  <si>
    <t>402/3-18/279</t>
  </si>
  <si>
    <t>Соколова Дарья Сергеевна</t>
  </si>
  <si>
    <t>mashenka.sokolova_2019@list.ru</t>
  </si>
  <si>
    <t>Индивидуальная скидка/Ветеран боевых действий</t>
  </si>
  <si>
    <t>402/3-18/278</t>
  </si>
  <si>
    <t>Довыденко Лариса Павловна</t>
  </si>
  <si>
    <t>lardov@yandex.ru</t>
  </si>
  <si>
    <t>402/3-09/225</t>
  </si>
  <si>
    <t>Лысюк Наталья Сергеевна</t>
  </si>
  <si>
    <t>Natali.Moiseenko78@yandex.ru</t>
  </si>
  <si>
    <t>Будько Алексей Александрович</t>
  </si>
  <si>
    <t>Lexurr325@gmail.com</t>
  </si>
  <si>
    <t>402/3-19/285</t>
  </si>
  <si>
    <t>Корабельников Иван Васильевич</t>
  </si>
  <si>
    <t>Likart87@mail.ru</t>
  </si>
  <si>
    <t>повышение 28.03.25 1К-1%</t>
  </si>
  <si>
    <t>Фикс 28.03.25</t>
  </si>
  <si>
    <t>402/3-16/266</t>
  </si>
  <si>
    <t>Лазарева Татьяна Анатольевна</t>
  </si>
  <si>
    <t>tltlazareva@gmail.com</t>
  </si>
  <si>
    <t>402/3-04/193</t>
  </si>
  <si>
    <t>Пелипенко Иван Петрович</t>
  </si>
  <si>
    <t>xoposh91@mail.ru</t>
  </si>
  <si>
    <t>Многодетная семья/Время действовать</t>
  </si>
  <si>
    <t>5/2-09/172</t>
  </si>
  <si>
    <t>Муротова Зарнигора Сулхоназаровна</t>
  </si>
  <si>
    <t>z9159238@gmail.com</t>
  </si>
  <si>
    <t>Время действовать / Индивидуальная скидка / Ветеран боевых действий</t>
  </si>
  <si>
    <t>Большие скидки на маленькие квартиры</t>
  </si>
  <si>
    <t>S*</t>
  </si>
  <si>
    <t>Проектная + Фактическая</t>
  </si>
  <si>
    <t>5/3-22/374</t>
  </si>
  <si>
    <t>Германов Дмитрий Валерьевич</t>
  </si>
  <si>
    <t>Dmitriygermanov@mail.ru</t>
  </si>
  <si>
    <t>402/3-14/256</t>
  </si>
  <si>
    <t>Жерновой Артем Викторович</t>
  </si>
  <si>
    <t>402/1-05/023</t>
  </si>
  <si>
    <t>Зенин Александр Иванович</t>
  </si>
  <si>
    <t>aizenin@mail.ru</t>
  </si>
  <si>
    <t>5/1-09/061</t>
  </si>
  <si>
    <t>Сарибекян Сурен Грачяевич</t>
  </si>
  <si>
    <t>5/3-09/282</t>
  </si>
  <si>
    <t>Шестернин Денис Александрович</t>
  </si>
  <si>
    <t>Buguruslan_007@mail.ru</t>
  </si>
  <si>
    <t>Столбец1</t>
  </si>
  <si>
    <t>Кладовка</t>
  </si>
  <si>
    <t>На этаже</t>
  </si>
  <si>
    <t>Подвал</t>
  </si>
  <si>
    <t>402/3-07/212</t>
  </si>
  <si>
    <t>Толмачева Елена Александровна</t>
  </si>
  <si>
    <t>5/4-12/479</t>
  </si>
  <si>
    <t>Карпушкин Виталий Андреевич</t>
  </si>
  <si>
    <t>Vitalykarpushkin@gmail.com</t>
  </si>
  <si>
    <t>5/3-03/239</t>
  </si>
  <si>
    <t>Икромов Азизбек Акмалович</t>
  </si>
  <si>
    <t>iazizjon1995.21@gmail.com</t>
  </si>
  <si>
    <t>5/3-00/005</t>
  </si>
  <si>
    <t>Акция для врачей</t>
  </si>
  <si>
    <t>5/1-00/002</t>
  </si>
  <si>
    <t>Кучерявая Анна Сергеевна</t>
  </si>
  <si>
    <t>Ветеран боевых действий/Новоселье близко/Индивидуальная скидка</t>
  </si>
  <si>
    <t>Люкшина Дарья Сергеевна</t>
  </si>
  <si>
    <t>zajarriina@mail.ru</t>
  </si>
  <si>
    <t>5/3-16/331</t>
  </si>
  <si>
    <t>Новиков Иван Алексеевич</t>
  </si>
  <si>
    <t>novikovvanya.1@gmail.com</t>
  </si>
  <si>
    <t>Фикс за АН</t>
  </si>
  <si>
    <t>Нет</t>
  </si>
  <si>
    <t>402/3-10/229</t>
  </si>
  <si>
    <t>Щербаков Клим Александрович</t>
  </si>
  <si>
    <t>5/3-16/329</t>
  </si>
  <si>
    <t>Хайдаров Даврон Кодирович</t>
  </si>
  <si>
    <t>davronjon1988154@gmail.com</t>
  </si>
  <si>
    <t>5/1-09/060</t>
  </si>
  <si>
    <t>Миронцева Евгения Александровна</t>
  </si>
  <si>
    <t>402/1-18/101</t>
  </si>
  <si>
    <t>Пыжикова Надежда Сергеевна</t>
  </si>
  <si>
    <t>n.pyzhikova@yandex.ru</t>
  </si>
  <si>
    <t>401/2-09/029</t>
  </si>
  <si>
    <t>Шипиш Анастасия Анатольевна</t>
  </si>
  <si>
    <t>nastasja20111@mail.ru</t>
  </si>
  <si>
    <t>402/3-14/253</t>
  </si>
  <si>
    <t>Никитина Евгения Андреевна</t>
  </si>
  <si>
    <t>nickitina.evgenia2012@yandex.ru</t>
  </si>
  <si>
    <t>5/2-00/003</t>
  </si>
  <si>
    <t>5/4-06/435</t>
  </si>
  <si>
    <t>Звонов Александр Александрович</t>
  </si>
  <si>
    <t>zvonichfx@mail.ru</t>
  </si>
  <si>
    <t>5/2-00/004</t>
  </si>
  <si>
    <t>402/3-09/227</t>
  </si>
  <si>
    <t>Турченко Михаил Андреевич</t>
  </si>
  <si>
    <t>turchengjob09@gmail.com</t>
  </si>
  <si>
    <t>401/2-08/026</t>
  </si>
  <si>
    <t>5/3-15/323</t>
  </si>
  <si>
    <t>Ишханян Ани Мкртичевна</t>
  </si>
  <si>
    <t>ani-begoyan@mail.ru</t>
  </si>
  <si>
    <t>Незабудкина Светлана Сергеевна</t>
  </si>
  <si>
    <t>tranceva1988@mail.ru</t>
  </si>
  <si>
    <t>5/4-10/468</t>
  </si>
  <si>
    <t>Захаров Валерий Николаевич</t>
  </si>
  <si>
    <t>dfrffkvf2010@yandex.ru</t>
  </si>
  <si>
    <t>ОПП - безвозмездная передача городу</t>
  </si>
  <si>
    <t>18-2024</t>
  </si>
  <si>
    <t xml:space="preserve">ДЕПАРТАМЕНТ УПРАВЛЕНИЯ ИМУЩЕСТВОМ ГОРОДСКОГО ОКРУГА САМАРА         </t>
  </si>
  <si>
    <t>5/3-00/006</t>
  </si>
  <si>
    <t>5/2-13/200</t>
  </si>
  <si>
    <t>Годованик Наталья Михайловна</t>
  </si>
  <si>
    <t>nataxa09061983@mail.ru</t>
  </si>
  <si>
    <t>5/1-00/001</t>
  </si>
  <si>
    <t>402/1-16/089</t>
  </si>
  <si>
    <t>Парубочий Вячеслав Дмитриевич</t>
  </si>
  <si>
    <t>neft11@bk.ru</t>
  </si>
  <si>
    <t>Скидка сотрудниику</t>
  </si>
  <si>
    <t xml:space="preserve">Время действовать </t>
  </si>
  <si>
    <t>5/1-02/010</t>
  </si>
  <si>
    <t>Ахвердян Шогик Славиковна</t>
  </si>
  <si>
    <t>akhverdyan.shogik@mail.ru</t>
  </si>
  <si>
    <t>Доп соглашение на смену отделки с черновой на чистовую</t>
  </si>
  <si>
    <t>Индивидуальная скидка/Сотрудник</t>
  </si>
  <si>
    <t>401/2-11/037</t>
  </si>
  <si>
    <t>Петрова Татьяна Викторовна</t>
  </si>
  <si>
    <t>tanyapetrova1202@icloud.com</t>
  </si>
  <si>
    <t>Скидка для учителей</t>
  </si>
  <si>
    <t>402/2-09/155</t>
  </si>
  <si>
    <t>Благодарева Любовь Александровна</t>
  </si>
  <si>
    <t>Скидка участникам СВО</t>
  </si>
  <si>
    <t>5/1-02/011</t>
  </si>
  <si>
    <t>Азизова Зебо Исроиловна</t>
  </si>
  <si>
    <t>zebo93sam@gmail.com</t>
  </si>
  <si>
    <t>Большие скидки на маленькие квартиры/Многодетная семья</t>
  </si>
  <si>
    <t>5/4-02/398</t>
  </si>
  <si>
    <t>Исомаддинова Фируза Фахриддиновна</t>
  </si>
  <si>
    <t>firuza.isomaddinova@mail.ru</t>
  </si>
  <si>
    <t xml:space="preserve">Ветеран боевых действий </t>
  </si>
  <si>
    <t>402/2-12/174</t>
  </si>
  <si>
    <t>Толмачева Елена Фёдоровна</t>
  </si>
  <si>
    <t>5/3-06/260</t>
  </si>
  <si>
    <t>Мурадян Артак Манвелович</t>
  </si>
  <si>
    <t>Asmik1987@inbox.ru</t>
  </si>
  <si>
    <t>Белая</t>
  </si>
  <si>
    <t>5/2-02/123</t>
  </si>
  <si>
    <t>Чернова Алиса Дмитриевна</t>
  </si>
  <si>
    <t>mochernov1988@yandex.ru</t>
  </si>
  <si>
    <t xml:space="preserve">Скидка иногородним </t>
  </si>
  <si>
    <t>402/3-09/224</t>
  </si>
  <si>
    <t>Железникова Ольга Александровна</t>
  </si>
  <si>
    <t>olga163rus42@gmail.com</t>
  </si>
  <si>
    <t>4-1/1-01/001</t>
  </si>
  <si>
    <t>Атласов Андрей Андреевич</t>
  </si>
  <si>
    <t>atlasov1980@mail.ru</t>
  </si>
  <si>
    <t>4-1/1-01/002</t>
  </si>
  <si>
    <t>4-1/2-01/006</t>
  </si>
  <si>
    <t>5/4-09/457</t>
  </si>
  <si>
    <t>Ишков Алексей Александрович</t>
  </si>
  <si>
    <t>yakupova.nastia@mail.ru</t>
  </si>
  <si>
    <t>Акция для учителей</t>
  </si>
  <si>
    <t>402/3-06/205</t>
  </si>
  <si>
    <t>Савченко Сергей Анатольевич</t>
  </si>
  <si>
    <t>savsam1311@mail.ru</t>
  </si>
  <si>
    <t>5/2-13/197</t>
  </si>
  <si>
    <t>Жилина Ольга Владимировна</t>
  </si>
  <si>
    <t>zhilina_olga91@mail.ru</t>
  </si>
  <si>
    <t>5/4-05/427</t>
  </si>
  <si>
    <t>Николаев Фёдор Владимирович</t>
  </si>
  <si>
    <t>Соцсети - Telegram</t>
  </si>
  <si>
    <t>Тип отделки</t>
  </si>
  <si>
    <t>Темный</t>
  </si>
  <si>
    <t>Яркий</t>
  </si>
  <si>
    <t>Светлый</t>
  </si>
  <si>
    <t>Время действовать/Многодетная семья</t>
  </si>
  <si>
    <t>402/3-08/217</t>
  </si>
  <si>
    <t>Андреев Михаил Владимирович</t>
  </si>
  <si>
    <t>Инидивидуальная скидка</t>
  </si>
  <si>
    <t>401/2-01/005</t>
  </si>
  <si>
    <t xml:space="preserve">Нет </t>
  </si>
  <si>
    <t>5/4-10/465</t>
  </si>
  <si>
    <t>Малышева Светлана Александровна</t>
  </si>
  <si>
    <t>malysevasvetlana1194@gmail.com</t>
  </si>
  <si>
    <t>5/4-20/542</t>
  </si>
  <si>
    <t>Джамолов Джахонгир Бахтиярович</t>
  </si>
  <si>
    <t xml:space="preserve">Индивидуальная скидка </t>
  </si>
  <si>
    <t>402/1-12/065</t>
  </si>
  <si>
    <t>Иванова Юлия Николаевна</t>
  </si>
  <si>
    <t>Jiji10@yandex.ru</t>
  </si>
  <si>
    <t>Дисконт 04.06.25</t>
  </si>
  <si>
    <t>Фикс 04.06.25</t>
  </si>
  <si>
    <t>5/1-08/055</t>
  </si>
  <si>
    <t>Купцова Наталья Львовна</t>
  </si>
  <si>
    <t>Kuptsovanatascha@yandex.ru</t>
  </si>
  <si>
    <t xml:space="preserve">Большие скидки на маленькие квартиры </t>
  </si>
  <si>
    <t>5/2-13/199</t>
  </si>
  <si>
    <t>Казакова Олеся Юрьевна</t>
  </si>
  <si>
    <t>olesya13@mail.ru</t>
  </si>
  <si>
    <t>Скидка новоселам</t>
  </si>
  <si>
    <t>401/1-01/004</t>
  </si>
  <si>
    <t>402/2-04/126</t>
  </si>
  <si>
    <t>Зобнина Анна Николаевна</t>
  </si>
  <si>
    <t>anechka_xx@mail.ru</t>
  </si>
  <si>
    <t>402/2-10/162</t>
  </si>
  <si>
    <t>Зотова Наталья Александровна</t>
  </si>
  <si>
    <t>Zotova05121983@mail.ru</t>
  </si>
  <si>
    <t>Скидка новосёлам</t>
  </si>
  <si>
    <t>5/1-16/105</t>
  </si>
  <si>
    <t>Филиппов Сергей Николаевич</t>
  </si>
  <si>
    <t>snfpp@mail.ru</t>
  </si>
  <si>
    <t>Рекомендации - Мои соседи</t>
  </si>
  <si>
    <t>Умбетов Серик Викторович</t>
  </si>
  <si>
    <t>Рыбаков Максим Сергеевич</t>
  </si>
  <si>
    <t>ПДКП</t>
  </si>
  <si>
    <t>Сделка по П-ДКП</t>
  </si>
  <si>
    <t>5/3-17/340</t>
  </si>
  <si>
    <t>Кувачева Юлия Олеговна</t>
  </si>
  <si>
    <t>juliakoroleva93@icloud.com</t>
  </si>
  <si>
    <t>5/2-08/166</t>
  </si>
  <si>
    <t>Хайитбоева Нелли Александровна</t>
  </si>
  <si>
    <t>nelkaja@mail.ru</t>
  </si>
  <si>
    <t>5/1-10/069</t>
  </si>
  <si>
    <t>Боязитова Алина Алексеевна</t>
  </si>
  <si>
    <t>Kabanova.alina.95@mail.ru</t>
  </si>
  <si>
    <t xml:space="preserve">Время действовать/Дети с ограниченными возможностями </t>
  </si>
  <si>
    <t>5/1-03/019</t>
  </si>
  <si>
    <t>Качаев Александр Владимирович</t>
  </si>
  <si>
    <t>Kachaeva-olga@mail.ru</t>
  </si>
  <si>
    <t>5/3-04/248</t>
  </si>
  <si>
    <t>Таран Валерия Дмитриевна</t>
  </si>
  <si>
    <t>5/1-11/074</t>
  </si>
  <si>
    <t>Темерралеев Бакыт-гали Сиргаллиевич</t>
  </si>
  <si>
    <t>temeraaleeva04@mail.ru</t>
  </si>
  <si>
    <t>5/1-15/101</t>
  </si>
  <si>
    <t>Икромов Фируз Тоджидинович</t>
  </si>
  <si>
    <t>5/1-04/024</t>
  </si>
  <si>
    <t>Шляхов Валентин Владимирович</t>
  </si>
  <si>
    <t>Nastyona-99x@yandex.ru</t>
  </si>
  <si>
    <t>5/4-18/525</t>
  </si>
  <si>
    <t>Мельникова Екатерина Михайловна</t>
  </si>
  <si>
    <t>melnikova33ekaterina@mail.ru</t>
  </si>
  <si>
    <t>Время действовать/ Индивидуальная скидка</t>
  </si>
  <si>
    <t>5/1-13/089</t>
  </si>
  <si>
    <t>Шулепов Александр Александрович</t>
  </si>
  <si>
    <t>Alexsandrshulepov@mail.ru</t>
  </si>
  <si>
    <t>Индивидуальные условия</t>
  </si>
  <si>
    <t>5/2-06/149</t>
  </si>
  <si>
    <t>Слоян Элмира Омаровна</t>
  </si>
  <si>
    <t>5/1-14/097</t>
  </si>
  <si>
    <t>Губайдуллов Алексей Борисович</t>
  </si>
  <si>
    <t>Радченко</t>
  </si>
  <si>
    <t>5/3-21/363</t>
  </si>
  <si>
    <t>Мартынов Артем Николаевич</t>
  </si>
  <si>
    <t>artemmrt@gmail.com</t>
  </si>
  <si>
    <t>5/1-03/017</t>
  </si>
  <si>
    <t>Валиева Райхона Наимовна</t>
  </si>
  <si>
    <t>raykhonav@mail.ru</t>
  </si>
  <si>
    <t>5/1-14/094</t>
  </si>
  <si>
    <t>Гуров Сергей Александрович</t>
  </si>
  <si>
    <t>segogurov@mail.ru</t>
  </si>
  <si>
    <t>402/2-08/146</t>
  </si>
  <si>
    <t>5/2-11/186</t>
  </si>
  <si>
    <t>Парпиев Бахтиёр Умурзокович</t>
  </si>
  <si>
    <t>5/3-09/279</t>
  </si>
  <si>
    <t>Созданина Наталия Владимировна</t>
  </si>
  <si>
    <t>smirnova-nataliya-1990@mail.ru</t>
  </si>
  <si>
    <t>402/1-15/084</t>
  </si>
  <si>
    <t>отделку не менять - фикс чистовая</t>
  </si>
  <si>
    <t>ValovAP25@gmail.com</t>
  </si>
  <si>
    <t>401/1-01/003</t>
  </si>
  <si>
    <t>Рябцева Олеся Алексеевна</t>
  </si>
  <si>
    <t>ocean1543@yandex.ru</t>
  </si>
  <si>
    <t>402/1-07/036</t>
  </si>
  <si>
    <t>Шувалов Алексей Вячеславович</t>
  </si>
  <si>
    <t>aleksejsuvalov0@gmail.com</t>
  </si>
  <si>
    <t xml:space="preserve">Многодетная семья </t>
  </si>
  <si>
    <t>401/2-06/019</t>
  </si>
  <si>
    <t>Эркаева Гузал Бахтиёровна</t>
  </si>
  <si>
    <t>guzalerkaeva@yandex.ru</t>
  </si>
  <si>
    <t>Баранов Алексей Сергеевич</t>
  </si>
  <si>
    <t>as.baranov@gmail.com</t>
  </si>
  <si>
    <t>Измалкин Николай Николаевич</t>
  </si>
  <si>
    <t>izmalkin.nikolai@yandex.ru</t>
  </si>
  <si>
    <t>402/3-13/248</t>
  </si>
  <si>
    <t>Маткаримова Юлия Юрьевна</t>
  </si>
  <si>
    <t>matkarimova2014@yandex.ru</t>
  </si>
  <si>
    <t>Время действовать  / Скидка семьям с детьми с ОВЗ</t>
  </si>
  <si>
    <t>Время действовать / Индивидуальная скидка</t>
  </si>
  <si>
    <t>Ветеран боевых действий + Чистовая по решению ОГ</t>
  </si>
  <si>
    <t>Квартира для РОЗЫГРЫША</t>
  </si>
  <si>
    <t>Большие скидки на маленькие квартиры / скидка для IT</t>
  </si>
  <si>
    <t>Скидка для врачей</t>
  </si>
  <si>
    <t>402/2-09/152</t>
  </si>
  <si>
    <t>Кошелева Елена Ивановна</t>
  </si>
  <si>
    <t>Koshelena88@gmail.com</t>
  </si>
  <si>
    <t>ТП S Расчетная</t>
  </si>
  <si>
    <t>Скидка новоселам + доплата</t>
  </si>
  <si>
    <t>401/2-07/023</t>
  </si>
  <si>
    <t>Солдатов Александр Васильевич</t>
  </si>
  <si>
    <t>orofinor@yandex.ru</t>
  </si>
  <si>
    <t>Название объекта</t>
  </si>
  <si>
    <t>Тип помещения</t>
  </si>
  <si>
    <t>Статус ALLIO</t>
  </si>
  <si>
    <t>Тип брони</t>
  </si>
  <si>
    <t>Столбец2</t>
  </si>
  <si>
    <t>Макрорайон «Амград» 4 очередь 1 корпус</t>
  </si>
  <si>
    <t>ком. площадь</t>
  </si>
  <si>
    <t>продана</t>
  </si>
  <si>
    <t>свободна</t>
  </si>
  <si>
    <t>кладовая</t>
  </si>
  <si>
    <t>в резерве</t>
  </si>
  <si>
    <t>Корпоративная</t>
  </si>
  <si>
    <t>Макрорайон «Амград» 1 очередь 1 корпус</t>
  </si>
  <si>
    <t>Гарантированная бронь</t>
  </si>
  <si>
    <t>Гарантированная</t>
  </si>
  <si>
    <t>Макрорайон «Амград» 1 очередь 2 корпус</t>
  </si>
  <si>
    <t>Макрорайон «Амград» 1 очередь 3 корпус</t>
  </si>
  <si>
    <t>Макрорайон «Амград» 1 очередь 4 корпус</t>
  </si>
  <si>
    <t>Макрорайон «Амград» 1 очередь 5 корпус</t>
  </si>
  <si>
    <t>Макрорайон «Амград» 4 очередь 2 корпус</t>
  </si>
  <si>
    <t>Платная бронь</t>
  </si>
  <si>
    <t>Платная</t>
  </si>
  <si>
    <t xml:space="preserve">Повышение 23.07.25
1К 43-46м2 - 2%
2К 55-58 - 2%; 58-64 - 3%
3К 76-79 - 2%
</t>
  </si>
  <si>
    <t>Фикс 23.07.25</t>
  </si>
  <si>
    <t>Дисконт 24.07.25</t>
  </si>
  <si>
    <t>Фикс 24.07.25</t>
  </si>
  <si>
    <t>Тип площади</t>
  </si>
  <si>
    <t>С</t>
  </si>
  <si>
    <t>2Е</t>
  </si>
  <si>
    <t>1Е</t>
  </si>
  <si>
    <t>1К</t>
  </si>
  <si>
    <t>2К</t>
  </si>
  <si>
    <t>3К</t>
  </si>
  <si>
    <t>Еранова Ирина Николаевна</t>
  </si>
  <si>
    <t>eranovain@mail.ru</t>
  </si>
  <si>
    <t xml:space="preserve">Безвозмездная уступка прав требования/ выделели доли детям </t>
  </si>
  <si>
    <t>Доп соглашение на смену отделки</t>
  </si>
  <si>
    <t xml:space="preserve">Время действовать/Ветеран боевых действий </t>
  </si>
  <si>
    <t>5/1-12/078</t>
  </si>
  <si>
    <t>Ломов Михаил Владимирович</t>
  </si>
  <si>
    <t>mihalomov091@gmail.com</t>
  </si>
  <si>
    <t>5/3-19/349</t>
  </si>
  <si>
    <t>Гильмутдинова Лейсан Асхатовна</t>
  </si>
  <si>
    <t>leisan79.79@mail.ru</t>
  </si>
  <si>
    <t>402/3-07/214</t>
  </si>
  <si>
    <t>Коновалова Ольга Геннадьевна</t>
  </si>
  <si>
    <t>olya_163_8@mail.ru</t>
  </si>
  <si>
    <t>3Е</t>
  </si>
  <si>
    <t>Коммерческая</t>
  </si>
  <si>
    <t>1/1-01/002</t>
  </si>
  <si>
    <t>Вахтина Анастасия Вячеславовна</t>
  </si>
  <si>
    <t>nancyshampoo@gmail.com</t>
  </si>
  <si>
    <t>Большие скидки на маленькие квартиры/ Акция для IT-специалистов</t>
  </si>
  <si>
    <t>5/4-13/492</t>
  </si>
  <si>
    <t>Черноиванов Станислав Александрович</t>
  </si>
  <si>
    <t>stanislavchernoivanov@yandex.ru</t>
  </si>
  <si>
    <t>ТС</t>
  </si>
  <si>
    <t>ПС</t>
  </si>
  <si>
    <t>ДС</t>
  </si>
  <si>
    <t>—</t>
  </si>
  <si>
    <t>Н -Тими</t>
  </si>
  <si>
    <t>402/1-10/052</t>
  </si>
  <si>
    <t>Ермолаев Виктор Вячеславович</t>
  </si>
  <si>
    <t>d1ckoi1337@gmail.com</t>
  </si>
  <si>
    <t>5/1-10/067</t>
  </si>
  <si>
    <t>Исмоилов Карим Рахмонович</t>
  </si>
  <si>
    <t>karimismoilov42@gmail.com</t>
  </si>
  <si>
    <t>5/1-13/085</t>
  </si>
  <si>
    <t>Яценко Владислав Вячеславович</t>
  </si>
  <si>
    <t>yatcenko.vlad1997@yandex.ru</t>
  </si>
  <si>
    <t>401/1-07/085</t>
  </si>
  <si>
    <t>Козлов Дмитрий Сергеевич</t>
  </si>
  <si>
    <t>chubakabra@yandex.ru</t>
  </si>
  <si>
    <t>04.08.25 изменение S</t>
  </si>
  <si>
    <t>Фикс 04.08.25</t>
  </si>
  <si>
    <t>акция для IT</t>
  </si>
  <si>
    <t>5/3-10/288</t>
  </si>
  <si>
    <t>Сергеевич Алексей Стаканов</t>
  </si>
  <si>
    <t>stakanovaleksey@mail.ru</t>
  </si>
  <si>
    <t>ПЦО 12.08.25 Дисконт 2К и 3К</t>
  </si>
  <si>
    <t>Фикс 12.08.25</t>
  </si>
  <si>
    <t xml:space="preserve">402/3-01/007 </t>
  </si>
  <si>
    <t xml:space="preserve">Самышев Антон Александрович </t>
  </si>
  <si>
    <t>asamyshev@yandex.ru</t>
  </si>
  <si>
    <t>401/2-07/086</t>
  </si>
  <si>
    <t>Варламова Наталья Александровна</t>
  </si>
  <si>
    <t>natasha.varlamova25@mail.ru</t>
  </si>
  <si>
    <t>5/2-15/215</t>
  </si>
  <si>
    <t>Левшин Илья Львович</t>
  </si>
  <si>
    <t>ilyalevshin@mail.ru</t>
  </si>
  <si>
    <t>5/3-18/344</t>
  </si>
  <si>
    <t>Сундеева Ольга Сергеевна</t>
  </si>
  <si>
    <t>o-revina@mail.ru</t>
  </si>
  <si>
    <t>Метр Квадратный</t>
  </si>
  <si>
    <t>Устная бронь</t>
  </si>
  <si>
    <t>Устная</t>
  </si>
  <si>
    <t>Ветеран боевых действий + WHITE BOX</t>
  </si>
  <si>
    <t>Прихожая</t>
  </si>
  <si>
    <t>АЦО 13.06.25</t>
  </si>
  <si>
    <t>Фикс 13.06.25</t>
  </si>
  <si>
    <t>АЦО 18.06.25</t>
  </si>
  <si>
    <t>Фикс 18.06.25</t>
  </si>
  <si>
    <t>АЦО 23.06.25</t>
  </si>
  <si>
    <t>Фикс 23.06.25</t>
  </si>
  <si>
    <t>АЦО 26.06.25</t>
  </si>
  <si>
    <t>Фикс 26.06.25</t>
  </si>
  <si>
    <t>АЦО 27.06.25</t>
  </si>
  <si>
    <t>Фикс 27.06.25</t>
  </si>
  <si>
    <t>АЦО 30.06.25</t>
  </si>
  <si>
    <t>Фикс 30.06.25</t>
  </si>
  <si>
    <t>АЦО 14.07.25</t>
  </si>
  <si>
    <t>Фикс 14.07.25</t>
  </si>
  <si>
    <t>АЦО 20.07.25</t>
  </si>
  <si>
    <t>Фикс 20.07.25</t>
  </si>
  <si>
    <t>АЦО 26.07.25</t>
  </si>
  <si>
    <t>Фикс 26.07.25</t>
  </si>
  <si>
    <t>АЦО 28.07.25</t>
  </si>
  <si>
    <t>Фикс 28.07.25</t>
  </si>
  <si>
    <t>АЦО 29.07.25</t>
  </si>
  <si>
    <t>Фикс 29.07.25</t>
  </si>
  <si>
    <t>АЦО 30.07.25</t>
  </si>
  <si>
    <t>Фикс 30.07.25</t>
  </si>
  <si>
    <t>АЦО 03.08.25</t>
  </si>
  <si>
    <t>Фикс 03.08.25</t>
  </si>
  <si>
    <t>ПЦО 04.08.25</t>
  </si>
  <si>
    <t xml:space="preserve">ПЦО 05.08.25 изм. S </t>
  </si>
  <si>
    <t>Фикс 05.08.25</t>
  </si>
  <si>
    <t>АЦО 06.08.25</t>
  </si>
  <si>
    <t>Фикс 06.08.25</t>
  </si>
  <si>
    <t>АЦО 11.08.25</t>
  </si>
  <si>
    <t>Фикс 11.08.25</t>
  </si>
  <si>
    <t>АЦО 16.08.25</t>
  </si>
  <si>
    <t>Фикс 16.08.25</t>
  </si>
  <si>
    <t>Тип чистовой</t>
  </si>
  <si>
    <t>Макрорайон «Амград» 4 очередь 3 корпус</t>
  </si>
  <si>
    <t>Скидки ИТ-специалистам</t>
  </si>
  <si>
    <t>Акция для IT специалистов</t>
  </si>
  <si>
    <t>ПЦО 3К 20-23 эт. м2 100 000К</t>
  </si>
  <si>
    <t>Фикс 19.05.2025</t>
  </si>
  <si>
    <t>АЦО 29.06.25</t>
  </si>
  <si>
    <t>Фикс 29.06.25</t>
  </si>
  <si>
    <t>ПЦО 3%</t>
  </si>
  <si>
    <t>ПЦО 05.08.25 изменение S</t>
  </si>
  <si>
    <t>АЦО 13.08.25</t>
  </si>
  <si>
    <t>Фикс 13.08.25</t>
  </si>
  <si>
    <t>Макрорайон «Амград» 4 очередь 4 корпус</t>
  </si>
  <si>
    <t>Скидка учителю</t>
  </si>
  <si>
    <t>4 Квартал Дом 4</t>
  </si>
  <si>
    <t xml:space="preserve"> Светлый</t>
  </si>
  <si>
    <t>Большие скидки на маленькие квартиры/Индивидуальная скидка</t>
  </si>
  <si>
    <t>5/4-16/514</t>
  </si>
  <si>
    <t xml:space="preserve">Мамонова Екатерина Андреевна
</t>
  </si>
  <si>
    <t>katamamonowa@mail.ru</t>
  </si>
  <si>
    <t xml:space="preserve"> 4 квартал Дом 2</t>
  </si>
  <si>
    <t>402/1-01/002</t>
  </si>
  <si>
    <t>Гусейнов Зохраб Рамис Оглы</t>
  </si>
  <si>
    <t>zohrab010594@gmail.com</t>
  </si>
  <si>
    <t xml:space="preserve">Нуждина </t>
  </si>
  <si>
    <t>5/1-16/110</t>
  </si>
  <si>
    <t>Щукин Евгений Евгеньевич</t>
  </si>
  <si>
    <t>shcukin163@mail.ru</t>
  </si>
  <si>
    <t>ПЦО 19.08.2025 
3К - 2%; 2К - 1%</t>
  </si>
  <si>
    <t>Фикс 19.08.25</t>
  </si>
  <si>
    <t>ПЦО 19.08.25</t>
  </si>
  <si>
    <t>Время действовать/Индивидуальная скидка</t>
  </si>
  <si>
    <t>5/2-11/181</t>
  </si>
  <si>
    <t>Иваченков Алексей Андреевич</t>
  </si>
  <si>
    <t>Alenazykova938@gmail.com</t>
  </si>
  <si>
    <t>and223961@gmail.ru</t>
  </si>
  <si>
    <t>Большие скидки на маленикие квартиры</t>
  </si>
  <si>
    <t>5/4-17/517</t>
  </si>
  <si>
    <t>Киреева Светлана Владимировна</t>
  </si>
  <si>
    <t>xrey175@gmail.com</t>
  </si>
  <si>
    <t xml:space="preserve">Агрегаторы - Яндекс.Недвижимость </t>
  </si>
  <si>
    <t>АЦО 21.08.25</t>
  </si>
  <si>
    <t>Фикс 21.08.25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</si>
</sst>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_-* #,##0.00\ _₽_-;\-* #,##0.00\ _₽_-;_-* &quot;-&quot;??\ _₽_-;_-@_-"/>
    <numFmt numFmtId="165" formatCode="&quot;Студия&quot;"/>
    <numFmt numFmtId="166" formatCode="General&quot; комн&quot;"/>
    <numFmt numFmtId="167" formatCode="_-* #,##0_-;\-* #,##0_-;_-* &quot;-&quot;??_-;_-@_-"/>
    <numFmt numFmtId="168" formatCode="_-* #,##0.0000_-;\-* #,##0.0000_-;_-* &quot;-&quot;??_-;_-@_-"/>
    <numFmt numFmtId="169" formatCode="[$-419]mmmm\ yyyy;@"/>
    <numFmt numFmtId="170" formatCode="0.0%"/>
    <numFmt numFmtId="171" formatCode="#,##0_ ;\-#,##0\ "/>
    <numFmt numFmtId="172" formatCode="#,##0.00_ ;\-#,##0.00\ "/>
    <numFmt numFmtId="173" formatCode="&quot;Дом &quot;General"/>
    <numFmt numFmtId="174" formatCode="General&quot; Комнатная&quot;"/>
    <numFmt numFmtId="175" formatCode="#,##0.0"/>
    <numFmt numFmtId="176" formatCode="dd/mm/yy;@"/>
  </numFmts>
  <fonts count="4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color indexed="81"/>
      <name val="Tahoma"/>
      <family val="2"/>
      <charset val="204"/>
    </font>
    <font>
      <b/>
      <sz val="14"/>
      <color indexed="81"/>
      <name val="Tahoma"/>
      <family val="2"/>
      <charset val="204"/>
    </font>
    <font>
      <i/>
      <sz val="12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b/>
      <i/>
      <sz val="16"/>
      <color theme="1"/>
      <name val="Calibri"/>
      <family val="2"/>
      <charset val="204"/>
      <scheme val="minor"/>
    </font>
    <font>
      <b/>
      <i/>
      <sz val="9"/>
      <color theme="1"/>
      <name val="Calibri"/>
      <family val="2"/>
      <charset val="204"/>
      <scheme val="minor"/>
    </font>
    <font>
      <b/>
      <i/>
      <sz val="9"/>
      <name val="Calibri"/>
      <family val="2"/>
      <charset val="204"/>
      <scheme val="minor"/>
    </font>
    <font>
      <b/>
      <i/>
      <sz val="9"/>
      <color rgb="FFFF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i/>
      <sz val="9"/>
      <color rgb="FF0070C0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11"/>
      <color rgb="FF1E1E1E"/>
      <name val="Segoe U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i/>
      <sz val="9"/>
      <color theme="0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sz val="11"/>
      <name val="Calibri"/>
      <family val="2"/>
      <scheme val="minor"/>
    </font>
    <font>
      <b/>
      <i/>
      <sz val="11"/>
      <color theme="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i/>
      <sz val="12"/>
      <color rgb="FFFF0000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5" fillId="0" borderId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78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2" fontId="0" fillId="0" borderId="0" xfId="0" applyNumberFormat="1"/>
    <xf numFmtId="43" fontId="0" fillId="0" borderId="0" xfId="1" applyFont="1" applyBorder="1"/>
    <xf numFmtId="9" fontId="0" fillId="0" borderId="0" xfId="1" applyNumberFormat="1" applyFont="1" applyBorder="1"/>
    <xf numFmtId="43" fontId="2" fillId="0" borderId="0" xfId="1" applyFont="1" applyBorder="1"/>
    <xf numFmtId="43" fontId="0" fillId="0" borderId="0" xfId="1" applyFont="1" applyFill="1" applyBorder="1"/>
    <xf numFmtId="168" fontId="0" fillId="0" borderId="0" xfId="1" applyNumberFormat="1" applyFont="1" applyBorder="1"/>
    <xf numFmtId="17" fontId="0" fillId="0" borderId="0" xfId="0" applyNumberFormat="1"/>
    <xf numFmtId="9" fontId="0" fillId="0" borderId="0" xfId="2" applyFont="1" applyFill="1" applyBorder="1"/>
    <xf numFmtId="167" fontId="0" fillId="0" borderId="0" xfId="1" applyNumberFormat="1" applyFont="1"/>
    <xf numFmtId="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167" fontId="2" fillId="0" borderId="0" xfId="1" applyNumberFormat="1" applyFont="1" applyFill="1"/>
    <xf numFmtId="167" fontId="0" fillId="0" borderId="0" xfId="1" applyNumberFormat="1" applyFont="1" applyAlignment="1"/>
    <xf numFmtId="167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center" vertical="center"/>
    </xf>
    <xf numFmtId="167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 vertical="center"/>
    </xf>
    <xf numFmtId="14" fontId="0" fillId="0" borderId="0" xfId="0" applyNumberFormat="1"/>
    <xf numFmtId="167" fontId="2" fillId="0" borderId="0" xfId="1" applyNumberFormat="1" applyFont="1" applyFill="1" applyBorder="1"/>
    <xf numFmtId="0" fontId="12" fillId="0" borderId="0" xfId="0" applyFon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9" fontId="0" fillId="0" borderId="15" xfId="2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0" xfId="1" applyNumberFormat="1" applyFont="1" applyAlignment="1">
      <alignment horizontal="center"/>
    </xf>
    <xf numFmtId="3" fontId="0" fillId="0" borderId="0" xfId="1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167" fontId="2" fillId="0" borderId="0" xfId="1" applyNumberFormat="1" applyFont="1" applyAlignment="1">
      <alignment horizontal="center" vertical="center"/>
    </xf>
    <xf numFmtId="17" fontId="0" fillId="3" borderId="1" xfId="0" applyNumberFormat="1" applyFill="1" applyBorder="1"/>
    <xf numFmtId="9" fontId="0" fillId="3" borderId="1" xfId="2" applyFont="1" applyFill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3" fontId="0" fillId="0" borderId="1" xfId="1" applyFont="1" applyBorder="1" applyAlignment="1">
      <alignment horizontal="center"/>
    </xf>
    <xf numFmtId="3" fontId="0" fillId="3" borderId="1" xfId="1" applyNumberFormat="1" applyFont="1" applyFill="1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3" fontId="0" fillId="6" borderId="1" xfId="1" applyNumberFormat="1" applyFont="1" applyFill="1" applyBorder="1" applyAlignment="1">
      <alignment horizontal="center"/>
    </xf>
    <xf numFmtId="3" fontId="1" fillId="6" borderId="1" xfId="2" applyNumberFormat="1" applyFont="1" applyFill="1" applyBorder="1" applyAlignment="1">
      <alignment horizontal="center"/>
    </xf>
    <xf numFmtId="3" fontId="0" fillId="0" borderId="1" xfId="1" applyNumberFormat="1" applyFont="1" applyFill="1" applyBorder="1" applyAlignment="1">
      <alignment horizontal="center"/>
    </xf>
    <xf numFmtId="4" fontId="0" fillId="3" borderId="1" xfId="1" applyNumberFormat="1" applyFont="1" applyFill="1" applyBorder="1" applyAlignment="1">
      <alignment horizontal="center" vertical="center"/>
    </xf>
    <xf numFmtId="4" fontId="0" fillId="3" borderId="1" xfId="1" applyNumberFormat="1" applyFont="1" applyFill="1" applyBorder="1" applyAlignment="1">
      <alignment horizontal="center"/>
    </xf>
    <xf numFmtId="4" fontId="0" fillId="0" borderId="1" xfId="1" applyNumberFormat="1" applyFont="1" applyBorder="1" applyAlignment="1">
      <alignment horizontal="center"/>
    </xf>
    <xf numFmtId="4" fontId="0" fillId="0" borderId="1" xfId="0" applyNumberForma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164" fontId="2" fillId="0" borderId="31" xfId="0" applyNumberFormat="1" applyFont="1" applyBorder="1" applyAlignment="1">
      <alignment horizontal="center" vertical="center"/>
    </xf>
    <xf numFmtId="4" fontId="2" fillId="0" borderId="11" xfId="0" applyNumberFormat="1" applyFont="1" applyBorder="1" applyAlignment="1">
      <alignment horizontal="center" vertical="center"/>
    </xf>
    <xf numFmtId="9" fontId="2" fillId="0" borderId="12" xfId="2" applyFont="1" applyBorder="1" applyAlignment="1">
      <alignment horizontal="center" vertical="center"/>
    </xf>
    <xf numFmtId="4" fontId="0" fillId="0" borderId="1" xfId="1" applyNumberFormat="1" applyFont="1" applyBorder="1" applyAlignment="1">
      <alignment horizontal="center" vertical="center"/>
    </xf>
    <xf numFmtId="4" fontId="0" fillId="0" borderId="1" xfId="1" applyNumberFormat="1" applyFont="1" applyFill="1" applyBorder="1" applyAlignment="1">
      <alignment horizontal="center" vertical="center"/>
    </xf>
    <xf numFmtId="4" fontId="0" fillId="0" borderId="1" xfId="1" applyNumberFormat="1" applyFont="1" applyFill="1" applyBorder="1" applyAlignment="1">
      <alignment horizontal="center"/>
    </xf>
    <xf numFmtId="9" fontId="0" fillId="0" borderId="1" xfId="1" applyNumberFormat="1" applyFont="1" applyBorder="1" applyAlignment="1">
      <alignment horizontal="center"/>
    </xf>
    <xf numFmtId="43" fontId="2" fillId="0" borderId="0" xfId="1" applyFont="1" applyBorder="1" applyAlignment="1">
      <alignment horizontal="center" vertical="center"/>
    </xf>
    <xf numFmtId="4" fontId="0" fillId="0" borderId="4" xfId="0" applyNumberFormat="1" applyBorder="1" applyAlignment="1">
      <alignment horizontal="center" vertical="center"/>
    </xf>
    <xf numFmtId="3" fontId="0" fillId="3" borderId="1" xfId="1" applyNumberFormat="1" applyFont="1" applyFill="1" applyBorder="1" applyAlignment="1">
      <alignment horizontal="center" vertical="center"/>
    </xf>
    <xf numFmtId="4" fontId="0" fillId="0" borderId="0" xfId="1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3" fontId="0" fillId="0" borderId="0" xfId="1" applyFont="1" applyFill="1" applyBorder="1" applyAlignment="1">
      <alignment horizontal="center" vertical="center"/>
    </xf>
    <xf numFmtId="4" fontId="2" fillId="0" borderId="23" xfId="1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4" fontId="0" fillId="0" borderId="0" xfId="1" applyNumberFormat="1" applyFont="1" applyFill="1" applyBorder="1" applyAlignment="1">
      <alignment horizontal="center" vertical="center"/>
    </xf>
    <xf numFmtId="172" fontId="0" fillId="3" borderId="1" xfId="1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9" fontId="0" fillId="4" borderId="15" xfId="2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9" fontId="0" fillId="4" borderId="35" xfId="2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9" fontId="2" fillId="4" borderId="12" xfId="2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9" fontId="0" fillId="4" borderId="20" xfId="2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 wrapText="1"/>
    </xf>
    <xf numFmtId="16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11" borderId="1" xfId="0" applyNumberFormat="1" applyFill="1" applyBorder="1" applyAlignment="1">
      <alignment horizontal="center"/>
    </xf>
    <xf numFmtId="4" fontId="0" fillId="11" borderId="1" xfId="1" applyNumberFormat="1" applyFont="1" applyFill="1" applyBorder="1" applyAlignment="1">
      <alignment horizontal="center" vertical="center"/>
    </xf>
    <xf numFmtId="43" fontId="0" fillId="11" borderId="1" xfId="1" applyFont="1" applyFill="1" applyBorder="1" applyAlignment="1">
      <alignment horizontal="center"/>
    </xf>
    <xf numFmtId="172" fontId="0" fillId="11" borderId="1" xfId="1" applyNumberFormat="1" applyFont="1" applyFill="1" applyBorder="1" applyAlignment="1">
      <alignment horizontal="center"/>
    </xf>
    <xf numFmtId="9" fontId="0" fillId="11" borderId="1" xfId="2" applyFont="1" applyFill="1" applyBorder="1" applyAlignment="1">
      <alignment horizontal="center"/>
    </xf>
    <xf numFmtId="9" fontId="0" fillId="11" borderId="1" xfId="1" applyNumberFormat="1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165" fontId="16" fillId="0" borderId="1" xfId="0" applyNumberFormat="1" applyFont="1" applyBorder="1" applyAlignment="1">
      <alignment horizontal="center" vertical="center"/>
    </xf>
    <xf numFmtId="166" fontId="16" fillId="0" borderId="1" xfId="0" applyNumberFormat="1" applyFont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 wrapText="1"/>
    </xf>
    <xf numFmtId="171" fontId="16" fillId="12" borderId="1" xfId="1" applyNumberFormat="1" applyFont="1" applyFill="1" applyBorder="1" applyAlignment="1">
      <alignment horizontal="center" vertical="center"/>
    </xf>
    <xf numFmtId="1" fontId="15" fillId="3" borderId="1" xfId="0" applyNumberFormat="1" applyFont="1" applyFill="1" applyBorder="1" applyAlignment="1">
      <alignment horizontal="center" vertical="center"/>
    </xf>
    <xf numFmtId="4" fontId="16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165" fontId="3" fillId="14" borderId="1" xfId="0" applyNumberFormat="1" applyFont="1" applyFill="1" applyBorder="1" applyAlignment="1">
      <alignment horizontal="center" vertical="center"/>
    </xf>
    <xf numFmtId="166" fontId="3" fillId="14" borderId="1" xfId="0" applyNumberFormat="1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 wrapText="1"/>
    </xf>
    <xf numFmtId="2" fontId="3" fillId="14" borderId="1" xfId="0" applyNumberFormat="1" applyFont="1" applyFill="1" applyBorder="1" applyAlignment="1">
      <alignment horizontal="center" vertical="center" wrapText="1"/>
    </xf>
    <xf numFmtId="43" fontId="3" fillId="14" borderId="1" xfId="1" applyFont="1" applyFill="1" applyBorder="1" applyAlignment="1">
      <alignment horizontal="center" vertical="center" wrapText="1"/>
    </xf>
    <xf numFmtId="4" fontId="2" fillId="14" borderId="1" xfId="1" applyNumberFormat="1" applyFont="1" applyFill="1" applyBorder="1" applyAlignment="1">
      <alignment horizontal="center" vertical="center"/>
    </xf>
    <xf numFmtId="1" fontId="0" fillId="3" borderId="1" xfId="1" applyNumberFormat="1" applyFont="1" applyFill="1" applyBorder="1" applyAlignment="1">
      <alignment horizontal="center" vertical="center"/>
    </xf>
    <xf numFmtId="173" fontId="2" fillId="0" borderId="0" xfId="0" applyNumberFormat="1" applyFont="1" applyAlignment="1">
      <alignment horizontal="center" vertical="center"/>
    </xf>
    <xf numFmtId="17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2" fillId="0" borderId="0" xfId="1" applyNumberFormat="1" applyFont="1" applyFill="1" applyBorder="1" applyAlignment="1">
      <alignment horizontal="center" vertical="center"/>
    </xf>
    <xf numFmtId="3" fontId="2" fillId="0" borderId="0" xfId="1" applyNumberFormat="1" applyFont="1" applyFill="1" applyBorder="1" applyAlignment="1">
      <alignment horizontal="center"/>
    </xf>
    <xf numFmtId="3" fontId="13" fillId="0" borderId="0" xfId="0" applyNumberFormat="1" applyFont="1" applyAlignment="1">
      <alignment horizontal="center" vertical="center"/>
    </xf>
    <xf numFmtId="1" fontId="16" fillId="4" borderId="1" xfId="0" applyNumberFormat="1" applyFont="1" applyFill="1" applyBorder="1" applyAlignment="1">
      <alignment horizontal="center" vertical="center"/>
    </xf>
    <xf numFmtId="4" fontId="16" fillId="4" borderId="1" xfId="0" applyNumberFormat="1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174" fontId="2" fillId="15" borderId="25" xfId="0" applyNumberFormat="1" applyFont="1" applyFill="1" applyBorder="1" applyAlignment="1">
      <alignment horizontal="center" vertical="center"/>
    </xf>
    <xf numFmtId="165" fontId="2" fillId="15" borderId="24" xfId="0" applyNumberFormat="1" applyFont="1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9" fontId="0" fillId="0" borderId="3" xfId="2" applyFont="1" applyBorder="1" applyAlignment="1">
      <alignment horizontal="center" vertical="center"/>
    </xf>
    <xf numFmtId="4" fontId="0" fillId="0" borderId="7" xfId="1" applyNumberFormat="1" applyFont="1" applyBorder="1" applyAlignment="1">
      <alignment horizontal="center" vertical="center"/>
    </xf>
    <xf numFmtId="9" fontId="0" fillId="0" borderId="20" xfId="2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9" fontId="6" fillId="0" borderId="0" xfId="2" applyFont="1" applyFill="1" applyBorder="1" applyAlignment="1">
      <alignment horizontal="center" vertical="center"/>
    </xf>
    <xf numFmtId="170" fontId="6" fillId="0" borderId="0" xfId="2" applyNumberFormat="1" applyFont="1" applyFill="1" applyBorder="1" applyAlignment="1">
      <alignment horizontal="center" vertical="center"/>
    </xf>
    <xf numFmtId="17" fontId="0" fillId="5" borderId="1" xfId="0" applyNumberFormat="1" applyFill="1" applyBorder="1"/>
    <xf numFmtId="9" fontId="6" fillId="5" borderId="1" xfId="2" applyFont="1" applyFill="1" applyBorder="1" applyAlignment="1">
      <alignment horizontal="center" vertical="center"/>
    </xf>
    <xf numFmtId="170" fontId="6" fillId="5" borderId="1" xfId="2" applyNumberFormat="1" applyFont="1" applyFill="1" applyBorder="1" applyAlignment="1">
      <alignment horizontal="center" vertical="center"/>
    </xf>
    <xf numFmtId="9" fontId="0" fillId="0" borderId="0" xfId="1" applyNumberFormat="1" applyFont="1" applyFill="1" applyBorder="1"/>
    <xf numFmtId="4" fontId="0" fillId="0" borderId="4" xfId="0" applyNumberFormat="1" applyBorder="1" applyAlignment="1">
      <alignment horizontal="center" vertical="center" wrapText="1"/>
    </xf>
    <xf numFmtId="169" fontId="0" fillId="0" borderId="1" xfId="0" applyNumberFormat="1" applyBorder="1" applyAlignment="1">
      <alignment horizontal="left"/>
    </xf>
    <xf numFmtId="17" fontId="0" fillId="3" borderId="1" xfId="0" applyNumberFormat="1" applyFill="1" applyBorder="1" applyAlignment="1">
      <alignment horizontal="left"/>
    </xf>
    <xf numFmtId="17" fontId="0" fillId="5" borderId="1" xfId="0" applyNumberFormat="1" applyFill="1" applyBorder="1" applyAlignment="1">
      <alignment horizontal="left"/>
    </xf>
    <xf numFmtId="3" fontId="21" fillId="0" borderId="17" xfId="1" applyNumberFormat="1" applyFont="1" applyFill="1" applyBorder="1" applyAlignment="1">
      <alignment horizontal="center" vertical="center"/>
    </xf>
    <xf numFmtId="3" fontId="21" fillId="0" borderId="18" xfId="1" applyNumberFormat="1" applyFont="1" applyFill="1" applyBorder="1" applyAlignment="1">
      <alignment horizontal="center" vertical="center"/>
    </xf>
    <xf numFmtId="3" fontId="20" fillId="0" borderId="17" xfId="0" applyNumberFormat="1" applyFont="1" applyBorder="1" applyAlignment="1">
      <alignment horizontal="center" vertical="center"/>
    </xf>
    <xf numFmtId="3" fontId="20" fillId="0" borderId="18" xfId="0" applyNumberFormat="1" applyFont="1" applyBorder="1" applyAlignment="1">
      <alignment horizontal="center" vertical="center"/>
    </xf>
    <xf numFmtId="4" fontId="20" fillId="2" borderId="17" xfId="0" applyNumberFormat="1" applyFont="1" applyFill="1" applyBorder="1" applyAlignment="1">
      <alignment horizontal="center" vertical="center"/>
    </xf>
    <xf numFmtId="4" fontId="20" fillId="2" borderId="18" xfId="0" applyNumberFormat="1" applyFont="1" applyFill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" fontId="16" fillId="9" borderId="1" xfId="1" applyNumberFormat="1" applyFont="1" applyFill="1" applyBorder="1" applyAlignment="1">
      <alignment horizontal="center" vertical="center"/>
    </xf>
    <xf numFmtId="1" fontId="16" fillId="9" borderId="1" xfId="1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/>
    </xf>
    <xf numFmtId="3" fontId="0" fillId="13" borderId="1" xfId="0" applyNumberFormat="1" applyFill="1" applyBorder="1" applyAlignment="1">
      <alignment horizontal="center"/>
    </xf>
    <xf numFmtId="3" fontId="0" fillId="13" borderId="1" xfId="1" applyNumberFormat="1" applyFont="1" applyFill="1" applyBorder="1" applyAlignment="1">
      <alignment horizontal="center"/>
    </xf>
    <xf numFmtId="3" fontId="1" fillId="13" borderId="1" xfId="2" applyNumberFormat="1" applyFont="1" applyFill="1" applyBorder="1" applyAlignment="1">
      <alignment horizontal="center"/>
    </xf>
    <xf numFmtId="3" fontId="0" fillId="13" borderId="0" xfId="0" applyNumberFormat="1" applyFill="1" applyAlignment="1">
      <alignment horizontal="center"/>
    </xf>
    <xf numFmtId="3" fontId="0" fillId="13" borderId="0" xfId="1" applyNumberFormat="1" applyFont="1" applyFill="1" applyAlignment="1">
      <alignment horizontal="center"/>
    </xf>
    <xf numFmtId="17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1" xfId="1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 wrapText="1"/>
    </xf>
    <xf numFmtId="174" fontId="11" fillId="2" borderId="1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167" fontId="11" fillId="2" borderId="1" xfId="1" applyNumberFormat="1" applyFont="1" applyFill="1" applyBorder="1" applyAlignment="1">
      <alignment horizontal="center" vertical="center" wrapText="1"/>
    </xf>
    <xf numFmtId="0" fontId="11" fillId="2" borderId="36" xfId="0" applyFont="1" applyFill="1" applyBorder="1" applyAlignment="1">
      <alignment horizontal="center" vertical="center"/>
    </xf>
    <xf numFmtId="165" fontId="11" fillId="2" borderId="37" xfId="0" applyNumberFormat="1" applyFont="1" applyFill="1" applyBorder="1" applyAlignment="1">
      <alignment horizontal="center" vertical="center" wrapText="1"/>
    </xf>
    <xf numFmtId="174" fontId="11" fillId="2" borderId="37" xfId="0" applyNumberFormat="1" applyFont="1" applyFill="1" applyBorder="1" applyAlignment="1">
      <alignment horizontal="center" vertical="center" wrapText="1"/>
    </xf>
    <xf numFmtId="0" fontId="11" fillId="2" borderId="37" xfId="0" applyFont="1" applyFill="1" applyBorder="1" applyAlignment="1">
      <alignment horizontal="center" vertical="center" wrapText="1"/>
    </xf>
    <xf numFmtId="167" fontId="11" fillId="2" borderId="37" xfId="1" applyNumberFormat="1" applyFont="1" applyFill="1" applyBorder="1" applyAlignment="1">
      <alignment horizontal="center" vertical="center" wrapText="1"/>
    </xf>
    <xf numFmtId="167" fontId="11" fillId="2" borderId="38" xfId="1" applyNumberFormat="1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/>
    </xf>
    <xf numFmtId="3" fontId="2" fillId="4" borderId="17" xfId="0" applyNumberFormat="1" applyFont="1" applyFill="1" applyBorder="1" applyAlignment="1">
      <alignment horizontal="center" vertical="center"/>
    </xf>
    <xf numFmtId="3" fontId="2" fillId="4" borderId="17" xfId="1" applyNumberFormat="1" applyFont="1" applyFill="1" applyBorder="1" applyAlignment="1">
      <alignment horizontal="center" vertical="center"/>
    </xf>
    <xf numFmtId="3" fontId="2" fillId="4" borderId="18" xfId="1" applyNumberFormat="1" applyFont="1" applyFill="1" applyBorder="1" applyAlignment="1">
      <alignment horizontal="center" vertical="center"/>
    </xf>
    <xf numFmtId="169" fontId="0" fillId="6" borderId="1" xfId="0" applyNumberFormat="1" applyFill="1" applyBorder="1" applyAlignment="1">
      <alignment horizontal="center"/>
    </xf>
    <xf numFmtId="4" fontId="0" fillId="6" borderId="1" xfId="1" applyNumberFormat="1" applyFont="1" applyFill="1" applyBorder="1" applyAlignment="1">
      <alignment horizontal="center" vertical="center"/>
    </xf>
    <xf numFmtId="4" fontId="20" fillId="0" borderId="17" xfId="0" applyNumberFormat="1" applyFont="1" applyBorder="1" applyAlignment="1">
      <alignment horizontal="center" vertical="center"/>
    </xf>
    <xf numFmtId="43" fontId="0" fillId="6" borderId="1" xfId="1" applyFont="1" applyFill="1" applyBorder="1" applyAlignment="1">
      <alignment horizontal="center"/>
    </xf>
    <xf numFmtId="172" fontId="0" fillId="6" borderId="1" xfId="1" applyNumberFormat="1" applyFont="1" applyFill="1" applyBorder="1" applyAlignment="1">
      <alignment horizontal="center"/>
    </xf>
    <xf numFmtId="9" fontId="0" fillId="6" borderId="1" xfId="1" applyNumberFormat="1" applyFon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175" fontId="0" fillId="13" borderId="0" xfId="1" applyNumberFormat="1" applyFont="1" applyFill="1" applyAlignment="1">
      <alignment horizontal="center"/>
    </xf>
    <xf numFmtId="175" fontId="11" fillId="2" borderId="1" xfId="1" applyNumberFormat="1" applyFont="1" applyFill="1" applyBorder="1" applyAlignment="1">
      <alignment horizontal="center" vertical="center" wrapText="1"/>
    </xf>
    <xf numFmtId="3" fontId="2" fillId="12" borderId="11" xfId="0" applyNumberFormat="1" applyFont="1" applyFill="1" applyBorder="1" applyAlignment="1">
      <alignment horizontal="center"/>
    </xf>
    <xf numFmtId="3" fontId="2" fillId="12" borderId="11" xfId="1" applyNumberFormat="1" applyFont="1" applyFill="1" applyBorder="1" applyAlignment="1">
      <alignment horizontal="center"/>
    </xf>
    <xf numFmtId="3" fontId="2" fillId="12" borderId="12" xfId="1" applyNumberFormat="1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 wrapText="1"/>
    </xf>
    <xf numFmtId="167" fontId="2" fillId="3" borderId="11" xfId="1" applyNumberFormat="1" applyFont="1" applyFill="1" applyBorder="1" applyAlignment="1">
      <alignment horizontal="center" vertical="center" wrapText="1"/>
    </xf>
    <xf numFmtId="3" fontId="2" fillId="3" borderId="12" xfId="1" applyNumberFormat="1" applyFont="1" applyFill="1" applyBorder="1" applyAlignment="1">
      <alignment horizontal="center" vertical="center"/>
    </xf>
    <xf numFmtId="4" fontId="15" fillId="3" borderId="1" xfId="0" applyNumberFormat="1" applyFont="1" applyFill="1" applyBorder="1" applyAlignment="1">
      <alignment horizontal="center" vertical="center"/>
    </xf>
    <xf numFmtId="3" fontId="2" fillId="0" borderId="0" xfId="0" applyNumberFormat="1" applyFont="1" applyAlignment="1">
      <alignment horizontal="center"/>
    </xf>
    <xf numFmtId="3" fontId="0" fillId="0" borderId="20" xfId="1" applyNumberFormat="1" applyFont="1" applyFill="1" applyBorder="1" applyAlignment="1">
      <alignment horizontal="center" vertical="center" wrapText="1"/>
    </xf>
    <xf numFmtId="169" fontId="0" fillId="6" borderId="1" xfId="0" applyNumberFormat="1" applyFill="1" applyBorder="1" applyAlignment="1">
      <alignment horizontal="left"/>
    </xf>
    <xf numFmtId="3" fontId="0" fillId="6" borderId="1" xfId="0" applyNumberFormat="1" applyFill="1" applyBorder="1" applyAlignment="1">
      <alignment horizontal="center" vertical="center" wrapText="1"/>
    </xf>
    <xf numFmtId="3" fontId="0" fillId="6" borderId="15" xfId="1" applyNumberFormat="1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/>
    </xf>
    <xf numFmtId="169" fontId="0" fillId="12" borderId="1" xfId="0" applyNumberFormat="1" applyFill="1" applyBorder="1" applyAlignment="1">
      <alignment horizontal="left"/>
    </xf>
    <xf numFmtId="3" fontId="11" fillId="2" borderId="1" xfId="1" applyNumberFormat="1" applyFont="1" applyFill="1" applyBorder="1" applyAlignment="1">
      <alignment horizontal="center" vertical="center" wrapText="1"/>
    </xf>
    <xf numFmtId="3" fontId="2" fillId="8" borderId="17" xfId="1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3" fontId="0" fillId="6" borderId="1" xfId="0" applyNumberFormat="1" applyFill="1" applyBorder="1" applyAlignment="1">
      <alignment horizontal="center" wrapText="1"/>
    </xf>
    <xf numFmtId="3" fontId="0" fillId="6" borderId="1" xfId="1" applyNumberFormat="1" applyFont="1" applyFill="1" applyBorder="1" applyAlignment="1">
      <alignment horizontal="center" wrapText="1"/>
    </xf>
    <xf numFmtId="0" fontId="2" fillId="3" borderId="27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 wrapText="1"/>
    </xf>
    <xf numFmtId="167" fontId="2" fillId="3" borderId="28" xfId="1" applyNumberFormat="1" applyFont="1" applyFill="1" applyBorder="1" applyAlignment="1">
      <alignment horizontal="center" vertical="center" wrapText="1"/>
    </xf>
    <xf numFmtId="3" fontId="2" fillId="3" borderId="29" xfId="1" applyNumberFormat="1" applyFont="1" applyFill="1" applyBorder="1" applyAlignment="1">
      <alignment horizontal="center" vertical="center"/>
    </xf>
    <xf numFmtId="3" fontId="2" fillId="12" borderId="32" xfId="0" applyNumberFormat="1" applyFont="1" applyFill="1" applyBorder="1" applyAlignment="1">
      <alignment horizontal="center"/>
    </xf>
    <xf numFmtId="3" fontId="0" fillId="6" borderId="37" xfId="0" applyNumberFormat="1" applyFill="1" applyBorder="1" applyAlignment="1">
      <alignment horizontal="center" vertical="center" wrapText="1"/>
    </xf>
    <xf numFmtId="3" fontId="0" fillId="6" borderId="38" xfId="1" applyNumberFormat="1" applyFont="1" applyFill="1" applyBorder="1" applyAlignment="1">
      <alignment horizontal="center" vertical="center" wrapText="1"/>
    </xf>
    <xf numFmtId="169" fontId="0" fillId="6" borderId="14" xfId="0" applyNumberFormat="1" applyFill="1" applyBorder="1" applyAlignment="1">
      <alignment horizontal="center"/>
    </xf>
    <xf numFmtId="169" fontId="0" fillId="6" borderId="36" xfId="0" applyNumberFormat="1" applyFill="1" applyBorder="1" applyAlignment="1">
      <alignment horizontal="center" vertical="center"/>
    </xf>
    <xf numFmtId="169" fontId="0" fillId="6" borderId="14" xfId="0" applyNumberFormat="1" applyFill="1" applyBorder="1" applyAlignment="1">
      <alignment horizontal="center" vertical="center"/>
    </xf>
    <xf numFmtId="3" fontId="0" fillId="10" borderId="17" xfId="0" applyNumberFormat="1" applyFill="1" applyBorder="1" applyAlignment="1">
      <alignment horizontal="center" vertical="center" wrapText="1"/>
    </xf>
    <xf numFmtId="3" fontId="0" fillId="10" borderId="18" xfId="1" applyNumberFormat="1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 wrapText="1"/>
    </xf>
    <xf numFmtId="167" fontId="2" fillId="3" borderId="37" xfId="1" applyNumberFormat="1" applyFont="1" applyFill="1" applyBorder="1" applyAlignment="1">
      <alignment horizontal="center" vertical="center" wrapText="1"/>
    </xf>
    <xf numFmtId="3" fontId="2" fillId="3" borderId="38" xfId="1" applyNumberFormat="1" applyFont="1" applyFill="1" applyBorder="1" applyAlignment="1">
      <alignment horizontal="center" vertical="center"/>
    </xf>
    <xf numFmtId="3" fontId="0" fillId="6" borderId="5" xfId="0" applyNumberFormat="1" applyFill="1" applyBorder="1" applyAlignment="1">
      <alignment horizontal="center" wrapText="1"/>
    </xf>
    <xf numFmtId="3" fontId="0" fillId="6" borderId="5" xfId="1" applyNumberFormat="1" applyFont="1" applyFill="1" applyBorder="1" applyAlignment="1">
      <alignment horizontal="center" wrapText="1"/>
    </xf>
    <xf numFmtId="3" fontId="0" fillId="6" borderId="35" xfId="1" applyNumberFormat="1" applyFont="1" applyFill="1" applyBorder="1" applyAlignment="1">
      <alignment horizontal="center" vertical="center" wrapText="1"/>
    </xf>
    <xf numFmtId="169" fontId="0" fillId="6" borderId="14" xfId="0" applyNumberFormat="1" applyFill="1" applyBorder="1" applyAlignment="1">
      <alignment horizontal="center" wrapText="1"/>
    </xf>
    <xf numFmtId="169" fontId="0" fillId="6" borderId="49" xfId="0" applyNumberFormat="1" applyFill="1" applyBorder="1" applyAlignment="1">
      <alignment horizontal="center"/>
    </xf>
    <xf numFmtId="0" fontId="2" fillId="12" borderId="30" xfId="0" applyFont="1" applyFill="1" applyBorder="1" applyAlignment="1">
      <alignment horizontal="center"/>
    </xf>
    <xf numFmtId="0" fontId="2" fillId="12" borderId="33" xfId="0" applyFont="1" applyFill="1" applyBorder="1" applyAlignment="1">
      <alignment horizontal="center"/>
    </xf>
    <xf numFmtId="0" fontId="15" fillId="0" borderId="0" xfId="0" applyFont="1"/>
    <xf numFmtId="0" fontId="23" fillId="0" borderId="1" xfId="0" applyFont="1" applyBorder="1" applyAlignment="1">
      <alignment horizontal="center" vertical="center"/>
    </xf>
    <xf numFmtId="4" fontId="24" fillId="0" borderId="1" xfId="0" applyNumberFormat="1" applyFont="1" applyBorder="1" applyAlignment="1">
      <alignment horizontal="center" vertical="center"/>
    </xf>
    <xf numFmtId="4" fontId="25" fillId="0" borderId="1" xfId="0" applyNumberFormat="1" applyFont="1" applyBorder="1" applyAlignment="1">
      <alignment horizontal="center" vertical="center"/>
    </xf>
    <xf numFmtId="4" fontId="25" fillId="16" borderId="0" xfId="0" applyNumberFormat="1" applyFont="1" applyFill="1" applyAlignment="1">
      <alignment horizontal="center" vertical="center"/>
    </xf>
    <xf numFmtId="1" fontId="23" fillId="0" borderId="13" xfId="2" applyNumberFormat="1" applyFont="1" applyBorder="1" applyAlignment="1">
      <alignment horizontal="center" vertical="center"/>
    </xf>
    <xf numFmtId="4" fontId="24" fillId="0" borderId="1" xfId="2" applyNumberFormat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16" borderId="0" xfId="0" applyFont="1" applyFill="1" applyAlignment="1">
      <alignment horizontal="center" vertic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4" fontId="26" fillId="0" borderId="0" xfId="0" applyNumberFormat="1" applyFont="1" applyAlignment="1">
      <alignment horizontal="center"/>
    </xf>
    <xf numFmtId="0" fontId="26" fillId="16" borderId="0" xfId="0" applyFont="1" applyFill="1" applyAlignment="1">
      <alignment horizontal="center"/>
    </xf>
    <xf numFmtId="0" fontId="26" fillId="0" borderId="0" xfId="0" applyFont="1"/>
    <xf numFmtId="0" fontId="0" fillId="0" borderId="0" xfId="0" applyNumberFormat="1"/>
    <xf numFmtId="3" fontId="2" fillId="12" borderId="34" xfId="1" applyNumberFormat="1" applyFont="1" applyFill="1" applyBorder="1" applyAlignment="1">
      <alignment horizontal="center" vertical="center"/>
    </xf>
    <xf numFmtId="3" fontId="2" fillId="12" borderId="12" xfId="0" applyNumberFormat="1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 vertical="center"/>
    </xf>
    <xf numFmtId="169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0" fontId="0" fillId="0" borderId="0" xfId="0" applyFill="1"/>
    <xf numFmtId="4" fontId="0" fillId="0" borderId="0" xfId="0" applyNumberFormat="1" applyFill="1"/>
    <xf numFmtId="43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17" borderId="1" xfId="0" applyNumberFormat="1" applyFill="1" applyBorder="1" applyAlignment="1">
      <alignment horizontal="center" vertical="center" wrapText="1"/>
    </xf>
    <xf numFmtId="3" fontId="0" fillId="17" borderId="15" xfId="1" applyNumberFormat="1" applyFont="1" applyFill="1" applyBorder="1" applyAlignment="1">
      <alignment horizontal="center" vertical="center" wrapText="1"/>
    </xf>
    <xf numFmtId="169" fontId="0" fillId="17" borderId="16" xfId="0" applyNumberFormat="1" applyFill="1" applyBorder="1" applyAlignment="1">
      <alignment horizontal="center" vertical="center"/>
    </xf>
    <xf numFmtId="3" fontId="0" fillId="17" borderId="17" xfId="0" applyNumberFormat="1" applyFill="1" applyBorder="1" applyAlignment="1">
      <alignment horizontal="center" vertical="center" wrapText="1"/>
    </xf>
    <xf numFmtId="3" fontId="0" fillId="17" borderId="18" xfId="1" applyNumberFormat="1" applyFont="1" applyFill="1" applyBorder="1" applyAlignment="1">
      <alignment horizontal="center" vertical="center" wrapText="1"/>
    </xf>
    <xf numFmtId="169" fontId="30" fillId="17" borderId="14" xfId="0" applyNumberFormat="1" applyFont="1" applyFill="1" applyBorder="1" applyAlignment="1">
      <alignment horizontal="center" vertical="center"/>
    </xf>
    <xf numFmtId="165" fontId="2" fillId="15" borderId="50" xfId="0" applyNumberFormat="1" applyFont="1" applyFill="1" applyBorder="1" applyAlignment="1">
      <alignment horizontal="center" vertical="center"/>
    </xf>
    <xf numFmtId="4" fontId="0" fillId="0" borderId="32" xfId="0" applyNumberFormat="1" applyBorder="1" applyAlignment="1">
      <alignment horizontal="center" vertical="center" wrapText="1"/>
    </xf>
    <xf numFmtId="2" fontId="0" fillId="0" borderId="32" xfId="0" applyNumberForma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9" fontId="0" fillId="4" borderId="34" xfId="2" applyFont="1" applyFill="1" applyBorder="1" applyAlignment="1">
      <alignment horizontal="center" vertical="center"/>
    </xf>
    <xf numFmtId="4" fontId="0" fillId="0" borderId="51" xfId="1" applyNumberFormat="1" applyFont="1" applyBorder="1" applyAlignment="1">
      <alignment horizontal="center" vertical="center"/>
    </xf>
    <xf numFmtId="4" fontId="0" fillId="0" borderId="34" xfId="0" applyNumberFormat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169" fontId="0" fillId="0" borderId="0" xfId="0" applyNumberFormat="1" applyBorder="1" applyAlignment="1">
      <alignment horizontal="center"/>
    </xf>
    <xf numFmtId="0" fontId="0" fillId="13" borderId="0" xfId="0" applyFill="1" applyBorder="1" applyAlignment="1">
      <alignment horizontal="center"/>
    </xf>
    <xf numFmtId="3" fontId="0" fillId="13" borderId="0" xfId="1" applyNumberFormat="1" applyFont="1" applyFill="1" applyBorder="1" applyAlignment="1">
      <alignment horizontal="center"/>
    </xf>
    <xf numFmtId="3" fontId="1" fillId="13" borderId="0" xfId="2" applyNumberFormat="1" applyFont="1" applyFill="1" applyBorder="1" applyAlignment="1">
      <alignment horizontal="center"/>
    </xf>
    <xf numFmtId="3" fontId="0" fillId="0" borderId="0" xfId="1" applyNumberFormat="1" applyFont="1" applyFill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9" fontId="0" fillId="18" borderId="1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3" fontId="0" fillId="18" borderId="1" xfId="1" applyNumberFormat="1" applyFont="1" applyFill="1" applyBorder="1" applyAlignment="1">
      <alignment horizontal="center"/>
    </xf>
    <xf numFmtId="3" fontId="1" fillId="18" borderId="1" xfId="2" applyNumberFormat="1" applyFont="1" applyFill="1" applyBorder="1" applyAlignment="1">
      <alignment horizontal="center"/>
    </xf>
    <xf numFmtId="165" fontId="2" fillId="10" borderId="50" xfId="0" applyNumberFormat="1" applyFont="1" applyFill="1" applyBorder="1" applyAlignment="1">
      <alignment horizontal="center" vertical="center"/>
    </xf>
    <xf numFmtId="4" fontId="0" fillId="10" borderId="32" xfId="0" applyNumberFormat="1" applyFill="1" applyBorder="1" applyAlignment="1">
      <alignment horizontal="center" vertical="center" wrapText="1"/>
    </xf>
    <xf numFmtId="2" fontId="0" fillId="10" borderId="32" xfId="0" applyNumberFormat="1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32" xfId="0" applyFill="1" applyBorder="1" applyAlignment="1">
      <alignment horizontal="center" vertical="center"/>
    </xf>
    <xf numFmtId="9" fontId="0" fillId="10" borderId="34" xfId="2" applyFont="1" applyFill="1" applyBorder="1" applyAlignment="1">
      <alignment horizontal="center" vertical="center"/>
    </xf>
    <xf numFmtId="4" fontId="0" fillId="10" borderId="51" xfId="1" applyNumberFormat="1" applyFont="1" applyFill="1" applyBorder="1" applyAlignment="1">
      <alignment horizontal="center" vertical="center"/>
    </xf>
    <xf numFmtId="4" fontId="0" fillId="10" borderId="34" xfId="0" applyNumberFormat="1" applyFill="1" applyBorder="1" applyAlignment="1">
      <alignment horizontal="center" vertical="center"/>
    </xf>
    <xf numFmtId="4" fontId="26" fillId="0" borderId="0" xfId="0" applyNumberFormat="1" applyFont="1" applyFill="1" applyAlignment="1">
      <alignment horizontal="center" vertical="center"/>
    </xf>
    <xf numFmtId="0" fontId="2" fillId="9" borderId="30" xfId="0" applyFont="1" applyFill="1" applyBorder="1" applyAlignment="1">
      <alignment horizontal="center" vertical="center"/>
    </xf>
    <xf numFmtId="4" fontId="2" fillId="9" borderId="11" xfId="0" applyNumberFormat="1" applyFont="1" applyFill="1" applyBorder="1" applyAlignment="1">
      <alignment horizontal="center" vertical="center" wrapText="1"/>
    </xf>
    <xf numFmtId="2" fontId="2" fillId="9" borderId="11" xfId="0" applyNumberFormat="1" applyFont="1" applyFill="1" applyBorder="1" applyAlignment="1">
      <alignment horizontal="center" vertical="center"/>
    </xf>
    <xf numFmtId="164" fontId="2" fillId="9" borderId="31" xfId="0" applyNumberFormat="1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9" fontId="2" fillId="9" borderId="12" xfId="2" applyFont="1" applyFill="1" applyBorder="1" applyAlignment="1">
      <alignment horizontal="center" vertical="center"/>
    </xf>
    <xf numFmtId="4" fontId="2" fillId="9" borderId="23" xfId="1" applyNumberFormat="1" applyFont="1" applyFill="1" applyBorder="1" applyAlignment="1">
      <alignment horizontal="center" vertical="center"/>
    </xf>
    <xf numFmtId="4" fontId="2" fillId="9" borderId="11" xfId="0" applyNumberFormat="1" applyFont="1" applyFill="1" applyBorder="1" applyAlignment="1">
      <alignment horizontal="center" vertical="center"/>
    </xf>
    <xf numFmtId="9" fontId="0" fillId="0" borderId="1" xfId="1" applyNumberFormat="1" applyFont="1" applyFill="1" applyBorder="1" applyAlignment="1">
      <alignment horizontal="center"/>
    </xf>
    <xf numFmtId="9" fontId="0" fillId="3" borderId="1" xfId="2" applyFont="1" applyFill="1" applyBorder="1" applyAlignment="1">
      <alignment horizontal="center" vertical="center"/>
    </xf>
    <xf numFmtId="166" fontId="2" fillId="3" borderId="11" xfId="0" applyNumberFormat="1" applyFont="1" applyFill="1" applyBorder="1" applyAlignment="1">
      <alignment horizontal="center" vertical="center" wrapText="1"/>
    </xf>
    <xf numFmtId="165" fontId="2" fillId="3" borderId="11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Alignment="1"/>
    <xf numFmtId="165" fontId="11" fillId="2" borderId="1" xfId="0" applyNumberFormat="1" applyFont="1" applyFill="1" applyBorder="1" applyAlignment="1">
      <alignment horizontal="center" vertical="center"/>
    </xf>
    <xf numFmtId="167" fontId="11" fillId="2" borderId="1" xfId="1" applyNumberFormat="1" applyFont="1" applyFill="1" applyBorder="1" applyAlignment="1">
      <alignment horizontal="center" vertical="center"/>
    </xf>
    <xf numFmtId="175" fontId="11" fillId="2" borderId="1" xfId="1" applyNumberFormat="1" applyFont="1" applyFill="1" applyBorder="1" applyAlignment="1">
      <alignment horizontal="center" vertical="center"/>
    </xf>
    <xf numFmtId="165" fontId="11" fillId="2" borderId="37" xfId="0" applyNumberFormat="1" applyFont="1" applyFill="1" applyBorder="1" applyAlignment="1">
      <alignment horizontal="center" vertical="center"/>
    </xf>
    <xf numFmtId="167" fontId="11" fillId="2" borderId="37" xfId="1" applyNumberFormat="1" applyFont="1" applyFill="1" applyBorder="1" applyAlignment="1">
      <alignment horizontal="center" vertical="center"/>
    </xf>
    <xf numFmtId="167" fontId="11" fillId="2" borderId="38" xfId="1" applyNumberFormat="1" applyFont="1" applyFill="1" applyBorder="1" applyAlignment="1">
      <alignment horizontal="center" vertical="center"/>
    </xf>
    <xf numFmtId="169" fontId="0" fillId="0" borderId="1" xfId="0" applyNumberFormat="1" applyFill="1" applyBorder="1" applyAlignment="1">
      <alignment horizontal="center"/>
    </xf>
    <xf numFmtId="3" fontId="1" fillId="0" borderId="1" xfId="2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Border="1"/>
    <xf numFmtId="0" fontId="0" fillId="0" borderId="52" xfId="0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4" fontId="0" fillId="0" borderId="0" xfId="0" applyNumberFormat="1" applyAlignment="1"/>
    <xf numFmtId="4" fontId="8" fillId="0" borderId="1" xfId="0" applyNumberFormat="1" applyFont="1" applyBorder="1" applyAlignment="1">
      <alignment horizontal="center"/>
    </xf>
    <xf numFmtId="0" fontId="8" fillId="0" borderId="0" xfId="0" applyFont="1" applyBorder="1"/>
    <xf numFmtId="3" fontId="0" fillId="0" borderId="1" xfId="0" applyNumberFormat="1" applyFill="1" applyBorder="1" applyAlignment="1">
      <alignment horizontal="center"/>
    </xf>
    <xf numFmtId="169" fontId="2" fillId="10" borderId="16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" fontId="0" fillId="0" borderId="0" xfId="0" applyNumberFormat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3" fontId="0" fillId="0" borderId="0" xfId="1" applyNumberFormat="1" applyFont="1"/>
    <xf numFmtId="3" fontId="11" fillId="2" borderId="37" xfId="1" applyNumberFormat="1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/>
    </xf>
    <xf numFmtId="3" fontId="2" fillId="3" borderId="11" xfId="0" applyNumberFormat="1" applyFont="1" applyFill="1" applyBorder="1" applyAlignment="1">
      <alignment horizontal="center"/>
    </xf>
    <xf numFmtId="169" fontId="0" fillId="0" borderId="14" xfId="0" applyNumberFormat="1" applyFill="1" applyBorder="1" applyAlignment="1">
      <alignment horizontal="center" vertical="center"/>
    </xf>
    <xf numFmtId="3" fontId="0" fillId="0" borderId="4" xfId="0" applyNumberFormat="1" applyFill="1" applyBorder="1" applyAlignment="1">
      <alignment horizontal="center" vertical="center" wrapText="1"/>
    </xf>
    <xf numFmtId="169" fontId="0" fillId="0" borderId="14" xfId="0" applyNumberFormat="1" applyFill="1" applyBorder="1" applyAlignment="1">
      <alignment horizontal="center"/>
    </xf>
    <xf numFmtId="169" fontId="0" fillId="0" borderId="19" xfId="0" applyNumberFormat="1" applyFill="1" applyBorder="1" applyAlignment="1">
      <alignment horizontal="center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3" fontId="0" fillId="18" borderId="1" xfId="0" applyNumberFormat="1" applyFill="1" applyBorder="1" applyAlignment="1">
      <alignment horizontal="center"/>
    </xf>
    <xf numFmtId="170" fontId="0" fillId="0" borderId="1" xfId="1" applyNumberFormat="1" applyFont="1" applyBorder="1" applyAlignment="1">
      <alignment horizontal="center"/>
    </xf>
    <xf numFmtId="170" fontId="0" fillId="0" borderId="1" xfId="2" applyNumberFormat="1" applyFont="1" applyBorder="1" applyAlignment="1">
      <alignment horizontal="center"/>
    </xf>
    <xf numFmtId="17" fontId="2" fillId="3" borderId="1" xfId="0" applyNumberFormat="1" applyFont="1" applyFill="1" applyBorder="1"/>
    <xf numFmtId="3" fontId="2" fillId="3" borderId="1" xfId="1" applyNumberFormat="1" applyFont="1" applyFill="1" applyBorder="1" applyAlignment="1">
      <alignment horizontal="center" vertical="center"/>
    </xf>
    <xf numFmtId="4" fontId="2" fillId="3" borderId="1" xfId="1" applyNumberFormat="1" applyFont="1" applyFill="1" applyBorder="1" applyAlignment="1">
      <alignment horizontal="center" vertical="center"/>
    </xf>
    <xf numFmtId="170" fontId="2" fillId="3" borderId="1" xfId="2" applyNumberFormat="1" applyFont="1" applyFill="1" applyBorder="1" applyAlignment="1">
      <alignment horizontal="center" vertical="center"/>
    </xf>
    <xf numFmtId="4" fontId="2" fillId="3" borderId="1" xfId="1" applyNumberFormat="1" applyFon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4" fontId="0" fillId="6" borderId="1" xfId="1" applyNumberFormat="1" applyFont="1" applyFill="1" applyBorder="1" applyAlignment="1">
      <alignment horizontal="center"/>
    </xf>
    <xf numFmtId="2" fontId="0" fillId="6" borderId="1" xfId="0" applyNumberFormat="1" applyFill="1" applyBorder="1" applyAlignment="1">
      <alignment horizontal="center" vertical="center"/>
    </xf>
    <xf numFmtId="0" fontId="33" fillId="12" borderId="0" xfId="0" applyFont="1" applyFill="1" applyAlignment="1">
      <alignment horizontal="center" vertical="center"/>
    </xf>
    <xf numFmtId="0" fontId="0" fillId="0" borderId="0" xfId="0" applyFill="1" applyAlignment="1"/>
    <xf numFmtId="0" fontId="0" fillId="0" borderId="0" xfId="0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9" fontId="0" fillId="15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3" fontId="0" fillId="15" borderId="1" xfId="0" applyNumberFormat="1" applyFill="1" applyBorder="1" applyAlignment="1">
      <alignment horizontal="center"/>
    </xf>
    <xf numFmtId="3" fontId="0" fillId="15" borderId="1" xfId="1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171" fontId="0" fillId="0" borderId="0" xfId="0" applyNumberFormat="1"/>
    <xf numFmtId="170" fontId="0" fillId="0" borderId="1" xfId="2" applyNumberFormat="1" applyFont="1" applyFill="1" applyBorder="1" applyAlignment="1">
      <alignment horizontal="center"/>
    </xf>
    <xf numFmtId="4" fontId="0" fillId="12" borderId="1" xfId="0" applyNumberFormat="1" applyFill="1" applyBorder="1" applyAlignment="1">
      <alignment horizontal="center"/>
    </xf>
    <xf numFmtId="4" fontId="0" fillId="12" borderId="1" xfId="1" applyNumberFormat="1" applyFont="1" applyFill="1" applyBorder="1" applyAlignment="1">
      <alignment horizontal="center" vertical="center"/>
    </xf>
    <xf numFmtId="43" fontId="0" fillId="12" borderId="1" xfId="1" applyFont="1" applyFill="1" applyBorder="1" applyAlignment="1">
      <alignment horizontal="center"/>
    </xf>
    <xf numFmtId="4" fontId="0" fillId="12" borderId="1" xfId="1" applyNumberFormat="1" applyFont="1" applyFill="1" applyBorder="1" applyAlignment="1">
      <alignment horizontal="center"/>
    </xf>
    <xf numFmtId="170" fontId="0" fillId="12" borderId="1" xfId="2" applyNumberFormat="1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3" fontId="1" fillId="15" borderId="1" xfId="2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66" fontId="2" fillId="0" borderId="0" xfId="0" applyNumberFormat="1" applyFont="1" applyFill="1" applyBorder="1" applyAlignment="1">
      <alignment horizontal="center" vertical="center"/>
    </xf>
    <xf numFmtId="9" fontId="34" fillId="0" borderId="0" xfId="2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" fontId="35" fillId="3" borderId="1" xfId="0" applyNumberFormat="1" applyFont="1" applyFill="1" applyBorder="1"/>
    <xf numFmtId="3" fontId="35" fillId="3" borderId="1" xfId="1" applyNumberFormat="1" applyFont="1" applyFill="1" applyBorder="1" applyAlignment="1">
      <alignment horizontal="center" vertical="center"/>
    </xf>
    <xf numFmtId="4" fontId="35" fillId="3" borderId="1" xfId="1" applyNumberFormat="1" applyFont="1" applyFill="1" applyBorder="1" applyAlignment="1">
      <alignment horizontal="center" vertical="center"/>
    </xf>
    <xf numFmtId="9" fontId="35" fillId="3" borderId="1" xfId="2" applyFont="1" applyFill="1" applyBorder="1" applyAlignment="1">
      <alignment horizontal="center" vertical="center"/>
    </xf>
    <xf numFmtId="43" fontId="0" fillId="0" borderId="1" xfId="1" applyFont="1" applyFill="1" applyBorder="1" applyAlignment="1">
      <alignment horizontal="center"/>
    </xf>
    <xf numFmtId="9" fontId="0" fillId="0" borderId="1" xfId="2" applyFont="1" applyFill="1" applyBorder="1" applyAlignment="1">
      <alignment horizontal="center"/>
    </xf>
    <xf numFmtId="3" fontId="20" fillId="0" borderId="17" xfId="1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2" fontId="3" fillId="14" borderId="4" xfId="0" applyNumberFormat="1" applyFont="1" applyFill="1" applyBorder="1" applyAlignment="1">
      <alignment horizontal="center" vertical="center" wrapText="1"/>
    </xf>
    <xf numFmtId="43" fontId="3" fillId="14" borderId="4" xfId="1" applyFont="1" applyFill="1" applyBorder="1" applyAlignment="1">
      <alignment horizontal="center" vertical="center" wrapText="1"/>
    </xf>
    <xf numFmtId="4" fontId="2" fillId="14" borderId="4" xfId="1" applyNumberFormat="1" applyFont="1" applyFill="1" applyBorder="1" applyAlignment="1">
      <alignment horizontal="center" vertical="center"/>
    </xf>
    <xf numFmtId="4" fontId="0" fillId="0" borderId="53" xfId="1" applyNumberFormat="1" applyFont="1" applyFill="1" applyBorder="1" applyAlignment="1">
      <alignment horizontal="center"/>
    </xf>
    <xf numFmtId="4" fontId="0" fillId="0" borderId="53" xfId="1" applyNumberFormat="1" applyFont="1" applyFill="1" applyBorder="1" applyAlignment="1">
      <alignment horizontal="center" vertical="center"/>
    </xf>
    <xf numFmtId="2" fontId="0" fillId="0" borderId="53" xfId="0" applyNumberFormat="1" applyFill="1" applyBorder="1" applyAlignment="1">
      <alignment horizontal="center" vertical="center"/>
    </xf>
    <xf numFmtId="43" fontId="0" fillId="0" borderId="53" xfId="1" applyFont="1" applyFill="1" applyBorder="1"/>
    <xf numFmtId="3" fontId="0" fillId="0" borderId="1" xfId="0" applyNumberForma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169" fontId="0" fillId="18" borderId="1" xfId="0" applyNumberFormat="1" applyFill="1" applyBorder="1" applyAlignment="1">
      <alignment horizontal="left"/>
    </xf>
    <xf numFmtId="4" fontId="0" fillId="18" borderId="1" xfId="0" applyNumberFormat="1" applyFill="1" applyBorder="1" applyAlignment="1">
      <alignment horizontal="center"/>
    </xf>
    <xf numFmtId="4" fontId="0" fillId="18" borderId="1" xfId="1" applyNumberFormat="1" applyFont="1" applyFill="1" applyBorder="1" applyAlignment="1">
      <alignment horizontal="center" vertical="center"/>
    </xf>
    <xf numFmtId="4" fontId="0" fillId="18" borderId="1" xfId="1" applyNumberFormat="1" applyFont="1" applyFill="1" applyBorder="1" applyAlignment="1">
      <alignment horizontal="center"/>
    </xf>
    <xf numFmtId="9" fontId="0" fillId="18" borderId="1" xfId="2" applyFont="1" applyFill="1" applyBorder="1" applyAlignment="1">
      <alignment horizontal="center"/>
    </xf>
    <xf numFmtId="169" fontId="0" fillId="18" borderId="19" xfId="0" applyNumberFormat="1" applyFill="1" applyBorder="1" applyAlignment="1">
      <alignment horizontal="center"/>
    </xf>
    <xf numFmtId="3" fontId="0" fillId="18" borderId="4" xfId="0" applyNumberFormat="1" applyFill="1" applyBorder="1" applyAlignment="1">
      <alignment horizontal="center" vertical="center" wrapText="1"/>
    </xf>
    <xf numFmtId="14" fontId="37" fillId="0" borderId="0" xfId="0" applyNumberFormat="1" applyFont="1" applyAlignment="1">
      <alignment horizontal="center" vertical="center"/>
    </xf>
    <xf numFmtId="14" fontId="37" fillId="0" borderId="0" xfId="0" applyNumberFormat="1" applyFont="1" applyFill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3" fontId="2" fillId="21" borderId="1" xfId="0" applyNumberFormat="1" applyFont="1" applyFill="1" applyBorder="1" applyAlignment="1">
      <alignment horizontal="center"/>
    </xf>
    <xf numFmtId="9" fontId="2" fillId="21" borderId="1" xfId="2" applyFont="1" applyFill="1" applyBorder="1" applyAlignment="1">
      <alignment horizontal="center"/>
    </xf>
    <xf numFmtId="0" fontId="2" fillId="21" borderId="1" xfId="0" applyFont="1" applyFill="1" applyBorder="1"/>
    <xf numFmtId="165" fontId="12" fillId="2" borderId="1" xfId="0" applyNumberFormat="1" applyFont="1" applyFill="1" applyBorder="1" applyAlignment="1">
      <alignment horizontal="center" vertical="center" wrapText="1"/>
    </xf>
    <xf numFmtId="174" fontId="12" fillId="2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30" fillId="21" borderId="1" xfId="0" applyFont="1" applyFill="1" applyBorder="1" applyAlignment="1">
      <alignment horizontal="center" vertical="center"/>
    </xf>
    <xf numFmtId="0" fontId="38" fillId="21" borderId="1" xfId="0" applyFont="1" applyFill="1" applyBorder="1" applyAlignment="1">
      <alignment horizontal="center"/>
    </xf>
    <xf numFmtId="0" fontId="30" fillId="21" borderId="1" xfId="0" applyFont="1" applyFill="1" applyBorder="1"/>
    <xf numFmtId="0" fontId="39" fillId="21" borderId="1" xfId="0" applyFont="1" applyFill="1" applyBorder="1" applyAlignment="1">
      <alignment horizontal="center" vertical="center"/>
    </xf>
    <xf numFmtId="0" fontId="40" fillId="21" borderId="1" xfId="0" applyFont="1" applyFill="1" applyBorder="1" applyAlignment="1">
      <alignment horizontal="center"/>
    </xf>
    <xf numFmtId="169" fontId="2" fillId="13" borderId="16" xfId="0" applyNumberFormat="1" applyFont="1" applyFill="1" applyBorder="1" applyAlignment="1">
      <alignment horizontal="center"/>
    </xf>
    <xf numFmtId="3" fontId="2" fillId="13" borderId="17" xfId="2" applyNumberFormat="1" applyFont="1" applyFill="1" applyBorder="1" applyAlignment="1">
      <alignment horizontal="center"/>
    </xf>
    <xf numFmtId="3" fontId="2" fillId="13" borderId="18" xfId="2" applyNumberFormat="1" applyFont="1" applyFill="1" applyBorder="1" applyAlignment="1">
      <alignment horizontal="center"/>
    </xf>
    <xf numFmtId="0" fontId="2" fillId="13" borderId="14" xfId="0" applyFont="1" applyFill="1" applyBorder="1" applyAlignment="1">
      <alignment horizontal="center" vertical="center"/>
    </xf>
    <xf numFmtId="3" fontId="2" fillId="13" borderId="1" xfId="0" applyNumberFormat="1" applyFont="1" applyFill="1" applyBorder="1" applyAlignment="1">
      <alignment horizontal="center" vertical="center"/>
    </xf>
    <xf numFmtId="3" fontId="2" fillId="13" borderId="1" xfId="1" applyNumberFormat="1" applyFont="1" applyFill="1" applyBorder="1" applyAlignment="1">
      <alignment horizontal="center" vertical="center"/>
    </xf>
    <xf numFmtId="3" fontId="2" fillId="13" borderId="15" xfId="1" applyNumberFormat="1" applyFont="1" applyFill="1" applyBorder="1" applyAlignment="1">
      <alignment horizontal="center" vertical="center"/>
    </xf>
    <xf numFmtId="169" fontId="0" fillId="21" borderId="14" xfId="0" applyNumberFormat="1" applyFill="1" applyBorder="1" applyAlignment="1">
      <alignment horizontal="center"/>
    </xf>
    <xf numFmtId="3" fontId="0" fillId="21" borderId="1" xfId="2" applyNumberFormat="1" applyFont="1" applyFill="1" applyBorder="1" applyAlignment="1">
      <alignment horizontal="center"/>
    </xf>
    <xf numFmtId="3" fontId="0" fillId="21" borderId="15" xfId="2" applyNumberFormat="1" applyFont="1" applyFill="1" applyBorder="1" applyAlignment="1">
      <alignment horizontal="center"/>
    </xf>
    <xf numFmtId="176" fontId="0" fillId="0" borderId="0" xfId="0" applyNumberFormat="1" applyAlignment="1">
      <alignment horizontal="center" vertical="center"/>
    </xf>
    <xf numFmtId="3" fontId="2" fillId="0" borderId="0" xfId="2" applyNumberFormat="1" applyFont="1" applyFill="1" applyBorder="1" applyAlignment="1">
      <alignment horizontal="center" vertical="center"/>
    </xf>
    <xf numFmtId="3" fontId="20" fillId="2" borderId="17" xfId="0" applyNumberFormat="1" applyFont="1" applyFill="1" applyBorder="1" applyAlignment="1">
      <alignment horizontal="center" vertical="center"/>
    </xf>
    <xf numFmtId="3" fontId="20" fillId="2" borderId="18" xfId="0" applyNumberFormat="1" applyFont="1" applyFill="1" applyBorder="1" applyAlignment="1">
      <alignment horizontal="center" vertical="center"/>
    </xf>
    <xf numFmtId="2" fontId="0" fillId="18" borderId="1" xfId="0" applyNumberFormat="1" applyFill="1" applyBorder="1" applyAlignment="1">
      <alignment horizontal="center" vertical="center"/>
    </xf>
    <xf numFmtId="0" fontId="38" fillId="0" borderId="0" xfId="0" applyFont="1"/>
    <xf numFmtId="0" fontId="0" fillId="22" borderId="1" xfId="0" applyFill="1" applyBorder="1" applyAlignment="1">
      <alignment horizontal="center"/>
    </xf>
    <xf numFmtId="2" fontId="0" fillId="0" borderId="0" xfId="0" applyNumberFormat="1" applyBorder="1" applyAlignment="1">
      <alignment horizontal="center" vertical="center"/>
    </xf>
    <xf numFmtId="165" fontId="2" fillId="15" borderId="1" xfId="0" applyNumberFormat="1" applyFont="1" applyFill="1" applyBorder="1" applyAlignment="1">
      <alignment horizontal="center" vertical="center"/>
    </xf>
    <xf numFmtId="174" fontId="2" fillId="15" borderId="1" xfId="0" applyNumberFormat="1" applyFont="1" applyFill="1" applyBorder="1" applyAlignment="1">
      <alignment horizontal="center" vertical="center"/>
    </xf>
    <xf numFmtId="3" fontId="2" fillId="15" borderId="1" xfId="0" applyNumberFormat="1" applyFont="1" applyFill="1" applyBorder="1" applyAlignment="1">
      <alignment horizontal="center" vertical="center"/>
    </xf>
    <xf numFmtId="3" fontId="0" fillId="0" borderId="0" xfId="0" applyNumberFormat="1" applyFill="1"/>
    <xf numFmtId="0" fontId="0" fillId="0" borderId="1" xfId="0" applyBorder="1"/>
    <xf numFmtId="4" fontId="0" fillId="0" borderId="1" xfId="0" applyNumberFormat="1" applyFill="1" applyBorder="1" applyAlignment="1">
      <alignment horizontal="center" vertical="center"/>
    </xf>
    <xf numFmtId="165" fontId="3" fillId="15" borderId="1" xfId="0" applyNumberFormat="1" applyFont="1" applyFill="1" applyBorder="1" applyAlignment="1">
      <alignment horizontal="center" vertical="center"/>
    </xf>
    <xf numFmtId="166" fontId="3" fillId="15" borderId="1" xfId="0" applyNumberFormat="1" applyFont="1" applyFill="1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9" fontId="0" fillId="18" borderId="14" xfId="0" applyNumberFormat="1" applyFill="1" applyBorder="1" applyAlignment="1">
      <alignment horizontal="center"/>
    </xf>
    <xf numFmtId="9" fontId="0" fillId="18" borderId="1" xfId="1" applyNumberFormat="1" applyFont="1" applyFill="1" applyBorder="1" applyAlignment="1">
      <alignment horizontal="center"/>
    </xf>
    <xf numFmtId="165" fontId="2" fillId="3" borderId="28" xfId="0" applyNumberFormat="1" applyFont="1" applyFill="1" applyBorder="1" applyAlignment="1">
      <alignment horizontal="center" vertical="center" wrapText="1"/>
    </xf>
    <xf numFmtId="166" fontId="2" fillId="3" borderId="28" xfId="0" applyNumberFormat="1" applyFont="1" applyFill="1" applyBorder="1" applyAlignment="1">
      <alignment horizontal="center" vertical="center" wrapText="1"/>
    </xf>
    <xf numFmtId="9" fontId="0" fillId="18" borderId="0" xfId="2" applyFont="1" applyFill="1" applyAlignment="1">
      <alignment horizontal="center" vertical="center"/>
    </xf>
    <xf numFmtId="169" fontId="0" fillId="22" borderId="1" xfId="0" applyNumberFormat="1" applyFill="1" applyBorder="1" applyAlignment="1">
      <alignment horizontal="center"/>
    </xf>
    <xf numFmtId="3" fontId="0" fillId="22" borderId="1" xfId="1" applyNumberFormat="1" applyFont="1" applyFill="1" applyBorder="1" applyAlignment="1">
      <alignment horizontal="center"/>
    </xf>
    <xf numFmtId="3" fontId="1" fillId="22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3" fontId="8" fillId="0" borderId="1" xfId="1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3" fontId="13" fillId="0" borderId="0" xfId="0" applyNumberFormat="1" applyFont="1" applyFill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center"/>
    </xf>
    <xf numFmtId="167" fontId="2" fillId="23" borderId="1" xfId="1" applyNumberFormat="1" applyFont="1" applyFill="1" applyBorder="1" applyAlignment="1">
      <alignment horizontal="center" vertical="center"/>
    </xf>
    <xf numFmtId="3" fontId="2" fillId="2" borderId="15" xfId="1" applyNumberFormat="1" applyFont="1" applyFill="1" applyBorder="1" applyAlignment="1">
      <alignment horizontal="center" vertical="center"/>
    </xf>
    <xf numFmtId="167" fontId="2" fillId="2" borderId="15" xfId="1" applyNumberFormat="1" applyFont="1" applyFill="1" applyBorder="1" applyAlignment="1">
      <alignment horizontal="center" vertical="center"/>
    </xf>
    <xf numFmtId="3" fontId="2" fillId="23" borderId="1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3" fontId="0" fillId="0" borderId="0" xfId="0" applyNumberFormat="1" applyFill="1" applyAlignment="1">
      <alignment horizontal="center"/>
    </xf>
    <xf numFmtId="175" fontId="0" fillId="0" borderId="0" xfId="1" applyNumberFormat="1" applyFont="1" applyFill="1" applyAlignment="1">
      <alignment horizontal="center"/>
    </xf>
    <xf numFmtId="3" fontId="0" fillId="0" borderId="0" xfId="1" applyNumberFormat="1" applyFont="1" applyFill="1" applyAlignment="1">
      <alignment horizontal="center"/>
    </xf>
    <xf numFmtId="14" fontId="42" fillId="0" borderId="0" xfId="0" applyNumberFormat="1" applyFont="1" applyAlignment="1">
      <alignment horizontal="center" vertical="center"/>
    </xf>
    <xf numFmtId="0" fontId="26" fillId="23" borderId="0" xfId="0" applyFont="1" applyFill="1" applyAlignment="1">
      <alignment horizontal="left"/>
    </xf>
    <xf numFmtId="4" fontId="26" fillId="23" borderId="0" xfId="0" applyNumberFormat="1" applyFont="1" applyFill="1" applyAlignment="1">
      <alignment horizontal="center"/>
    </xf>
    <xf numFmtId="3" fontId="2" fillId="2" borderId="1" xfId="0" applyNumberFormat="1" applyFont="1" applyFill="1" applyBorder="1" applyAlignment="1">
      <alignment horizontal="center" vertical="center"/>
    </xf>
    <xf numFmtId="169" fontId="0" fillId="24" borderId="1" xfId="0" applyNumberFormat="1" applyFill="1" applyBorder="1" applyAlignment="1">
      <alignment horizontal="left"/>
    </xf>
    <xf numFmtId="0" fontId="0" fillId="24" borderId="1" xfId="0" applyFill="1" applyBorder="1" applyAlignment="1">
      <alignment horizontal="center"/>
    </xf>
    <xf numFmtId="4" fontId="0" fillId="24" borderId="1" xfId="0" applyNumberFormat="1" applyFill="1" applyBorder="1" applyAlignment="1">
      <alignment horizontal="center"/>
    </xf>
    <xf numFmtId="4" fontId="0" fillId="24" borderId="1" xfId="1" applyNumberFormat="1" applyFont="1" applyFill="1" applyBorder="1" applyAlignment="1">
      <alignment horizontal="center" vertical="center"/>
    </xf>
    <xf numFmtId="9" fontId="0" fillId="24" borderId="1" xfId="1" applyNumberFormat="1" applyFont="1" applyFill="1" applyBorder="1" applyAlignment="1">
      <alignment horizontal="center"/>
    </xf>
    <xf numFmtId="4" fontId="0" fillId="24" borderId="1" xfId="1" applyNumberFormat="1" applyFont="1" applyFill="1" applyBorder="1" applyAlignment="1">
      <alignment horizontal="center"/>
    </xf>
    <xf numFmtId="43" fontId="0" fillId="0" borderId="0" xfId="1" applyFont="1" applyBorder="1" applyAlignment="1">
      <alignment horizontal="center" vertical="center"/>
    </xf>
    <xf numFmtId="10" fontId="2" fillId="3" borderId="1" xfId="2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26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26" fillId="0" borderId="54" xfId="0" applyFont="1" applyFill="1" applyBorder="1" applyAlignment="1">
      <alignment horizontal="center"/>
    </xf>
    <xf numFmtId="0" fontId="26" fillId="0" borderId="54" xfId="0" applyFont="1" applyFill="1" applyBorder="1" applyAlignment="1">
      <alignment horizontal="left"/>
    </xf>
    <xf numFmtId="4" fontId="26" fillId="0" borderId="54" xfId="0" applyNumberFormat="1" applyFont="1" applyFill="1" applyBorder="1" applyAlignment="1">
      <alignment horizontal="center"/>
    </xf>
    <xf numFmtId="4" fontId="26" fillId="0" borderId="0" xfId="0" applyNumberFormat="1" applyFont="1" applyFill="1" applyAlignment="1">
      <alignment horizontal="center"/>
    </xf>
    <xf numFmtId="0" fontId="26" fillId="0" borderId="0" xfId="0" applyFont="1" applyFill="1" applyAlignment="1">
      <alignment horizontal="center"/>
    </xf>
    <xf numFmtId="4" fontId="26" fillId="0" borderId="54" xfId="0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3" fontId="0" fillId="6" borderId="0" xfId="0" applyNumberFormat="1" applyFill="1" applyAlignment="1">
      <alignment horizontal="center" vertical="center"/>
    </xf>
    <xf numFmtId="3" fontId="2" fillId="3" borderId="31" xfId="1" applyNumberFormat="1" applyFont="1" applyFill="1" applyBorder="1" applyAlignment="1">
      <alignment horizontal="center" vertical="center"/>
    </xf>
    <xf numFmtId="3" fontId="0" fillId="18" borderId="3" xfId="1" applyNumberFormat="1" applyFont="1" applyFill="1" applyBorder="1" applyAlignment="1">
      <alignment horizontal="center" vertical="center" wrapText="1"/>
    </xf>
    <xf numFmtId="0" fontId="2" fillId="3" borderId="55" xfId="0" applyFont="1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4" fontId="20" fillId="0" borderId="17" xfId="1" applyNumberFormat="1" applyFont="1" applyFill="1" applyBorder="1" applyAlignment="1">
      <alignment horizontal="center" vertical="center"/>
    </xf>
    <xf numFmtId="4" fontId="2" fillId="2" borderId="1" xfId="1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70" fontId="0" fillId="18" borderId="1" xfId="1" applyNumberFormat="1" applyFont="1" applyFill="1" applyBorder="1" applyAlignment="1">
      <alignment horizontal="center"/>
    </xf>
    <xf numFmtId="170" fontId="0" fillId="0" borderId="1" xfId="1" applyNumberFormat="1" applyFont="1" applyFill="1" applyBorder="1" applyAlignment="1">
      <alignment horizontal="center"/>
    </xf>
    <xf numFmtId="169" fontId="0" fillId="26" borderId="1" xfId="0" applyNumberFormat="1" applyFill="1" applyBorder="1" applyAlignment="1">
      <alignment horizontal="left"/>
    </xf>
    <xf numFmtId="0" fontId="0" fillId="26" borderId="1" xfId="0" applyFill="1" applyBorder="1" applyAlignment="1">
      <alignment horizontal="center"/>
    </xf>
    <xf numFmtId="4" fontId="0" fillId="26" borderId="1" xfId="0" applyNumberFormat="1" applyFill="1" applyBorder="1" applyAlignment="1">
      <alignment horizontal="center"/>
    </xf>
    <xf numFmtId="4" fontId="0" fillId="26" borderId="1" xfId="1" applyNumberFormat="1" applyFont="1" applyFill="1" applyBorder="1" applyAlignment="1">
      <alignment horizontal="center" vertical="center"/>
    </xf>
    <xf numFmtId="9" fontId="0" fillId="26" borderId="1" xfId="1" applyNumberFormat="1" applyFont="1" applyFill="1" applyBorder="1" applyAlignment="1">
      <alignment horizontal="center"/>
    </xf>
    <xf numFmtId="4" fontId="0" fillId="26" borderId="1" xfId="1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2" fillId="0" borderId="0" xfId="1" applyNumberFormat="1" applyFont="1" applyFill="1" applyBorder="1" applyAlignment="1">
      <alignment horizontal="center"/>
    </xf>
    <xf numFmtId="43" fontId="0" fillId="0" borderId="0" xfId="1" applyFont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9" fontId="0" fillId="0" borderId="1" xfId="2" applyNumberFormat="1" applyFont="1" applyBorder="1" applyAlignment="1">
      <alignment horizontal="center"/>
    </xf>
    <xf numFmtId="9" fontId="2" fillId="3" borderId="1" xfId="2" applyNumberFormat="1" applyFont="1" applyFill="1" applyBorder="1" applyAlignment="1">
      <alignment horizontal="center"/>
    </xf>
    <xf numFmtId="170" fontId="0" fillId="18" borderId="1" xfId="2" applyNumberFormat="1" applyFont="1" applyFill="1" applyBorder="1" applyAlignment="1">
      <alignment horizontal="center"/>
    </xf>
    <xf numFmtId="170" fontId="35" fillId="3" borderId="1" xfId="2" applyNumberFormat="1" applyFont="1" applyFill="1" applyBorder="1" applyAlignment="1">
      <alignment horizontal="center" vertical="center"/>
    </xf>
    <xf numFmtId="3" fontId="35" fillId="3" borderId="13" xfId="1" applyNumberFormat="1" applyFont="1" applyFill="1" applyBorder="1" applyAlignment="1">
      <alignment horizontal="center" vertical="center"/>
    </xf>
    <xf numFmtId="169" fontId="0" fillId="18" borderId="14" xfId="0" applyNumberFormat="1" applyFill="1" applyBorder="1" applyAlignment="1">
      <alignment horizontal="center" vertical="center"/>
    </xf>
    <xf numFmtId="0" fontId="0" fillId="18" borderId="56" xfId="0" applyFill="1" applyBorder="1" applyAlignment="1">
      <alignment horizontal="center" vertical="center"/>
    </xf>
    <xf numFmtId="166" fontId="3" fillId="27" borderId="1" xfId="0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10" fontId="0" fillId="0" borderId="1" xfId="1" applyNumberFormat="1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167" fontId="0" fillId="28" borderId="0" xfId="1" applyNumberFormat="1" applyFont="1" applyFill="1" applyAlignment="1">
      <alignment horizontal="center"/>
    </xf>
    <xf numFmtId="3" fontId="0" fillId="29" borderId="0" xfId="1" applyNumberFormat="1" applyFont="1" applyFill="1" applyAlignment="1">
      <alignment horizontal="center" vertical="center"/>
    </xf>
    <xf numFmtId="3" fontId="0" fillId="30" borderId="0" xfId="0" applyNumberFormat="1" applyFill="1" applyAlignment="1">
      <alignment horizontal="center" vertical="center"/>
    </xf>
    <xf numFmtId="0" fontId="0" fillId="18" borderId="0" xfId="0" applyFill="1"/>
    <xf numFmtId="0" fontId="2" fillId="0" borderId="1" xfId="0" applyFont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69" fontId="0" fillId="0" borderId="43" xfId="0" applyNumberFormat="1" applyBorder="1" applyAlignment="1">
      <alignment horizontal="center"/>
    </xf>
    <xf numFmtId="169" fontId="0" fillId="0" borderId="58" xfId="0" applyNumberForma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3" fontId="2" fillId="3" borderId="1" xfId="0" applyNumberFormat="1" applyFont="1" applyFill="1" applyBorder="1" applyAlignment="1">
      <alignment horizontal="center"/>
    </xf>
    <xf numFmtId="169" fontId="0" fillId="0" borderId="1" xfId="0" applyNumberFormat="1" applyBorder="1" applyAlignment="1">
      <alignment horizontal="center" vertical="center"/>
    </xf>
    <xf numFmtId="169" fontId="0" fillId="0" borderId="43" xfId="0" applyNumberFormat="1" applyFill="1" applyBorder="1" applyAlignment="1">
      <alignment horizontal="center"/>
    </xf>
    <xf numFmtId="3" fontId="0" fillId="0" borderId="1" xfId="0" applyNumberForma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29" borderId="0" xfId="1" applyNumberFormat="1" applyFont="1" applyFill="1" applyAlignment="1">
      <alignment horizontal="center"/>
    </xf>
    <xf numFmtId="3" fontId="0" fillId="29" borderId="0" xfId="0" applyNumberFormat="1" applyFill="1" applyAlignment="1">
      <alignment horizontal="center"/>
    </xf>
    <xf numFmtId="3" fontId="0" fillId="29" borderId="0" xfId="0" applyNumberFormat="1" applyFill="1" applyAlignment="1">
      <alignment horizontal="center" vertical="center"/>
    </xf>
    <xf numFmtId="3" fontId="0" fillId="0" borderId="5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73" fontId="8" fillId="0" borderId="1" xfId="0" applyNumberFormat="1" applyFont="1" applyBorder="1" applyAlignment="1">
      <alignment horizontal="center" vertical="center"/>
    </xf>
    <xf numFmtId="14" fontId="0" fillId="18" borderId="0" xfId="0" applyNumberFormat="1" applyFill="1" applyAlignment="1">
      <alignment horizontal="center"/>
    </xf>
    <xf numFmtId="3" fontId="0" fillId="0" borderId="3" xfId="1" applyNumberFormat="1" applyFont="1" applyFill="1" applyBorder="1" applyAlignment="1">
      <alignment horizontal="center" vertical="center" wrapText="1"/>
    </xf>
    <xf numFmtId="0" fontId="0" fillId="18" borderId="36" xfId="0" applyFill="1" applyBorder="1" applyAlignment="1">
      <alignment horizontal="center" vertical="center"/>
    </xf>
    <xf numFmtId="0" fontId="0" fillId="18" borderId="37" xfId="0" applyFill="1" applyBorder="1" applyAlignment="1">
      <alignment horizontal="center" vertical="center"/>
    </xf>
    <xf numFmtId="9" fontId="0" fillId="18" borderId="38" xfId="2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9" fontId="0" fillId="0" borderId="15" xfId="2" applyFont="1" applyFill="1" applyBorder="1" applyAlignment="1">
      <alignment horizontal="center" vertical="center"/>
    </xf>
    <xf numFmtId="9" fontId="0" fillId="0" borderId="18" xfId="2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167" fontId="2" fillId="3" borderId="11" xfId="1" applyNumberFormat="1" applyFont="1" applyFill="1" applyBorder="1" applyAlignment="1">
      <alignment horizontal="center" vertical="center"/>
    </xf>
    <xf numFmtId="167" fontId="2" fillId="3" borderId="30" xfId="1" applyNumberFormat="1" applyFont="1" applyFill="1" applyBorder="1" applyAlignment="1">
      <alignment horizontal="center" vertical="center"/>
    </xf>
    <xf numFmtId="167" fontId="2" fillId="3" borderId="12" xfId="1" applyNumberFormat="1" applyFont="1" applyFill="1" applyBorder="1" applyAlignment="1">
      <alignment horizontal="center" vertical="center"/>
    </xf>
    <xf numFmtId="3" fontId="2" fillId="3" borderId="33" xfId="1" applyNumberFormat="1" applyFont="1" applyFill="1" applyBorder="1" applyAlignment="1">
      <alignment horizontal="center" vertical="center"/>
    </xf>
    <xf numFmtId="3" fontId="2" fillId="3" borderId="32" xfId="1" applyNumberFormat="1" applyFont="1" applyFill="1" applyBorder="1" applyAlignment="1">
      <alignment horizontal="center" vertical="center"/>
    </xf>
    <xf numFmtId="9" fontId="0" fillId="3" borderId="34" xfId="2" applyFont="1" applyFill="1" applyBorder="1" applyAlignment="1">
      <alignment horizontal="center" vertical="center"/>
    </xf>
    <xf numFmtId="4" fontId="0" fillId="18" borderId="1" xfId="0" applyNumberFormat="1" applyFill="1" applyBorder="1" applyAlignment="1">
      <alignment horizontal="center" vertical="center"/>
    </xf>
    <xf numFmtId="169" fontId="0" fillId="18" borderId="57" xfId="0" applyNumberFormat="1" applyFill="1" applyBorder="1" applyAlignment="1">
      <alignment horizontal="center"/>
    </xf>
    <xf numFmtId="3" fontId="0" fillId="18" borderId="1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21" borderId="16" xfId="0" applyFill="1" applyBorder="1" applyAlignment="1">
      <alignment horizontal="center" vertical="center"/>
    </xf>
    <xf numFmtId="3" fontId="0" fillId="21" borderId="17" xfId="0" applyNumberFormat="1" applyFill="1" applyBorder="1" applyAlignment="1">
      <alignment horizontal="center" vertical="center"/>
    </xf>
    <xf numFmtId="0" fontId="0" fillId="21" borderId="17" xfId="0" applyFill="1" applyBorder="1" applyAlignment="1">
      <alignment horizontal="left" vertical="center"/>
    </xf>
    <xf numFmtId="0" fontId="0" fillId="21" borderId="18" xfId="0" applyFill="1" applyBorder="1" applyAlignment="1">
      <alignment horizontal="center" vertical="center"/>
    </xf>
    <xf numFmtId="9" fontId="21" fillId="0" borderId="14" xfId="2" applyFont="1" applyFill="1" applyBorder="1" applyAlignment="1">
      <alignment horizontal="center" vertical="center"/>
    </xf>
    <xf numFmtId="9" fontId="21" fillId="0" borderId="1" xfId="2" applyFont="1" applyFill="1" applyBorder="1" applyAlignment="1">
      <alignment horizontal="center" vertical="center"/>
    </xf>
    <xf numFmtId="9" fontId="21" fillId="0" borderId="15" xfId="2" applyFont="1" applyFill="1" applyBorder="1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3" fontId="21" fillId="30" borderId="4" xfId="1" applyNumberFormat="1" applyFont="1" applyFill="1" applyBorder="1" applyAlignment="1">
      <alignment horizontal="center" vertical="center"/>
    </xf>
    <xf numFmtId="3" fontId="41" fillId="30" borderId="4" xfId="1" applyNumberFormat="1" applyFont="1" applyFill="1" applyBorder="1" applyAlignment="1">
      <alignment horizontal="center" vertical="center"/>
    </xf>
    <xf numFmtId="165" fontId="8" fillId="0" borderId="14" xfId="0" applyNumberFormat="1" applyFont="1" applyBorder="1" applyAlignment="1">
      <alignment horizontal="center" vertical="center"/>
    </xf>
    <xf numFmtId="3" fontId="0" fillId="0" borderId="15" xfId="1" applyNumberFormat="1" applyFont="1" applyBorder="1" applyAlignment="1">
      <alignment horizontal="center" vertical="center"/>
    </xf>
    <xf numFmtId="166" fontId="8" fillId="0" borderId="14" xfId="0" applyNumberFormat="1" applyFont="1" applyBorder="1" applyAlignment="1">
      <alignment horizontal="center" vertical="center"/>
    </xf>
    <xf numFmtId="166" fontId="8" fillId="0" borderId="49" xfId="0" applyNumberFormat="1" applyFont="1" applyBorder="1" applyAlignment="1">
      <alignment horizontal="center" vertical="center"/>
    </xf>
    <xf numFmtId="3" fontId="0" fillId="0" borderId="5" xfId="1" applyNumberFormat="1" applyFont="1" applyBorder="1" applyAlignment="1">
      <alignment horizontal="center" vertical="center"/>
    </xf>
    <xf numFmtId="3" fontId="0" fillId="0" borderId="35" xfId="1" applyNumberFormat="1" applyFont="1" applyBorder="1" applyAlignment="1">
      <alignment horizontal="center" vertical="center"/>
    </xf>
    <xf numFmtId="3" fontId="2" fillId="18" borderId="30" xfId="0" applyNumberFormat="1" applyFont="1" applyFill="1" applyBorder="1" applyAlignment="1" applyProtection="1">
      <alignment horizontal="center" vertical="center"/>
    </xf>
    <xf numFmtId="3" fontId="21" fillId="18" borderId="11" xfId="1" applyNumberFormat="1" applyFont="1" applyFill="1" applyBorder="1" applyAlignment="1">
      <alignment horizontal="center" vertical="center"/>
    </xf>
    <xf numFmtId="3" fontId="20" fillId="18" borderId="12" xfId="1" applyNumberFormat="1" applyFont="1" applyFill="1" applyBorder="1" applyAlignment="1">
      <alignment horizontal="center" vertical="center"/>
    </xf>
    <xf numFmtId="3" fontId="21" fillId="30" borderId="19" xfId="1" applyNumberFormat="1" applyFont="1" applyFill="1" applyBorder="1" applyAlignment="1">
      <alignment horizontal="center" vertical="center"/>
    </xf>
    <xf numFmtId="3" fontId="41" fillId="30" borderId="20" xfId="1" applyNumberFormat="1" applyFont="1" applyFill="1" applyBorder="1" applyAlignment="1">
      <alignment horizontal="center" vertical="center"/>
    </xf>
    <xf numFmtId="166" fontId="8" fillId="0" borderId="16" xfId="0" applyNumberFormat="1" applyFon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7" xfId="1" applyNumberFormat="1" applyFont="1" applyBorder="1" applyAlignment="1">
      <alignment horizontal="center" vertical="center"/>
    </xf>
    <xf numFmtId="3" fontId="0" fillId="0" borderId="18" xfId="1" applyNumberFormat="1" applyFont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167" fontId="2" fillId="2" borderId="37" xfId="1" applyNumberFormat="1" applyFont="1" applyFill="1" applyBorder="1" applyAlignment="1">
      <alignment horizontal="center" vertical="center"/>
    </xf>
    <xf numFmtId="167" fontId="2" fillId="2" borderId="38" xfId="1" applyNumberFormat="1" applyFont="1" applyFill="1" applyBorder="1" applyAlignment="1">
      <alignment horizontal="center" vertical="center"/>
    </xf>
    <xf numFmtId="3" fontId="2" fillId="2" borderId="36" xfId="0" applyNumberFormat="1" applyFont="1" applyFill="1" applyBorder="1" applyAlignment="1">
      <alignment horizontal="center" vertical="center"/>
    </xf>
    <xf numFmtId="3" fontId="2" fillId="2" borderId="37" xfId="0" applyNumberFormat="1" applyFont="1" applyFill="1" applyBorder="1" applyAlignment="1">
      <alignment horizontal="center" vertical="center"/>
    </xf>
    <xf numFmtId="3" fontId="2" fillId="2" borderId="37" xfId="1" applyNumberFormat="1" applyFont="1" applyFill="1" applyBorder="1" applyAlignment="1">
      <alignment horizontal="center" vertical="center"/>
    </xf>
    <xf numFmtId="3" fontId="2" fillId="2" borderId="38" xfId="1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26" fillId="16" borderId="0" xfId="0" applyNumberFormat="1" applyFont="1" applyFill="1" applyAlignment="1">
      <alignment horizontal="left" vertical="center"/>
    </xf>
    <xf numFmtId="4" fontId="26" fillId="0" borderId="0" xfId="0" applyNumberFormat="1" applyFont="1" applyAlignment="1">
      <alignment horizontal="left"/>
    </xf>
    <xf numFmtId="4" fontId="26" fillId="0" borderId="54" xfId="0" applyNumberFormat="1" applyFont="1" applyFill="1" applyBorder="1" applyAlignment="1">
      <alignment horizontal="left"/>
    </xf>
    <xf numFmtId="4" fontId="26" fillId="0" borderId="0" xfId="0" applyNumberFormat="1" applyFont="1" applyFill="1" applyAlignment="1">
      <alignment horizontal="left"/>
    </xf>
    <xf numFmtId="0" fontId="26" fillId="0" borderId="0" xfId="0" applyNumberFormat="1" applyFont="1" applyAlignment="1">
      <alignment horizontal="left"/>
    </xf>
    <xf numFmtId="4" fontId="26" fillId="23" borderId="0" xfId="0" applyNumberFormat="1" applyFont="1" applyFill="1" applyAlignment="1">
      <alignment horizontal="left"/>
    </xf>
    <xf numFmtId="0" fontId="26" fillId="16" borderId="0" xfId="0" applyFont="1" applyFill="1" applyAlignment="1">
      <alignment horizontal="left"/>
    </xf>
    <xf numFmtId="0" fontId="0" fillId="18" borderId="1" xfId="0" applyFill="1" applyBorder="1" applyAlignment="1">
      <alignment horizontal="center" vertical="center"/>
    </xf>
    <xf numFmtId="9" fontId="0" fillId="18" borderId="1" xfId="2" applyNumberFormat="1" applyFont="1" applyFill="1" applyBorder="1" applyAlignment="1">
      <alignment horizontal="center"/>
    </xf>
    <xf numFmtId="0" fontId="0" fillId="18" borderId="14" xfId="0" applyFill="1" applyBorder="1" applyAlignment="1">
      <alignment horizontal="center" vertical="center"/>
    </xf>
    <xf numFmtId="9" fontId="0" fillId="18" borderId="15" xfId="2" applyFont="1" applyFill="1" applyBorder="1" applyAlignment="1">
      <alignment horizontal="center" vertical="center"/>
    </xf>
    <xf numFmtId="169" fontId="0" fillId="18" borderId="43" xfId="0" applyNumberForma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174" fontId="2" fillId="15" borderId="56" xfId="0" applyNumberFormat="1" applyFont="1" applyFill="1" applyBorder="1" applyAlignment="1">
      <alignment horizontal="center" vertical="center"/>
    </xf>
    <xf numFmtId="4" fontId="0" fillId="0" borderId="52" xfId="0" applyNumberFormat="1" applyBorder="1" applyAlignment="1">
      <alignment horizontal="center" vertical="center" wrapText="1"/>
    </xf>
    <xf numFmtId="2" fontId="0" fillId="0" borderId="52" xfId="0" applyNumberFormat="1" applyBorder="1" applyAlignment="1">
      <alignment horizontal="center" vertical="center"/>
    </xf>
    <xf numFmtId="9" fontId="0" fillId="0" borderId="6" xfId="2" applyFon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4" fontId="0" fillId="0" borderId="61" xfId="1" applyNumberFormat="1" applyFont="1" applyBorder="1" applyAlignment="1">
      <alignment horizontal="center" vertical="center"/>
    </xf>
    <xf numFmtId="4" fontId="0" fillId="0" borderId="52" xfId="0" applyNumberFormat="1" applyBorder="1" applyAlignment="1">
      <alignment horizontal="center" vertical="center"/>
    </xf>
    <xf numFmtId="9" fontId="0" fillId="0" borderId="35" xfId="2" applyFon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8" fillId="16" borderId="0" xfId="0" applyFont="1" applyFill="1" applyAlignment="1">
      <alignment horizontal="center" vertical="center"/>
    </xf>
    <xf numFmtId="0" fontId="28" fillId="0" borderId="44" xfId="0" applyFont="1" applyBorder="1" applyAlignment="1">
      <alignment horizontal="center" vertical="center"/>
    </xf>
    <xf numFmtId="0" fontId="31" fillId="19" borderId="44" xfId="0" applyFont="1" applyFill="1" applyBorder="1" applyAlignment="1">
      <alignment horizontal="center" vertical="center"/>
    </xf>
    <xf numFmtId="0" fontId="31" fillId="19" borderId="45" xfId="0" applyFont="1" applyFill="1" applyBorder="1" applyAlignment="1">
      <alignment horizontal="center" vertical="center"/>
    </xf>
    <xf numFmtId="0" fontId="31" fillId="20" borderId="44" xfId="0" applyFont="1" applyFill="1" applyBorder="1" applyAlignment="1">
      <alignment horizontal="center" vertical="center"/>
    </xf>
    <xf numFmtId="0" fontId="28" fillId="18" borderId="44" xfId="0" applyFont="1" applyFill="1" applyBorder="1" applyAlignment="1">
      <alignment horizontal="center" vertical="center"/>
    </xf>
    <xf numFmtId="0" fontId="28" fillId="25" borderId="44" xfId="0" applyFont="1" applyFill="1" applyBorder="1" applyAlignment="1">
      <alignment horizontal="center" vertical="center"/>
    </xf>
    <xf numFmtId="172" fontId="16" fillId="12" borderId="1" xfId="1" applyNumberFormat="1" applyFont="1" applyFill="1" applyBorder="1" applyAlignment="1">
      <alignment horizontal="center" vertical="center"/>
    </xf>
    <xf numFmtId="9" fontId="0" fillId="18" borderId="1" xfId="2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4" fontId="0" fillId="23" borderId="1" xfId="0" applyNumberFormat="1" applyFill="1" applyBorder="1" applyAlignment="1">
      <alignment horizontal="center"/>
    </xf>
    <xf numFmtId="14" fontId="0" fillId="23" borderId="1" xfId="0" applyNumberFormat="1" applyFill="1" applyBorder="1" applyAlignment="1">
      <alignment horizontal="center"/>
    </xf>
    <xf numFmtId="0" fontId="0" fillId="23" borderId="0" xfId="0" applyFill="1" applyBorder="1"/>
    <xf numFmtId="0" fontId="0" fillId="4" borderId="1" xfId="0" applyFill="1" applyBorder="1" applyAlignment="1">
      <alignment horizontal="center"/>
    </xf>
    <xf numFmtId="4" fontId="0" fillId="4" borderId="1" xfId="0" applyNumberForma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0" xfId="0" applyFill="1" applyBorder="1"/>
    <xf numFmtId="0" fontId="0" fillId="3" borderId="1" xfId="0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0" xfId="0" applyFill="1" applyBorder="1"/>
    <xf numFmtId="0" fontId="0" fillId="31" borderId="1" xfId="0" applyFill="1" applyBorder="1" applyAlignment="1">
      <alignment horizontal="center"/>
    </xf>
    <xf numFmtId="4" fontId="0" fillId="31" borderId="1" xfId="0" applyNumberFormat="1" applyFill="1" applyBorder="1" applyAlignment="1">
      <alignment horizontal="center"/>
    </xf>
    <xf numFmtId="14" fontId="0" fillId="31" borderId="1" xfId="0" applyNumberFormat="1" applyFill="1" applyBorder="1" applyAlignment="1">
      <alignment horizontal="center"/>
    </xf>
    <xf numFmtId="0" fontId="0" fillId="31" borderId="0" xfId="0" applyFill="1" applyBorder="1"/>
    <xf numFmtId="0" fontId="1" fillId="6" borderId="1" xfId="0" applyFont="1" applyFill="1" applyBorder="1" applyAlignment="1">
      <alignment horizontal="center"/>
    </xf>
    <xf numFmtId="0" fontId="0" fillId="6" borderId="1" xfId="0" applyNumberFormat="1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6" borderId="0" xfId="0" applyFill="1"/>
    <xf numFmtId="0" fontId="1" fillId="6" borderId="5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5" xfId="0" applyNumberFormat="1" applyFill="1" applyBorder="1" applyAlignment="1">
      <alignment horizontal="center"/>
    </xf>
    <xf numFmtId="4" fontId="0" fillId="6" borderId="5" xfId="0" applyNumberFormat="1" applyFill="1" applyBorder="1" applyAlignment="1">
      <alignment horizontal="center"/>
    </xf>
    <xf numFmtId="14" fontId="0" fillId="6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23" borderId="0" xfId="0" applyFill="1"/>
    <xf numFmtId="14" fontId="0" fillId="0" borderId="0" xfId="0" applyNumberFormat="1" applyFill="1"/>
    <xf numFmtId="0" fontId="0" fillId="0" borderId="0" xfId="0" applyNumberFormat="1" applyFill="1"/>
    <xf numFmtId="4" fontId="26" fillId="32" borderId="0" xfId="0" applyNumberFormat="1" applyFont="1" applyFill="1" applyAlignment="1">
      <alignment horizontal="center"/>
    </xf>
    <xf numFmtId="169" fontId="0" fillId="9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center"/>
    </xf>
    <xf numFmtId="4" fontId="0" fillId="9" borderId="1" xfId="0" applyNumberFormat="1" applyFill="1" applyBorder="1" applyAlignment="1">
      <alignment horizontal="center"/>
    </xf>
    <xf numFmtId="4" fontId="0" fillId="9" borderId="1" xfId="1" applyNumberFormat="1" applyFont="1" applyFill="1" applyBorder="1" applyAlignment="1">
      <alignment horizontal="center" vertical="center"/>
    </xf>
    <xf numFmtId="9" fontId="0" fillId="9" borderId="1" xfId="1" applyNumberFormat="1" applyFont="1" applyFill="1" applyBorder="1" applyAlignment="1">
      <alignment horizontal="center"/>
    </xf>
    <xf numFmtId="170" fontId="0" fillId="9" borderId="1" xfId="1" applyNumberFormat="1" applyFont="1" applyFill="1" applyBorder="1" applyAlignment="1">
      <alignment horizontal="center"/>
    </xf>
    <xf numFmtId="4" fontId="2" fillId="0" borderId="0" xfId="0" applyNumberFormat="1" applyFont="1" applyAlignment="1">
      <alignment horizontal="center"/>
    </xf>
    <xf numFmtId="3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9" fontId="0" fillId="23" borderId="1" xfId="0" applyNumberFormat="1" applyFill="1" applyBorder="1" applyAlignment="1">
      <alignment horizontal="left"/>
    </xf>
    <xf numFmtId="4" fontId="0" fillId="23" borderId="1" xfId="1" applyNumberFormat="1" applyFont="1" applyFill="1" applyBorder="1" applyAlignment="1">
      <alignment horizontal="center" vertical="center"/>
    </xf>
    <xf numFmtId="170" fontId="0" fillId="23" borderId="1" xfId="2" applyNumberFormat="1" applyFont="1" applyFill="1" applyBorder="1" applyAlignment="1">
      <alignment horizontal="center"/>
    </xf>
    <xf numFmtId="4" fontId="0" fillId="23" borderId="1" xfId="1" applyNumberFormat="1" applyFont="1" applyFill="1" applyBorder="1" applyAlignment="1">
      <alignment horizont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9" fontId="2" fillId="3" borderId="1" xfId="2" applyFont="1" applyFill="1" applyBorder="1" applyAlignment="1">
      <alignment horizontal="center" vertical="center"/>
    </xf>
    <xf numFmtId="16" fontId="14" fillId="4" borderId="27" xfId="0" applyNumberFormat="1" applyFont="1" applyFill="1" applyBorder="1" applyAlignment="1">
      <alignment horizontal="center" vertical="center"/>
    </xf>
    <xf numFmtId="16" fontId="14" fillId="4" borderId="28" xfId="0" applyNumberFormat="1" applyFont="1" applyFill="1" applyBorder="1" applyAlignment="1">
      <alignment horizontal="center" vertical="center"/>
    </xf>
    <xf numFmtId="16" fontId="14" fillId="4" borderId="29" xfId="0" applyNumberFormat="1" applyFont="1" applyFill="1" applyBorder="1" applyAlignment="1">
      <alignment horizontal="center" vertical="center"/>
    </xf>
    <xf numFmtId="3" fontId="20" fillId="0" borderId="40" xfId="0" applyNumberFormat="1" applyFont="1" applyBorder="1" applyAlignment="1">
      <alignment horizontal="center" vertical="center"/>
    </xf>
    <xf numFmtId="3" fontId="20" fillId="0" borderId="46" xfId="0" applyNumberFormat="1" applyFont="1" applyBorder="1" applyAlignment="1">
      <alignment horizontal="center" vertical="center"/>
    </xf>
    <xf numFmtId="3" fontId="14" fillId="4" borderId="36" xfId="0" applyNumberFormat="1" applyFont="1" applyFill="1" applyBorder="1" applyAlignment="1">
      <alignment horizontal="center" vertical="center"/>
    </xf>
    <xf numFmtId="3" fontId="14" fillId="4" borderId="37" xfId="0" applyNumberFormat="1" applyFont="1" applyFill="1" applyBorder="1" applyAlignment="1">
      <alignment horizontal="center" vertical="center"/>
    </xf>
    <xf numFmtId="3" fontId="14" fillId="4" borderId="28" xfId="0" applyNumberFormat="1" applyFont="1" applyFill="1" applyBorder="1" applyAlignment="1">
      <alignment horizontal="center" vertical="center"/>
    </xf>
    <xf numFmtId="3" fontId="14" fillId="4" borderId="29" xfId="0" applyNumberFormat="1" applyFont="1" applyFill="1" applyBorder="1" applyAlignment="1">
      <alignment horizontal="center" vertical="center"/>
    </xf>
    <xf numFmtId="170" fontId="22" fillId="0" borderId="21" xfId="2" applyNumberFormat="1" applyFont="1" applyBorder="1" applyAlignment="1">
      <alignment horizontal="center" vertical="center"/>
    </xf>
    <xf numFmtId="170" fontId="22" fillId="0" borderId="26" xfId="2" applyNumberFormat="1" applyFont="1" applyBorder="1" applyAlignment="1">
      <alignment horizontal="center" vertical="center"/>
    </xf>
    <xf numFmtId="3" fontId="2" fillId="2" borderId="43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14" fillId="7" borderId="36" xfId="0" applyNumberFormat="1" applyFont="1" applyFill="1" applyBorder="1" applyAlignment="1">
      <alignment horizontal="center" vertical="center"/>
    </xf>
    <xf numFmtId="3" fontId="14" fillId="7" borderId="37" xfId="0" applyNumberFormat="1" applyFont="1" applyFill="1" applyBorder="1" applyAlignment="1">
      <alignment horizontal="center" vertical="center"/>
    </xf>
    <xf numFmtId="3" fontId="14" fillId="7" borderId="38" xfId="0" applyNumberFormat="1" applyFont="1" applyFill="1" applyBorder="1" applyAlignment="1">
      <alignment horizontal="center" vertical="center"/>
    </xf>
    <xf numFmtId="3" fontId="20" fillId="2" borderId="40" xfId="0" applyNumberFormat="1" applyFont="1" applyFill="1" applyBorder="1" applyAlignment="1">
      <alignment horizontal="center" vertical="center"/>
    </xf>
    <xf numFmtId="3" fontId="20" fillId="2" borderId="46" xfId="0" applyNumberFormat="1" applyFont="1" applyFill="1" applyBorder="1" applyAlignment="1">
      <alignment horizontal="center" vertical="center"/>
    </xf>
    <xf numFmtId="3" fontId="14" fillId="4" borderId="38" xfId="0" applyNumberFormat="1" applyFont="1" applyFill="1" applyBorder="1" applyAlignment="1">
      <alignment horizontal="center" vertical="center"/>
    </xf>
    <xf numFmtId="170" fontId="22" fillId="0" borderId="40" xfId="2" applyNumberFormat="1" applyFont="1" applyBorder="1" applyAlignment="1">
      <alignment horizontal="center" vertical="center"/>
    </xf>
    <xf numFmtId="170" fontId="22" fillId="0" borderId="41" xfId="2" applyNumberFormat="1" applyFont="1" applyBorder="1" applyAlignment="1">
      <alignment horizontal="center" vertical="center"/>
    </xf>
    <xf numFmtId="170" fontId="22" fillId="0" borderId="42" xfId="2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17" fillId="0" borderId="0" xfId="1" applyNumberFormat="1" applyFont="1" applyBorder="1" applyAlignment="1">
      <alignment horizontal="center" vertical="center"/>
    </xf>
    <xf numFmtId="0" fontId="14" fillId="4" borderId="36" xfId="0" applyFont="1" applyFill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/>
    </xf>
    <xf numFmtId="0" fontId="14" fillId="4" borderId="28" xfId="0" applyFont="1" applyFill="1" applyBorder="1" applyAlignment="1">
      <alignment horizontal="center" vertical="center"/>
    </xf>
    <xf numFmtId="0" fontId="14" fillId="4" borderId="29" xfId="0" applyFont="1" applyFill="1" applyBorder="1" applyAlignment="1">
      <alignment horizontal="center" vertical="center"/>
    </xf>
    <xf numFmtId="0" fontId="14" fillId="4" borderId="3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0" fillId="0" borderId="40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173" fontId="36" fillId="0" borderId="0" xfId="0" applyNumberFormat="1" applyFont="1" applyFill="1" applyAlignment="1">
      <alignment horizontal="center" vertical="center"/>
    </xf>
    <xf numFmtId="14" fontId="14" fillId="0" borderId="0" xfId="1" applyNumberFormat="1" applyFont="1" applyBorder="1" applyAlignment="1">
      <alignment horizontal="center" vertical="center"/>
    </xf>
    <xf numFmtId="16" fontId="14" fillId="4" borderId="30" xfId="0" applyNumberFormat="1" applyFont="1" applyFill="1" applyBorder="1" applyAlignment="1">
      <alignment horizontal="center" vertical="center"/>
    </xf>
    <xf numFmtId="16" fontId="14" fillId="4" borderId="11" xfId="0" applyNumberFormat="1" applyFont="1" applyFill="1" applyBorder="1" applyAlignment="1">
      <alignment horizontal="center" vertical="center"/>
    </xf>
    <xf numFmtId="16" fontId="14" fillId="4" borderId="12" xfId="0" applyNumberFormat="1" applyFont="1" applyFill="1" applyBorder="1" applyAlignment="1">
      <alignment horizontal="center" vertical="center"/>
    </xf>
    <xf numFmtId="3" fontId="13" fillId="0" borderId="59" xfId="0" applyNumberFormat="1" applyFont="1" applyBorder="1" applyAlignment="1">
      <alignment horizontal="center" vertical="center"/>
    </xf>
    <xf numFmtId="0" fontId="14" fillId="4" borderId="27" xfId="0" applyFont="1" applyFill="1" applyBorder="1" applyAlignment="1">
      <alignment horizontal="center" vertical="center"/>
    </xf>
    <xf numFmtId="3" fontId="13" fillId="0" borderId="22" xfId="0" applyNumberFormat="1" applyFont="1" applyBorder="1" applyAlignment="1">
      <alignment horizontal="center" vertical="center"/>
    </xf>
    <xf numFmtId="10" fontId="22" fillId="0" borderId="21" xfId="2" applyNumberFormat="1" applyFont="1" applyBorder="1" applyAlignment="1">
      <alignment horizontal="center" vertical="center"/>
    </xf>
    <xf numFmtId="10" fontId="22" fillId="0" borderId="26" xfId="2" applyNumberFormat="1" applyFont="1" applyBorder="1" applyAlignment="1">
      <alignment horizontal="center" vertical="center"/>
    </xf>
    <xf numFmtId="10" fontId="22" fillId="0" borderId="40" xfId="2" applyNumberFormat="1" applyFont="1" applyBorder="1" applyAlignment="1">
      <alignment horizontal="center" vertical="center"/>
    </xf>
    <xf numFmtId="10" fontId="22" fillId="0" borderId="41" xfId="2" applyNumberFormat="1" applyFont="1" applyBorder="1" applyAlignment="1">
      <alignment horizontal="center" vertical="center"/>
    </xf>
    <xf numFmtId="10" fontId="22" fillId="0" borderId="42" xfId="2" applyNumberFormat="1" applyFont="1" applyBorder="1" applyAlignment="1">
      <alignment horizontal="center" vertical="center"/>
    </xf>
    <xf numFmtId="0" fontId="0" fillId="28" borderId="2" xfId="0" applyFill="1" applyBorder="1" applyAlignment="1">
      <alignment horizontal="center" vertical="center"/>
    </xf>
    <xf numFmtId="0" fontId="0" fillId="28" borderId="39" xfId="0" applyFill="1" applyBorder="1" applyAlignment="1">
      <alignment horizontal="center" vertical="center"/>
    </xf>
    <xf numFmtId="0" fontId="0" fillId="28" borderId="13" xfId="0" applyFill="1" applyBorder="1" applyAlignment="1">
      <alignment horizontal="center" vertical="center"/>
    </xf>
    <xf numFmtId="3" fontId="0" fillId="29" borderId="2" xfId="0" applyNumberFormat="1" applyFill="1" applyBorder="1" applyAlignment="1">
      <alignment horizontal="center" vertical="center"/>
    </xf>
    <xf numFmtId="3" fontId="0" fillId="29" borderId="39" xfId="0" applyNumberFormat="1" applyFill="1" applyBorder="1" applyAlignment="1">
      <alignment horizontal="center" vertical="center"/>
    </xf>
    <xf numFmtId="3" fontId="0" fillId="29" borderId="13" xfId="0" applyNumberFormat="1" applyFill="1" applyBorder="1" applyAlignment="1">
      <alignment horizontal="center" vertical="center"/>
    </xf>
    <xf numFmtId="3" fontId="0" fillId="27" borderId="2" xfId="0" applyNumberFormat="1" applyFill="1" applyBorder="1" applyAlignment="1">
      <alignment horizontal="center" vertical="center"/>
    </xf>
    <xf numFmtId="3" fontId="0" fillId="27" borderId="39" xfId="0" applyNumberFormat="1" applyFill="1" applyBorder="1" applyAlignment="1">
      <alignment horizontal="center" vertical="center"/>
    </xf>
    <xf numFmtId="0" fontId="0" fillId="27" borderId="13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3" fontId="0" fillId="27" borderId="9" xfId="0" applyNumberForma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4" fontId="2" fillId="10" borderId="8" xfId="0" applyNumberFormat="1" applyFont="1" applyFill="1" applyBorder="1" applyAlignment="1">
      <alignment horizontal="center" vertical="center" wrapText="1"/>
    </xf>
    <xf numFmtId="14" fontId="2" fillId="10" borderId="9" xfId="0" applyNumberFormat="1" applyFont="1" applyFill="1" applyBorder="1" applyAlignment="1">
      <alignment horizontal="center" vertical="center" wrapText="1"/>
    </xf>
    <xf numFmtId="14" fontId="2" fillId="10" borderId="10" xfId="0" applyNumberFormat="1" applyFont="1" applyFill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/>
    </xf>
    <xf numFmtId="0" fontId="0" fillId="15" borderId="1" xfId="0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4" fontId="32" fillId="18" borderId="2" xfId="0" applyNumberFormat="1" applyFont="1" applyFill="1" applyBorder="1" applyAlignment="1">
      <alignment horizontal="center" vertical="center"/>
    </xf>
    <xf numFmtId="4" fontId="32" fillId="18" borderId="39" xfId="0" applyNumberFormat="1" applyFont="1" applyFill="1" applyBorder="1" applyAlignment="1">
      <alignment horizontal="center" vertical="center"/>
    </xf>
    <xf numFmtId="4" fontId="32" fillId="18" borderId="13" xfId="0" applyNumberFormat="1" applyFont="1" applyFill="1" applyBorder="1" applyAlignment="1">
      <alignment horizontal="center" vertical="center"/>
    </xf>
    <xf numFmtId="9" fontId="26" fillId="12" borderId="53" xfId="2" applyFont="1" applyFill="1" applyBorder="1" applyAlignment="1">
      <alignment horizontal="center" vertical="center"/>
    </xf>
    <xf numFmtId="9" fontId="26" fillId="12" borderId="7" xfId="2" applyFont="1" applyFill="1" applyBorder="1" applyAlignment="1">
      <alignment horizontal="center" vertical="center"/>
    </xf>
    <xf numFmtId="4" fontId="31" fillId="19" borderId="6" xfId="0" applyNumberFormat="1" applyFont="1" applyFill="1" applyBorder="1" applyAlignment="1">
      <alignment horizontal="center" vertical="center"/>
    </xf>
    <xf numFmtId="4" fontId="31" fillId="19" borderId="47" xfId="0" applyNumberFormat="1" applyFont="1" applyFill="1" applyBorder="1" applyAlignment="1">
      <alignment horizontal="center" vertical="center"/>
    </xf>
    <xf numFmtId="4" fontId="31" fillId="19" borderId="48" xfId="0" applyNumberFormat="1" applyFont="1" applyFill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0" fontId="23" fillId="6" borderId="48" xfId="0" applyFont="1" applyFill="1" applyBorder="1" applyAlignment="1">
      <alignment horizontal="center" vertical="center"/>
    </xf>
    <xf numFmtId="0" fontId="31" fillId="20" borderId="5" xfId="0" applyFont="1" applyFill="1" applyBorder="1" applyAlignment="1">
      <alignment horizontal="center" vertical="center"/>
    </xf>
  </cellXfs>
  <cellStyles count="13">
    <cellStyle name="Обычный" xfId="0" builtinId="0"/>
    <cellStyle name="Обычный 12" xfId="6" xr:uid="{00000000-0005-0000-0000-000001000000}"/>
    <cellStyle name="Обычный 2" xfId="5" xr:uid="{00000000-0005-0000-0000-000002000000}"/>
    <cellStyle name="Обычный 4" xfId="4" xr:uid="{00000000-0005-0000-0000-000003000000}"/>
    <cellStyle name="Процентный" xfId="2" builtinId="5"/>
    <cellStyle name="Финансовый" xfId="1" builtinId="3"/>
    <cellStyle name="Финансовый 2" xfId="3" xr:uid="{00000000-0005-0000-0000-000006000000}"/>
    <cellStyle name="Финансовый 3" xfId="7" xr:uid="{00000000-0005-0000-0000-000007000000}"/>
    <cellStyle name="Финансовый 4" xfId="8" xr:uid="{00000000-0005-0000-0000-000008000000}"/>
    <cellStyle name="Финансовый 4 2" xfId="12" xr:uid="{30E69C78-DA53-4961-8C85-48C6DEE89815}"/>
    <cellStyle name="Финансовый 4 3" xfId="10" xr:uid="{18F17A6D-2933-4579-8234-2F225EC42373}"/>
    <cellStyle name="Финансовый 5" xfId="11" xr:uid="{9F07007A-74FF-49DA-9879-BFC15D060DE7}"/>
    <cellStyle name="Финансовый 6" xfId="9" xr:uid="{1BB99F59-CBD6-4A20-BFBA-D95CE30754C1}"/>
  </cellStyles>
  <dxfs count="328">
    <dxf>
      <numFmt numFmtId="176" formatCode="dd/mm/yy;@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dd/mm/yy;@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5" tint="-0.499984740745262"/>
      </font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499984740745262"/>
      </font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font>
        <color auto="1"/>
      </font>
    </dxf>
    <dxf>
      <font>
        <color theme="0" tint="-0.1499679555650502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font>
        <color auto="1"/>
      </font>
    </dxf>
    <dxf>
      <font>
        <color theme="0" tint="-0.1499679555650502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font>
        <color auto="1"/>
      </font>
    </dxf>
    <dxf>
      <font>
        <color theme="0" tint="-0.1499679555650502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auto="1"/>
      </font>
    </dxf>
    <dxf>
      <font>
        <color theme="0" tint="-0.14996795556505021"/>
      </font>
    </dxf>
    <dxf>
      <font>
        <color auto="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0" tint="-0.1499679555650502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charset val="204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left" vertical="bottom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charset val="204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charset val="204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0" formatCode="General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0" formatCode="General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4" formatCode="#,##0.00"/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alignment horizontal="left" textRotation="0" wrapText="0" indent="0" justifyLastLine="0" shrinkToFit="0" readingOrder="0"/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9"/>
        <name val="Calibri"/>
        <family val="2"/>
        <charset val="204"/>
        <scheme val="minor"/>
      </font>
      <alignment horizontal="left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1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2.xml"/><Relationship Id="rId30" Type="http://schemas.microsoft.com/office/2007/relationships/slicerCache" Target="slicerCaches/slicerCache5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'&#1057;&#1088;&#1077;&#1079; &#1086;&#1089;&#1090;&#1072;&#1090;&#1082;&#1086;&#1074;'!A5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0</xdr:colOff>
      <xdr:row>0</xdr:row>
      <xdr:rowOff>0</xdr:rowOff>
    </xdr:from>
    <xdr:to>
      <xdr:col>10</xdr:col>
      <xdr:colOff>1217084</xdr:colOff>
      <xdr:row>6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Дом">
              <a:extLst>
                <a:ext uri="{FF2B5EF4-FFF2-40B4-BE49-F238E27FC236}">
                  <a16:creationId xmlns:a16="http://schemas.microsoft.com/office/drawing/2014/main" id="{E13D10D2-3CD8-09FB-3C5C-8170F6080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м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8125" y="0"/>
              <a:ext cx="1217084" cy="156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1226610</xdr:colOff>
      <xdr:row>0</xdr:row>
      <xdr:rowOff>9524</xdr:rowOff>
    </xdr:from>
    <xdr:to>
      <xdr:col>11</xdr:col>
      <xdr:colOff>1</xdr:colOff>
      <xdr:row>7</xdr:row>
      <xdr:rowOff>9524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Статус">
              <a:extLst>
                <a:ext uri="{FF2B5EF4-FFF2-40B4-BE49-F238E27FC236}">
                  <a16:creationId xmlns:a16="http://schemas.microsoft.com/office/drawing/2014/main" id="{E39092D5-C044-DD2B-967A-D6B5C870C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татус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94735" y="9524"/>
              <a:ext cx="1697566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0</xdr:colOff>
      <xdr:row>0</xdr:row>
      <xdr:rowOff>9524</xdr:rowOff>
    </xdr:from>
    <xdr:to>
      <xdr:col>12</xdr:col>
      <xdr:colOff>0</xdr:colOff>
      <xdr:row>7</xdr:row>
      <xdr:rowOff>9524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Распределение">
              <a:extLst>
                <a:ext uri="{FF2B5EF4-FFF2-40B4-BE49-F238E27FC236}">
                  <a16:creationId xmlns:a16="http://schemas.microsoft.com/office/drawing/2014/main" id="{C962D094-8AFE-EC30-A3A8-7FCCAA2D9E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аспределе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92300" y="9524"/>
              <a:ext cx="2924175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8</xdr:col>
      <xdr:colOff>161924</xdr:colOff>
      <xdr:row>1</xdr:row>
      <xdr:rowOff>0</xdr:rowOff>
    </xdr:to>
    <xdr:pic>
      <xdr:nvPicPr>
        <xdr:cNvPr id="3" name="Рисунок 2" descr="Передача со сплошной заливкой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10D94-1B55-EF3D-6276-747230F52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285875" y="0"/>
          <a:ext cx="914399" cy="371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Состояние">
              <a:extLst>
                <a:ext uri="{FF2B5EF4-FFF2-40B4-BE49-F238E27FC236}">
                  <a16:creationId xmlns:a16="http://schemas.microsoft.com/office/drawing/2014/main" id="{3500A41F-1461-F997-0614-2CC5D1E983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остоя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133725" cy="57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200024</xdr:colOff>
      <xdr:row>0</xdr:row>
      <xdr:rowOff>1</xdr:rowOff>
    </xdr:from>
    <xdr:to>
      <xdr:col>16</xdr:col>
      <xdr:colOff>200024</xdr:colOff>
      <xdr:row>3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Дом 1">
              <a:extLst>
                <a:ext uri="{FF2B5EF4-FFF2-40B4-BE49-F238E27FC236}">
                  <a16:creationId xmlns:a16="http://schemas.microsoft.com/office/drawing/2014/main" id="{9ADF1690-6B04-587D-A9F1-7D3C315F2B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м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7999" y="1"/>
              <a:ext cx="5895975" cy="571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72D59A4-70A6-45F5-9600-DE74DD5F9D7C}" autoFormatId="16" applyNumberFormats="0" applyBorderFormats="0" applyFontFormats="0" applyPatternFormats="0" applyAlignmentFormats="0" applyWidthHeightFormats="0">
  <queryTableRefresh nextId="66">
    <queryTableFields count="63">
      <queryTableField id="1" name="№" tableColumnId="1"/>
      <queryTableField id="2" name="Подъезд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Прихожая" tableColumnId="13"/>
      <queryTableField id="14" name="Коридор" tableColumnId="14"/>
      <queryTableField id="15" name="Гардеробная" tableColumnId="15"/>
      <queryTableField id="16" name="Лоджия 1" tableColumnId="16"/>
      <queryTableField id="17" name="Лоджия 2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23" name="ПЦО 3К 20-23 эт. м2 100 000К" tableColumnId="23"/>
      <queryTableField id="24" name="Фикс 19.05.2025" tableColumnId="24"/>
      <queryTableField id="25" name="АЦО 29.06.25" tableColumnId="25"/>
      <queryTableField id="26" name="Фикс 29.06.25" tableColumnId="26"/>
      <queryTableField id="27" name="АЦО 30.07.25" tableColumnId="27"/>
      <queryTableField id="28" name="Фикс 30.07.25" tableColumnId="28"/>
      <queryTableField id="29" name="ПЦО 3%" tableColumnId="29"/>
      <queryTableField id="30" name="Фикс 04.08.25" tableColumnId="30"/>
      <queryTableField id="31" name="ПЦО 05.08.25 изменение S" tableColumnId="31"/>
      <queryTableField id="32" name="Фикс 05.08.25" tableColumnId="32"/>
      <queryTableField id="33" name="АЦО 06.08.25" tableColumnId="33"/>
      <queryTableField id="34" name="Фикс 06.08.25" tableColumnId="34"/>
      <queryTableField id="35" name="АЦО 13.08.25" tableColumnId="35"/>
      <queryTableField id="36" name="Фикс 13.08.25" tableColumnId="36"/>
      <queryTableField id="62" name="ПЦО 19.08.2025 _x000a_3К - 2%; 2К - 1%" tableColumnId="62"/>
      <queryTableField id="63" name="Фикс 19.08.25" tableColumnId="63"/>
      <queryTableField id="37" name="утв цена м2" tableColumnId="37"/>
      <queryTableField id="38" name="Стоимость до скидки" tableColumnId="38"/>
      <queryTableField id="39" name="Скидка фиксированная" tableColumnId="39"/>
      <queryTableField id="40" name="Скидка %" tableColumnId="40"/>
      <queryTableField id="41" name="Итоговая сумма скидки" tableColumnId="41"/>
      <queryTableField id="42" name="Цена м2 без отделки со скидкой" tableColumnId="42"/>
      <queryTableField id="43" name="Стоимость ОН без отделки со скидкой" tableColumnId="43"/>
      <queryTableField id="44" name="Отделка" tableColumnId="44"/>
      <queryTableField id="45" name="Стоимость отделки" tableColumnId="45"/>
      <queryTableField id="46" name="Цена м2 с отделкой2" tableColumnId="46"/>
      <queryTableField id="47" name="Сумма отделки" tableColumnId="47"/>
      <queryTableField id="48" name="Стоимость квартиры с отделкой" tableColumnId="48"/>
      <queryTableField id="49" name="Примечание" tableColumnId="49"/>
      <queryTableField id="50" name="Статус" tableColumnId="50"/>
      <queryTableField id="51" name="Статусы CRM" tableColumnId="51"/>
      <queryTableField id="52" name="Статус ALLIO" tableColumnId="52"/>
      <queryTableField id="53" name="Тип брони" tableColumnId="53"/>
      <queryTableField id="54" name="проверка статуса" tableColumnId="54"/>
      <queryTableField id="55" name="Название объекта" tableColumnId="55"/>
      <queryTableField id="56" name="Тип площади" tableColumnId="56"/>
      <queryTableField id="57" name="Стоимость CRM" tableColumnId="57"/>
      <queryTableField id="58" name="ТС" tableColumnId="58"/>
      <queryTableField id="59" name="ПС" tableColumnId="59"/>
      <queryTableField id="60" name="ДС" tableColumnId="60"/>
      <queryTableField id="61" name="проверка стоимости" tableColumnId="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70D851F-FEBC-451C-A533-A847D67F71EE}" autoFormatId="16" applyNumberFormats="0" applyBorderFormats="0" applyFontFormats="0" applyPatternFormats="0" applyAlignmentFormats="0" applyWidthHeightFormats="0">
  <queryTableRefresh nextId="93">
    <queryTableFields count="88">
      <queryTableField id="1" name="№" tableColumnId="1"/>
      <queryTableField id="2" name="Подъезд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Прихожая" tableColumnId="13"/>
      <queryTableField id="14" name="Коридор" tableColumnId="14"/>
      <queryTableField id="15" name="Гардеробная" tableColumnId="15"/>
      <queryTableField id="16" name="Лоджия 1" tableColumnId="16"/>
      <queryTableField id="17" name="Лоджия 2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23" name="АЦО 13.06.25" tableColumnId="23"/>
      <queryTableField id="24" name="Фикс 13.06.25" tableColumnId="24"/>
      <queryTableField id="25" name="АЦО 18.06.25" tableColumnId="25"/>
      <queryTableField id="26" name="Фикс 18.06.25" tableColumnId="26"/>
      <queryTableField id="27" name="АЦО 23.06.25" tableColumnId="27"/>
      <queryTableField id="28" name="Фикс 23.06.25" tableColumnId="28"/>
      <queryTableField id="29" name="АЦО 26.06.25" tableColumnId="29"/>
      <queryTableField id="30" name="Фикс 26.06.25" tableColumnId="30"/>
      <queryTableField id="31" name="АЦО 27.06.25" tableColumnId="31"/>
      <queryTableField id="32" name="Фикс 27.06.25" tableColumnId="32"/>
      <queryTableField id="33" name="АЦО 30.06.25" tableColumnId="33"/>
      <queryTableField id="34" name="Фикс 30.06.25" tableColumnId="34"/>
      <queryTableField id="35" name="АЦО 14.07.25" tableColumnId="35"/>
      <queryTableField id="36" name="Фикс 14.07.25" tableColumnId="36"/>
      <queryTableField id="37" name="АЦО 20.07.25" tableColumnId="37"/>
      <queryTableField id="38" name="Фикс 20.07.25" tableColumnId="38"/>
      <queryTableField id="39" name="АЦО 26.07.25" tableColumnId="39"/>
      <queryTableField id="40" name="Фикс 26.07.25" tableColumnId="40"/>
      <queryTableField id="41" name="АЦО 28.07.25" tableColumnId="41"/>
      <queryTableField id="42" name="Фикс 28.07.25" tableColumnId="42"/>
      <queryTableField id="43" name="АЦО 29.07.25" tableColumnId="43"/>
      <queryTableField id="44" name="Фикс 29.07.25" tableColumnId="44"/>
      <queryTableField id="45" name="АЦО 30.07.25" tableColumnId="45"/>
      <queryTableField id="46" name="Фикс 30.07.25" tableColumnId="46"/>
      <queryTableField id="47" name="АЦО 03.08.25" tableColumnId="47"/>
      <queryTableField id="48" name="Фикс 03.08.25" tableColumnId="48"/>
      <queryTableField id="49" name="ПЦО 04.08.25" tableColumnId="49"/>
      <queryTableField id="50" name="Фикс 04.08.25" tableColumnId="50"/>
      <queryTableField id="51" name="ПЦО 05.08.25 изм. S " tableColumnId="51"/>
      <queryTableField id="52" name="Фикс 05.08.25" tableColumnId="52"/>
      <queryTableField id="53" name="АЦО 06.08.25" tableColumnId="53"/>
      <queryTableField id="54" name="Фикс 06.08.25" tableColumnId="54"/>
      <queryTableField id="55" name="АЦО 11.08.25" tableColumnId="55"/>
      <queryTableField id="56" name="Фикс 11.08.25" tableColumnId="56"/>
      <queryTableField id="57" name="АЦО 16.08.25" tableColumnId="57"/>
      <queryTableField id="58" name="Фикс 16.08.25" tableColumnId="58"/>
      <queryTableField id="85" name="ПЦО 19.08.25" tableColumnId="85"/>
      <queryTableField id="86" name="Фикс 19.08.25" tableColumnId="86"/>
      <queryTableField id="89" name="АЦО 21.08.25" tableColumnId="87"/>
      <queryTableField id="90" name="Фикс 21.08.25" tableColumnId="88"/>
      <queryTableField id="59" name="утв цена м2" tableColumnId="59"/>
      <queryTableField id="60" name="Стоимость до скидки" tableColumnId="60"/>
      <queryTableField id="61" name="Скидка фиксированная" tableColumnId="61"/>
      <queryTableField id="62" name="Скидка %" tableColumnId="62"/>
      <queryTableField id="63" name="Итоговая сумма скидки" tableColumnId="63"/>
      <queryTableField id="64" name="Цена м2 без отделки со скидкой" tableColumnId="64"/>
      <queryTableField id="65" name="Стоимость ОН без отделки со скидкой" tableColumnId="65"/>
      <queryTableField id="66" name="Отделка" tableColumnId="66"/>
      <queryTableField id="67" name="Тип чистовой" tableColumnId="67"/>
      <queryTableField id="68" name="Стоимость отделки" tableColumnId="68"/>
      <queryTableField id="69" name="Цена м2 с отделкой" tableColumnId="69"/>
      <queryTableField id="70" name="Сумма отделки" tableColumnId="70"/>
      <queryTableField id="71" name="Стоимость квартиры с отделкой" tableColumnId="71"/>
      <queryTableField id="72" name="Примечание" tableColumnId="72"/>
      <queryTableField id="73" name="Статус" tableColumnId="73"/>
      <queryTableField id="74" name="Статусы CRM" tableColumnId="74"/>
      <queryTableField id="75" name="Статус ALLIO" tableColumnId="75"/>
      <queryTableField id="76" name="Тип брони" tableColumnId="76"/>
      <queryTableField id="77" name="Название объекта" tableColumnId="77"/>
      <queryTableField id="78" name="Тип площади" tableColumnId="78"/>
      <queryTableField id="79" name="проверка статуса" tableColumnId="79"/>
      <queryTableField id="80" name="Стоимость CRM" tableColumnId="80"/>
      <queryTableField id="81" name="ТС" tableColumnId="81"/>
      <queryTableField id="82" name="ПС" tableColumnId="82"/>
      <queryTableField id="83" name="ДС" tableColumnId="83"/>
      <queryTableField id="84" name="проверка стоимости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917980C-0021-48D7-8F65-F27DB70CFFFF}" autoFormatId="16" applyNumberFormats="0" applyBorderFormats="0" applyFontFormats="0" applyPatternFormats="0" applyAlignmentFormats="0" applyWidthHeightFormats="0">
  <queryTableRefresh nextId="47">
    <queryTableFields count="39">
      <queryTableField id="1" name="№" tableColumnId="1"/>
      <queryTableField id="2" name="за месяц" tableColumnId="2"/>
      <queryTableField id="3" name="Дата подачи на регистрацию" tableColumnId="3"/>
      <queryTableField id="4" name="Дом" tableColumnId="4"/>
      <queryTableField id="5" name="Секция" tableColumnId="5"/>
      <queryTableField id="43" name="№ на этаже" tableColumnId="39"/>
      <queryTableField id="6" name="Этаж" tableColumnId="6"/>
      <queryTableField id="7" name="№ кв" tableColumnId="7"/>
      <queryTableField id="8" name="Тип кв" tableColumnId="8"/>
      <queryTableField id="9" name="S" tableColumnId="9"/>
      <queryTableField id="10" name="Отделка " tableColumnId="10"/>
      <queryTableField id="11" name="Сумма договора" tableColumnId="11"/>
      <queryTableField id="12" name="Пл. бронь" tableColumnId="12"/>
      <queryTableField id="13" name="Стоимость с отделкой итог" tableColumnId="13"/>
      <queryTableField id="14" name="Цена м2 с отделкой итог" tableColumnId="14"/>
      <queryTableField id="15" name="Стоимость отделки" tableColumnId="15"/>
      <queryTableField id="16" name="Стоимость без отделки итог" tableColumnId="16"/>
      <queryTableField id="17" name="Цена м2 без отделки итог" tableColumnId="17"/>
      <queryTableField id="18" name="Вариант оплаты" tableColumnId="18"/>
      <queryTableField id="19" name="Название акции" tableColumnId="19"/>
      <queryTableField id="20" name="Сумма скидки" tableColumnId="20"/>
      <queryTableField id="41" name="Программа кредитования" tableColumnId="38"/>
      <queryTableField id="21" name="Дата договора" tableColumnId="21"/>
      <queryTableField id="22" name="№ договора" tableColumnId="22"/>
      <queryTableField id="23" name="Состояние" tableColumnId="23"/>
      <queryTableField id="24" name="Электронная регистрация" tableColumnId="24"/>
      <queryTableField id="39" name="Способ регистрации" tableColumnId="37"/>
      <queryTableField id="25" name="Тип покупки" tableColumnId="25"/>
      <queryTableField id="34" name="Банк" tableColumnId="34"/>
      <queryTableField id="26" name="Дата расторжения" tableColumnId="26"/>
      <queryTableField id="27" name="Основной клиент" tableColumnId="27"/>
      <queryTableField id="28" name="Мобильный телефон" tableColumnId="28"/>
      <queryTableField id="29" name="Электронная почта" tableColumnId="29"/>
      <queryTableField id="30" name="Источник обращения" tableColumnId="30"/>
      <queryTableField id="31" name="Источник рекламы" tableColumnId="31"/>
      <queryTableField id="32" name="МОП" tableColumnId="32"/>
      <queryTableField id="33" name="ИМ" tableColumnId="33"/>
      <queryTableField id="45" name="Фикс за АН" tableColumnId="35"/>
      <queryTableField id="38" name="Комментарий" tableColumnId="3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7FA818B-4732-4C6B-A7C7-6A343DE5BA4F}" autoFormatId="16" applyNumberFormats="0" applyBorderFormats="0" applyFontFormats="0" applyPatternFormats="0" applyAlignmentFormats="0" applyWidthHeightFormats="0">
  <queryTableRefresh nextId="47">
    <queryTableFields count="31">
      <queryTableField id="1" name="Дом" tableColumnId="1"/>
      <queryTableField id="2" name="№" tableColumnId="2"/>
      <queryTableField id="3" name="Секция" tableColumnId="3"/>
      <queryTableField id="26" name="Этаж" tableColumnId="21"/>
      <queryTableField id="4" name="Общая фактическая" tableColumnId="4"/>
      <queryTableField id="5" name="Фикс м2" tableColumnId="5"/>
      <queryTableField id="6" name="Повышение 01.02.23" tableColumnId="6"/>
      <queryTableField id="7" name="Фикс 01.02.23" tableColumnId="7"/>
      <queryTableField id="8" name="Повышение 24.02.23" tableColumnId="8"/>
      <queryTableField id="9" name="Фикс 24.02.23" tableColumnId="9"/>
      <queryTableField id="17" name="Повышение 04.07.2023" tableColumnId="17"/>
      <queryTableField id="18" name="Фикс 04.07.23" tableColumnId="18"/>
      <queryTableField id="33" name="Дисконт 04.06.25" tableColumnId="25"/>
      <queryTableField id="34" name="Фикс 04.06.25" tableColumnId="26"/>
      <queryTableField id="10" name="Цена м2" tableColumnId="10"/>
      <queryTableField id="11" name="стоимость лота" tableColumnId="11"/>
      <queryTableField id="12" name="Скидка" tableColumnId="12"/>
      <queryTableField id="13" name="Статус" tableColumnId="13"/>
      <queryTableField id="14" name="Статус CRM" tableColumnId="14"/>
      <queryTableField id="15" name="Проверка" tableColumnId="15"/>
      <queryTableField id="37" name="Название объекта" tableColumnId="27"/>
      <queryTableField id="38" name="Тип помещения" tableColumnId="28"/>
      <queryTableField id="39" name="Статус ALLIO" tableColumnId="29"/>
      <queryTableField id="40" name="Тип брони" tableColumnId="30"/>
      <queryTableField id="16" name="Арендатор" tableColumnId="16"/>
      <queryTableField id="22" name="Комментарии" tableColumnId="19"/>
      <queryTableField id="41" name="Столбец2" tableColumnId="31"/>
      <queryTableField id="23" name="КОД ОН" tableColumnId="20"/>
      <queryTableField id="30" name="Стоимость CRM" tableColumnId="22"/>
      <queryTableField id="31" name="проверка ст" tableColumnId="23"/>
      <queryTableField id="32" name="Столбец1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10F5D55-72CF-44B9-A3B4-E365CB85A225}" autoFormatId="16" applyNumberFormats="0" applyBorderFormats="0" applyFontFormats="0" applyPatternFormats="0" applyAlignmentFormats="0" applyWidthHeightFormats="0">
  <queryTableRefresh nextId="116">
    <queryTableFields count="67">
      <queryTableField id="1" name="№" tableColumnId="1"/>
      <queryTableField id="2" name="Секция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Коридор" tableColumnId="13"/>
      <queryTableField id="14" name="Гардеробная" tableColumnId="14"/>
      <queryTableField id="15" name="Лоджия 1" tableColumnId="15"/>
      <queryTableField id="16" name="Лоджия 2" tableColumnId="16"/>
      <queryTableField id="17" name="Лоджия 3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46" name="02.12.2024" tableColumnId="23"/>
      <queryTableField id="47" name="Фикс 20.12.24" tableColumnId="24"/>
      <queryTableField id="59" name="23.12.24 СП +1000" tableColumnId="47"/>
      <queryTableField id="60" name="Фикс 23.12.24" tableColumnId="48"/>
      <queryTableField id="67" name="Повышение 20.02.25" tableColumnId="49"/>
      <queryTableField id="68" name="Фикс 20.02.25" tableColumnId="50"/>
      <queryTableField id="71" name="Повышение 24.02.2025" tableColumnId="51"/>
      <queryTableField id="72" name="Фикс 24.02.25" tableColumnId="52"/>
      <queryTableField id="75" name="Повышение 05.03.2025_x000a_1К: до 40м - 1,5%, 40+ 0,5%_x000a_2К - 0,5% " tableColumnId="53"/>
      <queryTableField id="79" name="Фикс 05.03.25" tableColumnId="54"/>
      <queryTableField id="80" name="повышение 14.03.25 1К-1%" tableColumnId="55"/>
      <queryTableField id="81" name="Фикс 14.03.25" tableColumnId="56"/>
      <queryTableField id="85" name="повышение 28.03.25 1К-1%" tableColumnId="57"/>
      <queryTableField id="86" name="Фикс 28.03.25" tableColumnId="58"/>
      <queryTableField id="91" name="Повышение 23.07.25_x000a_1К 43-46м2 - 2%_x000a_2К 55-58 - 2%; 58-64 - 3%_x000a_3К 76-79 - 2%_x000a_" tableColumnId="34"/>
      <queryTableField id="92" name="Фикс 23.07.25" tableColumnId="59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89" name="Тип отделки" tableColumnId="42"/>
      <queryTableField id="93" name="Цена м2 с отделкой" tableColumnId="60"/>
      <queryTableField id="35" name="Сумма отделки" tableColumnId="35"/>
      <queryTableField id="36" name="Стоимость квартиры с отделкой" tableColumnId="36"/>
      <queryTableField id="38" name="Примечание" tableColumnId="38"/>
      <queryTableField id="39" name="Статус" tableColumnId="39"/>
      <queryTableField id="40" name="Статусы CRM" tableColumnId="40"/>
      <queryTableField id="94" name="Статус ALLIO" tableColumnId="61"/>
      <queryTableField id="95" name="Тип брони" tableColumnId="62"/>
      <queryTableField id="96" name="Название объекта" tableColumnId="63"/>
      <queryTableField id="103" name="Тип площади" tableColumnId="64"/>
      <queryTableField id="108" name="Проверка" tableColumnId="41"/>
      <queryTableField id="48" name="Стоимость CRM" tableColumnId="43"/>
      <queryTableField id="109" name="ТС" tableColumnId="65"/>
      <queryTableField id="110" name="ПС" tableColumnId="66"/>
      <queryTableField id="111" name="ДС" tableColumnId="67"/>
      <queryTableField id="49" name="проверка стоимости" tableColumnId="44"/>
      <queryTableField id="50" name="Отделка CRM" tableColumnId="45"/>
      <queryTableField id="51" name="Проверка отделки" tableColumnId="46"/>
      <queryTableField id="58" name="КОД ОН" tableColumnId="3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F554DC-C9B9-4AFA-9668-FD458847D840}" autoFormatId="16" applyNumberFormats="0" applyBorderFormats="0" applyFontFormats="0" applyPatternFormats="0" applyAlignmentFormats="0" applyWidthHeightFormats="0">
  <queryTableRefresh nextId="117">
    <queryTableFields count="57">
      <queryTableField id="1" name="№" tableColumnId="1"/>
      <queryTableField id="2" name="Секция" tableColumnId="2"/>
      <queryTableField id="48" name="Подъезд" tableColumnId="4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Коридор" tableColumnId="13"/>
      <queryTableField id="14" name="Гардеробная" tableColumnId="14"/>
      <queryTableField id="15" name="Лоджия 1" tableColumnId="15"/>
      <queryTableField id="16" name="Лоджия 2" tableColumnId="16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88" name="03.12.2024_x000a_2к-3к = 130 000_x000a_+2% ЗА ПАНАРАМУ" tableColumnId="23"/>
      <queryTableField id="89" name="Фикс 03.12.2024" tableColumnId="24"/>
      <queryTableField id="103" name="04.08.25 изменение S" tableColumnId="37"/>
      <queryTableField id="104" name="Фикс 04.08.25" tableColumnId="52"/>
      <queryTableField id="113" name="ПЦО 12.08.25 Дисконт 2К и 3К" tableColumnId="56"/>
      <queryTableField id="114" name="Фикс 12.08.25" tableColumnId="57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34" name="Цена м2 с отделкой2" tableColumnId="34"/>
      <queryTableField id="35" name="Сумма отделки" tableColumnId="35"/>
      <queryTableField id="36" name="Стоимость квартиры с отделкой" tableColumnId="36"/>
      <queryTableField id="38" name="Примечание" tableColumnId="38"/>
      <queryTableField id="39" name="Статус" tableColumnId="39"/>
      <queryTableField id="40" name="Статусы CRM" tableColumnId="40"/>
      <queryTableField id="92" name="Статус ALLIO" tableColumnId="48"/>
      <queryTableField id="93" name="Тип брони" tableColumnId="49"/>
      <queryTableField id="94" name="Название объекта" tableColumnId="50"/>
      <queryTableField id="98" name="Тип площади" tableColumnId="51"/>
      <queryTableField id="41" name="проверка статуса" tableColumnId="41"/>
      <queryTableField id="74" name="Отделка CRM" tableColumnId="43"/>
      <queryTableField id="75" name="Сверка отделки" tableColumnId="44"/>
      <queryTableField id="76" name="Стоимость CRM" tableColumnId="45"/>
      <queryTableField id="105" name="ТС" tableColumnId="53"/>
      <queryTableField id="106" name="ПС" tableColumnId="54"/>
      <queryTableField id="107" name="ДС" tableColumnId="55"/>
      <queryTableField id="77" name="Сверка стоимости" tableColumnId="46"/>
      <queryTableField id="78" name="Сверка скидки" tableColumnId="47"/>
      <queryTableField id="73" name="КОД ОН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FF81537-633D-4E57-9D73-C4A7874F207F}" autoFormatId="16" applyNumberFormats="0" applyBorderFormats="0" applyFontFormats="0" applyPatternFormats="0" applyAlignmentFormats="0" applyWidthHeightFormats="0">
  <queryTableRefresh nextId="211" unboundColumnsRight="1">
    <queryTableFields count="111">
      <queryTableField id="1" name="№" tableColumnId="1"/>
      <queryTableField id="2" name="Секция" tableColumnId="2"/>
      <queryTableField id="3" name="Этаж" tableColumnId="3"/>
      <queryTableField id="4" name="№ на этаже" tableColumnId="4"/>
      <queryTableField id="5" name="Тип кв" tableColumnId="5"/>
      <queryTableField id="6" name="Площадь_x000a_комната 1" tableColumnId="6"/>
      <queryTableField id="7" name="Площадь_x000a_комната 2" tableColumnId="7"/>
      <queryTableField id="8" name="Площадь_x000a_комната 3" tableColumnId="8"/>
      <queryTableField id="9" name="Жилая площадь по проекту" tableColumnId="9"/>
      <queryTableField id="10" name="Площадь_x000a_кухни" tableColumnId="10"/>
      <queryTableField id="11" name="Площадь_x000a_ванная" tableColumnId="11"/>
      <queryTableField id="12" name="Площадь_x000a_с\у" tableColumnId="12"/>
      <queryTableField id="13" name="гардеробная" tableColumnId="13"/>
      <queryTableField id="14" name="Площадь_x000a_вх группа" tableColumnId="14"/>
      <queryTableField id="15" name="Площадь_x000a_Лоджии" tableColumnId="15"/>
      <queryTableField id="16" name="Площадь_x000a_2 Лоджии" tableColumnId="16"/>
      <queryTableField id="17" name="Летние" tableColumnId="17"/>
      <queryTableField id="18" name="Общая площадь по проекту" tableColumnId="18"/>
      <queryTableField id="19" name="Площадь без летних" tableColumnId="19"/>
      <queryTableField id="20" name="Расчетная проектная площадь" tableColumnId="20"/>
      <queryTableField id="195" name="ТП S Расчетная" tableColumnId="22"/>
      <queryTableField id="38" name="М2 с учетом K" tableColumnId="38"/>
      <queryTableField id="39" name="18.07.22 Повышение 5%" tableColumnId="39"/>
      <queryTableField id="40" name="Фикс 18.07.22" tableColumnId="40"/>
      <queryTableField id="89" name="16.08.22 Повышение 4% на 1к кроме Г9" tableColumnId="41"/>
      <queryTableField id="42" name="Фикс 16.08.22" tableColumnId="42"/>
      <queryTableField id="90" name="17.11.2022 Повышение 5% на 1К и 2К" tableColumnId="43"/>
      <queryTableField id="49" name="Фикс 17.11.22" tableColumnId="44"/>
      <queryTableField id="52" name="23.11.22 Повышение 0,0123%" tableColumnId="45"/>
      <queryTableField id="53" name="Фикс 23.11.22" tableColumnId="46"/>
      <queryTableField id="57" name="01.12.22 Повышение  5% на 0К и 1К" tableColumnId="48"/>
      <queryTableField id="58" name="Фикс 01.12.22" tableColumnId="49"/>
      <queryTableField id="65" name="студии секции А 10% / 1К Г 4 на этаже - 5%" tableColumnId="50"/>
      <queryTableField id="62" name="Фикс 01.02.23" tableColumnId="51"/>
      <queryTableField id="67" name="Повышение 24.02.23_x000a_1к -3%, 2К-2%, 3К-3%" tableColumnId="52"/>
      <queryTableField id="71" name="Фикс 24.02.23" tableColumnId="53"/>
      <queryTableField id="73" name="Повышение 23.03.23_x000a_все 1%, хиты 3%" tableColumnId="54"/>
      <queryTableField id="74" name="Фикс 23.03.23" tableColumnId="55"/>
      <queryTableField id="77" name="Повышение 03.05.23_x000a_все 2%, хиты 4%" tableColumnId="47"/>
      <queryTableField id="78" name="Фикс 03.05.23" tableColumnId="56"/>
      <queryTableField id="81" name="Повышение 25.05.23_x000a_Студия 5% 1к -2%, 2К-3%,3к-3%" tableColumnId="57"/>
      <queryTableField id="82" name="Фикс 25.05.23" tableColumnId="58"/>
      <queryTableField id="85" name="Повышение 01.07.23 3%" tableColumnId="59"/>
      <queryTableField id="86" name="Фикс 01.07.23" tableColumnId="60"/>
      <queryTableField id="91" name="Повышение 18.08.23 5%" tableColumnId="61"/>
      <queryTableField id="92" name="Фикс 18.08.23" tableColumnId="62"/>
      <queryTableField id="93" name="Повышение 22.08.23 3%" tableColumnId="63"/>
      <queryTableField id="94" name="Фикс 22.08.23" tableColumnId="64"/>
      <queryTableField id="109" name="Повышение 23.08.23 6%_x000a_СТ - А, В1; _x000a_1К - Б, В, Г4, Г1; _x000a_3К - Г2 - 4%" tableColumnId="65"/>
      <queryTableField id="96" name="Фикс 23.08.23" tableColumnId="66"/>
      <queryTableField id="97" name="6.09.23 Повышение 3к 3%" tableColumnId="67"/>
      <queryTableField id="98" name="Фикс 6.09.23" tableColumnId="68"/>
      <queryTableField id="110" name="15.09.23 3% студий секция А" tableColumnId="69"/>
      <queryTableField id="111" name="Фикс 15.09.23" tableColumnId="70"/>
      <queryTableField id="122" name="20.10.2023_x000a_3% на 48 и 55 кв" tableColumnId="72"/>
      <queryTableField id="124" name="Фикс 20.10.23" tableColumnId="73"/>
      <queryTableField id="145" name="Наценка 24.11.23 _x000a_1к - Б4, Г9_x000a_С - А +5%, В +3%" tableColumnId="75"/>
      <queryTableField id="128" name="Фикс 24.11.23" tableColumnId="76"/>
      <queryTableField id="133" name="Наценка 22.12.23 2К. А2 - 1000;  А6, В5 -  2000;  А5, Г5, Г8 - 3000" tableColumnId="77"/>
      <queryTableField id="134" name="Фикс 22.12.23" tableColumnId="78"/>
      <queryTableField id="137" name="Наценка 10.01.2024 5%" tableColumnId="79"/>
      <queryTableField id="138" name="Фикс 10.01.2024" tableColumnId="80"/>
      <queryTableField id="147" name="Наценка 13.02.24 Студии А снижение  - 7500, 2К - 1000, 3К,1К, 0 - 500" tableColumnId="83"/>
      <queryTableField id="148" name="Фикс 13.02.2024" tableColumnId="84"/>
      <queryTableField id="161" name="Наценка 06.03.24 2%" tableColumnId="89"/>
      <queryTableField id="156" name="Фикс 06.03.24" tableColumnId="90"/>
      <queryTableField id="163" name="Наценка 26.03.24 5%_x000a_Кроме 3К и 2К: А6, В2" tableColumnId="91"/>
      <queryTableField id="164" name="Фикс 26.03.24" tableColumnId="92"/>
      <queryTableField id="169" name="Наценка 16.04.24 +500" tableColumnId="95"/>
      <queryTableField id="170" name="Фикс 16.04.24" tableColumnId="96"/>
      <queryTableField id="189" name="Наценка 24.10.24 индивид за КВ" tableColumnId="102"/>
      <queryTableField id="184" name="Фикс 24.10.24" tableColumnId="103"/>
      <queryTableField id="191" name="Фикс 21.11.24_x000a_доплата за КВ" tableColumnId="104"/>
      <queryTableField id="192" name="Фикс 21.11.24" tableColumnId="105"/>
      <queryTableField id="196" name="Дисконт 24.07.25" tableColumnId="97"/>
      <queryTableField id="197" name="Фикс 24.07.25" tableColumnId="106"/>
      <queryTableField id="21" name="утв цена м2" tableColumnId="21"/>
      <queryTableField id="198" name="Стоимость до скидки" tableColumnId="107"/>
      <queryTableField id="23" name="Скидка фиксированная" tableColumnId="23"/>
      <queryTableField id="24" name="Скидка %" tableColumnId="24"/>
      <queryTableField id="25" name="Итоговая сумма скидки" tableColumnId="25"/>
      <queryTableField id="26" name="Цена м2 без отделки со скидкой" tableColumnId="26"/>
      <queryTableField id="27" name="Стоимость ОН без отделки со скидкой" tableColumnId="27"/>
      <queryTableField id="28" name="Отделка" tableColumnId="28"/>
      <queryTableField id="29" name="Стоимость отделки" tableColumnId="29"/>
      <queryTableField id="30" name="Цена м2 с отделкой" tableColumnId="30"/>
      <queryTableField id="31" name="Сумма отделки" tableColumnId="31"/>
      <queryTableField id="32" name="Стоимость квартиры с отделкой" tableColumnId="32"/>
      <queryTableField id="33" name="ОН ХИТ" tableColumnId="33"/>
      <queryTableField id="34" name="Примечание" tableColumnId="34"/>
      <queryTableField id="141" name="Стоимость по переуступке" tableColumnId="81"/>
      <queryTableField id="142" name="Цена м2 по переуступке" tableColumnId="82"/>
      <queryTableField id="35" name="Статус" tableColumnId="35"/>
      <queryTableField id="36" name="Статусы CRM" tableColumnId="36"/>
      <queryTableField id="37" name="Проверка статуса" tableColumnId="37"/>
      <queryTableField id="199" name="Статус ALLIO" tableColumnId="108"/>
      <queryTableField id="200" name="Тип брони" tableColumnId="109"/>
      <queryTableField id="201" name="Название объекта" tableColumnId="110"/>
      <queryTableField id="209" name="Тип площади" tableColumnId="111"/>
      <queryTableField id="115" name="КОД ОН" tableColumnId="71"/>
      <queryTableField id="126" name="Округление" tableColumnId="74"/>
      <queryTableField id="174" name="Схема продажи" tableColumnId="98"/>
      <queryTableField id="175" name="Отклонение" tableColumnId="99"/>
      <queryTableField id="176" name="Доплата" tableColumnId="100"/>
      <queryTableField id="177" name="Стоимость с доплатой" tableColumnId="101"/>
      <queryTableField id="151" name="Отделка CRM" tableColumnId="85"/>
      <queryTableField id="152" name="Сверка отделки" tableColumnId="86"/>
      <queryTableField id="153" name="Стоимость CRM" tableColumnId="87"/>
      <queryTableField id="154" name="Сверка стоимость " tableColumnId="88"/>
      <queryTableField id="168" name="Сверка скидки" tableColumnId="94"/>
      <queryTableField id="167" dataBound="0" tableColumnId="9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25240BD-6DD9-478B-AE23-28D62766682B}" autoFormatId="16" applyNumberFormats="0" applyBorderFormats="0" applyFontFormats="0" applyPatternFormats="0" applyAlignmentFormats="0" applyWidthHeightFormats="0">
  <queryTableRefresh nextId="226" unboundColumnsRight="1">
    <queryTableFields count="109">
      <queryTableField id="1" name="№" tableColumnId="1"/>
      <queryTableField id="2" name="Секция" tableColumnId="2"/>
      <queryTableField id="3" name="Этаж" tableColumnId="3"/>
      <queryTableField id="38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54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Гардеробная" tableColumnId="13"/>
      <queryTableField id="14" name="Коридор" tableColumnId="14"/>
      <queryTableField id="15" name="Лоджия 1" tableColumnId="15"/>
      <queryTableField id="16" name="Лоджия 2" tableColumnId="16"/>
      <queryTableField id="17" name="Лоджия 3" tableColumnId="17"/>
      <queryTableField id="19" name="Летние" tableColumnId="19"/>
      <queryTableField id="55" name="Площадь по проекту(общая)" tableColumnId="18"/>
      <queryTableField id="56" name="Площадь по проекту отапл (без летних)" tableColumnId="20"/>
      <queryTableField id="39" name="Расчетная проектная площадь" tableColumnId="22"/>
      <queryTableField id="201" name="ТП S Расчетная" tableColumnId="99"/>
      <queryTableField id="40" name="м2 после К" tableColumnId="25"/>
      <queryTableField id="60" name="Повышение 16.08.23 - 5%" tableColumnId="21"/>
      <queryTableField id="61" name="Фикс 16.08.23" tableColumnId="38"/>
      <queryTableField id="62" name="Повышение 29.08.23 - 3%" tableColumnId="39"/>
      <queryTableField id="63" name="Фикс 29.08.23" tableColumnId="43"/>
      <queryTableField id="85" name="Повышение 06.09.23 СТ и 1К" tableColumnId="44"/>
      <queryTableField id="79" name="Фикс 06.09.23" tableColumnId="45"/>
      <queryTableField id="86" name="Повышение 23.10.23  В4 " tableColumnId="48"/>
      <queryTableField id="81" name="Фикс 23.10.23" tableColumnId="49"/>
      <queryTableField id="87" name="Повышение 8.11.23 1К 5%" tableColumnId="50"/>
      <queryTableField id="88" name="Фикс 8.11.23" tableColumnId="51"/>
      <queryTableField id="106" name="Корректировка 24.11.23 - 1К В5, 2К А2, №233" tableColumnId="53"/>
      <queryTableField id="95" name="Фикс 8.11.24" tableColumnId="54"/>
      <queryTableField id="98" name="Наценка за отделку 29.12.23 1%" tableColumnId="55"/>
      <queryTableField id="99" name="Фикс 29.12.23" tableColumnId="56"/>
      <queryTableField id="102" name="Наценка 10.01.24 5%" tableColumnId="57"/>
      <queryTableField id="103" name="Фикс 10.01.24" tableColumnId="58"/>
      <queryTableField id="116" name="Наценка 26.02.24 1 Этаж" tableColumnId="47"/>
      <queryTableField id="109" name="Фикс 26.02.24" tableColumnId="60"/>
      <queryTableField id="117" name="Наценка 06.03.24_x000a_СТ, 1К - 3%_x000a_2К, 3К - 2%" tableColumnId="59"/>
      <queryTableField id="118" name="Фикс 06.03.24" tableColumnId="65"/>
      <queryTableField id="122" name="Наценка Г2+500" tableColumnId="66"/>
      <queryTableField id="123" name="Фикс 13.03.25" tableColumnId="67"/>
      <queryTableField id="126" name="Наценка 20.03.24_x000a_2К, 3К - 2%" tableColumnId="68"/>
      <queryTableField id="127" name="Фикс 20.03.24" tableColumnId="69"/>
      <queryTableField id="142" name="Наценка 08.04.24 _x000a_2К: В3 - 150_x000a_3К: Г7 +1000" tableColumnId="71"/>
      <queryTableField id="132" name="Фикс 08.04.24" tableColumnId="72"/>
      <queryTableField id="152" name="Наценка 16.05.24 1%_x000a_А4,А6,Б3,Б6,Б7,В2,В3,В5,В6,Г1,Г3-Г5" tableColumnId="74"/>
      <queryTableField id="143" name="Фикс 16.05.24" tableColumnId="75"/>
      <queryTableField id="144" name="Наценка 24.05.24_x000a_1% - Б4, Б5,Г2,Г6_x000a_2% - А1,А3,А5,Б2,Г7" tableColumnId="76"/>
      <queryTableField id="145" name="Фикс 24.05.24" tableColumnId="77"/>
      <queryTableField id="158" name="Наценка 06.06.24_x000a_0К: В2,Г3 +0,5%_x000a_1К: А7, Б5/4, Г6 +0,5%_x000a_3К: В6 +0,5%_x000a_1К: А3 +1%" tableColumnId="78"/>
      <queryTableField id="155" name="Фикс 06.06.24" tableColumnId="79"/>
      <queryTableField id="160" name="13.06.2024_x000a_3К - 2%" tableColumnId="80"/>
      <queryTableField id="161" name="Фикс 13.06.24" tableColumnId="81"/>
      <queryTableField id="164" name="02.07.2024: Г3 А1 А3 Б5 Б7 Г2 Г6 Б3 Б4 В3 Г7 2,5% ост 0,5-1,5%" tableColumnId="82"/>
      <queryTableField id="165" name="Фикс 02.07.24" tableColumnId="83"/>
      <queryTableField id="172" name="04.09.2024 +500_x000a_0К - Б2; 1К - А3;_x000a_2К - А6, Б4, В3, Г5" tableColumnId="84"/>
      <queryTableField id="169" name="Фикс 04.09.24" tableColumnId="85"/>
      <queryTableField id="174" name="Наценка 16.09.2024_x000a_1К: А1,В7,Г6/7,Г8 - 2%_x000a_2К: А4,А5,А6,Б1,Б6,Б3/4,В3,В4,Г4,Г5 - 4%_x000a_3К: 4%" tableColumnId="86"/>
      <queryTableField id="175" name="Фикс 16.09.2024" tableColumnId="87"/>
      <queryTableField id="179" name="Наценка 01.11.24_x000a_СТ: 4%_x000a_1К: 34-40м 5%; 40м+ 8%; МГН 1%_x000a_2К: 55-70м 6%; 70-73м 7%; 73-76м 8% _x000a_3К: 5%" tableColumnId="88"/>
      <queryTableField id="180" name="Фикс 01.11.24" tableColumnId="89"/>
      <queryTableField id="187" name="Наценка 06.11 13%" tableColumnId="90"/>
      <queryTableField id="184" name="Фикс 06.11.24" tableColumnId="91"/>
      <queryTableField id="191" name="Наценка 18.12.24 распределение КВ" tableColumnId="93"/>
      <queryTableField id="192" name="Фикс 18.12.24" tableColumnId="94"/>
      <queryTableField id="195" name="Наценка 10.02.25 +1%_x000a_1К: А3_x000a_2К: Б3, В3" tableColumnId="95"/>
      <queryTableField id="196" name="Фикс 10.02.25" tableColumnId="96"/>
      <queryTableField id="23" name="утв цена м2" tableColumnId="23"/>
      <queryTableField id="43" name="Стоимость до скидки" tableColumnId="40"/>
      <queryTableField id="44" name="Скидка фиксированная" tableColumnId="41"/>
      <queryTableField id="24" name="Скидка %" tableColumnId="24"/>
      <queryTableField id="45" name="Итоговая сумма скидки" tableColumnId="42"/>
      <queryTableField id="26" name="Цена м2 без отделки со скидкой" tableColumnId="26"/>
      <queryTableField id="27" name="Стоимость ОН без отделки со скидкой" tableColumnId="27"/>
      <queryTableField id="28" name="Отделка" tableColumnId="28"/>
      <queryTableField id="29" name="Стоимость отделки" tableColumnId="29"/>
      <queryTableField id="74" name="Цена м2 с отделкой" tableColumnId="30"/>
      <queryTableField id="31" name="Сумма отделки" tableColumnId="31"/>
      <queryTableField id="32" name="Стоимость квартиры с отделкой" tableColumnId="32"/>
      <queryTableField id="33" name="ОН ХИТ" tableColumnId="33"/>
      <queryTableField id="34" name="Примечание" tableColumnId="34"/>
      <queryTableField id="35" name="Статус" tableColumnId="35"/>
      <queryTableField id="36" name="Статусы CRM" tableColumnId="36"/>
      <queryTableField id="207" name="Статус ALLIO" tableColumnId="103"/>
      <queryTableField id="208" name="Тип брони" tableColumnId="104"/>
      <queryTableField id="209" name="Название объекта" tableColumnId="105"/>
      <queryTableField id="213" name="Тип площади" tableColumnId="100"/>
      <queryTableField id="37" name="проверка статуса" tableColumnId="37"/>
      <queryTableField id="76" name="КОД ОН" tableColumnId="46"/>
      <queryTableField id="189" name="Стоимость по переуступке" tableColumnId="92"/>
      <queryTableField id="93" name="Округление" tableColumnId="52"/>
      <queryTableField id="214" name="Схема продажи" tableColumnId="106"/>
      <queryTableField id="112" name="Отделка CRM" tableColumnId="61"/>
      <queryTableField id="113" name="Сверка отделки" tableColumnId="62"/>
      <queryTableField id="114" name="Стоимость CRM" tableColumnId="63"/>
      <queryTableField id="220" name="ТС" tableColumnId="107"/>
      <queryTableField id="221" name="ПС" tableColumnId="108"/>
      <queryTableField id="222" name="ДС" tableColumnId="109"/>
      <queryTableField id="115" name="Сверка стоимость " tableColumnId="64"/>
      <queryTableField id="133" name="Сверка скидки" tableColumnId="73"/>
      <queryTableField id="199" name="Дата продажи" tableColumnId="97"/>
      <queryTableField id="200" name="МОП" tableColumnId="98"/>
      <queryTableField id="203" name="%" tableColumnId="101"/>
      <queryTableField id="204" name="Доплата" tableColumnId="102"/>
      <queryTableField id="130" dataBound="0" tableColumnId="7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м" xr10:uid="{3D97ACBD-F661-4F21-B875-C9C94F28CC45}" sourceName="Дом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татус" xr10:uid="{DF1192DD-EE24-45B6-920D-A11F10E02D03}" sourceName="Статус">
  <extLst>
    <x:ext xmlns:x15="http://schemas.microsoft.com/office/spreadsheetml/2010/11/main" uri="{2F2917AC-EB37-4324-AD4E-5DD8C200BD13}">
      <x15:tableSlicerCache tableId="2" column="7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аспределение" xr10:uid="{4591D9CC-1CCF-4037-ABB0-3D12731C435E}" sourceName="Распределение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остояние" xr10:uid="{28DB0597-F174-4701-AF76-BF1C5FB00353}" sourceName="Состояние">
  <extLst>
    <x:ext xmlns:x15="http://schemas.microsoft.com/office/spreadsheetml/2010/11/main" uri="{2F2917AC-EB37-4324-AD4E-5DD8C200BD13}">
      <x15:tableSlicerCache tableId="5" column="23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м1" xr10:uid="{617B3093-D869-461F-945E-17BFE6CDD32B}" sourceName="Дом">
  <extLst>
    <x:ext xmlns:x15="http://schemas.microsoft.com/office/spreadsheetml/2010/11/main" uri="{2F2917AC-EB37-4324-AD4E-5DD8C200BD13}">
      <x15:tableSlicerCache tableId="5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ом" xr10:uid="{D322CBF9-CD90-48EA-BA0F-6598097764F8}" cache="Срез_Дом" caption="Дом" style="SlicerStyleLight2" rowHeight="252000"/>
  <slicer name="Статус" xr10:uid="{2CAB3712-3F38-449B-9B20-5CA1C7CEF322}" cache="Срез_Статус" caption="Статус" style="SlicerStyleLight2" rowHeight="252000"/>
  <slicer name="Распределение" xr10:uid="{6C554288-3387-4539-846F-E3B899B37CB1}" cache="Срез_Распределение" caption="Распределение" style="SlicerStyleLight2" rowHeight="25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Состояние" xr10:uid="{67965DB0-8471-4D18-8AEC-5DECBF071C65}" cache="Срез_Состояние" caption="Состояние" columnCount="4" rowHeight="180000"/>
  <slicer name="Дом 1" xr10:uid="{381FB0FA-2B42-42E9-A477-38D55CCF1913}" cache="Срез_Дом1" caption="Дом" columnCount="7" rowHeight="180000"/>
</slicer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66E0E1-9C58-43E3-BBD9-46EEEA5F85F4}" name="Таблица2" displayName="Таблица2" ref="A10:L90" totalsRowShown="0" headerRowDxfId="327" dataDxfId="326" tableBorderDxfId="325" totalsRowBorderDxfId="324">
  <autoFilter ref="A10:L90" xr:uid="{C866E0E1-9C58-43E3-BBD9-46EEEA5F85F4}">
    <filterColumn colId="6">
      <filters>
        <filter val="Свободно"/>
        <filter val="Ус. Бронь"/>
      </filters>
    </filterColumn>
    <filterColumn colId="8">
      <filters>
        <dateGroupItem year="2025" month="12" dateTimeGrouping="month"/>
      </filters>
    </filterColumn>
    <filterColumn colId="9">
      <filters>
        <filter val="Запланировано"/>
        <filter val="Не для продажи"/>
      </filters>
    </filterColumn>
  </autoFilter>
  <sortState xmlns:xlrd2="http://schemas.microsoft.com/office/spreadsheetml/2017/richdata2" ref="A11:L68">
    <sortCondition ref="A11:A68"/>
    <sortCondition ref="B11:B68"/>
  </sortState>
  <tableColumns count="12">
    <tableColumn id="1" xr3:uid="{5B20206D-DC8F-452A-AE03-24B43419DDDD}" name="Дом" dataDxfId="323"/>
    <tableColumn id="2" xr3:uid="{A019A0C7-7D47-43CC-8687-79F23BD6CDCE}" name="№ Офиса" dataDxfId="322"/>
    <tableColumn id="3" xr3:uid="{B22F345A-76B2-4FF5-94B6-49F4E42D522E}" name="Секция" dataDxfId="321"/>
    <tableColumn id="4" xr3:uid="{DD562A44-8DB2-4CCF-8121-0643BCDBD821}" name="Площадь" dataDxfId="320">
      <calculatedColumnFormula array="1">_xlfn.XLOOKUP(Таблица2[[#This Row],[Дом]]&amp;Таблица2[[#This Row],[№ Офиса]],Коммерция[Дом]&amp;Коммерция[№],Коммерция[Общая фактическая],"",0)</calculatedColumnFormula>
    </tableColumn>
    <tableColumn id="5" xr3:uid="{AA27C79D-FDAE-473D-8EB5-865D45607836}" name="Цена м2" dataDxfId="319">
      <calculatedColumnFormula array="1">_xlfn.XLOOKUP(Таблица2[[#This Row],[Дом]]&amp;Таблица2[[#This Row],[№ Офиса]],Коммерция[Дом]&amp;Коммерция[№],Коммерция[Цена м2],"",0)</calculatedColumnFormula>
    </tableColumn>
    <tableColumn id="6" xr3:uid="{6B65F4C1-29AC-4968-B950-D69558BD100B}" name="Стоимость" dataDxfId="318">
      <calculatedColumnFormula array="1">_xlfn.XLOOKUP(Таблица2[[#This Row],[Дом]]&amp;Таблица2[[#This Row],[№ Офиса]],Коммерция[Дом]&amp;Коммерция[№],Коммерция[стоимость лота],"",0)</calculatedColumnFormula>
    </tableColumn>
    <tableColumn id="7" xr3:uid="{86D14F08-7F48-4895-AD1B-2881C57577CA}" name="Статус" dataDxfId="317">
      <calculatedColumnFormula array="1">_xlfn.XLOOKUP(Таблица2[[#This Row],[Дом]]&amp;Таблица2[[#This Row],[№ Офиса]],Коммерция[Дом]&amp;Коммерция[№],Коммерция[Статус],"",0)</calculatedColumnFormula>
    </tableColumn>
    <tableColumn id="9" xr3:uid="{329A6EC3-F3B9-4973-828E-BE53D8EAAB71}" name="Факт продаж" dataDxfId="316">
      <calculatedColumnFormula array="1">_xlfn.XLOOKUP(Таблица2[[#This Row],[Дом]]&amp;Таблица2[[#This Row],[№ Офиса]]&amp;"Коммерция",РД[Дом]&amp;РД[№ кв]&amp;РД[Состояние],РД[Дата подачи на регистрацию],"",0)</calculatedColumnFormula>
    </tableColumn>
    <tableColumn id="8" xr3:uid="{5B6B9B6C-B477-4875-8A83-20E5746749E4}" name="Планируемая дата продажи" dataDxfId="315"/>
    <tableColumn id="11" xr3:uid="{B8638954-03FC-4615-B727-ED1EE7D1156A}" name="Распределение" dataDxfId="314">
      <calculatedColumnFormula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calculatedColumnFormula>
    </tableColumn>
    <tableColumn id="12" xr3:uid="{6FC87440-3620-4647-B262-154F3C3AE4D3}" name="Арендаторы" dataDxfId="313"/>
    <tableColumn id="19" xr3:uid="{054364DF-4757-44B6-82C6-BA917B92CE75}" name="Комментарий" dataDxfId="3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3ECACE-C553-4C80-9926-4F2828E5E808}" name="Таблица4" displayName="Таблица4" ref="B4:O540" totalsRowShown="0" headerRowDxfId="311" dataDxfId="309" headerRowBorderDxfId="310" tableBorderDxfId="308">
  <autoFilter ref="B4:O540" xr:uid="{273ECACE-C553-4C80-9926-4F2828E5E808}"/>
  <tableColumns count="14">
    <tableColumn id="1" xr3:uid="{066074FF-CC01-4B6F-AC57-F1CC6EB83D81}" name="№" dataDxfId="307">
      <calculatedColumnFormula>VLOOKUP(ППД4!A2,Реестр_Д4[№],1,0)</calculatedColumnFormula>
    </tableColumn>
    <tableColumn id="2" xr3:uid="{3F21ADC7-1E60-4A62-8056-B1A9647ED90D}" name="Статус" dataDxfId="306">
      <calculatedColumnFormula>VLOOKUP(ППД4!CO2,Реестр_Д4[Статус],1,0)</calculatedColumnFormula>
    </tableColumn>
    <tableColumn id="3" xr3:uid="{9B4AB255-37D5-419C-BF64-42E0DB52B177}" name="ПП" dataDxfId="305">
      <calculatedColumnFormula>VLOOKUP(ППД4!CE2,Реестр_Д4[Стоимость ОН без отделки со скидкой],1,0)</calculatedColumnFormula>
    </tableColumn>
    <tableColumn id="4" xr3:uid="{641D48BC-214A-485B-B634-18A65888ECE0}" name="ДДУ" dataDxfId="304">
      <calculatedColumnFormula array="1">IFERROR(INDEX(РД[Стоимость без отделки итог],MATCH($B$3&amp;Таблица4[[#This Row],[№]]&amp;"Продажа",РД[Дом]&amp;РД[№ кв]&amp;РД[Состояние],0),1),Таблица4[[#This Row],[Статус]])</calculatedColumnFormula>
    </tableColumn>
    <tableColumn id="5" xr3:uid="{BDDB615D-FC70-4B79-A453-B44B21E0EC84}" name="Сверка" dataDxfId="303">
      <calculatedColumnFormula>IFERROR((Таблица4[[#This Row],[ПП]]-Таблица4[[#This Row],[ДДУ]])*1,"")</calculatedColumnFormula>
    </tableColumn>
    <tableColumn id="14" xr3:uid="{E7818035-B8DE-4933-BD4B-DFA7147A6AA2}" name="СО ДДУ" dataDxfId="302">
      <calculatedColumnFormula array="1">IFERROR(INDEX(РД[Стоимость с отделкой итог],MATCH($B$3&amp;Таблица4[[#This Row],[№]]&amp;"Продажа",РД[Дом]&amp;РД[№ кв]&amp;РД[Состояние],0),1),Таблица4[[#This Row],[Статус]])</calculatedColumnFormula>
    </tableColumn>
    <tableColumn id="15" xr3:uid="{FEB3ADE5-CD17-4372-98FE-0E0EE09D63A2}" name="СО ПП" dataDxfId="301">
      <calculatedColumnFormula>_xlfn.XLOOKUP(Таблица4[[#This Row],[№]],Реестр_Д4[№],Реестр_Д4[Стоимость квартиры с отделкой],"-",0)</calculatedColumnFormula>
    </tableColumn>
    <tableColumn id="16" xr3:uid="{54EEFC87-CFF3-469F-B16D-CAD7A87A5F62}" name="СО сверка" dataDxfId="300">
      <calculatedColumnFormula>IFERROR(Таблица4[[#This Row],[СО ПП]]-Таблица4[[#This Row],[СО ДДУ]],"")</calculatedColumnFormula>
    </tableColumn>
    <tableColumn id="6" xr3:uid="{D924B67F-5BBA-417F-95CF-6921EF773770}" name="S ДДУ" dataDxfId="299">
      <calculatedColumnFormula array="1">IFERROR(INDEX(РД[S],MATCH($B$3&amp;Таблица4[[#This Row],[№]]&amp;"Продажа",РД[Дом]&amp;РД[№ кв]&amp;РД[Состояние],0),1),Таблица4[[#This Row],[Статус]])</calculatedColumnFormula>
    </tableColumn>
    <tableColumn id="7" xr3:uid="{E91371DB-73C2-4626-852E-9D34E60BD59D}" name="S ПП" dataDxfId="298">
      <calculatedColumnFormula>VLOOKUP(Таблица4[[#This Row],[№]],Реестр_Д4[],20,0)</calculatedColumnFormula>
    </tableColumn>
    <tableColumn id="8" xr3:uid="{17A8471E-23CE-41EC-9B51-4C6FED8FB575}" name="S Сверка" dataDxfId="297">
      <calculatedColumnFormula>IFERROR(Таблица4[[#This Row],[S ПП]]-Таблица4[[#This Row],[S ДДУ]],)</calculatedColumnFormula>
    </tableColumn>
    <tableColumn id="9" xr3:uid="{790CE340-D86C-40CE-99E6-AE82CE899096}" name="ППС" dataDxfId="296">
      <calculatedColumnFormula>ROUND(_xlfn.XLOOKUP(Таблица4[[#This Row],[№]],Реестр_Д4[№],Реестр_Д4[Итоговая сумма скидки],"",0),2)</calculatedColumnFormula>
    </tableColumn>
    <tableColumn id="10" xr3:uid="{55CB1AD0-B7A7-4CA0-9F8B-FF9ED31AC27D}" name="ДДУС" dataDxfId="295">
      <calculatedColumnFormula array="1">IFERROR(ROUND(_xlfn.XLOOKUP($B$3&amp;Таблица4[[#This Row],[№]]&amp;"Продажа",РД[Дом]&amp;РД[№ кв]&amp;РД[Состояние],РД[Сумма скидки],"",0),2),Таблица4[[#This Row],[Статус]])</calculatedColumnFormula>
    </tableColumn>
    <tableColumn id="11" xr3:uid="{89FEDE7C-14E6-48DF-9195-36D335C5F1CF}" name="СверкаС" dataDxfId="294">
      <calculatedColumnFormula>IFERROR(Таблица4[[#This Row],[ППС]]-Таблица4[[#This Row],[ДДУС]],)</calculatedColumnFormula>
    </tableColumn>
  </tableColumns>
  <tableStyleInfo name="TableStyleMedium2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6647A3-E43C-4E1F-88AC-17F5A9541100}" name="Таблица10" displayName="Таблица10" ref="Q4:AD584" totalsRowShown="0" headerRowDxfId="293" dataDxfId="291" headerRowBorderDxfId="292">
  <autoFilter ref="Q4:AD584" xr:uid="{746647A3-E43C-4E1F-88AC-17F5A9541100}"/>
  <tableColumns count="14">
    <tableColumn id="1" xr3:uid="{B8AE1A72-0B9A-4164-B7D1-F48D2578AED2}" name="№" dataDxfId="290">
      <calculatedColumnFormula>VLOOKUP(ППД5!A2,Реестр_Д5[№],1,0)</calculatedColumnFormula>
    </tableColumn>
    <tableColumn id="2" xr3:uid="{647CBBEC-1C76-4028-9EEA-E99B3DF8F8BD}" name="Статус" dataDxfId="289">
      <calculatedColumnFormula>VLOOKUP(ППД5!CH2,Реестр_Д5[Статус],1,0)</calculatedColumnFormula>
    </tableColumn>
    <tableColumn id="3" xr3:uid="{FE3F48EB-E501-444E-8106-6C47A00ADE9D}" name="ПП" dataDxfId="288">
      <calculatedColumnFormula>VLOOKUP(ППД5!BZ2,Реестр_Д5[Стоимость ОН без отделки со скидкой],1,0)</calculatedColumnFormula>
    </tableColumn>
    <tableColumn id="4" xr3:uid="{95F4C748-447A-4132-9F45-1BDB284E0ED0}" name="ДДУ" dataDxfId="287">
      <calculatedColumnFormula array="1">IFERROR(INDEX(РД[Стоимость без отделки итог],MATCH($Q$3&amp;Таблица10[[#This Row],[№]]&amp;"Продажа",РД[Дом]&amp;РД[№ кв]&amp;РД[Состояние],0),1),Таблица10[[#This Row],[Статус]])</calculatedColumnFormula>
    </tableColumn>
    <tableColumn id="5" xr3:uid="{E87A028C-4586-4200-B103-F6CCCF7E9A78}" name="Сверка" dataDxfId="286">
      <calculatedColumnFormula>IFERROR((Таблица10[[#This Row],[ПП]]-Таблица10[[#This Row],[ДДУ]])*1,)</calculatedColumnFormula>
    </tableColumn>
    <tableColumn id="12" xr3:uid="{EA9668BE-53C5-4C21-833A-A9A7515B3905}" name="СО ДДУ" dataDxfId="285">
      <calculatedColumnFormula array="1">IFERROR(INDEX(РД[Стоимость с отделкой итог],MATCH($Q$3&amp;Таблица10[[#This Row],[№]]&amp;"Продажа",РД[Дом]&amp;РД[№ кв]&amp;РД[Состояние],0),1),Таблица10[[#This Row],[Статус]])</calculatedColumnFormula>
    </tableColumn>
    <tableColumn id="13" xr3:uid="{77FE9139-F782-4F2E-ACA0-EBA5B9588950}" name="СО ПП" dataDxfId="284">
      <calculatedColumnFormula>_xlfn.XLOOKUP(Таблица10[[#This Row],[№]],Реестр_Д5[№],Реестр_Д5[Стоимость квартиры с отделкой],"-",0)</calculatedColumnFormula>
    </tableColumn>
    <tableColumn id="14" xr3:uid="{9F5B8047-3B81-497B-A300-8244CB399857}" name="СО сверка" dataDxfId="283">
      <calculatedColumnFormula>IFERROR(Таблица10[[#This Row],[СО ПП]]-Таблица10[[#This Row],[СО ДДУ]],"")</calculatedColumnFormula>
    </tableColumn>
    <tableColumn id="6" xr3:uid="{EE3BB8D0-2AEA-46B4-A00E-279E7A571CCC}" name="S ДДУ" dataDxfId="282">
      <calculatedColumnFormula array="1">IFERROR(INDEX(РД[S],MATCH($Q$3&amp;Таблица10[[#This Row],[№]]&amp;"Продажа",РД[Дом]&amp;РД[№ кв]&amp;РД[Состояние],0),1),Таблица10[[#This Row],[Статус]])</calculatedColumnFormula>
    </tableColumn>
    <tableColumn id="7" xr3:uid="{553CFE3D-D7B1-40E6-9094-65C30C6C978B}" name="S ПП" dataDxfId="281">
      <calculatedColumnFormula>IF(Таблица10[[#This Row],[№]]&amp;"ДДУ"=ППД5!A2&amp;ППД5!CR2,ППД5!U2,ППД5!V2)</calculatedColumnFormula>
    </tableColumn>
    <tableColumn id="8" xr3:uid="{746A26A7-E2D6-444E-82C2-B750B6ECFAD4}" name="S Сверка" dataDxfId="280">
      <calculatedColumnFormula>IFERROR(Таблица10[[#This Row],[S ПП]]-Таблица10[[#This Row],[S ДДУ]],)</calculatedColumnFormula>
    </tableColumn>
    <tableColumn id="9" xr3:uid="{FEBFF311-5567-4AE1-9B76-A7238804EB6C}" name="ППС" dataDxfId="279">
      <calculatedColumnFormula>ROUND(_xlfn.XLOOKUP(Таблица10[[#This Row],[№]],Реестр_Д5[№],Реестр_Д5[Итоговая сумма скидки],"",0),2)</calculatedColumnFormula>
    </tableColumn>
    <tableColumn id="10" xr3:uid="{A9D51406-A9ED-4225-B60F-E6A9280382A7}" name="ДДУС" dataDxfId="278">
      <calculatedColumnFormula array="1">IFERROR(ROUND(_xlfn.XLOOKUP($Q$3&amp;Таблица10[[#This Row],[№]]&amp;"Продажа",РД[Дом]&amp;РД[№ кв]&amp;РД[Состояние],РД[Сумма скидки],"",0,-1),2),Таблица10[[#This Row],[Статус]])</calculatedColumnFormula>
    </tableColumn>
    <tableColumn id="11" xr3:uid="{221DB9EB-C86E-478F-86D2-676D31E540B0}" name="СверкаС" dataDxfId="277">
      <calculatedColumnFormula>IFERROR(Таблица10[[#This Row],[ППС]]-Таблица10[[#This Row],[ДДУС]],)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5243C2-C875-49CC-BB3E-CDF642BA2348}" name="Таблица1" displayName="Таблица1" ref="AF4:AS105" totalsRowShown="0" headerRowDxfId="276" dataDxfId="274" headerRowBorderDxfId="275">
  <autoFilter ref="AF4:AS105" xr:uid="{1C5243C2-C875-49CC-BB3E-CDF642BA2348}"/>
  <tableColumns count="14">
    <tableColumn id="1" xr3:uid="{E9545ABA-0326-4F82-B700-FCDDC1D0A519}" name="№" dataDxfId="273">
      <calculatedColumnFormula>VLOOKUP(ППД401!A2,Д401[],1,0)</calculatedColumnFormula>
    </tableColumn>
    <tableColumn id="2" xr3:uid="{AB4C1543-D501-41F2-B60C-C159AEF6E9C6}" name="Статус" dataDxfId="272">
      <calculatedColumnFormula>_xlfn.XLOOKUP(Таблица1[[#This Row],[№]],Д401[№],Д401[Статус],"-",0)</calculatedColumnFormula>
    </tableColumn>
    <tableColumn id="3" xr3:uid="{DE459CC8-3906-4E03-B55C-DDD694FF774A}" name="ПП" dataDxfId="271">
      <calculatedColumnFormula>_xlfn.XLOOKUP(Таблица1[[#This Row],[№]],Д401[№],Д401[Стоимость ОН без отделки со скидкой],"-",0)</calculatedColumnFormula>
    </tableColumn>
    <tableColumn id="4" xr3:uid="{D104C642-EC7C-47AD-876A-7B3172062EBF}" name="ДДУ" dataDxfId="270">
      <calculatedColumnFormula array="1">IFERROR(INDEX(РД[Стоимость без отделки итог],MATCH($AF$3&amp;Таблица1[[#This Row],[№]]&amp;"Продажа",РД[Дом]&amp;РД[№ кв]&amp;РД[Состояние],0),1),Таблица1[[#This Row],[Статус]])</calculatedColumnFormula>
    </tableColumn>
    <tableColumn id="5" xr3:uid="{1FE1A6DA-CD55-44D2-8236-11A9D2451736}" name="Сверка" dataDxfId="269">
      <calculatedColumnFormula>IFERROR((Таблица1[[#This Row],[ПП]]-Таблица1[[#This Row],[ДДУ]])*1,"")</calculatedColumnFormula>
    </tableColumn>
    <tableColumn id="12" xr3:uid="{61A39845-BF8A-4DA0-A8EC-E17D22EFDF76}" name="СО ДДУ" dataDxfId="268">
      <calculatedColumnFormula array="1">IFERROR(INDEX(РД[Стоимость с отделкой итог],MATCH($AF$3&amp;Таблица1[[#This Row],[№]]&amp;"Продажа",РД[Дом]&amp;РД[№ кв]&amp;РД[Состояние],0),1),Таблица1[[#This Row],[Статус]])</calculatedColumnFormula>
    </tableColumn>
    <tableColumn id="13" xr3:uid="{821068E5-8AC8-43E3-BFA8-D8B43DC1C2ED}" name="СО ПП" dataDxfId="267">
      <calculatedColumnFormula>_xlfn.XLOOKUP(Таблица1[[#This Row],[№]],Д401[№],Д401[Стоимость квартиры с отделкой],"-",0)</calculatedColumnFormula>
    </tableColumn>
    <tableColumn id="14" xr3:uid="{104B0AEC-3D73-4075-9355-E6705F1E1C50}" name="СО сверка" dataDxfId="266">
      <calculatedColumnFormula>IFERROR(Таблица1[[#This Row],[СО ПП]]-Таблица1[[#This Row],[СО ДДУ]],"")</calculatedColumnFormula>
    </tableColumn>
    <tableColumn id="6" xr3:uid="{DDB08700-F560-4381-98AE-64BA4EC50E36}" name="S ДДУ" dataDxfId="265">
      <calculatedColumnFormula array="1">IFERROR(INDEX(РД[S],MATCH($AF$3&amp;Таблица1[[#This Row],[№]]&amp;"Продажа",РД[Дом]&amp;РД[№ кв]&amp;РД[Состояние],0),1),Таблица1[[#This Row],[Статус]])</calculatedColumnFormula>
    </tableColumn>
    <tableColumn id="7" xr3:uid="{5A3E2546-1FD4-4A58-921E-CA5C8D850AEC}" name="S ПП" dataDxfId="264">
      <calculatedColumnFormula>_xlfn.XLOOKUP(Таблица1[[#This Row],[№]],Д401[№],Д401[Расчетная проектная площадь],"-",0)</calculatedColumnFormula>
    </tableColumn>
    <tableColumn id="8" xr3:uid="{EA0A0C4D-8086-4F23-9E7F-7004F635D6E6}" name="S Сверка" dataDxfId="263">
      <calculatedColumnFormula>IFERROR(Таблица1[[#This Row],[S ПП]]-Таблица1[[#This Row],[S ДДУ]],"")</calculatedColumnFormula>
    </tableColumn>
    <tableColumn id="9" xr3:uid="{254DCF3F-428D-41D2-A4A7-9A1CC9C271A8}" name="ППС" dataDxfId="262">
      <calculatedColumnFormula>_xlfn.XLOOKUP(Таблица1[[#This Row],[№]],Д401[№],Д401[Итоговая сумма скидки],"-",0)</calculatedColumnFormula>
    </tableColumn>
    <tableColumn id="10" xr3:uid="{59D36CD6-EEA9-4A41-950E-BF7707E5E6AD}" name="ДДУС" dataDxfId="261">
      <calculatedColumnFormula array="1">IFERROR(ROUND(_xlfn.XLOOKUP($AF$3&amp;Таблица1[[#This Row],[№]]&amp;"Продажа",РД[Дом]&amp;РД[№ кв]&amp;РД[Состояние],РД[Сумма скидки],"",0),2),Таблица1[[#This Row],[Статус]])</calculatedColumnFormula>
    </tableColumn>
    <tableColumn id="11" xr3:uid="{1D8A8B77-8FD8-47AA-974B-9374FFBBE4B9}" name="СверкаС" dataDxfId="260">
      <calculatedColumnFormula>IFERROR(Таблица1[[#This Row],[ППС]]-Таблица1[[#This Row],[ДДУС]],"")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3D4F916-75BF-4D9C-8265-33E5C21895A2}" name="Т402" displayName="Т402" ref="AU4:BH292" totalsRowShown="0" headerRowDxfId="259" dataDxfId="257" headerRowBorderDxfId="258" tableBorderDxfId="256">
  <autoFilter ref="AU4:BH292" xr:uid="{C3D4F916-75BF-4D9C-8265-33E5C21895A2}"/>
  <tableColumns count="14">
    <tableColumn id="1" xr3:uid="{89FB1002-728B-4C51-9ABF-FC90C3929E49}" name="№" dataDxfId="255">
      <calculatedColumnFormula>VLOOKUP(ППД402!A2,Д402[],1,0)</calculatedColumnFormula>
    </tableColumn>
    <tableColumn id="2" xr3:uid="{775CB33D-A2E6-4E56-9B75-EF572C6BA05C}" name="Статус" dataDxfId="254">
      <calculatedColumnFormula>_xlfn.XLOOKUP(Таблица1[[#This Row],[№]],Д401[№],Д401[Статус],"-",0)</calculatedColumnFormula>
    </tableColumn>
    <tableColumn id="3" xr3:uid="{E250A023-71B0-4161-A9DB-E7D6DDBA428E}" name="ПП" dataDxfId="253">
      <calculatedColumnFormula>_xlfn.XLOOKUP(Таблица1[[#This Row],[№]],Д401[№],Д401[Стоимость ОН без отделки со скидкой],"-",0)</calculatedColumnFormula>
    </tableColumn>
    <tableColumn id="4" xr3:uid="{E7E9FF61-8AC9-4DCE-B2D9-47D0DBA001F7}" name="ДДУ" dataDxfId="252">
      <calculatedColumnFormula array="1">IFERROR(INDEX(РД[Стоимость без отделки итог],MATCH($AF$3&amp;Таблица1[[#This Row],[№]]&amp;"Продажа",РД[Дом]&amp;РД[№ кв]&amp;РД[Состояние],0),1),Таблица1[[#This Row],[Статус]])</calculatedColumnFormula>
    </tableColumn>
    <tableColumn id="5" xr3:uid="{BD1AE1FF-3891-4C30-AE59-7A2B7FE83C80}" name="Сверка" dataDxfId="251">
      <calculatedColumnFormula>IFERROR((Т402[[#This Row],[ПП]]-Т402[[#This Row],[ДДУ]])*1,"")</calculatedColumnFormula>
    </tableColumn>
    <tableColumn id="6" xr3:uid="{7A5FBD66-EEBA-4E46-85AE-E9701DE6D7DB}" name="СО ДДУ" dataDxfId="250">
      <calculatedColumnFormula array="1">IFERROR(INDEX(РД[Стоимость с отделкой итог],MATCH($AF$3&amp;Таблица1[[#This Row],[№]]&amp;"Продажа",РД[Дом]&amp;РД[№ кв]&amp;РД[Состояние],0),1),Таблица1[[#This Row],[Статус]])</calculatedColumnFormula>
    </tableColumn>
    <tableColumn id="7" xr3:uid="{4EC649AD-191B-4D60-9EE8-7E2E2ABAF441}" name="СО ПП" dataDxfId="249">
      <calculatedColumnFormula>_xlfn.XLOOKUP(Таблица1[[#This Row],[№]],Д401[№],Д401[Стоимость квартиры с отделкой],"-",0)</calculatedColumnFormula>
    </tableColumn>
    <tableColumn id="8" xr3:uid="{29E96C01-C2BC-4CB8-A5B0-C4D2F2572C7D}" name="СО сверка" dataDxfId="248">
      <calculatedColumnFormula>IFERROR(Таблица1[[#This Row],[СО ПП]]-Таблица1[[#This Row],[СО ДДУ]],"")</calculatedColumnFormula>
    </tableColumn>
    <tableColumn id="9" xr3:uid="{C811E486-21C0-415C-A19F-9A37DD41B3CC}" name="S ДДУ" dataDxfId="247">
      <calculatedColumnFormula array="1">IFERROR(INDEX(РД[S],MATCH($AF$3&amp;Таблица1[[#This Row],[№]]&amp;"Продажа",РД[Дом]&amp;РД[№ кв]&amp;РД[Состояние],0),1),Таблица1[[#This Row],[Статус]])</calculatedColumnFormula>
    </tableColumn>
    <tableColumn id="10" xr3:uid="{E8E2D04D-2BAA-4314-8B9F-9A812EFCA400}" name="S ПП" dataDxfId="246">
      <calculatedColumnFormula>_xlfn.XLOOKUP(Таблица1[[#This Row],[№]],Д401[№],Д401[Расчетная проектная площадь],"-",0)</calculatedColumnFormula>
    </tableColumn>
    <tableColumn id="11" xr3:uid="{C8E617B5-7ECF-4673-8FF9-1EFB06E192EF}" name="S Сверка" dataDxfId="245">
      <calculatedColumnFormula>IFERROR(Т402[[#This Row],[S ПП]]-Т402[[#This Row],[S ДДУ]],"")</calculatedColumnFormula>
    </tableColumn>
    <tableColumn id="12" xr3:uid="{B5DD576A-1851-42A0-A99B-C2E703C27063}" name="ППС" dataDxfId="244">
      <calculatedColumnFormula>_xlfn.XLOOKUP(Таблица1[[#This Row],[№]],Д401[№],Д401[Итоговая сумма скидки],"-",0)</calculatedColumnFormula>
    </tableColumn>
    <tableColumn id="13" xr3:uid="{3051249C-904E-4AD2-A8DB-AF5C357FCAB0}" name="ДДУС" dataDxfId="243">
      <calculatedColumnFormula array="1">IFERROR(ROUND(_xlfn.XLOOKUP($AF$3&amp;Таблица1[[#This Row],[№]]&amp;"Продажа",РД[Дом]&amp;РД[№ кв]&amp;РД[Состояние],РД[Сумма скидки],"",0),2),Таблица1[[#This Row],[Статус]])</calculatedColumnFormula>
    </tableColumn>
    <tableColumn id="14" xr3:uid="{2E88085D-BDCF-4506-AF21-C66D169055D2}" name="СверкаС" dataDxfId="242">
      <calculatedColumnFormula>IFERROR(Т402[[#This Row],[ППС]]-Т402[[#This Row],[ДДУС]],"")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7387F89-BF21-4946-B84C-60538D2B3AB2}" name="Д404" displayName="Д404" ref="A1:BK182" tableType="queryTable" totalsRowShown="0">
  <autoFilter ref="A1:BK182" xr:uid="{67387F89-BF21-4946-B84C-60538D2B3AB2}"/>
  <tableColumns count="63">
    <tableColumn id="1" xr3:uid="{EEA930C2-A1DB-444A-8E7D-DE16FFC44EB9}" uniqueName="1" name="№" queryTableFieldId="1"/>
    <tableColumn id="2" xr3:uid="{C9134903-134E-427F-9990-A3512D9D4E7A}" uniqueName="2" name="Подъезд" queryTableFieldId="2"/>
    <tableColumn id="3" xr3:uid="{8CA20E9F-31F5-40A1-A7CC-A07A09A7FBBE}" uniqueName="3" name="Этаж" queryTableFieldId="3"/>
    <tableColumn id="4" xr3:uid="{081B2D77-EE4B-4A9F-B779-2C97F95EAF29}" uniqueName="4" name="№ на этаже" queryTableFieldId="4"/>
    <tableColumn id="5" xr3:uid="{EEC6ABFA-CEFD-443B-85A6-70F11B746DE3}" uniqueName="5" name="Тип кв" queryTableFieldId="5"/>
    <tableColumn id="6" xr3:uid="{94011A34-8634-4FB9-9DC6-86152D25C838}" uniqueName="6" name="Комната 1" queryTableFieldId="6"/>
    <tableColumn id="7" xr3:uid="{3D927CAF-FCB0-47B1-AC38-8E66CE7826C8}" uniqueName="7" name="Комната 2" queryTableFieldId="7"/>
    <tableColumn id="8" xr3:uid="{2FB1F10C-A74B-4360-A87B-FF880EF48E98}" uniqueName="8" name="Комната 3" queryTableFieldId="8"/>
    <tableColumn id="9" xr3:uid="{039E3130-DCE0-4D25-9315-8FA43BD58CD5}" uniqueName="9" name="Площадь по проекту жилая" queryTableFieldId="9"/>
    <tableColumn id="10" xr3:uid="{6A95FD94-4831-47C4-BAF1-69BF321DDA6D}" uniqueName="10" name="Кухня" queryTableFieldId="10"/>
    <tableColumn id="11" xr3:uid="{29672BB4-E2B8-405C-AEBA-B5965D298C4D}" uniqueName="11" name="Ванная" queryTableFieldId="11"/>
    <tableColumn id="12" xr3:uid="{84395E91-6D31-4724-9974-6B5257EA026E}" uniqueName="12" name="С\У" queryTableFieldId="12"/>
    <tableColumn id="13" xr3:uid="{871BBE3E-5571-4A7D-A4F0-4E573FD9A067}" uniqueName="13" name="Прихожая" queryTableFieldId="13"/>
    <tableColumn id="14" xr3:uid="{165876EB-4EBB-4824-95F3-2D0CCF8E0FD2}" uniqueName="14" name="Коридор" queryTableFieldId="14"/>
    <tableColumn id="15" xr3:uid="{7FE9291F-11B2-4619-99AB-58145C611341}" uniqueName="15" name="Гардеробная" queryTableFieldId="15"/>
    <tableColumn id="16" xr3:uid="{05803D4F-0EFB-4FD9-9D1B-07A041A3AF4F}" uniqueName="16" name="Лоджия 1" queryTableFieldId="16"/>
    <tableColumn id="17" xr3:uid="{7229A900-3004-4CAB-95D8-FD18D6580B95}" uniqueName="17" name="Лоджия 2" queryTableFieldId="17"/>
    <tableColumn id="18" xr3:uid="{100FB751-E999-4372-9ACB-7C467BFCC553}" uniqueName="18" name="Летние" queryTableFieldId="18"/>
    <tableColumn id="19" xr3:uid="{0AB3FE67-66DB-48A6-88DB-792E05E9AB39}" uniqueName="19" name="Площадь по проекту(общая)" queryTableFieldId="19"/>
    <tableColumn id="20" xr3:uid="{A6720997-37CE-49B1-80D8-D37A297703CC}" uniqueName="20" name="Площадь по проекту отапл (без летних)" queryTableFieldId="20"/>
    <tableColumn id="21" xr3:uid="{79E0CC00-F28B-4D28-BE0B-FD0D6E109E5E}" uniqueName="21" name="Расчетная проектная площадь" queryTableFieldId="21"/>
    <tableColumn id="22" xr3:uid="{68777BC8-BA9D-4956-BCF7-B0E71F271983}" uniqueName="22" name="м2 после К" queryTableFieldId="22"/>
    <tableColumn id="23" xr3:uid="{19A5D59E-51BF-4ACE-A571-E2FAE90417D0}" uniqueName="23" name="ПЦО 3К 20-23 эт. м2 100 000К" queryTableFieldId="23"/>
    <tableColumn id="24" xr3:uid="{C16327AA-A0FA-46BA-9547-CA910B006CBA}" uniqueName="24" name="Фикс 19.05.2025" queryTableFieldId="24"/>
    <tableColumn id="25" xr3:uid="{6BBFDF06-9361-450F-A742-61784DB53ACF}" uniqueName="25" name="АЦО 29.06.25" queryTableFieldId="25"/>
    <tableColumn id="26" xr3:uid="{62416742-4F5B-4B67-8FA6-0AAB88A8657A}" uniqueName="26" name="Фикс 29.06.25" queryTableFieldId="26"/>
    <tableColumn id="27" xr3:uid="{2171392B-A551-4B45-9DD8-6E7AB19E2559}" uniqueName="27" name="АЦО 30.07.25" queryTableFieldId="27"/>
    <tableColumn id="28" xr3:uid="{E3FD7421-3F7D-4152-AB70-C37D1D9DF56A}" uniqueName="28" name="Фикс 30.07.25" queryTableFieldId="28"/>
    <tableColumn id="29" xr3:uid="{BD116C60-6698-4D6F-BC8B-10942A535F24}" uniqueName="29" name="ПЦО 3%" queryTableFieldId="29"/>
    <tableColumn id="30" xr3:uid="{1482E731-2828-4829-9549-D608CD031B42}" uniqueName="30" name="Фикс 04.08.25" queryTableFieldId="30"/>
    <tableColumn id="31" xr3:uid="{2C717DA1-FBBE-4D56-BF81-41DF972E9DAD}" uniqueName="31" name="ПЦО 05.08.25 изменение S" queryTableFieldId="31"/>
    <tableColumn id="32" xr3:uid="{94654AF8-8483-4295-AF8A-47DCA61742A6}" uniqueName="32" name="Фикс 05.08.25" queryTableFieldId="32"/>
    <tableColumn id="33" xr3:uid="{FF4A451B-DCD0-48D3-88F5-8812E29C5271}" uniqueName="33" name="АЦО 06.08.25" queryTableFieldId="33"/>
    <tableColumn id="34" xr3:uid="{EF42798D-4A1B-4F01-9964-0361C1FDA6F2}" uniqueName="34" name="Фикс 06.08.25" queryTableFieldId="34"/>
    <tableColumn id="35" xr3:uid="{0B52235B-4573-4697-A034-1B33D08FC9FE}" uniqueName="35" name="АЦО 13.08.25" queryTableFieldId="35"/>
    <tableColumn id="36" xr3:uid="{AE1A4344-F7EA-4530-AD1C-8802902CD6B2}" uniqueName="36" name="Фикс 13.08.25" queryTableFieldId="36"/>
    <tableColumn id="62" xr3:uid="{95D0AA87-1D3E-453D-9674-5F9FDE1DC558}" uniqueName="62" name="ПЦО 19.08.2025 _x000a_3К - 2%; 2К - 1%" queryTableFieldId="62"/>
    <tableColumn id="63" xr3:uid="{885E0423-F737-406A-BD85-7B349C572D6A}" uniqueName="63" name="Фикс 19.08.25" queryTableFieldId="63"/>
    <tableColumn id="37" xr3:uid="{7F2CDA7F-7C74-4BB2-B72E-5756B66264AB}" uniqueName="37" name="утв цена м2" queryTableFieldId="37"/>
    <tableColumn id="38" xr3:uid="{DB978FAB-6630-46B5-9F64-DCF57C2DB75A}" uniqueName="38" name="Стоимость до скидки" queryTableFieldId="38"/>
    <tableColumn id="39" xr3:uid="{DEEB590E-757F-492F-BF53-56EB35AAC8D5}" uniqueName="39" name="Скидка фиксированная" queryTableFieldId="39"/>
    <tableColumn id="40" xr3:uid="{C80D7690-93B3-463D-AFC1-BD8C30F1B19C}" uniqueName="40" name="Скидка %" queryTableFieldId="40"/>
    <tableColumn id="41" xr3:uid="{B42C2C23-2DDB-4315-BF2D-5ACE7EC1E9E0}" uniqueName="41" name="Итоговая сумма скидки" queryTableFieldId="41"/>
    <tableColumn id="42" xr3:uid="{C4C5C6FD-87A9-4C62-8B64-C29826FDD5A7}" uniqueName="42" name="Цена м2 без отделки со скидкой" queryTableFieldId="42"/>
    <tableColumn id="43" xr3:uid="{8B861770-5F24-4748-AAAD-7656E80D6128}" uniqueName="43" name="Стоимость ОН без отделки со скидкой" queryTableFieldId="43"/>
    <tableColumn id="44" xr3:uid="{17AFEDEB-565F-4CFF-9985-91D203709C5A}" uniqueName="44" name="Отделка" queryTableFieldId="44" dataDxfId="208"/>
    <tableColumn id="45" xr3:uid="{A31316D1-D148-43AD-8570-246FE7BCCD18}" uniqueName="45" name="Стоимость отделки" queryTableFieldId="45"/>
    <tableColumn id="46" xr3:uid="{9F374FC7-CF98-4F19-8573-DC6096F58AAC}" uniqueName="46" name="Цена м2 с отделкой2" queryTableFieldId="46"/>
    <tableColumn id="47" xr3:uid="{C47C3F5B-5DA3-439B-823A-CE99EDAF1BEC}" uniqueName="47" name="Сумма отделки" queryTableFieldId="47"/>
    <tableColumn id="48" xr3:uid="{75886DDE-AD12-464D-945B-6A424DECA2F9}" uniqueName="48" name="Стоимость квартиры с отделкой" queryTableFieldId="48"/>
    <tableColumn id="49" xr3:uid="{B164A87B-E33E-4D85-B74E-D78A118EEA66}" uniqueName="49" name="Примечание" queryTableFieldId="49" dataDxfId="207"/>
    <tableColumn id="50" xr3:uid="{845896DA-05FF-4CC2-AD94-93EB9DA557EB}" uniqueName="50" name="Статус" queryTableFieldId="50" dataDxfId="206"/>
    <tableColumn id="51" xr3:uid="{B872A647-896A-4DDD-B46E-41E675F16D88}" uniqueName="51" name="Статусы CRM" queryTableFieldId="51" dataDxfId="205"/>
    <tableColumn id="52" xr3:uid="{8EAEBF6B-8FC3-40B2-956C-10CA9DC2FFEB}" uniqueName="52" name="Статус ALLIO" queryTableFieldId="52" dataDxfId="204"/>
    <tableColumn id="53" xr3:uid="{D35CEBC1-02AF-4E5A-9A5B-A5A88A4AFDEB}" uniqueName="53" name="Тип брони" queryTableFieldId="53" dataDxfId="203"/>
    <tableColumn id="54" xr3:uid="{1D281649-4563-442F-BCA9-69162B62E6B7}" uniqueName="54" name="проверка статуса" queryTableFieldId="54"/>
    <tableColumn id="55" xr3:uid="{49BC1951-2537-4A53-9205-BB5432247B15}" uniqueName="55" name="Название объекта" queryTableFieldId="55" dataDxfId="202"/>
    <tableColumn id="56" xr3:uid="{D39E365C-53F6-4539-AB62-04A262258F01}" uniqueName="56" name="Тип площади" queryTableFieldId="56" dataDxfId="201"/>
    <tableColumn id="57" xr3:uid="{BA691C8E-18CE-45AA-AA8B-3F17869F77A8}" uniqueName="57" name="Стоимость CRM" queryTableFieldId="57"/>
    <tableColumn id="58" xr3:uid="{FE38AD75-16E4-48F0-8FD9-F47C294EC4F7}" uniqueName="58" name="ТС" queryTableFieldId="58"/>
    <tableColumn id="59" xr3:uid="{658C7EA1-F1C6-4966-B8E3-525B9405BE8F}" uniqueName="59" name="ПС" queryTableFieldId="59"/>
    <tableColumn id="60" xr3:uid="{74CFE780-0840-46A3-B5E6-864A2B7B9912}" uniqueName="60" name="ДС" queryTableFieldId="60"/>
    <tableColumn id="61" xr3:uid="{DBB17B0E-977D-4A37-A49B-A4280FD731BE}" uniqueName="61" name="проверка стоимости" queryTableFieldId="6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BF03091-272E-4168-89B0-AE24319E2C6C}" name="Д403" displayName="Д403" ref="A1:CJ221" tableType="queryTable" totalsRowShown="0">
  <autoFilter ref="A1:CJ221" xr:uid="{CBF03091-272E-4168-89B0-AE24319E2C6C}"/>
  <tableColumns count="88">
    <tableColumn id="1" xr3:uid="{076C5810-5BBC-4AD5-8A30-A095D5546546}" uniqueName="1" name="№" queryTableFieldId="1"/>
    <tableColumn id="2" xr3:uid="{2A3D8B8B-EAB9-475D-BE5A-77BAF6499F82}" uniqueName="2" name="Подъезд" queryTableFieldId="2"/>
    <tableColumn id="3" xr3:uid="{CC569A9F-7470-4177-BC57-778FD9342C00}" uniqueName="3" name="Этаж" queryTableFieldId="3"/>
    <tableColumn id="4" xr3:uid="{FD997C16-3284-4781-8E55-CEC6E3AEB379}" uniqueName="4" name="№ на этаже" queryTableFieldId="4"/>
    <tableColumn id="5" xr3:uid="{B8D517C5-8361-44C1-B1D0-6B8D304E1995}" uniqueName="5" name="Тип кв" queryTableFieldId="5"/>
    <tableColumn id="6" xr3:uid="{30446A4A-AF2D-4E57-B207-7BC4B458F27D}" uniqueName="6" name="Комната 1" queryTableFieldId="6"/>
    <tableColumn id="7" xr3:uid="{AE1902C8-8928-4409-9181-332445B83A8D}" uniqueName="7" name="Комната 2" queryTableFieldId="7"/>
    <tableColumn id="8" xr3:uid="{45153DB0-CA1C-4560-A3A7-5F18B5457444}" uniqueName="8" name="Комната 3" queryTableFieldId="8"/>
    <tableColumn id="9" xr3:uid="{AE74D679-2C7E-4CDE-8EA0-5424A5695C83}" uniqueName="9" name="Площадь по проекту жилая" queryTableFieldId="9"/>
    <tableColumn id="10" xr3:uid="{5FA296FE-9D5A-4064-BC7E-1D5442D97A73}" uniqueName="10" name="Кухня" queryTableFieldId="10"/>
    <tableColumn id="11" xr3:uid="{F9060DFA-FBCB-4093-9226-5BBCE296F309}" uniqueName="11" name="Ванная" queryTableFieldId="11"/>
    <tableColumn id="12" xr3:uid="{588EE940-F1CB-40E1-A012-F96C3D5B404E}" uniqueName="12" name="С\У" queryTableFieldId="12"/>
    <tableColumn id="13" xr3:uid="{10B18631-568C-4372-B34E-C0FA432D8A7C}" uniqueName="13" name="Прихожая" queryTableFieldId="13"/>
    <tableColumn id="14" xr3:uid="{A3BEE773-49C6-48BD-B27E-3EBB27796B39}" uniqueName="14" name="Коридор" queryTableFieldId="14"/>
    <tableColumn id="15" xr3:uid="{AE2915F5-D594-47F6-9D32-DD5E5ABDDB72}" uniqueName="15" name="Гардеробная" queryTableFieldId="15"/>
    <tableColumn id="16" xr3:uid="{006F6CA6-20AE-4645-B6A0-4BD87C559620}" uniqueName="16" name="Лоджия 1" queryTableFieldId="16"/>
    <tableColumn id="17" xr3:uid="{202B4952-D4E7-479D-AF3C-AF9479C20E5C}" uniqueName="17" name="Лоджия 2" queryTableFieldId="17"/>
    <tableColumn id="18" xr3:uid="{9B7FC440-22C9-4C6A-8C3A-FCE3E1F4611B}" uniqueName="18" name="Летние" queryTableFieldId="18"/>
    <tableColumn id="19" xr3:uid="{54973F4A-97BA-4FB2-8EFC-1147BFF284C6}" uniqueName="19" name="Площадь по проекту(общая)" queryTableFieldId="19"/>
    <tableColumn id="20" xr3:uid="{1BFC850F-8AAD-4F51-95F6-E09ADC5F5D7B}" uniqueName="20" name="Площадь по проекту отапл (без летних)" queryTableFieldId="20"/>
    <tableColumn id="21" xr3:uid="{75A3C2F4-0148-4E6E-9ECE-5FEC4B5B46AB}" uniqueName="21" name="Расчетная проектная площадь" queryTableFieldId="21"/>
    <tableColumn id="22" xr3:uid="{F46973BF-AA5D-41AF-A992-4913D415A1B4}" uniqueName="22" name="м2 после К" queryTableFieldId="22"/>
    <tableColumn id="23" xr3:uid="{FA58DF9B-9B47-48CB-A6F4-B8092C23AFA6}" uniqueName="23" name="АЦО 13.06.25" queryTableFieldId="23"/>
    <tableColumn id="24" xr3:uid="{058FF243-BE24-4F8E-BAAD-B5E8234CFEA1}" uniqueName="24" name="Фикс 13.06.25" queryTableFieldId="24"/>
    <tableColumn id="25" xr3:uid="{CD9FB64D-32F1-4A95-BA28-2DC25D14A1F3}" uniqueName="25" name="АЦО 18.06.25" queryTableFieldId="25"/>
    <tableColumn id="26" xr3:uid="{27A28649-2225-47C9-8283-AEA4DA248D69}" uniqueName="26" name="Фикс 18.06.25" queryTableFieldId="26"/>
    <tableColumn id="27" xr3:uid="{0ABED2D9-3317-491B-8D12-A2C1E46E5EB5}" uniqueName="27" name="АЦО 23.06.25" queryTableFieldId="27"/>
    <tableColumn id="28" xr3:uid="{D1A4338A-25DC-44D2-B20E-4AD0EE0BC4E6}" uniqueName="28" name="Фикс 23.06.25" queryTableFieldId="28"/>
    <tableColumn id="29" xr3:uid="{AF4F8CB5-3847-472C-BB6C-84EA7346D5D1}" uniqueName="29" name="АЦО 26.06.25" queryTableFieldId="29"/>
    <tableColumn id="30" xr3:uid="{71767299-6E2B-46F5-ADD2-67E4B5A9A9F3}" uniqueName="30" name="Фикс 26.06.25" queryTableFieldId="30"/>
    <tableColumn id="31" xr3:uid="{B6750A83-B786-4F7C-A344-ACB4F5C216DE}" uniqueName="31" name="АЦО 27.06.25" queryTableFieldId="31"/>
    <tableColumn id="32" xr3:uid="{DB152A50-DD28-426F-B3FE-B1809EEBF434}" uniqueName="32" name="Фикс 27.06.25" queryTableFieldId="32"/>
    <tableColumn id="33" xr3:uid="{18F254C9-7716-45B4-81A0-161DBD4BA0DE}" uniqueName="33" name="АЦО 30.06.25" queryTableFieldId="33"/>
    <tableColumn id="34" xr3:uid="{3983111D-C698-4766-A6ED-9E60E56B064E}" uniqueName="34" name="Фикс 30.06.25" queryTableFieldId="34"/>
    <tableColumn id="35" xr3:uid="{261D2343-6F41-409F-98C7-960E13DED45D}" uniqueName="35" name="АЦО 14.07.25" queryTableFieldId="35"/>
    <tableColumn id="36" xr3:uid="{C4146B9B-C157-46C4-A9F6-5D25B896CEE2}" uniqueName="36" name="Фикс 14.07.25" queryTableFieldId="36"/>
    <tableColumn id="37" xr3:uid="{22FE81EC-CA3A-4FDB-B57C-BCFC1FECD383}" uniqueName="37" name="АЦО 20.07.25" queryTableFieldId="37"/>
    <tableColumn id="38" xr3:uid="{BB58C90D-6D04-44A3-82F5-3734CD8045D0}" uniqueName="38" name="Фикс 20.07.25" queryTableFieldId="38"/>
    <tableColumn id="39" xr3:uid="{09687171-AF23-4935-8EDD-B3768686D422}" uniqueName="39" name="АЦО 26.07.25" queryTableFieldId="39"/>
    <tableColumn id="40" xr3:uid="{897F8C55-76D9-471D-9648-9B952C314673}" uniqueName="40" name="Фикс 26.07.25" queryTableFieldId="40"/>
    <tableColumn id="41" xr3:uid="{FF0B2B7D-58FB-4C9F-BAEE-5BE5F7882D19}" uniqueName="41" name="АЦО 28.07.25" queryTableFieldId="41"/>
    <tableColumn id="42" xr3:uid="{1E9DF90F-8132-44E7-A82B-60B6BF16BF0F}" uniqueName="42" name="Фикс 28.07.25" queryTableFieldId="42"/>
    <tableColumn id="43" xr3:uid="{76F4AF79-BC8D-4FCA-9B88-00E8236AE83D}" uniqueName="43" name="АЦО 29.07.25" queryTableFieldId="43"/>
    <tableColumn id="44" xr3:uid="{86BFF2C7-A5FE-43B2-A402-BC801DCF4583}" uniqueName="44" name="Фикс 29.07.25" queryTableFieldId="44"/>
    <tableColumn id="45" xr3:uid="{7A3C1BE3-C74B-4311-8A9F-B291CED43257}" uniqueName="45" name="АЦО 30.07.25" queryTableFieldId="45"/>
    <tableColumn id="46" xr3:uid="{FA18F969-9BE7-4D9D-9557-F42ACB014916}" uniqueName="46" name="Фикс 30.07.25" queryTableFieldId="46"/>
    <tableColumn id="47" xr3:uid="{408E06CA-B11E-476B-8430-D297F2F359B7}" uniqueName="47" name="АЦО 03.08.25" queryTableFieldId="47"/>
    <tableColumn id="48" xr3:uid="{B5DCE937-9694-4C7F-90F1-9BD975306DEA}" uniqueName="48" name="Фикс 03.08.25" queryTableFieldId="48"/>
    <tableColumn id="49" xr3:uid="{5F0749D6-24F4-49E0-8FC2-C71C82659234}" uniqueName="49" name="ПЦО 04.08.25" queryTableFieldId="49"/>
    <tableColumn id="50" xr3:uid="{423B7490-D542-4156-A955-5839EC88F854}" uniqueName="50" name="Фикс 04.08.25" queryTableFieldId="50"/>
    <tableColumn id="51" xr3:uid="{BCA7A65B-8EC7-414D-8BDD-E2E9A6603C20}" uniqueName="51" name="ПЦО 05.08.25 изм. S " queryTableFieldId="51"/>
    <tableColumn id="52" xr3:uid="{2CA828FB-396E-4D6C-9F5A-895ED5A6875D}" uniqueName="52" name="Фикс 05.08.25" queryTableFieldId="52"/>
    <tableColumn id="53" xr3:uid="{D0DDCAF8-BF47-4452-859A-DCD08A52E6F0}" uniqueName="53" name="АЦО 06.08.25" queryTableFieldId="53"/>
    <tableColumn id="54" xr3:uid="{3C5DE0CD-531D-4752-B1F4-417798E79AA3}" uniqueName="54" name="Фикс 06.08.25" queryTableFieldId="54"/>
    <tableColumn id="55" xr3:uid="{772776E4-DC4C-4E39-9DE2-D9024D8AE0A2}" uniqueName="55" name="АЦО 11.08.25" queryTableFieldId="55"/>
    <tableColumn id="56" xr3:uid="{66DC1AA7-25DB-4398-AEA2-8D5487526A1F}" uniqueName="56" name="Фикс 11.08.25" queryTableFieldId="56"/>
    <tableColumn id="57" xr3:uid="{F2E8650F-6F3C-41C5-BB81-78D2E7EE5600}" uniqueName="57" name="АЦО 16.08.25" queryTableFieldId="57"/>
    <tableColumn id="58" xr3:uid="{168A9125-D92B-4755-9F9B-2314AAF00CA9}" uniqueName="58" name="Фикс 16.08.25" queryTableFieldId="58"/>
    <tableColumn id="85" xr3:uid="{01DB19DC-918E-4539-BD4A-EBF8C526F14F}" uniqueName="85" name="ПЦО 19.08.25" queryTableFieldId="85"/>
    <tableColumn id="86" xr3:uid="{9D4823E9-D081-4D07-A55D-DE338F7675B3}" uniqueName="86" name="Фикс 19.08.25" queryTableFieldId="86"/>
    <tableColumn id="87" xr3:uid="{AB5F5C28-7793-4147-BF29-AEE41639855F}" uniqueName="87" name="АЦО 21.08.25" queryTableFieldId="89"/>
    <tableColumn id="88" xr3:uid="{CD3F1ADD-7918-4DC4-BC33-8C285529D737}" uniqueName="88" name="Фикс 21.08.25" queryTableFieldId="90"/>
    <tableColumn id="59" xr3:uid="{08154937-58EB-4E61-8D12-4143863EFB79}" uniqueName="59" name="утв цена м2" queryTableFieldId="59"/>
    <tableColumn id="60" xr3:uid="{4DF2476F-8E7E-4105-AB59-3EABBFFE8DB5}" uniqueName="60" name="Стоимость до скидки" queryTableFieldId="60"/>
    <tableColumn id="61" xr3:uid="{C35CE8BE-AB1D-4238-B0DC-D207FA0B45C2}" uniqueName="61" name="Скидка фиксированная" queryTableFieldId="61"/>
    <tableColumn id="62" xr3:uid="{E670AD66-303E-4B6E-8CCE-1C1A8ED4C377}" uniqueName="62" name="Скидка %" queryTableFieldId="62"/>
    <tableColumn id="63" xr3:uid="{A947FD82-2021-436C-8C0C-37FE56E6345B}" uniqueName="63" name="Итоговая сумма скидки" queryTableFieldId="63"/>
    <tableColumn id="64" xr3:uid="{0EFC40C2-5929-482E-A4F2-A51CCAF75B45}" uniqueName="64" name="Цена м2 без отделки со скидкой" queryTableFieldId="64"/>
    <tableColumn id="65" xr3:uid="{A53F5EAA-595A-4A26-BC64-BA5E1308EC10}" uniqueName="65" name="Стоимость ОН без отделки со скидкой" queryTableFieldId="65"/>
    <tableColumn id="66" xr3:uid="{074F7194-4923-4379-824E-F1E37CE7AAA1}" uniqueName="66" name="Отделка" queryTableFieldId="66" dataDxfId="129"/>
    <tableColumn id="67" xr3:uid="{765224ED-F159-4824-B91A-69C7290E35D3}" uniqueName="67" name="Тип чистовой" queryTableFieldId="67"/>
    <tableColumn id="68" xr3:uid="{57E0D686-64E7-49BF-9E22-E3CB935CBA44}" uniqueName="68" name="Стоимость отделки" queryTableFieldId="68"/>
    <tableColumn id="69" xr3:uid="{97B97113-F091-4291-8A49-E2A56F31132F}" uniqueName="69" name="Цена м2 с отделкой" queryTableFieldId="69"/>
    <tableColumn id="70" xr3:uid="{5340A000-5871-4E18-868E-A606FAE24D29}" uniqueName="70" name="Сумма отделки" queryTableFieldId="70"/>
    <tableColumn id="71" xr3:uid="{00F84EFC-27AA-469A-B796-05A749321B73}" uniqueName="71" name="Стоимость квартиры с отделкой" queryTableFieldId="71"/>
    <tableColumn id="72" xr3:uid="{3EC91879-CDD6-4E0E-8BB1-AD0399341403}" uniqueName="72" name="Примечание" queryTableFieldId="72" dataDxfId="128"/>
    <tableColumn id="73" xr3:uid="{87C0272E-BB92-4CDE-893A-03329FFE24B2}" uniqueName="73" name="Статус" queryTableFieldId="73" dataDxfId="127"/>
    <tableColumn id="74" xr3:uid="{8727142D-F73F-44FF-8B27-C5111EF294D5}" uniqueName="74" name="Статусы CRM" queryTableFieldId="74" dataDxfId="126"/>
    <tableColumn id="75" xr3:uid="{5EA38FDF-4797-4E97-9E29-F0A306848899}" uniqueName="75" name="Статус ALLIO" queryTableFieldId="75" dataDxfId="125"/>
    <tableColumn id="76" xr3:uid="{7C828374-9F91-4B4E-9592-1F6989286567}" uniqueName="76" name="Тип брони" queryTableFieldId="76" dataDxfId="124"/>
    <tableColumn id="77" xr3:uid="{F2F6AEDB-4070-46D2-840B-B5CE2CEF66FB}" uniqueName="77" name="Название объекта" queryTableFieldId="77" dataDxfId="123"/>
    <tableColumn id="78" xr3:uid="{59874F59-3657-49F1-BF7C-67614153EF07}" uniqueName="78" name="Тип площади" queryTableFieldId="78" dataDxfId="122"/>
    <tableColumn id="79" xr3:uid="{109D371C-0F27-4637-A10D-63EA9C4FC662}" uniqueName="79" name="проверка статуса" queryTableFieldId="79"/>
    <tableColumn id="80" xr3:uid="{38DCC97F-D57E-4AB1-B5A5-632E2D069EAE}" uniqueName="80" name="Стоимость CRM" queryTableFieldId="80"/>
    <tableColumn id="81" xr3:uid="{5111707A-16BF-4892-A89C-F8AE72930C94}" uniqueName="81" name="ТС" queryTableFieldId="81"/>
    <tableColumn id="82" xr3:uid="{B75C5DB5-B8E8-4426-895A-12FBCAD1F4E0}" uniqueName="82" name="ПС" queryTableFieldId="82"/>
    <tableColumn id="83" xr3:uid="{A1ED6AC3-E8CE-45AA-ABBE-3BB53E9F9057}" uniqueName="83" name="ДС" queryTableFieldId="83"/>
    <tableColumn id="84" xr3:uid="{2A15370D-1E3F-4851-B250-864B94289C07}" uniqueName="84" name="проверка стоимости" queryTableFieldId="8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70917A-0AE6-4E5A-8254-FC3D8D48A581}" name="РД" displayName="РД" ref="A4:AM2742" tableType="queryTable" totalsRowShown="0">
  <autoFilter ref="A4:AM2742" xr:uid="{4F70917A-0AE6-4E5A-8254-FC3D8D48A581}">
    <filterColumn colId="3">
      <filters>
        <filter val="Дом 5"/>
      </filters>
    </filterColumn>
    <filterColumn colId="24">
      <filters>
        <filter val="Продажа"/>
      </filters>
    </filterColumn>
  </autoFilter>
  <tableColumns count="39">
    <tableColumn id="1" xr3:uid="{7AE52566-92A6-4D8D-97F5-41F1583759D4}" uniqueName="1" name="№" queryTableFieldId="1"/>
    <tableColumn id="2" xr3:uid="{CF6624B0-D212-42CD-9D6E-B7804C3F50AF}" uniqueName="2" name="за месяц" queryTableFieldId="2"/>
    <tableColumn id="3" xr3:uid="{BB2D5369-C390-43FA-AC84-9F987D370BB4}" uniqueName="3" name="Дата подачи на регистрацию" queryTableFieldId="3" dataDxfId="121"/>
    <tableColumn id="4" xr3:uid="{E9385282-EFB6-42ED-8D17-E27D462644B8}" uniqueName="4" name="Дом" queryTableFieldId="4" dataDxfId="120"/>
    <tableColumn id="5" xr3:uid="{06DA96A1-9E64-4028-B2FF-8DF3A1AFD2A6}" uniqueName="5" name="Секция" queryTableFieldId="5" dataDxfId="119"/>
    <tableColumn id="39" xr3:uid="{7C3F6049-7A73-4024-8953-2E874FD5671D}" uniqueName="39" name="№ на этаже" queryTableFieldId="43"/>
    <tableColumn id="6" xr3:uid="{ECB5502C-DBC1-439D-9DE1-DA519488B45B}" uniqueName="6" name="Этаж" queryTableFieldId="6"/>
    <tableColumn id="7" xr3:uid="{E55D82E0-B707-4587-9E81-B1490E81909E}" uniqueName="7" name="№ кв" queryTableFieldId="7"/>
    <tableColumn id="8" xr3:uid="{8EFB7343-6E49-4CC1-805D-2D23FD7AC5B9}" uniqueName="8" name="Тип кв" queryTableFieldId="8" dataDxfId="118"/>
    <tableColumn id="9" xr3:uid="{2D7521C9-F0DD-4A66-A16E-D3F8233C1787}" uniqueName="9" name="S" queryTableFieldId="9"/>
    <tableColumn id="10" xr3:uid="{65C0C77F-569E-47AA-A4EF-0D6F70DDB37E}" uniqueName="10" name="Отделка " queryTableFieldId="10" dataDxfId="117"/>
    <tableColumn id="11" xr3:uid="{F31677B3-AE8A-4BF6-A5A4-B3BA039C5815}" uniqueName="11" name="Сумма договора" queryTableFieldId="11"/>
    <tableColumn id="12" xr3:uid="{D7248392-55BD-442F-B86D-F0B849E3DF37}" uniqueName="12" name="Пл. бронь" queryTableFieldId="12"/>
    <tableColumn id="13" xr3:uid="{7624AE66-71E6-4D7D-B802-ED6606416309}" uniqueName="13" name="Стоимость с отделкой итог" queryTableFieldId="13"/>
    <tableColumn id="14" xr3:uid="{2813D300-8D27-428B-BDFA-37BCB69DA4CD}" uniqueName="14" name="Цена м2 с отделкой итог" queryTableFieldId="14"/>
    <tableColumn id="15" xr3:uid="{BFC65C1B-5F0B-43F1-A4D2-BA34C9A5DDB7}" uniqueName="15" name="Стоимость отделки" queryTableFieldId="15"/>
    <tableColumn id="16" xr3:uid="{CA30D239-E07A-4F92-8845-BFCDB3E2BE8E}" uniqueName="16" name="Стоимость без отделки итог" queryTableFieldId="16"/>
    <tableColumn id="17" xr3:uid="{952A157B-6D7E-4AFC-97D1-994D6C9451F4}" uniqueName="17" name="Цена м2 без отделки итог" queryTableFieldId="17"/>
    <tableColumn id="18" xr3:uid="{019EC1A8-91DC-4410-8396-C9A73E00723B}" uniqueName="18" name="Вариант оплаты" queryTableFieldId="18" dataDxfId="116"/>
    <tableColumn id="19" xr3:uid="{2569F3F3-E9A6-44A6-916B-E69E336D62D9}" uniqueName="19" name="Название акции" queryTableFieldId="19" dataDxfId="115"/>
    <tableColumn id="20" xr3:uid="{0D900D79-6AD8-42AE-995E-D9B6C1E21346}" uniqueName="20" name="Сумма скидки" queryTableFieldId="20"/>
    <tableColumn id="38" xr3:uid="{1807A811-639E-4F1E-9345-8CBE0FA414B0}" uniqueName="38" name="Программа кредитования" queryTableFieldId="41"/>
    <tableColumn id="21" xr3:uid="{CECB423C-6871-40B4-A11E-EDC5994D2283}" uniqueName="21" name="Дата договора" queryTableFieldId="21" dataDxfId="114"/>
    <tableColumn id="22" xr3:uid="{C8061F1C-BBFF-47C1-8E6D-C512B3E6FC62}" uniqueName="22" name="№ договора" queryTableFieldId="22" dataDxfId="113"/>
    <tableColumn id="23" xr3:uid="{EB94F389-2EA9-4871-A325-A5037745A032}" uniqueName="23" name="Состояние" queryTableFieldId="23" dataDxfId="112"/>
    <tableColumn id="24" xr3:uid="{5D5C6140-F33E-49EB-B141-E6015C9989FA}" uniqueName="24" name="Электронная регистрация" queryTableFieldId="24" dataDxfId="111"/>
    <tableColumn id="37" xr3:uid="{1046E48E-18C5-4AD1-AF99-ACF12DA0A438}" uniqueName="37" name="Способ регистрации" queryTableFieldId="39"/>
    <tableColumn id="25" xr3:uid="{9187EAEF-FC99-44AC-90D6-7F15FD032103}" uniqueName="25" name="Тип покупки" queryTableFieldId="25" dataDxfId="110"/>
    <tableColumn id="34" xr3:uid="{7FC549BE-7843-4D1A-9FF0-CAA38B226345}" uniqueName="34" name="Банк" queryTableFieldId="34"/>
    <tableColumn id="26" xr3:uid="{B0855DC9-5C0C-4475-8B55-F40CCFEBB892}" uniqueName="26" name="Дата расторжения" queryTableFieldId="26" dataDxfId="109"/>
    <tableColumn id="27" xr3:uid="{95AED116-9C6F-4CA6-BF9F-95141204593E}" uniqueName="27" name="Основной клиент" queryTableFieldId="27" dataDxfId="108"/>
    <tableColumn id="28" xr3:uid="{7AE87646-465A-4367-A6BB-BE475AFE309B}" uniqueName="28" name="Мобильный телефон" queryTableFieldId="28"/>
    <tableColumn id="29" xr3:uid="{2427D1F7-7705-41AF-AF5C-8144A9A42B21}" uniqueName="29" name="Электронная почта" queryTableFieldId="29" dataDxfId="107"/>
    <tableColumn id="30" xr3:uid="{E68F1EFC-05B6-4890-9827-E3C1F94018BD}" uniqueName="30" name="Источник обращения" queryTableFieldId="30" dataDxfId="106"/>
    <tableColumn id="31" xr3:uid="{BCCB5BD8-48E2-4829-855F-C4836D892EF6}" uniqueName="31" name="Источник рекламы" queryTableFieldId="31" dataDxfId="105"/>
    <tableColumn id="32" xr3:uid="{9BD53989-5C3B-4168-91F3-7834B5399BB3}" uniqueName="32" name="МОП" queryTableFieldId="32" dataDxfId="104"/>
    <tableColumn id="33" xr3:uid="{C0A14701-CB69-4580-BBD6-5272F6D6B3ED}" uniqueName="33" name="ИМ" queryTableFieldId="33" dataDxfId="103"/>
    <tableColumn id="35" xr3:uid="{030373E5-1EDC-48A3-B04B-57B1B60202A1}" uniqueName="35" name="Фикс за АН" queryTableFieldId="45"/>
    <tableColumn id="36" xr3:uid="{B97772FE-B8B1-4807-B015-1B152FD19ED5}" uniqueName="36" name="Комментарий" queryTableFieldId="3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29D617-DAA2-4D91-AA92-CB9FDB3091A5}" name="Коммерция" displayName="Коммерция" ref="A1:AE90" tableType="queryTable" totalsRowShown="0">
  <autoFilter ref="A1:AE90" xr:uid="{6429D617-DAA2-4D91-AA92-CB9FDB3091A5}">
    <filterColumn colId="17">
      <filters>
        <filter val="За застройщиком"/>
        <filter val="Свободно"/>
      </filters>
    </filterColumn>
  </autoFilter>
  <sortState xmlns:xlrd2="http://schemas.microsoft.com/office/spreadsheetml/2017/richdata2" ref="A2:AE90">
    <sortCondition ref="A2:A90"/>
    <sortCondition ref="B2:B90"/>
  </sortState>
  <tableColumns count="31">
    <tableColumn id="1" xr3:uid="{1A608BE0-B858-4394-9874-0E8B367DFB8A}" uniqueName="1" name="Дом" queryTableFieldId="1" dataDxfId="102"/>
    <tableColumn id="2" xr3:uid="{31F7DE54-1F9D-44C5-B1F2-29D435FB01C8}" uniqueName="2" name="№" queryTableFieldId="2"/>
    <tableColumn id="3" xr3:uid="{989E2F47-06E4-4B7B-BE8C-52D92008AB54}" uniqueName="3" name="Секция" queryTableFieldId="3" dataDxfId="101"/>
    <tableColumn id="21" xr3:uid="{32144454-95C0-405A-9649-9FD1FF0B65E9}" uniqueName="21" name="Этаж" queryTableFieldId="26"/>
    <tableColumn id="4" xr3:uid="{9D2BFA9C-9353-452C-8C97-07A04A28F483}" uniqueName="4" name="Общая фактическая" queryTableFieldId="4"/>
    <tableColumn id="5" xr3:uid="{3F41E9F8-2143-439E-B87B-6081250F9F5B}" uniqueName="5" name="Фикс м2" queryTableFieldId="5"/>
    <tableColumn id="6" xr3:uid="{7733CCE1-5BFD-4D23-B76C-E57E495BE448}" uniqueName="6" name="Повышение 01.02.23" queryTableFieldId="6"/>
    <tableColumn id="7" xr3:uid="{7B51D554-7A4A-47C1-9945-1682ACE7CDCF}" uniqueName="7" name="Фикс 01.02.23" queryTableFieldId="7"/>
    <tableColumn id="8" xr3:uid="{EF9C4997-7260-4138-B3A4-49729FAF381C}" uniqueName="8" name="Повышение 24.02.23" queryTableFieldId="8"/>
    <tableColumn id="9" xr3:uid="{8344E403-D98D-46A4-8006-8531A4D56E3C}" uniqueName="9" name="Фикс 24.02.23" queryTableFieldId="9"/>
    <tableColumn id="17" xr3:uid="{94F46D3D-121B-4D8A-99AA-16AD028D76C8}" uniqueName="17" name="Повышение 04.07.2023" queryTableFieldId="17"/>
    <tableColumn id="18" xr3:uid="{1E708313-717F-4416-9EE9-57299959DC3A}" uniqueName="18" name="Фикс 04.07.23" queryTableFieldId="18"/>
    <tableColumn id="25" xr3:uid="{EDFA9733-9315-43F8-BA86-7B507356753B}" uniqueName="25" name="Дисконт 04.06.25" queryTableFieldId="33"/>
    <tableColumn id="26" xr3:uid="{098BE8CF-20E1-4CE8-8760-06E60A9190A0}" uniqueName="26" name="Фикс 04.06.25" queryTableFieldId="34"/>
    <tableColumn id="10" xr3:uid="{F46D9A84-C799-4EDE-9E25-61B516A484FA}" uniqueName="10" name="Цена м2" queryTableFieldId="10"/>
    <tableColumn id="11" xr3:uid="{F6573F12-9096-4A32-8115-5EF796301239}" uniqueName="11" name="стоимость лота" queryTableFieldId="11"/>
    <tableColumn id="12" xr3:uid="{9AA8FD6C-FB70-43EF-B8B0-A1AB8AD2C4A3}" uniqueName="12" name="Скидка" queryTableFieldId="12"/>
    <tableColumn id="13" xr3:uid="{40BC6107-AE5F-4CB0-839F-41CD0C1BF9D4}" uniqueName="13" name="Статус" queryTableFieldId="13" dataDxfId="100"/>
    <tableColumn id="14" xr3:uid="{670C31C6-1E01-4C5D-95D3-98EB45E5F76E}" uniqueName="14" name="Статус CRM" queryTableFieldId="14" dataDxfId="99"/>
    <tableColumn id="15" xr3:uid="{AE8A21FC-FA9E-4EDE-9EE6-BB04E48D1893}" uniqueName="15" name="Проверка" queryTableFieldId="15"/>
    <tableColumn id="27" xr3:uid="{04587CCF-D114-4116-9D4F-FD2F0A4EC741}" uniqueName="27" name="Название объекта" queryTableFieldId="37"/>
    <tableColumn id="28" xr3:uid="{978E70A5-0C6D-4FA1-B5F8-8DE6549E9167}" uniqueName="28" name="Тип помещения" queryTableFieldId="38"/>
    <tableColumn id="29" xr3:uid="{079CD5DE-C220-4F4B-9A3D-BC08557F8639}" uniqueName="29" name="Статус ALLIO" queryTableFieldId="39"/>
    <tableColumn id="30" xr3:uid="{32D70466-7066-4C14-92C5-6178F47DB859}" uniqueName="30" name="Тип брони" queryTableFieldId="40"/>
    <tableColumn id="16" xr3:uid="{779664F4-6563-4E78-95E4-364A72DAED66}" uniqueName="16" name="Арендатор" queryTableFieldId="16" dataDxfId="98"/>
    <tableColumn id="19" xr3:uid="{A70D4B50-D829-4AD5-A4CC-17E450BD5013}" uniqueName="19" name="Комментарии" queryTableFieldId="22"/>
    <tableColumn id="31" xr3:uid="{A46E6EBA-DBD3-45E1-9DAB-BD170BA794CB}" uniqueName="31" name="Столбец2" queryTableFieldId="41"/>
    <tableColumn id="20" xr3:uid="{00F18717-61B4-4A4C-82A4-001FF1061BE7}" uniqueName="20" name="КОД ОН" queryTableFieldId="23"/>
    <tableColumn id="22" xr3:uid="{96646DDD-ED16-49AC-B382-A94B098FF568}" uniqueName="22" name="Стоимость CRM" queryTableFieldId="30"/>
    <tableColumn id="23" xr3:uid="{F2021852-CD14-453A-BC83-39C2FD70E429}" uniqueName="23" name="проверка ст" queryTableFieldId="31"/>
    <tableColumn id="24" xr3:uid="{AE68D859-526D-4B3F-A709-CEBADE037290}" uniqueName="24" name="Столбец1" queryTableFieldId="3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183A24F-83BF-44D4-8DA6-D28DBC631AFA}" name="Д402" displayName="Д402" ref="A1:BO289" tableType="queryTable" totalsRowShown="0">
  <autoFilter ref="A1:BO289" xr:uid="{A183A24F-83BF-44D4-8DA6-D28DBC631AFA}"/>
  <tableColumns count="67">
    <tableColumn id="1" xr3:uid="{CF58FA10-012B-418B-85BC-BB9EB49B6808}" uniqueName="1" name="№" queryTableFieldId="1" dataDxfId="97"/>
    <tableColumn id="2" xr3:uid="{9539A840-CECD-4B4D-8AE3-076B0AAF6087}" uniqueName="2" name="Секция" queryTableFieldId="2" dataDxfId="96"/>
    <tableColumn id="3" xr3:uid="{A8D1DF02-264D-4B99-A28D-8594A9E07979}" uniqueName="3" name="Этаж" queryTableFieldId="3" dataDxfId="95"/>
    <tableColumn id="4" xr3:uid="{CFD5D768-9DBC-47AF-A5CE-E8E0EBCF1621}" uniqueName="4" name="№ на этаже" queryTableFieldId="4" dataDxfId="94"/>
    <tableColumn id="5" xr3:uid="{B43E2D6E-1AF6-4B49-8047-0C959D89BD5A}" uniqueName="5" name="Тип кв" queryTableFieldId="5" dataDxfId="93"/>
    <tableColumn id="6" xr3:uid="{23F4921C-95C0-4AC1-8019-FA70877832BB}" uniqueName="6" name="Комната 1" queryTableFieldId="6" dataDxfId="92"/>
    <tableColumn id="7" xr3:uid="{690AE6B2-5BE7-464C-A806-C4F038C488F7}" uniqueName="7" name="Комната 2" queryTableFieldId="7" dataDxfId="91"/>
    <tableColumn id="8" xr3:uid="{BED18818-AF89-4B2F-8696-3AED3D265A02}" uniqueName="8" name="Комната 3" queryTableFieldId="8" dataDxfId="90"/>
    <tableColumn id="9" xr3:uid="{AA36382F-52FE-4F54-A56C-28D5C93E5116}" uniqueName="9" name="Площадь по проекту жилая" queryTableFieldId="9" dataDxfId="89"/>
    <tableColumn id="10" xr3:uid="{F67F0A99-3098-4141-9B2C-228DBAD57909}" uniqueName="10" name="Кухня" queryTableFieldId="10" dataDxfId="88"/>
    <tableColumn id="11" xr3:uid="{791EE590-9E77-4246-AD4C-D314A84A92E9}" uniqueName="11" name="Ванная" queryTableFieldId="11" dataDxfId="87"/>
    <tableColumn id="12" xr3:uid="{C98BF1D9-E0D6-4647-A2E8-9EF371D22102}" uniqueName="12" name="С\У" queryTableFieldId="12" dataDxfId="86"/>
    <tableColumn id="13" xr3:uid="{3214ADA9-B55F-4658-B5FC-9A8B88121AD8}" uniqueName="13" name="Коридор" queryTableFieldId="13" dataDxfId="85"/>
    <tableColumn id="14" xr3:uid="{6529708E-97EA-4190-8135-DB85F979964E}" uniqueName="14" name="Гардеробная" queryTableFieldId="14" dataDxfId="84"/>
    <tableColumn id="15" xr3:uid="{EA5F96B0-4C3A-42F7-8373-250F9AC4C0F0}" uniqueName="15" name="Лоджия 1" queryTableFieldId="15" dataDxfId="83"/>
    <tableColumn id="16" xr3:uid="{B099210C-1C8E-4E58-9679-30F65F3DD82C}" uniqueName="16" name="Лоджия 2" queryTableFieldId="16"/>
    <tableColumn id="17" xr3:uid="{D7AF1839-9561-4007-AF62-A2CF781B3D54}" uniqueName="17" name="Лоджия 3" queryTableFieldId="17"/>
    <tableColumn id="18" xr3:uid="{E5BFB397-BFEF-4DC7-8D9B-FCC4DA1CBB55}" uniqueName="18" name="Летние" queryTableFieldId="18" dataDxfId="82"/>
    <tableColumn id="19" xr3:uid="{498A8323-440E-4AC0-8BC7-D9B0240A09CB}" uniqueName="19" name="Площадь по проекту(общая)" queryTableFieldId="19" dataDxfId="81"/>
    <tableColumn id="20" xr3:uid="{6EF3445D-BFE0-435D-BE4E-8AAE1D0BDACE}" uniqueName="20" name="Площадь по проекту отапл (без летних)" queryTableFieldId="20" dataDxfId="80"/>
    <tableColumn id="21" xr3:uid="{36F6C33E-2EC5-4A61-A1FE-ED09D6920512}" uniqueName="21" name="Расчетная проектная площадь" queryTableFieldId="21" dataDxfId="79"/>
    <tableColumn id="22" xr3:uid="{9341E0CB-17C2-4E39-BF92-2100A0CD84C3}" uniqueName="22" name="м2 после К" queryTableFieldId="22" dataDxfId="78"/>
    <tableColumn id="23" xr3:uid="{B4885131-01A5-4FD4-AB53-55EDF58CDB8E}" uniqueName="23" name="02.12.2024" queryTableFieldId="46"/>
    <tableColumn id="24" xr3:uid="{B7A5F1B0-00F9-4B92-80BD-9015641C81C6}" uniqueName="24" name="Фикс 20.12.24" queryTableFieldId="47"/>
    <tableColumn id="47" xr3:uid="{060E90FD-CCA1-4B6D-A2A8-438BA37E8946}" uniqueName="47" name="23.12.24 СП +1000" queryTableFieldId="59"/>
    <tableColumn id="48" xr3:uid="{3E4700BF-53CB-48AD-8957-9990D07A9174}" uniqueName="48" name="Фикс 23.12.24" queryTableFieldId="60"/>
    <tableColumn id="49" xr3:uid="{77D33CA6-A8AC-499B-97EF-07806389D077}" uniqueName="49" name="Повышение 20.02.25" queryTableFieldId="67"/>
    <tableColumn id="50" xr3:uid="{0FDB67C4-1472-4A06-ADA1-07AEC014AD42}" uniqueName="50" name="Фикс 20.02.25" queryTableFieldId="68"/>
    <tableColumn id="51" xr3:uid="{52A5F58D-4485-4A6A-BD8E-D2D776F1798D}" uniqueName="51" name="Повышение 24.02.2025" queryTableFieldId="71"/>
    <tableColumn id="52" xr3:uid="{D7550D2F-DD89-431F-8F8D-7C48AFA12DB5}" uniqueName="52" name="Фикс 24.02.25" queryTableFieldId="72"/>
    <tableColumn id="53" xr3:uid="{BB37A255-EC7D-4528-B21C-03CAC2574A75}" uniqueName="53" name="Повышение 05.03.2025_x000a_1К: до 40м - 1,5%, 40+ 0,5%_x000a_2К - 0,5% " queryTableFieldId="75"/>
    <tableColumn id="54" xr3:uid="{15FF276E-F844-49CA-887F-F72859757BF4}" uniqueName="54" name="Фикс 05.03.25" queryTableFieldId="79"/>
    <tableColumn id="55" xr3:uid="{EAE5E21F-2242-42F3-BA7F-C1FD8431480C}" uniqueName="55" name="повышение 14.03.25 1К-1%" queryTableFieldId="80"/>
    <tableColumn id="56" xr3:uid="{62C38514-75B9-430B-ADEF-3EB13787B157}" uniqueName="56" name="Фикс 14.03.25" queryTableFieldId="81"/>
    <tableColumn id="57" xr3:uid="{33A7FA1A-4A78-4370-BC00-FAE539F61CAA}" uniqueName="57" name="повышение 28.03.25 1К-1%" queryTableFieldId="85"/>
    <tableColumn id="58" xr3:uid="{17F07915-CD1E-4F7A-BB91-C10E0940C8BC}" uniqueName="58" name="Фикс 28.03.25" queryTableFieldId="86"/>
    <tableColumn id="34" xr3:uid="{32289FAA-8690-4EA3-9AFE-04831A238B53}" uniqueName="34" name="Повышение 23.07.25_x000a_1К 43-46м2 - 2%_x000a_2К 55-58 - 2%; 58-64 - 3%_x000a_3К 76-79 - 2%_x000a_" queryTableFieldId="91"/>
    <tableColumn id="59" xr3:uid="{F9DEE485-DC5F-4C5A-A30D-9F3218C445FB}" uniqueName="59" name="Фикс 23.07.25" queryTableFieldId="92"/>
    <tableColumn id="25" xr3:uid="{D9A0622F-DEEC-4A7C-B5F2-FE2C4104FBD4}" uniqueName="25" name="утв цена м2" queryTableFieldId="25" dataDxfId="77"/>
    <tableColumn id="26" xr3:uid="{3955E074-0350-45BB-806E-E3AE01033B5A}" uniqueName="26" name="Стоимость до скидки" queryTableFieldId="26" dataDxfId="76"/>
    <tableColumn id="27" xr3:uid="{89AAA92B-6B74-4263-9155-D16667EF075F}" uniqueName="27" name="Скидка фиксированная" queryTableFieldId="27"/>
    <tableColumn id="28" xr3:uid="{BD13E7C4-40A2-43D8-9688-AF50B8E8977C}" uniqueName="28" name="Скидка %" queryTableFieldId="28" dataDxfId="75"/>
    <tableColumn id="29" xr3:uid="{B64F735E-444A-4E9F-824E-50CB4A2BF132}" uniqueName="29" name="Итоговая сумма скидки" queryTableFieldId="29" dataDxfId="74"/>
    <tableColumn id="30" xr3:uid="{43077A9E-DD61-4948-8434-F3683F1912CB}" uniqueName="30" name="Цена м2 без отделки со скидкой" queryTableFieldId="30" dataDxfId="73"/>
    <tableColumn id="31" xr3:uid="{BB86762B-17BD-4699-8A14-36111E8C6518}" uniqueName="31" name="Стоимость ОН без отделки со скидкой" queryTableFieldId="31" dataDxfId="72"/>
    <tableColumn id="32" xr3:uid="{668AE618-EA23-42A7-A947-A243F04E1326}" uniqueName="32" name="Отделка" queryTableFieldId="32" dataDxfId="71"/>
    <tableColumn id="33" xr3:uid="{F5493C43-B9E2-49AD-8DE1-F4F26BB14DFD}" uniqueName="33" name="Стоимость отделки" queryTableFieldId="33" dataDxfId="70"/>
    <tableColumn id="42" xr3:uid="{712209A5-937A-4784-9F46-0FE06A94A274}" uniqueName="42" name="Тип отделки" queryTableFieldId="89"/>
    <tableColumn id="60" xr3:uid="{580F2A9A-B929-4E2A-870F-532D0FFB4462}" uniqueName="60" name="Цена м2 с отделкой" queryTableFieldId="93"/>
    <tableColumn id="35" xr3:uid="{3147F9D9-E694-45E2-8600-BF65B21E36CF}" uniqueName="35" name="Сумма отделки" queryTableFieldId="35" dataDxfId="69"/>
    <tableColumn id="36" xr3:uid="{02757267-28D8-48EF-BAD2-BB3B73E205A0}" uniqueName="36" name="Стоимость квартиры с отделкой" queryTableFieldId="36" dataDxfId="68"/>
    <tableColumn id="38" xr3:uid="{349D2A28-1691-4946-B309-D0AD0FEBC710}" uniqueName="38" name="Примечание" queryTableFieldId="38"/>
    <tableColumn id="39" xr3:uid="{055325C6-20CD-4DAD-8A54-B8593DA47C97}" uniqueName="39" name="Статус" queryTableFieldId="39" dataDxfId="67"/>
    <tableColumn id="40" xr3:uid="{08BE55F1-A3C8-4737-B51A-487C3AB536DB}" uniqueName="40" name="Статусы CRM" queryTableFieldId="40" dataDxfId="66"/>
    <tableColumn id="61" xr3:uid="{090252FC-596F-4295-9E40-3E836A233D59}" uniqueName="61" name="Статус ALLIO" queryTableFieldId="94"/>
    <tableColumn id="62" xr3:uid="{72E18486-6A9F-40A3-ADF1-6ED3F4156E09}" uniqueName="62" name="Тип брони" queryTableFieldId="95"/>
    <tableColumn id="63" xr3:uid="{D0C43E2B-63DF-4303-A13E-E1CC1E4AA07C}" uniqueName="63" name="Название объекта" queryTableFieldId="96"/>
    <tableColumn id="64" xr3:uid="{60276744-4B89-475B-8883-7F7ABCAF3D2F}" uniqueName="64" name="Тип площади" queryTableFieldId="103"/>
    <tableColumn id="41" xr3:uid="{372E7E4A-FF17-43C3-A277-91EEE434F05F}" uniqueName="41" name="Проверка" queryTableFieldId="108"/>
    <tableColumn id="43" xr3:uid="{B31BD18F-4227-4F9D-9E95-B192B860552A}" uniqueName="43" name="Стоимость CRM" queryTableFieldId="48"/>
    <tableColumn id="65" xr3:uid="{FAA582AC-F6BB-492E-BDA0-7BCAC04BFCAD}" uniqueName="65" name="ТС" queryTableFieldId="109"/>
    <tableColumn id="66" xr3:uid="{BBA3F747-526D-4E53-A170-88A8E3B583EF}" uniqueName="66" name="ПС" queryTableFieldId="110"/>
    <tableColumn id="67" xr3:uid="{D1B6EEA9-D7A4-4B82-91AA-6B3178FBBF3C}" uniqueName="67" name="ДС" queryTableFieldId="111"/>
    <tableColumn id="44" xr3:uid="{EBE76279-F268-4C30-ACD7-E73B5AF1A781}" uniqueName="44" name="проверка стоимости" queryTableFieldId="49"/>
    <tableColumn id="45" xr3:uid="{49836FC5-B47F-474F-8FE9-249D3B73C5AA}" uniqueName="45" name="Отделка CRM" queryTableFieldId="50"/>
    <tableColumn id="46" xr3:uid="{416D85EC-BDBF-4817-81A2-153500A39D7E}" uniqueName="46" name="Проверка отделки" queryTableFieldId="51"/>
    <tableColumn id="37" xr3:uid="{73715368-B973-47DA-978E-CF3C7C14C1F9}" uniqueName="37" name="КОД ОН" queryTableFieldId="5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145A65-9C10-4214-B2BB-61515838DCC2}" name="Д401" displayName="Д401" ref="A1:BE102" tableType="queryTable" totalsRowShown="0">
  <autoFilter ref="A1:BE102" xr:uid="{FA145A65-9C10-4214-B2BB-61515838DCC2}"/>
  <tableColumns count="57">
    <tableColumn id="1" xr3:uid="{E9E0356D-4474-4508-AFCB-33B97C433BF9}" uniqueName="1" name="№" queryTableFieldId="1" dataDxfId="65"/>
    <tableColumn id="2" xr3:uid="{CD1218A8-0571-430D-9F33-D29A9A964182}" uniqueName="2" name="Секция" queryTableFieldId="2" dataDxfId="64"/>
    <tableColumn id="42" xr3:uid="{837A7363-B7DA-4128-9F66-2C7F19D63F59}" uniqueName="42" name="Подъезд" queryTableFieldId="48"/>
    <tableColumn id="3" xr3:uid="{6B0720A8-C639-40AC-AF30-F489566A7D81}" uniqueName="3" name="Этаж" queryTableFieldId="3" dataDxfId="63"/>
    <tableColumn id="4" xr3:uid="{491D3EAB-96C7-4C08-9F50-AD136ACC45F5}" uniqueName="4" name="№ на этаже" queryTableFieldId="4" dataDxfId="62"/>
    <tableColumn id="5" xr3:uid="{EAAB675C-0D83-49A2-A945-EAEDF0688DF1}" uniqueName="5" name="Тип кв" queryTableFieldId="5" dataDxfId="61"/>
    <tableColumn id="6" xr3:uid="{6AE6C263-475B-42AA-A3C4-C24B9ED71FC7}" uniqueName="6" name="Комната 1" queryTableFieldId="6" dataDxfId="60"/>
    <tableColumn id="7" xr3:uid="{F725B05D-FE10-44E4-8B18-53A605480271}" uniqueName="7" name="Комната 2" queryTableFieldId="7" dataDxfId="59"/>
    <tableColumn id="8" xr3:uid="{80A11CF6-7636-4202-82CE-76FC49BCE136}" uniqueName="8" name="Комната 3" queryTableFieldId="8" dataDxfId="58"/>
    <tableColumn id="9" xr3:uid="{CFDB5BFD-F792-4F75-9640-45DC385B86B3}" uniqueName="9" name="Площадь по проекту жилая" queryTableFieldId="9" dataDxfId="57"/>
    <tableColumn id="10" xr3:uid="{F74C2E04-AF8A-4AA6-A19E-604289EBBD95}" uniqueName="10" name="Кухня" queryTableFieldId="10" dataDxfId="56"/>
    <tableColumn id="11" xr3:uid="{E0542857-16DC-4841-ADD6-6868D8200920}" uniqueName="11" name="Ванная" queryTableFieldId="11" dataDxfId="55"/>
    <tableColumn id="12" xr3:uid="{6735E396-9B1B-4B8F-9472-30714C12069C}" uniqueName="12" name="С\У" queryTableFieldId="12" dataDxfId="54"/>
    <tableColumn id="13" xr3:uid="{FEBE9810-2306-4AF4-8F50-6A859FA6B899}" uniqueName="13" name="Коридор" queryTableFieldId="13" dataDxfId="53"/>
    <tableColumn id="14" xr3:uid="{184D8B71-4931-446F-B9E7-507F0C8DEE76}" uniqueName="14" name="Гардеробная" queryTableFieldId="14" dataDxfId="52"/>
    <tableColumn id="15" xr3:uid="{D3652543-ACDF-49A0-922C-811CD2EA7767}" uniqueName="15" name="Лоджия 1" queryTableFieldId="15" dataDxfId="51"/>
    <tableColumn id="16" xr3:uid="{D9EB3654-501C-4E8E-AA65-91F2D7062F84}" uniqueName="16" name="Лоджия 2" queryTableFieldId="16" dataDxfId="50"/>
    <tableColumn id="18" xr3:uid="{1E3D49AF-6211-4BF8-9AF8-72229296FE10}" uniqueName="18" name="Летние" queryTableFieldId="18" dataDxfId="49"/>
    <tableColumn id="19" xr3:uid="{68C1EFAD-5B7E-41BF-8A0D-87777E1B9A06}" uniqueName="19" name="Площадь по проекту(общая)" queryTableFieldId="19" dataDxfId="48"/>
    <tableColumn id="20" xr3:uid="{49AA4459-5120-4958-93B2-173850764C24}" uniqueName="20" name="Площадь по проекту отапл (без летних)" queryTableFieldId="20" dataDxfId="47"/>
    <tableColumn id="21" xr3:uid="{1C8662D8-49C5-4583-9B48-EA3ADF8F9B6C}" uniqueName="21" name="Расчетная проектная площадь" queryTableFieldId="21" dataDxfId="46"/>
    <tableColumn id="22" xr3:uid="{5B8CE5BA-6DEA-4DFF-B4BE-4A9558EEA4AE}" uniqueName="22" name="м2 после К" queryTableFieldId="22" dataDxfId="45"/>
    <tableColumn id="23" xr3:uid="{3ECD5513-DBAD-4F04-A056-7200CF7DDFC9}" uniqueName="23" name="03.12.2024_x000a_2к-3к = 130 000_x000a_+2% ЗА ПАНАРАМУ" queryTableFieldId="88"/>
    <tableColumn id="24" xr3:uid="{5CE9FE55-2C30-4889-B832-B889120EC97D}" uniqueName="24" name="Фикс 03.12.2024" queryTableFieldId="89"/>
    <tableColumn id="37" xr3:uid="{1388F4E5-657D-4853-8559-71881F4A0617}" uniqueName="37" name="04.08.25 изменение S" queryTableFieldId="103"/>
    <tableColumn id="52" xr3:uid="{15D8C284-E683-4224-BB07-6EABB9FEC85A}" uniqueName="52" name="Фикс 04.08.25" queryTableFieldId="104"/>
    <tableColumn id="56" xr3:uid="{3FF9285C-6B8C-46EB-9D95-FCB3A7344664}" uniqueName="56" name="ПЦО 12.08.25 Дисконт 2К и 3К" queryTableFieldId="113"/>
    <tableColumn id="57" xr3:uid="{6033007C-69F9-4C57-AD9A-9EEABD54A58E}" uniqueName="57" name="Фикс 12.08.25" queryTableFieldId="114"/>
    <tableColumn id="25" xr3:uid="{4E1BF894-8411-4334-B6D9-61DF92E76B63}" uniqueName="25" name="утв цена м2" queryTableFieldId="25" dataDxfId="44"/>
    <tableColumn id="26" xr3:uid="{8C1B334C-307B-46E2-929C-D11C3D6AB859}" uniqueName="26" name="Стоимость до скидки" queryTableFieldId="26" dataDxfId="43"/>
    <tableColumn id="27" xr3:uid="{F37D0632-F905-48E9-9684-C691517D9CA1}" uniqueName="27" name="Скидка фиксированная" queryTableFieldId="27"/>
    <tableColumn id="28" xr3:uid="{D746354F-BCF5-45B3-9FAF-6C32B7138A40}" uniqueName="28" name="Скидка %" queryTableFieldId="28" dataDxfId="42"/>
    <tableColumn id="29" xr3:uid="{9325B645-983D-4FBA-8F6F-B81094DB7492}" uniqueName="29" name="Итоговая сумма скидки" queryTableFieldId="29" dataDxfId="41"/>
    <tableColumn id="30" xr3:uid="{5A92FE5B-AA53-46F4-9481-EF1450AE7034}" uniqueName="30" name="Цена м2 без отделки со скидкой" queryTableFieldId="30" dataDxfId="40"/>
    <tableColumn id="31" xr3:uid="{A5ACAB01-1C8A-403F-AF08-97A1CCA12293}" uniqueName="31" name="Стоимость ОН без отделки со скидкой" queryTableFieldId="31" dataDxfId="39"/>
    <tableColumn id="32" xr3:uid="{8923D4BC-DA03-4B60-BFBF-0AF1C68E9BD2}" uniqueName="32" name="Отделка" queryTableFieldId="32" dataDxfId="38"/>
    <tableColumn id="33" xr3:uid="{84D3283D-4775-419A-B374-A53810DBBB83}" uniqueName="33" name="Стоимость отделки" queryTableFieldId="33" dataDxfId="37"/>
    <tableColumn id="34" xr3:uid="{F8D48700-5DAF-46F8-B547-87FB40B6E660}" uniqueName="34" name="Цена м2 с отделкой2" queryTableFieldId="34" dataDxfId="36"/>
    <tableColumn id="35" xr3:uid="{BFBDC1B1-EA09-4C31-BFA3-59AE5D3EE1A5}" uniqueName="35" name="Сумма отделки" queryTableFieldId="35" dataDxfId="35"/>
    <tableColumn id="36" xr3:uid="{7D8391F3-611B-43DC-84B0-7AF18439EC62}" uniqueName="36" name="Стоимость квартиры с отделкой" queryTableFieldId="36" dataDxfId="34"/>
    <tableColumn id="38" xr3:uid="{E802BFBC-1048-4330-8E81-A419AE538DAA}" uniqueName="38" name="Примечание" queryTableFieldId="38"/>
    <tableColumn id="39" xr3:uid="{AED0ABA6-3FDC-493A-AE81-7287909DEBD1}" uniqueName="39" name="Статус" queryTableFieldId="39" dataDxfId="33"/>
    <tableColumn id="40" xr3:uid="{E5ED083C-E1A0-42B0-8472-DD7CC3FA74F3}" uniqueName="40" name="Статусы CRM" queryTableFieldId="40" dataDxfId="32"/>
    <tableColumn id="48" xr3:uid="{F75F5A11-5F91-4647-A071-427329245E82}" uniqueName="48" name="Статус ALLIO" queryTableFieldId="92"/>
    <tableColumn id="49" xr3:uid="{35746043-BD3E-4B6E-8C77-17431B2602AD}" uniqueName="49" name="Тип брони" queryTableFieldId="93"/>
    <tableColumn id="50" xr3:uid="{399E9691-C917-4651-8B8B-99B068CA597C}" uniqueName="50" name="Название объекта" queryTableFieldId="94"/>
    <tableColumn id="51" xr3:uid="{9FCC84D2-5CB2-4899-B624-9ED4CF4AE22F}" uniqueName="51" name="Тип площади" queryTableFieldId="98"/>
    <tableColumn id="41" xr3:uid="{FCD58AD8-C5F7-42D8-93E0-C9921FB24EAF}" uniqueName="41" name="проверка статуса" queryTableFieldId="41" dataDxfId="31"/>
    <tableColumn id="43" xr3:uid="{EEC582F0-F74A-46FD-90C4-D8814000733D}" uniqueName="43" name="Отделка CRM" queryTableFieldId="74"/>
    <tableColumn id="44" xr3:uid="{313E2169-60F0-40E4-9611-B35BC04BEC0A}" uniqueName="44" name="Сверка отделки" queryTableFieldId="75"/>
    <tableColumn id="45" xr3:uid="{E6CE8FBB-0007-4F08-BD45-519C6C18BDAA}" uniqueName="45" name="Стоимость CRM" queryTableFieldId="76"/>
    <tableColumn id="53" xr3:uid="{DABB8957-6C2B-4364-8154-2C42FDB525F2}" uniqueName="53" name="ТС" queryTableFieldId="105"/>
    <tableColumn id="54" xr3:uid="{42844CC0-DDC9-40BB-8C71-E2F4A4F5A87C}" uniqueName="54" name="ПС" queryTableFieldId="106"/>
    <tableColumn id="55" xr3:uid="{4E3F1122-881C-4AFE-8F6A-389CE535F39F}" uniqueName="55" name="ДС" queryTableFieldId="107"/>
    <tableColumn id="46" xr3:uid="{7A1D8B82-803D-42EE-BD32-90390FA50CAC}" uniqueName="46" name="Сверка стоимости" queryTableFieldId="77"/>
    <tableColumn id="47" xr3:uid="{6D30AF97-0D53-4C3C-9DA2-DB031C8A9A21}" uniqueName="47" name="Сверка скидки" queryTableFieldId="78"/>
    <tableColumn id="17" xr3:uid="{3E88A3DF-3EDC-423D-9537-E3E8FFB9CC7B}" uniqueName="17" name="КОД ОН" queryTableFieldId="7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8A9E5C-A912-4130-AE77-31453CDCE4DA}" name="Реестр_Д4" displayName="Реестр_Д4" ref="A1:DG537" tableType="queryTable" totalsRowShown="0">
  <autoFilter ref="A1:DG537" xr:uid="{A18A9E5C-A912-4130-AE77-31453CDCE4DA}"/>
  <tableColumns count="111">
    <tableColumn id="1" xr3:uid="{D1CD5026-203D-4101-A71A-508296978193}" uniqueName="1" name="№" queryTableFieldId="1" dataDxfId="241"/>
    <tableColumn id="2" xr3:uid="{8D43B948-00FC-4227-9FFF-33EB3E93D8E0}" uniqueName="2" name="Секция" queryTableFieldId="2" dataDxfId="240"/>
    <tableColumn id="3" xr3:uid="{BF8B6330-FC6D-444F-8E5F-8FED2E8106B3}" uniqueName="3" name="Этаж" queryTableFieldId="3" dataDxfId="239"/>
    <tableColumn id="4" xr3:uid="{F5D0856B-681B-4771-8C6A-0408FC21B31B}" uniqueName="4" name="№ на этаже" queryTableFieldId="4" dataDxfId="238"/>
    <tableColumn id="5" xr3:uid="{C86B81EC-09AE-4CF7-B4FF-7900D8016A8A}" uniqueName="5" name="Тип кв" queryTableFieldId="5" dataDxfId="237"/>
    <tableColumn id="6" xr3:uid="{223F4EE4-9422-456C-AD44-BBF396E4E576}" uniqueName="6" name="Площадь_x000a_комната 1" queryTableFieldId="6" dataDxfId="236"/>
    <tableColumn id="7" xr3:uid="{B983440E-5BA4-432F-98FD-96BC020DD240}" uniqueName="7" name="Площадь_x000a_комната 2" queryTableFieldId="7" dataDxfId="235"/>
    <tableColumn id="8" xr3:uid="{38605096-11D9-4552-B533-077ACBADFE9B}" uniqueName="8" name="Площадь_x000a_комната 3" queryTableFieldId="8" dataDxfId="234"/>
    <tableColumn id="9" xr3:uid="{8F7510C0-BA8D-4F05-9765-A6EB3708FC6B}" uniqueName="9" name="Жилая площадь по проекту" queryTableFieldId="9" dataDxfId="233"/>
    <tableColumn id="10" xr3:uid="{FA58267A-9A0A-4D9E-8CD9-E713ADABE70B}" uniqueName="10" name="Площадь_x000a_кухни" queryTableFieldId="10" dataDxfId="232"/>
    <tableColumn id="11" xr3:uid="{9EF3FA0D-A6EA-4685-A661-A65663219E77}" uniqueName="11" name="Площадь_x000a_ванная" queryTableFieldId="11" dataDxfId="231"/>
    <tableColumn id="12" xr3:uid="{11DF72B9-60C4-462B-AC39-2D6A6E5E998E}" uniqueName="12" name="Площадь_x000a_с\у" queryTableFieldId="12" dataDxfId="230"/>
    <tableColumn id="13" xr3:uid="{98FB4B12-E287-481C-9D4E-95BD84C9EC5A}" uniqueName="13" name="гардеробная" queryTableFieldId="13" dataDxfId="229"/>
    <tableColumn id="14" xr3:uid="{FE3CDB2E-58E6-4689-8C80-9EA6E4B599E4}" uniqueName="14" name="Площадь_x000a_вх группа" queryTableFieldId="14" dataDxfId="228"/>
    <tableColumn id="15" xr3:uid="{4CAD1166-86E7-487B-944E-E8E886D68D4A}" uniqueName="15" name="Площадь_x000a_Лоджии" queryTableFieldId="15" dataDxfId="227"/>
    <tableColumn id="16" xr3:uid="{FE351464-93DD-45CC-879C-C07964C98021}" uniqueName="16" name="Площадь_x000a_2 Лоджии" queryTableFieldId="16" dataDxfId="226"/>
    <tableColumn id="17" xr3:uid="{1F66049D-FA8F-440D-A983-32D4E27BB12D}" uniqueName="17" name="Летние" queryTableFieldId="17" dataDxfId="225"/>
    <tableColumn id="18" xr3:uid="{AB7A941F-741A-4555-BD9B-482EB2832864}" uniqueName="18" name="Общая площадь по проекту" queryTableFieldId="18" dataDxfId="224"/>
    <tableColumn id="19" xr3:uid="{D1D9EAC3-F4F9-4A28-A241-7091CBB79AD9}" uniqueName="19" name="Площадь без летних" queryTableFieldId="19" dataDxfId="223"/>
    <tableColumn id="20" xr3:uid="{D36229F2-A468-4EF7-AEDE-4670DA8ED37F}" uniqueName="20" name="Расчетная проектная площадь" queryTableFieldId="20" dataDxfId="222"/>
    <tableColumn id="22" xr3:uid="{0120F970-61EE-4F34-8D24-D5F8B804AF7C}" uniqueName="22" name="ТП S Расчетная" queryTableFieldId="195"/>
    <tableColumn id="38" xr3:uid="{F0803316-83F6-4253-8EBD-91DEC9613E38}" uniqueName="38" name="М2 с учетом K" queryTableFieldId="38"/>
    <tableColumn id="39" xr3:uid="{DADEB5CF-FCC2-429B-9C72-FBCA8C1E61C0}" uniqueName="39" name="18.07.22 Повышение 5%" queryTableFieldId="39"/>
    <tableColumn id="40" xr3:uid="{966FB428-62D2-497B-8FBD-867A70EDB452}" uniqueName="40" name="Фикс 18.07.22" queryTableFieldId="40"/>
    <tableColumn id="41" xr3:uid="{8DE714E7-9543-418B-BDE3-9430650AE763}" uniqueName="41" name="16.08.22 Повышение 4% на 1к кроме Г9" queryTableFieldId="89"/>
    <tableColumn id="42" xr3:uid="{A750316D-8B55-4D05-B8C1-DB027ACED109}" uniqueName="42" name="Фикс 16.08.22" queryTableFieldId="42"/>
    <tableColumn id="43" xr3:uid="{2A1D42C6-C3E0-485E-ADD7-053ACE491669}" uniqueName="43" name="17.11.2022 Повышение 5% на 1К и 2К" queryTableFieldId="90"/>
    <tableColumn id="44" xr3:uid="{A226DD55-9DD4-4B3B-97CD-982E275A1BBE}" uniqueName="44" name="Фикс 17.11.22" queryTableFieldId="49"/>
    <tableColumn id="45" xr3:uid="{C29EB912-2BA4-4B4F-8A19-DADEEEB9F377}" uniqueName="45" name="23.11.22 Повышение 0,0123%" queryTableFieldId="52"/>
    <tableColumn id="46" xr3:uid="{9D466E8B-287C-4227-841A-2B8BF8B4F77C}" uniqueName="46" name="Фикс 23.11.22" queryTableFieldId="53"/>
    <tableColumn id="48" xr3:uid="{CA83CB94-0FB4-4601-BBB4-DAB568084F4A}" uniqueName="48" name="01.12.22 Повышение  5% на 0К и 1К" queryTableFieldId="57"/>
    <tableColumn id="49" xr3:uid="{B1A8336C-CEA5-49AF-A6F9-954E2417A73C}" uniqueName="49" name="Фикс 01.12.22" queryTableFieldId="58"/>
    <tableColumn id="50" xr3:uid="{575A064F-8E79-4096-87EC-F58640A8EA59}" uniqueName="50" name="студии секции А 10% / 1К Г 4 на этаже - 5%" queryTableFieldId="65"/>
    <tableColumn id="51" xr3:uid="{10411327-CB8A-439E-AE3D-CA5C51B7770F}" uniqueName="51" name="Фикс 01.02.23" queryTableFieldId="62"/>
    <tableColumn id="52" xr3:uid="{01413F83-7550-48C9-A495-262367A3B733}" uniqueName="52" name="Повышение 24.02.23_x000a_1к -3%, 2К-2%, 3К-3%" queryTableFieldId="67"/>
    <tableColumn id="53" xr3:uid="{45901A85-6372-4231-9EC7-02F903460F52}" uniqueName="53" name="Фикс 24.02.23" queryTableFieldId="71"/>
    <tableColumn id="54" xr3:uid="{A3463028-221F-4746-921B-9DE315FC7FDA}" uniqueName="54" name="Повышение 23.03.23_x000a_все 1%, хиты 3%" queryTableFieldId="73"/>
    <tableColumn id="55" xr3:uid="{E707379B-9E5B-4218-8E38-9C9575E3EBB4}" uniqueName="55" name="Фикс 23.03.23" queryTableFieldId="74"/>
    <tableColumn id="47" xr3:uid="{F0A7367E-B715-4332-9F37-8593A1116215}" uniqueName="47" name="Повышение 03.05.23_x000a_все 2%, хиты 4%" queryTableFieldId="77"/>
    <tableColumn id="56" xr3:uid="{DD099411-EDD2-4F4B-A2B1-39DDB99479E6}" uniqueName="56" name="Фикс 03.05.23" queryTableFieldId="78"/>
    <tableColumn id="57" xr3:uid="{71B6D9A5-6C98-46F4-B38D-850BA8888164}" uniqueName="57" name="Повышение 25.05.23_x000a_Студия 5% 1к -2%, 2К-3%,3к-3%" queryTableFieldId="81"/>
    <tableColumn id="58" xr3:uid="{315340E3-FE99-46D8-814C-336AD7AC03B6}" uniqueName="58" name="Фикс 25.05.23" queryTableFieldId="82"/>
    <tableColumn id="59" xr3:uid="{AB49CC14-862A-4765-9C69-FDFA236415D8}" uniqueName="59" name="Повышение 01.07.23 3%" queryTableFieldId="85"/>
    <tableColumn id="60" xr3:uid="{5F7A3386-2C1E-4435-AE54-95A25252F86F}" uniqueName="60" name="Фикс 01.07.23" queryTableFieldId="86"/>
    <tableColumn id="61" xr3:uid="{000D16F3-6E0D-4D4D-96AB-9040795CF177}" uniqueName="61" name="Повышение 18.08.23 5%" queryTableFieldId="91"/>
    <tableColumn id="62" xr3:uid="{A42F7058-FB71-446D-81B1-1D176F9EB426}" uniqueName="62" name="Фикс 18.08.23" queryTableFieldId="92"/>
    <tableColumn id="63" xr3:uid="{2BF0711F-6172-4E3D-AB3A-0AE55AD9FF99}" uniqueName="63" name="Повышение 22.08.23 3%" queryTableFieldId="93"/>
    <tableColumn id="64" xr3:uid="{9B97D031-2FB4-4CF8-98E5-3278633B038D}" uniqueName="64" name="Фикс 22.08.23" queryTableFieldId="94"/>
    <tableColumn id="65" xr3:uid="{71D1B53F-707D-4CA7-8490-4A71EF5A2C53}" uniqueName="65" name="Повышение 23.08.23 6%_x000a_СТ - А, В1; _x000a_1К - Б, В, Г4, Г1; _x000a_3К - Г2 - 4%" queryTableFieldId="109"/>
    <tableColumn id="66" xr3:uid="{6700DF71-B573-487C-9C4B-BA2CEE43ADDA}" uniqueName="66" name="Фикс 23.08.23" queryTableFieldId="96"/>
    <tableColumn id="67" xr3:uid="{8D2A6993-2E8C-411D-A9E6-A2154EC31580}" uniqueName="67" name="6.09.23 Повышение 3к 3%" queryTableFieldId="97"/>
    <tableColumn id="68" xr3:uid="{A0F118FA-0FAA-4859-B484-AEE0250AAA90}" uniqueName="68" name="Фикс 6.09.23" queryTableFieldId="98"/>
    <tableColumn id="69" xr3:uid="{21E490D3-720E-4209-803C-E552C01EEDEB}" uniqueName="69" name="15.09.23 3% студий секция А" queryTableFieldId="110"/>
    <tableColumn id="70" xr3:uid="{C6F0D518-127D-42AB-8BD9-1FACC6A5BBAE}" uniqueName="70" name="Фикс 15.09.23" queryTableFieldId="111"/>
    <tableColumn id="72" xr3:uid="{938FECCD-A7FF-4DD5-B68A-7E86FE8D92B0}" uniqueName="72" name="20.10.2023_x000a_3% на 48 и 55 кв" queryTableFieldId="122"/>
    <tableColumn id="73" xr3:uid="{8C2E0EDB-25A9-4082-A43E-116F65A12A7D}" uniqueName="73" name="Фикс 20.10.23" queryTableFieldId="124"/>
    <tableColumn id="75" xr3:uid="{FDFEBAE6-7897-4E0E-AC99-611374BE55AA}" uniqueName="75" name="Наценка 24.11.23 _x000a_1к - Б4, Г9_x000a_С - А +5%, В +3%" queryTableFieldId="145"/>
    <tableColumn id="76" xr3:uid="{9192C1BF-1E2B-4AB3-A45A-358DBD1D2445}" uniqueName="76" name="Фикс 24.11.23" queryTableFieldId="128"/>
    <tableColumn id="77" xr3:uid="{4CFD156B-F89D-4A57-B3AB-9EB74675BB99}" uniqueName="77" name="Наценка 22.12.23 2К. А2 - 1000;  А6, В5 -  2000;  А5, Г5, Г8 - 3000" queryTableFieldId="133"/>
    <tableColumn id="78" xr3:uid="{58327466-F93D-46B5-A896-F0BFDDB31E69}" uniqueName="78" name="Фикс 22.12.23" queryTableFieldId="134"/>
    <tableColumn id="79" xr3:uid="{73158BC8-0FE4-4117-98CD-18482B24CE51}" uniqueName="79" name="Наценка 10.01.2024 5%" queryTableFieldId="137"/>
    <tableColumn id="80" xr3:uid="{70CF556A-C11D-43B9-8855-7084DEDE577F}" uniqueName="80" name="Фикс 10.01.2024" queryTableFieldId="138"/>
    <tableColumn id="83" xr3:uid="{1C23DA37-2365-44A7-BEF1-FFDFF9C5DF47}" uniqueName="83" name="Наценка 13.02.24 Студии А снижение  - 7500, 2К - 1000, 3К,1К, 0 - 500" queryTableFieldId="147"/>
    <tableColumn id="84" xr3:uid="{4D100921-B447-4CBC-B042-EA594293B2E1}" uniqueName="84" name="Фикс 13.02.2024" queryTableFieldId="148"/>
    <tableColumn id="89" xr3:uid="{9783DC36-315F-4D72-AF36-2196478416C8}" uniqueName="89" name="Наценка 06.03.24 2%" queryTableFieldId="161"/>
    <tableColumn id="90" xr3:uid="{62EC5B66-187F-415B-99D5-120E2DAFCB37}" uniqueName="90" name="Фикс 06.03.24" queryTableFieldId="156"/>
    <tableColumn id="91" xr3:uid="{F0D30C88-FFE4-4B4B-8998-21B7E69D2494}" uniqueName="91" name="Наценка 26.03.24 5%_x000a_Кроме 3К и 2К: А6, В2" queryTableFieldId="163"/>
    <tableColumn id="92" xr3:uid="{795F3AAE-9D06-406F-A38B-2B5C2D0E53F4}" uniqueName="92" name="Фикс 26.03.24" queryTableFieldId="164"/>
    <tableColumn id="95" xr3:uid="{6C6B9193-8F4F-413B-8B4C-9739F451CB4E}" uniqueName="95" name="Наценка 16.04.24 +500" queryTableFieldId="169"/>
    <tableColumn id="96" xr3:uid="{88822C1B-A96E-4A39-90CD-91D8EBF07DD5}" uniqueName="96" name="Фикс 16.04.24" queryTableFieldId="170"/>
    <tableColumn id="102" xr3:uid="{0701A54F-C9D2-4EDA-9C30-A9255BCBF560}" uniqueName="102" name="Наценка 24.10.24 индивид за КВ" queryTableFieldId="189"/>
    <tableColumn id="103" xr3:uid="{F3521F94-45EA-4C1C-AF89-13FA7ECB0AE8}" uniqueName="103" name="Фикс 24.10.24" queryTableFieldId="184"/>
    <tableColumn id="104" xr3:uid="{576888ED-3D13-4930-97CA-F96FFC702043}" uniqueName="104" name="Фикс 21.11.24_x000a_доплата за КВ" queryTableFieldId="191"/>
    <tableColumn id="105" xr3:uid="{8B56CE6D-7333-4C2F-BB2A-E7BC253FE948}" uniqueName="105" name="Фикс 21.11.24" queryTableFieldId="192"/>
    <tableColumn id="97" xr3:uid="{9DE5B85C-91F0-46B0-9623-7F8700EC7FD8}" uniqueName="97" name="Дисконт 24.07.25" queryTableFieldId="196"/>
    <tableColumn id="106" xr3:uid="{AED48098-5224-4A5A-94A2-1846CA0EF51B}" uniqueName="106" name="Фикс 24.07.25" queryTableFieldId="197"/>
    <tableColumn id="21" xr3:uid="{E89E3CA5-844C-4AEE-A126-74EAD66863A0}" uniqueName="21" name="Утв цена м2" queryTableFieldId="21" dataDxfId="221"/>
    <tableColumn id="107" xr3:uid="{9D85609D-4786-4E5B-B62E-DBBF4F8FDB92}" uniqueName="107" name="Стоимость до скидки" queryTableFieldId="198"/>
    <tableColumn id="23" xr3:uid="{A19277D7-E313-402D-BDA5-1282ACB9A7DA}" uniqueName="23" name="Скидка фиксированная" queryTableFieldId="23"/>
    <tableColumn id="24" xr3:uid="{17831C0A-7898-4099-B4C0-48E246517DE9}" uniqueName="24" name="Скидка %" queryTableFieldId="24"/>
    <tableColumn id="25" xr3:uid="{F80E845C-90AC-486D-ABFA-64E851306404}" uniqueName="25" name="Итоговая сумма скидки" queryTableFieldId="25" dataDxfId="220"/>
    <tableColumn id="26" xr3:uid="{4DABA190-D7E9-4286-96F1-24D52598A8A0}" uniqueName="26" name="Цена м2 без отделки со скидкой" queryTableFieldId="26" dataDxfId="219"/>
    <tableColumn id="27" xr3:uid="{B2B06FD4-34B9-47B1-BF37-26B169EC6E3E}" uniqueName="27" name="Стоимость ОН без отделки со скидкой" queryTableFieldId="27" dataDxfId="218"/>
    <tableColumn id="28" xr3:uid="{F021EA99-F448-41EA-B7E2-0C46F2A18997}" uniqueName="28" name="Отделка" queryTableFieldId="28" dataDxfId="217"/>
    <tableColumn id="29" xr3:uid="{45C36A79-9A3D-48FB-ACDA-7D6F115DB77F}" uniqueName="29" name="Стоимость отделки" queryTableFieldId="29" dataDxfId="216"/>
    <tableColumn id="30" xr3:uid="{553B0F94-D750-47B3-A561-19BEA3AC4BD1}" uniqueName="30" name="Цена м2 с отделкой" queryTableFieldId="30" dataDxfId="215"/>
    <tableColumn id="31" xr3:uid="{30EABB57-75D2-4D51-9290-927D7D7B96BE}" uniqueName="31" name="Сумма отделки" queryTableFieldId="31" dataDxfId="214"/>
    <tableColumn id="32" xr3:uid="{0A2016CE-3D89-4BF3-B59D-6BF067CD645E}" uniqueName="32" name="Стоимость квартиры с отделкой" queryTableFieldId="32" dataDxfId="213"/>
    <tableColumn id="33" xr3:uid="{9442D6EE-663A-419C-B53A-B1BB0A1EB932}" uniqueName="33" name="ОН ХИТ" queryTableFieldId="33" dataDxfId="212"/>
    <tableColumn id="34" xr3:uid="{6B4D4BF6-DE67-4162-860E-5EBB33872D7A}" uniqueName="34" name="Примечание" queryTableFieldId="34"/>
    <tableColumn id="81" xr3:uid="{9F91C302-070A-45C7-BF7B-BA56AB71845B}" uniqueName="81" name="Стоимость по переуступке" queryTableFieldId="141"/>
    <tableColumn id="82" xr3:uid="{4DB8741C-810D-44C0-AB14-19E01A1EEC62}" uniqueName="82" name="Цена м2 по переуступке" queryTableFieldId="142"/>
    <tableColumn id="35" xr3:uid="{8A7D21A8-4C5C-40FF-8DEF-4A15E9AAD73C}" uniqueName="35" name="Статус" queryTableFieldId="35" dataDxfId="211"/>
    <tableColumn id="36" xr3:uid="{8699E5F5-306C-4D23-A06A-856ADD22852E}" uniqueName="36" name="Статусы CRM" queryTableFieldId="36" dataDxfId="210"/>
    <tableColumn id="37" xr3:uid="{37907474-E1FB-4A72-AE52-11A8880FB1D1}" uniqueName="37" name="Проверка статуса" queryTableFieldId="37" dataDxfId="209"/>
    <tableColumn id="108" xr3:uid="{0AD0222E-C940-4DD8-9607-2E3A27FDD222}" uniqueName="108" name="Статус ALLIO" queryTableFieldId="199"/>
    <tableColumn id="109" xr3:uid="{A2790D02-A4C7-4979-8087-1ECF2038274A}" uniqueName="109" name="Тип брони" queryTableFieldId="200"/>
    <tableColumn id="110" xr3:uid="{70FED0A9-4484-4A6F-832B-C747979DECD9}" uniqueName="110" name="Название объекта" queryTableFieldId="201"/>
    <tableColumn id="111" xr3:uid="{8AFCEA95-7DB0-4CE2-BCCE-3C779D9913D3}" uniqueName="111" name="Тип площади" queryTableFieldId="209"/>
    <tableColumn id="71" xr3:uid="{ABB271BC-8689-4B45-AD62-B65988CB6547}" uniqueName="71" name="КОД ОН" queryTableFieldId="115"/>
    <tableColumn id="74" xr3:uid="{486FFAE6-FE20-430F-B8CE-EFE654881F09}" uniqueName="74" name="Округление" queryTableFieldId="126"/>
    <tableColumn id="98" xr3:uid="{6CCB8210-CBE0-4495-BAB4-680480BC4E45}" uniqueName="98" name="Схема продажи" queryTableFieldId="174"/>
    <tableColumn id="99" xr3:uid="{07276598-D803-4DAF-A45E-1DC5657B1375}" uniqueName="99" name="Отклонение" queryTableFieldId="175"/>
    <tableColumn id="100" xr3:uid="{C5467C0E-543A-464B-96E8-476A66249BE9}" uniqueName="100" name="Доплата" queryTableFieldId="176"/>
    <tableColumn id="101" xr3:uid="{45EAB7BA-89D7-424C-81A5-102C9B26D7E9}" uniqueName="101" name="Стоимость с доплатой" queryTableFieldId="177"/>
    <tableColumn id="85" xr3:uid="{D48A6A12-C098-47D8-ACA9-A44D13EB75E1}" uniqueName="85" name="Отделка CRM" queryTableFieldId="151"/>
    <tableColumn id="86" xr3:uid="{16AD80D7-D06E-42C9-AE68-3075C9A3AFBD}" uniqueName="86" name="Сверка отделки" queryTableFieldId="152"/>
    <tableColumn id="87" xr3:uid="{2747A256-B59A-4A4E-B5ED-AF68DA2717FA}" uniqueName="87" name="Стоимость CRM" queryTableFieldId="153"/>
    <tableColumn id="88" xr3:uid="{789FD6C0-39C6-4857-8CCF-F3CCC12B0F98}" uniqueName="88" name="Сверка стоимость " queryTableFieldId="154"/>
    <tableColumn id="94" xr3:uid="{D615A0C5-887D-429F-893D-3A871582DA52}" uniqueName="94" name="Сверка скидки" queryTableFieldId="168"/>
    <tableColumn id="93" xr3:uid="{0BB800C9-BB32-44D5-A84C-624B2332F5CE}" uniqueName="93" name="Дата продажи" queryTableFieldId="167" dataDxfId="30">
      <calculatedColumnFormula array="1">_xlfn.XLOOKUP("Дом 4"&amp;Реестр_Д4[[#This Row],[№]]&amp;Реестр_Д4[[#This Row],[Статус]],РД[Дом]&amp;РД[№ кв]&amp;РД[Состояние],РД[Дата подачи на регистрацию],"-",0)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154F22-64D1-4403-9C0D-AA238EDEAD68}" name="Реестр_Д5" displayName="Реестр_Д5" ref="A1:DE581" tableType="queryTable" totalsRowShown="0">
  <autoFilter ref="A1:DE581" xr:uid="{6A154F22-64D1-4403-9C0D-AA238EDEAD68}">
    <filterColumn colId="95">
      <filters>
        <filter val="ДКП"/>
      </filters>
    </filterColumn>
  </autoFilter>
  <tableColumns count="109">
    <tableColumn id="1" xr3:uid="{0F39CEB8-FBE4-4C09-85BD-322322461F56}" uniqueName="1" name="№" queryTableFieldId="1" dataDxfId="29"/>
    <tableColumn id="2" xr3:uid="{844C7615-D2A0-49A5-B6D6-FC19F7481AA9}" uniqueName="2" name="Секция" queryTableFieldId="2" dataDxfId="28"/>
    <tableColumn id="3" xr3:uid="{D4F1F2B8-DEE0-4138-955E-07E5FD60FAE2}" uniqueName="3" name="Этаж" queryTableFieldId="3" dataDxfId="27"/>
    <tableColumn id="4" xr3:uid="{72447D4C-33F4-4B4D-946A-42A37D0166C8}" uniqueName="4" name="№ на этаже" queryTableFieldId="38" dataDxfId="26"/>
    <tableColumn id="5" xr3:uid="{3D7D70DA-F691-40CD-A186-9F96F75C702A}" uniqueName="5" name="Тип кв" queryTableFieldId="5" dataDxfId="25"/>
    <tableColumn id="6" xr3:uid="{D8AA16B7-209E-4EF3-9E50-9178DF818B94}" uniqueName="6" name="Комната 1" queryTableFieldId="6" dataDxfId="24"/>
    <tableColumn id="7" xr3:uid="{E8883474-9F9E-46D7-8C0E-258CFA08F67D}" uniqueName="7" name="Комната 2" queryTableFieldId="7" dataDxfId="23"/>
    <tableColumn id="8" xr3:uid="{0DFE7E46-B9CA-4B19-9BA1-478FDE0EF34B}" uniqueName="8" name="Комната 3" queryTableFieldId="8" dataDxfId="22"/>
    <tableColumn id="9" xr3:uid="{C1DAB4D8-A31E-4952-8C59-864B5C76042B}" uniqueName="9" name="Площадь по проекту жилая" queryTableFieldId="54"/>
    <tableColumn id="10" xr3:uid="{D7A42DDA-B5D7-4274-BE1B-948DC0C277E3}" uniqueName="10" name="Кухня" queryTableFieldId="10" dataDxfId="21"/>
    <tableColumn id="11" xr3:uid="{C6DD9276-BD77-4F2E-B358-4FBBD9AFE194}" uniqueName="11" name="Ванная" queryTableFieldId="11" dataDxfId="20"/>
    <tableColumn id="12" xr3:uid="{80DCA804-F563-4162-8DEA-5B3BC665E783}" uniqueName="12" name="С\У" queryTableFieldId="12" dataDxfId="19"/>
    <tableColumn id="13" xr3:uid="{76301D46-2D82-48C9-A231-56607AF40057}" uniqueName="13" name="Гардеробная" queryTableFieldId="13" dataDxfId="18"/>
    <tableColumn id="14" xr3:uid="{C9989B8D-2923-4A5E-99F8-D16983375B4A}" uniqueName="14" name="Коридор" queryTableFieldId="14" dataDxfId="17"/>
    <tableColumn id="15" xr3:uid="{C996F050-C91B-43B2-9249-F1707CD59C9A}" uniqueName="15" name="Лоджия 1" queryTableFieldId="15" dataDxfId="16"/>
    <tableColumn id="16" xr3:uid="{A62A5495-63BC-4376-AA9C-9EA22390AFF2}" uniqueName="16" name="Лоджия 2" queryTableFieldId="16" dataDxfId="15"/>
    <tableColumn id="17" xr3:uid="{28FB9BDC-B1EA-4866-9A6B-E5246E4FC000}" uniqueName="17" name="Лоджия 3" queryTableFieldId="17"/>
    <tableColumn id="19" xr3:uid="{83BBC77F-AA1C-431C-AC53-C450FEFA7E6B}" uniqueName="19" name="Летние" queryTableFieldId="19" dataDxfId="14"/>
    <tableColumn id="18" xr3:uid="{451F6163-B999-433B-AC0A-537070B051FA}" uniqueName="18" name="Площадь по проекту(общая)" queryTableFieldId="55"/>
    <tableColumn id="20" xr3:uid="{8DC93B31-6294-4EE8-83DC-27B417CEB72F}" uniqueName="20" name="Площадь по проекту отапл (без летних)" queryTableFieldId="56"/>
    <tableColumn id="22" xr3:uid="{F38AF440-4BE4-4C7B-ABE2-BB053EB6A69E}" uniqueName="22" name="Расчетная проектная площадь" queryTableFieldId="39" dataDxfId="13"/>
    <tableColumn id="99" xr3:uid="{5601CBB5-8A4E-46BF-9001-93D75842D591}" uniqueName="99" name="ТП S Расчетная" queryTableFieldId="201"/>
    <tableColumn id="25" xr3:uid="{376A152A-C445-4B77-BCA3-69A1BF063684}" uniqueName="25" name="м2 после К" queryTableFieldId="40" dataDxfId="12"/>
    <tableColumn id="21" xr3:uid="{B7D84D77-57B5-40DC-8981-C6ACB37E7EBA}" uniqueName="21" name="Повышение 16.08.23 - 5%" queryTableFieldId="60"/>
    <tableColumn id="38" xr3:uid="{B69395DC-6DEE-41D1-BAA5-2224530A6D13}" uniqueName="38" name="Фикс 16.08.23" queryTableFieldId="61"/>
    <tableColumn id="39" xr3:uid="{DC2B51AA-E7FF-4738-9FF1-EF53AD2CBB0A}" uniqueName="39" name="Повышение 29.08.23 - 3%" queryTableFieldId="62"/>
    <tableColumn id="43" xr3:uid="{8A0DBCCA-50C3-487C-AE61-57FDF62325C9}" uniqueName="43" name="Фикс 29.08.23" queryTableFieldId="63"/>
    <tableColumn id="44" xr3:uid="{1C83A9A9-1009-4B4B-B60B-86A19848EDEB}" uniqueName="44" name="Повышение 06.09.23 СТ и 1К" queryTableFieldId="85"/>
    <tableColumn id="45" xr3:uid="{43765AE3-1C97-4EFD-BB9E-05F1165F1F98}" uniqueName="45" name="Фикс 06.09.23" queryTableFieldId="79"/>
    <tableColumn id="48" xr3:uid="{D210D019-A8AD-4B04-9881-301CCB87EA22}" uniqueName="48" name="Повышение 23.10.23  В4 " queryTableFieldId="86"/>
    <tableColumn id="49" xr3:uid="{CC9C78F7-8386-412D-8549-6AA4229C2180}" uniqueName="49" name="Фикс 23.10.23" queryTableFieldId="81"/>
    <tableColumn id="50" xr3:uid="{5AAF7BC3-8C66-4E3F-AA47-ED3E37BDB23B}" uniqueName="50" name="Повышение 8.11.23 1К 5%" queryTableFieldId="87"/>
    <tableColumn id="51" xr3:uid="{5347829C-5C9B-4CC5-ADD4-372473B3A069}" uniqueName="51" name="Фикс 8.11.23" queryTableFieldId="88"/>
    <tableColumn id="53" xr3:uid="{62B75E04-40F3-430D-B4F9-760A212943FD}" uniqueName="53" name="Корректировка 24.11.23 - 1К В5, 2К А2, №233" queryTableFieldId="106"/>
    <tableColumn id="54" xr3:uid="{0257BDD4-BCF6-4E96-8D31-AB22F8CB2E10}" uniqueName="54" name="Фикс 8.11.24" queryTableFieldId="95"/>
    <tableColumn id="55" xr3:uid="{3678EA42-E8FD-4ED4-9DA5-1D60AFD3D84A}" uniqueName="55" name="Наценка за отделку 29.12.23 1%" queryTableFieldId="98"/>
    <tableColumn id="56" xr3:uid="{F6C9B088-A821-4F42-A495-18EAB9325491}" uniqueName="56" name="Фикс 29.12.23" queryTableFieldId="99"/>
    <tableColumn id="57" xr3:uid="{6F6EC917-D2E5-4A1D-BB69-9C9BEADDB9AD}" uniqueName="57" name="Наценка 10.01.24 5%" queryTableFieldId="102"/>
    <tableColumn id="58" xr3:uid="{FEE99632-3C71-4803-AAB3-41B27D4B1558}" uniqueName="58" name="Фикс 10.01.24" queryTableFieldId="103"/>
    <tableColumn id="47" xr3:uid="{D8DBC933-2A32-45B2-BC9A-7B783B0EDCDC}" uniqueName="47" name="Наценка 26.02.24 1 Этаж" queryTableFieldId="116"/>
    <tableColumn id="60" xr3:uid="{C62BDB8E-AB68-4A9A-B379-921ECD937FD2}" uniqueName="60" name="Фикс 26.02.24" queryTableFieldId="109"/>
    <tableColumn id="59" xr3:uid="{740A1721-19DB-4BE8-9B96-B5F13BBEDEFB}" uniqueName="59" name="Наценка 06.03.24_x000a_СТ, 1К - 3%_x000a_2К, 3К - 2%" queryTableFieldId="117"/>
    <tableColumn id="65" xr3:uid="{42CF7BEA-B140-41C5-90E1-542199983B61}" uniqueName="65" name="Фикс 06.03.24" queryTableFieldId="118"/>
    <tableColumn id="66" xr3:uid="{571261BB-1938-46A5-9C29-7A6D743C9A9B}" uniqueName="66" name="Наценка Г2+500" queryTableFieldId="122"/>
    <tableColumn id="67" xr3:uid="{BD302F15-96EC-49A5-B70D-F1358F8AB7A2}" uniqueName="67" name="Фикс 13.03.25" queryTableFieldId="123"/>
    <tableColumn id="68" xr3:uid="{36A6F34F-3958-455A-AAC5-8EA3215E90E5}" uniqueName="68" name="Наценка 20.03.24_x000a_2К, 3К - 2%" queryTableFieldId="126"/>
    <tableColumn id="69" xr3:uid="{557B19E0-95EF-4F8E-8BF5-070318B38CD9}" uniqueName="69" name="Фикс 20.03.24" queryTableFieldId="127"/>
    <tableColumn id="71" xr3:uid="{6DC87BBE-C8F8-4DF0-927A-B8F7F2BB483E}" uniqueName="71" name="Наценка 08.04.24 _x000a_2К: В3 - 150_x000a_3К: Г7 +1000" queryTableFieldId="142"/>
    <tableColumn id="72" xr3:uid="{E1568358-2B13-4351-9474-7A72C998146B}" uniqueName="72" name="Фикс 08.04.24" queryTableFieldId="132"/>
    <tableColumn id="74" xr3:uid="{537B5734-783D-4BDA-B086-070BFCC2FB6E}" uniqueName="74" name="Наценка 16.05.24 1%_x000a_А4,А6,Б3,Б6,Б7,В2,В3,В5,В6,Г1,Г3-Г5" queryTableFieldId="152"/>
    <tableColumn id="75" xr3:uid="{3C3C4436-0C13-4611-93CA-94B0C9963616}" uniqueName="75" name="Фикс 16.05.24" queryTableFieldId="143"/>
    <tableColumn id="76" xr3:uid="{80F66FBB-A1F1-48A8-A6E1-D70932B1BE4A}" uniqueName="76" name="Наценка 24.05.24_x000a_1% - Б4, Б5,Г2,Г6_x000a_2% - А1,А3,А5,Б2,Г7" queryTableFieldId="144"/>
    <tableColumn id="77" xr3:uid="{17D0CE2D-BA9F-44D3-862D-7BCB64DDC1BC}" uniqueName="77" name="Фикс 24.05.24" queryTableFieldId="145"/>
    <tableColumn id="78" xr3:uid="{FFDBD889-60B2-4F04-948E-DADB74E0679C}" uniqueName="78" name="Наценка 06.06.24_x000a_0К: В2,Г3 +0,5%_x000a_1К: А7, Б5/4, Г6 +0,5%_x000a_3К: В6 +0,5%_x000a_1К: А3 +1%" queryTableFieldId="158"/>
    <tableColumn id="79" xr3:uid="{E8786CEF-5496-4083-A17F-D60CBC57980F}" uniqueName="79" name="Фикс 06.06.24" queryTableFieldId="155"/>
    <tableColumn id="80" xr3:uid="{7FB5925C-93BF-434D-8E5D-36A938FBCE33}" uniqueName="80" name="13.06.2024_x000a_3К - 2%" queryTableFieldId="160"/>
    <tableColumn id="81" xr3:uid="{68212030-67F1-4B1F-9AB0-2D88BAD58053}" uniqueName="81" name="Фикс 13.06.24" queryTableFieldId="161"/>
    <tableColumn id="82" xr3:uid="{E2FBDC46-03E6-459F-AAF8-B4627D7103D4}" uniqueName="82" name="02.07.2024: Г3 А1 А3 Б5 Б7 Г2 Г6 Б3 Б4 В3 Г7 2,5% ост 0,5-1,5%" queryTableFieldId="164"/>
    <tableColumn id="83" xr3:uid="{76E92C13-6E96-42CE-BFC4-640FC47B9F1B}" uniqueName="83" name="Фикс 02.07.24" queryTableFieldId="165"/>
    <tableColumn id="84" xr3:uid="{94328394-FDBA-4FD2-B35F-77F8A690D2E3}" uniqueName="84" name="04.09.2024 +500_x000a_0К - Б2; 1К - А3;_x000a_2К - А6, Б4, В3, Г5" queryTableFieldId="172"/>
    <tableColumn id="85" xr3:uid="{16F5A3C5-A720-41CF-A661-8FEAB1AAEF9D}" uniqueName="85" name="Фикс 04.09.24" queryTableFieldId="169"/>
    <tableColumn id="86" xr3:uid="{9747BFFC-E668-465F-AE56-BDFCDE2DAE52}" uniqueName="86" name="Наценка 16.09.2024_x000a_1К: А1,В7,Г6/7,Г8 - 2%_x000a_2К: А4,А5,А6,Б1,Б6,Б3/4,В3,В4,Г4,Г5 - 4%_x000a_3К: 4%" queryTableFieldId="174"/>
    <tableColumn id="87" xr3:uid="{E509D50C-3B84-4913-8101-426E26C6972F}" uniqueName="87" name="Фикс 16.09.2024" queryTableFieldId="175"/>
    <tableColumn id="88" xr3:uid="{F985EE62-A816-4BF3-9AA4-37983C97AC96}" uniqueName="88" name="Наценка 01.11.24_x000a_СТ: 4%_x000a_1К: 34-40м 5%; 40м+ 8%; МГН 1%_x000a_2К: 55-70м 6%; 70-73м 7%; 73-76м 8% _x000a_3К: 5%" queryTableFieldId="179"/>
    <tableColumn id="89" xr3:uid="{BD09B168-B03C-4C3C-B6B5-9ACD695AC3AA}" uniqueName="89" name="Фикс 01.11.24" queryTableFieldId="180"/>
    <tableColumn id="90" xr3:uid="{20794667-0110-4056-A628-44DE9B965822}" uniqueName="90" name="Наценка 06.11 13%" queryTableFieldId="187"/>
    <tableColumn id="91" xr3:uid="{AABC67B0-EA05-4A2A-A554-CA0EABF3CAFC}" uniqueName="91" name="Фикс 06.11.24" queryTableFieldId="184"/>
    <tableColumn id="93" xr3:uid="{74F72A30-ED72-42A4-92C1-DAAF86B02EFD}" uniqueName="93" name="Наценка 18.12.24 распределение КВ" queryTableFieldId="191"/>
    <tableColumn id="94" xr3:uid="{DD4C134B-CBF6-4B3A-8E5C-90FE216368C8}" uniqueName="94" name="Фикс 18.12.24" queryTableFieldId="192"/>
    <tableColumn id="95" xr3:uid="{A02D749C-27B2-4EDE-8651-B213CDEA241F}" uniqueName="95" name="Наценка 10.02.25 +1%_x000a_1К: А3_x000a_2К: Б3, В3" queryTableFieldId="195"/>
    <tableColumn id="96" xr3:uid="{3978D463-FA2E-43AE-BD38-80EE1116CF29}" uniqueName="96" name="Фикс 10.02.25" queryTableFieldId="196"/>
    <tableColumn id="23" xr3:uid="{FF735960-BA92-493A-8F92-438A687EB48E}" uniqueName="23" name="утв цена м2" queryTableFieldId="23" dataDxfId="11"/>
    <tableColumn id="40" xr3:uid="{5E6FA67A-E86B-49FE-AD5F-62F78ADB35F3}" uniqueName="40" name="Стоимость до скидки" queryTableFieldId="43" dataDxfId="10"/>
    <tableColumn id="41" xr3:uid="{D362A98E-8F8A-4C22-8522-7553FC799376}" uniqueName="41" name="Скидка фиксированная" queryTableFieldId="44"/>
    <tableColumn id="24" xr3:uid="{42B46274-497D-4D32-B07F-7F4B30C2473E}" uniqueName="24" name="Скидка %" queryTableFieldId="24"/>
    <tableColumn id="42" xr3:uid="{34A88DBA-4209-46C3-996F-851A6A6E3A00}" uniqueName="42" name="Итоговая сумма скидки" queryTableFieldId="45" dataDxfId="9"/>
    <tableColumn id="26" xr3:uid="{5646A466-58C3-493D-9D94-4CEA463983FC}" uniqueName="26" name="Цена м2 без отделки со скидкой" queryTableFieldId="26" dataDxfId="8"/>
    <tableColumn id="27" xr3:uid="{D435D3ED-F71E-4267-A303-BE2ED1BC9396}" uniqueName="27" name="Стоимость ОН без отделки со скидкой" queryTableFieldId="27" dataDxfId="7"/>
    <tableColumn id="28" xr3:uid="{01753813-76C5-485C-A2CD-BD0091624576}" uniqueName="28" name="Отделка" queryTableFieldId="28" dataDxfId="6"/>
    <tableColumn id="29" xr3:uid="{DD4FC4DB-64BD-4310-9A51-FB3E179E879E}" uniqueName="29" name="Стоимость отделки" queryTableFieldId="29"/>
    <tableColumn id="30" xr3:uid="{FCD4C2E9-A168-4358-B865-8612AC40A610}" uniqueName="30" name="Цена м2 с отделкой" queryTableFieldId="74"/>
    <tableColumn id="31" xr3:uid="{E77BB2D8-A478-4A7F-8009-3239B69101B7}" uniqueName="31" name="Сумма отделки" queryTableFieldId="31" dataDxfId="5"/>
    <tableColumn id="32" xr3:uid="{BF27747D-94D2-4EC4-8B97-B70170F8CE3E}" uniqueName="32" name="Стоимость квартиры с отделкой" queryTableFieldId="32" dataDxfId="4"/>
    <tableColumn id="33" xr3:uid="{530EE3FD-9CE3-413A-A6B8-BC6B7AB791C3}" uniqueName="33" name="ОН ХИТ" queryTableFieldId="33"/>
    <tableColumn id="34" xr3:uid="{62FF2010-C78C-40D4-B2B2-5FE29023FFB8}" uniqueName="34" name="Примечание" queryTableFieldId="34"/>
    <tableColumn id="35" xr3:uid="{56FAB3E7-03DC-48BB-8061-E5BC3048250E}" uniqueName="35" name="Статус" queryTableFieldId="35" dataDxfId="3"/>
    <tableColumn id="36" xr3:uid="{04798821-E379-4E78-9063-747C9BF4A573}" uniqueName="36" name="Статусы CRM" queryTableFieldId="36" dataDxfId="2"/>
    <tableColumn id="103" xr3:uid="{525BFA11-8652-4386-A664-20813539F2E2}" uniqueName="103" name="Статус ALLIO" queryTableFieldId="207"/>
    <tableColumn id="104" xr3:uid="{2E014635-3AA1-4B53-8EFF-9E7934B67D1C}" uniqueName="104" name="Тип брони" queryTableFieldId="208"/>
    <tableColumn id="105" xr3:uid="{69953DDC-9874-465B-92D2-2A0BC45D864C}" uniqueName="105" name="Название объекта" queryTableFieldId="209"/>
    <tableColumn id="100" xr3:uid="{D0167AB9-4743-46E9-922E-62B8D5FF2BCC}" uniqueName="100" name="Тип площади" queryTableFieldId="213"/>
    <tableColumn id="37" xr3:uid="{6F676130-A7DA-4BE7-B048-5D4A7A385D74}" uniqueName="37" name="проверка статуса" queryTableFieldId="37" dataDxfId="1"/>
    <tableColumn id="46" xr3:uid="{9EE133F0-E533-40EA-AB2E-A3E6FF74361F}" uniqueName="46" name="КОД ОН" queryTableFieldId="76"/>
    <tableColumn id="92" xr3:uid="{B48C8C45-8338-4848-A49E-34C4A6BEAAA8}" uniqueName="92" name="Стоимость по переуступке" queryTableFieldId="189"/>
    <tableColumn id="52" xr3:uid="{130A804E-1935-40D4-AA3A-D233259BD47B}" uniqueName="52" name="Округление" queryTableFieldId="93"/>
    <tableColumn id="106" xr3:uid="{C7B1F27A-B38C-4AC5-968F-6A00E1078323}" uniqueName="106" name="Схема продажи" queryTableFieldId="214"/>
    <tableColumn id="61" xr3:uid="{34470922-86AB-4EEF-9A77-BCE59CE5159E}" uniqueName="61" name="Отделка CRM" queryTableFieldId="112"/>
    <tableColumn id="62" xr3:uid="{290E55D7-89D7-4B2B-9AED-E48979CFF8D9}" uniqueName="62" name="Сверка отделки" queryTableFieldId="113"/>
    <tableColumn id="63" xr3:uid="{4FFCE933-2966-41B6-A2FF-CE80C561D4A4}" uniqueName="63" name="Стоимость CRM" queryTableFieldId="114"/>
    <tableColumn id="107" xr3:uid="{EE245AEE-240A-414B-895C-28836DFDDE52}" uniqueName="107" name="ТС" queryTableFieldId="220"/>
    <tableColumn id="108" xr3:uid="{4B860489-92E7-4573-81AA-7BC255816E0D}" uniqueName="108" name="ПС" queryTableFieldId="221"/>
    <tableColumn id="109" xr3:uid="{369D6B01-F8E5-4F56-A689-3B015C5E8608}" uniqueName="109" name="ДС" queryTableFieldId="222"/>
    <tableColumn id="64" xr3:uid="{8913666F-FDCA-4138-B74D-6A4A4D9D3554}" uniqueName="64" name="Сверка стоимость " queryTableFieldId="115"/>
    <tableColumn id="73" xr3:uid="{79A49232-723E-44DC-9DD4-4B393A062E06}" uniqueName="73" name="Сверка скидки" queryTableFieldId="133"/>
    <tableColumn id="97" xr3:uid="{5C54395F-9389-4FFB-97AD-072AAAE14CC5}" uniqueName="97" name="Дата продажи" queryTableFieldId="199"/>
    <tableColumn id="98" xr3:uid="{4F78AD9F-47DC-4F41-A51E-5B7470791858}" uniqueName="98" name="МОП" queryTableFieldId="200"/>
    <tableColumn id="101" xr3:uid="{FA9FF2E7-D483-44FB-9B6A-2D33D84F1436}" uniqueName="101" name="%" queryTableFieldId="203"/>
    <tableColumn id="102" xr3:uid="{B0EDCC02-4D93-44FA-9763-55128795CC3F}" uniqueName="102" name="Доплата" queryTableFieldId="204"/>
    <tableColumn id="70" xr3:uid="{C1BED7F1-9A85-4FE3-ABAB-6582213A10E5}" uniqueName="70" name="Столбец12" queryTableFieldId="130" dataDxfId="0">
      <calculatedColumnFormula array="1">_xlfn.XLOOKUP("Дом 5"&amp;Реестр_Д5[[#This Row],[№]]&amp;Реестр_Д5[[#This Row],[Статус]],РД[Дом]&amp;РД[№ кв]&amp;РД[Состояние],РД[Дата подачи на регистрацию],"-",0)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Relationship Id="rId6" Type="http://schemas.openxmlformats.org/officeDocument/2006/relationships/comments" Target="../comments10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Relationship Id="rId4" Type="http://schemas.microsoft.com/office/2007/relationships/slicer" Target="../slicers/slicer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pageSetUpPr fitToPage="1"/>
  </sheetPr>
  <dimension ref="A1:BB69"/>
  <sheetViews>
    <sheetView tabSelected="1" zoomScale="70" zoomScaleNormal="70" workbookViewId="0">
      <selection activeCell="A33" sqref="A33"/>
    </sheetView>
  </sheetViews>
  <sheetFormatPr defaultColWidth="9.140625" defaultRowHeight="15" x14ac:dyDescent="0.25"/>
  <cols>
    <col min="1" max="1" width="1.85546875" style="249" customWidth="1"/>
    <col min="2" max="2" width="8.42578125" style="249" bestFit="1" customWidth="1"/>
    <col min="3" max="3" width="7.42578125" style="249" customWidth="1"/>
    <col min="4" max="4" width="12" style="249" bestFit="1" customWidth="1"/>
    <col min="5" max="5" width="18.85546875" style="249" bestFit="1" customWidth="1"/>
    <col min="6" max="6" width="18.5703125" style="249" bestFit="1" customWidth="1"/>
    <col min="7" max="7" width="13.28515625" style="249" bestFit="1" customWidth="1"/>
    <col min="8" max="8" width="1.85546875" style="249" customWidth="1"/>
    <col min="9" max="9" width="8.42578125" style="249" bestFit="1" customWidth="1"/>
    <col min="10" max="10" width="10" style="249" bestFit="1" customWidth="1"/>
    <col min="11" max="11" width="9.5703125" style="249" customWidth="1"/>
    <col min="12" max="12" width="18.85546875" style="249" bestFit="1" customWidth="1"/>
    <col min="13" max="13" width="18.5703125" style="249" bestFit="1" customWidth="1"/>
    <col min="14" max="14" width="13.28515625" style="249" bestFit="1" customWidth="1"/>
    <col min="15" max="15" width="1.85546875" style="249" customWidth="1"/>
    <col min="16" max="16" width="8.42578125" style="249" bestFit="1" customWidth="1"/>
    <col min="17" max="17" width="6.28515625" style="249" bestFit="1" customWidth="1"/>
    <col min="18" max="18" width="7" style="249" bestFit="1" customWidth="1"/>
    <col min="19" max="19" width="18.85546875" style="249" bestFit="1" customWidth="1"/>
    <col min="20" max="20" width="18.5703125" style="249" bestFit="1" customWidth="1"/>
    <col min="21" max="21" width="13.28515625" style="249" bestFit="1" customWidth="1"/>
    <col min="22" max="22" width="1.7109375" style="249" customWidth="1"/>
    <col min="23" max="23" width="8.42578125" style="249" bestFit="1" customWidth="1"/>
    <col min="24" max="24" width="6.28515625" style="249" bestFit="1" customWidth="1"/>
    <col min="25" max="25" width="8.140625" style="249" bestFit="1" customWidth="1"/>
    <col min="26" max="26" width="18.85546875" style="249" bestFit="1" customWidth="1"/>
    <col min="27" max="27" width="18.5703125" style="249" bestFit="1" customWidth="1"/>
    <col min="28" max="28" width="13.28515625" style="249" bestFit="1" customWidth="1"/>
    <col min="29" max="29" width="1.85546875" style="249" customWidth="1"/>
    <col min="30" max="30" width="8.28515625" style="249" bestFit="1" customWidth="1"/>
    <col min="31" max="31" width="5" style="249" customWidth="1"/>
    <col min="32" max="32" width="8.7109375" style="249" customWidth="1"/>
    <col min="33" max="33" width="18.85546875" style="249" bestFit="1" customWidth="1"/>
    <col min="34" max="34" width="18.5703125" style="249" bestFit="1" customWidth="1"/>
    <col min="35" max="35" width="13.28515625" style="249" customWidth="1"/>
    <col min="36" max="36" width="1.85546875" style="249" customWidth="1"/>
    <col min="37" max="37" width="8.28515625" style="249" bestFit="1" customWidth="1"/>
    <col min="38" max="38" width="5" style="249" customWidth="1"/>
    <col min="39" max="39" width="8.7109375" style="249" customWidth="1"/>
    <col min="40" max="40" width="18.85546875" style="249" bestFit="1" customWidth="1"/>
    <col min="41" max="41" width="18.5703125" style="249" bestFit="1" customWidth="1"/>
    <col min="42" max="42" width="13.28515625" style="249" customWidth="1"/>
    <col min="43" max="43" width="1.85546875" style="249" customWidth="1"/>
    <col min="44" max="44" width="16.85546875" style="249" bestFit="1" customWidth="1"/>
    <col min="45" max="45" width="6.28515625" style="249" bestFit="1" customWidth="1"/>
    <col min="46" max="46" width="8.28515625" style="249" bestFit="1" customWidth="1"/>
    <col min="47" max="47" width="18.85546875" style="249" customWidth="1"/>
    <col min="48" max="48" width="18.5703125" style="249" bestFit="1" customWidth="1"/>
    <col min="49" max="49" width="13.28515625" style="249" bestFit="1" customWidth="1"/>
    <col min="50" max="50" width="11.7109375" style="249" customWidth="1"/>
    <col min="51" max="54" width="12.7109375" style="249" customWidth="1"/>
    <col min="55" max="16384" width="9.140625" style="249"/>
  </cols>
  <sheetData>
    <row r="1" spans="1:53" s="346" customFormat="1" ht="23.25" x14ac:dyDescent="0.25">
      <c r="A1" s="489"/>
      <c r="B1" s="731" t="s">
        <v>91</v>
      </c>
      <c r="C1" s="731"/>
      <c r="D1" s="731"/>
      <c r="E1" s="731"/>
      <c r="F1" s="731"/>
      <c r="G1" s="731"/>
      <c r="H1" s="489"/>
      <c r="I1" s="731" t="s">
        <v>3388</v>
      </c>
      <c r="J1" s="731"/>
      <c r="K1" s="731"/>
      <c r="L1" s="731"/>
      <c r="M1" s="731"/>
      <c r="N1" s="731"/>
      <c r="O1" s="489"/>
      <c r="P1" s="731" t="s">
        <v>7562</v>
      </c>
      <c r="Q1" s="731"/>
      <c r="R1" s="731"/>
      <c r="S1" s="731"/>
      <c r="T1" s="731"/>
      <c r="U1" s="731"/>
      <c r="V1" s="489"/>
      <c r="W1" s="731" t="s">
        <v>8060</v>
      </c>
      <c r="X1" s="731"/>
      <c r="Y1" s="731"/>
      <c r="Z1" s="731"/>
      <c r="AA1" s="731"/>
      <c r="AB1" s="731"/>
      <c r="AC1" s="489"/>
      <c r="AD1" s="731" t="s">
        <v>8424</v>
      </c>
      <c r="AE1" s="731"/>
      <c r="AF1" s="731"/>
      <c r="AG1" s="731"/>
      <c r="AH1" s="731"/>
      <c r="AI1" s="731"/>
      <c r="AJ1" s="489"/>
      <c r="AK1" s="731" t="s">
        <v>9090</v>
      </c>
      <c r="AL1" s="731"/>
      <c r="AM1" s="731"/>
      <c r="AN1" s="731"/>
      <c r="AO1" s="731"/>
      <c r="AP1" s="731"/>
      <c r="AQ1" s="489"/>
      <c r="AR1" s="731" t="s">
        <v>3946</v>
      </c>
      <c r="AS1" s="731"/>
      <c r="AT1" s="731"/>
      <c r="AU1" s="731"/>
      <c r="AV1" s="731"/>
      <c r="AW1" s="731"/>
    </row>
    <row r="2" spans="1:53" s="376" customFormat="1" ht="18.75" x14ac:dyDescent="0.25">
      <c r="A2" s="490"/>
      <c r="B2" s="732" t="s">
        <v>50</v>
      </c>
      <c r="C2" s="732"/>
      <c r="D2" s="732"/>
      <c r="E2" s="721">
        <f ca="1">TODAY()</f>
        <v>45891</v>
      </c>
      <c r="F2" s="721"/>
      <c r="G2" s="721"/>
      <c r="H2" s="490"/>
      <c r="I2" s="732" t="s">
        <v>50</v>
      </c>
      <c r="J2" s="732"/>
      <c r="K2" s="732"/>
      <c r="L2" s="721">
        <f ca="1">TODAY()</f>
        <v>45891</v>
      </c>
      <c r="M2" s="721"/>
      <c r="N2" s="721"/>
      <c r="O2" s="490"/>
      <c r="P2" s="732" t="s">
        <v>50</v>
      </c>
      <c r="Q2" s="732"/>
      <c r="R2" s="732"/>
      <c r="S2" s="721">
        <f ca="1">TODAY()</f>
        <v>45891</v>
      </c>
      <c r="T2" s="721"/>
      <c r="U2" s="721"/>
      <c r="V2" s="490"/>
      <c r="W2" s="732" t="s">
        <v>50</v>
      </c>
      <c r="X2" s="732"/>
      <c r="Y2" s="732"/>
      <c r="Z2" s="721">
        <f ca="1">TODAY()</f>
        <v>45891</v>
      </c>
      <c r="AA2" s="721"/>
      <c r="AB2" s="721"/>
      <c r="AC2" s="490"/>
      <c r="AD2" s="732" t="s">
        <v>50</v>
      </c>
      <c r="AE2" s="732"/>
      <c r="AF2" s="732"/>
      <c r="AG2" s="721">
        <f ca="1">TODAY()</f>
        <v>45891</v>
      </c>
      <c r="AH2" s="721"/>
      <c r="AI2" s="721"/>
      <c r="AJ2" s="490"/>
      <c r="AK2" s="732" t="s">
        <v>50</v>
      </c>
      <c r="AL2" s="732"/>
      <c r="AM2" s="732"/>
      <c r="AN2" s="721">
        <f ca="1">TODAY()</f>
        <v>45891</v>
      </c>
      <c r="AO2" s="721"/>
      <c r="AP2" s="721"/>
      <c r="AQ2" s="490"/>
      <c r="AR2" s="732" t="s">
        <v>50</v>
      </c>
      <c r="AS2" s="732"/>
      <c r="AT2" s="732"/>
      <c r="AU2" s="721">
        <f ca="1">TODAY()</f>
        <v>45891</v>
      </c>
      <c r="AV2" s="721"/>
      <c r="AW2" s="721"/>
      <c r="AX2" s="346"/>
      <c r="AY2" s="346"/>
      <c r="AZ2" s="346"/>
      <c r="BA2" s="346"/>
    </row>
    <row r="3" spans="1:53" s="346" customFormat="1" x14ac:dyDescent="0.25">
      <c r="A3" s="489"/>
      <c r="B3" s="720" t="s">
        <v>3</v>
      </c>
      <c r="C3" s="720"/>
      <c r="D3" s="720"/>
      <c r="E3" s="720"/>
      <c r="F3" s="720"/>
      <c r="G3" s="720"/>
      <c r="H3" s="489"/>
      <c r="I3" s="720" t="s">
        <v>3</v>
      </c>
      <c r="J3" s="720"/>
      <c r="K3" s="720"/>
      <c r="L3" s="720"/>
      <c r="M3" s="720"/>
      <c r="N3" s="720"/>
      <c r="O3" s="489"/>
      <c r="P3" s="720" t="s">
        <v>3</v>
      </c>
      <c r="Q3" s="720"/>
      <c r="R3" s="720"/>
      <c r="S3" s="720"/>
      <c r="T3" s="720"/>
      <c r="U3" s="720"/>
      <c r="V3" s="489"/>
      <c r="W3" s="720" t="s">
        <v>3</v>
      </c>
      <c r="X3" s="720"/>
      <c r="Y3" s="720"/>
      <c r="Z3" s="720"/>
      <c r="AA3" s="720"/>
      <c r="AB3" s="720"/>
      <c r="AC3" s="489"/>
      <c r="AD3" s="720" t="s">
        <v>3</v>
      </c>
      <c r="AE3" s="720"/>
      <c r="AF3" s="720"/>
      <c r="AG3" s="720"/>
      <c r="AH3" s="720"/>
      <c r="AI3" s="720"/>
      <c r="AJ3" s="489"/>
      <c r="AK3" s="720" t="s">
        <v>3</v>
      </c>
      <c r="AL3" s="720"/>
      <c r="AM3" s="720"/>
      <c r="AN3" s="720"/>
      <c r="AO3" s="720"/>
      <c r="AP3" s="720"/>
      <c r="AQ3" s="489"/>
      <c r="AR3" s="720" t="s">
        <v>3946</v>
      </c>
      <c r="AS3" s="720"/>
      <c r="AT3" s="720"/>
      <c r="AU3" s="720"/>
      <c r="AV3" s="720"/>
      <c r="AW3" s="720"/>
    </row>
    <row r="4" spans="1:53" s="346" customFormat="1" x14ac:dyDescent="0.25">
      <c r="A4" s="489"/>
      <c r="B4" s="445" t="s">
        <v>32</v>
      </c>
      <c r="C4" s="445" t="s">
        <v>96</v>
      </c>
      <c r="D4" s="453" t="s">
        <v>95</v>
      </c>
      <c r="E4" s="453" t="s">
        <v>99</v>
      </c>
      <c r="F4" s="454" t="s">
        <v>98</v>
      </c>
      <c r="G4" s="454" t="s">
        <v>97</v>
      </c>
      <c r="H4" s="489"/>
      <c r="I4" s="445" t="s">
        <v>32</v>
      </c>
      <c r="J4" s="445" t="s">
        <v>96</v>
      </c>
      <c r="K4" s="453" t="s">
        <v>95</v>
      </c>
      <c r="L4" s="453" t="s">
        <v>99</v>
      </c>
      <c r="M4" s="454" t="s">
        <v>98</v>
      </c>
      <c r="N4" s="454" t="s">
        <v>97</v>
      </c>
      <c r="O4" s="489"/>
      <c r="P4" s="458" t="s">
        <v>32</v>
      </c>
      <c r="Q4" s="458" t="s">
        <v>96</v>
      </c>
      <c r="R4" s="453" t="s">
        <v>95</v>
      </c>
      <c r="S4" s="453" t="s">
        <v>99</v>
      </c>
      <c r="T4" s="454" t="s">
        <v>98</v>
      </c>
      <c r="U4" s="454" t="s">
        <v>97</v>
      </c>
      <c r="V4" s="489"/>
      <c r="W4" s="481" t="s">
        <v>32</v>
      </c>
      <c r="X4" s="481" t="s">
        <v>96</v>
      </c>
      <c r="Y4" s="453" t="s">
        <v>95</v>
      </c>
      <c r="Z4" s="453" t="s">
        <v>99</v>
      </c>
      <c r="AA4" s="454" t="s">
        <v>98</v>
      </c>
      <c r="AB4" s="454" t="s">
        <v>97</v>
      </c>
      <c r="AC4" s="489"/>
      <c r="AD4" s="689" t="s">
        <v>32</v>
      </c>
      <c r="AE4" s="689" t="s">
        <v>96</v>
      </c>
      <c r="AF4" s="453" t="s">
        <v>95</v>
      </c>
      <c r="AG4" s="453" t="s">
        <v>99</v>
      </c>
      <c r="AH4" s="454" t="s">
        <v>98</v>
      </c>
      <c r="AI4" s="454" t="s">
        <v>97</v>
      </c>
      <c r="AJ4" s="489"/>
      <c r="AK4" s="689" t="s">
        <v>32</v>
      </c>
      <c r="AL4" s="689" t="s">
        <v>96</v>
      </c>
      <c r="AM4" s="453" t="s">
        <v>95</v>
      </c>
      <c r="AN4" s="453" t="s">
        <v>99</v>
      </c>
      <c r="AO4" s="454" t="s">
        <v>98</v>
      </c>
      <c r="AP4" s="454" t="s">
        <v>97</v>
      </c>
      <c r="AQ4" s="489"/>
      <c r="AR4" s="552" t="s">
        <v>32</v>
      </c>
      <c r="AS4" s="552" t="s">
        <v>96</v>
      </c>
      <c r="AT4" s="453" t="s">
        <v>95</v>
      </c>
      <c r="AU4" s="453" t="s">
        <v>99</v>
      </c>
      <c r="AV4" s="453" t="s">
        <v>98</v>
      </c>
      <c r="AW4" s="453" t="s">
        <v>97</v>
      </c>
    </row>
    <row r="5" spans="1:53" s="346" customFormat="1" x14ac:dyDescent="0.25">
      <c r="A5" s="489"/>
      <c r="B5" s="449">
        <v>0</v>
      </c>
      <c r="C5" s="446">
        <f>COUNTIFS(Реестр_Д4[Статус],$B$3,Реестр_Д4[Тип кв],B5)</f>
        <v>0</v>
      </c>
      <c r="D5" s="447">
        <f>SUMIFS(Реестр_Д4[Расчетная проектная площадь],Реестр_Д4[Статус],$B$3,Реестр_Д4[Тип кв],B5)</f>
        <v>0</v>
      </c>
      <c r="E5" s="447">
        <f>SUMIFS(Реестр_Д4[Стоимость ОН без отделки со скидкой],Реестр_Д4[Статус],$B$3,Реестр_Д4[Тип кв],B5)</f>
        <v>0</v>
      </c>
      <c r="F5" s="447">
        <f>IFERROR(E5/C5,0)</f>
        <v>0</v>
      </c>
      <c r="G5" s="447">
        <f>IFERROR(E5/D5,0)</f>
        <v>0</v>
      </c>
      <c r="H5" s="489"/>
      <c r="I5" s="449">
        <v>0</v>
      </c>
      <c r="J5" s="446">
        <f>COUNTIFS(Реестр_Д5[Статус],$I$3,Реестр_Д5[Тип кв],I5)</f>
        <v>15</v>
      </c>
      <c r="K5" s="447">
        <f>SUMIFS(Реестр_Д5[ТП S Расчетная],Реестр_Д5[Статус],$I$3,Реестр_Д5[Тип кв],I5)</f>
        <v>379.64999999999992</v>
      </c>
      <c r="L5" s="447">
        <f>SUMIFS(Реестр_Д5[Стоимость ОН без отделки со скидкой],Реестр_Д5[Статус],$I$3,Реестр_Д5[Тип кв],I5)</f>
        <v>58422900</v>
      </c>
      <c r="M5" s="447">
        <f>IFERROR(L5/J5,0)</f>
        <v>3894860</v>
      </c>
      <c r="N5" s="447">
        <f>IFERROR(L5/K5,0)</f>
        <v>153886.21098380091</v>
      </c>
      <c r="O5" s="489"/>
      <c r="P5" s="449">
        <v>0</v>
      </c>
      <c r="Q5" s="446">
        <f>COUNTIFS(Д401[Статус],$P$3,Д401[Тип кв],P5)</f>
        <v>0</v>
      </c>
      <c r="R5" s="447">
        <f>SUMIFS(Д401[Расчетная проектная площадь],Д401[Статус],$P$3,Д401[Тип кв],P5)</f>
        <v>0</v>
      </c>
      <c r="S5" s="447">
        <f>SUMIFS(Д401[Стоимость ОН без отделки со скидкой],Д401[Статус],$P$3,Д401[Тип кв],P5)</f>
        <v>0</v>
      </c>
      <c r="T5" s="447">
        <f>IFERROR(S5/Q5,0)</f>
        <v>0</v>
      </c>
      <c r="U5" s="447">
        <f>IFERROR(S5/R5,0)</f>
        <v>0</v>
      </c>
      <c r="V5" s="489"/>
      <c r="W5" s="449">
        <v>0</v>
      </c>
      <c r="X5" s="446">
        <f>COUNTIFS(Д402[Статус],$P$3,Д402[Тип кв],W5)</f>
        <v>11</v>
      </c>
      <c r="Y5" s="447">
        <f>SUMIFS(Д402[Расчетная проектная площадь],Д402[Статус],$P$3,Д402[Тип кв],W5)</f>
        <v>325.28999999999996</v>
      </c>
      <c r="Z5" s="447">
        <f>SUMIFS(Д402[Стоимость ОН без отделки со скидкой],Д402[Статус],$P$3,Д402[Тип кв],W5)</f>
        <v>46001600</v>
      </c>
      <c r="AA5" s="447">
        <f>IFERROR(Z5/X5,0)</f>
        <v>4181963.6363636362</v>
      </c>
      <c r="AB5" s="447">
        <f>IFERROR(Z5/Y5,0)</f>
        <v>141417.19696271021</v>
      </c>
      <c r="AC5" s="489"/>
      <c r="AD5" s="449">
        <v>0</v>
      </c>
      <c r="AE5" s="446">
        <f>COUNTIFS(Д403[Статус],$P$3,Д403[Тип кв],AD5)</f>
        <v>30</v>
      </c>
      <c r="AF5" s="447">
        <f>SUMIFS(Д403[Расчетная проектная площадь],Д403[Статус],$P$3,Д403[Тип кв],AD5)</f>
        <v>923.37999999999977</v>
      </c>
      <c r="AG5" s="447">
        <f>SUMIFS(Д403[Стоимость ОН без отделки со скидкой],Д403[Статус],$P$3,Д403[Тип кв],AD5)</f>
        <v>131512500</v>
      </c>
      <c r="AH5" s="447">
        <f>IFERROR(AG5/AE5,0)</f>
        <v>4383750</v>
      </c>
      <c r="AI5" s="447">
        <f>IFERROR(AG5/AF5,0)</f>
        <v>142425.11208819775</v>
      </c>
      <c r="AJ5" s="489"/>
      <c r="AK5" s="449">
        <v>0</v>
      </c>
      <c r="AL5" s="446">
        <f>COUNTIFS(Д404[Статус],$P$3,Д404[Тип кв],AK5)</f>
        <v>0</v>
      </c>
      <c r="AM5" s="447">
        <f>SUMIFS(Д404[Расчетная проектная площадь],Д404[Статус],$P$3,Д404[Тип кв],AK5)</f>
        <v>0</v>
      </c>
      <c r="AN5" s="447">
        <f>SUMIFS(Д404[Стоимость ОН без отделки со скидкой],Д404[Статус],$P$3,Д404[Тип кв],AK5)</f>
        <v>0</v>
      </c>
      <c r="AO5" s="447">
        <f>IFERROR(AN5/AL5,0)</f>
        <v>0</v>
      </c>
      <c r="AP5" s="447">
        <f>IFERROR(AN5/AM5,0)</f>
        <v>0</v>
      </c>
      <c r="AQ5" s="489"/>
      <c r="AR5" s="449" t="s">
        <v>3</v>
      </c>
      <c r="AS5" s="446">
        <f>COUNTIFS(Коммерция[Статус],AR5)</f>
        <v>20</v>
      </c>
      <c r="AT5" s="447">
        <f>SUMIFS(Коммерция[Общая фактическая],Коммерция[Статус],AR5)</f>
        <v>1500.14</v>
      </c>
      <c r="AU5" s="447">
        <f>SUMIFS(Коммерция[стоимость лота],Коммерция[Статус],AR5)</f>
        <v>178892700</v>
      </c>
      <c r="AV5" s="447">
        <f>IFERROR(AU5/AS5,0)</f>
        <v>8944635</v>
      </c>
      <c r="AW5" s="447">
        <f>IFERROR(AU5/AT5,0)</f>
        <v>119250.6699374725</v>
      </c>
    </row>
    <row r="6" spans="1:53" s="346" customFormat="1" x14ac:dyDescent="0.25">
      <c r="A6" s="489"/>
      <c r="B6" s="450">
        <v>1</v>
      </c>
      <c r="C6" s="446">
        <f>COUNTIFS(Реестр_Д4[Статус],$B$3,Реестр_Д4[Тип кв],B6)</f>
        <v>2</v>
      </c>
      <c r="D6" s="447">
        <f>SUMIFS(Реестр_Д4[Расчетная проектная площадь],Реестр_Д4[Статус],$B$3,Реестр_Д4[Тип кв],B6)</f>
        <v>106.59</v>
      </c>
      <c r="E6" s="447">
        <f>SUMIFS(Реестр_Д4[Стоимость ОН без отделки со скидкой],Реестр_Д4[Статус],$B$3,Реестр_Д4[Тип кв],B6)</f>
        <v>13164000</v>
      </c>
      <c r="F6" s="447">
        <f>IFERROR(E6/C6,0)</f>
        <v>6582000</v>
      </c>
      <c r="G6" s="447">
        <f>IFERROR(E6/D6,0)</f>
        <v>123501.26653532225</v>
      </c>
      <c r="H6" s="489"/>
      <c r="I6" s="450">
        <v>1</v>
      </c>
      <c r="J6" s="446">
        <f>COUNTIFS(Реестр_Д5[Статус],$I$3,Реестр_Д5[Тип кв],I6)</f>
        <v>38</v>
      </c>
      <c r="K6" s="447">
        <f>SUMIFS(Реестр_Д5[ТП S Расчетная],Реестр_Д5[Статус],$I$3,Реестр_Д5[Тип кв],I6)</f>
        <v>1435.2</v>
      </c>
      <c r="L6" s="447">
        <f>SUMIFS(Реестр_Д5[Стоимость ОН без отделки со скидкой],Реестр_Д5[Статус],$I$3,Реестр_Д5[Тип кв],I6)</f>
        <v>209549800</v>
      </c>
      <c r="M6" s="447">
        <f>IFERROR(L6/J6,0)</f>
        <v>5514468.4210526319</v>
      </c>
      <c r="N6" s="447">
        <f>IFERROR(L6/K6,0)</f>
        <v>146007.38573021183</v>
      </c>
      <c r="O6" s="489"/>
      <c r="P6" s="450">
        <v>1</v>
      </c>
      <c r="Q6" s="446">
        <f>COUNTIFS(Д401[Статус],$P$3,Д401[Тип кв],P6)</f>
        <v>7</v>
      </c>
      <c r="R6" s="447">
        <f>SUMIFS(Д401[Расчетная проектная площадь],Д401[Статус],$P$3,Д401[Тип кв],P6)</f>
        <v>278.36</v>
      </c>
      <c r="S6" s="447">
        <f>SUMIFS(Д401[Стоимость ОН без отделки со скидкой],Д401[Статус],$P$3,Д401[Тип кв],P6)</f>
        <v>38657000</v>
      </c>
      <c r="T6" s="447">
        <f>IFERROR(S6/Q6,0)</f>
        <v>5522428.5714285718</v>
      </c>
      <c r="U6" s="447">
        <f>IFERROR(S6/R6,0)</f>
        <v>138874.11984480527</v>
      </c>
      <c r="V6" s="489"/>
      <c r="W6" s="450">
        <v>1</v>
      </c>
      <c r="X6" s="446">
        <f>COUNTIFS(Д402[Статус],$P$3,Д402[Тип кв],W6)</f>
        <v>8</v>
      </c>
      <c r="Y6" s="447">
        <f>SUMIFS(Д402[Расчетная проектная площадь],Д402[Статус],$P$3,Д402[Тип кв],W6)</f>
        <v>333.95000000000005</v>
      </c>
      <c r="Z6" s="447">
        <f>SUMIFS(Д402[Стоимость ОН без отделки со скидкой],Д402[Статус],$P$3,Д402[Тип кв],W6)</f>
        <v>43922200</v>
      </c>
      <c r="AA6" s="447">
        <f>IFERROR(Z6/X6,0)</f>
        <v>5490275</v>
      </c>
      <c r="AB6" s="447">
        <f>IFERROR(Z6/Y6,0)</f>
        <v>131523.28192843238</v>
      </c>
      <c r="AC6" s="489"/>
      <c r="AD6" s="450">
        <v>1</v>
      </c>
      <c r="AE6" s="446">
        <f>COUNTIFS(Д403[Статус],$P$3,Д403[Тип кв],AD6)</f>
        <v>47</v>
      </c>
      <c r="AF6" s="447">
        <f>SUMIFS(Д403[Расчетная проектная площадь],Д403[Статус],$P$3,Д403[Тип кв],AD6)</f>
        <v>1941.1500000000017</v>
      </c>
      <c r="AG6" s="447">
        <f>SUMIFS(Д403[Стоимость ОН без отделки со скидкой],Д403[Статус],$P$3,Д403[Тип кв],AD6)</f>
        <v>243540590</v>
      </c>
      <c r="AH6" s="447">
        <f>IFERROR(AG6/AE6,0)</f>
        <v>5181714.6808510637</v>
      </c>
      <c r="AI6" s="447">
        <f>IFERROR(AG6/AF6,0)</f>
        <v>125462.01478504999</v>
      </c>
      <c r="AJ6" s="489"/>
      <c r="AK6" s="450">
        <v>1</v>
      </c>
      <c r="AL6" s="446">
        <f>COUNTIFS(Д404[Статус],$P$3,Д404[Тип кв],AK6)</f>
        <v>73</v>
      </c>
      <c r="AM6" s="447">
        <f>SUMIFS(Д404[Расчетная проектная площадь],Д404[Статус],$P$3,Д404[Тип кв],AK6)</f>
        <v>2926.3799999999997</v>
      </c>
      <c r="AN6" s="447">
        <f>SUMIFS(Д404[Стоимость ОН без отделки со скидкой],Д404[Статус],$P$3,Д404[Тип кв],AK6)</f>
        <v>362301113</v>
      </c>
      <c r="AO6" s="447">
        <f>IFERROR(AN6/AL6,0)</f>
        <v>4963028.9452054799</v>
      </c>
      <c r="AP6" s="447">
        <f>IFERROR(AN6/AM6,0)</f>
        <v>123805.21770925172</v>
      </c>
      <c r="AQ6" s="489"/>
      <c r="AR6" s="450" t="s">
        <v>7580</v>
      </c>
      <c r="AS6" s="446">
        <f>COUNTIFS(Коммерция[Статус],AR6)</f>
        <v>6</v>
      </c>
      <c r="AT6" s="447">
        <f>SUMIFS(Коммерция[Общая фактическая],Коммерция[Статус],AR6)</f>
        <v>408.52</v>
      </c>
      <c r="AU6" s="447">
        <f>SUMIFS(Коммерция[стоимость лота],Коммерция[Статус],AR6)</f>
        <v>55007600</v>
      </c>
      <c r="AV6" s="447">
        <f t="shared" ref="AV6:AV9" si="0">IFERROR(AU6/AS6,0)</f>
        <v>9167933.333333334</v>
      </c>
      <c r="AW6" s="447">
        <f t="shared" ref="AW6:AW9" si="1">IFERROR(AU6/AT6,0)</f>
        <v>134650.93508273771</v>
      </c>
    </row>
    <row r="7" spans="1:53" s="346" customFormat="1" x14ac:dyDescent="0.25">
      <c r="A7" s="489"/>
      <c r="B7" s="450">
        <v>2</v>
      </c>
      <c r="C7" s="446">
        <f>COUNTIFS(Реестр_Д4[Статус],$B$3,Реестр_Д4[Тип кв],B7)</f>
        <v>3</v>
      </c>
      <c r="D7" s="447">
        <f>SUMIFS(Реестр_Д4[Расчетная проектная площадь],Реестр_Д4[Статус],$B$3,Реестр_Д4[Тип кв],B7)</f>
        <v>184.58999999999997</v>
      </c>
      <c r="E7" s="447">
        <f>SUMIFS(Реестр_Д4[Стоимость ОН без отделки со скидкой],Реестр_Д4[Статус],$B$3,Реестр_Д4[Тип кв],B7)</f>
        <v>22747800</v>
      </c>
      <c r="F7" s="447">
        <f>IFERROR(E7/C7,0)</f>
        <v>7582600</v>
      </c>
      <c r="G7" s="447">
        <f>IFERROR(E7/D7,0)</f>
        <v>123234.19470177151</v>
      </c>
      <c r="H7" s="489"/>
      <c r="I7" s="450">
        <v>2</v>
      </c>
      <c r="J7" s="446">
        <f>COUNTIFS(Реестр_Д5[Статус],$I$3,Реестр_Д5[Тип кв],I7)</f>
        <v>52</v>
      </c>
      <c r="K7" s="447">
        <f>SUMIFS(Реестр_Д5[ТП S Расчетная],Реестр_Д5[Статус],$I$3,Реестр_Д5[Тип кв],I7)</f>
        <v>3289.8499999999995</v>
      </c>
      <c r="L7" s="447">
        <f>SUMIFS(Реестр_Д5[Стоимость ОН без отделки со скидкой],Реестр_Д5[Статус],$I$3,Реестр_Д5[Тип кв],I7)</f>
        <v>414848100</v>
      </c>
      <c r="M7" s="447">
        <f>IFERROR(L7/J7,0)</f>
        <v>7977848.076923077</v>
      </c>
      <c r="N7" s="447">
        <f>IFERROR(L7/K7,0)</f>
        <v>126099.39662902566</v>
      </c>
      <c r="O7" s="489"/>
      <c r="P7" s="450">
        <v>2</v>
      </c>
      <c r="Q7" s="446">
        <f>COUNTIFS(Д401[Статус],$P$3,Д401[Тип кв],P7)</f>
        <v>14</v>
      </c>
      <c r="R7" s="447">
        <f>SUMIFS(Д401[Расчетная проектная площадь],Д401[Статус],$P$3,Д401[Тип кв],P7)</f>
        <v>776.44999999999993</v>
      </c>
      <c r="S7" s="447">
        <f>SUMIFS(Д401[Стоимость ОН без отделки со скидкой],Д401[Статус],$P$3,Д401[Тип кв],P7)</f>
        <v>97460056</v>
      </c>
      <c r="T7" s="447">
        <f>IFERROR(S7/Q7,0)</f>
        <v>6961432.5714285718</v>
      </c>
      <c r="U7" s="447">
        <f>IFERROR(S7/R7,0)</f>
        <v>125520.06697147274</v>
      </c>
      <c r="V7" s="489"/>
      <c r="W7" s="450">
        <v>2</v>
      </c>
      <c r="X7" s="446">
        <f>COUNTIFS(Д402[Статус],$P$3,Д402[Тип кв],W7)</f>
        <v>21</v>
      </c>
      <c r="Y7" s="447">
        <f>SUMIFS(Д402[Расчетная проектная площадь],Д402[Статус],$P$3,Д402[Тип кв],W7)</f>
        <v>1222.7700000000002</v>
      </c>
      <c r="Z7" s="447">
        <f>SUMIFS(Д402[Стоимость ОН без отделки со скидкой],Д402[Статус],$P$3,Д402[Тип кв],W7)</f>
        <v>150695000</v>
      </c>
      <c r="AA7" s="447">
        <f>IFERROR(Z7/X7,0)</f>
        <v>7175952.3809523806</v>
      </c>
      <c r="AB7" s="447">
        <f>IFERROR(Z7/Y7,0)</f>
        <v>123240.67486117584</v>
      </c>
      <c r="AC7" s="489"/>
      <c r="AD7" s="450">
        <v>2</v>
      </c>
      <c r="AE7" s="446">
        <f>COUNTIFS(Д403[Статус],$P$3,Д403[Тип кв],AD7)</f>
        <v>59</v>
      </c>
      <c r="AF7" s="447">
        <f>SUMIFS(Д403[Расчетная проектная площадь],Д403[Статус],$P$3,Д403[Тип кв],AD7)</f>
        <v>3613.3599999999997</v>
      </c>
      <c r="AG7" s="447">
        <f>SUMIFS(Д403[Стоимость ОН без отделки со скидкой],Д403[Статус],$P$3,Д403[Тип кв],AD7)</f>
        <v>444937930</v>
      </c>
      <c r="AH7" s="447">
        <f>IFERROR(AG7/AE7,0)</f>
        <v>7541320.8474576268</v>
      </c>
      <c r="AI7" s="447">
        <f>IFERROR(AG7/AF7,0)</f>
        <v>123136.89474616425</v>
      </c>
      <c r="AJ7" s="489"/>
      <c r="AK7" s="450">
        <v>2</v>
      </c>
      <c r="AL7" s="446">
        <f>COUNTIFS(Д404[Статус],$P$3,Д404[Тип кв],AK7)</f>
        <v>56</v>
      </c>
      <c r="AM7" s="447">
        <f>SUMIFS(Д404[Расчетная проектная площадь],Д404[Статус],$P$3,Д404[Тип кв],AK7)</f>
        <v>3265.2200000000034</v>
      </c>
      <c r="AN7" s="447">
        <f>SUMIFS(Д404[Стоимость ОН без отделки со скидкой],Д404[Статус],$P$3,Д404[Тип кв],AK7)</f>
        <v>400954046</v>
      </c>
      <c r="AO7" s="447">
        <f>IFERROR(AN7/AL7,0)</f>
        <v>7159893.6785714282</v>
      </c>
      <c r="AP7" s="447">
        <f>IFERROR(AN7/AM7,0)</f>
        <v>122795.41531657884</v>
      </c>
      <c r="AQ7" s="489"/>
      <c r="AR7" s="450" t="s">
        <v>39</v>
      </c>
      <c r="AS7" s="446">
        <f>COUNTIFS(Коммерция[Статус],AR7)</f>
        <v>56</v>
      </c>
      <c r="AT7" s="447">
        <f>SUMIFS(Коммерция[Общая фактическая],Коммерция[Статус],AR7)</f>
        <v>4987.0399999999981</v>
      </c>
      <c r="AU7" s="447">
        <f>SUMIFS(Коммерция[стоимость лота],Коммерция[Статус],AR7)</f>
        <v>584669276</v>
      </c>
      <c r="AV7" s="447">
        <f t="shared" si="0"/>
        <v>10440522.785714285</v>
      </c>
      <c r="AW7" s="447">
        <f t="shared" si="1"/>
        <v>117237.73541018323</v>
      </c>
    </row>
    <row r="8" spans="1:53" s="346" customFormat="1" x14ac:dyDescent="0.25">
      <c r="A8" s="489"/>
      <c r="B8" s="450">
        <v>3</v>
      </c>
      <c r="C8" s="446">
        <f>COUNTIFS(Реестр_Д4[Статус],$B$3,Реестр_Д4[Тип кв],B8)</f>
        <v>0</v>
      </c>
      <c r="D8" s="447">
        <f>SUMIFS(Реестр_Д4[Расчетная проектная площадь],Реестр_Д4[Статус],$B$3,Реестр_Д4[Тип кв],B8)</f>
        <v>0</v>
      </c>
      <c r="E8" s="447">
        <f>SUMIFS(Реестр_Д4[Стоимость ОН без отделки со скидкой],Реестр_Д4[Статус],$B$3,Реестр_Д4[Тип кв],B8)</f>
        <v>0</v>
      </c>
      <c r="F8" s="447">
        <f>IFERROR(E8/C8,0)</f>
        <v>0</v>
      </c>
      <c r="G8" s="447">
        <f>IFERROR(E8/D8,0)</f>
        <v>0</v>
      </c>
      <c r="H8" s="489"/>
      <c r="I8" s="450">
        <v>3</v>
      </c>
      <c r="J8" s="446">
        <f>COUNTIFS(Реестр_Д5[Статус],$I$3,Реестр_Д5[Тип кв],I8)</f>
        <v>13</v>
      </c>
      <c r="K8" s="447">
        <f>SUMIFS(Реестр_Д5[ТП S Расчетная],Реестр_Д5[Статус],$I$3,Реестр_Д5[Тип кв],I8)</f>
        <v>1051.4000000000001</v>
      </c>
      <c r="L8" s="447">
        <f>SUMIFS(Реестр_Д5[Стоимость ОН без отделки со скидкой],Реестр_Д5[Статус],$I$3,Реестр_Д5[Тип кв],I8)</f>
        <v>127709600</v>
      </c>
      <c r="M8" s="447">
        <f>IFERROR(L8/J8,0)</f>
        <v>9823815.384615384</v>
      </c>
      <c r="N8" s="447">
        <f>IFERROR(L8/K8,0)</f>
        <v>121466.23549552976</v>
      </c>
      <c r="O8" s="489"/>
      <c r="P8" s="450">
        <v>3</v>
      </c>
      <c r="Q8" s="446">
        <f>COUNTIFS(Д401[Статус],$P$3,Д401[Тип кв],P8)</f>
        <v>9</v>
      </c>
      <c r="R8" s="447">
        <f>SUMIFS(Д401[Расчетная проектная площадь],Д401[Статус],$P$3,Д401[Тип кв],P8)</f>
        <v>708.58999999999992</v>
      </c>
      <c r="S8" s="447">
        <f>SUMIFS(Д401[Стоимость ОН без отделки со скидкой],Д401[Статус],$P$3,Д401[Тип кв],P8)</f>
        <v>88573750</v>
      </c>
      <c r="T8" s="447">
        <f>IFERROR(S8/Q8,0)</f>
        <v>9841527.777777778</v>
      </c>
      <c r="U8" s="447">
        <f>IFERROR(S8/R8,0)</f>
        <v>125000.00000000001</v>
      </c>
      <c r="V8" s="489"/>
      <c r="W8" s="450">
        <v>3</v>
      </c>
      <c r="X8" s="446">
        <f>COUNTIFS(Д402[Статус],$P$3,Д402[Тип кв],W8)</f>
        <v>5</v>
      </c>
      <c r="Y8" s="447">
        <f>SUMIFS(Д402[Расчетная проектная площадь],Д402[Статус],$P$3,Д402[Тип кв],W8)</f>
        <v>390.79999999999995</v>
      </c>
      <c r="Z8" s="447">
        <f>SUMIFS(Д402[Стоимость ОН без отделки со скидкой],Д402[Статус],$P$3,Д402[Тип кв],W8)</f>
        <v>43611800</v>
      </c>
      <c r="AA8" s="447">
        <f>IFERROR(Z8/X8,0)</f>
        <v>8722360</v>
      </c>
      <c r="AB8" s="447">
        <f>IFERROR(Z8/Y8,0)</f>
        <v>111596.21289662232</v>
      </c>
      <c r="AC8" s="489"/>
      <c r="AD8" s="450">
        <v>3</v>
      </c>
      <c r="AE8" s="446">
        <f>COUNTIFS(Д403[Статус],$P$3,Д403[Тип кв],AD8)</f>
        <v>5</v>
      </c>
      <c r="AF8" s="447">
        <f>SUMIFS(Д403[Расчетная проектная площадь],Д403[Статус],$P$3,Д403[Тип кв],AD8)</f>
        <v>369.99</v>
      </c>
      <c r="AG8" s="447">
        <f>SUMIFS(Д403[Стоимость ОН без отделки со скидкой],Д403[Статус],$P$3,Д403[Тип кв],AD8)</f>
        <v>41943723</v>
      </c>
      <c r="AH8" s="447">
        <f>IFERROR(AG8/AE8,0)</f>
        <v>8388744.5999999996</v>
      </c>
      <c r="AI8" s="447">
        <f>IFERROR(AG8/AF8,0)</f>
        <v>113364.4774183086</v>
      </c>
      <c r="AJ8" s="489"/>
      <c r="AK8" s="450">
        <v>3</v>
      </c>
      <c r="AL8" s="446">
        <f>COUNTIFS(Д404[Статус],$P$3,Д404[Тип кв],AK8)</f>
        <v>16</v>
      </c>
      <c r="AM8" s="447">
        <f>SUMIFS(Д404[Расчетная проектная площадь],Д404[Статус],$P$3,Д404[Тип кв],AK8)</f>
        <v>1242.1599999999996</v>
      </c>
      <c r="AN8" s="447">
        <f>SUMIFS(Д404[Стоимость ОН без отделки со скидкой],Д404[Статус],$P$3,Д404[Тип кв],AK8)</f>
        <v>138276949</v>
      </c>
      <c r="AO8" s="447">
        <f>IFERROR(AN8/AL8,0)</f>
        <v>8642309.3125</v>
      </c>
      <c r="AP8" s="447">
        <f>IFERROR(AN8/AM8,0)</f>
        <v>111319.75671411093</v>
      </c>
      <c r="AQ8" s="489"/>
      <c r="AR8" s="450" t="s">
        <v>35</v>
      </c>
      <c r="AS8" s="446">
        <f>COUNTIFS(Коммерция[Статус],AR8)</f>
        <v>3</v>
      </c>
      <c r="AT8" s="447">
        <f>SUMIFS(Коммерция[Общая фактическая],Коммерция[Статус],AR8)</f>
        <v>380.45000000000005</v>
      </c>
      <c r="AU8" s="447">
        <f>SUMIFS(Коммерция[стоимость лота],Коммерция[Статус],AR8)</f>
        <v>57067500</v>
      </c>
      <c r="AV8" s="447">
        <f t="shared" si="0"/>
        <v>19022500</v>
      </c>
      <c r="AW8" s="447">
        <f t="shared" si="1"/>
        <v>149999.99999999997</v>
      </c>
    </row>
    <row r="9" spans="1:53" s="346" customFormat="1" x14ac:dyDescent="0.25">
      <c r="A9" s="489"/>
      <c r="B9" s="445" t="s">
        <v>34</v>
      </c>
      <c r="C9" s="155">
        <f>SUM(C5:C8)</f>
        <v>5</v>
      </c>
      <c r="D9" s="156">
        <f>SUM(D5:D8)</f>
        <v>291.17999999999995</v>
      </c>
      <c r="E9" s="156">
        <f>SUM(E5:E8)</f>
        <v>35911800</v>
      </c>
      <c r="F9" s="156">
        <f>IFERROR(E9/C9,0)</f>
        <v>7182360</v>
      </c>
      <c r="G9" s="156">
        <f>IFERROR(E9/D9,0)</f>
        <v>123331.95961261078</v>
      </c>
      <c r="H9" s="489"/>
      <c r="I9" s="445" t="s">
        <v>34</v>
      </c>
      <c r="J9" s="155">
        <f>SUM(J5:J8)</f>
        <v>118</v>
      </c>
      <c r="K9" s="156">
        <f>SUM(K5:K8)</f>
        <v>6156.0999999999985</v>
      </c>
      <c r="L9" s="156">
        <f>SUM(L5:L8)</f>
        <v>810530400</v>
      </c>
      <c r="M9" s="156">
        <f>IFERROR(L9/J9,0)</f>
        <v>6868901.6949152546</v>
      </c>
      <c r="N9" s="156">
        <f>IFERROR(L9/K9,0)</f>
        <v>131662.96843780967</v>
      </c>
      <c r="O9" s="489"/>
      <c r="P9" s="458" t="s">
        <v>34</v>
      </c>
      <c r="Q9" s="459">
        <f>SUM(Q5:Q8)</f>
        <v>30</v>
      </c>
      <c r="R9" s="156">
        <f>SUM(R5:R8)</f>
        <v>1763.3999999999999</v>
      </c>
      <c r="S9" s="156">
        <f>SUM(S5:S8)</f>
        <v>224690806</v>
      </c>
      <c r="T9" s="156">
        <f>IFERROR(S9/Q9,0)</f>
        <v>7489693.5333333332</v>
      </c>
      <c r="U9" s="156">
        <f>IFERROR(S9/R9,0)</f>
        <v>127419.08018600431</v>
      </c>
      <c r="V9" s="489"/>
      <c r="W9" s="481" t="s">
        <v>34</v>
      </c>
      <c r="X9" s="482">
        <f>SUM(X5:X8)</f>
        <v>45</v>
      </c>
      <c r="Y9" s="156">
        <f>SUM(Y5:Y8)</f>
        <v>2272.8100000000004</v>
      </c>
      <c r="Z9" s="156">
        <f>SUM(Z5:Z8)</f>
        <v>284230600</v>
      </c>
      <c r="AA9" s="156">
        <f>IFERROR(Z9/X9,0)</f>
        <v>6316235.555555556</v>
      </c>
      <c r="AB9" s="156">
        <f>IFERROR(Z9/Y9,0)</f>
        <v>125056.91192840578</v>
      </c>
      <c r="AC9" s="489"/>
      <c r="AD9" s="689" t="s">
        <v>34</v>
      </c>
      <c r="AE9" s="688">
        <f>SUM(AE5:AE8)</f>
        <v>141</v>
      </c>
      <c r="AF9" s="156">
        <f>SUM(AF5:AF8)</f>
        <v>6847.880000000001</v>
      </c>
      <c r="AG9" s="156">
        <f>SUM(AG5:AG8)</f>
        <v>861934743</v>
      </c>
      <c r="AH9" s="156">
        <f>IFERROR(AG9/AE9,0)</f>
        <v>6113012.3617021274</v>
      </c>
      <c r="AI9" s="156">
        <f>IFERROR(AG9/AF9,0)</f>
        <v>125868.84451830345</v>
      </c>
      <c r="AJ9" s="489"/>
      <c r="AK9" s="689" t="s">
        <v>34</v>
      </c>
      <c r="AL9" s="688">
        <f>SUM(AL5:AL8)</f>
        <v>145</v>
      </c>
      <c r="AM9" s="156">
        <f>SUM(AM5:AM8)</f>
        <v>7433.7600000000029</v>
      </c>
      <c r="AN9" s="156">
        <f>SUM(AN5:AN8)</f>
        <v>901532108</v>
      </c>
      <c r="AO9" s="156">
        <f>IFERROR(AN9/AL9,0)</f>
        <v>6217462.8137931032</v>
      </c>
      <c r="AP9" s="156">
        <f>IFERROR(AN9/AM9,0)</f>
        <v>121275.38526936565</v>
      </c>
      <c r="AQ9" s="489"/>
      <c r="AR9" s="450" t="s">
        <v>4313</v>
      </c>
      <c r="AS9" s="446">
        <f>COUNTIFS(Коммерция[Статус],AR9)</f>
        <v>4</v>
      </c>
      <c r="AT9" s="447">
        <f>SUMIFS(Коммерция[Общая фактическая],Коммерция[Статус],AR9)</f>
        <v>792</v>
      </c>
      <c r="AU9" s="447">
        <f>SUMIFS(Коммерция[стоимость лота],Коммерция[Статус],AR9)</f>
        <v>98238500</v>
      </c>
      <c r="AV9" s="447">
        <f t="shared" si="0"/>
        <v>24559625</v>
      </c>
      <c r="AW9" s="447">
        <f t="shared" si="1"/>
        <v>124038.51010101011</v>
      </c>
    </row>
    <row r="10" spans="1:53" s="346" customFormat="1" x14ac:dyDescent="0.25">
      <c r="A10" s="489"/>
      <c r="B10" s="21"/>
      <c r="C10" s="21"/>
      <c r="D10" s="35"/>
      <c r="E10" s="35"/>
      <c r="F10" s="35"/>
      <c r="G10" s="35"/>
      <c r="H10" s="489"/>
      <c r="I10" s="21"/>
      <c r="J10" s="21"/>
      <c r="K10" s="35"/>
      <c r="L10" s="35"/>
      <c r="M10" s="35"/>
      <c r="N10" s="35"/>
      <c r="O10" s="489"/>
      <c r="P10" s="35"/>
      <c r="Q10" s="35"/>
      <c r="R10" s="35"/>
      <c r="S10" s="35"/>
      <c r="T10" s="35"/>
      <c r="U10" s="35"/>
      <c r="V10" s="489"/>
      <c r="W10" s="35"/>
      <c r="X10" s="35"/>
      <c r="Y10" s="35"/>
      <c r="Z10" s="35"/>
      <c r="AA10" s="35"/>
      <c r="AB10" s="35"/>
      <c r="AC10" s="489"/>
      <c r="AD10" s="35"/>
      <c r="AE10" s="35"/>
      <c r="AF10" s="35"/>
      <c r="AG10" s="35"/>
      <c r="AH10" s="35"/>
      <c r="AI10" s="35"/>
      <c r="AJ10" s="489"/>
      <c r="AK10" s="35"/>
      <c r="AL10" s="35"/>
      <c r="AM10" s="35"/>
      <c r="AN10" s="35"/>
      <c r="AO10" s="35"/>
      <c r="AP10" s="35"/>
      <c r="AQ10" s="489"/>
      <c r="AR10" s="552" t="s">
        <v>34</v>
      </c>
      <c r="AS10" s="553">
        <f>SUM(AS5:AS9)</f>
        <v>89</v>
      </c>
      <c r="AT10" s="156">
        <f>SUM(AT5:AT9)</f>
        <v>8068.1499999999978</v>
      </c>
      <c r="AU10" s="156">
        <f>SUM(AU5:AU9)</f>
        <v>973875576</v>
      </c>
      <c r="AV10" s="156">
        <f>IFERROR(AU10/AS10,0)</f>
        <v>10942422.202247191</v>
      </c>
      <c r="AW10" s="156">
        <f>IFERROR(AU10/AT10,0)</f>
        <v>120706.18121874287</v>
      </c>
    </row>
    <row r="11" spans="1:53" s="346" customFormat="1" x14ac:dyDescent="0.25">
      <c r="A11" s="489"/>
      <c r="B11" s="720" t="s">
        <v>35</v>
      </c>
      <c r="C11" s="720"/>
      <c r="D11" s="720"/>
      <c r="E11" s="720"/>
      <c r="F11" s="720"/>
      <c r="G11" s="720"/>
      <c r="H11" s="489"/>
      <c r="I11" s="720" t="s">
        <v>35</v>
      </c>
      <c r="J11" s="720"/>
      <c r="K11" s="720"/>
      <c r="L11" s="720"/>
      <c r="M11" s="720"/>
      <c r="N11" s="720"/>
      <c r="O11" s="489"/>
      <c r="P11" s="720" t="s">
        <v>35</v>
      </c>
      <c r="Q11" s="720"/>
      <c r="R11" s="720"/>
      <c r="S11" s="720"/>
      <c r="T11" s="720"/>
      <c r="U11" s="720"/>
      <c r="V11" s="489"/>
      <c r="W11" s="720" t="s">
        <v>35</v>
      </c>
      <c r="X11" s="720"/>
      <c r="Y11" s="720"/>
      <c r="Z11" s="720"/>
      <c r="AA11" s="720"/>
      <c r="AB11" s="720"/>
      <c r="AC11" s="489"/>
      <c r="AD11" s="720" t="s">
        <v>35</v>
      </c>
      <c r="AE11" s="720"/>
      <c r="AF11" s="720"/>
      <c r="AG11" s="720"/>
      <c r="AH11" s="720"/>
      <c r="AI11" s="720"/>
      <c r="AJ11" s="489"/>
      <c r="AK11" s="720" t="s">
        <v>35</v>
      </c>
      <c r="AL11" s="720"/>
      <c r="AM11" s="720"/>
      <c r="AN11" s="720"/>
      <c r="AO11" s="720"/>
      <c r="AP11" s="720"/>
      <c r="AQ11" s="489"/>
    </row>
    <row r="12" spans="1:53" s="346" customFormat="1" x14ac:dyDescent="0.25">
      <c r="A12" s="489"/>
      <c r="B12" s="445" t="s">
        <v>32</v>
      </c>
      <c r="C12" s="445" t="s">
        <v>96</v>
      </c>
      <c r="D12" s="453" t="s">
        <v>95</v>
      </c>
      <c r="E12" s="453" t="s">
        <v>99</v>
      </c>
      <c r="F12" s="454" t="s">
        <v>98</v>
      </c>
      <c r="G12" s="454" t="s">
        <v>97</v>
      </c>
      <c r="H12" s="489"/>
      <c r="I12" s="445" t="s">
        <v>32</v>
      </c>
      <c r="J12" s="445" t="s">
        <v>96</v>
      </c>
      <c r="K12" s="453" t="s">
        <v>95</v>
      </c>
      <c r="L12" s="453" t="s">
        <v>99</v>
      </c>
      <c r="M12" s="454" t="s">
        <v>98</v>
      </c>
      <c r="N12" s="454" t="s">
        <v>97</v>
      </c>
      <c r="O12" s="489"/>
      <c r="P12" s="458" t="s">
        <v>32</v>
      </c>
      <c r="Q12" s="458" t="s">
        <v>96</v>
      </c>
      <c r="R12" s="453" t="s">
        <v>95</v>
      </c>
      <c r="S12" s="453" t="s">
        <v>99</v>
      </c>
      <c r="T12" s="454" t="s">
        <v>98</v>
      </c>
      <c r="U12" s="454" t="s">
        <v>97</v>
      </c>
      <c r="V12" s="489"/>
      <c r="W12" s="481" t="s">
        <v>32</v>
      </c>
      <c r="X12" s="481" t="s">
        <v>96</v>
      </c>
      <c r="Y12" s="453" t="s">
        <v>95</v>
      </c>
      <c r="Z12" s="453" t="s">
        <v>99</v>
      </c>
      <c r="AA12" s="454" t="s">
        <v>98</v>
      </c>
      <c r="AB12" s="454" t="s">
        <v>97</v>
      </c>
      <c r="AC12" s="489"/>
      <c r="AD12" s="689" t="s">
        <v>32</v>
      </c>
      <c r="AE12" s="689" t="s">
        <v>96</v>
      </c>
      <c r="AF12" s="453" t="s">
        <v>95</v>
      </c>
      <c r="AG12" s="453" t="s">
        <v>99</v>
      </c>
      <c r="AH12" s="454" t="s">
        <v>98</v>
      </c>
      <c r="AI12" s="454" t="s">
        <v>97</v>
      </c>
      <c r="AJ12" s="489"/>
      <c r="AK12" s="689" t="s">
        <v>32</v>
      </c>
      <c r="AL12" s="689" t="s">
        <v>96</v>
      </c>
      <c r="AM12" s="453" t="s">
        <v>95</v>
      </c>
      <c r="AN12" s="453" t="s">
        <v>99</v>
      </c>
      <c r="AO12" s="454" t="s">
        <v>98</v>
      </c>
      <c r="AP12" s="454" t="s">
        <v>97</v>
      </c>
      <c r="AQ12" s="489"/>
    </row>
    <row r="13" spans="1:53" s="346" customFormat="1" x14ac:dyDescent="0.25">
      <c r="A13" s="489"/>
      <c r="B13" s="449">
        <v>0</v>
      </c>
      <c r="C13" s="446">
        <f>COUNTIFS(Реестр_Д4[Тип кв],B13,Реестр_Д4[Статус],$B$11)</f>
        <v>0</v>
      </c>
      <c r="D13" s="447">
        <f>SUMIFS(Реестр_Д4[Расчетная проектная площадь],Реестр_Д4[Статус],$B$11,Реестр_Д4[Тип кв],B13)</f>
        <v>0</v>
      </c>
      <c r="E13" s="447">
        <f>SUMIFS(Реестр_Д4[Стоимость ОН без отделки со скидкой],Реестр_Д4[Статус],$B$11,Реестр_Д4[Тип кв],B13)</f>
        <v>0</v>
      </c>
      <c r="F13" s="447">
        <f>IFERROR(E13/C13,0)</f>
        <v>0</v>
      </c>
      <c r="G13" s="447">
        <f>IFERROR(E13/D13,0)</f>
        <v>0</v>
      </c>
      <c r="H13" s="489"/>
      <c r="I13" s="449">
        <v>0</v>
      </c>
      <c r="J13" s="446">
        <f>COUNTIFS(Реестр_Д5[Тип кв],I13,Реестр_Д5[Статус],$I$11)</f>
        <v>1</v>
      </c>
      <c r="K13" s="447">
        <f>SUMIFS(Реестр_Д5[ТП S Расчетная],Реестр_Д5[Статус],$I$11,Реестр_Д5[Тип кв],I13)</f>
        <v>24.249999999999996</v>
      </c>
      <c r="L13" s="447">
        <f>SUMIFS(Реестр_Д5[Стоимость ОН без отделки со скидкой],Реестр_Д5[Статус],$I$11,Реестр_Д5[Тип кв],I13)</f>
        <v>3714300</v>
      </c>
      <c r="M13" s="447">
        <f>IFERROR(L13/J13,0)</f>
        <v>3714300</v>
      </c>
      <c r="N13" s="447">
        <f>IFERROR(L13/K13,0)</f>
        <v>153167.01030927838</v>
      </c>
      <c r="O13" s="489"/>
      <c r="P13" s="449">
        <v>0</v>
      </c>
      <c r="Q13" s="446">
        <f>COUNTIFS(Д401[Тип кв],P13,Д401[Статус],$P$11)</f>
        <v>0</v>
      </c>
      <c r="R13" s="447">
        <f>SUMIFS(Д401[Расчетная проектная площадь],Д401[Статус],$P$11,Д401[Тип кв],P13)</f>
        <v>0</v>
      </c>
      <c r="S13" s="447">
        <f>SUMIFS(Д401[Стоимость ОН без отделки со скидкой],Д401[Статус],$P$11,Д401[Тип кв],P13)</f>
        <v>0</v>
      </c>
      <c r="T13" s="447">
        <f>IFERROR(S13/Q13,0)</f>
        <v>0</v>
      </c>
      <c r="U13" s="447">
        <f>IFERROR(S13/R13,0)</f>
        <v>0</v>
      </c>
      <c r="V13" s="489"/>
      <c r="W13" s="449">
        <v>0</v>
      </c>
      <c r="X13" s="446">
        <f>COUNTIFS(Д402[Тип кв],W13,Д402[Статус],$P$11)</f>
        <v>46</v>
      </c>
      <c r="Y13" s="447">
        <f>SUMIFS(Д402[Расчетная проектная площадь],Д402[Статус],$P$11,Д402[Тип кв],W13)</f>
        <v>1341.0700000000004</v>
      </c>
      <c r="Z13" s="447">
        <f>SUMIFS(Д402[Стоимость ОН без отделки со скидкой],Д402[Статус],$P$11,Д402[Тип кв],W13)</f>
        <v>191022100</v>
      </c>
      <c r="AA13" s="447">
        <f>IFERROR(Z13/X13,0)</f>
        <v>4152654.3478260869</v>
      </c>
      <c r="AB13" s="447">
        <f>IFERROR(Z13/Y13,0)</f>
        <v>142440.06651405216</v>
      </c>
      <c r="AC13" s="489"/>
      <c r="AD13" s="449">
        <v>0</v>
      </c>
      <c r="AE13" s="446">
        <f>COUNTIFS(Д403[Тип кв],AD13,Д403[Статус],$P$11)</f>
        <v>14</v>
      </c>
      <c r="AF13" s="447">
        <f>SUMIFS(Д403[Расчетная проектная площадь],Д403[Статус],$P$11,Д403[Тип кв],AD13)</f>
        <v>431.42999999999995</v>
      </c>
      <c r="AG13" s="447">
        <f>SUMIFS(Д403[Стоимость ОН без отделки со скидкой],Д403[Статус],$P$11,Д403[Тип кв],AD13)</f>
        <v>61446400</v>
      </c>
      <c r="AH13" s="447">
        <f>IFERROR(AG13/AE13,0)</f>
        <v>4389028.5714285718</v>
      </c>
      <c r="AI13" s="447">
        <f>IFERROR(AG13/AF13,0)</f>
        <v>142424.95885775215</v>
      </c>
      <c r="AJ13" s="489"/>
      <c r="AK13" s="449">
        <v>0</v>
      </c>
      <c r="AL13" s="446">
        <f>COUNTIFS(Д404[Тип кв],AK13,Д404[Статус],$P$11)</f>
        <v>0</v>
      </c>
      <c r="AM13" s="447">
        <f>SUMIFS(Д404[Расчетная проектная площадь],Д404[Статус],$P$11,Д404[Тип кв],AK13)</f>
        <v>0</v>
      </c>
      <c r="AN13" s="447">
        <f>SUMIFS(Д404[Стоимость ОН без отделки со скидкой],Д404[Статус],$P$11,Д404[Тип кв],AK13)</f>
        <v>0</v>
      </c>
      <c r="AO13" s="447">
        <f>IFERROR(AN13/AL13,0)</f>
        <v>0</v>
      </c>
      <c r="AP13" s="447">
        <f>IFERROR(AN13/AM13,0)</f>
        <v>0</v>
      </c>
      <c r="AQ13" s="489"/>
    </row>
    <row r="14" spans="1:53" s="346" customFormat="1" x14ac:dyDescent="0.25">
      <c r="A14" s="489"/>
      <c r="B14" s="450">
        <v>1</v>
      </c>
      <c r="C14" s="446">
        <f>COUNTIFS(Реестр_Д4[Тип кв],B14,Реестр_Д4[Статус],$B$11)</f>
        <v>0</v>
      </c>
      <c r="D14" s="447">
        <f>SUMIFS(Реестр_Д4[Расчетная проектная площадь],Реестр_Д4[Статус],$B$11,Реестр_Д4[Тип кв],B14)</f>
        <v>0</v>
      </c>
      <c r="E14" s="447">
        <f>SUMIFS(Реестр_Д4[Стоимость ОН без отделки со скидкой],Реестр_Д4[Статус],$B$11,Реестр_Д4[Тип кв],B14)</f>
        <v>0</v>
      </c>
      <c r="F14" s="447">
        <f>IFERROR(E14/C14,0)</f>
        <v>0</v>
      </c>
      <c r="G14" s="447">
        <f>IFERROR(E14/D14,0)</f>
        <v>0</v>
      </c>
      <c r="H14" s="489"/>
      <c r="I14" s="450">
        <v>1</v>
      </c>
      <c r="J14" s="446">
        <f>COUNTIFS(Реестр_Д5[Тип кв],I14,Реестр_Д5[Статус],$I$11)</f>
        <v>0</v>
      </c>
      <c r="K14" s="447">
        <f>SUMIFS(Реестр_Д5[ТП S Расчетная],Реестр_Д5[Статус],$I$11,Реестр_Д5[Тип кв],I14)</f>
        <v>0</v>
      </c>
      <c r="L14" s="447">
        <f>SUMIFS(Реестр_Д5[Стоимость ОН без отделки со скидкой],Реестр_Д5[Статус],$I$11,Реестр_Д5[Тип кв],I14)</f>
        <v>0</v>
      </c>
      <c r="M14" s="447">
        <f>IFERROR(L14/J14,0)</f>
        <v>0</v>
      </c>
      <c r="N14" s="447">
        <f>IFERROR(L14/K14,0)</f>
        <v>0</v>
      </c>
      <c r="O14" s="489"/>
      <c r="P14" s="450">
        <v>1</v>
      </c>
      <c r="Q14" s="446">
        <f>COUNTIFS(Д401[Тип кв],P14,Д401[Статус],$P$11)</f>
        <v>16</v>
      </c>
      <c r="R14" s="447">
        <f>SUMIFS(Д401[Расчетная проектная площадь],Д401[Статус],$P$11,Д401[Тип кв],P14)</f>
        <v>616.49</v>
      </c>
      <c r="S14" s="447">
        <f>SUMIFS(Д401[Стоимость ОН без отделки со скидкой],Д401[Статус],$P$11,Д401[Тип кв],P14)</f>
        <v>85385400</v>
      </c>
      <c r="T14" s="447">
        <f>IFERROR(S14/Q14,0)</f>
        <v>5336587.5</v>
      </c>
      <c r="U14" s="447">
        <f>IFERROR(S14/R14,0)</f>
        <v>138502.48990251261</v>
      </c>
      <c r="V14" s="489"/>
      <c r="W14" s="450">
        <v>1</v>
      </c>
      <c r="X14" s="446">
        <f>COUNTIFS(Д402[Тип кв],W14,Д402[Статус],$P$11)</f>
        <v>34</v>
      </c>
      <c r="Y14" s="447">
        <f>SUMIFS(Д402[Расчетная проектная площадь],Д402[Статус],$P$11,Д402[Тип кв],W14)</f>
        <v>1369.3700000000008</v>
      </c>
      <c r="Z14" s="447">
        <f>SUMIFS(Д402[Стоимость ОН без отделки со скидкой],Д402[Статус],$P$11,Д402[Тип кв],W14)</f>
        <v>178764800</v>
      </c>
      <c r="AA14" s="447">
        <f>IFERROR(Z14/X14,0)</f>
        <v>5257788.2352941176</v>
      </c>
      <c r="AB14" s="447">
        <f>IFERROR(Z14/Y14,0)</f>
        <v>130545.28724888079</v>
      </c>
      <c r="AC14" s="489"/>
      <c r="AD14" s="450">
        <v>1</v>
      </c>
      <c r="AE14" s="446">
        <f>COUNTIFS(Д403[Тип кв],AD14,Д403[Статус],$P$11)</f>
        <v>17</v>
      </c>
      <c r="AF14" s="447">
        <f>SUMIFS(Д403[Расчетная проектная площадь],Д403[Статус],$P$11,Д403[Тип кв],AD14)</f>
        <v>628.33000000000015</v>
      </c>
      <c r="AG14" s="447">
        <f>SUMIFS(Д403[Стоимость ОН без отделки со скидкой],Д403[Статус],$P$11,Д403[Тип кв],AD14)</f>
        <v>79319097</v>
      </c>
      <c r="AH14" s="447">
        <f>IFERROR(AG14/AE14,0)</f>
        <v>4665829.2352941176</v>
      </c>
      <c r="AI14" s="447">
        <f>IFERROR(AG14/AF14,0)</f>
        <v>126237.95935256948</v>
      </c>
      <c r="AJ14" s="489"/>
      <c r="AK14" s="450">
        <v>1</v>
      </c>
      <c r="AL14" s="446">
        <f>COUNTIFS(Д404[Тип кв],AK14,Д404[Статус],$P$11)</f>
        <v>2</v>
      </c>
      <c r="AM14" s="447">
        <f>SUMIFS(Д404[Расчетная проектная площадь],Д404[Статус],$P$11,Д404[Тип кв],AK14)</f>
        <v>81.08</v>
      </c>
      <c r="AN14" s="447">
        <f>SUMIFS(Д404[Стоимость ОН без отделки со скидкой],Д404[Статус],$P$11,Д404[Тип кв],AK14)</f>
        <v>10137605</v>
      </c>
      <c r="AO14" s="447">
        <f>IFERROR(AN14/AL14,0)</f>
        <v>5068802.5</v>
      </c>
      <c r="AP14" s="447">
        <f>IFERROR(AN14/AM14,0)</f>
        <v>125032.12876171683</v>
      </c>
      <c r="AQ14" s="489"/>
    </row>
    <row r="15" spans="1:53" s="346" customFormat="1" x14ac:dyDescent="0.25">
      <c r="A15" s="489"/>
      <c r="B15" s="450">
        <v>2</v>
      </c>
      <c r="C15" s="446">
        <f>COUNTIFS(Реестр_Д4[Тип кв],B15,Реестр_Д4[Статус],$B$11)</f>
        <v>0</v>
      </c>
      <c r="D15" s="447">
        <f>SUMIFS(Реестр_Д4[Расчетная проектная площадь],Реестр_Д4[Статус],$B$11,Реестр_Д4[Тип кв],B15)</f>
        <v>0</v>
      </c>
      <c r="E15" s="447">
        <f>SUMIFS(Реестр_Д4[Стоимость ОН без отделки со скидкой],Реестр_Д4[Статус],$B$11,Реестр_Д4[Тип кв],B15)</f>
        <v>0</v>
      </c>
      <c r="F15" s="447">
        <f>IFERROR(E15/C15,0)</f>
        <v>0</v>
      </c>
      <c r="G15" s="447">
        <f>IFERROR(E15/D15,0)</f>
        <v>0</v>
      </c>
      <c r="H15" s="489"/>
      <c r="I15" s="450">
        <v>2</v>
      </c>
      <c r="J15" s="446">
        <f>COUNTIFS(Реестр_Д5[Тип кв],I15,Реестр_Д5[Статус],$I$11)</f>
        <v>1</v>
      </c>
      <c r="K15" s="447">
        <f>SUMIFS(Реестр_Д5[ТП S Расчетная],Реестр_Д5[Статус],$I$11,Реестр_Д5[Тип кв],I15)</f>
        <v>58.2</v>
      </c>
      <c r="L15" s="447">
        <f>SUMIFS(Реестр_Д5[Стоимость ОН без отделки со скидкой],Реестр_Д5[Статус],$I$11,Реестр_Д5[Тип кв],I15)</f>
        <v>7265400</v>
      </c>
      <c r="M15" s="447">
        <f>IFERROR(L15/J15,0)</f>
        <v>7265400</v>
      </c>
      <c r="N15" s="447">
        <f>IFERROR(L15/K15,0)</f>
        <v>124835.05154639174</v>
      </c>
      <c r="O15" s="489"/>
      <c r="P15" s="450">
        <v>2</v>
      </c>
      <c r="Q15" s="446">
        <f>COUNTIFS(Д401[Тип кв],P15,Д401[Статус],$P$11)</f>
        <v>15</v>
      </c>
      <c r="R15" s="447">
        <f>SUMIFS(Д401[Расчетная проектная площадь],Д401[Статус],$P$11,Д401[Тип кв],P15)</f>
        <v>842.56</v>
      </c>
      <c r="S15" s="447">
        <f>SUMIFS(Д401[Стоимость ОН без отделки со скидкой],Д401[Статус],$P$11,Д401[Тип кв],P15)</f>
        <v>105846230</v>
      </c>
      <c r="T15" s="447">
        <f>IFERROR(S15/Q15,0)</f>
        <v>7056415.333333333</v>
      </c>
      <c r="U15" s="447">
        <f>IFERROR(S15/R15,0)</f>
        <v>125624.56086213446</v>
      </c>
      <c r="V15" s="489"/>
      <c r="W15" s="450">
        <v>2</v>
      </c>
      <c r="X15" s="446">
        <f>COUNTIFS(Д402[Тип кв],W15,Д402[Статус],$P$11)</f>
        <v>87</v>
      </c>
      <c r="Y15" s="447">
        <f>SUMIFS(Д402[Расчетная проектная площадь],Д402[Статус],$P$11,Д402[Тип кв],W15)</f>
        <v>5093.5599999999959</v>
      </c>
      <c r="Z15" s="447">
        <f>SUMIFS(Д402[Стоимость ОН без отделки со скидкой],Д402[Статус],$P$11,Д402[Тип кв],W15)</f>
        <v>624178100</v>
      </c>
      <c r="AA15" s="447">
        <f>IFERROR(Z15/X15,0)</f>
        <v>7174460.9195402302</v>
      </c>
      <c r="AB15" s="447">
        <f>IFERROR(Z15/Y15,0)</f>
        <v>122542.60281610514</v>
      </c>
      <c r="AC15" s="489"/>
      <c r="AD15" s="450">
        <v>2</v>
      </c>
      <c r="AE15" s="446">
        <f>COUNTIFS(Д403[Тип кв],AD15,Д403[Статус],$P$11)</f>
        <v>3</v>
      </c>
      <c r="AF15" s="447">
        <f>SUMIFS(Д403[Расчетная проектная площадь],Д403[Статус],$P$11,Д403[Тип кв],AD15)</f>
        <v>188.93</v>
      </c>
      <c r="AG15" s="447">
        <f>SUMIFS(Д403[Стоимость ОН без отделки со скидкой],Д403[Статус],$P$11,Д403[Тип кв],AD15)</f>
        <v>23443475</v>
      </c>
      <c r="AH15" s="447">
        <f>IFERROR(AG15/AE15,0)</f>
        <v>7814491.666666667</v>
      </c>
      <c r="AI15" s="447">
        <f>IFERROR(AG15/AF15,0)</f>
        <v>124085.50786005399</v>
      </c>
      <c r="AJ15" s="489"/>
      <c r="AK15" s="450">
        <v>2</v>
      </c>
      <c r="AL15" s="446">
        <f>COUNTIFS(Д404[Тип кв],AK15,Д404[Статус],$P$11)</f>
        <v>3</v>
      </c>
      <c r="AM15" s="447">
        <f>SUMIFS(Д404[Расчетная проектная площадь],Д404[Статус],$P$11,Д404[Тип кв],AK15)</f>
        <v>168.86</v>
      </c>
      <c r="AN15" s="447">
        <f>SUMIFS(Д404[Стоимость ОН без отделки со скидкой],Д404[Статус],$P$11,Д404[Тип кв],AK15)</f>
        <v>20600543</v>
      </c>
      <c r="AO15" s="447">
        <f>IFERROR(AN15/AL15,0)</f>
        <v>6866847.666666667</v>
      </c>
      <c r="AP15" s="447">
        <f>IFERROR(AN15/AM15,0)</f>
        <v>121997.76738126257</v>
      </c>
      <c r="AQ15" s="489"/>
    </row>
    <row r="16" spans="1:53" s="346" customFormat="1" x14ac:dyDescent="0.25">
      <c r="A16" s="489"/>
      <c r="B16" s="450">
        <v>3</v>
      </c>
      <c r="C16" s="446">
        <f>COUNTIFS(Реестр_Д4[Тип кв],B16,Реестр_Д4[Статус],$B$11)</f>
        <v>0</v>
      </c>
      <c r="D16" s="447">
        <f>SUMIFS(Реестр_Д4[Расчетная проектная площадь],Реестр_Д4[Статус],$B$11,Реестр_Д4[Тип кв],B16)</f>
        <v>0</v>
      </c>
      <c r="E16" s="447">
        <f>SUMIFS(Реестр_Д4[Стоимость ОН без отделки со скидкой],Реестр_Д4[Статус],$B$11,Реестр_Д4[Тип кв],B16)</f>
        <v>0</v>
      </c>
      <c r="F16" s="447">
        <f>IFERROR(E16/C16,0)</f>
        <v>0</v>
      </c>
      <c r="G16" s="447">
        <f>IFERROR(E16/D16,0)</f>
        <v>0</v>
      </c>
      <c r="H16" s="489"/>
      <c r="I16" s="450">
        <v>3</v>
      </c>
      <c r="J16" s="446">
        <f>COUNTIFS(Реестр_Д5[Тип кв],I16,Реестр_Д5[Статус],$I$11)</f>
        <v>0</v>
      </c>
      <c r="K16" s="447">
        <f>SUMIFS(Реестр_Д5[ТП S Расчетная],Реестр_Д5[Статус],$I$11,Реестр_Д5[Тип кв],I16)</f>
        <v>0</v>
      </c>
      <c r="L16" s="447">
        <f>SUMIFS(Реестр_Д5[Стоимость ОН без отделки со скидкой],Реестр_Д5[Статус],$I$11,Реестр_Д5[Тип кв],I16)</f>
        <v>0</v>
      </c>
      <c r="M16" s="447">
        <f>IFERROR(L16/J16,0)</f>
        <v>0</v>
      </c>
      <c r="N16" s="447">
        <f>IFERROR(L16/K16,0)</f>
        <v>0</v>
      </c>
      <c r="O16" s="489"/>
      <c r="P16" s="450">
        <v>3</v>
      </c>
      <c r="Q16" s="446">
        <f>COUNTIFS(Д401[Тип кв],P16,Д401[Статус],$P$11)</f>
        <v>14</v>
      </c>
      <c r="R16" s="447">
        <f>SUMIFS(Д401[Расчетная проектная площадь],Д401[Статус],$P$11,Д401[Тип кв],P16)</f>
        <v>1118.8999999999999</v>
      </c>
      <c r="S16" s="447">
        <f>SUMIFS(Д401[Стоимость ОН без отделки со скидкой],Д401[Статус],$P$11,Д401[Тип кв],P16)</f>
        <v>139862500</v>
      </c>
      <c r="T16" s="447">
        <f>IFERROR(S16/Q16,0)</f>
        <v>9990178.5714285709</v>
      </c>
      <c r="U16" s="447">
        <f>IFERROR(S16/R16,0)</f>
        <v>125000.00000000001</v>
      </c>
      <c r="V16" s="489"/>
      <c r="W16" s="450">
        <v>3</v>
      </c>
      <c r="X16" s="446">
        <f>COUNTIFS(Д402[Тип кв],W16,Д402[Статус],$P$11)</f>
        <v>3</v>
      </c>
      <c r="Y16" s="447">
        <f>SUMIFS(Д402[Расчетная проектная площадь],Д402[Статус],$P$11,Д402[Тип кв],W16)</f>
        <v>234.48</v>
      </c>
      <c r="Z16" s="447">
        <f>SUMIFS(Д402[Стоимость ОН без отделки со скидкой],Д402[Статус],$P$11,Д402[Тип кв],W16)</f>
        <v>26386100</v>
      </c>
      <c r="AA16" s="447">
        <f>IFERROR(Z16/X16,0)</f>
        <v>8795366.666666666</v>
      </c>
      <c r="AB16" s="447">
        <f>IFERROR(Z16/Y16,0)</f>
        <v>112530.27976799727</v>
      </c>
      <c r="AC16" s="489"/>
      <c r="AD16" s="450">
        <v>3</v>
      </c>
      <c r="AE16" s="446">
        <f>COUNTIFS(Д403[Тип кв],AD16,Д403[Статус],$P$11)</f>
        <v>1</v>
      </c>
      <c r="AF16" s="447">
        <f>SUMIFS(Д403[Расчетная проектная площадь],Д403[Статус],$P$11,Д403[Тип кв],AD16)</f>
        <v>74.19</v>
      </c>
      <c r="AG16" s="447">
        <f>SUMIFS(Д403[Стоимость ОН без отделки со скидкой],Д403[Статус],$P$11,Д403[Тип кв],AD16)</f>
        <v>8552199</v>
      </c>
      <c r="AH16" s="447">
        <f>IFERROR(AG16/AE16,0)</f>
        <v>8552199</v>
      </c>
      <c r="AI16" s="447">
        <f>IFERROR(AG16/AF16,0)</f>
        <v>115274.28224828144</v>
      </c>
      <c r="AJ16" s="489"/>
      <c r="AK16" s="450">
        <v>3</v>
      </c>
      <c r="AL16" s="446">
        <f>COUNTIFS(Д404[Тип кв],AK16,Д404[Статус],$P$11)</f>
        <v>0</v>
      </c>
      <c r="AM16" s="447">
        <f>SUMIFS(Д404[Расчетная проектная площадь],Д404[Статус],$P$11,Д404[Тип кв],AK16)</f>
        <v>0</v>
      </c>
      <c r="AN16" s="447">
        <f>SUMIFS(Д404[Стоимость ОН без отделки со скидкой],Д404[Статус],$P$11,Д404[Тип кв],AK16)</f>
        <v>0</v>
      </c>
      <c r="AO16" s="447">
        <f>IFERROR(AN16/AL16,0)</f>
        <v>0</v>
      </c>
      <c r="AP16" s="447">
        <f>IFERROR(AN16/AM16,0)</f>
        <v>0</v>
      </c>
      <c r="AQ16" s="489"/>
    </row>
    <row r="17" spans="1:50" s="346" customFormat="1" x14ac:dyDescent="0.25">
      <c r="A17" s="489"/>
      <c r="B17" s="445" t="s">
        <v>34</v>
      </c>
      <c r="C17" s="155">
        <f>SUM(C13:C16)</f>
        <v>0</v>
      </c>
      <c r="D17" s="156">
        <f>SUM(D13:D16)</f>
        <v>0</v>
      </c>
      <c r="E17" s="156">
        <f>SUM(E13:E16)</f>
        <v>0</v>
      </c>
      <c r="F17" s="156">
        <f>IFERROR(E17/C17,0)</f>
        <v>0</v>
      </c>
      <c r="G17" s="156">
        <f>IFERROR(E17/D17,0)</f>
        <v>0</v>
      </c>
      <c r="H17" s="489"/>
      <c r="I17" s="445" t="s">
        <v>34</v>
      </c>
      <c r="J17" s="155">
        <f>SUM(J13:J16)</f>
        <v>2</v>
      </c>
      <c r="K17" s="156">
        <f>SUM(K13:K16)</f>
        <v>82.45</v>
      </c>
      <c r="L17" s="156">
        <f>SUM(L13:L16)</f>
        <v>10979700</v>
      </c>
      <c r="M17" s="156">
        <f>IFERROR(L17/J17,0)</f>
        <v>5489850</v>
      </c>
      <c r="N17" s="156">
        <f>IFERROR(L17/K17,0)</f>
        <v>133167.98059429956</v>
      </c>
      <c r="O17" s="489"/>
      <c r="P17" s="458" t="s">
        <v>34</v>
      </c>
      <c r="Q17" s="459">
        <f>SUM(Q13:Q16)</f>
        <v>45</v>
      </c>
      <c r="R17" s="156">
        <f>SUM(R13:R16)</f>
        <v>2577.9499999999998</v>
      </c>
      <c r="S17" s="156">
        <f>SUM(S13:S16)</f>
        <v>331094130</v>
      </c>
      <c r="T17" s="156">
        <f>IFERROR(S17/Q17,0)</f>
        <v>7357647.333333333</v>
      </c>
      <c r="U17" s="156">
        <f>IFERROR(S17/R17,0)</f>
        <v>128433.10770185613</v>
      </c>
      <c r="V17" s="489"/>
      <c r="W17" s="481" t="s">
        <v>34</v>
      </c>
      <c r="X17" s="482">
        <f>SUM(X13:X16)</f>
        <v>170</v>
      </c>
      <c r="Y17" s="156">
        <f>SUM(Y13:Y16)</f>
        <v>8038.4799999999968</v>
      </c>
      <c r="Z17" s="156">
        <f>SUM(Z13:Z16)</f>
        <v>1020351100</v>
      </c>
      <c r="AA17" s="156">
        <f>IFERROR(Z17/X17,0)</f>
        <v>6002065.2941176472</v>
      </c>
      <c r="AB17" s="156">
        <f>IFERROR(Z17/Y17,0)</f>
        <v>126933.33814352968</v>
      </c>
      <c r="AC17" s="489"/>
      <c r="AD17" s="689" t="s">
        <v>34</v>
      </c>
      <c r="AE17" s="688">
        <f>SUM(AE13:AE16)</f>
        <v>35</v>
      </c>
      <c r="AF17" s="156">
        <f>SUM(AF13:AF16)</f>
        <v>1322.8800000000003</v>
      </c>
      <c r="AG17" s="156">
        <f>SUM(AG13:AG16)</f>
        <v>172761171</v>
      </c>
      <c r="AH17" s="156">
        <f>IFERROR(AG17/AE17,0)</f>
        <v>4936033.4571428569</v>
      </c>
      <c r="AI17" s="156">
        <f>IFERROR(AG17/AF17,0)</f>
        <v>130594.74101959358</v>
      </c>
      <c r="AJ17" s="489"/>
      <c r="AK17" s="689" t="s">
        <v>34</v>
      </c>
      <c r="AL17" s="688">
        <f>SUM(AL13:AL16)</f>
        <v>5</v>
      </c>
      <c r="AM17" s="156">
        <f>SUM(AM13:AM16)</f>
        <v>249.94</v>
      </c>
      <c r="AN17" s="156">
        <f>SUM(AN13:AN16)</f>
        <v>30738148</v>
      </c>
      <c r="AO17" s="156">
        <f>IFERROR(AN17/AL17,0)</f>
        <v>6147629.5999999996</v>
      </c>
      <c r="AP17" s="156">
        <f>IFERROR(AN17/AM17,0)</f>
        <v>122982.10770584941</v>
      </c>
      <c r="AQ17" s="489"/>
    </row>
    <row r="18" spans="1:50" s="346" customFormat="1" x14ac:dyDescent="0.25">
      <c r="A18" s="489"/>
      <c r="B18" s="21"/>
      <c r="C18" s="21"/>
      <c r="D18" s="35"/>
      <c r="E18" s="35"/>
      <c r="F18" s="35"/>
      <c r="G18" s="35"/>
      <c r="H18" s="489"/>
      <c r="I18" s="21"/>
      <c r="J18" s="21"/>
      <c r="K18" s="35"/>
      <c r="L18" s="35"/>
      <c r="M18" s="35"/>
      <c r="N18" s="35"/>
      <c r="O18" s="489"/>
      <c r="P18" s="21"/>
      <c r="Q18" s="21"/>
      <c r="R18" s="35"/>
      <c r="S18" s="35"/>
      <c r="T18" s="35"/>
      <c r="U18" s="35"/>
      <c r="V18" s="489"/>
      <c r="W18" s="21"/>
      <c r="X18" s="21"/>
      <c r="Y18" s="35"/>
      <c r="Z18" s="35"/>
      <c r="AA18" s="35"/>
      <c r="AB18" s="35"/>
      <c r="AC18" s="489"/>
      <c r="AD18" s="21"/>
      <c r="AE18" s="21"/>
      <c r="AF18" s="35"/>
      <c r="AG18" s="35"/>
      <c r="AH18" s="35"/>
      <c r="AI18" s="35"/>
      <c r="AJ18" s="489"/>
      <c r="AK18" s="21"/>
      <c r="AL18" s="21"/>
      <c r="AM18" s="35"/>
      <c r="AN18" s="35"/>
      <c r="AO18" s="35"/>
      <c r="AP18" s="35"/>
      <c r="AQ18" s="489"/>
    </row>
    <row r="19" spans="1:50" s="346" customFormat="1" x14ac:dyDescent="0.25">
      <c r="A19" s="489"/>
      <c r="B19" s="720" t="s">
        <v>4053</v>
      </c>
      <c r="C19" s="720"/>
      <c r="D19" s="720"/>
      <c r="E19" s="720"/>
      <c r="F19" s="720"/>
      <c r="G19" s="720"/>
      <c r="H19" s="489"/>
      <c r="I19" s="720" t="s">
        <v>4053</v>
      </c>
      <c r="J19" s="720"/>
      <c r="K19" s="720"/>
      <c r="L19" s="720"/>
      <c r="M19" s="720"/>
      <c r="N19" s="720"/>
      <c r="O19" s="489"/>
      <c r="P19" s="720" t="s">
        <v>4053</v>
      </c>
      <c r="Q19" s="720"/>
      <c r="R19" s="720"/>
      <c r="S19" s="720"/>
      <c r="T19" s="720"/>
      <c r="U19" s="720"/>
      <c r="V19" s="489"/>
      <c r="W19" s="720" t="s">
        <v>4053</v>
      </c>
      <c r="X19" s="720"/>
      <c r="Y19" s="720"/>
      <c r="Z19" s="720"/>
      <c r="AA19" s="720"/>
      <c r="AB19" s="720"/>
      <c r="AC19" s="489"/>
      <c r="AD19" s="720" t="s">
        <v>4053</v>
      </c>
      <c r="AE19" s="720"/>
      <c r="AF19" s="720"/>
      <c r="AG19" s="720"/>
      <c r="AH19" s="720"/>
      <c r="AI19" s="720"/>
      <c r="AJ19" s="489"/>
      <c r="AK19" s="720" t="s">
        <v>4053</v>
      </c>
      <c r="AL19" s="720"/>
      <c r="AM19" s="720"/>
      <c r="AN19" s="720"/>
      <c r="AO19" s="720"/>
      <c r="AP19" s="720"/>
      <c r="AQ19" s="489"/>
    </row>
    <row r="20" spans="1:50" s="346" customFormat="1" x14ac:dyDescent="0.25">
      <c r="A20" s="489"/>
      <c r="B20" s="445" t="s">
        <v>32</v>
      </c>
      <c r="C20" s="445" t="s">
        <v>96</v>
      </c>
      <c r="D20" s="453" t="s">
        <v>95</v>
      </c>
      <c r="E20" s="453" t="s">
        <v>99</v>
      </c>
      <c r="F20" s="454" t="s">
        <v>98</v>
      </c>
      <c r="G20" s="454" t="s">
        <v>97</v>
      </c>
      <c r="H20" s="489"/>
      <c r="I20" s="445" t="s">
        <v>32</v>
      </c>
      <c r="J20" s="445" t="s">
        <v>96</v>
      </c>
      <c r="K20" s="453" t="s">
        <v>95</v>
      </c>
      <c r="L20" s="453" t="s">
        <v>99</v>
      </c>
      <c r="M20" s="454" t="s">
        <v>98</v>
      </c>
      <c r="N20" s="454" t="s">
        <v>97</v>
      </c>
      <c r="O20" s="489"/>
      <c r="P20" s="458" t="s">
        <v>32</v>
      </c>
      <c r="Q20" s="458" t="s">
        <v>96</v>
      </c>
      <c r="R20" s="453" t="s">
        <v>95</v>
      </c>
      <c r="S20" s="453" t="s">
        <v>99</v>
      </c>
      <c r="T20" s="454" t="s">
        <v>98</v>
      </c>
      <c r="U20" s="454" t="s">
        <v>97</v>
      </c>
      <c r="V20" s="489"/>
      <c r="W20" s="481" t="s">
        <v>32</v>
      </c>
      <c r="X20" s="481" t="s">
        <v>96</v>
      </c>
      <c r="Y20" s="453" t="s">
        <v>95</v>
      </c>
      <c r="Z20" s="453" t="s">
        <v>99</v>
      </c>
      <c r="AA20" s="454" t="s">
        <v>98</v>
      </c>
      <c r="AB20" s="454" t="s">
        <v>97</v>
      </c>
      <c r="AC20" s="489"/>
      <c r="AD20" s="689" t="s">
        <v>32</v>
      </c>
      <c r="AE20" s="689" t="s">
        <v>96</v>
      </c>
      <c r="AF20" s="453" t="s">
        <v>95</v>
      </c>
      <c r="AG20" s="453" t="s">
        <v>99</v>
      </c>
      <c r="AH20" s="454" t="s">
        <v>98</v>
      </c>
      <c r="AI20" s="454" t="s">
        <v>97</v>
      </c>
      <c r="AJ20" s="489"/>
      <c r="AK20" s="689" t="s">
        <v>32</v>
      </c>
      <c r="AL20" s="689" t="s">
        <v>96</v>
      </c>
      <c r="AM20" s="453" t="s">
        <v>95</v>
      </c>
      <c r="AN20" s="453" t="s">
        <v>99</v>
      </c>
      <c r="AO20" s="454" t="s">
        <v>98</v>
      </c>
      <c r="AP20" s="454" t="s">
        <v>97</v>
      </c>
      <c r="AQ20" s="489"/>
    </row>
    <row r="21" spans="1:50" s="346" customFormat="1" ht="16.5" x14ac:dyDescent="0.25">
      <c r="A21" s="489"/>
      <c r="B21" s="449">
        <v>0</v>
      </c>
      <c r="C21" s="446">
        <f>COUNTIFS(Реестр_Д4[Статус],"*Бронь",Реестр_Д4[Тип кв],B21)</f>
        <v>0</v>
      </c>
      <c r="D21" s="447">
        <f>SUMIFS(Реестр_Д4[Расчетная проектная площадь],Реестр_Д4[Статус],"*Бронь",Реестр_Д4[Тип кв],B21)</f>
        <v>0</v>
      </c>
      <c r="E21" s="447">
        <f>SUMIFS(Реестр_Д4[Стоимость ОН без отделки со скидкой],Реестр_Д4[Статус],"*Бронь",Реестр_Д4[Тип кв],B21)</f>
        <v>0</v>
      </c>
      <c r="F21" s="447">
        <f>IFERROR(E21/C21,0)</f>
        <v>0</v>
      </c>
      <c r="G21" s="447">
        <f>IFERROR(E21/D21,0)</f>
        <v>0</v>
      </c>
      <c r="H21" s="489"/>
      <c r="I21" s="449">
        <v>0</v>
      </c>
      <c r="J21" s="446">
        <f>COUNTIFS(Реестр_Д5[Статус],"*Бронь",Реестр_Д5[Тип кв],I21)</f>
        <v>0</v>
      </c>
      <c r="K21" s="447">
        <f>SUMIFS(Реестр_Д5[ТП S Расчетная],Реестр_Д5[Статус],"*Бронь",Реестр_Д5[Тип кв],I21)</f>
        <v>0</v>
      </c>
      <c r="L21" s="447">
        <f>SUMIFS(Реестр_Д5[Стоимость ОН без отделки со скидкой],Реестр_Д5[Статус],"*Бронь",Реестр_Д5[Тип кв],I21)</f>
        <v>0</v>
      </c>
      <c r="M21" s="447">
        <f>IFERROR(L21/J21,0)</f>
        <v>0</v>
      </c>
      <c r="N21" s="447">
        <f>IFERROR(L21/K21,0)</f>
        <v>0</v>
      </c>
      <c r="O21" s="489"/>
      <c r="P21" s="449">
        <v>0</v>
      </c>
      <c r="Q21" s="446">
        <f>COUNTIFS(Д401[Статус],"*Бронь",Д401[Тип кв],P21)</f>
        <v>0</v>
      </c>
      <c r="R21" s="447">
        <f>SUMIFS(Д401[Расчетная проектная площадь],Д401[Статус],"*Бронь",Д401[Тип кв],P21)</f>
        <v>0</v>
      </c>
      <c r="S21" s="447">
        <f>SUMIFS(Д401[Стоимость ОН без отделки со скидкой],Д401[Статус],"*Бронь",Д401[Тип кв],P21)</f>
        <v>0</v>
      </c>
      <c r="T21" s="447">
        <f>IFERROR(S21/Q21,0)</f>
        <v>0</v>
      </c>
      <c r="U21" s="447">
        <f>IFERROR(S21/R21,0)</f>
        <v>0</v>
      </c>
      <c r="V21" s="489"/>
      <c r="W21" s="449">
        <v>0</v>
      </c>
      <c r="X21" s="446">
        <f>COUNTIFS(Д402[Статус],"*Бронь",Д402[Тип кв],W21)</f>
        <v>1</v>
      </c>
      <c r="Y21" s="447">
        <f>SUMIFS(Д402[Расчетная проектная площадь],Д402[Статус],"*Бронь",Д402[Тип кв],W21)</f>
        <v>29.4</v>
      </c>
      <c r="Z21" s="447">
        <f>SUMIFS(Д402[Стоимость ОН без отделки со скидкой],Д402[Статус],"*Бронь",Д402[Тип кв],W21)</f>
        <v>4232400</v>
      </c>
      <c r="AA21" s="447">
        <f>IFERROR(Z21/X21,0)</f>
        <v>4232400</v>
      </c>
      <c r="AB21" s="447">
        <f>IFERROR(Z21/Y21,0)</f>
        <v>143959.18367346941</v>
      </c>
      <c r="AC21" s="489"/>
      <c r="AD21" s="449">
        <v>0</v>
      </c>
      <c r="AE21" s="446">
        <f>COUNTIFS(Д403[Статус],"*Бронь",Д403[Тип кв],AD21)</f>
        <v>0</v>
      </c>
      <c r="AF21" s="447">
        <f>SUMIFS(Д403[Расчетная проектная площадь],Д403[Статус],"*Бронь",Д403[Тип кв],AD21)</f>
        <v>0</v>
      </c>
      <c r="AG21" s="447">
        <f>SUMIFS(Д403[Стоимость ОН без отделки со скидкой],Д403[Статус],"*Бронь",Д403[Тип кв],AD21)</f>
        <v>0</v>
      </c>
      <c r="AH21" s="447">
        <f>IFERROR(AG21/AE21,0)</f>
        <v>0</v>
      </c>
      <c r="AI21" s="447">
        <f>IFERROR(AG21/AF21,0)</f>
        <v>0</v>
      </c>
      <c r="AJ21" s="489"/>
      <c r="AK21" s="449">
        <v>0</v>
      </c>
      <c r="AL21" s="446">
        <f>COUNTIFS(Д404[Статус],"*Бронь",Д404[Тип кв],AK21)</f>
        <v>0</v>
      </c>
      <c r="AM21" s="447">
        <f>SUMIFS(Д404[Расчетная проектная площадь],Д404[Статус],"*Бронь",Д404[Тип кв],AK21)</f>
        <v>0</v>
      </c>
      <c r="AN21" s="447">
        <f>SUMIFS(Д404[Стоимость ОН без отделки со скидкой],Д404[Статус],"*Бронь",Д404[Тип кв],AK21)</f>
        <v>0</v>
      </c>
      <c r="AO21" s="447">
        <f>IFERROR(AN21/AL21,0)</f>
        <v>0</v>
      </c>
      <c r="AP21" s="447">
        <f>IFERROR(AN21/AM21,0)</f>
        <v>0</v>
      </c>
      <c r="AQ21" s="489"/>
      <c r="AX21" s="451"/>
    </row>
    <row r="22" spans="1:50" s="346" customFormat="1" ht="16.5" x14ac:dyDescent="0.25">
      <c r="A22" s="489"/>
      <c r="B22" s="450">
        <v>1</v>
      </c>
      <c r="C22" s="446">
        <f>COUNTIFS(Реестр_Д4[Статус],"*Бронь",Реестр_Д4[Тип кв],B22)</f>
        <v>0</v>
      </c>
      <c r="D22" s="447">
        <f>SUMIFS(Реестр_Д4[Расчетная проектная площадь],Реестр_Д4[Статус],"*Бронь",Реестр_Д4[Тип кв],B22)</f>
        <v>0</v>
      </c>
      <c r="E22" s="447">
        <f>SUMIFS(Реестр_Д4[Стоимость ОН без отделки со скидкой],Реестр_Д4[Статус],"*Бронь",Реестр_Д4[Тип кв],B22)</f>
        <v>0</v>
      </c>
      <c r="F22" s="447">
        <f>IFERROR(E22/C22,0)</f>
        <v>0</v>
      </c>
      <c r="G22" s="447">
        <f>IFERROR(E22/D22,0)</f>
        <v>0</v>
      </c>
      <c r="H22" s="489"/>
      <c r="I22" s="450">
        <v>1</v>
      </c>
      <c r="J22" s="446">
        <f>COUNTIFS(Реестр_Д5[Статус],"*Бронь",Реестр_Д5[Тип кв],I22)</f>
        <v>4</v>
      </c>
      <c r="K22" s="447">
        <f>SUMIFS(Реестр_Д5[ТП S Расчетная],Реестр_Д5[Статус],"*Бронь",Реестр_Д5[Тип кв],I22)</f>
        <v>158.44999999999999</v>
      </c>
      <c r="L22" s="447">
        <f>SUMIFS(Реестр_Д5[Стоимость ОН без отделки со скидкой],Реестр_Д5[Статус],"*Бронь",Реестр_Д5[Тип кв],I22)</f>
        <v>21068200</v>
      </c>
      <c r="M22" s="447">
        <f>IFERROR(L22/J22,0)</f>
        <v>5267050</v>
      </c>
      <c r="N22" s="447">
        <f>IFERROR(L22/K22,0)</f>
        <v>132964.34206374252</v>
      </c>
      <c r="O22" s="489"/>
      <c r="P22" s="450">
        <v>1</v>
      </c>
      <c r="Q22" s="446">
        <f>COUNTIFS(Д401[Статус],"*Бронь",Д401[Тип кв],P22)</f>
        <v>2</v>
      </c>
      <c r="R22" s="447">
        <f>SUMIFS(Д401[Расчетная проектная площадь],Д401[Статус],"*Бронь",Д401[Тип кв],P22)</f>
        <v>71.09</v>
      </c>
      <c r="S22" s="447">
        <f>SUMIFS(Д401[Стоимость ОН без отделки со скидкой],Д401[Статус],"*Бронь",Д401[Тип кв],P22)</f>
        <v>9704526</v>
      </c>
      <c r="T22" s="447">
        <f>IFERROR(S22/Q22,0)</f>
        <v>4852263</v>
      </c>
      <c r="U22" s="447">
        <f>IFERROR(S22/R22,0)</f>
        <v>136510.42340694892</v>
      </c>
      <c r="V22" s="489"/>
      <c r="W22" s="450">
        <v>1</v>
      </c>
      <c r="X22" s="446">
        <f>COUNTIFS(Д402[Статус],"*Бронь",Д402[Тип кв],W22)</f>
        <v>2</v>
      </c>
      <c r="Y22" s="447">
        <f>SUMIFS(Д402[Расчетная проектная площадь],Д402[Статус],"*Бронь",Д402[Тип кв],W22)</f>
        <v>73.02000000000001</v>
      </c>
      <c r="Z22" s="447">
        <f>SUMIFS(Д402[Стоимость ОН без отделки со скидкой],Д402[Статус],"*Бронь",Д402[Тип кв],W22)</f>
        <v>9464878</v>
      </c>
      <c r="AA22" s="447">
        <f>IFERROR(Z22/X22,0)</f>
        <v>4732439</v>
      </c>
      <c r="AB22" s="447">
        <f>IFERROR(Z22/Y22,0)</f>
        <v>129620.35058887974</v>
      </c>
      <c r="AC22" s="489"/>
      <c r="AD22" s="450">
        <v>1</v>
      </c>
      <c r="AE22" s="446">
        <f>COUNTIFS(Д403[Статус],"*Бронь",Д403[Тип кв],AD22)</f>
        <v>27</v>
      </c>
      <c r="AF22" s="447">
        <f>SUMIFS(Д403[Расчетная проектная площадь],Д403[Статус],"*Бронь",Д403[Тип кв],AD22)</f>
        <v>984.60999999999979</v>
      </c>
      <c r="AG22" s="447">
        <f>SUMIFS(Д403[Стоимость ОН без отделки со скидкой],Д403[Статус],"*Бронь",Д403[Тип кв],AD22)</f>
        <v>114197722</v>
      </c>
      <c r="AH22" s="447">
        <f>IFERROR(AG22/AE22,0)</f>
        <v>4229545.2592592593</v>
      </c>
      <c r="AI22" s="447">
        <f>IFERROR(AG22/AF22,0)</f>
        <v>115982.69568661707</v>
      </c>
      <c r="AJ22" s="489"/>
      <c r="AK22" s="450">
        <v>1</v>
      </c>
      <c r="AL22" s="446">
        <f>COUNTIFS(Д404[Статус],"*Бронь",Д404[Тип кв],AK22)</f>
        <v>15</v>
      </c>
      <c r="AM22" s="447">
        <f>SUMIFS(Д404[Расчетная проектная площадь],Д404[Статус],"*Бронь",Д404[Тип кв],AK22)</f>
        <v>588.54000000000008</v>
      </c>
      <c r="AN22" s="447">
        <f>SUMIFS(Д404[Стоимость ОН без отделки со скидкой],Д404[Статус],"*Бронь",Д404[Тип кв],AK22)</f>
        <v>68695866</v>
      </c>
      <c r="AO22" s="447">
        <f>IFERROR(AN22/AL22,0)</f>
        <v>4579724.4000000004</v>
      </c>
      <c r="AP22" s="447">
        <f>IFERROR(AN22/AM22,0)</f>
        <v>116722.50993985114</v>
      </c>
      <c r="AQ22" s="489"/>
      <c r="AX22" s="451"/>
    </row>
    <row r="23" spans="1:50" s="346" customFormat="1" ht="16.5" x14ac:dyDescent="0.25">
      <c r="A23" s="489"/>
      <c r="B23" s="450">
        <v>2</v>
      </c>
      <c r="C23" s="446">
        <f>COUNTIFS(Реестр_Д4[Статус],"*Бронь",Реестр_Д4[Тип кв],B23)</f>
        <v>0</v>
      </c>
      <c r="D23" s="447">
        <f>SUMIFS(Реестр_Д4[Расчетная проектная площадь],Реестр_Д4[Статус],"*Бронь",Реестр_Д4[Тип кв],B23)</f>
        <v>0</v>
      </c>
      <c r="E23" s="447">
        <f>SUMIFS(Реестр_Д4[Стоимость ОН без отделки со скидкой],Реестр_Д4[Статус],"*Бронь",Реестр_Д4[Тип кв],B23)</f>
        <v>0</v>
      </c>
      <c r="F23" s="447">
        <f>IFERROR(E23/C23,0)</f>
        <v>0</v>
      </c>
      <c r="G23" s="447">
        <f>IFERROR(E23/D23,0)</f>
        <v>0</v>
      </c>
      <c r="H23" s="489"/>
      <c r="I23" s="450">
        <v>2</v>
      </c>
      <c r="J23" s="446">
        <f>COUNTIFS(Реестр_Д5[Статус],"*Бронь",Реестр_Д5[Тип кв],I23)</f>
        <v>5</v>
      </c>
      <c r="K23" s="447">
        <f>SUMIFS(Реестр_Д5[ТП S Расчетная],Реестр_Д5[Статус],"*Бронь",Реестр_Д5[Тип кв],I23)</f>
        <v>290.39999999999998</v>
      </c>
      <c r="L23" s="447">
        <f>SUMIFS(Реестр_Д5[Стоимость ОН без отделки со скидкой],Реестр_Д5[Статус],"*Бронь",Реестр_Д5[Тип кв],I23)</f>
        <v>34962837</v>
      </c>
      <c r="M23" s="447">
        <f>IFERROR(L23/J23,0)</f>
        <v>6992567.4000000004</v>
      </c>
      <c r="N23" s="447">
        <f>IFERROR(L23/K23,0)</f>
        <v>120395.44421487604</v>
      </c>
      <c r="O23" s="489"/>
      <c r="P23" s="450">
        <v>2</v>
      </c>
      <c r="Q23" s="446">
        <f>COUNTIFS(Д401[Статус],"*Бронь",Д401[Тип кв],P23)</f>
        <v>2</v>
      </c>
      <c r="R23" s="447">
        <f>SUMIFS(Д401[Расчетная проектная площадь],Д401[Статус],"*Бронь",Д401[Тип кв],P23)</f>
        <v>111.50999999999999</v>
      </c>
      <c r="S23" s="447">
        <f>SUMIFS(Д401[Стоимость ОН без отделки со скидкой],Д401[Статус],"*Бронь",Д401[Тип кв],P23)</f>
        <v>13855821.5</v>
      </c>
      <c r="T23" s="447">
        <f>IFERROR(S23/Q23,0)</f>
        <v>6927910.75</v>
      </c>
      <c r="U23" s="447">
        <f>IFERROR(S23/R23,0)</f>
        <v>124256.31333512691</v>
      </c>
      <c r="V23" s="489"/>
      <c r="W23" s="450">
        <v>2</v>
      </c>
      <c r="X23" s="446">
        <f>COUNTIFS(Д402[Статус],"*Бронь",Д402[Тип кв],W23)</f>
        <v>0</v>
      </c>
      <c r="Y23" s="447">
        <f>SUMIFS(Д402[Расчетная проектная площадь],Д402[Статус],"*Бронь",Д402[Тип кв],W23)</f>
        <v>0</v>
      </c>
      <c r="Z23" s="447">
        <f>SUMIFS(Д402[Стоимость ОН без отделки со скидкой],Д402[Статус],"*Бронь",Д402[Тип кв],W23)</f>
        <v>0</v>
      </c>
      <c r="AA23" s="447">
        <f>IFERROR(Z23/X23,0)</f>
        <v>0</v>
      </c>
      <c r="AB23" s="447">
        <f>IFERROR(Z23/Y23,0)</f>
        <v>0</v>
      </c>
      <c r="AC23" s="489"/>
      <c r="AD23" s="450">
        <v>2</v>
      </c>
      <c r="AE23" s="446">
        <f>COUNTIFS(Д403[Статус],"*Бронь",Д403[Тип кв],AD23)</f>
        <v>9</v>
      </c>
      <c r="AF23" s="447">
        <f>SUMIFS(Д403[Расчетная проектная площадь],Д403[Статус],"*Бронь",Д403[Тип кв],AD23)</f>
        <v>493.89</v>
      </c>
      <c r="AG23" s="447">
        <f>SUMIFS(Д403[Стоимость ОН без отделки со скидкой],Д403[Статус],"*Бронь",Д403[Тип кв],AD23)</f>
        <v>55335134</v>
      </c>
      <c r="AH23" s="447">
        <f>IFERROR(AG23/AE23,0)</f>
        <v>6148348.222222222</v>
      </c>
      <c r="AI23" s="447">
        <f>IFERROR(AG23/AF23,0)</f>
        <v>112039.38933770679</v>
      </c>
      <c r="AJ23" s="489"/>
      <c r="AK23" s="450">
        <v>2</v>
      </c>
      <c r="AL23" s="446">
        <f>COUNTIFS(Д404[Статус],"*Бронь",Д404[Тип кв],AK23)</f>
        <v>10</v>
      </c>
      <c r="AM23" s="447">
        <f>SUMIFS(Д404[Расчетная проектная площадь],Д404[Статус],"*Бронь",Д404[Тип кв],AK23)</f>
        <v>527.02</v>
      </c>
      <c r="AN23" s="447">
        <f>SUMIFS(Д404[Стоимость ОН без отделки со скидкой],Д404[Статус],"*Бронь",Д404[Тип кв],AK23)</f>
        <v>60071190</v>
      </c>
      <c r="AO23" s="447">
        <f>IFERROR(AN23/AL23,0)</f>
        <v>6007119</v>
      </c>
      <c r="AP23" s="447">
        <f>IFERROR(AN23/AM23,0)</f>
        <v>113982.75207772001</v>
      </c>
      <c r="AQ23" s="489"/>
      <c r="AX23" s="451"/>
    </row>
    <row r="24" spans="1:50" s="346" customFormat="1" ht="16.5" x14ac:dyDescent="0.25">
      <c r="A24" s="489"/>
      <c r="B24" s="450">
        <v>3</v>
      </c>
      <c r="C24" s="446">
        <f>COUNTIFS(Реестр_Д4[Статус],"*Бронь",Реестр_Д4[Тип кв],B24)</f>
        <v>0</v>
      </c>
      <c r="D24" s="447">
        <f>SUMIFS(Реестр_Д4[Расчетная проектная площадь],Реестр_Д4[Статус],"*Бронь",Реестр_Д4[Тип кв],B24)</f>
        <v>0</v>
      </c>
      <c r="E24" s="447">
        <f>SUMIFS(Реестр_Д4[Стоимость ОН без отделки со скидкой],Реестр_Д4[Статус],"*Бронь",Реестр_Д4[Тип кв],B24)</f>
        <v>0</v>
      </c>
      <c r="F24" s="447">
        <f>IFERROR(E24/C24,0)</f>
        <v>0</v>
      </c>
      <c r="G24" s="447">
        <f>IFERROR(E24/D24,0)</f>
        <v>0</v>
      </c>
      <c r="H24" s="489"/>
      <c r="I24" s="450">
        <v>3</v>
      </c>
      <c r="J24" s="446">
        <f>COUNTIFS(Реестр_Д5[Статус],"*Бронь",Реестр_Д5[Тип кв],I24)</f>
        <v>1</v>
      </c>
      <c r="K24" s="447">
        <f>SUMIFS(Реестр_Д5[ТП S Расчетная],Реестр_Д5[Статус],"*Бронь",Реестр_Д5[Тип кв],I24)</f>
        <v>80.249999999999986</v>
      </c>
      <c r="L24" s="447">
        <f>SUMIFS(Реестр_Д5[Стоимость ОН без отделки со скидкой],Реестр_Д5[Статус],"*Бронь",Реестр_Д5[Тип кв],I24)</f>
        <v>9132300</v>
      </c>
      <c r="M24" s="447">
        <f>IFERROR(L24/J24,0)</f>
        <v>9132300</v>
      </c>
      <c r="N24" s="447">
        <f>IFERROR(L24/K24,0)</f>
        <v>113798.13084112151</v>
      </c>
      <c r="O24" s="489"/>
      <c r="P24" s="450">
        <v>3</v>
      </c>
      <c r="Q24" s="446">
        <f>COUNTIFS(Д401[Статус],"*Бронь",Д401[Тип кв],P24)</f>
        <v>0</v>
      </c>
      <c r="R24" s="447">
        <f>SUMIFS(Д401[Расчетная проектная площадь],Д401[Статус],"*Бронь",Д401[Тип кв],P24)</f>
        <v>0</v>
      </c>
      <c r="S24" s="447">
        <f>SUMIFS(Д401[Стоимость ОН без отделки со скидкой],Д401[Статус],"*Бронь",Д401[Тип кв],P24)</f>
        <v>0</v>
      </c>
      <c r="T24" s="447">
        <f>IFERROR(S24/Q24,0)</f>
        <v>0</v>
      </c>
      <c r="U24" s="447">
        <f>IFERROR(S24/R24,0)</f>
        <v>0</v>
      </c>
      <c r="V24" s="489"/>
      <c r="W24" s="450">
        <v>3</v>
      </c>
      <c r="X24" s="446">
        <f>COUNTIFS(Д402[Статус],"*Бронь",Д402[Тип кв],W24)</f>
        <v>0</v>
      </c>
      <c r="Y24" s="447">
        <f>SUMIFS(Д402[Расчетная проектная площадь],Д402[Статус],"*Бронь",Д402[Тип кв],W24)</f>
        <v>0</v>
      </c>
      <c r="Z24" s="447">
        <f>SUMIFS(Д402[Стоимость ОН без отделки со скидкой],Д402[Статус],"*Бронь",Д402[Тип кв],W24)</f>
        <v>0</v>
      </c>
      <c r="AA24" s="447">
        <f>IFERROR(Z24/X24,0)</f>
        <v>0</v>
      </c>
      <c r="AB24" s="447">
        <f>IFERROR(Z24/Y24,0)</f>
        <v>0</v>
      </c>
      <c r="AC24" s="489"/>
      <c r="AD24" s="450">
        <v>3</v>
      </c>
      <c r="AE24" s="446">
        <f>COUNTIFS(Д403[Статус],"*Бронь",Д403[Тип кв],AD24)</f>
        <v>8</v>
      </c>
      <c r="AF24" s="447">
        <f>SUMIFS(Д403[Расчетная проектная площадь],Д403[Статус],"*Бронь",Д403[Тип кв],AD24)</f>
        <v>592.56000000000006</v>
      </c>
      <c r="AG24" s="447">
        <f>SUMIFS(Д403[Стоимость ОН без отделки со скидкой],Д403[Статус],"*Бронь",Д403[Тип кв],AD24)</f>
        <v>59413455</v>
      </c>
      <c r="AH24" s="447">
        <f>IFERROR(AG24/AE24,0)</f>
        <v>7426681.875</v>
      </c>
      <c r="AI24" s="447">
        <f>IFERROR(AG24/AF24,0)</f>
        <v>100265.71992709598</v>
      </c>
      <c r="AJ24" s="489"/>
      <c r="AK24" s="450">
        <v>3</v>
      </c>
      <c r="AL24" s="446">
        <f>COUNTIFS(Д404[Статус],"*Бронь",Д404[Тип кв],AK24)</f>
        <v>6</v>
      </c>
      <c r="AM24" s="447">
        <f>SUMIFS(Д404[Расчетная проектная площадь],Д404[Статус],"*Бронь",Д404[Тип кв],AK24)</f>
        <v>465.15999999999997</v>
      </c>
      <c r="AN24" s="447">
        <f>SUMIFS(Д404[Стоимость ОН без отделки со скидкой],Д404[Статус],"*Бронь",Д404[Тип кв],AK24)</f>
        <v>46884791</v>
      </c>
      <c r="AO24" s="447">
        <f>IFERROR(AN24/AL24,0)</f>
        <v>7814131.833333333</v>
      </c>
      <c r="AP24" s="447">
        <f>IFERROR(AN24/AM24,0)</f>
        <v>100792.82612434431</v>
      </c>
      <c r="AQ24" s="489"/>
      <c r="AX24" s="451"/>
    </row>
    <row r="25" spans="1:50" s="346" customFormat="1" ht="16.5" x14ac:dyDescent="0.25">
      <c r="A25" s="489"/>
      <c r="B25" s="445" t="s">
        <v>34</v>
      </c>
      <c r="C25" s="155">
        <f>SUM(C21:C24)</f>
        <v>0</v>
      </c>
      <c r="D25" s="156">
        <f>SUM(D21:D24)</f>
        <v>0</v>
      </c>
      <c r="E25" s="156">
        <f>SUM(E21:E24)</f>
        <v>0</v>
      </c>
      <c r="F25" s="156">
        <f>IFERROR(E25/C25,0)</f>
        <v>0</v>
      </c>
      <c r="G25" s="156">
        <f>IFERROR(E25/D25,0)</f>
        <v>0</v>
      </c>
      <c r="H25" s="489"/>
      <c r="I25" s="445" t="s">
        <v>34</v>
      </c>
      <c r="J25" s="155">
        <f>SUM(J21:J24)</f>
        <v>10</v>
      </c>
      <c r="K25" s="156">
        <f>SUM(K21:K24)</f>
        <v>529.09999999999991</v>
      </c>
      <c r="L25" s="156">
        <f>SUM(L21:L24)</f>
        <v>65163337</v>
      </c>
      <c r="M25" s="156">
        <f>IFERROR(L25/J25,0)</f>
        <v>6516333.7000000002</v>
      </c>
      <c r="N25" s="156">
        <f>IFERROR(L25/K25,0)</f>
        <v>123158.83008883012</v>
      </c>
      <c r="O25" s="489"/>
      <c r="P25" s="458" t="s">
        <v>34</v>
      </c>
      <c r="Q25" s="459">
        <f>SUM(Q21:Q24)</f>
        <v>4</v>
      </c>
      <c r="R25" s="156">
        <f>SUM(R21:R24)</f>
        <v>182.6</v>
      </c>
      <c r="S25" s="156">
        <f>SUM(S21:S24)</f>
        <v>23560347.5</v>
      </c>
      <c r="T25" s="156">
        <f>IFERROR(S25/Q25,0)</f>
        <v>5890086.875</v>
      </c>
      <c r="U25" s="156">
        <f>IFERROR(S25/R25,0)</f>
        <v>129027.0947426068</v>
      </c>
      <c r="V25" s="489"/>
      <c r="W25" s="481" t="s">
        <v>34</v>
      </c>
      <c r="X25" s="482">
        <f>SUM(X21:X24)</f>
        <v>3</v>
      </c>
      <c r="Y25" s="156">
        <f>SUM(Y21:Y24)</f>
        <v>102.42000000000002</v>
      </c>
      <c r="Z25" s="156">
        <f>SUM(Z21:Z24)</f>
        <v>13697278</v>
      </c>
      <c r="AA25" s="156">
        <f>IFERROR(Z25/X25,0)</f>
        <v>4565759.333333333</v>
      </c>
      <c r="AB25" s="156">
        <f>IFERROR(Z25/Y25,0)</f>
        <v>133736.36008592069</v>
      </c>
      <c r="AC25" s="489"/>
      <c r="AD25" s="689" t="s">
        <v>34</v>
      </c>
      <c r="AE25" s="688">
        <f>SUM(AE21:AE24)</f>
        <v>44</v>
      </c>
      <c r="AF25" s="156">
        <f>SUM(AF21:AF24)</f>
        <v>2071.06</v>
      </c>
      <c r="AG25" s="156">
        <f>SUM(AG21:AG24)</f>
        <v>228946311</v>
      </c>
      <c r="AH25" s="156">
        <f>IFERROR(AG25/AE25,0)</f>
        <v>5203325.25</v>
      </c>
      <c r="AI25" s="156">
        <f>IFERROR(AG25/AF25,0)</f>
        <v>110545.47478103</v>
      </c>
      <c r="AJ25" s="489"/>
      <c r="AK25" s="689" t="s">
        <v>34</v>
      </c>
      <c r="AL25" s="688">
        <f>SUM(AL21:AL24)</f>
        <v>31</v>
      </c>
      <c r="AM25" s="156">
        <f>SUM(AM21:AM24)</f>
        <v>1580.7199999999998</v>
      </c>
      <c r="AN25" s="156">
        <f>SUM(AN21:AN24)</f>
        <v>175651847</v>
      </c>
      <c r="AO25" s="156">
        <f>IFERROR(AN25/AL25,0)</f>
        <v>5666188.6129032262</v>
      </c>
      <c r="AP25" s="156">
        <f>IFERROR(AN25/AM25,0)</f>
        <v>111121.41745533682</v>
      </c>
      <c r="AQ25" s="489"/>
      <c r="AX25" s="451"/>
    </row>
    <row r="26" spans="1:50" s="346" customFormat="1" x14ac:dyDescent="0.25">
      <c r="A26" s="489"/>
      <c r="B26" s="21"/>
      <c r="C26" s="21"/>
      <c r="D26" s="35"/>
      <c r="E26" s="35"/>
      <c r="F26" s="35"/>
      <c r="G26" s="35"/>
      <c r="H26" s="489"/>
      <c r="I26" s="21"/>
      <c r="J26" s="21"/>
      <c r="K26" s="35"/>
      <c r="L26" s="35"/>
      <c r="M26" s="35"/>
      <c r="N26" s="35"/>
      <c r="O26" s="489"/>
      <c r="P26" s="21"/>
      <c r="Q26" s="21"/>
      <c r="R26" s="35"/>
      <c r="S26" s="35"/>
      <c r="T26" s="35"/>
      <c r="U26" s="35"/>
      <c r="V26" s="489"/>
      <c r="W26" s="21"/>
      <c r="X26" s="21"/>
      <c r="Y26" s="35"/>
      <c r="Z26" s="35"/>
      <c r="AA26" s="35"/>
      <c r="AB26" s="35"/>
      <c r="AC26" s="489"/>
      <c r="AD26" s="21"/>
      <c r="AE26" s="21"/>
      <c r="AF26" s="35"/>
      <c r="AG26" s="35"/>
      <c r="AH26" s="35"/>
      <c r="AI26" s="35"/>
      <c r="AJ26" s="489"/>
      <c r="AK26" s="21"/>
      <c r="AL26" s="21"/>
      <c r="AM26" s="35"/>
      <c r="AN26" s="35"/>
      <c r="AO26" s="35"/>
      <c r="AP26" s="35"/>
      <c r="AQ26" s="489"/>
      <c r="AS26" s="448"/>
      <c r="AT26" s="448"/>
      <c r="AU26" s="448"/>
      <c r="AV26" s="448"/>
      <c r="AW26" s="448"/>
    </row>
    <row r="27" spans="1:50" s="346" customFormat="1" x14ac:dyDescent="0.25">
      <c r="A27" s="489"/>
      <c r="B27" s="719" t="s">
        <v>53</v>
      </c>
      <c r="C27" s="719"/>
      <c r="D27" s="719"/>
      <c r="E27" s="719"/>
      <c r="F27" s="719"/>
      <c r="G27" s="719"/>
      <c r="H27" s="489"/>
      <c r="I27" s="719" t="s">
        <v>53</v>
      </c>
      <c r="J27" s="719"/>
      <c r="K27" s="719"/>
      <c r="L27" s="719"/>
      <c r="M27" s="719"/>
      <c r="N27" s="719"/>
      <c r="O27" s="489"/>
      <c r="P27" s="719" t="s">
        <v>53</v>
      </c>
      <c r="Q27" s="719"/>
      <c r="R27" s="719"/>
      <c r="S27" s="719"/>
      <c r="T27" s="719"/>
      <c r="U27" s="719"/>
      <c r="V27" s="489"/>
      <c r="W27" s="719" t="s">
        <v>53</v>
      </c>
      <c r="X27" s="719"/>
      <c r="Y27" s="719"/>
      <c r="Z27" s="719"/>
      <c r="AA27" s="719"/>
      <c r="AB27" s="719"/>
      <c r="AC27" s="489"/>
      <c r="AD27" s="719" t="s">
        <v>53</v>
      </c>
      <c r="AE27" s="719"/>
      <c r="AF27" s="719"/>
      <c r="AG27" s="719"/>
      <c r="AH27" s="719"/>
      <c r="AI27" s="719"/>
      <c r="AJ27" s="489"/>
      <c r="AK27" s="719" t="s">
        <v>53</v>
      </c>
      <c r="AL27" s="719"/>
      <c r="AM27" s="719"/>
      <c r="AN27" s="719"/>
      <c r="AO27" s="719"/>
      <c r="AP27" s="719"/>
      <c r="AQ27" s="489"/>
      <c r="AR27" s="719" t="s">
        <v>53</v>
      </c>
      <c r="AS27" s="719"/>
      <c r="AT27" s="719"/>
      <c r="AU27" s="719"/>
      <c r="AV27" s="719"/>
      <c r="AW27" s="719"/>
    </row>
    <row r="28" spans="1:50" s="346" customFormat="1" x14ac:dyDescent="0.25">
      <c r="A28" s="489"/>
      <c r="B28" s="155" t="s">
        <v>32</v>
      </c>
      <c r="C28" s="155" t="s">
        <v>96</v>
      </c>
      <c r="D28" s="156" t="s">
        <v>95</v>
      </c>
      <c r="E28" s="156" t="s">
        <v>99</v>
      </c>
      <c r="F28" s="457" t="s">
        <v>98</v>
      </c>
      <c r="G28" s="457" t="s">
        <v>97</v>
      </c>
      <c r="H28" s="489"/>
      <c r="I28" s="445" t="s">
        <v>32</v>
      </c>
      <c r="J28" s="445" t="s">
        <v>96</v>
      </c>
      <c r="K28" s="453" t="s">
        <v>95</v>
      </c>
      <c r="L28" s="453" t="s">
        <v>99</v>
      </c>
      <c r="M28" s="454" t="s">
        <v>98</v>
      </c>
      <c r="N28" s="454" t="s">
        <v>97</v>
      </c>
      <c r="O28" s="489"/>
      <c r="P28" s="458" t="s">
        <v>32</v>
      </c>
      <c r="Q28" s="458" t="s">
        <v>96</v>
      </c>
      <c r="R28" s="453" t="s">
        <v>95</v>
      </c>
      <c r="S28" s="453" t="s">
        <v>99</v>
      </c>
      <c r="T28" s="454" t="s">
        <v>98</v>
      </c>
      <c r="U28" s="454" t="s">
        <v>97</v>
      </c>
      <c r="V28" s="489" t="s">
        <v>4246</v>
      </c>
      <c r="W28" s="481" t="s">
        <v>32</v>
      </c>
      <c r="X28" s="481" t="s">
        <v>96</v>
      </c>
      <c r="Y28" s="453" t="s">
        <v>95</v>
      </c>
      <c r="Z28" s="453" t="s">
        <v>99</v>
      </c>
      <c r="AA28" s="454" t="s">
        <v>98</v>
      </c>
      <c r="AB28" s="454" t="s">
        <v>97</v>
      </c>
      <c r="AC28" s="489"/>
      <c r="AD28" s="689" t="s">
        <v>32</v>
      </c>
      <c r="AE28" s="689" t="s">
        <v>96</v>
      </c>
      <c r="AF28" s="453" t="s">
        <v>95</v>
      </c>
      <c r="AG28" s="453" t="s">
        <v>99</v>
      </c>
      <c r="AH28" s="454" t="s">
        <v>98</v>
      </c>
      <c r="AI28" s="454" t="s">
        <v>97</v>
      </c>
      <c r="AJ28" s="489"/>
      <c r="AK28" s="689" t="s">
        <v>32</v>
      </c>
      <c r="AL28" s="689" t="s">
        <v>96</v>
      </c>
      <c r="AM28" s="453" t="s">
        <v>95</v>
      </c>
      <c r="AN28" s="453" t="s">
        <v>99</v>
      </c>
      <c r="AO28" s="454" t="s">
        <v>98</v>
      </c>
      <c r="AP28" s="454" t="s">
        <v>97</v>
      </c>
      <c r="AQ28" s="489"/>
      <c r="AR28" s="552" t="s">
        <v>1145</v>
      </c>
      <c r="AS28" s="552" t="s">
        <v>96</v>
      </c>
      <c r="AT28" s="453" t="s">
        <v>95</v>
      </c>
      <c r="AU28" s="453" t="s">
        <v>99</v>
      </c>
      <c r="AV28" s="453" t="s">
        <v>98</v>
      </c>
      <c r="AW28" s="453" t="s">
        <v>97</v>
      </c>
    </row>
    <row r="29" spans="1:50" s="346" customFormat="1" x14ac:dyDescent="0.25">
      <c r="A29" s="489"/>
      <c r="B29" s="449">
        <v>0</v>
      </c>
      <c r="C29" s="446">
        <f>COUNTIFS(Реестр_Д4[Статус],"&lt;&gt;"&amp;$B$35,Реестр_Д4[Тип кв],B29)</f>
        <v>0</v>
      </c>
      <c r="D29" s="447">
        <f>SUMIFS(Реестр_Д4[Расчетная проектная площадь],Реестр_Д4[Статус],"&lt;&gt;"&amp;$B$35,Реестр_Д4[Статус],"&lt;&gt;"&amp;$B$35,Реестр_Д4[Тип кв],B29)</f>
        <v>0</v>
      </c>
      <c r="E29" s="447">
        <f>SUMIFS(Реестр_Д4[Стоимость ОН без отделки со скидкой],Реестр_Д4[Статус],"&lt;&gt;"&amp;$B$35,Реестр_Д4[Статус],"&lt;&gt;"&amp;$B$35,Реестр_Д4[Тип кв],B29)</f>
        <v>0</v>
      </c>
      <c r="F29" s="447">
        <f>IFERROR(E29/C29,0)</f>
        <v>0</v>
      </c>
      <c r="G29" s="447">
        <f>IFERROR(E29/D29,0)</f>
        <v>0</v>
      </c>
      <c r="H29" s="489"/>
      <c r="I29" s="449">
        <v>0</v>
      </c>
      <c r="J29" s="446">
        <f>COUNTIFS(Реестр_Д5[Статус],"&lt;&gt;"&amp;$I$35,Реестр_Д5[Тип кв],I29)</f>
        <v>16</v>
      </c>
      <c r="K29" s="447">
        <f>SUMIFS(Реестр_Д5[ТП S Расчетная],Реестр_Д5[Статус],"&lt;&gt;"&amp;$I$35,Реестр_Д5[Тип кв],I29)</f>
        <v>403.9</v>
      </c>
      <c r="L29" s="447">
        <f>SUMIFS(Реестр_Д5[Стоимость ОН без отделки со скидкой],Реестр_Д5[Статус],"&lt;&gt;"&amp;$I$35,Реестр_Д5[Тип кв],I29)</f>
        <v>62137200</v>
      </c>
      <c r="M29" s="447">
        <f>IFERROR(L29/J29,0)</f>
        <v>3883575</v>
      </c>
      <c r="N29" s="447">
        <f>IFERROR(L29/K29,0)</f>
        <v>153843.03045308247</v>
      </c>
      <c r="O29" s="489"/>
      <c r="P29" s="449">
        <v>0</v>
      </c>
      <c r="Q29" s="446">
        <f>COUNTIFS(Д401[Статус],"&lt;&gt;"&amp;$P$35,Д401[Тип кв],P29)</f>
        <v>0</v>
      </c>
      <c r="R29" s="447">
        <f>SUMIFS(Д401[Расчетная проектная площадь],Д401[Статус],"&lt;&gt;"&amp;$P$35,Д401[Тип кв],P29)</f>
        <v>0</v>
      </c>
      <c r="S29" s="447">
        <f>SUMIFS(Д401[Стоимость ОН без отделки со скидкой],Д401[Статус],"&lt;&gt;"&amp;$P$35,Д401[Тип кв],P29)</f>
        <v>0</v>
      </c>
      <c r="T29" s="447">
        <f>IFERROR(S29/Q29,0)</f>
        <v>0</v>
      </c>
      <c r="U29" s="447">
        <f>IFERROR(S29/R29,0)</f>
        <v>0</v>
      </c>
      <c r="V29" s="489"/>
      <c r="W29" s="449">
        <v>0</v>
      </c>
      <c r="X29" s="446">
        <f>COUNTIFS(Д402[Статус],"&lt;&gt;"&amp;$P$35,Д402[Тип кв],W29)</f>
        <v>58</v>
      </c>
      <c r="Y29" s="447">
        <f>SUMIFS(Д402[Расчетная проектная площадь],Д402[Статус],"&lt;&gt;"&amp;$P$35,Д402[Тип кв],W29)</f>
        <v>1695.7600000000009</v>
      </c>
      <c r="Z29" s="447">
        <f>SUMIFS(Д402[Стоимость ОН без отделки со скидкой],Д402[Статус],"&lt;&gt;"&amp;$P$35,Д402[Тип кв],W29)</f>
        <v>241256100</v>
      </c>
      <c r="AA29" s="447">
        <f>IFERROR(Z29/X29,0)</f>
        <v>4159587.9310344825</v>
      </c>
      <c r="AB29" s="447">
        <f>IFERROR(Z29/Y29,0)</f>
        <v>142270.19153653813</v>
      </c>
      <c r="AC29" s="489"/>
      <c r="AD29" s="449">
        <v>0</v>
      </c>
      <c r="AE29" s="446">
        <f>COUNTIFS(Д403[Статус],"&lt;&gt;"&amp;$P$35,Д403[Тип кв],AD29)</f>
        <v>44</v>
      </c>
      <c r="AF29" s="447">
        <f>SUMIFS(Д403[Расчетная проектная площадь],Д403[Статус],"&lt;&gt;"&amp;$P$35,Д403[Тип кв],AD29)</f>
        <v>1354.8100000000009</v>
      </c>
      <c r="AG29" s="447">
        <f>SUMIFS(Д403[Стоимость ОН без отделки со скидкой],Д403[Статус],"&lt;&gt;"&amp;$P$35,Д403[Тип кв],AD29)</f>
        <v>192958900</v>
      </c>
      <c r="AH29" s="447">
        <f>IFERROR(AG29/AE29,0)</f>
        <v>4385429.5454545459</v>
      </c>
      <c r="AI29" s="447">
        <f>IFERROR(AG29/AF29,0)</f>
        <v>142425.06329300778</v>
      </c>
      <c r="AJ29" s="489"/>
      <c r="AK29" s="449">
        <v>0</v>
      </c>
      <c r="AL29" s="446">
        <f>COUNTIFS(Д404[Статус],"&lt;&gt;"&amp;$P$35,Д404[Тип кв],AK29)</f>
        <v>0</v>
      </c>
      <c r="AM29" s="447">
        <f>SUMIFS(Д404[Расчетная проектная площадь],Д404[Статус],"&lt;&gt;"&amp;$P$35,Д404[Тип кв],AK29)</f>
        <v>0</v>
      </c>
      <c r="AN29" s="447">
        <f>SUMIFS(Д404[Стоимость ОН без отделки со скидкой],Д404[Статус],"&lt;&gt;"&amp;$P$35,Д404[Тип кв],AK29)</f>
        <v>0</v>
      </c>
      <c r="AO29" s="447">
        <f>IFERROR(AN29/AL29,0)</f>
        <v>0</v>
      </c>
      <c r="AP29" s="447">
        <f>IFERROR(AN29/AM29,0)</f>
        <v>0</v>
      </c>
      <c r="AQ29" s="489"/>
      <c r="AR29" s="555" t="s">
        <v>20</v>
      </c>
      <c r="AS29" s="446">
        <f>COUNTIFS(Коммерция[Статус],"&lt;&gt;"&amp;"Продажа",Коммерция[Дом],AR29)</f>
        <v>5</v>
      </c>
      <c r="AT29" s="447">
        <f>SUMIFS(Коммерция[Общая фактическая],Коммерция[Статус],"&lt;&gt;"&amp;"Продажа",Коммерция[Дом],AR29)</f>
        <v>882</v>
      </c>
      <c r="AU29" s="447">
        <f>SUMIFS(Коммерция[стоимость лота],Коммерция[Статус],"&lt;&gt;"&amp;"Продажа",Коммерция[Дом],AR29)</f>
        <v>105974000</v>
      </c>
      <c r="AV29" s="447">
        <f>IFERROR(AU29/AS29,0)</f>
        <v>21194800</v>
      </c>
      <c r="AW29" s="447">
        <f>IFERROR(AU29/AT29,0)</f>
        <v>120151.92743764172</v>
      </c>
    </row>
    <row r="30" spans="1:50" s="346" customFormat="1" x14ac:dyDescent="0.25">
      <c r="A30" s="489"/>
      <c r="B30" s="450">
        <v>1</v>
      </c>
      <c r="C30" s="446">
        <f>COUNTIFS(Реестр_Д4[Статус],"&lt;&gt;"&amp;$B$35,Реестр_Д4[Статус],"&lt;&gt;"&amp;$B$35,Реестр_Д4[Тип кв],B30)</f>
        <v>2</v>
      </c>
      <c r="D30" s="447">
        <f>SUMIFS(Реестр_Д4[Расчетная проектная площадь],Реестр_Д4[Статус],"&lt;&gt;"&amp;$B$35,Реестр_Д4[Статус],"&lt;&gt;"&amp;$B$35,Реестр_Д4[Тип кв],B30)</f>
        <v>106.59</v>
      </c>
      <c r="E30" s="447">
        <f>SUMIFS(Реестр_Д4[Стоимость ОН без отделки со скидкой],Реестр_Д4[Статус],"&lt;&gt;"&amp;$B$35,Реестр_Д4[Статус],"&lt;&gt;"&amp;$B$35,Реестр_Д4[Тип кв],B30)</f>
        <v>13164000</v>
      </c>
      <c r="F30" s="447">
        <f>IFERROR(E30/C30,0)</f>
        <v>6582000</v>
      </c>
      <c r="G30" s="447">
        <f>IFERROR(E30/D30,0)</f>
        <v>123501.26653532225</v>
      </c>
      <c r="H30" s="489"/>
      <c r="I30" s="450">
        <v>1</v>
      </c>
      <c r="J30" s="446">
        <f>COUNTIFS(Реестр_Д5[Статус],"&lt;&gt;"&amp;$I$35,Реестр_Д5[Тип кв],I30)</f>
        <v>42</v>
      </c>
      <c r="K30" s="447">
        <f>SUMIFS(Реестр_Д5[ТП S Расчетная],Реестр_Д5[Статус],"&lt;&gt;"&amp;$I$35,Реестр_Д5[Тип кв],I30)</f>
        <v>1593.6500000000005</v>
      </c>
      <c r="L30" s="447">
        <f>SUMIFS(Реестр_Д5[Стоимость ОН без отделки со скидкой],Реестр_Д5[Статус],"&lt;&gt;"&amp;$I$35,Реестр_Д5[Тип кв],I30)</f>
        <v>230618000</v>
      </c>
      <c r="M30" s="447">
        <f>IFERROR(L30/J30,0)</f>
        <v>5490904.7619047621</v>
      </c>
      <c r="N30" s="447">
        <f>IFERROR(L30/K30,0)</f>
        <v>144710.57007498504</v>
      </c>
      <c r="O30" s="489"/>
      <c r="P30" s="450">
        <v>1</v>
      </c>
      <c r="Q30" s="446">
        <f>COUNTIFS(Д401[Статус],"&lt;&gt;"&amp;$P$35,Д401[Тип кв],P30)</f>
        <v>25</v>
      </c>
      <c r="R30" s="447">
        <f>SUMIFS(Д401[Расчетная проектная площадь],Д401[Статус],"&lt;&gt;"&amp;$P$35,Д401[Тип кв],P30)</f>
        <v>965.94000000000028</v>
      </c>
      <c r="S30" s="447">
        <f>SUMIFS(Д401[Стоимость ОН без отделки со скидкой],Д401[Статус],"&lt;&gt;"&amp;$P$35,Д401[Тип кв],P30)</f>
        <v>133746926</v>
      </c>
      <c r="T30" s="447">
        <f>IFERROR(S30/Q30,0)</f>
        <v>5349877.04</v>
      </c>
      <c r="U30" s="447">
        <f>IFERROR(S30/R30,0)</f>
        <v>138462.97492597881</v>
      </c>
      <c r="V30" s="489"/>
      <c r="W30" s="450">
        <v>1</v>
      </c>
      <c r="X30" s="446">
        <f>COUNTIFS(Д402[Статус],"&lt;&gt;"&amp;$P$35,Д402[Тип кв],W30)</f>
        <v>44</v>
      </c>
      <c r="Y30" s="447">
        <f>SUMIFS(Д402[Расчетная проектная площадь],Д402[Статус],"&lt;&gt;"&amp;$P$35,Д402[Тип кв],W30)</f>
        <v>1776.3400000000008</v>
      </c>
      <c r="Z30" s="447">
        <f>SUMIFS(Д402[Стоимость ОН без отделки со скидкой],Д402[Статус],"&lt;&gt;"&amp;$P$35,Д402[Тип кв],W30)</f>
        <v>232151878</v>
      </c>
      <c r="AA30" s="447">
        <f>IFERROR(Z30/X30,0)</f>
        <v>5276179.0454545459</v>
      </c>
      <c r="AB30" s="447">
        <f>IFERROR(Z30/Y30,0)</f>
        <v>130691.1278246281</v>
      </c>
      <c r="AC30" s="489"/>
      <c r="AD30" s="450">
        <v>1</v>
      </c>
      <c r="AE30" s="446">
        <f>COUNTIFS(Д403[Статус],"&lt;&gt;"&amp;$P$35,Д403[Тип кв],AD30)</f>
        <v>91</v>
      </c>
      <c r="AF30" s="447">
        <f>SUMIFS(Д403[Расчетная проектная площадь],Д403[Статус],"&lt;&gt;"&amp;$P$35,Д403[Тип кв],AD30)</f>
        <v>3554.09</v>
      </c>
      <c r="AG30" s="447">
        <f>SUMIFS(Д403[Стоимость ОН без отделки со скидкой],Д403[Статус],"&lt;&gt;"&amp;$P$35,Д403[Тип кв],AD30)</f>
        <v>437057409</v>
      </c>
      <c r="AH30" s="447">
        <f>IFERROR(AG30/AE30,0)</f>
        <v>4802828.6703296704</v>
      </c>
      <c r="AI30" s="447">
        <f>IFERROR(AG30/AF30,0)</f>
        <v>122973.08424941405</v>
      </c>
      <c r="AJ30" s="489"/>
      <c r="AK30" s="450">
        <v>1</v>
      </c>
      <c r="AL30" s="446">
        <f>COUNTIFS(Д404[Статус],"&lt;&gt;"&amp;$P$35,Д404[Тип кв],AK30)</f>
        <v>90</v>
      </c>
      <c r="AM30" s="447">
        <f>SUMIFS(Д404[Расчетная проектная площадь],Д404[Статус],"&lt;&gt;"&amp;$P$35,Д404[Тип кв],AK30)</f>
        <v>3595.9999999999995</v>
      </c>
      <c r="AN30" s="447">
        <f>SUMIFS(Д404[Стоимость ОН без отделки со скидкой],Д404[Статус],"&lt;&gt;"&amp;$P$35,Д404[Тип кв],AK30)</f>
        <v>441134584</v>
      </c>
      <c r="AO30" s="447">
        <f>IFERROR(AN30/AL30,0)</f>
        <v>4901495.3777777776</v>
      </c>
      <c r="AP30" s="447">
        <f>IFERROR(AN30/AM30,0)</f>
        <v>122673.68854282537</v>
      </c>
      <c r="AQ30" s="489"/>
      <c r="AR30" s="555" t="s">
        <v>19</v>
      </c>
      <c r="AS30" s="446">
        <f>COUNTIFS(Коммерция[Статус],"&lt;&gt;"&amp;"Продажа",Коммерция[Дом],AR30)</f>
        <v>7</v>
      </c>
      <c r="AT30" s="447">
        <f>SUMIFS(Коммерция[Общая фактическая],Коммерция[Статус],"&lt;&gt;"&amp;"Продажа",Коммерция[Дом],AR30)</f>
        <v>954.9</v>
      </c>
      <c r="AU30" s="447">
        <f>SUMIFS(Коммерция[стоимость лота],Коммерция[Статус],"&lt;&gt;"&amp;"Продажа",Коммерция[Дом],AR30)</f>
        <v>113948500</v>
      </c>
      <c r="AV30" s="447">
        <f t="shared" ref="AV30:AV32" si="2">IFERROR(AU30/AS30,0)</f>
        <v>16278357.142857144</v>
      </c>
      <c r="AW30" s="447">
        <f t="shared" ref="AW30:AW32" si="3">IFERROR(AU30/AT30,0)</f>
        <v>119330.29636611164</v>
      </c>
    </row>
    <row r="31" spans="1:50" s="346" customFormat="1" x14ac:dyDescent="0.25">
      <c r="A31" s="489"/>
      <c r="B31" s="450">
        <v>2</v>
      </c>
      <c r="C31" s="446">
        <f>COUNTIFS(Реестр_Д4[Статус],"&lt;&gt;"&amp;$B$35,Реестр_Д4[Статус],"&lt;&gt;"&amp;$B$35,Реестр_Д4[Тип кв],B31)</f>
        <v>3</v>
      </c>
      <c r="D31" s="447">
        <f>SUMIFS(Реестр_Д4[Расчетная проектная площадь],Реестр_Д4[Статус],"&lt;&gt;"&amp;$B$35,Реестр_Д4[Статус],"&lt;&gt;"&amp;$B$35,Реестр_Д4[Тип кв],B31)</f>
        <v>184.58999999999997</v>
      </c>
      <c r="E31" s="447">
        <f>SUMIFS(Реестр_Д4[Стоимость ОН без отделки со скидкой],Реестр_Д4[Статус],"&lt;&gt;"&amp;$B$35,Реестр_Д4[Статус],"&lt;&gt;"&amp;$B$35,Реестр_Д4[Тип кв],B31)</f>
        <v>22747800</v>
      </c>
      <c r="F31" s="447">
        <f>IFERROR(E31/C31,0)</f>
        <v>7582600</v>
      </c>
      <c r="G31" s="447">
        <f>IFERROR(E31/D31,0)</f>
        <v>123234.19470177151</v>
      </c>
      <c r="H31" s="489"/>
      <c r="I31" s="450">
        <v>2</v>
      </c>
      <c r="J31" s="446">
        <f>COUNTIFS(Реестр_Д5[Статус],"&lt;&gt;"&amp;$I$35,Реестр_Д5[Тип кв],I31)</f>
        <v>58</v>
      </c>
      <c r="K31" s="447">
        <f>SUMIFS(Реестр_Д5[ТП S Расчетная],Реестр_Д5[Статус],"&lt;&gt;"&amp;$I$35,Реестр_Д5[Тип кв],I31)</f>
        <v>3638.45</v>
      </c>
      <c r="L31" s="447">
        <f>SUMIFS(Реестр_Д5[Стоимость ОН без отделки со скидкой],Реестр_Д5[Статус],"&lt;&gt;"&amp;$I$35,Реестр_Д5[Тип кв],I31)</f>
        <v>457076337</v>
      </c>
      <c r="M31" s="447">
        <f>IFERROR(L31/J31,0)</f>
        <v>7880626.5</v>
      </c>
      <c r="N31" s="447">
        <f>IFERROR(L31/K31,0)</f>
        <v>125623.91595322185</v>
      </c>
      <c r="O31" s="489"/>
      <c r="P31" s="450">
        <v>2</v>
      </c>
      <c r="Q31" s="446">
        <f>COUNTIFS(Д401[Статус],"&lt;&gt;"&amp;$P$35,Д401[Тип кв],P31)</f>
        <v>31</v>
      </c>
      <c r="R31" s="447">
        <f>SUMIFS(Д401[Расчетная проектная площадь],Д401[Статус],"&lt;&gt;"&amp;$P$35,Д401[Тип кв],P31)</f>
        <v>1730.5200000000002</v>
      </c>
      <c r="S31" s="447">
        <f>SUMIFS(Д401[Стоимость ОН без отделки со скидкой],Д401[Статус],"&lt;&gt;"&amp;$P$35,Д401[Тип кв],P31)</f>
        <v>217162107.5</v>
      </c>
      <c r="T31" s="447">
        <f>IFERROR(S31/Q31,0)</f>
        <v>7005229.2741935486</v>
      </c>
      <c r="U31" s="447">
        <f>IFERROR(S31/R31,0)</f>
        <v>125489.51037838336</v>
      </c>
      <c r="V31" s="489"/>
      <c r="W31" s="450">
        <v>2</v>
      </c>
      <c r="X31" s="446">
        <f>COUNTIFS(Д402[Статус],"&lt;&gt;"&amp;$P$35,Д402[Тип кв],W31)</f>
        <v>108</v>
      </c>
      <c r="Y31" s="447">
        <f>SUMIFS(Д402[Расчетная проектная площадь],Д402[Статус],"&lt;&gt;"&amp;$P$35,Д402[Тип кв],W31)</f>
        <v>6316.3299999999927</v>
      </c>
      <c r="Z31" s="447">
        <f>SUMIFS(Д402[Стоимость ОН без отделки со скидкой],Д402[Статус],"&lt;&gt;"&amp;$P$35,Д402[Тип кв],W31)</f>
        <v>774873100</v>
      </c>
      <c r="AA31" s="447">
        <f>IFERROR(Z31/X31,0)</f>
        <v>7174750.9259259263</v>
      </c>
      <c r="AB31" s="447">
        <f>IFERROR(Z31/Y31,0)</f>
        <v>122677.74166327613</v>
      </c>
      <c r="AC31" s="489"/>
      <c r="AD31" s="450">
        <v>2</v>
      </c>
      <c r="AE31" s="446">
        <f>COUNTIFS(Д403[Статус],"&lt;&gt;"&amp;$P$35,Д403[Тип кв],AD31)</f>
        <v>71</v>
      </c>
      <c r="AF31" s="447">
        <f>SUMIFS(Д403[Расчетная проектная площадь],Д403[Статус],"&lt;&gt;"&amp;$P$35,Д403[Тип кв],AD31)</f>
        <v>4296.1799999999985</v>
      </c>
      <c r="AG31" s="447">
        <f>SUMIFS(Д403[Стоимость ОН без отделки со скидкой],Д403[Статус],"&lt;&gt;"&amp;$P$35,Д403[Тип кв],AD31)</f>
        <v>523716539</v>
      </c>
      <c r="AH31" s="447">
        <f>IFERROR(AG31/AE31,0)</f>
        <v>7376289.2816901412</v>
      </c>
      <c r="AI31" s="447">
        <f>IFERROR(AG31/AF31,0)</f>
        <v>121902.83903374631</v>
      </c>
      <c r="AJ31" s="489"/>
      <c r="AK31" s="450">
        <v>2</v>
      </c>
      <c r="AL31" s="446">
        <f>COUNTIFS(Д404[Статус],"&lt;&gt;"&amp;$P$35,Д404[Тип кв],AK31)</f>
        <v>69</v>
      </c>
      <c r="AM31" s="447">
        <f>SUMIFS(Д404[Расчетная проектная площадь],Д404[Статус],"&lt;&gt;"&amp;$P$35,Д404[Тип кв],AK31)</f>
        <v>3961.1000000000045</v>
      </c>
      <c r="AN31" s="447">
        <f>SUMIFS(Д404[Стоимость ОН без отделки со скидкой],Д404[Статус],"&lt;&gt;"&amp;$P$35,Д404[Тип кв],AK31)</f>
        <v>481625779</v>
      </c>
      <c r="AO31" s="447">
        <f>IFERROR(AN31/AL31,0)</f>
        <v>6980083.7536231885</v>
      </c>
      <c r="AP31" s="447">
        <f>IFERROR(AN31/AM31,0)</f>
        <v>121588.89677109881</v>
      </c>
      <c r="AQ31" s="489"/>
      <c r="AR31" s="555" t="s">
        <v>27</v>
      </c>
      <c r="AS31" s="446">
        <f>COUNTIFS(Коммерция[Статус],"&lt;&gt;"&amp;"Продажа",Коммерция[Дом],AR31)</f>
        <v>3</v>
      </c>
      <c r="AT31" s="447">
        <f>SUMIFS(Коммерция[Общая фактическая],Коммерция[Статус],"&lt;&gt;"&amp;"Продажа",Коммерция[Дом],AR31)</f>
        <v>321.59999999999997</v>
      </c>
      <c r="AU31" s="447">
        <f>SUMIFS(Коммерция[стоимость лота],Коммерция[Статус],"&lt;&gt;"&amp;"Продажа",Коммерция[Дом],AR31)</f>
        <v>36344000</v>
      </c>
      <c r="AV31" s="447">
        <f t="shared" si="2"/>
        <v>12114666.666666666</v>
      </c>
      <c r="AW31" s="447">
        <f t="shared" si="3"/>
        <v>113009.95024875623</v>
      </c>
    </row>
    <row r="32" spans="1:50" s="368" customFormat="1" x14ac:dyDescent="0.25">
      <c r="A32" s="491"/>
      <c r="B32" s="450">
        <v>3</v>
      </c>
      <c r="C32" s="446">
        <f>COUNTIFS(Реестр_Д4[Статус],"&lt;&gt;"&amp;$B$35,Реестр_Д4[Статус],"&lt;&gt;"&amp;$B$35,Реестр_Д4[Тип кв],B32)</f>
        <v>0</v>
      </c>
      <c r="D32" s="447">
        <f>SUMIFS(Реестр_Д4[Расчетная проектная площадь],Реестр_Д4[Статус],"&lt;&gt;"&amp;$B$35,Реестр_Д4[Статус],"&lt;&gt;"&amp;$B$35,Реестр_Д4[Тип кв],B32)</f>
        <v>0</v>
      </c>
      <c r="E32" s="447">
        <f>SUMIFS(Реестр_Д4[Стоимость ОН без отделки со скидкой],Реестр_Д4[Статус],"&lt;&gt;"&amp;$B$35,Реестр_Д4[Статус],"&lt;&gt;"&amp;$B$35,Реестр_Д4[Тип кв],B32)</f>
        <v>0</v>
      </c>
      <c r="F32" s="447">
        <f>IFERROR(E32/C32,0)</f>
        <v>0</v>
      </c>
      <c r="G32" s="447">
        <f>IFERROR(E32/D32,0)</f>
        <v>0</v>
      </c>
      <c r="H32" s="491"/>
      <c r="I32" s="450">
        <v>3</v>
      </c>
      <c r="J32" s="446">
        <f>COUNTIFS(Реестр_Д5[Статус],"&lt;&gt;"&amp;$I$35,Реестр_Д5[Тип кв],I32)</f>
        <v>14</v>
      </c>
      <c r="K32" s="447">
        <f>SUMIFS(Реестр_Д5[ТП S Расчетная],Реестр_Д5[Статус],"&lt;&gt;"&amp;$I$35,Реестр_Д5[Тип кв],I32)</f>
        <v>1131.6500000000001</v>
      </c>
      <c r="L32" s="447">
        <f>SUMIFS(Реестр_Д5[Стоимость ОН без отделки со скидкой],Реестр_Д5[Статус],"&lt;&gt;"&amp;$I$35,Реестр_Д5[Тип кв],I32)</f>
        <v>136841900</v>
      </c>
      <c r="M32" s="447">
        <f>IFERROR(L32/J32,0)</f>
        <v>9774421.4285714291</v>
      </c>
      <c r="N32" s="447">
        <f>IFERROR(L32/K32,0)</f>
        <v>120922.45835726593</v>
      </c>
      <c r="O32" s="491"/>
      <c r="P32" s="450">
        <v>3</v>
      </c>
      <c r="Q32" s="446">
        <f>COUNTIFS(Д401[Статус],"&lt;&gt;"&amp;$P$35,Д401[Тип кв],P32)</f>
        <v>23</v>
      </c>
      <c r="R32" s="447">
        <f>SUMIFS(Д401[Расчетная проектная площадь],Д401[Статус],"&lt;&gt;"&amp;$P$35,Д401[Тип кв],P32)</f>
        <v>1827.4899999999996</v>
      </c>
      <c r="S32" s="447">
        <f>SUMIFS(Д401[Стоимость ОН без отделки со скидкой],Д401[Статус],"&lt;&gt;"&amp;$P$35,Д401[Тип кв],P32)</f>
        <v>228436250</v>
      </c>
      <c r="T32" s="447">
        <f>IFERROR(S32/Q32,0)</f>
        <v>9932010.8695652168</v>
      </c>
      <c r="U32" s="447">
        <f>IFERROR(S32/R32,0)</f>
        <v>125000.00000000003</v>
      </c>
      <c r="V32" s="491"/>
      <c r="W32" s="450">
        <v>3</v>
      </c>
      <c r="X32" s="446">
        <f>COUNTIFS(Д402[Статус],"&lt;&gt;"&amp;$P$35,Д402[Тип кв],W32)</f>
        <v>8</v>
      </c>
      <c r="Y32" s="447">
        <f>SUMIFS(Д402[Расчетная проектная площадь],Д402[Статус],"&lt;&gt;"&amp;$P$35,Д402[Тип кв],W32)</f>
        <v>625.27999999999986</v>
      </c>
      <c r="Z32" s="447">
        <f>SUMIFS(Д402[Стоимость ОН без отделки со скидкой],Д402[Статус],"&lt;&gt;"&amp;$P$35,Д402[Тип кв],W32)</f>
        <v>69997900</v>
      </c>
      <c r="AA32" s="447">
        <f>IFERROR(Z32/X32,0)</f>
        <v>8749737.5</v>
      </c>
      <c r="AB32" s="447">
        <f>IFERROR(Z32/Y32,0)</f>
        <v>111946.48797338795</v>
      </c>
      <c r="AC32" s="491"/>
      <c r="AD32" s="450">
        <v>3</v>
      </c>
      <c r="AE32" s="446">
        <f>COUNTIFS(Д403[Статус],"&lt;&gt;"&amp;$P$35,Д403[Тип кв],AD32)</f>
        <v>14</v>
      </c>
      <c r="AF32" s="447">
        <f>SUMIFS(Д403[Расчетная проектная площадь],Д403[Статус],"&lt;&gt;"&amp;$P$35,Д403[Тип кв],AD32)</f>
        <v>1036.74</v>
      </c>
      <c r="AG32" s="447">
        <f>SUMIFS(Д403[Стоимость ОН без отделки со скидкой],Д403[Статус],"&lt;&gt;"&amp;$P$35,Д403[Тип кв],AD32)</f>
        <v>109909377</v>
      </c>
      <c r="AH32" s="447">
        <f>IFERROR(AG32/AE32,0)</f>
        <v>7850669.7857142854</v>
      </c>
      <c r="AI32" s="447">
        <f>IFERROR(AG32/AF32,0)</f>
        <v>106014.40766248047</v>
      </c>
      <c r="AJ32" s="491"/>
      <c r="AK32" s="450">
        <v>3</v>
      </c>
      <c r="AL32" s="446">
        <f>COUNTIFS(Д404[Статус],"&lt;&gt;"&amp;$P$35,Д404[Тип кв],AK32)</f>
        <v>22</v>
      </c>
      <c r="AM32" s="447">
        <f>SUMIFS(Д404[Расчетная проектная площадь],Д404[Статус],"&lt;&gt;"&amp;$P$35,Д404[Тип кв],AK32)</f>
        <v>1707.3199999999995</v>
      </c>
      <c r="AN32" s="447">
        <f>SUMIFS(Д404[Стоимость ОН без отделки со скидкой],Д404[Статус],"&lt;&gt;"&amp;$P$35,Д404[Тип кв],AK32)</f>
        <v>185161740</v>
      </c>
      <c r="AO32" s="447">
        <f>IFERROR(AN32/AL32,0)</f>
        <v>8416442.7272727266</v>
      </c>
      <c r="AP32" s="447">
        <f>IFERROR(AN32/AM32,0)</f>
        <v>108451.69036853084</v>
      </c>
      <c r="AQ32" s="491"/>
      <c r="AR32" s="555" t="s">
        <v>91</v>
      </c>
      <c r="AS32" s="446">
        <f>COUNTIFS(Коммерция[Статус],"&lt;&gt;"&amp;"Продажа",Коммерция[Дом],AR32)</f>
        <v>2</v>
      </c>
      <c r="AT32" s="447">
        <f>SUMIFS(Коммерция[Общая фактическая],Коммерция[Статус],"&lt;&gt;"&amp;"Продажа",Коммерция[Дом],AR32)</f>
        <v>137.9</v>
      </c>
      <c r="AU32" s="447">
        <f>SUMIFS(Коммерция[стоимость лота],Коммерция[Статус],"&lt;&gt;"&amp;"Продажа",Коммерция[Дом],AR32)</f>
        <v>17237500</v>
      </c>
      <c r="AV32" s="447">
        <f t="shared" si="2"/>
        <v>8618750</v>
      </c>
      <c r="AW32" s="447">
        <f t="shared" si="3"/>
        <v>125000</v>
      </c>
    </row>
    <row r="33" spans="1:54" s="346" customFormat="1" x14ac:dyDescent="0.25">
      <c r="A33" s="489"/>
      <c r="B33" s="155" t="s">
        <v>34</v>
      </c>
      <c r="C33" s="155">
        <f>SUM(C29:C32)</f>
        <v>5</v>
      </c>
      <c r="D33" s="156">
        <f>SUM(D29:D32)</f>
        <v>291.17999999999995</v>
      </c>
      <c r="E33" s="156">
        <f>SUM(E29:E32)</f>
        <v>35911800</v>
      </c>
      <c r="F33" s="156">
        <f>IFERROR(E33/C33,0)</f>
        <v>7182360</v>
      </c>
      <c r="G33" s="156">
        <f>IFERROR(E33/D33,0)</f>
        <v>123331.95961261078</v>
      </c>
      <c r="H33" s="489"/>
      <c r="I33" s="155" t="s">
        <v>34</v>
      </c>
      <c r="J33" s="155">
        <f>SUM(J29:J32)</f>
        <v>130</v>
      </c>
      <c r="K33" s="156">
        <f>SUM(K29:K32)</f>
        <v>6767.65</v>
      </c>
      <c r="L33" s="156">
        <f>SUM(L29:L32)</f>
        <v>886673437</v>
      </c>
      <c r="M33" s="156">
        <f>IFERROR(L33/J33,0)</f>
        <v>6820564.9000000004</v>
      </c>
      <c r="N33" s="156">
        <f>IFERROR(L33/K33,0)</f>
        <v>131016.44396503957</v>
      </c>
      <c r="O33" s="489"/>
      <c r="P33" s="459" t="s">
        <v>34</v>
      </c>
      <c r="Q33" s="459">
        <f>SUM(Q29:Q32)</f>
        <v>79</v>
      </c>
      <c r="R33" s="156">
        <f>SUM(R29:R32)</f>
        <v>4523.95</v>
      </c>
      <c r="S33" s="156">
        <f>SUM(S29:S32)</f>
        <v>579345283.5</v>
      </c>
      <c r="T33" s="156">
        <f>IFERROR(S33/Q33,0)</f>
        <v>7333484.6012658225</v>
      </c>
      <c r="U33" s="156">
        <f>IFERROR(S33/R33,0)</f>
        <v>128061.82285392191</v>
      </c>
      <c r="V33" s="489"/>
      <c r="W33" s="482" t="s">
        <v>34</v>
      </c>
      <c r="X33" s="482">
        <f>SUM(X29:X32)</f>
        <v>218</v>
      </c>
      <c r="Y33" s="156">
        <f>SUM(Y29:Y32)</f>
        <v>10413.709999999995</v>
      </c>
      <c r="Z33" s="156">
        <f>SUM(Z29:Z32)</f>
        <v>1318278978</v>
      </c>
      <c r="AA33" s="156">
        <f>IFERROR(Z33/X33,0)</f>
        <v>6047151.2752293581</v>
      </c>
      <c r="AB33" s="156">
        <f>IFERROR(Z33/Y33,0)</f>
        <v>126590.7133960904</v>
      </c>
      <c r="AC33" s="489"/>
      <c r="AD33" s="688" t="s">
        <v>34</v>
      </c>
      <c r="AE33" s="688">
        <f>SUM(AE29:AE32)</f>
        <v>220</v>
      </c>
      <c r="AF33" s="156">
        <f>SUM(AF29:AF32)</f>
        <v>10241.82</v>
      </c>
      <c r="AG33" s="156">
        <f>SUM(AG29:AG32)</f>
        <v>1263642225</v>
      </c>
      <c r="AH33" s="156">
        <f>IFERROR(AG33/AE33,0)</f>
        <v>5743828.2954545459</v>
      </c>
      <c r="AI33" s="156">
        <f>IFERROR(AG33/AF33,0)</f>
        <v>123380.63205563075</v>
      </c>
      <c r="AJ33" s="489"/>
      <c r="AK33" s="688" t="s">
        <v>34</v>
      </c>
      <c r="AL33" s="688">
        <f>SUM(AL29:AL32)</f>
        <v>181</v>
      </c>
      <c r="AM33" s="156">
        <f>SUM(AM29:AM32)</f>
        <v>9264.4200000000037</v>
      </c>
      <c r="AN33" s="156">
        <f>SUM(AN29:AN32)</f>
        <v>1107922103</v>
      </c>
      <c r="AO33" s="156">
        <f>IFERROR(AN33/AL33,0)</f>
        <v>6121116.591160221</v>
      </c>
      <c r="AP33" s="156">
        <f>IFERROR(AN33/AM33,0)</f>
        <v>119588.93303628285</v>
      </c>
      <c r="AQ33" s="489"/>
      <c r="AR33" s="555" t="s">
        <v>3388</v>
      </c>
      <c r="AS33" s="446">
        <f>COUNTIFS(Коммерция[Статус],"&lt;&gt;"&amp;"Продажа",Коммерция[Дом],AR33)</f>
        <v>0</v>
      </c>
      <c r="AT33" s="447">
        <f>SUMIFS(Коммерция[Общая фактическая],Коммерция[Статус],"&lt;&gt;"&amp;"Продажа",Коммерция[Дом],AR33)</f>
        <v>0</v>
      </c>
      <c r="AU33" s="447">
        <f>SUMIFS(Коммерция[стоимость лота],Коммерция[Статус],"&lt;&gt;"&amp;"Продажа",Коммерция[Дом],AR33)</f>
        <v>0</v>
      </c>
      <c r="AV33" s="447">
        <f t="shared" ref="AV33:AV34" si="4">IFERROR(AU33/AS33,0)</f>
        <v>0</v>
      </c>
      <c r="AW33" s="447">
        <f t="shared" ref="AW33:AW34" si="5">IFERROR(AU33/AT33,0)</f>
        <v>0</v>
      </c>
    </row>
    <row r="34" spans="1:54" s="346" customFormat="1" x14ac:dyDescent="0.25">
      <c r="A34" s="489"/>
      <c r="B34" s="112"/>
      <c r="C34" s="112"/>
      <c r="D34" s="112"/>
      <c r="E34" s="112"/>
      <c r="F34" s="112"/>
      <c r="G34" s="112"/>
      <c r="H34" s="489"/>
      <c r="I34" s="112"/>
      <c r="J34" s="112"/>
      <c r="K34" s="421"/>
      <c r="L34" s="113"/>
      <c r="M34" s="113"/>
      <c r="N34" s="113"/>
      <c r="O34" s="489"/>
      <c r="P34" s="112"/>
      <c r="Q34" s="112"/>
      <c r="R34" s="421"/>
      <c r="S34" s="113"/>
      <c r="T34" s="113"/>
      <c r="U34" s="113"/>
      <c r="V34" s="489"/>
      <c r="W34" s="112"/>
      <c r="X34" s="112"/>
      <c r="Y34" s="421"/>
      <c r="Z34" s="113"/>
      <c r="AA34" s="113"/>
      <c r="AB34" s="113"/>
      <c r="AC34" s="489"/>
      <c r="AD34" s="112"/>
      <c r="AE34" s="112"/>
      <c r="AF34" s="421"/>
      <c r="AG34" s="113"/>
      <c r="AH34" s="113"/>
      <c r="AI34" s="113"/>
      <c r="AJ34" s="489"/>
      <c r="AK34" s="112"/>
      <c r="AL34" s="112"/>
      <c r="AM34" s="421"/>
      <c r="AN34" s="113"/>
      <c r="AO34" s="113"/>
      <c r="AP34" s="113"/>
      <c r="AQ34" s="489"/>
      <c r="AR34" s="555" t="s">
        <v>7562</v>
      </c>
      <c r="AS34" s="446">
        <f>COUNTIFS(Коммерция[Статус],"&lt;&gt;"&amp;"Продажа",Коммерция[Дом],AR34)</f>
        <v>9</v>
      </c>
      <c r="AT34" s="447">
        <f>SUMIFS(Коммерция[Общая фактическая],Коммерция[Статус],"&lt;&gt;"&amp;"Продажа",Коммерция[Дом],AR34)</f>
        <v>104.89999999999999</v>
      </c>
      <c r="AU34" s="447">
        <f>SUMIFS(Коммерция[стоимость лота],Коммерция[Статус],"&lt;&gt;"&amp;"Продажа",Коммерция[Дом],AR34)</f>
        <v>13730800</v>
      </c>
      <c r="AV34" s="447">
        <f t="shared" si="4"/>
        <v>1525644.4444444445</v>
      </c>
      <c r="AW34" s="447">
        <f t="shared" si="5"/>
        <v>130894.18493803624</v>
      </c>
    </row>
    <row r="35" spans="1:54" s="346" customFormat="1" ht="15" customHeight="1" x14ac:dyDescent="0.25">
      <c r="A35" s="489"/>
      <c r="B35" s="719" t="s">
        <v>39</v>
      </c>
      <c r="C35" s="719"/>
      <c r="D35" s="719"/>
      <c r="E35" s="719"/>
      <c r="F35" s="719"/>
      <c r="G35" s="719"/>
      <c r="H35" s="489"/>
      <c r="I35" s="719" t="s">
        <v>39</v>
      </c>
      <c r="J35" s="719"/>
      <c r="K35" s="719"/>
      <c r="L35" s="719"/>
      <c r="M35" s="719"/>
      <c r="N35" s="719"/>
      <c r="O35" s="489"/>
      <c r="P35" s="719" t="s">
        <v>39</v>
      </c>
      <c r="Q35" s="719"/>
      <c r="R35" s="719"/>
      <c r="S35" s="719"/>
      <c r="T35" s="719"/>
      <c r="U35" s="719"/>
      <c r="V35" s="489"/>
      <c r="W35" s="719" t="s">
        <v>39</v>
      </c>
      <c r="X35" s="719"/>
      <c r="Y35" s="719"/>
      <c r="Z35" s="719"/>
      <c r="AA35" s="719"/>
      <c r="AB35" s="719"/>
      <c r="AC35" s="489"/>
      <c r="AD35" s="719" t="s">
        <v>39</v>
      </c>
      <c r="AE35" s="719"/>
      <c r="AF35" s="719"/>
      <c r="AG35" s="719"/>
      <c r="AH35" s="719"/>
      <c r="AI35" s="719"/>
      <c r="AJ35" s="489"/>
      <c r="AK35" s="719" t="s">
        <v>39</v>
      </c>
      <c r="AL35" s="719"/>
      <c r="AM35" s="719"/>
      <c r="AN35" s="719"/>
      <c r="AO35" s="719"/>
      <c r="AP35" s="719"/>
      <c r="AQ35" s="489"/>
      <c r="AR35" s="555" t="s">
        <v>8060</v>
      </c>
      <c r="AS35" s="446">
        <f>COUNTIFS(Коммерция[Статус],"&lt;&gt;"&amp;"Продажа",Коммерция[Дом],AR35)</f>
        <v>7</v>
      </c>
      <c r="AT35" s="447">
        <f>SUMIFS(Коммерция[Общая фактическая],Коммерция[Статус],"&lt;&gt;"&amp;"Продажа",Коммерция[Дом],AR35)</f>
        <v>679.81000000000006</v>
      </c>
      <c r="AU35" s="447">
        <f>SUMIFS(Коммерция[стоимость лота],Коммерция[Статус],"&lt;&gt;"&amp;"Продажа",Коммерция[Дом],AR35)</f>
        <v>101971500</v>
      </c>
      <c r="AV35" s="447">
        <f t="shared" ref="AV35" si="6">IFERROR(AU35/AS35,0)</f>
        <v>14567357.142857144</v>
      </c>
      <c r="AW35" s="447">
        <f t="shared" ref="AW35" si="7">IFERROR(AU35/AT35,0)</f>
        <v>150000</v>
      </c>
    </row>
    <row r="36" spans="1:54" s="346" customFormat="1" x14ac:dyDescent="0.25">
      <c r="A36" s="489"/>
      <c r="B36" s="155" t="s">
        <v>32</v>
      </c>
      <c r="C36" s="155" t="s">
        <v>96</v>
      </c>
      <c r="D36" s="156" t="s">
        <v>8677</v>
      </c>
      <c r="E36" s="156" t="s">
        <v>99</v>
      </c>
      <c r="F36" s="457" t="s">
        <v>98</v>
      </c>
      <c r="G36" s="457" t="s">
        <v>97</v>
      </c>
      <c r="H36" s="489"/>
      <c r="I36" s="155" t="s">
        <v>32</v>
      </c>
      <c r="J36" s="155" t="s">
        <v>96</v>
      </c>
      <c r="K36" s="156" t="s">
        <v>95</v>
      </c>
      <c r="L36" s="156" t="s">
        <v>99</v>
      </c>
      <c r="M36" s="457" t="s">
        <v>98</v>
      </c>
      <c r="N36" s="457" t="s">
        <v>97</v>
      </c>
      <c r="O36" s="489"/>
      <c r="P36" s="459" t="s">
        <v>32</v>
      </c>
      <c r="Q36" s="459" t="s">
        <v>96</v>
      </c>
      <c r="R36" s="156" t="s">
        <v>95</v>
      </c>
      <c r="S36" s="156" t="s">
        <v>99</v>
      </c>
      <c r="T36" s="457" t="s">
        <v>98</v>
      </c>
      <c r="U36" s="457" t="s">
        <v>97</v>
      </c>
      <c r="V36" s="489"/>
      <c r="W36" s="482" t="s">
        <v>32</v>
      </c>
      <c r="X36" s="482" t="s">
        <v>96</v>
      </c>
      <c r="Y36" s="156" t="s">
        <v>95</v>
      </c>
      <c r="Z36" s="156" t="s">
        <v>99</v>
      </c>
      <c r="AA36" s="457" t="s">
        <v>98</v>
      </c>
      <c r="AB36" s="457" t="s">
        <v>97</v>
      </c>
      <c r="AC36" s="489"/>
      <c r="AD36" s="688" t="s">
        <v>32</v>
      </c>
      <c r="AE36" s="688" t="s">
        <v>96</v>
      </c>
      <c r="AF36" s="156" t="s">
        <v>95</v>
      </c>
      <c r="AG36" s="156" t="s">
        <v>99</v>
      </c>
      <c r="AH36" s="457" t="s">
        <v>98</v>
      </c>
      <c r="AI36" s="457" t="s">
        <v>97</v>
      </c>
      <c r="AJ36" s="489"/>
      <c r="AK36" s="688" t="s">
        <v>32</v>
      </c>
      <c r="AL36" s="688" t="s">
        <v>96</v>
      </c>
      <c r="AM36" s="156" t="s">
        <v>95</v>
      </c>
      <c r="AN36" s="156" t="s">
        <v>99</v>
      </c>
      <c r="AO36" s="457" t="s">
        <v>98</v>
      </c>
      <c r="AP36" s="457" t="s">
        <v>97</v>
      </c>
      <c r="AQ36" s="489"/>
      <c r="AR36" s="552" t="s">
        <v>34</v>
      </c>
      <c r="AS36" s="553">
        <f>SUM(AS29:AS35)</f>
        <v>33</v>
      </c>
      <c r="AT36" s="553">
        <f>SUM(AT29:AT35)</f>
        <v>3081.11</v>
      </c>
      <c r="AU36" s="553">
        <f>SUM(AU29:AU35)</f>
        <v>389206300</v>
      </c>
      <c r="AV36" s="553">
        <f>AU36/AS36</f>
        <v>11794130.303030303</v>
      </c>
      <c r="AW36" s="553">
        <f t="shared" ref="AW36" si="8">IFERROR(AU36/AT36,0)</f>
        <v>126320.15734589157</v>
      </c>
    </row>
    <row r="37" spans="1:54" s="346" customFormat="1" x14ac:dyDescent="0.25">
      <c r="A37" s="489"/>
      <c r="B37" s="449">
        <v>0</v>
      </c>
      <c r="C37" s="446">
        <f>COUNTIFS(Реестр_Д4[Тип кв],B37,Реестр_Д4[Статус],$B$35)</f>
        <v>91</v>
      </c>
      <c r="D37" s="447">
        <f>SUMIFS(Реестр_Д4[Расчетная проектная площадь],Реестр_Д4[Статус],$B$35,Реестр_Д4[Тип кв],B37,Реестр_Д4[Схема продажи],"ДДУ")+SUMIFS(Реестр_Д4[ТП S Расчетная],Реестр_Д4[Статус],$B$35,Реестр_Д4[Тип кв],B37,Реестр_Д4[Схема продажи],"ДКП")</f>
        <v>2600.1499999999974</v>
      </c>
      <c r="E37" s="447">
        <f>SUMIFS(Реестр_Д4[Стоимость ОН без отделки со скидкой],Реестр_Д4[Статус],$B$35,Реестр_Д4[Тип кв],B37)</f>
        <v>240507151.54000002</v>
      </c>
      <c r="F37" s="447">
        <f t="shared" ref="F37:F41" si="9">IFERROR(E37/C37,0)</f>
        <v>2642935.7312087915</v>
      </c>
      <c r="G37" s="447">
        <f>IFERROR(E37/D37,0)</f>
        <v>92497.414203026856</v>
      </c>
      <c r="H37" s="489"/>
      <c r="I37" s="449">
        <v>0</v>
      </c>
      <c r="J37" s="446">
        <f>COUNTIFS(Реестр_Д5[Тип кв],I37,Реестр_Д5[Статус],$I$35)</f>
        <v>72</v>
      </c>
      <c r="K37" s="447">
        <f>SUMIFS(Реестр_Д5[Расчетная проектная площадь],Реестр_Д5[Статус],$I$35,Реестр_Д5[Тип кв],I37,Реестр_Д5[Схема продажи],"ДДУ")+SUMIFS(Реестр_Д5[ТП S Расчетная],Реестр_Д5[Статус],$I$35,Реестр_Д5[Тип кв],B37,Реестр_Д5[Схема продажи],"ДКП")</f>
        <v>1864.3300000000008</v>
      </c>
      <c r="L37" s="447">
        <f>SUMIFS(Реестр_Д5[Стоимость ОН без отделки со скидкой],Реестр_Д5[Статус],$I$35,Реестр_Д5[Тип кв],I37)</f>
        <v>217731650.32000002</v>
      </c>
      <c r="M37" s="447">
        <f>IFERROR(L37/J37,0)</f>
        <v>3024050.698888889</v>
      </c>
      <c r="N37" s="447">
        <f>IFERROR(L37/K37,0)</f>
        <v>116788.14926541971</v>
      </c>
      <c r="O37" s="489"/>
      <c r="P37" s="449">
        <v>0</v>
      </c>
      <c r="Q37" s="446">
        <f>COUNTIFS(Д401[Тип кв],P37,Д401[Статус],$P$35)</f>
        <v>0</v>
      </c>
      <c r="R37" s="447">
        <f>SUMIFS(Д401[Расчетная проектная площадь],Д401[Статус],$P$35,Д401[Тип кв],P37)</f>
        <v>0</v>
      </c>
      <c r="S37" s="447">
        <f>SUMIFS(Д401[Стоимость ОН без отделки со скидкой],Д401[Статус],$P$35,Д401[Тип кв],P37)</f>
        <v>0</v>
      </c>
      <c r="T37" s="447">
        <f>IFERROR(S37/Q37,0)</f>
        <v>0</v>
      </c>
      <c r="U37" s="447">
        <f>IFERROR(S37/R37,0)</f>
        <v>0</v>
      </c>
      <c r="V37" s="489"/>
      <c r="W37" s="449">
        <v>0</v>
      </c>
      <c r="X37" s="446">
        <f>COUNTIFS(Д402[Тип кв],W37,Д402[Статус],$P$35)</f>
        <v>2</v>
      </c>
      <c r="Y37" s="447">
        <f>SUMIFS(Д402[Расчетная проектная площадь],Д402[Статус],$P$35,Д402[Тип кв],W37)</f>
        <v>59.019999999999996</v>
      </c>
      <c r="Z37" s="447">
        <f>SUMIFS(Д402[Стоимость ОН без отделки со скидкой],Д402[Статус],$P$35,Д402[Тип кв],W37)</f>
        <v>8234932</v>
      </c>
      <c r="AA37" s="447">
        <f>IFERROR(Z37/X37,0)</f>
        <v>4117466</v>
      </c>
      <c r="AB37" s="447">
        <f>IFERROR(Z37/Y37,0)</f>
        <v>139527.82107760082</v>
      </c>
      <c r="AC37" s="489"/>
      <c r="AD37" s="449">
        <v>0</v>
      </c>
      <c r="AE37" s="446">
        <f>COUNTIFS(Д403[Тип кв],AD37,Д403[Статус],$P$35)</f>
        <v>0</v>
      </c>
      <c r="AF37" s="447">
        <f>SUMIFS(Д403[Расчетная проектная площадь],Д403[Статус],$P$35,Д403[Тип кв],AD37)</f>
        <v>0</v>
      </c>
      <c r="AG37" s="447">
        <f>SUMIFS(Д403[Стоимость ОН без отделки со скидкой],Д403[Статус],$P$35,Д403[Тип кв],AD37)</f>
        <v>0</v>
      </c>
      <c r="AH37" s="447">
        <f>IFERROR(AG37/AE37,0)</f>
        <v>0</v>
      </c>
      <c r="AI37" s="447">
        <f>IFERROR(AG37/AF37,0)</f>
        <v>0</v>
      </c>
      <c r="AJ37" s="489"/>
      <c r="AK37" s="449">
        <v>0</v>
      </c>
      <c r="AL37" s="446">
        <f>COUNTIFS(Д404[Тип кв],AK37,Д404[Статус],$P$35)</f>
        <v>0</v>
      </c>
      <c r="AM37" s="447">
        <f>SUMIFS(Д404[Расчетная проектная площадь],Д404[Статус],$P$35,Д404[Тип кв],AK37)</f>
        <v>0</v>
      </c>
      <c r="AN37" s="447">
        <f>SUMIFS(Д404[Стоимость ОН без отделки со скидкой],Д404[Статус],$P$35,Д404[Тип кв],AK37)</f>
        <v>0</v>
      </c>
      <c r="AO37" s="447">
        <f>IFERROR(AN37/AL37,0)</f>
        <v>0</v>
      </c>
      <c r="AP37" s="447">
        <f>IFERROR(AN37/AM37,0)</f>
        <v>0</v>
      </c>
      <c r="AQ37" s="489"/>
    </row>
    <row r="38" spans="1:54" s="346" customFormat="1" x14ac:dyDescent="0.25">
      <c r="A38" s="489"/>
      <c r="B38" s="450">
        <v>1</v>
      </c>
      <c r="C38" s="446">
        <f>COUNTIFS(Реестр_Д4[Тип кв],B38,Реестр_Д4[Статус],$B$35)</f>
        <v>187</v>
      </c>
      <c r="D38" s="447">
        <f>SUMIFS(Реестр_Д4[Расчетная проектная площадь],Реестр_Д4[Статус],$B$35,Реестр_Д4[Тип кв],B38,Реестр_Д4[Схема продажи],"ДДУ")+SUMIFS(Реестр_Д4[ТП S Расчетная],Реестр_Д4[Статус],$B$35,Реестр_Д4[Тип кв],B38,Реестр_Д4[Схема продажи],"ДКП")</f>
        <v>6868.9100000000026</v>
      </c>
      <c r="E38" s="447">
        <f>SUMIFS(Реестр_Д4[Стоимость ОН без отделки со скидкой],Реестр_Д4[Статус],$B$35,Реестр_Д4[Тип кв],B38)</f>
        <v>629109864.83999979</v>
      </c>
      <c r="F38" s="447">
        <f t="shared" si="9"/>
        <v>3364223.8761497317</v>
      </c>
      <c r="G38" s="447">
        <f>IFERROR(E38/D38,0)</f>
        <v>91588.019764416706</v>
      </c>
      <c r="H38" s="489"/>
      <c r="I38" s="450">
        <v>1</v>
      </c>
      <c r="J38" s="446">
        <f>COUNTIFS(Реестр_Д5[Тип кв],I38,Реестр_Д5[Статус],$I$35)</f>
        <v>158</v>
      </c>
      <c r="K38" s="447">
        <f>SUMIFS(Реестр_Д5[Расчетная проектная площадь],Реестр_Д5[Статус],$I$35,Реестр_Д5[Тип кв],I38,Реестр_Д5[Схема продажи],"ДДУ")+SUMIFS(Реестр_Д5[ТП S Расчетная],Реестр_Д5[Статус],$I$35,Реестр_Д5[Тип кв],B38,Реестр_Д5[Схема продажи],"ДКП")</f>
        <v>6217.909999999998</v>
      </c>
      <c r="L38" s="447">
        <f>SUMIFS(Реестр_Д5[Стоимость ОН без отделки со скидкой],Реестр_Д5[Статус],$I$35,Реестр_Д5[Тип кв],I38)</f>
        <v>671780643.00999963</v>
      </c>
      <c r="M38" s="447">
        <f>IFERROR(L38/J38,0)</f>
        <v>4251776.2215822758</v>
      </c>
      <c r="N38" s="447">
        <f>IFERROR(L38/K38,0)</f>
        <v>108039.62151430301</v>
      </c>
      <c r="O38" s="489"/>
      <c r="P38" s="450">
        <v>1</v>
      </c>
      <c r="Q38" s="446">
        <f>COUNTIFS(Д401[Тип кв],P38,Д401[Статус],$P$35)</f>
        <v>7</v>
      </c>
      <c r="R38" s="447">
        <f>SUMIFS(Д401[Расчетная проектная площадь],Д401[Статус],$P$35,Д401[Тип кв],P38)</f>
        <v>268.10000000000002</v>
      </c>
      <c r="S38" s="447">
        <f>SUMIFS(Д401[Стоимость ОН без отделки со скидкой],Д401[Статус],$P$35,Д401[Тип кв],P38)</f>
        <v>35559284</v>
      </c>
      <c r="T38" s="447">
        <f>IFERROR(S38/Q38,0)</f>
        <v>5079897.7142857146</v>
      </c>
      <c r="U38" s="447">
        <f>IFERROR(S38/R38,0)</f>
        <v>132634.40507273405</v>
      </c>
      <c r="V38" s="489"/>
      <c r="W38" s="450">
        <v>1</v>
      </c>
      <c r="X38" s="446">
        <f>COUNTIFS(Д402[Тип кв],W38,Д402[Статус],$P$35)</f>
        <v>48</v>
      </c>
      <c r="Y38" s="447">
        <f>SUMIFS(Д402[Расчетная проектная площадь],Д402[Статус],$P$35,Д402[Тип кв],W38)</f>
        <v>1881.2000000000003</v>
      </c>
      <c r="Z38" s="447">
        <f>SUMIFS(Д402[Стоимость ОН без отделки со скидкой],Д402[Статус],$P$35,Д402[Тип кв],W38)</f>
        <v>238360812</v>
      </c>
      <c r="AA38" s="447">
        <f>IFERROR(Z38/X38,0)</f>
        <v>4965850.25</v>
      </c>
      <c r="AB38" s="447">
        <f>IFERROR(Z38/Y38,0)</f>
        <v>126706.78928343608</v>
      </c>
      <c r="AC38" s="489"/>
      <c r="AD38" s="450">
        <v>1</v>
      </c>
      <c r="AE38" s="446">
        <f>COUNTIFS(Д403[Тип кв],AD38,Д403[Статус],$P$35)</f>
        <v>0</v>
      </c>
      <c r="AF38" s="447">
        <f>SUMIFS(Д403[Расчетная проектная площадь],Д403[Статус],$P$35,Д403[Тип кв],AD38)</f>
        <v>0</v>
      </c>
      <c r="AG38" s="447">
        <f>SUMIFS(Д403[Стоимость ОН без отделки со скидкой],Д403[Статус],$P$35,Д403[Тип кв],AD38)</f>
        <v>0</v>
      </c>
      <c r="AH38" s="447">
        <f>IFERROR(AG38/AE38,0)</f>
        <v>0</v>
      </c>
      <c r="AI38" s="447">
        <f>IFERROR(AG38/AF38,0)</f>
        <v>0</v>
      </c>
      <c r="AJ38" s="489"/>
      <c r="AK38" s="450">
        <v>1</v>
      </c>
      <c r="AL38" s="446">
        <f>COUNTIFS(Д404[Тип кв],AK38,Д404[Статус],$P$35)</f>
        <v>0</v>
      </c>
      <c r="AM38" s="447">
        <f>SUMIFS(Д404[Расчетная проектная площадь],Д404[Статус],$P$35,Д404[Тип кв],AK38)</f>
        <v>0</v>
      </c>
      <c r="AN38" s="447">
        <f>SUMIFS(Д404[Стоимость ОН без отделки со скидкой],Д404[Статус],$P$35,Д404[Тип кв],AK38)</f>
        <v>0</v>
      </c>
      <c r="AO38" s="447">
        <f>IFERROR(AN38/AL38,0)</f>
        <v>0</v>
      </c>
      <c r="AP38" s="447">
        <f>IFERROR(AN38/AM38,0)</f>
        <v>0</v>
      </c>
      <c r="AQ38" s="489"/>
    </row>
    <row r="39" spans="1:54" s="346" customFormat="1" x14ac:dyDescent="0.25">
      <c r="A39" s="489"/>
      <c r="B39" s="450">
        <v>2</v>
      </c>
      <c r="C39" s="446">
        <f>COUNTIFS(Реестр_Д4[Тип кв],B39,Реестр_Д4[Статус],$B$35)</f>
        <v>201</v>
      </c>
      <c r="D39" s="447">
        <f>SUMIFS(Реестр_Д4[Расчетная проектная площадь],Реестр_Д4[Статус],$B$35,Реестр_Д4[Тип кв],B39,Реестр_Д4[Схема продажи],"ДДУ")+SUMIFS(Реестр_Д4[ТП S Расчетная],Реестр_Д4[Статус],$B$35,Реестр_Д4[Тип кв],B39,Реестр_Д4[Схема продажи],"ДКП")</f>
        <v>12237.83000000002</v>
      </c>
      <c r="E39" s="447">
        <f>SUMIFS(Реестр_Д4[Стоимость ОН без отделки со скидкой],Реестр_Д4[Статус],$B$35,Реестр_Д4[Тип кв],B39)</f>
        <v>1021409796.7299997</v>
      </c>
      <c r="F39" s="447">
        <f t="shared" si="9"/>
        <v>5081640.7797512421</v>
      </c>
      <c r="G39" s="447">
        <f>IFERROR(E39/D39,0)</f>
        <v>83463.309813095781</v>
      </c>
      <c r="H39" s="489"/>
      <c r="I39" s="450">
        <v>2</v>
      </c>
      <c r="J39" s="446">
        <f>COUNTIFS(Реестр_Д5[Тип кв],I39,Реестр_Д5[Статус],$I$35)</f>
        <v>171</v>
      </c>
      <c r="K39" s="447">
        <f>SUMIFS(Реестр_Д5[Расчетная проектная площадь],Реестр_Д5[Статус],$I$35,Реестр_Д5[Тип кв],I39,Реестр_Д5[Схема продажи],"ДДУ")+SUMIFS(Реестр_Д5[ТП S Расчетная],Реестр_Д5[Статус],$I$35,Реестр_Д5[Тип кв],B39,Реестр_Д5[Схема продажи],"ДКП")</f>
        <v>10314.689999999984</v>
      </c>
      <c r="L39" s="447">
        <f>SUMIFS(Реестр_Д5[Стоимость ОН без отделки со скидкой],Реестр_Д5[Статус],$I$35,Реестр_Д5[Тип кв],I39)</f>
        <v>1015506222.91</v>
      </c>
      <c r="M39" s="447">
        <f>IFERROR(L39/J39,0)</f>
        <v>5938632.8825146193</v>
      </c>
      <c r="N39" s="447">
        <f>IFERROR(L39/K39,0)</f>
        <v>98452.422991869025</v>
      </c>
      <c r="O39" s="489"/>
      <c r="P39" s="450">
        <v>2</v>
      </c>
      <c r="Q39" s="446">
        <f>COUNTIFS(Д401[Тип кв],P39,Д401[Статус],$P$35)</f>
        <v>15</v>
      </c>
      <c r="R39" s="447">
        <f>SUMIFS(Д401[Расчетная проектная площадь],Д401[Статус],$P$35,Д401[Тип кв],P39)</f>
        <v>815.09999999999991</v>
      </c>
      <c r="S39" s="447">
        <f>SUMIFS(Д401[Стоимость ОН без отделки со скидкой],Д401[Статус],$P$35,Д401[Тип кв],P39)</f>
        <v>99192279</v>
      </c>
      <c r="T39" s="447">
        <f>IFERROR(S39/Q39,0)</f>
        <v>6612818.5999999996</v>
      </c>
      <c r="U39" s="447">
        <f>IFERROR(S39/R39,0)</f>
        <v>121693.38608759663</v>
      </c>
      <c r="V39" s="489"/>
      <c r="W39" s="450">
        <v>2</v>
      </c>
      <c r="X39" s="446">
        <f>COUNTIFS(Д402[Тип кв],W39,Д402[Статус],$P$35)</f>
        <v>20</v>
      </c>
      <c r="Y39" s="447">
        <f>SUMIFS(Д402[Расчетная проектная площадь],Д402[Статус],$P$35,Д402[Тип кв],W39)</f>
        <v>1145.71</v>
      </c>
      <c r="Z39" s="447">
        <f>SUMIFS(Д402[Стоимость ОН без отделки со скидкой],Д402[Статус],$P$35,Д402[Тип кв],W39)</f>
        <v>135861378</v>
      </c>
      <c r="AA39" s="447">
        <f>IFERROR(Z39/X39,0)</f>
        <v>6793068.9000000004</v>
      </c>
      <c r="AB39" s="447">
        <f>IFERROR(Z39/Y39,0)</f>
        <v>118582.69370084925</v>
      </c>
      <c r="AC39" s="489"/>
      <c r="AD39" s="450">
        <v>2</v>
      </c>
      <c r="AE39" s="446">
        <f>COUNTIFS(Д403[Тип кв],AD39,Д403[Статус],$P$35)</f>
        <v>0</v>
      </c>
      <c r="AF39" s="447">
        <f>SUMIFS(Д403[Расчетная проектная площадь],Д403[Статус],$P$35,Д403[Тип кв],AD39)</f>
        <v>0</v>
      </c>
      <c r="AG39" s="447">
        <f>SUMIFS(Д403[Стоимость ОН без отделки со скидкой],Д403[Статус],$P$35,Д403[Тип кв],AD39)</f>
        <v>0</v>
      </c>
      <c r="AH39" s="447">
        <f>IFERROR(AG39/AE39,0)</f>
        <v>0</v>
      </c>
      <c r="AI39" s="447">
        <f>IFERROR(AG39/AF39,0)</f>
        <v>0</v>
      </c>
      <c r="AJ39" s="489"/>
      <c r="AK39" s="450">
        <v>2</v>
      </c>
      <c r="AL39" s="446">
        <f>COUNTIFS(Д404[Тип кв],AK39,Д404[Статус],$P$35)</f>
        <v>0</v>
      </c>
      <c r="AM39" s="447">
        <f>SUMIFS(Д404[Расчетная проектная площадь],Д404[Статус],$P$35,Д404[Тип кв],AK39)</f>
        <v>0</v>
      </c>
      <c r="AN39" s="447">
        <f>SUMIFS(Д404[Стоимость ОН без отделки со скидкой],Д404[Статус],$P$35,Д404[Тип кв],AK39)</f>
        <v>0</v>
      </c>
      <c r="AO39" s="447">
        <f>IFERROR(AN39/AL39,0)</f>
        <v>0</v>
      </c>
      <c r="AP39" s="447">
        <f>IFERROR(AN39/AM39,0)</f>
        <v>0</v>
      </c>
      <c r="AQ39" s="489"/>
    </row>
    <row r="40" spans="1:54" s="346" customFormat="1" x14ac:dyDescent="0.25">
      <c r="A40" s="489"/>
      <c r="B40" s="450">
        <v>3</v>
      </c>
      <c r="C40" s="446">
        <f>COUNTIFS(Реестр_Д4[Тип кв],B40,Реестр_Д4[Статус],$B$35)</f>
        <v>52</v>
      </c>
      <c r="D40" s="447">
        <f>SUMIFS(Реестр_Д4[Расчетная проектная площадь],Реестр_Д4[Статус],$B$35,Реестр_Д4[Тип кв],B40,Реестр_Д4[Схема продажи],"ДДУ")+SUMIFS(Реестр_Д4[ТП S Расчетная],Реестр_Д4[Статус],$B$35,Реестр_Д4[Тип кв],B40,Реестр_Д4[Схема продажи],"ДКП")</f>
        <v>3891.790000000005</v>
      </c>
      <c r="E40" s="447">
        <f>SUMIFS(Реестр_Д4[Стоимость ОН без отделки со скидкой],Реестр_Д4[Статус],$B$35,Реестр_Д4[Тип кв],B40)</f>
        <v>305917516.04999995</v>
      </c>
      <c r="F40" s="447">
        <f t="shared" si="9"/>
        <v>5883029.1548076915</v>
      </c>
      <c r="G40" s="447">
        <f>IFERROR(E40/D40,0)</f>
        <v>78605.864152484995</v>
      </c>
      <c r="H40" s="489"/>
      <c r="I40" s="450">
        <v>3</v>
      </c>
      <c r="J40" s="446">
        <f>COUNTIFS(Реестр_Д5[Тип кв],I40,Реестр_Д5[Статус],$I$35)</f>
        <v>49</v>
      </c>
      <c r="K40" s="447">
        <f>SUMIFS(Реестр_Д5[Расчетная проектная площадь],Реестр_Д5[Статус],$I$35,Реестр_Д5[Тип кв],I40,Реестр_Д5[Схема продажи],"ДДУ")+SUMIFS(Реестр_Д5[ТП S Расчетная],Реестр_Д5[Статус],$I$35,Реестр_Д5[Тип кв],B40,Реестр_Д5[Схема продажи],"ДКП")</f>
        <v>3984.21</v>
      </c>
      <c r="L40" s="447">
        <f>SUMIFS(Реестр_Д5[Стоимость ОН без отделки со скидкой],Реестр_Д5[Статус],$I$35,Реестр_Д5[Тип кв],I40)</f>
        <v>362734960.62</v>
      </c>
      <c r="M40" s="447">
        <f>IFERROR(L40/J40,0)</f>
        <v>7402754.2983673466</v>
      </c>
      <c r="N40" s="447">
        <f>IFERROR(L40/K40,0)</f>
        <v>91043.132922210425</v>
      </c>
      <c r="O40" s="489"/>
      <c r="P40" s="450">
        <v>3</v>
      </c>
      <c r="Q40" s="446">
        <f>COUNTIFS(Д401[Тип кв],P40,Д401[Статус],$P$35)</f>
        <v>0</v>
      </c>
      <c r="R40" s="447">
        <f>SUMIFS(Д401[Расчетная проектная площадь],Д401[Статус],$P$35,Д401[Тип кв],P40)</f>
        <v>0</v>
      </c>
      <c r="S40" s="447">
        <f>SUMIFS(Д401[Стоимость ОН без отделки со скидкой],Д401[Статус],$P$35,Д401[Тип кв],P40)</f>
        <v>0</v>
      </c>
      <c r="T40" s="447">
        <f>IFERROR(S40/Q40,0)</f>
        <v>0</v>
      </c>
      <c r="U40" s="447">
        <f>IFERROR(S40/R40,0)</f>
        <v>0</v>
      </c>
      <c r="V40" s="489"/>
      <c r="W40" s="450">
        <v>3</v>
      </c>
      <c r="X40" s="446">
        <f>COUNTIFS(Д402[Тип кв],W40,Д402[Статус],$P$35)</f>
        <v>0</v>
      </c>
      <c r="Y40" s="447">
        <f>SUMIFS(Д402[Расчетная проектная площадь],Д402[Статус],$P$35,Д402[Тип кв],W40)</f>
        <v>0</v>
      </c>
      <c r="Z40" s="447">
        <f>SUMIFS(Д402[Стоимость ОН без отделки со скидкой],Д402[Статус],$P$35,Д402[Тип кв],W40)</f>
        <v>0</v>
      </c>
      <c r="AA40" s="447">
        <f>IFERROR(Z40/X40,0)</f>
        <v>0</v>
      </c>
      <c r="AB40" s="447">
        <f>IFERROR(Z40/Y40,0)</f>
        <v>0</v>
      </c>
      <c r="AC40" s="489"/>
      <c r="AD40" s="450">
        <v>3</v>
      </c>
      <c r="AE40" s="446">
        <f>COUNTIFS(Д403[Тип кв],AD40,Д403[Статус],$P$35)</f>
        <v>0</v>
      </c>
      <c r="AF40" s="447">
        <f>SUMIFS(Д403[Расчетная проектная площадь],Д403[Статус],$P$35,Д403[Тип кв],AD40)</f>
        <v>0</v>
      </c>
      <c r="AG40" s="447">
        <f>SUMIFS(Д403[Стоимость ОН без отделки со скидкой],Д403[Статус],$P$35,Д403[Тип кв],AD40)</f>
        <v>0</v>
      </c>
      <c r="AH40" s="447">
        <f>IFERROR(AG40/AE40,0)</f>
        <v>0</v>
      </c>
      <c r="AI40" s="447">
        <f>IFERROR(AG40/AF40,0)</f>
        <v>0</v>
      </c>
      <c r="AJ40" s="489"/>
      <c r="AK40" s="450">
        <v>3</v>
      </c>
      <c r="AL40" s="446">
        <f>COUNTIFS(Д404[Тип кв],AK40,Д404[Статус],$P$35)</f>
        <v>0</v>
      </c>
      <c r="AM40" s="447">
        <f>SUMIFS(Д404[Расчетная проектная площадь],Д404[Статус],$P$35,Д404[Тип кв],AK40)</f>
        <v>0</v>
      </c>
      <c r="AN40" s="447">
        <f>SUMIFS(Д404[Стоимость ОН без отделки со скидкой],Д404[Статус],$P$35,Д404[Тип кв],AK40)</f>
        <v>0</v>
      </c>
      <c r="AO40" s="447">
        <f>IFERROR(AN40/AL40,0)</f>
        <v>0</v>
      </c>
      <c r="AP40" s="447">
        <f>IFERROR(AN40/AM40,0)</f>
        <v>0</v>
      </c>
      <c r="AQ40" s="489"/>
    </row>
    <row r="41" spans="1:54" s="346" customFormat="1" ht="15.75" customHeight="1" x14ac:dyDescent="0.25">
      <c r="A41" s="489"/>
      <c r="B41" s="155" t="s">
        <v>34</v>
      </c>
      <c r="C41" s="155">
        <f>SUM(C37:C40)</f>
        <v>531</v>
      </c>
      <c r="D41" s="156">
        <f>SUM(D37:D40)</f>
        <v>25598.680000000026</v>
      </c>
      <c r="E41" s="501">
        <f>SUM(E37:E40)</f>
        <v>2196944329.1599998</v>
      </c>
      <c r="F41" s="156">
        <f t="shared" si="9"/>
        <v>4137371.6180037661</v>
      </c>
      <c r="G41" s="156">
        <f>IFERROR(E41/D41,0)</f>
        <v>85822.563083721412</v>
      </c>
      <c r="H41" s="489"/>
      <c r="I41" s="155" t="s">
        <v>34</v>
      </c>
      <c r="J41" s="155">
        <f>SUM(J37:J40)</f>
        <v>450</v>
      </c>
      <c r="K41" s="156">
        <f>SUM(K37:K40)</f>
        <v>22381.139999999981</v>
      </c>
      <c r="L41" s="156">
        <f>SUM(L37:L40)</f>
        <v>2267753476.8599997</v>
      </c>
      <c r="M41" s="156">
        <f>IFERROR(L41/J41,0)</f>
        <v>5039452.1707999995</v>
      </c>
      <c r="N41" s="156">
        <f>IFERROR(L41/K41,0)</f>
        <v>101324.30594956296</v>
      </c>
      <c r="O41" s="489"/>
      <c r="P41" s="459" t="s">
        <v>34</v>
      </c>
      <c r="Q41" s="459">
        <f>SUM(Q37:Q40)</f>
        <v>22</v>
      </c>
      <c r="R41" s="156">
        <f>SUM(R37:R40)</f>
        <v>1083.1999999999998</v>
      </c>
      <c r="S41" s="156">
        <f>SUM(S37:S40)</f>
        <v>134751563</v>
      </c>
      <c r="T41" s="156">
        <f>IFERROR(S41/Q41,0)</f>
        <v>6125071.0454545459</v>
      </c>
      <c r="U41" s="156">
        <f>IFERROR(S41/R41,0)</f>
        <v>124401.36909158052</v>
      </c>
      <c r="V41" s="489"/>
      <c r="W41" s="482" t="s">
        <v>34</v>
      </c>
      <c r="X41" s="482">
        <f>SUM(X37:X40)</f>
        <v>70</v>
      </c>
      <c r="Y41" s="156">
        <f>SUM(Y37:Y40)</f>
        <v>3085.9300000000003</v>
      </c>
      <c r="Z41" s="156">
        <f>SUM(Z37:Z40)</f>
        <v>382457122</v>
      </c>
      <c r="AA41" s="156">
        <f>IFERROR(Z41/X41,0)</f>
        <v>5463673.1714285715</v>
      </c>
      <c r="AB41" s="156">
        <f>IFERROR(Z41/Y41,0)</f>
        <v>123935.77365656382</v>
      </c>
      <c r="AC41" s="489"/>
      <c r="AD41" s="688" t="s">
        <v>34</v>
      </c>
      <c r="AE41" s="688">
        <f>SUM(AE37:AE40)</f>
        <v>0</v>
      </c>
      <c r="AF41" s="156">
        <f>SUM(AF37:AF40)</f>
        <v>0</v>
      </c>
      <c r="AG41" s="156">
        <f>SUM(AG37:AG40)</f>
        <v>0</v>
      </c>
      <c r="AH41" s="156">
        <f>IFERROR(AG41/AE41,0)</f>
        <v>0</v>
      </c>
      <c r="AI41" s="156">
        <f>IFERROR(AG41/AF41,0)</f>
        <v>0</v>
      </c>
      <c r="AJ41" s="489"/>
      <c r="AK41" s="688" t="s">
        <v>34</v>
      </c>
      <c r="AL41" s="688">
        <f>SUM(AL37:AL40)</f>
        <v>0</v>
      </c>
      <c r="AM41" s="156">
        <f>SUM(AM37:AM40)</f>
        <v>0</v>
      </c>
      <c r="AN41" s="156">
        <f>SUM(AN37:AN40)</f>
        <v>0</v>
      </c>
      <c r="AO41" s="156">
        <f>IFERROR(AN41/AL41,0)</f>
        <v>0</v>
      </c>
      <c r="AP41" s="156">
        <f>IFERROR(AN41/AM41,0)</f>
        <v>0</v>
      </c>
      <c r="AQ41" s="489"/>
    </row>
    <row r="42" spans="1:54" s="346" customFormat="1" ht="15.75" thickBot="1" x14ac:dyDescent="0.3">
      <c r="A42" s="489"/>
      <c r="B42" s="112"/>
      <c r="C42" s="112"/>
      <c r="D42" s="113"/>
      <c r="E42" s="113"/>
      <c r="F42" s="113"/>
      <c r="G42" s="113"/>
      <c r="H42" s="489"/>
      <c r="I42" s="112"/>
      <c r="J42" s="112"/>
      <c r="K42" s="113"/>
      <c r="L42" s="113"/>
      <c r="M42" s="113"/>
      <c r="N42" s="113"/>
      <c r="O42" s="489"/>
      <c r="P42" s="113"/>
      <c r="Q42" s="113"/>
      <c r="R42" s="113"/>
      <c r="S42" s="113"/>
      <c r="T42" s="113"/>
      <c r="U42" s="113"/>
      <c r="V42" s="489"/>
      <c r="W42" s="113"/>
      <c r="X42" s="113"/>
      <c r="Y42" s="113"/>
      <c r="Z42" s="113"/>
      <c r="AA42" s="113"/>
      <c r="AB42" s="113"/>
      <c r="AC42" s="489"/>
      <c r="AD42" s="113"/>
      <c r="AE42" s="113"/>
      <c r="AF42" s="113"/>
      <c r="AG42" s="113"/>
      <c r="AH42" s="113"/>
      <c r="AI42" s="113"/>
      <c r="AJ42" s="489"/>
      <c r="AK42" s="113"/>
      <c r="AL42" s="113"/>
      <c r="AM42" s="113"/>
      <c r="AN42" s="113"/>
      <c r="AO42" s="113"/>
      <c r="AP42" s="113"/>
      <c r="AQ42" s="489"/>
    </row>
    <row r="43" spans="1:54" s="346" customFormat="1" ht="18.75" x14ac:dyDescent="0.25">
      <c r="A43" s="489"/>
      <c r="B43" s="702" t="s">
        <v>94</v>
      </c>
      <c r="C43" s="703"/>
      <c r="D43" s="703"/>
      <c r="E43" s="703"/>
      <c r="F43" s="703"/>
      <c r="G43" s="715"/>
      <c r="H43" s="489"/>
      <c r="I43" s="702" t="s">
        <v>94</v>
      </c>
      <c r="J43" s="703"/>
      <c r="K43" s="703"/>
      <c r="L43" s="703"/>
      <c r="M43" s="703"/>
      <c r="N43" s="715"/>
      <c r="O43" s="489"/>
      <c r="P43" s="702" t="s">
        <v>94</v>
      </c>
      <c r="Q43" s="703"/>
      <c r="R43" s="703"/>
      <c r="S43" s="703"/>
      <c r="T43" s="703"/>
      <c r="U43" s="715"/>
      <c r="V43" s="489"/>
      <c r="W43" s="702" t="s">
        <v>94</v>
      </c>
      <c r="X43" s="703"/>
      <c r="Y43" s="703"/>
      <c r="Z43" s="703"/>
      <c r="AA43" s="703"/>
      <c r="AB43" s="715"/>
      <c r="AC43" s="489"/>
      <c r="AD43" s="702" t="s">
        <v>94</v>
      </c>
      <c r="AE43" s="703"/>
      <c r="AF43" s="703"/>
      <c r="AG43" s="703"/>
      <c r="AH43" s="703"/>
      <c r="AI43" s="715"/>
      <c r="AJ43" s="489"/>
      <c r="AK43" s="702" t="s">
        <v>94</v>
      </c>
      <c r="AL43" s="703"/>
      <c r="AM43" s="703"/>
      <c r="AN43" s="703"/>
      <c r="AO43" s="703"/>
      <c r="AP43" s="715"/>
      <c r="AQ43" s="489"/>
      <c r="AR43" s="722" t="s">
        <v>94</v>
      </c>
      <c r="AS43" s="723"/>
      <c r="AT43" s="723"/>
      <c r="AU43" s="723"/>
      <c r="AV43" s="723"/>
      <c r="AW43" s="726"/>
    </row>
    <row r="44" spans="1:54" s="346" customFormat="1" x14ac:dyDescent="0.25">
      <c r="A44" s="489"/>
      <c r="B44" s="708" t="s">
        <v>96</v>
      </c>
      <c r="C44" s="709"/>
      <c r="D44" s="156" t="s">
        <v>8677</v>
      </c>
      <c r="E44" s="156" t="s">
        <v>99</v>
      </c>
      <c r="F44" s="156" t="s">
        <v>98</v>
      </c>
      <c r="G44" s="455" t="s">
        <v>97</v>
      </c>
      <c r="H44" s="489"/>
      <c r="I44" s="708" t="s">
        <v>96</v>
      </c>
      <c r="J44" s="709"/>
      <c r="K44" s="156" t="s">
        <v>95</v>
      </c>
      <c r="L44" s="156" t="s">
        <v>99</v>
      </c>
      <c r="M44" s="156" t="s">
        <v>98</v>
      </c>
      <c r="N44" s="455" t="s">
        <v>97</v>
      </c>
      <c r="O44" s="489"/>
      <c r="P44" s="708" t="s">
        <v>96</v>
      </c>
      <c r="Q44" s="709"/>
      <c r="R44" s="156" t="s">
        <v>95</v>
      </c>
      <c r="S44" s="156" t="s">
        <v>99</v>
      </c>
      <c r="T44" s="156" t="s">
        <v>98</v>
      </c>
      <c r="U44" s="455" t="s">
        <v>97</v>
      </c>
      <c r="V44" s="489"/>
      <c r="W44" s="708" t="s">
        <v>96</v>
      </c>
      <c r="X44" s="709"/>
      <c r="Y44" s="156" t="s">
        <v>95</v>
      </c>
      <c r="Z44" s="156" t="s">
        <v>99</v>
      </c>
      <c r="AA44" s="156" t="s">
        <v>98</v>
      </c>
      <c r="AB44" s="455" t="s">
        <v>97</v>
      </c>
      <c r="AC44" s="489"/>
      <c r="AD44" s="708" t="s">
        <v>96</v>
      </c>
      <c r="AE44" s="709"/>
      <c r="AF44" s="156" t="s">
        <v>95</v>
      </c>
      <c r="AG44" s="156" t="s">
        <v>99</v>
      </c>
      <c r="AH44" s="156" t="s">
        <v>98</v>
      </c>
      <c r="AI44" s="455" t="s">
        <v>97</v>
      </c>
      <c r="AJ44" s="489"/>
      <c r="AK44" s="708" t="s">
        <v>96</v>
      </c>
      <c r="AL44" s="709"/>
      <c r="AM44" s="156" t="s">
        <v>95</v>
      </c>
      <c r="AN44" s="156" t="s">
        <v>99</v>
      </c>
      <c r="AO44" s="156" t="s">
        <v>98</v>
      </c>
      <c r="AP44" s="455" t="s">
        <v>97</v>
      </c>
      <c r="AQ44" s="489"/>
      <c r="AR44" s="727" t="s">
        <v>96</v>
      </c>
      <c r="AS44" s="728"/>
      <c r="AT44" s="453" t="s">
        <v>95</v>
      </c>
      <c r="AU44" s="453" t="s">
        <v>99</v>
      </c>
      <c r="AV44" s="453" t="s">
        <v>98</v>
      </c>
      <c r="AW44" s="456" t="s">
        <v>97</v>
      </c>
    </row>
    <row r="45" spans="1:54" s="26" customFormat="1" ht="16.5" thickBot="1" x14ac:dyDescent="0.3">
      <c r="A45" s="492"/>
      <c r="B45" s="700">
        <f>COUNTIFS(РД[Дом],B1,РД[Состояние],"Продажа")</f>
        <v>531</v>
      </c>
      <c r="C45" s="701"/>
      <c r="D45" s="375">
        <f>SUMIFS(РД[S],РД[Дом],B1,РД[Состояние],"Продажа")</f>
        <v>25598.680000000037</v>
      </c>
      <c r="E45" s="500">
        <f>ROUND(SUMIFS(РД[Стоимость без отделки итог],РД[Дом],B1,РД[Состояние],"Продажа"),2)</f>
        <v>2196944329.1599998</v>
      </c>
      <c r="F45" s="139">
        <f>IFERROR(E45/B45,0)</f>
        <v>4137371.6180037661</v>
      </c>
      <c r="G45" s="140">
        <f>IFERROR(E45/D45,0)</f>
        <v>85822.563083721368</v>
      </c>
      <c r="H45" s="492"/>
      <c r="I45" s="700">
        <f>COUNTIFS(РД[Дом],I1,РД[Состояние],"Продажа")</f>
        <v>450</v>
      </c>
      <c r="J45" s="701"/>
      <c r="K45" s="375">
        <f>SUMIFS(РД[S],РД[Дом],I1,РД[Состояние],"Продажа")</f>
        <v>22381.140000000003</v>
      </c>
      <c r="L45" s="375">
        <f>ROUND(SUMIFS(РД[Стоимость без отделки итог],РД[Дом],I1,РД[Состояние],"Продажа"),2)</f>
        <v>2267753476.8600001</v>
      </c>
      <c r="M45" s="139">
        <f>IFERROR(L45/I45,0)</f>
        <v>5039452.1708000004</v>
      </c>
      <c r="N45" s="140">
        <f>IFERROR(L45/K45,0)</f>
        <v>101324.30594956288</v>
      </c>
      <c r="O45" s="492"/>
      <c r="P45" s="700">
        <f>COUNTIFS(РД[Дом],P1,РД[Состояние],"Продажа")</f>
        <v>22</v>
      </c>
      <c r="Q45" s="701"/>
      <c r="R45" s="375">
        <f>SUMIFS(РД[S],РД[Дом],P1,РД[Состояние],"Продажа")+13.54</f>
        <v>1083.1999999999998</v>
      </c>
      <c r="S45" s="375">
        <f>ROUND(SUMIFS(РД[Стоимость без отделки итог],РД[Дом],P1,РД[Состояние],"Продажа"),2)</f>
        <v>134751563</v>
      </c>
      <c r="T45" s="139">
        <f>IFERROR(S45/P45,0)</f>
        <v>6125071.0454545459</v>
      </c>
      <c r="U45" s="140">
        <f>IFERROR(S45/R45,0)</f>
        <v>124401.36909158052</v>
      </c>
      <c r="V45" s="492"/>
      <c r="W45" s="700">
        <f>COUNTIFS(РД[Дом],W1,РД[Состояние],"Продажа")</f>
        <v>70</v>
      </c>
      <c r="X45" s="701"/>
      <c r="Y45" s="375">
        <f>SUMIFS(РД[S],РД[Дом],W1,РД[Состояние],"Продажа")</f>
        <v>3085.9300000000007</v>
      </c>
      <c r="Z45" s="375">
        <f>ROUND(SUMIFS(РД[Стоимость без отделки итог],РД[Дом],W1,РД[Состояние],"Продажа"),2)</f>
        <v>382457122</v>
      </c>
      <c r="AA45" s="139">
        <f>IFERROR(Z45/W45,0)</f>
        <v>5463673.1714285715</v>
      </c>
      <c r="AB45" s="140">
        <f>IFERROR(Z45/Y45,0)</f>
        <v>123935.77365656379</v>
      </c>
      <c r="AC45" s="492"/>
      <c r="AD45" s="700">
        <f>COUNTIFS(РД[Дом],AD1,РД[Состояние],"Продажа")</f>
        <v>0</v>
      </c>
      <c r="AE45" s="701"/>
      <c r="AF45" s="375">
        <f>SUMIFS(РД[S],РД[Дом],AD1,РД[Состояние],"Продажа")</f>
        <v>0</v>
      </c>
      <c r="AG45" s="375">
        <f>ROUND(SUMIFS(РД[Стоимость без отделки итог],РД[Дом],AD1,РД[Состояние],"Продажа"),2)</f>
        <v>0</v>
      </c>
      <c r="AH45" s="139">
        <f>IFERROR(AG45/AD45,0)</f>
        <v>0</v>
      </c>
      <c r="AI45" s="140">
        <f>IFERROR(AG45/AF45,0)</f>
        <v>0</v>
      </c>
      <c r="AJ45" s="492"/>
      <c r="AK45" s="700">
        <f>COUNTIFS(РД[Дом],AK1,РД[Состояние],"Продажа")</f>
        <v>0</v>
      </c>
      <c r="AL45" s="701"/>
      <c r="AM45" s="375">
        <f>SUMIFS(РД[S],РД[Дом],AK1,РД[Состояние],"Продажа")</f>
        <v>0</v>
      </c>
      <c r="AN45" s="375">
        <f>ROUND(SUMIFS(РД[Стоимость без отделки итог],РД[Дом],AK1,РД[Состояние],"Продажа"),2)</f>
        <v>0</v>
      </c>
      <c r="AO45" s="139">
        <f>IFERROR(AN45/AK45,0)</f>
        <v>0</v>
      </c>
      <c r="AP45" s="140">
        <f>IFERROR(AN45/AM45,0)</f>
        <v>0</v>
      </c>
      <c r="AQ45" s="492"/>
      <c r="AR45" s="729">
        <f>COUNTIFS(РД[Состояние],$AR$3)</f>
        <v>56</v>
      </c>
      <c r="AS45" s="730"/>
      <c r="AT45" s="375">
        <f>SUMIFS(РД[S],РД[Состояние],$AR$3)</f>
        <v>4987.04</v>
      </c>
      <c r="AU45" s="375">
        <f>ROUND(SUMIFS(РД[Стоимость без отделки итог],РД[Состояние],$AR$3),2)</f>
        <v>584669276</v>
      </c>
      <c r="AV45" s="139">
        <f>IFERROR(AU45/AR45,0)</f>
        <v>10440522.785714285</v>
      </c>
      <c r="AW45" s="140">
        <f>IFERROR(AU45/AT45,0)</f>
        <v>117237.7354101832</v>
      </c>
    </row>
    <row r="46" spans="1:54" s="346" customFormat="1" ht="18.75" x14ac:dyDescent="0.25">
      <c r="A46" s="489"/>
      <c r="B46" s="710" t="s">
        <v>1</v>
      </c>
      <c r="C46" s="711"/>
      <c r="D46" s="711"/>
      <c r="E46" s="711"/>
      <c r="F46" s="711"/>
      <c r="G46" s="712"/>
      <c r="H46" s="489"/>
      <c r="I46" s="710" t="s">
        <v>1</v>
      </c>
      <c r="J46" s="711"/>
      <c r="K46" s="711"/>
      <c r="L46" s="711"/>
      <c r="M46" s="711"/>
      <c r="N46" s="712"/>
      <c r="O46" s="489"/>
      <c r="P46" s="710" t="s">
        <v>1</v>
      </c>
      <c r="Q46" s="711"/>
      <c r="R46" s="711"/>
      <c r="S46" s="711"/>
      <c r="T46" s="711"/>
      <c r="U46" s="712"/>
      <c r="V46" s="489"/>
      <c r="W46" s="710" t="s">
        <v>1</v>
      </c>
      <c r="X46" s="711"/>
      <c r="Y46" s="711"/>
      <c r="Z46" s="711"/>
      <c r="AA46" s="711"/>
      <c r="AB46" s="712"/>
      <c r="AC46" s="489"/>
      <c r="AD46" s="710" t="s">
        <v>1</v>
      </c>
      <c r="AE46" s="711"/>
      <c r="AF46" s="711"/>
      <c r="AG46" s="711"/>
      <c r="AH46" s="711"/>
      <c r="AI46" s="712"/>
      <c r="AJ46" s="489"/>
      <c r="AK46" s="710" t="s">
        <v>1</v>
      </c>
      <c r="AL46" s="711"/>
      <c r="AM46" s="711"/>
      <c r="AN46" s="711"/>
      <c r="AO46" s="711"/>
      <c r="AP46" s="712"/>
      <c r="AQ46" s="489"/>
      <c r="AR46" s="710" t="s">
        <v>1</v>
      </c>
      <c r="AS46" s="711"/>
      <c r="AT46" s="711"/>
      <c r="AU46" s="711"/>
      <c r="AV46" s="711"/>
      <c r="AW46" s="712"/>
    </row>
    <row r="47" spans="1:54" s="346" customFormat="1" ht="16.5" thickBot="1" x14ac:dyDescent="0.3">
      <c r="A47" s="489"/>
      <c r="B47" s="713">
        <f>C41-B45</f>
        <v>0</v>
      </c>
      <c r="C47" s="714"/>
      <c r="D47" s="422">
        <f>D41-D45</f>
        <v>0</v>
      </c>
      <c r="E47" s="143">
        <f>E41-E45</f>
        <v>0</v>
      </c>
      <c r="F47" s="422">
        <f>IFERROR(E47/B47,0)</f>
        <v>0</v>
      </c>
      <c r="G47" s="423">
        <f>IFERROR(E47/D47,0)</f>
        <v>0</v>
      </c>
      <c r="H47" s="489"/>
      <c r="I47" s="713">
        <f>J41-I45</f>
        <v>0</v>
      </c>
      <c r="J47" s="714"/>
      <c r="K47" s="422">
        <f>K41-K45</f>
        <v>0</v>
      </c>
      <c r="L47" s="422">
        <f>L41-L45</f>
        <v>0</v>
      </c>
      <c r="M47" s="422">
        <f>IFERROR(L47/I47,0)</f>
        <v>0</v>
      </c>
      <c r="N47" s="423">
        <f>IFERROR(L47/K47,0)</f>
        <v>0</v>
      </c>
      <c r="O47" s="489"/>
      <c r="P47" s="713">
        <f>Q41-P45</f>
        <v>0</v>
      </c>
      <c r="Q47" s="714"/>
      <c r="R47" s="143">
        <f>R41-R45</f>
        <v>0</v>
      </c>
      <c r="S47" s="422">
        <f>S41-S45</f>
        <v>0</v>
      </c>
      <c r="T47" s="422">
        <f>IFERROR(S47/P47,0)</f>
        <v>0</v>
      </c>
      <c r="U47" s="423">
        <f>IFERROR(S47/R47,0)</f>
        <v>0</v>
      </c>
      <c r="V47" s="489"/>
      <c r="W47" s="713">
        <f>X41-W45</f>
        <v>0</v>
      </c>
      <c r="X47" s="714"/>
      <c r="Y47" s="422">
        <f>Y41-Y45</f>
        <v>0</v>
      </c>
      <c r="Z47" s="422">
        <f>Z41-Z45</f>
        <v>0</v>
      </c>
      <c r="AA47" s="422">
        <f>IFERROR(Z47/W47,0)</f>
        <v>0</v>
      </c>
      <c r="AB47" s="423">
        <f>IFERROR(Z47/Y47,0)</f>
        <v>0</v>
      </c>
      <c r="AC47" s="489"/>
      <c r="AD47" s="713">
        <f>AE41-AD45</f>
        <v>0</v>
      </c>
      <c r="AE47" s="714"/>
      <c r="AF47" s="422">
        <f>AF41-AF45</f>
        <v>0</v>
      </c>
      <c r="AG47" s="422">
        <f>AG41-AG45</f>
        <v>0</v>
      </c>
      <c r="AH47" s="422">
        <f>IFERROR(AG47/AD47,0)</f>
        <v>0</v>
      </c>
      <c r="AI47" s="423">
        <f>IFERROR(AG47/AF47,0)</f>
        <v>0</v>
      </c>
      <c r="AJ47" s="489"/>
      <c r="AK47" s="713">
        <f>AL41-AK45</f>
        <v>0</v>
      </c>
      <c r="AL47" s="714"/>
      <c r="AM47" s="422">
        <f>AM41-AM45</f>
        <v>0</v>
      </c>
      <c r="AN47" s="422">
        <f>AN41-AN45</f>
        <v>0</v>
      </c>
      <c r="AO47" s="422">
        <f>IFERROR(AN47/AK47,0)</f>
        <v>0</v>
      </c>
      <c r="AP47" s="423">
        <f>IFERROR(AN47/AM47,0)</f>
        <v>0</v>
      </c>
      <c r="AQ47" s="489"/>
      <c r="AR47" s="713">
        <f>AS7-AR45</f>
        <v>0</v>
      </c>
      <c r="AS47" s="714"/>
      <c r="AT47" s="143">
        <f>AT7-AT45</f>
        <v>0</v>
      </c>
      <c r="AU47" s="143">
        <f>AU7-AU45</f>
        <v>0</v>
      </c>
      <c r="AV47" s="143">
        <f>IFERROR(AU47/AR47,0)</f>
        <v>0</v>
      </c>
      <c r="AW47" s="144">
        <f>IFERROR(AU47/AT47,0)</f>
        <v>0</v>
      </c>
    </row>
    <row r="48" spans="1:54" s="346" customFormat="1" ht="18.75" x14ac:dyDescent="0.25">
      <c r="A48" s="489"/>
      <c r="B48" s="702" t="s">
        <v>3160</v>
      </c>
      <c r="C48" s="703"/>
      <c r="D48" s="703"/>
      <c r="E48" s="703"/>
      <c r="F48" s="703"/>
      <c r="G48" s="715"/>
      <c r="H48" s="489"/>
      <c r="I48" s="702" t="s">
        <v>4553</v>
      </c>
      <c r="J48" s="703"/>
      <c r="K48" s="703"/>
      <c r="L48" s="703"/>
      <c r="M48" s="703"/>
      <c r="N48" s="715"/>
      <c r="O48" s="489"/>
      <c r="P48" s="702" t="s">
        <v>7581</v>
      </c>
      <c r="Q48" s="703"/>
      <c r="R48" s="703"/>
      <c r="S48" s="703"/>
      <c r="T48" s="703"/>
      <c r="U48" s="715"/>
      <c r="V48" s="489"/>
      <c r="W48" s="702" t="s">
        <v>8568</v>
      </c>
      <c r="X48" s="703"/>
      <c r="Y48" s="703"/>
      <c r="Z48" s="703"/>
      <c r="AA48" s="703"/>
      <c r="AB48" s="715"/>
      <c r="AC48" s="489"/>
      <c r="AD48" s="702" t="s">
        <v>8568</v>
      </c>
      <c r="AE48" s="703"/>
      <c r="AF48" s="703"/>
      <c r="AG48" s="703"/>
      <c r="AH48" s="703"/>
      <c r="AI48" s="715"/>
      <c r="AJ48" s="489"/>
      <c r="AK48" s="702" t="s">
        <v>8568</v>
      </c>
      <c r="AL48" s="703"/>
      <c r="AM48" s="703"/>
      <c r="AN48" s="703"/>
      <c r="AO48" s="703"/>
      <c r="AP48" s="715"/>
      <c r="AQ48" s="489"/>
      <c r="AR48" s="722" t="s">
        <v>4814</v>
      </c>
      <c r="AS48" s="723"/>
      <c r="AT48" s="723"/>
      <c r="AU48" s="723"/>
      <c r="AV48" s="723"/>
      <c r="AW48" s="726"/>
      <c r="AY48" s="30"/>
      <c r="AZ48" s="30"/>
      <c r="BA48" s="30"/>
      <c r="BB48" s="30"/>
    </row>
    <row r="49" spans="1:49" s="21" customFormat="1" ht="21.75" thickBot="1" x14ac:dyDescent="0.3">
      <c r="A49" s="493"/>
      <c r="B49" s="716">
        <f>D45/D51</f>
        <v>0.98843166418773765</v>
      </c>
      <c r="C49" s="717"/>
      <c r="D49" s="717"/>
      <c r="E49" s="717"/>
      <c r="F49" s="717"/>
      <c r="G49" s="718"/>
      <c r="H49" s="493"/>
      <c r="I49" s="716">
        <f>K45/K51</f>
        <v>0.7667838482023458</v>
      </c>
      <c r="J49" s="717"/>
      <c r="K49" s="717"/>
      <c r="L49" s="717"/>
      <c r="M49" s="717"/>
      <c r="N49" s="718"/>
      <c r="O49" s="493"/>
      <c r="P49" s="716">
        <f>R45/R51</f>
        <v>0.19318191951347813</v>
      </c>
      <c r="Q49" s="717"/>
      <c r="R49" s="717"/>
      <c r="S49" s="717"/>
      <c r="T49" s="717"/>
      <c r="U49" s="718"/>
      <c r="V49" s="493"/>
      <c r="W49" s="716">
        <f>Y45/Y51</f>
        <v>0.22859350323416069</v>
      </c>
      <c r="X49" s="717"/>
      <c r="Y49" s="717"/>
      <c r="Z49" s="717"/>
      <c r="AA49" s="717"/>
      <c r="AB49" s="718"/>
      <c r="AC49" s="493"/>
      <c r="AD49" s="716">
        <f>AF45/AF51</f>
        <v>0</v>
      </c>
      <c r="AE49" s="717"/>
      <c r="AF49" s="717"/>
      <c r="AG49" s="717"/>
      <c r="AH49" s="717"/>
      <c r="AI49" s="718"/>
      <c r="AJ49" s="493"/>
      <c r="AK49" s="716">
        <f>AM45/AM51</f>
        <v>0</v>
      </c>
      <c r="AL49" s="717"/>
      <c r="AM49" s="717"/>
      <c r="AN49" s="717"/>
      <c r="AO49" s="717"/>
      <c r="AP49" s="718"/>
      <c r="AQ49" s="493"/>
      <c r="AR49" s="741">
        <f>AT45/AT51</f>
        <v>0.61811443763440199</v>
      </c>
      <c r="AS49" s="742"/>
      <c r="AT49" s="742"/>
      <c r="AU49" s="742"/>
      <c r="AV49" s="742"/>
      <c r="AW49" s="743"/>
    </row>
    <row r="50" spans="1:49" s="346" customFormat="1" ht="18.75" x14ac:dyDescent="0.25">
      <c r="A50" s="489"/>
      <c r="B50" s="702" t="s">
        <v>66</v>
      </c>
      <c r="C50" s="703"/>
      <c r="D50" s="703"/>
      <c r="E50" s="703"/>
      <c r="F50" s="703"/>
      <c r="G50" s="715"/>
      <c r="H50" s="489"/>
      <c r="I50" s="702" t="s">
        <v>66</v>
      </c>
      <c r="J50" s="703"/>
      <c r="K50" s="703"/>
      <c r="L50" s="703"/>
      <c r="M50" s="703"/>
      <c r="N50" s="715"/>
      <c r="O50" s="489"/>
      <c r="P50" s="702" t="s">
        <v>66</v>
      </c>
      <c r="Q50" s="703"/>
      <c r="R50" s="703"/>
      <c r="S50" s="703"/>
      <c r="T50" s="703"/>
      <c r="U50" s="715"/>
      <c r="V50" s="489"/>
      <c r="W50" s="702" t="s">
        <v>66</v>
      </c>
      <c r="X50" s="703"/>
      <c r="Y50" s="703"/>
      <c r="Z50" s="703"/>
      <c r="AA50" s="703"/>
      <c r="AB50" s="715"/>
      <c r="AC50" s="489"/>
      <c r="AD50" s="702" t="s">
        <v>66</v>
      </c>
      <c r="AE50" s="703"/>
      <c r="AF50" s="703"/>
      <c r="AG50" s="703"/>
      <c r="AH50" s="703"/>
      <c r="AI50" s="715"/>
      <c r="AJ50" s="489"/>
      <c r="AK50" s="702" t="s">
        <v>66</v>
      </c>
      <c r="AL50" s="703"/>
      <c r="AM50" s="703"/>
      <c r="AN50" s="703"/>
      <c r="AO50" s="703"/>
      <c r="AP50" s="715"/>
      <c r="AQ50" s="489"/>
      <c r="AR50" s="722" t="s">
        <v>4815</v>
      </c>
      <c r="AS50" s="723"/>
      <c r="AT50" s="723"/>
      <c r="AU50" s="723"/>
      <c r="AV50" s="723"/>
      <c r="AW50" s="726"/>
    </row>
    <row r="51" spans="1:49" s="30" customFormat="1" ht="16.5" thickBot="1" x14ac:dyDescent="0.3">
      <c r="A51" s="494"/>
      <c r="B51" s="700">
        <f>COUNTA(Реестр_Д4[Тип кв])</f>
        <v>536</v>
      </c>
      <c r="C51" s="701"/>
      <c r="D51" s="141">
        <f>SUMIFS(Реестр_Д4[Расчетная проектная площадь],Реестр_Д4[Схема продажи],"ДДУ")+SUMIFS(Реестр_Д4[ТП S Расчетная],Реестр_Д4[Схема продажи],"ДКП")</f>
        <v>25898.280000000035</v>
      </c>
      <c r="E51" s="141">
        <f>SUM(Реестр_Д4[Стоимость ОН без отделки со скидкой],)</f>
        <v>2232856129.1599998</v>
      </c>
      <c r="F51" s="141">
        <f>E51/B51</f>
        <v>4165776.3603731343</v>
      </c>
      <c r="G51" s="142">
        <f>E51/D51</f>
        <v>86216.386924536957</v>
      </c>
      <c r="H51" s="494"/>
      <c r="I51" s="700">
        <f>COUNTA(Реестр_Д5[Тип кв])</f>
        <v>580</v>
      </c>
      <c r="J51" s="701"/>
      <c r="K51" s="141">
        <f>SUM(Реестр_Д5[Расчетная проектная площадь])</f>
        <v>29188.330000000034</v>
      </c>
      <c r="L51" s="141">
        <f>SUM(Реестр_Д5[Стоимость ОН без отделки со скидкой],)</f>
        <v>3154426913.8600006</v>
      </c>
      <c r="M51" s="141">
        <f>L51/I51</f>
        <v>5438667.0928620696</v>
      </c>
      <c r="N51" s="142">
        <f>L51/K51</f>
        <v>108071.51056124132</v>
      </c>
      <c r="O51" s="494"/>
      <c r="P51" s="700">
        <f>COUNTA(Д401[Тип кв])</f>
        <v>101</v>
      </c>
      <c r="Q51" s="701"/>
      <c r="R51" s="141">
        <f>SUM(Д401[Расчетная проектная площадь])</f>
        <v>5607.1500000000051</v>
      </c>
      <c r="S51" s="141">
        <f>SUM(Д401[Стоимость ОН без отделки со скидкой],)</f>
        <v>714096846.5</v>
      </c>
      <c r="T51" s="141">
        <f>S51/P51</f>
        <v>7070265.8069306929</v>
      </c>
      <c r="U51" s="142">
        <f>S51/R51</f>
        <v>127354.68936982234</v>
      </c>
      <c r="V51" s="494"/>
      <c r="W51" s="700">
        <f>COUNTA(Д402[Тип кв])</f>
        <v>288</v>
      </c>
      <c r="X51" s="701"/>
      <c r="Y51" s="141">
        <f>SUM(Д402[Расчетная проектная площадь])</f>
        <v>13499.639999999981</v>
      </c>
      <c r="Z51" s="141">
        <f>SUM(Д402[Стоимость ОН без отделки со скидкой],)</f>
        <v>1700736100</v>
      </c>
      <c r="AA51" s="141">
        <f>Z51/W51</f>
        <v>5905333.680555556</v>
      </c>
      <c r="AB51" s="142">
        <f>Z51/Y51</f>
        <v>125983.81142015656</v>
      </c>
      <c r="AC51" s="494"/>
      <c r="AD51" s="700">
        <f>COUNTA(Д403[Тип кв])</f>
        <v>220</v>
      </c>
      <c r="AE51" s="701"/>
      <c r="AF51" s="141">
        <f>SUM(Д403[Расчетная проектная площадь])</f>
        <v>10241.819999999998</v>
      </c>
      <c r="AG51" s="141">
        <f>SUM(Д403[Стоимость ОН без отделки со скидкой],)</f>
        <v>1263642225</v>
      </c>
      <c r="AH51" s="141">
        <f>AG51/AD51</f>
        <v>5743828.2954545459</v>
      </c>
      <c r="AI51" s="142">
        <f>AG51/AF51</f>
        <v>123380.63205563076</v>
      </c>
      <c r="AJ51" s="494"/>
      <c r="AK51" s="700">
        <f>COUNTA(Д404[Тип кв])</f>
        <v>181</v>
      </c>
      <c r="AL51" s="701"/>
      <c r="AM51" s="141">
        <f>SUM(Д404[Расчетная проектная площадь])</f>
        <v>9264.4199999999928</v>
      </c>
      <c r="AN51" s="141">
        <f>SUM(Д404[Стоимость ОН без отделки со скидкой],)</f>
        <v>1107922103</v>
      </c>
      <c r="AO51" s="141">
        <f>AN51/AK51</f>
        <v>6121116.591160221</v>
      </c>
      <c r="AP51" s="142">
        <f>AN51/AM51</f>
        <v>119588.93303628299</v>
      </c>
      <c r="AQ51" s="494"/>
      <c r="AR51" s="700">
        <f>COUNTA(Коммерция[Дом])</f>
        <v>89</v>
      </c>
      <c r="AS51" s="701"/>
      <c r="AT51" s="141">
        <f>SUM(Коммерция[Общая фактическая])</f>
        <v>8068.1499999999987</v>
      </c>
      <c r="AU51" s="174">
        <f>SUM(Коммерция[стоимость лота],)</f>
        <v>973875576</v>
      </c>
      <c r="AV51" s="141">
        <f>AU51/AR51</f>
        <v>10942422.202247191</v>
      </c>
      <c r="AW51" s="142">
        <f>AU51/AT51</f>
        <v>120706.18121874286</v>
      </c>
    </row>
    <row r="52" spans="1:49" s="346" customFormat="1" ht="19.5" thickBot="1" x14ac:dyDescent="0.3">
      <c r="A52" s="489"/>
      <c r="B52" s="702" t="s">
        <v>110</v>
      </c>
      <c r="C52" s="703"/>
      <c r="D52" s="703"/>
      <c r="E52" s="703"/>
      <c r="F52" s="704"/>
      <c r="G52" s="705"/>
      <c r="H52" s="489"/>
      <c r="I52" s="702" t="s">
        <v>110</v>
      </c>
      <c r="J52" s="703"/>
      <c r="K52" s="703"/>
      <c r="L52" s="703"/>
      <c r="M52" s="704"/>
      <c r="N52" s="705"/>
      <c r="O52" s="489"/>
      <c r="P52" s="702" t="s">
        <v>110</v>
      </c>
      <c r="Q52" s="703"/>
      <c r="R52" s="703"/>
      <c r="S52" s="703"/>
      <c r="T52" s="704"/>
      <c r="U52" s="705"/>
      <c r="V52" s="489"/>
      <c r="W52" s="702" t="s">
        <v>110</v>
      </c>
      <c r="X52" s="703"/>
      <c r="Y52" s="703"/>
      <c r="Z52" s="703"/>
      <c r="AA52" s="704"/>
      <c r="AB52" s="705"/>
      <c r="AC52" s="489"/>
      <c r="AD52" s="702" t="s">
        <v>110</v>
      </c>
      <c r="AE52" s="703"/>
      <c r="AF52" s="703"/>
      <c r="AG52" s="703"/>
      <c r="AH52" s="704"/>
      <c r="AI52" s="705"/>
      <c r="AJ52" s="489"/>
      <c r="AK52" s="702" t="s">
        <v>110</v>
      </c>
      <c r="AL52" s="703"/>
      <c r="AM52" s="703"/>
      <c r="AN52" s="703"/>
      <c r="AO52" s="704"/>
      <c r="AP52" s="705"/>
      <c r="AQ52" s="489"/>
      <c r="AR52" s="722" t="s">
        <v>110</v>
      </c>
      <c r="AS52" s="723"/>
      <c r="AT52" s="723"/>
      <c r="AU52" s="723"/>
      <c r="AV52" s="724"/>
      <c r="AW52" s="725"/>
    </row>
    <row r="53" spans="1:49" s="30" customFormat="1" ht="21.75" thickBot="1" x14ac:dyDescent="0.3">
      <c r="A53" s="494"/>
      <c r="B53" s="700">
        <f>B51-B45</f>
        <v>5</v>
      </c>
      <c r="C53" s="701"/>
      <c r="D53" s="141">
        <f>D51-D45</f>
        <v>299.59999999999854</v>
      </c>
      <c r="E53" s="141">
        <f>E51-E45</f>
        <v>35911800</v>
      </c>
      <c r="F53" s="706">
        <f>100%-B49</f>
        <v>1.1568335812262354E-2</v>
      </c>
      <c r="G53" s="707"/>
      <c r="H53" s="494"/>
      <c r="I53" s="700">
        <f>I51-I45</f>
        <v>130</v>
      </c>
      <c r="J53" s="701"/>
      <c r="K53" s="141">
        <f>K51-K45</f>
        <v>6807.1900000000314</v>
      </c>
      <c r="L53" s="141">
        <f>L51-L45</f>
        <v>886673437.00000048</v>
      </c>
      <c r="M53" s="706">
        <f>100%-I49</f>
        <v>0.2332161517976542</v>
      </c>
      <c r="N53" s="707"/>
      <c r="O53" s="494"/>
      <c r="P53" s="700">
        <f>P51-P45</f>
        <v>79</v>
      </c>
      <c r="Q53" s="701"/>
      <c r="R53" s="141">
        <f>R51-R45</f>
        <v>4523.9500000000053</v>
      </c>
      <c r="S53" s="141">
        <f>S51-S45</f>
        <v>579345283.5</v>
      </c>
      <c r="T53" s="706">
        <f>100%-P49</f>
        <v>0.80681808048652193</v>
      </c>
      <c r="U53" s="707"/>
      <c r="V53" s="494"/>
      <c r="W53" s="700">
        <f>W51-W45</f>
        <v>218</v>
      </c>
      <c r="X53" s="701"/>
      <c r="Y53" s="141">
        <f>Y51-Y45</f>
        <v>10413.709999999981</v>
      </c>
      <c r="Z53" s="141">
        <f>Z51-Z45</f>
        <v>1318278978</v>
      </c>
      <c r="AA53" s="706">
        <f>100%-W49</f>
        <v>0.77140649676583928</v>
      </c>
      <c r="AB53" s="707"/>
      <c r="AC53" s="494"/>
      <c r="AD53" s="700">
        <f>AD51-AD45</f>
        <v>220</v>
      </c>
      <c r="AE53" s="701"/>
      <c r="AF53" s="141">
        <f>AF51-AF45</f>
        <v>10241.819999999998</v>
      </c>
      <c r="AG53" s="141">
        <f>AG51-AG45</f>
        <v>1263642225</v>
      </c>
      <c r="AH53" s="706">
        <f>100%-AD49</f>
        <v>1</v>
      </c>
      <c r="AI53" s="707"/>
      <c r="AJ53" s="494"/>
      <c r="AK53" s="700">
        <f>AK51-AK45</f>
        <v>181</v>
      </c>
      <c r="AL53" s="701"/>
      <c r="AM53" s="141">
        <f>AM51-AM45</f>
        <v>9264.4199999999928</v>
      </c>
      <c r="AN53" s="141">
        <f>AN51-AN45</f>
        <v>1107922103</v>
      </c>
      <c r="AO53" s="706">
        <f>100%-AK49</f>
        <v>1</v>
      </c>
      <c r="AP53" s="707"/>
      <c r="AQ53" s="494"/>
      <c r="AR53" s="700">
        <f>AR51-AR45</f>
        <v>33</v>
      </c>
      <c r="AS53" s="701"/>
      <c r="AT53" s="141">
        <f>AT51-AT45</f>
        <v>3081.1099999999988</v>
      </c>
      <c r="AU53" s="174">
        <f>AU51-AU45</f>
        <v>389206300</v>
      </c>
      <c r="AV53" s="739">
        <f>100%-AR49</f>
        <v>0.38188556236559801</v>
      </c>
      <c r="AW53" s="740"/>
    </row>
    <row r="54" spans="1:49" s="30" customFormat="1" ht="16.5" thickBot="1" x14ac:dyDescent="0.3">
      <c r="A54" s="494"/>
      <c r="B54" s="736"/>
      <c r="C54" s="736"/>
      <c r="D54" s="115"/>
      <c r="E54" s="115"/>
      <c r="F54" s="115"/>
      <c r="G54" s="115"/>
      <c r="H54" s="494"/>
      <c r="I54" s="736"/>
      <c r="J54" s="736"/>
      <c r="K54" s="115"/>
      <c r="L54" s="115"/>
      <c r="M54" s="115"/>
      <c r="N54" s="115"/>
      <c r="O54" s="494"/>
      <c r="P54" s="452"/>
      <c r="Q54" s="452"/>
      <c r="R54" s="452"/>
      <c r="S54" s="452"/>
      <c r="T54" s="452"/>
      <c r="U54" s="452"/>
      <c r="V54" s="494"/>
      <c r="W54" s="452"/>
      <c r="X54" s="452"/>
      <c r="Y54" s="452"/>
      <c r="Z54" s="452"/>
      <c r="AA54" s="452"/>
      <c r="AB54" s="452"/>
      <c r="AC54" s="494"/>
      <c r="AD54" s="452"/>
      <c r="AE54" s="452"/>
      <c r="AF54" s="452"/>
      <c r="AG54" s="452"/>
      <c r="AH54" s="452"/>
      <c r="AI54" s="452"/>
      <c r="AJ54" s="494"/>
      <c r="AK54" s="452"/>
      <c r="AL54" s="452"/>
      <c r="AM54" s="452"/>
      <c r="AN54" s="452"/>
      <c r="AO54" s="452"/>
      <c r="AP54" s="452"/>
      <c r="AQ54" s="494"/>
      <c r="AR54" s="738"/>
      <c r="AS54" s="738"/>
      <c r="AT54" s="115"/>
      <c r="AU54" s="115"/>
      <c r="AV54" s="115"/>
      <c r="AW54" s="115"/>
    </row>
    <row r="55" spans="1:49" s="346" customFormat="1" ht="19.5" thickBot="1" x14ac:dyDescent="0.3">
      <c r="A55" s="489"/>
      <c r="B55" s="733" t="str">
        <f ca="1">_xlfn.CONCAT(B1," ","Продажи"," ",TEXT(E2,"ММММ ГГГГ"))</f>
        <v>Дом 4 Продажи Август 2025</v>
      </c>
      <c r="C55" s="734"/>
      <c r="D55" s="734"/>
      <c r="E55" s="734"/>
      <c r="F55" s="734"/>
      <c r="G55" s="735"/>
      <c r="H55" s="575"/>
      <c r="I55" s="733" t="str">
        <f ca="1">_xlfn.CONCAT(I1," ","Продажи"," ",TEXT(L2,"ММММ ГГГГ"))</f>
        <v>Дом 5 Продажи Август 2025</v>
      </c>
      <c r="J55" s="734"/>
      <c r="K55" s="734"/>
      <c r="L55" s="734"/>
      <c r="M55" s="734"/>
      <c r="N55" s="735"/>
      <c r="O55" s="575"/>
      <c r="P55" s="697" t="str">
        <f ca="1">_xlfn.CONCAT(P1," ","Продажи"," ",TEXT(S2,"ММММ ГГГГ"))</f>
        <v>4 Квартал Дом 1 Продажи Август 2025</v>
      </c>
      <c r="Q55" s="698"/>
      <c r="R55" s="698"/>
      <c r="S55" s="698"/>
      <c r="T55" s="698"/>
      <c r="U55" s="699"/>
      <c r="V55" s="575"/>
      <c r="W55" s="697" t="str">
        <f ca="1">_xlfn.CONCAT(W1," ","Продажи"," ",TEXT(Z2,"ММММ ГГГГ"))</f>
        <v>4 Квартал Дом 2 Продажи Август 2025</v>
      </c>
      <c r="X55" s="698"/>
      <c r="Y55" s="698"/>
      <c r="Z55" s="698"/>
      <c r="AA55" s="698"/>
      <c r="AB55" s="699"/>
      <c r="AC55" s="489"/>
      <c r="AD55" s="697" t="str">
        <f ca="1">_xlfn.CONCAT(AD1," ","Продажи"," ",TEXT(AG2,"ММММ ГГГГ"))</f>
        <v>4 Квартал Дом 3 Продажи Август 2025</v>
      </c>
      <c r="AE55" s="698"/>
      <c r="AF55" s="698"/>
      <c r="AG55" s="698"/>
      <c r="AH55" s="698"/>
      <c r="AI55" s="699"/>
      <c r="AJ55" s="489"/>
      <c r="AK55" s="697" t="str">
        <f ca="1">_xlfn.CONCAT(AK1," ","Продажи"," ",TEXT(AN2,"ММММ ГГГГ"))</f>
        <v>4 Квартал Дом 4 Продажи Август 2025</v>
      </c>
      <c r="AL55" s="698"/>
      <c r="AM55" s="698"/>
      <c r="AN55" s="698"/>
      <c r="AO55" s="698"/>
      <c r="AP55" s="699"/>
      <c r="AQ55" s="489"/>
      <c r="AR55" s="737" t="str">
        <f ca="1">_xlfn.CONCAT("Продажи"," ",TEXT(Z2,"ММММ ГГГГ")," Факт/План")</f>
        <v>Продажи Август 2025 Факт/План</v>
      </c>
      <c r="AS55" s="724"/>
      <c r="AT55" s="724"/>
      <c r="AU55" s="724"/>
      <c r="AV55" s="724"/>
      <c r="AW55" s="725"/>
    </row>
    <row r="56" spans="1:49" s="346" customFormat="1" x14ac:dyDescent="0.25">
      <c r="A56" s="489"/>
      <c r="B56" s="605" t="s">
        <v>32</v>
      </c>
      <c r="C56" s="606" t="s">
        <v>96</v>
      </c>
      <c r="D56" s="607" t="s">
        <v>95</v>
      </c>
      <c r="E56" s="607" t="s">
        <v>99</v>
      </c>
      <c r="F56" s="607" t="s">
        <v>98</v>
      </c>
      <c r="G56" s="608" t="s">
        <v>97</v>
      </c>
      <c r="H56" s="575"/>
      <c r="I56" s="605" t="s">
        <v>32</v>
      </c>
      <c r="J56" s="606" t="s">
        <v>96</v>
      </c>
      <c r="K56" s="607" t="s">
        <v>95</v>
      </c>
      <c r="L56" s="607" t="s">
        <v>99</v>
      </c>
      <c r="M56" s="607" t="s">
        <v>98</v>
      </c>
      <c r="N56" s="608" t="s">
        <v>97</v>
      </c>
      <c r="O56" s="575"/>
      <c r="P56" s="605" t="s">
        <v>32</v>
      </c>
      <c r="Q56" s="606" t="s">
        <v>96</v>
      </c>
      <c r="R56" s="607" t="s">
        <v>95</v>
      </c>
      <c r="S56" s="607" t="s">
        <v>99</v>
      </c>
      <c r="T56" s="607" t="s">
        <v>98</v>
      </c>
      <c r="U56" s="608" t="s">
        <v>97</v>
      </c>
      <c r="V56" s="575"/>
      <c r="W56" s="605" t="s">
        <v>32</v>
      </c>
      <c r="X56" s="606" t="s">
        <v>96</v>
      </c>
      <c r="Y56" s="607" t="s">
        <v>95</v>
      </c>
      <c r="Z56" s="607" t="s">
        <v>99</v>
      </c>
      <c r="AA56" s="607" t="s">
        <v>98</v>
      </c>
      <c r="AB56" s="608" t="s">
        <v>97</v>
      </c>
      <c r="AC56" s="489"/>
      <c r="AD56" s="605" t="s">
        <v>32</v>
      </c>
      <c r="AE56" s="606" t="s">
        <v>96</v>
      </c>
      <c r="AF56" s="607" t="s">
        <v>95</v>
      </c>
      <c r="AG56" s="607" t="s">
        <v>99</v>
      </c>
      <c r="AH56" s="607" t="s">
        <v>98</v>
      </c>
      <c r="AI56" s="608" t="s">
        <v>97</v>
      </c>
      <c r="AJ56" s="489"/>
      <c r="AK56" s="605" t="s">
        <v>32</v>
      </c>
      <c r="AL56" s="606" t="s">
        <v>96</v>
      </c>
      <c r="AM56" s="607" t="s">
        <v>95</v>
      </c>
      <c r="AN56" s="607" t="s">
        <v>99</v>
      </c>
      <c r="AO56" s="607" t="s">
        <v>98</v>
      </c>
      <c r="AP56" s="608" t="s">
        <v>97</v>
      </c>
      <c r="AQ56" s="489"/>
      <c r="AR56" s="601" t="s">
        <v>32</v>
      </c>
      <c r="AS56" s="602" t="s">
        <v>96</v>
      </c>
      <c r="AT56" s="603" t="s">
        <v>95</v>
      </c>
      <c r="AU56" s="603" t="s">
        <v>99</v>
      </c>
      <c r="AV56" s="603" t="s">
        <v>98</v>
      </c>
      <c r="AW56" s="604" t="s">
        <v>97</v>
      </c>
    </row>
    <row r="57" spans="1:49" s="346" customFormat="1" x14ac:dyDescent="0.25">
      <c r="A57" s="489"/>
      <c r="B57" s="586">
        <v>0</v>
      </c>
      <c r="C57" s="384">
        <f ca="1">COUNTIFS(РД[Дом],$B$1,РД[Тип кв],B57,РД[Состояние],"Продажа",РД[Дата подачи на регистрацию],"&gt;="&amp;DATE(YEAR($E$2),MONTH($E$2),1),РД[Дата подачи на регистрацию],"&lt;="&amp;$E$2)</f>
        <v>0</v>
      </c>
      <c r="D57" s="583">
        <f ca="1">SUMIFS(РД[S],РД[Дом],$B$1,РД[Тип кв],B57,РД[Состояние],"Продажа",РД[Дата подачи на регистрацию],"&gt;="&amp;DATE(YEAR($E$2),MONTH($E$2),1),РД[Дата подачи на регистрацию],"&lt;="&amp;$E$2)</f>
        <v>0</v>
      </c>
      <c r="E57" s="583">
        <f ca="1">SUMIFS(РД[Стоимость без отделки итог],РД[Дом],$B$1,РД[Тип кв],B57,РД[Состояние],"Продажа",РД[Дата подачи на регистрацию],"&gt;="&amp;DATE(YEAR($E$2),MONTH($E$2),1),РД[Дата подачи на регистрацию],"&lt;="&amp;$E$2)</f>
        <v>0</v>
      </c>
      <c r="F57" s="583">
        <f t="shared" ref="F57:F61" ca="1" si="10">IFERROR(E57/C57,0)</f>
        <v>0</v>
      </c>
      <c r="G57" s="587">
        <f t="shared" ref="G57:G61" ca="1" si="11">IFERROR(E57/D57,0)</f>
        <v>0</v>
      </c>
      <c r="H57" s="575"/>
      <c r="I57" s="586">
        <v>0</v>
      </c>
      <c r="J57" s="384">
        <f ca="1">COUNTIFS(РД[Дом],$I$1,РД[Тип кв],I57,РД[Состояние],"Продажа",РД[Дата подачи на регистрацию],"&gt;="&amp;DATE(YEAR($L$2),MONTH($L$2),1),РД[Дата подачи на регистрацию],"&lt;="&amp;$L$2)</f>
        <v>1</v>
      </c>
      <c r="K57" s="583">
        <f ca="1">SUMIFS(РД[S],РД[Дом],$I$1,РД[Тип кв],I57,РД[Состояние],"Продажа",РД[Дата подачи на регистрацию],"&gt;="&amp;DATE(YEAR($L$2),MONTH($L$2),1),РД[Дата подачи на регистрацию],"&lt;="&amp;$L$2)</f>
        <v>29.3</v>
      </c>
      <c r="L57" s="583">
        <f ca="1">SUMIFS(РД[Стоимость без отделки итог],РД[Дом],$I$1,РД[Тип кв],I57,РД[Состояние],"Продажа",РД[Дата подачи на регистрацию],"&gt;="&amp;DATE(YEAR($L$2),MONTH($L$2),1),РД[Дата подачи на регистрацию],"&lt;="&amp;$L$2)</f>
        <v>3828100</v>
      </c>
      <c r="M57" s="583">
        <f t="shared" ref="M57:M62" ca="1" si="12">IFERROR(L57/J57,0)</f>
        <v>3828100</v>
      </c>
      <c r="N57" s="587">
        <f t="shared" ref="N57:N62" ca="1" si="13">IFERROR(L57/K57,0)</f>
        <v>130651.87713310579</v>
      </c>
      <c r="O57" s="575"/>
      <c r="P57" s="586">
        <v>0</v>
      </c>
      <c r="Q57" s="384">
        <f ca="1">COUNTIFS(РД[Дом],$P$1,РД[Тип кв],P57,РД[Состояние],"Продажа",РД[Дата подачи на регистрацию],"&gt;="&amp;DATE(YEAR($S$2),MONTH($S$2),1),РД[Дата подачи на регистрацию],"&lt;="&amp;$S$2)</f>
        <v>0</v>
      </c>
      <c r="R57" s="583">
        <f ca="1">SUMIFS(РД[S],РД[Дом],$P$1,РД[Тип кв],P57,РД[Состояние],"Продажа",РД[Дата подачи на регистрацию],"&gt;="&amp;DATE(YEAR($S$2),MONTH($S$2),1),РД[Дата подачи на регистрацию],"&lt;="&amp;$S$2)</f>
        <v>0</v>
      </c>
      <c r="S57" s="583">
        <f ca="1">SUMIFS(РД[Стоимость без отделки итог],РД[Дом],$P$1,РД[Тип кв],P57,РД[Состояние],"Продажа",РД[Дата подачи на регистрацию],"&gt;="&amp;DATE(YEAR($S$2),MONTH($S$2),1),РД[Дата подачи на регистрацию],"&lt;="&amp;$S$2)</f>
        <v>0</v>
      </c>
      <c r="T57" s="583">
        <f t="shared" ref="T57:T62" ca="1" si="14">IFERROR(S57/Q57,0)</f>
        <v>0</v>
      </c>
      <c r="U57" s="587">
        <f t="shared" ref="U57:U62" ca="1" si="15">IFERROR(S57/R57,0)</f>
        <v>0</v>
      </c>
      <c r="V57" s="575"/>
      <c r="W57" s="586">
        <v>0</v>
      </c>
      <c r="X57" s="384">
        <f ca="1">COUNTIFS(РД[Дом],$W$1,РД[Тип кв],W57,РД[Состояние],"Продажа",РД[Дата подачи на регистрацию],"&gt;="&amp;DATE(YEAR($Z$2),MONTH($Z$2),1),РД[Дата подачи на регистрацию],"&lt;="&amp;$Z$2)</f>
        <v>0</v>
      </c>
      <c r="Y57" s="583">
        <f ca="1">SUMIFS(РД[S],РД[Дом],$W$1,РД[Тип кв],W57,РД[Состояние],"Продажа",РД[Дата подачи на регистрацию],"&gt;="&amp;DATE(YEAR($Z$2),MONTH($Z$2),1),РД[Дата подачи на регистрацию],"&lt;="&amp;$Z$2)</f>
        <v>0</v>
      </c>
      <c r="Z57" s="583">
        <f ca="1">SUMIFS(РД[Стоимость без отделки итог],РД[Дом],$W$1,РД[Тип кв],W57,РД[Состояние],"Продажа",РД[Дата подачи на регистрацию],"&gt;="&amp;DATE(YEAR($Z$2),MONTH($Z$2),1),РД[Дата подачи на регистрацию],"&lt;="&amp;$Z$2)</f>
        <v>0</v>
      </c>
      <c r="AA57" s="583">
        <f t="shared" ref="AA57:AA62" ca="1" si="16">IFERROR(Z57/X57,0)</f>
        <v>0</v>
      </c>
      <c r="AB57" s="587">
        <f t="shared" ref="AB57:AB62" ca="1" si="17">IFERROR(Z57/Y57,0)</f>
        <v>0</v>
      </c>
      <c r="AC57" s="489"/>
      <c r="AD57" s="586">
        <v>0</v>
      </c>
      <c r="AE57" s="384">
        <f ca="1">COUNTIFS(РД[Дом],$AD$1,РД[Тип кв],AD57,РД[Состояние],"Продажа",РД[Дата подачи на регистрацию],"&gt;="&amp;DATE(YEAR($Z$2),MONTH($Z$2),1),РД[Дата подачи на регистрацию],"&lt;="&amp;$Z$2)</f>
        <v>0</v>
      </c>
      <c r="AF57" s="583">
        <f ca="1">SUMIFS(РД[S],РД[Дом],$AD$1,РД[Тип кв],AD57,РД[Состояние],"Продажа",РД[Дата подачи на регистрацию],"&gt;="&amp;DATE(YEAR($Z$2),MONTH($Z$2),1),РД[Дата подачи на регистрацию],"&lt;="&amp;$Z$2)</f>
        <v>0</v>
      </c>
      <c r="AG57" s="583">
        <f ca="1">SUMIFS(РД[Стоимость без отделки итог],РД[Дом],$AD$1,РД[Тип кв],AD57,РД[Состояние],"Продажа",РД[Дата подачи на регистрацию],"&gt;="&amp;DATE(YEAR($Z$2),MONTH($Z$2),1),РД[Дата подачи на регистрацию],"&lt;="&amp;$Z$2)</f>
        <v>0</v>
      </c>
      <c r="AH57" s="583">
        <f t="shared" ref="AH57:AH62" ca="1" si="18">IFERROR(AG57/AE57,0)</f>
        <v>0</v>
      </c>
      <c r="AI57" s="587">
        <f t="shared" ref="AI57:AI62" ca="1" si="19">IFERROR(AG57/AF57,0)</f>
        <v>0</v>
      </c>
      <c r="AJ57" s="489"/>
      <c r="AK57" s="586">
        <v>0</v>
      </c>
      <c r="AL57" s="384">
        <f ca="1">COUNTIFS(РД[Дом],$AD$1,РД[Тип кв],AK57,РД[Состояние],"Продажа",РД[Дата подачи на регистрацию],"&gt;="&amp;DATE(YEAR($Z$2),MONTH($Z$2),1),РД[Дата подачи на регистрацию],"&lt;="&amp;$Z$2)</f>
        <v>0</v>
      </c>
      <c r="AM57" s="583">
        <f ca="1">SUMIFS(РД[S],РД[Дом],$AD$1,РД[Тип кв],AK57,РД[Состояние],"Продажа",РД[Дата подачи на регистрацию],"&gt;="&amp;DATE(YEAR($Z$2),MONTH($Z$2),1),РД[Дата подачи на регистрацию],"&lt;="&amp;$Z$2)</f>
        <v>0</v>
      </c>
      <c r="AN57" s="583">
        <f ca="1">SUMIFS(РД[Стоимость без отделки итог],РД[Дом],$AD$1,РД[Тип кв],AK57,РД[Состояние],"Продажа",РД[Дата подачи на регистрацию],"&gt;="&amp;DATE(YEAR($Z$2),MONTH($Z$2),1),РД[Дата подачи на регистрацию],"&lt;="&amp;$Z$2)</f>
        <v>0</v>
      </c>
      <c r="AO57" s="583">
        <f t="shared" ref="AO57:AO62" ca="1" si="20">IFERROR(AN57/AL57,0)</f>
        <v>0</v>
      </c>
      <c r="AP57" s="587">
        <f t="shared" ref="AP57:AP62" ca="1" si="21">IFERROR(AN57/AM57,0)</f>
        <v>0</v>
      </c>
      <c r="AQ57" s="489"/>
      <c r="AR57" s="586">
        <v>0</v>
      </c>
      <c r="AS57" s="384">
        <f t="shared" ref="AS57:AU61" ca="1" si="22">C57+J57+Q57+X57</f>
        <v>1</v>
      </c>
      <c r="AT57" s="384">
        <f t="shared" ca="1" si="22"/>
        <v>29.3</v>
      </c>
      <c r="AU57" s="384">
        <f t="shared" ca="1" si="22"/>
        <v>3828100</v>
      </c>
      <c r="AV57" s="583">
        <f t="shared" ref="AV57:AV62" ca="1" si="23">IFERROR(AU57/AS57,0)</f>
        <v>3828100</v>
      </c>
      <c r="AW57" s="587">
        <f t="shared" ref="AW57:AW62" ca="1" si="24">IFERROR(AU57/AT57,0)</f>
        <v>130651.87713310579</v>
      </c>
    </row>
    <row r="58" spans="1:49" s="346" customFormat="1" x14ac:dyDescent="0.25">
      <c r="A58" s="489"/>
      <c r="B58" s="588">
        <v>1</v>
      </c>
      <c r="C58" s="384">
        <f ca="1">COUNTIFS(РД[Дом],$B$1,РД[Тип кв],B58,РД[Состояние],"Продажа",РД[Дата подачи на регистрацию],"&gt;="&amp;DATE(YEAR($E$2),MONTH($E$2),1),РД[Дата подачи на регистрацию],"&lt;="&amp;$E$2)</f>
        <v>0</v>
      </c>
      <c r="D58" s="583">
        <f ca="1">SUMIFS(РД[S],РД[Дом],$B$1,РД[Тип кв],B58,РД[Состояние],"Продажа",РД[Дата подачи на регистрацию],"&gt;="&amp;DATE(YEAR($E$2),MONTH($E$2),1),РД[Дата подачи на регистрацию],"&lt;="&amp;$E$2)</f>
        <v>0</v>
      </c>
      <c r="E58" s="583">
        <f ca="1">SUMIFS(РД[Стоимость без отделки итог],РД[Дом],$B$1,РД[Тип кв],B58,РД[Состояние],"Продажа",РД[Дата подачи на регистрацию],"&gt;="&amp;DATE(YEAR($E$2),MONTH($E$2),1),РД[Дата подачи на регистрацию],"&lt;="&amp;$E$2)</f>
        <v>0</v>
      </c>
      <c r="F58" s="583">
        <f t="shared" ca="1" si="10"/>
        <v>0</v>
      </c>
      <c r="G58" s="587">
        <f t="shared" ca="1" si="11"/>
        <v>0</v>
      </c>
      <c r="H58" s="575"/>
      <c r="I58" s="588">
        <v>1</v>
      </c>
      <c r="J58" s="384">
        <f ca="1">COUNTIFS(РД[Дом],$I$1,РД[Тип кв],I58,РД[Состояние],"Продажа",РД[Дата подачи на регистрацию],"&gt;="&amp;DATE(YEAR($L$2),MONTH($L$2),1),РД[Дата подачи на регистрацию],"&lt;="&amp;$L$2)</f>
        <v>2</v>
      </c>
      <c r="K58" s="583">
        <f ca="1">SUMIFS(РД[S],РД[Дом],$I$1,РД[Тип кв],I58,РД[Состояние],"Продажа",РД[Дата подачи на регистрацию],"&gt;="&amp;DATE(YEAR($L$2),MONTH($L$2),1),РД[Дата подачи на регистрацию],"&lt;="&amp;$L$2)</f>
        <v>80.2</v>
      </c>
      <c r="L58" s="583">
        <f ca="1">SUMIFS(РД[Стоимость без отделки итог],РД[Дом],$I$1,РД[Тип кв],I58,РД[Состояние],"Продажа",РД[Дата подачи на регистрацию],"&gt;="&amp;DATE(YEAR($L$2),MONTH($L$2),1),РД[Дата подачи на регистрацию],"&lt;="&amp;$L$2)</f>
        <v>9919801</v>
      </c>
      <c r="M58" s="583">
        <f t="shared" ca="1" si="12"/>
        <v>4959900.5</v>
      </c>
      <c r="N58" s="587">
        <f t="shared" ca="1" si="13"/>
        <v>123688.29177057356</v>
      </c>
      <c r="O58" s="575"/>
      <c r="P58" s="588">
        <v>1</v>
      </c>
      <c r="Q58" s="384">
        <f ca="1">COUNTIFS(РД[Дом],$P$1,РД[Тип кв],P58,РД[Состояние],"Продажа",РД[Дата подачи на регистрацию],"&gt;="&amp;DATE(YEAR($S$2),MONTH($S$2),1),РД[Дата подачи на регистрацию],"&lt;="&amp;$S$2)</f>
        <v>1</v>
      </c>
      <c r="R58" s="583">
        <f ca="1">SUMIFS(РД[S],РД[Дом],$P$1,РД[Тип кв],P58,РД[Состояние],"Продажа",РД[Дата подачи на регистрацию],"&gt;="&amp;DATE(YEAR($S$2),MONTH($S$2),1),РД[Дата подачи на регистрацию],"&lt;="&amp;$S$2)</f>
        <v>42.39</v>
      </c>
      <c r="S58" s="583">
        <f ca="1">SUMIFS(РД[Стоимость без отделки итог],РД[Дом],$P$1,РД[Тип кв],P58,РД[Состояние],"Продажа",РД[Дата подачи на регистрацию],"&gt;="&amp;DATE(YEAR($S$2),MONTH($S$2),1),РД[Дата подачи на регистрацию],"&lt;="&amp;$S$2)</f>
        <v>5886566</v>
      </c>
      <c r="T58" s="583">
        <f t="shared" ca="1" si="14"/>
        <v>5886566</v>
      </c>
      <c r="U58" s="587">
        <f t="shared" ca="1" si="15"/>
        <v>138866.85539042228</v>
      </c>
      <c r="V58" s="575"/>
      <c r="W58" s="588">
        <v>1</v>
      </c>
      <c r="X58" s="384">
        <f ca="1">COUNTIFS(РД[Дом],$W$1,РД[Тип кв],W58,РД[Состояние],"Продажа",РД[Дата подачи на регистрацию],"&gt;="&amp;DATE(YEAR($Z$2),MONTH($Z$2),1),РД[Дата подачи на регистрацию],"&lt;="&amp;$Z$2)</f>
        <v>0</v>
      </c>
      <c r="Y58" s="583">
        <f ca="1">SUMIFS(РД[S],РД[Дом],$W$1,РД[Тип кв],W58,РД[Состояние],"Продажа",РД[Дата подачи на регистрацию],"&gt;="&amp;DATE(YEAR($Z$2),MONTH($Z$2),1),РД[Дата подачи на регистрацию],"&lt;="&amp;$Z$2)</f>
        <v>0</v>
      </c>
      <c r="Z58" s="583">
        <f ca="1">SUMIFS(РД[Стоимость без отделки итог],РД[Дом],$W$1,РД[Тип кв],W58,РД[Состояние],"Продажа",РД[Дата подачи на регистрацию],"&gt;="&amp;DATE(YEAR($Z$2),MONTH($Z$2),1),РД[Дата подачи на регистрацию],"&lt;="&amp;$Z$2)</f>
        <v>0</v>
      </c>
      <c r="AA58" s="583">
        <f t="shared" ca="1" si="16"/>
        <v>0</v>
      </c>
      <c r="AB58" s="587">
        <f t="shared" ca="1" si="17"/>
        <v>0</v>
      </c>
      <c r="AC58" s="489"/>
      <c r="AD58" s="588">
        <v>1</v>
      </c>
      <c r="AE58" s="384">
        <f ca="1">COUNTIFS(РД[Дом],$AD$1,РД[Тип кв],AD58,РД[Состояние],"Продажа",РД[Дата подачи на регистрацию],"&gt;="&amp;DATE(YEAR($Z$2),MONTH($Z$2),1),РД[Дата подачи на регистрацию],"&lt;="&amp;$Z$2)</f>
        <v>0</v>
      </c>
      <c r="AF58" s="583">
        <f ca="1">SUMIFS(РД[S],РД[Дом],$AD$1,РД[Тип кв],AD58,РД[Состояние],"Продажа",РД[Дата подачи на регистрацию],"&gt;="&amp;DATE(YEAR($Z$2),MONTH($Z$2),1),РД[Дата подачи на регистрацию],"&lt;="&amp;$Z$2)</f>
        <v>0</v>
      </c>
      <c r="AG58" s="583">
        <f ca="1">SUMIFS(РД[Стоимость без отделки итог],РД[Дом],$AD$1,РД[Тип кв],AD58,РД[Состояние],"Продажа",РД[Дата подачи на регистрацию],"&gt;="&amp;DATE(YEAR($Z$2),MONTH($Z$2),1),РД[Дата подачи на регистрацию],"&lt;="&amp;$Z$2)</f>
        <v>0</v>
      </c>
      <c r="AH58" s="583">
        <f t="shared" ca="1" si="18"/>
        <v>0</v>
      </c>
      <c r="AI58" s="587">
        <f t="shared" ca="1" si="19"/>
        <v>0</v>
      </c>
      <c r="AJ58" s="489"/>
      <c r="AK58" s="588">
        <v>1</v>
      </c>
      <c r="AL58" s="384">
        <f ca="1">COUNTIFS(РД[Дом],$AD$1,РД[Тип кв],AK58,РД[Состояние],"Продажа",РД[Дата подачи на регистрацию],"&gt;="&amp;DATE(YEAR($Z$2),MONTH($Z$2),1),РД[Дата подачи на регистрацию],"&lt;="&amp;$Z$2)</f>
        <v>0</v>
      </c>
      <c r="AM58" s="583">
        <f ca="1">SUMIFS(РД[S],РД[Дом],$AD$1,РД[Тип кв],AK58,РД[Состояние],"Продажа",РД[Дата подачи на регистрацию],"&gt;="&amp;DATE(YEAR($Z$2),MONTH($Z$2),1),РД[Дата подачи на регистрацию],"&lt;="&amp;$Z$2)</f>
        <v>0</v>
      </c>
      <c r="AN58" s="583">
        <f ca="1">SUMIFS(РД[Стоимость без отделки итог],РД[Дом],$AD$1,РД[Тип кв],AK58,РД[Состояние],"Продажа",РД[Дата подачи на регистрацию],"&gt;="&amp;DATE(YEAR($Z$2),MONTH($Z$2),1),РД[Дата подачи на регистрацию],"&lt;="&amp;$Z$2)</f>
        <v>0</v>
      </c>
      <c r="AO58" s="583">
        <f t="shared" ca="1" si="20"/>
        <v>0</v>
      </c>
      <c r="AP58" s="587">
        <f t="shared" ca="1" si="21"/>
        <v>0</v>
      </c>
      <c r="AQ58" s="489"/>
      <c r="AR58" s="588">
        <v>1</v>
      </c>
      <c r="AS58" s="384">
        <f t="shared" ca="1" si="22"/>
        <v>3</v>
      </c>
      <c r="AT58" s="583">
        <f t="shared" ca="1" si="22"/>
        <v>122.59</v>
      </c>
      <c r="AU58" s="583">
        <f t="shared" ca="1" si="22"/>
        <v>15806367</v>
      </c>
      <c r="AV58" s="583">
        <f t="shared" ca="1" si="23"/>
        <v>5268789</v>
      </c>
      <c r="AW58" s="587">
        <f t="shared" ca="1" si="24"/>
        <v>128936.83824129211</v>
      </c>
    </row>
    <row r="59" spans="1:49" s="346" customFormat="1" x14ac:dyDescent="0.25">
      <c r="A59" s="489"/>
      <c r="B59" s="588">
        <v>2</v>
      </c>
      <c r="C59" s="384">
        <f ca="1">COUNTIFS(РД[Дом],$B$1,РД[Тип кв],B59,РД[Состояние],"Продажа",РД[Дата подачи на регистрацию],"&gt;="&amp;DATE(YEAR($E$2),MONTH($E$2),1),РД[Дата подачи на регистрацию],"&lt;="&amp;$E$2)</f>
        <v>0</v>
      </c>
      <c r="D59" s="583">
        <f ca="1">SUMIFS(РД[S],РД[Дом],$B$1,РД[Тип кв],B59,РД[Состояние],"Продажа",РД[Дата подачи на регистрацию],"&gt;="&amp;DATE(YEAR($E$2),MONTH($E$2),1),РД[Дата подачи на регистрацию],"&lt;="&amp;$E$2)</f>
        <v>0</v>
      </c>
      <c r="E59" s="583">
        <f ca="1">SUMIFS(РД[Стоимость без отделки итог],РД[Дом],$B$1,РД[Тип кв],B59,РД[Состояние],"Продажа",РД[Дата подачи на регистрацию],"&gt;="&amp;DATE(YEAR($E$2),MONTH($E$2),1),РД[Дата подачи на регистрацию],"&lt;="&amp;$E$2)</f>
        <v>0</v>
      </c>
      <c r="F59" s="583">
        <f t="shared" ca="1" si="10"/>
        <v>0</v>
      </c>
      <c r="G59" s="587">
        <f t="shared" ca="1" si="11"/>
        <v>0</v>
      </c>
      <c r="H59" s="575"/>
      <c r="I59" s="588">
        <v>2</v>
      </c>
      <c r="J59" s="384">
        <f ca="1">COUNTIFS(РД[Дом],$I$1,РД[Тип кв],I59,РД[Состояние],"Продажа",РД[Дата подачи на регистрацию],"&gt;="&amp;DATE(YEAR($L$2),MONTH($L$2),1),РД[Дата подачи на регистрацию],"&lt;="&amp;$L$2)</f>
        <v>5</v>
      </c>
      <c r="K59" s="583">
        <f ca="1">SUMIFS(РД[S],РД[Дом],$I$1,РД[Тип кв],I59,РД[Состояние],"Продажа",РД[Дата подачи на регистрацию],"&gt;="&amp;DATE(YEAR($L$2),MONTH($L$2),1),РД[Дата подачи на регистрацию],"&lt;="&amp;$L$2)</f>
        <v>306.25</v>
      </c>
      <c r="L59" s="583">
        <f ca="1">SUMIFS(РД[Стоимость без отделки итог],РД[Дом],$I$1,РД[Тип кв],I59,РД[Состояние],"Продажа",РД[Дата подачи на регистрацию],"&gt;="&amp;DATE(YEAR($L$2),MONTH($L$2),1),РД[Дата подачи на регистрацию],"&lt;="&amp;$L$2)</f>
        <v>35231220</v>
      </c>
      <c r="M59" s="583">
        <f t="shared" ca="1" si="12"/>
        <v>7046244</v>
      </c>
      <c r="N59" s="587">
        <f t="shared" ca="1" si="13"/>
        <v>115040.71836734694</v>
      </c>
      <c r="O59" s="575"/>
      <c r="P59" s="588">
        <v>2</v>
      </c>
      <c r="Q59" s="384">
        <f ca="1">COUNTIFS(РД[Дом],$P$1,РД[Тип кв],P59,РД[Состояние],"Продажа",РД[Дата подачи на регистрацию],"&gt;="&amp;DATE(YEAR($S$2),MONTH($S$2),1),РД[Дата подачи на регистрацию],"&lt;="&amp;$S$2)</f>
        <v>1</v>
      </c>
      <c r="R59" s="583">
        <f ca="1">SUMIFS(РД[S],РД[Дом],$P$1,РД[Тип кв],P59,РД[Состояние],"Продажа",РД[Дата подачи на регистрацию],"&gt;="&amp;DATE(YEAR($S$2),MONTH($S$2),1),РД[Дата подачи на регистрацию],"&lt;="&amp;$S$2)</f>
        <v>49.39</v>
      </c>
      <c r="S59" s="583">
        <f ca="1">SUMIFS(РД[Стоимость без отделки итог],РД[Дом],$P$1,РД[Тип кв],P59,РД[Состояние],"Продажа",РД[Дата подачи на регистрацию],"&gt;="&amp;DATE(YEAR($S$2),MONTH($S$2),1),РД[Дата подачи на регистрацию],"&lt;="&amp;$S$2)</f>
        <v>6418216</v>
      </c>
      <c r="T59" s="583">
        <f t="shared" ca="1" si="14"/>
        <v>6418216</v>
      </c>
      <c r="U59" s="587">
        <f t="shared" ca="1" si="15"/>
        <v>129949.70641830329</v>
      </c>
      <c r="V59" s="575"/>
      <c r="W59" s="588">
        <v>2</v>
      </c>
      <c r="X59" s="384">
        <f ca="1">COUNTIFS(РД[Дом],$W$1,РД[Тип кв],W59,РД[Состояние],"Продажа",РД[Дата подачи на регистрацию],"&gt;="&amp;DATE(YEAR($Z$2),MONTH($Z$2),1),РД[Дата подачи на регистрацию],"&lt;="&amp;$Z$2)</f>
        <v>0</v>
      </c>
      <c r="Y59" s="583">
        <f ca="1">SUMIFS(РД[S],РД[Дом],$W$1,РД[Тип кв],W59,РД[Состояние],"Продажа",РД[Дата подачи на регистрацию],"&gt;="&amp;DATE(YEAR($Z$2),MONTH($Z$2),1),РД[Дата подачи на регистрацию],"&lt;="&amp;$Z$2)</f>
        <v>0</v>
      </c>
      <c r="Z59" s="583">
        <f ca="1">SUMIFS(РД[Стоимость без отделки итог],РД[Дом],$W$1,РД[Тип кв],W59,РД[Состояние],"Продажа",РД[Дата подачи на регистрацию],"&gt;="&amp;DATE(YEAR($Z$2),MONTH($Z$2),1),РД[Дата подачи на регистрацию],"&lt;="&amp;$Z$2)</f>
        <v>0</v>
      </c>
      <c r="AA59" s="583">
        <f t="shared" ca="1" si="16"/>
        <v>0</v>
      </c>
      <c r="AB59" s="587">
        <f t="shared" ca="1" si="17"/>
        <v>0</v>
      </c>
      <c r="AC59" s="489"/>
      <c r="AD59" s="588">
        <v>2</v>
      </c>
      <c r="AE59" s="384">
        <f ca="1">COUNTIFS(РД[Дом],$AD$1,РД[Тип кв],AD59,РД[Состояние],"Продажа",РД[Дата подачи на регистрацию],"&gt;="&amp;DATE(YEAR($Z$2),MONTH($Z$2),1),РД[Дата подачи на регистрацию],"&lt;="&amp;$Z$2)</f>
        <v>0</v>
      </c>
      <c r="AF59" s="583">
        <f ca="1">SUMIFS(РД[S],РД[Дом],$AD$1,РД[Тип кв],AD59,РД[Состояние],"Продажа",РД[Дата подачи на регистрацию],"&gt;="&amp;DATE(YEAR($Z$2),MONTH($Z$2),1),РД[Дата подачи на регистрацию],"&lt;="&amp;$Z$2)</f>
        <v>0</v>
      </c>
      <c r="AG59" s="583">
        <f ca="1">SUMIFS(РД[Стоимость без отделки итог],РД[Дом],$AD$1,РД[Тип кв],AD59,РД[Состояние],"Продажа",РД[Дата подачи на регистрацию],"&gt;="&amp;DATE(YEAR($Z$2),MONTH($Z$2),1),РД[Дата подачи на регистрацию],"&lt;="&amp;$Z$2)</f>
        <v>0</v>
      </c>
      <c r="AH59" s="583">
        <f t="shared" ca="1" si="18"/>
        <v>0</v>
      </c>
      <c r="AI59" s="587">
        <f t="shared" ca="1" si="19"/>
        <v>0</v>
      </c>
      <c r="AJ59" s="489"/>
      <c r="AK59" s="588">
        <v>2</v>
      </c>
      <c r="AL59" s="384">
        <f ca="1">COUNTIFS(РД[Дом],$AD$1,РД[Тип кв],AK59,РД[Состояние],"Продажа",РД[Дата подачи на регистрацию],"&gt;="&amp;DATE(YEAR($Z$2),MONTH($Z$2),1),РД[Дата подачи на регистрацию],"&lt;="&amp;$Z$2)</f>
        <v>0</v>
      </c>
      <c r="AM59" s="583">
        <f ca="1">SUMIFS(РД[S],РД[Дом],$AD$1,РД[Тип кв],AK59,РД[Состояние],"Продажа",РД[Дата подачи на регистрацию],"&gt;="&amp;DATE(YEAR($Z$2),MONTH($Z$2),1),РД[Дата подачи на регистрацию],"&lt;="&amp;$Z$2)</f>
        <v>0</v>
      </c>
      <c r="AN59" s="583">
        <f ca="1">SUMIFS(РД[Стоимость без отделки итог],РД[Дом],$AD$1,РД[Тип кв],AK59,РД[Состояние],"Продажа",РД[Дата подачи на регистрацию],"&gt;="&amp;DATE(YEAR($Z$2),MONTH($Z$2),1),РД[Дата подачи на регистрацию],"&lt;="&amp;$Z$2)</f>
        <v>0</v>
      </c>
      <c r="AO59" s="583">
        <f t="shared" ca="1" si="20"/>
        <v>0</v>
      </c>
      <c r="AP59" s="587">
        <f t="shared" ca="1" si="21"/>
        <v>0</v>
      </c>
      <c r="AQ59" s="489"/>
      <c r="AR59" s="588">
        <v>2</v>
      </c>
      <c r="AS59" s="384">
        <f t="shared" ca="1" si="22"/>
        <v>6</v>
      </c>
      <c r="AT59" s="583">
        <f t="shared" ca="1" si="22"/>
        <v>355.64</v>
      </c>
      <c r="AU59" s="583">
        <f t="shared" ca="1" si="22"/>
        <v>41649436</v>
      </c>
      <c r="AV59" s="583">
        <f t="shared" ca="1" si="23"/>
        <v>6941572.666666667</v>
      </c>
      <c r="AW59" s="587">
        <f t="shared" ca="1" si="24"/>
        <v>117111.2248341019</v>
      </c>
    </row>
    <row r="60" spans="1:49" s="346" customFormat="1" ht="15" customHeight="1" thickBot="1" x14ac:dyDescent="0.3">
      <c r="A60" s="489"/>
      <c r="B60" s="589">
        <v>3</v>
      </c>
      <c r="C60" s="541">
        <f ca="1">COUNTIFS(РД[Дом],$B$1,РД[Тип кв],B60,РД[Состояние],"Продажа",РД[Дата подачи на регистрацию],"&gt;="&amp;DATE(YEAR($E$2),MONTH($E$2),1),РД[Дата подачи на регистрацию],"&lt;="&amp;$E$2)</f>
        <v>0</v>
      </c>
      <c r="D60" s="590">
        <f ca="1">SUMIFS(РД[S],РД[Дом],$B$1,РД[Тип кв],B60,РД[Состояние],"Продажа",РД[Дата подачи на регистрацию],"&gt;="&amp;DATE(YEAR($E$2),MONTH($E$2),1),РД[Дата подачи на регистрацию],"&lt;="&amp;$E$2)</f>
        <v>0</v>
      </c>
      <c r="E60" s="590">
        <f ca="1">SUMIFS(РД[Стоимость без отделки итог],РД[Дом],$B$1,РД[Тип кв],B60,РД[Состояние],"Продажа",РД[Дата подачи на регистрацию],"&gt;="&amp;DATE(YEAR($E$2),MONTH($E$2),1),РД[Дата подачи на регистрацию],"&lt;="&amp;$E$2)</f>
        <v>0</v>
      </c>
      <c r="F60" s="590">
        <f t="shared" ca="1" si="10"/>
        <v>0</v>
      </c>
      <c r="G60" s="591">
        <f t="shared" ca="1" si="11"/>
        <v>0</v>
      </c>
      <c r="H60" s="575"/>
      <c r="I60" s="589">
        <v>3</v>
      </c>
      <c r="J60" s="541">
        <f ca="1">COUNTIFS(РД[Дом],$I$1,РД[Тип кв],I60,РД[Состояние],"Продажа",РД[Дата подачи на регистрацию],"&gt;="&amp;DATE(YEAR($L$2),MONTH($L$2),1),РД[Дата подачи на регистрацию],"&lt;="&amp;$L$2)</f>
        <v>0</v>
      </c>
      <c r="K60" s="590">
        <f ca="1">SUMIFS(РД[S],РД[Дом],$I$1,РД[Тип кв],I60,РД[Состояние],"Продажа",РД[Дата подачи на регистрацию],"&gt;="&amp;DATE(YEAR($L$2),MONTH($L$2),1),РД[Дата подачи на регистрацию],"&lt;="&amp;$L$2)</f>
        <v>0</v>
      </c>
      <c r="L60" s="590">
        <f ca="1">SUMIFS(РД[Стоимость без отделки итог],РД[Дом],$I$1,РД[Тип кв],I60,РД[Состояние],"Продажа",РД[Дата подачи на регистрацию],"&gt;="&amp;DATE(YEAR($L$2),MONTH($L$2),1),РД[Дата подачи на регистрацию],"&lt;="&amp;$L$2)</f>
        <v>0</v>
      </c>
      <c r="M60" s="590">
        <f t="shared" ca="1" si="12"/>
        <v>0</v>
      </c>
      <c r="N60" s="591">
        <f t="shared" ca="1" si="13"/>
        <v>0</v>
      </c>
      <c r="O60" s="575"/>
      <c r="P60" s="589">
        <v>3</v>
      </c>
      <c r="Q60" s="541">
        <f ca="1">COUNTIFS(РД[Дом],$P$1,РД[Тип кв],P60,РД[Состояние],"Продажа",РД[Дата подачи на регистрацию],"&gt;="&amp;DATE(YEAR($S$2),MONTH($S$2),1),РД[Дата подачи на регистрацию],"&lt;="&amp;$S$2)</f>
        <v>0</v>
      </c>
      <c r="R60" s="590">
        <f ca="1">SUMIFS(РД[S],РД[Дом],$P$1,РД[Тип кв],P60,РД[Состояние],"Продажа",РД[Дата подачи на регистрацию],"&gt;="&amp;DATE(YEAR($S$2),MONTH($S$2),1),РД[Дата подачи на регистрацию],"&lt;="&amp;$S$2)</f>
        <v>0</v>
      </c>
      <c r="S60" s="590">
        <f ca="1">SUMIFS(РД[Стоимость без отделки итог],РД[Дом],$P$1,РД[Тип кв],P60,РД[Состояние],"Продажа",РД[Дата подачи на регистрацию],"&gt;="&amp;DATE(YEAR($S$2),MONTH($S$2),1),РД[Дата подачи на регистрацию],"&lt;="&amp;$S$2)</f>
        <v>0</v>
      </c>
      <c r="T60" s="590">
        <f t="shared" ca="1" si="14"/>
        <v>0</v>
      </c>
      <c r="U60" s="591">
        <f t="shared" ca="1" si="15"/>
        <v>0</v>
      </c>
      <c r="V60" s="575"/>
      <c r="W60" s="589">
        <v>3</v>
      </c>
      <c r="X60" s="541">
        <f ca="1">COUNTIFS(РД[Дом],$W$1,РД[Тип кв],W60,РД[Состояние],"Продажа",РД[Дата подачи на регистрацию],"&gt;="&amp;DATE(YEAR($Z$2),MONTH($Z$2),1),РД[Дата подачи на регистрацию],"&lt;="&amp;$Z$2)</f>
        <v>0</v>
      </c>
      <c r="Y60" s="590">
        <f ca="1">SUMIFS(РД[S],РД[Дом],$W$1,РД[Тип кв],W60,РД[Состояние],"Продажа",РД[Дата подачи на регистрацию],"&gt;="&amp;DATE(YEAR($Z$2),MONTH($Z$2),1),РД[Дата подачи на регистрацию],"&lt;="&amp;$Z$2)</f>
        <v>0</v>
      </c>
      <c r="Z60" s="590">
        <f ca="1">SUMIFS(РД[Стоимость без отделки итог],РД[Дом],$W$1,РД[Тип кв],W60,РД[Состояние],"Продажа",РД[Дата подачи на регистрацию],"&gt;="&amp;DATE(YEAR($Z$2),MONTH($Z$2),1),РД[Дата подачи на регистрацию],"&lt;="&amp;$Z$2)</f>
        <v>0</v>
      </c>
      <c r="AA60" s="590">
        <f t="shared" ca="1" si="16"/>
        <v>0</v>
      </c>
      <c r="AB60" s="591">
        <f t="shared" ca="1" si="17"/>
        <v>0</v>
      </c>
      <c r="AC60" s="489"/>
      <c r="AD60" s="589">
        <v>3</v>
      </c>
      <c r="AE60" s="384">
        <f ca="1">COUNTIFS(РД[Дом],$AD$1,РД[Тип кв],AD60,РД[Состояние],"Продажа",РД[Дата подачи на регистрацию],"&gt;="&amp;DATE(YEAR($Z$2),MONTH($Z$2),1),РД[Дата подачи на регистрацию],"&lt;="&amp;$Z$2)</f>
        <v>0</v>
      </c>
      <c r="AF60" s="583">
        <f ca="1">SUMIFS(РД[S],РД[Дом],$AD$1,РД[Тип кв],AD60,РД[Состояние],"Продажа",РД[Дата подачи на регистрацию],"&gt;="&amp;DATE(YEAR($Z$2),MONTH($Z$2),1),РД[Дата подачи на регистрацию],"&lt;="&amp;$Z$2)</f>
        <v>0</v>
      </c>
      <c r="AG60" s="583">
        <f ca="1">SUMIFS(РД[Стоимость без отделки итог],РД[Дом],$AD$1,РД[Тип кв],AD60,РД[Состояние],"Продажа",РД[Дата подачи на регистрацию],"&gt;="&amp;DATE(YEAR($Z$2),MONTH($Z$2),1),РД[Дата подачи на регистрацию],"&lt;="&amp;$Z$2)</f>
        <v>0</v>
      </c>
      <c r="AH60" s="590">
        <f t="shared" ca="1" si="18"/>
        <v>0</v>
      </c>
      <c r="AI60" s="591">
        <f t="shared" ca="1" si="19"/>
        <v>0</v>
      </c>
      <c r="AJ60" s="489"/>
      <c r="AK60" s="589">
        <v>3</v>
      </c>
      <c r="AL60" s="384">
        <f ca="1">COUNTIFS(РД[Дом],$AD$1,РД[Тип кв],AK60,РД[Состояние],"Продажа",РД[Дата подачи на регистрацию],"&gt;="&amp;DATE(YEAR($Z$2),MONTH($Z$2),1),РД[Дата подачи на регистрацию],"&lt;="&amp;$Z$2)</f>
        <v>0</v>
      </c>
      <c r="AM60" s="583">
        <f ca="1">SUMIFS(РД[S],РД[Дом],$AD$1,РД[Тип кв],AK60,РД[Состояние],"Продажа",РД[Дата подачи на регистрацию],"&gt;="&amp;DATE(YEAR($Z$2),MONTH($Z$2),1),РД[Дата подачи на регистрацию],"&lt;="&amp;$Z$2)</f>
        <v>0</v>
      </c>
      <c r="AN60" s="583">
        <f ca="1">SUMIFS(РД[Стоимость без отделки итог],РД[Дом],$AD$1,РД[Тип кв],AK60,РД[Состояние],"Продажа",РД[Дата подачи на регистрацию],"&gt;="&amp;DATE(YEAR($Z$2),MONTH($Z$2),1),РД[Дата подачи на регистрацию],"&lt;="&amp;$Z$2)</f>
        <v>0</v>
      </c>
      <c r="AO60" s="590">
        <f t="shared" ca="1" si="20"/>
        <v>0</v>
      </c>
      <c r="AP60" s="591">
        <f t="shared" ca="1" si="21"/>
        <v>0</v>
      </c>
      <c r="AQ60" s="489"/>
      <c r="AR60" s="597">
        <v>3</v>
      </c>
      <c r="AS60" s="598">
        <f t="shared" ca="1" si="22"/>
        <v>0</v>
      </c>
      <c r="AT60" s="599">
        <f t="shared" ca="1" si="22"/>
        <v>0</v>
      </c>
      <c r="AU60" s="599">
        <f t="shared" ca="1" si="22"/>
        <v>0</v>
      </c>
      <c r="AV60" s="599">
        <f t="shared" ca="1" si="23"/>
        <v>0</v>
      </c>
      <c r="AW60" s="600">
        <f t="shared" ca="1" si="24"/>
        <v>0</v>
      </c>
    </row>
    <row r="61" spans="1:49" s="346" customFormat="1" ht="16.5" thickBot="1" x14ac:dyDescent="0.3">
      <c r="A61" s="489"/>
      <c r="B61" s="592" t="s">
        <v>8497</v>
      </c>
      <c r="C61" s="593">
        <f ca="1">SUM(C57:C60)</f>
        <v>0</v>
      </c>
      <c r="D61" s="593">
        <f ca="1">SUM(D57:D60)</f>
        <v>0</v>
      </c>
      <c r="E61" s="593">
        <f ca="1">SUM(E57:E60)</f>
        <v>0</v>
      </c>
      <c r="F61" s="593">
        <f t="shared" ca="1" si="10"/>
        <v>0</v>
      </c>
      <c r="G61" s="594">
        <f t="shared" ca="1" si="11"/>
        <v>0</v>
      </c>
      <c r="H61" s="575"/>
      <c r="I61" s="592" t="s">
        <v>8497</v>
      </c>
      <c r="J61" s="593">
        <f ca="1">SUM(J57:J60)</f>
        <v>8</v>
      </c>
      <c r="K61" s="593">
        <f ca="1">SUM(K57:K60)</f>
        <v>415.75</v>
      </c>
      <c r="L61" s="593">
        <f ca="1">SUM(L57:L60)</f>
        <v>48979121</v>
      </c>
      <c r="M61" s="593">
        <f t="shared" ca="1" si="12"/>
        <v>6122390.125</v>
      </c>
      <c r="N61" s="594">
        <f t="shared" ca="1" si="13"/>
        <v>117809.07035478052</v>
      </c>
      <c r="O61" s="575"/>
      <c r="P61" s="592" t="s">
        <v>8497</v>
      </c>
      <c r="Q61" s="593">
        <f ca="1">SUM(Q57:Q60)</f>
        <v>2</v>
      </c>
      <c r="R61" s="593">
        <f ca="1">SUM(R57:R60)</f>
        <v>91.78</v>
      </c>
      <c r="S61" s="593">
        <f ca="1">SUM(S57:S60)</f>
        <v>12304782</v>
      </c>
      <c r="T61" s="593">
        <f t="shared" ca="1" si="14"/>
        <v>6152391</v>
      </c>
      <c r="U61" s="594">
        <f t="shared" ca="1" si="15"/>
        <v>134068.22837219437</v>
      </c>
      <c r="V61" s="575"/>
      <c r="W61" s="592" t="s">
        <v>8497</v>
      </c>
      <c r="X61" s="593">
        <f ca="1">SUM(X57:X60)</f>
        <v>0</v>
      </c>
      <c r="Y61" s="593">
        <f ca="1">SUM(Y57:Y60)</f>
        <v>0</v>
      </c>
      <c r="Z61" s="593">
        <f ca="1">SUM(Z57:Z60)</f>
        <v>0</v>
      </c>
      <c r="AA61" s="593">
        <f t="shared" ca="1" si="16"/>
        <v>0</v>
      </c>
      <c r="AB61" s="594">
        <f t="shared" ca="1" si="17"/>
        <v>0</v>
      </c>
      <c r="AC61" s="489"/>
      <c r="AD61" s="592" t="s">
        <v>8497</v>
      </c>
      <c r="AE61" s="593">
        <f ca="1">SUM(AE57:AE60)</f>
        <v>0</v>
      </c>
      <c r="AF61" s="593">
        <f ca="1">SUM(AF57:AF60)</f>
        <v>0</v>
      </c>
      <c r="AG61" s="593">
        <f ca="1">SUM(AG57:AG60)</f>
        <v>0</v>
      </c>
      <c r="AH61" s="593">
        <f t="shared" ca="1" si="18"/>
        <v>0</v>
      </c>
      <c r="AI61" s="594">
        <f t="shared" ca="1" si="19"/>
        <v>0</v>
      </c>
      <c r="AJ61" s="489"/>
      <c r="AK61" s="592" t="s">
        <v>8497</v>
      </c>
      <c r="AL61" s="593">
        <f ca="1">SUM(AL57:AL60)</f>
        <v>0</v>
      </c>
      <c r="AM61" s="593">
        <f ca="1">SUM(AM57:AM60)</f>
        <v>0</v>
      </c>
      <c r="AN61" s="593">
        <f ca="1">SUM(AN57:AN60)</f>
        <v>0</v>
      </c>
      <c r="AO61" s="593">
        <f t="shared" ca="1" si="20"/>
        <v>0</v>
      </c>
      <c r="AP61" s="594">
        <f t="shared" ca="1" si="21"/>
        <v>0</v>
      </c>
      <c r="AQ61" s="489"/>
      <c r="AR61" s="592" t="s">
        <v>8497</v>
      </c>
      <c r="AS61" s="593">
        <f t="shared" ca="1" si="22"/>
        <v>10</v>
      </c>
      <c r="AT61" s="593">
        <f t="shared" ca="1" si="22"/>
        <v>507.53</v>
      </c>
      <c r="AU61" s="593">
        <f t="shared" ca="1" si="22"/>
        <v>61283903</v>
      </c>
      <c r="AV61" s="593">
        <f t="shared" ca="1" si="23"/>
        <v>6128390.2999999998</v>
      </c>
      <c r="AW61" s="594">
        <f t="shared" ca="1" si="24"/>
        <v>120749.3212223908</v>
      </c>
    </row>
    <row r="62" spans="1:49" s="346" customFormat="1" ht="15.75" x14ac:dyDescent="0.25">
      <c r="A62" s="489"/>
      <c r="B62" s="595" t="s">
        <v>26</v>
      </c>
      <c r="C62" s="584">
        <f ca="1">_xlfn.XLOOKUP(DATE(2025,MONTH($E$2),1),'Свод ПП Д4'!$B$49:$B$60,'Свод ПП Д4'!$G$49:$G$60,"-",0)</f>
        <v>1</v>
      </c>
      <c r="D62" s="584">
        <f ca="1">_xlfn.XLOOKUP(DATE(2025,MONTH($E$2),1),'Свод ПП Д4'!$B$49:$B$60,'Свод ПП Д4'!$H$49:$H$60,"-",0)</f>
        <v>63.300000000004125</v>
      </c>
      <c r="E62" s="585">
        <f ca="1">_xlfn.XLOOKUP(DATE(2025,MONTH($E$2),1),'Свод ПП Д4'!$B$49:$B$60,'Свод ПП Д4'!$I$49:$I$60,"-",0)</f>
        <v>7279296.0003200155</v>
      </c>
      <c r="F62" s="585">
        <f ca="1">IFERROR(E62/C62,0)</f>
        <v>7279296.0003200155</v>
      </c>
      <c r="G62" s="596">
        <f ca="1">IFERROR(E62/D62,0)</f>
        <v>114996.77725623288</v>
      </c>
      <c r="H62" s="575"/>
      <c r="I62" s="595" t="s">
        <v>26</v>
      </c>
      <c r="J62" s="584">
        <f ca="1">_xlfn.XLOOKUP(DATE(2025,MONTH($E$2),1),'Свод ПП Д5'!$B$34:$B$45,'Свод ПП Д5'!$G$34:$G$45,"-",0)</f>
        <v>14</v>
      </c>
      <c r="K62" s="584">
        <f ca="1">_xlfn.XLOOKUP(DATE(2025,MONTH($E$2),1),'Свод ПП Д5'!$B$34:$B$45,'Свод ПП Д5'!$H$34:$H$45,"-",0)</f>
        <v>771.26043735676103</v>
      </c>
      <c r="L62" s="585">
        <f ca="1">_xlfn.XLOOKUP(DATE(2025,MONTH($E$2),1),'Свод ПП Д5'!$B$34:$B$45,'Свод ПП Д5'!$I$34:$I$45,"-",0)</f>
        <v>98613350.952628106</v>
      </c>
      <c r="M62" s="585">
        <f t="shared" ca="1" si="12"/>
        <v>7043810.7823305791</v>
      </c>
      <c r="N62" s="596">
        <f t="shared" ca="1" si="13"/>
        <v>127859.98889116186</v>
      </c>
      <c r="O62" s="575"/>
      <c r="P62" s="595" t="s">
        <v>26</v>
      </c>
      <c r="Q62" s="584">
        <f ca="1">_xlfn.XLOOKUP(DATE(2025,MONTH($E$2),1),'Свод ПП 401'!$B$19:$B$30,'Свод ПП 401'!$F$19:$F$30,"-",0)</f>
        <v>12</v>
      </c>
      <c r="R62" s="584" cm="1">
        <f t="array" aca="1" ref="R62" ca="1">_xlfn.XLOOKUP(DATE(2025,MONTH($E$2),1),'Свод ПП 401'!$B$19:$B$30,'Свод ПП 401'!$F$19:$F$30+'Свод ПП 401'!$G$19:$G$30,"-",0)</f>
        <v>685.70912625418066</v>
      </c>
      <c r="S62" s="585">
        <f ca="1">_xlfn.XLOOKUP(DATE(2025,MONTH($E$2),1),'Свод ПП 401'!$B$19:$B$30,'Свод ПП 401'!$H$19:$H$30,"-",0)</f>
        <v>84488283.170920774</v>
      </c>
      <c r="T62" s="585">
        <f t="shared" ca="1" si="14"/>
        <v>7040690.2642433979</v>
      </c>
      <c r="U62" s="596">
        <f t="shared" ca="1" si="15"/>
        <v>123213.00670512355</v>
      </c>
      <c r="V62" s="575"/>
      <c r="W62" s="595" t="s">
        <v>26</v>
      </c>
      <c r="X62" s="584">
        <f ca="1">_xlfn.XLOOKUP(DATE(2025,MONTH($E$2),1),'Свод ПП 402'!$B$19:$B$30,'Свод ПП 402'!$G$19:$G$30,"-",0)</f>
        <v>12</v>
      </c>
      <c r="Y62" s="584">
        <f ca="1">_xlfn.XLOOKUP(DATE(2025,MONTH($E$2),1),'Свод ПП 402'!$B$19:$B$30,'Свод ПП 402'!$H$19:$H$30,"-",0)</f>
        <v>629.36175084174988</v>
      </c>
      <c r="Z62" s="585">
        <f ca="1">_xlfn.XLOOKUP(DATE(2025,MONTH($E$2),1),'Свод ПП 402'!$B$19:$B$30,'Свод ПП 402'!$I$19:$I$30,"-",0)</f>
        <v>78502723.58922559</v>
      </c>
      <c r="AA62" s="585">
        <f t="shared" ca="1" si="16"/>
        <v>6541893.6324354662</v>
      </c>
      <c r="AB62" s="596">
        <f t="shared" ca="1" si="17"/>
        <v>124733.86487855494</v>
      </c>
      <c r="AC62" s="575"/>
      <c r="AD62" s="595" t="s">
        <v>26</v>
      </c>
      <c r="AE62" s="584">
        <f ca="1">_xlfn.XLOOKUP(DATE(2025,MONTH($E$2),1),'Свод ПП 402'!$B$19:$B$30,'Свод ПП 402'!$G$19:$G$30,"-",0)</f>
        <v>12</v>
      </c>
      <c r="AF62" s="584">
        <f ca="1">_xlfn.XLOOKUP(DATE(2025,MONTH($E$2),1),'Свод ПП 402'!$B$19:$B$30,'Свод ПП 402'!$H$19:$H$30,"-",0)</f>
        <v>629.36175084174988</v>
      </c>
      <c r="AG62" s="585">
        <f ca="1">_xlfn.XLOOKUP(DATE(2025,MONTH($E$2),1),'Свод ПП 402'!$B$19:$B$30,'Свод ПП 402'!$I$19:$I$30,"-",0)</f>
        <v>78502723.58922559</v>
      </c>
      <c r="AH62" s="585">
        <f t="shared" ca="1" si="18"/>
        <v>6541893.6324354662</v>
      </c>
      <c r="AI62" s="596">
        <f t="shared" ca="1" si="19"/>
        <v>124733.86487855494</v>
      </c>
      <c r="AJ62" s="575"/>
      <c r="AK62" s="595" t="s">
        <v>26</v>
      </c>
      <c r="AL62" s="584">
        <f ca="1">_xlfn.XLOOKUP(DATE(2025,MONTH($E$2),1),'Свод ПП 402'!$B$19:$B$30,'Свод ПП 402'!$G$19:$G$30,"-",0)</f>
        <v>12</v>
      </c>
      <c r="AM62" s="584">
        <f ca="1">_xlfn.XLOOKUP(DATE(2025,MONTH($E$2),1),'Свод ПП 402'!$B$19:$B$30,'Свод ПП 402'!$H$19:$H$30,"-",0)</f>
        <v>629.36175084174988</v>
      </c>
      <c r="AN62" s="585">
        <f ca="1">_xlfn.XLOOKUP(DATE(2025,MONTH($E$2),1),'Свод ПП 402'!$B$19:$B$30,'Свод ПП 402'!$I$19:$I$30,"-",0)</f>
        <v>78502723.58922559</v>
      </c>
      <c r="AO62" s="585">
        <f t="shared" ca="1" si="20"/>
        <v>6541893.6324354662</v>
      </c>
      <c r="AP62" s="596">
        <f t="shared" ca="1" si="21"/>
        <v>124733.86487855494</v>
      </c>
      <c r="AQ62" s="575"/>
      <c r="AR62" s="595" t="s">
        <v>26</v>
      </c>
      <c r="AS62" s="584">
        <f ca="1">_xlfn.XLOOKUP(DATE(2025,MONTH($E$2),1),'Свод ПП Годовой'!$B$71:$B$83,'Свод ПП Годовой'!G71:G83,"-",0)</f>
        <v>39</v>
      </c>
      <c r="AT62" s="584">
        <f ca="1">_xlfn.XLOOKUP(DATE(2025,MONTH($E$2),1),'Свод ПП Годовой'!$B$71:$B$83,'Свод ПП Годовой'!H71:H83,"-",0)</f>
        <v>2137.6313144526957</v>
      </c>
      <c r="AU62" s="585">
        <f ca="1">_xlfn.XLOOKUP(DATE(2025,MONTH($E$2),1),'Свод ПП Годовой'!$B$71:$B$83,'Свод ПП Годовой'!I71:I83,"-",0)</f>
        <v>268883653.71309447</v>
      </c>
      <c r="AV62" s="585">
        <f t="shared" ca="1" si="23"/>
        <v>6894452.6593101146</v>
      </c>
      <c r="AW62" s="596">
        <f t="shared" ca="1" si="24"/>
        <v>125785.79472294902</v>
      </c>
    </row>
    <row r="63" spans="1:49" s="346" customFormat="1" ht="15.75" x14ac:dyDescent="0.25">
      <c r="A63" s="489"/>
      <c r="B63" s="580" t="s">
        <v>6566</v>
      </c>
      <c r="C63" s="581">
        <f ca="1">C61/C62</f>
        <v>0</v>
      </c>
      <c r="D63" s="581">
        <f t="shared" ref="D63:G63" ca="1" si="25">D61/D62</f>
        <v>0</v>
      </c>
      <c r="E63" s="581">
        <f t="shared" ca="1" si="25"/>
        <v>0</v>
      </c>
      <c r="F63" s="581">
        <f t="shared" ca="1" si="25"/>
        <v>0</v>
      </c>
      <c r="G63" s="582">
        <f t="shared" ca="1" si="25"/>
        <v>0</v>
      </c>
      <c r="H63" s="575"/>
      <c r="I63" s="580" t="s">
        <v>6566</v>
      </c>
      <c r="J63" s="581">
        <f ca="1">J61/J62</f>
        <v>0.5714285714285714</v>
      </c>
      <c r="K63" s="581">
        <f t="shared" ref="K63:M63" ca="1" si="26">K61/K62</f>
        <v>0.53905267256394618</v>
      </c>
      <c r="L63" s="581">
        <f t="shared" ca="1" si="26"/>
        <v>0.49667839625010407</v>
      </c>
      <c r="M63" s="581">
        <f t="shared" ca="1" si="26"/>
        <v>0.86918719343768214</v>
      </c>
      <c r="N63" s="582">
        <f t="shared" ref="N63" ca="1" si="27">N61/N62</f>
        <v>0.92139121375227884</v>
      </c>
      <c r="O63" s="575"/>
      <c r="P63" s="580" t="s">
        <v>6566</v>
      </c>
      <c r="Q63" s="581">
        <f ca="1">Q61/Q62</f>
        <v>0.16666666666666666</v>
      </c>
      <c r="R63" s="581">
        <f t="shared" ref="R63:T63" ca="1" si="28">R61/R62</f>
        <v>0.13384684042542366</v>
      </c>
      <c r="S63" s="581">
        <f t="shared" ca="1" si="28"/>
        <v>0.14563891628744879</v>
      </c>
      <c r="T63" s="581">
        <f t="shared" ca="1" si="28"/>
        <v>0.87383349772469276</v>
      </c>
      <c r="U63" s="582">
        <f t="shared" ref="U63" ca="1" si="29">U61/U62</f>
        <v>1.0881012642849452</v>
      </c>
      <c r="V63" s="575"/>
      <c r="W63" s="580" t="s">
        <v>6566</v>
      </c>
      <c r="X63" s="581">
        <f ca="1">X61/X62</f>
        <v>0</v>
      </c>
      <c r="Y63" s="581">
        <f t="shared" ref="Y63:AA63" ca="1" si="30">Y61/Y62</f>
        <v>0</v>
      </c>
      <c r="Z63" s="581">
        <f t="shared" ca="1" si="30"/>
        <v>0</v>
      </c>
      <c r="AA63" s="581">
        <f t="shared" ca="1" si="30"/>
        <v>0</v>
      </c>
      <c r="AB63" s="582">
        <f t="shared" ref="AB63" ca="1" si="31">AB61/AB62</f>
        <v>0</v>
      </c>
      <c r="AC63" s="575"/>
      <c r="AD63" s="580" t="s">
        <v>6566</v>
      </c>
      <c r="AE63" s="581">
        <f ca="1">AE61/AE62</f>
        <v>0</v>
      </c>
      <c r="AF63" s="581">
        <f t="shared" ref="AF63:AI63" ca="1" si="32">AF61/AF62</f>
        <v>0</v>
      </c>
      <c r="AG63" s="581">
        <f t="shared" ca="1" si="32"/>
        <v>0</v>
      </c>
      <c r="AH63" s="581">
        <f t="shared" ca="1" si="32"/>
        <v>0</v>
      </c>
      <c r="AI63" s="582">
        <f t="shared" ca="1" si="32"/>
        <v>0</v>
      </c>
      <c r="AJ63" s="575"/>
      <c r="AK63" s="580" t="s">
        <v>6566</v>
      </c>
      <c r="AL63" s="581">
        <f ca="1">AL61/AL62</f>
        <v>0</v>
      </c>
      <c r="AM63" s="581">
        <f t="shared" ref="AM63:AP63" ca="1" si="33">AM61/AM62</f>
        <v>0</v>
      </c>
      <c r="AN63" s="581">
        <f t="shared" ca="1" si="33"/>
        <v>0</v>
      </c>
      <c r="AO63" s="581">
        <f t="shared" ca="1" si="33"/>
        <v>0</v>
      </c>
      <c r="AP63" s="582">
        <f t="shared" ca="1" si="33"/>
        <v>0</v>
      </c>
      <c r="AQ63" s="575"/>
      <c r="AR63" s="580" t="s">
        <v>6566</v>
      </c>
      <c r="AS63" s="581">
        <f ca="1">AS61/AS62</f>
        <v>0.25641025641025639</v>
      </c>
      <c r="AT63" s="581">
        <f t="shared" ref="AT63:AW63" ca="1" si="34">AT61/AT62</f>
        <v>0.23742634970237814</v>
      </c>
      <c r="AU63" s="581">
        <f t="shared" ca="1" si="34"/>
        <v>0.22791977925661278</v>
      </c>
      <c r="AV63" s="581">
        <f t="shared" ca="1" si="34"/>
        <v>0.88888713910078976</v>
      </c>
      <c r="AW63" s="582">
        <f t="shared" ca="1" si="34"/>
        <v>0.9599599182749422</v>
      </c>
    </row>
    <row r="64" spans="1:49" s="346" customFormat="1" ht="15.75" thickBot="1" x14ac:dyDescent="0.3">
      <c r="A64" s="489"/>
      <c r="B64" s="576" t="s">
        <v>110</v>
      </c>
      <c r="C64" s="577">
        <f ca="1">C61-C62</f>
        <v>-1</v>
      </c>
      <c r="D64" s="577">
        <f ca="1">D61-D62</f>
        <v>-63.300000000004125</v>
      </c>
      <c r="E64" s="577">
        <f ca="1">E61-E62</f>
        <v>-7279296.0003200155</v>
      </c>
      <c r="F64" s="578"/>
      <c r="G64" s="579"/>
      <c r="H64" s="575"/>
      <c r="I64" s="576" t="s">
        <v>110</v>
      </c>
      <c r="J64" s="577">
        <f ca="1">J61-J62</f>
        <v>-6</v>
      </c>
      <c r="K64" s="577">
        <f ca="1">K61-K62</f>
        <v>-355.51043735676103</v>
      </c>
      <c r="L64" s="577">
        <f ca="1">L61-L62</f>
        <v>-49634229.952628106</v>
      </c>
      <c r="M64" s="578"/>
      <c r="N64" s="579"/>
      <c r="O64" s="575"/>
      <c r="P64" s="576" t="s">
        <v>110</v>
      </c>
      <c r="Q64" s="577">
        <f ca="1">Q61-Q62</f>
        <v>-10</v>
      </c>
      <c r="R64" s="577">
        <f ca="1">R61-R62</f>
        <v>-593.92912625418069</v>
      </c>
      <c r="S64" s="577">
        <f ca="1">S61-S62</f>
        <v>-72183501.170920774</v>
      </c>
      <c r="T64" s="578"/>
      <c r="U64" s="579"/>
      <c r="V64" s="575"/>
      <c r="W64" s="576" t="s">
        <v>110</v>
      </c>
      <c r="X64" s="577">
        <f ca="1">X61-X62</f>
        <v>-12</v>
      </c>
      <c r="Y64" s="577">
        <f ca="1">Y61-Y62</f>
        <v>-629.36175084174988</v>
      </c>
      <c r="Z64" s="577">
        <f ca="1">Z61-Z62</f>
        <v>-78502723.58922559</v>
      </c>
      <c r="AA64" s="578"/>
      <c r="AB64" s="579"/>
      <c r="AC64" s="575"/>
      <c r="AD64" s="576" t="s">
        <v>110</v>
      </c>
      <c r="AE64" s="577">
        <f ca="1">AE61-AE62</f>
        <v>-12</v>
      </c>
      <c r="AF64" s="577">
        <f ca="1">AF61-AF62</f>
        <v>-629.36175084174988</v>
      </c>
      <c r="AG64" s="577">
        <f ca="1">AG61-AG62</f>
        <v>-78502723.58922559</v>
      </c>
      <c r="AH64" s="578"/>
      <c r="AI64" s="579"/>
      <c r="AJ64" s="575"/>
      <c r="AK64" s="576" t="s">
        <v>110</v>
      </c>
      <c r="AL64" s="577">
        <f ca="1">AL61-AL62</f>
        <v>-12</v>
      </c>
      <c r="AM64" s="577">
        <f ca="1">AM61-AM62</f>
        <v>-629.36175084174988</v>
      </c>
      <c r="AN64" s="577">
        <f ca="1">AN61-AN62</f>
        <v>-78502723.58922559</v>
      </c>
      <c r="AO64" s="578"/>
      <c r="AP64" s="579"/>
      <c r="AQ64" s="575"/>
      <c r="AR64" s="576" t="s">
        <v>110</v>
      </c>
      <c r="AS64" s="577">
        <f ca="1">AS61-AS62</f>
        <v>-29</v>
      </c>
      <c r="AT64" s="577">
        <f ca="1">AT61-AT62</f>
        <v>-1630.1013144526958</v>
      </c>
      <c r="AU64" s="577">
        <f ca="1">AU61-AU62</f>
        <v>-207599750.71309447</v>
      </c>
      <c r="AV64" s="578"/>
      <c r="AW64" s="579"/>
    </row>
    <row r="66" spans="1:15" x14ac:dyDescent="0.25">
      <c r="A66" s="609"/>
      <c r="H66" s="609"/>
      <c r="O66" s="609"/>
    </row>
    <row r="67" spans="1:15" x14ac:dyDescent="0.25">
      <c r="B67" s="623" t="s">
        <v>8677</v>
      </c>
      <c r="C67" s="624" t="s">
        <v>8678</v>
      </c>
      <c r="D67" s="625"/>
      <c r="E67" s="625"/>
    </row>
    <row r="68" spans="1:15" x14ac:dyDescent="0.25">
      <c r="L68" s="610"/>
    </row>
    <row r="69" spans="1:15" x14ac:dyDescent="0.25">
      <c r="L69" s="610"/>
    </row>
  </sheetData>
  <sheetProtection formatCells="0" formatColumns="0" formatRows="0" sort="0" autoFilter="0" pivotTables="0"/>
  <mergeCells count="147">
    <mergeCell ref="AK27:AP27"/>
    <mergeCell ref="AK35:AP35"/>
    <mergeCell ref="AK43:AP43"/>
    <mergeCell ref="AR1:AW1"/>
    <mergeCell ref="AR2:AT2"/>
    <mergeCell ref="AU2:AW2"/>
    <mergeCell ref="AR55:AW55"/>
    <mergeCell ref="AR54:AS54"/>
    <mergeCell ref="AR53:AS53"/>
    <mergeCell ref="AV53:AW53"/>
    <mergeCell ref="AR48:AW48"/>
    <mergeCell ref="AR49:AW49"/>
    <mergeCell ref="AR27:AW27"/>
    <mergeCell ref="P47:Q47"/>
    <mergeCell ref="P48:U48"/>
    <mergeCell ref="P49:U49"/>
    <mergeCell ref="P51:Q51"/>
    <mergeCell ref="AK52:AP52"/>
    <mergeCell ref="AK53:AL53"/>
    <mergeCell ref="AD1:AI1"/>
    <mergeCell ref="AD2:AF2"/>
    <mergeCell ref="AG2:AI2"/>
    <mergeCell ref="AD3:AI3"/>
    <mergeCell ref="AD11:AI11"/>
    <mergeCell ref="AD19:AI19"/>
    <mergeCell ref="W1:AB1"/>
    <mergeCell ref="W2:Y2"/>
    <mergeCell ref="Z2:AB2"/>
    <mergeCell ref="W3:AB3"/>
    <mergeCell ref="W11:AB11"/>
    <mergeCell ref="AO53:AP53"/>
    <mergeCell ref="AK1:AP1"/>
    <mergeCell ref="AK2:AM2"/>
    <mergeCell ref="AN2:AP2"/>
    <mergeCell ref="AK3:AP3"/>
    <mergeCell ref="AK11:AP11"/>
    <mergeCell ref="AK19:AP19"/>
    <mergeCell ref="P1:U1"/>
    <mergeCell ref="P2:R2"/>
    <mergeCell ref="B55:G55"/>
    <mergeCell ref="M53:N53"/>
    <mergeCell ref="B54:C54"/>
    <mergeCell ref="I54:J54"/>
    <mergeCell ref="I53:J53"/>
    <mergeCell ref="B53:C53"/>
    <mergeCell ref="F53:G53"/>
    <mergeCell ref="B51:C51"/>
    <mergeCell ref="B50:G50"/>
    <mergeCell ref="B52:G52"/>
    <mergeCell ref="I55:N55"/>
    <mergeCell ref="B1:G1"/>
    <mergeCell ref="I1:N1"/>
    <mergeCell ref="I3:N3"/>
    <mergeCell ref="I11:N11"/>
    <mergeCell ref="B3:G3"/>
    <mergeCell ref="B19:G19"/>
    <mergeCell ref="B11:G11"/>
    <mergeCell ref="B2:D2"/>
    <mergeCell ref="E2:G2"/>
    <mergeCell ref="I2:K2"/>
    <mergeCell ref="L2:N2"/>
    <mergeCell ref="S2:U2"/>
    <mergeCell ref="P3:U3"/>
    <mergeCell ref="P11:U11"/>
    <mergeCell ref="AR52:AW52"/>
    <mergeCell ref="I52:N52"/>
    <mergeCell ref="AR46:AW46"/>
    <mergeCell ref="AR51:AS51"/>
    <mergeCell ref="I46:N46"/>
    <mergeCell ref="I48:N48"/>
    <mergeCell ref="I49:N49"/>
    <mergeCell ref="I50:N50"/>
    <mergeCell ref="I47:J47"/>
    <mergeCell ref="I51:J51"/>
    <mergeCell ref="AR3:AW3"/>
    <mergeCell ref="P19:U19"/>
    <mergeCell ref="P27:U27"/>
    <mergeCell ref="P35:U35"/>
    <mergeCell ref="AR43:AW43"/>
    <mergeCell ref="AR44:AS44"/>
    <mergeCell ref="AR45:AS45"/>
    <mergeCell ref="AR50:AW50"/>
    <mergeCell ref="AR47:AS47"/>
    <mergeCell ref="P50:U50"/>
    <mergeCell ref="AD44:AE44"/>
    <mergeCell ref="P55:U55"/>
    <mergeCell ref="W55:AB55"/>
    <mergeCell ref="W19:AB19"/>
    <mergeCell ref="W27:AB27"/>
    <mergeCell ref="W35:AB35"/>
    <mergeCell ref="W43:AB43"/>
    <mergeCell ref="W44:X44"/>
    <mergeCell ref="W45:X45"/>
    <mergeCell ref="AD27:AI27"/>
    <mergeCell ref="AD35:AI35"/>
    <mergeCell ref="AD43:AI43"/>
    <mergeCell ref="P53:Q53"/>
    <mergeCell ref="T53:U53"/>
    <mergeCell ref="W51:X51"/>
    <mergeCell ref="W52:AB52"/>
    <mergeCell ref="W53:X53"/>
    <mergeCell ref="AA53:AB53"/>
    <mergeCell ref="W46:AB46"/>
    <mergeCell ref="W47:X47"/>
    <mergeCell ref="W48:AB48"/>
    <mergeCell ref="W49:AB49"/>
    <mergeCell ref="W50:AB50"/>
    <mergeCell ref="P52:U52"/>
    <mergeCell ref="P46:U46"/>
    <mergeCell ref="I43:N43"/>
    <mergeCell ref="I44:J44"/>
    <mergeCell ref="I45:J45"/>
    <mergeCell ref="P44:Q44"/>
    <mergeCell ref="P45:Q45"/>
    <mergeCell ref="I19:N19"/>
    <mergeCell ref="I27:N27"/>
    <mergeCell ref="I35:N35"/>
    <mergeCell ref="P43:U43"/>
    <mergeCell ref="B46:G46"/>
    <mergeCell ref="B47:C47"/>
    <mergeCell ref="B48:G48"/>
    <mergeCell ref="B49:G49"/>
    <mergeCell ref="B35:G35"/>
    <mergeCell ref="B27:G27"/>
    <mergeCell ref="B45:C45"/>
    <mergeCell ref="B43:G43"/>
    <mergeCell ref="B44:C44"/>
    <mergeCell ref="AK55:AP55"/>
    <mergeCell ref="AD51:AE51"/>
    <mergeCell ref="AD52:AI52"/>
    <mergeCell ref="AD53:AE53"/>
    <mergeCell ref="AH53:AI53"/>
    <mergeCell ref="AD55:AI55"/>
    <mergeCell ref="AK44:AL44"/>
    <mergeCell ref="AK45:AL45"/>
    <mergeCell ref="AK46:AP46"/>
    <mergeCell ref="AK47:AL47"/>
    <mergeCell ref="AK48:AP48"/>
    <mergeCell ref="AK49:AP49"/>
    <mergeCell ref="AK50:AP50"/>
    <mergeCell ref="AK51:AL51"/>
    <mergeCell ref="AD45:AE45"/>
    <mergeCell ref="AD46:AI46"/>
    <mergeCell ref="AD47:AE47"/>
    <mergeCell ref="AD48:AI48"/>
    <mergeCell ref="AD49:AI49"/>
    <mergeCell ref="AD50:AI50"/>
  </mergeCells>
  <phoneticPr fontId="7" type="noConversion"/>
  <conditionalFormatting sqref="F53 M53 AX49 BC49:XFD49 A49:G49 I49:N49">
    <cfRule type="colorScale" priority="281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C5:G9 C29:G33 C13:G17 C21:G25 AT35:AW35 AS35:AS36 C37:G41 J5:N9 J13:N17 J21:N25 J29:N33 J37:N41 AS29:AW34">
    <cfRule type="cellIs" dxfId="200" priority="265" operator="equal">
      <formula>0</formula>
    </cfRule>
  </conditionalFormatting>
  <conditionalFormatting sqref="F47:G47">
    <cfRule type="colorScale" priority="252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D47:E47 B47">
    <cfRule type="colorScale" priority="251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B5 B13 B21 AR29:AR35">
    <cfRule type="cellIs" dxfId="199" priority="249" operator="equal">
      <formula>0</formula>
    </cfRule>
  </conditionalFormatting>
  <conditionalFormatting sqref="I5">
    <cfRule type="cellIs" dxfId="198" priority="227" operator="equal">
      <formula>0</formula>
    </cfRule>
  </conditionalFormatting>
  <conditionalFormatting sqref="I13 I21">
    <cfRule type="cellIs" dxfId="197" priority="219" operator="equal">
      <formula>0</formula>
    </cfRule>
  </conditionalFormatting>
  <conditionalFormatting sqref="M47:N47">
    <cfRule type="colorScale" priority="214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I47 K47">
    <cfRule type="colorScale" priority="213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T5:AU9">
    <cfRule type="cellIs" dxfId="196" priority="181" operator="equal">
      <formula>0</formula>
    </cfRule>
  </conditionalFormatting>
  <conditionalFormatting sqref="AS10:AV10">
    <cfRule type="cellIs" dxfId="195" priority="173" operator="equal">
      <formula>0</formula>
    </cfRule>
  </conditionalFormatting>
  <conditionalFormatting sqref="AS5:AS9">
    <cfRule type="cellIs" dxfId="194" priority="172" operator="equal">
      <formula>0</formula>
    </cfRule>
  </conditionalFormatting>
  <conditionalFormatting sqref="AV5:AV9">
    <cfRule type="cellIs" dxfId="193" priority="171" operator="equal">
      <formula>0</formula>
    </cfRule>
  </conditionalFormatting>
  <conditionalFormatting sqref="AW5:AW8">
    <cfRule type="cellIs" dxfId="192" priority="170" operator="equal">
      <formula>0</formula>
    </cfRule>
  </conditionalFormatting>
  <conditionalFormatting sqref="AW9:AW10">
    <cfRule type="cellIs" dxfId="191" priority="169" operator="equal">
      <formula>0</formula>
    </cfRule>
  </conditionalFormatting>
  <conditionalFormatting sqref="AV47:AW47">
    <cfRule type="colorScale" priority="168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T47:AU47 AR47">
    <cfRule type="colorScale" priority="167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V53">
    <cfRule type="colorScale" priority="166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R49:AW49">
    <cfRule type="colorScale" priority="165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R57">
    <cfRule type="cellIs" dxfId="190" priority="161" operator="equal">
      <formula>0</formula>
    </cfRule>
  </conditionalFormatting>
  <conditionalFormatting sqref="AR5">
    <cfRule type="cellIs" dxfId="189" priority="137" operator="equal">
      <formula>0</formula>
    </cfRule>
  </conditionalFormatting>
  <conditionalFormatting sqref="L47">
    <cfRule type="colorScale" priority="136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S36:AW36">
    <cfRule type="cellIs" dxfId="188" priority="131" operator="equal">
      <formula>0</formula>
    </cfRule>
  </conditionalFormatting>
  <conditionalFormatting sqref="AT36:AW36">
    <cfRule type="cellIs" dxfId="187" priority="130" operator="equal">
      <formula>0</formula>
    </cfRule>
  </conditionalFormatting>
  <conditionalFormatting sqref="Q5:U9">
    <cfRule type="cellIs" dxfId="186" priority="113" operator="equal">
      <formula>0</formula>
    </cfRule>
  </conditionalFormatting>
  <conditionalFormatting sqref="P5">
    <cfRule type="cellIs" dxfId="185" priority="112" operator="equal">
      <formula>0</formula>
    </cfRule>
  </conditionalFormatting>
  <conditionalFormatting sqref="Q21:U25 Q37:U41 Q13:U17 Q29:U33">
    <cfRule type="cellIs" dxfId="184" priority="111" operator="equal">
      <formula>0</formula>
    </cfRule>
  </conditionalFormatting>
  <conditionalFormatting sqref="P13 P21">
    <cfRule type="cellIs" dxfId="183" priority="110" operator="equal">
      <formula>0</formula>
    </cfRule>
  </conditionalFormatting>
  <conditionalFormatting sqref="AT36">
    <cfRule type="cellIs" dxfId="182" priority="102" operator="equal">
      <formula>0</formula>
    </cfRule>
  </conditionalFormatting>
  <conditionalFormatting sqref="AU36">
    <cfRule type="cellIs" dxfId="181" priority="101" operator="equal">
      <formula>0</formula>
    </cfRule>
  </conditionalFormatting>
  <conditionalFormatting sqref="AV36">
    <cfRule type="cellIs" dxfId="180" priority="100" operator="equal">
      <formula>0</formula>
    </cfRule>
  </conditionalFormatting>
  <conditionalFormatting sqref="P49:U49 T53">
    <cfRule type="colorScale" priority="99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T47:U47">
    <cfRule type="colorScale" priority="98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P47 R47">
    <cfRule type="colorScale" priority="97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S47">
    <cfRule type="colorScale" priority="96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P29">
    <cfRule type="cellIs" dxfId="179" priority="94" operator="equal">
      <formula>0</formula>
    </cfRule>
  </conditionalFormatting>
  <conditionalFormatting sqref="P37">
    <cfRule type="cellIs" dxfId="178" priority="93" operator="equal">
      <formula>0</formula>
    </cfRule>
  </conditionalFormatting>
  <conditionalFormatting sqref="I29">
    <cfRule type="cellIs" dxfId="177" priority="92" operator="equal">
      <formula>0</formula>
    </cfRule>
  </conditionalFormatting>
  <conditionalFormatting sqref="I37">
    <cfRule type="cellIs" dxfId="176" priority="91" operator="equal">
      <formula>0</formula>
    </cfRule>
  </conditionalFormatting>
  <conditionalFormatting sqref="B37">
    <cfRule type="cellIs" dxfId="175" priority="85" operator="equal">
      <formula>0</formula>
    </cfRule>
  </conditionalFormatting>
  <conditionalFormatting sqref="B29">
    <cfRule type="cellIs" dxfId="174" priority="84" operator="equal">
      <formula>0</formula>
    </cfRule>
  </conditionalFormatting>
  <conditionalFormatting sqref="X5:AB9">
    <cfRule type="cellIs" dxfId="173" priority="81" operator="equal">
      <formula>0</formula>
    </cfRule>
  </conditionalFormatting>
  <conditionalFormatting sqref="W5">
    <cfRule type="cellIs" dxfId="172" priority="80" operator="equal">
      <formula>0</formula>
    </cfRule>
  </conditionalFormatting>
  <conditionalFormatting sqref="X21:AB25 X37:AB41 X13:AB17 X29:AB33">
    <cfRule type="cellIs" dxfId="171" priority="79" operator="equal">
      <formula>0</formula>
    </cfRule>
  </conditionalFormatting>
  <conditionalFormatting sqref="W13 W21">
    <cfRule type="cellIs" dxfId="170" priority="78" operator="equal">
      <formula>0</formula>
    </cfRule>
  </conditionalFormatting>
  <conditionalFormatting sqref="W49:AB49 AA53">
    <cfRule type="colorScale" priority="71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A47:AB47">
    <cfRule type="colorScale" priority="70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W47 Y47">
    <cfRule type="colorScale" priority="69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Z47">
    <cfRule type="colorScale" priority="68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W29">
    <cfRule type="cellIs" dxfId="169" priority="67" operator="equal">
      <formula>0</formula>
    </cfRule>
  </conditionalFormatting>
  <conditionalFormatting sqref="W37">
    <cfRule type="cellIs" dxfId="168" priority="66" operator="equal">
      <formula>0</formula>
    </cfRule>
  </conditionalFormatting>
  <conditionalFormatting sqref="W57">
    <cfRule type="cellIs" dxfId="167" priority="65" operator="equal">
      <formula>0</formula>
    </cfRule>
  </conditionalFormatting>
  <conditionalFormatting sqref="H49">
    <cfRule type="colorScale" priority="64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O49">
    <cfRule type="colorScale" priority="63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V49">
    <cfRule type="colorScale" priority="62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Q49">
    <cfRule type="colorScale" priority="61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S64:AU64">
    <cfRule type="cellIs" dxfId="166" priority="59" operator="lessThan">
      <formula>0</formula>
    </cfRule>
    <cfRule type="cellIs" dxfId="165" priority="60" operator="greaterThan">
      <formula>0</formula>
    </cfRule>
  </conditionalFormatting>
  <conditionalFormatting sqref="X64:Z64">
    <cfRule type="cellIs" dxfId="164" priority="57" operator="lessThan">
      <formula>0</formula>
    </cfRule>
    <cfRule type="cellIs" dxfId="163" priority="58" operator="greaterThan">
      <formula>0</formula>
    </cfRule>
  </conditionalFormatting>
  <conditionalFormatting sqref="P57">
    <cfRule type="cellIs" dxfId="162" priority="54" operator="equal">
      <formula>0</formula>
    </cfRule>
  </conditionalFormatting>
  <conditionalFormatting sqref="Q64:S64">
    <cfRule type="cellIs" dxfId="161" priority="52" operator="lessThan">
      <formula>0</formula>
    </cfRule>
    <cfRule type="cellIs" dxfId="160" priority="53" operator="greaterThan">
      <formula>0</formula>
    </cfRule>
  </conditionalFormatting>
  <conditionalFormatting sqref="I57">
    <cfRule type="cellIs" dxfId="159" priority="51" operator="equal">
      <formula>0</formula>
    </cfRule>
  </conditionalFormatting>
  <conditionalFormatting sqref="J64:L64">
    <cfRule type="cellIs" dxfId="158" priority="49" operator="lessThan">
      <formula>0</formula>
    </cfRule>
    <cfRule type="cellIs" dxfId="157" priority="50" operator="greaterThan">
      <formula>0</formula>
    </cfRule>
  </conditionalFormatting>
  <conditionalFormatting sqref="B57">
    <cfRule type="cellIs" dxfId="156" priority="48" operator="equal">
      <formula>0</formula>
    </cfRule>
  </conditionalFormatting>
  <conditionalFormatting sqref="C64:E64">
    <cfRule type="cellIs" dxfId="155" priority="46" operator="lessThan">
      <formula>0</formula>
    </cfRule>
    <cfRule type="cellIs" dxfId="154" priority="47" operator="greaterThan">
      <formula>0</formula>
    </cfRule>
  </conditionalFormatting>
  <conditionalFormatting sqref="AE5:AI9">
    <cfRule type="cellIs" dxfId="153" priority="41" operator="equal">
      <formula>0</formula>
    </cfRule>
  </conditionalFormatting>
  <conditionalFormatting sqref="AD5">
    <cfRule type="cellIs" dxfId="152" priority="40" operator="equal">
      <formula>0</formula>
    </cfRule>
  </conditionalFormatting>
  <conditionalFormatting sqref="AE21:AI25 AE37:AI41 AE13:AI17 AE29:AI33">
    <cfRule type="cellIs" dxfId="151" priority="39" operator="equal">
      <formula>0</formula>
    </cfRule>
  </conditionalFormatting>
  <conditionalFormatting sqref="AD13 AD21">
    <cfRule type="cellIs" dxfId="150" priority="38" operator="equal">
      <formula>0</formula>
    </cfRule>
  </conditionalFormatting>
  <conditionalFormatting sqref="AD49:AI49 AH53">
    <cfRule type="colorScale" priority="37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H47:AI47">
    <cfRule type="colorScale" priority="36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D47 AF47">
    <cfRule type="colorScale" priority="35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G47">
    <cfRule type="colorScale" priority="34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D29">
    <cfRule type="cellIs" dxfId="149" priority="33" operator="equal">
      <formula>0</formula>
    </cfRule>
  </conditionalFormatting>
  <conditionalFormatting sqref="AD37">
    <cfRule type="cellIs" dxfId="148" priority="32" operator="equal">
      <formula>0</formula>
    </cfRule>
  </conditionalFormatting>
  <conditionalFormatting sqref="AD57">
    <cfRule type="cellIs" dxfId="147" priority="31" operator="equal">
      <formula>0</formula>
    </cfRule>
  </conditionalFormatting>
  <conditionalFormatting sqref="AE64:AG64">
    <cfRule type="cellIs" dxfId="146" priority="29" operator="lessThan">
      <formula>0</formula>
    </cfRule>
    <cfRule type="cellIs" dxfId="145" priority="30" operator="greaterThan">
      <formula>0</formula>
    </cfRule>
  </conditionalFormatting>
  <conditionalFormatting sqref="AL5:AP9">
    <cfRule type="cellIs" dxfId="144" priority="28" operator="equal">
      <formula>0</formula>
    </cfRule>
  </conditionalFormatting>
  <conditionalFormatting sqref="AK5">
    <cfRule type="cellIs" dxfId="143" priority="27" operator="equal">
      <formula>0</formula>
    </cfRule>
  </conditionalFormatting>
  <conditionalFormatting sqref="AL21:AP25 AL37:AP41 AL13:AP17 AL29:AP33">
    <cfRule type="cellIs" dxfId="142" priority="26" operator="equal">
      <formula>0</formula>
    </cfRule>
  </conditionalFormatting>
  <conditionalFormatting sqref="AK13 AK21">
    <cfRule type="cellIs" dxfId="141" priority="25" operator="equal">
      <formula>0</formula>
    </cfRule>
  </conditionalFormatting>
  <conditionalFormatting sqref="AK49:AP49 AO53">
    <cfRule type="colorScale" priority="24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O47:AP47">
    <cfRule type="colorScale" priority="23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K47 AM47">
    <cfRule type="colorScale" priority="22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N47">
    <cfRule type="colorScale" priority="21">
      <colorScale>
        <cfvo type="num" val="-0.1"/>
        <cfvo type="num" val="0"/>
        <cfvo type="num" val="0.01"/>
        <color rgb="FFFF0000"/>
        <color theme="0"/>
        <color rgb="FF92D050"/>
      </colorScale>
    </cfRule>
  </conditionalFormatting>
  <conditionalFormatting sqref="AK29">
    <cfRule type="cellIs" dxfId="140" priority="20" operator="equal">
      <formula>0</formula>
    </cfRule>
  </conditionalFormatting>
  <conditionalFormatting sqref="AK37">
    <cfRule type="cellIs" dxfId="139" priority="19" operator="equal">
      <formula>0</formula>
    </cfRule>
  </conditionalFormatting>
  <conditionalFormatting sqref="AK57">
    <cfRule type="cellIs" dxfId="138" priority="18" operator="equal">
      <formula>0</formula>
    </cfRule>
  </conditionalFormatting>
  <conditionalFormatting sqref="AL64:AN64">
    <cfRule type="cellIs" dxfId="137" priority="16" operator="lessThan">
      <formula>0</formula>
    </cfRule>
    <cfRule type="cellIs" dxfId="136" priority="17" operator="greaterThan">
      <formula>0</formula>
    </cfRule>
  </conditionalFormatting>
  <conditionalFormatting sqref="AC49">
    <cfRule type="colorScale" priority="15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conditionalFormatting sqref="AJ49">
    <cfRule type="colorScale" priority="14">
      <colorScale>
        <cfvo type="num" val="0.3"/>
        <cfvo type="num" val="0.7"/>
        <cfvo type="num" val="0.9"/>
        <color rgb="FFF8696B"/>
        <color rgb="FFFFC000"/>
        <color rgb="FF63BE7B"/>
      </colorScale>
    </cfRule>
  </conditionalFormatting>
  <printOptions horizontalCentered="1"/>
  <pageMargins left="0.23622047244094491" right="0.23622047244094491" top="0.94488188976377963" bottom="0.74803149606299213" header="0.31496062992125984" footer="0.31496062992125984"/>
  <pageSetup paperSize="9" scale="37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4">
    <tabColor theme="5" tint="0.39997558519241921"/>
    <pageSetUpPr fitToPage="1"/>
  </sheetPr>
  <dimension ref="B1:O151"/>
  <sheetViews>
    <sheetView topLeftCell="A36" workbookViewId="0">
      <selection activeCell="G79" sqref="G79"/>
    </sheetView>
  </sheetViews>
  <sheetFormatPr defaultRowHeight="15" x14ac:dyDescent="0.25"/>
  <cols>
    <col min="1" max="1" width="8.5703125" customWidth="1"/>
    <col min="2" max="2" width="26.28515625" style="19" bestFit="1" customWidth="1"/>
    <col min="3" max="3" width="7.85546875" bestFit="1" customWidth="1"/>
    <col min="4" max="4" width="7.42578125" bestFit="1" customWidth="1"/>
    <col min="5" max="7" width="7.28515625" bestFit="1" customWidth="1"/>
    <col min="8" max="8" width="10" bestFit="1" customWidth="1"/>
    <col min="9" max="10" width="14.42578125" style="17" bestFit="1" customWidth="1"/>
    <col min="11" max="11" width="10.7109375" style="33" customWidth="1"/>
    <col min="12" max="12" width="8.5703125" style="346" bestFit="1" customWidth="1"/>
    <col min="13" max="13" width="11" style="299" bestFit="1" customWidth="1"/>
    <col min="14" max="16" width="13.7109375" bestFit="1" customWidth="1"/>
  </cols>
  <sheetData>
    <row r="1" spans="2:11" x14ac:dyDescent="0.25">
      <c r="B1" s="556">
        <f ca="1">TODAY()</f>
        <v>45891</v>
      </c>
    </row>
    <row r="2" spans="2:11" ht="15.75" thickBot="1" x14ac:dyDescent="0.3">
      <c r="B2" s="28" t="s">
        <v>28</v>
      </c>
    </row>
    <row r="3" spans="2:11" ht="15.75" thickBot="1" x14ac:dyDescent="0.3">
      <c r="B3" s="213" t="s">
        <v>0</v>
      </c>
      <c r="C3" s="214" t="s">
        <v>4</v>
      </c>
      <c r="D3" s="214" t="s">
        <v>22</v>
      </c>
      <c r="E3" s="214" t="s">
        <v>23</v>
      </c>
      <c r="F3" s="214" t="s">
        <v>24</v>
      </c>
      <c r="G3" s="214" t="s">
        <v>21</v>
      </c>
      <c r="H3" s="214" t="s">
        <v>59</v>
      </c>
      <c r="I3" s="215" t="s">
        <v>51</v>
      </c>
      <c r="J3" s="215" t="s">
        <v>58</v>
      </c>
      <c r="K3" s="216" t="s">
        <v>17</v>
      </c>
    </row>
    <row r="4" spans="2:11" ht="15.75" hidden="1" thickBot="1" x14ac:dyDescent="0.3">
      <c r="B4" s="220">
        <v>44197</v>
      </c>
      <c r="C4" s="199">
        <f>COUNTIFS(РД[Дата подачи на регистрацию],"&gt;="&amp;DATE(YEAR($B4),MONTH($B4),1),РД[Дата подачи на регистрацию],"&lt;"&amp;$B5,РД[Тип кв],C$19,РД[Состояние],"Продажа")</f>
        <v>1</v>
      </c>
      <c r="D4" s="199">
        <f>COUNTIFS(РД[Дата подачи на регистрацию],"&gt;="&amp;DATE(YEAR($B4),MONTH($B4),1),РД[Дата подачи на регистрацию],"&lt;"&amp;$B5,РД[Тип кв],D$19,РД[Состояние],"Продажа")</f>
        <v>1</v>
      </c>
      <c r="E4" s="199">
        <f>COUNTIFS(РД[Дата подачи на регистрацию],"&gt;="&amp;DATE(YEAR($B4),MONTH($B4),1),РД[Дата подачи на регистрацию],"&lt;"&amp;$B5,РД[Тип кв],E$19,РД[Состояние],"Продажа")</f>
        <v>3</v>
      </c>
      <c r="F4" s="199">
        <f>COUNTIFS(РД[Дата подачи на регистрацию],"&gt;="&amp;DATE(YEAR($B4),MONTH($B4),1),РД[Дата подачи на регистрацию],"&lt;"&amp;$B5,РД[Тип кв],F$19,РД[Состояние],"Продажа")</f>
        <v>1</v>
      </c>
      <c r="G4" s="199">
        <f>COUNTIFS(РД[Дата подачи на регистрацию],"&gt;="&amp;DATE(YEAR($B4),MONTH($B4),1),РД[Дата подачи на регистрацию],"&lt;"&amp;$B5,РД[Тип кв],G$19,РД[Состояние],"Продажа")</f>
        <v>0</v>
      </c>
      <c r="H4" s="206">
        <f>SUM(C4:G4)</f>
        <v>6</v>
      </c>
      <c r="I4" s="206">
        <f>SUMIFS(РД[S],РД[Состояние],"Продажа",РД[Дата подачи на регистрацию],"&gt;="&amp;DATE(YEAR($B4),MONTH($B4),1),РД[Дата подачи на регистрацию],"&lt;"&amp;$B5)</f>
        <v>349.59999999999997</v>
      </c>
      <c r="J4" s="206">
        <f>SUMIFS(РД[Стоимость без отделки итог],РД[Состояние],"Продажа",РД[Дата подачи на регистрацию],"&gt;="&amp;DATE(YEAR($B4),MONTH($B4),1),РД[Дата подачи на регистрацию],"&lt;"&amp;$B5)</f>
        <v>17648909.039999999</v>
      </c>
      <c r="K4" s="193">
        <v>50483.149427917626</v>
      </c>
    </row>
    <row r="5" spans="2:11" ht="15.75" hidden="1" thickBot="1" x14ac:dyDescent="0.3">
      <c r="B5" s="208">
        <v>44228</v>
      </c>
      <c r="C5" s="199">
        <f>COUNTIFS(РД[Дата подачи на регистрацию],"&gt;="&amp;DATE(YEAR($B5),MONTH($B5),1),РД[Дата подачи на регистрацию],"&lt;"&amp;$B6,РД[Тип кв],C$19,РД[Состояние],"Продажа")</f>
        <v>3</v>
      </c>
      <c r="D5" s="199">
        <f>COUNTIFS(РД[Дата подачи на регистрацию],"&gt;="&amp;DATE(YEAR($B5),MONTH($B5),1),РД[Дата подачи на регистрацию],"&lt;"&amp;$B6,РД[Тип кв],D$19,РД[Состояние],"Продажа")</f>
        <v>0</v>
      </c>
      <c r="E5" s="199">
        <f>COUNTIFS(РД[Дата подачи на регистрацию],"&gt;="&amp;DATE(YEAR($B5),MONTH($B5),1),РД[Дата подачи на регистрацию],"&lt;"&amp;$B6,РД[Тип кв],E$19,РД[Состояние],"Продажа")</f>
        <v>9</v>
      </c>
      <c r="F5" s="199">
        <f>COUNTIFS(РД[Дата подачи на регистрацию],"&gt;="&amp;DATE(YEAR($B5),MONTH($B5),1),РД[Дата подачи на регистрацию],"&lt;"&amp;$B6,РД[Тип кв],F$19,РД[Состояние],"Продажа")</f>
        <v>3</v>
      </c>
      <c r="G5" s="199">
        <f>COUNTIFS(РД[Дата подачи на регистрацию],"&gt;="&amp;DATE(YEAR($B5),MONTH($B5),1),РД[Дата подачи на регистрацию],"&lt;"&amp;$B6,РД[Тип кв],G$19,РД[Состояние],"Продажа")</f>
        <v>0</v>
      </c>
      <c r="H5" s="199">
        <f t="shared" ref="H5:H15" si="0">SUM(C5:G5)</f>
        <v>15</v>
      </c>
      <c r="I5" s="200">
        <f>SUMIFS(РД[S],РД[Состояние],"Продажа",РД[Дата подачи на регистрацию],"&gt;="&amp;DATE(YEAR($B5),MONTH($B5),1),РД[Дата подачи на регистрацию],"&lt;"&amp;$B6)</f>
        <v>940.82999999999993</v>
      </c>
      <c r="J5" s="200">
        <f>SUMIFS(РД[Стоимость без отделки итог],РД[Состояние],"Продажа",РД[Дата подачи на регистрацию],"&gt;="&amp;DATE(YEAR($B5),MONTH($B5),1),РД[Дата подачи на регистрацию],"&lt;"&amp;$B6)</f>
        <v>48322135.660000004</v>
      </c>
      <c r="K5" s="193">
        <v>51361.176471838706</v>
      </c>
    </row>
    <row r="6" spans="2:11" ht="15.75" hidden="1" thickBot="1" x14ac:dyDescent="0.3">
      <c r="B6" s="208">
        <v>44256</v>
      </c>
      <c r="C6" s="199">
        <f>COUNTIFS(РД[Дата подачи на регистрацию],"&gt;="&amp;DATE(YEAR($B6),MONTH($B6),1),РД[Дата подачи на регистрацию],"&lt;"&amp;$B7,РД[Тип кв],C$19,РД[Состояние],"Продажа")</f>
        <v>1</v>
      </c>
      <c r="D6" s="199">
        <f>COUNTIFS(РД[Дата подачи на регистрацию],"&gt;="&amp;DATE(YEAR($B6),MONTH($B6),1),РД[Дата подачи на регистрацию],"&lt;"&amp;$B7,РД[Тип кв],D$19,РД[Состояние],"Продажа")</f>
        <v>2</v>
      </c>
      <c r="E6" s="199">
        <f>COUNTIFS(РД[Дата подачи на регистрацию],"&gt;="&amp;DATE(YEAR($B6),MONTH($B6),1),РД[Дата подачи на регистрацию],"&lt;"&amp;$B7,РД[Тип кв],E$19,РД[Состояние],"Продажа")</f>
        <v>11</v>
      </c>
      <c r="F6" s="199">
        <f>COUNTIFS(РД[Дата подачи на регистрацию],"&gt;="&amp;DATE(YEAR($B6),MONTH($B6),1),РД[Дата подачи на регистрацию],"&lt;"&amp;$B7,РД[Тип кв],F$19,РД[Состояние],"Продажа")</f>
        <v>1</v>
      </c>
      <c r="G6" s="199">
        <f>COUNTIFS(РД[Дата подачи на регистрацию],"&gt;="&amp;DATE(YEAR($B6),MONTH($B6),1),РД[Дата подачи на регистрацию],"&lt;"&amp;$B7,РД[Тип кв],G$19,РД[Состояние],"Продажа")</f>
        <v>0</v>
      </c>
      <c r="H6" s="199">
        <f t="shared" si="0"/>
        <v>15</v>
      </c>
      <c r="I6" s="200">
        <f>SUMIFS(РД[S],РД[Состояние],"Продажа",РД[Дата подачи на регистрацию],"&gt;="&amp;DATE(YEAR($B6),MONTH($B6),1),РД[Дата подачи на регистрацию],"&lt;"&amp;$B7)</f>
        <v>914.7299999999999</v>
      </c>
      <c r="J6" s="200">
        <f>SUMIFS(РД[Стоимость без отделки итог],РД[Состояние],"Продажа",РД[Дата подачи на регистрацию],"&gt;="&amp;DATE(YEAR($B6),MONTH($B6),1),РД[Дата подачи на регистрацию],"&lt;"&amp;$B7)</f>
        <v>46756932.979999997</v>
      </c>
      <c r="K6" s="193">
        <v>51115.556481147447</v>
      </c>
    </row>
    <row r="7" spans="2:11" ht="15.75" hidden="1" thickBot="1" x14ac:dyDescent="0.3">
      <c r="B7" s="208">
        <v>44287</v>
      </c>
      <c r="C7" s="199">
        <f>COUNTIFS(РД[Дата подачи на регистрацию],"&gt;="&amp;DATE(YEAR($B7),MONTH($B7),1),РД[Дата подачи на регистрацию],"&lt;"&amp;$B8,РД[Тип кв],C$19,РД[Состояние],"Продажа")</f>
        <v>19</v>
      </c>
      <c r="D7" s="199">
        <f>COUNTIFS(РД[Дата подачи на регистрацию],"&gt;="&amp;DATE(YEAR($B7),MONTH($B7),1),РД[Дата подачи на регистрацию],"&lt;"&amp;$B8,РД[Тип кв],D$19,РД[Состояние],"Продажа")</f>
        <v>20</v>
      </c>
      <c r="E7" s="199">
        <f>COUNTIFS(РД[Дата подачи на регистрацию],"&gt;="&amp;DATE(YEAR($B7),MONTH($B7),1),РД[Дата подачи на регистрацию],"&lt;"&amp;$B8,РД[Тип кв],E$19,РД[Состояние],"Продажа")</f>
        <v>43</v>
      </c>
      <c r="F7" s="199">
        <f>COUNTIFS(РД[Дата подачи на регистрацию],"&gt;="&amp;DATE(YEAR($B7),MONTH($B7),1),РД[Дата подачи на регистрацию],"&lt;"&amp;$B8,РД[Тип кв],F$19,РД[Состояние],"Продажа")</f>
        <v>10</v>
      </c>
      <c r="G7" s="199">
        <f>COUNTIFS(РД[Дата подачи на регистрацию],"&gt;="&amp;DATE(YEAR($B7),MONTH($B7),1),РД[Дата подачи на регистрацию],"&lt;"&amp;$B8,РД[Тип кв],G$19,РД[Состояние],"Продажа")</f>
        <v>0</v>
      </c>
      <c r="H7" s="199">
        <f t="shared" si="0"/>
        <v>92</v>
      </c>
      <c r="I7" s="200">
        <f>SUMIFS(РД[S],РД[Состояние],"Продажа",РД[Дата подачи на регистрацию],"&gt;="&amp;DATE(YEAR($B7),MONTH($B7),1),РД[Дата подачи на регистрацию],"&lt;"&amp;$B8)</f>
        <v>4648.6400000000003</v>
      </c>
      <c r="J7" s="200">
        <f>SUMIFS(РД[Стоимость без отделки итог],РД[Состояние],"Продажа",РД[Дата подачи на регистрацию],"&gt;="&amp;DATE(YEAR($B7),MONTH($B7),1),РД[Дата подачи на регистрацию],"&lt;"&amp;$B8)</f>
        <v>219627603.99999991</v>
      </c>
      <c r="K7" s="193">
        <v>47245.560852206239</v>
      </c>
    </row>
    <row r="8" spans="2:11" ht="15.75" hidden="1" thickBot="1" x14ac:dyDescent="0.3">
      <c r="B8" s="208">
        <v>44317</v>
      </c>
      <c r="C8" s="199">
        <f>COUNTIFS(РД[Дата подачи на регистрацию],"&gt;="&amp;DATE(YEAR($B8),MONTH($B8),1),РД[Дата подачи на регистрацию],"&lt;"&amp;$B9,РД[Тип кв],C$19,РД[Состояние],"Продажа")</f>
        <v>9</v>
      </c>
      <c r="D8" s="199">
        <f>COUNTIFS(РД[Дата подачи на регистрацию],"&gt;="&amp;DATE(YEAR($B8),MONTH($B8),1),РД[Дата подачи на регистрацию],"&lt;"&amp;$B9,РД[Тип кв],D$19,РД[Состояние],"Продажа")</f>
        <v>2</v>
      </c>
      <c r="E8" s="199">
        <f>COUNTIFS(РД[Дата подачи на регистрацию],"&gt;="&amp;DATE(YEAR($B8),MONTH($B8),1),РД[Дата подачи на регистрацию],"&lt;"&amp;$B9,РД[Тип кв],E$19,РД[Состояние],"Продажа")</f>
        <v>21</v>
      </c>
      <c r="F8" s="199">
        <f>COUNTIFS(РД[Дата подачи на регистрацию],"&gt;="&amp;DATE(YEAR($B8),MONTH($B8),1),РД[Дата подачи на регистрацию],"&lt;"&amp;$B9,РД[Тип кв],F$19,РД[Состояние],"Продажа")</f>
        <v>1</v>
      </c>
      <c r="G8" s="199">
        <f>COUNTIFS(РД[Дата подачи на регистрацию],"&gt;="&amp;DATE(YEAR($B8),MONTH($B8),1),РД[Дата подачи на регистрацию],"&lt;"&amp;$B9,РД[Тип кв],G$19,РД[Состояние],"Продажа")</f>
        <v>0</v>
      </c>
      <c r="H8" s="199">
        <f t="shared" si="0"/>
        <v>33</v>
      </c>
      <c r="I8" s="200">
        <f>SUMIFS(РД[S],РД[Состояние],"Продажа",РД[Дата подачи на регистрацию],"&gt;="&amp;DATE(YEAR($B8),MONTH($B8),1),РД[Дата подачи на регистрацию],"&lt;"&amp;$B9)</f>
        <v>1635.3899999999999</v>
      </c>
      <c r="J8" s="200">
        <f>SUMIFS(РД[Стоимость без отделки итог],РД[Состояние],"Продажа",РД[Дата подачи на регистрацию],"&gt;="&amp;DATE(YEAR($B8),MONTH($B8),1),РД[Дата подачи на регистрацию],"&lt;"&amp;$B9)</f>
        <v>83050912.299999982</v>
      </c>
      <c r="K8" s="193">
        <v>50783.551507591452</v>
      </c>
    </row>
    <row r="9" spans="2:11" ht="15.75" hidden="1" thickBot="1" x14ac:dyDescent="0.3">
      <c r="B9" s="208">
        <v>44348</v>
      </c>
      <c r="C9" s="199">
        <f>COUNTIFS(РД[Дата подачи на регистрацию],"&gt;="&amp;DATE(YEAR($B9),MONTH($B9),1),РД[Дата подачи на регистрацию],"&lt;"&amp;$B10,РД[Тип кв],C$19,РД[Состояние],"Продажа")</f>
        <v>5</v>
      </c>
      <c r="D9" s="199">
        <f>COUNTIFS(РД[Дата подачи на регистрацию],"&gt;="&amp;DATE(YEAR($B9),MONTH($B9),1),РД[Дата подачи на регистрацию],"&lt;"&amp;$B10,РД[Тип кв],D$19,РД[Состояние],"Продажа")</f>
        <v>12</v>
      </c>
      <c r="E9" s="199">
        <f>COUNTIFS(РД[Дата подачи на регистрацию],"&gt;="&amp;DATE(YEAR($B9),MONTH($B9),1),РД[Дата подачи на регистрацию],"&lt;"&amp;$B10,РД[Тип кв],E$19,РД[Состояние],"Продажа")</f>
        <v>27</v>
      </c>
      <c r="F9" s="199">
        <f>COUNTIFS(РД[Дата подачи на регистрацию],"&gt;="&amp;DATE(YEAR($B9),MONTH($B9),1),РД[Дата подачи на регистрацию],"&lt;"&amp;$B10,РД[Тип кв],F$19,РД[Состояние],"Продажа")</f>
        <v>6</v>
      </c>
      <c r="G9" s="199">
        <f>COUNTIFS(РД[Дата подачи на регистрацию],"&gt;="&amp;DATE(YEAR($B9),MONTH($B9),1),РД[Дата подачи на регистрацию],"&lt;"&amp;$B10,РД[Тип кв],G$19,РД[Состояние],"Продажа")</f>
        <v>0</v>
      </c>
      <c r="H9" s="199">
        <f t="shared" si="0"/>
        <v>50</v>
      </c>
      <c r="I9" s="200">
        <f>SUMIFS(РД[S],РД[Состояние],"Продажа",РД[Дата подачи на регистрацию],"&gt;="&amp;DATE(YEAR($B9),MONTH($B9),1),РД[Дата подачи на регистрацию],"&lt;"&amp;$B10)</f>
        <v>2668.1800000000003</v>
      </c>
      <c r="J9" s="200">
        <f>SUMIFS(РД[Стоимость без отделки итог],РД[Состояние],"Продажа",РД[Дата подачи на регистрацию],"&gt;="&amp;DATE(YEAR($B9),MONTH($B9),1),РД[Дата подачи на регистрацию],"&lt;"&amp;$B10)</f>
        <v>136286954.04999998</v>
      </c>
      <c r="K9" s="193">
        <v>51078.620651530277</v>
      </c>
    </row>
    <row r="10" spans="2:11" ht="15.75" hidden="1" thickBot="1" x14ac:dyDescent="0.3">
      <c r="B10" s="208">
        <v>44378</v>
      </c>
      <c r="C10" s="199">
        <f>COUNTIFS(РД[Дата подачи на регистрацию],"&gt;="&amp;DATE(YEAR($B10),MONTH($B10),1),РД[Дата подачи на регистрацию],"&lt;"&amp;$B11,РД[Тип кв],C$19,РД[Состояние],"Продажа")</f>
        <v>11</v>
      </c>
      <c r="D10" s="199">
        <f>COUNTIFS(РД[Дата подачи на регистрацию],"&gt;="&amp;DATE(YEAR($B10),MONTH($B10),1),РД[Дата подачи на регистрацию],"&lt;"&amp;$B11,РД[Тип кв],D$19,РД[Состояние],"Продажа")</f>
        <v>11</v>
      </c>
      <c r="E10" s="199">
        <f>COUNTIFS(РД[Дата подачи на регистрацию],"&gt;="&amp;DATE(YEAR($B10),MONTH($B10),1),РД[Дата подачи на регистрацию],"&lt;"&amp;$B11,РД[Тип кв],E$19,РД[Состояние],"Продажа")</f>
        <v>20</v>
      </c>
      <c r="F10" s="199">
        <f>COUNTIFS(РД[Дата подачи на регистрацию],"&gt;="&amp;DATE(YEAR($B10),MONTH($B10),1),РД[Дата подачи на регистрацию],"&lt;"&amp;$B11,РД[Тип кв],F$19,РД[Состояние],"Продажа")</f>
        <v>6</v>
      </c>
      <c r="G10" s="199">
        <f>COUNTIFS(РД[Дата подачи на регистрацию],"&gt;="&amp;DATE(YEAR($B10),MONTH($B10),1),РД[Дата подачи на регистрацию],"&lt;"&amp;$B11,РД[Тип кв],G$19,РД[Состояние],"Продажа")</f>
        <v>0</v>
      </c>
      <c r="H10" s="199">
        <f t="shared" si="0"/>
        <v>48</v>
      </c>
      <c r="I10" s="200">
        <f>SUMIFS(РД[S],РД[Состояние],"Продажа",РД[Дата подачи на регистрацию],"&gt;="&amp;DATE(YEAR($B10),MONTH($B10),1),РД[Дата подачи на регистрацию],"&lt;"&amp;$B11)</f>
        <v>2341.33</v>
      </c>
      <c r="J10" s="200">
        <f>SUMIFS(РД[Стоимость без отделки итог],РД[Состояние],"Продажа",РД[Дата подачи на регистрацию],"&gt;="&amp;DATE(YEAR($B10),MONTH($B10),1),РД[Дата подачи на регистрацию],"&lt;"&amp;$B11)</f>
        <v>117536730.17999999</v>
      </c>
      <c r="K10" s="193">
        <v>50200.838916342436</v>
      </c>
    </row>
    <row r="11" spans="2:11" ht="15.75" hidden="1" thickBot="1" x14ac:dyDescent="0.3">
      <c r="B11" s="208">
        <v>44409</v>
      </c>
      <c r="C11" s="199">
        <f>COUNTIFS(РД[Дата подачи на регистрацию],"&gt;="&amp;DATE(YEAR($B11),MONTH($B11),1),РД[Дата подачи на регистрацию],"&lt;"&amp;$B12,РД[Тип кв],C$19,РД[Состояние],"Продажа")</f>
        <v>13</v>
      </c>
      <c r="D11" s="199">
        <f>COUNTIFS(РД[Дата подачи на регистрацию],"&gt;="&amp;DATE(YEAR($B11),MONTH($B11),1),РД[Дата подачи на регистрацию],"&lt;"&amp;$B12,РД[Тип кв],D$19,РД[Состояние],"Продажа")</f>
        <v>15</v>
      </c>
      <c r="E11" s="199">
        <f>COUNTIFS(РД[Дата подачи на регистрацию],"&gt;="&amp;DATE(YEAR($B11),MONTH($B11),1),РД[Дата подачи на регистрацию],"&lt;"&amp;$B12,РД[Тип кв],E$19,РД[Состояние],"Продажа")</f>
        <v>17</v>
      </c>
      <c r="F11" s="199">
        <f>COUNTIFS(РД[Дата подачи на регистрацию],"&gt;="&amp;DATE(YEAR($B11),MONTH($B11),1),РД[Дата подачи на регистрацию],"&lt;"&amp;$B12,РД[Тип кв],F$19,РД[Состояние],"Продажа")</f>
        <v>5</v>
      </c>
      <c r="G11" s="199">
        <f>COUNTIFS(РД[Дата подачи на регистрацию],"&gt;="&amp;DATE(YEAR($B11),MONTH($B11),1),РД[Дата подачи на регистрацию],"&lt;"&amp;$B12,РД[Тип кв],G$19,РД[Состояние],"Продажа")</f>
        <v>0</v>
      </c>
      <c r="H11" s="199">
        <f t="shared" si="0"/>
        <v>50</v>
      </c>
      <c r="I11" s="200">
        <f>SUMIFS(РД[S],РД[Состояние],"Продажа",РД[Дата подачи на регистрацию],"&gt;="&amp;DATE(YEAR($B11),MONTH($B11),1),РД[Дата подачи на регистрацию],"&lt;"&amp;$B12)</f>
        <v>2311.67</v>
      </c>
      <c r="J11" s="200">
        <f>SUMIFS(РД[Стоимость без отделки итог],РД[Состояние],"Продажа",РД[Дата подачи на регистрацию],"&gt;="&amp;DATE(YEAR($B11),MONTH($B11),1),РД[Дата подачи на регистрацию],"&lt;"&amp;$B12)</f>
        <v>123206156.86</v>
      </c>
      <c r="K11" s="193">
        <v>53297.467571063353</v>
      </c>
    </row>
    <row r="12" spans="2:11" ht="15.75" hidden="1" thickBot="1" x14ac:dyDescent="0.3">
      <c r="B12" s="208">
        <v>44440</v>
      </c>
      <c r="C12" s="199">
        <f>COUNTIFS(РД[Дата подачи на регистрацию],"&gt;="&amp;DATE(YEAR($B12),MONTH($B12),1),РД[Дата подачи на регистрацию],"&lt;"&amp;$B13,РД[Тип кв],C$19,РД[Состояние],"Продажа")</f>
        <v>18</v>
      </c>
      <c r="D12" s="199">
        <f>COUNTIFS(РД[Дата подачи на регистрацию],"&gt;="&amp;DATE(YEAR($B12),MONTH($B12),1),РД[Дата подачи на регистрацию],"&lt;"&amp;$B13,РД[Тип кв],D$19,РД[Состояние],"Продажа")</f>
        <v>17</v>
      </c>
      <c r="E12" s="199">
        <f>COUNTIFS(РД[Дата подачи на регистрацию],"&gt;="&amp;DATE(YEAR($B12),MONTH($B12),1),РД[Дата подачи на регистрацию],"&lt;"&amp;$B13,РД[Тип кв],E$19,РД[Состояние],"Продажа")</f>
        <v>18</v>
      </c>
      <c r="F12" s="199">
        <f>COUNTIFS(РД[Дата подачи на регистрацию],"&gt;="&amp;DATE(YEAR($B12),MONTH($B12),1),РД[Дата подачи на регистрацию],"&lt;"&amp;$B13,РД[Тип кв],F$19,РД[Состояние],"Продажа")</f>
        <v>5</v>
      </c>
      <c r="G12" s="199">
        <f>COUNTIFS(РД[Дата подачи на регистрацию],"&gt;="&amp;DATE(YEAR($B12),MONTH($B12),1),РД[Дата подачи на регистрацию],"&lt;"&amp;$B13,РД[Тип кв],G$19,РД[Состояние],"Продажа")</f>
        <v>0</v>
      </c>
      <c r="H12" s="199">
        <f t="shared" si="0"/>
        <v>58</v>
      </c>
      <c r="I12" s="200">
        <f>SUMIFS(РД[S],РД[Состояние],"Продажа",РД[Дата подачи на регистрацию],"&gt;="&amp;DATE(YEAR($B12),MONTH($B12),1),РД[Дата подачи на регистрацию],"&lt;"&amp;$B13)</f>
        <v>2562.3399999999997</v>
      </c>
      <c r="J12" s="200">
        <f>SUMIFS(РД[Стоимость без отделки итог],РД[Состояние],"Продажа",РД[Дата подачи на регистрацию],"&gt;="&amp;DATE(YEAR($B12),MONTH($B12),1),РД[Дата подачи на регистрацию],"&lt;"&amp;$B13)</f>
        <v>152990390.22999999</v>
      </c>
      <c r="K12" s="193">
        <v>59707.294984272179</v>
      </c>
    </row>
    <row r="13" spans="2:11" ht="15.75" hidden="1" thickBot="1" x14ac:dyDescent="0.3">
      <c r="B13" s="208">
        <v>44470</v>
      </c>
      <c r="C13" s="199">
        <f>COUNTIFS(РД[Дата подачи на регистрацию],"&gt;="&amp;DATE(YEAR($B13),MONTH($B13),1),РД[Дата подачи на регистрацию],"&lt;"&amp;$B14,РД[Тип кв],C$19,РД[Состояние],"Продажа")</f>
        <v>13</v>
      </c>
      <c r="D13" s="199">
        <f>COUNTIFS(РД[Дата подачи на регистрацию],"&gt;="&amp;DATE(YEAR($B13),MONTH($B13),1),РД[Дата подачи на регистрацию],"&lt;"&amp;$B14,РД[Тип кв],D$19,РД[Состояние],"Продажа")</f>
        <v>11</v>
      </c>
      <c r="E13" s="199">
        <f>COUNTIFS(РД[Дата подачи на регистрацию],"&gt;="&amp;DATE(YEAR($B13),MONTH($B13),1),РД[Дата подачи на регистрацию],"&lt;"&amp;$B14,РД[Тип кв],E$19,РД[Состояние],"Продажа")</f>
        <v>17</v>
      </c>
      <c r="F13" s="199">
        <f>COUNTIFS(РД[Дата подачи на регистрацию],"&gt;="&amp;DATE(YEAR($B13),MONTH($B13),1),РД[Дата подачи на регистрацию],"&lt;"&amp;$B14,РД[Тип кв],F$19,РД[Состояние],"Продажа")</f>
        <v>4</v>
      </c>
      <c r="G13" s="199">
        <f>COUNTIFS(РД[Дата подачи на регистрацию],"&gt;="&amp;DATE(YEAR($B13),MONTH($B13),1),РД[Дата подачи на регистрацию],"&lt;"&amp;$B14,РД[Тип кв],G$19,РД[Состояние],"Продажа")</f>
        <v>0</v>
      </c>
      <c r="H13" s="199">
        <f t="shared" si="0"/>
        <v>45</v>
      </c>
      <c r="I13" s="200">
        <f>SUMIFS(РД[S],РД[Состояние],"Продажа",РД[Дата подачи на регистрацию],"&gt;="&amp;DATE(YEAR($B13),MONTH($B13),1),РД[Дата подачи на регистрацию],"&lt;"&amp;$B14)</f>
        <v>2029.07</v>
      </c>
      <c r="J13" s="200">
        <f>SUMIFS(РД[Стоимость без отделки итог],РД[Состояние],"Продажа",РД[Дата подачи на регистрацию],"&gt;="&amp;DATE(YEAR($B13),MONTH($B13),1),РД[Дата подачи на регистрацию],"&lt;"&amp;$B14)</f>
        <v>127705318.25</v>
      </c>
      <c r="K13" s="193">
        <v>62937.857368153891</v>
      </c>
    </row>
    <row r="14" spans="2:11" ht="15.75" hidden="1" thickBot="1" x14ac:dyDescent="0.3">
      <c r="B14" s="208">
        <v>44501</v>
      </c>
      <c r="C14" s="199">
        <f>COUNTIFS(РД[Дата подачи на регистрацию],"&gt;="&amp;DATE(YEAR($B14),MONTH($B14),1),РД[Дата подачи на регистрацию],"&lt;"&amp;$B15,РД[Тип кв],C$19,РД[Состояние],"Продажа")</f>
        <v>17</v>
      </c>
      <c r="D14" s="199">
        <f>COUNTIFS(РД[Дата подачи на регистрацию],"&gt;="&amp;DATE(YEAR($B14),MONTH($B14),1),РД[Дата подачи на регистрацию],"&lt;"&amp;$B15,РД[Тип кв],D$19,РД[Состояние],"Продажа")</f>
        <v>17</v>
      </c>
      <c r="E14" s="199">
        <f>COUNTIFS(РД[Дата подачи на регистрацию],"&gt;="&amp;DATE(YEAR($B14),MONTH($B14),1),РД[Дата подачи на регистрацию],"&lt;"&amp;$B15,РД[Тип кв],E$19,РД[Состояние],"Продажа")</f>
        <v>15</v>
      </c>
      <c r="F14" s="199">
        <f>COUNTIFS(РД[Дата подачи на регистрацию],"&gt;="&amp;DATE(YEAR($B14),MONTH($B14),1),РД[Дата подачи на регистрацию],"&lt;"&amp;$B15,РД[Тип кв],F$19,РД[Состояние],"Продажа")</f>
        <v>4</v>
      </c>
      <c r="G14" s="199">
        <f>COUNTIFS(РД[Дата подачи на регистрацию],"&gt;="&amp;DATE(YEAR($B14),MONTH($B14),1),РД[Дата подачи на регистрацию],"&lt;"&amp;$B15,РД[Тип кв],G$19,РД[Состояние],"Продажа")</f>
        <v>1</v>
      </c>
      <c r="H14" s="199">
        <f t="shared" si="0"/>
        <v>54</v>
      </c>
      <c r="I14" s="200">
        <f>SUMIFS(РД[S],РД[Состояние],"Продажа",РД[Дата подачи на регистрацию],"&gt;="&amp;DATE(YEAR($B14),MONTH($B14),1),РД[Дата подачи на регистрацию],"&lt;"&amp;$B15)</f>
        <v>2305.3700000000003</v>
      </c>
      <c r="J14" s="200">
        <f>SUMIFS(РД[Стоимость без отделки итог],РД[Состояние],"Продажа",РД[Дата подачи на регистрацию],"&gt;="&amp;DATE(YEAR($B14),MONTH($B14),1),РД[Дата подачи на регистрацию],"&lt;"&amp;$B15)</f>
        <v>152051303.42000005</v>
      </c>
      <c r="K14" s="193">
        <v>65955.271136520401</v>
      </c>
    </row>
    <row r="15" spans="2:11" ht="15.75" hidden="1" thickBot="1" x14ac:dyDescent="0.3">
      <c r="B15" s="221">
        <v>44531</v>
      </c>
      <c r="C15" s="217">
        <f>COUNTIFS(РД[Дата подачи на регистрацию],"&gt;="&amp;DATE(YEAR($B15),MONTH($B15),1),РД[Дата подачи на регистрацию],"&lt;"&amp;$B20,РД[Тип кв],C$19,РД[Состояние],"Продажа")</f>
        <v>14</v>
      </c>
      <c r="D15" s="217">
        <f>COUNTIFS(РД[Дата подачи на регистрацию],"&gt;="&amp;DATE(YEAR($B15),MONTH($B15),1),РД[Дата подачи на регистрацию],"&lt;"&amp;$B20,РД[Тип кв],D$19,РД[Состояние],"Продажа")</f>
        <v>27</v>
      </c>
      <c r="E15" s="217">
        <f>COUNTIFS(РД[Дата подачи на регистрацию],"&gt;="&amp;DATE(YEAR($B15),MONTH($B15),1),РД[Дата подачи на регистрацию],"&lt;"&amp;$B20,РД[Тип кв],E$19,РД[Состояние],"Продажа")</f>
        <v>21</v>
      </c>
      <c r="F15" s="217">
        <f>COUNTIFS(РД[Дата подачи на регистрацию],"&gt;="&amp;DATE(YEAR($B15),MONTH($B15),1),РД[Дата подачи на регистрацию],"&lt;"&amp;$B20,РД[Тип кв],F$19,РД[Состояние],"Продажа")</f>
        <v>1</v>
      </c>
      <c r="G15" s="217">
        <f>COUNTIFS(РД[Дата подачи на регистрацию],"&gt;="&amp;DATE(YEAR($B15),MONTH($B15),1),РД[Дата подачи на регистрацию],"&lt;"&amp;$B20,РД[Тип кв],G$19,РД[Состояние],"Продажа")</f>
        <v>0</v>
      </c>
      <c r="H15" s="217">
        <f t="shared" si="0"/>
        <v>63</v>
      </c>
      <c r="I15" s="218">
        <f>SUMIFS(РД[S],РД[Состояние],"Продажа",РД[Дата подачи на регистрацию],"&gt;="&amp;DATE(YEAR($B15),MONTH($B15),1),РД[Дата подачи на регистрацию],"&lt;"&amp;$B20)</f>
        <v>2651.9799999999996</v>
      </c>
      <c r="J15" s="218">
        <f>SUMIFS(РД[Стоимость без отделки итог],РД[Состояние],"Продажа",РД[Дата подачи на регистрацию],"&gt;="&amp;DATE(YEAR($B15),MONTH($B15),1),РД[Дата подачи на регистрацию],"&lt;"&amp;$B20)</f>
        <v>184149694.45999998</v>
      </c>
      <c r="K15" s="219">
        <v>69438.568337619421</v>
      </c>
    </row>
    <row r="16" spans="2:11" ht="15.75" thickBot="1" x14ac:dyDescent="0.3">
      <c r="B16" s="222" t="s">
        <v>18</v>
      </c>
      <c r="C16" s="181">
        <f>SUM(C4:C15)</f>
        <v>124</v>
      </c>
      <c r="D16" s="181">
        <f t="shared" ref="D16:I16" si="1">SUM(D4:D15)</f>
        <v>135</v>
      </c>
      <c r="E16" s="181">
        <f t="shared" si="1"/>
        <v>222</v>
      </c>
      <c r="F16" s="181">
        <f t="shared" si="1"/>
        <v>47</v>
      </c>
      <c r="G16" s="181">
        <f t="shared" si="1"/>
        <v>1</v>
      </c>
      <c r="H16" s="181">
        <f t="shared" si="1"/>
        <v>529</v>
      </c>
      <c r="I16" s="182">
        <f t="shared" si="1"/>
        <v>25359.129999999997</v>
      </c>
      <c r="J16" s="182">
        <f>SUM(J4:J15)</f>
        <v>1409333041.4299998</v>
      </c>
      <c r="K16" s="183">
        <f t="shared" ref="K16" si="2">J16/I16</f>
        <v>55574.976011795356</v>
      </c>
    </row>
    <row r="17" spans="2:12" ht="15.75" customHeight="1" x14ac:dyDescent="0.25"/>
    <row r="18" spans="2:12" ht="15.75" thickBot="1" x14ac:dyDescent="0.3">
      <c r="B18" s="28" t="s">
        <v>31</v>
      </c>
    </row>
    <row r="19" spans="2:12" ht="15.75" thickBot="1" x14ac:dyDescent="0.3">
      <c r="B19" s="201" t="s">
        <v>0</v>
      </c>
      <c r="C19" s="439">
        <v>0</v>
      </c>
      <c r="D19" s="440">
        <v>1</v>
      </c>
      <c r="E19" s="440">
        <v>2</v>
      </c>
      <c r="F19" s="440">
        <v>3</v>
      </c>
      <c r="G19" s="440">
        <v>4</v>
      </c>
      <c r="H19" s="202" t="s">
        <v>59</v>
      </c>
      <c r="I19" s="203" t="s">
        <v>51</v>
      </c>
      <c r="J19" s="203" t="s">
        <v>58</v>
      </c>
      <c r="K19" s="204" t="s">
        <v>17</v>
      </c>
    </row>
    <row r="20" spans="2:12" ht="15.75" hidden="1" thickBot="1" x14ac:dyDescent="0.3">
      <c r="B20" s="209">
        <v>44562</v>
      </c>
      <c r="C20" s="206">
        <f>COUNTIFS(РД[Дата подачи на регистрацию],"&gt;="&amp;DATE(YEAR($B20),MONTH($B20),1),РД[Дата подачи на регистрацию],"&lt;"&amp;$B21,РД[Тип кв],C$19,РД[Состояние],"Продажа")</f>
        <v>12</v>
      </c>
      <c r="D20" s="206">
        <f>COUNTIFS(РД[Дата подачи на регистрацию],"&gt;="&amp;DATE(YEAR($B20),MONTH($B20),1),РД[Дата подачи на регистрацию],"&lt;"&amp;$B21,РД[Тип кв],D$19,РД[Состояние],"Продажа")</f>
        <v>19</v>
      </c>
      <c r="E20" s="206">
        <f>COUNTIFS(РД[Дата подачи на регистрацию],"&gt;="&amp;DATE(YEAR($B20),MONTH($B20),1),РД[Дата подачи на регистрацию],"&lt;"&amp;$B21,РД[Тип кв],E$19,РД[Состояние],"Продажа")</f>
        <v>12</v>
      </c>
      <c r="F20" s="206">
        <f>COUNTIFS(РД[Дата подачи на регистрацию],"&gt;="&amp;DATE(YEAR($B20),MONTH($B20),1),РД[Дата подачи на регистрацию],"&lt;"&amp;$B21,РД[Тип кв],F$19,РД[Состояние],"Продажа")</f>
        <v>7</v>
      </c>
      <c r="G20" s="206">
        <f>COUNTIFS(РД[Дата подачи на регистрацию],"&gt;="&amp;DATE(YEAR($B20),MONTH($B20),1),РД[Дата подачи на регистрацию],"&lt;"&amp;$B21,РД[Тип кв],G$19,РД[Состояние],"Продажа")</f>
        <v>0</v>
      </c>
      <c r="H20" s="206">
        <f>SUM(C20:G20)</f>
        <v>50</v>
      </c>
      <c r="I20" s="206">
        <f>SUMIFS(РД[S],РД[Состояние],"Продажа",РД[Дата подачи на регистрацию],"&gt;="&amp;DATE(YEAR($B20),MONTH($B20),1),РД[Дата подачи на регистрацию],"&lt;"&amp;$B21)</f>
        <v>2253.0900000000006</v>
      </c>
      <c r="J20" s="206">
        <f>SUMIFS(РД[Стоимость без отделки итог],РД[Состояние],"Продажа",РД[Дата подачи на регистрацию],"&gt;="&amp;DATE(YEAR($B20),MONTH($B20),1),РД[Дата подачи на регистрацию],"&lt;"&amp;$B21)</f>
        <v>157857151.06999999</v>
      </c>
      <c r="K20" s="207">
        <v>70062.514622141127</v>
      </c>
    </row>
    <row r="21" spans="2:12" ht="15.75" hidden="1" thickBot="1" x14ac:dyDescent="0.3">
      <c r="B21" s="210">
        <v>44593</v>
      </c>
      <c r="C21" s="192">
        <f>COUNTIFS(РД[Дата подачи на регистрацию],"&gt;="&amp;DATE(YEAR($B21),MONTH($B21),1),РД[Дата подачи на регистрацию],"&lt;"&amp;$B22,РД[Тип кв],C$19,РД[Состояние],"Продажа")</f>
        <v>19</v>
      </c>
      <c r="D21" s="192">
        <f>COUNTIFS(РД[Дата подачи на регистрацию],"&gt;="&amp;DATE(YEAR($B21),MONTH($B21),1),РД[Дата подачи на регистрацию],"&lt;"&amp;$B22,РД[Тип кв],D$19,РД[Состояние],"Продажа")</f>
        <v>22</v>
      </c>
      <c r="E21" s="192">
        <f>COUNTIFS(РД[Дата подачи на регистрацию],"&gt;="&amp;DATE(YEAR($B21),MONTH($B21),1),РД[Дата подачи на регистрацию],"&lt;"&amp;$B22,РД[Тип кв],E$19,РД[Состояние],"Продажа")</f>
        <v>14</v>
      </c>
      <c r="F21" s="192">
        <f>COUNTIFS(РД[Дата подачи на регистрацию],"&gt;="&amp;DATE(YEAR($B21),MONTH($B21),1),РД[Дата подачи на регистрацию],"&lt;"&amp;$B22,РД[Тип кв],F$19,РД[Состояние],"Продажа")</f>
        <v>5</v>
      </c>
      <c r="G21" s="192">
        <f>COUNTIFS(РД[Дата подачи на регистрацию],"&gt;="&amp;DATE(YEAR($B21),MONTH($B21),1),РД[Дата подачи на регистрацию],"&lt;"&amp;$B22,РД[Тип кв],G$19,РД[Состояние],"Продажа")</f>
        <v>0</v>
      </c>
      <c r="H21" s="192">
        <f t="shared" ref="H21:H31" si="3">SUM(C21:G21)</f>
        <v>60</v>
      </c>
      <c r="I21" s="192">
        <f>SUMIFS(РД[S],РД[Состояние],"Продажа",РД[Дата подачи на регистрацию],"&gt;="&amp;DATE(YEAR($B21),MONTH($B21),1),РД[Дата подачи на регистрацию],"&lt;"&amp;$B22)</f>
        <v>2496.5</v>
      </c>
      <c r="J21" s="192">
        <f>SUMIFS(РД[Стоимость без отделки итог],РД[Состояние],"Продажа",РД[Дата подачи на регистрацию],"&gt;="&amp;DATE(YEAR($B21),MONTH($B21),1),РД[Дата подачи на регистрацию],"&lt;"&amp;$B22)</f>
        <v>180293161.67000005</v>
      </c>
      <c r="K21" s="193">
        <v>72218.370386541166</v>
      </c>
    </row>
    <row r="22" spans="2:12" s="13" customFormat="1" ht="15.75" hidden="1" thickBot="1" x14ac:dyDescent="0.3">
      <c r="B22" s="210">
        <v>44621</v>
      </c>
      <c r="C22" s="192">
        <f>COUNTIFS(РД[Дата подачи на регистрацию],"&gt;="&amp;DATE(YEAR($B22),MONTH($B22),1),РД[Дата подачи на регистрацию],"&lt;"&amp;$B23,РД[Тип кв],C$19,РД[Состояние],"Продажа")</f>
        <v>9</v>
      </c>
      <c r="D22" s="192">
        <f>COUNTIFS(РД[Дата подачи на регистрацию],"&gt;="&amp;DATE(YEAR($B22),MONTH($B22),1),РД[Дата подачи на регистрацию],"&lt;"&amp;$B23,РД[Тип кв],D$19,РД[Состояние],"Продажа")</f>
        <v>50</v>
      </c>
      <c r="E22" s="192">
        <f>COUNTIFS(РД[Дата подачи на регистрацию],"&gt;="&amp;DATE(YEAR($B22),MONTH($B22),1),РД[Дата подачи на регистрацию],"&lt;"&amp;$B23,РД[Тип кв],E$19,РД[Состояние],"Продажа")</f>
        <v>15</v>
      </c>
      <c r="F22" s="192">
        <f>COUNTIFS(РД[Дата подачи на регистрацию],"&gt;="&amp;DATE(YEAR($B22),MONTH($B22),1),РД[Дата подачи на регистрацию],"&lt;"&amp;$B23,РД[Тип кв],F$19,РД[Состояние],"Продажа")</f>
        <v>3</v>
      </c>
      <c r="G22" s="192">
        <f>COUNTIFS(РД[Дата подачи на регистрацию],"&gt;="&amp;DATE(YEAR($B22),MONTH($B22),1),РД[Дата подачи на регистрацию],"&lt;"&amp;$B23,РД[Тип кв],G$19,РД[Состояние],"Продажа")</f>
        <v>1</v>
      </c>
      <c r="H22" s="192">
        <f t="shared" si="3"/>
        <v>78</v>
      </c>
      <c r="I22" s="192">
        <f>SUMIFS(РД[S],РД[Состояние],"Продажа",РД[Дата подачи на регистрацию],"&gt;="&amp;DATE(YEAR($B22),MONTH($B22),1),РД[Дата подачи на регистрацию],"&lt;"&amp;$B23)</f>
        <v>3351.8200000000011</v>
      </c>
      <c r="J22" s="192">
        <f>SUMIFS(РД[Стоимость без отделки итог],РД[Состояние],"Продажа",РД[Дата подачи на регистрацию],"&gt;="&amp;DATE(YEAR($B22),MONTH($B22),1),РД[Дата подачи на регистрацию],"&lt;"&amp;$B23)</f>
        <v>268179797.42000005</v>
      </c>
      <c r="K22" s="193">
        <v>80010.202642146629</v>
      </c>
      <c r="L22" s="346"/>
    </row>
    <row r="23" spans="2:12" ht="15.75" hidden="1" thickBot="1" x14ac:dyDescent="0.3">
      <c r="B23" s="210">
        <v>44652</v>
      </c>
      <c r="C23" s="192">
        <f>COUNTIFS(РД[Дата подачи на регистрацию],"&gt;="&amp;DATE(YEAR($B23),MONTH($B23),1),РД[Дата подачи на регистрацию],"&lt;"&amp;$B24,РД[Тип кв],C$19,РД[Состояние],"Продажа")</f>
        <v>0</v>
      </c>
      <c r="D23" s="192">
        <f>COUNTIFS(РД[Дата подачи на регистрацию],"&gt;="&amp;DATE(YEAR($B23),MONTH($B23),1),РД[Дата подачи на регистрацию],"&lt;"&amp;$B24,РД[Тип кв],D$19,РД[Состояние],"Продажа")</f>
        <v>3</v>
      </c>
      <c r="E23" s="192">
        <f>COUNTIFS(РД[Дата подачи на регистрацию],"&gt;="&amp;DATE(YEAR($B23),MONTH($B23),1),РД[Дата подачи на регистрацию],"&lt;"&amp;$B24,РД[Тип кв],E$19,РД[Состояние],"Продажа")</f>
        <v>3</v>
      </c>
      <c r="F23" s="192">
        <f>COUNTIFS(РД[Дата подачи на регистрацию],"&gt;="&amp;DATE(YEAR($B23),MONTH($B23),1),РД[Дата подачи на регистрацию],"&lt;"&amp;$B24,РД[Тип кв],F$19,РД[Состояние],"Продажа")</f>
        <v>0</v>
      </c>
      <c r="G23" s="192">
        <f>COUNTIFS(РД[Дата подачи на регистрацию],"&gt;="&amp;DATE(YEAR($B23),MONTH($B23),1),РД[Дата подачи на регистрацию],"&lt;"&amp;$B24,РД[Тип кв],G$19,РД[Состояние],"Продажа")</f>
        <v>0</v>
      </c>
      <c r="H23" s="192">
        <f t="shared" si="3"/>
        <v>6</v>
      </c>
      <c r="I23" s="192">
        <f>SUMIFS(РД[S],РД[Состояние],"Продажа",РД[Дата подачи на регистрацию],"&gt;="&amp;DATE(YEAR($B23),MONTH($B23),1),РД[Дата подачи на регистрацию],"&lt;"&amp;$B24)</f>
        <v>293.53000000000003</v>
      </c>
      <c r="J23" s="192">
        <f>SUMIFS(РД[Стоимость без отделки итог],РД[Состояние],"Продажа",РД[Дата подачи на регистрацию],"&gt;="&amp;DATE(YEAR($B23),MONTH($B23),1),РД[Дата подачи на регистрацию],"&lt;"&amp;$B24)</f>
        <v>24656973.600000005</v>
      </c>
      <c r="K23" s="193">
        <v>84001.545327564483</v>
      </c>
    </row>
    <row r="24" spans="2:12" ht="15.75" hidden="1" thickBot="1" x14ac:dyDescent="0.3">
      <c r="B24" s="210">
        <v>44682</v>
      </c>
      <c r="C24" s="192">
        <f>COUNTIFS(РД[Дата подачи на регистрацию],"&gt;="&amp;DATE(YEAR($B24),MONTH($B24),1),РД[Дата подачи на регистрацию],"&lt;"&amp;$B25,РД[Тип кв],C$19,РД[Состояние],"Продажа")</f>
        <v>0</v>
      </c>
      <c r="D24" s="192">
        <f>COUNTIFS(РД[Дата подачи на регистрацию],"&gt;="&amp;DATE(YEAR($B24),MONTH($B24),1),РД[Дата подачи на регистрацию],"&lt;"&amp;$B25,РД[Тип кв],D$19,РД[Состояние],"Продажа")</f>
        <v>0</v>
      </c>
      <c r="E24" s="192">
        <f>COUNTIFS(РД[Дата подачи на регистрацию],"&gt;="&amp;DATE(YEAR($B24),MONTH($B24),1),РД[Дата подачи на регистрацию],"&lt;"&amp;$B25,РД[Тип кв],E$19,РД[Состояние],"Продажа")</f>
        <v>0</v>
      </c>
      <c r="F24" s="192">
        <f>COUNTIFS(РД[Дата подачи на регистрацию],"&gt;="&amp;DATE(YEAR($B24),MONTH($B24),1),РД[Дата подачи на регистрацию],"&lt;"&amp;$B25,РД[Тип кв],F$19,РД[Состояние],"Продажа")</f>
        <v>1</v>
      </c>
      <c r="G24" s="192">
        <f>COUNTIFS(РД[Дата подачи на регистрацию],"&gt;="&amp;DATE(YEAR($B24),MONTH($B24),1),РД[Дата подачи на регистрацию],"&lt;"&amp;$B25,РД[Тип кв],G$19,РД[Состояние],"Продажа")</f>
        <v>0</v>
      </c>
      <c r="H24" s="192">
        <f t="shared" si="3"/>
        <v>1</v>
      </c>
      <c r="I24" s="192">
        <f>SUMIFS(РД[S],РД[Состояние],"Продажа",РД[Дата подачи на регистрацию],"&gt;="&amp;DATE(YEAR($B24),MONTH($B24),1),РД[Дата подачи на регистрацию],"&lt;"&amp;$B25)</f>
        <v>82.27</v>
      </c>
      <c r="J24" s="192">
        <f>SUMIFS(РД[Стоимость без отделки итог],РД[Состояние],"Продажа",РД[Дата подачи на регистрацию],"&gt;="&amp;DATE(YEAR($B24),MONTH($B24),1),РД[Дата подачи на регистрацию],"&lt;"&amp;$B25)</f>
        <v>5272137.66</v>
      </c>
      <c r="K24" s="193">
        <v>64083.355536647628</v>
      </c>
    </row>
    <row r="25" spans="2:12" ht="15.75" hidden="1" thickBot="1" x14ac:dyDescent="0.3">
      <c r="B25" s="210">
        <v>44713</v>
      </c>
      <c r="C25" s="192">
        <f>COUNTIFS(РД[Дата подачи на регистрацию],"&gt;="&amp;DATE(YEAR($B25),MONTH($B25),1),РД[Дата подачи на регистрацию],"&lt;"&amp;$B26,РД[Тип кв],C$19,РД[Состояние],"Продажа")</f>
        <v>2</v>
      </c>
      <c r="D25" s="192">
        <f>COUNTIFS(РД[Дата подачи на регистрацию],"&gt;="&amp;DATE(YEAR($B25),MONTH($B25),1),РД[Дата подачи на регистрацию],"&lt;"&amp;$B26,РД[Тип кв],D$19,РД[Состояние],"Продажа")</f>
        <v>7</v>
      </c>
      <c r="E25" s="192">
        <f>COUNTIFS(РД[Дата подачи на регистрацию],"&gt;="&amp;DATE(YEAR($B25),MONTH($B25),1),РД[Дата подачи на регистрацию],"&lt;"&amp;$B26,РД[Тип кв],E$19,РД[Состояние],"Продажа")</f>
        <v>7</v>
      </c>
      <c r="F25" s="192">
        <f>COUNTIFS(РД[Дата подачи на регистрацию],"&gt;="&amp;DATE(YEAR($B25),MONTH($B25),1),РД[Дата подачи на регистрацию],"&lt;"&amp;$B26,РД[Тип кв],F$19,РД[Состояние],"Продажа")</f>
        <v>6</v>
      </c>
      <c r="G25" s="192">
        <f>COUNTIFS(РД[Дата подачи на регистрацию],"&gt;="&amp;DATE(YEAR($B25),MONTH($B25),1),РД[Дата подачи на регистрацию],"&lt;"&amp;$B26,РД[Тип кв],G$19,РД[Состояние],"Продажа")</f>
        <v>0</v>
      </c>
      <c r="H25" s="192">
        <f t="shared" si="3"/>
        <v>22</v>
      </c>
      <c r="I25" s="192">
        <f>SUMIFS(РД[S],РД[Состояние],"Продажа",РД[Дата подачи на регистрацию],"&gt;="&amp;DATE(YEAR($B25),MONTH($B25),1),РД[Дата подачи на регистрацию],"&lt;"&amp;$B26)</f>
        <v>1224.27</v>
      </c>
      <c r="J25" s="192">
        <f>SUMIFS(РД[Стоимость без отделки итог],РД[Состояние],"Продажа",РД[Дата подачи на регистрацию],"&gt;="&amp;DATE(YEAR($B25),MONTH($B25),1),РД[Дата подачи на регистрацию],"&lt;"&amp;$B26)</f>
        <v>103616117.69</v>
      </c>
      <c r="K25" s="193">
        <v>85510.895735848739</v>
      </c>
    </row>
    <row r="26" spans="2:12" ht="15.75" hidden="1" thickBot="1" x14ac:dyDescent="0.3">
      <c r="B26" s="210">
        <v>44743</v>
      </c>
      <c r="C26" s="192">
        <f>COUNTIFS(РД[Дата подачи на регистрацию],"&gt;="&amp;DATE(YEAR($B26),MONTH($B26),1),РД[Дата подачи на регистрацию],"&lt;"&amp;$B27,РД[Тип кв],C$19,РД[Состояние],"Продажа")</f>
        <v>2</v>
      </c>
      <c r="D26" s="192">
        <f>COUNTIFS(РД[Дата подачи на регистрацию],"&gt;="&amp;DATE(YEAR($B26),MONTH($B26),1),РД[Дата подачи на регистрацию],"&lt;"&amp;$B27,РД[Тип кв],D$19,РД[Состояние],"Продажа")</f>
        <v>4</v>
      </c>
      <c r="E26" s="192">
        <f>COUNTIFS(РД[Дата подачи на регистрацию],"&gt;="&amp;DATE(YEAR($B26),MONTH($B26),1),РД[Дата подачи на регистрацию],"&lt;"&amp;$B27,РД[Тип кв],E$19,РД[Состояние],"Продажа")</f>
        <v>1</v>
      </c>
      <c r="F26" s="192">
        <f>COUNTIFS(РД[Дата подачи на регистрацию],"&gt;="&amp;DATE(YEAR($B26),MONTH($B26),1),РД[Дата подачи на регистрацию],"&lt;"&amp;$B27,РД[Тип кв],F$19,РД[Состояние],"Продажа")</f>
        <v>3</v>
      </c>
      <c r="G26" s="192">
        <f>COUNTIFS(РД[Дата подачи на регистрацию],"&gt;="&amp;DATE(YEAR($B26),MONTH($B26),1),РД[Дата подачи на регистрацию],"&lt;"&amp;$B27,РД[Тип кв],G$19,РД[Состояние],"Продажа")</f>
        <v>0</v>
      </c>
      <c r="H26" s="192">
        <f t="shared" si="3"/>
        <v>10</v>
      </c>
      <c r="I26" s="192">
        <f>SUMIFS(РД[S],РД[Состояние],"Продажа",РД[Дата подачи на регистрацию],"&gt;="&amp;DATE(YEAR($B26),MONTH($B26),1),РД[Дата подачи на регистрацию],"&lt;"&amp;$B27)</f>
        <v>506.85999999999996</v>
      </c>
      <c r="J26" s="192">
        <f>SUMIFS(РД[Стоимость без отделки итог],РД[Состояние],"Продажа",РД[Дата подачи на регистрацию],"&gt;="&amp;DATE(YEAR($B26),MONTH($B26),1),РД[Дата подачи на регистрацию],"&lt;"&amp;$B27)</f>
        <v>38738048.660000011</v>
      </c>
      <c r="K26" s="193">
        <v>76690.783694963597</v>
      </c>
    </row>
    <row r="27" spans="2:12" ht="15.75" hidden="1" thickBot="1" x14ac:dyDescent="0.3">
      <c r="B27" s="210">
        <v>44774</v>
      </c>
      <c r="C27" s="192">
        <f>COUNTIFS(РД[Дата подачи на регистрацию],"&gt;="&amp;DATE(YEAR($B27),MONTH($B27),1),РД[Дата подачи на регистрацию],"&lt;"&amp;$B28,РД[Тип кв],C$19,РД[Состояние],"Продажа")</f>
        <v>19</v>
      </c>
      <c r="D27" s="192">
        <f>COUNTIFS(РД[Дата подачи на регистрацию],"&gt;="&amp;DATE(YEAR($B27),MONTH($B27),1),РД[Дата подачи на регистрацию],"&lt;"&amp;$B28,РД[Тип кв],D$19,РД[Состояние],"Продажа")</f>
        <v>25</v>
      </c>
      <c r="E27" s="192">
        <f>COUNTIFS(РД[Дата подачи на регистрацию],"&gt;="&amp;DATE(YEAR($B27),MONTH($B27),1),РД[Дата подачи на регистрацию],"&lt;"&amp;$B28,РД[Тип кв],E$19,РД[Состояние],"Продажа")</f>
        <v>8</v>
      </c>
      <c r="F27" s="192">
        <f>COUNTIFS(РД[Дата подачи на регистрацию],"&gt;="&amp;DATE(YEAR($B27),MONTH($B27),1),РД[Дата подачи на регистрацию],"&lt;"&amp;$B28,РД[Тип кв],F$19,РД[Состояние],"Продажа")</f>
        <v>3</v>
      </c>
      <c r="G27" s="192">
        <f>COUNTIFS(РД[Дата подачи на регистрацию],"&gt;="&amp;DATE(YEAR($B27),MONTH($B27),1),РД[Дата подачи на регистрацию],"&lt;"&amp;$B28,РД[Тип кв],G$19,РД[Состояние],"Продажа")</f>
        <v>0</v>
      </c>
      <c r="H27" s="192">
        <f t="shared" si="3"/>
        <v>55</v>
      </c>
      <c r="I27" s="192">
        <f>SUMIFS(РД[S],РД[Состояние],"Продажа",РД[Дата подачи на регистрацию],"&gt;="&amp;DATE(YEAR($B27),MONTH($B27),1),РД[Дата подачи на регистрацию],"&lt;"&amp;$B28)</f>
        <v>2081.5600000000004</v>
      </c>
      <c r="J27" s="192">
        <f>SUMIFS(РД[Стоимость без отделки итог],РД[Состояние],"Продажа",РД[Дата подачи на регистрацию],"&gt;="&amp;DATE(YEAR($B27),MONTH($B27),1),РД[Дата подачи на регистрацию],"&lt;"&amp;$B28)</f>
        <v>161161020.99000001</v>
      </c>
      <c r="K27" s="193">
        <v>77838.268302696</v>
      </c>
    </row>
    <row r="28" spans="2:12" ht="15.75" hidden="1" thickBot="1" x14ac:dyDescent="0.3">
      <c r="B28" s="210">
        <v>44805</v>
      </c>
      <c r="C28" s="192">
        <f>COUNTIFS(РД[Дата подачи на регистрацию],"&gt;="&amp;DATE(YEAR($B28),MONTH($B28),1),РД[Дата подачи на регистрацию],"&lt;"&amp;$B29,РД[Тип кв],C$19,РД[Состояние],"Продажа")</f>
        <v>16</v>
      </c>
      <c r="D28" s="192">
        <f>COUNTIFS(РД[Дата подачи на регистрацию],"&gt;="&amp;DATE(YEAR($B28),MONTH($B28),1),РД[Дата подачи на регистрацию],"&lt;"&amp;$B29,РД[Тип кв],D$19,РД[Состояние],"Продажа")</f>
        <v>15</v>
      </c>
      <c r="E28" s="192">
        <f>COUNTIFS(РД[Дата подачи на регистрацию],"&gt;="&amp;DATE(YEAR($B28),MONTH($B28),1),РД[Дата подачи на регистрацию],"&lt;"&amp;$B29,РД[Тип кв],E$19,РД[Состояние],"Продажа")</f>
        <v>6</v>
      </c>
      <c r="F28" s="192">
        <f>COUNTIFS(РД[Дата подачи на регистрацию],"&gt;="&amp;DATE(YEAR($B28),MONTH($B28),1),РД[Дата подачи на регистрацию],"&lt;"&amp;$B29,РД[Тип кв],F$19,РД[Состояние],"Продажа")</f>
        <v>2</v>
      </c>
      <c r="G28" s="192">
        <f>COUNTIFS(РД[Дата подачи на регистрацию],"&gt;="&amp;DATE(YEAR($B28),MONTH($B28),1),РД[Дата подачи на регистрацию],"&lt;"&amp;$B29,РД[Тип кв],G$19,РД[Состояние],"Продажа")</f>
        <v>0</v>
      </c>
      <c r="H28" s="192">
        <f t="shared" si="3"/>
        <v>39</v>
      </c>
      <c r="I28" s="192">
        <f>SUMIFS(РД[S],РД[Состояние],"Продажа",РД[Дата подачи на регистрацию],"&gt;="&amp;DATE(YEAR($B28),MONTH($B28),1),РД[Дата подачи на регистрацию],"&lt;"&amp;$B29)</f>
        <v>1481.6300000000006</v>
      </c>
      <c r="J28" s="192">
        <f>SUMIFS(РД[Стоимость без отделки итог],РД[Состояние],"Продажа",РД[Дата подачи на регистрацию],"&gt;="&amp;DATE(YEAR($B28),MONTH($B28),1),РД[Дата подачи на регистрацию],"&lt;"&amp;$B29)</f>
        <v>119460602.24000001</v>
      </c>
      <c r="K28" s="193">
        <v>80910.762650180637</v>
      </c>
    </row>
    <row r="29" spans="2:12" ht="15.75" hidden="1" thickBot="1" x14ac:dyDescent="0.3">
      <c r="B29" s="210">
        <v>44835</v>
      </c>
      <c r="C29" s="192">
        <f>COUNTIFS(РД[Дата подачи на регистрацию],"&gt;="&amp;DATE(YEAR($B29),MONTH($B29),1),РД[Дата подачи на регистрацию],"&lt;"&amp;$B30,РД[Тип кв],C$19,РД[Состояние],"Продажа")</f>
        <v>16</v>
      </c>
      <c r="D29" s="192">
        <f>COUNTIFS(РД[Дата подачи на регистрацию],"&gt;="&amp;DATE(YEAR($B29),MONTH($B29),1),РД[Дата подачи на регистрацию],"&lt;"&amp;$B30,РД[Тип кв],D$19,РД[Состояние],"Продажа")</f>
        <v>19</v>
      </c>
      <c r="E29" s="192">
        <f>COUNTIFS(РД[Дата подачи на регистрацию],"&gt;="&amp;DATE(YEAR($B29),MONTH($B29),1),РД[Дата подачи на регистрацию],"&lt;"&amp;$B30,РД[Тип кв],E$19,РД[Состояние],"Продажа")</f>
        <v>8</v>
      </c>
      <c r="F29" s="192">
        <f>COUNTIFS(РД[Дата подачи на регистрацию],"&gt;="&amp;DATE(YEAR($B29),MONTH($B29),1),РД[Дата подачи на регистрацию],"&lt;"&amp;$B30,РД[Тип кв],F$19,РД[Состояние],"Продажа")</f>
        <v>0</v>
      </c>
      <c r="G29" s="192">
        <f>COUNTIFS(РД[Дата подачи на регистрацию],"&gt;="&amp;DATE(YEAR($B29),MONTH($B29),1),РД[Дата подачи на регистрацию],"&lt;"&amp;$B30,РД[Тип кв],G$19,РД[Состояние],"Продажа")</f>
        <v>0</v>
      </c>
      <c r="H29" s="192">
        <f t="shared" si="3"/>
        <v>43</v>
      </c>
      <c r="I29" s="192">
        <f>SUMIFS(РД[S],РД[Состояние],"Продажа",РД[Дата подачи на регистрацию],"&gt;="&amp;DATE(YEAR($B29),MONTH($B29),1),РД[Дата подачи на регистрацию],"&lt;"&amp;$B30)</f>
        <v>1597.1</v>
      </c>
      <c r="J29" s="192">
        <f>SUMIFS(РД[Стоимость без отделки итог],РД[Состояние],"Продажа",РД[Дата подачи на регистрацию],"&gt;="&amp;DATE(YEAR($B29),MONTH($B29),1),РД[Дата подачи на регистрацию],"&lt;"&amp;$B30)</f>
        <v>125646835.67999998</v>
      </c>
      <c r="K29" s="193">
        <v>78820.415208677034</v>
      </c>
    </row>
    <row r="30" spans="2:12" ht="15.75" hidden="1" thickBot="1" x14ac:dyDescent="0.3">
      <c r="B30" s="210">
        <v>44866</v>
      </c>
      <c r="C30" s="192">
        <f>COUNTIFS(РД[Дата подачи на регистрацию],"&gt;="&amp;DATE(YEAR($B30),MONTH($B30),1),РД[Дата подачи на регистрацию],"&lt;"&amp;$B31,РД[Тип кв],C$19,РД[Состояние],"Продажа")</f>
        <v>12</v>
      </c>
      <c r="D30" s="192">
        <f>COUNTIFS(РД[Дата подачи на регистрацию],"&gt;="&amp;DATE(YEAR($B30),MONTH($B30),1),РД[Дата подачи на регистрацию],"&lt;"&amp;$B31,РД[Тип кв],D$19,РД[Состояние],"Продажа")</f>
        <v>24</v>
      </c>
      <c r="E30" s="192">
        <f>COUNTIFS(РД[Дата подачи на регистрацию],"&gt;="&amp;DATE(YEAR($B30),MONTH($B30),1),РД[Дата подачи на регистрацию],"&lt;"&amp;$B31,РД[Тип кв],E$19,РД[Состояние],"Продажа")</f>
        <v>9</v>
      </c>
      <c r="F30" s="192">
        <f>COUNTIFS(РД[Дата подачи на регистрацию],"&gt;="&amp;DATE(YEAR($B30),MONTH($B30),1),РД[Дата подачи на регистрацию],"&lt;"&amp;$B31,РД[Тип кв],F$19,РД[Состояние],"Продажа")</f>
        <v>2</v>
      </c>
      <c r="G30" s="192">
        <f>COUNTIFS(РД[Дата подачи на регистрацию],"&gt;="&amp;DATE(YEAR($B30),MONTH($B30),1),РД[Дата подачи на регистрацию],"&lt;"&amp;$B31,РД[Тип кв],G$19,РД[Состояние],"Продажа")</f>
        <v>0</v>
      </c>
      <c r="H30" s="192">
        <f t="shared" si="3"/>
        <v>47</v>
      </c>
      <c r="I30" s="192">
        <f>SUMIFS(РД[S],РД[Состояние],"Продажа",РД[Дата подачи на регистрацию],"&gt;="&amp;DATE(YEAR($B30),MONTH($B30),1),РД[Дата подачи на регистрацию],"&lt;"&amp;$B31)</f>
        <v>1855.8099999999995</v>
      </c>
      <c r="J30" s="192">
        <f>SUMIFS(РД[Стоимость без отделки итог],РД[Состояние],"Продажа",РД[Дата подачи на регистрацию],"&gt;="&amp;DATE(YEAR($B30),MONTH($B30),1),РД[Дата подачи на регистрацию],"&lt;"&amp;$B31)</f>
        <v>146544855.92000002</v>
      </c>
      <c r="K30" s="193">
        <v>79025.483132010355</v>
      </c>
    </row>
    <row r="31" spans="2:12" ht="15.75" hidden="1" thickBot="1" x14ac:dyDescent="0.3">
      <c r="B31" s="210">
        <v>44896</v>
      </c>
      <c r="C31" s="192">
        <f>COUNTIFS(РД[Дата подачи на регистрацию],"&gt;="&amp;DATE(YEAR($B31),MONTH($B31),1),РД[Дата подачи на регистрацию],"&lt;"&amp;"01.01.2023",РД[Тип кв],C$19,РД[Состояние],"Продажа")</f>
        <v>15</v>
      </c>
      <c r="D31" s="192">
        <f>COUNTIFS(РД[Дата подачи на регистрацию],"&gt;="&amp;DATE(YEAR($B31),MONTH($B31),1),РД[Дата подачи на регистрацию],"&lt;"&amp;"01.01.2023",РД[Тип кв],D$19,РД[Состояние],"Продажа")</f>
        <v>15</v>
      </c>
      <c r="E31" s="192">
        <f>COUNTIFS(РД[Дата подачи на регистрацию],"&gt;="&amp;DATE(YEAR($B31),MONTH($B31),1),РД[Дата подачи на регистрацию],"&lt;"&amp;"01.01.2023",РД[Тип кв],E$19,РД[Состояние],"Продажа")</f>
        <v>13</v>
      </c>
      <c r="F31" s="192">
        <f>COUNTIFS(РД[Дата подачи на регистрацию],"&gt;="&amp;DATE(YEAR($B31),MONTH($B31),1),РД[Дата подачи на регистрацию],"&lt;"&amp;"01.01.2023",РД[Тип кв],F$19,РД[Состояние],"Продажа")</f>
        <v>5</v>
      </c>
      <c r="G31" s="192">
        <f>COUNTIFS(РД[Дата подачи на регистрацию],"&gt;="&amp;DATE(YEAR($B31),MONTH($B31),1),РД[Дата подачи на регистрацию],"&lt;"&amp;"01.01.2023",РД[Тип кв],G$19,РД[Состояние],"Продажа")</f>
        <v>0</v>
      </c>
      <c r="H31" s="192">
        <f t="shared" si="3"/>
        <v>48</v>
      </c>
      <c r="I31" s="192">
        <f>SUMIFS(РД[S],РД[Состояние],"Продажа",РД[Дата подачи на регистрацию],"&gt;="&amp;DATE(YEAR($B31),MONTH($B31),1),РД[Дата подачи на регистрацию],"&lt;"&amp;"01.01.2023")</f>
        <v>2065.0000000000005</v>
      </c>
      <c r="J31" s="192">
        <f>SUMIFS(РД[Стоимость без отделки итог],РД[Состояние],"Продажа",РД[Дата подачи на регистрацию],"&gt;="&amp;DATE(YEAR($B31),MONTH($B31),1),РД[Дата подачи на регистрацию],"&lt;"&amp;"01.01.2023")</f>
        <v>163436247.79999998</v>
      </c>
      <c r="K31" s="193">
        <v>79389.799047469045</v>
      </c>
    </row>
    <row r="32" spans="2:12" ht="15.75" hidden="1" thickBot="1" x14ac:dyDescent="0.3">
      <c r="B32" s="317" t="s">
        <v>3793</v>
      </c>
      <c r="C32" s="211">
        <v>0</v>
      </c>
      <c r="D32" s="211">
        <v>194</v>
      </c>
      <c r="E32" s="211">
        <v>125</v>
      </c>
      <c r="F32" s="211">
        <v>59</v>
      </c>
      <c r="G32" s="211">
        <v>6</v>
      </c>
      <c r="H32" s="211">
        <v>384</v>
      </c>
      <c r="I32" s="211">
        <v>20646.400000000023</v>
      </c>
      <c r="J32" s="211">
        <v>1506093509</v>
      </c>
      <c r="K32" s="212">
        <v>72947.027520536183</v>
      </c>
    </row>
    <row r="33" spans="2:13" ht="15.75" thickBot="1" x14ac:dyDescent="0.3">
      <c r="B33" s="222" t="s">
        <v>29</v>
      </c>
      <c r="C33" s="181">
        <f>SUM(C20:C32)</f>
        <v>122</v>
      </c>
      <c r="D33" s="181">
        <f t="shared" ref="D33:J33" si="4">SUM(D20:D32)</f>
        <v>397</v>
      </c>
      <c r="E33" s="181">
        <f t="shared" si="4"/>
        <v>221</v>
      </c>
      <c r="F33" s="181">
        <f t="shared" si="4"/>
        <v>96</v>
      </c>
      <c r="G33" s="181">
        <f t="shared" si="4"/>
        <v>7</v>
      </c>
      <c r="H33" s="181">
        <f t="shared" si="4"/>
        <v>843</v>
      </c>
      <c r="I33" s="181">
        <f t="shared" si="4"/>
        <v>39935.840000000026</v>
      </c>
      <c r="J33" s="181">
        <f t="shared" si="4"/>
        <v>3000956459.4000001</v>
      </c>
      <c r="K33" s="240">
        <v>75231.467657220346</v>
      </c>
    </row>
    <row r="34" spans="2:13" x14ac:dyDescent="0.25">
      <c r="B34" s="28"/>
      <c r="C34" s="189"/>
      <c r="D34" s="189"/>
      <c r="E34" s="189"/>
      <c r="F34" s="189"/>
      <c r="G34" s="189"/>
      <c r="H34" s="189"/>
      <c r="I34" s="114"/>
      <c r="J34" s="114"/>
      <c r="K34" s="113"/>
    </row>
    <row r="35" spans="2:13" ht="15.75" thickBot="1" x14ac:dyDescent="0.3">
      <c r="B35" s="28" t="s">
        <v>3389</v>
      </c>
      <c r="H35" s="17"/>
      <c r="J35" s="33"/>
      <c r="K35"/>
      <c r="M35"/>
    </row>
    <row r="36" spans="2:13" ht="15.75" thickBot="1" x14ac:dyDescent="0.3">
      <c r="B36" s="184" t="s">
        <v>0</v>
      </c>
      <c r="C36" s="297">
        <v>0</v>
      </c>
      <c r="D36" s="296">
        <v>1</v>
      </c>
      <c r="E36" s="296">
        <v>2</v>
      </c>
      <c r="F36" s="296">
        <v>3</v>
      </c>
      <c r="G36" s="185" t="s">
        <v>59</v>
      </c>
      <c r="H36" s="186" t="s">
        <v>51</v>
      </c>
      <c r="I36" s="186" t="s">
        <v>58</v>
      </c>
      <c r="J36" s="187" t="s">
        <v>17</v>
      </c>
      <c r="K36"/>
      <c r="M36"/>
    </row>
    <row r="37" spans="2:13" hidden="1" x14ac:dyDescent="0.25">
      <c r="B37" s="209">
        <v>44927</v>
      </c>
      <c r="C37" s="192">
        <f ca="1">IF(TODAY()&gt;=$B38,COUNTIFS(РД[Дата подачи на регистрацию],"&gt;="&amp;DATE(YEAR($B37),MONTH($B37),1),РД[Дата подачи на регистрацию],"&lt;"&amp;$B38,РД[Тип кв],C$36,РД[Состояние],"продажа"),'Свод ПП Д5'!C4+'Свод ПП Д4'!C19)</f>
        <v>9</v>
      </c>
      <c r="D37" s="192">
        <f ca="1">IF(TODAY()&gt;=$B38,COUNTIFS(РД[Дата подачи на регистрацию],"&gt;="&amp;DATE(YEAR($B37),MONTH($B37),1),РД[Дата подачи на регистрацию],"&lt;"&amp;$B38,РД[Тип кв],D$36,РД[Состояние],"продажа"),'Свод ПП Д5'!D4+'Свод ПП Д4'!D19)</f>
        <v>3</v>
      </c>
      <c r="E37" s="192">
        <f ca="1">IF(TODAY()&gt;=$B38,COUNTIFS(РД[Дата подачи на регистрацию],"&gt;="&amp;DATE(YEAR($B37),MONTH($B37),1),РД[Дата подачи на регистрацию],"&lt;"&amp;$B38,РД[Тип кв],E$36,РД[Состояние],"продажа"),'Свод ПП Д5'!E4+'Свод ПП Д4'!E19)</f>
        <v>6</v>
      </c>
      <c r="F37" s="192">
        <f ca="1">IF(TODAY()&gt;=$B38,COUNTIFS(РД[Дата подачи на регистрацию],"&gt;="&amp;DATE(YEAR($B37),MONTH($B37),1),РД[Дата подачи на регистрацию],"&lt;"&amp;$B38,РД[Тип кв],F$36,РД[Состояние],"продажа"),'Свод ПП Д5'!F4+'Свод ПП Д4'!F19)</f>
        <v>4</v>
      </c>
      <c r="G37" s="206">
        <f t="shared" ref="G37:G48" ca="1" si="5">SUM(C37:F37)</f>
        <v>22</v>
      </c>
      <c r="H37" s="192">
        <f ca="1">IF(TODAY()&gt;=$B38,SUMIFS(РД[S],РД[Состояние],"Продажа",РД[Дата подачи на регистрацию],"&gt;="&amp;DATE(YEAR($B37),MONTH($B37),1),РД[Дата подачи на регистрацию],"&lt;"&amp;$B38),'Свод ПП Д4'!H19+'Свод ПП Д5'!H4)</f>
        <v>985.19</v>
      </c>
      <c r="I37" s="192">
        <f ca="1">IF(TODAY()&gt;=$B38,SUMIFS(РД[Стоимость без отделки итог],РД[Состояние],"Продажа",РД[Дата подачи на регистрацию],"&gt;="&amp;DATE(YEAR($B37),MONTH($B37),1),РД[Дата подачи на регистрацию],"&lt;"&amp;$B38),'Свод ПП Д4'!I19+'Свод ПП Д5'!I4)</f>
        <v>75286433.639999986</v>
      </c>
      <c r="J37" s="207">
        <f t="shared" ref="J37:J51" ca="1" si="6">I37/H37</f>
        <v>76418.186989311682</v>
      </c>
      <c r="K37"/>
      <c r="L37" s="331"/>
      <c r="M37"/>
    </row>
    <row r="38" spans="2:13" hidden="1" x14ac:dyDescent="0.25">
      <c r="B38" s="210">
        <v>44958</v>
      </c>
      <c r="C38" s="192">
        <f ca="1">IF(TODAY()&gt;=$B39,COUNTIFS(РД[Дата подачи на регистрацию],"&gt;="&amp;DATE(YEAR($B38),MONTH($B38),1),РД[Дата подачи на регистрацию],"&lt;"&amp;$B39,РД[Тип кв],C$36,РД[Состояние],"продажа"),'Свод ПП Д5'!C5+'Свод ПП Д4'!C20)</f>
        <v>10</v>
      </c>
      <c r="D38" s="192">
        <f ca="1">IF(TODAY()&gt;=$B39,COUNTIFS(РД[Дата подачи на регистрацию],"&gt;="&amp;DATE(YEAR($B38),MONTH($B38),1),РД[Дата подачи на регистрацию],"&lt;"&amp;$B39,РД[Тип кв],D$36,РД[Состояние],"продажа"),'Свод ПП Д5'!D5+'Свод ПП Д4'!D20)</f>
        <v>11</v>
      </c>
      <c r="E38" s="192">
        <f ca="1">IF(TODAY()&gt;=$B39,COUNTIFS(РД[Дата подачи на регистрацию],"&gt;="&amp;DATE(YEAR($B38),MONTH($B38),1),РД[Дата подачи на регистрацию],"&lt;"&amp;$B39,РД[Тип кв],E$36,РД[Состояние],"продажа"),'Свод ПП Д5'!E5+'Свод ПП Д4'!E20)</f>
        <v>15</v>
      </c>
      <c r="F38" s="192">
        <f ca="1">IF(TODAY()&gt;=$B39,COUNTIFS(РД[Дата подачи на регистрацию],"&gt;="&amp;DATE(YEAR($B38),MONTH($B38),1),РД[Дата подачи на регистрацию],"&lt;"&amp;$B39,РД[Тип кв],F$36,РД[Состояние],"продажа"),'Свод ПП Д5'!F5+'Свод ПП Д4'!F20)</f>
        <v>3</v>
      </c>
      <c r="G38" s="192">
        <f t="shared" ca="1" si="5"/>
        <v>39</v>
      </c>
      <c r="H38" s="192">
        <f ca="1">IF(TODAY()&gt;=$B39,SUMIFS(РД[S],РД[Состояние],"Продажа",РД[Дата подачи на регистрацию],"&gt;="&amp;DATE(YEAR($B38),MONTH($B38),1),РД[Дата подачи на регистрацию],"&lt;"&amp;$B39),'Свод ПП Д4'!H20+'Свод ПП Д5'!H5)</f>
        <v>1738.3400000000004</v>
      </c>
      <c r="I38" s="192">
        <f ca="1">IF(TODAY()&gt;=$B39,SUMIFS(РД[Стоимость без отделки итог],РД[Состояние],"Продажа",РД[Дата подачи на регистрацию],"&gt;="&amp;DATE(YEAR($B38),MONTH($B38),1),РД[Дата подачи на регистрацию],"&lt;"&amp;$B39),'Свод ПП Д4'!I20+'Свод ПП Д5'!I5)</f>
        <v>135932872.59999996</v>
      </c>
      <c r="J38" s="193">
        <f t="shared" ca="1" si="6"/>
        <v>78196.94225525498</v>
      </c>
      <c r="K38"/>
      <c r="L38" s="331"/>
      <c r="M38"/>
    </row>
    <row r="39" spans="2:13" s="245" customFormat="1" hidden="1" x14ac:dyDescent="0.25">
      <c r="B39" s="210">
        <v>44986</v>
      </c>
      <c r="C39" s="192">
        <f ca="1">IF(TODAY()&gt;=$B40,COUNTIFS(РД[Дата подачи на регистрацию],"&gt;="&amp;DATE(YEAR($B39),MONTH($B39),1),РД[Дата подачи на регистрацию],"&lt;"&amp;$B40,РД[Тип кв],C$36,РД[Состояние],"продажа"),'Свод ПП Д5'!C6+'Свод ПП Д4'!C21)</f>
        <v>12</v>
      </c>
      <c r="D39" s="192">
        <f ca="1">IF(TODAY()&gt;=$B40,COUNTIFS(РД[Дата подачи на регистрацию],"&gt;="&amp;DATE(YEAR($B39),MONTH($B39),1),РД[Дата подачи на регистрацию],"&lt;"&amp;$B40,РД[Тип кв],D$36,РД[Состояние],"продажа"),'Свод ПП Д5'!D6+'Свод ПП Д4'!D21)</f>
        <v>13</v>
      </c>
      <c r="E39" s="192">
        <f ca="1">IF(TODAY()&gt;=$B40,COUNTIFS(РД[Дата подачи на регистрацию],"&gt;="&amp;DATE(YEAR($B39),MONTH($B39),1),РД[Дата подачи на регистрацию],"&lt;"&amp;$B40,РД[Тип кв],E$36,РД[Состояние],"продажа"),'Свод ПП Д5'!E6+'Свод ПП Д4'!E21)</f>
        <v>13</v>
      </c>
      <c r="F39" s="192">
        <f ca="1">IF(TODAY()&gt;=$B40,COUNTIFS(РД[Дата подачи на регистрацию],"&gt;="&amp;DATE(YEAR($B39),MONTH($B39),1),РД[Дата подачи на регистрацию],"&lt;"&amp;$B40,РД[Тип кв],F$36,РД[Состояние],"продажа"),'Свод ПП Д5'!F6+'Свод ПП Д4'!F21)</f>
        <v>6</v>
      </c>
      <c r="G39" s="192">
        <f t="shared" ca="1" si="5"/>
        <v>44</v>
      </c>
      <c r="H39" s="192">
        <f ca="1">IF(TODAY()&gt;=$B40,SUMIFS(РД[S],РД[Состояние],"Продажа",РД[Дата подачи на регистрацию],"&gt;="&amp;DATE(YEAR($B39),MONTH($B39),1),РД[Дата подачи на регистрацию],"&lt;"&amp;$B40),'Свод ПП Д4'!H21+'Свод ПП Д5'!H6)</f>
        <v>1986.5599999999997</v>
      </c>
      <c r="I39" s="192">
        <f ca="1">IF(TODAY()&gt;=$B40,SUMIFS(РД[Стоимость без отделки итог],РД[Состояние],"Продажа",РД[Дата подачи на регистрацию],"&gt;="&amp;DATE(YEAR($B39),MONTH($B39),1),РД[Дата подачи на регистрацию],"&lt;"&amp;$B40),'Свод ПП Д4'!I21+'Свод ПП Д5'!I6)</f>
        <v>160097202.81999999</v>
      </c>
      <c r="J39" s="193">
        <f t="shared" ca="1" si="6"/>
        <v>80590.167334487764</v>
      </c>
      <c r="L39" s="332"/>
    </row>
    <row r="40" spans="2:13" hidden="1" x14ac:dyDescent="0.25">
      <c r="B40" s="210">
        <v>45017</v>
      </c>
      <c r="C40" s="192">
        <f ca="1">IF(TODAY()&gt;=$B41,COUNTIFS(РД[Дата подачи на регистрацию],"&gt;="&amp;DATE(YEAR($B40),MONTH($B40),1),РД[Дата подачи на регистрацию],"&lt;"&amp;$B41,РД[Тип кв],C$36,РД[Состояние],"продажа"),'Свод ПП Д5'!C7+'Свод ПП Д4'!C22)</f>
        <v>12</v>
      </c>
      <c r="D40" s="192">
        <f ca="1">IF(TODAY()&gt;=$B41,COUNTIFS(РД[Дата подачи на регистрацию],"&gt;="&amp;DATE(YEAR($B40),MONTH($B40),1),РД[Дата подачи на регистрацию],"&lt;"&amp;$B41,РД[Тип кв],D$36,РД[Состояние],"продажа"),'Свод ПП Д5'!D7+'Свод ПП Д4'!D22)</f>
        <v>15</v>
      </c>
      <c r="E40" s="192">
        <f ca="1">IF(TODAY()&gt;=$B41,COUNTIFS(РД[Дата подачи на регистрацию],"&gt;="&amp;DATE(YEAR($B40),MONTH($B40),1),РД[Дата подачи на регистрацию],"&lt;"&amp;$B41,РД[Тип кв],E$36,РД[Состояние],"продажа"),'Свод ПП Д5'!E7+'Свод ПП Д4'!E22)</f>
        <v>16</v>
      </c>
      <c r="F40" s="192">
        <f ca="1">IF(TODAY()&gt;=$B41,COUNTIFS(РД[Дата подачи на регистрацию],"&gt;="&amp;DATE(YEAR($B40),MONTH($B40),1),РД[Дата подачи на регистрацию],"&lt;"&amp;$B41,РД[Тип кв],F$36,РД[Состояние],"продажа"),'Свод ПП Д5'!F7+'Свод ПП Д4'!F22)</f>
        <v>8</v>
      </c>
      <c r="G40" s="192">
        <f t="shared" ca="1" si="5"/>
        <v>51</v>
      </c>
      <c r="H40" s="192">
        <f ca="1">IF(TODAY()&gt;=$B41,SUMIFS(РД[S],РД[Состояние],"Продажа",РД[Дата подачи на регистрацию],"&gt;="&amp;DATE(YEAR($B40),MONTH($B40),1),РД[Дата подачи на регистрацию],"&lt;"&amp;$B41),'Свод ПП Д4'!H22+'Свод ПП Д5'!H7)-2.13</f>
        <v>2457.88</v>
      </c>
      <c r="I40" s="192">
        <f ca="1">IF(TODAY()&gt;=$B41,SUMIFS(РД[Стоимость без отделки итог],РД[Состояние],"Продажа",РД[Дата подачи на регистрацию],"&gt;="&amp;DATE(YEAR($B40),MONTH($B40),1),РД[Дата подачи на регистрацию],"&lt;"&amp;$B41),'Свод ПП Д4'!I22+'Свод ПП Д5'!I7)</f>
        <v>196204285.26000002</v>
      </c>
      <c r="J40" s="193">
        <f t="shared" ca="1" si="6"/>
        <v>79826.633220498974</v>
      </c>
      <c r="K40"/>
      <c r="L40" s="331"/>
      <c r="M40"/>
    </row>
    <row r="41" spans="2:13" hidden="1" x14ac:dyDescent="0.25">
      <c r="B41" s="210">
        <v>45047</v>
      </c>
      <c r="C41" s="192">
        <f ca="1">IF(TODAY()&gt;=$B42,COUNTIFS(РД[Дата подачи на регистрацию],"&gt;="&amp;DATE(YEAR($B41),MONTH($B41),1),РД[Дата подачи на регистрацию],"&lt;"&amp;$B42,РД[Тип кв],C$36,РД[Состояние],"продажа"),'Свод ПП Д5'!C8+'Свод ПП Д4'!C23)</f>
        <v>4</v>
      </c>
      <c r="D41" s="192">
        <f ca="1">IF(TODAY()&gt;=$B42,COUNTIFS(РД[Дата подачи на регистрацию],"&gt;="&amp;DATE(YEAR($B41),MONTH($B41),1),РД[Дата подачи на регистрацию],"&lt;"&amp;$B42,РД[Тип кв],D$36,РД[Состояние],"продажа"),'Свод ПП Д5'!D8+'Свод ПП Д4'!D23)</f>
        <v>9</v>
      </c>
      <c r="E41" s="192">
        <f ca="1">IF(TODAY()&gt;=$B42,COUNTIFS(РД[Дата подачи на регистрацию],"&gt;="&amp;DATE(YEAR($B41),MONTH($B41),1),РД[Дата подачи на регистрацию],"&lt;"&amp;$B42,РД[Тип кв],E$36,РД[Состояние],"продажа"),'Свод ПП Д5'!E8+'Свод ПП Д4'!E23)</f>
        <v>12</v>
      </c>
      <c r="F41" s="192">
        <f ca="1">IF(TODAY()&gt;=$B42,COUNTIFS(РД[Дата подачи на регистрацию],"&gt;="&amp;DATE(YEAR($B41),MONTH($B41),1),РД[Дата подачи на регистрацию],"&lt;"&amp;$B42,РД[Тип кв],F$36,РД[Состояние],"продажа"),'Свод ПП Д5'!F8+'Свод ПП Д4'!F23)</f>
        <v>4</v>
      </c>
      <c r="G41" s="192">
        <f t="shared" ca="1" si="5"/>
        <v>29</v>
      </c>
      <c r="H41" s="192">
        <f ca="1">IF(TODAY()&gt;=$B42,SUMIFS(РД[S],РД[Состояние],"Продажа",РД[Дата подачи на регистрацию],"&gt;="&amp;DATE(YEAR($B41),MONTH($B41),1),РД[Дата подачи на регистрацию],"&lt;"&amp;$B42),'Свод ПП Д4'!H23+'Свод ПП Д5'!H8)</f>
        <v>1466.2100000000003</v>
      </c>
      <c r="I41" s="192">
        <f ca="1">IF(TODAY()&gt;=$B42,SUMIFS(РД[Стоимость без отделки итог],РД[Состояние],"Продажа",РД[Дата подачи на регистрацию],"&gt;="&amp;DATE(YEAR($B41),MONTH($B41),1),РД[Дата подачи на регистрацию],"&lt;"&amp;$B42),'Свод ПП Д4'!I23+'Свод ПП Д5'!I8)</f>
        <v>119214317.57999998</v>
      </c>
      <c r="J41" s="193">
        <f t="shared" ca="1" si="6"/>
        <v>81307.805553092636</v>
      </c>
      <c r="K41"/>
      <c r="L41" s="331"/>
      <c r="M41"/>
    </row>
    <row r="42" spans="2:13" hidden="1" x14ac:dyDescent="0.25">
      <c r="B42" s="210">
        <v>45078</v>
      </c>
      <c r="C42" s="192">
        <f ca="1">IF(TODAY()&gt;=$B43,COUNTIFS(РД[Дата подачи на регистрацию],"&gt;="&amp;DATE(YEAR($B42),MONTH($B42),1),РД[Дата подачи на регистрацию],"&lt;"&amp;$B43,РД[Тип кв],C$36,РД[Состояние],"продажа"),'Свод ПП Д5'!C9+'Свод ПП Д4'!C24)</f>
        <v>9</v>
      </c>
      <c r="D42" s="192">
        <f ca="1">IF(TODAY()&gt;=$B43,COUNTIFS(РД[Дата подачи на регистрацию],"&gt;="&amp;DATE(YEAR($B42),MONTH($B42),1),РД[Дата подачи на регистрацию],"&lt;"&amp;$B43,РД[Тип кв],D$36,РД[Состояние],"продажа"),'Свод ПП Д5'!D9+'Свод ПП Д4'!D24)</f>
        <v>13</v>
      </c>
      <c r="E42" s="192">
        <f ca="1">IF(TODAY()&gt;=$B43,COUNTIFS(РД[Дата подачи на регистрацию],"&gt;="&amp;DATE(YEAR($B42),MONTH($B42),1),РД[Дата подачи на регистрацию],"&lt;"&amp;$B43,РД[Тип кв],E$36,РД[Состояние],"продажа"),'Свод ПП Д5'!E9+'Свод ПП Д4'!E24)</f>
        <v>12</v>
      </c>
      <c r="F42" s="192">
        <f ca="1">IF(TODAY()&gt;=$B43,COUNTIFS(РД[Дата подачи на регистрацию],"&gt;="&amp;DATE(YEAR($B42),MONTH($B42),1),РД[Дата подачи на регистрацию],"&lt;"&amp;$B43,РД[Тип кв],F$36,РД[Состояние],"продажа"),'Свод ПП Д5'!F9+'Свод ПП Д4'!F24)</f>
        <v>3</v>
      </c>
      <c r="G42" s="192">
        <f t="shared" ca="1" si="5"/>
        <v>37</v>
      </c>
      <c r="H42" s="192">
        <f ca="1">IF(TODAY()&gt;=$B43,SUMIFS(РД[S],РД[Состояние],"Продажа",РД[Дата подачи на регистрацию],"&gt;="&amp;DATE(YEAR($B42),MONTH($B42),1),РД[Дата подачи на регистрацию],"&lt;"&amp;$B43),'Свод ПП Д4'!H24+'Свод ПП Д5'!H9)</f>
        <v>1661.9999999999998</v>
      </c>
      <c r="I42" s="192">
        <f ca="1">IF(TODAY()&gt;=$B43,SUMIFS(РД[Стоимость без отделки итог],РД[Состояние],"Продажа",РД[Дата подачи на регистрацию],"&gt;="&amp;DATE(YEAR($B42),MONTH($B42),1),РД[Дата подачи на регистрацию],"&lt;"&amp;$B43),'Свод ПП Д4'!I24+'Свод ПП Д5'!I9)</f>
        <v>143616778.10999998</v>
      </c>
      <c r="J42" s="193">
        <f t="shared" ca="1" si="6"/>
        <v>86412.020523465704</v>
      </c>
      <c r="K42"/>
      <c r="M42"/>
    </row>
    <row r="43" spans="2:13" hidden="1" x14ac:dyDescent="0.25">
      <c r="B43" s="210">
        <v>45108</v>
      </c>
      <c r="C43" s="192">
        <f ca="1">IF(TODAY()&gt;=$B44,COUNTIFS(РД[Дата подачи на регистрацию],"&gt;="&amp;DATE(YEAR($B43),MONTH($B43),1),РД[Дата подачи на регистрацию],"&lt;"&amp;$B44,РД[Тип кв],C$36,РД[Состояние],"продажа"),'Свод ПП Д5'!C10+'Свод ПП Д4'!C25)</f>
        <v>7</v>
      </c>
      <c r="D43" s="192">
        <f ca="1">IF(TODAY()&gt;=$B44,COUNTIFS(РД[Дата подачи на регистрацию],"&gt;="&amp;DATE(YEAR($B43),MONTH($B43),1),РД[Дата подачи на регистрацию],"&lt;"&amp;$B44,РД[Тип кв],D$36,РД[Состояние],"продажа"),'Свод ПП Д5'!D10+'Свод ПП Д4'!D25)</f>
        <v>13</v>
      </c>
      <c r="E43" s="192">
        <f ca="1">IF(TODAY()&gt;=$B44,COUNTIFS(РД[Дата подачи на регистрацию],"&gt;="&amp;DATE(YEAR($B43),MONTH($B43),1),РД[Дата подачи на регистрацию],"&lt;"&amp;$B44,РД[Тип кв],E$36,РД[Состояние],"продажа"),'Свод ПП Д5'!E10+'Свод ПП Д4'!E25)</f>
        <v>9</v>
      </c>
      <c r="F43" s="192">
        <f ca="1">IF(TODAY()&gt;=$B44,COUNTIFS(РД[Дата подачи на регистрацию],"&gt;="&amp;DATE(YEAR($B43),MONTH($B43),1),РД[Дата подачи на регистрацию],"&lt;"&amp;$B44,РД[Тип кв],F$36,РД[Состояние],"продажа"),'Свод ПП Д5'!F10+'Свод ПП Д4'!F25)</f>
        <v>4</v>
      </c>
      <c r="G43" s="192">
        <f t="shared" ca="1" si="5"/>
        <v>33</v>
      </c>
      <c r="H43" s="192">
        <f ca="1">IF(TODAY()&gt;=$B44,SUMIFS(РД[S],РД[Состояние],"Продажа",РД[Дата подачи на регистрацию],"&gt;="&amp;DATE(YEAR($B43),MONTH($B43),1),РД[Дата подачи на регистрацию],"&lt;"&amp;$B44),'Свод ПП Д4'!H25+'Свод ПП Д5'!H10)</f>
        <v>1553.8500000000001</v>
      </c>
      <c r="I43" s="192">
        <f ca="1">IF(TODAY()&gt;=$B44,SUMIFS(РД[Стоимость без отделки итог],РД[Состояние],"Продажа",РД[Дата подачи на регистрацию],"&gt;="&amp;DATE(YEAR($B43),MONTH($B43),1),РД[Дата подачи на регистрацию],"&lt;"&amp;$B44),'Свод ПП Д4'!I25+'Свод ПП Д5'!I10)</f>
        <v>137200899.34999999</v>
      </c>
      <c r="J43" s="193">
        <f t="shared" ca="1" si="6"/>
        <v>88297.389934678373</v>
      </c>
      <c r="K43" s="20"/>
      <c r="M43"/>
    </row>
    <row r="44" spans="2:13" hidden="1" x14ac:dyDescent="0.25">
      <c r="B44" s="210">
        <v>45139</v>
      </c>
      <c r="C44" s="192">
        <f ca="1">IF(TODAY()&gt;=$B45,COUNTIFS(РД[Дата подачи на регистрацию],"&gt;="&amp;DATE(YEAR($B44),MONTH($B44),1),РД[Дата подачи на регистрацию],"&lt;"&amp;$B45,РД[Тип кв],C$36,РД[Состояние],"продажа"),'Свод ПП Д5'!C11+'Свод ПП Д4'!C26)</f>
        <v>7</v>
      </c>
      <c r="D44" s="192">
        <f ca="1">IF(TODAY()&gt;=$B45,COUNTIFS(РД[Дата подачи на регистрацию],"&gt;="&amp;DATE(YEAR($B44),MONTH($B44),1),РД[Дата подачи на регистрацию],"&lt;"&amp;$B45,РД[Тип кв],D$36,РД[Состояние],"продажа"),'Свод ПП Д5'!D11+'Свод ПП Д4'!D26)</f>
        <v>16</v>
      </c>
      <c r="E44" s="192">
        <f ca="1">IF(TODAY()&gt;=$B45,COUNTIFS(РД[Дата подачи на регистрацию],"&gt;="&amp;DATE(YEAR($B44),MONTH($B44),1),РД[Дата подачи на регистрацию],"&lt;"&amp;$B45,РД[Тип кв],E$36,РД[Состояние],"продажа"),'Свод ПП Д5'!E11+'Свод ПП Д4'!E26)</f>
        <v>10</v>
      </c>
      <c r="F44" s="192">
        <f ca="1">IF(TODAY()&gt;=$B45,COUNTIFS(РД[Дата подачи на регистрацию],"&gt;="&amp;DATE(YEAR($B44),MONTH($B44),1),РД[Дата подачи на регистрацию],"&lt;"&amp;$B45,РД[Тип кв],F$36,РД[Состояние],"продажа"),'Свод ПП Д5'!F11+'Свод ПП Д4'!F26)</f>
        <v>5</v>
      </c>
      <c r="G44" s="192">
        <f t="shared" ca="1" si="5"/>
        <v>38</v>
      </c>
      <c r="H44" s="192">
        <f ca="1">IF(TODAY()&gt;=$B45,SUMIFS(РД[S],РД[Состояние],"Продажа",РД[Дата подачи на регистрацию],"&gt;="&amp;DATE(YEAR($B44),MONTH($B44),1),РД[Дата подачи на регистрацию],"&lt;"&amp;$B45),'Свод ПП Д4'!H26+'Свод ПП Д5'!H11)</f>
        <v>1790.4799999999996</v>
      </c>
      <c r="I44" s="192">
        <f ca="1">IF(TODAY()&gt;=$B45,SUMIFS(РД[Стоимость без отделки итог],РД[Состояние],"Продажа",РД[Дата подачи на регистрацию],"&gt;="&amp;DATE(YEAR($B44),MONTH($B44),1),РД[Дата подачи на регистрацию],"&lt;"&amp;$B45),'Свод ПП Д4'!I26+'Свод ПП Д5'!I11)</f>
        <v>158978364.85999998</v>
      </c>
      <c r="J44" s="193">
        <f t="shared" ca="1" si="6"/>
        <v>88790.919116661462</v>
      </c>
      <c r="K44" s="20"/>
      <c r="L44" s="476"/>
      <c r="M44"/>
    </row>
    <row r="45" spans="2:13" hidden="1" x14ac:dyDescent="0.25">
      <c r="B45" s="210">
        <v>45170</v>
      </c>
      <c r="C45" s="192">
        <f ca="1">IF(TODAY()&gt;=$B46,COUNTIFS(РД[Дата подачи на регистрацию],"&gt;="&amp;DATE(YEAR($B45),MONTH($B45),1),РД[Дата подачи на регистрацию],"&lt;"&amp;$B46,РД[Тип кв],C$36,РД[Состояние],"продажа"),'Свод ПП Д5'!C12+'Свод ПП Д4'!C27)</f>
        <v>26</v>
      </c>
      <c r="D45" s="192">
        <f ca="1">IF(TODAY()&gt;=$B46,COUNTIFS(РД[Дата подачи на регистрацию],"&gt;="&amp;DATE(YEAR($B45),MONTH($B45),1),РД[Дата подачи на регистрацию],"&lt;"&amp;$B46,РД[Тип кв],D$36,РД[Состояние],"продажа"),'Свод ПП Д5'!D12+'Свод ПП Д4'!D27)</f>
        <v>39</v>
      </c>
      <c r="E45" s="192">
        <f ca="1">IF(TODAY()&gt;=$B46,COUNTIFS(РД[Дата подачи на регистрацию],"&gt;="&amp;DATE(YEAR($B45),MONTH($B45),1),РД[Дата подачи на регистрацию],"&lt;"&amp;$B46,РД[Тип кв],E$36,РД[Состояние],"продажа"),'Свод ПП Д5'!E12+'Свод ПП Д4'!E27)</f>
        <v>20</v>
      </c>
      <c r="F45" s="192">
        <f ca="1">IF(TODAY()&gt;=$B46,COUNTIFS(РД[Дата подачи на регистрацию],"&gt;="&amp;DATE(YEAR($B45),MONTH($B45),1),РД[Дата подачи на регистрацию],"&lt;"&amp;$B46,РД[Тип кв],F$36,РД[Состояние],"продажа"),'Свод ПП Д5'!F12+'Свод ПП Д4'!F27)</f>
        <v>6</v>
      </c>
      <c r="G45" s="192">
        <f t="shared" ca="1" si="5"/>
        <v>91</v>
      </c>
      <c r="H45" s="192">
        <f ca="1">IF(TODAY()&gt;=$B46,SUMIFS(РД[S],РД[Состояние],"Продажа",РД[Дата подачи на регистрацию],"&gt;="&amp;DATE(YEAR($B45),MONTH($B45),1),РД[Дата подачи на регистрацию],"&lt;"&amp;$B46),'Свод ПП Д4'!H27+'Свод ПП Д5'!H12)</f>
        <v>3847.7700000000013</v>
      </c>
      <c r="I45" s="192">
        <f ca="1">IF(TODAY()&gt;=$B46,SUMIFS(РД[Стоимость без отделки итог],РД[Состояние],"Продажа",РД[Дата подачи на регистрацию],"&gt;="&amp;DATE(YEAR($B45),MONTH($B45),1),РД[Дата подачи на регистрацию],"&lt;"&amp;$B46),'Свод ПП Д4'!I27+'Свод ПП Д5'!I12)</f>
        <v>340566268.45000005</v>
      </c>
      <c r="J45" s="193">
        <f t="shared" ca="1" si="6"/>
        <v>88510.037879083189</v>
      </c>
      <c r="K45" s="20"/>
      <c r="L45" s="365"/>
      <c r="M45"/>
    </row>
    <row r="46" spans="2:13" hidden="1" x14ac:dyDescent="0.25">
      <c r="B46" s="210">
        <v>45200</v>
      </c>
      <c r="C46" s="192">
        <f ca="1">IF(TODAY()&gt;=$B47,COUNTIFS(РД[Дата подачи на регистрацию],"&gt;="&amp;DATE(YEAR($B46),MONTH($B46),1),РД[Дата подачи на регистрацию],"&lt;"&amp;$B47,РД[Тип кв],C$36,РД[Состояние],"продажа"),'Свод ПП Д5'!C13+'Свод ПП Д4'!C28)</f>
        <v>1</v>
      </c>
      <c r="D46" s="192">
        <f ca="1">IF(TODAY()&gt;=$B47,COUNTIFS(РД[Дата подачи на регистрацию],"&gt;="&amp;DATE(YEAR($B46),MONTH($B46),1),РД[Дата подачи на регистрацию],"&lt;"&amp;$B47,РД[Тип кв],D$36,РД[Состояние],"продажа"),'Свод ПП Д5'!D13+'Свод ПП Д4'!D28)</f>
        <v>14</v>
      </c>
      <c r="E46" s="192">
        <f ca="1">IF(TODAY()&gt;=$B47,COUNTIFS(РД[Дата подачи на регистрацию],"&gt;="&amp;DATE(YEAR($B46),MONTH($B46),1),РД[Дата подачи на регистрацию],"&lt;"&amp;$B47,РД[Тип кв],E$36,РД[Состояние],"продажа"),'Свод ПП Д5'!E13+'Свод ПП Д4'!E28)</f>
        <v>14</v>
      </c>
      <c r="F46" s="192">
        <f ca="1">IF(TODAY()&gt;=$B47,COUNTIFS(РД[Дата подачи на регистрацию],"&gt;="&amp;DATE(YEAR($B46),MONTH($B46),1),РД[Дата подачи на регистрацию],"&lt;"&amp;$B47,РД[Тип кв],F$36,РД[Состояние],"продажа"),'Свод ПП Д5'!F13+'Свод ПП Д4'!F28)</f>
        <v>2</v>
      </c>
      <c r="G46" s="192">
        <f t="shared" ca="1" si="5"/>
        <v>31</v>
      </c>
      <c r="H46" s="192">
        <f ca="1">IF(TODAY()&gt;=$B47,SUMIFS(РД[S],РД[Состояние],"Продажа",РД[Дата подачи на регистрацию],"&gt;="&amp;DATE(YEAR($B46),MONTH($B46),1),РД[Дата подачи на регистрацию],"&lt;"&amp;$B47),'Свод ПП Д4'!H28+'Свод ПП Д5'!H13)</f>
        <v>1630.6099999999997</v>
      </c>
      <c r="I46" s="192">
        <f ca="1">IF(TODAY()&gt;=$B47,SUMIFS(РД[Стоимость без отделки итог],РД[Состояние],"Продажа",РД[Дата подачи на регистрацию],"&gt;="&amp;DATE(YEAR($B46),MONTH($B46),1),РД[Дата подачи на регистрацию],"&lt;"&amp;$B47),'Свод ПП Д4'!I28+'Свод ПП Д5'!I13)</f>
        <v>145742684.95999998</v>
      </c>
      <c r="J46" s="193">
        <f t="shared" ca="1" si="6"/>
        <v>89379.241486314946</v>
      </c>
      <c r="K46" s="20"/>
      <c r="L46" s="366"/>
      <c r="M46"/>
    </row>
    <row r="47" spans="2:13" hidden="1" x14ac:dyDescent="0.25">
      <c r="B47" s="210">
        <v>45231</v>
      </c>
      <c r="C47" s="192">
        <f ca="1">IF(TODAY()&gt;=$B48,COUNTIFS(РД[Дата подачи на регистрацию],"&gt;="&amp;DATE(YEAR($B47),MONTH($B47),1),РД[Дата подачи на регистрацию],"&lt;"&amp;$B48,РД[Тип кв],C$36,РД[Состояние],"продажа"),'Свод ПП Д5'!C14+'Свод ПП Д4'!C29)</f>
        <v>4</v>
      </c>
      <c r="D47" s="192">
        <f ca="1">IF(TODAY()&gt;=$B48,COUNTIFS(РД[Дата подачи на регистрацию],"&gt;="&amp;DATE(YEAR($B47),MONTH($B47),1),РД[Дата подачи на регистрацию],"&lt;"&amp;$B48,РД[Тип кв],D$36,РД[Состояние],"продажа"),'Свод ПП Д5'!D14+'Свод ПП Д4'!D29)</f>
        <v>15</v>
      </c>
      <c r="E47" s="192">
        <f ca="1">IF(TODAY()&gt;=$B48,COUNTIFS(РД[Дата подачи на регистрацию],"&gt;="&amp;DATE(YEAR($B47),MONTH($B47),1),РД[Дата подачи на регистрацию],"&lt;"&amp;$B48,РД[Тип кв],E$36,РД[Состояние],"продажа"),'Свод ПП Д5'!E14+'Свод ПП Д4'!E29)</f>
        <v>28</v>
      </c>
      <c r="F47" s="192">
        <f ca="1">IF(TODAY()&gt;=$B48,COUNTIFS(РД[Дата подачи на регистрацию],"&gt;="&amp;DATE(YEAR($B47),MONTH($B47),1),РД[Дата подачи на регистрацию],"&lt;"&amp;$B48,РД[Тип кв],F$36,РД[Состояние],"продажа"),'Свод ПП Д5'!F14+'Свод ПП Д4'!F29)</f>
        <v>2</v>
      </c>
      <c r="G47" s="192">
        <f t="shared" ca="1" si="5"/>
        <v>49</v>
      </c>
      <c r="H47" s="192">
        <f ca="1">IF(TODAY()&gt;=$B48,SUMIFS(РД[S],РД[Состояние],"Продажа",РД[Дата подачи на регистрацию],"&gt;="&amp;DATE(YEAR($B47),MONTH($B47),1),РД[Дата подачи на регистрацию],"&lt;"&amp;$B48),'Свод ПП Д4'!H29+'Свод ПП Д5'!H14)</f>
        <v>2595.7799999999997</v>
      </c>
      <c r="I47" s="192">
        <f ca="1">IF(TODAY()&gt;=$B48,SUMIFS(РД[Стоимость без отделки итог],РД[Состояние],"Продажа",РД[Дата подачи на регистрацию],"&gt;="&amp;DATE(YEAR($B47),MONTH($B47),1),РД[Дата подачи на регистрацию],"&lt;"&amp;$B48),'Свод ПП Д4'!I29+'Свод ПП Д5'!I14)</f>
        <v>234575420.16900006</v>
      </c>
      <c r="J47" s="193">
        <f t="shared" ca="1" si="6"/>
        <v>90367.989648198258</v>
      </c>
      <c r="K47" s="20"/>
      <c r="L47" s="367"/>
      <c r="M47"/>
    </row>
    <row r="48" spans="2:13" hidden="1" x14ac:dyDescent="0.25">
      <c r="B48" s="210">
        <v>45261</v>
      </c>
      <c r="C48" s="192">
        <f ca="1">IF(TODAY()&gt;=$B55,COUNTIFS(РД[Дата подачи на регистрацию],"&gt;="&amp;DATE(YEAR($B48),MONTH($B48),1),РД[Дата подачи на регистрацию],"&lt;"&amp;$B55,РД[Тип кв],C$36,РД[Состояние],"продажа"),'Свод ПП Д5'!C15+'Свод ПП Д4'!C30)</f>
        <v>4</v>
      </c>
      <c r="D48" s="192">
        <f ca="1">IF(TODAY()&gt;=$B49,COUNTIFS(РД[Дата подачи на регистрацию],"&gt;="&amp;DATE(YEAR($B48),MONTH($B48),1),РД[Дата подачи на регистрацию],"&lt;"&amp;$B49,РД[Тип кв],D$36,РД[Состояние],"продажа"),'Свод ПП Д5'!D15+'Свод ПП Д4'!D30)</f>
        <v>16</v>
      </c>
      <c r="E48" s="192">
        <f ca="1">IF(TODAY()&gt;=$B49,COUNTIFS(РД[Дата подачи на регистрацию],"&gt;="&amp;DATE(YEAR($B48),MONTH($B48),1),РД[Дата подачи на регистрацию],"&lt;"&amp;$B49,РД[Тип кв],E$36,РД[Состояние],"продажа"),'Свод ПП Д5'!E15+'Свод ПП Д4'!E30)</f>
        <v>25</v>
      </c>
      <c r="F48" s="192">
        <f ca="1">IF(TODAY()&gt;=$B49,COUNTIFS(РД[Дата подачи на регистрацию],"&gt;="&amp;DATE(YEAR($B48),MONTH($B48),1),РД[Дата подачи на регистрацию],"&lt;"&amp;$B49,РД[Тип кв],F$36,РД[Состояние],"продажа"),'Свод ПП Д5'!F15+'Свод ПП Д4'!F30)</f>
        <v>4</v>
      </c>
      <c r="G48" s="192">
        <f t="shared" ca="1" si="5"/>
        <v>49</v>
      </c>
      <c r="H48" s="192">
        <f ca="1">IF(TODAY()&gt;=$B49,SUMIFS(РД[S],РД[Состояние],"Продажа",РД[Дата подачи на регистрацию],"&gt;="&amp;DATE(YEAR($B48),MONTH($B48),1),РД[Дата подачи на регистрацию],"&lt;"&amp;$B49),'Свод ПП Д4'!H30+'Свод ПП Д5'!H15)</f>
        <v>2657.6400000000003</v>
      </c>
      <c r="I48" s="192">
        <f ca="1">IF(TODAY()&gt;=$B49,SUMIFS(РД[Стоимость без отделки итог],РД[Состояние],"Продажа",РД[Дата подачи на регистрацию],"&gt;="&amp;DATE(YEAR($B48),MONTH($B48),1),РД[Дата подачи на регистрацию],"&lt;"&amp;$B49),'Свод ПП Д4'!I30+'Свод ПП Д5'!I15)</f>
        <v>239950220.40000004</v>
      </c>
      <c r="J48" s="193">
        <f t="shared" ca="1" si="6"/>
        <v>90286.953989253627</v>
      </c>
      <c r="K48" s="20"/>
      <c r="M48"/>
    </row>
    <row r="49" spans="2:13" hidden="1" x14ac:dyDescent="0.25">
      <c r="B49" s="255" t="s">
        <v>4317</v>
      </c>
      <c r="C49" s="250">
        <v>0</v>
      </c>
      <c r="D49" s="250">
        <v>1</v>
      </c>
      <c r="E49" s="250">
        <v>1</v>
      </c>
      <c r="F49" s="250">
        <v>0</v>
      </c>
      <c r="G49" s="250">
        <v>2</v>
      </c>
      <c r="H49" s="250">
        <v>92.36</v>
      </c>
      <c r="I49" s="250">
        <v>8823296.9299999997</v>
      </c>
      <c r="J49" s="251">
        <v>95531.582178432218</v>
      </c>
      <c r="K49"/>
      <c r="M49"/>
    </row>
    <row r="50" spans="2:13" ht="15.75" hidden="1" thickBot="1" x14ac:dyDescent="0.3">
      <c r="B50" s="252" t="s">
        <v>4184</v>
      </c>
      <c r="C50" s="253">
        <v>0</v>
      </c>
      <c r="D50" s="253">
        <v>1</v>
      </c>
      <c r="E50" s="253">
        <v>0</v>
      </c>
      <c r="F50" s="253">
        <v>0</v>
      </c>
      <c r="G50" s="253">
        <v>1</v>
      </c>
      <c r="H50" s="253">
        <v>37.15</v>
      </c>
      <c r="I50" s="253">
        <v>3545659.16</v>
      </c>
      <c r="J50" s="254">
        <v>95441.700134589511</v>
      </c>
      <c r="K50"/>
      <c r="M50"/>
    </row>
    <row r="51" spans="2:13" ht="15.75" thickBot="1" x14ac:dyDescent="0.3">
      <c r="B51" s="223" t="s">
        <v>30</v>
      </c>
      <c r="C51" s="205">
        <f ca="1">SUM(C37:C50)</f>
        <v>105</v>
      </c>
      <c r="D51" s="205">
        <f t="shared" ref="D51:F51" ca="1" si="7">SUM(D37:D50)</f>
        <v>179</v>
      </c>
      <c r="E51" s="205">
        <f t="shared" ca="1" si="7"/>
        <v>181</v>
      </c>
      <c r="F51" s="205">
        <f t="shared" ca="1" si="7"/>
        <v>51</v>
      </c>
      <c r="G51" s="205">
        <f ca="1">SUM(G37:G50)</f>
        <v>516</v>
      </c>
      <c r="H51" s="205">
        <f ca="1">SUM(H37:H50)</f>
        <v>24501.820000000003</v>
      </c>
      <c r="I51" s="205">
        <f t="shared" ref="I51" ca="1" si="8">SUM(I37:I50)</f>
        <v>2099734704.2890003</v>
      </c>
      <c r="J51" s="239">
        <f t="shared" ca="1" si="6"/>
        <v>85697.091248282784</v>
      </c>
      <c r="K51" s="224"/>
      <c r="M51"/>
    </row>
    <row r="52" spans="2:13" x14ac:dyDescent="0.25">
      <c r="C52" s="19"/>
      <c r="D52" s="19"/>
      <c r="E52" s="19"/>
      <c r="F52" s="19"/>
      <c r="G52" s="22"/>
      <c r="H52" s="22"/>
      <c r="I52" s="33"/>
      <c r="J52"/>
      <c r="K52" s="1"/>
      <c r="M52"/>
    </row>
    <row r="53" spans="2:13" ht="15.75" thickBot="1" x14ac:dyDescent="0.3">
      <c r="B53" s="28" t="s">
        <v>3794</v>
      </c>
      <c r="G53" s="17"/>
      <c r="H53" s="17"/>
      <c r="I53" s="33"/>
      <c r="J53"/>
      <c r="M53"/>
    </row>
    <row r="54" spans="2:13" ht="15.75" thickBot="1" x14ac:dyDescent="0.3">
      <c r="B54" s="184" t="s">
        <v>0</v>
      </c>
      <c r="C54" s="185" t="s">
        <v>4</v>
      </c>
      <c r="D54" s="185" t="s">
        <v>22</v>
      </c>
      <c r="E54" s="185" t="s">
        <v>23</v>
      </c>
      <c r="F54" s="185" t="s">
        <v>24</v>
      </c>
      <c r="G54" s="185" t="s">
        <v>59</v>
      </c>
      <c r="H54" s="186" t="s">
        <v>51</v>
      </c>
      <c r="I54" s="186" t="s">
        <v>58</v>
      </c>
      <c r="J54" s="495" t="s">
        <v>17</v>
      </c>
      <c r="K54" s="497" t="s">
        <v>7191</v>
      </c>
      <c r="M54"/>
    </row>
    <row r="55" spans="2:13" ht="15.75" hidden="1" thickBot="1" x14ac:dyDescent="0.3">
      <c r="B55" s="392">
        <v>45292</v>
      </c>
      <c r="C55" s="393">
        <f ca="1">'Свод ПП Д4'!C34+'Свод ПП Д5'!C19+'Свод ПП 402'!C4</f>
        <v>3</v>
      </c>
      <c r="D55" s="393">
        <f ca="1">'Свод ПП Д4'!D34+'Свод ПП Д5'!D19+'Свод ПП 401'!C4+'Свод ПП 402'!D4</f>
        <v>5</v>
      </c>
      <c r="E55" s="393">
        <f ca="1">'Свод ПП Д4'!E34+'Свод ПП Д5'!E19+'Свод ПП 401'!D4+'Свод ПП 402'!E4</f>
        <v>5</v>
      </c>
      <c r="F55" s="393">
        <f ca="1">'Свод ПП Д4'!F34+'Свод ПП Д5'!F19+'Свод ПП 401'!E4+'Свод ПП 402'!F4</f>
        <v>3</v>
      </c>
      <c r="G55" s="393">
        <f t="shared" ref="G55:G63" ca="1" si="9">SUM(C55:F55)</f>
        <v>16</v>
      </c>
      <c r="H55" s="393">
        <f ca="1">'Свод ПП Д5'!H19+'Свод ПП Д4'!H34+'Свод ПП 401'!G4+'Свод ПП 402'!H4</f>
        <v>832.6099999999999</v>
      </c>
      <c r="I55" s="393">
        <f ca="1">'Свод ПП Д4'!I34+'Свод ПП Д5'!I19+'Свод ПП 401'!H4+'Свод ПП 402'!I4</f>
        <v>81459302.719999999</v>
      </c>
      <c r="J55" s="496">
        <f t="shared" ref="J55:J62" ca="1" si="10">IFERROR(I55/H55,"")</f>
        <v>97836.084985767651</v>
      </c>
      <c r="K55" s="498"/>
      <c r="M55"/>
    </row>
    <row r="56" spans="2:13" ht="15.75" hidden="1" thickBot="1" x14ac:dyDescent="0.3">
      <c r="B56" s="392">
        <v>45323</v>
      </c>
      <c r="C56" s="393">
        <f ca="1">'Свод ПП Д4'!C35+'Свод ПП Д5'!C20+'Свод ПП 402'!C5</f>
        <v>3</v>
      </c>
      <c r="D56" s="393">
        <f ca="1">'Свод ПП Д4'!D35+'Свод ПП Д5'!D20+'Свод ПП 401'!C5+'Свод ПП 402'!D5</f>
        <v>7</v>
      </c>
      <c r="E56" s="393">
        <f ca="1">'Свод ПП Д4'!E35+'Свод ПП Д5'!E20+'Свод ПП 401'!D5+'Свод ПП 402'!E5</f>
        <v>11</v>
      </c>
      <c r="F56" s="393">
        <f ca="1">'Свод ПП Д4'!F35+'Свод ПП Д5'!F20+'Свод ПП 401'!E5+'Свод ПП 402'!F5</f>
        <v>1</v>
      </c>
      <c r="G56" s="393">
        <f t="shared" ca="1" si="9"/>
        <v>22</v>
      </c>
      <c r="H56" s="393">
        <f ca="1">'Свод ПП Д5'!H20+'Свод ПП Д4'!H35+'Свод ПП 401'!G5+'Свод ПП 402'!H5</f>
        <v>1122.24</v>
      </c>
      <c r="I56" s="393">
        <f ca="1">'Свод ПП Д4'!I35+'Свод ПП Д5'!I20+'Свод ПП 401'!H5+'Свод ПП 402'!I5</f>
        <v>107726054.0073</v>
      </c>
      <c r="J56" s="496">
        <f t="shared" ca="1" si="10"/>
        <v>95991.992806618902</v>
      </c>
      <c r="K56" s="499"/>
      <c r="M56"/>
    </row>
    <row r="57" spans="2:13" ht="15.75" hidden="1" thickBot="1" x14ac:dyDescent="0.3">
      <c r="B57" s="392">
        <v>45352</v>
      </c>
      <c r="C57" s="393">
        <f ca="1">'Свод ПП Д4'!C36+'Свод ПП Д5'!C21+'Свод ПП 402'!C6</f>
        <v>2</v>
      </c>
      <c r="D57" s="393">
        <f ca="1">'Свод ПП Д4'!D36+'Свод ПП Д5'!D21+'Свод ПП 401'!C6+'Свод ПП 402'!D6</f>
        <v>13</v>
      </c>
      <c r="E57" s="393">
        <f ca="1">'Свод ПП Д4'!E36+'Свод ПП Д5'!E21+'Свод ПП 401'!D6+'Свод ПП 402'!E6</f>
        <v>15</v>
      </c>
      <c r="F57" s="393">
        <f ca="1">'Свод ПП Д4'!F36+'Свод ПП Д5'!F21+'Свод ПП 401'!E6+'Свод ПП 402'!F6</f>
        <v>2</v>
      </c>
      <c r="G57" s="393">
        <f t="shared" ca="1" si="9"/>
        <v>32</v>
      </c>
      <c r="H57" s="393">
        <f ca="1">'Свод ПП Д5'!H21+'Свод ПП Д4'!H36+'Свод ПП 401'!G6+'Свод ПП 402'!H6</f>
        <v>1655.1600000000003</v>
      </c>
      <c r="I57" s="393">
        <f ca="1">'Свод ПП Д4'!I36+'Свод ПП Д5'!I21+'Свод ПП 401'!H6+'Свод ПП 402'!I6</f>
        <v>163347896.72</v>
      </c>
      <c r="J57" s="496">
        <f t="shared" ca="1" si="10"/>
        <v>98690.09444404165</v>
      </c>
      <c r="K57" s="499">
        <v>7</v>
      </c>
      <c r="M57"/>
    </row>
    <row r="58" spans="2:13" ht="15.75" hidden="1" thickBot="1" x14ac:dyDescent="0.3">
      <c r="B58" s="437">
        <v>45383</v>
      </c>
      <c r="C58" s="393">
        <f ca="1">'Свод ПП Д4'!C37+'Свод ПП Д5'!C22+'Свод ПП 402'!C7</f>
        <v>2</v>
      </c>
      <c r="D58" s="393">
        <f ca="1">'Свод ПП Д4'!D37+'Свод ПП Д5'!D22+'Свод ПП 401'!C7+'Свод ПП 402'!D7</f>
        <v>8</v>
      </c>
      <c r="E58" s="393">
        <f ca="1">'Свод ПП Д4'!E37+'Свод ПП Д5'!E22+'Свод ПП 401'!D7+'Свод ПП 402'!E7</f>
        <v>12</v>
      </c>
      <c r="F58" s="393">
        <f ca="1">'Свод ПП Д4'!F37+'Свод ПП Д5'!F22+'Свод ПП 401'!E7+'Свод ПП 402'!F7</f>
        <v>5</v>
      </c>
      <c r="G58" s="393">
        <f t="shared" ca="1" si="9"/>
        <v>27</v>
      </c>
      <c r="H58" s="393">
        <f ca="1">'Свод ПП Д5'!H22+'Свод ПП Д4'!H37+'Свод ПП 401'!G7+'Свод ПП 402'!H7</f>
        <v>1489.6700000000003</v>
      </c>
      <c r="I58" s="393">
        <f ca="1">'Свод ПП Д4'!I37+'Свод ПП Д5'!I22+'Свод ПП 401'!H7+'Свод ПП 402'!I7</f>
        <v>147964870</v>
      </c>
      <c r="J58" s="496">
        <f t="shared" ca="1" si="10"/>
        <v>99327.280538642764</v>
      </c>
      <c r="K58" s="499">
        <v>7</v>
      </c>
      <c r="M58"/>
    </row>
    <row r="59" spans="2:13" ht="15.75" hidden="1" thickBot="1" x14ac:dyDescent="0.3">
      <c r="B59" s="437">
        <v>45413</v>
      </c>
      <c r="C59" s="393">
        <f ca="1">'Свод ПП Д4'!C38+'Свод ПП Д5'!C23+'Свод ПП 402'!C8</f>
        <v>10</v>
      </c>
      <c r="D59" s="393">
        <f ca="1">'Свод ПП Д4'!D38+'Свод ПП Д5'!D23+'Свод ПП 401'!C8+'Свод ПП 402'!D8</f>
        <v>10</v>
      </c>
      <c r="E59" s="393">
        <f ca="1">'Свод ПП Д4'!E38+'Свод ПП Д5'!E23+'Свод ПП 401'!D8+'Свод ПП 402'!E8</f>
        <v>11</v>
      </c>
      <c r="F59" s="393">
        <f ca="1">'Свод ПП Д4'!F38+'Свод ПП Д5'!F23+'Свод ПП 401'!E8+'Свод ПП 402'!F8</f>
        <v>7</v>
      </c>
      <c r="G59" s="393">
        <f t="shared" ca="1" si="9"/>
        <v>38</v>
      </c>
      <c r="H59" s="393">
        <f ca="1">'Свод ПП Д5'!H23+'Свод ПП Д4'!H38+'Свод ПП 401'!G8+'Свод ПП 402'!H8</f>
        <v>1859.3900000000003</v>
      </c>
      <c r="I59" s="393">
        <f ca="1">'Свод ПП Д4'!I38+'Свод ПП Д5'!I23+'Свод ПП 401'!H8+'Свод ПП 402'!I8</f>
        <v>192280046</v>
      </c>
      <c r="J59" s="496">
        <f t="shared" ca="1" si="10"/>
        <v>103410.28294225523</v>
      </c>
      <c r="K59" s="499">
        <v>7</v>
      </c>
      <c r="M59"/>
    </row>
    <row r="60" spans="2:13" ht="15.75" hidden="1" thickBot="1" x14ac:dyDescent="0.3">
      <c r="B60" s="437">
        <v>45444</v>
      </c>
      <c r="C60" s="393">
        <f ca="1">'Свод ПП Д4'!C39+'Свод ПП Д5'!C24+'Свод ПП 402'!C9</f>
        <v>3</v>
      </c>
      <c r="D60" s="393">
        <f ca="1">'Свод ПП Д4'!D39+'Свод ПП Д5'!D24+'Свод ПП 401'!C9+'Свод ПП 402'!D9</f>
        <v>21</v>
      </c>
      <c r="E60" s="393">
        <f ca="1">'Свод ПП Д4'!E39+'Свод ПП Д5'!E24+'Свод ПП 401'!D9+'Свод ПП 402'!E9</f>
        <v>25</v>
      </c>
      <c r="F60" s="393">
        <f ca="1">'Свод ПП Д4'!F39+'Свод ПП Д5'!F24+'Свод ПП 401'!E9+'Свод ПП 402'!F9</f>
        <v>7</v>
      </c>
      <c r="G60" s="393">
        <f t="shared" ca="1" si="9"/>
        <v>56</v>
      </c>
      <c r="H60" s="393">
        <f ca="1">'Свод ПП Д5'!H24+'Свод ПП Д4'!H39+'Свод ПП 401'!G9+'Свод ПП 402'!H9</f>
        <v>2973.5499999999988</v>
      </c>
      <c r="I60" s="393">
        <f ca="1">'Свод ПП Д4'!I39+'Свод ПП Д5'!I24+'Свод ПП 401'!H9+'Свод ПП 402'!I9</f>
        <v>304932959</v>
      </c>
      <c r="J60" s="496">
        <f t="shared" ca="1" si="10"/>
        <v>102548.45521346542</v>
      </c>
      <c r="K60" s="499">
        <v>9</v>
      </c>
      <c r="M60"/>
    </row>
    <row r="61" spans="2:13" ht="15.75" hidden="1" thickBot="1" x14ac:dyDescent="0.3">
      <c r="B61" s="437">
        <v>45474</v>
      </c>
      <c r="C61" s="393">
        <f ca="1">'Свод ПП Д4'!C40+'Свод ПП Д5'!C25+'Свод ПП 402'!C10</f>
        <v>2</v>
      </c>
      <c r="D61" s="393">
        <f ca="1">'Свод ПП Д4'!D40+'Свод ПП Д5'!D25+'Свод ПП 401'!C10+'Свод ПП 402'!D10</f>
        <v>3</v>
      </c>
      <c r="E61" s="393">
        <f ca="1">'Свод ПП Д4'!E40+'Свод ПП Д5'!E25+'Свод ПП 401'!D10+'Свод ПП 402'!E10</f>
        <v>8</v>
      </c>
      <c r="F61" s="393">
        <f ca="1">'Свод ПП Д4'!F40+'Свод ПП Д5'!F25+'Свод ПП 401'!E10+'Свод ПП 402'!F10</f>
        <v>3</v>
      </c>
      <c r="G61" s="393">
        <f t="shared" ca="1" si="9"/>
        <v>16</v>
      </c>
      <c r="H61" s="393">
        <f ca="1">'Свод ПП Д5'!H25+'Свод ПП Д4'!H40+'Свод ПП 401'!G10+'Свод ПП 402'!H10</f>
        <v>899.73999999999978</v>
      </c>
      <c r="I61" s="393">
        <f ca="1">'Свод ПП Д4'!I40+'Свод ПП Д5'!I25+'Свод ПП 401'!H10+'Свод ПП 402'!I10</f>
        <v>90461061</v>
      </c>
      <c r="J61" s="496">
        <f t="shared" ca="1" si="10"/>
        <v>100541.33527463491</v>
      </c>
      <c r="K61" s="499">
        <v>9</v>
      </c>
      <c r="M61"/>
    </row>
    <row r="62" spans="2:13" s="245" customFormat="1" ht="15.75" hidden="1" thickBot="1" x14ac:dyDescent="0.3">
      <c r="B62" s="437">
        <v>45505</v>
      </c>
      <c r="C62" s="393">
        <f ca="1">'Свод ПП Д4'!C41+'Свод ПП Д5'!C26+'Свод ПП 402'!C11</f>
        <v>3</v>
      </c>
      <c r="D62" s="393">
        <f ca="1">'Свод ПП Д4'!D41+'Свод ПП Д5'!D26+'Свод ПП 401'!C11+'Свод ПП 402'!D11</f>
        <v>6</v>
      </c>
      <c r="E62" s="393">
        <f ca="1">'Свод ПП Д4'!E41+'Свод ПП Д5'!E26+'Свод ПП 401'!D11+'Свод ПП 402'!E11</f>
        <v>8</v>
      </c>
      <c r="F62" s="393">
        <f ca="1">'Свод ПП Д4'!F41+'Свод ПП Д5'!F26+'Свод ПП 401'!E11+'Свод ПП 402'!F11</f>
        <v>2</v>
      </c>
      <c r="G62" s="393">
        <f t="shared" ca="1" si="9"/>
        <v>19</v>
      </c>
      <c r="H62" s="393">
        <f ca="1">'Свод ПП Д5'!H26+'Свод ПП Д4'!H41+'Свод ПП 401'!G11+'Свод ПП 402'!H11</f>
        <v>962.4</v>
      </c>
      <c r="I62" s="393">
        <f ca="1">'Свод ПП Д4'!I41+'Свод ПП Д5'!I26+'Свод ПП 401'!H11+'Свод ПП 402'!I11</f>
        <v>101773290</v>
      </c>
      <c r="J62" s="496">
        <f t="shared" ca="1" si="10"/>
        <v>105749.47007481297</v>
      </c>
      <c r="K62" s="499">
        <v>14</v>
      </c>
    </row>
    <row r="63" spans="2:13" ht="15.75" hidden="1" thickBot="1" x14ac:dyDescent="0.3">
      <c r="B63" s="437">
        <v>45536</v>
      </c>
      <c r="C63" s="393">
        <f ca="1">'Свод ПП Д4'!C42+'Свод ПП Д5'!C27</f>
        <v>1</v>
      </c>
      <c r="D63" s="393">
        <f ca="1">'Свод ПП Д4'!D42+'Свод ПП Д5'!D27+'Свод ПП 401'!C12</f>
        <v>3</v>
      </c>
      <c r="E63" s="393">
        <f ca="1">'Свод ПП Д4'!E42+'Свод ПП Д5'!E27+'Свод ПП 401'!D12</f>
        <v>11</v>
      </c>
      <c r="F63" s="393">
        <f ca="1">'Свод ПП Д4'!F42+'Свод ПП Д5'!F27+'Свод ПП 401'!E12</f>
        <v>2</v>
      </c>
      <c r="G63" s="393">
        <f t="shared" ca="1" si="9"/>
        <v>17</v>
      </c>
      <c r="H63" s="393">
        <f ca="1">'Свод ПП Д5'!H27+'Свод ПП Д4'!H42+'Свод ПП 401'!G12</f>
        <v>956.49</v>
      </c>
      <c r="I63" s="393">
        <f ca="1">'Свод ПП Д4'!I42+'Свод ПП Д5'!I27+'Свод ПП 401'!H12</f>
        <v>98069677.599999994</v>
      </c>
      <c r="J63" s="496">
        <f ca="1">IFERROR(I63/H63,"")</f>
        <v>102530.79237629248</v>
      </c>
      <c r="K63" s="499">
        <v>14</v>
      </c>
      <c r="M63"/>
    </row>
    <row r="64" spans="2:13" s="245" customFormat="1" ht="15.75" hidden="1" thickBot="1" x14ac:dyDescent="0.3">
      <c r="B64" s="437">
        <v>45566</v>
      </c>
      <c r="C64" s="393">
        <f ca="1">'Свод ПП Д4'!C43+'Свод ПП Д5'!C28</f>
        <v>8</v>
      </c>
      <c r="D64" s="393">
        <f ca="1">'Свод ПП Д4'!D43+'Свод ПП Д5'!D28+'Свод ПП 401'!C13+'Свод ПП 402'!D13</f>
        <v>15</v>
      </c>
      <c r="E64" s="393">
        <f ca="1">'Свод ПП Д4'!E43+'Свод ПП Д5'!E28+'Свод ПП 401'!D13</f>
        <v>10</v>
      </c>
      <c r="F64" s="393">
        <f ca="1">'Свод ПП Д4'!F43+'Свод ПП Д5'!F28+'Свод ПП 401'!E13</f>
        <v>5</v>
      </c>
      <c r="G64" s="393">
        <f t="shared" ref="G64:G66" ca="1" si="11">SUM(C64:F64)</f>
        <v>38</v>
      </c>
      <c r="H64" s="393">
        <f ca="1">'Свод ПП Д5'!H28+'Свод ПП Д4'!H43+'Свод ПП 401'!G13</f>
        <v>1822.2500000000002</v>
      </c>
      <c r="I64" s="393">
        <f ca="1">'Свод ПП Д4'!I43+'Свод ПП Д5'!I28+'Свод ПП 401'!H13</f>
        <v>195436962</v>
      </c>
      <c r="J64" s="496">
        <f t="shared" ref="J64:J66" ca="1" si="12">IFERROR(I64/H64,"")</f>
        <v>107250.35642749348</v>
      </c>
      <c r="K64" s="499">
        <v>6</v>
      </c>
    </row>
    <row r="65" spans="2:15" ht="15.75" hidden="1" thickBot="1" x14ac:dyDescent="0.3">
      <c r="B65" s="437">
        <v>45597</v>
      </c>
      <c r="C65" s="393">
        <f ca="1">'Свод ПП Д4'!C44+'Свод ПП Д5'!C29</f>
        <v>4</v>
      </c>
      <c r="D65" s="393">
        <f ca="1">'Свод ПП Д4'!D44+'Свод ПП Д5'!D29+'Свод ПП 401'!C14+'Свод ПП 402'!D14</f>
        <v>4</v>
      </c>
      <c r="E65" s="393">
        <f ca="1">'Свод ПП Д4'!E44+'Свод ПП Д5'!E29+'Свод ПП 401'!D14</f>
        <v>12</v>
      </c>
      <c r="F65" s="393">
        <f ca="1">'Свод ПП Д4'!F44+'Свод ПП Д5'!F29+'Свод ПП 401'!E14</f>
        <v>0</v>
      </c>
      <c r="G65" s="393">
        <f t="shared" ca="1" si="11"/>
        <v>20</v>
      </c>
      <c r="H65" s="393">
        <f ca="1">'Свод ПП Д5'!H29+'Свод ПП Д4'!H44+'Свод ПП 401'!G14</f>
        <v>1005.5000000000001</v>
      </c>
      <c r="I65" s="393">
        <f ca="1">'Свод ПП Д4'!I44+'Свод ПП Д5'!I29+'Свод ПП 401'!H14</f>
        <v>112197975</v>
      </c>
      <c r="J65" s="496">
        <f t="shared" ca="1" si="12"/>
        <v>111584.26156141222</v>
      </c>
      <c r="K65" s="499">
        <v>7</v>
      </c>
      <c r="M65"/>
    </row>
    <row r="66" spans="2:15" ht="15.75" hidden="1" thickBot="1" x14ac:dyDescent="0.3">
      <c r="B66" s="522">
        <v>45627</v>
      </c>
      <c r="C66" s="393">
        <f ca="1">'Свод ПП Д4'!C45+'Свод ПП Д5'!C30+'Свод ПП 402'!C15</f>
        <v>3</v>
      </c>
      <c r="D66" s="393">
        <f ca="1">'Свод ПП Д4'!D45+'Свод ПП Д5'!D30+'Свод ПП 401'!C15+'Свод ПП 402'!D15</f>
        <v>7</v>
      </c>
      <c r="E66" s="393">
        <f ca="1">'Свод ПП Д4'!E45+'Свод ПП Д5'!E30+'Свод ПП 401'!D15+'Свод ПП 402'!E15</f>
        <v>10</v>
      </c>
      <c r="F66" s="393">
        <f ca="1">'Свод ПП Д4'!F45+'Свод ПП Д5'!F30+'Свод ПП 401'!E15+'Свод ПП 402'!F15</f>
        <v>1</v>
      </c>
      <c r="G66" s="393">
        <f t="shared" ca="1" si="11"/>
        <v>21</v>
      </c>
      <c r="H66" s="393">
        <f ca="1">'Свод ПП Д5'!H30+'Свод ПП Д4'!H45+'Свод ПП 401'!G15+'Свод ПП 402'!H15</f>
        <v>1031.95</v>
      </c>
      <c r="I66" s="393">
        <f ca="1">'Свод ПП Д5'!I30+'Свод ПП Д4'!I45+'Свод ПП 401'!H15+'Свод ПП 402'!I15</f>
        <v>125427933</v>
      </c>
      <c r="J66" s="496">
        <f t="shared" ca="1" si="12"/>
        <v>121544.58355540481</v>
      </c>
      <c r="K66" s="523">
        <v>9</v>
      </c>
      <c r="M66"/>
      <c r="O66" s="431"/>
    </row>
    <row r="67" spans="2:15" ht="15.75" thickBot="1" x14ac:dyDescent="0.3">
      <c r="B67" s="325" t="s">
        <v>3249</v>
      </c>
      <c r="C67" s="326">
        <f t="shared" ref="C67:I67" ca="1" si="13">SUM(C55:C66)</f>
        <v>44</v>
      </c>
      <c r="D67" s="326">
        <f t="shared" ca="1" si="13"/>
        <v>102</v>
      </c>
      <c r="E67" s="326">
        <f t="shared" ca="1" si="13"/>
        <v>138</v>
      </c>
      <c r="F67" s="326">
        <f t="shared" ca="1" si="13"/>
        <v>38</v>
      </c>
      <c r="G67" s="326">
        <f t="shared" ca="1" si="13"/>
        <v>322</v>
      </c>
      <c r="H67" s="326">
        <f t="shared" ca="1" si="13"/>
        <v>16610.949999999997</v>
      </c>
      <c r="I67" s="326">
        <f t="shared" ca="1" si="13"/>
        <v>1721078027.0472999</v>
      </c>
      <c r="J67" s="495">
        <f t="shared" ref="J67" ca="1" si="14">I67/H67</f>
        <v>103611.05337426819</v>
      </c>
      <c r="K67" s="187">
        <f>SUM(K54:K66)</f>
        <v>89</v>
      </c>
      <c r="M67"/>
    </row>
    <row r="68" spans="2:15" x14ac:dyDescent="0.25">
      <c r="H68" s="17"/>
      <c r="J68" s="33"/>
      <c r="K68"/>
      <c r="L68" s="23"/>
      <c r="M68"/>
    </row>
    <row r="69" spans="2:15" ht="15" customHeight="1" thickBot="1" x14ac:dyDescent="0.3">
      <c r="B69" s="28" t="s">
        <v>4562</v>
      </c>
      <c r="G69" s="17"/>
      <c r="H69" s="17"/>
      <c r="I69" s="33"/>
      <c r="J69" s="33"/>
      <c r="K69"/>
      <c r="M69"/>
    </row>
    <row r="70" spans="2:15" s="1" customFormat="1" ht="15.75" thickBot="1" x14ac:dyDescent="0.3">
      <c r="B70" s="184" t="s">
        <v>0</v>
      </c>
      <c r="C70" s="77" t="s">
        <v>4</v>
      </c>
      <c r="D70" s="77" t="s">
        <v>22</v>
      </c>
      <c r="E70" s="77" t="s">
        <v>23</v>
      </c>
      <c r="F70" s="77" t="s">
        <v>24</v>
      </c>
      <c r="G70" s="77" t="s">
        <v>59</v>
      </c>
      <c r="H70" s="566" t="s">
        <v>51</v>
      </c>
      <c r="I70" s="566" t="s">
        <v>58</v>
      </c>
      <c r="J70" s="495" t="s">
        <v>17</v>
      </c>
      <c r="K70" s="567" t="s">
        <v>7191</v>
      </c>
      <c r="L70" s="566" t="s">
        <v>8451</v>
      </c>
      <c r="M70" s="568" t="s">
        <v>8452</v>
      </c>
    </row>
    <row r="71" spans="2:15" ht="15" customHeight="1" x14ac:dyDescent="0.25">
      <c r="B71" s="392">
        <v>45658</v>
      </c>
      <c r="C71" s="393">
        <f ca="1">'Свод ПП Д4'!C49+'Свод ПП Д5'!C34+'Свод ПП 402'!C19+'ПП 403'!D19+'ПП 404'!D19+'ПП 3 Квартал'!D19</f>
        <v>1</v>
      </c>
      <c r="D71" s="393">
        <f ca="1">'Свод ПП Д4'!D49+'Свод ПП Д5'!D34+'Свод ПП 401'!C19+'Свод ПП 402'!D19+'ПП 403'!E19+'ПП 404'!E19+'ПП 3 Квартал'!E19</f>
        <v>4</v>
      </c>
      <c r="E71" s="393">
        <f ca="1">'Свод ПП Д4'!E49+'Свод ПП Д5'!E34+'Свод ПП 401'!D19+'Свод ПП 402'!E19+'ПП 403'!F19+'ПП 404'!F19+'ПП 3 Квартал'!F19</f>
        <v>1</v>
      </c>
      <c r="F71" s="393">
        <f ca="1">'Свод ПП Д4'!F49+'Свод ПП Д5'!F34+'Свод ПП 401'!E19+'Свод ПП 402'!F19+'ПП 403'!G19+'ПП 404'!G19+'ПП 3 Квартал'!G19</f>
        <v>0</v>
      </c>
      <c r="G71" s="393">
        <f t="shared" ref="G71" ca="1" si="15">SUM(C71:F71)</f>
        <v>6</v>
      </c>
      <c r="H71" s="393">
        <f ca="1">'Свод ПП Д4'!H49+'Свод ПП Д5'!H34+'Свод ПП 401'!G19+'Свод ПП 402'!H19+'ПП 403'!I19+'ПП 404'!I19+'ПП 3 Квартал'!I19</f>
        <v>234.20999999999998</v>
      </c>
      <c r="I71" s="393">
        <f ca="1">'Свод ПП Д4'!I49+'Свод ПП Д5'!I34+'Свод ПП 401'!H19+'Свод ПП 402'!I19+'ПП 403'!L19+'ПП 404'!L19+'ПП 3 Квартал'!L19</f>
        <v>30441052</v>
      </c>
      <c r="J71" s="496">
        <f t="shared" ref="J71:J83" ca="1" si="16">IFERROR(I71/H71,"")</f>
        <v>129973.3230861193</v>
      </c>
      <c r="K71" s="558">
        <v>5</v>
      </c>
      <c r="L71" s="559">
        <f ca="1">IF($B$1&gt;=$B72,COUNTIFS(РД[Дата подачи на регистрацию],"&gt;="&amp;DATE(YEAR($B71),MONTH($B71),1),РД[Дата подачи на регистрацию],"&lt;"&amp;$B72,РД[Состояние],"Продажа",РД[Источник рекламы],"Н -*"),K71)</f>
        <v>1</v>
      </c>
      <c r="M71" s="560">
        <f t="shared" ref="M71:M83" ca="1" si="17">L71/G71</f>
        <v>0.16666666666666666</v>
      </c>
    </row>
    <row r="72" spans="2:15" x14ac:dyDescent="0.25">
      <c r="B72" s="437">
        <v>45689</v>
      </c>
      <c r="C72" s="393">
        <f ca="1">'Свод ПП Д4'!C50+'Свод ПП Д5'!C35+'Свод ПП 402'!C20+'ПП 403'!D20+'ПП 404'!D20+'ПП 3 Квартал'!D20</f>
        <v>3</v>
      </c>
      <c r="D72" s="393">
        <f ca="1">'Свод ПП Д4'!D50+'Свод ПП Д5'!D35+'Свод ПП 401'!C20+'Свод ПП 402'!D20+'ПП 403'!E20+'ПП 404'!E20+'ПП 3 Квартал'!E20</f>
        <v>18</v>
      </c>
      <c r="E72" s="393">
        <f ca="1">'Свод ПП Д4'!E50+'Свод ПП Д5'!E35+'Свод ПП 401'!D20+'Свод ПП 402'!E20+'ПП 403'!F20+'ПП 404'!F20+'ПП 3 Квартал'!F20</f>
        <v>10</v>
      </c>
      <c r="F72" s="393">
        <f ca="1">'Свод ПП Д4'!F50+'Свод ПП Д5'!F35+'Свод ПП 401'!E20+'Свод ПП 402'!F20+'ПП 403'!G20+'ПП 404'!G20+'ПП 3 Квартал'!G20</f>
        <v>0</v>
      </c>
      <c r="G72" s="393">
        <f t="shared" ref="G72:G82" ca="1" si="18">SUM(C72:F72)</f>
        <v>31</v>
      </c>
      <c r="H72" s="393">
        <f ca="1">'Свод ПП Д4'!H50+'Свод ПП Д5'!H35+'Свод ПП 401'!G20+'Свод ПП 402'!H20+'ПП 403'!I20+'ПП 404'!I20+'ПП 3 Квартал'!I20</f>
        <v>1358.73</v>
      </c>
      <c r="I72" s="393">
        <f ca="1">'Свод ПП Д4'!I50+'Свод ПП Д5'!I35+'Свод ПП 401'!H20+'Свод ПП 402'!I20+'ПП 403'!L20+'ПП 404'!L20+'ПП 3 Квартал'!L20</f>
        <v>171514867</v>
      </c>
      <c r="J72" s="496">
        <f t="shared" ca="1" si="16"/>
        <v>126231.75097333539</v>
      </c>
      <c r="K72" s="620">
        <v>7</v>
      </c>
      <c r="L72" s="618">
        <f ca="1">IF($B$1&gt;=$B73,COUNTIFS(РД[Дата подачи на регистрацию],"&gt;="&amp;DATE(YEAR($B72),MONTH($B72),1),РД[Дата подачи на регистрацию],"&lt;"&amp;$B73,РД[Состояние],"Продажа",РД[Источник рекламы],"Н -*"),K72)</f>
        <v>12</v>
      </c>
      <c r="M72" s="621">
        <f t="shared" ca="1" si="17"/>
        <v>0.38709677419354838</v>
      </c>
    </row>
    <row r="73" spans="2:15" x14ac:dyDescent="0.25">
      <c r="B73" s="437">
        <v>45717</v>
      </c>
      <c r="C73" s="393">
        <f ca="1">'Свод ПП Д4'!C51+'Свод ПП Д5'!C36+'Свод ПП 402'!C21+'ПП 403'!D21+'ПП 404'!D21+'ПП 3 Квартал'!D21</f>
        <v>1</v>
      </c>
      <c r="D73" s="393">
        <f ca="1">'Свод ПП Д4'!D51+'Свод ПП Д5'!D36+'Свод ПП 401'!C21+'Свод ПП 402'!D21+'ПП 403'!E21+'ПП 404'!E21+'ПП 3 Квартал'!E21</f>
        <v>15</v>
      </c>
      <c r="E73" s="393">
        <f ca="1">'Свод ПП Д4'!E51+'Свод ПП Д5'!E36+'Свод ПП 401'!D21+'Свод ПП 402'!E21+'ПП 403'!F21+'ПП 404'!F21+'ПП 3 Квартал'!F21</f>
        <v>13</v>
      </c>
      <c r="F73" s="393">
        <f ca="1">'Свод ПП Д4'!F51+'Свод ПП Д5'!F36+'Свод ПП 401'!E21+'Свод ПП 402'!F21+'ПП 403'!G21+'ПП 404'!G21+'ПП 3 Квартал'!G21</f>
        <v>3</v>
      </c>
      <c r="G73" s="393">
        <f t="shared" ca="1" si="18"/>
        <v>32</v>
      </c>
      <c r="H73" s="393">
        <f ca="1">'Свод ПП Д4'!H51+'Свод ПП Д5'!H36+'Свод ПП 401'!G21+'Свод ПП 402'!H21+'ПП 403'!I21+'ПП 404'!I21+'ПП 3 Квартал'!I21</f>
        <v>1577.97</v>
      </c>
      <c r="I73" s="393">
        <f ca="1">'Свод ПП Д4'!I51+'Свод ПП Д5'!I36+'Свод ПП 401'!H21+'Свод ПП 402'!I21+'ПП 403'!L21+'ПП 404'!L21+'ПП 3 Квартал'!L21</f>
        <v>190120722</v>
      </c>
      <c r="J73" s="496">
        <f t="shared" ca="1" si="16"/>
        <v>120484.37042529325</v>
      </c>
      <c r="K73" s="620">
        <v>10</v>
      </c>
      <c r="L73" s="675">
        <f ca="1">IF($B$1&gt;=$B74,COUNTIFS(РД[Дата подачи на регистрацию],"&gt;="&amp;DATE(YEAR($B73),MONTH($B73),1),РД[Дата подачи на регистрацию],"&lt;"&amp;$B74,РД[Состояние],"Продажа",РД[Источник рекламы],"Н -*"),K73)</f>
        <v>11</v>
      </c>
      <c r="M73" s="621">
        <f t="shared" ca="1" si="17"/>
        <v>0.34375</v>
      </c>
    </row>
    <row r="74" spans="2:15" x14ac:dyDescent="0.25">
      <c r="B74" s="437">
        <v>45748</v>
      </c>
      <c r="C74" s="393">
        <f ca="1">'Свод ПП Д4'!C52+'Свод ПП Д5'!C37+'Свод ПП 402'!C22+'ПП 403'!D22+'ПП 404'!D22+'ПП 3 Квартал'!D22</f>
        <v>2</v>
      </c>
      <c r="D74" s="393">
        <f ca="1">'Свод ПП Д4'!D52+'Свод ПП Д5'!D37+'Свод ПП 401'!C22+'Свод ПП 402'!D22+'ПП 403'!E22+'ПП 404'!E22+'ПП 3 Квартал'!E22</f>
        <v>10</v>
      </c>
      <c r="E74" s="393">
        <f ca="1">'Свод ПП Д4'!E52+'Свод ПП Д5'!E37+'Свод ПП 401'!D22+'Свод ПП 402'!E22+'ПП 403'!F22+'ПП 404'!F22+'ПП 3 Квартал'!F22</f>
        <v>7</v>
      </c>
      <c r="F74" s="393">
        <f ca="1">'Свод ПП Д4'!F52+'Свод ПП Д5'!F37+'Свод ПП 401'!E22+'Свод ПП 402'!F22+'ПП 403'!G22+'ПП 404'!G22+'ПП 3 Квартал'!G22</f>
        <v>2</v>
      </c>
      <c r="G74" s="393">
        <f t="shared" ca="1" si="18"/>
        <v>21</v>
      </c>
      <c r="H74" s="393">
        <f ca="1">'Свод ПП Д4'!H52+'Свод ПП Д5'!H37+'Свод ПП 401'!G22+'Свод ПП 402'!H22+'ПП 403'!I22+'ПП 404'!I22+'ПП 3 Квартал'!I22</f>
        <v>1016.9100000000001</v>
      </c>
      <c r="I74" s="393">
        <f ca="1">'Свод ПП Д4'!I52+'Свод ПП Д5'!I37+'Свод ПП 401'!H22+'Свод ПП 402'!I22+'ПП 403'!L22+'ПП 404'!L22+'ПП 3 Квартал'!L22</f>
        <v>124569868</v>
      </c>
      <c r="J74" s="496">
        <f t="shared" ca="1" si="16"/>
        <v>122498.41972249265</v>
      </c>
      <c r="K74" s="620">
        <v>13</v>
      </c>
      <c r="L74" s="675">
        <f ca="1">IF($B$1&gt;=$B75,COUNTIFS(РД[Дата подачи на регистрацию],"&gt;="&amp;DATE(YEAR($B74),MONTH($B74),1),РД[Дата подачи на регистрацию],"&lt;"&amp;$B75,РД[Состояние],"Продажа",РД[Источник рекламы],"Н -*"),K74)</f>
        <v>3</v>
      </c>
      <c r="M74" s="621">
        <f t="shared" ca="1" si="17"/>
        <v>0.14285714285714285</v>
      </c>
    </row>
    <row r="75" spans="2:15" x14ac:dyDescent="0.25">
      <c r="B75" s="437">
        <v>45778</v>
      </c>
      <c r="C75" s="393">
        <f ca="1">'Свод ПП Д4'!C53+'Свод ПП Д5'!C38+'Свод ПП 402'!C23+'ПП 403'!D23+'ПП 404'!D23+'ПП 3 Квартал'!D23</f>
        <v>0</v>
      </c>
      <c r="D75" s="393">
        <f ca="1">'Свод ПП Д4'!D53+'Свод ПП Д5'!D38+'Свод ПП 401'!C23+'Свод ПП 402'!D23+'ПП 403'!E23+'ПП 404'!E23+'ПП 3 Квартал'!E23</f>
        <v>6</v>
      </c>
      <c r="E75" s="393">
        <f ca="1">'Свод ПП Д4'!E53+'Свод ПП Д5'!E38+'Свод ПП 401'!D23+'Свод ПП 402'!E23+'ПП 403'!F23+'ПП 404'!F23+'ПП 3 Квартал'!F23</f>
        <v>8</v>
      </c>
      <c r="F75" s="393">
        <f ca="1">'Свод ПП Д4'!F53+'Свод ПП Д5'!F38+'Свод ПП 401'!E23+'Свод ПП 402'!F23+'ПП 403'!G23+'ПП 404'!G23+'ПП 3 Квартал'!G23</f>
        <v>2</v>
      </c>
      <c r="G75" s="393">
        <f t="shared" ca="1" si="18"/>
        <v>16</v>
      </c>
      <c r="H75" s="393">
        <f ca="1">'Свод ПП Д4'!H53+'Свод ПП Д5'!H38+'Свод ПП 401'!G23+'Свод ПП 402'!H23+'ПП 403'!I23+'ПП 404'!I23+'ПП 3 Квартал'!I23</f>
        <v>915.71</v>
      </c>
      <c r="I75" s="393">
        <f ca="1">'Свод ПП Д4'!I53+'Свод ПП Д5'!I38+'Свод ПП 401'!H23+'Свод ПП 402'!I23+'ПП 403'!L23+'ПП 404'!L23+'ПП 3 Квартал'!L23</f>
        <v>107125833</v>
      </c>
      <c r="J75" s="496">
        <f t="shared" ca="1" si="16"/>
        <v>116986.63659892323</v>
      </c>
      <c r="K75" s="620">
        <v>13</v>
      </c>
      <c r="L75" s="675">
        <f ca="1">IF($B$1&gt;=$B76,COUNTIFS(РД[Дата подачи на регистрацию],"&gt;="&amp;DATE(YEAR($B75),MONTH($B75),1),РД[Дата подачи на регистрацию],"&lt;"&amp;$B76,РД[Состояние],"Продажа",РД[Источник рекламы],"Н -*"),K75)</f>
        <v>6</v>
      </c>
      <c r="M75" s="621">
        <f t="shared" ca="1" si="17"/>
        <v>0.375</v>
      </c>
    </row>
    <row r="76" spans="2:15" x14ac:dyDescent="0.25">
      <c r="B76" s="437">
        <v>45809</v>
      </c>
      <c r="C76" s="393">
        <f ca="1">'Свод ПП Д4'!C54+'Свод ПП Д5'!C39+'Свод ПП 402'!C24+'ПП 403'!D24+'ПП 404'!D24+'ПП 3 Квартал'!D24</f>
        <v>4</v>
      </c>
      <c r="D76" s="393">
        <f ca="1">'Свод ПП Д4'!D54+'Свод ПП Д5'!D39+'Свод ПП 401'!C24+'Свод ПП 402'!D24+'ПП 403'!E24+'ПП 404'!E24+'ПП 3 Квартал'!E24</f>
        <v>10</v>
      </c>
      <c r="E76" s="393">
        <f ca="1">'Свод ПП Д4'!E54+'Свод ПП Д5'!E39+'Свод ПП 401'!D24+'Свод ПП 402'!E24+'ПП 403'!F24+'ПП 404'!F24+'ПП 3 Квартал'!F24</f>
        <v>10</v>
      </c>
      <c r="F76" s="393">
        <f ca="1">'Свод ПП Д4'!F54+'Свод ПП Д5'!F39+'Свод ПП 401'!E24+'Свод ПП 402'!F24+'ПП 403'!G24+'ПП 404'!G24+'ПП 3 Квартал'!G24</f>
        <v>2</v>
      </c>
      <c r="G76" s="393">
        <f t="shared" ca="1" si="18"/>
        <v>26</v>
      </c>
      <c r="H76" s="393">
        <f ca="1">'Свод ПП Д4'!H54+'Свод ПП Д5'!H39+'Свод ПП 401'!G24+'Свод ПП 402'!H24+'ПП 403'!I24+'ПП 404'!I24+'ПП 3 Квартал'!I24</f>
        <v>1249.6299999999999</v>
      </c>
      <c r="I76" s="393">
        <f ca="1">'Свод ПП Д4'!I54+'Свод ПП Д5'!I39+'Свод ПП 401'!H24+'Свод ПП 402'!I24+'ПП 403'!L24+'ПП 404'!L24+'ПП 3 Квартал'!L24</f>
        <v>149505335</v>
      </c>
      <c r="J76" s="496">
        <f t="shared" ca="1" si="16"/>
        <v>119639.68134567833</v>
      </c>
      <c r="K76" s="620">
        <v>14</v>
      </c>
      <c r="L76" s="676">
        <f ca="1">IF($B$1&gt;=$B77,COUNTIFS(РД[Дата подачи на регистрацию],"&gt;="&amp;DATE(YEAR($B76),MONTH($B76),1),РД[Дата подачи на регистрацию],"&lt;"&amp;$B77,РД[Состояние],"Продажа",РД[Источник рекламы],"Н -*"),K76)</f>
        <v>9</v>
      </c>
      <c r="M76" s="621">
        <f t="shared" ca="1" si="17"/>
        <v>0.34615384615384615</v>
      </c>
    </row>
    <row r="77" spans="2:15" x14ac:dyDescent="0.25">
      <c r="B77" s="329">
        <v>45839</v>
      </c>
      <c r="C77" s="328">
        <f ca="1">'Свод ПП Д4'!C55+'Свод ПП Д5'!C40+'Свод ПП 402'!C25+'ПП 403'!D25+'ПП 404'!D25+'ПП 3 Квартал'!D25</f>
        <v>1</v>
      </c>
      <c r="D77" s="328">
        <f ca="1">'Свод ПП Д4'!D55+'Свод ПП Д5'!D40+'Свод ПП 401'!C25+'Свод ПП 402'!D25+'ПП 403'!E25+'ПП 404'!E25+'ПП 3 Квартал'!E25</f>
        <v>6</v>
      </c>
      <c r="E77" s="328">
        <f ca="1">'Свод ПП Д4'!E55+'Свод ПП Д5'!E40+'Свод ПП 401'!D25+'Свод ПП 402'!E25+'ПП 403'!F25+'ПП 404'!F25+'ПП 3 Квартал'!F25</f>
        <v>6</v>
      </c>
      <c r="F77" s="328">
        <f ca="1">'Свод ПП Д4'!F55+'Свод ПП Д5'!F40+'Свод ПП 401'!E25+'Свод ПП 402'!F25+'ПП 403'!G25+'ПП 404'!G25+'ПП 3 Квартал'!G25</f>
        <v>0</v>
      </c>
      <c r="G77" s="328">
        <f t="shared" ca="1" si="18"/>
        <v>13</v>
      </c>
      <c r="H77" s="328">
        <f ca="1">'Свод ПП Д4'!H55+'Свод ПП Д5'!H40+'Свод ПП 401'!G25+'Свод ПП 402'!H25+'ПП 403'!I25+'ПП 404'!I25+'ПП 3 Квартал'!I25</f>
        <v>601.04999999999995</v>
      </c>
      <c r="I77" s="328">
        <f ca="1">'Свод ПП Д4'!I55+'Свод ПП Д5'!I40+'Свод ПП 401'!H25+'Свод ПП 402'!I25+'ПП 403'!L25+'ПП 404'!L25+'ПП 3 Квартал'!L25</f>
        <v>74035684</v>
      </c>
      <c r="J77" s="557">
        <f t="shared" ca="1" si="16"/>
        <v>123177.24648531737</v>
      </c>
      <c r="K77" s="561">
        <v>23</v>
      </c>
      <c r="L77" s="397">
        <f ca="1">IF($B$1&gt;=$B78,COUNTIFS(РД[Дата подачи на регистрацию],"&gt;="&amp;DATE(YEAR($B77),MONTH($B77),1),РД[Дата подачи на регистрацию],"&lt;"&amp;$B78,РД[Состояние],"Продажа",РД[Источник рекламы],"Н -*"),K77)</f>
        <v>4</v>
      </c>
      <c r="M77" s="562">
        <f t="shared" ca="1" si="17"/>
        <v>0.30769230769230771</v>
      </c>
    </row>
    <row r="78" spans="2:15" x14ac:dyDescent="0.25">
      <c r="B78" s="329">
        <v>45870</v>
      </c>
      <c r="C78" s="328">
        <f ca="1">'Свод ПП Д4'!C56+'Свод ПП Д5'!C41+'Свод ПП 402'!C26+'ПП 403'!D26+'ПП 404'!D26+'ПП 3 Квартал'!D26</f>
        <v>1</v>
      </c>
      <c r="D78" s="328">
        <f ca="1">'Свод ПП Д4'!D56+'Свод ПП Д5'!D41+'Свод ПП 401'!C26+'Свод ПП 402'!D26+'ПП 403'!E26+'ПП 404'!E26+'ПП 3 Квартал'!E26</f>
        <v>13</v>
      </c>
      <c r="E78" s="328">
        <f ca="1">'Свод ПП Д4'!E56+'Свод ПП Д5'!E41+'Свод ПП 401'!D26+'Свод ПП 402'!E26+'ПП 403'!F26+'ПП 404'!F26+'ПП 3 Квартал'!F26</f>
        <v>19</v>
      </c>
      <c r="F78" s="328">
        <f ca="1">'Свод ПП Д4'!F56+'Свод ПП Д5'!F41+'Свод ПП 401'!E26+'Свод ПП 402'!F26+'ПП 403'!G26+'ПП 404'!G26+'ПП 3 Квартал'!G26</f>
        <v>6</v>
      </c>
      <c r="G78" s="328">
        <f t="shared" ca="1" si="18"/>
        <v>39</v>
      </c>
      <c r="H78" s="328">
        <f ca="1">'Свод ПП Д4'!H56+'Свод ПП Д5'!H41+'Свод ПП 401'!G26+'Свод ПП 402'!H26+'ПП 403'!I26+'ПП 404'!I26+'ПП 3 Квартал'!I26</f>
        <v>2137.6313144526957</v>
      </c>
      <c r="I78" s="328">
        <f ca="1">'Свод ПП Д4'!I56+'Свод ПП Д5'!I41+'Свод ПП 401'!H26+'Свод ПП 402'!I26+'ПП 403'!L26+'ПП 404'!L26+'ПП 3 Квартал'!L26</f>
        <v>268883653.71309447</v>
      </c>
      <c r="J78" s="557">
        <f t="shared" ca="1" si="16"/>
        <v>125785.79472294902</v>
      </c>
      <c r="K78" s="561">
        <v>23</v>
      </c>
      <c r="L78" s="397">
        <f ca="1">IF($B$1&gt;=$B79,COUNTIFS(РД[Дата подачи на регистрацию],"&gt;="&amp;DATE(YEAR($B78),MONTH($B78),1),РД[Дата подачи на регистрацию],"&lt;"&amp;$B79,РД[Состояние],"Продажа",РД[Источник рекламы],"Н -*"),K78)</f>
        <v>23</v>
      </c>
      <c r="M78" s="562">
        <f t="shared" ca="1" si="17"/>
        <v>0.58974358974358976</v>
      </c>
    </row>
    <row r="79" spans="2:15" x14ac:dyDescent="0.25">
      <c r="B79" s="329">
        <v>45901</v>
      </c>
      <c r="C79" s="328">
        <f ca="1">'Свод ПП Д4'!C57+'Свод ПП Д5'!C42+'Свод ПП 402'!C27+'ПП 403'!D27+'ПП 404'!D27+'ПП 3 Квартал'!D27</f>
        <v>4</v>
      </c>
      <c r="D79" s="328">
        <f ca="1">'Свод ПП Д4'!D57+'Свод ПП Д5'!D42+'Свод ПП 401'!C27+'Свод ПП 402'!D27+'ПП 403'!E27+'ПП 404'!E27+'ПП 3 Квартал'!E27</f>
        <v>29</v>
      </c>
      <c r="E79" s="328">
        <f ca="1">'Свод ПП Д4'!E57+'Свод ПП Д5'!E42+'Свод ПП 401'!D27+'Свод ПП 402'!E27+'ПП 403'!F27+'ПП 404'!F27+'ПП 3 Квартал'!F27</f>
        <v>29</v>
      </c>
      <c r="F79" s="328">
        <f ca="1">'Свод ПП Д4'!F57+'Свод ПП Д5'!F42+'Свод ПП 401'!E27+'Свод ПП 402'!F27+'ПП 403'!G27+'ПП 404'!G27+'ПП 3 Квартал'!G27</f>
        <v>9</v>
      </c>
      <c r="G79" s="328">
        <f t="shared" ca="1" si="18"/>
        <v>71</v>
      </c>
      <c r="H79" s="328">
        <f ca="1">'Свод ПП Д4'!H57+'Свод ПП Д5'!H42+'Свод ПП 401'!G27+'Свод ПП 402'!H27+'ПП 403'!I27+'ПП 404'!I27+'ПП 3 Квартал'!I27</f>
        <v>3692.5716647182667</v>
      </c>
      <c r="I79" s="328">
        <f ca="1">'Свод ПП Д4'!I57+'Свод ПП Д5'!I42+'Свод ПП 401'!H27+'Свод ПП 402'!I27+'ПП 403'!L27+'ПП 404'!L27+'ПП 3 Квартал'!L27</f>
        <v>450194992.08575392</v>
      </c>
      <c r="J79" s="557">
        <f t="shared" ca="1" si="16"/>
        <v>121919.09405232967</v>
      </c>
      <c r="K79" s="561">
        <v>28</v>
      </c>
      <c r="L79" s="397">
        <f ca="1">IF($B$1&gt;=$B80,COUNTIFS(РД[Дата подачи на регистрацию],"&gt;="&amp;DATE(YEAR($B79),MONTH($B79),1),РД[Дата подачи на регистрацию],"&lt;"&amp;$B80,РД[Состояние],"Продажа",РД[Источник рекламы],"Н -*"),K79)</f>
        <v>28</v>
      </c>
      <c r="M79" s="562">
        <f t="shared" ca="1" si="17"/>
        <v>0.39436619718309857</v>
      </c>
    </row>
    <row r="80" spans="2:15" x14ac:dyDescent="0.25">
      <c r="B80" s="329">
        <v>45931</v>
      </c>
      <c r="C80" s="328">
        <f ca="1">'Свод ПП Д4'!C58+'Свод ПП Д5'!C43+'Свод ПП 402'!C28+'ПП 403'!D28+'ПП 404'!D28+'ПП 3 Квартал'!D28</f>
        <v>5</v>
      </c>
      <c r="D80" s="328">
        <f ca="1">'Свод ПП Д4'!D58+'Свод ПП Д5'!D43+'Свод ПП 401'!C28+'Свод ПП 402'!D28+'ПП 403'!E28+'ПП 404'!E28+'ПП 3 Квартал'!E28</f>
        <v>27</v>
      </c>
      <c r="E80" s="328">
        <f ca="1">'Свод ПП Д4'!E58+'Свод ПП Д5'!E43+'Свод ПП 401'!D28+'Свод ПП 402'!E28+'ПП 403'!F28+'ПП 404'!F28+'ПП 3 Квартал'!F28</f>
        <v>30</v>
      </c>
      <c r="F80" s="328">
        <f ca="1">'Свод ПП Д4'!F58+'Свод ПП Д5'!F43+'Свод ПП 401'!E28+'Свод ПП 402'!F28+'ПП 403'!G28+'ПП 404'!G28+'ПП 3 Квартал'!G28</f>
        <v>9</v>
      </c>
      <c r="G80" s="328">
        <f t="shared" ca="1" si="18"/>
        <v>71</v>
      </c>
      <c r="H80" s="328">
        <f ca="1">'Свод ПП Д4'!H58+'Свод ПП Д5'!H43+'Свод ПП 401'!G28+'Свод ПП 402'!H28+'ПП 403'!I28+'ПП 404'!I28+'ПП 3 Квартал'!I28</f>
        <v>3689.5447177858919</v>
      </c>
      <c r="I80" s="328">
        <f ca="1">'Свод ПП Д4'!I58+'Свод ПП Д5'!I43+'Свод ПП 401'!H28+'Свод ПП 402'!I28+'ПП 403'!L28+'ПП 404'!L28+'ПП 3 Квартал'!L28</f>
        <v>453779901.48468727</v>
      </c>
      <c r="J80" s="557">
        <f t="shared" ca="1" si="16"/>
        <v>122990.75799168037</v>
      </c>
      <c r="K80" s="561">
        <v>29</v>
      </c>
      <c r="L80" s="397">
        <f ca="1">IF($B$1&gt;=$B81,COUNTIFS(РД[Дата подачи на регистрацию],"&gt;="&amp;DATE(YEAR($B80),MONTH($B80),1),РД[Дата подачи на регистрацию],"&lt;"&amp;$B81,РД[Состояние],"Продажа",РД[Источник рекламы],"Н -*"),K80)</f>
        <v>29</v>
      </c>
      <c r="M80" s="562">
        <f t="shared" ca="1" si="17"/>
        <v>0.40845070422535212</v>
      </c>
    </row>
    <row r="81" spans="2:13" x14ac:dyDescent="0.25">
      <c r="B81" s="329">
        <v>45962</v>
      </c>
      <c r="C81" s="328">
        <f ca="1">'Свод ПП Д4'!C59+'Свод ПП Д5'!C44+'Свод ПП 402'!C29+'ПП 403'!D29+'ПП 404'!D29+'ПП 3 Квартал'!D29</f>
        <v>6</v>
      </c>
      <c r="D81" s="328">
        <f ca="1">'Свод ПП Д4'!D59+'Свод ПП Д5'!D44+'Свод ПП 401'!C29+'Свод ПП 402'!D29+'ПП 403'!E29+'ПП 404'!E29+'ПП 3 Квартал'!E29</f>
        <v>28</v>
      </c>
      <c r="E81" s="328">
        <f ca="1">'Свод ПП Д4'!E59+'Свод ПП Д5'!E44+'Свод ПП 401'!D29+'Свод ПП 402'!E29+'ПП 403'!F29+'ПП 404'!F29+'ПП 3 Квартал'!F29</f>
        <v>44</v>
      </c>
      <c r="F81" s="328">
        <f ca="1">'Свод ПП Д4'!F59+'Свод ПП Д5'!F44+'Свод ПП 401'!E29+'Свод ПП 402'!F29+'ПП 403'!G29+'ПП 404'!G29+'ПП 3 Квартал'!G29</f>
        <v>9</v>
      </c>
      <c r="G81" s="328">
        <f t="shared" ca="1" si="18"/>
        <v>87</v>
      </c>
      <c r="H81" s="328">
        <f ca="1">'Свод ПП Д4'!H59+'Свод ПП Д5'!H44+'Свод ПП 401'!G29+'Свод ПП 402'!H29+'ПП 403'!I29+'ПП 404'!I29+'ПП 3 Квартал'!I29</f>
        <v>4431.9550182888652</v>
      </c>
      <c r="I81" s="328">
        <f ca="1">'Свод ПП Д4'!I59+'Свод ПП Д5'!I44+'Свод ПП 401'!H29+'Свод ПП 402'!I29+'ПП 403'!L29+'ПП 404'!L29+'ПП 3 Квартал'!L29</f>
        <v>537285948.88367879</v>
      </c>
      <c r="J81" s="557">
        <f t="shared" ca="1" si="16"/>
        <v>121230.00948035788</v>
      </c>
      <c r="K81" s="561">
        <v>36</v>
      </c>
      <c r="L81" s="397">
        <f ca="1">IF($B$1&gt;=$B82,COUNTIFS(РД[Дата подачи на регистрацию],"&gt;="&amp;DATE(YEAR($B81),MONTH($B81),1),РД[Дата подачи на регистрацию],"&lt;"&amp;$B82,РД[Состояние],"Продажа",РД[Источник рекламы],"Н -*"),K81)</f>
        <v>36</v>
      </c>
      <c r="M81" s="562">
        <f t="shared" ca="1" si="17"/>
        <v>0.41379310344827586</v>
      </c>
    </row>
    <row r="82" spans="2:13" ht="15.75" thickBot="1" x14ac:dyDescent="0.3">
      <c r="B82" s="327">
        <v>45992</v>
      </c>
      <c r="C82" s="328">
        <f ca="1">'Свод ПП Д4'!C60+'Свод ПП Д5'!C45+'Свод ПП 402'!C30+'ПП 403'!D30+'ПП 404'!D30+'ПП 3 Квартал'!D30</f>
        <v>7</v>
      </c>
      <c r="D82" s="328">
        <f ca="1">'Свод ПП Д4'!D60+'Свод ПП Д5'!D45+'Свод ПП 401'!C30+'Свод ПП 402'!D30+'ПП 403'!E30+'ПП 404'!E30+'ПП 3 Квартал'!E30</f>
        <v>30</v>
      </c>
      <c r="E82" s="328">
        <f ca="1">'Свод ПП Д4'!E60+'Свод ПП Д5'!E45+'Свод ПП 401'!D30+'Свод ПП 402'!E30+'ПП 403'!F30+'ПП 404'!F30+'ПП 3 Квартал'!F30</f>
        <v>39</v>
      </c>
      <c r="F82" s="328">
        <f ca="1">'Свод ПП Д4'!F60+'Свод ПП Д5'!F45+'Свод ПП 401'!E30+'Свод ПП 402'!F30+'ПП 403'!G30+'ПП 404'!G30+'ПП 3 Квартал'!G30</f>
        <v>8</v>
      </c>
      <c r="G82" s="328">
        <f t="shared" ca="1" si="18"/>
        <v>84</v>
      </c>
      <c r="H82" s="328">
        <f ca="1">'Свод ПП Д4'!H60+'Свод ПП Д5'!H45+'Свод ПП 401'!G30+'Свод ПП 402'!H30+'ПП 403'!I30+'ПП 404'!I30+'ПП 3 Квартал'!I30</f>
        <v>4175.5664465365408</v>
      </c>
      <c r="I82" s="328">
        <f ca="1">'Свод ПП Д4'!I60+'Свод ПП Д5'!I45+'Свод ПП 401'!H30+'Свод ПП 402'!I30+'ПП 403'!L30+'ПП 404'!L30+'ПП 3 Квартал'!L30</f>
        <v>510877336.95934922</v>
      </c>
      <c r="J82" s="557">
        <f t="shared" ca="1" si="16"/>
        <v>122349.22938014811</v>
      </c>
      <c r="K82" s="564">
        <v>35</v>
      </c>
      <c r="L82" s="565">
        <f ca="1">IF($B$1&gt;=$B83,COUNTIFS(РД[Дата подачи на регистрацию],"&gt;="&amp;DATE(YEAR($B82),MONTH($B82),1),РД[Дата подачи на регистрацию],"&lt;"&amp;$B83,РД[Состояние],"Продажа",РД[Источник рекламы],"Н -*"),K82)</f>
        <v>35</v>
      </c>
      <c r="M82" s="563">
        <f t="shared" ca="1" si="17"/>
        <v>0.41666666666666669</v>
      </c>
    </row>
    <row r="83" spans="2:13" ht="15.75" thickBot="1" x14ac:dyDescent="0.3">
      <c r="B83" s="325" t="s">
        <v>4561</v>
      </c>
      <c r="C83" s="326">
        <f t="shared" ref="C83:I83" ca="1" si="19">SUM(C71:C82)</f>
        <v>35</v>
      </c>
      <c r="D83" s="326">
        <f t="shared" ca="1" si="19"/>
        <v>196</v>
      </c>
      <c r="E83" s="326">
        <f t="shared" ca="1" si="19"/>
        <v>216</v>
      </c>
      <c r="F83" s="326">
        <f t="shared" ca="1" si="19"/>
        <v>50</v>
      </c>
      <c r="G83" s="326">
        <f t="shared" ca="1" si="19"/>
        <v>497</v>
      </c>
      <c r="H83" s="326">
        <f t="shared" ca="1" si="19"/>
        <v>25081.479161782263</v>
      </c>
      <c r="I83" s="326">
        <f t="shared" ca="1" si="19"/>
        <v>3068335194.1265635</v>
      </c>
      <c r="J83" s="495">
        <f t="shared" ca="1" si="16"/>
        <v>122334.69861705441</v>
      </c>
      <c r="K83" s="569">
        <f>SUM(K71:K82)</f>
        <v>236</v>
      </c>
      <c r="L83" s="570">
        <f ca="1">SUM(L71:L82)</f>
        <v>197</v>
      </c>
      <c r="M83" s="571">
        <f t="shared" ca="1" si="17"/>
        <v>0.39637826961770622</v>
      </c>
    </row>
    <row r="84" spans="2:13" x14ac:dyDescent="0.25">
      <c r="H84" s="17"/>
      <c r="J84" s="33"/>
    </row>
    <row r="85" spans="2:13" ht="15.75" thickBot="1" x14ac:dyDescent="0.3">
      <c r="B85" s="28" t="s">
        <v>7133</v>
      </c>
      <c r="G85" s="17"/>
      <c r="H85" s="17"/>
      <c r="I85" s="33"/>
      <c r="J85" s="33"/>
    </row>
    <row r="86" spans="2:13" ht="15.75" thickBot="1" x14ac:dyDescent="0.3">
      <c r="B86" s="184" t="s">
        <v>0</v>
      </c>
      <c r="C86" s="185" t="s">
        <v>4</v>
      </c>
      <c r="D86" s="185" t="s">
        <v>22</v>
      </c>
      <c r="E86" s="185" t="s">
        <v>23</v>
      </c>
      <c r="F86" s="185" t="s">
        <v>24</v>
      </c>
      <c r="G86" s="185" t="s">
        <v>59</v>
      </c>
      <c r="H86" s="186" t="s">
        <v>51</v>
      </c>
      <c r="I86" s="186" t="s">
        <v>58</v>
      </c>
      <c r="J86" s="187" t="s">
        <v>17</v>
      </c>
    </row>
    <row r="87" spans="2:13" x14ac:dyDescent="0.25">
      <c r="B87" s="330">
        <v>46023</v>
      </c>
      <c r="C87" s="328">
        <f ca="1">'Свод ПП Д5'!C49+'Свод ПП 402'!C34</f>
        <v>4</v>
      </c>
      <c r="D87" s="328">
        <f ca="1">'Свод ПП Д5'!D49+'Свод ПП 402'!D34+'Свод ПП 401'!C34</f>
        <v>3</v>
      </c>
      <c r="E87" s="328">
        <f ca="1">'Свод ПП Д5'!E49+'Свод ПП 402'!E34+'Свод ПП 401'!D34</f>
        <v>7</v>
      </c>
      <c r="F87" s="328">
        <f ca="1">'Свод ПП Д5'!F49+'Свод ПП 402'!F34+'Свод ПП 401'!E34</f>
        <v>0</v>
      </c>
      <c r="G87" s="328">
        <f t="shared" ref="G87:G98" ca="1" si="20">SUM(C87:F87)</f>
        <v>14</v>
      </c>
      <c r="H87" s="328">
        <f ca="1">'Свод ПП Д5'!H49+'Свод ПП 402'!H34+'Свод ПП 401'!G34</f>
        <v>643.54589980018432</v>
      </c>
      <c r="I87" s="328">
        <f ca="1">'Свод ПП Д5'!I49+'Свод ПП 402'!I34+'Свод ПП 401'!H34</f>
        <v>85811152.137975588</v>
      </c>
      <c r="J87" s="190">
        <f t="shared" ref="J87:J94" ca="1" si="21">IFERROR(I87/H87,"")</f>
        <v>133341.15276722179</v>
      </c>
    </row>
    <row r="88" spans="2:13" x14ac:dyDescent="0.25">
      <c r="B88" s="329">
        <v>46054</v>
      </c>
      <c r="C88" s="328">
        <f ca="1">'Свод ПП Д5'!C50+'Свод ПП 402'!C35</f>
        <v>3</v>
      </c>
      <c r="D88" s="328">
        <f ca="1">'Свод ПП Д5'!D50+'Свод ПП 402'!D35+'Свод ПП 401'!C35</f>
        <v>4</v>
      </c>
      <c r="E88" s="328">
        <f ca="1">'Свод ПП Д5'!E50+'Свод ПП 402'!E35+'Свод ПП 401'!D35</f>
        <v>9</v>
      </c>
      <c r="F88" s="328">
        <f ca="1">'Свод ПП Д5'!F50+'Свод ПП 402'!F35+'Свод ПП 401'!E35</f>
        <v>2</v>
      </c>
      <c r="G88" s="328">
        <f t="shared" ca="1" si="20"/>
        <v>18</v>
      </c>
      <c r="H88" s="328">
        <f ca="1">'Свод ПП Д5'!H50+'Свод ПП 402'!H35+'Свод ПП 401'!G35</f>
        <v>934.45741033249089</v>
      </c>
      <c r="I88" s="328">
        <f ca="1">'Свод ПП Д5'!I50+'Свод ПП 402'!I35+'Свод ПП 401'!H35</f>
        <v>122579385.72399324</v>
      </c>
      <c r="J88" s="190">
        <f t="shared" ca="1" si="21"/>
        <v>131177.070638648</v>
      </c>
    </row>
    <row r="89" spans="2:13" x14ac:dyDescent="0.25">
      <c r="B89" s="329">
        <v>46082</v>
      </c>
      <c r="C89" s="328">
        <f ca="1">'Свод ПП Д5'!C51+'Свод ПП 402'!C36</f>
        <v>3</v>
      </c>
      <c r="D89" s="328">
        <f ca="1">'Свод ПП Д5'!D51+'Свод ПП 402'!D36+'Свод ПП 401'!C36</f>
        <v>6</v>
      </c>
      <c r="E89" s="328">
        <f ca="1">'Свод ПП Д5'!E51+'Свод ПП 402'!E36+'Свод ПП 401'!D36</f>
        <v>10</v>
      </c>
      <c r="F89" s="328">
        <f ca="1">'Свод ПП Д5'!F51+'Свод ПП 402'!F36+'Свод ПП 401'!E36</f>
        <v>1</v>
      </c>
      <c r="G89" s="328">
        <f t="shared" ca="1" si="20"/>
        <v>20</v>
      </c>
      <c r="H89" s="328">
        <f ca="1">'Свод ПП Д5'!H51+'Свод ПП 402'!H36+'Свод ПП 401'!G36</f>
        <v>1000.4427357136315</v>
      </c>
      <c r="I89" s="328">
        <f ca="1">'Свод ПП Д5'!I51+'Свод ПП 402'!I36+'Свод ПП 401'!H36</f>
        <v>133019707.91983828</v>
      </c>
      <c r="J89" s="190">
        <f t="shared" ca="1" si="21"/>
        <v>132960.84140683297</v>
      </c>
    </row>
    <row r="90" spans="2:13" x14ac:dyDescent="0.25">
      <c r="B90" s="329">
        <v>46113</v>
      </c>
      <c r="C90" s="328">
        <f ca="1">'Свод ПП Д5'!C52+'Свод ПП 402'!C37</f>
        <v>3</v>
      </c>
      <c r="D90" s="328">
        <f ca="1">'Свод ПП Д5'!D52+'Свод ПП 402'!D37+'Свод ПП 401'!C37</f>
        <v>5</v>
      </c>
      <c r="E90" s="328">
        <f ca="1">'Свод ПП Д5'!E52+'Свод ПП 402'!E37+'Свод ПП 401'!D37</f>
        <v>11</v>
      </c>
      <c r="F90" s="328">
        <f ca="1">'Свод ПП Д5'!F52+'Свод ПП 402'!F37+'Свод ПП 401'!E37</f>
        <v>1</v>
      </c>
      <c r="G90" s="328">
        <f t="shared" ca="1" si="20"/>
        <v>20</v>
      </c>
      <c r="H90" s="328">
        <f ca="1">'Свод ПП Д5'!H52+'Свод ПП 402'!H37+'Свод ПП 401'!G37</f>
        <v>1025.0149759733717</v>
      </c>
      <c r="I90" s="328">
        <f ca="1">'Свод ПП Д5'!I52+'Свод ПП 402'!I37+'Свод ПП 401'!H37</f>
        <v>135932465.60123879</v>
      </c>
      <c r="J90" s="190">
        <f t="shared" ca="1" si="21"/>
        <v>132615.10201073403</v>
      </c>
    </row>
    <row r="91" spans="2:13" x14ac:dyDescent="0.25">
      <c r="B91" s="329">
        <v>46143</v>
      </c>
      <c r="C91" s="328">
        <f ca="1">'Свод ПП Д5'!C53+'Свод ПП 402'!C38</f>
        <v>3</v>
      </c>
      <c r="D91" s="328">
        <f ca="1">'Свод ПП Д5'!D53+'Свод ПП 402'!D38+'Свод ПП 401'!C38</f>
        <v>5</v>
      </c>
      <c r="E91" s="328">
        <f ca="1">'Свод ПП Д5'!E53+'Свод ПП 402'!E38+'Свод ПП 401'!D38</f>
        <v>10</v>
      </c>
      <c r="F91" s="328">
        <f ca="1">'Свод ПП Д5'!F53+'Свод ПП 402'!F38+'Свод ПП 401'!E38</f>
        <v>2</v>
      </c>
      <c r="G91" s="328">
        <f t="shared" ca="1" si="20"/>
        <v>20</v>
      </c>
      <c r="H91" s="328">
        <f ca="1">'Свод ПП Д5'!H53+'Свод ПП 402'!H38+'Свод ПП 401'!G38</f>
        <v>1043.2328331162289</v>
      </c>
      <c r="I91" s="328">
        <f ca="1">'Свод ПП Д5'!I53+'Свод ПП 402'!I38+'Свод ПП 401'!H38</f>
        <v>137951281.83595657</v>
      </c>
      <c r="J91" s="190">
        <f t="shared" ca="1" si="21"/>
        <v>132234.41350468606</v>
      </c>
    </row>
    <row r="92" spans="2:13" x14ac:dyDescent="0.25">
      <c r="B92" s="329">
        <v>46174</v>
      </c>
      <c r="C92" s="328">
        <f ca="1">'Свод ПП Д5'!C54+'Свод ПП 402'!C39</f>
        <v>3</v>
      </c>
      <c r="D92" s="328">
        <f ca="1">'Свод ПП Д5'!D54+'Свод ПП 402'!D39+'Свод ПП 401'!C39</f>
        <v>3</v>
      </c>
      <c r="E92" s="328">
        <f ca="1">'Свод ПП Д5'!E54+'Свод ПП 402'!E39+'Свод ПП 401'!D39</f>
        <v>8</v>
      </c>
      <c r="F92" s="328">
        <f ca="1">'Свод ПП Д5'!F54+'Свод ПП 402'!F39+'Свод ПП 401'!E39</f>
        <v>1</v>
      </c>
      <c r="G92" s="328">
        <f t="shared" ca="1" si="20"/>
        <v>15</v>
      </c>
      <c r="H92" s="328">
        <f ca="1">'Свод ПП Д5'!H54+'Свод ПП 402'!H39+'Свод ПП 401'!G39</f>
        <v>760.13476564022676</v>
      </c>
      <c r="I92" s="328">
        <f ca="1">'Свод ПП Д5'!I54+'Свод ПП 402'!I39+'Свод ПП 401'!H39</f>
        <v>101245527.13993216</v>
      </c>
      <c r="J92" s="190">
        <f t="shared" ca="1" si="21"/>
        <v>133194.18044859148</v>
      </c>
    </row>
    <row r="93" spans="2:13" x14ac:dyDescent="0.25">
      <c r="B93" s="329">
        <v>46204</v>
      </c>
      <c r="C93" s="328">
        <f ca="1">'Свод ПП Д5'!C55+'Свод ПП 402'!C40</f>
        <v>3</v>
      </c>
      <c r="D93" s="328">
        <f ca="1">'Свод ПП Д5'!D55+'Свод ПП 402'!D40+'Свод ПП 401'!C40</f>
        <v>4</v>
      </c>
      <c r="E93" s="328">
        <f ca="1">'Свод ПП Д5'!E55+'Свод ПП 402'!E40+'Свод ПП 401'!D40</f>
        <v>9</v>
      </c>
      <c r="F93" s="328">
        <f ca="1">'Свод ПП Д5'!F55+'Свод ПП 402'!F40+'Свод ПП 401'!E40</f>
        <v>0</v>
      </c>
      <c r="G93" s="328">
        <f t="shared" ca="1" si="20"/>
        <v>16</v>
      </c>
      <c r="H93" s="328">
        <f ca="1">'Свод ПП Д5'!H55+'Свод ПП 402'!H40+'Свод ПП 401'!G40</f>
        <v>775.54523641944752</v>
      </c>
      <c r="I93" s="328">
        <f ca="1">'Свод ПП Д5'!I55+'Свод ПП 402'!I40+'Свод ПП 401'!H40</f>
        <v>103704746.17560586</v>
      </c>
      <c r="J93" s="190">
        <f t="shared" ca="1" si="21"/>
        <v>133718.50061821277</v>
      </c>
    </row>
    <row r="94" spans="2:13" x14ac:dyDescent="0.25">
      <c r="B94" s="329">
        <v>46235</v>
      </c>
      <c r="C94" s="328">
        <f ca="1">'Свод ПП Д5'!C56+'Свод ПП 402'!C41</f>
        <v>4</v>
      </c>
      <c r="D94" s="328">
        <f ca="1">'Свод ПП Д5'!D56+'Свод ПП 402'!D41+'Свод ПП 401'!C41</f>
        <v>4</v>
      </c>
      <c r="E94" s="328">
        <f ca="1">'Свод ПП Д5'!E56+'Свод ПП 402'!E41+'Свод ПП 401'!D41</f>
        <v>9</v>
      </c>
      <c r="F94" s="328">
        <f ca="1">'Свод ПП Д5'!F56+'Свод ПП 402'!F41+'Свод ПП 401'!E41</f>
        <v>0</v>
      </c>
      <c r="G94" s="328">
        <f t="shared" ca="1" si="20"/>
        <v>17</v>
      </c>
      <c r="H94" s="328">
        <f ca="1">'Свод ПП Д5'!H56+'Свод ПП 402'!H41+'Свод ПП 401'!G41</f>
        <v>801.02758936062378</v>
      </c>
      <c r="I94" s="328">
        <f ca="1">'Свод ПП Д5'!I56+'Свод ПП 402'!I41+'Свод ПП 401'!H41</f>
        <v>108196158.38862446</v>
      </c>
      <c r="J94" s="190">
        <f t="shared" ca="1" si="21"/>
        <v>135071.70018324349</v>
      </c>
    </row>
    <row r="95" spans="2:13" x14ac:dyDescent="0.25">
      <c r="B95" s="329">
        <v>46266</v>
      </c>
      <c r="C95" s="328">
        <f ca="1">'Свод ПП Д5'!C57+'Свод ПП 402'!C42</f>
        <v>3</v>
      </c>
      <c r="D95" s="328">
        <f ca="1">'Свод ПП Д5'!D57+'Свод ПП 402'!D42+'Свод ПП 401'!C42</f>
        <v>6</v>
      </c>
      <c r="E95" s="328">
        <f ca="1">'Свод ПП Д5'!E57+'Свод ПП 402'!E42+'Свод ПП 401'!D42</f>
        <v>9</v>
      </c>
      <c r="F95" s="328">
        <f ca="1">'Свод ПП Д5'!F57+'Свод ПП 402'!F42+'Свод ПП 401'!E42</f>
        <v>2</v>
      </c>
      <c r="G95" s="328">
        <f t="shared" ca="1" si="20"/>
        <v>20</v>
      </c>
      <c r="H95" s="328">
        <f ca="1">'Свод ПП Д5'!H57+'Свод ПП 402'!H42+'Свод ПП 401'!G42</f>
        <v>1018.3766240012698</v>
      </c>
      <c r="I95" s="328">
        <f ca="1">'Свод ПП Д5'!I57+'Свод ПП 402'!I42+'Свод ПП 401'!H42</f>
        <v>135866225.10606414</v>
      </c>
      <c r="J95" s="190">
        <f ca="1">IFERROR(I95/H95,"")</f>
        <v>133414.51669642286</v>
      </c>
    </row>
    <row r="96" spans="2:13" x14ac:dyDescent="0.25">
      <c r="B96" s="329">
        <v>46296</v>
      </c>
      <c r="C96" s="328">
        <f ca="1">'Свод ПП Д5'!C58+'Свод ПП 402'!C43</f>
        <v>3</v>
      </c>
      <c r="D96" s="328">
        <f ca="1">'Свод ПП Д5'!D58+'Свод ПП 402'!D43+'Свод ПП 401'!C43</f>
        <v>5</v>
      </c>
      <c r="E96" s="328">
        <f ca="1">'Свод ПП Д5'!E58+'Свод ПП 402'!E43+'Свод ПП 401'!D43</f>
        <v>9</v>
      </c>
      <c r="F96" s="328">
        <f ca="1">'Свод ПП Д5'!F58+'Свод ПП 402'!F43+'Свод ПП 401'!E43</f>
        <v>1</v>
      </c>
      <c r="G96" s="328">
        <f t="shared" ca="1" si="20"/>
        <v>18</v>
      </c>
      <c r="H96" s="328">
        <f ca="1">'Свод ПП Д5'!H58+'Свод ПП 402'!H43+'Свод ПП 401'!G43</f>
        <v>898.54832729797317</v>
      </c>
      <c r="I96" s="328">
        <f ca="1">'Свод ПП Д5'!I58+'Свод ПП 402'!I43+'Свод ПП 401'!H43</f>
        <v>120903757.48812547</v>
      </c>
      <c r="J96" s="190">
        <f t="shared" ref="J96:J98" ca="1" si="22">IFERROR(I96/H96,"")</f>
        <v>134554.54071312497</v>
      </c>
    </row>
    <row r="97" spans="2:10" x14ac:dyDescent="0.25">
      <c r="B97" s="329">
        <v>46327</v>
      </c>
      <c r="C97" s="328">
        <f ca="1">'Свод ПП Д5'!C59+'Свод ПП 402'!C44</f>
        <v>4</v>
      </c>
      <c r="D97" s="328">
        <f ca="1">'Свод ПП Д5'!D59+'Свод ПП 402'!D44+'Свод ПП 401'!C44</f>
        <v>4</v>
      </c>
      <c r="E97" s="328">
        <f ca="1">'Свод ПП Д5'!E59+'Свод ПП 402'!E44+'Свод ПП 401'!D44</f>
        <v>7</v>
      </c>
      <c r="F97" s="328">
        <f ca="1">'Свод ПП Д5'!F59+'Свод ПП 402'!F44+'Свод ПП 401'!E44</f>
        <v>1</v>
      </c>
      <c r="G97" s="328">
        <f t="shared" ca="1" si="20"/>
        <v>16</v>
      </c>
      <c r="H97" s="328">
        <f ca="1">'Свод ПП Д5'!H59+'Свод ПП 402'!H44+'Свод ПП 401'!G44</f>
        <v>767.5030990703184</v>
      </c>
      <c r="I97" s="328">
        <f ca="1">'Свод ПП Д5'!I59+'Свод ПП 402'!I44+'Свод ПП 401'!H44</f>
        <v>104233984.4090049</v>
      </c>
      <c r="J97" s="190">
        <f t="shared" ca="1" si="22"/>
        <v>135809.20329216158</v>
      </c>
    </row>
    <row r="98" spans="2:10" ht="15.75" thickBot="1" x14ac:dyDescent="0.3">
      <c r="B98" s="327">
        <v>46357</v>
      </c>
      <c r="C98" s="328">
        <f ca="1">'Свод ПП Д5'!C60+'Свод ПП 402'!C45</f>
        <v>4</v>
      </c>
      <c r="D98" s="328">
        <f ca="1">'Свод ПП Д5'!D60+'Свод ПП 402'!D45+'Свод ПП 401'!C45</f>
        <v>3</v>
      </c>
      <c r="E98" s="328">
        <f ca="1">'Свод ПП Д5'!E60+'Свод ПП 402'!E45+'Свод ПП 401'!D45</f>
        <v>7</v>
      </c>
      <c r="F98" s="328">
        <f ca="1">'Свод ПП Д5'!F60+'Свод ПП 402'!F45+'Свод ПП 401'!E45</f>
        <v>0</v>
      </c>
      <c r="G98" s="328">
        <f t="shared" ca="1" si="20"/>
        <v>14</v>
      </c>
      <c r="H98" s="328">
        <f ca="1">'Свод ПП Д5'!H60+'Свод ПП 402'!H45+'Свод ПП 401'!G45</f>
        <v>647.67564847743301</v>
      </c>
      <c r="I98" s="328">
        <f ca="1">'Свод ПП Д5'!I60+'Свод ПП 402'!I45+'Свод ПП 401'!H45</f>
        <v>89079405.546915591</v>
      </c>
      <c r="J98" s="190">
        <f t="shared" ca="1" si="22"/>
        <v>137537.06157754268</v>
      </c>
    </row>
    <row r="99" spans="2:10" ht="15.75" thickBot="1" x14ac:dyDescent="0.3">
      <c r="B99" s="325" t="s">
        <v>4890</v>
      </c>
      <c r="C99" s="326">
        <f t="shared" ref="C99:I99" ca="1" si="23">SUM(C87:C98)</f>
        <v>40</v>
      </c>
      <c r="D99" s="326">
        <f t="shared" ca="1" si="23"/>
        <v>52</v>
      </c>
      <c r="E99" s="326">
        <f t="shared" ca="1" si="23"/>
        <v>105</v>
      </c>
      <c r="F99" s="326">
        <f t="shared" ca="1" si="23"/>
        <v>11</v>
      </c>
      <c r="G99" s="326">
        <f t="shared" ca="1" si="23"/>
        <v>208</v>
      </c>
      <c r="H99" s="326">
        <f t="shared" ca="1" si="23"/>
        <v>10315.5051452032</v>
      </c>
      <c r="I99" s="326">
        <f t="shared" ca="1" si="23"/>
        <v>1378523797.4732752</v>
      </c>
      <c r="J99" s="187">
        <f t="shared" ref="J99" ca="1" si="24">I99/H99</f>
        <v>133636.0922774878</v>
      </c>
    </row>
    <row r="101" spans="2:10" ht="15.75" thickBot="1" x14ac:dyDescent="0.3">
      <c r="B101" s="28" t="s">
        <v>7855</v>
      </c>
      <c r="G101" s="17"/>
      <c r="H101" s="17"/>
      <c r="I101" s="33"/>
      <c r="J101" s="33"/>
    </row>
    <row r="102" spans="2:10" ht="15.75" thickBot="1" x14ac:dyDescent="0.3">
      <c r="B102" s="184" t="s">
        <v>0</v>
      </c>
      <c r="C102" s="185" t="s">
        <v>4</v>
      </c>
      <c r="D102" s="185" t="s">
        <v>22</v>
      </c>
      <c r="E102" s="185" t="s">
        <v>23</v>
      </c>
      <c r="F102" s="185" t="s">
        <v>24</v>
      </c>
      <c r="G102" s="185" t="s">
        <v>59</v>
      </c>
      <c r="H102" s="186" t="s">
        <v>51</v>
      </c>
      <c r="I102" s="186" t="s">
        <v>58</v>
      </c>
      <c r="J102" s="187" t="s">
        <v>17</v>
      </c>
    </row>
    <row r="103" spans="2:10" x14ac:dyDescent="0.25">
      <c r="B103" s="330">
        <v>46388</v>
      </c>
      <c r="C103" s="328">
        <f ca="1">'Свод ПП 402'!C49</f>
        <v>1</v>
      </c>
      <c r="D103" s="328">
        <f ca="1">'Свод ПП 402'!D49</f>
        <v>0</v>
      </c>
      <c r="E103" s="328">
        <f ca="1">'Свод ПП 402'!E49</f>
        <v>1</v>
      </c>
      <c r="F103" s="328">
        <f ca="1">'Свод ПП 402'!F49</f>
        <v>0</v>
      </c>
      <c r="G103" s="328">
        <f t="shared" ref="G103:G114" ca="1" si="25">SUM(C103:F103)</f>
        <v>2</v>
      </c>
      <c r="H103" s="328">
        <f ca="1">'Свод ПП 402'!H49</f>
        <v>87.721778416347291</v>
      </c>
      <c r="I103" s="328">
        <f ca="1">'Свод ПП 402'!I49</f>
        <v>12241085.965517242</v>
      </c>
      <c r="J103" s="190">
        <f t="shared" ref="J103:J110" ca="1" si="26">IFERROR(I103/H103,"")</f>
        <v>139544.43453503979</v>
      </c>
    </row>
    <row r="104" spans="2:10" x14ac:dyDescent="0.25">
      <c r="B104" s="329">
        <v>46419</v>
      </c>
      <c r="C104" s="328">
        <f ca="1">'Свод ПП 402'!C50</f>
        <v>1</v>
      </c>
      <c r="D104" s="328">
        <f ca="1">'Свод ПП 402'!D50</f>
        <v>0</v>
      </c>
      <c r="E104" s="328">
        <f ca="1">'Свод ПП 402'!E50</f>
        <v>2</v>
      </c>
      <c r="F104" s="328">
        <f ca="1">'Свод ПП 402'!F50</f>
        <v>0</v>
      </c>
      <c r="G104" s="328">
        <f t="shared" ca="1" si="25"/>
        <v>3</v>
      </c>
      <c r="H104" s="328">
        <f ca="1">'Свод ПП 402'!H50</f>
        <v>146.20631545338424</v>
      </c>
      <c r="I104" s="328">
        <f ca="1">'Свод ПП 402'!I50</f>
        <v>20174907.863346104</v>
      </c>
      <c r="J104" s="190">
        <f t="shared" ca="1" si="26"/>
        <v>137989.30505008576</v>
      </c>
    </row>
    <row r="105" spans="2:10" x14ac:dyDescent="0.25">
      <c r="B105" s="329">
        <v>46447</v>
      </c>
      <c r="C105" s="328">
        <f ca="1">'Свод ПП 402'!C51</f>
        <v>1</v>
      </c>
      <c r="D105" s="328">
        <f ca="1">'Свод ПП 402'!D51</f>
        <v>0</v>
      </c>
      <c r="E105" s="328">
        <f ca="1">'Свод ПП 402'!E51</f>
        <v>2</v>
      </c>
      <c r="F105" s="328">
        <f ca="1">'Свод ПП 402'!F51</f>
        <v>1</v>
      </c>
      <c r="G105" s="328">
        <f t="shared" ca="1" si="25"/>
        <v>4</v>
      </c>
      <c r="H105" s="328">
        <f ca="1">'Свод ПП 402'!H51</f>
        <v>224.36631545338423</v>
      </c>
      <c r="I105" s="328">
        <f ca="1">'Свод ПП 402'!I51</f>
        <v>29712121.738346104</v>
      </c>
      <c r="J105" s="190">
        <f t="shared" ca="1" si="26"/>
        <v>132426.83812989425</v>
      </c>
    </row>
    <row r="106" spans="2:10" x14ac:dyDescent="0.25">
      <c r="B106" s="329">
        <v>46478</v>
      </c>
      <c r="C106" s="328">
        <f ca="1">'Свод ПП 402'!C52</f>
        <v>2</v>
      </c>
      <c r="D106" s="328">
        <f ca="1">'Свод ПП 402'!D52</f>
        <v>1</v>
      </c>
      <c r="E106" s="328">
        <f ca="1">'Свод ПП 402'!E52</f>
        <v>2</v>
      </c>
      <c r="F106" s="328">
        <f ca="1">'Свод ПП 402'!F52</f>
        <v>0</v>
      </c>
      <c r="G106" s="328">
        <f t="shared" ca="1" si="25"/>
        <v>5</v>
      </c>
      <c r="H106" s="328">
        <f ca="1">'Свод ПП 402'!H52</f>
        <v>215.81492046905822</v>
      </c>
      <c r="I106" s="328">
        <f ca="1">'Свод ПП 402'!I52</f>
        <v>30459893.867719147</v>
      </c>
      <c r="J106" s="190">
        <f t="shared" ca="1" si="26"/>
        <v>141138.96203986619</v>
      </c>
    </row>
    <row r="107" spans="2:10" x14ac:dyDescent="0.25">
      <c r="B107" s="329">
        <v>46508</v>
      </c>
      <c r="C107" s="328">
        <f ca="1">'Свод ПП 402'!C53</f>
        <v>1</v>
      </c>
      <c r="D107" s="328">
        <f ca="1">'Свод ПП 402'!D53</f>
        <v>1</v>
      </c>
      <c r="E107" s="328">
        <f ca="1">'Свод ПП 402'!E53</f>
        <v>2</v>
      </c>
      <c r="F107" s="328">
        <f ca="1">'Свод ПП 402'!F53</f>
        <v>1</v>
      </c>
      <c r="G107" s="328">
        <f t="shared" ca="1" si="25"/>
        <v>5</v>
      </c>
      <c r="H107" s="328">
        <f ca="1">'Свод ПП 402'!H53</f>
        <v>264.73767908974781</v>
      </c>
      <c r="I107" s="328">
        <f ca="1">'Свод ПП 402'!I53</f>
        <v>35463156.897891559</v>
      </c>
      <c r="J107" s="190">
        <f t="shared" ca="1" si="26"/>
        <v>133955.8351490621</v>
      </c>
    </row>
    <row r="108" spans="2:10" x14ac:dyDescent="0.25">
      <c r="B108" s="329">
        <v>46539</v>
      </c>
      <c r="C108" s="328">
        <f ca="1">'Свод ПП 402'!C54</f>
        <v>2</v>
      </c>
      <c r="D108" s="328">
        <f ca="1">'Свод ПП 402'!D54</f>
        <v>0</v>
      </c>
      <c r="E108" s="328">
        <f ca="1">'Свод ПП 402'!E54</f>
        <v>1</v>
      </c>
      <c r="F108" s="328">
        <f ca="1">'Свод ПП 402'!F54</f>
        <v>0</v>
      </c>
      <c r="G108" s="328">
        <f t="shared" ca="1" si="25"/>
        <v>3</v>
      </c>
      <c r="H108" s="328">
        <f ca="1">'Свод ПП 402'!H54</f>
        <v>116.95901979565767</v>
      </c>
      <c r="I108" s="328">
        <f ca="1">'Свод ПП 402'!I54</f>
        <v>16888380.198914431</v>
      </c>
      <c r="J108" s="190">
        <f t="shared" ca="1" si="26"/>
        <v>144395.70567896846</v>
      </c>
    </row>
    <row r="109" spans="2:10" x14ac:dyDescent="0.25">
      <c r="B109" s="329">
        <v>46569</v>
      </c>
      <c r="C109" s="328">
        <f ca="1">'Свод ПП 402'!C55</f>
        <v>2</v>
      </c>
      <c r="D109" s="328">
        <f ca="1">'Свод ПП 402'!D55</f>
        <v>0</v>
      </c>
      <c r="E109" s="328">
        <f ca="1">'Свод ПП 402'!E55</f>
        <v>1</v>
      </c>
      <c r="F109" s="328">
        <f ca="1">'Свод ПП 402'!F55</f>
        <v>0</v>
      </c>
      <c r="G109" s="328">
        <f t="shared" ca="1" si="25"/>
        <v>3</v>
      </c>
      <c r="H109" s="328">
        <f ca="1">'Свод ПП 402'!H55</f>
        <v>116.95901979565767</v>
      </c>
      <c r="I109" s="328">
        <f ca="1">'Свод ПП 402'!I55</f>
        <v>16888380.198914431</v>
      </c>
      <c r="J109" s="190">
        <f t="shared" ca="1" si="26"/>
        <v>144395.70567896846</v>
      </c>
    </row>
    <row r="110" spans="2:10" x14ac:dyDescent="0.25">
      <c r="B110" s="329">
        <v>46600</v>
      </c>
      <c r="C110" s="328">
        <f ca="1">'Свод ПП 402'!C56</f>
        <v>2</v>
      </c>
      <c r="D110" s="328">
        <f ca="1">'Свод ПП 402'!D56</f>
        <v>0</v>
      </c>
      <c r="E110" s="328">
        <f ca="1">'Свод ПП 402'!E56</f>
        <v>2</v>
      </c>
      <c r="F110" s="328">
        <f ca="1">'Свод ПП 402'!F56</f>
        <v>0</v>
      </c>
      <c r="G110" s="328">
        <f t="shared" ca="1" si="25"/>
        <v>4</v>
      </c>
      <c r="H110" s="328">
        <f ca="1">'Свод ПП 402'!H56</f>
        <v>175.44355683269458</v>
      </c>
      <c r="I110" s="328">
        <f ca="1">'Свод ПП 402'!I56</f>
        <v>24708858.708173689</v>
      </c>
      <c r="J110" s="190">
        <f t="shared" ca="1" si="26"/>
        <v>140836.51263258644</v>
      </c>
    </row>
    <row r="111" spans="2:10" x14ac:dyDescent="0.25">
      <c r="B111" s="329">
        <v>46631</v>
      </c>
      <c r="C111" s="328">
        <f ca="1">'Свод ПП 402'!C57</f>
        <v>2</v>
      </c>
      <c r="D111" s="328">
        <f ca="1">'Свод ПП 402'!D57</f>
        <v>0</v>
      </c>
      <c r="E111" s="328">
        <f ca="1">'Свод ПП 402'!E57</f>
        <v>2</v>
      </c>
      <c r="F111" s="328">
        <f ca="1">'Свод ПП 402'!F57</f>
        <v>1</v>
      </c>
      <c r="G111" s="328">
        <f t="shared" ca="1" si="25"/>
        <v>5</v>
      </c>
      <c r="H111" s="328">
        <f ca="1">'Свод ПП 402'!H57</f>
        <v>253.60355683269455</v>
      </c>
      <c r="I111" s="328">
        <f ca="1">'Свод ПП 402'!I57</f>
        <v>34246072.583173692</v>
      </c>
      <c r="J111" s="190">
        <f ca="1">IFERROR(I111/H111,"")</f>
        <v>135037.82443306289</v>
      </c>
    </row>
    <row r="112" spans="2:10" x14ac:dyDescent="0.25">
      <c r="B112" s="329">
        <v>46661</v>
      </c>
      <c r="C112" s="328">
        <f ca="1">'Свод ПП 402'!C58</f>
        <v>2</v>
      </c>
      <c r="D112" s="328">
        <f ca="1">'Свод ПП 402'!D58</f>
        <v>1</v>
      </c>
      <c r="E112" s="328">
        <f ca="1">'Свод ПП 402'!E58</f>
        <v>2</v>
      </c>
      <c r="F112" s="328">
        <f ca="1">'Свод ПП 402'!F58</f>
        <v>0</v>
      </c>
      <c r="G112" s="328">
        <f t="shared" ca="1" si="25"/>
        <v>5</v>
      </c>
      <c r="H112" s="328">
        <f ca="1">'Свод ПП 402'!H58</f>
        <v>215.81492046905822</v>
      </c>
      <c r="I112" s="328">
        <f ca="1">'Свод ПП 402'!I58</f>
        <v>30459893.867719147</v>
      </c>
      <c r="J112" s="190">
        <f t="shared" ref="J112:J114" ca="1" si="27">IFERROR(I112/H112,"")</f>
        <v>141138.96203986619</v>
      </c>
    </row>
    <row r="113" spans="2:13" x14ac:dyDescent="0.25">
      <c r="B113" s="329">
        <v>46692</v>
      </c>
      <c r="C113" s="328">
        <f ca="1">'Свод ПП 402'!C59</f>
        <v>2</v>
      </c>
      <c r="D113" s="328">
        <f ca="1">'Свод ПП 402'!D59</f>
        <v>0</v>
      </c>
      <c r="E113" s="328">
        <f ca="1">'Свод ПП 402'!E59</f>
        <v>2</v>
      </c>
      <c r="F113" s="328">
        <f ca="1">'Свод ПП 402'!F59</f>
        <v>1</v>
      </c>
      <c r="G113" s="328">
        <f t="shared" ca="1" si="25"/>
        <v>5</v>
      </c>
      <c r="H113" s="328">
        <f ca="1">'Свод ПП 402'!H59</f>
        <v>253.60355683269455</v>
      </c>
      <c r="I113" s="328">
        <f ca="1">'Свод ПП 402'!I59</f>
        <v>34246072.583173692</v>
      </c>
      <c r="J113" s="190">
        <f t="shared" ca="1" si="27"/>
        <v>135037.82443306289</v>
      </c>
    </row>
    <row r="114" spans="2:13" ht="15.75" thickBot="1" x14ac:dyDescent="0.3">
      <c r="B114" s="327">
        <v>46722</v>
      </c>
      <c r="C114" s="328">
        <f ca="1">'Свод ПП 402'!C60</f>
        <v>2</v>
      </c>
      <c r="D114" s="328">
        <f ca="1">'Свод ПП 402'!D60</f>
        <v>1</v>
      </c>
      <c r="E114" s="328">
        <f ca="1">'Свод ПП 402'!E60</f>
        <v>2</v>
      </c>
      <c r="F114" s="328">
        <f ca="1">'Свод ПП 402'!F60</f>
        <v>0</v>
      </c>
      <c r="G114" s="328">
        <f t="shared" ca="1" si="25"/>
        <v>5</v>
      </c>
      <c r="H114" s="328">
        <f ca="1">'Свод ПП 402'!H60</f>
        <v>215.81492046905822</v>
      </c>
      <c r="I114" s="328">
        <f ca="1">'Свод ПП 402'!I60</f>
        <v>30459893.867719147</v>
      </c>
      <c r="J114" s="190">
        <f t="shared" ca="1" si="27"/>
        <v>141138.96203986619</v>
      </c>
    </row>
    <row r="115" spans="2:13" ht="15.75" thickBot="1" x14ac:dyDescent="0.3">
      <c r="B115" s="325" t="s">
        <v>7854</v>
      </c>
      <c r="C115" s="326">
        <f t="shared" ref="C115:I115" ca="1" si="28">SUM(C103:C114)</f>
        <v>20</v>
      </c>
      <c r="D115" s="326">
        <f t="shared" ca="1" si="28"/>
        <v>4</v>
      </c>
      <c r="E115" s="326">
        <f t="shared" ca="1" si="28"/>
        <v>21</v>
      </c>
      <c r="F115" s="326">
        <f t="shared" ca="1" si="28"/>
        <v>4</v>
      </c>
      <c r="G115" s="326">
        <f t="shared" ca="1" si="28"/>
        <v>49</v>
      </c>
      <c r="H115" s="326">
        <f t="shared" ca="1" si="28"/>
        <v>2287.0455599094371</v>
      </c>
      <c r="I115" s="326">
        <f t="shared" ca="1" si="28"/>
        <v>315948718.34060842</v>
      </c>
      <c r="J115" s="187">
        <f t="shared" ref="J115" ca="1" si="29">I115/H115</f>
        <v>138147.10291697006</v>
      </c>
    </row>
    <row r="117" spans="2:13" x14ac:dyDescent="0.25">
      <c r="M117" s="13"/>
    </row>
    <row r="118" spans="2:13" s="13" customFormat="1" x14ac:dyDescent="0.25">
      <c r="B118" s="19"/>
      <c r="C118"/>
      <c r="D118"/>
      <c r="E118"/>
      <c r="F118"/>
      <c r="G118"/>
      <c r="H118"/>
      <c r="I118" s="17"/>
      <c r="J118" s="17"/>
      <c r="K118" s="33"/>
      <c r="L118" s="346"/>
      <c r="M118" s="299"/>
    </row>
    <row r="133" spans="2:13" x14ac:dyDescent="0.25">
      <c r="M133" s="13"/>
    </row>
    <row r="134" spans="2:13" s="13" customFormat="1" x14ac:dyDescent="0.25">
      <c r="B134" s="19"/>
      <c r="C134"/>
      <c r="D134"/>
      <c r="E134"/>
      <c r="F134"/>
      <c r="G134"/>
      <c r="H134"/>
      <c r="I134" s="17"/>
      <c r="J134" s="17"/>
      <c r="K134" s="33"/>
      <c r="L134" s="346"/>
      <c r="M134" s="299"/>
    </row>
    <row r="150" spans="2:13" x14ac:dyDescent="0.25">
      <c r="M150" s="13"/>
    </row>
    <row r="151" spans="2:13" s="13" customFormat="1" x14ac:dyDescent="0.25">
      <c r="B151" s="19"/>
      <c r="C151"/>
      <c r="D151"/>
      <c r="E151"/>
      <c r="F151"/>
      <c r="G151"/>
      <c r="H151"/>
      <c r="I151" s="17"/>
      <c r="J151" s="17"/>
      <c r="K151" s="33"/>
      <c r="L151" s="346"/>
      <c r="M151" s="299"/>
    </row>
  </sheetData>
  <sheetProtection formatCells="0" formatColumns="0" sort="0" autoFilter="0" pivotTables="0"/>
  <phoneticPr fontId="7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7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55D9-89DA-4225-932C-22A01A4234C1}">
  <sheetPr>
    <tabColor theme="5" tint="0.39997558519241921"/>
    <pageSetUpPr fitToPage="1"/>
  </sheetPr>
  <dimension ref="A1:AF84"/>
  <sheetViews>
    <sheetView workbookViewId="0">
      <selection activeCell="L16" sqref="L16"/>
    </sheetView>
  </sheetViews>
  <sheetFormatPr defaultRowHeight="15" x14ac:dyDescent="0.25"/>
  <cols>
    <col min="1" max="1" width="19.7109375" style="19" bestFit="1" customWidth="1"/>
    <col min="2" max="7" width="6.7109375" style="19" customWidth="1"/>
    <col min="8" max="9" width="6.7109375" style="22" customWidth="1"/>
    <col min="10" max="10" width="8.7109375" style="32" customWidth="1"/>
    <col min="11" max="11" width="8.7109375" style="33" customWidth="1"/>
    <col min="12" max="12" width="8.7109375" style="34" customWidth="1"/>
    <col min="13" max="13" width="8.7109375" style="30" customWidth="1"/>
    <col min="14" max="17" width="8.7109375" style="34" customWidth="1"/>
    <col min="18" max="18" width="10.85546875" style="30" customWidth="1"/>
    <col min="19" max="19" width="13.5703125" style="30" customWidth="1"/>
    <col min="20" max="23" width="12" style="30" customWidth="1"/>
    <col min="24" max="25" width="13.5703125" style="30" customWidth="1"/>
    <col min="26" max="32" width="12.7109375" customWidth="1"/>
  </cols>
  <sheetData>
    <row r="1" spans="1:32" x14ac:dyDescent="0.25">
      <c r="B1" s="527"/>
      <c r="C1" s="527"/>
      <c r="D1" s="527"/>
      <c r="E1" s="527"/>
      <c r="F1" s="527"/>
      <c r="G1" s="527"/>
      <c r="H1" s="528"/>
      <c r="I1" s="528"/>
      <c r="J1" s="548"/>
      <c r="K1" s="529"/>
      <c r="L1" s="549"/>
      <c r="M1" s="550"/>
      <c r="N1" s="549"/>
      <c r="O1" s="549"/>
      <c r="P1" s="549"/>
      <c r="Q1" s="549"/>
      <c r="R1" s="530"/>
      <c r="S1" s="530"/>
      <c r="T1" s="530"/>
      <c r="U1" s="530"/>
      <c r="V1" s="530"/>
      <c r="W1" s="530"/>
      <c r="X1" s="530"/>
      <c r="Y1" s="530"/>
      <c r="Z1" s="531"/>
      <c r="AA1" s="531"/>
      <c r="AB1" s="531"/>
      <c r="AC1" s="531"/>
      <c r="AD1" s="531"/>
      <c r="AE1" s="531"/>
      <c r="AF1" s="531"/>
    </row>
    <row r="2" spans="1:32" ht="15" customHeight="1" x14ac:dyDescent="0.25">
      <c r="A2" s="532" t="s">
        <v>4562</v>
      </c>
      <c r="B2" s="744" t="s">
        <v>8425</v>
      </c>
      <c r="C2" s="745"/>
      <c r="D2" s="745"/>
      <c r="E2" s="745"/>
      <c r="F2" s="745"/>
      <c r="G2" s="745"/>
      <c r="H2" s="745"/>
      <c r="I2" s="746"/>
      <c r="J2" s="747" t="s">
        <v>51</v>
      </c>
      <c r="K2" s="748"/>
      <c r="L2" s="748"/>
      <c r="M2" s="748"/>
      <c r="N2" s="748"/>
      <c r="O2" s="748"/>
      <c r="P2" s="748"/>
      <c r="Q2" s="749"/>
      <c r="R2" s="750" t="s">
        <v>52</v>
      </c>
      <c r="S2" s="751"/>
      <c r="T2" s="751"/>
      <c r="U2" s="751"/>
      <c r="V2" s="751"/>
      <c r="W2" s="751"/>
      <c r="X2" s="751"/>
      <c r="Y2" s="752"/>
      <c r="Z2" s="753" t="s">
        <v>4307</v>
      </c>
      <c r="AA2" s="753"/>
      <c r="AB2" s="753"/>
      <c r="AC2" s="753"/>
      <c r="AD2" s="753"/>
      <c r="AE2" s="753"/>
      <c r="AF2" s="753"/>
    </row>
    <row r="3" spans="1:32" x14ac:dyDescent="0.25">
      <c r="A3" s="533" t="s">
        <v>8426</v>
      </c>
      <c r="B3" s="534">
        <v>4</v>
      </c>
      <c r="C3" s="534">
        <v>5</v>
      </c>
      <c r="D3" s="534">
        <v>401</v>
      </c>
      <c r="E3" s="534">
        <v>402</v>
      </c>
      <c r="F3" s="534">
        <v>403</v>
      </c>
      <c r="G3" s="534">
        <v>404</v>
      </c>
      <c r="H3" s="534" t="s">
        <v>8427</v>
      </c>
      <c r="I3" s="534" t="s">
        <v>8428</v>
      </c>
      <c r="J3" s="535">
        <v>4</v>
      </c>
      <c r="K3" s="535">
        <v>5</v>
      </c>
      <c r="L3" s="535">
        <v>401</v>
      </c>
      <c r="M3" s="535">
        <v>402</v>
      </c>
      <c r="N3" s="535">
        <v>403</v>
      </c>
      <c r="O3" s="535">
        <v>404</v>
      </c>
      <c r="P3" s="535" t="s">
        <v>8427</v>
      </c>
      <c r="Q3" s="535" t="s">
        <v>8428</v>
      </c>
      <c r="R3" s="535">
        <v>4</v>
      </c>
      <c r="S3" s="535">
        <v>5</v>
      </c>
      <c r="T3" s="535">
        <v>401</v>
      </c>
      <c r="U3" s="535">
        <v>402</v>
      </c>
      <c r="V3" s="535">
        <v>403</v>
      </c>
      <c r="W3" s="535">
        <v>404</v>
      </c>
      <c r="X3" s="535" t="s">
        <v>8427</v>
      </c>
      <c r="Y3" s="535" t="s">
        <v>8429</v>
      </c>
      <c r="Z3" s="534">
        <v>4</v>
      </c>
      <c r="AA3" s="534">
        <v>5</v>
      </c>
      <c r="AB3" s="534">
        <v>401</v>
      </c>
      <c r="AC3" s="534">
        <v>402</v>
      </c>
      <c r="AD3" s="534">
        <v>403</v>
      </c>
      <c r="AE3" s="534">
        <v>404</v>
      </c>
      <c r="AF3" s="534" t="s">
        <v>8427</v>
      </c>
    </row>
    <row r="4" spans="1:32" s="245" customFormat="1" ht="15" customHeight="1" x14ac:dyDescent="0.25">
      <c r="A4" s="573">
        <v>45658</v>
      </c>
      <c r="B4" s="274">
        <f>'ПП Д4'!H66</f>
        <v>0</v>
      </c>
      <c r="C4" s="274">
        <f>'ПП Д5'!H52</f>
        <v>2</v>
      </c>
      <c r="D4" s="554">
        <f>'ПП 401'!G35</f>
        <v>0</v>
      </c>
      <c r="E4" s="274">
        <f>'ПП 402'!H36</f>
        <v>4</v>
      </c>
      <c r="F4" s="274">
        <f>'ПП 403'!H19</f>
        <v>0</v>
      </c>
      <c r="G4" s="274">
        <f>'ПП 404'!H19</f>
        <v>0</v>
      </c>
      <c r="H4" s="274">
        <f>'ПП 3 Квартал'!H19</f>
        <v>0</v>
      </c>
      <c r="I4" s="274">
        <f>SUM(B4:H4)</f>
        <v>6</v>
      </c>
      <c r="J4" s="333">
        <f ca="1">'ПП Д4'!I66</f>
        <v>0</v>
      </c>
      <c r="K4" s="333">
        <f>'ПП Д5'!I52</f>
        <v>94.39</v>
      </c>
      <c r="L4" s="333">
        <f>'ПП 401'!H35</f>
        <v>0</v>
      </c>
      <c r="M4" s="333">
        <f>'ПП 402'!I36</f>
        <v>139.82</v>
      </c>
      <c r="N4" s="333">
        <f>'ПП 403'!I19</f>
        <v>0</v>
      </c>
      <c r="O4" s="333">
        <f ca="1">'ПП 404'!I19</f>
        <v>0</v>
      </c>
      <c r="P4" s="333">
        <f>'ПП 3 Квартал'!I19</f>
        <v>0</v>
      </c>
      <c r="Q4" s="333">
        <f ca="1">SUM(J4:P4)</f>
        <v>234.20999999999998</v>
      </c>
      <c r="R4" s="574">
        <f ca="1">'ПП Д4'!L66</f>
        <v>0</v>
      </c>
      <c r="S4" s="574">
        <f>'ПП Д5'!L52</f>
        <v>12488048</v>
      </c>
      <c r="T4" s="574">
        <f>'ПП 401'!K35</f>
        <v>0</v>
      </c>
      <c r="U4" s="574">
        <f>'ПП 402'!L36</f>
        <v>17953004</v>
      </c>
      <c r="V4" s="574">
        <f>'ПП 403'!L19</f>
        <v>0</v>
      </c>
      <c r="W4" s="574">
        <f ca="1">'ПП 404'!L19</f>
        <v>0</v>
      </c>
      <c r="X4" s="574">
        <f>'ПП 3 Квартал'!L19</f>
        <v>0</v>
      </c>
      <c r="Y4" s="574">
        <f ca="1">SUM(R4:X4)</f>
        <v>30441052</v>
      </c>
      <c r="Z4" s="574" t="str">
        <f t="shared" ref="Z4:AF16" ca="1" si="0">IFERROR(R4/J4,"0")</f>
        <v>0</v>
      </c>
      <c r="AA4" s="574">
        <f t="shared" si="0"/>
        <v>132302.65917999789</v>
      </c>
      <c r="AB4" s="574" t="str">
        <f t="shared" si="0"/>
        <v>0</v>
      </c>
      <c r="AC4" s="574">
        <f t="shared" si="0"/>
        <v>128400.82963810614</v>
      </c>
      <c r="AD4" s="574" t="str">
        <f t="shared" si="0"/>
        <v>0</v>
      </c>
      <c r="AE4" s="574" t="str">
        <f t="shared" ca="1" si="0"/>
        <v>0</v>
      </c>
      <c r="AF4" s="574" t="str">
        <f t="shared" si="0"/>
        <v>0</v>
      </c>
    </row>
    <row r="5" spans="1:32" x14ac:dyDescent="0.25">
      <c r="A5" s="622">
        <v>45689</v>
      </c>
      <c r="B5" s="274">
        <f>'ПП Д4'!H67</f>
        <v>0</v>
      </c>
      <c r="C5" s="274">
        <f>'ПП Д5'!H53</f>
        <v>9</v>
      </c>
      <c r="D5" s="618">
        <f>'ПП 401'!G36</f>
        <v>4</v>
      </c>
      <c r="E5" s="274">
        <f>'ПП 402'!H37</f>
        <v>19</v>
      </c>
      <c r="F5" s="274">
        <f>'ПП 403'!H20</f>
        <v>0</v>
      </c>
      <c r="G5" s="274">
        <f>'ПП 404'!H20</f>
        <v>0</v>
      </c>
      <c r="H5" s="274">
        <f>'ПП 3 Квартал'!H20</f>
        <v>0</v>
      </c>
      <c r="I5" s="274">
        <f t="shared" ref="I5:I15" si="1">SUM(B5:H5)</f>
        <v>32</v>
      </c>
      <c r="J5" s="333">
        <f ca="1">'ПП Д4'!I67</f>
        <v>0</v>
      </c>
      <c r="K5" s="333">
        <f>'ПП Д5'!I53</f>
        <v>400.63</v>
      </c>
      <c r="L5" s="333">
        <f>'ПП 401'!H36</f>
        <v>188.52999999999997</v>
      </c>
      <c r="M5" s="333">
        <f>'ПП 402'!I37</f>
        <v>818.7700000000001</v>
      </c>
      <c r="N5" s="333">
        <f>'ПП 403'!I20</f>
        <v>0</v>
      </c>
      <c r="O5" s="333">
        <f ca="1">'ПП 404'!I20</f>
        <v>0</v>
      </c>
      <c r="P5" s="333">
        <f>'ПП 3 Квартал'!I20</f>
        <v>0</v>
      </c>
      <c r="Q5" s="333">
        <f t="shared" ref="Q5:Q15" ca="1" si="2">SUM(J5:P5)</f>
        <v>1407.93</v>
      </c>
      <c r="R5" s="574">
        <f ca="1">'ПП Д4'!L67</f>
        <v>0</v>
      </c>
      <c r="S5" s="574">
        <f>'ПП Д5'!L53</f>
        <v>52136456</v>
      </c>
      <c r="T5" s="574">
        <f>'ПП 401'!K36</f>
        <v>24764168</v>
      </c>
      <c r="U5" s="574">
        <f>'ПП 402'!L37</f>
        <v>100818363</v>
      </c>
      <c r="V5" s="574">
        <f>'ПП 403'!L20</f>
        <v>0</v>
      </c>
      <c r="W5" s="574">
        <f ca="1">'ПП 404'!L20</f>
        <v>0</v>
      </c>
      <c r="X5" s="574">
        <f>'ПП 3 Квартал'!L20</f>
        <v>0</v>
      </c>
      <c r="Y5" s="574">
        <f t="shared" ref="Y5:Y15" ca="1" si="3">SUM(R5:X5)</f>
        <v>177718987</v>
      </c>
      <c r="Z5" s="574" t="str">
        <f t="shared" ca="1" si="0"/>
        <v>0</v>
      </c>
      <c r="AA5" s="574">
        <f t="shared" si="0"/>
        <v>130136.17552355041</v>
      </c>
      <c r="AB5" s="574">
        <f t="shared" si="0"/>
        <v>131353.99140720311</v>
      </c>
      <c r="AC5" s="574">
        <f t="shared" si="0"/>
        <v>123133.92405681692</v>
      </c>
      <c r="AD5" s="574" t="str">
        <f t="shared" si="0"/>
        <v>0</v>
      </c>
      <c r="AE5" s="574" t="str">
        <f t="shared" ca="1" si="0"/>
        <v>0</v>
      </c>
      <c r="AF5" s="574" t="str">
        <f t="shared" si="0"/>
        <v>0</v>
      </c>
    </row>
    <row r="6" spans="1:32" s="245" customFormat="1" x14ac:dyDescent="0.25">
      <c r="A6" s="545">
        <v>45717</v>
      </c>
      <c r="B6" s="243">
        <f>'ПП Д4'!H68</f>
        <v>1</v>
      </c>
      <c r="C6" s="243">
        <f>'ПП Д5'!H54</f>
        <v>7</v>
      </c>
      <c r="D6" s="397">
        <f>'ПП 401'!G37</f>
        <v>2</v>
      </c>
      <c r="E6" s="243">
        <f>'ПП 402'!H38</f>
        <v>23</v>
      </c>
      <c r="F6" s="243">
        <f>'ПП 403'!H21</f>
        <v>0</v>
      </c>
      <c r="G6" s="243">
        <f>'ПП 404'!H21</f>
        <v>0</v>
      </c>
      <c r="H6" s="243">
        <f>'ПП 3 Квартал'!H21</f>
        <v>0</v>
      </c>
      <c r="I6" s="243">
        <f t="shared" si="1"/>
        <v>33</v>
      </c>
      <c r="J6" s="316">
        <f>'ПП Д4'!I68</f>
        <v>75.7</v>
      </c>
      <c r="K6" s="316">
        <f>'ПП Д5'!I54</f>
        <v>382.05000000000007</v>
      </c>
      <c r="L6" s="316">
        <f>'ПП 401'!H37</f>
        <v>98.4</v>
      </c>
      <c r="M6" s="316">
        <f>'ПП 402'!I38</f>
        <v>1051.22</v>
      </c>
      <c r="N6" s="316">
        <f>'ПП 403'!I21</f>
        <v>0</v>
      </c>
      <c r="O6" s="316">
        <f ca="1">'ПП 404'!I21</f>
        <v>0</v>
      </c>
      <c r="P6" s="316">
        <f>'ПП 3 Квартал'!I21</f>
        <v>0</v>
      </c>
      <c r="Q6" s="316">
        <f t="shared" ca="1" si="2"/>
        <v>1607.3700000000001</v>
      </c>
      <c r="R6" s="546">
        <f>'ПП Д4'!L68</f>
        <v>8374500</v>
      </c>
      <c r="S6" s="546">
        <f>'ПП Д5'!L54</f>
        <v>42161480</v>
      </c>
      <c r="T6" s="546">
        <f>'ПП 401'!K37</f>
        <v>12472200</v>
      </c>
      <c r="U6" s="546">
        <f>'ПП 402'!L38</f>
        <v>131179738</v>
      </c>
      <c r="V6" s="546">
        <f>'ПП 403'!L21</f>
        <v>0</v>
      </c>
      <c r="W6" s="546">
        <f ca="1">'ПП 404'!L21</f>
        <v>0</v>
      </c>
      <c r="X6" s="546">
        <f>'ПП 3 Квартал'!L21</f>
        <v>0</v>
      </c>
      <c r="Y6" s="546">
        <f t="shared" ca="1" si="3"/>
        <v>194187918</v>
      </c>
      <c r="Z6" s="546">
        <f t="shared" si="0"/>
        <v>110627.47688243064</v>
      </c>
      <c r="AA6" s="546">
        <f t="shared" si="0"/>
        <v>110355.92199973823</v>
      </c>
      <c r="AB6" s="546">
        <f t="shared" si="0"/>
        <v>126749.99999999999</v>
      </c>
      <c r="AC6" s="546">
        <f t="shared" si="0"/>
        <v>124788.09193127984</v>
      </c>
      <c r="AD6" s="546" t="str">
        <f t="shared" si="0"/>
        <v>0</v>
      </c>
      <c r="AE6" s="546" t="str">
        <f t="shared" ca="1" si="0"/>
        <v>0</v>
      </c>
      <c r="AF6" s="546" t="str">
        <f t="shared" si="0"/>
        <v>0</v>
      </c>
    </row>
    <row r="7" spans="1:32" s="245" customFormat="1" x14ac:dyDescent="0.25">
      <c r="A7" s="545">
        <v>45748</v>
      </c>
      <c r="B7" s="243">
        <f>'ПП Д4'!H69</f>
        <v>0</v>
      </c>
      <c r="C7" s="243">
        <f>'ПП Д5'!H55</f>
        <v>13</v>
      </c>
      <c r="D7" s="397">
        <f>'ПП 401'!G38</f>
        <v>2</v>
      </c>
      <c r="E7" s="243">
        <f>'ПП 402'!H39</f>
        <v>7</v>
      </c>
      <c r="F7" s="243">
        <f>'ПП 403'!H22</f>
        <v>0</v>
      </c>
      <c r="G7" s="243">
        <f>'ПП 404'!H22</f>
        <v>0</v>
      </c>
      <c r="H7" s="243">
        <f>'ПП 3 Квартал'!H22</f>
        <v>0</v>
      </c>
      <c r="I7" s="243">
        <f t="shared" si="1"/>
        <v>22</v>
      </c>
      <c r="J7" s="316">
        <f ca="1">'ПП Д4'!I69</f>
        <v>0</v>
      </c>
      <c r="K7" s="316">
        <f>'ПП Д5'!I55</f>
        <v>685</v>
      </c>
      <c r="L7" s="316">
        <f>'ПП 401'!H38</f>
        <v>96.94</v>
      </c>
      <c r="M7" s="316">
        <f>'ПП 402'!I39</f>
        <v>313.13</v>
      </c>
      <c r="N7" s="316">
        <f>'ПП 403'!I22</f>
        <v>0</v>
      </c>
      <c r="O7" s="316">
        <f ca="1">'ПП 404'!I22</f>
        <v>0</v>
      </c>
      <c r="P7" s="316">
        <f>'ПП 3 Квартал'!I22</f>
        <v>0</v>
      </c>
      <c r="Q7" s="316">
        <f t="shared" ca="1" si="2"/>
        <v>1095.0700000000002</v>
      </c>
      <c r="R7" s="546">
        <f ca="1">'ПП Д4'!L69</f>
        <v>0</v>
      </c>
      <c r="S7" s="546">
        <f>'ПП Д5'!L55</f>
        <v>81624085</v>
      </c>
      <c r="T7" s="546">
        <f>'ПП 401'!K38</f>
        <v>12621812</v>
      </c>
      <c r="U7" s="546">
        <f>'ПП 402'!L39</f>
        <v>38731671</v>
      </c>
      <c r="V7" s="546">
        <f>'ПП 403'!L22</f>
        <v>0</v>
      </c>
      <c r="W7" s="546">
        <f ca="1">'ПП 404'!L22</f>
        <v>0</v>
      </c>
      <c r="X7" s="546">
        <f>'ПП 3 Квартал'!L22</f>
        <v>0</v>
      </c>
      <c r="Y7" s="546">
        <f t="shared" ca="1" si="3"/>
        <v>132977568</v>
      </c>
      <c r="Z7" s="546" t="str">
        <f t="shared" ca="1" si="0"/>
        <v>0</v>
      </c>
      <c r="AA7" s="546">
        <f t="shared" si="0"/>
        <v>119159.24817518248</v>
      </c>
      <c r="AB7" s="546">
        <f t="shared" si="0"/>
        <v>130202.31070765422</v>
      </c>
      <c r="AC7" s="546">
        <f t="shared" si="0"/>
        <v>123691.98415993358</v>
      </c>
      <c r="AD7" s="546" t="str">
        <f t="shared" si="0"/>
        <v>0</v>
      </c>
      <c r="AE7" s="546" t="str">
        <f t="shared" ca="1" si="0"/>
        <v>0</v>
      </c>
      <c r="AF7" s="546" t="str">
        <f t="shared" si="0"/>
        <v>0</v>
      </c>
    </row>
    <row r="8" spans="1:32" s="245" customFormat="1" x14ac:dyDescent="0.25">
      <c r="A8" s="545">
        <v>45778</v>
      </c>
      <c r="B8" s="243">
        <f>'ПП Д4'!H70</f>
        <v>0</v>
      </c>
      <c r="C8" s="243">
        <f>'ПП Д5'!H56</f>
        <v>10</v>
      </c>
      <c r="D8" s="397">
        <f>'ПП 401'!G39</f>
        <v>1</v>
      </c>
      <c r="E8" s="243">
        <f>'ПП 402'!H40</f>
        <v>5</v>
      </c>
      <c r="F8" s="243">
        <f>'ПП 403'!H23</f>
        <v>0</v>
      </c>
      <c r="G8" s="243">
        <f>'ПП 404'!H23</f>
        <v>0</v>
      </c>
      <c r="H8" s="243">
        <f>'ПП 3 Квартал'!H23</f>
        <v>0</v>
      </c>
      <c r="I8" s="243">
        <f t="shared" si="1"/>
        <v>16</v>
      </c>
      <c r="J8" s="316">
        <f ca="1">'ПП Д4'!I70</f>
        <v>0</v>
      </c>
      <c r="K8" s="316">
        <f>'ПП Д5'!I56</f>
        <v>604.85</v>
      </c>
      <c r="L8" s="316">
        <f>'ПП 401'!H39</f>
        <v>61.41</v>
      </c>
      <c r="M8" s="316">
        <f>'ПП 402'!I40</f>
        <v>249.45</v>
      </c>
      <c r="N8" s="316">
        <f>'ПП 403'!I23</f>
        <v>0</v>
      </c>
      <c r="O8" s="316">
        <f ca="1">'ПП 404'!I23</f>
        <v>0</v>
      </c>
      <c r="P8" s="316">
        <f>'ПП 3 Квартал'!I23</f>
        <v>0</v>
      </c>
      <c r="Q8" s="316">
        <f t="shared" ca="1" si="2"/>
        <v>915.71</v>
      </c>
      <c r="R8" s="546">
        <f ca="1">'ПП Д4'!L70</f>
        <v>0</v>
      </c>
      <c r="S8" s="546">
        <f>'ПП Д5'!L56</f>
        <v>69333934</v>
      </c>
      <c r="T8" s="546">
        <f>'ПП 401'!K39</f>
        <v>7584135</v>
      </c>
      <c r="U8" s="546">
        <f>'ПП 402'!L40</f>
        <v>30207764</v>
      </c>
      <c r="V8" s="546">
        <f>'ПП 403'!L23</f>
        <v>0</v>
      </c>
      <c r="W8" s="546">
        <f ca="1">'ПП 404'!L23</f>
        <v>0</v>
      </c>
      <c r="X8" s="546">
        <f>'ПП 3 Квартал'!L23</f>
        <v>0</v>
      </c>
      <c r="Y8" s="546">
        <f t="shared" ca="1" si="3"/>
        <v>107125833</v>
      </c>
      <c r="Z8" s="546" t="str">
        <f t="shared" ca="1" si="0"/>
        <v>0</v>
      </c>
      <c r="AA8" s="546">
        <f t="shared" si="0"/>
        <v>114629.96445399686</v>
      </c>
      <c r="AB8" s="546">
        <f t="shared" si="0"/>
        <v>123500</v>
      </c>
      <c r="AC8" s="546">
        <f t="shared" si="0"/>
        <v>121097.47043495691</v>
      </c>
      <c r="AD8" s="546" t="str">
        <f t="shared" si="0"/>
        <v>0</v>
      </c>
      <c r="AE8" s="546" t="str">
        <f t="shared" ca="1" si="0"/>
        <v>0</v>
      </c>
      <c r="AF8" s="546" t="str">
        <f t="shared" si="0"/>
        <v>0</v>
      </c>
    </row>
    <row r="9" spans="1:32" x14ac:dyDescent="0.25">
      <c r="A9" s="537">
        <v>45809</v>
      </c>
      <c r="B9" s="39">
        <f>'ПП Д4'!H71</f>
        <v>1</v>
      </c>
      <c r="C9" s="39">
        <f>'ПП Д5'!H57</f>
        <v>21</v>
      </c>
      <c r="D9" s="318">
        <f>'ПП 401'!G40</f>
        <v>0</v>
      </c>
      <c r="E9" s="39">
        <f>'ПП 402'!H41</f>
        <v>4</v>
      </c>
      <c r="F9" s="39">
        <f>'ПП 403'!H24</f>
        <v>0</v>
      </c>
      <c r="G9" s="39">
        <f>'ПП 404'!H24</f>
        <v>0</v>
      </c>
      <c r="H9" s="39">
        <f>'ПП 3 Квартал'!H24</f>
        <v>0</v>
      </c>
      <c r="I9" s="39">
        <f t="shared" si="1"/>
        <v>26</v>
      </c>
      <c r="J9" s="547">
        <f>'ПП Д4'!I71</f>
        <v>34.6</v>
      </c>
      <c r="K9" s="547">
        <f>'ПП Д5'!I57</f>
        <v>1019.6700000000001</v>
      </c>
      <c r="L9" s="547">
        <f>'ПП 401'!H40</f>
        <v>0</v>
      </c>
      <c r="M9" s="547">
        <f>'ПП 402'!I41</f>
        <v>195.35999999999999</v>
      </c>
      <c r="N9" s="547">
        <f>'ПП 403'!I24</f>
        <v>0</v>
      </c>
      <c r="O9" s="547">
        <f ca="1">'ПП 404'!I24</f>
        <v>0</v>
      </c>
      <c r="P9" s="547">
        <f>'ПП 3 Квартал'!I24</f>
        <v>0</v>
      </c>
      <c r="Q9" s="547">
        <f t="shared" ca="1" si="2"/>
        <v>1249.6299999999999</v>
      </c>
      <c r="R9" s="384">
        <f>'ПП Д4'!L71</f>
        <v>4255800</v>
      </c>
      <c r="S9" s="384">
        <f>'ПП Д5'!L57</f>
        <v>121625459</v>
      </c>
      <c r="T9" s="384">
        <f>'ПП 401'!K40</f>
        <v>0</v>
      </c>
      <c r="U9" s="384">
        <f>'ПП 402'!L41</f>
        <v>23624076</v>
      </c>
      <c r="V9" s="384">
        <f>'ПП 403'!L24</f>
        <v>0</v>
      </c>
      <c r="W9" s="384">
        <f ca="1">'ПП 404'!L24</f>
        <v>0</v>
      </c>
      <c r="X9" s="384">
        <f>'ПП 3 Квартал'!L24</f>
        <v>0</v>
      </c>
      <c r="Y9" s="384">
        <f t="shared" ca="1" si="3"/>
        <v>149505335</v>
      </c>
      <c r="Z9" s="384">
        <f t="shared" si="0"/>
        <v>123000</v>
      </c>
      <c r="AA9" s="384">
        <f t="shared" si="0"/>
        <v>119279.23641962594</v>
      </c>
      <c r="AB9" s="384" t="str">
        <f t="shared" si="0"/>
        <v>0</v>
      </c>
      <c r="AC9" s="384">
        <f t="shared" si="0"/>
        <v>120925.85995085996</v>
      </c>
      <c r="AD9" s="384" t="str">
        <f t="shared" si="0"/>
        <v>0</v>
      </c>
      <c r="AE9" s="384" t="str">
        <f t="shared" ca="1" si="0"/>
        <v>0</v>
      </c>
      <c r="AF9" s="384" t="str">
        <f t="shared" si="0"/>
        <v>0</v>
      </c>
    </row>
    <row r="10" spans="1:32" ht="14.25" customHeight="1" x14ac:dyDescent="0.25">
      <c r="A10" s="537">
        <v>45839</v>
      </c>
      <c r="B10" s="39">
        <f>'ПП Д4'!H72</f>
        <v>0</v>
      </c>
      <c r="C10" s="39">
        <f>'ПП Д5'!H58</f>
        <v>4</v>
      </c>
      <c r="D10" s="318">
        <f>'ПП 401'!G41</f>
        <v>3</v>
      </c>
      <c r="E10" s="39">
        <f>'ПП 402'!H42</f>
        <v>6</v>
      </c>
      <c r="F10" s="39">
        <f>'ПП 403'!H25</f>
        <v>0</v>
      </c>
      <c r="G10" s="39">
        <f>'ПП 404'!H25</f>
        <v>0</v>
      </c>
      <c r="H10" s="39">
        <f>'ПП 3 Квартал'!H25</f>
        <v>0</v>
      </c>
      <c r="I10" s="39">
        <f t="shared" si="1"/>
        <v>13</v>
      </c>
      <c r="J10" s="547">
        <f>'ПП Д4'!I72</f>
        <v>0</v>
      </c>
      <c r="K10" s="547">
        <f>'ПП Д5'!I58</f>
        <v>193.85000000000002</v>
      </c>
      <c r="L10" s="547">
        <f>'ПП 401'!H41</f>
        <v>152.78</v>
      </c>
      <c r="M10" s="547">
        <f>'ПП 402'!I42</f>
        <v>254.42000000000002</v>
      </c>
      <c r="N10" s="547">
        <f>'ПП 403'!I25</f>
        <v>0</v>
      </c>
      <c r="O10" s="547">
        <f ca="1">'ПП 404'!I25</f>
        <v>0</v>
      </c>
      <c r="P10" s="547">
        <f>'ПП 3 Квартал'!I25</f>
        <v>0</v>
      </c>
      <c r="Q10" s="547">
        <f t="shared" ca="1" si="2"/>
        <v>601.04999999999995</v>
      </c>
      <c r="R10" s="384">
        <f>'ПП Д4'!L72</f>
        <v>0</v>
      </c>
      <c r="S10" s="384">
        <f>'ПП Д5'!L58</f>
        <v>22865450</v>
      </c>
      <c r="T10" s="384">
        <f>'ПП 401'!K41</f>
        <v>19527504</v>
      </c>
      <c r="U10" s="384">
        <f>'ПП 402'!L42</f>
        <v>31642630</v>
      </c>
      <c r="V10" s="384">
        <f>'ПП 403'!L25</f>
        <v>0</v>
      </c>
      <c r="W10" s="384">
        <f ca="1">'ПП 404'!L25</f>
        <v>0</v>
      </c>
      <c r="X10" s="384">
        <f>'ПП 3 Квартал'!L25</f>
        <v>0</v>
      </c>
      <c r="Y10" s="384">
        <f t="shared" ca="1" si="3"/>
        <v>74035584</v>
      </c>
      <c r="Z10" s="384" t="str">
        <f t="shared" si="0"/>
        <v>0</v>
      </c>
      <c r="AA10" s="384">
        <f t="shared" si="0"/>
        <v>117954.34614392571</v>
      </c>
      <c r="AB10" s="384">
        <f t="shared" si="0"/>
        <v>127814.5306977353</v>
      </c>
      <c r="AC10" s="384">
        <f t="shared" si="0"/>
        <v>124371.62958886879</v>
      </c>
      <c r="AD10" s="384" t="str">
        <f t="shared" si="0"/>
        <v>0</v>
      </c>
      <c r="AE10" s="384" t="str">
        <f t="shared" ca="1" si="0"/>
        <v>0</v>
      </c>
      <c r="AF10" s="384" t="str">
        <f t="shared" si="0"/>
        <v>0</v>
      </c>
    </row>
    <row r="11" spans="1:32" x14ac:dyDescent="0.25">
      <c r="A11" s="537">
        <v>45870</v>
      </c>
      <c r="B11" s="39">
        <f>'ПП Д4'!H73</f>
        <v>1</v>
      </c>
      <c r="C11" s="39">
        <f>'ПП Д5'!H59</f>
        <v>14</v>
      </c>
      <c r="D11" s="318">
        <f>'ПП 401'!G42</f>
        <v>12</v>
      </c>
      <c r="E11" s="39">
        <f>'ПП 402'!H43</f>
        <v>12</v>
      </c>
      <c r="F11" s="39">
        <f>'ПП 403'!H26</f>
        <v>0</v>
      </c>
      <c r="G11" s="39">
        <f>'ПП 404'!H26</f>
        <v>0</v>
      </c>
      <c r="H11" s="39">
        <f>'ПП 3 Квартал'!H26</f>
        <v>0</v>
      </c>
      <c r="I11" s="39">
        <f t="shared" si="1"/>
        <v>39</v>
      </c>
      <c r="J11" s="547">
        <f ca="1">'ПП Д4'!I73</f>
        <v>63.300000000004125</v>
      </c>
      <c r="K11" s="547">
        <f ca="1">'ПП Д5'!I59</f>
        <v>771.26043735676103</v>
      </c>
      <c r="L11" s="547">
        <f ca="1">'ПП 401'!H42</f>
        <v>673.70912625418066</v>
      </c>
      <c r="M11" s="547">
        <f ca="1">'ПП 402'!I43</f>
        <v>629.36175084174988</v>
      </c>
      <c r="N11" s="547">
        <f>'ПП 403'!I26</f>
        <v>0</v>
      </c>
      <c r="O11" s="547">
        <f ca="1">'ПП 404'!I26</f>
        <v>0</v>
      </c>
      <c r="P11" s="547">
        <f>'ПП 3 Квартал'!I26</f>
        <v>0</v>
      </c>
      <c r="Q11" s="547">
        <f t="shared" ca="1" si="2"/>
        <v>2137.6313144526957</v>
      </c>
      <c r="R11" s="384">
        <f ca="1">'ПП Д4'!L73</f>
        <v>7279296.0003200155</v>
      </c>
      <c r="S11" s="384">
        <f ca="1">'ПП Д5'!L59</f>
        <v>98613350.952628106</v>
      </c>
      <c r="T11" s="384">
        <f ca="1">'ПП 401'!K42</f>
        <v>84488283.170920774</v>
      </c>
      <c r="U11" s="384">
        <f ca="1">'ПП 402'!L43</f>
        <v>78502723.58922559</v>
      </c>
      <c r="V11" s="384">
        <f>'ПП 403'!L26</f>
        <v>0</v>
      </c>
      <c r="W11" s="384">
        <f ca="1">'ПП 404'!L26</f>
        <v>0</v>
      </c>
      <c r="X11" s="384">
        <f>'ПП 3 Квартал'!L26</f>
        <v>0</v>
      </c>
      <c r="Y11" s="384">
        <f t="shared" ca="1" si="3"/>
        <v>268883653.71309447</v>
      </c>
      <c r="Z11" s="384">
        <f t="shared" ca="1" si="0"/>
        <v>114996.77725623288</v>
      </c>
      <c r="AA11" s="384">
        <f t="shared" ca="1" si="0"/>
        <v>127859.98889116186</v>
      </c>
      <c r="AB11" s="384">
        <f t="shared" ca="1" si="0"/>
        <v>125407.65721948165</v>
      </c>
      <c r="AC11" s="384">
        <f t="shared" ca="1" si="0"/>
        <v>124733.86487855494</v>
      </c>
      <c r="AD11" s="384" t="str">
        <f t="shared" si="0"/>
        <v>0</v>
      </c>
      <c r="AE11" s="384" t="str">
        <f t="shared" ca="1" si="0"/>
        <v>0</v>
      </c>
      <c r="AF11" s="384" t="str">
        <f t="shared" si="0"/>
        <v>0</v>
      </c>
    </row>
    <row r="12" spans="1:32" x14ac:dyDescent="0.25">
      <c r="A12" s="537">
        <v>45901</v>
      </c>
      <c r="B12" s="39">
        <f>'ПП Д4'!H74</f>
        <v>1</v>
      </c>
      <c r="C12" s="39">
        <f>'ПП Д5'!H60</f>
        <v>10</v>
      </c>
      <c r="D12" s="318">
        <f>'ПП 401'!G43</f>
        <v>13</v>
      </c>
      <c r="E12" s="39">
        <f>'ПП 402'!H44</f>
        <v>14</v>
      </c>
      <c r="F12" s="39">
        <f>'ПП 403'!H27</f>
        <v>16</v>
      </c>
      <c r="G12" s="39">
        <f>'ПП 404'!H27</f>
        <v>17</v>
      </c>
      <c r="H12" s="39">
        <f>'ПП 3 Квартал'!H27</f>
        <v>0</v>
      </c>
      <c r="I12" s="39">
        <f t="shared" si="1"/>
        <v>71</v>
      </c>
      <c r="J12" s="547">
        <f ca="1">'ПП Д4'!I74</f>
        <v>54.850000000001728</v>
      </c>
      <c r="K12" s="547">
        <f ca="1">'ПП Д5'!I60</f>
        <v>607.07970779220784</v>
      </c>
      <c r="L12" s="547">
        <f ca="1">'ПП 401'!H43</f>
        <v>729.58037625418069</v>
      </c>
      <c r="M12" s="547">
        <f ca="1">'ПП 402'!I44</f>
        <v>669.72306019969733</v>
      </c>
      <c r="N12" s="547">
        <f ca="1">'ПП 403'!I27</f>
        <v>772.08413312040068</v>
      </c>
      <c r="O12" s="547">
        <f ca="1">'ПП 404'!I27</f>
        <v>859.25438735177886</v>
      </c>
      <c r="P12" s="547">
        <f>'ПП 3 Квартал'!I27</f>
        <v>0</v>
      </c>
      <c r="Q12" s="547">
        <f t="shared" ca="1" si="2"/>
        <v>3692.5716647182667</v>
      </c>
      <c r="R12" s="384">
        <f ca="1">'ПП Д4'!L74</f>
        <v>6318719.9999998286</v>
      </c>
      <c r="S12" s="384">
        <f ca="1">'ПП Д5'!L60</f>
        <v>76211379.650526866</v>
      </c>
      <c r="T12" s="384">
        <f ca="1">'ПП 401'!K43</f>
        <v>91335430.578108266</v>
      </c>
      <c r="U12" s="384">
        <f ca="1">'ПП 402'!L44</f>
        <v>84923327.570823178</v>
      </c>
      <c r="V12" s="384">
        <f ca="1">'ПП 403'!L27</f>
        <v>91664093.301299766</v>
      </c>
      <c r="W12" s="384">
        <f ca="1">'ПП 404'!L27</f>
        <v>99742040.984996051</v>
      </c>
      <c r="X12" s="384">
        <f>'ПП 3 Квартал'!L27</f>
        <v>0</v>
      </c>
      <c r="Y12" s="384">
        <f t="shared" ca="1" si="3"/>
        <v>450194992.08575392</v>
      </c>
      <c r="Z12" s="384">
        <f t="shared" ca="1" si="0"/>
        <v>115199.99999999325</v>
      </c>
      <c r="AA12" s="384">
        <f t="shared" ca="1" si="0"/>
        <v>125537.68256838624</v>
      </c>
      <c r="AB12" s="384">
        <f t="shared" ca="1" si="0"/>
        <v>125188.99020700585</v>
      </c>
      <c r="AC12" s="384">
        <f t="shared" ca="1" si="0"/>
        <v>126803.64857901238</v>
      </c>
      <c r="AD12" s="384">
        <f t="shared" ca="1" si="0"/>
        <v>118722.93364045268</v>
      </c>
      <c r="AE12" s="384">
        <f t="shared" ca="1" si="0"/>
        <v>116079.75758192044</v>
      </c>
      <c r="AF12" s="384" t="str">
        <f t="shared" si="0"/>
        <v>0</v>
      </c>
    </row>
    <row r="13" spans="1:32" x14ac:dyDescent="0.25">
      <c r="A13" s="537">
        <v>45931</v>
      </c>
      <c r="B13" s="39">
        <f>'ПП Д4'!H75</f>
        <v>1</v>
      </c>
      <c r="C13" s="39">
        <f>'ПП Д5'!H61</f>
        <v>8</v>
      </c>
      <c r="D13" s="318">
        <f>'ПП 401'!G44</f>
        <v>13</v>
      </c>
      <c r="E13" s="39">
        <f>'ПП 402'!H45</f>
        <v>16</v>
      </c>
      <c r="F13" s="39">
        <f>'ПП 403'!H28</f>
        <v>16</v>
      </c>
      <c r="G13" s="39">
        <f>'ПП 404'!H28</f>
        <v>17</v>
      </c>
      <c r="H13" s="39">
        <f>'ПП 3 Квартал'!H28</f>
        <v>0</v>
      </c>
      <c r="I13" s="39">
        <f t="shared" si="1"/>
        <v>71</v>
      </c>
      <c r="J13" s="547">
        <f ca="1">'ПП Д4'!I75</f>
        <v>63.300000000004125</v>
      </c>
      <c r="K13" s="547">
        <f ca="1">'ПП Д5'!I61</f>
        <v>488.20551948051957</v>
      </c>
      <c r="L13" s="547">
        <f ca="1">'ПП 401'!H44</f>
        <v>729.58037625418069</v>
      </c>
      <c r="M13" s="547">
        <f ca="1">'ПП 402'!I45</f>
        <v>777.12030157900767</v>
      </c>
      <c r="N13" s="547">
        <f ca="1">'ПП 403'!I28</f>
        <v>772.08413312040068</v>
      </c>
      <c r="O13" s="547">
        <f ca="1">'ПП 404'!I28</f>
        <v>859.25438735177886</v>
      </c>
      <c r="P13" s="547">
        <f>'ПП 3 Квартал'!I28</f>
        <v>0</v>
      </c>
      <c r="Q13" s="547">
        <f t="shared" ca="1" si="2"/>
        <v>3689.5447177858919</v>
      </c>
      <c r="R13" s="384">
        <f ca="1">'ПП Д4'!L75</f>
        <v>7279296.0003200155</v>
      </c>
      <c r="S13" s="384">
        <f ca="1">'ПП Д5'!L61</f>
        <v>62974801.971733309</v>
      </c>
      <c r="T13" s="384">
        <f ca="1">'ПП 401'!K44</f>
        <v>91335430.578108266</v>
      </c>
      <c r="U13" s="384">
        <f ca="1">'ПП 402'!L45</f>
        <v>98810979.531876251</v>
      </c>
      <c r="V13" s="384">
        <f ca="1">'ПП 403'!L28</f>
        <v>92609083.953890473</v>
      </c>
      <c r="W13" s="384">
        <f ca="1">'ПП 404'!L28</f>
        <v>100770309.4487589</v>
      </c>
      <c r="X13" s="384">
        <f>'ПП 3 Квартал'!L28</f>
        <v>0</v>
      </c>
      <c r="Y13" s="384">
        <f t="shared" ca="1" si="3"/>
        <v>453779901.48468727</v>
      </c>
      <c r="Z13" s="384">
        <f t="shared" ca="1" si="0"/>
        <v>114996.77725623288</v>
      </c>
      <c r="AA13" s="384">
        <f t="shared" ca="1" si="0"/>
        <v>128992.40065688388</v>
      </c>
      <c r="AB13" s="384">
        <f t="shared" ca="1" si="0"/>
        <v>125188.99020700585</v>
      </c>
      <c r="AC13" s="384">
        <f t="shared" ca="1" si="0"/>
        <v>127150.17138415397</v>
      </c>
      <c r="AD13" s="384">
        <f t="shared" ca="1" si="0"/>
        <v>119946.88140994187</v>
      </c>
      <c r="AE13" s="384">
        <f t="shared" ca="1" si="0"/>
        <v>117276.45611369281</v>
      </c>
      <c r="AF13" s="384" t="str">
        <f t="shared" si="0"/>
        <v>0</v>
      </c>
    </row>
    <row r="14" spans="1:32" x14ac:dyDescent="0.25">
      <c r="A14" s="537">
        <v>45962</v>
      </c>
      <c r="B14" s="39">
        <f>'ПП Д4'!H76</f>
        <v>1</v>
      </c>
      <c r="C14" s="39">
        <f>'ПП Д5'!H62</f>
        <v>8</v>
      </c>
      <c r="D14" s="318">
        <f>'ПП 401'!G45</f>
        <v>11</v>
      </c>
      <c r="E14" s="39">
        <f>'ПП 402'!H46</f>
        <v>15</v>
      </c>
      <c r="F14" s="39">
        <f>'ПП 403'!H29</f>
        <v>17</v>
      </c>
      <c r="G14" s="39">
        <f>'ПП 404'!H29</f>
        <v>18</v>
      </c>
      <c r="H14" s="39">
        <f>'ПП 3 Квартал'!H29</f>
        <v>17</v>
      </c>
      <c r="I14" s="39">
        <f t="shared" si="1"/>
        <v>87</v>
      </c>
      <c r="J14" s="547">
        <f ca="1">'ПП Д4'!I76</f>
        <v>63.300000000004125</v>
      </c>
      <c r="K14" s="547">
        <f ca="1">'ПП Д5'!I62</f>
        <v>488.20551948051957</v>
      </c>
      <c r="L14" s="547">
        <f ca="1">'ПП 401'!H45</f>
        <v>634.71297240802687</v>
      </c>
      <c r="M14" s="547">
        <f ca="1">'ПП 402'!I46</f>
        <v>689.38846888424416</v>
      </c>
      <c r="N14" s="547">
        <f ca="1">'ПП 403'!I29</f>
        <v>789.68642378748018</v>
      </c>
      <c r="O14" s="547">
        <f ca="1">'ПП 404'!I29</f>
        <v>916.66163372859057</v>
      </c>
      <c r="P14" s="547">
        <f>'ПП 3 Квартал'!I29</f>
        <v>850</v>
      </c>
      <c r="Q14" s="547">
        <f t="shared" ca="1" si="2"/>
        <v>4431.9550182888652</v>
      </c>
      <c r="R14" s="384">
        <f ca="1">'ПП Д4'!L76</f>
        <v>7279296.0003200155</v>
      </c>
      <c r="S14" s="384">
        <f ca="1">'ПП Д5'!L62</f>
        <v>62974801.971733309</v>
      </c>
      <c r="T14" s="384">
        <f ca="1">'ПП 401'!K45</f>
        <v>79225174.626305386</v>
      </c>
      <c r="U14" s="384">
        <f ca="1">'ПП 402'!L46</f>
        <v>88519166.471850693</v>
      </c>
      <c r="V14" s="384">
        <f ca="1">'ПП 403'!L29</f>
        <v>95761148.984860703</v>
      </c>
      <c r="W14" s="384">
        <f ca="1">'ПП 404'!L29</f>
        <v>108708860.82860869</v>
      </c>
      <c r="X14" s="384">
        <f>'ПП 3 Квартал'!L29</f>
        <v>94817500</v>
      </c>
      <c r="Y14" s="384">
        <f t="shared" ca="1" si="3"/>
        <v>537285948.88367879</v>
      </c>
      <c r="Z14" s="384">
        <f t="shared" ca="1" si="0"/>
        <v>114996.77725623288</v>
      </c>
      <c r="AA14" s="384">
        <f t="shared" ca="1" si="0"/>
        <v>128992.40065688388</v>
      </c>
      <c r="AB14" s="384">
        <f t="shared" ca="1" si="0"/>
        <v>124820.47487659553</v>
      </c>
      <c r="AC14" s="384">
        <f t="shared" ca="1" si="0"/>
        <v>128402.44719369397</v>
      </c>
      <c r="AD14" s="384">
        <f t="shared" ca="1" si="0"/>
        <v>121264.77814519434</v>
      </c>
      <c r="AE14" s="384">
        <f t="shared" ca="1" si="0"/>
        <v>118592.13566780052</v>
      </c>
      <c r="AF14" s="384">
        <f t="shared" si="0"/>
        <v>111550</v>
      </c>
    </row>
    <row r="15" spans="1:32" x14ac:dyDescent="0.25">
      <c r="A15" s="538">
        <v>45992</v>
      </c>
      <c r="B15" s="539">
        <f>'ПП Д4'!H77</f>
        <v>1</v>
      </c>
      <c r="C15" s="539">
        <f>'ПП Д5'!H63</f>
        <v>5</v>
      </c>
      <c r="D15" s="540">
        <f>'ПП 401'!G46</f>
        <v>10</v>
      </c>
      <c r="E15" s="539">
        <f>'ПП 402'!H47</f>
        <v>16</v>
      </c>
      <c r="F15" s="539">
        <f>'ПП 403'!H30</f>
        <v>17</v>
      </c>
      <c r="G15" s="539">
        <f>'ПП 404'!H30</f>
        <v>18</v>
      </c>
      <c r="H15" s="539">
        <f>'ПП 3 Квартал'!H30</f>
        <v>17</v>
      </c>
      <c r="I15" s="39">
        <f t="shared" si="1"/>
        <v>84</v>
      </c>
      <c r="J15" s="547">
        <f ca="1">'ПП Д4'!I77</f>
        <v>54.850000000001728</v>
      </c>
      <c r="K15" s="547">
        <f ca="1">'ПП Д5'!I63</f>
        <v>282.1448051948052</v>
      </c>
      <c r="L15" s="547">
        <f ca="1">'ПП 401'!H46</f>
        <v>578.84172240802684</v>
      </c>
      <c r="M15" s="547">
        <f ca="1">'ПП 402'!I47</f>
        <v>711.6466591199345</v>
      </c>
      <c r="N15" s="547">
        <f ca="1">'ПП 403'!I30</f>
        <v>781.42162608518242</v>
      </c>
      <c r="O15" s="547">
        <f ca="1">'ПП 404'!I30</f>
        <v>916.66163372859057</v>
      </c>
      <c r="P15" s="547">
        <f>'ПП 3 Квартал'!I30</f>
        <v>850</v>
      </c>
      <c r="Q15" s="547">
        <f t="shared" ca="1" si="2"/>
        <v>4175.5664465365408</v>
      </c>
      <c r="R15" s="541">
        <f ca="1">'ПП Д4'!L77</f>
        <v>6318719.9999998286</v>
      </c>
      <c r="S15" s="541">
        <f ca="1">'ПП Д5'!L63</f>
        <v>37426872.246213831</v>
      </c>
      <c r="T15" s="541">
        <f ca="1">'ПП 401'!K46</f>
        <v>72378027.21911788</v>
      </c>
      <c r="U15" s="541">
        <f ca="1">'ПП 402'!L47</f>
        <v>92840753.170943931</v>
      </c>
      <c r="V15" s="541">
        <f ca="1">'ПП 403'!L30</f>
        <v>96311034.193165988</v>
      </c>
      <c r="W15" s="541">
        <f ca="1">'ПП 404'!L30</f>
        <v>109806930.12990777</v>
      </c>
      <c r="X15" s="541">
        <f>'ПП 3 Квартал'!L30</f>
        <v>95795000</v>
      </c>
      <c r="Y15" s="384">
        <f t="shared" ca="1" si="3"/>
        <v>510877336.95934922</v>
      </c>
      <c r="Z15" s="541">
        <f t="shared" ca="1" si="0"/>
        <v>115199.99999999325</v>
      </c>
      <c r="AA15" s="541">
        <f t="shared" ca="1" si="0"/>
        <v>132651.28954039281</v>
      </c>
      <c r="AB15" s="541">
        <f t="shared" ca="1" si="0"/>
        <v>125039.40959545836</v>
      </c>
      <c r="AC15" s="541">
        <f t="shared" ca="1" si="0"/>
        <v>130459.0585526762</v>
      </c>
      <c r="AD15" s="541">
        <f t="shared" ca="1" si="0"/>
        <v>123251.04780587064</v>
      </c>
      <c r="AE15" s="541">
        <f t="shared" ca="1" si="0"/>
        <v>119790.03602808135</v>
      </c>
      <c r="AF15" s="541">
        <f t="shared" si="0"/>
        <v>112700</v>
      </c>
    </row>
    <row r="16" spans="1:32" s="2" customFormat="1" x14ac:dyDescent="0.25">
      <c r="A16" s="542" t="s">
        <v>4561</v>
      </c>
      <c r="B16" s="543">
        <f>SUM(B4:B15)</f>
        <v>7</v>
      </c>
      <c r="C16" s="543">
        <f t="shared" ref="C16:Y16" si="4">SUM(C4:C15)</f>
        <v>111</v>
      </c>
      <c r="D16" s="543">
        <f t="shared" si="4"/>
        <v>71</v>
      </c>
      <c r="E16" s="543">
        <f t="shared" si="4"/>
        <v>141</v>
      </c>
      <c r="F16" s="543">
        <f t="shared" si="4"/>
        <v>66</v>
      </c>
      <c r="G16" s="543">
        <f t="shared" si="4"/>
        <v>70</v>
      </c>
      <c r="H16" s="543">
        <f t="shared" si="4"/>
        <v>34</v>
      </c>
      <c r="I16" s="543">
        <f t="shared" si="4"/>
        <v>500</v>
      </c>
      <c r="J16" s="543">
        <f t="shared" ca="1" si="4"/>
        <v>409.90000000001584</v>
      </c>
      <c r="K16" s="543">
        <f t="shared" ca="1" si="4"/>
        <v>6017.3359893048146</v>
      </c>
      <c r="L16" s="543">
        <f t="shared" ca="1" si="4"/>
        <v>3944.4845735785957</v>
      </c>
      <c r="M16" s="543">
        <f t="shared" ca="1" si="4"/>
        <v>6499.4102406246338</v>
      </c>
      <c r="N16" s="543">
        <f t="shared" ca="1" si="4"/>
        <v>3115.2763161134644</v>
      </c>
      <c r="O16" s="543">
        <f t="shared" ca="1" si="4"/>
        <v>3551.8320421607386</v>
      </c>
      <c r="P16" s="543">
        <f t="shared" si="4"/>
        <v>1700</v>
      </c>
      <c r="Q16" s="543">
        <f t="shared" ca="1" si="4"/>
        <v>25238.239161782258</v>
      </c>
      <c r="R16" s="543">
        <f t="shared" ca="1" si="4"/>
        <v>47105628.000959709</v>
      </c>
      <c r="S16" s="543">
        <f t="shared" ca="1" si="4"/>
        <v>740436118.79283547</v>
      </c>
      <c r="T16" s="543">
        <f t="shared" ca="1" si="4"/>
        <v>495732165.17256057</v>
      </c>
      <c r="U16" s="543">
        <f t="shared" ca="1" si="4"/>
        <v>817754196.33471966</v>
      </c>
      <c r="V16" s="543">
        <f t="shared" ca="1" si="4"/>
        <v>376345360.43321693</v>
      </c>
      <c r="W16" s="543">
        <f t="shared" ca="1" si="4"/>
        <v>419028141.39227146</v>
      </c>
      <c r="X16" s="543">
        <f t="shared" si="4"/>
        <v>190612500</v>
      </c>
      <c r="Y16" s="543">
        <f t="shared" ca="1" si="4"/>
        <v>3087014110.1265635</v>
      </c>
      <c r="Z16" s="543">
        <f t="shared" ca="1" si="0"/>
        <v>114919.80483278334</v>
      </c>
      <c r="AA16" s="543">
        <f t="shared" ca="1" si="0"/>
        <v>123050.48614684027</v>
      </c>
      <c r="AB16" s="543">
        <f t="shared" ca="1" si="0"/>
        <v>125677.29849753535</v>
      </c>
      <c r="AC16" s="543">
        <f t="shared" ca="1" si="0"/>
        <v>125819.75380217396</v>
      </c>
      <c r="AD16" s="543">
        <f t="shared" ca="1" si="0"/>
        <v>120806.41402067838</v>
      </c>
      <c r="AE16" s="543">
        <f t="shared" ca="1" si="0"/>
        <v>117975.2129093801</v>
      </c>
      <c r="AF16" s="543">
        <f t="shared" si="0"/>
        <v>112125</v>
      </c>
    </row>
    <row r="17" spans="1:32" x14ac:dyDescent="0.25">
      <c r="G17" s="22"/>
      <c r="J17" s="33"/>
    </row>
    <row r="18" spans="1:32" x14ac:dyDescent="0.25">
      <c r="A18" s="532" t="s">
        <v>7133</v>
      </c>
      <c r="B18" s="744" t="s">
        <v>8425</v>
      </c>
      <c r="C18" s="745"/>
      <c r="D18" s="745"/>
      <c r="E18" s="745"/>
      <c r="F18" s="745"/>
      <c r="G18" s="745"/>
      <c r="H18" s="745"/>
      <c r="I18" s="746"/>
      <c r="J18" s="747" t="s">
        <v>51</v>
      </c>
      <c r="K18" s="748"/>
      <c r="L18" s="748"/>
      <c r="M18" s="748"/>
      <c r="N18" s="748"/>
      <c r="O18" s="748"/>
      <c r="P18" s="748"/>
      <c r="Q18" s="749"/>
      <c r="R18" s="750" t="s">
        <v>52</v>
      </c>
      <c r="S18" s="751"/>
      <c r="T18" s="751"/>
      <c r="U18" s="751"/>
      <c r="V18" s="751"/>
      <c r="W18" s="751"/>
      <c r="X18" s="751"/>
      <c r="Y18" s="752"/>
      <c r="Z18" s="753" t="s">
        <v>4307</v>
      </c>
      <c r="AA18" s="753"/>
      <c r="AB18" s="753"/>
      <c r="AC18" s="753"/>
      <c r="AD18" s="753"/>
      <c r="AE18" s="753"/>
      <c r="AF18" s="753"/>
    </row>
    <row r="19" spans="1:32" x14ac:dyDescent="0.25">
      <c r="A19" s="534" t="s">
        <v>0</v>
      </c>
      <c r="B19" s="534">
        <v>4</v>
      </c>
      <c r="C19" s="534">
        <v>5</v>
      </c>
      <c r="D19" s="534">
        <v>401</v>
      </c>
      <c r="E19" s="534">
        <v>402</v>
      </c>
      <c r="F19" s="534">
        <v>403</v>
      </c>
      <c r="G19" s="534">
        <v>404</v>
      </c>
      <c r="H19" s="534" t="s">
        <v>8427</v>
      </c>
      <c r="I19" s="534" t="s">
        <v>8428</v>
      </c>
      <c r="J19" s="535">
        <v>4</v>
      </c>
      <c r="K19" s="535">
        <v>5</v>
      </c>
      <c r="L19" s="535">
        <v>401</v>
      </c>
      <c r="M19" s="535">
        <v>402</v>
      </c>
      <c r="N19" s="535">
        <v>403</v>
      </c>
      <c r="O19" s="535">
        <v>404</v>
      </c>
      <c r="P19" s="535" t="s">
        <v>8427</v>
      </c>
      <c r="Q19" s="535" t="s">
        <v>8428</v>
      </c>
      <c r="R19" s="535">
        <v>4</v>
      </c>
      <c r="S19" s="535">
        <v>5</v>
      </c>
      <c r="T19" s="535">
        <v>401</v>
      </c>
      <c r="U19" s="535">
        <v>402</v>
      </c>
      <c r="V19" s="535">
        <v>403</v>
      </c>
      <c r="W19" s="535">
        <v>404</v>
      </c>
      <c r="X19" s="535" t="s">
        <v>8427</v>
      </c>
      <c r="Y19" s="534" t="s">
        <v>8428</v>
      </c>
      <c r="Z19" s="534">
        <v>4</v>
      </c>
      <c r="AA19" s="534">
        <v>5</v>
      </c>
      <c r="AB19" s="534">
        <v>401</v>
      </c>
      <c r="AC19" s="534">
        <v>402</v>
      </c>
      <c r="AD19" s="534">
        <v>403</v>
      </c>
      <c r="AE19" s="534">
        <v>404</v>
      </c>
      <c r="AF19" s="534" t="s">
        <v>8427</v>
      </c>
    </row>
    <row r="20" spans="1:32" x14ac:dyDescent="0.25">
      <c r="A20" s="38">
        <v>46023</v>
      </c>
      <c r="B20" s="39">
        <f>'ПП Д4'!H82</f>
        <v>0</v>
      </c>
      <c r="C20" s="39">
        <f>'ПП Д5'!H68</f>
        <v>6</v>
      </c>
      <c r="D20" s="318">
        <f>'ПП 401'!G51</f>
        <v>0</v>
      </c>
      <c r="E20" s="39">
        <f>'ПП 402'!H52</f>
        <v>8</v>
      </c>
      <c r="F20" s="39">
        <f>'ПП 403'!H35</f>
        <v>8</v>
      </c>
      <c r="G20" s="39">
        <f>'ПП 404'!H35</f>
        <v>4</v>
      </c>
      <c r="H20" s="39">
        <f>'ПП 3 Квартал'!H35</f>
        <v>20</v>
      </c>
      <c r="I20" s="536">
        <f>SUM(B20:H20)</f>
        <v>46</v>
      </c>
      <c r="J20" s="547">
        <f>'ПП Д4'!I82</f>
        <v>0</v>
      </c>
      <c r="K20" s="547">
        <f ca="1">'ПП Д5'!I68</f>
        <v>252.27736822001529</v>
      </c>
      <c r="L20" s="547">
        <f ca="1">'ПП 401'!H51</f>
        <v>0</v>
      </c>
      <c r="M20" s="547">
        <f ca="1">'ПП 402'!I52</f>
        <v>391.268531580169</v>
      </c>
      <c r="N20" s="547">
        <f ca="1">'ПП 403'!I35</f>
        <v>338.82516392058648</v>
      </c>
      <c r="O20" s="547">
        <f ca="1">'ПП 404'!I35</f>
        <v>194.72560386473441</v>
      </c>
      <c r="P20" s="547">
        <f>'ПП 3 Квартал'!I35</f>
        <v>1000</v>
      </c>
      <c r="Q20" s="547">
        <f ca="1">SUM(J20:P20)</f>
        <v>2177.0966675855052</v>
      </c>
      <c r="R20" s="384">
        <f>'ПП Д4'!L82</f>
        <v>0</v>
      </c>
      <c r="S20" s="384">
        <f ca="1">'ПП Д5'!L68</f>
        <v>35352660.410079375</v>
      </c>
      <c r="T20" s="384">
        <f ca="1">'ПП 401'!K51</f>
        <v>0</v>
      </c>
      <c r="U20" s="384">
        <f ca="1">'ПП 402'!L52</f>
        <v>50458491.727896214</v>
      </c>
      <c r="V20" s="384">
        <f ca="1">'ПП 403'!L35</f>
        <v>43162099.85896413</v>
      </c>
      <c r="W20" s="384">
        <f ca="1">'ПП 404'!L35</f>
        <v>24000789.845429949</v>
      </c>
      <c r="X20" s="384">
        <f>'ПП 3 Квартал'!L35</f>
        <v>112700000</v>
      </c>
      <c r="Y20" s="536">
        <f ca="1">SUM(R20:X20)</f>
        <v>265674041.84236968</v>
      </c>
      <c r="Z20" s="384" t="str">
        <f>IFERROR(R20/J20,"0")</f>
        <v>0</v>
      </c>
      <c r="AA20" s="384">
        <f t="shared" ref="AA20:AF32" ca="1" si="5">IFERROR(S20/K20,"0")</f>
        <v>140134.0939122519</v>
      </c>
      <c r="AB20" s="384" t="str">
        <f t="shared" ca="1" si="5"/>
        <v>0</v>
      </c>
      <c r="AC20" s="384">
        <f t="shared" ca="1" si="5"/>
        <v>128961.28273877685</v>
      </c>
      <c r="AD20" s="384">
        <f t="shared" ca="1" si="5"/>
        <v>127387.52741836029</v>
      </c>
      <c r="AE20" s="384">
        <f t="shared" ca="1" si="5"/>
        <v>123254.41220406757</v>
      </c>
      <c r="AF20" s="384">
        <f t="shared" si="5"/>
        <v>112700</v>
      </c>
    </row>
    <row r="21" spans="1:32" x14ac:dyDescent="0.25">
      <c r="A21" s="38">
        <v>46054</v>
      </c>
      <c r="B21" s="39">
        <f>'ПП Д4'!H83</f>
        <v>0</v>
      </c>
      <c r="C21" s="39">
        <f>'ПП Д5'!H69</f>
        <v>6</v>
      </c>
      <c r="D21" s="318">
        <f>'ПП 401'!G52</f>
        <v>4</v>
      </c>
      <c r="E21" s="39">
        <f>'ПП 402'!H53</f>
        <v>8</v>
      </c>
      <c r="F21" s="39">
        <f>'ПП 403'!H36</f>
        <v>8</v>
      </c>
      <c r="G21" s="39">
        <f>'ПП 404'!H36</f>
        <v>5</v>
      </c>
      <c r="H21" s="39">
        <f>'ПП 3 Квартал'!H36</f>
        <v>20</v>
      </c>
      <c r="I21" s="536">
        <f t="shared" ref="I21:I32" si="6">SUM(B21:H21)</f>
        <v>51</v>
      </c>
      <c r="J21" s="547">
        <f>'ПП Д4'!I83</f>
        <v>0</v>
      </c>
      <c r="K21" s="547">
        <f ca="1">'ПП Д5'!I69</f>
        <v>289.40930099312459</v>
      </c>
      <c r="L21" s="547">
        <f ca="1">'ПП 401'!H52</f>
        <v>253.77957775919731</v>
      </c>
      <c r="M21" s="547">
        <f ca="1">'ПП 402'!I53</f>
        <v>391.268531580169</v>
      </c>
      <c r="N21" s="547">
        <f ca="1">'ПП 403'!I36</f>
        <v>360.27880731944106</v>
      </c>
      <c r="O21" s="547">
        <f ca="1">'ПП 404'!I36</f>
        <v>234.68115942028996</v>
      </c>
      <c r="P21" s="547">
        <f>'ПП 3 Квартал'!I36</f>
        <v>1000</v>
      </c>
      <c r="Q21" s="547">
        <f t="shared" ref="Q21:Q32" ca="1" si="7">SUM(J21:P21)</f>
        <v>2529.4173770722218</v>
      </c>
      <c r="R21" s="384">
        <f>'ПП Д4'!L83</f>
        <v>0</v>
      </c>
      <c r="S21" s="384">
        <f ca="1">'ПП Д5'!L69</f>
        <v>39404777.129143134</v>
      </c>
      <c r="T21" s="384">
        <f ca="1">'ПП 401'!K52</f>
        <v>32221425.771582358</v>
      </c>
      <c r="U21" s="384">
        <f ca="1">'ПП 402'!L53</f>
        <v>50953182.823267743</v>
      </c>
      <c r="V21" s="384">
        <f ca="1">'ПП 403'!L36</f>
        <v>46214377.205907896</v>
      </c>
      <c r="W21" s="384">
        <f ca="1">'ПП 404'!L36</f>
        <v>29237946.7133913</v>
      </c>
      <c r="X21" s="384">
        <f>'ПП 3 Квартал'!L36</f>
        <v>113850000</v>
      </c>
      <c r="Y21" s="536">
        <f t="shared" ref="Y21:Y32" ca="1" si="8">SUM(R21:X21)</f>
        <v>311881709.64329243</v>
      </c>
      <c r="Z21" s="384" t="str">
        <f t="shared" ref="Z21:Z32" si="9">IFERROR(R21/J21,"0")</f>
        <v>0</v>
      </c>
      <c r="AA21" s="384">
        <f t="shared" ca="1" si="5"/>
        <v>136155.87679429576</v>
      </c>
      <c r="AB21" s="384">
        <f t="shared" ca="1" si="5"/>
        <v>126966.18875359686</v>
      </c>
      <c r="AC21" s="384">
        <f t="shared" ca="1" si="5"/>
        <v>130225.60904013741</v>
      </c>
      <c r="AD21" s="384">
        <f t="shared" ca="1" si="5"/>
        <v>128273.9263787224</v>
      </c>
      <c r="AE21" s="384">
        <f t="shared" ca="1" si="5"/>
        <v>124585.82864348785</v>
      </c>
      <c r="AF21" s="384">
        <f t="shared" si="5"/>
        <v>113850</v>
      </c>
    </row>
    <row r="22" spans="1:32" x14ac:dyDescent="0.25">
      <c r="A22" s="38">
        <v>46082</v>
      </c>
      <c r="B22" s="39">
        <f>'ПП Д4'!H84</f>
        <v>0</v>
      </c>
      <c r="C22" s="39">
        <f>'ПП Д5'!H70</f>
        <v>10</v>
      </c>
      <c r="D22" s="318">
        <f>'ПП 401'!G53</f>
        <v>2</v>
      </c>
      <c r="E22" s="39">
        <f>'ПП 402'!H54</f>
        <v>8</v>
      </c>
      <c r="F22" s="39">
        <f>'ПП 403'!H37</f>
        <v>8</v>
      </c>
      <c r="G22" s="39">
        <f>'ПП 404'!H37</f>
        <v>5</v>
      </c>
      <c r="H22" s="39">
        <f>'ПП 3 Квартал'!H37</f>
        <v>20</v>
      </c>
      <c r="I22" s="536">
        <f t="shared" si="6"/>
        <v>53</v>
      </c>
      <c r="J22" s="547">
        <f>'ПП Д4'!I84</f>
        <v>0</v>
      </c>
      <c r="K22" s="547">
        <f ca="1">'ПП Д5'!I70</f>
        <v>490.72196333078688</v>
      </c>
      <c r="L22" s="547">
        <f ca="1">'ПП 401'!H53</f>
        <v>118.45224080267558</v>
      </c>
      <c r="M22" s="547">
        <f ca="1">'ПП 402'!I54</f>
        <v>391.268531580169</v>
      </c>
      <c r="N22" s="547">
        <f ca="1">'ПП 403'!I37</f>
        <v>373.82208699750953</v>
      </c>
      <c r="O22" s="547">
        <f ca="1">'ПП 404'!I37</f>
        <v>272.33105841018892</v>
      </c>
      <c r="P22" s="547">
        <f>'ПП 3 Квартал'!I37</f>
        <v>1000</v>
      </c>
      <c r="Q22" s="547">
        <f t="shared" ca="1" si="7"/>
        <v>2646.59588112133</v>
      </c>
      <c r="R22" s="384">
        <f>'ПП Д4'!L84</f>
        <v>0</v>
      </c>
      <c r="S22" s="384">
        <f ca="1">'ПП Д5'!L70</f>
        <v>66763995.30392839</v>
      </c>
      <c r="T22" s="384">
        <f ca="1">'ПП 401'!K53</f>
        <v>15302529.792642139</v>
      </c>
      <c r="U22" s="384">
        <f ca="1">'ПП 402'!L54</f>
        <v>50953182.823267743</v>
      </c>
      <c r="V22" s="384">
        <f ca="1">'ПП 403'!L37</f>
        <v>47156071.25452245</v>
      </c>
      <c r="W22" s="384">
        <f ca="1">'ПП 404'!L37</f>
        <v>33144989.019776896</v>
      </c>
      <c r="X22" s="384">
        <f>'ПП 3 Квартал'!L37</f>
        <v>113850000</v>
      </c>
      <c r="Y22" s="536">
        <f t="shared" ca="1" si="8"/>
        <v>327170768.19413763</v>
      </c>
      <c r="Z22" s="384" t="str">
        <f t="shared" si="9"/>
        <v>0</v>
      </c>
      <c r="AA22" s="384">
        <f t="shared" ca="1" si="5"/>
        <v>136052.59249202177</v>
      </c>
      <c r="AB22" s="384">
        <f t="shared" ca="1" si="5"/>
        <v>129187.33904016182</v>
      </c>
      <c r="AC22" s="384">
        <f t="shared" ca="1" si="5"/>
        <v>130225.60904013741</v>
      </c>
      <c r="AD22" s="384">
        <f t="shared" ca="1" si="5"/>
        <v>126145.75996103893</v>
      </c>
      <c r="AE22" s="384">
        <f t="shared" ca="1" si="5"/>
        <v>121708.44270672</v>
      </c>
      <c r="AF22" s="384">
        <f t="shared" si="5"/>
        <v>113850</v>
      </c>
    </row>
    <row r="23" spans="1:32" x14ac:dyDescent="0.25">
      <c r="A23" s="38">
        <v>46113</v>
      </c>
      <c r="B23" s="39">
        <f>'ПП Д4'!H85</f>
        <v>0</v>
      </c>
      <c r="C23" s="39">
        <f>'ПП Д5'!H71</f>
        <v>10</v>
      </c>
      <c r="D23" s="318">
        <f>'ПП 401'!G54</f>
        <v>2</v>
      </c>
      <c r="E23" s="39">
        <f>'ПП 402'!H55</f>
        <v>8</v>
      </c>
      <c r="F23" s="39">
        <f>'ПП 403'!H38</f>
        <v>8</v>
      </c>
      <c r="G23" s="39">
        <f>'ПП 404'!H38</f>
        <v>5</v>
      </c>
      <c r="H23" s="39">
        <f>'ПП 3 Квартал'!H38</f>
        <v>30</v>
      </c>
      <c r="I23" s="536">
        <f t="shared" si="6"/>
        <v>63</v>
      </c>
      <c r="J23" s="547">
        <f>'ПП Д4'!I85</f>
        <v>0</v>
      </c>
      <c r="K23" s="547">
        <f ca="1">'ПП Д5'!I71</f>
        <v>515.2942035905271</v>
      </c>
      <c r="L23" s="547">
        <f ca="1">'ПП 401'!H54</f>
        <v>118.45224080267558</v>
      </c>
      <c r="M23" s="547">
        <f ca="1">'ПП 402'!I55</f>
        <v>391.268531580169</v>
      </c>
      <c r="N23" s="547">
        <f ca="1">'ПП 403'!I38</f>
        <v>373.82208699750953</v>
      </c>
      <c r="O23" s="547">
        <f ca="1">'ПП 404'!I38</f>
        <v>272.33105841018892</v>
      </c>
      <c r="P23" s="547">
        <f>'ПП 3 Квартал'!I38</f>
        <v>1500</v>
      </c>
      <c r="Q23" s="547">
        <f t="shared" ca="1" si="7"/>
        <v>3171.1681213810703</v>
      </c>
      <c r="R23" s="384">
        <f>'ПП Д4'!L85</f>
        <v>0</v>
      </c>
      <c r="S23" s="384">
        <f ca="1">'ПП Д5'!L71</f>
        <v>69182061.889957383</v>
      </c>
      <c r="T23" s="384">
        <f ca="1">'ПП 401'!K54</f>
        <v>15302529.792642139</v>
      </c>
      <c r="U23" s="384">
        <f ca="1">'ПП 402'!L55</f>
        <v>51447873.918639272</v>
      </c>
      <c r="V23" s="384">
        <f ca="1">'ПП 403'!L38</f>
        <v>47613897.189032383</v>
      </c>
      <c r="W23" s="384">
        <f ca="1">'ПП 404'!L38</f>
        <v>33466785.029677644</v>
      </c>
      <c r="X23" s="384">
        <f>'ПП 3 Квартал'!L38</f>
        <v>172500000</v>
      </c>
      <c r="Y23" s="536">
        <f t="shared" ca="1" si="8"/>
        <v>389513147.81994879</v>
      </c>
      <c r="Z23" s="384" t="str">
        <f t="shared" si="9"/>
        <v>0</v>
      </c>
      <c r="AA23" s="384">
        <f t="shared" ca="1" si="5"/>
        <v>134257.40364999749</v>
      </c>
      <c r="AB23" s="384">
        <f t="shared" ca="1" si="5"/>
        <v>129187.33904016182</v>
      </c>
      <c r="AC23" s="384">
        <f t="shared" ca="1" si="5"/>
        <v>131489.93534149797</v>
      </c>
      <c r="AD23" s="384">
        <f t="shared" ca="1" si="5"/>
        <v>127370.47607716554</v>
      </c>
      <c r="AE23" s="384">
        <f t="shared" ca="1" si="5"/>
        <v>122890.07807280467</v>
      </c>
      <c r="AF23" s="384">
        <f t="shared" si="5"/>
        <v>115000</v>
      </c>
    </row>
    <row r="24" spans="1:32" x14ac:dyDescent="0.25">
      <c r="A24" s="38">
        <v>46143</v>
      </c>
      <c r="B24" s="39">
        <f>'ПП Д4'!H86</f>
        <v>0</v>
      </c>
      <c r="C24" s="39">
        <f>'ПП Д5'!H72</f>
        <v>10</v>
      </c>
      <c r="D24" s="318">
        <f>'ПП 401'!G55</f>
        <v>2</v>
      </c>
      <c r="E24" s="39">
        <f>'ПП 402'!H56</f>
        <v>8</v>
      </c>
      <c r="F24" s="39">
        <f>'ПП 403'!H39</f>
        <v>8</v>
      </c>
      <c r="G24" s="39">
        <f>'ПП 404'!H39</f>
        <v>4</v>
      </c>
      <c r="H24" s="39">
        <f>'ПП 3 Квартал'!H39</f>
        <v>30</v>
      </c>
      <c r="I24" s="536">
        <f t="shared" si="6"/>
        <v>62</v>
      </c>
      <c r="J24" s="547">
        <f>'ПП Д4'!I86</f>
        <v>0</v>
      </c>
      <c r="K24" s="547">
        <f ca="1">'ПП Д5'!I72</f>
        <v>533.51206073338426</v>
      </c>
      <c r="L24" s="547">
        <f ca="1">'ПП 401'!H55</f>
        <v>118.45224080267558</v>
      </c>
      <c r="M24" s="547">
        <f ca="1">'ПП 402'!I56</f>
        <v>391.268531580169</v>
      </c>
      <c r="N24" s="547">
        <f ca="1">'ПП 403'!I39</f>
        <v>373.82208699750953</v>
      </c>
      <c r="O24" s="547">
        <f ca="1">'ПП 404'!I39</f>
        <v>214.92381203337726</v>
      </c>
      <c r="P24" s="547">
        <f>'ПП 3 Квартал'!I39</f>
        <v>1500</v>
      </c>
      <c r="Q24" s="547">
        <f t="shared" ca="1" si="7"/>
        <v>3131.9787321471158</v>
      </c>
      <c r="R24" s="384">
        <f>'ПП Д4'!L86</f>
        <v>0</v>
      </c>
      <c r="S24" s="384">
        <f ca="1">'ПП Д5'!L72</f>
        <v>71200878.124675155</v>
      </c>
      <c r="T24" s="384">
        <f ca="1">'ПП 401'!K55</f>
        <v>15302529.792642139</v>
      </c>
      <c r="U24" s="384">
        <f ca="1">'ПП 402'!L56</f>
        <v>51447873.918639272</v>
      </c>
      <c r="V24" s="384">
        <f ca="1">'ПП 403'!L39</f>
        <v>48071723.123542309</v>
      </c>
      <c r="W24" s="384">
        <f ca="1">'ПП 404'!L39</f>
        <v>26459493.098274045</v>
      </c>
      <c r="X24" s="384">
        <f>'ПП 3 Квартал'!L39</f>
        <v>172500000</v>
      </c>
      <c r="Y24" s="536">
        <f t="shared" ca="1" si="8"/>
        <v>384982498.05777293</v>
      </c>
      <c r="Z24" s="384" t="str">
        <f t="shared" si="9"/>
        <v>0</v>
      </c>
      <c r="AA24" s="384">
        <f t="shared" ca="1" si="5"/>
        <v>133456.92321706831</v>
      </c>
      <c r="AB24" s="384">
        <f t="shared" ca="1" si="5"/>
        <v>129187.33904016182</v>
      </c>
      <c r="AC24" s="384">
        <f t="shared" ca="1" si="5"/>
        <v>131489.93534149797</v>
      </c>
      <c r="AD24" s="384">
        <f t="shared" ca="1" si="5"/>
        <v>128595.19219329213</v>
      </c>
      <c r="AE24" s="384">
        <f t="shared" ca="1" si="5"/>
        <v>123111.03571048207</v>
      </c>
      <c r="AF24" s="384">
        <f t="shared" si="5"/>
        <v>115000</v>
      </c>
    </row>
    <row r="25" spans="1:32" x14ac:dyDescent="0.25">
      <c r="A25" s="38">
        <v>46174</v>
      </c>
      <c r="B25" s="39">
        <f>'ПП Д4'!H87</f>
        <v>0</v>
      </c>
      <c r="C25" s="39">
        <f>'ПП Д5'!H73</f>
        <v>7</v>
      </c>
      <c r="D25" s="318">
        <f>'ПП 401'!G56</f>
        <v>1</v>
      </c>
      <c r="E25" s="39">
        <f>'ПП 402'!H57</f>
        <v>7</v>
      </c>
      <c r="F25" s="39">
        <f>'ПП 403'!H40</f>
        <v>8</v>
      </c>
      <c r="G25" s="39">
        <f>'ПП 404'!H40</f>
        <v>4</v>
      </c>
      <c r="H25" s="39">
        <f>'ПП 3 Квартал'!H40</f>
        <v>30</v>
      </c>
      <c r="I25" s="536">
        <f t="shared" si="6"/>
        <v>57</v>
      </c>
      <c r="J25" s="547">
        <f>'ПП Д4'!I87</f>
        <v>0</v>
      </c>
      <c r="K25" s="547">
        <f ca="1">'ПП Д5'!I73</f>
        <v>370.24144385026744</v>
      </c>
      <c r="L25" s="547">
        <f ca="1">'ПП 401'!H56</f>
        <v>38.996153846153859</v>
      </c>
      <c r="M25" s="547">
        <f ca="1">'ПП 402'!I57</f>
        <v>350.89716794380541</v>
      </c>
      <c r="N25" s="547">
        <f ca="1">'ПП 403'!I40</f>
        <v>338.82516392058648</v>
      </c>
      <c r="O25" s="547">
        <f ca="1">'ПП 404'!I40</f>
        <v>194.72560386473441</v>
      </c>
      <c r="P25" s="547">
        <f>'ПП 3 Квартал'!I40</f>
        <v>1500</v>
      </c>
      <c r="Q25" s="547">
        <f t="shared" ca="1" si="7"/>
        <v>2793.6855334255479</v>
      </c>
      <c r="R25" s="384">
        <f>'ПП Д4'!L87</f>
        <v>0</v>
      </c>
      <c r="S25" s="384">
        <f ca="1">'ПП Д5'!L73</f>
        <v>49472431.200571708</v>
      </c>
      <c r="T25" s="384">
        <f ca="1">'ПП 401'!K56</f>
        <v>5370518.923076923</v>
      </c>
      <c r="U25" s="384">
        <f ca="1">'ПП 402'!L57</f>
        <v>46402577.016283527</v>
      </c>
      <c r="V25" s="384">
        <f ca="1">'ПП 403'!L40</f>
        <v>45298837.475744531</v>
      </c>
      <c r="W25" s="384">
        <f ca="1">'ПП 404'!L40</f>
        <v>25188947.758570045</v>
      </c>
      <c r="X25" s="384">
        <f>'ПП 3 Квартал'!L40</f>
        <v>174225000</v>
      </c>
      <c r="Y25" s="536">
        <f t="shared" ca="1" si="8"/>
        <v>345958312.37424672</v>
      </c>
      <c r="Z25" s="384" t="str">
        <f t="shared" si="9"/>
        <v>0</v>
      </c>
      <c r="AA25" s="384">
        <f t="shared" ca="1" si="5"/>
        <v>133622.07830136726</v>
      </c>
      <c r="AB25" s="384">
        <f t="shared" ca="1" si="5"/>
        <v>137719.19518690201</v>
      </c>
      <c r="AC25" s="384">
        <f t="shared" ca="1" si="5"/>
        <v>132239.81626353477</v>
      </c>
      <c r="AD25" s="384">
        <f t="shared" ca="1" si="5"/>
        <v>133693.84065689298</v>
      </c>
      <c r="AE25" s="384">
        <f t="shared" ca="1" si="5"/>
        <v>129356.11577852636</v>
      </c>
      <c r="AF25" s="384">
        <f t="shared" si="5"/>
        <v>116150</v>
      </c>
    </row>
    <row r="26" spans="1:32" x14ac:dyDescent="0.25">
      <c r="A26" s="38">
        <v>46204</v>
      </c>
      <c r="B26" s="39">
        <f>'ПП Д4'!H88</f>
        <v>0</v>
      </c>
      <c r="C26" s="39">
        <f>'ПП Д5'!H74</f>
        <v>6</v>
      </c>
      <c r="D26" s="318">
        <f>'ПП 401'!G57</f>
        <v>2</v>
      </c>
      <c r="E26" s="39">
        <f>'ПП 402'!H58</f>
        <v>8</v>
      </c>
      <c r="F26" s="39">
        <f>'ПП 403'!H41</f>
        <v>8</v>
      </c>
      <c r="G26" s="39">
        <f>'ПП 404'!H41</f>
        <v>4</v>
      </c>
      <c r="H26" s="39">
        <f>'ПП 3 Квартал'!H41</f>
        <v>30</v>
      </c>
      <c r="I26" s="536">
        <f t="shared" si="6"/>
        <v>58</v>
      </c>
      <c r="J26" s="547">
        <f>'ПП Д4'!I88</f>
        <v>0</v>
      </c>
      <c r="K26" s="547">
        <f ca="1">'ПП Д5'!I74</f>
        <v>289.40930099312459</v>
      </c>
      <c r="L26" s="547">
        <f ca="1">'ПП 401'!H57</f>
        <v>94.867403846153877</v>
      </c>
      <c r="M26" s="547">
        <f ca="1">'ПП 402'!I58</f>
        <v>391.268531580169</v>
      </c>
      <c r="N26" s="547">
        <f ca="1">'ПП 403'!I41</f>
        <v>330.56036621828878</v>
      </c>
      <c r="O26" s="547">
        <f ca="1">'ПП 404'!I41</f>
        <v>194.72560386473441</v>
      </c>
      <c r="P26" s="547">
        <f>'ПП 3 Квартал'!I41</f>
        <v>1500</v>
      </c>
      <c r="Q26" s="547">
        <f t="shared" ca="1" si="7"/>
        <v>2800.8312065024711</v>
      </c>
      <c r="R26" s="384">
        <f>'ПП Д4'!L88</f>
        <v>0</v>
      </c>
      <c r="S26" s="384">
        <f ca="1">'ПП Д5'!L74</f>
        <v>39404777.129143134</v>
      </c>
      <c r="T26" s="384">
        <f ca="1">'ПП 401'!K57</f>
        <v>12357404.032451924</v>
      </c>
      <c r="U26" s="384">
        <f ca="1">'ПП 402'!L58</f>
        <v>51942565.014010802</v>
      </c>
      <c r="V26" s="384">
        <f ca="1">'ПП 403'!L41</f>
        <v>45279567.935484238</v>
      </c>
      <c r="W26" s="384">
        <f ca="1">'ПП 404'!L41</f>
        <v>25426579.341198064</v>
      </c>
      <c r="X26" s="384">
        <f>'ПП 3 Квартал'!L41</f>
        <v>174225000</v>
      </c>
      <c r="Y26" s="536">
        <f t="shared" ca="1" si="8"/>
        <v>348635893.45228815</v>
      </c>
      <c r="Z26" s="384" t="str">
        <f t="shared" si="9"/>
        <v>0</v>
      </c>
      <c r="AA26" s="384">
        <f t="shared" ca="1" si="5"/>
        <v>136155.87679429576</v>
      </c>
      <c r="AB26" s="384">
        <f t="shared" ca="1" si="5"/>
        <v>130259.74709386883</v>
      </c>
      <c r="AC26" s="384">
        <f t="shared" ca="1" si="5"/>
        <v>132754.2616428585</v>
      </c>
      <c r="AD26" s="384">
        <f t="shared" ca="1" si="5"/>
        <v>136978.21203883659</v>
      </c>
      <c r="AE26" s="384">
        <f t="shared" ca="1" si="5"/>
        <v>130576.45649341813</v>
      </c>
      <c r="AF26" s="384">
        <f t="shared" si="5"/>
        <v>116150</v>
      </c>
    </row>
    <row r="27" spans="1:32" x14ac:dyDescent="0.25">
      <c r="A27" s="38">
        <v>46235</v>
      </c>
      <c r="B27" s="39">
        <f>'ПП Д4'!H89</f>
        <v>0</v>
      </c>
      <c r="C27" s="39">
        <f>'ПП Д5'!H75</f>
        <v>7</v>
      </c>
      <c r="D27" s="318">
        <f>'ПП 401'!G58</f>
        <v>2</v>
      </c>
      <c r="E27" s="39">
        <f>'ПП 402'!H59</f>
        <v>8</v>
      </c>
      <c r="F27" s="39">
        <f>'ПП 403'!H42</f>
        <v>8</v>
      </c>
      <c r="G27" s="39">
        <f>'ПП 404'!H42</f>
        <v>4</v>
      </c>
      <c r="H27" s="39">
        <f>'ПП 3 Квартал'!H42</f>
        <v>30</v>
      </c>
      <c r="I27" s="536">
        <f t="shared" si="6"/>
        <v>59</v>
      </c>
      <c r="J27" s="547">
        <f>'ПП Д4'!I89</f>
        <v>0</v>
      </c>
      <c r="K27" s="547">
        <f ca="1">'ПП Д5'!I75</f>
        <v>314.89165393430102</v>
      </c>
      <c r="L27" s="547">
        <f ca="1">'ПП 401'!H58</f>
        <v>94.867403846153877</v>
      </c>
      <c r="M27" s="547">
        <f ca="1">'ПП 402'!I59</f>
        <v>391.268531580169</v>
      </c>
      <c r="N27" s="547">
        <f ca="1">'ПП 403'!I42</f>
        <v>360.27880731944106</v>
      </c>
      <c r="O27" s="547">
        <f ca="1">'ПП 404'!I42</f>
        <v>194.72560386473441</v>
      </c>
      <c r="P27" s="547">
        <f>'ПП 3 Квартал'!I42</f>
        <v>1500</v>
      </c>
      <c r="Q27" s="547">
        <f t="shared" ca="1" si="7"/>
        <v>2856.0320005447993</v>
      </c>
      <c r="R27" s="384">
        <f>'ПП Д4'!L89</f>
        <v>0</v>
      </c>
      <c r="S27" s="384">
        <f ca="1">'ПП Д5'!L75</f>
        <v>43401498.246790193</v>
      </c>
      <c r="T27" s="384">
        <f ca="1">'ПП 401'!K58</f>
        <v>12357404.032451924</v>
      </c>
      <c r="U27" s="384">
        <f ca="1">'ПП 402'!L59</f>
        <v>52437256.109382339</v>
      </c>
      <c r="V27" s="384">
        <f ca="1">'ПП 403'!L42</f>
        <v>48932869.982726008</v>
      </c>
      <c r="W27" s="384">
        <f ca="1">'ПП 404'!L42</f>
        <v>25664210.923826084</v>
      </c>
      <c r="X27" s="384">
        <f>'ПП 3 Квартал'!L42</f>
        <v>175950000</v>
      </c>
      <c r="Y27" s="536">
        <f t="shared" ca="1" si="8"/>
        <v>358743239.29517657</v>
      </c>
      <c r="Z27" s="384" t="str">
        <f t="shared" si="9"/>
        <v>0</v>
      </c>
      <c r="AA27" s="384">
        <f t="shared" ca="1" si="5"/>
        <v>137829.9415196488</v>
      </c>
      <c r="AB27" s="384">
        <f t="shared" ca="1" si="5"/>
        <v>130259.74709386883</v>
      </c>
      <c r="AC27" s="384">
        <f t="shared" ca="1" si="5"/>
        <v>134018.58794421909</v>
      </c>
      <c r="AD27" s="384">
        <f t="shared" ca="1" si="5"/>
        <v>135819.45145982373</v>
      </c>
      <c r="AE27" s="384">
        <f t="shared" ca="1" si="5"/>
        <v>131796.79720830987</v>
      </c>
      <c r="AF27" s="384">
        <f t="shared" si="5"/>
        <v>117300</v>
      </c>
    </row>
    <row r="28" spans="1:32" x14ac:dyDescent="0.25">
      <c r="A28" s="38">
        <v>46266</v>
      </c>
      <c r="B28" s="39">
        <f>'ПП Д4'!H90</f>
        <v>0</v>
      </c>
      <c r="C28" s="39">
        <f>'ПП Д5'!H76</f>
        <v>9</v>
      </c>
      <c r="D28" s="318">
        <f>'ПП 401'!G59</f>
        <v>3</v>
      </c>
      <c r="E28" s="39">
        <f>'ПП 402'!H60</f>
        <v>8</v>
      </c>
      <c r="F28" s="39">
        <f>'ПП 403'!H43</f>
        <v>7</v>
      </c>
      <c r="G28" s="39">
        <f>'ПП 404'!H43</f>
        <v>5</v>
      </c>
      <c r="H28" s="39">
        <f>'ПП 3 Квартал'!H43</f>
        <v>30</v>
      </c>
      <c r="I28" s="536">
        <f t="shared" si="6"/>
        <v>62</v>
      </c>
      <c r="J28" s="547">
        <f>'ПП Д4'!I90</f>
        <v>0</v>
      </c>
      <c r="K28" s="547">
        <f ca="1">'ПП Д5'!I76</f>
        <v>470.89777501909856</v>
      </c>
      <c r="L28" s="547">
        <f ca="1">'ПП 401'!H59</f>
        <v>174.32349080267559</v>
      </c>
      <c r="M28" s="547">
        <f ca="1">'ПП 402'!I60</f>
        <v>373.15535817949569</v>
      </c>
      <c r="N28" s="547">
        <f ca="1">'ПП 403'!I43</f>
        <v>334.76615293157545</v>
      </c>
      <c r="O28" s="547">
        <f ca="1">'ПП 404'!I43</f>
        <v>272.33105841018892</v>
      </c>
      <c r="P28" s="547">
        <f>'ПП 3 Квартал'!I43</f>
        <v>1500</v>
      </c>
      <c r="Q28" s="547">
        <f t="shared" ca="1" si="7"/>
        <v>3125.4738353430339</v>
      </c>
      <c r="R28" s="384">
        <f>'ПП Д4'!L90</f>
        <v>0</v>
      </c>
      <c r="S28" s="384">
        <f ca="1">'ПП Д5'!L76</f>
        <v>63152040.287964337</v>
      </c>
      <c r="T28" s="384">
        <f ca="1">'ПП 401'!K59</f>
        <v>22289414.902017139</v>
      </c>
      <c r="U28" s="384">
        <f ca="1">'ПП 402'!L60</f>
        <v>50424769.916082665</v>
      </c>
      <c r="V28" s="384">
        <f ca="1">'ПП 403'!L43</f>
        <v>44667943.610922664</v>
      </c>
      <c r="W28" s="384">
        <f ca="1">'ПП 404'!L43</f>
        <v>35075765.079181373</v>
      </c>
      <c r="X28" s="384">
        <f>'ПП 3 Квартал'!L43</f>
        <v>175950000</v>
      </c>
      <c r="Y28" s="536">
        <f t="shared" ca="1" si="8"/>
        <v>391559933.79616821</v>
      </c>
      <c r="Z28" s="384" t="str">
        <f t="shared" si="9"/>
        <v>0</v>
      </c>
      <c r="AA28" s="384">
        <f t="shared" ca="1" si="5"/>
        <v>134109.87190458275</v>
      </c>
      <c r="AB28" s="384">
        <f t="shared" ca="1" si="5"/>
        <v>127862.37126955831</v>
      </c>
      <c r="AC28" s="384">
        <f t="shared" ca="1" si="5"/>
        <v>135130.76741571879</v>
      </c>
      <c r="AD28" s="384">
        <f t="shared" ca="1" si="5"/>
        <v>133430.28624537372</v>
      </c>
      <c r="AE28" s="384">
        <f t="shared" ca="1" si="5"/>
        <v>128798.25490322795</v>
      </c>
      <c r="AF28" s="384">
        <f t="shared" si="5"/>
        <v>117300</v>
      </c>
    </row>
    <row r="29" spans="1:32" s="33" customFormat="1" x14ac:dyDescent="0.25">
      <c r="A29" s="38">
        <v>46296</v>
      </c>
      <c r="B29" s="39">
        <f>'ПП Д4'!H91</f>
        <v>0</v>
      </c>
      <c r="C29" s="39">
        <f>'ПП Д5'!H77</f>
        <v>8</v>
      </c>
      <c r="D29" s="318">
        <f>'ПП 401'!G60</f>
        <v>2</v>
      </c>
      <c r="E29" s="39">
        <f>'ПП 402'!H61</f>
        <v>8</v>
      </c>
      <c r="F29" s="39">
        <f>'ПП 403'!H44</f>
        <v>7</v>
      </c>
      <c r="G29" s="39">
        <f>'ПП 404'!H44</f>
        <v>5</v>
      </c>
      <c r="H29" s="39">
        <f>'ПП 3 Квартал'!H44</f>
        <v>30</v>
      </c>
      <c r="I29" s="536">
        <f t="shared" si="6"/>
        <v>60</v>
      </c>
      <c r="J29" s="547">
        <f>'ПП Д4'!I91</f>
        <v>0</v>
      </c>
      <c r="K29" s="547">
        <f ca="1">'ПП Д5'!I77</f>
        <v>390.0656321619557</v>
      </c>
      <c r="L29" s="547">
        <f ca="1">'ПП 401'!H60</f>
        <v>135.32733695652172</v>
      </c>
      <c r="M29" s="547">
        <f ca="1">'ПП 402'!I61</f>
        <v>373.15535817949569</v>
      </c>
      <c r="N29" s="547">
        <f ca="1">'ПП 403'!I44</f>
        <v>334.76615293157545</v>
      </c>
      <c r="O29" s="547">
        <f ca="1">'ПП 404'!I44</f>
        <v>272.33105841018892</v>
      </c>
      <c r="P29" s="547">
        <f>'ПП 3 Квартал'!I44</f>
        <v>1500</v>
      </c>
      <c r="Q29" s="547">
        <f t="shared" ca="1" si="7"/>
        <v>3005.6455386397374</v>
      </c>
      <c r="R29" s="384">
        <f>'ПП Д4'!L91</f>
        <v>0</v>
      </c>
      <c r="S29" s="384">
        <f ca="1">'ПП Д5'!L77</f>
        <v>53084386.216535762</v>
      </c>
      <c r="T29" s="384">
        <f ca="1">'ПП 401'!K60</f>
        <v>16918895.978940219</v>
      </c>
      <c r="U29" s="384">
        <f ca="1">'ПП 402'!L61</f>
        <v>50900475.292649485</v>
      </c>
      <c r="V29" s="384">
        <f ca="1">'ПП 403'!L44</f>
        <v>45077741.258729301</v>
      </c>
      <c r="W29" s="384">
        <f ca="1">'ПП 404'!L44</f>
        <v>35397561.089082122</v>
      </c>
      <c r="X29" s="384">
        <f>'ПП 3 Квартал'!L44</f>
        <v>177675000</v>
      </c>
      <c r="Y29" s="536">
        <f t="shared" ca="1" si="8"/>
        <v>379054059.8359369</v>
      </c>
      <c r="Z29" s="384" t="str">
        <f t="shared" si="9"/>
        <v>0</v>
      </c>
      <c r="AA29" s="384">
        <f t="shared" ca="1" si="5"/>
        <v>136090.90839998706</v>
      </c>
      <c r="AB29" s="384">
        <f t="shared" ca="1" si="5"/>
        <v>125022.01225149329</v>
      </c>
      <c r="AC29" s="384">
        <f t="shared" ca="1" si="5"/>
        <v>136405.58597624445</v>
      </c>
      <c r="AD29" s="384">
        <f t="shared" ca="1" si="5"/>
        <v>134654.41731184506</v>
      </c>
      <c r="AE29" s="384">
        <f t="shared" ca="1" si="5"/>
        <v>129979.89026931263</v>
      </c>
      <c r="AF29" s="384">
        <f t="shared" si="5"/>
        <v>118450</v>
      </c>
    </row>
    <row r="30" spans="1:32" s="33" customFormat="1" x14ac:dyDescent="0.25">
      <c r="A30" s="38">
        <v>46327</v>
      </c>
      <c r="B30" s="39">
        <f>'ПП Д4'!H92</f>
        <v>0</v>
      </c>
      <c r="C30" s="39">
        <f>'ПП Д5'!H78</f>
        <v>7</v>
      </c>
      <c r="D30" s="318">
        <f>'ПП 401'!G61</f>
        <v>1</v>
      </c>
      <c r="E30" s="39">
        <f>'ПП 402'!H62</f>
        <v>8</v>
      </c>
      <c r="F30" s="39">
        <f>'ПП 403'!H45</f>
        <v>7</v>
      </c>
      <c r="G30" s="39">
        <f>'ПП 404'!H45</f>
        <v>5</v>
      </c>
      <c r="H30" s="39">
        <f>'ПП 3 Квартал'!H45</f>
        <v>30</v>
      </c>
      <c r="I30" s="536">
        <f t="shared" si="6"/>
        <v>58</v>
      </c>
      <c r="J30" s="547">
        <f>'ПП Д4'!I92</f>
        <v>0</v>
      </c>
      <c r="K30" s="547">
        <f ca="1">'ПП Д5'!I78</f>
        <v>314.89165393430102</v>
      </c>
      <c r="L30" s="547">
        <f ca="1">'ПП 401'!H61</f>
        <v>79.456086956521716</v>
      </c>
      <c r="M30" s="547">
        <f ca="1">'ПП 402'!I62</f>
        <v>373.15535817949569</v>
      </c>
      <c r="N30" s="547">
        <f ca="1">'ПП 403'!I45</f>
        <v>334.76615293157545</v>
      </c>
      <c r="O30" s="547">
        <f ca="1">'ПП 404'!I45</f>
        <v>272.33105841018892</v>
      </c>
      <c r="P30" s="547">
        <f>'ПП 3 Квартал'!I45</f>
        <v>1500</v>
      </c>
      <c r="Q30" s="547">
        <f t="shared" ca="1" si="7"/>
        <v>2874.6003104120828</v>
      </c>
      <c r="R30" s="384">
        <f>'ПП Д4'!L92</f>
        <v>0</v>
      </c>
      <c r="S30" s="384">
        <f ca="1">'ПП Д5'!L78</f>
        <v>43401498.246790193</v>
      </c>
      <c r="T30" s="384">
        <f ca="1">'ПП 401'!K61</f>
        <v>9932010.8695652168</v>
      </c>
      <c r="U30" s="384">
        <f ca="1">'ПП 402'!L62</f>
        <v>50900475.292649485</v>
      </c>
      <c r="V30" s="384">
        <f ca="1">'ПП 403'!L45</f>
        <v>45487538.906535931</v>
      </c>
      <c r="W30" s="384">
        <f ca="1">'ПП 404'!L45</f>
        <v>35719357.098982871</v>
      </c>
      <c r="X30" s="384">
        <f>'ПП 3 Квартал'!L45</f>
        <v>177675000</v>
      </c>
      <c r="Y30" s="536">
        <f t="shared" ca="1" si="8"/>
        <v>363115880.41452372</v>
      </c>
      <c r="Z30" s="384" t="str">
        <f t="shared" si="9"/>
        <v>0</v>
      </c>
      <c r="AA30" s="384">
        <f t="shared" ca="1" si="5"/>
        <v>137829.9415196488</v>
      </c>
      <c r="AB30" s="384">
        <f t="shared" ca="1" si="5"/>
        <v>125000.00000000003</v>
      </c>
      <c r="AC30" s="384">
        <f t="shared" ca="1" si="5"/>
        <v>136405.58597624445</v>
      </c>
      <c r="AD30" s="384">
        <f t="shared" ca="1" si="5"/>
        <v>135878.54837831637</v>
      </c>
      <c r="AE30" s="384">
        <f t="shared" ca="1" si="5"/>
        <v>131161.52563539729</v>
      </c>
      <c r="AF30" s="384">
        <f t="shared" si="5"/>
        <v>118450</v>
      </c>
    </row>
    <row r="31" spans="1:32" s="33" customFormat="1" x14ac:dyDescent="0.25">
      <c r="A31" s="544">
        <v>46357</v>
      </c>
      <c r="B31" s="39">
        <f>'ПП Д4'!H93</f>
        <v>0</v>
      </c>
      <c r="C31" s="39">
        <f>'ПП Д5'!H79</f>
        <v>7</v>
      </c>
      <c r="D31" s="318">
        <f>'ПП 401'!G62</f>
        <v>0</v>
      </c>
      <c r="E31" s="39">
        <f>'ПП 402'!H63</f>
        <v>7</v>
      </c>
      <c r="F31" s="39">
        <f>'ПП 403'!H46</f>
        <v>7</v>
      </c>
      <c r="G31" s="39">
        <f>'ПП 404'!H46</f>
        <v>4</v>
      </c>
      <c r="H31" s="39">
        <f>'ПП 3 Квартал'!H46</f>
        <v>30</v>
      </c>
      <c r="I31" s="536">
        <f t="shared" si="6"/>
        <v>55</v>
      </c>
      <c r="J31" s="551">
        <f>'ПП Д4'!I93</f>
        <v>0</v>
      </c>
      <c r="K31" s="551">
        <f ca="1">'ПП Д5'!I79</f>
        <v>314.89165393430102</v>
      </c>
      <c r="L31" s="551">
        <f ca="1">'ПП 401'!H62</f>
        <v>0</v>
      </c>
      <c r="M31" s="551">
        <f ca="1">'ПП 402'!I63</f>
        <v>332.78399454313205</v>
      </c>
      <c r="N31" s="551">
        <f ca="1">'ПП 403'!I46</f>
        <v>334.76615293157545</v>
      </c>
      <c r="O31" s="551">
        <f ca="1">'ПП 404'!I46</f>
        <v>232.3755028546334</v>
      </c>
      <c r="P31" s="551">
        <f>'ПП 3 Квартал'!I46</f>
        <v>1500</v>
      </c>
      <c r="Q31" s="547">
        <f t="shared" ca="1" si="7"/>
        <v>2714.8173042636417</v>
      </c>
      <c r="R31" s="541">
        <f>'ПП Д4'!L93</f>
        <v>0</v>
      </c>
      <c r="S31" s="541">
        <f ca="1">'ПП Д5'!L79</f>
        <v>43401498.246790193</v>
      </c>
      <c r="T31" s="541">
        <f ca="1">'ПП 401'!K62</f>
        <v>0</v>
      </c>
      <c r="U31" s="541">
        <f ca="1">'ПП 402'!L63</f>
        <v>45677907.30012539</v>
      </c>
      <c r="V31" s="541">
        <f ca="1">'ПП 403'!L46</f>
        <v>45897336.55434256</v>
      </c>
      <c r="W31" s="541">
        <f ca="1">'ПП 404'!L46</f>
        <v>30551478.285772502</v>
      </c>
      <c r="X31" s="541">
        <f>'ПП 3 Квартал'!L46</f>
        <v>179400000</v>
      </c>
      <c r="Y31" s="536">
        <f t="shared" ca="1" si="8"/>
        <v>344928220.38703066</v>
      </c>
      <c r="Z31" s="541" t="str">
        <f t="shared" si="9"/>
        <v>0</v>
      </c>
      <c r="AA31" s="541">
        <f t="shared" ca="1" si="5"/>
        <v>137829.9415196488</v>
      </c>
      <c r="AB31" s="541" t="str">
        <f t="shared" ca="1" si="5"/>
        <v>0</v>
      </c>
      <c r="AC31" s="541">
        <f t="shared" ca="1" si="5"/>
        <v>137259.92850958789</v>
      </c>
      <c r="AD31" s="541">
        <f t="shared" ca="1" si="5"/>
        <v>137102.67944478767</v>
      </c>
      <c r="AE31" s="541">
        <f t="shared" ca="1" si="5"/>
        <v>131474.60859884409</v>
      </c>
      <c r="AF31" s="541">
        <f t="shared" si="5"/>
        <v>119600</v>
      </c>
    </row>
    <row r="32" spans="1:32" s="33" customFormat="1" x14ac:dyDescent="0.25">
      <c r="A32" s="542" t="s">
        <v>4890</v>
      </c>
      <c r="B32" s="543">
        <f>'ПП Д4'!H94</f>
        <v>0</v>
      </c>
      <c r="C32" s="543">
        <f>'ПП Д5'!H80</f>
        <v>93</v>
      </c>
      <c r="D32" s="543">
        <f>'ПП 401'!G63</f>
        <v>21</v>
      </c>
      <c r="E32" s="543">
        <f>'ПП 402'!H64</f>
        <v>94</v>
      </c>
      <c r="F32" s="543">
        <f>'ПП 403'!H47</f>
        <v>92</v>
      </c>
      <c r="G32" s="543">
        <f>'ПП 404'!H47</f>
        <v>54</v>
      </c>
      <c r="H32" s="543">
        <f>'ПП 3 Квартал'!H47</f>
        <v>330</v>
      </c>
      <c r="I32" s="543">
        <f t="shared" si="6"/>
        <v>684</v>
      </c>
      <c r="J32" s="543">
        <f>'ПП Д4'!I94</f>
        <v>0</v>
      </c>
      <c r="K32" s="543">
        <f ca="1">'ПП Д5'!I80</f>
        <v>4546.5040106951874</v>
      </c>
      <c r="L32" s="543">
        <f ca="1">'ПП 401'!H63</f>
        <v>1226.9741764214045</v>
      </c>
      <c r="M32" s="543">
        <f ca="1">'ПП 402'!I64</f>
        <v>4542.0269580866079</v>
      </c>
      <c r="N32" s="543">
        <f ca="1">'ПП 403'!I47</f>
        <v>4189.2991814171746</v>
      </c>
      <c r="O32" s="543">
        <f ca="1">'ПП 404'!I47</f>
        <v>2822.5381818181827</v>
      </c>
      <c r="P32" s="543">
        <f>'ПП 3 Квартал'!I47</f>
        <v>16500</v>
      </c>
      <c r="Q32" s="543">
        <f t="shared" ca="1" si="7"/>
        <v>33827.342508438553</v>
      </c>
      <c r="R32" s="543">
        <f>'ПП Д4'!L94</f>
        <v>0</v>
      </c>
      <c r="S32" s="543">
        <f ca="1">'ПП Д5'!L80</f>
        <v>617222502.43236887</v>
      </c>
      <c r="T32" s="543">
        <f ca="1">'ПП 401'!K63</f>
        <v>157354663.88801214</v>
      </c>
      <c r="U32" s="543">
        <f ca="1">'ПП 402'!L64</f>
        <v>603946631.1528939</v>
      </c>
      <c r="V32" s="543">
        <f ca="1">'ПП 403'!L47</f>
        <v>552860004.35645437</v>
      </c>
      <c r="W32" s="543">
        <f ca="1">'ПП 404'!L47</f>
        <v>359333903.28316289</v>
      </c>
      <c r="X32" s="543">
        <f>'ПП 3 Квартал'!L47</f>
        <v>1920500000</v>
      </c>
      <c r="Y32" s="543">
        <f t="shared" ca="1" si="8"/>
        <v>4211217705.1128922</v>
      </c>
      <c r="Z32" s="543" t="str">
        <f t="shared" si="9"/>
        <v>0</v>
      </c>
      <c r="AA32" s="543">
        <f t="shared" ca="1" si="5"/>
        <v>135757.60649950287</v>
      </c>
      <c r="AB32" s="543">
        <f t="shared" ca="1" si="5"/>
        <v>128246.10893356621</v>
      </c>
      <c r="AC32" s="543">
        <f t="shared" ca="1" si="5"/>
        <v>132968.52632669421</v>
      </c>
      <c r="AD32" s="543">
        <f t="shared" ca="1" si="5"/>
        <v>131969.56827739155</v>
      </c>
      <c r="AE32" s="543">
        <f t="shared" ca="1" si="5"/>
        <v>127308.7838449336</v>
      </c>
      <c r="AF32" s="543">
        <f t="shared" si="5"/>
        <v>116393.93939393939</v>
      </c>
    </row>
    <row r="33" spans="1:32" x14ac:dyDescent="0.25">
      <c r="B33" s="33"/>
      <c r="D33" s="346"/>
      <c r="H33" s="19"/>
      <c r="I33" s="19"/>
      <c r="J33" s="34"/>
      <c r="K33" s="34"/>
      <c r="M33" s="34"/>
    </row>
    <row r="34" spans="1:32" s="33" customFormat="1" x14ac:dyDescent="0.25">
      <c r="A34" s="532" t="s">
        <v>7855</v>
      </c>
      <c r="B34" s="744" t="s">
        <v>8425</v>
      </c>
      <c r="C34" s="745"/>
      <c r="D34" s="745"/>
      <c r="E34" s="745"/>
      <c r="F34" s="745"/>
      <c r="G34" s="745"/>
      <c r="H34" s="745"/>
      <c r="I34" s="746"/>
      <c r="J34" s="747" t="s">
        <v>51</v>
      </c>
      <c r="K34" s="748"/>
      <c r="L34" s="748"/>
      <c r="M34" s="748"/>
      <c r="N34" s="748"/>
      <c r="O34" s="748"/>
      <c r="P34" s="748"/>
      <c r="Q34" s="749"/>
      <c r="R34" s="750" t="s">
        <v>52</v>
      </c>
      <c r="S34" s="751"/>
      <c r="T34" s="751"/>
      <c r="U34" s="751"/>
      <c r="V34" s="751"/>
      <c r="W34" s="751"/>
      <c r="X34" s="751"/>
      <c r="Y34" s="752"/>
      <c r="Z34" s="753" t="s">
        <v>4307</v>
      </c>
      <c r="AA34" s="753"/>
      <c r="AB34" s="753"/>
      <c r="AC34" s="753"/>
      <c r="AD34" s="753"/>
      <c r="AE34" s="753"/>
      <c r="AF34" s="753"/>
    </row>
    <row r="35" spans="1:32" s="33" customFormat="1" x14ac:dyDescent="0.25">
      <c r="A35" s="534" t="s">
        <v>0</v>
      </c>
      <c r="B35" s="534">
        <v>4</v>
      </c>
      <c r="C35" s="534">
        <v>5</v>
      </c>
      <c r="D35" s="534">
        <v>401</v>
      </c>
      <c r="E35" s="534">
        <v>402</v>
      </c>
      <c r="F35" s="534">
        <v>403</v>
      </c>
      <c r="G35" s="534">
        <v>404</v>
      </c>
      <c r="H35" s="534" t="s">
        <v>8427</v>
      </c>
      <c r="I35" s="534" t="s">
        <v>8428</v>
      </c>
      <c r="J35" s="535">
        <v>4</v>
      </c>
      <c r="K35" s="535">
        <v>5</v>
      </c>
      <c r="L35" s="535">
        <v>401</v>
      </c>
      <c r="M35" s="535">
        <v>402</v>
      </c>
      <c r="N35" s="535">
        <v>403</v>
      </c>
      <c r="O35" s="535">
        <v>404</v>
      </c>
      <c r="P35" s="535" t="s">
        <v>8427</v>
      </c>
      <c r="Q35" s="535" t="s">
        <v>8428</v>
      </c>
      <c r="R35" s="535">
        <v>4</v>
      </c>
      <c r="S35" s="535">
        <v>5</v>
      </c>
      <c r="T35" s="535">
        <v>401</v>
      </c>
      <c r="U35" s="535">
        <v>402</v>
      </c>
      <c r="V35" s="535">
        <v>403</v>
      </c>
      <c r="W35" s="535">
        <v>404</v>
      </c>
      <c r="X35" s="535" t="s">
        <v>8427</v>
      </c>
      <c r="Y35" s="534" t="s">
        <v>8428</v>
      </c>
      <c r="Z35" s="534">
        <v>4</v>
      </c>
      <c r="AA35" s="534">
        <v>5</v>
      </c>
      <c r="AB35" s="534">
        <v>401</v>
      </c>
      <c r="AC35" s="534">
        <v>402</v>
      </c>
      <c r="AD35" s="534">
        <v>403</v>
      </c>
      <c r="AE35" s="534">
        <v>404</v>
      </c>
      <c r="AF35" s="534" t="s">
        <v>8427</v>
      </c>
    </row>
    <row r="36" spans="1:32" s="33" customFormat="1" x14ac:dyDescent="0.25">
      <c r="A36" s="38">
        <v>46388</v>
      </c>
      <c r="B36" s="39">
        <f>'ПП Д4'!H98</f>
        <v>0</v>
      </c>
      <c r="C36" s="39">
        <f>'ПП Д5'!H84</f>
        <v>0</v>
      </c>
      <c r="D36" s="318">
        <f>'ПП 401'!G67</f>
        <v>0</v>
      </c>
      <c r="E36" s="39">
        <f>'ПП 402'!H68</f>
        <v>2</v>
      </c>
      <c r="F36" s="39">
        <f>'ПП 403'!H51</f>
        <v>5</v>
      </c>
      <c r="G36" s="39">
        <f>'ПП 404'!H51</f>
        <v>1</v>
      </c>
      <c r="H36" s="39">
        <f>'ПП 3 Квартал'!H51</f>
        <v>30</v>
      </c>
      <c r="I36" s="536">
        <f>SUM(B36:H36)</f>
        <v>38</v>
      </c>
      <c r="J36" s="547">
        <f>'ПП Д4'!I98</f>
        <v>0</v>
      </c>
      <c r="K36" s="547">
        <f>'ПП Д5'!I84</f>
        <v>0</v>
      </c>
      <c r="L36" s="547">
        <f>'ПП 401'!H67</f>
        <v>0</v>
      </c>
      <c r="M36" s="547">
        <f ca="1">'ПП 402'!I68</f>
        <v>87.721778416347291</v>
      </c>
      <c r="N36" s="547">
        <f ca="1">'ПП 403'!I51</f>
        <v>243.4654391031504</v>
      </c>
      <c r="O36" s="547">
        <f ca="1">'ПП 404'!I51</f>
        <v>39.955555555555549</v>
      </c>
      <c r="P36" s="547">
        <f>'ПП 3 Квартал'!I51</f>
        <v>1500</v>
      </c>
      <c r="Q36" s="547">
        <f ca="1">SUM(J36:P36)</f>
        <v>1871.1427730750534</v>
      </c>
      <c r="R36" s="384">
        <f>'ПП Д4'!L98</f>
        <v>0</v>
      </c>
      <c r="S36" s="384">
        <f>'ПП Д5'!L84</f>
        <v>0</v>
      </c>
      <c r="T36" s="384">
        <f>'ПП 401'!K67</f>
        <v>0</v>
      </c>
      <c r="U36" s="384">
        <f ca="1">'ПП 402'!L68</f>
        <v>12241085.965517242</v>
      </c>
      <c r="V36" s="384">
        <f ca="1">'ПП 403'!L51</f>
        <v>33016391.927475687</v>
      </c>
      <c r="W36" s="384">
        <f ca="1">'ПП 404'!L51</f>
        <v>5538689.7768888883</v>
      </c>
      <c r="X36" s="384">
        <f>'ПП 3 Квартал'!L51</f>
        <v>179400000</v>
      </c>
      <c r="Y36" s="536">
        <f ca="1">SUM(R36:X36)</f>
        <v>230196167.66988182</v>
      </c>
      <c r="Z36" s="384" t="str">
        <f>IFERROR(R36/J36,"0")</f>
        <v>0</v>
      </c>
      <c r="AA36" s="384" t="str">
        <f t="shared" ref="AA36:AF48" si="10">IFERROR(S36/K36,"0")</f>
        <v>0</v>
      </c>
      <c r="AB36" s="384" t="str">
        <f t="shared" si="10"/>
        <v>0</v>
      </c>
      <c r="AC36" s="384">
        <f t="shared" ca="1" si="10"/>
        <v>139544.43453503979</v>
      </c>
      <c r="AD36" s="384">
        <f t="shared" ca="1" si="10"/>
        <v>135610.17961768052</v>
      </c>
      <c r="AE36" s="384">
        <f t="shared" ca="1" si="10"/>
        <v>138621.26805339268</v>
      </c>
      <c r="AF36" s="384">
        <f t="shared" si="10"/>
        <v>119600</v>
      </c>
    </row>
    <row r="37" spans="1:32" s="33" customFormat="1" x14ac:dyDescent="0.25">
      <c r="A37" s="38">
        <v>46419</v>
      </c>
      <c r="B37" s="39">
        <f>'ПП Д4'!H99</f>
        <v>0</v>
      </c>
      <c r="C37" s="39">
        <f>'ПП Д5'!H85</f>
        <v>0</v>
      </c>
      <c r="D37" s="318">
        <f>'ПП 401'!G68</f>
        <v>0</v>
      </c>
      <c r="E37" s="39">
        <f>'ПП 402'!H69</f>
        <v>3</v>
      </c>
      <c r="F37" s="39">
        <f>'ПП 403'!H52</f>
        <v>4</v>
      </c>
      <c r="G37" s="39">
        <f>'ПП 404'!H52</f>
        <v>3</v>
      </c>
      <c r="H37" s="39">
        <f>'ПП 3 Квартал'!H52</f>
        <v>30</v>
      </c>
      <c r="I37" s="536">
        <f t="shared" ref="I37:I48" si="11">SUM(B37:H37)</f>
        <v>40</v>
      </c>
      <c r="J37" s="547">
        <f>'ПП Д4'!I99</f>
        <v>0</v>
      </c>
      <c r="K37" s="547">
        <f>'ПП Д5'!I85</f>
        <v>0</v>
      </c>
      <c r="L37" s="547">
        <f>'ПП 401'!H68</f>
        <v>0</v>
      </c>
      <c r="M37" s="547">
        <f ca="1">'ПП 402'!I69</f>
        <v>146.20631545338424</v>
      </c>
      <c r="N37" s="547">
        <f ca="1">'ПП 403'!I52</f>
        <v>169.41258196029324</v>
      </c>
      <c r="O37" s="547">
        <f ca="1">'ПП 404'!I52</f>
        <v>174.96825647782174</v>
      </c>
      <c r="P37" s="547">
        <f>'ПП 3 Квартал'!I52</f>
        <v>1500</v>
      </c>
      <c r="Q37" s="547">
        <f t="shared" ref="Q37:Q48" ca="1" si="12">SUM(J37:P37)</f>
        <v>1990.5871538914992</v>
      </c>
      <c r="R37" s="384">
        <f>'ПП Д4'!L99</f>
        <v>0</v>
      </c>
      <c r="S37" s="384">
        <f>'ПП Д5'!L85</f>
        <v>0</v>
      </c>
      <c r="T37" s="384">
        <f>'ПП 401'!K68</f>
        <v>0</v>
      </c>
      <c r="U37" s="384">
        <f ca="1">'ПП 402'!L69</f>
        <v>20174907.863346104</v>
      </c>
      <c r="V37" s="384">
        <f ca="1">'ПП 403'!L52</f>
        <v>24358808.831296589</v>
      </c>
      <c r="W37" s="384">
        <f ca="1">'ПП 404'!L52</f>
        <v>23139744.91888801</v>
      </c>
      <c r="X37" s="384">
        <f>'ПП 3 Квартал'!L52</f>
        <v>181125000</v>
      </c>
      <c r="Y37" s="536">
        <f t="shared" ref="Y37:Y48" ca="1" si="13">SUM(R37:X37)</f>
        <v>248798461.6135307</v>
      </c>
      <c r="Z37" s="384" t="str">
        <f t="shared" ref="Z37:Z48" si="14">IFERROR(R37/J37,"0")</f>
        <v>0</v>
      </c>
      <c r="AA37" s="384" t="str">
        <f t="shared" si="10"/>
        <v>0</v>
      </c>
      <c r="AB37" s="384" t="str">
        <f t="shared" si="10"/>
        <v>0</v>
      </c>
      <c r="AC37" s="384">
        <f t="shared" ca="1" si="10"/>
        <v>137989.30505008576</v>
      </c>
      <c r="AD37" s="384">
        <f t="shared" ca="1" si="10"/>
        <v>143783.94183854529</v>
      </c>
      <c r="AE37" s="384">
        <f t="shared" ca="1" si="10"/>
        <v>132251.10305549114</v>
      </c>
      <c r="AF37" s="384">
        <f t="shared" si="10"/>
        <v>120750</v>
      </c>
    </row>
    <row r="38" spans="1:32" s="33" customFormat="1" x14ac:dyDescent="0.25">
      <c r="A38" s="38">
        <v>46447</v>
      </c>
      <c r="B38" s="39">
        <f>'ПП Д4'!H100</f>
        <v>0</v>
      </c>
      <c r="C38" s="39">
        <f>'ПП Д5'!H86</f>
        <v>0</v>
      </c>
      <c r="D38" s="318">
        <f>'ПП 401'!G69</f>
        <v>0</v>
      </c>
      <c r="E38" s="39">
        <f>'ПП 402'!H70</f>
        <v>4</v>
      </c>
      <c r="F38" s="39">
        <f>'ПП 403'!H53</f>
        <v>3</v>
      </c>
      <c r="G38" s="39">
        <f>'ПП 404'!H53</f>
        <v>2</v>
      </c>
      <c r="H38" s="39">
        <f>'ПП 3 Квартал'!H53</f>
        <v>30</v>
      </c>
      <c r="I38" s="536">
        <f t="shared" si="11"/>
        <v>39</v>
      </c>
      <c r="J38" s="547">
        <f>'ПП Д4'!I100</f>
        <v>0</v>
      </c>
      <c r="K38" s="547">
        <f>'ПП Д5'!I86</f>
        <v>0</v>
      </c>
      <c r="L38" s="547">
        <f>'ПП 401'!H69</f>
        <v>0</v>
      </c>
      <c r="M38" s="547">
        <f ca="1">'ПП 402'!I70</f>
        <v>224.36631545338423</v>
      </c>
      <c r="N38" s="547">
        <f ca="1">'ПП 403'!I53</f>
        <v>130.35664789435916</v>
      </c>
      <c r="O38" s="547">
        <f ca="1">'ПП 404'!I53</f>
        <v>97.362801932367205</v>
      </c>
      <c r="P38" s="547">
        <f>'ПП 3 Квартал'!I53</f>
        <v>1500</v>
      </c>
      <c r="Q38" s="547">
        <f t="shared" ca="1" si="12"/>
        <v>1952.0857652801105</v>
      </c>
      <c r="R38" s="384">
        <f>'ПП Д4'!L100</f>
        <v>0</v>
      </c>
      <c r="S38" s="384">
        <f>'ПП Д5'!L86</f>
        <v>0</v>
      </c>
      <c r="T38" s="384">
        <f>'ПП 401'!K69</f>
        <v>0</v>
      </c>
      <c r="U38" s="384">
        <f ca="1">'ПП 402'!L70</f>
        <v>29712121.738346104</v>
      </c>
      <c r="V38" s="384">
        <f ca="1">'ПП 403'!L53</f>
        <v>19049229.62209551</v>
      </c>
      <c r="W38" s="384">
        <f ca="1">'ПП 404'!L53</f>
        <v>13663816.001111109</v>
      </c>
      <c r="X38" s="384">
        <f>'ПП 3 Квартал'!L53</f>
        <v>181125000</v>
      </c>
      <c r="Y38" s="536">
        <f t="shared" ca="1" si="13"/>
        <v>243550167.36155272</v>
      </c>
      <c r="Z38" s="384" t="str">
        <f t="shared" si="14"/>
        <v>0</v>
      </c>
      <c r="AA38" s="384" t="str">
        <f t="shared" si="10"/>
        <v>0</v>
      </c>
      <c r="AB38" s="384" t="str">
        <f t="shared" si="10"/>
        <v>0</v>
      </c>
      <c r="AC38" s="384">
        <f t="shared" ca="1" si="10"/>
        <v>132426.83812989425</v>
      </c>
      <c r="AD38" s="384">
        <f t="shared" ca="1" si="10"/>
        <v>146131.63141118034</v>
      </c>
      <c r="AE38" s="384">
        <f t="shared" ca="1" si="10"/>
        <v>140339.18221255217</v>
      </c>
      <c r="AF38" s="384">
        <f t="shared" si="10"/>
        <v>120750</v>
      </c>
    </row>
    <row r="39" spans="1:32" s="33" customFormat="1" x14ac:dyDescent="0.25">
      <c r="A39" s="38">
        <v>46478</v>
      </c>
      <c r="B39" s="39">
        <f>'ПП Д4'!H101</f>
        <v>0</v>
      </c>
      <c r="C39" s="39">
        <f>'ПП Д5'!H87</f>
        <v>0</v>
      </c>
      <c r="D39" s="318">
        <f>'ПП 401'!G70</f>
        <v>0</v>
      </c>
      <c r="E39" s="39">
        <f>'ПП 402'!H71</f>
        <v>5</v>
      </c>
      <c r="F39" s="39">
        <f>'ПП 403'!H54</f>
        <v>4</v>
      </c>
      <c r="G39" s="39">
        <f>'ПП 404'!H54</f>
        <v>2</v>
      </c>
      <c r="H39" s="39">
        <f>'ПП 3 Квартал'!H54</f>
        <v>40</v>
      </c>
      <c r="I39" s="536">
        <f t="shared" si="11"/>
        <v>51</v>
      </c>
      <c r="J39" s="547">
        <f>'ПП Д4'!I101</f>
        <v>0</v>
      </c>
      <c r="K39" s="547">
        <f>'ПП Д5'!I87</f>
        <v>0</v>
      </c>
      <c r="L39" s="547">
        <f>'ПП 401'!H70</f>
        <v>0</v>
      </c>
      <c r="M39" s="547">
        <f ca="1">'ПП 402'!I71</f>
        <v>215.81492046905822</v>
      </c>
      <c r="N39" s="547">
        <f ca="1">'ПП 403'!I54</f>
        <v>190.86622535914788</v>
      </c>
      <c r="O39" s="547">
        <f ca="1">'ПП 404'!I54</f>
        <v>97.362801932367205</v>
      </c>
      <c r="P39" s="547">
        <f>'ПП 3 Квартал'!I54</f>
        <v>2000</v>
      </c>
      <c r="Q39" s="547">
        <f t="shared" ca="1" si="12"/>
        <v>2504.0439477605732</v>
      </c>
      <c r="R39" s="384">
        <f>'ПП Д4'!L101</f>
        <v>0</v>
      </c>
      <c r="S39" s="384">
        <f>'ПП Д5'!L87</f>
        <v>0</v>
      </c>
      <c r="T39" s="384">
        <f>'ПП 401'!K70</f>
        <v>0</v>
      </c>
      <c r="U39" s="384">
        <f ca="1">'ПП 402'!L71</f>
        <v>30459893.867719147</v>
      </c>
      <c r="V39" s="384">
        <f ca="1">'ПП 403'!L54</f>
        <v>27531962.296039175</v>
      </c>
      <c r="W39" s="384">
        <f ca="1">'ПП 404'!L54</f>
        <v>13663816.001111109</v>
      </c>
      <c r="X39" s="384">
        <f>'ПП 3 Квартал'!L54</f>
        <v>243800000</v>
      </c>
      <c r="Y39" s="536">
        <f t="shared" ca="1" si="13"/>
        <v>315455672.16486943</v>
      </c>
      <c r="Z39" s="384" t="str">
        <f t="shared" si="14"/>
        <v>0</v>
      </c>
      <c r="AA39" s="384" t="str">
        <f t="shared" si="10"/>
        <v>0</v>
      </c>
      <c r="AB39" s="384" t="str">
        <f t="shared" si="10"/>
        <v>0</v>
      </c>
      <c r="AC39" s="384">
        <f t="shared" ca="1" si="10"/>
        <v>141138.96203986619</v>
      </c>
      <c r="AD39" s="384">
        <f t="shared" ca="1" si="10"/>
        <v>144247.42902644517</v>
      </c>
      <c r="AE39" s="384">
        <f t="shared" ca="1" si="10"/>
        <v>140339.18221255217</v>
      </c>
      <c r="AF39" s="384">
        <f t="shared" si="10"/>
        <v>121900</v>
      </c>
    </row>
    <row r="40" spans="1:32" s="33" customFormat="1" x14ac:dyDescent="0.25">
      <c r="A40" s="38">
        <v>46508</v>
      </c>
      <c r="B40" s="39">
        <f>'ПП Д4'!H102</f>
        <v>0</v>
      </c>
      <c r="C40" s="39">
        <f>'ПП Д5'!H88</f>
        <v>0</v>
      </c>
      <c r="D40" s="318">
        <f>'ПП 401'!G71</f>
        <v>0</v>
      </c>
      <c r="E40" s="39">
        <f>'ПП 402'!H72</f>
        <v>5</v>
      </c>
      <c r="F40" s="39">
        <f>'ПП 403'!H55</f>
        <v>3</v>
      </c>
      <c r="G40" s="39">
        <f>'ПП 404'!H55</f>
        <v>3</v>
      </c>
      <c r="H40" s="39">
        <f>'ПП 3 Квартал'!H55</f>
        <v>40</v>
      </c>
      <c r="I40" s="536">
        <f t="shared" si="11"/>
        <v>51</v>
      </c>
      <c r="J40" s="547">
        <f>'ПП Д4'!I102</f>
        <v>0</v>
      </c>
      <c r="K40" s="547">
        <f>'ПП Д5'!I88</f>
        <v>0</v>
      </c>
      <c r="L40" s="547">
        <f>'ПП 401'!H71</f>
        <v>0</v>
      </c>
      <c r="M40" s="547">
        <f ca="1">'ПП 402'!I72</f>
        <v>264.73767908974781</v>
      </c>
      <c r="N40" s="547">
        <f ca="1">'ПП 403'!I55</f>
        <v>130.35664789435916</v>
      </c>
      <c r="O40" s="547">
        <f ca="1">'ПП 404'!I55</f>
        <v>174.96825647782174</v>
      </c>
      <c r="P40" s="547">
        <f>'ПП 3 Квартал'!I55</f>
        <v>2000</v>
      </c>
      <c r="Q40" s="547">
        <f t="shared" ca="1" si="12"/>
        <v>2570.0625834619286</v>
      </c>
      <c r="R40" s="384">
        <f>'ПП Д4'!L102</f>
        <v>0</v>
      </c>
      <c r="S40" s="384">
        <f>'ПП Д5'!L88</f>
        <v>0</v>
      </c>
      <c r="T40" s="384">
        <f>'ПП 401'!K71</f>
        <v>0</v>
      </c>
      <c r="U40" s="384">
        <f ca="1">'ПП 402'!L72</f>
        <v>35463156.897891559</v>
      </c>
      <c r="V40" s="384">
        <f ca="1">'ПП 403'!L55</f>
        <v>19049229.62209551</v>
      </c>
      <c r="W40" s="384">
        <f ca="1">'ПП 404'!L55</f>
        <v>23342725.137474746</v>
      </c>
      <c r="X40" s="384">
        <f>'ПП 3 Квартал'!L55</f>
        <v>243800000</v>
      </c>
      <c r="Y40" s="536">
        <f t="shared" ca="1" si="13"/>
        <v>321655111.65746182</v>
      </c>
      <c r="Z40" s="384" t="str">
        <f t="shared" si="14"/>
        <v>0</v>
      </c>
      <c r="AA40" s="384" t="str">
        <f t="shared" si="10"/>
        <v>0</v>
      </c>
      <c r="AB40" s="384" t="str">
        <f t="shared" si="10"/>
        <v>0</v>
      </c>
      <c r="AC40" s="384">
        <f t="shared" ca="1" si="10"/>
        <v>133955.8351490621</v>
      </c>
      <c r="AD40" s="384">
        <f t="shared" ca="1" si="10"/>
        <v>146131.63141118034</v>
      </c>
      <c r="AE40" s="384">
        <f t="shared" ca="1" si="10"/>
        <v>133411.20045071474</v>
      </c>
      <c r="AF40" s="384">
        <f t="shared" si="10"/>
        <v>121900</v>
      </c>
    </row>
    <row r="41" spans="1:32" s="33" customFormat="1" x14ac:dyDescent="0.25">
      <c r="A41" s="38">
        <v>46539</v>
      </c>
      <c r="B41" s="39">
        <f>'ПП Д4'!H103</f>
        <v>0</v>
      </c>
      <c r="C41" s="39">
        <f>'ПП Д5'!H89</f>
        <v>0</v>
      </c>
      <c r="D41" s="318">
        <f>'ПП 401'!G72</f>
        <v>0</v>
      </c>
      <c r="E41" s="39">
        <f>'ПП 402'!H73</f>
        <v>3</v>
      </c>
      <c r="F41" s="39">
        <f>'ПП 403'!H56</f>
        <v>3</v>
      </c>
      <c r="G41" s="39">
        <f>'ПП 404'!H56</f>
        <v>2</v>
      </c>
      <c r="H41" s="39">
        <f>'ПП 3 Квартал'!H56</f>
        <v>40</v>
      </c>
      <c r="I41" s="536">
        <f t="shared" si="11"/>
        <v>48</v>
      </c>
      <c r="J41" s="547">
        <f>'ПП Д4'!I103</f>
        <v>0</v>
      </c>
      <c r="K41" s="547">
        <f>'ПП Д5'!I89</f>
        <v>0</v>
      </c>
      <c r="L41" s="547">
        <f>'ПП 401'!H72</f>
        <v>0</v>
      </c>
      <c r="M41" s="547">
        <f ca="1">'ПП 402'!I73</f>
        <v>116.95901979565767</v>
      </c>
      <c r="N41" s="547">
        <f ca="1">'ПП 403'!I56</f>
        <v>130.35664789435916</v>
      </c>
      <c r="O41" s="547">
        <f ca="1">'ПП 404'!I56</f>
        <v>97.362801932367205</v>
      </c>
      <c r="P41" s="547">
        <f>'ПП 3 Квартал'!I56</f>
        <v>2000</v>
      </c>
      <c r="Q41" s="547">
        <f t="shared" ca="1" si="12"/>
        <v>2344.678469622384</v>
      </c>
      <c r="R41" s="384">
        <f>'ПП Д4'!L103</f>
        <v>0</v>
      </c>
      <c r="S41" s="384">
        <f>'ПП Д5'!L89</f>
        <v>0</v>
      </c>
      <c r="T41" s="384">
        <f>'ПП 401'!K72</f>
        <v>0</v>
      </c>
      <c r="U41" s="384">
        <f ca="1">'ПП 402'!L73</f>
        <v>16888380.198914431</v>
      </c>
      <c r="V41" s="384">
        <f ca="1">'ПП 403'!L56</f>
        <v>19049229.62209551</v>
      </c>
      <c r="W41" s="384">
        <f ca="1">'ПП 404'!L56</f>
        <v>13663816.001111109</v>
      </c>
      <c r="X41" s="384">
        <f>'ПП 3 Квартал'!L56</f>
        <v>246100000</v>
      </c>
      <c r="Y41" s="536">
        <f t="shared" ca="1" si="13"/>
        <v>295701425.82212102</v>
      </c>
      <c r="Z41" s="384" t="str">
        <f t="shared" si="14"/>
        <v>0</v>
      </c>
      <c r="AA41" s="384" t="str">
        <f t="shared" si="10"/>
        <v>0</v>
      </c>
      <c r="AB41" s="384" t="str">
        <f t="shared" si="10"/>
        <v>0</v>
      </c>
      <c r="AC41" s="384">
        <f t="shared" ca="1" si="10"/>
        <v>144395.70567896846</v>
      </c>
      <c r="AD41" s="384">
        <f t="shared" ca="1" si="10"/>
        <v>146131.63141118034</v>
      </c>
      <c r="AE41" s="384">
        <f t="shared" ca="1" si="10"/>
        <v>140339.18221255217</v>
      </c>
      <c r="AF41" s="384">
        <f t="shared" si="10"/>
        <v>123050</v>
      </c>
    </row>
    <row r="42" spans="1:32" s="33" customFormat="1" x14ac:dyDescent="0.25">
      <c r="A42" s="38">
        <v>46569</v>
      </c>
      <c r="B42" s="39">
        <f>'ПП Д4'!H104</f>
        <v>0</v>
      </c>
      <c r="C42" s="39">
        <f>'ПП Д5'!H90</f>
        <v>0</v>
      </c>
      <c r="D42" s="318">
        <f>'ПП 401'!G73</f>
        <v>0</v>
      </c>
      <c r="E42" s="39">
        <f>'ПП 402'!H74</f>
        <v>3</v>
      </c>
      <c r="F42" s="39">
        <f>'ПП 403'!H57</f>
        <v>2</v>
      </c>
      <c r="G42" s="39">
        <f>'ПП 404'!H57</f>
        <v>3</v>
      </c>
      <c r="H42" s="39">
        <f>'ПП 3 Квартал'!H57</f>
        <v>40</v>
      </c>
      <c r="I42" s="536">
        <f t="shared" si="11"/>
        <v>48</v>
      </c>
      <c r="J42" s="547">
        <f>'ПП Д4'!I104</f>
        <v>0</v>
      </c>
      <c r="K42" s="547">
        <f>'ПП Д5'!I90</f>
        <v>0</v>
      </c>
      <c r="L42" s="547">
        <f>'ПП 401'!H73</f>
        <v>0</v>
      </c>
      <c r="M42" s="547">
        <f ca="1">'ПП 402'!I74</f>
        <v>116.95901979565767</v>
      </c>
      <c r="N42" s="547">
        <f ca="1">'ПП 403'!I57</f>
        <v>99.565511530722773</v>
      </c>
      <c r="O42" s="547">
        <f ca="1">'ПП 404'!I57</f>
        <v>174.96825647782174</v>
      </c>
      <c r="P42" s="547">
        <f>'ПП 3 Квартал'!I57</f>
        <v>2000</v>
      </c>
      <c r="Q42" s="547">
        <f t="shared" ca="1" si="12"/>
        <v>2391.4927878042022</v>
      </c>
      <c r="R42" s="384">
        <f>'ПП Д4'!L104</f>
        <v>0</v>
      </c>
      <c r="S42" s="384">
        <f>'ПП Д5'!L90</f>
        <v>0</v>
      </c>
      <c r="T42" s="384">
        <f>'ПП 401'!K73</f>
        <v>0</v>
      </c>
      <c r="U42" s="384">
        <f ca="1">'ПП 402'!L74</f>
        <v>16888380.198914431</v>
      </c>
      <c r="V42" s="384">
        <f ca="1">'ПП 403'!L57</f>
        <v>14005985.644822782</v>
      </c>
      <c r="W42" s="384">
        <f ca="1">'ПП 404'!L57</f>
        <v>23342725.137474746</v>
      </c>
      <c r="X42" s="384">
        <f>'ПП 3 Квартал'!L57</f>
        <v>246100000</v>
      </c>
      <c r="Y42" s="536">
        <f t="shared" ca="1" si="13"/>
        <v>300337090.98121196</v>
      </c>
      <c r="Z42" s="384" t="str">
        <f t="shared" si="14"/>
        <v>0</v>
      </c>
      <c r="AA42" s="384" t="str">
        <f t="shared" si="10"/>
        <v>0</v>
      </c>
      <c r="AB42" s="384" t="str">
        <f t="shared" si="10"/>
        <v>0</v>
      </c>
      <c r="AC42" s="384">
        <f t="shared" ca="1" si="10"/>
        <v>144395.70567896846</v>
      </c>
      <c r="AD42" s="384">
        <f t="shared" ca="1" si="10"/>
        <v>140671.05596601064</v>
      </c>
      <c r="AE42" s="384">
        <f t="shared" ca="1" si="10"/>
        <v>133411.20045071474</v>
      </c>
      <c r="AF42" s="384">
        <f t="shared" si="10"/>
        <v>123050</v>
      </c>
    </row>
    <row r="43" spans="1:32" s="33" customFormat="1" x14ac:dyDescent="0.25">
      <c r="A43" s="38">
        <v>46600</v>
      </c>
      <c r="B43" s="39">
        <f>'ПП Д4'!H105</f>
        <v>0</v>
      </c>
      <c r="C43" s="39">
        <f>'ПП Д5'!H91</f>
        <v>0</v>
      </c>
      <c r="D43" s="318">
        <f>'ПП 401'!G74</f>
        <v>0</v>
      </c>
      <c r="E43" s="39">
        <f>'ПП 402'!H75</f>
        <v>4</v>
      </c>
      <c r="F43" s="39">
        <f>'ПП 403'!H58</f>
        <v>2</v>
      </c>
      <c r="G43" s="39">
        <f>'ПП 404'!H58</f>
        <v>2</v>
      </c>
      <c r="H43" s="39">
        <f>'ПП 3 Квартал'!H58</f>
        <v>40</v>
      </c>
      <c r="I43" s="536">
        <f t="shared" si="11"/>
        <v>48</v>
      </c>
      <c r="J43" s="547">
        <f>'ПП Д4'!I105</f>
        <v>0</v>
      </c>
      <c r="K43" s="547">
        <f>'ПП Д5'!I91</f>
        <v>0</v>
      </c>
      <c r="L43" s="547">
        <f>'ПП 401'!H74</f>
        <v>0</v>
      </c>
      <c r="M43" s="547">
        <f ca="1">'ПП 402'!I75</f>
        <v>175.44355683269458</v>
      </c>
      <c r="N43" s="547">
        <f ca="1">'ПП 403'!I58</f>
        <v>99.565511530722773</v>
      </c>
      <c r="O43" s="547">
        <f ca="1">'ПП 404'!I58</f>
        <v>97.362801932367205</v>
      </c>
      <c r="P43" s="547">
        <f>'ПП 3 Квартал'!I58</f>
        <v>2000</v>
      </c>
      <c r="Q43" s="547">
        <f t="shared" ca="1" si="12"/>
        <v>2372.3718702957844</v>
      </c>
      <c r="R43" s="384">
        <f>'ПП Д4'!L105</f>
        <v>0</v>
      </c>
      <c r="S43" s="384">
        <f>'ПП Д5'!L91</f>
        <v>0</v>
      </c>
      <c r="T43" s="384">
        <f>'ПП 401'!K74</f>
        <v>0</v>
      </c>
      <c r="U43" s="384">
        <f ca="1">'ПП 402'!L75</f>
        <v>24708858.708173689</v>
      </c>
      <c r="V43" s="384">
        <f ca="1">'ПП 403'!L58</f>
        <v>14005985.644822782</v>
      </c>
      <c r="W43" s="384">
        <f ca="1">'ПП 404'!L58</f>
        <v>13663816.001111109</v>
      </c>
      <c r="X43" s="384">
        <f>'ПП 3 Квартал'!L58</f>
        <v>248400000</v>
      </c>
      <c r="Y43" s="536">
        <f t="shared" ca="1" si="13"/>
        <v>300778660.35410756</v>
      </c>
      <c r="Z43" s="384" t="str">
        <f t="shared" si="14"/>
        <v>0</v>
      </c>
      <c r="AA43" s="384" t="str">
        <f t="shared" si="10"/>
        <v>0</v>
      </c>
      <c r="AB43" s="384" t="str">
        <f t="shared" si="10"/>
        <v>0</v>
      </c>
      <c r="AC43" s="384">
        <f t="shared" ca="1" si="10"/>
        <v>140836.51263258644</v>
      </c>
      <c r="AD43" s="384">
        <f t="shared" ca="1" si="10"/>
        <v>140671.05596601064</v>
      </c>
      <c r="AE43" s="384">
        <f t="shared" ca="1" si="10"/>
        <v>140339.18221255217</v>
      </c>
      <c r="AF43" s="384">
        <f t="shared" si="10"/>
        <v>124200</v>
      </c>
    </row>
    <row r="44" spans="1:32" s="33" customFormat="1" x14ac:dyDescent="0.25">
      <c r="A44" s="38">
        <v>46631</v>
      </c>
      <c r="B44" s="39">
        <f>'ПП Д4'!H106</f>
        <v>0</v>
      </c>
      <c r="C44" s="39">
        <f>'ПП Д5'!H92</f>
        <v>0</v>
      </c>
      <c r="D44" s="318">
        <f>'ПП 401'!G75</f>
        <v>0</v>
      </c>
      <c r="E44" s="39">
        <f>'ПП 402'!H76</f>
        <v>5</v>
      </c>
      <c r="F44" s="39">
        <f>'ПП 403'!H59</f>
        <v>2</v>
      </c>
      <c r="G44" s="39">
        <f>'ПП 404'!H59</f>
        <v>2</v>
      </c>
      <c r="H44" s="39">
        <f>'ПП 3 Квартал'!H59</f>
        <v>40</v>
      </c>
      <c r="I44" s="536">
        <f t="shared" si="11"/>
        <v>49</v>
      </c>
      <c r="J44" s="547">
        <f>'ПП Д4'!I106</f>
        <v>0</v>
      </c>
      <c r="K44" s="547">
        <f>'ПП Д5'!I92</f>
        <v>0</v>
      </c>
      <c r="L44" s="547">
        <f>'ПП 401'!H75</f>
        <v>0</v>
      </c>
      <c r="M44" s="547">
        <f ca="1">'ПП 402'!I76</f>
        <v>253.60355683269455</v>
      </c>
      <c r="N44" s="547">
        <f ca="1">'ПП 403'!I59</f>
        <v>99.565511530722773</v>
      </c>
      <c r="O44" s="547">
        <f ca="1">'ПП 404'!I59</f>
        <v>97.362801932367205</v>
      </c>
      <c r="P44" s="547">
        <f>'ПП 3 Квартал'!I59</f>
        <v>2000</v>
      </c>
      <c r="Q44" s="547">
        <f t="shared" ca="1" si="12"/>
        <v>2450.5318702957848</v>
      </c>
      <c r="R44" s="384">
        <f>'ПП Д4'!L106</f>
        <v>0</v>
      </c>
      <c r="S44" s="384">
        <f>'ПП Д5'!L92</f>
        <v>0</v>
      </c>
      <c r="T44" s="384">
        <f>'ПП 401'!K75</f>
        <v>0</v>
      </c>
      <c r="U44" s="384">
        <f ca="1">'ПП 402'!L76</f>
        <v>34246072.583173692</v>
      </c>
      <c r="V44" s="384">
        <f ca="1">'ПП 403'!L59</f>
        <v>14005985.644822782</v>
      </c>
      <c r="W44" s="384">
        <f ca="1">'ПП 404'!L59</f>
        <v>13663816.001111109</v>
      </c>
      <c r="X44" s="384">
        <f>'ПП 3 Квартал'!L59</f>
        <v>248400000</v>
      </c>
      <c r="Y44" s="536">
        <f t="shared" ca="1" si="13"/>
        <v>310315874.22910762</v>
      </c>
      <c r="Z44" s="384" t="str">
        <f t="shared" si="14"/>
        <v>0</v>
      </c>
      <c r="AA44" s="384" t="str">
        <f t="shared" si="10"/>
        <v>0</v>
      </c>
      <c r="AB44" s="384" t="str">
        <f t="shared" si="10"/>
        <v>0</v>
      </c>
      <c r="AC44" s="384">
        <f t="shared" ca="1" si="10"/>
        <v>135037.82443306289</v>
      </c>
      <c r="AD44" s="384">
        <f t="shared" ca="1" si="10"/>
        <v>140671.05596601064</v>
      </c>
      <c r="AE44" s="384">
        <f t="shared" ca="1" si="10"/>
        <v>140339.18221255217</v>
      </c>
      <c r="AF44" s="384">
        <f t="shared" si="10"/>
        <v>124200</v>
      </c>
    </row>
    <row r="45" spans="1:32" x14ac:dyDescent="0.25">
      <c r="A45" s="38">
        <v>46661</v>
      </c>
      <c r="B45" s="39">
        <f>'ПП Д4'!H107</f>
        <v>0</v>
      </c>
      <c r="C45" s="39">
        <f>'ПП Д5'!H93</f>
        <v>0</v>
      </c>
      <c r="D45" s="318">
        <f>'ПП 401'!G76</f>
        <v>0</v>
      </c>
      <c r="E45" s="39">
        <f>'ПП 402'!H77</f>
        <v>5</v>
      </c>
      <c r="F45" s="39">
        <f>'ПП 403'!H60</f>
        <v>2</v>
      </c>
      <c r="G45" s="39">
        <f>'ПП 404'!H60</f>
        <v>1</v>
      </c>
      <c r="H45" s="39">
        <f>'ПП 3 Квартал'!H60</f>
        <v>40</v>
      </c>
      <c r="I45" s="536">
        <f t="shared" si="11"/>
        <v>48</v>
      </c>
      <c r="J45" s="547">
        <f>'ПП Д4'!I107</f>
        <v>0</v>
      </c>
      <c r="K45" s="547">
        <f>'ПП Д5'!I93</f>
        <v>0</v>
      </c>
      <c r="L45" s="547">
        <f>'ПП 401'!H76</f>
        <v>0</v>
      </c>
      <c r="M45" s="547">
        <f ca="1">'ПП 402'!I77</f>
        <v>215.81492046905822</v>
      </c>
      <c r="N45" s="547">
        <f ca="1">'ПП 403'!I60</f>
        <v>99.565511530722773</v>
      </c>
      <c r="O45" s="547">
        <f ca="1">'ПП 404'!I60</f>
        <v>39.955555555555549</v>
      </c>
      <c r="P45" s="547">
        <f>'ПП 3 Квартал'!I60</f>
        <v>2000</v>
      </c>
      <c r="Q45" s="547">
        <f t="shared" ca="1" si="12"/>
        <v>2355.3359875553365</v>
      </c>
      <c r="R45" s="384">
        <f>'ПП Д4'!L107</f>
        <v>0</v>
      </c>
      <c r="S45" s="384">
        <f>'ПП Д5'!L93</f>
        <v>0</v>
      </c>
      <c r="T45" s="384">
        <f>'ПП 401'!K76</f>
        <v>0</v>
      </c>
      <c r="U45" s="384">
        <f ca="1">'ПП 402'!L77</f>
        <v>30459893.867719147</v>
      </c>
      <c r="V45" s="384">
        <f ca="1">'ПП 403'!L60</f>
        <v>14005985.644822782</v>
      </c>
      <c r="W45" s="384">
        <f ca="1">'ПП 404'!L60</f>
        <v>5636719.6844444443</v>
      </c>
      <c r="X45" s="384">
        <f>'ПП 3 Квартал'!L60</f>
        <v>250700000</v>
      </c>
      <c r="Y45" s="536">
        <f t="shared" ca="1" si="13"/>
        <v>300802599.19698638</v>
      </c>
      <c r="Z45" s="384" t="str">
        <f t="shared" si="14"/>
        <v>0</v>
      </c>
      <c r="AA45" s="384" t="str">
        <f t="shared" si="10"/>
        <v>0</v>
      </c>
      <c r="AB45" s="384" t="str">
        <f t="shared" si="10"/>
        <v>0</v>
      </c>
      <c r="AC45" s="384">
        <f t="shared" ca="1" si="10"/>
        <v>141138.96203986619</v>
      </c>
      <c r="AD45" s="384">
        <f t="shared" ca="1" si="10"/>
        <v>140671.05596601064</v>
      </c>
      <c r="AE45" s="384">
        <f t="shared" ca="1" si="10"/>
        <v>141074.74182424918</v>
      </c>
      <c r="AF45" s="384">
        <f t="shared" si="10"/>
        <v>125350</v>
      </c>
    </row>
    <row r="46" spans="1:32" x14ac:dyDescent="0.25">
      <c r="A46" s="38">
        <v>46692</v>
      </c>
      <c r="B46" s="39">
        <f>'ПП Д4'!H108</f>
        <v>0</v>
      </c>
      <c r="C46" s="39">
        <f>'ПП Д5'!H94</f>
        <v>0</v>
      </c>
      <c r="D46" s="318">
        <f>'ПП 401'!G77</f>
        <v>0</v>
      </c>
      <c r="E46" s="39">
        <f>'ПП 402'!H78</f>
        <v>5</v>
      </c>
      <c r="F46" s="39">
        <f>'ПП 403'!H61</f>
        <v>0</v>
      </c>
      <c r="G46" s="39">
        <f>'ПП 404'!H61</f>
        <v>1</v>
      </c>
      <c r="H46" s="39">
        <f>'ПП 3 Квартал'!H61</f>
        <v>40</v>
      </c>
      <c r="I46" s="536">
        <f t="shared" si="11"/>
        <v>46</v>
      </c>
      <c r="J46" s="547">
        <f>'ПП Д4'!I108</f>
        <v>0</v>
      </c>
      <c r="K46" s="547">
        <f>'ПП Д5'!I94</f>
        <v>0</v>
      </c>
      <c r="L46" s="547">
        <f>'ПП 401'!H77</f>
        <v>0</v>
      </c>
      <c r="M46" s="547">
        <f ca="1">'ПП 402'!I78</f>
        <v>253.60355683269455</v>
      </c>
      <c r="N46" s="547">
        <f ca="1">'ПП 403'!I61</f>
        <v>0</v>
      </c>
      <c r="O46" s="547">
        <f ca="1">'ПП 404'!I61</f>
        <v>39.955555555555549</v>
      </c>
      <c r="P46" s="547">
        <f>'ПП 3 Квартал'!I61</f>
        <v>2000</v>
      </c>
      <c r="Q46" s="547">
        <f t="shared" ca="1" si="12"/>
        <v>2293.55911238825</v>
      </c>
      <c r="R46" s="384">
        <f>'ПП Д4'!L108</f>
        <v>0</v>
      </c>
      <c r="S46" s="384">
        <f>'ПП Д5'!L94</f>
        <v>0</v>
      </c>
      <c r="T46" s="384">
        <f>'ПП 401'!K77</f>
        <v>0</v>
      </c>
      <c r="U46" s="384">
        <f ca="1">'ПП 402'!L78</f>
        <v>34246072.583173692</v>
      </c>
      <c r="V46" s="384">
        <f ca="1">'ПП 403'!L61</f>
        <v>0</v>
      </c>
      <c r="W46" s="384">
        <f ca="1">'ПП 404'!L61</f>
        <v>5636719.6844444443</v>
      </c>
      <c r="X46" s="384">
        <f>'ПП 3 Квартал'!L61</f>
        <v>250700000</v>
      </c>
      <c r="Y46" s="536">
        <f t="shared" ca="1" si="13"/>
        <v>290582792.26761812</v>
      </c>
      <c r="Z46" s="384" t="str">
        <f t="shared" si="14"/>
        <v>0</v>
      </c>
      <c r="AA46" s="384" t="str">
        <f t="shared" si="10"/>
        <v>0</v>
      </c>
      <c r="AB46" s="384" t="str">
        <f t="shared" si="10"/>
        <v>0</v>
      </c>
      <c r="AC46" s="384">
        <f t="shared" ca="1" si="10"/>
        <v>135037.82443306289</v>
      </c>
      <c r="AD46" s="384" t="str">
        <f t="shared" ca="1" si="10"/>
        <v>0</v>
      </c>
      <c r="AE46" s="384">
        <f t="shared" ca="1" si="10"/>
        <v>141074.74182424918</v>
      </c>
      <c r="AF46" s="384">
        <f t="shared" si="10"/>
        <v>125350</v>
      </c>
    </row>
    <row r="47" spans="1:32" x14ac:dyDescent="0.25">
      <c r="A47" s="544">
        <v>46722</v>
      </c>
      <c r="B47" s="39">
        <f>'ПП Д4'!H109</f>
        <v>0</v>
      </c>
      <c r="C47" s="39">
        <f>'ПП Д5'!H95</f>
        <v>0</v>
      </c>
      <c r="D47" s="318">
        <f>'ПП 401'!G78</f>
        <v>0</v>
      </c>
      <c r="E47" s="39">
        <f>'ПП 402'!H79</f>
        <v>5</v>
      </c>
      <c r="F47" s="39">
        <f>'ПП 403'!H62</f>
        <v>0</v>
      </c>
      <c r="G47" s="39">
        <f>'ПП 404'!H62</f>
        <v>1</v>
      </c>
      <c r="H47" s="39">
        <f>'ПП 3 Квартал'!H62</f>
        <v>16</v>
      </c>
      <c r="I47" s="536">
        <f t="shared" si="11"/>
        <v>22</v>
      </c>
      <c r="J47" s="551">
        <f>'ПП Д4'!I109</f>
        <v>0</v>
      </c>
      <c r="K47" s="551">
        <f>'ПП Д5'!I95</f>
        <v>0</v>
      </c>
      <c r="L47" s="551">
        <f>'ПП 401'!H78</f>
        <v>0</v>
      </c>
      <c r="M47" s="551">
        <f ca="1">'ПП 402'!I79</f>
        <v>215.81492046905822</v>
      </c>
      <c r="N47" s="551">
        <f ca="1">'ПП 403'!I62</f>
        <v>0</v>
      </c>
      <c r="O47" s="551">
        <f ca="1">'ПП 404'!I62</f>
        <v>39.955555555555549</v>
      </c>
      <c r="P47" s="551">
        <f>'ПП 3 Квартал'!I62</f>
        <v>800</v>
      </c>
      <c r="Q47" s="547">
        <f t="shared" ca="1" si="12"/>
        <v>1055.7704760246138</v>
      </c>
      <c r="R47" s="541">
        <f>'ПП Д4'!L109</f>
        <v>0</v>
      </c>
      <c r="S47" s="541">
        <f>'ПП Д5'!L95</f>
        <v>0</v>
      </c>
      <c r="T47" s="541">
        <f>'ПП 401'!K78</f>
        <v>0</v>
      </c>
      <c r="U47" s="541">
        <f ca="1">'ПП 402'!L79</f>
        <v>30459893.867719147</v>
      </c>
      <c r="V47" s="541">
        <f ca="1">'ПП 403'!L62</f>
        <v>0</v>
      </c>
      <c r="W47" s="541">
        <f ca="1">'ПП 404'!L62</f>
        <v>5636719.6844444443</v>
      </c>
      <c r="X47" s="541">
        <f>'ПП 3 Квартал'!L62</f>
        <v>101200000</v>
      </c>
      <c r="Y47" s="536">
        <f t="shared" ca="1" si="13"/>
        <v>137296613.5521636</v>
      </c>
      <c r="Z47" s="541" t="str">
        <f t="shared" si="14"/>
        <v>0</v>
      </c>
      <c r="AA47" s="541" t="str">
        <f t="shared" si="10"/>
        <v>0</v>
      </c>
      <c r="AB47" s="541" t="str">
        <f t="shared" si="10"/>
        <v>0</v>
      </c>
      <c r="AC47" s="541">
        <f t="shared" ca="1" si="10"/>
        <v>141138.96203986619</v>
      </c>
      <c r="AD47" s="541" t="str">
        <f t="shared" ca="1" si="10"/>
        <v>0</v>
      </c>
      <c r="AE47" s="541">
        <f t="shared" ca="1" si="10"/>
        <v>141074.74182424918</v>
      </c>
      <c r="AF47" s="541">
        <f t="shared" si="10"/>
        <v>126500</v>
      </c>
    </row>
    <row r="48" spans="1:32" x14ac:dyDescent="0.25">
      <c r="A48" s="542" t="s">
        <v>7854</v>
      </c>
      <c r="B48" s="543">
        <f>'ПП Д4'!H110</f>
        <v>0</v>
      </c>
      <c r="C48" s="543">
        <f>'ПП Д5'!H96</f>
        <v>0</v>
      </c>
      <c r="D48" s="543">
        <f>'ПП 401'!G79</f>
        <v>0</v>
      </c>
      <c r="E48" s="543">
        <f>'ПП 402'!H80</f>
        <v>49</v>
      </c>
      <c r="F48" s="543">
        <f>'ПП 403'!H63</f>
        <v>30</v>
      </c>
      <c r="G48" s="543">
        <f>'ПП 404'!H63</f>
        <v>23</v>
      </c>
      <c r="H48" s="543">
        <f>'ПП 3 Квартал'!H63</f>
        <v>426</v>
      </c>
      <c r="I48" s="543">
        <f t="shared" si="11"/>
        <v>528</v>
      </c>
      <c r="J48" s="543">
        <f>'ПП Д4'!I110</f>
        <v>0</v>
      </c>
      <c r="K48" s="543">
        <f>'ПП Д5'!I96</f>
        <v>0</v>
      </c>
      <c r="L48" s="543">
        <f>'ПП 401'!H79</f>
        <v>0</v>
      </c>
      <c r="M48" s="543">
        <f ca="1">'ПП 402'!I80</f>
        <v>2287.0455599094371</v>
      </c>
      <c r="N48" s="543">
        <f ca="1">'ПП 403'!I63</f>
        <v>1393.0762362285598</v>
      </c>
      <c r="O48" s="543">
        <f ca="1">'ПП 404'!I63</f>
        <v>1171.5410013175233</v>
      </c>
      <c r="P48" s="543">
        <f>'ПП 3 Квартал'!I63</f>
        <v>21300</v>
      </c>
      <c r="Q48" s="543">
        <f t="shared" ca="1" si="12"/>
        <v>26151.662797455519</v>
      </c>
      <c r="R48" s="543">
        <f>'ПП Д4'!L110</f>
        <v>0</v>
      </c>
      <c r="S48" s="543">
        <f>'ПП Д5'!L96</f>
        <v>0</v>
      </c>
      <c r="T48" s="543">
        <f>'ПП 401'!K79</f>
        <v>0</v>
      </c>
      <c r="U48" s="543">
        <f ca="1">'ПП 402'!L80</f>
        <v>315948718.34060842</v>
      </c>
      <c r="V48" s="543">
        <f ca="1">'ПП 403'!L63</f>
        <v>198078794.5003891</v>
      </c>
      <c r="W48" s="543">
        <f ca="1">'ПП 404'!L63</f>
        <v>160593124.02961531</v>
      </c>
      <c r="X48" s="543">
        <f>'ПП 3 Квартал'!L63</f>
        <v>2620850000</v>
      </c>
      <c r="Y48" s="543">
        <f t="shared" ca="1" si="13"/>
        <v>3295470636.8706131</v>
      </c>
      <c r="Z48" s="543" t="str">
        <f t="shared" si="14"/>
        <v>0</v>
      </c>
      <c r="AA48" s="543" t="str">
        <f t="shared" si="10"/>
        <v>0</v>
      </c>
      <c r="AB48" s="543" t="str">
        <f t="shared" si="10"/>
        <v>0</v>
      </c>
      <c r="AC48" s="543">
        <f t="shared" ca="1" si="10"/>
        <v>138147.10291697006</v>
      </c>
      <c r="AD48" s="543">
        <f t="shared" ca="1" si="10"/>
        <v>142188.05069609315</v>
      </c>
      <c r="AE48" s="543">
        <f t="shared" ca="1" si="10"/>
        <v>137078.5348946483</v>
      </c>
      <c r="AF48" s="543">
        <f t="shared" si="10"/>
        <v>123044.60093896714</v>
      </c>
    </row>
    <row r="49" spans="1:32" x14ac:dyDescent="0.25">
      <c r="B49" s="33"/>
      <c r="D49" s="346"/>
      <c r="H49" s="19"/>
      <c r="I49" s="19"/>
      <c r="J49" s="34"/>
      <c r="K49" s="34"/>
      <c r="M49" s="34"/>
    </row>
    <row r="50" spans="1:32" x14ac:dyDescent="0.25">
      <c r="A50" s="532" t="s">
        <v>8430</v>
      </c>
      <c r="B50" s="744" t="s">
        <v>8425</v>
      </c>
      <c r="C50" s="745"/>
      <c r="D50" s="745"/>
      <c r="E50" s="745"/>
      <c r="F50" s="745"/>
      <c r="G50" s="745"/>
      <c r="H50" s="745"/>
      <c r="I50" s="746"/>
      <c r="J50" s="747" t="s">
        <v>51</v>
      </c>
      <c r="K50" s="748"/>
      <c r="L50" s="748"/>
      <c r="M50" s="748"/>
      <c r="N50" s="748"/>
      <c r="O50" s="748"/>
      <c r="P50" s="748"/>
      <c r="Q50" s="749"/>
      <c r="R50" s="750" t="s">
        <v>52</v>
      </c>
      <c r="S50" s="751"/>
      <c r="T50" s="751"/>
      <c r="U50" s="751"/>
      <c r="V50" s="751"/>
      <c r="W50" s="751"/>
      <c r="X50" s="751"/>
      <c r="Y50" s="752"/>
      <c r="Z50" s="753" t="s">
        <v>4307</v>
      </c>
      <c r="AA50" s="753"/>
      <c r="AB50" s="753"/>
      <c r="AC50" s="753"/>
      <c r="AD50" s="753"/>
      <c r="AE50" s="753"/>
      <c r="AF50" s="753"/>
    </row>
    <row r="51" spans="1:32" s="346" customFormat="1" x14ac:dyDescent="0.25">
      <c r="A51" s="534" t="s">
        <v>0</v>
      </c>
      <c r="B51" s="534">
        <v>4</v>
      </c>
      <c r="C51" s="534">
        <v>5</v>
      </c>
      <c r="D51" s="534">
        <v>401</v>
      </c>
      <c r="E51" s="534">
        <v>402</v>
      </c>
      <c r="F51" s="534">
        <v>403</v>
      </c>
      <c r="G51" s="534">
        <v>404</v>
      </c>
      <c r="H51" s="534" t="s">
        <v>8427</v>
      </c>
      <c r="I51" s="534" t="s">
        <v>8428</v>
      </c>
      <c r="J51" s="535">
        <v>4</v>
      </c>
      <c r="K51" s="535">
        <v>5</v>
      </c>
      <c r="L51" s="535">
        <v>401</v>
      </c>
      <c r="M51" s="535">
        <v>402</v>
      </c>
      <c r="N51" s="535">
        <v>403</v>
      </c>
      <c r="O51" s="535">
        <v>404</v>
      </c>
      <c r="P51" s="535" t="s">
        <v>8427</v>
      </c>
      <c r="Q51" s="535" t="s">
        <v>8428</v>
      </c>
      <c r="R51" s="535">
        <v>4</v>
      </c>
      <c r="S51" s="535">
        <v>5</v>
      </c>
      <c r="T51" s="535">
        <v>401</v>
      </c>
      <c r="U51" s="535">
        <v>402</v>
      </c>
      <c r="V51" s="535">
        <v>403</v>
      </c>
      <c r="W51" s="535">
        <v>404</v>
      </c>
      <c r="X51" s="535" t="s">
        <v>8427</v>
      </c>
      <c r="Y51" s="534" t="s">
        <v>8428</v>
      </c>
      <c r="Z51" s="534">
        <v>4</v>
      </c>
      <c r="AA51" s="534">
        <v>5</v>
      </c>
      <c r="AB51" s="534">
        <v>401</v>
      </c>
      <c r="AC51" s="534">
        <v>402</v>
      </c>
      <c r="AD51" s="534">
        <v>403</v>
      </c>
      <c r="AE51" s="534">
        <v>404</v>
      </c>
      <c r="AF51" s="534" t="s">
        <v>8427</v>
      </c>
    </row>
    <row r="52" spans="1:32" x14ac:dyDescent="0.25">
      <c r="A52" s="38">
        <v>46753</v>
      </c>
      <c r="B52" s="39">
        <f>'ПП Д4'!H114</f>
        <v>0</v>
      </c>
      <c r="C52" s="39">
        <f>'ПП Д5'!H100</f>
        <v>0</v>
      </c>
      <c r="D52" s="318">
        <f>'ПП 401'!G83</f>
        <v>0</v>
      </c>
      <c r="E52" s="39">
        <f>'ПП 402'!H84</f>
        <v>0</v>
      </c>
      <c r="F52" s="39">
        <f>'ПП 403'!H67</f>
        <v>16</v>
      </c>
      <c r="G52" s="39">
        <f>'ПП 404'!H67</f>
        <v>34</v>
      </c>
      <c r="H52" s="39">
        <f>'ПП 3 Квартал'!H67</f>
        <v>10</v>
      </c>
      <c r="I52" s="536">
        <f>SUM(B52:H52)</f>
        <v>60</v>
      </c>
      <c r="J52" s="547">
        <f>'ПП Д4'!I114</f>
        <v>0</v>
      </c>
      <c r="K52" s="547">
        <f>'ПП Д5'!I100</f>
        <v>0</v>
      </c>
      <c r="L52" s="547">
        <f>'ПП 401'!H83</f>
        <v>0</v>
      </c>
      <c r="M52" s="547">
        <f>'ПП 402'!I84</f>
        <v>0</v>
      </c>
      <c r="N52" s="547">
        <f ca="1">'ПП 403'!I67</f>
        <v>772.08413312040068</v>
      </c>
      <c r="O52" s="547">
        <f ca="1">'ПП 404'!I67</f>
        <v>1718.5087747035577</v>
      </c>
      <c r="P52" s="547">
        <f>'ПП 3 Квартал'!I67</f>
        <v>500</v>
      </c>
      <c r="Q52" s="547">
        <f ca="1">SUM(J52:P52)</f>
        <v>2990.5929078239583</v>
      </c>
      <c r="R52" s="384">
        <f>'ПП Д4'!L114</f>
        <v>0</v>
      </c>
      <c r="S52" s="384">
        <f>'ПП Д5'!L100</f>
        <v>0</v>
      </c>
      <c r="T52" s="384">
        <f>'ПП 401'!K83</f>
        <v>0</v>
      </c>
      <c r="U52" s="384">
        <f>'ПП 402'!L84</f>
        <v>0</v>
      </c>
      <c r="V52" s="384">
        <f ca="1">'ПП 403'!L67</f>
        <v>108673925.0479327</v>
      </c>
      <c r="W52" s="384">
        <f ca="1">'ПП 404'!L67</f>
        <v>236501746.66545454</v>
      </c>
      <c r="X52" s="384">
        <f>'ПП 3 Квартал'!L67</f>
        <v>63250000</v>
      </c>
      <c r="Y52" s="536">
        <f ca="1">SUM(R52:X52)</f>
        <v>408425671.71338725</v>
      </c>
      <c r="Z52" s="384" t="str">
        <f>IFERROR(R52/J52,"0")</f>
        <v>0</v>
      </c>
      <c r="AA52" s="384" t="str">
        <f t="shared" ref="AA52:AF64" si="15">IFERROR(S52/K52,"0")</f>
        <v>0</v>
      </c>
      <c r="AB52" s="384" t="str">
        <f t="shared" si="15"/>
        <v>0</v>
      </c>
      <c r="AC52" s="384" t="str">
        <f t="shared" si="15"/>
        <v>0</v>
      </c>
      <c r="AD52" s="384">
        <f t="shared" ca="1" si="15"/>
        <v>140753.99349125833</v>
      </c>
      <c r="AE52" s="384">
        <f t="shared" ca="1" si="15"/>
        <v>137620.33115382318</v>
      </c>
      <c r="AF52" s="384">
        <f t="shared" si="15"/>
        <v>126500</v>
      </c>
    </row>
    <row r="53" spans="1:32" x14ac:dyDescent="0.25">
      <c r="A53" s="38">
        <v>46784</v>
      </c>
      <c r="B53" s="39">
        <f>'ПП Д4'!H115</f>
        <v>0</v>
      </c>
      <c r="C53" s="39">
        <f>'ПП Д5'!H101</f>
        <v>0</v>
      </c>
      <c r="D53" s="318">
        <f>'ПП 401'!G84</f>
        <v>0</v>
      </c>
      <c r="E53" s="39">
        <f>'ПП 402'!H85</f>
        <v>0</v>
      </c>
      <c r="F53" s="39">
        <f>'ПП 403'!H68</f>
        <v>16</v>
      </c>
      <c r="G53" s="39">
        <f>'ПП 404'!H68</f>
        <v>0</v>
      </c>
      <c r="H53" s="39">
        <f>'ПП 3 Квартал'!H68</f>
        <v>0</v>
      </c>
      <c r="I53" s="536">
        <f t="shared" ref="I53:I64" si="16">SUM(B53:H53)</f>
        <v>16</v>
      </c>
      <c r="J53" s="547">
        <f>'ПП Д4'!I115</f>
        <v>0</v>
      </c>
      <c r="K53" s="547">
        <f>'ПП Д5'!I101</f>
        <v>0</v>
      </c>
      <c r="L53" s="547">
        <f>'ПП 401'!H84</f>
        <v>0</v>
      </c>
      <c r="M53" s="547">
        <f>'ПП 402'!I85</f>
        <v>0</v>
      </c>
      <c r="N53" s="547">
        <f ca="1">'ПП 403'!I68</f>
        <v>772.08413312040068</v>
      </c>
      <c r="O53" s="547">
        <f ca="1">'ПП 404'!I68</f>
        <v>0</v>
      </c>
      <c r="P53" s="547">
        <f>'ПП 3 Квартал'!I68</f>
        <v>0</v>
      </c>
      <c r="Q53" s="547">
        <f t="shared" ref="Q53:Q64" ca="1" si="17">SUM(J53:P53)</f>
        <v>772.08413312040068</v>
      </c>
      <c r="R53" s="384">
        <f>'ПП Д4'!L115</f>
        <v>0</v>
      </c>
      <c r="S53" s="384">
        <f>'ПП Д5'!L101</f>
        <v>0</v>
      </c>
      <c r="T53" s="384">
        <f>'ПП 401'!K84</f>
        <v>0</v>
      </c>
      <c r="U53" s="384">
        <f>'ПП 402'!L85</f>
        <v>0</v>
      </c>
      <c r="V53" s="384">
        <f ca="1">'ПП 403'!L68</f>
        <v>108673925.0479327</v>
      </c>
      <c r="W53" s="384">
        <f ca="1">'ПП 404'!L68</f>
        <v>0</v>
      </c>
      <c r="X53" s="384">
        <f>'ПП 3 Квартал'!L68</f>
        <v>0</v>
      </c>
      <c r="Y53" s="536">
        <f t="shared" ref="Y53:Y64" ca="1" si="18">SUM(R53:X53)</f>
        <v>108673925.0479327</v>
      </c>
      <c r="Z53" s="384" t="str">
        <f t="shared" ref="Z53:Z64" si="19">IFERROR(R53/J53,"0")</f>
        <v>0</v>
      </c>
      <c r="AA53" s="384" t="str">
        <f t="shared" si="15"/>
        <v>0</v>
      </c>
      <c r="AB53" s="384" t="str">
        <f t="shared" si="15"/>
        <v>0</v>
      </c>
      <c r="AC53" s="384" t="str">
        <f t="shared" si="15"/>
        <v>0</v>
      </c>
      <c r="AD53" s="384">
        <f t="shared" ca="1" si="15"/>
        <v>140753.99349125833</v>
      </c>
      <c r="AE53" s="384" t="str">
        <f t="shared" ca="1" si="15"/>
        <v>0</v>
      </c>
      <c r="AF53" s="384" t="str">
        <f t="shared" si="15"/>
        <v>0</v>
      </c>
    </row>
    <row r="54" spans="1:32" x14ac:dyDescent="0.25">
      <c r="A54" s="38">
        <v>46813</v>
      </c>
      <c r="B54" s="39">
        <f>'ПП Д4'!H116</f>
        <v>0</v>
      </c>
      <c r="C54" s="39">
        <f>'ПП Д5'!H102</f>
        <v>0</v>
      </c>
      <c r="D54" s="318">
        <f>'ПП 401'!G85</f>
        <v>0</v>
      </c>
      <c r="E54" s="39">
        <f>'ПП 402'!H86</f>
        <v>0</v>
      </c>
      <c r="F54" s="39">
        <f>'ПП 403'!H69</f>
        <v>0</v>
      </c>
      <c r="G54" s="39">
        <f>'ПП 404'!H69</f>
        <v>0</v>
      </c>
      <c r="H54" s="39">
        <f>'ПП 3 Квартал'!H69</f>
        <v>0</v>
      </c>
      <c r="I54" s="536">
        <f t="shared" si="16"/>
        <v>0</v>
      </c>
      <c r="J54" s="547">
        <f>'ПП Д4'!I116</f>
        <v>0</v>
      </c>
      <c r="K54" s="547">
        <f>'ПП Д5'!I102</f>
        <v>0</v>
      </c>
      <c r="L54" s="547">
        <f>'ПП 401'!H85</f>
        <v>0</v>
      </c>
      <c r="M54" s="547">
        <f>'ПП 402'!I86</f>
        <v>0</v>
      </c>
      <c r="N54" s="547">
        <f ca="1">'ПП 403'!I69</f>
        <v>0</v>
      </c>
      <c r="O54" s="547">
        <f ca="1">'ПП 404'!I69</f>
        <v>0</v>
      </c>
      <c r="P54" s="547">
        <f>'ПП 3 Квартал'!I69</f>
        <v>0</v>
      </c>
      <c r="Q54" s="547">
        <f t="shared" ca="1" si="17"/>
        <v>0</v>
      </c>
      <c r="R54" s="384">
        <f>'ПП Д4'!L116</f>
        <v>0</v>
      </c>
      <c r="S54" s="384">
        <f>'ПП Д5'!L102</f>
        <v>0</v>
      </c>
      <c r="T54" s="384">
        <f>'ПП 401'!K85</f>
        <v>0</v>
      </c>
      <c r="U54" s="384">
        <f>'ПП 402'!L86</f>
        <v>0</v>
      </c>
      <c r="V54" s="384">
        <f ca="1">'ПП 403'!L69</f>
        <v>0</v>
      </c>
      <c r="W54" s="384">
        <f ca="1">'ПП 404'!L69</f>
        <v>0</v>
      </c>
      <c r="X54" s="384">
        <f>'ПП 3 Квартал'!L69</f>
        <v>0</v>
      </c>
      <c r="Y54" s="536">
        <f t="shared" ca="1" si="18"/>
        <v>0</v>
      </c>
      <c r="Z54" s="384" t="str">
        <f t="shared" si="19"/>
        <v>0</v>
      </c>
      <c r="AA54" s="384" t="str">
        <f t="shared" si="15"/>
        <v>0</v>
      </c>
      <c r="AB54" s="384" t="str">
        <f t="shared" si="15"/>
        <v>0</v>
      </c>
      <c r="AC54" s="384" t="str">
        <f t="shared" si="15"/>
        <v>0</v>
      </c>
      <c r="AD54" s="384" t="str">
        <f t="shared" ca="1" si="15"/>
        <v>0</v>
      </c>
      <c r="AE54" s="384" t="str">
        <f t="shared" ca="1" si="15"/>
        <v>0</v>
      </c>
      <c r="AF54" s="384" t="str">
        <f t="shared" si="15"/>
        <v>0</v>
      </c>
    </row>
    <row r="55" spans="1:32" x14ac:dyDescent="0.25">
      <c r="A55" s="38">
        <v>46844</v>
      </c>
      <c r="B55" s="39">
        <f>'ПП Д4'!H117</f>
        <v>0</v>
      </c>
      <c r="C55" s="39">
        <f>'ПП Д5'!H103</f>
        <v>0</v>
      </c>
      <c r="D55" s="318">
        <f>'ПП 401'!G86</f>
        <v>0</v>
      </c>
      <c r="E55" s="39">
        <f>'ПП 402'!H87</f>
        <v>0</v>
      </c>
      <c r="F55" s="39">
        <f>'ПП 403'!H70</f>
        <v>0</v>
      </c>
      <c r="G55" s="39">
        <f>'ПП 404'!H70</f>
        <v>0</v>
      </c>
      <c r="H55" s="39">
        <f>'ПП 3 Квартал'!H70</f>
        <v>0</v>
      </c>
      <c r="I55" s="536">
        <f t="shared" si="16"/>
        <v>0</v>
      </c>
      <c r="J55" s="547">
        <f>'ПП Д4'!I117</f>
        <v>0</v>
      </c>
      <c r="K55" s="547">
        <f>'ПП Д5'!I103</f>
        <v>0</v>
      </c>
      <c r="L55" s="547">
        <f>'ПП 401'!H86</f>
        <v>0</v>
      </c>
      <c r="M55" s="547">
        <f>'ПП 402'!I87</f>
        <v>0</v>
      </c>
      <c r="N55" s="547">
        <f ca="1">'ПП 403'!I70</f>
        <v>0</v>
      </c>
      <c r="O55" s="547">
        <f ca="1">'ПП 404'!I70</f>
        <v>0</v>
      </c>
      <c r="P55" s="547">
        <f>'ПП 3 Квартал'!I70</f>
        <v>0</v>
      </c>
      <c r="Q55" s="547">
        <f t="shared" ca="1" si="17"/>
        <v>0</v>
      </c>
      <c r="R55" s="384">
        <f>'ПП Д4'!L117</f>
        <v>0</v>
      </c>
      <c r="S55" s="384">
        <f>'ПП Д5'!L103</f>
        <v>0</v>
      </c>
      <c r="T55" s="384">
        <f>'ПП 401'!K86</f>
        <v>0</v>
      </c>
      <c r="U55" s="384">
        <f>'ПП 402'!L87</f>
        <v>0</v>
      </c>
      <c r="V55" s="384">
        <f ca="1">'ПП 403'!L70</f>
        <v>0</v>
      </c>
      <c r="W55" s="384">
        <f ca="1">'ПП 404'!L70</f>
        <v>0</v>
      </c>
      <c r="X55" s="384">
        <f>'ПП 3 Квартал'!L70</f>
        <v>0</v>
      </c>
      <c r="Y55" s="536">
        <f t="shared" ca="1" si="18"/>
        <v>0</v>
      </c>
      <c r="Z55" s="384" t="str">
        <f t="shared" si="19"/>
        <v>0</v>
      </c>
      <c r="AA55" s="384" t="str">
        <f t="shared" si="15"/>
        <v>0</v>
      </c>
      <c r="AB55" s="384" t="str">
        <f t="shared" si="15"/>
        <v>0</v>
      </c>
      <c r="AC55" s="384" t="str">
        <f t="shared" si="15"/>
        <v>0</v>
      </c>
      <c r="AD55" s="384" t="str">
        <f t="shared" ca="1" si="15"/>
        <v>0</v>
      </c>
      <c r="AE55" s="384" t="str">
        <f t="shared" ca="1" si="15"/>
        <v>0</v>
      </c>
      <c r="AF55" s="384" t="str">
        <f t="shared" si="15"/>
        <v>0</v>
      </c>
    </row>
    <row r="56" spans="1:32" x14ac:dyDescent="0.25">
      <c r="A56" s="38">
        <v>46874</v>
      </c>
      <c r="B56" s="39">
        <f>'ПП Д4'!H118</f>
        <v>0</v>
      </c>
      <c r="C56" s="39">
        <f>'ПП Д5'!H104</f>
        <v>0</v>
      </c>
      <c r="D56" s="318">
        <f>'ПП 401'!G87</f>
        <v>0</v>
      </c>
      <c r="E56" s="39">
        <f>'ПП 402'!H88</f>
        <v>0</v>
      </c>
      <c r="F56" s="39">
        <f>'ПП 403'!H71</f>
        <v>0</v>
      </c>
      <c r="G56" s="39">
        <f>'ПП 404'!H71</f>
        <v>0</v>
      </c>
      <c r="H56" s="39">
        <f>'ПП 3 Квартал'!H71</f>
        <v>0</v>
      </c>
      <c r="I56" s="536">
        <f t="shared" si="16"/>
        <v>0</v>
      </c>
      <c r="J56" s="547">
        <f>'ПП Д4'!I118</f>
        <v>0</v>
      </c>
      <c r="K56" s="547">
        <f>'ПП Д5'!I104</f>
        <v>0</v>
      </c>
      <c r="L56" s="547">
        <f>'ПП 401'!H87</f>
        <v>0</v>
      </c>
      <c r="M56" s="547">
        <f>'ПП 402'!I88</f>
        <v>0</v>
      </c>
      <c r="N56" s="547">
        <f ca="1">'ПП 403'!I71</f>
        <v>0</v>
      </c>
      <c r="O56" s="547">
        <f ca="1">'ПП 404'!I71</f>
        <v>0</v>
      </c>
      <c r="P56" s="547">
        <f>'ПП 3 Квартал'!I71</f>
        <v>0</v>
      </c>
      <c r="Q56" s="547">
        <f t="shared" ca="1" si="17"/>
        <v>0</v>
      </c>
      <c r="R56" s="384">
        <f>'ПП Д4'!L118</f>
        <v>0</v>
      </c>
      <c r="S56" s="384">
        <f>'ПП Д5'!L104</f>
        <v>0</v>
      </c>
      <c r="T56" s="384">
        <f>'ПП 401'!K87</f>
        <v>0</v>
      </c>
      <c r="U56" s="384">
        <f>'ПП 402'!L88</f>
        <v>0</v>
      </c>
      <c r="V56" s="384">
        <f ca="1">'ПП 403'!L71</f>
        <v>0</v>
      </c>
      <c r="W56" s="384">
        <f ca="1">'ПП 404'!L71</f>
        <v>0</v>
      </c>
      <c r="X56" s="384">
        <f>'ПП 3 Квартал'!L71</f>
        <v>0</v>
      </c>
      <c r="Y56" s="536">
        <f t="shared" ca="1" si="18"/>
        <v>0</v>
      </c>
      <c r="Z56" s="384" t="str">
        <f t="shared" si="19"/>
        <v>0</v>
      </c>
      <c r="AA56" s="384" t="str">
        <f t="shared" si="15"/>
        <v>0</v>
      </c>
      <c r="AB56" s="384" t="str">
        <f t="shared" si="15"/>
        <v>0</v>
      </c>
      <c r="AC56" s="384" t="str">
        <f t="shared" si="15"/>
        <v>0</v>
      </c>
      <c r="AD56" s="384" t="str">
        <f t="shared" ca="1" si="15"/>
        <v>0</v>
      </c>
      <c r="AE56" s="384" t="str">
        <f t="shared" ca="1" si="15"/>
        <v>0</v>
      </c>
      <c r="AF56" s="384" t="str">
        <f t="shared" si="15"/>
        <v>0</v>
      </c>
    </row>
    <row r="57" spans="1:32" x14ac:dyDescent="0.25">
      <c r="A57" s="38">
        <v>46905</v>
      </c>
      <c r="B57" s="39">
        <f>'ПП Д4'!H119</f>
        <v>0</v>
      </c>
      <c r="C57" s="39">
        <f>'ПП Д5'!H105</f>
        <v>0</v>
      </c>
      <c r="D57" s="318">
        <f>'ПП 401'!G88</f>
        <v>0</v>
      </c>
      <c r="E57" s="39">
        <f>'ПП 402'!H89</f>
        <v>0</v>
      </c>
      <c r="F57" s="39">
        <f>'ПП 403'!H72</f>
        <v>0</v>
      </c>
      <c r="G57" s="39">
        <f>'ПП 404'!H72</f>
        <v>0</v>
      </c>
      <c r="H57" s="39">
        <f>'ПП 3 Квартал'!H72</f>
        <v>0</v>
      </c>
      <c r="I57" s="536">
        <f t="shared" si="16"/>
        <v>0</v>
      </c>
      <c r="J57" s="547">
        <f>'ПП Д4'!I119</f>
        <v>0</v>
      </c>
      <c r="K57" s="547">
        <f>'ПП Д5'!I105</f>
        <v>0</v>
      </c>
      <c r="L57" s="547">
        <f>'ПП 401'!H88</f>
        <v>0</v>
      </c>
      <c r="M57" s="547">
        <f>'ПП 402'!I89</f>
        <v>0</v>
      </c>
      <c r="N57" s="547">
        <f ca="1">'ПП 403'!I72</f>
        <v>0</v>
      </c>
      <c r="O57" s="547">
        <f ca="1">'ПП 404'!I72</f>
        <v>0</v>
      </c>
      <c r="P57" s="547">
        <f>'ПП 3 Квартал'!I72</f>
        <v>0</v>
      </c>
      <c r="Q57" s="547">
        <f t="shared" ca="1" si="17"/>
        <v>0</v>
      </c>
      <c r="R57" s="384">
        <f>'ПП Д4'!L119</f>
        <v>0</v>
      </c>
      <c r="S57" s="384">
        <f>'ПП Д5'!L105</f>
        <v>0</v>
      </c>
      <c r="T57" s="384">
        <f>'ПП 401'!K88</f>
        <v>0</v>
      </c>
      <c r="U57" s="384">
        <f>'ПП 402'!L89</f>
        <v>0</v>
      </c>
      <c r="V57" s="384">
        <f ca="1">'ПП 403'!L72</f>
        <v>0</v>
      </c>
      <c r="W57" s="384">
        <f ca="1">'ПП 404'!L72</f>
        <v>0</v>
      </c>
      <c r="X57" s="384">
        <f>'ПП 3 Квартал'!L72</f>
        <v>0</v>
      </c>
      <c r="Y57" s="536">
        <f t="shared" ca="1" si="18"/>
        <v>0</v>
      </c>
      <c r="Z57" s="384" t="str">
        <f t="shared" si="19"/>
        <v>0</v>
      </c>
      <c r="AA57" s="384" t="str">
        <f t="shared" si="15"/>
        <v>0</v>
      </c>
      <c r="AB57" s="384" t="str">
        <f t="shared" si="15"/>
        <v>0</v>
      </c>
      <c r="AC57" s="384" t="str">
        <f t="shared" si="15"/>
        <v>0</v>
      </c>
      <c r="AD57" s="384" t="str">
        <f t="shared" ca="1" si="15"/>
        <v>0</v>
      </c>
      <c r="AE57" s="384" t="str">
        <f t="shared" ca="1" si="15"/>
        <v>0</v>
      </c>
      <c r="AF57" s="384" t="str">
        <f t="shared" si="15"/>
        <v>0</v>
      </c>
    </row>
    <row r="58" spans="1:32" x14ac:dyDescent="0.25">
      <c r="A58" s="38">
        <v>46935</v>
      </c>
      <c r="B58" s="39">
        <f>'ПП Д4'!H120</f>
        <v>0</v>
      </c>
      <c r="C58" s="39">
        <f>'ПП Д5'!H106</f>
        <v>0</v>
      </c>
      <c r="D58" s="318">
        <f>'ПП 401'!G89</f>
        <v>0</v>
      </c>
      <c r="E58" s="39">
        <f>'ПП 402'!H90</f>
        <v>0</v>
      </c>
      <c r="F58" s="39">
        <f>'ПП 403'!H73</f>
        <v>0</v>
      </c>
      <c r="G58" s="39">
        <f>'ПП 404'!H73</f>
        <v>0</v>
      </c>
      <c r="H58" s="39">
        <f>'ПП 3 Квартал'!H73</f>
        <v>0</v>
      </c>
      <c r="I58" s="536">
        <f t="shared" si="16"/>
        <v>0</v>
      </c>
      <c r="J58" s="547">
        <f>'ПП Д4'!I120</f>
        <v>0</v>
      </c>
      <c r="K58" s="547">
        <f>'ПП Д5'!I106</f>
        <v>0</v>
      </c>
      <c r="L58" s="547">
        <f>'ПП 401'!H89</f>
        <v>0</v>
      </c>
      <c r="M58" s="547">
        <f>'ПП 402'!I90</f>
        <v>0</v>
      </c>
      <c r="N58" s="547">
        <f ca="1">'ПП 403'!I73</f>
        <v>0</v>
      </c>
      <c r="O58" s="547">
        <f ca="1">'ПП 404'!I73</f>
        <v>0</v>
      </c>
      <c r="P58" s="547">
        <f>'ПП 3 Квартал'!I73</f>
        <v>0</v>
      </c>
      <c r="Q58" s="547">
        <f t="shared" ca="1" si="17"/>
        <v>0</v>
      </c>
      <c r="R58" s="384">
        <f>'ПП Д4'!L120</f>
        <v>0</v>
      </c>
      <c r="S58" s="384">
        <f>'ПП Д5'!L106</f>
        <v>0</v>
      </c>
      <c r="T58" s="384">
        <f>'ПП 401'!K89</f>
        <v>0</v>
      </c>
      <c r="U58" s="384">
        <f>'ПП 402'!L90</f>
        <v>0</v>
      </c>
      <c r="V58" s="384">
        <f ca="1">'ПП 403'!L73</f>
        <v>0</v>
      </c>
      <c r="W58" s="384">
        <f ca="1">'ПП 404'!L73</f>
        <v>0</v>
      </c>
      <c r="X58" s="384">
        <f>'ПП 3 Квартал'!L73</f>
        <v>0</v>
      </c>
      <c r="Y58" s="536">
        <f t="shared" ca="1" si="18"/>
        <v>0</v>
      </c>
      <c r="Z58" s="384" t="str">
        <f t="shared" si="19"/>
        <v>0</v>
      </c>
      <c r="AA58" s="384" t="str">
        <f t="shared" si="15"/>
        <v>0</v>
      </c>
      <c r="AB58" s="384" t="str">
        <f t="shared" si="15"/>
        <v>0</v>
      </c>
      <c r="AC58" s="384" t="str">
        <f t="shared" si="15"/>
        <v>0</v>
      </c>
      <c r="AD58" s="384" t="str">
        <f t="shared" ca="1" si="15"/>
        <v>0</v>
      </c>
      <c r="AE58" s="384" t="str">
        <f t="shared" ca="1" si="15"/>
        <v>0</v>
      </c>
      <c r="AF58" s="384" t="str">
        <f t="shared" si="15"/>
        <v>0</v>
      </c>
    </row>
    <row r="59" spans="1:32" x14ac:dyDescent="0.25">
      <c r="A59" s="38">
        <v>46966</v>
      </c>
      <c r="B59" s="39">
        <f>'ПП Д4'!H121</f>
        <v>0</v>
      </c>
      <c r="C59" s="39">
        <f>'ПП Д5'!H107</f>
        <v>0</v>
      </c>
      <c r="D59" s="318">
        <f>'ПП 401'!G90</f>
        <v>0</v>
      </c>
      <c r="E59" s="39">
        <f>'ПП 402'!H91</f>
        <v>0</v>
      </c>
      <c r="F59" s="39">
        <f>'ПП 403'!H74</f>
        <v>0</v>
      </c>
      <c r="G59" s="39">
        <f>'ПП 404'!H74</f>
        <v>0</v>
      </c>
      <c r="H59" s="39">
        <f>'ПП 3 Квартал'!H74</f>
        <v>0</v>
      </c>
      <c r="I59" s="536">
        <f t="shared" si="16"/>
        <v>0</v>
      </c>
      <c r="J59" s="547">
        <f>'ПП Д4'!I121</f>
        <v>0</v>
      </c>
      <c r="K59" s="547">
        <f>'ПП Д5'!I107</f>
        <v>0</v>
      </c>
      <c r="L59" s="547">
        <f>'ПП 401'!H90</f>
        <v>0</v>
      </c>
      <c r="M59" s="547">
        <f>'ПП 402'!I91</f>
        <v>0</v>
      </c>
      <c r="N59" s="547">
        <f ca="1">'ПП 403'!I74</f>
        <v>0</v>
      </c>
      <c r="O59" s="547">
        <f ca="1">'ПП 404'!I74</f>
        <v>0</v>
      </c>
      <c r="P59" s="547">
        <f>'ПП 3 Квартал'!I74</f>
        <v>0</v>
      </c>
      <c r="Q59" s="547">
        <f t="shared" ca="1" si="17"/>
        <v>0</v>
      </c>
      <c r="R59" s="384">
        <f>'ПП Д4'!L121</f>
        <v>0</v>
      </c>
      <c r="S59" s="384">
        <f>'ПП Д5'!L107</f>
        <v>0</v>
      </c>
      <c r="T59" s="384">
        <f>'ПП 401'!K90</f>
        <v>0</v>
      </c>
      <c r="U59" s="384">
        <f>'ПП 402'!L91</f>
        <v>0</v>
      </c>
      <c r="V59" s="384">
        <f ca="1">'ПП 403'!L74</f>
        <v>0</v>
      </c>
      <c r="W59" s="384">
        <f ca="1">'ПП 404'!L74</f>
        <v>0</v>
      </c>
      <c r="X59" s="384">
        <f>'ПП 3 Квартал'!L74</f>
        <v>0</v>
      </c>
      <c r="Y59" s="536">
        <f t="shared" ca="1" si="18"/>
        <v>0</v>
      </c>
      <c r="Z59" s="384" t="str">
        <f t="shared" si="19"/>
        <v>0</v>
      </c>
      <c r="AA59" s="384" t="str">
        <f t="shared" si="15"/>
        <v>0</v>
      </c>
      <c r="AB59" s="384" t="str">
        <f t="shared" si="15"/>
        <v>0</v>
      </c>
      <c r="AC59" s="384" t="str">
        <f t="shared" si="15"/>
        <v>0</v>
      </c>
      <c r="AD59" s="384" t="str">
        <f t="shared" ca="1" si="15"/>
        <v>0</v>
      </c>
      <c r="AE59" s="384" t="str">
        <f t="shared" ca="1" si="15"/>
        <v>0</v>
      </c>
      <c r="AF59" s="384" t="str">
        <f t="shared" si="15"/>
        <v>0</v>
      </c>
    </row>
    <row r="60" spans="1:32" x14ac:dyDescent="0.25">
      <c r="A60" s="38">
        <v>46997</v>
      </c>
      <c r="B60" s="39">
        <f>'ПП Д4'!H122</f>
        <v>0</v>
      </c>
      <c r="C60" s="39">
        <f>'ПП Д5'!H108</f>
        <v>0</v>
      </c>
      <c r="D60" s="318">
        <f>'ПП 401'!G91</f>
        <v>0</v>
      </c>
      <c r="E60" s="39">
        <f>'ПП 402'!H92</f>
        <v>0</v>
      </c>
      <c r="F60" s="39">
        <f>'ПП 403'!H75</f>
        <v>0</v>
      </c>
      <c r="G60" s="39">
        <f>'ПП 404'!H75</f>
        <v>0</v>
      </c>
      <c r="H60" s="39">
        <f>'ПП 3 Квартал'!H75</f>
        <v>0</v>
      </c>
      <c r="I60" s="536">
        <f t="shared" si="16"/>
        <v>0</v>
      </c>
      <c r="J60" s="547">
        <f>'ПП Д4'!I122</f>
        <v>0</v>
      </c>
      <c r="K60" s="547">
        <f>'ПП Д5'!I108</f>
        <v>0</v>
      </c>
      <c r="L60" s="547">
        <f>'ПП 401'!H91</f>
        <v>0</v>
      </c>
      <c r="M60" s="547">
        <f>'ПП 402'!I92</f>
        <v>0</v>
      </c>
      <c r="N60" s="547">
        <f ca="1">'ПП 403'!I75</f>
        <v>0</v>
      </c>
      <c r="O60" s="547">
        <f ca="1">'ПП 404'!I75</f>
        <v>0</v>
      </c>
      <c r="P60" s="547">
        <f>'ПП 3 Квартал'!I75</f>
        <v>0</v>
      </c>
      <c r="Q60" s="547">
        <f t="shared" ca="1" si="17"/>
        <v>0</v>
      </c>
      <c r="R60" s="384">
        <f>'ПП Д4'!L122</f>
        <v>0</v>
      </c>
      <c r="S60" s="384">
        <f>'ПП Д5'!L108</f>
        <v>0</v>
      </c>
      <c r="T60" s="384">
        <f>'ПП 401'!K91</f>
        <v>0</v>
      </c>
      <c r="U60" s="384">
        <f>'ПП 402'!L92</f>
        <v>0</v>
      </c>
      <c r="V60" s="384">
        <f ca="1">'ПП 403'!L75</f>
        <v>0</v>
      </c>
      <c r="W60" s="384">
        <f ca="1">'ПП 404'!L75</f>
        <v>0</v>
      </c>
      <c r="X60" s="384">
        <f>'ПП 3 Квартал'!L75</f>
        <v>0</v>
      </c>
      <c r="Y60" s="536">
        <f t="shared" ca="1" si="18"/>
        <v>0</v>
      </c>
      <c r="Z60" s="384" t="str">
        <f t="shared" si="19"/>
        <v>0</v>
      </c>
      <c r="AA60" s="384" t="str">
        <f t="shared" si="15"/>
        <v>0</v>
      </c>
      <c r="AB60" s="384" t="str">
        <f t="shared" si="15"/>
        <v>0</v>
      </c>
      <c r="AC60" s="384" t="str">
        <f t="shared" si="15"/>
        <v>0</v>
      </c>
      <c r="AD60" s="384" t="str">
        <f t="shared" ca="1" si="15"/>
        <v>0</v>
      </c>
      <c r="AE60" s="384" t="str">
        <f t="shared" ca="1" si="15"/>
        <v>0</v>
      </c>
      <c r="AF60" s="384" t="str">
        <f t="shared" si="15"/>
        <v>0</v>
      </c>
    </row>
    <row r="61" spans="1:32" x14ac:dyDescent="0.25">
      <c r="A61" s="38">
        <v>47027</v>
      </c>
      <c r="B61" s="39">
        <f>'ПП Д4'!H123</f>
        <v>0</v>
      </c>
      <c r="C61" s="39">
        <f>'ПП Д5'!H109</f>
        <v>0</v>
      </c>
      <c r="D61" s="318">
        <f>'ПП 401'!G92</f>
        <v>0</v>
      </c>
      <c r="E61" s="39">
        <f>'ПП 402'!H93</f>
        <v>0</v>
      </c>
      <c r="F61" s="39">
        <f>'ПП 403'!H76</f>
        <v>0</v>
      </c>
      <c r="G61" s="39">
        <f>'ПП 404'!H76</f>
        <v>0</v>
      </c>
      <c r="H61" s="39">
        <f>'ПП 3 Квартал'!H76</f>
        <v>0</v>
      </c>
      <c r="I61" s="536">
        <f t="shared" si="16"/>
        <v>0</v>
      </c>
      <c r="J61" s="547">
        <f>'ПП Д4'!I123</f>
        <v>0</v>
      </c>
      <c r="K61" s="547">
        <f>'ПП Д5'!I109</f>
        <v>0</v>
      </c>
      <c r="L61" s="547">
        <f>'ПП 401'!H92</f>
        <v>0</v>
      </c>
      <c r="M61" s="547">
        <f>'ПП 402'!I93</f>
        <v>0</v>
      </c>
      <c r="N61" s="547">
        <f ca="1">'ПП 403'!I76</f>
        <v>0</v>
      </c>
      <c r="O61" s="547">
        <f ca="1">'ПП 404'!I76</f>
        <v>0</v>
      </c>
      <c r="P61" s="547">
        <f>'ПП 3 Квартал'!I76</f>
        <v>0</v>
      </c>
      <c r="Q61" s="547">
        <f t="shared" ca="1" si="17"/>
        <v>0</v>
      </c>
      <c r="R61" s="384">
        <f>'ПП Д4'!L123</f>
        <v>0</v>
      </c>
      <c r="S61" s="384">
        <f>'ПП Д5'!L109</f>
        <v>0</v>
      </c>
      <c r="T61" s="384">
        <f>'ПП 401'!K92</f>
        <v>0</v>
      </c>
      <c r="U61" s="384">
        <f>'ПП 402'!L93</f>
        <v>0</v>
      </c>
      <c r="V61" s="384">
        <f ca="1">'ПП 403'!L76</f>
        <v>0</v>
      </c>
      <c r="W61" s="384">
        <f ca="1">'ПП 404'!L76</f>
        <v>0</v>
      </c>
      <c r="X61" s="384">
        <f>'ПП 3 Квартал'!L76</f>
        <v>0</v>
      </c>
      <c r="Y61" s="536">
        <f t="shared" ca="1" si="18"/>
        <v>0</v>
      </c>
      <c r="Z61" s="384" t="str">
        <f t="shared" si="19"/>
        <v>0</v>
      </c>
      <c r="AA61" s="384" t="str">
        <f t="shared" si="15"/>
        <v>0</v>
      </c>
      <c r="AB61" s="384" t="str">
        <f t="shared" si="15"/>
        <v>0</v>
      </c>
      <c r="AC61" s="384" t="str">
        <f t="shared" si="15"/>
        <v>0</v>
      </c>
      <c r="AD61" s="384" t="str">
        <f t="shared" ca="1" si="15"/>
        <v>0</v>
      </c>
      <c r="AE61" s="384" t="str">
        <f t="shared" ca="1" si="15"/>
        <v>0</v>
      </c>
      <c r="AF61" s="384" t="str">
        <f t="shared" si="15"/>
        <v>0</v>
      </c>
    </row>
    <row r="62" spans="1:32" x14ac:dyDescent="0.25">
      <c r="A62" s="38">
        <v>47058</v>
      </c>
      <c r="B62" s="39">
        <f>'ПП Д4'!H124</f>
        <v>0</v>
      </c>
      <c r="C62" s="39">
        <f>'ПП Д5'!H110</f>
        <v>0</v>
      </c>
      <c r="D62" s="318">
        <f>'ПП 401'!G93</f>
        <v>0</v>
      </c>
      <c r="E62" s="39">
        <f>'ПП 402'!H94</f>
        <v>0</v>
      </c>
      <c r="F62" s="39">
        <f>'ПП 403'!H77</f>
        <v>0</v>
      </c>
      <c r="G62" s="39">
        <f>'ПП 404'!H77</f>
        <v>0</v>
      </c>
      <c r="H62" s="39">
        <f>'ПП 3 Квартал'!H77</f>
        <v>0</v>
      </c>
      <c r="I62" s="536">
        <f t="shared" si="16"/>
        <v>0</v>
      </c>
      <c r="J62" s="547">
        <f>'ПП Д4'!I124</f>
        <v>0</v>
      </c>
      <c r="K62" s="547">
        <f>'ПП Д5'!I110</f>
        <v>0</v>
      </c>
      <c r="L62" s="547">
        <f>'ПП 401'!H93</f>
        <v>0</v>
      </c>
      <c r="M62" s="547">
        <f>'ПП 402'!I94</f>
        <v>0</v>
      </c>
      <c r="N62" s="547">
        <f ca="1">'ПП 403'!I77</f>
        <v>0</v>
      </c>
      <c r="O62" s="547">
        <f ca="1">'ПП 404'!I77</f>
        <v>0</v>
      </c>
      <c r="P62" s="547">
        <f>'ПП 3 Квартал'!I77</f>
        <v>0</v>
      </c>
      <c r="Q62" s="547">
        <f t="shared" ca="1" si="17"/>
        <v>0</v>
      </c>
      <c r="R62" s="384">
        <f>'ПП Д4'!L124</f>
        <v>0</v>
      </c>
      <c r="S62" s="384">
        <f>'ПП Д5'!L110</f>
        <v>0</v>
      </c>
      <c r="T62" s="384">
        <f>'ПП 401'!K93</f>
        <v>0</v>
      </c>
      <c r="U62" s="384">
        <f>'ПП 402'!L94</f>
        <v>0</v>
      </c>
      <c r="V62" s="384">
        <f ca="1">'ПП 403'!L77</f>
        <v>0</v>
      </c>
      <c r="W62" s="384">
        <f ca="1">'ПП 404'!L77</f>
        <v>0</v>
      </c>
      <c r="X62" s="384">
        <f>'ПП 3 Квартал'!L77</f>
        <v>0</v>
      </c>
      <c r="Y62" s="536">
        <f t="shared" ca="1" si="18"/>
        <v>0</v>
      </c>
      <c r="Z62" s="384" t="str">
        <f t="shared" si="19"/>
        <v>0</v>
      </c>
      <c r="AA62" s="384" t="str">
        <f t="shared" si="15"/>
        <v>0</v>
      </c>
      <c r="AB62" s="384" t="str">
        <f t="shared" si="15"/>
        <v>0</v>
      </c>
      <c r="AC62" s="384" t="str">
        <f t="shared" si="15"/>
        <v>0</v>
      </c>
      <c r="AD62" s="384" t="str">
        <f t="shared" ca="1" si="15"/>
        <v>0</v>
      </c>
      <c r="AE62" s="384" t="str">
        <f t="shared" ca="1" si="15"/>
        <v>0</v>
      </c>
      <c r="AF62" s="384" t="str">
        <f t="shared" si="15"/>
        <v>0</v>
      </c>
    </row>
    <row r="63" spans="1:32" x14ac:dyDescent="0.25">
      <c r="A63" s="544">
        <v>47088</v>
      </c>
      <c r="B63" s="39">
        <f>'ПП Д4'!H125</f>
        <v>0</v>
      </c>
      <c r="C63" s="39">
        <f>'ПП Д5'!H111</f>
        <v>0</v>
      </c>
      <c r="D63" s="318">
        <f>'ПП 401'!G94</f>
        <v>0</v>
      </c>
      <c r="E63" s="39">
        <f>'ПП 402'!H95</f>
        <v>0</v>
      </c>
      <c r="F63" s="39">
        <f>'ПП 403'!H78</f>
        <v>0</v>
      </c>
      <c r="G63" s="39">
        <f>'ПП 404'!H78</f>
        <v>0</v>
      </c>
      <c r="H63" s="39">
        <f>'ПП 3 Квартал'!H78</f>
        <v>0</v>
      </c>
      <c r="I63" s="536">
        <f t="shared" si="16"/>
        <v>0</v>
      </c>
      <c r="J63" s="551">
        <f>'ПП Д4'!I125</f>
        <v>0</v>
      </c>
      <c r="K63" s="551">
        <f>'ПП Д5'!I111</f>
        <v>0</v>
      </c>
      <c r="L63" s="551">
        <f>'ПП 401'!H94</f>
        <v>0</v>
      </c>
      <c r="M63" s="551">
        <f>'ПП 402'!I95</f>
        <v>0</v>
      </c>
      <c r="N63" s="551">
        <f ca="1">'ПП 403'!I78</f>
        <v>0</v>
      </c>
      <c r="O63" s="551">
        <f ca="1">'ПП 404'!I78</f>
        <v>0</v>
      </c>
      <c r="P63" s="551">
        <f>'ПП 3 Квартал'!I78</f>
        <v>0</v>
      </c>
      <c r="Q63" s="547">
        <f t="shared" ca="1" si="17"/>
        <v>0</v>
      </c>
      <c r="R63" s="541">
        <f>'ПП Д4'!L125</f>
        <v>0</v>
      </c>
      <c r="S63" s="541">
        <f>'ПП Д5'!L111</f>
        <v>0</v>
      </c>
      <c r="T63" s="541">
        <f>'ПП 401'!K94</f>
        <v>0</v>
      </c>
      <c r="U63" s="541">
        <f>'ПП 402'!L95</f>
        <v>0</v>
      </c>
      <c r="V63" s="541">
        <f ca="1">'ПП 403'!L78</f>
        <v>0</v>
      </c>
      <c r="W63" s="541">
        <f ca="1">'ПП 404'!L78</f>
        <v>0</v>
      </c>
      <c r="X63" s="541">
        <f>'ПП 3 Квартал'!L78</f>
        <v>0</v>
      </c>
      <c r="Y63" s="536">
        <f t="shared" ca="1" si="18"/>
        <v>0</v>
      </c>
      <c r="Z63" s="541" t="str">
        <f t="shared" si="19"/>
        <v>0</v>
      </c>
      <c r="AA63" s="541" t="str">
        <f t="shared" si="15"/>
        <v>0</v>
      </c>
      <c r="AB63" s="541" t="str">
        <f t="shared" si="15"/>
        <v>0</v>
      </c>
      <c r="AC63" s="541" t="str">
        <f t="shared" si="15"/>
        <v>0</v>
      </c>
      <c r="AD63" s="541" t="str">
        <f t="shared" ca="1" si="15"/>
        <v>0</v>
      </c>
      <c r="AE63" s="541" t="str">
        <f t="shared" ca="1" si="15"/>
        <v>0</v>
      </c>
      <c r="AF63" s="541" t="str">
        <f t="shared" si="15"/>
        <v>0</v>
      </c>
    </row>
    <row r="64" spans="1:32" x14ac:dyDescent="0.25">
      <c r="A64" s="542" t="s">
        <v>8423</v>
      </c>
      <c r="B64" s="543">
        <f>'ПП Д4'!H126</f>
        <v>0</v>
      </c>
      <c r="C64" s="543">
        <f>'ПП Д5'!H112</f>
        <v>0</v>
      </c>
      <c r="D64" s="543">
        <f>'ПП 401'!G95</f>
        <v>0</v>
      </c>
      <c r="E64" s="543">
        <f>'ПП 402'!H96</f>
        <v>0</v>
      </c>
      <c r="F64" s="543">
        <f>'ПП 403'!H79</f>
        <v>32</v>
      </c>
      <c r="G64" s="543">
        <f>'ПП 404'!H79</f>
        <v>34</v>
      </c>
      <c r="H64" s="543">
        <f>'ПП 3 Квартал'!H79</f>
        <v>10</v>
      </c>
      <c r="I64" s="543">
        <f t="shared" si="16"/>
        <v>76</v>
      </c>
      <c r="J64" s="543">
        <f>'ПП Д4'!I126</f>
        <v>0</v>
      </c>
      <c r="K64" s="543">
        <f>'ПП Д5'!I112</f>
        <v>0</v>
      </c>
      <c r="L64" s="543">
        <f>'ПП 401'!H95</f>
        <v>0</v>
      </c>
      <c r="M64" s="543">
        <f>'ПП 402'!I96</f>
        <v>0</v>
      </c>
      <c r="N64" s="543">
        <f ca="1">'ПП 403'!I79</f>
        <v>1544.1682662408014</v>
      </c>
      <c r="O64" s="543">
        <f ca="1">'ПП 404'!I79</f>
        <v>1718.5087747035577</v>
      </c>
      <c r="P64" s="543">
        <f>'ПП 3 Квартал'!I79</f>
        <v>500</v>
      </c>
      <c r="Q64" s="543">
        <f t="shared" ca="1" si="17"/>
        <v>3762.6770409443589</v>
      </c>
      <c r="R64" s="543">
        <f>'ПП Д4'!L126</f>
        <v>0</v>
      </c>
      <c r="S64" s="543">
        <f>'ПП Д5'!L112</f>
        <v>0</v>
      </c>
      <c r="T64" s="543">
        <f>'ПП 401'!K95</f>
        <v>0</v>
      </c>
      <c r="U64" s="543">
        <f>'ПП 402'!L96</f>
        <v>0</v>
      </c>
      <c r="V64" s="543">
        <f ca="1">'ПП 403'!L79</f>
        <v>217347850.0958654</v>
      </c>
      <c r="W64" s="543">
        <f ca="1">'ПП 404'!L79</f>
        <v>236501746.66545454</v>
      </c>
      <c r="X64" s="543">
        <f>'ПП 3 Квартал'!L79</f>
        <v>63250000</v>
      </c>
      <c r="Y64" s="543">
        <f t="shared" ca="1" si="18"/>
        <v>517099596.76131994</v>
      </c>
      <c r="Z64" s="543" t="str">
        <f t="shared" si="19"/>
        <v>0</v>
      </c>
      <c r="AA64" s="543" t="str">
        <f t="shared" si="15"/>
        <v>0</v>
      </c>
      <c r="AB64" s="543" t="str">
        <f t="shared" si="15"/>
        <v>0</v>
      </c>
      <c r="AC64" s="543" t="str">
        <f t="shared" si="15"/>
        <v>0</v>
      </c>
      <c r="AD64" s="543">
        <f t="shared" ca="1" si="15"/>
        <v>140753.99349125833</v>
      </c>
      <c r="AE64" s="543">
        <f t="shared" ca="1" si="15"/>
        <v>137620.33115382318</v>
      </c>
      <c r="AF64" s="543">
        <f t="shared" si="15"/>
        <v>126500</v>
      </c>
    </row>
    <row r="66" spans="1:25" x14ac:dyDescent="0.25">
      <c r="N66" s="30"/>
    </row>
    <row r="67" spans="1:25" s="346" customFormat="1" x14ac:dyDescent="0.25">
      <c r="A67" s="19"/>
      <c r="B67" s="19"/>
      <c r="C67" s="19"/>
      <c r="D67" s="19"/>
      <c r="E67" s="19"/>
      <c r="F67" s="19"/>
      <c r="G67" s="19"/>
      <c r="H67" s="22"/>
      <c r="I67" s="22"/>
      <c r="J67" s="32"/>
      <c r="K67" s="33"/>
      <c r="L67" s="30"/>
      <c r="M67" s="30"/>
      <c r="N67" s="34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83" spans="1:25" x14ac:dyDescent="0.25">
      <c r="N83" s="30"/>
    </row>
    <row r="84" spans="1:25" s="346" customFormat="1" x14ac:dyDescent="0.25">
      <c r="A84" s="19"/>
      <c r="B84" s="19"/>
      <c r="C84" s="19"/>
      <c r="D84" s="19"/>
      <c r="E84" s="19"/>
      <c r="F84" s="19"/>
      <c r="G84" s="19"/>
      <c r="H84" s="22"/>
      <c r="I84" s="22"/>
      <c r="J84" s="32"/>
      <c r="K84" s="33"/>
      <c r="L84" s="30"/>
      <c r="M84" s="30"/>
      <c r="N84" s="34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</row>
  </sheetData>
  <sheetProtection formatCells="0" formatColumns="0" sort="0" autoFilter="0" pivotTables="0"/>
  <mergeCells count="16">
    <mergeCell ref="B2:I2"/>
    <mergeCell ref="J2:Q2"/>
    <mergeCell ref="R2:Y2"/>
    <mergeCell ref="Z2:AF2"/>
    <mergeCell ref="B18:I18"/>
    <mergeCell ref="J18:Q18"/>
    <mergeCell ref="R18:Y18"/>
    <mergeCell ref="Z18:AF18"/>
    <mergeCell ref="B34:I34"/>
    <mergeCell ref="J34:Q34"/>
    <mergeCell ref="R34:Y34"/>
    <mergeCell ref="Z34:AF34"/>
    <mergeCell ref="B50:I50"/>
    <mergeCell ref="J50:Q50"/>
    <mergeCell ref="R50:Y50"/>
    <mergeCell ref="Z50:AF5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3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73FC7-D74D-4E95-965F-0CA8762E1E99}">
  <sheetPr codeName="Лист7">
    <tabColor theme="9" tint="-0.249977111117893"/>
    <pageSetUpPr fitToPage="1"/>
  </sheetPr>
  <dimension ref="B1:J65"/>
  <sheetViews>
    <sheetView workbookViewId="0">
      <selection activeCell="C25" sqref="C25:I25"/>
    </sheetView>
  </sheetViews>
  <sheetFormatPr defaultRowHeight="15" x14ac:dyDescent="0.25"/>
  <cols>
    <col min="1" max="1" width="2.85546875" customWidth="1"/>
    <col min="2" max="2" width="18.28515625" bestFit="1" customWidth="1"/>
    <col min="3" max="3" width="10.140625" bestFit="1" customWidth="1"/>
    <col min="4" max="6" width="13.85546875" bestFit="1" customWidth="1"/>
    <col min="7" max="7" width="6.7109375" bestFit="1" customWidth="1"/>
    <col min="8" max="8" width="10.85546875" style="11" bestFit="1" customWidth="1"/>
    <col min="9" max="9" width="15.7109375" style="11" bestFit="1" customWidth="1"/>
    <col min="10" max="10" width="12.140625" style="11" bestFit="1" customWidth="1"/>
  </cols>
  <sheetData>
    <row r="1" spans="2:10" x14ac:dyDescent="0.25">
      <c r="B1" s="394">
        <f ca="1">TODAY()</f>
        <v>45891</v>
      </c>
    </row>
    <row r="2" spans="2:10" x14ac:dyDescent="0.25">
      <c r="B2" s="110" t="str">
        <f>'ПП 402'!C2</f>
        <v>4 Квартал Дом 2</v>
      </c>
    </row>
    <row r="3" spans="2:10" s="26" customFormat="1" ht="15.75" x14ac:dyDescent="0.25">
      <c r="B3" s="157" t="s">
        <v>0</v>
      </c>
      <c r="C3" s="158">
        <v>0</v>
      </c>
      <c r="D3" s="159">
        <v>1</v>
      </c>
      <c r="E3" s="159">
        <v>2</v>
      </c>
      <c r="F3" s="159">
        <v>3</v>
      </c>
      <c r="G3" s="160" t="s">
        <v>59</v>
      </c>
      <c r="H3" s="161" t="s">
        <v>51</v>
      </c>
      <c r="I3" s="161" t="s">
        <v>58</v>
      </c>
      <c r="J3" s="301" t="s">
        <v>17</v>
      </c>
    </row>
    <row r="4" spans="2:10" hidden="1" x14ac:dyDescent="0.25">
      <c r="B4" s="38">
        <v>45292</v>
      </c>
      <c r="C4" s="148">
        <f ca="1">IF($B$1&gt;=$B5,COUNTIFS(РД[Дата подачи на регистрацию],"&gt;="&amp;DATE(YEAR($B4),MONTH($B4),1),РД[Дата подачи на регистрацию],"&lt;"&amp;$B5,РД[Дом],$B$2,РД[Тип кв],C$3,РД[Состояние],"Продажа"),'ПП 402'!D20)</f>
        <v>0</v>
      </c>
      <c r="D4" s="148">
        <f ca="1">IF($B$1&gt;=$B5,COUNTIFS(РД[Дата подачи на регистрацию],"&gt;="&amp;DATE(YEAR($B4),MONTH($B4),1),РД[Дата подачи на регистрацию],"&lt;"&amp;$B5,РД[Дом],$B$2,РД[Тип кв],D$3,РД[Состояние],"Продажа"),'ПП 402'!E20)</f>
        <v>0</v>
      </c>
      <c r="E4" s="148">
        <f ca="1">IF($B$1&gt;=$B5,COUNTIFS(РД[Дата подачи на регистрацию],"&gt;="&amp;DATE(YEAR($B4),MONTH($B4),1),РД[Дата подачи на регистрацию],"&lt;"&amp;$B5,РД[Дом],$B$2,РД[Тип кв],E$3,РД[Состояние],"Продажа"),'ПП 402'!F20)</f>
        <v>0</v>
      </c>
      <c r="F4" s="148">
        <f ca="1">IF($B$1&gt;=$B5,COUNTIFS(РД[Дата подачи на регистрацию],"&gt;="&amp;DATE(YEAR($B4),MONTH($B4),1),РД[Дата подачи на регистрацию],"&lt;"&amp;$B5,РД[Дом],$B$2,РД[Тип кв],F$3,РД[Состояние],"Продажа"),'ПП 402'!G20)</f>
        <v>0</v>
      </c>
      <c r="G4" s="149">
        <f ca="1">SUM(C4:F4)</f>
        <v>0</v>
      </c>
      <c r="H4" s="150">
        <f ca="1">IF($B$1&gt;=B4,SUMIFS(РД[S],РД[Дом],$B$2,РД[Состояние],"Продажа",РД[Дата подачи на регистрацию],"&gt;="&amp;DATE(YEAR($B4),MONTH($B4),1),РД[Дата подачи на регистрацию],"&lt;"&amp;$B5),'ПП 402'!I20)</f>
        <v>0</v>
      </c>
      <c r="I4" s="151">
        <f ca="1">IF($B$1&gt;=B4,SUMIFS(РД[Стоимость без отделки итог],РД[Дом],$B$2,РД[Состояние],"Продажа",РД[Дата подачи на регистрацию],"&gt;="&amp;DATE(YEAR($B4),MONTH($B4),1),РД[Дата подачи на регистрацию],"&lt;"&amp;$B5),'ПП 402'!L20)</f>
        <v>0</v>
      </c>
      <c r="J4" s="47">
        <f ca="1">IFERROR(I4/H4,)</f>
        <v>0</v>
      </c>
    </row>
    <row r="5" spans="2:10" hidden="1" x14ac:dyDescent="0.25">
      <c r="B5" s="38">
        <v>45323</v>
      </c>
      <c r="C5" s="148">
        <f ca="1">IF($B$1&gt;=$B6,COUNTIFS(РД[Дата подачи на регистрацию],"&gt;="&amp;DATE(YEAR($B5),MONTH($B5),1),РД[Дата подачи на регистрацию],"&lt;"&amp;$B6,РД[Дом],$B$2,РД[Тип кв],C$3,РД[Состояние],"Продажа"),'ПП 402'!D21)</f>
        <v>0</v>
      </c>
      <c r="D5" s="148">
        <f ca="1">IF($B$1&gt;=$B6,COUNTIFS(РД[Дата подачи на регистрацию],"&gt;="&amp;DATE(YEAR($B5),MONTH($B5),1),РД[Дата подачи на регистрацию],"&lt;"&amp;$B6,РД[Дом],$B$2,РД[Тип кв],D$3,РД[Состояние],"Продажа"),'ПП 402'!E21)</f>
        <v>0</v>
      </c>
      <c r="E5" s="148">
        <f ca="1">IF($B$1&gt;=$B6,COUNTIFS(РД[Дата подачи на регистрацию],"&gt;="&amp;DATE(YEAR($B5),MONTH($B5),1),РД[Дата подачи на регистрацию],"&lt;"&amp;$B6,РД[Дом],$B$2,РД[Тип кв],E$3,РД[Состояние],"Продажа"),'ПП 402'!F21)</f>
        <v>0</v>
      </c>
      <c r="F5" s="148">
        <f ca="1">IF($B$1&gt;=$B6,COUNTIFS(РД[Дата подачи на регистрацию],"&gt;="&amp;DATE(YEAR($B5),MONTH($B5),1),РД[Дата подачи на регистрацию],"&lt;"&amp;$B6,РД[Дом],$B$2,РД[Тип кв],F$3,РД[Состояние],"Продажа"),'ПП 402'!G21)</f>
        <v>0</v>
      </c>
      <c r="G5" s="149">
        <f ca="1">SUM(C5:F5)</f>
        <v>0</v>
      </c>
      <c r="H5" s="150">
        <f ca="1">IF($B$1&gt;=B5,SUMIFS(РД[S],РД[Дом],$B$2,РД[Состояние],"Продажа",РД[Дата подачи на регистрацию],"&gt;="&amp;DATE(YEAR($B5),MONTH($B5),1),РД[Дата подачи на регистрацию],"&lt;"&amp;$B6),'ПП 402'!I21)</f>
        <v>0</v>
      </c>
      <c r="I5" s="151">
        <f ca="1">IF($B$1&gt;=B5,SUMIFS(РД[Стоимость без отделки итог],РД[Дом],$B$2,РД[Состояние],"Продажа",РД[Дата подачи на регистрацию],"&gt;="&amp;DATE(YEAR($B5),MONTH($B5),1),РД[Дата подачи на регистрацию],"&lt;"&amp;$B6),'ПП 402'!L21)</f>
        <v>0</v>
      </c>
      <c r="J5" s="47">
        <f ca="1">IFERROR(I5/H5,)</f>
        <v>0</v>
      </c>
    </row>
    <row r="6" spans="2:10" hidden="1" x14ac:dyDescent="0.25">
      <c r="B6" s="38">
        <v>45352</v>
      </c>
      <c r="C6" s="148">
        <f ca="1">IF($B$1&gt;=$B7,COUNTIFS(РД[Дата подачи на регистрацию],"&gt;="&amp;DATE(YEAR($B6),MONTH($B6),1),РД[Дата подачи на регистрацию],"&lt;"&amp;$B7,РД[Дом],$B$2,РД[Тип кв],C$3,РД[Состояние],"Продажа"),'ПП 402'!D22)</f>
        <v>0</v>
      </c>
      <c r="D6" s="148">
        <f ca="1">IF($B$1&gt;=$B7,COUNTIFS(РД[Дата подачи на регистрацию],"&gt;="&amp;DATE(YEAR($B6),MONTH($B6),1),РД[Дата подачи на регистрацию],"&lt;"&amp;$B7,РД[Дом],$B$2,РД[Тип кв],D$3,РД[Состояние],"Продажа"),'ПП 402'!E22)</f>
        <v>0</v>
      </c>
      <c r="E6" s="148">
        <f ca="1">IF($B$1&gt;=$B7,COUNTIFS(РД[Дата подачи на регистрацию],"&gt;="&amp;DATE(YEAR($B6),MONTH($B6),1),РД[Дата подачи на регистрацию],"&lt;"&amp;$B7,РД[Дом],$B$2,РД[Тип кв],E$3,РД[Состояние],"Продажа"),'ПП 402'!F22)</f>
        <v>0</v>
      </c>
      <c r="F6" s="148">
        <f ca="1">IF($B$1&gt;=$B7,COUNTIFS(РД[Дата подачи на регистрацию],"&gt;="&amp;DATE(YEAR($B6),MONTH($B6),1),РД[Дата подачи на регистрацию],"&lt;"&amp;$B7,РД[Дом],$B$2,РД[Тип кв],F$3,РД[Состояние],"Продажа"),'ПП 402'!G22)</f>
        <v>0</v>
      </c>
      <c r="G6" s="149">
        <f ca="1">SUM(C6:F6)</f>
        <v>0</v>
      </c>
      <c r="H6" s="150">
        <f ca="1">IF($B$1&gt;=B6,SUMIFS(РД[S],РД[Дом],$B$2,РД[Состояние],"Продажа",РД[Дата подачи на регистрацию],"&gt;="&amp;DATE(YEAR($B6),MONTH($B6),1),РД[Дата подачи на регистрацию],"&lt;"&amp;$B7),'ПП 402'!I22)</f>
        <v>0</v>
      </c>
      <c r="I6" s="151">
        <f ca="1">IF($B$1&gt;=B6,SUMIFS(РД[Стоимость без отделки итог],РД[Дом],$B$2,РД[Состояние],"Продажа",РД[Дата подачи на регистрацию],"&gt;="&amp;DATE(YEAR($B6),MONTH($B6),1),РД[Дата подачи на регистрацию],"&lt;"&amp;$B7),'ПП 402'!L22)</f>
        <v>0</v>
      </c>
      <c r="J6" s="47">
        <f ca="1">IFERROR(I6/H6,)</f>
        <v>0</v>
      </c>
    </row>
    <row r="7" spans="2:10" hidden="1" x14ac:dyDescent="0.25">
      <c r="B7" s="38">
        <v>45383</v>
      </c>
      <c r="C7" s="148">
        <f ca="1">IF($B$1&gt;=$B8,COUNTIFS(РД[Дата подачи на регистрацию],"&gt;="&amp;DATE(YEAR($B7),MONTH($B7),1),РД[Дата подачи на регистрацию],"&lt;"&amp;$B8,РД[Дом],$B$2,РД[Тип кв],C$3,РД[Состояние],"Продажа"),'ПП 402'!D23)</f>
        <v>0</v>
      </c>
      <c r="D7" s="148">
        <f ca="1">IF($B$1&gt;=$B8,COUNTIFS(РД[Дата подачи на регистрацию],"&gt;="&amp;DATE(YEAR($B7),MONTH($B7),1),РД[Дата подачи на регистрацию],"&lt;"&amp;$B8,РД[Дом],$B$2,РД[Тип кв],D$3,РД[Состояние],"Продажа"),'ПП 402'!E23)</f>
        <v>0</v>
      </c>
      <c r="E7" s="148">
        <f ca="1">IF($B$1&gt;=$B8,COUNTIFS(РД[Дата подачи на регистрацию],"&gt;="&amp;DATE(YEAR($B7),MONTH($B7),1),РД[Дата подачи на регистрацию],"&lt;"&amp;$B8,РД[Дом],$B$2,РД[Тип кв],E$3,РД[Состояние],"Продажа"),'ПП 402'!F23)</f>
        <v>0</v>
      </c>
      <c r="F7" s="148">
        <f ca="1">IF($B$1&gt;=$B8,COUNTIFS(РД[Дата подачи на регистрацию],"&gt;="&amp;DATE(YEAR($B7),MONTH($B7),1),РД[Дата подачи на регистрацию],"&lt;"&amp;$B8,РД[Дом],$B$2,РД[Тип кв],F$3,РД[Состояние],"Продажа"),'ПП 402'!G23)</f>
        <v>0</v>
      </c>
      <c r="G7" s="149">
        <f t="shared" ref="G7:G15" ca="1" si="0">SUM(C7:F7)</f>
        <v>0</v>
      </c>
      <c r="H7" s="150">
        <f ca="1">IF($B$1&gt;=B7,SUMIFS(РД[S],РД[Дом],$B$2,РД[Состояние],"Продажа",РД[Дата подачи на регистрацию],"&gt;="&amp;DATE(YEAR($B7),MONTH($B7),1),РД[Дата подачи на регистрацию],"&lt;"&amp;$B8),'ПП 402'!I23)</f>
        <v>0</v>
      </c>
      <c r="I7" s="151">
        <f ca="1">IF($B$1&gt;=B7,SUMIFS(РД[Стоимость без отделки итог],РД[Дом],$B$2,РД[Состояние],"Продажа",РД[Дата подачи на регистрацию],"&gt;="&amp;DATE(YEAR($B7),MONTH($B7),1),РД[Дата подачи на регистрацию],"&lt;"&amp;$B8),'ПП 402'!L23)</f>
        <v>0</v>
      </c>
      <c r="J7" s="47">
        <f t="shared" ref="J7:J15" ca="1" si="1">IFERROR(I7/H7,)</f>
        <v>0</v>
      </c>
    </row>
    <row r="8" spans="2:10" s="245" customFormat="1" hidden="1" x14ac:dyDescent="0.25">
      <c r="B8" s="306">
        <v>45413</v>
      </c>
      <c r="C8" s="243">
        <f ca="1">IF($B$1&gt;=$B9,COUNTIFS(РД[Дата подачи на регистрацию],"&gt;="&amp;DATE(YEAR($B8),MONTH($B8),1),РД[Дата подачи на регистрацию],"&lt;"&amp;$B9,РД[Дом],$B$2,РД[Тип кв],C$3,РД[Состояние],"Продажа"),'ПП 402'!D24)</f>
        <v>0</v>
      </c>
      <c r="D8" s="243">
        <f ca="1">IF($B$1&gt;=$B9,COUNTIFS(РД[Дата подачи на регистрацию],"&gt;="&amp;DATE(YEAR($B8),MONTH($B8),1),РД[Дата подачи на регистрацию],"&lt;"&amp;$B9,РД[Дом],$B$2,РД[Тип кв],D$3,РД[Состояние],"Продажа"),'ПП 402'!E24)</f>
        <v>0</v>
      </c>
      <c r="E8" s="243">
        <f ca="1">IF($B$1&gt;=$B9,COUNTIFS(РД[Дата подачи на регистрацию],"&gt;="&amp;DATE(YEAR($B8),MONTH($B8),1),РД[Дата подачи на регистрацию],"&lt;"&amp;$B9,РД[Дом],$B$2,РД[Тип кв],E$3,РД[Состояние],"Продажа"),'ПП 402'!F24)</f>
        <v>0</v>
      </c>
      <c r="F8" s="243">
        <f ca="1">IF($B$1&gt;=$B9,COUNTIFS(РД[Дата подачи на регистрацию],"&gt;="&amp;DATE(YEAR($B8),MONTH($B8),1),РД[Дата подачи на регистрацию],"&lt;"&amp;$B9,РД[Дом],$B$2,РД[Тип кв],F$3,РД[Состояние],"Продажа"),'ПП 402'!G24)</f>
        <v>0</v>
      </c>
      <c r="G8" s="316">
        <f t="shared" ca="1" si="0"/>
        <v>0</v>
      </c>
      <c r="H8" s="47">
        <f ca="1">IF($B$1&gt;=B8,SUMIFS(РД[S],РД[Дом],$B$2,РД[Состояние],"Продажа",РД[Дата подачи на регистрацию],"&gt;="&amp;DATE(YEAR($B8),MONTH($B8),1),РД[Дата подачи на регистрацию],"&lt;"&amp;$B9),'ПП 402'!I24)</f>
        <v>0</v>
      </c>
      <c r="I8" s="307">
        <f ca="1">IF($B$1&gt;=B8,SUMIFS(РД[Стоимость без отделки итог],РД[Дом],$B$2,РД[Состояние],"Продажа",РД[Дата подачи на регистрацию],"&gt;="&amp;DATE(YEAR($B8),MONTH($B8),1),РД[Дата подачи на регистрацию],"&lt;"&amp;$B9),'ПП 402'!L24)</f>
        <v>0</v>
      </c>
      <c r="J8" s="47">
        <f t="shared" ca="1" si="1"/>
        <v>0</v>
      </c>
    </row>
    <row r="9" spans="2:10" hidden="1" x14ac:dyDescent="0.25">
      <c r="B9" s="306">
        <v>45444</v>
      </c>
      <c r="C9" s="243">
        <f ca="1">IF($B$1&gt;=$B10,COUNTIFS(РД[Дата подачи на регистрацию],"&gt;="&amp;DATE(YEAR($B9),MONTH($B9),1),РД[Дата подачи на регистрацию],"&lt;"&amp;$B10,РД[Дом],$B$2,РД[Тип кв],C$3,РД[Состояние],"Продажа"),'ПП 402'!D25)</f>
        <v>0</v>
      </c>
      <c r="D9" s="243">
        <f ca="1">IF($B$1&gt;=$B10,COUNTIFS(РД[Дата подачи на регистрацию],"&gt;="&amp;DATE(YEAR($B9),MONTH($B9),1),РД[Дата подачи на регистрацию],"&lt;"&amp;$B10,РД[Дом],$B$2,РД[Тип кв],D$3,РД[Состояние],"Продажа"),'ПП 402'!E25)</f>
        <v>0</v>
      </c>
      <c r="E9" s="243">
        <f ca="1">IF($B$1&gt;=$B10,COUNTIFS(РД[Дата подачи на регистрацию],"&gt;="&amp;DATE(YEAR($B9),MONTH($B9),1),РД[Дата подачи на регистрацию],"&lt;"&amp;$B10,РД[Дом],$B$2,РД[Тип кв],E$3,РД[Состояние],"Продажа"),'ПП 402'!F25)</f>
        <v>0</v>
      </c>
      <c r="F9" s="243">
        <f ca="1">IF($B$1&gt;=$B10,COUNTIFS(РД[Дата подачи на регистрацию],"&gt;="&amp;DATE(YEAR($B9),MONTH($B9),1),РД[Дата подачи на регистрацию],"&lt;"&amp;$B10,РД[Дом],$B$2,РД[Тип кв],F$3,РД[Состояние],"Продажа"),'ПП 402'!G25)</f>
        <v>0</v>
      </c>
      <c r="G9" s="316">
        <f t="shared" ca="1" si="0"/>
        <v>0</v>
      </c>
      <c r="H9" s="47">
        <f ca="1">IF($B$1&gt;=B9,SUMIFS(РД[S],РД[Дом],$B$2,РД[Состояние],"Продажа",РД[Дата подачи на регистрацию],"&gt;="&amp;DATE(YEAR($B9),MONTH($B9),1),РД[Дата подачи на регистрацию],"&lt;"&amp;$B10),'ПП 402'!I25)</f>
        <v>0</v>
      </c>
      <c r="I9" s="307">
        <f ca="1">IF($B$1&gt;=B9,SUMIFS(РД[Стоимость без отделки итог],РД[Дом],$B$2,РД[Состояние],"Продажа",РД[Дата подачи на регистрацию],"&gt;="&amp;DATE(YEAR($B9),MONTH($B9),1),РД[Дата подачи на регистрацию],"&lt;"&amp;$B10),'ПП 402'!L25)</f>
        <v>0</v>
      </c>
      <c r="J9" s="47">
        <f t="shared" ca="1" si="1"/>
        <v>0</v>
      </c>
    </row>
    <row r="10" spans="2:10" s="245" customFormat="1" hidden="1" x14ac:dyDescent="0.25">
      <c r="B10" s="306">
        <v>45474</v>
      </c>
      <c r="C10" s="243">
        <f ca="1">IF($B$1&gt;=$B11,COUNTIFS(РД[Дата подачи на регистрацию],"&gt;="&amp;DATE(YEAR($B10),MONTH($B10),1),РД[Дата подачи на регистрацию],"&lt;"&amp;$B11,РД[Дом],$B$2,РД[Тип кв],C$3,РД[Состояние],"Продажа"),'ПП 402'!D26)</f>
        <v>0</v>
      </c>
      <c r="D10" s="243">
        <f ca="1">IF($B$1&gt;=$B11,COUNTIFS(РД[Дата подачи на регистрацию],"&gt;="&amp;DATE(YEAR($B10),MONTH($B10),1),РД[Дата подачи на регистрацию],"&lt;"&amp;$B11,РД[Дом],$B$2,РД[Тип кв],D$3,РД[Состояние],"Продажа"),'ПП 402'!E26)</f>
        <v>0</v>
      </c>
      <c r="E10" s="243">
        <f ca="1">IF($B$1&gt;=$B11,COUNTIFS(РД[Дата подачи на регистрацию],"&gt;="&amp;DATE(YEAR($B10),MONTH($B10),1),РД[Дата подачи на регистрацию],"&lt;"&amp;$B11,РД[Дом],$B$2,РД[Тип кв],E$3,РД[Состояние],"Продажа"),'ПП 402'!F26)</f>
        <v>0</v>
      </c>
      <c r="F10" s="243">
        <f ca="1">IF($B$1&gt;=$B11,COUNTIFS(РД[Дата подачи на регистрацию],"&gt;="&amp;DATE(YEAR($B10),MONTH($B10),1),РД[Дата подачи на регистрацию],"&lt;"&amp;$B11,РД[Дом],$B$2,РД[Тип кв],F$3,РД[Состояние],"Продажа"),'ПП 402'!G26)</f>
        <v>0</v>
      </c>
      <c r="G10" s="316">
        <f t="shared" ca="1" si="0"/>
        <v>0</v>
      </c>
      <c r="H10" s="47">
        <f ca="1">IF($B$1&gt;=B11,SUMIFS(РД[S],РД[Дом],$B$2,РД[Состояние],"Продажа",РД[Дата подачи на регистрацию],"&gt;="&amp;DATE(YEAR($B10),MONTH($B10),1),РД[Дата подачи на регистрацию],"&lt;"&amp;$B11),'ПП 402'!I26)</f>
        <v>0</v>
      </c>
      <c r="I10" s="307">
        <f ca="1">IF($B$1&gt;=B11,SUMIFS(РД[Стоимость без отделки итог],РД[Дом],$B$2,РД[Состояние],"Продажа",РД[Дата подачи на регистрацию],"&gt;="&amp;DATE(YEAR($B10),MONTH($B10),1),РД[Дата подачи на регистрацию],"&lt;"&amp;$B11),'ПП 402'!L26)</f>
        <v>0</v>
      </c>
      <c r="J10" s="47">
        <f t="shared" ca="1" si="1"/>
        <v>0</v>
      </c>
    </row>
    <row r="11" spans="2:10" hidden="1" x14ac:dyDescent="0.25">
      <c r="B11" s="38">
        <v>45505</v>
      </c>
      <c r="C11" s="148">
        <f ca="1">IF($B$1&gt;=$B12,COUNTIFS(РД[Дата подачи на регистрацию],"&gt;="&amp;DATE(YEAR($B11),MONTH($B11),1),РД[Дата подачи на регистрацию],"&lt;"&amp;$B12,РД[Дом],$B$2,РД[Тип кв],C$3,РД[Состояние],"Продажа"),'ПП 402'!D27)</f>
        <v>0</v>
      </c>
      <c r="D11" s="148">
        <f ca="1">IF($B$1&gt;=$B12,COUNTIFS(РД[Дата подачи на регистрацию],"&gt;="&amp;DATE(YEAR($B11),MONTH($B11),1),РД[Дата подачи на регистрацию],"&lt;"&amp;$B12,РД[Дом],$B$2,РД[Тип кв],D$3,РД[Состояние],"Продажа"),'ПП 402'!E27)</f>
        <v>0</v>
      </c>
      <c r="E11" s="148">
        <f ca="1">IF($B$1&gt;=$B12,COUNTIFS(РД[Дата подачи на регистрацию],"&gt;="&amp;DATE(YEAR($B11),MONTH($B11),1),РД[Дата подачи на регистрацию],"&lt;"&amp;$B12,РД[Дом],$B$2,РД[Тип кв],E$3,РД[Состояние],"Продажа"),'ПП 402'!F27)</f>
        <v>0</v>
      </c>
      <c r="F11" s="148">
        <f ca="1">IF($B$1&gt;=$B12,COUNTIFS(РД[Дата подачи на регистрацию],"&gt;="&amp;DATE(YEAR($B11),MONTH($B11),1),РД[Дата подачи на регистрацию],"&lt;"&amp;$B12,РД[Дом],$B$2,РД[Тип кв],F$3,РД[Состояние],"Продажа"),'ПП 402'!G27)</f>
        <v>0</v>
      </c>
      <c r="G11" s="149">
        <f t="shared" ca="1" si="0"/>
        <v>0</v>
      </c>
      <c r="H11" s="150">
        <f ca="1">IF($B$1&gt;=B12,SUMIFS(РД[S],РД[Дом],$B$2,РД[Состояние],"Продажа",РД[Дата подачи на регистрацию],"&gt;="&amp;DATE(YEAR($B11),MONTH($B11),1),РД[Дата подачи на регистрацию],"&lt;"&amp;$B12),'ПП 402'!I27)</f>
        <v>0</v>
      </c>
      <c r="I11" s="151">
        <f ca="1">IF($B$1&gt;=B12,SUMIFS(РД[Стоимость без отделки итог],РД[Дом],$B$2,РД[Состояние],"Продажа",РД[Дата подачи на регистрацию],"&gt;="&amp;DATE(YEAR($B11),MONTH($B11),1),РД[Дата подачи на регистрацию],"&lt;"&amp;$B12),'ПП 402'!L27)</f>
        <v>0</v>
      </c>
      <c r="J11" s="47">
        <f t="shared" ca="1" si="1"/>
        <v>0</v>
      </c>
    </row>
    <row r="12" spans="2:10" hidden="1" x14ac:dyDescent="0.25">
      <c r="B12" s="348">
        <v>45536</v>
      </c>
      <c r="C12" s="349">
        <f ca="1">IF($B$1&gt;=$B13,COUNTIFS(РД[Дата подачи на регистрацию],"&gt;="&amp;DATE(YEAR($B12),MONTH($B12),1),РД[Дата подачи на регистрацию],"&lt;"&amp;$B13,РД[Дом],$B$2,РД[Тип кв],C$3,РД[Состояние],"Продажа"),'ПП 402'!D28)</f>
        <v>0</v>
      </c>
      <c r="D12" s="349">
        <f ca="1">IF($B$1&gt;=$B13,COUNTIFS(РД[Дата подачи на регистрацию],"&gt;="&amp;DATE(YEAR($B12),MONTH($B12),1),РД[Дата подачи на регистрацию],"&lt;"&amp;$B13,РД[Дом],$B$2,РД[Тип кв],D$3,РД[Состояние],"Продажа"),'ПП 402'!E28)</f>
        <v>0</v>
      </c>
      <c r="E12" s="349">
        <f ca="1">IF($B$1&gt;=$B13,COUNTIFS(РД[Дата подачи на регистрацию],"&gt;="&amp;DATE(YEAR($B12),MONTH($B12),1),РД[Дата подачи на регистрацию],"&lt;"&amp;$B13,РД[Дом],$B$2,РД[Тип кв],E$3,РД[Состояние],"Продажа"),'ПП 402'!F28)</f>
        <v>0</v>
      </c>
      <c r="F12" s="349">
        <f ca="1">IF($B$1&gt;=$B13,COUNTIFS(РД[Дата подачи на регистрацию],"&gt;="&amp;DATE(YEAR($B12),MONTH($B12),1),РД[Дата подачи на регистрацию],"&lt;"&amp;$B13,РД[Дом],$B$2,РД[Тип кв],F$3,РД[Состояние],"Продажа"),'ПП 402'!G28)</f>
        <v>0</v>
      </c>
      <c r="G12" s="350">
        <f t="shared" ca="1" si="0"/>
        <v>0</v>
      </c>
      <c r="H12" s="351">
        <f ca="1">IF($B$1&gt;=B13,SUMIFS(РД[S],РД[Дом],$B$2,РД[Состояние],"Продажа",РД[Дата подачи на регистрацию],"&gt;="&amp;DATE(YEAR($B12),MONTH($B12),1),РД[Дата подачи на регистрацию],"&lt;"&amp;$B13),'ПП 402'!I28)</f>
        <v>0</v>
      </c>
      <c r="I12" s="363">
        <f ca="1">IF($B$1&gt;=B13,SUMIFS(РД[Стоимость без отделки итог],РД[Дом],$B$2,РД[Состояние],"Продажа",РД[Дата подачи на регистрацию],"&gt;="&amp;DATE(YEAR($B12),MONTH($B12),1),РД[Дата подачи на регистрацию],"&lt;"&amp;$B13),'ПП 402'!L28)</f>
        <v>0</v>
      </c>
      <c r="J12" s="351">
        <f t="shared" ca="1" si="1"/>
        <v>0</v>
      </c>
    </row>
    <row r="13" spans="2:10" s="245" customFormat="1" hidden="1" x14ac:dyDescent="0.25">
      <c r="B13" s="306">
        <v>45566</v>
      </c>
      <c r="C13" s="243">
        <f ca="1">IF($B$1&gt;=$B14,COUNTIFS(РД[Дата подачи на регистрацию],"&gt;="&amp;DATE(YEAR($B13),MONTH($B13),1),РД[Дата подачи на регистрацию],"&lt;"&amp;$B14,РД[Дом],$B$2,РД[Тип кв],C$3,РД[Состояние],"Продажа"),'ПП 402'!D29)</f>
        <v>0</v>
      </c>
      <c r="D13" s="243">
        <f ca="1">IF($B$1&gt;=$B14,COUNTIFS(РД[Дата подачи на регистрацию],"&gt;="&amp;DATE(YEAR($B13),MONTH($B13),1),РД[Дата подачи на регистрацию],"&lt;"&amp;$B14,РД[Дом],$B$2,РД[Тип кв],D$3,РД[Состояние],"Продажа"),'ПП 402'!E29)</f>
        <v>0</v>
      </c>
      <c r="E13" s="243">
        <f ca="1">IF($B$1&gt;=$B14,COUNTIFS(РД[Дата подачи на регистрацию],"&gt;="&amp;DATE(YEAR($B13),MONTH($B13),1),РД[Дата подачи на регистрацию],"&lt;"&amp;$B14,РД[Дом],$B$2,РД[Тип кв],E$3,РД[Состояние],"Продажа"),'ПП 402'!F29)</f>
        <v>0</v>
      </c>
      <c r="F13" s="243">
        <f ca="1">IF($B$1&gt;=$B14,COUNTIFS(РД[Дата подачи на регистрацию],"&gt;="&amp;DATE(YEAR($B13),MONTH($B13),1),РД[Дата подачи на регистрацию],"&lt;"&amp;$B14,РД[Дом],$B$2,РД[Тип кв],F$3,РД[Состояние],"Продажа"),'ПП 402'!G29)</f>
        <v>0</v>
      </c>
      <c r="G13" s="316">
        <f t="shared" ca="1" si="0"/>
        <v>0</v>
      </c>
      <c r="H13" s="47">
        <f ca="1">IF($B$1&gt;=B14,SUMIFS(РД[S],РД[Дом],$B$2,РД[Состояние],"Продажа",РД[Дата подачи на регистрацию],"&gt;="&amp;DATE(YEAR($B13),MONTH($B13),1),РД[Дата подачи на регистрацию],"&lt;"&amp;$B14),'ПП 402'!I29)</f>
        <v>0</v>
      </c>
      <c r="I13" s="307">
        <f ca="1">IF($B$1&gt;=B14,SUMIFS(РД[Стоимость без отделки итог],РД[Дом],$B$2,РД[Состояние],"Продажа",РД[Дата подачи на регистрацию],"&gt;="&amp;DATE(YEAR($B13),MONTH($B13),1),РД[Дата подачи на регистрацию],"&lt;"&amp;$B14),'ПП 402'!L29)</f>
        <v>0</v>
      </c>
      <c r="J13" s="47">
        <f t="shared" ca="1" si="1"/>
        <v>0</v>
      </c>
    </row>
    <row r="14" spans="2:10" s="245" customFormat="1" hidden="1" x14ac:dyDescent="0.25">
      <c r="B14" s="306">
        <v>45597</v>
      </c>
      <c r="C14" s="243">
        <f ca="1">IF($B$1&gt;=$B15,COUNTIFS(РД[Дата подачи на регистрацию],"&gt;="&amp;DATE(YEAR($B14),MONTH($B14),1),РД[Дата подачи на регистрацию],"&lt;"&amp;$B15,РД[Дом],$B$2,РД[Тип кв],C$3,РД[Состояние],"Продажа"),'ПП 402'!D30)</f>
        <v>0</v>
      </c>
      <c r="D14" s="243">
        <f ca="1">IF($B$1&gt;=$B15,COUNTIFS(РД[Дата подачи на регистрацию],"&gt;="&amp;DATE(YEAR($B14),MONTH($B14),1),РД[Дата подачи на регистрацию],"&lt;"&amp;$B15,РД[Дом],$B$2,РД[Тип кв],D$3,РД[Состояние],"Продажа"),'ПП 402'!E30)</f>
        <v>0</v>
      </c>
      <c r="E14" s="243">
        <f ca="1">IF($B$1&gt;=$B15,COUNTIFS(РД[Дата подачи на регистрацию],"&gt;="&amp;DATE(YEAR($B14),MONTH($B14),1),РД[Дата подачи на регистрацию],"&lt;"&amp;$B15,РД[Дом],$B$2,РД[Тип кв],E$3,РД[Состояние],"Продажа"),'ПП 402'!F30)</f>
        <v>0</v>
      </c>
      <c r="F14" s="243">
        <f ca="1">IF($B$1&gt;=$B15,COUNTIFS(РД[Дата подачи на регистрацию],"&gt;="&amp;DATE(YEAR($B14),MONTH($B14),1),РД[Дата подачи на регистрацию],"&lt;"&amp;$B15,РД[Дом],$B$2,РД[Тип кв],F$3,РД[Состояние],"Продажа"),'ПП 402'!G30)</f>
        <v>0</v>
      </c>
      <c r="G14" s="316">
        <f t="shared" ca="1" si="0"/>
        <v>0</v>
      </c>
      <c r="H14" s="47">
        <f ca="1">IF($B$1&gt;=B15,SUMIFS(РД[S],РД[Дом],$B$2,РД[Состояние],"Продажа",РД[Дата подачи на регистрацию],"&gt;="&amp;DATE(YEAR($B14),MONTH($B14),1),РД[Дата подачи на регистрацию],"&lt;"&amp;$B15),'ПП 402'!I30)</f>
        <v>0</v>
      </c>
      <c r="I14" s="307">
        <f ca="1">IF($B$1&gt;=B15,SUMIFS(РД[Стоимость без отделки итог],РД[Дом],$B$2,РД[Состояние],"Продажа",РД[Дата подачи на регистрацию],"&gt;="&amp;DATE(YEAR($B14),MONTH($B14),1),РД[Дата подачи на регистрацию],"&lt;"&amp;$B15),'ПП 402'!L30)</f>
        <v>0</v>
      </c>
      <c r="J14" s="47">
        <f t="shared" ca="1" si="1"/>
        <v>0</v>
      </c>
    </row>
    <row r="15" spans="2:10" s="245" customFormat="1" hidden="1" x14ac:dyDescent="0.25">
      <c r="B15" s="273">
        <v>45627</v>
      </c>
      <c r="C15" s="274">
        <f ca="1">IF($B$1&gt;=$B19,COUNTIFS(РД[Дата подачи на регистрацию],"&gt;="&amp;DATE(YEAR($B15),MONTH($B15),1),РД[Дата подачи на регистрацию],"&lt;"&amp;$B19,РД[Дом],$B$2,РД[Тип кв],C$3,РД[Состояние],"Продажа"),'ПП 402'!D31)</f>
        <v>0</v>
      </c>
      <c r="D15" s="274">
        <f ca="1">IF($B$1&gt;=$B19,COUNTIFS(РД[Дата подачи на регистрацию],"&gt;="&amp;DATE(YEAR($B15),MONTH($B15),1),РД[Дата подачи на регистрацию],"&lt;"&amp;$B19,РД[Дом],$B$2,РД[Тип кв],D$3,РД[Состояние],"Продажа"),'ПП 402'!E31)</f>
        <v>3</v>
      </c>
      <c r="E15" s="274">
        <f ca="1">IF($B$1&gt;=$B19,COUNTIFS(РД[Дата подачи на регистрацию],"&gt;="&amp;DATE(YEAR($B15),MONTH($B15),1),РД[Дата подачи на регистрацию],"&lt;"&amp;$B19,РД[Дом],$B$2,РД[Тип кв],E$3,РД[Состояние],"Продажа"),'ПП 402'!F31)</f>
        <v>1</v>
      </c>
      <c r="F15" s="274">
        <f ca="1">IF($B$1&gt;=$B19,COUNTIFS(РД[Дата подачи на регистрацию],"&gt;="&amp;DATE(YEAR($B15),MONTH($B15),1),РД[Дата подачи на регистрацию],"&lt;"&amp;$B19,РД[Дом],$B$2,РД[Тип кв],F$3,РД[Состояние],"Продажа"),'ПП 402'!G31)</f>
        <v>0</v>
      </c>
      <c r="G15" s="333">
        <f t="shared" ca="1" si="0"/>
        <v>4</v>
      </c>
      <c r="H15" s="275">
        <f ca="1">IF($B$1&gt;=B19,SUMIFS(РД[S],РД[Дом],$B$2,РД[Состояние],"Продажа",РД[Дата подачи на регистрацию],"&gt;="&amp;DATE(YEAR($B15),MONTH($B15),1),РД[Дата подачи на регистрацию],"&lt;"&amp;$B19),'ПП 402'!I31)</f>
        <v>171.32</v>
      </c>
      <c r="I15" s="276">
        <f ca="1">IF($B$1&gt;=B19,SUMIFS(РД[Стоимость без отделки итог],РД[Дом],$B$2,РД[Состояние],"Продажа",РД[Дата подачи на регистрацию],"&gt;="&amp;DATE(YEAR($B15),MONTH($B15),1),РД[Дата подачи на регистрацию],"&lt;"&amp;$B19),'ПП 402'!L31)</f>
        <v>20774772</v>
      </c>
      <c r="J15" s="275">
        <f t="shared" ca="1" si="1"/>
        <v>121262.96988092459</v>
      </c>
    </row>
    <row r="16" spans="2:10" s="13" customFormat="1" x14ac:dyDescent="0.25">
      <c r="B16" s="154" t="s">
        <v>3249</v>
      </c>
      <c r="C16" s="155">
        <f t="shared" ref="C16:I16" ca="1" si="2">SUM(C4:C15)</f>
        <v>0</v>
      </c>
      <c r="D16" s="155">
        <f t="shared" ca="1" si="2"/>
        <v>3</v>
      </c>
      <c r="E16" s="155">
        <f t="shared" ca="1" si="2"/>
        <v>1</v>
      </c>
      <c r="F16" s="155">
        <f t="shared" ca="1" si="2"/>
        <v>0</v>
      </c>
      <c r="G16" s="155">
        <f t="shared" ca="1" si="2"/>
        <v>4</v>
      </c>
      <c r="H16" s="155">
        <f t="shared" ca="1" si="2"/>
        <v>171.32</v>
      </c>
      <c r="I16" s="155">
        <f t="shared" ca="1" si="2"/>
        <v>20774772</v>
      </c>
      <c r="J16" s="156">
        <f ca="1">IFERROR(I16/H16,)</f>
        <v>121262.96988092459</v>
      </c>
    </row>
    <row r="17" spans="2:10" x14ac:dyDescent="0.25">
      <c r="C17" s="152"/>
      <c r="D17" s="152"/>
      <c r="E17" s="152"/>
      <c r="F17" s="152"/>
      <c r="G17" s="152"/>
      <c r="H17" s="179"/>
      <c r="I17" s="153"/>
      <c r="J17" s="32"/>
    </row>
    <row r="18" spans="2:10" ht="15.75" x14ac:dyDescent="0.25">
      <c r="B18" s="157" t="s">
        <v>0</v>
      </c>
      <c r="C18" s="158">
        <v>0</v>
      </c>
      <c r="D18" s="159">
        <v>1</v>
      </c>
      <c r="E18" s="159">
        <v>2</v>
      </c>
      <c r="F18" s="159">
        <v>3</v>
      </c>
      <c r="G18" s="160" t="s">
        <v>59</v>
      </c>
      <c r="H18" s="180" t="s">
        <v>51</v>
      </c>
      <c r="I18" s="161" t="s">
        <v>58</v>
      </c>
      <c r="J18" s="161" t="s">
        <v>17</v>
      </c>
    </row>
    <row r="19" spans="2:10" s="245" customFormat="1" x14ac:dyDescent="0.25">
      <c r="B19" s="273">
        <v>45658</v>
      </c>
      <c r="C19" s="274">
        <f ca="1">IF($B$1&gt;=$B20,COUNTIFS(РД[Дата подачи на регистрацию],"&gt;="&amp;DATE(YEAR($B19),MONTH($B19),1),РД[Дата подачи на регистрацию],"&lt;"&amp;$B20,РД[Дом],$B$2,РД[Тип кв],C$3,РД[Состояние],"Продажа"),'ПП 402'!D36)</f>
        <v>1</v>
      </c>
      <c r="D19" s="274">
        <f ca="1">IF($B$1&gt;=$B20,COUNTIFS(РД[Дата подачи на регистрацию],"&gt;="&amp;DATE(YEAR($B19),MONTH($B19),1),РД[Дата подачи на регистрацию],"&lt;"&amp;$B20,РД[Дом],$B$2,РД[Тип кв],D$3,РД[Состояние],"Продажа"),'ПП 402'!E36)</f>
        <v>3</v>
      </c>
      <c r="E19" s="274">
        <f ca="1">IF($B$1&gt;=$B20,COUNTIFS(РД[Дата подачи на регистрацию],"&gt;="&amp;DATE(YEAR($B19),MONTH($B19),1),РД[Дата подачи на регистрацию],"&lt;"&amp;$B20,РД[Дом],$B$2,РД[Тип кв],E$3,РД[Состояние],"Продажа"),'ПП 402'!F36)</f>
        <v>0</v>
      </c>
      <c r="F19" s="274">
        <f ca="1">IF($B$1&gt;=$B20,COUNTIFS(РД[Дата подачи на регистрацию],"&gt;="&amp;DATE(YEAR($B19),MONTH($B19),1),РД[Дата подачи на регистрацию],"&lt;"&amp;$B20,РД[Дом],$B$2,РД[Тип кв],F$3,РД[Состояние],"Продажа"),'ПП 402'!G36)</f>
        <v>0</v>
      </c>
      <c r="G19" s="333">
        <f ca="1">SUM($C$19:F19)</f>
        <v>4</v>
      </c>
      <c r="H19" s="275">
        <f ca="1">IF($B$1&gt;=B20,SUMIFS(РД[S],РД[Дом],$B$2,РД[Состояние],"Продажа",РД[Дата подачи на регистрацию],"&gt;="&amp;DATE(YEAR($B19),MONTH($B19),1),РД[Дата подачи на регистрацию],"&lt;"&amp;$B20),'ПП 402'!I36)</f>
        <v>139.82</v>
      </c>
      <c r="I19" s="276">
        <f ca="1">IF($B$1&gt;=B20,SUMIFS(РД[Стоимость без отделки итог],РД[Дом],$B$2,РД[Состояние],"Продажа",РД[Дата подачи на регистрацию],"&gt;="&amp;DATE(YEAR($B19),MONTH($B19),1),РД[Дата подачи на регистрацию],"&lt;"&amp;$B20),'ПП 402'!L36)</f>
        <v>17953004</v>
      </c>
      <c r="J19" s="275">
        <f ca="1">IFERROR(I19/H19,)</f>
        <v>128400.82963810614</v>
      </c>
    </row>
    <row r="20" spans="2:10" s="245" customFormat="1" x14ac:dyDescent="0.25">
      <c r="B20" s="273">
        <v>45689</v>
      </c>
      <c r="C20" s="274">
        <f ca="1">IF($B$1&gt;=$B21,COUNTIFS(РД[Дата подачи на регистрацию],"&gt;="&amp;DATE(YEAR($B20),MONTH($B20),1),РД[Дата подачи на регистрацию],"&lt;"&amp;$B21,РД[Дом],$B$2,РД[Тип кв],C$3,РД[Состояние],"Продажа"),'ПП 402'!D37)</f>
        <v>1</v>
      </c>
      <c r="D20" s="274">
        <f ca="1">IF($B$1&gt;=$B21,COUNTIFS(РД[Дата подачи на регистрацию],"&gt;="&amp;DATE(YEAR($B20),MONTH($B20),1),РД[Дата подачи на регистрацию],"&lt;"&amp;$B21,РД[Дом],$B$2,РД[Тип кв],D$3,РД[Состояние],"Продажа"),'ПП 402'!E37)</f>
        <v>13</v>
      </c>
      <c r="E20" s="274">
        <f ca="1">IF($B$1&gt;=$B21,COUNTIFS(РД[Дата подачи на регистрацию],"&gt;="&amp;DATE(YEAR($B20),MONTH($B20),1),РД[Дата подачи на регистрацию],"&lt;"&amp;$B21,РД[Дом],$B$2,РД[Тип кв],E$3,РД[Состояние],"Продажа"),'ПП 402'!F37)</f>
        <v>5</v>
      </c>
      <c r="F20" s="274">
        <f ca="1">IF($B$1&gt;=$B21,COUNTIFS(РД[Дата подачи на регистрацию],"&gt;="&amp;DATE(YEAR($B20),MONTH($B20),1),РД[Дата подачи на регистрацию],"&lt;"&amp;$B21,РД[Дом],$B$2,РД[Тип кв],F$3,РД[Состояние],"Продажа"),'ПП 402'!G37)</f>
        <v>0</v>
      </c>
      <c r="G20" s="333">
        <f ca="1">SUM($C$20:F20)</f>
        <v>19</v>
      </c>
      <c r="H20" s="275">
        <f ca="1">IF($B$1&gt;=B21,SUMIFS(РД[S],РД[Дом],$B$2,РД[Состояние],"Продажа",РД[Дата подачи на регистрацию],"&gt;="&amp;DATE(YEAR($B20),MONTH($B20),1),РД[Дата подачи на регистрацию],"&lt;"&amp;$B21),'ПП 402'!I37)</f>
        <v>818.7700000000001</v>
      </c>
      <c r="I20" s="276">
        <f ca="1">IF($B$1&gt;=B21,SUMIFS(РД[Стоимость без отделки итог],РД[Дом],$B$2,РД[Состояние],"Продажа",РД[Дата подачи на регистрацию],"&gt;="&amp;DATE(YEAR($B20),MONTH($B20),1),РД[Дата подачи на регистрацию],"&lt;"&amp;$B21),'ПП 402'!L37)</f>
        <v>100818363</v>
      </c>
      <c r="J20" s="275">
        <f t="shared" ref="J20:J30" ca="1" si="3">IFERROR(I20/H20,)</f>
        <v>123133.92405681692</v>
      </c>
    </row>
    <row r="21" spans="2:10" s="245" customFormat="1" x14ac:dyDescent="0.25">
      <c r="B21" s="273">
        <v>45717</v>
      </c>
      <c r="C21" s="274">
        <f ca="1">IF($B$1&gt;=$B22,COUNTIFS(РД[Дата подачи на регистрацию],"&gt;="&amp;DATE(YEAR($B21),MONTH($B21),1),РД[Дата подачи на регистрацию],"&lt;"&amp;$B22,РД[Дом],$B$2,РД[Тип кв],C$3,РД[Состояние],"Продажа"),'ПП 402'!D38)</f>
        <v>0</v>
      </c>
      <c r="D21" s="274">
        <f ca="1">IF($B$1&gt;=$B22,COUNTIFS(РД[Дата подачи на регистрацию],"&gt;="&amp;DATE(YEAR($B21),MONTH($B21),1),РД[Дата подачи на регистрацию],"&lt;"&amp;$B22,РД[Дом],$B$2,РД[Тип кв],D$3,РД[Состояние],"Продажа"),'ПП 402'!E38)</f>
        <v>13</v>
      </c>
      <c r="E21" s="274">
        <f ca="1">IF($B$1&gt;=$B22,COUNTIFS(РД[Дата подачи на регистрацию],"&gt;="&amp;DATE(YEAR($B21),MONTH($B21),1),РД[Дата подачи на регистрацию],"&lt;"&amp;$B22,РД[Дом],$B$2,РД[Тип кв],E$3,РД[Состояние],"Продажа"),'ПП 402'!F38)</f>
        <v>9</v>
      </c>
      <c r="F21" s="274">
        <f ca="1">IF($B$1&gt;=$B22,COUNTIFS(РД[Дата подачи на регистрацию],"&gt;="&amp;DATE(YEAR($B21),MONTH($B21),1),РД[Дата подачи на регистрацию],"&lt;"&amp;$B22,РД[Дом],$B$2,РД[Тип кв],F$3,РД[Состояние],"Продажа"),'ПП 402'!G38)</f>
        <v>0</v>
      </c>
      <c r="G21" s="333">
        <f ca="1">SUM($C$21:F21)</f>
        <v>22</v>
      </c>
      <c r="H21" s="275">
        <f ca="1">IF($B$1&gt;=B22,SUMIFS(РД[S],РД[Дом],$B$2,РД[Состояние],"Продажа",РД[Дата подачи на регистрацию],"&gt;="&amp;DATE(YEAR($B21),MONTH($B21),1),РД[Дата подачи на регистрацию],"&lt;"&amp;$B22),'ПП 402'!I38)</f>
        <v>1021.8199999999999</v>
      </c>
      <c r="I21" s="276">
        <f ca="1">IF($B$1&gt;=B22,SUMIFS(РД[Стоимость без отделки итог],РД[Дом],$B$2,РД[Состояние],"Продажа",РД[Дата подачи на регистрацию],"&gt;="&amp;DATE(YEAR($B21),MONTH($B21),1),РД[Дата подачи на регистрацию],"&lt;"&amp;$B22),'ПП 402'!L38)</f>
        <v>127112542</v>
      </c>
      <c r="J21" s="275">
        <f t="shared" ca="1" si="3"/>
        <v>124398.17384666576</v>
      </c>
    </row>
    <row r="22" spans="2:10" x14ac:dyDescent="0.25">
      <c r="B22" s="273">
        <v>45748</v>
      </c>
      <c r="C22" s="274">
        <f ca="1">IF($B$1&gt;=$B23,COUNTIFS(РД[Дата подачи на регистрацию],"&gt;="&amp;DATE(YEAR($B22),MONTH($B22),1),РД[Дата подачи на регистрацию],"&lt;"&amp;$B23,РД[Дом],$B$2,РД[Тип кв],C$3,РД[Состояние],"Продажа"),'ПП 402'!D39)</f>
        <v>0</v>
      </c>
      <c r="D22" s="274">
        <f ca="1">IF($B$1&gt;=$B23,COUNTIFS(РД[Дата подачи на регистрацию],"&gt;="&amp;DATE(YEAR($B22),MONTH($B22),1),РД[Дата подачи на регистрацию],"&lt;"&amp;$B23,РД[Дом],$B$2,РД[Тип кв],D$3,РД[Состояние],"Продажа"),'ПП 402'!E39)</f>
        <v>6</v>
      </c>
      <c r="E22" s="274">
        <f ca="1">IF($B$1&gt;=$B23,COUNTIFS(РД[Дата подачи на регистрацию],"&gt;="&amp;DATE(YEAR($B22),MONTH($B22),1),РД[Дата подачи на регистрацию],"&lt;"&amp;$B23,РД[Дом],$B$2,РД[Тип кв],E$3,РД[Состояние],"Продажа"),'ПП 402'!F39)</f>
        <v>0</v>
      </c>
      <c r="F22" s="274">
        <f ca="1">IF($B$1&gt;=$B23,COUNTIFS(РД[Дата подачи на регистрацию],"&gt;="&amp;DATE(YEAR($B22),MONTH($B22),1),РД[Дата подачи на регистрацию],"&lt;"&amp;$B23,РД[Дом],$B$2,РД[Тип кв],F$3,РД[Состояние],"Продажа"),'ПП 402'!G39)</f>
        <v>0</v>
      </c>
      <c r="G22" s="333">
        <f ca="1">SUM($C$22:F22)</f>
        <v>6</v>
      </c>
      <c r="H22" s="275">
        <f ca="1">IF($B$1&gt;=B23,SUMIFS(РД[S],РД[Дом],$B$2,РД[Состояние],"Продажа",РД[Дата подачи на регистрацию],"&gt;="&amp;DATE(YEAR($B22),MONTH($B22),1),РД[Дата подачи на регистрацию],"&lt;"&amp;$B23),'ПП 402'!I39)</f>
        <v>234.96999999999997</v>
      </c>
      <c r="I22" s="276">
        <f ca="1">IF($B$1&gt;=B23,SUMIFS(РД[Стоимость без отделки итог],РД[Дом],$B$2,РД[Состояние],"Продажа",РД[Дата подачи на регистрацию],"&gt;="&amp;DATE(YEAR($B22),MONTH($B22),1),РД[Дата подачи на регистрацию],"&lt;"&amp;$B23),'ПП 402'!L39)</f>
        <v>30323971</v>
      </c>
      <c r="J22" s="275">
        <f t="shared" ca="1" si="3"/>
        <v>129054.64952972722</v>
      </c>
    </row>
    <row r="23" spans="2:10" x14ac:dyDescent="0.25">
      <c r="B23" s="273">
        <v>45778</v>
      </c>
      <c r="C23" s="274">
        <f ca="1">IF($B$1&gt;=$B24,COUNTIFS(РД[Дата подачи на регистрацию],"&gt;="&amp;DATE(YEAR($B23),MONTH($B23),1),РД[Дата подачи на регистрацию],"&lt;"&amp;$B24,РД[Дом],$B$2,РД[Тип кв],C$3,РД[Состояние],"Продажа"),'ПП 402'!D40)</f>
        <v>0</v>
      </c>
      <c r="D23" s="274">
        <f ca="1">IF($B$1&gt;=$B24,COUNTIFS(РД[Дата подачи на регистрацию],"&gt;="&amp;DATE(YEAR($B23),MONTH($B23),1),РД[Дата подачи на регистрацию],"&lt;"&amp;$B24,РД[Дом],$B$2,РД[Тип кв],D$3,РД[Состояние],"Продажа"),'ПП 402'!E40)</f>
        <v>3</v>
      </c>
      <c r="E23" s="274">
        <f ca="1">IF($B$1&gt;=$B24,COUNTIFS(РД[Дата подачи на регистрацию],"&gt;="&amp;DATE(YEAR($B23),MONTH($B23),1),РД[Дата подачи на регистрацию],"&lt;"&amp;$B24,РД[Дом],$B$2,РД[Тип кв],E$3,РД[Состояние],"Продажа"),'ПП 402'!F40)</f>
        <v>2</v>
      </c>
      <c r="F23" s="274">
        <f ca="1">IF($B$1&gt;=$B24,COUNTIFS(РД[Дата подачи на регистрацию],"&gt;="&amp;DATE(YEAR($B23),MONTH($B23),1),РД[Дата подачи на регистрацию],"&lt;"&amp;$B24,РД[Дом],$B$2,РД[Тип кв],F$3,РД[Состояние],"Продажа"),'ПП 402'!G40)</f>
        <v>0</v>
      </c>
      <c r="G23" s="333">
        <f ca="1">SUM($C$23:F23)</f>
        <v>5</v>
      </c>
      <c r="H23" s="275">
        <f ca="1">IF($B$1&gt;=B24,SUMIFS(РД[S],РД[Дом],$B$2,РД[Состояние],"Продажа",РД[Дата подачи на регистрацию],"&gt;="&amp;DATE(YEAR($B23),MONTH($B23),1),РД[Дата подачи на регистрацию],"&lt;"&amp;$B24),'ПП 402'!I40)</f>
        <v>249.45</v>
      </c>
      <c r="I23" s="276">
        <f ca="1">IF($B$1&gt;=B24,SUMIFS(РД[Стоимость без отделки итог],РД[Дом],$B$2,РД[Состояние],"Продажа",РД[Дата подачи на регистрацию],"&gt;="&amp;DATE(YEAR($B23),MONTH($B23),1),РД[Дата подачи на регистрацию],"&lt;"&amp;$B24),'ПП 402'!L40)</f>
        <v>30207764</v>
      </c>
      <c r="J23" s="275">
        <f t="shared" ca="1" si="3"/>
        <v>121097.47043495691</v>
      </c>
    </row>
    <row r="24" spans="2:10" x14ac:dyDescent="0.25">
      <c r="B24" s="273">
        <v>45809</v>
      </c>
      <c r="C24" s="274">
        <f ca="1">IF($B$1&gt;=$B25,COUNTIFS(РД[Дата подачи на регистрацию],"&gt;="&amp;DATE(YEAR($B24),MONTH($B24),1),РД[Дата подачи на регистрацию],"&lt;"&amp;$B25,РД[Дом],$B$2,РД[Тип кв],C$3,РД[Состояние],"Продажа"),'ПП 402'!D41)</f>
        <v>0</v>
      </c>
      <c r="D24" s="274">
        <f ca="1">IF($B$1&gt;=$B25,COUNTIFS(РД[Дата подачи на регистрацию],"&gt;="&amp;DATE(YEAR($B24),MONTH($B24),1),РД[Дата подачи на регистрацию],"&lt;"&amp;$B25,РД[Дом],$B$2,РД[Тип кв],D$3,РД[Состояние],"Продажа"),'ПП 402'!E41)</f>
        <v>2</v>
      </c>
      <c r="E24" s="274">
        <f ca="1">IF($B$1&gt;=$B25,COUNTIFS(РД[Дата подачи на регистрацию],"&gt;="&amp;DATE(YEAR($B24),MONTH($B24),1),РД[Дата подачи на регистрацию],"&lt;"&amp;$B25,РД[Дом],$B$2,РД[Тип кв],E$3,РД[Состояние],"Продажа"),'ПП 402'!F41)</f>
        <v>2</v>
      </c>
      <c r="F24" s="274">
        <f ca="1">IF($B$1&gt;=$B25,COUNTIFS(РД[Дата подачи на регистрацию],"&gt;="&amp;DATE(YEAR($B24),MONTH($B24),1),РД[Дата подачи на регистрацию],"&lt;"&amp;$B25,РД[Дом],$B$2,РД[Тип кв],F$3,РД[Состояние],"Продажа"),'ПП 402'!G41)</f>
        <v>0</v>
      </c>
      <c r="G24" s="333">
        <f ca="1">SUM($C$24:F24)</f>
        <v>4</v>
      </c>
      <c r="H24" s="275">
        <f ca="1">IF($B$1&gt;=B25,SUMIFS(РД[S],РД[Дом],$B$2,РД[Состояние],"Продажа",РД[Дата подачи на регистрацию],"&gt;="&amp;DATE(YEAR($B24),MONTH($B24),1),РД[Дата подачи на регистрацию],"&lt;"&amp;$B25),'ПП 402'!I41)</f>
        <v>195.35999999999999</v>
      </c>
      <c r="I24" s="276">
        <f ca="1">IF($B$1&gt;=B25,SUMIFS(РД[Стоимость без отделки итог],РД[Дом],$B$2,РД[Состояние],"Продажа",РД[Дата подачи на регистрацию],"&gt;="&amp;DATE(YEAR($B24),MONTH($B24),1),РД[Дата подачи на регистрацию],"&lt;"&amp;$B25),'ПП 402'!L41)</f>
        <v>23624076</v>
      </c>
      <c r="J24" s="275">
        <f t="shared" ca="1" si="3"/>
        <v>120925.85995085996</v>
      </c>
    </row>
    <row r="25" spans="2:10" x14ac:dyDescent="0.25">
      <c r="B25" s="273">
        <v>45839</v>
      </c>
      <c r="C25" s="274">
        <f ca="1">IF($B$1&gt;=$B26,COUNTIFS(РД[Дата подачи на регистрацию],"&gt;="&amp;DATE(YEAR($B25),MONTH($B25),1),РД[Дата подачи на регистрацию],"&lt;"&amp;$B26,РД[Дом],$B$2,РД[Тип кв],C$3,РД[Состояние],"Продажа"),'ПП 402'!D42)</f>
        <v>0</v>
      </c>
      <c r="D25" s="274">
        <f ca="1">IF($B$1&gt;=$B26,COUNTIFS(РД[Дата подачи на регистрацию],"&gt;="&amp;DATE(YEAR($B25),MONTH($B25),1),РД[Дата подачи на регистрацию],"&lt;"&amp;$B26,РД[Дом],$B$2,РД[Тип кв],D$3,РД[Состояние],"Продажа"),'ПП 402'!E42)</f>
        <v>5</v>
      </c>
      <c r="E25" s="274">
        <f ca="1">IF($B$1&gt;=$B26,COUNTIFS(РД[Дата подачи на регистрацию],"&gt;="&amp;DATE(YEAR($B25),MONTH($B25),1),РД[Дата подачи на регистрацию],"&lt;"&amp;$B26,РД[Дом],$B$2,РД[Тип кв],E$3,РД[Состояние],"Продажа"),'ПП 402'!F42)</f>
        <v>1</v>
      </c>
      <c r="F25" s="274">
        <f ca="1">IF($B$1&gt;=$B26,COUNTIFS(РД[Дата подачи на регистрацию],"&gt;="&amp;DATE(YEAR($B25),MONTH($B25),1),РД[Дата подачи на регистрацию],"&lt;"&amp;$B26,РД[Дом],$B$2,РД[Тип кв],F$3,РД[Состояние],"Продажа"),'ПП 402'!G42)</f>
        <v>0</v>
      </c>
      <c r="G25" s="333">
        <f ca="1">SUM($C$25:F25)</f>
        <v>6</v>
      </c>
      <c r="H25" s="275">
        <f ca="1">IF($B$1&gt;=B26,SUMIFS(РД[S],РД[Дом],$B$2,РД[Состояние],"Продажа",РД[Дата подачи на регистрацию],"&gt;="&amp;DATE(YEAR($B25),MONTH($B25),1),РД[Дата подачи на регистрацию],"&lt;"&amp;$B26),'ПП 402'!I42)</f>
        <v>254.42000000000002</v>
      </c>
      <c r="I25" s="276">
        <f ca="1">IF($B$1&gt;=B26,SUMIFS(РД[Стоимость без отделки итог],РД[Дом],$B$2,РД[Состояние],"Продажа",РД[Дата подачи на регистрацию],"&gt;="&amp;DATE(YEAR($B25),MONTH($B25),1),РД[Дата подачи на регистрацию],"&lt;"&amp;$B26),'ПП 402'!L42)</f>
        <v>31642630</v>
      </c>
      <c r="J25" s="275">
        <f t="shared" ca="1" si="3"/>
        <v>124371.62958886879</v>
      </c>
    </row>
    <row r="26" spans="2:10" x14ac:dyDescent="0.25">
      <c r="B26" s="38">
        <v>45870</v>
      </c>
      <c r="C26" s="148">
        <f ca="1">IF($B$1&gt;=$B27,COUNTIFS(РД[Дата подачи на регистрацию],"&gt;="&amp;DATE(YEAR($B26),MONTH($B26),1),РД[Дата подачи на регистрацию],"&lt;"&amp;$B27,РД[Дом],$B$2,РД[Тип кв],C$3,РД[Состояние],"Продажа"),'ПП 402'!D43)</f>
        <v>0</v>
      </c>
      <c r="D26" s="148">
        <f ca="1">IF($B$1&gt;=$B27,COUNTIFS(РД[Дата подачи на регистрацию],"&gt;="&amp;DATE(YEAR($B26),MONTH($B26),1),РД[Дата подачи на регистрацию],"&lt;"&amp;$B27,РД[Дом],$B$2,РД[Тип кв],D$3,РД[Состояние],"Продажа"),'ПП 402'!E43)</f>
        <v>4</v>
      </c>
      <c r="E26" s="148">
        <f ca="1">IF($B$1&gt;=$B27,COUNTIFS(РД[Дата подачи на регистрацию],"&gt;="&amp;DATE(YEAR($B26),MONTH($B26),1),РД[Дата подачи на регистрацию],"&lt;"&amp;$B27,РД[Дом],$B$2,РД[Тип кв],E$3,РД[Состояние],"Продажа"),'ПП 402'!F43)</f>
        <v>8</v>
      </c>
      <c r="F26" s="148">
        <f ca="1">IF($B$1&gt;=$B27,COUNTIFS(РД[Дата подачи на регистрацию],"&gt;="&amp;DATE(YEAR($B26),MONTH($B26),1),РД[Дата подачи на регистрацию],"&lt;"&amp;$B27,РД[Дом],$B$2,РД[Тип кв],F$3,РД[Состояние],"Продажа"),'ПП 402'!G43)</f>
        <v>0</v>
      </c>
      <c r="G26" s="149">
        <f ca="1">SUM($C$26:F26)</f>
        <v>12</v>
      </c>
      <c r="H26" s="150">
        <f ca="1">IF($B$1&gt;=B27,SUMIFS(РД[S],РД[Дом],$B$2,РД[Состояние],"Продажа",РД[Дата подачи на регистрацию],"&gt;="&amp;DATE(YEAR($B26),MONTH($B26),1),РД[Дата подачи на регистрацию],"&lt;"&amp;$B27),'ПП 402'!I43)</f>
        <v>629.36175084174988</v>
      </c>
      <c r="I26" s="151">
        <f ca="1">IF($B$1&gt;=B27,SUMIFS(РД[Стоимость без отделки итог],РД[Дом],$B$2,РД[Состояние],"Продажа",РД[Дата подачи на регистрацию],"&gt;="&amp;DATE(YEAR($B26),MONTH($B26),1),РД[Дата подачи на регистрацию],"&lt;"&amp;$B27),'ПП 402'!L43)</f>
        <v>78502723.58922559</v>
      </c>
      <c r="J26" s="47">
        <f t="shared" ca="1" si="3"/>
        <v>124733.86487855494</v>
      </c>
    </row>
    <row r="27" spans="2:10" x14ac:dyDescent="0.25">
      <c r="B27" s="38">
        <v>45901</v>
      </c>
      <c r="C27" s="148">
        <f ca="1">IF($B$1&gt;=$B28,COUNTIFS(РД[Дата подачи на регистрацию],"&gt;="&amp;DATE(YEAR($B27),MONTH($B27),1),РД[Дата подачи на регистрацию],"&lt;"&amp;$B28,РД[Дом],$B$2,РД[Тип кв],C$3,РД[Состояние],"Продажа"),'ПП 402'!D44)</f>
        <v>2</v>
      </c>
      <c r="D27" s="148">
        <f ca="1">IF($B$1&gt;=$B28,COUNTIFS(РД[Дата подачи на регистрацию],"&gt;="&amp;DATE(YEAR($B27),MONTH($B27),1),РД[Дата подачи на регистрацию],"&lt;"&amp;$B28,РД[Дом],$B$2,РД[Тип кв],D$3,РД[Состояние],"Продажа"),'ПП 402'!E44)</f>
        <v>5</v>
      </c>
      <c r="E27" s="148">
        <f ca="1">IF($B$1&gt;=$B28,COUNTIFS(РД[Дата подачи на регистрацию],"&gt;="&amp;DATE(YEAR($B27),MONTH($B27),1),РД[Дата подачи на регистрацию],"&lt;"&amp;$B28,РД[Дом],$B$2,РД[Тип кв],E$3,РД[Состояние],"Продажа"),'ПП 402'!F44)</f>
        <v>7</v>
      </c>
      <c r="F27" s="148">
        <f ca="1">IF($B$1&gt;=$B28,COUNTIFS(РД[Дата подачи на регистрацию],"&gt;="&amp;DATE(YEAR($B27),MONTH($B27),1),РД[Дата подачи на регистрацию],"&lt;"&amp;$B28,РД[Дом],$B$2,РД[Тип кв],F$3,РД[Состояние],"Продажа"),'ПП 402'!G44)</f>
        <v>0</v>
      </c>
      <c r="G27" s="149">
        <f ca="1">SUM($C$27:F27)</f>
        <v>14</v>
      </c>
      <c r="H27" s="150">
        <f ca="1">IF($B$1&gt;=B28,SUMIFS(РД[S],РД[Дом],$B$2,РД[Состояние],"Продажа",РД[Дата подачи на регистрацию],"&gt;="&amp;DATE(YEAR($B27),MONTH($B27),1),РД[Дата подачи на регистрацию],"&lt;"&amp;$B28),'ПП 402'!I44)</f>
        <v>669.72306019969733</v>
      </c>
      <c r="I27" s="151">
        <f ca="1">IF($B$1&gt;=B28,SUMIFS(РД[Стоимость без отделки итог],РД[Дом],$B$2,РД[Состояние],"Продажа",РД[Дата подачи на регистрацию],"&gt;="&amp;DATE(YEAR($B27),MONTH($B27),1),РД[Дата подачи на регистрацию],"&lt;"&amp;$B28),'ПП 402'!L44)</f>
        <v>84923327.570823178</v>
      </c>
      <c r="J27" s="47">
        <f t="shared" ca="1" si="3"/>
        <v>126803.64857901238</v>
      </c>
    </row>
    <row r="28" spans="2:10" x14ac:dyDescent="0.25">
      <c r="B28" s="38">
        <v>45931</v>
      </c>
      <c r="C28" s="148">
        <f ca="1">IF($B$1&gt;=$B29,COUNTIFS(РД[Дата подачи на регистрацию],"&gt;="&amp;DATE(YEAR($B28),MONTH($B28),1),РД[Дата подачи на регистрацию],"&lt;"&amp;$B29,РД[Дом],$B$2,РД[Тип кв],C$3,РД[Состояние],"Продажа"),'ПП 402'!D45)</f>
        <v>3</v>
      </c>
      <c r="D28" s="148">
        <f ca="1">IF($B$1&gt;=$B29,COUNTIFS(РД[Дата подачи на регистрацию],"&gt;="&amp;DATE(YEAR($B28),MONTH($B28),1),РД[Дата подачи на регистрацию],"&lt;"&amp;$B29,РД[Дом],$B$2,РД[Тип кв],D$3,РД[Состояние],"Продажа"),'ПП 402'!E45)</f>
        <v>5</v>
      </c>
      <c r="E28" s="148">
        <f ca="1">IF($B$1&gt;=$B29,COUNTIFS(РД[Дата подачи на регистрацию],"&gt;="&amp;DATE(YEAR($B28),MONTH($B28),1),РД[Дата подачи на регистрацию],"&lt;"&amp;$B29,РД[Дом],$B$2,РД[Тип кв],E$3,РД[Состояние],"Продажа"),'ПП 402'!F45)</f>
        <v>7</v>
      </c>
      <c r="F28" s="148">
        <f ca="1">IF($B$1&gt;=$B29,COUNTIFS(РД[Дата подачи на регистрацию],"&gt;="&amp;DATE(YEAR($B28),MONTH($B28),1),РД[Дата подачи на регистрацию],"&lt;"&amp;$B29,РД[Дом],$B$2,РД[Тип кв],F$3,РД[Состояние],"Продажа"),'ПП 402'!G45)</f>
        <v>1</v>
      </c>
      <c r="G28" s="149">
        <f ca="1">SUM($C$28:F28)</f>
        <v>16</v>
      </c>
      <c r="H28" s="150">
        <f ca="1">IF($B$1&gt;=B29,SUMIFS(РД[S],РД[Дом],$B$2,РД[Состояние],"Продажа",РД[Дата подачи на регистрацию],"&gt;="&amp;DATE(YEAR($B28),MONTH($B28),1),РД[Дата подачи на регистрацию],"&lt;"&amp;$B29),'ПП 402'!I45)</f>
        <v>777.12030157900767</v>
      </c>
      <c r="I28" s="151">
        <f ca="1">IF($B$1&gt;=B29,SUMIFS(РД[Стоимость без отделки итог],РД[Дом],$B$2,РД[Состояние],"Продажа",РД[Дата подачи на регистрацию],"&gt;="&amp;DATE(YEAR($B28),MONTH($B28),1),РД[Дата подачи на регистрацию],"&lt;"&amp;$B29),'ПП 402'!L45)</f>
        <v>98810979.531876251</v>
      </c>
      <c r="J28" s="47">
        <f t="shared" ca="1" si="3"/>
        <v>127150.17138415397</v>
      </c>
    </row>
    <row r="29" spans="2:10" x14ac:dyDescent="0.25">
      <c r="B29" s="38">
        <v>45962</v>
      </c>
      <c r="C29" s="148">
        <f ca="1">IF($B$1&gt;=$B30,COUNTIFS(РД[Дата подачи на регистрацию],"&gt;="&amp;DATE(YEAR($B29),MONTH($B29),1),РД[Дата подачи на регистрацию],"&lt;"&amp;$B30,РД[Дом],$B$2,РД[Тип кв],C$3,РД[Состояние],"Продажа"),'ПП 402'!D46)</f>
        <v>4</v>
      </c>
      <c r="D29" s="148">
        <f ca="1">IF($B$1&gt;=$B30,COUNTIFS(РД[Дата подачи на регистрацию],"&gt;="&amp;DATE(YEAR($B29),MONTH($B29),1),РД[Дата подачи на регистрацию],"&lt;"&amp;$B30,РД[Дом],$B$2,РД[Тип кв],D$3,РД[Состояние],"Продажа"),'ПП 402'!E46)</f>
        <v>5</v>
      </c>
      <c r="E29" s="148">
        <f ca="1">IF($B$1&gt;=$B30,COUNTIFS(РД[Дата подачи на регистрацию],"&gt;="&amp;DATE(YEAR($B29),MONTH($B29),1),РД[Дата подачи на регистрацию],"&lt;"&amp;$B30,РД[Дом],$B$2,РД[Тип кв],E$3,РД[Состояние],"Продажа"),'ПП 402'!F46)</f>
        <v>5</v>
      </c>
      <c r="F29" s="148">
        <f ca="1">IF($B$1&gt;=$B30,COUNTIFS(РД[Дата подачи на регистрацию],"&gt;="&amp;DATE(YEAR($B29),MONTH($B29),1),РД[Дата подачи на регистрацию],"&lt;"&amp;$B30,РД[Дом],$B$2,РД[Тип кв],F$3,РД[Состояние],"Продажа"),'ПП 402'!G46)</f>
        <v>1</v>
      </c>
      <c r="G29" s="149">
        <f ca="1">SUM(C29:F29)</f>
        <v>15</v>
      </c>
      <c r="H29" s="150">
        <f ca="1">IF($B$1&gt;=B30,SUMIFS(РД[S],РД[Дом],$B$2,РД[Состояние],"Продажа",РД[Дата подачи на регистрацию],"&gt;="&amp;DATE(YEAR($B29),MONTH($B29),1),РД[Дата подачи на регистрацию],"&lt;"&amp;$B30),'ПП 402'!I46)</f>
        <v>689.38846888424416</v>
      </c>
      <c r="I29" s="151">
        <f ca="1">IF($B$1&gt;=B30,SUMIFS(РД[Стоимость без отделки итог],РД[Дом],$B$2,РД[Состояние],"Продажа",РД[Дата подачи на регистрацию],"&gt;="&amp;DATE(YEAR($B29),MONTH($B29),1),РД[Дата подачи на регистрацию],"&lt;"&amp;$B30),'ПП 402'!L46)</f>
        <v>88519166.471850693</v>
      </c>
      <c r="J29" s="47">
        <f t="shared" ca="1" si="3"/>
        <v>128402.44719369397</v>
      </c>
    </row>
    <row r="30" spans="2:10" x14ac:dyDescent="0.25">
      <c r="B30" s="38">
        <v>45992</v>
      </c>
      <c r="C30" s="148">
        <f ca="1">IF($B$1&gt;=$B34,COUNTIFS(РД[Дата подачи на регистрацию],"&gt;="&amp;DATE(YEAR($B30),MONTH($B30),1),РД[Дата подачи на регистрацию],"&lt;"&amp;$B34,РД[Дом],$B$2,РД[Тип кв],C$3,РД[Состояние],"Продажа"),'ПП 402'!D47)</f>
        <v>4</v>
      </c>
      <c r="D30" s="148">
        <f ca="1">IF($B$1&gt;=$B34,COUNTIFS(РД[Дата подачи на регистрацию],"&gt;="&amp;DATE(YEAR($B30),MONTH($B30),1),РД[Дата подачи на регистрацию],"&lt;"&amp;$B34,РД[Дом],$B$2,РД[Тип кв],D$3,РД[Состояние],"Продажа"),'ПП 402'!E47)</f>
        <v>7</v>
      </c>
      <c r="E30" s="148">
        <f ca="1">IF($B$1&gt;=$B34,COUNTIFS(РД[Дата подачи на регистрацию],"&gt;="&amp;DATE(YEAR($B30),MONTH($B30),1),РД[Дата подачи на регистрацию],"&lt;"&amp;$B34,РД[Дом],$B$2,РД[Тип кв],E$3,РД[Состояние],"Продажа"),'ПП 402'!F47)</f>
        <v>4</v>
      </c>
      <c r="F30" s="148">
        <f ca="1">IF($B$1&gt;=$B34,COUNTIFS(РД[Дата подачи на регистрацию],"&gt;="&amp;DATE(YEAR($B30),MONTH($B30),1),РД[Дата подачи на регистрацию],"&lt;"&amp;$B34,РД[Дом],$B$2,РД[Тип кв],F$3,РД[Состояние],"Продажа"),'ПП 402'!G47)</f>
        <v>1</v>
      </c>
      <c r="G30" s="149">
        <f ca="1">SUM(C30:F30)</f>
        <v>16</v>
      </c>
      <c r="H30" s="150">
        <f ca="1">IF($B$1&gt;=B34,SUMIFS(РД[S],РД[Дом],$B$2,РД[Состояние],"Продажа",РД[Дата подачи на регистрацию],"&gt;="&amp;DATE(YEAR($B30),MONTH($B30),1),РД[Дата подачи на регистрацию],"&lt;"&amp;$B34),'ПП 402'!I47)</f>
        <v>711.6466591199345</v>
      </c>
      <c r="I30" s="151">
        <f ca="1">IF($B$1&gt;=B34,SUMIFS(РД[Стоимость без отделки итог],РД[Дом],$B$2,РД[Состояние],"Продажа",РД[Дата подачи на регистрацию],"&gt;="&amp;DATE(YEAR($B30),MONTH($B30),1),РД[Дата подачи на регистрацию],"&lt;"&amp;$B34),'ПП 402'!L47)</f>
        <v>92840753.170943931</v>
      </c>
      <c r="J30" s="47">
        <f t="shared" ca="1" si="3"/>
        <v>130459.0585526762</v>
      </c>
    </row>
    <row r="31" spans="2:10" x14ac:dyDescent="0.25">
      <c r="B31" s="154" t="s">
        <v>4561</v>
      </c>
      <c r="C31" s="155">
        <f t="shared" ref="C31:I31" ca="1" si="4">SUM(C19:C30)</f>
        <v>15</v>
      </c>
      <c r="D31" s="155">
        <f t="shared" ca="1" si="4"/>
        <v>71</v>
      </c>
      <c r="E31" s="155">
        <f t="shared" ca="1" si="4"/>
        <v>50</v>
      </c>
      <c r="F31" s="155">
        <f t="shared" ca="1" si="4"/>
        <v>3</v>
      </c>
      <c r="G31" s="155">
        <f t="shared" ca="1" si="4"/>
        <v>139</v>
      </c>
      <c r="H31" s="155">
        <f t="shared" ca="1" si="4"/>
        <v>6391.8502406246334</v>
      </c>
      <c r="I31" s="155">
        <f t="shared" ca="1" si="4"/>
        <v>805279300.33471966</v>
      </c>
      <c r="J31" s="156">
        <f ca="1">IFERROR(I31/H31,)</f>
        <v>125985.32037196557</v>
      </c>
    </row>
    <row r="32" spans="2:10" x14ac:dyDescent="0.25">
      <c r="C32" s="152"/>
      <c r="D32" s="152"/>
      <c r="E32" s="152"/>
      <c r="F32" s="152"/>
      <c r="G32" s="152"/>
      <c r="H32" s="179"/>
      <c r="I32" s="153"/>
      <c r="J32" s="32"/>
    </row>
    <row r="33" spans="2:10" ht="15.75" x14ac:dyDescent="0.25">
      <c r="B33" s="157" t="s">
        <v>0</v>
      </c>
      <c r="C33" s="158">
        <v>0</v>
      </c>
      <c r="D33" s="159">
        <v>1</v>
      </c>
      <c r="E33" s="159">
        <v>2</v>
      </c>
      <c r="F33" s="159">
        <v>3</v>
      </c>
      <c r="G33" s="160" t="s">
        <v>59</v>
      </c>
      <c r="H33" s="180" t="s">
        <v>51</v>
      </c>
      <c r="I33" s="161" t="s">
        <v>58</v>
      </c>
      <c r="J33" s="161" t="s">
        <v>17</v>
      </c>
    </row>
    <row r="34" spans="2:10" x14ac:dyDescent="0.25">
      <c r="B34" s="38">
        <v>46023</v>
      </c>
      <c r="C34" s="148">
        <f ca="1">IF($B$1&gt;=$B35,COUNTIFS(РД[Дата подачи на регистрацию],"&gt;="&amp;DATE(YEAR($B34),MONTH($B34),1),РД[Дата подачи на регистрацию],"&lt;"&amp;$B35,РД[Дом],$B$2,РД[Тип кв],C$3,РД[Состояние],"Продажа"),'ПП 402'!D52)</f>
        <v>2</v>
      </c>
      <c r="D34" s="148">
        <f ca="1">IF($B$1&gt;=$B35,COUNTIFS(РД[Дата подачи на регистрацию],"&gt;="&amp;DATE(YEAR($B34),MONTH($B34),1),РД[Дата подачи на регистрацию],"&lt;"&amp;$B35,РД[Дом],$B$2,РД[Тип кв],D$3,РД[Состояние],"Продажа"),'ПП 402'!E52)</f>
        <v>1</v>
      </c>
      <c r="E34" s="148">
        <f ca="1">IF($B$1&gt;=$B35,COUNTIFS(РД[Дата подачи на регистрацию],"&gt;="&amp;DATE(YEAR($B34),MONTH($B34),1),РД[Дата подачи на регистрацию],"&lt;"&amp;$B35,РД[Дом],$B$2,РД[Тип кв],E$3,РД[Состояние],"Продажа"),'ПП 402'!F52)</f>
        <v>5</v>
      </c>
      <c r="F34" s="148">
        <f ca="1">IF($B$1&gt;=$B35,COUNTIFS(РД[Дата подачи на регистрацию],"&gt;="&amp;DATE(YEAR($B34),MONTH($B34),1),РД[Дата подачи на регистрацию],"&lt;"&amp;$B35,РД[Дом],$B$2,РД[Тип кв],F$3,РД[Состояние],"Продажа"),'ПП 402'!G52)</f>
        <v>0</v>
      </c>
      <c r="G34" s="149">
        <f ca="1">SUM(C34:F34)</f>
        <v>8</v>
      </c>
      <c r="H34" s="150">
        <f ca="1">IF($B$1&gt;=B35,SUMIFS(РД[S],РД[Дом],$B$2,РД[Состояние],"Продажа",РД[Дата подачи на регистрацию],"&gt;="&amp;DATE(YEAR($B34),MONTH($B34),1),РД[Дата подачи на регистрацию],"&lt;"&amp;$B35),'ПП 402'!I52)</f>
        <v>391.268531580169</v>
      </c>
      <c r="I34" s="151">
        <f ca="1">IF($B$1&gt;=B35,SUMIFS(РД[Стоимость без отделки итог],РД[Дом],$B$2,РД[Состояние],"Продажа",РД[Дата подачи на регистрацию],"&gt;="&amp;DATE(YEAR($B34),MONTH($B34),1),РД[Дата подачи на регистрацию],"&lt;"&amp;$B35),'ПП 402'!L52)</f>
        <v>50458491.727896214</v>
      </c>
      <c r="J34" s="47">
        <f ca="1">IFERROR(I34/H34,)</f>
        <v>128961.28273877685</v>
      </c>
    </row>
    <row r="35" spans="2:10" x14ac:dyDescent="0.25">
      <c r="B35" s="38">
        <v>46054</v>
      </c>
      <c r="C35" s="148">
        <f ca="1">IF($B$1&gt;=$B36,COUNTIFS(РД[Дата подачи на регистрацию],"&gt;="&amp;DATE(YEAR($B35),MONTH($B35),1),РД[Дата подачи на регистрацию],"&lt;"&amp;$B36,РД[Дом],$B$2,РД[Тип кв],C$3,РД[Состояние],"Продажа"),'ПП 402'!D53)</f>
        <v>2</v>
      </c>
      <c r="D35" s="148">
        <f ca="1">IF($B$1&gt;=$B36,COUNTIFS(РД[Дата подачи на регистрацию],"&gt;="&amp;DATE(YEAR($B35),MONTH($B35),1),РД[Дата подачи на регистрацию],"&lt;"&amp;$B36,РД[Дом],$B$2,РД[Тип кв],D$3,РД[Состояние],"Продажа"),'ПП 402'!E53)</f>
        <v>1</v>
      </c>
      <c r="E35" s="148">
        <f ca="1">IF($B$1&gt;=$B36,COUNTIFS(РД[Дата подачи на регистрацию],"&gt;="&amp;DATE(YEAR($B35),MONTH($B35),1),РД[Дата подачи на регистрацию],"&lt;"&amp;$B36,РД[Дом],$B$2,РД[Тип кв],E$3,РД[Состояние],"Продажа"),'ПП 402'!F53)</f>
        <v>5</v>
      </c>
      <c r="F35" s="148">
        <f ca="1">IF($B$1&gt;=$B36,COUNTIFS(РД[Дата подачи на регистрацию],"&gt;="&amp;DATE(YEAR($B35),MONTH($B35),1),РД[Дата подачи на регистрацию],"&lt;"&amp;$B36,РД[Дом],$B$2,РД[Тип кв],F$3,РД[Состояние],"Продажа"),'ПП 402'!G53)</f>
        <v>0</v>
      </c>
      <c r="G35" s="149">
        <f t="shared" ref="G35:G45" ca="1" si="5">SUM(C35:F35)</f>
        <v>8</v>
      </c>
      <c r="H35" s="150">
        <f ca="1">IF($B$1&gt;=B36,SUMIFS(РД[S],РД[Дом],$B$2,РД[Состояние],"Продажа",РД[Дата подачи на регистрацию],"&gt;="&amp;DATE(YEAR($B35),MONTH($B35),1),РД[Дата подачи на регистрацию],"&lt;"&amp;$B36),'ПП 402'!I53)</f>
        <v>391.268531580169</v>
      </c>
      <c r="I35" s="151">
        <f ca="1">IF($B$1&gt;=B36,SUMIFS(РД[Стоимость без отделки итог],РД[Дом],$B$2,РД[Состояние],"Продажа",РД[Дата подачи на регистрацию],"&gt;="&amp;DATE(YEAR($B35),MONTH($B35),1),РД[Дата подачи на регистрацию],"&lt;"&amp;$B36),'ПП 402'!L53)</f>
        <v>50953182.823267743</v>
      </c>
      <c r="J35" s="47">
        <f t="shared" ref="J35:J45" ca="1" si="6">IFERROR(I35/H35,)</f>
        <v>130225.60904013741</v>
      </c>
    </row>
    <row r="36" spans="2:10" x14ac:dyDescent="0.25">
      <c r="B36" s="38">
        <v>46082</v>
      </c>
      <c r="C36" s="148">
        <f ca="1">IF($B$1&gt;=$B37,COUNTIFS(РД[Дата подачи на регистрацию],"&gt;="&amp;DATE(YEAR($B36),MONTH($B36),1),РД[Дата подачи на регистрацию],"&lt;"&amp;$B37,РД[Дом],$B$2,РД[Тип кв],C$3,РД[Состояние],"Продажа"),'ПП 402'!D54)</f>
        <v>2</v>
      </c>
      <c r="D36" s="148">
        <f ca="1">IF($B$1&gt;=$B37,COUNTIFS(РД[Дата подачи на регистрацию],"&gt;="&amp;DATE(YEAR($B36),MONTH($B36),1),РД[Дата подачи на регистрацию],"&lt;"&amp;$B37,РД[Дом],$B$2,РД[Тип кв],D$3,РД[Состояние],"Продажа"),'ПП 402'!E54)</f>
        <v>1</v>
      </c>
      <c r="E36" s="148">
        <f ca="1">IF($B$1&gt;=$B37,COUNTIFS(РД[Дата подачи на регистрацию],"&gt;="&amp;DATE(YEAR($B36),MONTH($B36),1),РД[Дата подачи на регистрацию],"&lt;"&amp;$B37,РД[Дом],$B$2,РД[Тип кв],E$3,РД[Состояние],"Продажа"),'ПП 402'!F54)</f>
        <v>5</v>
      </c>
      <c r="F36" s="148">
        <f ca="1">IF($B$1&gt;=$B37,COUNTIFS(РД[Дата подачи на регистрацию],"&gt;="&amp;DATE(YEAR($B36),MONTH($B36),1),РД[Дата подачи на регистрацию],"&lt;"&amp;$B37,РД[Дом],$B$2,РД[Тип кв],F$3,РД[Состояние],"Продажа"),'ПП 402'!G54)</f>
        <v>0</v>
      </c>
      <c r="G36" s="149">
        <f t="shared" ca="1" si="5"/>
        <v>8</v>
      </c>
      <c r="H36" s="150">
        <f ca="1">IF($B$1&gt;=B37,SUMIFS(РД[S],РД[Дом],$B$2,РД[Состояние],"Продажа",РД[Дата подачи на регистрацию],"&gt;="&amp;DATE(YEAR($B36),MONTH($B36),1),РД[Дата подачи на регистрацию],"&lt;"&amp;$B37),'ПП 402'!I54)</f>
        <v>391.268531580169</v>
      </c>
      <c r="I36" s="151">
        <f ca="1">IF($B$1&gt;=B37,SUMIFS(РД[Стоимость без отделки итог],РД[Дом],$B$2,РД[Состояние],"Продажа",РД[Дата подачи на регистрацию],"&gt;="&amp;DATE(YEAR($B36),MONTH($B36),1),РД[Дата подачи на регистрацию],"&lt;"&amp;$B37),'ПП 402'!L54)</f>
        <v>50953182.823267743</v>
      </c>
      <c r="J36" s="47">
        <f t="shared" ca="1" si="6"/>
        <v>130225.60904013741</v>
      </c>
    </row>
    <row r="37" spans="2:10" x14ac:dyDescent="0.25">
      <c r="B37" s="38">
        <v>46113</v>
      </c>
      <c r="C37" s="148">
        <f ca="1">IF($B$1&gt;=$B38,COUNTIFS(РД[Дата подачи на регистрацию],"&gt;="&amp;DATE(YEAR($B37),MONTH($B37),1),РД[Дата подачи на регистрацию],"&lt;"&amp;$B38,РД[Дом],$B$2,РД[Тип кв],C$3,РД[Состояние],"Продажа"),'ПП 402'!D55)</f>
        <v>2</v>
      </c>
      <c r="D37" s="148">
        <f ca="1">IF($B$1&gt;=$B38,COUNTIFS(РД[Дата подачи на регистрацию],"&gt;="&amp;DATE(YEAR($B37),MONTH($B37),1),РД[Дата подачи на регистрацию],"&lt;"&amp;$B38,РД[Дом],$B$2,РД[Тип кв],D$3,РД[Состояние],"Продажа"),'ПП 402'!E55)</f>
        <v>1</v>
      </c>
      <c r="E37" s="148">
        <f ca="1">IF($B$1&gt;=$B38,COUNTIFS(РД[Дата подачи на регистрацию],"&gt;="&amp;DATE(YEAR($B37),MONTH($B37),1),РД[Дата подачи на регистрацию],"&lt;"&amp;$B38,РД[Дом],$B$2,РД[Тип кв],E$3,РД[Состояние],"Продажа"),'ПП 402'!F55)</f>
        <v>5</v>
      </c>
      <c r="F37" s="148">
        <f ca="1">IF($B$1&gt;=$B38,COUNTIFS(РД[Дата подачи на регистрацию],"&gt;="&amp;DATE(YEAR($B37),MONTH($B37),1),РД[Дата подачи на регистрацию],"&lt;"&amp;$B38,РД[Дом],$B$2,РД[Тип кв],F$3,РД[Состояние],"Продажа"),'ПП 402'!G55)</f>
        <v>0</v>
      </c>
      <c r="G37" s="149">
        <f t="shared" ca="1" si="5"/>
        <v>8</v>
      </c>
      <c r="H37" s="150">
        <f ca="1">IF($B$1&gt;=B38,SUMIFS(РД[S],РД[Дом],$B$2,РД[Состояние],"Продажа",РД[Дата подачи на регистрацию],"&gt;="&amp;DATE(YEAR($B37),MONTH($B37),1),РД[Дата подачи на регистрацию],"&lt;"&amp;$B38),'ПП 402'!I55)</f>
        <v>391.268531580169</v>
      </c>
      <c r="I37" s="151">
        <f ca="1">IF($B$1&gt;=B38,SUMIFS(РД[Стоимость без отделки итог],РД[Дом],$B$2,РД[Состояние],"Продажа",РД[Дата подачи на регистрацию],"&gt;="&amp;DATE(YEAR($B37),MONTH($B37),1),РД[Дата подачи на регистрацию],"&lt;"&amp;$B38),'ПП 402'!L55)</f>
        <v>51447873.918639272</v>
      </c>
      <c r="J37" s="47">
        <f t="shared" ca="1" si="6"/>
        <v>131489.93534149797</v>
      </c>
    </row>
    <row r="38" spans="2:10" x14ac:dyDescent="0.25">
      <c r="B38" s="38">
        <v>46143</v>
      </c>
      <c r="C38" s="148">
        <f ca="1">IF($B$1&gt;=$B39,COUNTIFS(РД[Дата подачи на регистрацию],"&gt;="&amp;DATE(YEAR($B38),MONTH($B38),1),РД[Дата подачи на регистрацию],"&lt;"&amp;$B39,РД[Дом],$B$2,РД[Тип кв],C$3,РД[Состояние],"Продажа"),'ПП 402'!D56)</f>
        <v>2</v>
      </c>
      <c r="D38" s="148">
        <f ca="1">IF($B$1&gt;=$B39,COUNTIFS(РД[Дата подачи на регистрацию],"&gt;="&amp;DATE(YEAR($B38),MONTH($B38),1),РД[Дата подачи на регистрацию],"&lt;"&amp;$B39,РД[Дом],$B$2,РД[Тип кв],D$3,РД[Состояние],"Продажа"),'ПП 402'!E56)</f>
        <v>1</v>
      </c>
      <c r="E38" s="148">
        <f ca="1">IF($B$1&gt;=$B39,COUNTIFS(РД[Дата подачи на регистрацию],"&gt;="&amp;DATE(YEAR($B38),MONTH($B38),1),РД[Дата подачи на регистрацию],"&lt;"&amp;$B39,РД[Дом],$B$2,РД[Тип кв],E$3,РД[Состояние],"Продажа"),'ПП 402'!F56)</f>
        <v>5</v>
      </c>
      <c r="F38" s="148">
        <f ca="1">IF($B$1&gt;=$B39,COUNTIFS(РД[Дата подачи на регистрацию],"&gt;="&amp;DATE(YEAR($B38),MONTH($B38),1),РД[Дата подачи на регистрацию],"&lt;"&amp;$B39,РД[Дом],$B$2,РД[Тип кв],F$3,РД[Состояние],"Продажа"),'ПП 402'!G56)</f>
        <v>0</v>
      </c>
      <c r="G38" s="149">
        <f t="shared" ca="1" si="5"/>
        <v>8</v>
      </c>
      <c r="H38" s="150">
        <f ca="1">IF($B$1&gt;=B39,SUMIFS(РД[S],РД[Дом],$B$2,РД[Состояние],"Продажа",РД[Дата подачи на регистрацию],"&gt;="&amp;DATE(YEAR($B38),MONTH($B38),1),РД[Дата подачи на регистрацию],"&lt;"&amp;$B39),'ПП 402'!I56)</f>
        <v>391.268531580169</v>
      </c>
      <c r="I38" s="151">
        <f ca="1">IF($B$1&gt;=B39,SUMIFS(РД[Стоимость без отделки итог],РД[Дом],$B$2,РД[Состояние],"Продажа",РД[Дата подачи на регистрацию],"&gt;="&amp;DATE(YEAR($B38),MONTH($B38),1),РД[Дата подачи на регистрацию],"&lt;"&amp;$B39),'ПП 402'!L56)</f>
        <v>51447873.918639272</v>
      </c>
      <c r="J38" s="47">
        <f t="shared" ca="1" si="6"/>
        <v>131489.93534149797</v>
      </c>
    </row>
    <row r="39" spans="2:10" x14ac:dyDescent="0.25">
      <c r="B39" s="38">
        <v>46174</v>
      </c>
      <c r="C39" s="148">
        <f ca="1">IF($B$1&gt;=$B40,COUNTIFS(РД[Дата подачи на регистрацию],"&gt;="&amp;DATE(YEAR($B39),MONTH($B39),1),РД[Дата подачи на регистрацию],"&lt;"&amp;$B40,РД[Дом],$B$2,РД[Тип кв],C$3,РД[Состояние],"Продажа"),'ПП 402'!D57)</f>
        <v>2</v>
      </c>
      <c r="D39" s="148">
        <f ca="1">IF($B$1&gt;=$B40,COUNTIFS(РД[Дата подачи на регистрацию],"&gt;="&amp;DATE(YEAR($B39),MONTH($B39),1),РД[Дата подачи на регистрацию],"&lt;"&amp;$B40,РД[Дом],$B$2,РД[Тип кв],D$3,РД[Состояние],"Продажа"),'ПП 402'!E57)</f>
        <v>0</v>
      </c>
      <c r="E39" s="148">
        <f ca="1">IF($B$1&gt;=$B40,COUNTIFS(РД[Дата подачи на регистрацию],"&gt;="&amp;DATE(YEAR($B39),MONTH($B39),1),РД[Дата подачи на регистрацию],"&lt;"&amp;$B40,РД[Дом],$B$2,РД[Тип кв],E$3,РД[Состояние],"Продажа"),'ПП 402'!F57)</f>
        <v>5</v>
      </c>
      <c r="F39" s="148">
        <f ca="1">IF($B$1&gt;=$B40,COUNTIFS(РД[Дата подачи на регистрацию],"&gt;="&amp;DATE(YEAR($B39),MONTH($B39),1),РД[Дата подачи на регистрацию],"&lt;"&amp;$B40,РД[Дом],$B$2,РД[Тип кв],F$3,РД[Состояние],"Продажа"),'ПП 402'!G57)</f>
        <v>0</v>
      </c>
      <c r="G39" s="149">
        <f t="shared" ca="1" si="5"/>
        <v>7</v>
      </c>
      <c r="H39" s="150">
        <f ca="1">IF($B$1&gt;=B40,SUMIFS(РД[S],РД[Дом],$B$2,РД[Состояние],"Продажа",РД[Дата подачи на регистрацию],"&gt;="&amp;DATE(YEAR($B39),MONTH($B39),1),РД[Дата подачи на регистрацию],"&lt;"&amp;$B40),'ПП 402'!I57)</f>
        <v>350.89716794380541</v>
      </c>
      <c r="I39" s="151">
        <f ca="1">IF($B$1&gt;=B40,SUMIFS(РД[Стоимость без отделки итог],РД[Дом],$B$2,РД[Состояние],"Продажа",РД[Дата подачи на регистрацию],"&gt;="&amp;DATE(YEAR($B39),MONTH($B39),1),РД[Дата подачи на регистрацию],"&lt;"&amp;$B40),'ПП 402'!L57)</f>
        <v>46402577.016283527</v>
      </c>
      <c r="J39" s="47">
        <f t="shared" ca="1" si="6"/>
        <v>132239.81626353477</v>
      </c>
    </row>
    <row r="40" spans="2:10" x14ac:dyDescent="0.25">
      <c r="B40" s="38">
        <v>46204</v>
      </c>
      <c r="C40" s="148">
        <f ca="1">IF($B$1&gt;=$B41,COUNTIFS(РД[Дата подачи на регистрацию],"&gt;="&amp;DATE(YEAR($B40),MONTH($B40),1),РД[Дата подачи на регистрацию],"&lt;"&amp;$B41,РД[Дом],$B$2,РД[Тип кв],C$3,РД[Состояние],"Продажа"),'ПП 402'!D58)</f>
        <v>2</v>
      </c>
      <c r="D40" s="148">
        <f ca="1">IF($B$1&gt;=$B41,COUNTIFS(РД[Дата подачи на регистрацию],"&gt;="&amp;DATE(YEAR($B40),MONTH($B40),1),РД[Дата подачи на регистрацию],"&lt;"&amp;$B41,РД[Дом],$B$2,РД[Тип кв],D$3,РД[Состояние],"Продажа"),'ПП 402'!E58)</f>
        <v>1</v>
      </c>
      <c r="E40" s="148">
        <f ca="1">IF($B$1&gt;=$B41,COUNTIFS(РД[Дата подачи на регистрацию],"&gt;="&amp;DATE(YEAR($B40),MONTH($B40),1),РД[Дата подачи на регистрацию],"&lt;"&amp;$B41,РД[Дом],$B$2,РД[Тип кв],E$3,РД[Состояние],"Продажа"),'ПП 402'!F58)</f>
        <v>5</v>
      </c>
      <c r="F40" s="148">
        <f ca="1">IF($B$1&gt;=$B41,COUNTIFS(РД[Дата подачи на регистрацию],"&gt;="&amp;DATE(YEAR($B40),MONTH($B40),1),РД[Дата подачи на регистрацию],"&lt;"&amp;$B41,РД[Дом],$B$2,РД[Тип кв],F$3,РД[Состояние],"Продажа"),'ПП 402'!G58)</f>
        <v>0</v>
      </c>
      <c r="G40" s="149">
        <f t="shared" ca="1" si="5"/>
        <v>8</v>
      </c>
      <c r="H40" s="150">
        <f ca="1">IF($B$1&gt;=B41,SUMIFS(РД[S],РД[Дом],$B$2,РД[Состояние],"Продажа",РД[Дата подачи на регистрацию],"&gt;="&amp;DATE(YEAR($B40),MONTH($B40),1),РД[Дата подачи на регистрацию],"&lt;"&amp;$B41),'ПП 402'!I58)</f>
        <v>391.268531580169</v>
      </c>
      <c r="I40" s="151">
        <f ca="1">IF($B$1&gt;=B41,SUMIFS(РД[Стоимость без отделки итог],РД[Дом],$B$2,РД[Состояние],"Продажа",РД[Дата подачи на регистрацию],"&gt;="&amp;DATE(YEAR($B40),MONTH($B40),1),РД[Дата подачи на регистрацию],"&lt;"&amp;$B41),'ПП 402'!L58)</f>
        <v>51942565.014010802</v>
      </c>
      <c r="J40" s="47">
        <f t="shared" ca="1" si="6"/>
        <v>132754.2616428585</v>
      </c>
    </row>
    <row r="41" spans="2:10" x14ac:dyDescent="0.25">
      <c r="B41" s="38">
        <v>46235</v>
      </c>
      <c r="C41" s="148">
        <f ca="1">IF($B$1&gt;=$B42,COUNTIFS(РД[Дата подачи на регистрацию],"&gt;="&amp;DATE(YEAR($B41),MONTH($B41),1),РД[Дата подачи на регистрацию],"&lt;"&amp;$B42,РД[Дом],$B$2,РД[Тип кв],C$3,РД[Состояние],"Продажа"),'ПП 402'!D59)</f>
        <v>2</v>
      </c>
      <c r="D41" s="148">
        <f ca="1">IF($B$1&gt;=$B42,COUNTIFS(РД[Дата подачи на регистрацию],"&gt;="&amp;DATE(YEAR($B41),MONTH($B41),1),РД[Дата подачи на регистрацию],"&lt;"&amp;$B42,РД[Дом],$B$2,РД[Тип кв],D$3,РД[Состояние],"Продажа"),'ПП 402'!E59)</f>
        <v>1</v>
      </c>
      <c r="E41" s="148">
        <f ca="1">IF($B$1&gt;=$B42,COUNTIFS(РД[Дата подачи на регистрацию],"&gt;="&amp;DATE(YEAR($B41),MONTH($B41),1),РД[Дата подачи на регистрацию],"&lt;"&amp;$B42,РД[Дом],$B$2,РД[Тип кв],E$3,РД[Состояние],"Продажа"),'ПП 402'!F59)</f>
        <v>5</v>
      </c>
      <c r="F41" s="148">
        <f ca="1">IF($B$1&gt;=$B42,COUNTIFS(РД[Дата подачи на регистрацию],"&gt;="&amp;DATE(YEAR($B41),MONTH($B41),1),РД[Дата подачи на регистрацию],"&lt;"&amp;$B42,РД[Дом],$B$2,РД[Тип кв],F$3,РД[Состояние],"Продажа"),'ПП 402'!G59)</f>
        <v>0</v>
      </c>
      <c r="G41" s="149">
        <f t="shared" ca="1" si="5"/>
        <v>8</v>
      </c>
      <c r="H41" s="150">
        <f ca="1">IF($B$1&gt;=B42,SUMIFS(РД[S],РД[Дом],$B$2,РД[Состояние],"Продажа",РД[Дата подачи на регистрацию],"&gt;="&amp;DATE(YEAR($B41),MONTH($B41),1),РД[Дата подачи на регистрацию],"&lt;"&amp;$B42),'ПП 402'!I59)</f>
        <v>391.268531580169</v>
      </c>
      <c r="I41" s="151">
        <f ca="1">IF($B$1&gt;=B42,SUMIFS(РД[Стоимость без отделки итог],РД[Дом],$B$2,РД[Состояние],"Продажа",РД[Дата подачи на регистрацию],"&gt;="&amp;DATE(YEAR($B41),MONTH($B41),1),РД[Дата подачи на регистрацию],"&lt;"&amp;$B42),'ПП 402'!L59)</f>
        <v>52437256.109382339</v>
      </c>
      <c r="J41" s="47">
        <f t="shared" ca="1" si="6"/>
        <v>134018.58794421909</v>
      </c>
    </row>
    <row r="42" spans="2:10" x14ac:dyDescent="0.25">
      <c r="B42" s="38">
        <v>46266</v>
      </c>
      <c r="C42" s="148">
        <f ca="1">IF($B$1&gt;=$B43,COUNTIFS(РД[Дата подачи на регистрацию],"&gt;="&amp;DATE(YEAR($B42),MONTH($B42),1),РД[Дата подачи на регистрацию],"&lt;"&amp;$B43,РД[Дом],$B$2,РД[Тип кв],C$3,РД[Состояние],"Продажа"),'ПП 402'!D60)</f>
        <v>2</v>
      </c>
      <c r="D42" s="148">
        <f ca="1">IF($B$1&gt;=$B43,COUNTIFS(РД[Дата подачи на регистрацию],"&gt;="&amp;DATE(YEAR($B42),MONTH($B42),1),РД[Дата подачи на регистрацию],"&lt;"&amp;$B43,РД[Дом],$B$2,РД[Тип кв],D$3,РД[Состояние],"Продажа"),'ПП 402'!E60)</f>
        <v>2</v>
      </c>
      <c r="E42" s="148">
        <f ca="1">IF($B$1&gt;=$B43,COUNTIFS(РД[Дата подачи на регистрацию],"&gt;="&amp;DATE(YEAR($B42),MONTH($B42),1),РД[Дата подачи на регистрацию],"&lt;"&amp;$B43,РД[Дом],$B$2,РД[Тип кв],E$3,РД[Состояние],"Продажа"),'ПП 402'!F60)</f>
        <v>4</v>
      </c>
      <c r="F42" s="148">
        <f ca="1">IF($B$1&gt;=$B43,COUNTIFS(РД[Дата подачи на регистрацию],"&gt;="&amp;DATE(YEAR($B42),MONTH($B42),1),РД[Дата подачи на регистрацию],"&lt;"&amp;$B43,РД[Дом],$B$2,РД[Тип кв],F$3,РД[Состояние],"Продажа"),'ПП 402'!G60)</f>
        <v>0</v>
      </c>
      <c r="G42" s="149">
        <f t="shared" ca="1" si="5"/>
        <v>8</v>
      </c>
      <c r="H42" s="150">
        <f ca="1">IF($B$1&gt;=B43,SUMIFS(РД[S],РД[Дом],$B$2,РД[Состояние],"Продажа",РД[Дата подачи на регистрацию],"&gt;="&amp;DATE(YEAR($B42),MONTH($B42),1),РД[Дата подачи на регистрацию],"&lt;"&amp;$B43),'ПП 402'!I60)</f>
        <v>373.15535817949569</v>
      </c>
      <c r="I42" s="151">
        <f ca="1">IF($B$1&gt;=B43,SUMIFS(РД[Стоимость без отделки итог],РД[Дом],$B$2,РД[Состояние],"Продажа",РД[Дата подачи на регистрацию],"&gt;="&amp;DATE(YEAR($B42),MONTH($B42),1),РД[Дата подачи на регистрацию],"&lt;"&amp;$B43),'ПП 402'!L60)</f>
        <v>50424769.916082665</v>
      </c>
      <c r="J42" s="47">
        <f t="shared" ca="1" si="6"/>
        <v>135130.76741571879</v>
      </c>
    </row>
    <row r="43" spans="2:10" x14ac:dyDescent="0.25">
      <c r="B43" s="38">
        <v>46296</v>
      </c>
      <c r="C43" s="148">
        <f ca="1">IF($B$1&gt;=$B44,COUNTIFS(РД[Дата подачи на регистрацию],"&gt;="&amp;DATE(YEAR($B43),MONTH($B43),1),РД[Дата подачи на регистрацию],"&lt;"&amp;$B44,РД[Дом],$B$2,РД[Тип кв],C$3,РД[Состояние],"Продажа"),'ПП 402'!D61)</f>
        <v>2</v>
      </c>
      <c r="D43" s="148">
        <f ca="1">IF($B$1&gt;=$B44,COUNTIFS(РД[Дата подачи на регистрацию],"&gt;="&amp;DATE(YEAR($B43),MONTH($B43),1),РД[Дата подачи на регистрацию],"&lt;"&amp;$B44,РД[Дом],$B$2,РД[Тип кв],D$3,РД[Состояние],"Продажа"),'ПП 402'!E61)</f>
        <v>2</v>
      </c>
      <c r="E43" s="148">
        <f ca="1">IF($B$1&gt;=$B44,COUNTIFS(РД[Дата подачи на регистрацию],"&gt;="&amp;DATE(YEAR($B43),MONTH($B43),1),РД[Дата подачи на регистрацию],"&lt;"&amp;$B44,РД[Дом],$B$2,РД[Тип кв],E$3,РД[Состояние],"Продажа"),'ПП 402'!F61)</f>
        <v>4</v>
      </c>
      <c r="F43" s="148">
        <f ca="1">IF($B$1&gt;=$B44,COUNTIFS(РД[Дата подачи на регистрацию],"&gt;="&amp;DATE(YEAR($B43),MONTH($B43),1),РД[Дата подачи на регистрацию],"&lt;"&amp;$B44,РД[Дом],$B$2,РД[Тип кв],F$3,РД[Состояние],"Продажа"),'ПП 402'!G61)</f>
        <v>0</v>
      </c>
      <c r="G43" s="149">
        <f t="shared" ca="1" si="5"/>
        <v>8</v>
      </c>
      <c r="H43" s="150">
        <f ca="1">IF($B$1&gt;=B44,SUMIFS(РД[S],РД[Дом],$B$2,РД[Состояние],"Продажа",РД[Дата подачи на регистрацию],"&gt;="&amp;DATE(YEAR($B43),MONTH($B43),1),РД[Дата подачи на регистрацию],"&lt;"&amp;$B44),'ПП 402'!I61)</f>
        <v>373.15535817949569</v>
      </c>
      <c r="I43" s="151">
        <f ca="1">IF($B$1&gt;=B44,SUMIFS(РД[Стоимость без отделки итог],РД[Дом],$B$2,РД[Состояние],"Продажа",РД[Дата подачи на регистрацию],"&gt;="&amp;DATE(YEAR($B43),MONTH($B43),1),РД[Дата подачи на регистрацию],"&lt;"&amp;$B44),'ПП 402'!L61)</f>
        <v>50900475.292649485</v>
      </c>
      <c r="J43" s="47">
        <f t="shared" ca="1" si="6"/>
        <v>136405.58597624445</v>
      </c>
    </row>
    <row r="44" spans="2:10" x14ac:dyDescent="0.25">
      <c r="B44" s="38">
        <v>46327</v>
      </c>
      <c r="C44" s="148">
        <f ca="1">IF($B$1&gt;=$B45,COUNTIFS(РД[Дата подачи на регистрацию],"&gt;="&amp;DATE(YEAR($B44),MONTH($B44),1),РД[Дата подачи на регистрацию],"&lt;"&amp;$B45,РД[Дом],$B$2,РД[Тип кв],C$3,РД[Состояние],"Продажа"),'ПП 402'!D62)</f>
        <v>2</v>
      </c>
      <c r="D44" s="148">
        <f ca="1">IF($B$1&gt;=$B45,COUNTIFS(РД[Дата подачи на регистрацию],"&gt;="&amp;DATE(YEAR($B44),MONTH($B44),1),РД[Дата подачи на регистрацию],"&lt;"&amp;$B45,РД[Дом],$B$2,РД[Тип кв],D$3,РД[Состояние],"Продажа"),'ПП 402'!E62)</f>
        <v>2</v>
      </c>
      <c r="E44" s="148">
        <f ca="1">IF($B$1&gt;=$B45,COUNTIFS(РД[Дата подачи на регистрацию],"&gt;="&amp;DATE(YEAR($B44),MONTH($B44),1),РД[Дата подачи на регистрацию],"&lt;"&amp;$B45,РД[Дом],$B$2,РД[Тип кв],E$3,РД[Состояние],"Продажа"),'ПП 402'!F62)</f>
        <v>4</v>
      </c>
      <c r="F44" s="148">
        <f ca="1">IF($B$1&gt;=$B45,COUNTIFS(РД[Дата подачи на регистрацию],"&gt;="&amp;DATE(YEAR($B44),MONTH($B44),1),РД[Дата подачи на регистрацию],"&lt;"&amp;$B45,РД[Дом],$B$2,РД[Тип кв],F$3,РД[Состояние],"Продажа"),'ПП 402'!G62)</f>
        <v>0</v>
      </c>
      <c r="G44" s="149">
        <f t="shared" ca="1" si="5"/>
        <v>8</v>
      </c>
      <c r="H44" s="150">
        <f ca="1">IF($B$1&gt;=B45,SUMIFS(РД[S],РД[Дом],$B$2,РД[Состояние],"Продажа",РД[Дата подачи на регистрацию],"&gt;="&amp;DATE(YEAR($B44),MONTH($B44),1),РД[Дата подачи на регистрацию],"&lt;"&amp;$B45),'ПП 402'!I62)</f>
        <v>373.15535817949569</v>
      </c>
      <c r="I44" s="151">
        <f ca="1">IF($B$1&gt;=B45,SUMIFS(РД[Стоимость без отделки итог],РД[Дом],$B$2,РД[Состояние],"Продажа",РД[Дата подачи на регистрацию],"&gt;="&amp;DATE(YEAR($B44),MONTH($B44),1),РД[Дата подачи на регистрацию],"&lt;"&amp;$B45),'ПП 402'!L62)</f>
        <v>50900475.292649485</v>
      </c>
      <c r="J44" s="47">
        <f t="shared" ca="1" si="6"/>
        <v>136405.58597624445</v>
      </c>
    </row>
    <row r="45" spans="2:10" x14ac:dyDescent="0.25">
      <c r="B45" s="38">
        <v>46357</v>
      </c>
      <c r="C45" s="148">
        <f ca="1">IF($B$1&gt;=$B49,COUNTIFS(РД[Дата подачи на регистрацию],"&gt;="&amp;DATE(YEAR($B45),MONTH($B45),1),РД[Дата подачи на регистрацию],"&lt;"&amp;$B49,РД[Дом],$B$2,РД[Тип кв],C$3,РД[Состояние],"Продажа"),'ПП 402'!D63)</f>
        <v>2</v>
      </c>
      <c r="D45" s="148">
        <f ca="1">IF($B$1&gt;=$B49,COUNTIFS(РД[Дата подачи на регистрацию],"&gt;="&amp;DATE(YEAR($B45),MONTH($B45),1),РД[Дата подачи на регистрацию],"&lt;"&amp;$B49,РД[Дом],$B$2,РД[Тип кв],D$3,РД[Состояние],"Продажа"),'ПП 402'!E63)</f>
        <v>1</v>
      </c>
      <c r="E45" s="148">
        <f ca="1">IF($B$1&gt;=$B49,COUNTIFS(РД[Дата подачи на регистрацию],"&gt;="&amp;DATE(YEAR($B45),MONTH($B45),1),РД[Дата подачи на регистрацию],"&lt;"&amp;$B49,РД[Дом],$B$2,РД[Тип кв],E$3,РД[Состояние],"Продажа"),'ПП 402'!F63)</f>
        <v>4</v>
      </c>
      <c r="F45" s="148">
        <f ca="1">IF($B$1&gt;=$B49,COUNTIFS(РД[Дата подачи на регистрацию],"&gt;="&amp;DATE(YEAR($B45),MONTH($B45),1),РД[Дата подачи на регистрацию],"&lt;"&amp;$B49,РД[Дом],$B$2,РД[Тип кв],F$3,РД[Состояние],"Продажа"),'ПП 402'!G63)</f>
        <v>0</v>
      </c>
      <c r="G45" s="149">
        <f t="shared" ca="1" si="5"/>
        <v>7</v>
      </c>
      <c r="H45" s="150">
        <f ca="1">IF($B$1&gt;=B46,SUMIFS(РД[S],РД[Дом],$B$2,РД[Состояние],"Продажа",РД[Дата подачи на регистрацию],"&gt;="&amp;DATE(YEAR($B45),MONTH($B45),1),РД[Дата подачи на регистрацию],"&lt;"&amp;$B49),'ПП 402'!I63)</f>
        <v>332.78399454313205</v>
      </c>
      <c r="I45" s="151">
        <f ca="1">IF($B$1&gt;=B46,SUMIFS(РД[Стоимость без отделки итог],РД[Дом],$B$2,РД[Состояние],"Продажа",РД[Дата подачи на регистрацию],"&gt;="&amp;DATE(YEAR($B45),MONTH($B45),1),РД[Дата подачи на регистрацию],"&lt;"&amp;$B49),'ПП 402'!L63)</f>
        <v>45677907.30012539</v>
      </c>
      <c r="J45" s="47">
        <f t="shared" ca="1" si="6"/>
        <v>137259.92850958789</v>
      </c>
    </row>
    <row r="46" spans="2:10" x14ac:dyDescent="0.25">
      <c r="B46" s="154" t="s">
        <v>4890</v>
      </c>
      <c r="C46" s="155">
        <f t="shared" ref="C46:I46" ca="1" si="7">SUM(C34:C45)</f>
        <v>24</v>
      </c>
      <c r="D46" s="155">
        <f t="shared" ca="1" si="7"/>
        <v>14</v>
      </c>
      <c r="E46" s="155">
        <f t="shared" ca="1" si="7"/>
        <v>56</v>
      </c>
      <c r="F46" s="155">
        <f t="shared" ca="1" si="7"/>
        <v>0</v>
      </c>
      <c r="G46" s="155">
        <f t="shared" ca="1" si="7"/>
        <v>94</v>
      </c>
      <c r="H46" s="155">
        <f t="shared" ca="1" si="7"/>
        <v>4542.0269580866079</v>
      </c>
      <c r="I46" s="155">
        <f t="shared" ca="1" si="7"/>
        <v>603946631.1528939</v>
      </c>
      <c r="J46" s="156">
        <f ca="1">IFERROR(I46/H46,)</f>
        <v>132968.52632669421</v>
      </c>
    </row>
    <row r="47" spans="2:10" x14ac:dyDescent="0.25">
      <c r="C47" s="34"/>
      <c r="D47" s="34"/>
      <c r="E47" s="34"/>
      <c r="F47" s="34"/>
      <c r="G47" s="34"/>
      <c r="H47" s="32"/>
      <c r="I47" s="32"/>
      <c r="J47" s="32"/>
    </row>
    <row r="48" spans="2:10" ht="15.75" x14ac:dyDescent="0.25">
      <c r="B48" s="157" t="s">
        <v>0</v>
      </c>
      <c r="C48" s="158">
        <v>0</v>
      </c>
      <c r="D48" s="159">
        <v>1</v>
      </c>
      <c r="E48" s="159">
        <v>2</v>
      </c>
      <c r="F48" s="159">
        <v>3</v>
      </c>
      <c r="G48" s="160" t="s">
        <v>59</v>
      </c>
      <c r="H48" s="180" t="s">
        <v>51</v>
      </c>
      <c r="I48" s="161" t="s">
        <v>58</v>
      </c>
      <c r="J48" s="161" t="s">
        <v>17</v>
      </c>
    </row>
    <row r="49" spans="2:10" x14ac:dyDescent="0.25">
      <c r="B49" s="38">
        <v>46388</v>
      </c>
      <c r="C49" s="148">
        <f ca="1">IF($B$1&gt;=$B50,COUNTIFS(РД[Дата подачи на регистрацию],"&gt;="&amp;DATE(YEAR($B49),MONTH($B49),1),РД[Дата подачи на регистрацию],"&lt;"&amp;$B50,РД[Дом],$B$2,РД[Тип кв],C$3,РД[Состояние],"Продажа"),'ПП 402'!D68)</f>
        <v>1</v>
      </c>
      <c r="D49" s="148">
        <f ca="1">IF($B$1&gt;=$B50,COUNTIFS(РД[Дата подачи на регистрацию],"&gt;="&amp;DATE(YEAR($B49),MONTH($B49),1),РД[Дата подачи на регистрацию],"&lt;"&amp;$B50,РД[Дом],$B$2,РД[Тип кв],D$3,РД[Состояние],"Продажа"),'ПП 402'!E68)</f>
        <v>0</v>
      </c>
      <c r="E49" s="148">
        <f ca="1">IF($B$1&gt;=$B50,COUNTIFS(РД[Дата подачи на регистрацию],"&gt;="&amp;DATE(YEAR($B49),MONTH($B49),1),РД[Дата подачи на регистрацию],"&lt;"&amp;$B50,РД[Дом],$B$2,РД[Тип кв],E$3,РД[Состояние],"Продажа"),'ПП 402'!F68)</f>
        <v>1</v>
      </c>
      <c r="F49" s="148">
        <f ca="1">IF($B$1&gt;=$B50,COUNTIFS(РД[Дата подачи на регистрацию],"&gt;="&amp;DATE(YEAR($B49),MONTH($B49),1),РД[Дата подачи на регистрацию],"&lt;"&amp;$B50,РД[Дом],$B$2,РД[Тип кв],F$3,РД[Состояние],"Продажа"),'ПП 402'!G68)</f>
        <v>0</v>
      </c>
      <c r="G49" s="149">
        <f ca="1">SUM(C49:F49)</f>
        <v>2</v>
      </c>
      <c r="H49" s="150">
        <f ca="1">IF($B$1&gt;=B50,SUMIFS(РД[S],РД[Дом],$B$2,РД[Состояние],"Продажа",РД[Дата подачи на регистрацию],"&gt;="&amp;DATE(YEAR($B49),MONTH($B49),1),РД[Дата подачи на регистрацию],"&lt;"&amp;$B50),'ПП 402'!I68)</f>
        <v>87.721778416347291</v>
      </c>
      <c r="I49" s="151">
        <f ca="1">IF($B$1&gt;=B50,SUMIFS(РД[Стоимость без отделки итог],РД[Дом],$B$2,РД[Состояние],"Продажа",РД[Дата подачи на регистрацию],"&gt;="&amp;DATE(YEAR($B49),MONTH($B49),1),РД[Дата подачи на регистрацию],"&lt;"&amp;$B50),'ПП 402'!L68)</f>
        <v>12241085.965517242</v>
      </c>
      <c r="J49" s="47">
        <f ca="1">IFERROR(I49/H49,)</f>
        <v>139544.43453503979</v>
      </c>
    </row>
    <row r="50" spans="2:10" x14ac:dyDescent="0.25">
      <c r="B50" s="38">
        <v>46419</v>
      </c>
      <c r="C50" s="148">
        <f ca="1">IF($B$1&gt;=$B51,COUNTIFS(РД[Дата подачи на регистрацию],"&gt;="&amp;DATE(YEAR($B50),MONTH($B50),1),РД[Дата подачи на регистрацию],"&lt;"&amp;$B51,РД[Дом],$B$2,РД[Тип кв],C$3,РД[Состояние],"Продажа"),'ПП 402'!D69)</f>
        <v>1</v>
      </c>
      <c r="D50" s="148">
        <f ca="1">IF($B$1&gt;=$B51,COUNTIFS(РД[Дата подачи на регистрацию],"&gt;="&amp;DATE(YEAR($B50),MONTH($B50),1),РД[Дата подачи на регистрацию],"&lt;"&amp;$B51,РД[Дом],$B$2,РД[Тип кв],D$3,РД[Состояние],"Продажа"),'ПП 402'!E69)</f>
        <v>0</v>
      </c>
      <c r="E50" s="148">
        <f ca="1">IF($B$1&gt;=$B51,COUNTIFS(РД[Дата подачи на регистрацию],"&gt;="&amp;DATE(YEAR($B50),MONTH($B50),1),РД[Дата подачи на регистрацию],"&lt;"&amp;$B51,РД[Дом],$B$2,РД[Тип кв],E$3,РД[Состояние],"Продажа"),'ПП 402'!F69)</f>
        <v>2</v>
      </c>
      <c r="F50" s="148">
        <f ca="1">IF($B$1&gt;=$B51,COUNTIFS(РД[Дата подачи на регистрацию],"&gt;="&amp;DATE(YEAR($B50),MONTH($B50),1),РД[Дата подачи на регистрацию],"&lt;"&amp;$B51,РД[Дом],$B$2,РД[Тип кв],F$3,РД[Состояние],"Продажа"),'ПП 402'!G69)</f>
        <v>0</v>
      </c>
      <c r="G50" s="149">
        <f t="shared" ref="G50:G60" ca="1" si="8">SUM(C50:F50)</f>
        <v>3</v>
      </c>
      <c r="H50" s="150">
        <f ca="1">IF($B$1&gt;=B51,SUMIFS(РД[S],РД[Дом],$B$2,РД[Состояние],"Продажа",РД[Дата подачи на регистрацию],"&gt;="&amp;DATE(YEAR($B50),MONTH($B50),1),РД[Дата подачи на регистрацию],"&lt;"&amp;$B51),'ПП 402'!I69)</f>
        <v>146.20631545338424</v>
      </c>
      <c r="I50" s="151">
        <f ca="1">IF($B$1&gt;=B51,SUMIFS(РД[Стоимость без отделки итог],РД[Дом],$B$2,РД[Состояние],"Продажа",РД[Дата подачи на регистрацию],"&gt;="&amp;DATE(YEAR($B50),MONTH($B50),1),РД[Дата подачи на регистрацию],"&lt;"&amp;$B51),'ПП 402'!L69)</f>
        <v>20174907.863346104</v>
      </c>
      <c r="J50" s="47">
        <f t="shared" ref="J50:J60" ca="1" si="9">IFERROR(I50/H50,)</f>
        <v>137989.30505008576</v>
      </c>
    </row>
    <row r="51" spans="2:10" x14ac:dyDescent="0.25">
      <c r="B51" s="38">
        <v>46447</v>
      </c>
      <c r="C51" s="148">
        <f ca="1">IF($B$1&gt;=$B52,COUNTIFS(РД[Дата подачи на регистрацию],"&gt;="&amp;DATE(YEAR($B51),MONTH($B51),1),РД[Дата подачи на регистрацию],"&lt;"&amp;$B52,РД[Дом],$B$2,РД[Тип кв],C$3,РД[Состояние],"Продажа"),'ПП 402'!D70)</f>
        <v>1</v>
      </c>
      <c r="D51" s="148">
        <f ca="1">IF($B$1&gt;=$B52,COUNTIFS(РД[Дата подачи на регистрацию],"&gt;="&amp;DATE(YEAR($B51),MONTH($B51),1),РД[Дата подачи на регистрацию],"&lt;"&amp;$B52,РД[Дом],$B$2,РД[Тип кв],D$3,РД[Состояние],"Продажа"),'ПП 402'!E70)</f>
        <v>0</v>
      </c>
      <c r="E51" s="148">
        <f ca="1">IF($B$1&gt;=$B52,COUNTIFS(РД[Дата подачи на регистрацию],"&gt;="&amp;DATE(YEAR($B51),MONTH($B51),1),РД[Дата подачи на регистрацию],"&lt;"&amp;$B52,РД[Дом],$B$2,РД[Тип кв],E$3,РД[Состояние],"Продажа"),'ПП 402'!F70)</f>
        <v>2</v>
      </c>
      <c r="F51" s="148">
        <f ca="1">IF($B$1&gt;=$B52,COUNTIFS(РД[Дата подачи на регистрацию],"&gt;="&amp;DATE(YEAR($B51),MONTH($B51),1),РД[Дата подачи на регистрацию],"&lt;"&amp;$B52,РД[Дом],$B$2,РД[Тип кв],F$3,РД[Состояние],"Продажа"),'ПП 402'!G70)</f>
        <v>1</v>
      </c>
      <c r="G51" s="149">
        <f t="shared" ca="1" si="8"/>
        <v>4</v>
      </c>
      <c r="H51" s="150">
        <f ca="1">IF($B$1&gt;=B52,SUMIFS(РД[S],РД[Дом],$B$2,РД[Состояние],"Продажа",РД[Дата подачи на регистрацию],"&gt;="&amp;DATE(YEAR($B51),MONTH($B51),1),РД[Дата подачи на регистрацию],"&lt;"&amp;$B52),'ПП 402'!I70)</f>
        <v>224.36631545338423</v>
      </c>
      <c r="I51" s="151">
        <f ca="1">IF($B$1&gt;=B52,SUMIFS(РД[Стоимость без отделки итог],РД[Дом],$B$2,РД[Состояние],"Продажа",РД[Дата подачи на регистрацию],"&gt;="&amp;DATE(YEAR($B51),MONTH($B51),1),РД[Дата подачи на регистрацию],"&lt;"&amp;$B52),'ПП 402'!L70)</f>
        <v>29712121.738346104</v>
      </c>
      <c r="J51" s="47">
        <f t="shared" ca="1" si="9"/>
        <v>132426.83812989425</v>
      </c>
    </row>
    <row r="52" spans="2:10" hidden="1" x14ac:dyDescent="0.25">
      <c r="B52" s="38">
        <v>46478</v>
      </c>
      <c r="C52" s="148">
        <f ca="1">IF($B$1&gt;=$B53,COUNTIFS(РД[Дата подачи на регистрацию],"&gt;="&amp;DATE(YEAR($B52),MONTH($B52),1),РД[Дата подачи на регистрацию],"&lt;"&amp;$B53,РД[Дом],$B$2,РД[Тип кв],C$3,РД[Состояние],"Продажа"),'ПП 402'!D71)</f>
        <v>2</v>
      </c>
      <c r="D52" s="148">
        <f ca="1">IF($B$1&gt;=$B53,COUNTIFS(РД[Дата подачи на регистрацию],"&gt;="&amp;DATE(YEAR($B52),MONTH($B52),1),РД[Дата подачи на регистрацию],"&lt;"&amp;$B53,РД[Дом],$B$2,РД[Тип кв],D$3,РД[Состояние],"Продажа"),'ПП 402'!E71)</f>
        <v>1</v>
      </c>
      <c r="E52" s="148">
        <f ca="1">IF($B$1&gt;=$B53,COUNTIFS(РД[Дата подачи на регистрацию],"&gt;="&amp;DATE(YEAR($B52),MONTH($B52),1),РД[Дата подачи на регистрацию],"&lt;"&amp;$B53,РД[Дом],$B$2,РД[Тип кв],E$3,РД[Состояние],"Продажа"),'ПП 402'!F71)</f>
        <v>2</v>
      </c>
      <c r="F52" s="148">
        <f ca="1">IF($B$1&gt;=$B53,COUNTIFS(РД[Дата подачи на регистрацию],"&gt;="&amp;DATE(YEAR($B52),MONTH($B52),1),РД[Дата подачи на регистрацию],"&lt;"&amp;$B53,РД[Дом],$B$2,РД[Тип кв],F$3,РД[Состояние],"Продажа"),'ПП 402'!G71)</f>
        <v>0</v>
      </c>
      <c r="G52" s="149">
        <f t="shared" ca="1" si="8"/>
        <v>5</v>
      </c>
      <c r="H52" s="150">
        <f ca="1">IF($B$1&gt;=B53,SUMIFS(РД[S],РД[Дом],$B$2,РД[Состояние],"Продажа",РД[Дата подачи на регистрацию],"&gt;="&amp;DATE(YEAR($B52),MONTH($B52),1),РД[Дата подачи на регистрацию],"&lt;"&amp;$B53),'ПП 402'!I71)</f>
        <v>215.81492046905822</v>
      </c>
      <c r="I52" s="151">
        <f ca="1">IF($B$1&gt;=B53,SUMIFS(РД[Стоимость без отделки итог],РД[Дом],$B$2,РД[Состояние],"Продажа",РД[Дата подачи на регистрацию],"&gt;="&amp;DATE(YEAR($B52),MONTH($B52),1),РД[Дата подачи на регистрацию],"&lt;"&amp;$B53),'ПП 402'!L71)</f>
        <v>30459893.867719147</v>
      </c>
      <c r="J52" s="47">
        <f t="shared" ca="1" si="9"/>
        <v>141138.96203986619</v>
      </c>
    </row>
    <row r="53" spans="2:10" hidden="1" x14ac:dyDescent="0.25">
      <c r="B53" s="38">
        <v>46508</v>
      </c>
      <c r="C53" s="148">
        <f ca="1">IF($B$1&gt;=$B54,COUNTIFS(РД[Дата подачи на регистрацию],"&gt;="&amp;DATE(YEAR($B53),MONTH($B53),1),РД[Дата подачи на регистрацию],"&lt;"&amp;$B54,РД[Дом],$B$2,РД[Тип кв],C$3,РД[Состояние],"Продажа"),'ПП 402'!D72)</f>
        <v>1</v>
      </c>
      <c r="D53" s="148">
        <f ca="1">IF($B$1&gt;=$B54,COUNTIFS(РД[Дата подачи на регистрацию],"&gt;="&amp;DATE(YEAR($B53),MONTH($B53),1),РД[Дата подачи на регистрацию],"&lt;"&amp;$B54,РД[Дом],$B$2,РД[Тип кв],D$3,РД[Состояние],"Продажа"),'ПП 402'!E72)</f>
        <v>1</v>
      </c>
      <c r="E53" s="148">
        <f ca="1">IF($B$1&gt;=$B54,COUNTIFS(РД[Дата подачи на регистрацию],"&gt;="&amp;DATE(YEAR($B53),MONTH($B53),1),РД[Дата подачи на регистрацию],"&lt;"&amp;$B54,РД[Дом],$B$2,РД[Тип кв],E$3,РД[Состояние],"Продажа"),'ПП 402'!F72)</f>
        <v>2</v>
      </c>
      <c r="F53" s="148">
        <f ca="1">IF($B$1&gt;=$B54,COUNTIFS(РД[Дата подачи на регистрацию],"&gt;="&amp;DATE(YEAR($B53),MONTH($B53),1),РД[Дата подачи на регистрацию],"&lt;"&amp;$B54,РД[Дом],$B$2,РД[Тип кв],F$3,РД[Состояние],"Продажа"),'ПП 402'!G72)</f>
        <v>1</v>
      </c>
      <c r="G53" s="149">
        <f t="shared" ca="1" si="8"/>
        <v>5</v>
      </c>
      <c r="H53" s="150">
        <f ca="1">IF($B$1&gt;=B54,SUMIFS(РД[S],РД[Дом],$B$2,РД[Состояние],"Продажа",РД[Дата подачи на регистрацию],"&gt;="&amp;DATE(YEAR($B53),MONTH($B53),1),РД[Дата подачи на регистрацию],"&lt;"&amp;$B54),'ПП 402'!I72)</f>
        <v>264.73767908974781</v>
      </c>
      <c r="I53" s="151">
        <f ca="1">IF($B$1&gt;=B54,SUMIFS(РД[Стоимость без отделки итог],РД[Дом],$B$2,РД[Состояние],"Продажа",РД[Дата подачи на регистрацию],"&gt;="&amp;DATE(YEAR($B53),MONTH($B53),1),РД[Дата подачи на регистрацию],"&lt;"&amp;$B54),'ПП 402'!L72)</f>
        <v>35463156.897891559</v>
      </c>
      <c r="J53" s="47">
        <f t="shared" ca="1" si="9"/>
        <v>133955.8351490621</v>
      </c>
    </row>
    <row r="54" spans="2:10" hidden="1" x14ac:dyDescent="0.25">
      <c r="B54" s="38">
        <v>46539</v>
      </c>
      <c r="C54" s="148">
        <f ca="1">IF($B$1&gt;=$B55,COUNTIFS(РД[Дата подачи на регистрацию],"&gt;="&amp;DATE(YEAR($B54),MONTH($B54),1),РД[Дата подачи на регистрацию],"&lt;"&amp;$B55,РД[Дом],$B$2,РД[Тип кв],C$3,РД[Состояние],"Продажа"),'ПП 402'!D73)</f>
        <v>2</v>
      </c>
      <c r="D54" s="148">
        <f ca="1">IF($B$1&gt;=$B55,COUNTIFS(РД[Дата подачи на регистрацию],"&gt;="&amp;DATE(YEAR($B54),MONTH($B54),1),РД[Дата подачи на регистрацию],"&lt;"&amp;$B55,РД[Дом],$B$2,РД[Тип кв],D$3,РД[Состояние],"Продажа"),'ПП 402'!E73)</f>
        <v>0</v>
      </c>
      <c r="E54" s="148">
        <f ca="1">IF($B$1&gt;=$B55,COUNTIFS(РД[Дата подачи на регистрацию],"&gt;="&amp;DATE(YEAR($B54),MONTH($B54),1),РД[Дата подачи на регистрацию],"&lt;"&amp;$B55,РД[Дом],$B$2,РД[Тип кв],E$3,РД[Состояние],"Продажа"),'ПП 402'!F73)</f>
        <v>1</v>
      </c>
      <c r="F54" s="148">
        <f ca="1">IF($B$1&gt;=$B55,COUNTIFS(РД[Дата подачи на регистрацию],"&gt;="&amp;DATE(YEAR($B54),MONTH($B54),1),РД[Дата подачи на регистрацию],"&lt;"&amp;$B55,РД[Дом],$B$2,РД[Тип кв],F$3,РД[Состояние],"Продажа"),'ПП 402'!G73)</f>
        <v>0</v>
      </c>
      <c r="G54" s="149">
        <f t="shared" ca="1" si="8"/>
        <v>3</v>
      </c>
      <c r="H54" s="150">
        <f ca="1">IF($B$1&gt;=B55,SUMIFS(РД[S],РД[Дом],$B$2,РД[Состояние],"Продажа",РД[Дата подачи на регистрацию],"&gt;="&amp;DATE(YEAR($B54),MONTH($B54),1),РД[Дата подачи на регистрацию],"&lt;"&amp;$B55),'ПП 402'!I73)</f>
        <v>116.95901979565767</v>
      </c>
      <c r="I54" s="151">
        <f ca="1">IF($B$1&gt;=B55,SUMIFS(РД[Стоимость без отделки итог],РД[Дом],$B$2,РД[Состояние],"Продажа",РД[Дата подачи на регистрацию],"&gt;="&amp;DATE(YEAR($B54),MONTH($B54),1),РД[Дата подачи на регистрацию],"&lt;"&amp;$B55),'ПП 402'!L73)</f>
        <v>16888380.198914431</v>
      </c>
      <c r="J54" s="47">
        <f t="shared" ca="1" si="9"/>
        <v>144395.70567896846</v>
      </c>
    </row>
    <row r="55" spans="2:10" hidden="1" x14ac:dyDescent="0.25">
      <c r="B55" s="38">
        <v>46569</v>
      </c>
      <c r="C55" s="148">
        <f ca="1">IF($B$1&gt;=$B56,COUNTIFS(РД[Дата подачи на регистрацию],"&gt;="&amp;DATE(YEAR($B55),MONTH($B55),1),РД[Дата подачи на регистрацию],"&lt;"&amp;$B56,РД[Дом],$B$2,РД[Тип кв],C$3,РД[Состояние],"Продажа"),'ПП 402'!D74)</f>
        <v>2</v>
      </c>
      <c r="D55" s="148">
        <f ca="1">IF($B$1&gt;=$B56,COUNTIFS(РД[Дата подачи на регистрацию],"&gt;="&amp;DATE(YEAR($B55),MONTH($B55),1),РД[Дата подачи на регистрацию],"&lt;"&amp;$B56,РД[Дом],$B$2,РД[Тип кв],D$3,РД[Состояние],"Продажа"),'ПП 402'!E74)</f>
        <v>0</v>
      </c>
      <c r="E55" s="148">
        <f ca="1">IF($B$1&gt;=$B56,COUNTIFS(РД[Дата подачи на регистрацию],"&gt;="&amp;DATE(YEAR($B55),MONTH($B55),1),РД[Дата подачи на регистрацию],"&lt;"&amp;$B56,РД[Дом],$B$2,РД[Тип кв],E$3,РД[Состояние],"Продажа"),'ПП 402'!F74)</f>
        <v>1</v>
      </c>
      <c r="F55" s="148">
        <f ca="1">IF($B$1&gt;=$B56,COUNTIFS(РД[Дата подачи на регистрацию],"&gt;="&amp;DATE(YEAR($B55),MONTH($B55),1),РД[Дата подачи на регистрацию],"&lt;"&amp;$B56,РД[Дом],$B$2,РД[Тип кв],F$3,РД[Состояние],"Продажа"),'ПП 402'!G74)</f>
        <v>0</v>
      </c>
      <c r="G55" s="149">
        <f t="shared" ca="1" si="8"/>
        <v>3</v>
      </c>
      <c r="H55" s="150">
        <f ca="1">IF($B$1&gt;=B56,SUMIFS(РД[S],РД[Дом],$B$2,РД[Состояние],"Продажа",РД[Дата подачи на регистрацию],"&gt;="&amp;DATE(YEAR($B55),MONTH($B55),1),РД[Дата подачи на регистрацию],"&lt;"&amp;$B56),'ПП 402'!I74)</f>
        <v>116.95901979565767</v>
      </c>
      <c r="I55" s="151">
        <f ca="1">IF($B$1&gt;=B56,SUMIFS(РД[Стоимость без отделки итог],РД[Дом],$B$2,РД[Состояние],"Продажа",РД[Дата подачи на регистрацию],"&gt;="&amp;DATE(YEAR($B55),MONTH($B55),1),РД[Дата подачи на регистрацию],"&lt;"&amp;$B56),'ПП 402'!L74)</f>
        <v>16888380.198914431</v>
      </c>
      <c r="J55" s="47">
        <f t="shared" ca="1" si="9"/>
        <v>144395.70567896846</v>
      </c>
    </row>
    <row r="56" spans="2:10" hidden="1" x14ac:dyDescent="0.25">
      <c r="B56" s="38">
        <v>46600</v>
      </c>
      <c r="C56" s="148">
        <f ca="1">IF($B$1&gt;=$B57,COUNTIFS(РД[Дата подачи на регистрацию],"&gt;="&amp;DATE(YEAR($B56),MONTH($B56),1),РД[Дата подачи на регистрацию],"&lt;"&amp;$B57,РД[Дом],$B$2,РД[Тип кв],C$3,РД[Состояние],"Продажа"),'ПП 402'!D75)</f>
        <v>2</v>
      </c>
      <c r="D56" s="148">
        <f ca="1">IF($B$1&gt;=$B57,COUNTIFS(РД[Дата подачи на регистрацию],"&gt;="&amp;DATE(YEAR($B56),MONTH($B56),1),РД[Дата подачи на регистрацию],"&lt;"&amp;$B57,РД[Дом],$B$2,РД[Тип кв],D$3,РД[Состояние],"Продажа"),'ПП 402'!E75)</f>
        <v>0</v>
      </c>
      <c r="E56" s="148">
        <f ca="1">IF($B$1&gt;=$B57,COUNTIFS(РД[Дата подачи на регистрацию],"&gt;="&amp;DATE(YEAR($B56),MONTH($B56),1),РД[Дата подачи на регистрацию],"&lt;"&amp;$B57,РД[Дом],$B$2,РД[Тип кв],E$3,РД[Состояние],"Продажа"),'ПП 402'!F75)</f>
        <v>2</v>
      </c>
      <c r="F56" s="148">
        <f ca="1">IF($B$1&gt;=$B57,COUNTIFS(РД[Дата подачи на регистрацию],"&gt;="&amp;DATE(YEAR($B56),MONTH($B56),1),РД[Дата подачи на регистрацию],"&lt;"&amp;$B57,РД[Дом],$B$2,РД[Тип кв],F$3,РД[Состояние],"Продажа"),'ПП 402'!G75)</f>
        <v>0</v>
      </c>
      <c r="G56" s="149">
        <f t="shared" ca="1" si="8"/>
        <v>4</v>
      </c>
      <c r="H56" s="150">
        <f ca="1">IF($B$1&gt;=B57,SUMIFS(РД[S],РД[Дом],$B$2,РД[Состояние],"Продажа",РД[Дата подачи на регистрацию],"&gt;="&amp;DATE(YEAR($B56),MONTH($B56),1),РД[Дата подачи на регистрацию],"&lt;"&amp;$B57),'ПП 402'!I75)</f>
        <v>175.44355683269458</v>
      </c>
      <c r="I56" s="151">
        <f ca="1">IF($B$1&gt;=B57,SUMIFS(РД[Стоимость без отделки итог],РД[Дом],$B$2,РД[Состояние],"Продажа",РД[Дата подачи на регистрацию],"&gt;="&amp;DATE(YEAR($B56),MONTH($B56),1),РД[Дата подачи на регистрацию],"&lt;"&amp;$B57),'ПП 402'!L75)</f>
        <v>24708858.708173689</v>
      </c>
      <c r="J56" s="47">
        <f t="shared" ca="1" si="9"/>
        <v>140836.51263258644</v>
      </c>
    </row>
    <row r="57" spans="2:10" hidden="1" x14ac:dyDescent="0.25">
      <c r="B57" s="38">
        <v>46631</v>
      </c>
      <c r="C57" s="148">
        <f ca="1">IF($B$1&gt;=$B58,COUNTIFS(РД[Дата подачи на регистрацию],"&gt;="&amp;DATE(YEAR($B57),MONTH($B57),1),РД[Дата подачи на регистрацию],"&lt;"&amp;$B58,РД[Дом],$B$2,РД[Тип кв],C$3,РД[Состояние],"Продажа"),'ПП 402'!D76)</f>
        <v>2</v>
      </c>
      <c r="D57" s="148">
        <f ca="1">IF($B$1&gt;=$B58,COUNTIFS(РД[Дата подачи на регистрацию],"&gt;="&amp;DATE(YEAR($B57),MONTH($B57),1),РД[Дата подачи на регистрацию],"&lt;"&amp;$B58,РД[Дом],$B$2,РД[Тип кв],D$3,РД[Состояние],"Продажа"),'ПП 402'!E76)</f>
        <v>0</v>
      </c>
      <c r="E57" s="148">
        <f ca="1">IF($B$1&gt;=$B58,COUNTIFS(РД[Дата подачи на регистрацию],"&gt;="&amp;DATE(YEAR($B57),MONTH($B57),1),РД[Дата подачи на регистрацию],"&lt;"&amp;$B58,РД[Дом],$B$2,РД[Тип кв],E$3,РД[Состояние],"Продажа"),'ПП 402'!F76)</f>
        <v>2</v>
      </c>
      <c r="F57" s="148">
        <f ca="1">IF($B$1&gt;=$B58,COUNTIFS(РД[Дата подачи на регистрацию],"&gt;="&amp;DATE(YEAR($B57),MONTH($B57),1),РД[Дата подачи на регистрацию],"&lt;"&amp;$B58,РД[Дом],$B$2,РД[Тип кв],F$3,РД[Состояние],"Продажа"),'ПП 402'!G76)</f>
        <v>1</v>
      </c>
      <c r="G57" s="149">
        <f t="shared" ca="1" si="8"/>
        <v>5</v>
      </c>
      <c r="H57" s="150">
        <f ca="1">IF($B$1&gt;=B58,SUMIFS(РД[S],РД[Дом],$B$2,РД[Состояние],"Продажа",РД[Дата подачи на регистрацию],"&gt;="&amp;DATE(YEAR($B57),MONTH($B57),1),РД[Дата подачи на регистрацию],"&lt;"&amp;$B58),'ПП 402'!I76)</f>
        <v>253.60355683269455</v>
      </c>
      <c r="I57" s="151">
        <f ca="1">IF($B$1&gt;=B58,SUMIFS(РД[Стоимость без отделки итог],РД[Дом],$B$2,РД[Состояние],"Продажа",РД[Дата подачи на регистрацию],"&gt;="&amp;DATE(YEAR($B57),MONTH($B57),1),РД[Дата подачи на регистрацию],"&lt;"&amp;$B58),'ПП 402'!L76)</f>
        <v>34246072.583173692</v>
      </c>
      <c r="J57" s="47">
        <f t="shared" ca="1" si="9"/>
        <v>135037.82443306289</v>
      </c>
    </row>
    <row r="58" spans="2:10" hidden="1" x14ac:dyDescent="0.25">
      <c r="B58" s="38">
        <v>46661</v>
      </c>
      <c r="C58" s="148">
        <f ca="1">IF($B$1&gt;=$B59,COUNTIFS(РД[Дата подачи на регистрацию],"&gt;="&amp;DATE(YEAR($B58),MONTH($B58),1),РД[Дата подачи на регистрацию],"&lt;"&amp;$B59,РД[Дом],$B$2,РД[Тип кв],C$3,РД[Состояние],"Продажа"),'ПП 402'!D77)</f>
        <v>2</v>
      </c>
      <c r="D58" s="148">
        <f ca="1">IF($B$1&gt;=$B59,COUNTIFS(РД[Дата подачи на регистрацию],"&gt;="&amp;DATE(YEAR($B58),MONTH($B58),1),РД[Дата подачи на регистрацию],"&lt;"&amp;$B59,РД[Дом],$B$2,РД[Тип кв],D$3,РД[Состояние],"Продажа"),'ПП 402'!E77)</f>
        <v>1</v>
      </c>
      <c r="E58" s="148">
        <f ca="1">IF($B$1&gt;=$B59,COUNTIFS(РД[Дата подачи на регистрацию],"&gt;="&amp;DATE(YEAR($B58),MONTH($B58),1),РД[Дата подачи на регистрацию],"&lt;"&amp;$B59,РД[Дом],$B$2,РД[Тип кв],E$3,РД[Состояние],"Продажа"),'ПП 402'!F77)</f>
        <v>2</v>
      </c>
      <c r="F58" s="148">
        <f ca="1">IF($B$1&gt;=$B59,COUNTIFS(РД[Дата подачи на регистрацию],"&gt;="&amp;DATE(YEAR($B58),MONTH($B58),1),РД[Дата подачи на регистрацию],"&lt;"&amp;$B59,РД[Дом],$B$2,РД[Тип кв],F$3,РД[Состояние],"Продажа"),'ПП 402'!G77)</f>
        <v>0</v>
      </c>
      <c r="G58" s="149">
        <f t="shared" ca="1" si="8"/>
        <v>5</v>
      </c>
      <c r="H58" s="150">
        <f ca="1">IF($B$1&gt;=B59,SUMIFS(РД[S],РД[Дом],$B$2,РД[Состояние],"Продажа",РД[Дата подачи на регистрацию],"&gt;="&amp;DATE(YEAR($B58),MONTH($B58),1),РД[Дата подачи на регистрацию],"&lt;"&amp;$B59),'ПП 402'!I77)</f>
        <v>215.81492046905822</v>
      </c>
      <c r="I58" s="151">
        <f ca="1">IF($B$1&gt;=B59,SUMIFS(РД[Стоимость без отделки итог],РД[Дом],$B$2,РД[Состояние],"Продажа",РД[Дата подачи на регистрацию],"&gt;="&amp;DATE(YEAR($B58),MONTH($B58),1),РД[Дата подачи на регистрацию],"&lt;"&amp;$B59),'ПП 402'!L77)</f>
        <v>30459893.867719147</v>
      </c>
      <c r="J58" s="47">
        <f t="shared" ca="1" si="9"/>
        <v>141138.96203986619</v>
      </c>
    </row>
    <row r="59" spans="2:10" hidden="1" x14ac:dyDescent="0.25">
      <c r="B59" s="38">
        <v>46692</v>
      </c>
      <c r="C59" s="148">
        <f ca="1">IF($B$1&gt;=$B60,COUNTIFS(РД[Дата подачи на регистрацию],"&gt;="&amp;DATE(YEAR($B59),MONTH($B59),1),РД[Дата подачи на регистрацию],"&lt;"&amp;$B60,РД[Дом],$B$2,РД[Тип кв],C$3,РД[Состояние],"Продажа"),'ПП 402'!D78)</f>
        <v>2</v>
      </c>
      <c r="D59" s="148">
        <f ca="1">IF($B$1&gt;=$B60,COUNTIFS(РД[Дата подачи на регистрацию],"&gt;="&amp;DATE(YEAR($B59),MONTH($B59),1),РД[Дата подачи на регистрацию],"&lt;"&amp;$B60,РД[Дом],$B$2,РД[Тип кв],D$3,РД[Состояние],"Продажа"),'ПП 402'!E78)</f>
        <v>0</v>
      </c>
      <c r="E59" s="148">
        <f ca="1">IF($B$1&gt;=$B60,COUNTIFS(РД[Дата подачи на регистрацию],"&gt;="&amp;DATE(YEAR($B59),MONTH($B59),1),РД[Дата подачи на регистрацию],"&lt;"&amp;$B60,РД[Дом],$B$2,РД[Тип кв],E$3,РД[Состояние],"Продажа"),'ПП 402'!F78)</f>
        <v>2</v>
      </c>
      <c r="F59" s="148">
        <f ca="1">IF($B$1&gt;=$B60,COUNTIFS(РД[Дата подачи на регистрацию],"&gt;="&amp;DATE(YEAR($B59),MONTH($B59),1),РД[Дата подачи на регистрацию],"&lt;"&amp;$B60,РД[Дом],$B$2,РД[Тип кв],F$3,РД[Состояние],"Продажа"),'ПП 402'!G78)</f>
        <v>1</v>
      </c>
      <c r="G59" s="149">
        <f t="shared" ca="1" si="8"/>
        <v>5</v>
      </c>
      <c r="H59" s="150">
        <f ca="1">IF($B$1&gt;=B60,SUMIFS(РД[S],РД[Дом],$B$2,РД[Состояние],"Продажа",РД[Дата подачи на регистрацию],"&gt;="&amp;DATE(YEAR($B59),MONTH($B59),1),РД[Дата подачи на регистрацию],"&lt;"&amp;$B60),'ПП 402'!I78)</f>
        <v>253.60355683269455</v>
      </c>
      <c r="I59" s="151">
        <f ca="1">IF($B$1&gt;=B60,SUMIFS(РД[Стоимость без отделки итог],РД[Дом],$B$2,РД[Состояние],"Продажа",РД[Дата подачи на регистрацию],"&gt;="&amp;DATE(YEAR($B59),MONTH($B59),1),РД[Дата подачи на регистрацию],"&lt;"&amp;$B60),'ПП 402'!L78)</f>
        <v>34246072.583173692</v>
      </c>
      <c r="J59" s="47">
        <f t="shared" ca="1" si="9"/>
        <v>135037.82443306289</v>
      </c>
    </row>
    <row r="60" spans="2:10" hidden="1" x14ac:dyDescent="0.25">
      <c r="B60" s="38">
        <v>46722</v>
      </c>
      <c r="C60" s="148">
        <f ca="1">IF($B$1&gt;=$B61,COUNTIFS(РД[Дата подачи на регистрацию],"&gt;="&amp;DATE(YEAR($B60),MONTH($B60),1),РД[Дата подачи на регистрацию],"&lt;"&amp;$B61,РД[Дом],$B$2,РД[Тип кв],C$3,РД[Состояние],"Продажа"),'ПП 402'!D79)</f>
        <v>2</v>
      </c>
      <c r="D60" s="148">
        <f ca="1">IF($B$1&gt;=$B61,COUNTIFS(РД[Дата подачи на регистрацию],"&gt;="&amp;DATE(YEAR($B60),MONTH($B60),1),РД[Дата подачи на регистрацию],"&lt;"&amp;$B61,РД[Дом],$B$2,РД[Тип кв],D$3,РД[Состояние],"Продажа"),'ПП 402'!E79)</f>
        <v>1</v>
      </c>
      <c r="E60" s="148">
        <f ca="1">IF($B$1&gt;=$B61,COUNTIFS(РД[Дата подачи на регистрацию],"&gt;="&amp;DATE(YEAR($B60),MONTH($B60),1),РД[Дата подачи на регистрацию],"&lt;"&amp;$B61,РД[Дом],$B$2,РД[Тип кв],E$3,РД[Состояние],"Продажа"),'ПП 402'!F79)</f>
        <v>2</v>
      </c>
      <c r="F60" s="148">
        <f ca="1">IF($B$1&gt;=$B61,COUNTIFS(РД[Дата подачи на регистрацию],"&gt;="&amp;DATE(YEAR($B60),MONTH($B60),1),РД[Дата подачи на регистрацию],"&lt;"&amp;$B61,РД[Дом],$B$2,РД[Тип кв],F$3,РД[Состояние],"Продажа"),'ПП 402'!G79)</f>
        <v>0</v>
      </c>
      <c r="G60" s="149">
        <f t="shared" ca="1" si="8"/>
        <v>5</v>
      </c>
      <c r="H60" s="150">
        <f ca="1">IF($B$1&gt;=B61,SUMIFS(РД[S],РД[Дом],$B$2,РД[Состояние],"Продажа",РД[Дата подачи на регистрацию],"&gt;="&amp;DATE(YEAR($B60),MONTH($B60),1),РД[Дата подачи на регистрацию],"&lt;"&amp;$B61),'ПП 402'!I79)</f>
        <v>215.81492046905822</v>
      </c>
      <c r="I60" s="151">
        <f ca="1">IF($B$1&gt;=B61,SUMIFS(РД[Стоимость без отделки итог],РД[Дом],$B$2,РД[Состояние],"Продажа",РД[Дата подачи на регистрацию],"&gt;="&amp;DATE(YEAR($B60),MONTH($B60),1),РД[Дата подачи на регистрацию],"&lt;"&amp;$B61),'ПП 402'!L79)</f>
        <v>30459893.867719147</v>
      </c>
      <c r="J60" s="47">
        <f t="shared" ca="1" si="9"/>
        <v>141138.96203986619</v>
      </c>
    </row>
    <row r="61" spans="2:10" x14ac:dyDescent="0.25">
      <c r="B61" s="154" t="s">
        <v>7854</v>
      </c>
      <c r="C61" s="467">
        <f t="shared" ref="C61:I61" ca="1" si="10">SUM(C49:C60)</f>
        <v>20</v>
      </c>
      <c r="D61" s="467">
        <f t="shared" ca="1" si="10"/>
        <v>4</v>
      </c>
      <c r="E61" s="467">
        <f t="shared" ca="1" si="10"/>
        <v>21</v>
      </c>
      <c r="F61" s="467">
        <f t="shared" ca="1" si="10"/>
        <v>4</v>
      </c>
      <c r="G61" s="467">
        <f t="shared" ca="1" si="10"/>
        <v>49</v>
      </c>
      <c r="H61" s="467">
        <f t="shared" ca="1" si="10"/>
        <v>2287.0455599094371</v>
      </c>
      <c r="I61" s="467">
        <f t="shared" ca="1" si="10"/>
        <v>315948718.34060842</v>
      </c>
      <c r="J61" s="156">
        <f ca="1">IFERROR(I61/H61,)</f>
        <v>138147.10291697006</v>
      </c>
    </row>
    <row r="62" spans="2:10" ht="15.75" thickBot="1" x14ac:dyDescent="0.3">
      <c r="C62" s="34"/>
      <c r="D62" s="34"/>
      <c r="E62" s="34"/>
      <c r="F62" s="34"/>
      <c r="G62" s="34"/>
      <c r="H62" s="32"/>
      <c r="I62" s="32"/>
      <c r="J62" s="32"/>
    </row>
    <row r="63" spans="2:10" ht="31.5" x14ac:dyDescent="0.25">
      <c r="B63" s="162" t="s">
        <v>0</v>
      </c>
      <c r="C63" s="163">
        <v>0</v>
      </c>
      <c r="D63" s="164">
        <v>1</v>
      </c>
      <c r="E63" s="164">
        <v>2</v>
      </c>
      <c r="F63" s="164">
        <v>3</v>
      </c>
      <c r="G63" s="165" t="s">
        <v>59</v>
      </c>
      <c r="H63" s="166" t="s">
        <v>51</v>
      </c>
      <c r="I63" s="166" t="s">
        <v>58</v>
      </c>
      <c r="J63" s="167" t="s">
        <v>17</v>
      </c>
    </row>
    <row r="64" spans="2:10" ht="15.75" thickBot="1" x14ac:dyDescent="0.3">
      <c r="B64" s="168" t="s">
        <v>61</v>
      </c>
      <c r="C64" s="169">
        <f ca="1">C31+C16+C46+C61</f>
        <v>59</v>
      </c>
      <c r="D64" s="169">
        <f t="shared" ref="D64:I64" ca="1" si="11">D31+D16+D46+D61</f>
        <v>92</v>
      </c>
      <c r="E64" s="169">
        <f t="shared" ca="1" si="11"/>
        <v>128</v>
      </c>
      <c r="F64" s="169">
        <f t="shared" ca="1" si="11"/>
        <v>7</v>
      </c>
      <c r="G64" s="169">
        <f ca="1">G31+G16+G46+G61</f>
        <v>286</v>
      </c>
      <c r="H64" s="197">
        <f t="shared" ca="1" si="11"/>
        <v>13392.242758620678</v>
      </c>
      <c r="I64" s="170">
        <f t="shared" ca="1" si="11"/>
        <v>1745949421.828222</v>
      </c>
      <c r="J64" s="171">
        <f ca="1">IFERROR(I64/H64,)</f>
        <v>130370.20410224737</v>
      </c>
    </row>
    <row r="65" spans="3:6" x14ac:dyDescent="0.25">
      <c r="C65" s="198"/>
      <c r="D65" s="198"/>
      <c r="E65" s="198"/>
      <c r="F65" s="198"/>
    </row>
  </sheetData>
  <sheetProtection formatCells="0" formatColumns="0" formatRows="0"/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3AAE-C034-472A-B9BA-FC26210E887C}">
  <sheetPr codeName="Лист6">
    <tabColor theme="9" tint="-0.249977111117893"/>
    <pageSetUpPr fitToPage="1"/>
  </sheetPr>
  <dimension ref="B1:I50"/>
  <sheetViews>
    <sheetView workbookViewId="0">
      <selection activeCell="C25" sqref="C25:H25"/>
    </sheetView>
  </sheetViews>
  <sheetFormatPr defaultColWidth="17.140625" defaultRowHeight="15" x14ac:dyDescent="0.25"/>
  <cols>
    <col min="1" max="1" width="8.5703125" customWidth="1"/>
    <col min="2" max="2" width="18.28515625" bestFit="1" customWidth="1"/>
    <col min="3" max="7" width="17" customWidth="1"/>
    <col min="8" max="8" width="17" style="323" customWidth="1"/>
    <col min="9" max="9" width="17" style="11" customWidth="1"/>
  </cols>
  <sheetData>
    <row r="1" spans="2:9" x14ac:dyDescent="0.25">
      <c r="B1" s="395">
        <f ca="1">TODAY()</f>
        <v>45891</v>
      </c>
    </row>
    <row r="2" spans="2:9" x14ac:dyDescent="0.25">
      <c r="B2" s="110" t="str">
        <f>'ПП 401'!C2</f>
        <v>4 Квартал Дом 1</v>
      </c>
    </row>
    <row r="3" spans="2:9" s="26" customFormat="1" ht="15.75" x14ac:dyDescent="0.25">
      <c r="B3" s="157" t="s">
        <v>0</v>
      </c>
      <c r="C3" s="159">
        <v>1</v>
      </c>
      <c r="D3" s="159">
        <v>2</v>
      </c>
      <c r="E3" s="159">
        <v>3</v>
      </c>
      <c r="F3" s="160" t="s">
        <v>59</v>
      </c>
      <c r="G3" s="161" t="s">
        <v>51</v>
      </c>
      <c r="H3" s="196" t="s">
        <v>58</v>
      </c>
      <c r="I3" s="161" t="s">
        <v>17</v>
      </c>
    </row>
    <row r="4" spans="2:9" hidden="1" x14ac:dyDescent="0.25">
      <c r="B4" s="38">
        <v>45292</v>
      </c>
      <c r="C4" s="148">
        <f ca="1">IF($B$1&gt;=$B5,COUNTIFS(РД[Дата подачи на регистрацию],"&gt;="&amp;DATE(YEAR($B4),MONTH($B4),1),РД[Дата подачи на регистрацию],"&lt;"&amp;$B5,РД[Дом],$B$2,РД[Тип кв],C$3,РД[Состояние],"Продажа"),'ПП 401'!D19)</f>
        <v>0</v>
      </c>
      <c r="D4" s="148">
        <f ca="1">IF($B$1&gt;=$B5,COUNTIFS(РД[Дата подачи на регистрацию],"&gt;="&amp;DATE(YEAR($B4),MONTH($B4),1),РД[Дата подачи на регистрацию],"&lt;"&amp;$B5,РД[Дом],$B$2,РД[Тип кв],D$3,РД[Состояние],"Продажа"),'ПП 401'!E19)</f>
        <v>0</v>
      </c>
      <c r="E4" s="148">
        <f ca="1">IF($B$1&gt;=$B5,COUNTIFS(РД[Дата подачи на регистрацию],"&gt;="&amp;DATE(YEAR($B4),MONTH($B4),1),РД[Дата подачи на регистрацию],"&lt;"&amp;$B5,РД[Дом],$B$2,РД[Тип кв],E$3,РД[Состояние],"Продажа"),'ПП 401'!F19)</f>
        <v>0</v>
      </c>
      <c r="F4" s="149">
        <f t="shared" ref="F4" ca="1" si="0">SUM(C4:E4)</f>
        <v>0</v>
      </c>
      <c r="G4" s="150">
        <f ca="1">IF($B$1&gt;=B5,SUMIFS(РД[S],РД[Дом],$B$2,РД[Состояние],"Продажа",РД[Дата подачи на регистрацию],"&gt;="&amp;DATE(YEAR($B4),MONTH($B4),1),РД[Дата подачи на регистрацию],"&lt;"&amp;$B5),'ПП 401'!H19)</f>
        <v>0</v>
      </c>
      <c r="H4" s="149">
        <f ca="1">IF($B$1&gt;=$B5,SUMIFS(РД[Стоимость без отделки итог],РД[Дом],$B$2,РД[Состояние],"Продажа",РД[Дата подачи на регистрацию],"&gt;="&amp;DATE(YEAR($B4),MONTH($B4),1),РД[Дата подачи на регистрацию],"&lt;"&amp;$B5),'ПП 401'!K19)</f>
        <v>0</v>
      </c>
      <c r="I4" s="47">
        <f ca="1">IFERROR(H4/G4,)</f>
        <v>0</v>
      </c>
    </row>
    <row r="5" spans="2:9" hidden="1" x14ac:dyDescent="0.25">
      <c r="B5" s="38">
        <v>45323</v>
      </c>
      <c r="C5" s="148">
        <f ca="1">IF($B$1&gt;=$B6,COUNTIFS(РД[Дата подачи на регистрацию],"&gt;="&amp;DATE(YEAR($B5),MONTH($B5),1),РД[Дата подачи на регистрацию],"&lt;"&amp;$B6,РД[Дом],$B$2,РД[Тип кв],C$3,РД[Состояние],"Продажа"),'ПП 401'!D20)</f>
        <v>0</v>
      </c>
      <c r="D5" s="148">
        <f ca="1">IF($B$1&gt;=$B6,COUNTIFS(РД[Дата подачи на регистрацию],"&gt;="&amp;DATE(YEAR($B5),MONTH($B5),1),РД[Дата подачи на регистрацию],"&lt;"&amp;$B6,РД[Дом],$B$2,РД[Тип кв],D$3,РД[Состояние],"Продажа"),'ПП 401'!E20)</f>
        <v>0</v>
      </c>
      <c r="E5" s="148">
        <f ca="1">IF($B$1&gt;=$B6,COUNTIFS(РД[Дата подачи на регистрацию],"&gt;="&amp;DATE(YEAR($B5),MONTH($B5),1),РД[Дата подачи на регистрацию],"&lt;"&amp;$B6,РД[Дом],$B$2,РД[Тип кв],E$3,РД[Состояние],"Продажа"),'ПП 401'!F20)</f>
        <v>0</v>
      </c>
      <c r="F5" s="149">
        <f t="shared" ref="F5:F7" ca="1" si="1">SUM(C5:E5)</f>
        <v>0</v>
      </c>
      <c r="G5" s="150">
        <f ca="1">IF($B$1&gt;=B6,SUMIFS(РД[S],РД[Дом],$B$2,РД[Состояние],"Продажа",РД[Дата подачи на регистрацию],"&gt;="&amp;DATE(YEAR($B5),MONTH($B5),1),РД[Дата подачи на регистрацию],"&lt;"&amp;$B6),'ПП 401'!H20)</f>
        <v>0</v>
      </c>
      <c r="H5" s="149">
        <f ca="1">IF($B$1&gt;=$B6,SUMIFS(РД[Стоимость без отделки итог],РД[Дом],$B$2,РД[Состояние],"Продажа",РД[Дата подачи на регистрацию],"&gt;="&amp;DATE(YEAR($B5),MONTH($B5),1),РД[Дата подачи на регистрацию],"&lt;"&amp;$B6),'ПП 401'!K20)</f>
        <v>0</v>
      </c>
      <c r="I5" s="47">
        <f ca="1">IFERROR(H5/G5,)</f>
        <v>0</v>
      </c>
    </row>
    <row r="6" spans="2:9" hidden="1" x14ac:dyDescent="0.25">
      <c r="B6" s="38">
        <v>45352</v>
      </c>
      <c r="C6" s="148">
        <f ca="1">IF($B$1&gt;=$B7,COUNTIFS(РД[Дата подачи на регистрацию],"&gt;="&amp;DATE(YEAR($B6),MONTH($B6),1),РД[Дата подачи на регистрацию],"&lt;"&amp;$B7,РД[Дом],$B$2,РД[Тип кв],C$3,РД[Состояние],"Продажа"),'ПП 401'!D21)</f>
        <v>0</v>
      </c>
      <c r="D6" s="148">
        <f ca="1">IF($B$1&gt;=$B7,COUNTIFS(РД[Дата подачи на регистрацию],"&gt;="&amp;DATE(YEAR($B6),MONTH($B6),1),РД[Дата подачи на регистрацию],"&lt;"&amp;$B7,РД[Дом],$B$2,РД[Тип кв],D$3,РД[Состояние],"Продажа"),'ПП 401'!E21)</f>
        <v>0</v>
      </c>
      <c r="E6" s="148">
        <f ca="1">IF($B$1&gt;=$B7,COUNTIFS(РД[Дата подачи на регистрацию],"&gt;="&amp;DATE(YEAR($B6),MONTH($B6),1),РД[Дата подачи на регистрацию],"&lt;"&amp;$B7,РД[Дом],$B$2,РД[Тип кв],E$3,РД[Состояние],"Продажа"),'ПП 401'!F21)</f>
        <v>0</v>
      </c>
      <c r="F6" s="149">
        <f t="shared" ca="1" si="1"/>
        <v>0</v>
      </c>
      <c r="G6" s="150">
        <f ca="1">IF($B$1&gt;=B7,SUMIFS(РД[S],РД[Дом],$B$2,РД[Состояние],"Продажа",РД[Дата подачи на регистрацию],"&gt;="&amp;DATE(YEAR($B6),MONTH($B6),1),РД[Дата подачи на регистрацию],"&lt;"&amp;$B7),'ПП 401'!H21)</f>
        <v>0</v>
      </c>
      <c r="H6" s="149">
        <f ca="1">IF($B$1&gt;=$B7,SUMIFS(РД[Стоимость без отделки итог],РД[Дом],$B$2,РД[Состояние],"Продажа",РД[Дата подачи на регистрацию],"&gt;="&amp;DATE(YEAR($B6),MONTH($B6),1),РД[Дата подачи на регистрацию],"&lt;"&amp;$B7),'ПП 401'!K21)</f>
        <v>0</v>
      </c>
      <c r="I6" s="47">
        <f ca="1">IFERROR(H6/G6,)</f>
        <v>0</v>
      </c>
    </row>
    <row r="7" spans="2:9" hidden="1" x14ac:dyDescent="0.25">
      <c r="B7" s="38">
        <v>45383</v>
      </c>
      <c r="C7" s="148">
        <f ca="1">IF($B$1&gt;=$B8,COUNTIFS(РД[Дата подачи на регистрацию],"&gt;="&amp;DATE(YEAR($B7),MONTH($B7),1),РД[Дата подачи на регистрацию],"&lt;"&amp;$B8,РД[Дом],$B$2,РД[Тип кв],C$3,РД[Состояние],"Продажа"),'ПП 401'!D22)</f>
        <v>0</v>
      </c>
      <c r="D7" s="148">
        <f ca="1">IF($B$1&gt;=$B8,COUNTIFS(РД[Дата подачи на регистрацию],"&gt;="&amp;DATE(YEAR($B7),MONTH($B7),1),РД[Дата подачи на регистрацию],"&lt;"&amp;$B8,РД[Дом],$B$2,РД[Тип кв],D$3,РД[Состояние],"Продажа"),'ПП 401'!E22)</f>
        <v>0</v>
      </c>
      <c r="E7" s="148">
        <f ca="1">IF($B$1&gt;=$B8,COUNTIFS(РД[Дата подачи на регистрацию],"&gt;="&amp;DATE(YEAR($B7),MONTH($B7),1),РД[Дата подачи на регистрацию],"&lt;"&amp;$B8,РД[Дом],$B$2,РД[Тип кв],E$3,РД[Состояние],"Продажа"),'ПП 401'!F22)</f>
        <v>0</v>
      </c>
      <c r="F7" s="149">
        <f t="shared" ca="1" si="1"/>
        <v>0</v>
      </c>
      <c r="G7" s="150">
        <f ca="1">IF($B$1&gt;=B8,SUMIFS(РД[S],РД[Дом],$B$2,РД[Состояние],"Продажа",РД[Дата подачи на регистрацию],"&gt;="&amp;DATE(YEAR($B7),MONTH($B7),1),РД[Дата подачи на регистрацию],"&lt;"&amp;$B8),'ПП 401'!H22)</f>
        <v>0</v>
      </c>
      <c r="H7" s="149">
        <f ca="1">IF($B$1&gt;=$B8,SUMIFS(РД[Стоимость без отделки итог],РД[Дом],$B$2,РД[Состояние],"Продажа",РД[Дата подачи на регистрацию],"&gt;="&amp;DATE(YEAR($B7),MONTH($B7),1),РД[Дата подачи на регистрацию],"&lt;"&amp;$B8),'ПП 401'!K22)</f>
        <v>0</v>
      </c>
      <c r="I7" s="47">
        <f t="shared" ref="I7:I15" ca="1" si="2">IFERROR(H7/G7,)</f>
        <v>0</v>
      </c>
    </row>
    <row r="8" spans="2:9" s="245" customFormat="1" hidden="1" x14ac:dyDescent="0.25">
      <c r="B8" s="306">
        <v>45413</v>
      </c>
      <c r="C8" s="243">
        <f ca="1">IF($B$1&gt;=$B9,COUNTIFS(РД[Дата подачи на регистрацию],"&gt;="&amp;DATE(YEAR($B8),MONTH($B8),1),РД[Дата подачи на регистрацию],"&lt;"&amp;$B9,РД[Дом],$B$2,РД[Тип кв],C$3,РД[Состояние],"Продажа"),'ПП 401'!D23)</f>
        <v>0</v>
      </c>
      <c r="D8" s="243">
        <f ca="1">IF($B$1&gt;=$B9,COUNTIFS(РД[Дата подачи на регистрацию],"&gt;="&amp;DATE(YEAR($B8),MONTH($B8),1),РД[Дата подачи на регистрацию],"&lt;"&amp;$B9,РД[Дом],$B$2,РД[Тип кв],D$3,РД[Состояние],"Продажа"),'ПП 401'!E23)</f>
        <v>0</v>
      </c>
      <c r="E8" s="243">
        <f ca="1">IF($B$1&gt;=$B9,COUNTIFS(РД[Дата подачи на регистрацию],"&gt;="&amp;DATE(YEAR($B8),MONTH($B8),1),РД[Дата подачи на регистрацию],"&lt;"&amp;$B9,РД[Дом],$B$2,РД[Тип кв],E$3,РД[Состояние],"Продажа"),'ПП 401'!F23)</f>
        <v>0</v>
      </c>
      <c r="F8" s="316">
        <f t="shared" ref="F8:F9" ca="1" si="3">SUM(C8:E8)</f>
        <v>0</v>
      </c>
      <c r="G8" s="47">
        <f ca="1">IF($B$1&gt;=B9,SUMIFS(РД[S],РД[Дом],$B$2,РД[Состояние],"Продажа",РД[Дата подачи на регистрацию],"&gt;="&amp;DATE(YEAR($B8),MONTH($B8),1),РД[Дата подачи на регистрацию],"&lt;"&amp;$B9),'ПП 401'!H23)</f>
        <v>0</v>
      </c>
      <c r="H8" s="316">
        <f ca="1">IF($B$1&gt;=$B9,SUMIFS(РД[Стоимость без отделки итог],РД[Дом],$B$2,РД[Состояние],"Продажа",РД[Дата подачи на регистрацию],"&gt;="&amp;DATE(YEAR($B8),MONTH($B8),1),РД[Дата подачи на регистрацию],"&lt;"&amp;$B9),'ПП 401'!K23)</f>
        <v>0</v>
      </c>
      <c r="I8" s="47">
        <f t="shared" ca="1" si="2"/>
        <v>0</v>
      </c>
    </row>
    <row r="9" spans="2:9" hidden="1" x14ac:dyDescent="0.25">
      <c r="B9" s="273">
        <v>45444</v>
      </c>
      <c r="C9" s="274">
        <f ca="1">IF($B$1&gt;=$B10,COUNTIFS(РД[Дата подачи на регистрацию],"&gt;="&amp;DATE(YEAR($B9),MONTH($B9),1),РД[Дата подачи на регистрацию],"&lt;"&amp;$B10,РД[Дом],$B$2,РД[Тип кв],C$3,РД[Состояние],"Продажа"),'ПП 401'!D24)</f>
        <v>0</v>
      </c>
      <c r="D9" s="274">
        <f ca="1">IF($B$1&gt;=$B10,COUNTIFS(РД[Дата подачи на регистрацию],"&gt;="&amp;DATE(YEAR($B9),MONTH($B9),1),РД[Дата подачи на регистрацию],"&lt;"&amp;$B10,РД[Дом],$B$2,РД[Тип кв],D$3,РД[Состояние],"Продажа"),'ПП 401'!E24)</f>
        <v>1</v>
      </c>
      <c r="E9" s="274">
        <f ca="1">IF($B$1&gt;=$B10,COUNTIFS(РД[Дата подачи на регистрацию],"&gt;="&amp;DATE(YEAR($B9),MONTH($B9),1),РД[Дата подачи на регистрацию],"&lt;"&amp;$B10,РД[Дом],$B$2,РД[Тип кв],E$3,РД[Состояние],"Продажа"),'ПП 401'!F24)</f>
        <v>0</v>
      </c>
      <c r="F9" s="333">
        <f t="shared" ca="1" si="3"/>
        <v>1</v>
      </c>
      <c r="G9" s="275">
        <f ca="1">IF($B$1&gt;=B10,SUMIFS(РД[S],РД[Дом],$B$2,РД[Состояние],"Продажа",РД[Дата подачи на регистрацию],"&gt;="&amp;DATE(YEAR($B9),MONTH($B9),1),РД[Дата подачи на регистрацию],"&lt;"&amp;$B10),'ПП 401'!H24)</f>
        <v>61.41</v>
      </c>
      <c r="H9" s="333">
        <f ca="1">IF($B$1&gt;=$B10,SUMIFS(РД[Стоимость без отделки итог],РД[Дом],$B$2,РД[Состояние],"Продажа",РД[Дата подачи на регистрацию],"&gt;="&amp;DATE(YEAR($B9),MONTH($B9),1),РД[Дата подачи на регистрацию],"&lt;"&amp;$B10),'ПП 401'!K24)</f>
        <v>7409584</v>
      </c>
      <c r="I9" s="275">
        <f t="shared" ca="1" si="2"/>
        <v>120657.61276665039</v>
      </c>
    </row>
    <row r="10" spans="2:9" s="245" customFormat="1" hidden="1" x14ac:dyDescent="0.25">
      <c r="B10" s="273">
        <v>45474</v>
      </c>
      <c r="C10" s="274">
        <f ca="1">IF($B$1&gt;=$B11,COUNTIFS(РД[Дата подачи на регистрацию],"&gt;="&amp;DATE(YEAR($B10),MONTH($B10),1),РД[Дата подачи на регистрацию],"&lt;"&amp;$B11,РД[Дом],$B$2,РД[Тип кв],C$3,РД[Состояние],"Продажа"),'ПП 401'!D25)</f>
        <v>0</v>
      </c>
      <c r="D10" s="274">
        <f ca="1">IF($B$1&gt;=$B11,COUNTIFS(РД[Дата подачи на регистрацию],"&gt;="&amp;DATE(YEAR($B10),MONTH($B10),1),РД[Дата подачи на регистрацию],"&lt;"&amp;$B11,РД[Дом],$B$2,РД[Тип кв],D$3,РД[Состояние],"Продажа"),'ПП 401'!E25)</f>
        <v>0</v>
      </c>
      <c r="E10" s="274">
        <f ca="1">IF($B$1&gt;=$B11,COUNTIFS(РД[Дата подачи на регистрацию],"&gt;="&amp;DATE(YEAR($B10),MONTH($B10),1),РД[Дата подачи на регистрацию],"&lt;"&amp;$B11,РД[Дом],$B$2,РД[Тип кв],E$3,РД[Состояние],"Продажа"),'ПП 401'!F25)</f>
        <v>0</v>
      </c>
      <c r="F10" s="333">
        <f t="shared" ref="F10:F15" ca="1" si="4">SUM(C10:E10)</f>
        <v>0</v>
      </c>
      <c r="G10" s="275">
        <f ca="1">IF($B$1&gt;=B11,SUMIFS(РД[S],РД[Дом],$B$2,РД[Состояние],"Продажа",РД[Дата подачи на регистрацию],"&gt;="&amp;DATE(YEAR($B10),MONTH($B10),1),РД[Дата подачи на регистрацию],"&lt;"&amp;$B11),'ПП 401'!H25)</f>
        <v>0</v>
      </c>
      <c r="H10" s="333">
        <f ca="1">IF($B$1&gt;=$B11,SUMIFS(РД[Стоимость без отделки итог],РД[Дом],$B$2,РД[Состояние],"Продажа",РД[Дата подачи на регистрацию],"&gt;="&amp;DATE(YEAR($B10),MONTH($B10),1),РД[Дата подачи на регистрацию],"&lt;"&amp;$B11),'ПП 401'!K25)</f>
        <v>0</v>
      </c>
      <c r="I10" s="275">
        <f t="shared" ca="1" si="2"/>
        <v>0</v>
      </c>
    </row>
    <row r="11" spans="2:9" hidden="1" x14ac:dyDescent="0.25">
      <c r="B11" s="273">
        <v>45505</v>
      </c>
      <c r="C11" s="274">
        <f ca="1">IF($B$1&gt;=$B12,COUNTIFS(РД[Дата подачи на регистрацию],"&gt;="&amp;DATE(YEAR($B11),MONTH($B11),1),РД[Дата подачи на регистрацию],"&lt;"&amp;$B12,РД[Дом],$B$2,РД[Тип кв],C$3,РД[Состояние],"Продажа"),'ПП 401'!D26)</f>
        <v>0</v>
      </c>
      <c r="D11" s="274">
        <f ca="1">IF($B$1&gt;=$B12,COUNTIFS(РД[Дата подачи на регистрацию],"&gt;="&amp;DATE(YEAR($B11),MONTH($B11),1),РД[Дата подачи на регистрацию],"&lt;"&amp;$B12,РД[Дом],$B$2,РД[Тип кв],D$3,РД[Состояние],"Продажа"),'ПП 401'!E26)</f>
        <v>1</v>
      </c>
      <c r="E11" s="274">
        <f ca="1">IF($B$1&gt;=$B12,COUNTIFS(РД[Дата подачи на регистрацию],"&gt;="&amp;DATE(YEAR($B11),MONTH($B11),1),РД[Дата подачи на регистрацию],"&lt;"&amp;$B12,РД[Дом],$B$2,РД[Тип кв],E$3,РД[Состояние],"Продажа"),'ПП 401'!F26)</f>
        <v>0</v>
      </c>
      <c r="F11" s="333">
        <f t="shared" ca="1" si="4"/>
        <v>1</v>
      </c>
      <c r="G11" s="275">
        <f ca="1">IF($B$1&gt;=B12,SUMIFS(РД[S],РД[Дом],$B$2,РД[Состояние],"Продажа",РД[Дата подачи на регистрацию],"&gt;="&amp;DATE(YEAR($B11),MONTH($B11),1),РД[Дата подачи на регистрацию],"&lt;"&amp;$B12),'ПП 401'!H26)</f>
        <v>54.07</v>
      </c>
      <c r="H11" s="333">
        <f ca="1">IF($B$1&gt;=$B12,SUMIFS(РД[Стоимость без отделки итог],РД[Дом],$B$2,РД[Состояние],"Продажа",РД[Дата подачи на регистрацию],"&gt;="&amp;DATE(YEAR($B11),MONTH($B11),1),РД[Дата подачи на регистрацию],"&lt;"&amp;$B12),'ПП 401'!K26)</f>
        <v>6306800</v>
      </c>
      <c r="I11" s="275">
        <f t="shared" ca="1" si="2"/>
        <v>116641.39078971703</v>
      </c>
    </row>
    <row r="12" spans="2:9" s="245" customFormat="1" hidden="1" x14ac:dyDescent="0.25">
      <c r="B12" s="273">
        <v>45536</v>
      </c>
      <c r="C12" s="274">
        <f ca="1">IF($B$1&gt;=$B13,COUNTIFS(РД[Дата подачи на регистрацию],"&gt;="&amp;DATE(YEAR($B12),MONTH($B12),1),РД[Дата подачи на регистрацию],"&lt;"&amp;$B13,РД[Дом],$B$2,РД[Тип кв],C$3,РД[Состояние],"Продажа"),'ПП 401'!D27)</f>
        <v>0</v>
      </c>
      <c r="D12" s="274">
        <f ca="1">IF($B$1&gt;=$B13,COUNTIFS(РД[Дата подачи на регистрацию],"&gt;="&amp;DATE(YEAR($B12),MONTH($B12),1),РД[Дата подачи на регистрацию],"&lt;"&amp;$B13,РД[Дом],$B$2,РД[Тип кв],D$3,РД[Состояние],"Продажа"),'ПП 401'!E27)</f>
        <v>0</v>
      </c>
      <c r="E12" s="274">
        <f ca="1">IF($B$1&gt;=$B13,COUNTIFS(РД[Дата подачи на регистрацию],"&gt;="&amp;DATE(YEAR($B12),MONTH($B12),1),РД[Дата подачи на регистрацию],"&lt;"&amp;$B13,РД[Дом],$B$2,РД[Тип кв],E$3,РД[Состояние],"Продажа"),'ПП 401'!F27)</f>
        <v>0</v>
      </c>
      <c r="F12" s="333">
        <f t="shared" ca="1" si="4"/>
        <v>0</v>
      </c>
      <c r="G12" s="275">
        <f ca="1">IF($B$1&gt;=B13,SUMIFS(РД[S],РД[Дом],$B$2,РД[Состояние],"Продажа",РД[Дата подачи на регистрацию],"&gt;="&amp;DATE(YEAR($B12),MONTH($B12),1),РД[Дата подачи на регистрацию],"&lt;"&amp;$B13),'ПП 401'!H27)</f>
        <v>0</v>
      </c>
      <c r="H12" s="333">
        <f ca="1">IF($B$1&gt;=$B13,SUMIFS(РД[Стоимость без отделки итог],РД[Дом],$B$2,РД[Состояние],"Продажа",РД[Дата подачи на регистрацию],"&gt;="&amp;DATE(YEAR($B12),MONTH($B12),1),РД[Дата подачи на регистрацию],"&lt;"&amp;$B13),'ПП 401'!K27)</f>
        <v>0</v>
      </c>
      <c r="I12" s="275">
        <f t="shared" ca="1" si="2"/>
        <v>0</v>
      </c>
    </row>
    <row r="13" spans="2:9" hidden="1" x14ac:dyDescent="0.25">
      <c r="B13" s="273">
        <v>45566</v>
      </c>
      <c r="C13" s="274">
        <f ca="1">IF($B$1&gt;=$B14,COUNTIFS(РД[Дата подачи на регистрацию],"&gt;="&amp;DATE(YEAR($B13),MONTH($B13),1),РД[Дата подачи на регистрацию],"&lt;"&amp;$B14,РД[Дом],$B$2,РД[Тип кв],C$3,РД[Состояние],"Продажа"),'ПП 401'!D28)</f>
        <v>1</v>
      </c>
      <c r="D13" s="274">
        <f ca="1">IF($B$1&gt;=$B14,COUNTIFS(РД[Дата подачи на регистрацию],"&gt;="&amp;DATE(YEAR($B13),MONTH($B13),1),РД[Дата подачи на регистрацию],"&lt;"&amp;$B14,РД[Дом],$B$2,РД[Тип кв],D$3,РД[Состояние],"Продажа"),'ПП 401'!E28)</f>
        <v>0</v>
      </c>
      <c r="E13" s="274">
        <f ca="1">IF($B$1&gt;=$B14,COUNTIFS(РД[Дата подачи на регистрацию],"&gt;="&amp;DATE(YEAR($B13),MONTH($B13),1),РД[Дата подачи на регистрацию],"&lt;"&amp;$B14,РД[Дом],$B$2,РД[Тип кв],E$3,РД[Состояние],"Продажа"),'ПП 401'!F28)</f>
        <v>0</v>
      </c>
      <c r="F13" s="333">
        <f t="shared" ca="1" si="4"/>
        <v>1</v>
      </c>
      <c r="G13" s="275">
        <f ca="1">IF($B$1&gt;=B14,SUMIFS(РД[S],РД[Дом],$B$2,РД[Состояние],"Продажа",РД[Дата подачи на регистрацию],"&gt;="&amp;DATE(YEAR($B13),MONTH($B13),1),РД[Дата подачи на регистрацию],"&lt;"&amp;$B14),'ПП 401'!H28)</f>
        <v>35.630000000000003</v>
      </c>
      <c r="H13" s="333">
        <f ca="1">IF($B$1&gt;=$B14,SUMIFS(РД[Стоимость без отделки итог],РД[Дом],$B$2,РД[Состояние],"Продажа",РД[Дата подачи на регистрацию],"&gt;="&amp;DATE(YEAR($B13),MONTH($B13),1),РД[Дата подачи на регистрацию],"&lt;"&amp;$B14),'ПП 401'!K28)</f>
        <v>4566207</v>
      </c>
      <c r="I13" s="275">
        <f t="shared" ca="1" si="2"/>
        <v>128156.24473758068</v>
      </c>
    </row>
    <row r="14" spans="2:9" hidden="1" x14ac:dyDescent="0.25">
      <c r="B14" s="273">
        <v>45597</v>
      </c>
      <c r="C14" s="274">
        <f ca="1">IF($B$1&gt;=$B15,COUNTIFS(РД[Дата подачи на регистрацию],"&gt;="&amp;DATE(YEAR($B14),MONTH($B14),1),РД[Дата подачи на регистрацию],"&lt;"&amp;$B15,РД[Дом],$B$2,РД[Тип кв],C$3,РД[Состояние],"Продажа"),'ПП 401'!D29)</f>
        <v>0</v>
      </c>
      <c r="D14" s="274">
        <f ca="1">IF($B$1&gt;=$B15,COUNTIFS(РД[Дата подачи на регистрацию],"&gt;="&amp;DATE(YEAR($B14),MONTH($B14),1),РД[Дата подачи на регистрацию],"&lt;"&amp;$B15,РД[Дом],$B$2,РД[Тип кв],D$3,РД[Состояние],"Продажа"),'ПП 401'!E29)</f>
        <v>3</v>
      </c>
      <c r="E14" s="274">
        <f ca="1">IF($B$1&gt;=$B15,COUNTIFS(РД[Дата подачи на регистрацию],"&gt;="&amp;DATE(YEAR($B14),MONTH($B14),1),РД[Дата подачи на регистрацию],"&lt;"&amp;$B15,РД[Дом],$B$2,РД[Тип кв],E$3,РД[Состояние],"Продажа"),'ПП 401'!F29)</f>
        <v>0</v>
      </c>
      <c r="F14" s="333">
        <f t="shared" ca="1" si="4"/>
        <v>3</v>
      </c>
      <c r="G14" s="275">
        <f ca="1">IF($B$1&gt;=B15,SUMIFS(РД[S],РД[Дом],$B$2,РД[Состояние],"Продажа",РД[Дата подачи на регистрацию],"&gt;="&amp;DATE(YEAR($B14),MONTH($B14),1),РД[Дата подачи на регистрацию],"&lt;"&amp;$B15),'ПП 401'!H29)</f>
        <v>157.65</v>
      </c>
      <c r="H14" s="333">
        <f ca="1">IF($B$1&gt;=$B15,SUMIFS(РД[Стоимость без отделки итог],РД[Дом],$B$2,РД[Состояние],"Продажа",РД[Дата подачи на регистрацию],"&gt;="&amp;DATE(YEAR($B14),MONTH($B14),1),РД[Дата подачи на регистрацию],"&lt;"&amp;$B15),'ПП 401'!K29)</f>
        <v>17600314</v>
      </c>
      <c r="I14" s="275">
        <f t="shared" ca="1" si="2"/>
        <v>111641.69996828417</v>
      </c>
    </row>
    <row r="15" spans="2:9" hidden="1" x14ac:dyDescent="0.25">
      <c r="B15" s="273">
        <v>45627</v>
      </c>
      <c r="C15" s="274">
        <f ca="1">IF($B$1&gt;=$B19,COUNTIFS(РД[Дата подачи на регистрацию],"&gt;="&amp;DATE(YEAR($B15),MONTH($B15),1),РД[Дата подачи на регистрацию],"&lt;"&amp;$B19,РД[Дом],$B$2,РД[Тип кв],C$3,РД[Состояние],"Продажа"),'ПП 401'!D30)</f>
        <v>2</v>
      </c>
      <c r="D15" s="274">
        <f ca="1">IF($B$1&gt;=$B19,COUNTIFS(РД[Дата подачи на регистрацию],"&gt;="&amp;DATE(YEAR($B15),MONTH($B15),1),РД[Дата подачи на регистрацию],"&lt;"&amp;$B19,РД[Дом],$B$2,РД[Тип кв],D$3,РД[Состояние],"Продажа"),'ПП 401'!E30)</f>
        <v>1</v>
      </c>
      <c r="E15" s="274">
        <f ca="1">IF($B$1&gt;=$B19,COUNTIFS(РД[Дата подачи на регистрацию],"&gt;="&amp;DATE(YEAR($B15),MONTH($B15),1),РД[Дата подачи на регистрацию],"&lt;"&amp;$B19,РД[Дом],$B$2,РД[Тип кв],E$3,РД[Состояние],"Продажа"),'ПП 401'!F30)</f>
        <v>0</v>
      </c>
      <c r="F15" s="333">
        <f t="shared" ca="1" si="4"/>
        <v>3</v>
      </c>
      <c r="G15" s="275">
        <f ca="1">IF($B$1&gt;=B19,SUMIFS(РД[S],РД[Дом],$B$2,РД[Состояние],"Продажа",РД[Дата подачи на регистрацию],"&gt;="&amp;DATE(YEAR($B15),MONTH($B15),1),РД[Дата подачи на регистрацию],"&lt;"&amp;$B19),'ПП 401'!H30)</f>
        <v>120.26</v>
      </c>
      <c r="H15" s="333">
        <f ca="1">IF($B$1&gt;=$B19,SUMIFS(РД[Стоимость без отделки итог],РД[Дом],$B$2,РД[Состояние],"Продажа",РД[Дата подачи на регистрацию],"&gt;="&amp;DATE(YEAR($B15),MONTH($B15),1),РД[Дата подачи на регистрацию],"&lt;"&amp;$B19),'ПП 401'!K30)</f>
        <v>15798177</v>
      </c>
      <c r="I15" s="275">
        <f t="shared" ca="1" si="2"/>
        <v>131366.8468318643</v>
      </c>
    </row>
    <row r="16" spans="2:9" s="13" customFormat="1" ht="14.25" customHeight="1" x14ac:dyDescent="0.25">
      <c r="B16" s="154" t="s">
        <v>3249</v>
      </c>
      <c r="C16" s="155">
        <f t="shared" ref="C16:H16" ca="1" si="5">SUM(C4:C15)</f>
        <v>3</v>
      </c>
      <c r="D16" s="155">
        <f t="shared" ca="1" si="5"/>
        <v>6</v>
      </c>
      <c r="E16" s="155">
        <f t="shared" ca="1" si="5"/>
        <v>0</v>
      </c>
      <c r="F16" s="155">
        <f t="shared" ca="1" si="5"/>
        <v>9</v>
      </c>
      <c r="G16" s="155">
        <f t="shared" ca="1" si="5"/>
        <v>429.02</v>
      </c>
      <c r="H16" s="155">
        <f t="shared" ca="1" si="5"/>
        <v>51681082</v>
      </c>
      <c r="I16" s="156">
        <f ca="1">IFERROR(H16/G16,)</f>
        <v>120463.10661507622</v>
      </c>
    </row>
    <row r="17" spans="2:9" s="249" customFormat="1" ht="14.25" customHeight="1" x14ac:dyDescent="0.25">
      <c r="B17" s="352"/>
      <c r="C17" s="353"/>
      <c r="D17" s="353"/>
      <c r="E17" s="353"/>
      <c r="F17" s="353"/>
      <c r="G17" s="353"/>
      <c r="H17" s="353"/>
      <c r="I17" s="113"/>
    </row>
    <row r="18" spans="2:9" s="346" customFormat="1" ht="14.25" customHeight="1" x14ac:dyDescent="0.25">
      <c r="B18" s="157" t="s">
        <v>0</v>
      </c>
      <c r="C18" s="159">
        <v>1</v>
      </c>
      <c r="D18" s="159">
        <v>2</v>
      </c>
      <c r="E18" s="159">
        <v>3</v>
      </c>
      <c r="F18" s="160" t="s">
        <v>59</v>
      </c>
      <c r="G18" s="161" t="s">
        <v>51</v>
      </c>
      <c r="H18" s="196" t="s">
        <v>58</v>
      </c>
      <c r="I18" s="161" t="s">
        <v>17</v>
      </c>
    </row>
    <row r="19" spans="2:9" s="346" customFormat="1" ht="14.25" customHeight="1" x14ac:dyDescent="0.25">
      <c r="B19" s="273">
        <v>45658</v>
      </c>
      <c r="C19" s="274">
        <f ca="1">IF($B$1&gt;=$B20,COUNTIFS(РД[Дата подачи на регистрацию],"&gt;="&amp;DATE(YEAR($B19),MONTH($B19),1),РД[Дата подачи на регистрацию],"&lt;"&amp;$B20,РД[Дом],$B$2,РД[Тип кв],C$3,РД[Состояние],"Продажа"),'ПП 401'!D35)</f>
        <v>0</v>
      </c>
      <c r="D19" s="274">
        <f ca="1">IF($B$1&gt;=$B20,COUNTIFS(РД[Дата подачи на регистрацию],"&gt;="&amp;DATE(YEAR($B19),MONTH($B19),1),РД[Дата подачи на регистрацию],"&lt;"&amp;$B20,РД[Дом],$B$2,РД[Тип кв],D$3,РД[Состояние],"Продажа"),'ПП 401'!E35)</f>
        <v>0</v>
      </c>
      <c r="E19" s="274">
        <f ca="1">IF($B$1&gt;=$B20,COUNTIFS(РД[Дата подачи на регистрацию],"&gt;="&amp;DATE(YEAR($B19),MONTH($B19),1),РД[Дата подачи на регистрацию],"&lt;"&amp;$B20,РД[Дом],$B$2,РД[Тип кв],E$3,РД[Состояние],"Продажа"),'ПП 401'!F35)</f>
        <v>0</v>
      </c>
      <c r="F19" s="333">
        <f t="shared" ref="F19:F29" ca="1" si="6">SUM(C19:E19)</f>
        <v>0</v>
      </c>
      <c r="G19" s="275">
        <f ca="1">IF($B$1&gt;=B20,SUMIFS(РД[S],РД[Дом],$B$2,РД[Состояние],"Продажа",РД[Дата подачи на регистрацию],"&gt;="&amp;DATE(YEAR($B19),MONTH($B19),1),РД[Дата подачи на регистрацию],"&lt;"&amp;$B20),'ПП 401'!H35)</f>
        <v>0</v>
      </c>
      <c r="H19" s="333">
        <f ca="1">IF($B$1&gt;=$B20,SUMIFS(РД[Стоимость без отделки итог],РД[Дом],$B$2,РД[Состояние],"Продажа",РД[Дата подачи на регистрацию],"&gt;="&amp;DATE(YEAR($B19),MONTH($B19),1),РД[Дата подачи на регистрацию],"&lt;"&amp;$B20),'ПП 401'!K35)</f>
        <v>0</v>
      </c>
      <c r="I19" s="275">
        <f ca="1">IFERROR(H19/G19,)</f>
        <v>0</v>
      </c>
    </row>
    <row r="20" spans="2:9" s="346" customFormat="1" ht="14.25" customHeight="1" x14ac:dyDescent="0.25">
      <c r="B20" s="273">
        <v>45689</v>
      </c>
      <c r="C20" s="274">
        <f ca="1">IF($B$1&gt;=$B21,COUNTIFS(РД[Дата подачи на регистрацию],"&gt;="&amp;DATE(YEAR($B20),MONTH($B20),1),РД[Дата подачи на регистрацию],"&lt;"&amp;$B21,РД[Дом],$B$2,РД[Тип кв],C$3,РД[Состояние],"Продажа"),'ПП 401'!D36)</f>
        <v>2</v>
      </c>
      <c r="D20" s="274">
        <f ca="1">IF($B$1&gt;=$B21,COUNTIFS(РД[Дата подачи на регистрацию],"&gt;="&amp;DATE(YEAR($B20),MONTH($B20),1),РД[Дата подачи на регистрацию],"&lt;"&amp;$B21,РД[Дом],$B$2,РД[Тип кв],D$3,РД[Состояние],"Продажа"),'ПП 401'!E36)</f>
        <v>1</v>
      </c>
      <c r="E20" s="274">
        <f ca="1">IF($B$1&gt;=$B21,COUNTIFS(РД[Дата подачи на регистрацию],"&gt;="&amp;DATE(YEAR($B20),MONTH($B20),1),РД[Дата подачи на регистрацию],"&lt;"&amp;$B21,РД[Дом],$B$2,РД[Тип кв],E$3,РД[Состояние],"Продажа"),'ПП 401'!F36)</f>
        <v>0</v>
      </c>
      <c r="F20" s="333">
        <f t="shared" ca="1" si="6"/>
        <v>3</v>
      </c>
      <c r="G20" s="275">
        <f ca="1">IF($B$1&gt;=B21,SUMIFS(РД[S],РД[Дом],$B$2,РД[Состояние],"Продажа",РД[Дата подачи на регистрацию],"&gt;="&amp;DATE(YEAR($B20),MONTH($B20),1),РД[Дата подачи на регистрацию],"&lt;"&amp;$B21),'ПП 401'!H36)</f>
        <v>139.32999999999998</v>
      </c>
      <c r="H20" s="333">
        <f ca="1">IF($B$1&gt;=$B21,SUMIFS(РД[Стоимость без отделки итог],РД[Дом],$B$2,РД[Состояние],"Продажа",РД[Дата подачи на регистрацию],"&gt;="&amp;DATE(YEAR($B20),MONTH($B20),1),РД[Дата подачи на регистрацию],"&lt;"&amp;$B21),'ПП 401'!K36)</f>
        <v>18560048</v>
      </c>
      <c r="I20" s="275">
        <f ca="1">IFERROR(H20/G20,)</f>
        <v>133209.27294911363</v>
      </c>
    </row>
    <row r="21" spans="2:9" s="346" customFormat="1" ht="15" customHeight="1" x14ac:dyDescent="0.25">
      <c r="B21" s="273">
        <v>45717</v>
      </c>
      <c r="C21" s="274">
        <f ca="1">IF($B$1&gt;=$B22,COUNTIFS(РД[Дата подачи на регистрацию],"&gt;="&amp;DATE(YEAR($B21),MONTH($B21),1),РД[Дата подачи на регистрацию],"&lt;"&amp;$B22,РД[Дом],$B$2,РД[Тип кв],C$3,РД[Состояние],"Продажа"),'ПП 401'!D37)</f>
        <v>0</v>
      </c>
      <c r="D21" s="274">
        <f ca="1">IF($B$1&gt;=$B22,COUNTIFS(РД[Дата подачи на регистрацию],"&gt;="&amp;DATE(YEAR($B21),MONTH($B21),1),РД[Дата подачи на регистрацию],"&lt;"&amp;$B22,РД[Дом],$B$2,РД[Тип кв],D$3,РД[Состояние],"Продажа"),'ПП 401'!E37)</f>
        <v>2</v>
      </c>
      <c r="E21" s="274">
        <f ca="1">IF($B$1&gt;=$B22,COUNTIFS(РД[Дата подачи на регистрацию],"&gt;="&amp;DATE(YEAR($B21),MONTH($B21),1),РД[Дата подачи на регистрацию],"&lt;"&amp;$B22,РД[Дом],$B$2,РД[Тип кв],E$3,РД[Состояние],"Продажа"),'ПП 401'!F37)</f>
        <v>0</v>
      </c>
      <c r="F21" s="333">
        <f t="shared" ca="1" si="6"/>
        <v>2</v>
      </c>
      <c r="G21" s="275">
        <f ca="1">IF($B$1&gt;=B22,SUMIFS(РД[S],РД[Дом],$B$2,РД[Состояние],"Продажа",РД[Дата подачи на регистрацию],"&gt;="&amp;DATE(YEAR($B21),MONTH($B21),1),РД[Дата подачи на регистрацию],"&lt;"&amp;$B22),'ПП 401'!H37)</f>
        <v>98.4</v>
      </c>
      <c r="H21" s="333">
        <f ca="1">IF($B$1&gt;=$B22,SUMIFS(РД[Стоимость без отделки итог],РД[Дом],$B$2,РД[Состояние],"Продажа",РД[Дата подачи на регистрацию],"&gt;="&amp;DATE(YEAR($B21),MONTH($B21),1),РД[Дата подачи на регистрацию],"&lt;"&amp;$B22),'ПП 401'!K37)</f>
        <v>12472200</v>
      </c>
      <c r="I21" s="275">
        <f ca="1">IFERROR(H21/G21,)</f>
        <v>126749.99999999999</v>
      </c>
    </row>
    <row r="22" spans="2:9" s="346" customFormat="1" ht="15" customHeight="1" x14ac:dyDescent="0.25">
      <c r="B22" s="273">
        <v>45748</v>
      </c>
      <c r="C22" s="274">
        <f ca="1">IF($B$1&gt;=$B23,COUNTIFS(РД[Дата подачи на регистрацию],"&gt;="&amp;DATE(YEAR($B22),MONTH($B22),1),РД[Дата подачи на регистрацию],"&lt;"&amp;$B23,РД[Дом],$B$2,РД[Тип кв],C$3,РД[Состояние],"Продажа"),'ПП 401'!D38)</f>
        <v>1</v>
      </c>
      <c r="D22" s="274">
        <f ca="1">IF($B$1&gt;=$B23,COUNTIFS(РД[Дата подачи на регистрацию],"&gt;="&amp;DATE(YEAR($B22),MONTH($B22),1),РД[Дата подачи на регистрацию],"&lt;"&amp;$B23,РД[Дом],$B$2,РД[Тип кв],D$3,РД[Состояние],"Продажа"),'ПП 401'!E38)</f>
        <v>1</v>
      </c>
      <c r="E22" s="274">
        <f ca="1">IF($B$1&gt;=$B23,COUNTIFS(РД[Дата подачи на регистрацию],"&gt;="&amp;DATE(YEAR($B22),MONTH($B22),1),РД[Дата подачи на регистрацию],"&lt;"&amp;$B23,РД[Дом],$B$2,РД[Тип кв],E$3,РД[Состояние],"Продажа"),'ПП 401'!F38)</f>
        <v>0</v>
      </c>
      <c r="F22" s="333">
        <f t="shared" ca="1" si="6"/>
        <v>2</v>
      </c>
      <c r="G22" s="275">
        <f ca="1">IF($B$1&gt;=B23,SUMIFS(РД[S],РД[Дом],$B$2,РД[Состояние],"Продажа",РД[Дата подачи на регистрацию],"&gt;="&amp;DATE(YEAR($B22),MONTH($B22),1),РД[Дата подачи на регистрацию],"&lt;"&amp;$B23),'ПП 401'!H38)</f>
        <v>96.94</v>
      </c>
      <c r="H22" s="333">
        <f ca="1">IF($B$1&gt;=$B23,SUMIFS(РД[Стоимость без отделки итог],РД[Дом],$B$2,РД[Состояние],"Продажа",РД[Дата подачи на регистрацию],"&gt;="&amp;DATE(YEAR($B22),MONTH($B22),1),РД[Дата подачи на регистрацию],"&lt;"&amp;$B23),'ПП 401'!K38)</f>
        <v>12621812</v>
      </c>
      <c r="I22" s="275">
        <f t="shared" ref="I22:I30" ca="1" si="7">IFERROR(H22/G22,)</f>
        <v>130202.31070765422</v>
      </c>
    </row>
    <row r="23" spans="2:9" s="249" customFormat="1" ht="15" customHeight="1" x14ac:dyDescent="0.25">
      <c r="B23" s="273">
        <v>45778</v>
      </c>
      <c r="C23" s="274">
        <f ca="1">IF($B$1&gt;=$B24,COUNTIFS(РД[Дата подачи на регистрацию],"&gt;="&amp;DATE(YEAR($B23),MONTH($B23),1),РД[Дата подачи на регистрацию],"&lt;"&amp;$B24,РД[Дом],$B$2,РД[Тип кв],C$3,РД[Состояние],"Продажа"),'ПП 401'!D39)</f>
        <v>0</v>
      </c>
      <c r="D23" s="274">
        <f ca="1">IF($B$1&gt;=$B24,COUNTIFS(РД[Дата подачи на регистрацию],"&gt;="&amp;DATE(YEAR($B23),MONTH($B23),1),РД[Дата подачи на регистрацию],"&lt;"&amp;$B24,РД[Дом],$B$2,РД[Тип кв],D$3,РД[Состояние],"Продажа"),'ПП 401'!E39)</f>
        <v>1</v>
      </c>
      <c r="E23" s="274">
        <f ca="1">IF($B$1&gt;=$B24,COUNTIFS(РД[Дата подачи на регистрацию],"&gt;="&amp;DATE(YEAR($B23),MONTH($B23),1),РД[Дата подачи на регистрацию],"&lt;"&amp;$B24,РД[Дом],$B$2,РД[Тип кв],E$3,РД[Состояние],"Продажа"),'ПП 401'!F39)</f>
        <v>0</v>
      </c>
      <c r="F23" s="333">
        <f t="shared" ca="1" si="6"/>
        <v>1</v>
      </c>
      <c r="G23" s="275">
        <f ca="1">IF($B$1&gt;=B24,SUMIFS(РД[S],РД[Дом],$B$2,РД[Состояние],"Продажа",РД[Дата подачи на регистрацию],"&gt;="&amp;DATE(YEAR($B23),MONTH($B23),1),РД[Дата подачи на регистрацию],"&lt;"&amp;$B24),'ПП 401'!H39)</f>
        <v>61.41</v>
      </c>
      <c r="H23" s="333">
        <f ca="1">IF($B$1&gt;=$B24,SUMIFS(РД[Стоимость без отделки итог],РД[Дом],$B$2,РД[Состояние],"Продажа",РД[Дата подачи на регистрацию],"&gt;="&amp;DATE(YEAR($B23),MONTH($B23),1),РД[Дата подачи на регистрацию],"&lt;"&amp;$B24),'ПП 401'!K39)</f>
        <v>7584135</v>
      </c>
      <c r="I23" s="275">
        <f t="shared" ca="1" si="7"/>
        <v>123500</v>
      </c>
    </row>
    <row r="24" spans="2:9" s="346" customFormat="1" ht="15" customHeight="1" x14ac:dyDescent="0.25">
      <c r="B24" s="273">
        <v>45809</v>
      </c>
      <c r="C24" s="274">
        <f ca="1">IF($B$1&gt;=$B25,COUNTIFS(РД[Дата подачи на регистрацию],"&gt;="&amp;DATE(YEAR($B24),MONTH($B24),1),РД[Дата подачи на регистрацию],"&lt;"&amp;$B25,РД[Дом],$B$2,РД[Тип кв],C$3,РД[Состояние],"Продажа"),'ПП 401'!D40)</f>
        <v>0</v>
      </c>
      <c r="D24" s="274">
        <f ca="1">IF($B$1&gt;=$B25,COUNTIFS(РД[Дата подачи на регистрацию],"&gt;="&amp;DATE(YEAR($B24),MONTH($B24),1),РД[Дата подачи на регистрацию],"&lt;"&amp;$B25,РД[Дом],$B$2,РД[Тип кв],D$3,РД[Состояние],"Продажа"),'ПП 401'!E40)</f>
        <v>0</v>
      </c>
      <c r="E24" s="274">
        <f ca="1">IF($B$1&gt;=$B25,COUNTIFS(РД[Дата подачи на регистрацию],"&gt;="&amp;DATE(YEAR($B24),MONTH($B24),1),РД[Дата подачи на регистрацию],"&lt;"&amp;$B25,РД[Дом],$B$2,РД[Тип кв],E$3,РД[Состояние],"Продажа"),'ПП 401'!F40)</f>
        <v>0</v>
      </c>
      <c r="F24" s="333">
        <f t="shared" ca="1" si="6"/>
        <v>0</v>
      </c>
      <c r="G24" s="275">
        <f ca="1">IF($B$1&gt;=B25,SUMIFS(РД[S],РД[Дом],$B$2,РД[Состояние],"Продажа",РД[Дата подачи на регистрацию],"&gt;="&amp;DATE(YEAR($B24),MONTH($B24),1),РД[Дата подачи на регистрацию],"&lt;"&amp;$B25),'ПП 401'!H40)</f>
        <v>0</v>
      </c>
      <c r="H24" s="333">
        <f ca="1">IF($B$1&gt;=$B25,SUMIFS(РД[Стоимость без отделки итог],РД[Дом],$B$2,РД[Состояние],"Продажа",РД[Дата подачи на регистрацию],"&gt;="&amp;DATE(YEAR($B24),MONTH($B24),1),РД[Дата подачи на регистрацию],"&lt;"&amp;$B25),'ПП 401'!K40)</f>
        <v>0</v>
      </c>
      <c r="I24" s="275">
        <f t="shared" ca="1" si="7"/>
        <v>0</v>
      </c>
    </row>
    <row r="25" spans="2:9" s="346" customFormat="1" ht="15" customHeight="1" x14ac:dyDescent="0.25">
      <c r="B25" s="273">
        <v>45839</v>
      </c>
      <c r="C25" s="274">
        <f ca="1">IF($B$1&gt;=$B26,COUNTIFS(РД[Дата подачи на регистрацию],"&gt;="&amp;DATE(YEAR($B25),MONTH($B25),1),РД[Дата подачи на регистрацию],"&lt;"&amp;$B26,РД[Дом],$B$2,РД[Тип кв],C$3,РД[Состояние],"Продажа"),'ПП 401'!D41)</f>
        <v>0</v>
      </c>
      <c r="D25" s="274">
        <f ca="1">IF($B$1&gt;=$B26,COUNTIFS(РД[Дата подачи на регистрацию],"&gt;="&amp;DATE(YEAR($B25),MONTH($B25),1),РД[Дата подачи на регистрацию],"&lt;"&amp;$B26,РД[Дом],$B$2,РД[Тип кв],D$3,РД[Состояние],"Продажа"),'ПП 401'!E41)</f>
        <v>3</v>
      </c>
      <c r="E25" s="274">
        <f ca="1">IF($B$1&gt;=$B26,COUNTIFS(РД[Дата подачи на регистрацию],"&gt;="&amp;DATE(YEAR($B25),MONTH($B25),1),РД[Дата подачи на регистрацию],"&lt;"&amp;$B26,РД[Дом],$B$2,РД[Тип кв],E$3,РД[Состояние],"Продажа"),'ПП 401'!F41)</f>
        <v>0</v>
      </c>
      <c r="F25" s="333">
        <f t="shared" ca="1" si="6"/>
        <v>3</v>
      </c>
      <c r="G25" s="275">
        <f ca="1">IF($B$1&gt;=B26,SUMIFS(РД[S],РД[Дом],$B$2,РД[Состояние],"Продажа",РД[Дата подачи на регистрацию],"&gt;="&amp;DATE(YEAR($B25),MONTH($B25),1),РД[Дата подачи на регистрацию],"&lt;"&amp;$B26),'ПП 401'!H41)</f>
        <v>152.78</v>
      </c>
      <c r="H25" s="333">
        <f ca="1">IF($B$1&gt;=$B26,SUMIFS(РД[Стоимость без отделки итог],РД[Дом],$B$2,РД[Состояние],"Продажа",РД[Дата подачи на регистрацию],"&gt;="&amp;DATE(YEAR($B25),MONTH($B25),1),РД[Дата подачи на регистрацию],"&lt;"&amp;$B26),'ПП 401'!K41)</f>
        <v>19527504</v>
      </c>
      <c r="I25" s="275">
        <f t="shared" ca="1" si="7"/>
        <v>127814.5306977353</v>
      </c>
    </row>
    <row r="26" spans="2:9" s="346" customFormat="1" ht="15" customHeight="1" x14ac:dyDescent="0.25">
      <c r="B26" s="38">
        <v>45870</v>
      </c>
      <c r="C26" s="148">
        <f ca="1">IF($B$1&gt;=$B27,COUNTIFS(РД[Дата подачи на регистрацию],"&gt;="&amp;DATE(YEAR($B26),MONTH($B26),1),РД[Дата подачи на регистрацию],"&lt;"&amp;$B27,РД[Дом],$B$2,РД[Тип кв],C$3,РД[Состояние],"Продажа"),'ПП 401'!D42)</f>
        <v>4</v>
      </c>
      <c r="D26" s="243">
        <f ca="1">IF($B$1&gt;=$B27,COUNTIFS(РД[Дата подачи на регистрацию],"&gt;="&amp;DATE(YEAR($B26),MONTH($B26),1),РД[Дата подачи на регистрацию],"&lt;"&amp;$B27,РД[Дом],$B$2,РД[Тип кв],D$3,РД[Состояние],"Продажа"),'ПП 401'!E42)</f>
        <v>5</v>
      </c>
      <c r="E26" s="148">
        <f ca="1">IF($B$1&gt;=$B27,COUNTIFS(РД[Дата подачи на регистрацию],"&gt;="&amp;DATE(YEAR($B26),MONTH($B26),1),РД[Дата подачи на регистрацию],"&lt;"&amp;$B27,РД[Дом],$B$2,РД[Тип кв],E$3,РД[Состояние],"Продажа"),'ПП 401'!F42)</f>
        <v>3</v>
      </c>
      <c r="F26" s="149">
        <f t="shared" ca="1" si="6"/>
        <v>12</v>
      </c>
      <c r="G26" s="150">
        <f ca="1">IF($B$1&gt;=B27,SUMIFS(РД[S],РД[Дом],$B$2,РД[Состояние],"Продажа",РД[Дата подачи на регистрацию],"&gt;="&amp;DATE(YEAR($B26),MONTH($B26),1),РД[Дата подачи на регистрацию],"&lt;"&amp;$B27),'ПП 401'!H42)</f>
        <v>673.70912625418066</v>
      </c>
      <c r="H26" s="149">
        <f ca="1">IF($B$1&gt;=$B27,SUMIFS(РД[Стоимость без отделки итог],РД[Дом],$B$2,РД[Состояние],"Продажа",РД[Дата подачи на регистрацию],"&gt;="&amp;DATE(YEAR($B26),MONTH($B26),1),РД[Дата подачи на регистрацию],"&lt;"&amp;$B27),'ПП 401'!K42)</f>
        <v>84488283.170920774</v>
      </c>
      <c r="I26" s="47">
        <f t="shared" ca="1" si="7"/>
        <v>125407.65721948165</v>
      </c>
    </row>
    <row r="27" spans="2:9" s="346" customFormat="1" ht="15" customHeight="1" x14ac:dyDescent="0.25">
      <c r="B27" s="38">
        <v>45901</v>
      </c>
      <c r="C27" s="148">
        <f ca="1">IF($B$1&gt;=$B28,COUNTIFS(РД[Дата подачи на регистрацию],"&gt;="&amp;DATE(YEAR($B27),MONTH($B27),1),РД[Дата подачи на регистрацию],"&lt;"&amp;$B28,РД[Дом],$B$2,РД[Тип кв],C$3,РД[Состояние],"Продажа"),'ПП 401'!D43)</f>
        <v>4</v>
      </c>
      <c r="D27" s="243">
        <f ca="1">IF($B$1&gt;=$B28,COUNTIFS(РД[Дата подачи на регистрацию],"&gt;="&amp;DATE(YEAR($B27),MONTH($B27),1),РД[Дата подачи на регистрацию],"&lt;"&amp;$B28,РД[Дом],$B$2,РД[Тип кв],D$3,РД[Состояние],"Продажа"),'ПП 401'!E43)</f>
        <v>6</v>
      </c>
      <c r="E27" s="148">
        <f ca="1">IF($B$1&gt;=$B28,COUNTIFS(РД[Дата подачи на регистрацию],"&gt;="&amp;DATE(YEAR($B27),MONTH($B27),1),РД[Дата подачи на регистрацию],"&lt;"&amp;$B28,РД[Дом],$B$2,РД[Тип кв],E$3,РД[Состояние],"Продажа"),'ПП 401'!F43)</f>
        <v>3</v>
      </c>
      <c r="F27" s="149">
        <f t="shared" ca="1" si="6"/>
        <v>13</v>
      </c>
      <c r="G27" s="150">
        <f ca="1">IF($B$1&gt;=B28,SUMIFS(РД[S],РД[Дом],$B$2,РД[Состояние],"Продажа",РД[Дата подачи на регистрацию],"&gt;="&amp;DATE(YEAR($B27),MONTH($B27),1),РД[Дата подачи на регистрацию],"&lt;"&amp;$B28),'ПП 401'!H43)</f>
        <v>729.58037625418069</v>
      </c>
      <c r="H27" s="149">
        <f ca="1">IF($B$1&gt;=$B28,SUMIFS(РД[Стоимость без отделки итог],РД[Дом],$B$2,РД[Состояние],"Продажа",РД[Дата подачи на регистрацию],"&gt;="&amp;DATE(YEAR($B27),MONTH($B27),1),РД[Дата подачи на регистрацию],"&lt;"&amp;$B28),'ПП 401'!K43)</f>
        <v>91335430.578108266</v>
      </c>
      <c r="I27" s="47">
        <f t="shared" ca="1" si="7"/>
        <v>125188.99020700585</v>
      </c>
    </row>
    <row r="28" spans="2:9" s="346" customFormat="1" ht="15" customHeight="1" x14ac:dyDescent="0.25">
      <c r="B28" s="38">
        <v>45931</v>
      </c>
      <c r="C28" s="148">
        <f ca="1">IF($B$1&gt;=$B29,COUNTIFS(РД[Дата подачи на регистрацию],"&gt;="&amp;DATE(YEAR($B28),MONTH($B28),1),РД[Дата подачи на регистрацию],"&lt;"&amp;$B29,РД[Дом],$B$2,РД[Тип кв],C$3,РД[Состояние],"Продажа"),'ПП 401'!D44)</f>
        <v>4</v>
      </c>
      <c r="D28" s="243">
        <f ca="1">IF($B$1&gt;=$B29,COUNTIFS(РД[Дата подачи на регистрацию],"&gt;="&amp;DATE(YEAR($B28),MONTH($B28),1),РД[Дата подачи на регистрацию],"&lt;"&amp;$B29,РД[Дом],$B$2,РД[Тип кв],D$3,РД[Состояние],"Продажа"),'ПП 401'!E44)</f>
        <v>6</v>
      </c>
      <c r="E28" s="148">
        <f ca="1">IF($B$1&gt;=$B29,COUNTIFS(РД[Дата подачи на регистрацию],"&gt;="&amp;DATE(YEAR($B28),MONTH($B28),1),РД[Дата подачи на регистрацию],"&lt;"&amp;$B29,РД[Дом],$B$2,РД[Тип кв],E$3,РД[Состояние],"Продажа"),'ПП 401'!F44)</f>
        <v>3</v>
      </c>
      <c r="F28" s="149">
        <f t="shared" ca="1" si="6"/>
        <v>13</v>
      </c>
      <c r="G28" s="150">
        <f ca="1">IF($B$1&gt;=B29,SUMIFS(РД[S],РД[Дом],$B$2,РД[Состояние],"Продажа",РД[Дата подачи на регистрацию],"&gt;="&amp;DATE(YEAR($B28),MONTH($B28),1),РД[Дата подачи на регистрацию],"&lt;"&amp;$B29),'ПП 401'!H44)</f>
        <v>729.58037625418069</v>
      </c>
      <c r="H28" s="149">
        <f ca="1">IF($B$1&gt;=$B29,SUMIFS(РД[Стоимость без отделки итог],РД[Дом],$B$2,РД[Состояние],"Продажа",РД[Дата подачи на регистрацию],"&gt;="&amp;DATE(YEAR($B28),MONTH($B28),1),РД[Дата подачи на регистрацию],"&lt;"&amp;$B29),'ПП 401'!K44)</f>
        <v>91335430.578108266</v>
      </c>
      <c r="I28" s="47">
        <f t="shared" ca="1" si="7"/>
        <v>125188.99020700585</v>
      </c>
    </row>
    <row r="29" spans="2:9" s="346" customFormat="1" ht="15" customHeight="1" x14ac:dyDescent="0.25">
      <c r="B29" s="38">
        <v>45962</v>
      </c>
      <c r="C29" s="148">
        <f ca="1">IF($B$1&gt;=$B30,COUNTIFS(РД[Дата подачи на регистрацию],"&gt;="&amp;DATE(YEAR($B29),MONTH($B29),1),РД[Дата подачи на регистрацию],"&lt;"&amp;$B30,РД[Дом],$B$2,РД[Тип кв],C$3,РД[Состояние],"Продажа"),'ПП 401'!D45)</f>
        <v>3</v>
      </c>
      <c r="D29" s="243">
        <f ca="1">IF($B$1&gt;=$B30,COUNTIFS(РД[Дата подачи на регистрацию],"&gt;="&amp;DATE(YEAR($B29),MONTH($B29),1),РД[Дата подачи на регистрацию],"&lt;"&amp;$B30,РД[Дом],$B$2,РД[Тип кв],D$3,РД[Состояние],"Продажа"),'ПП 401'!E45)</f>
        <v>5</v>
      </c>
      <c r="E29" s="148">
        <f ca="1">IF($B$1&gt;=$B30,COUNTIFS(РД[Дата подачи на регистрацию],"&gt;="&amp;DATE(YEAR($B29),MONTH($B29),1),РД[Дата подачи на регистрацию],"&lt;"&amp;$B30,РД[Дом],$B$2,РД[Тип кв],E$3,РД[Состояние],"Продажа"),'ПП 401'!F45)</f>
        <v>3</v>
      </c>
      <c r="F29" s="149">
        <f t="shared" ca="1" si="6"/>
        <v>11</v>
      </c>
      <c r="G29" s="150">
        <f ca="1">IF($B$1&gt;=B30,SUMIFS(РД[S],РД[Дом],$B$2,РД[Состояние],"Продажа",РД[Дата подачи на регистрацию],"&gt;="&amp;DATE(YEAR($B29),MONTH($B29),1),РД[Дата подачи на регистрацию],"&lt;"&amp;$B30),'ПП 401'!H45)</f>
        <v>634.71297240802687</v>
      </c>
      <c r="H29" s="149">
        <f ca="1">IF($B$1&gt;=$B30,SUMIFS(РД[Стоимость без отделки итог],РД[Дом],$B$2,РД[Состояние],"Продажа",РД[Дата подачи на регистрацию],"&gt;="&amp;DATE(YEAR($B29),MONTH($B29),1),РД[Дата подачи на регистрацию],"&lt;"&amp;$B30),'ПП 401'!K45)</f>
        <v>79225174.626305386</v>
      </c>
      <c r="I29" s="47">
        <f t="shared" ca="1" si="7"/>
        <v>124820.47487659553</v>
      </c>
    </row>
    <row r="30" spans="2:9" s="346" customFormat="1" ht="15" customHeight="1" x14ac:dyDescent="0.25">
      <c r="B30" s="38">
        <v>45992</v>
      </c>
      <c r="C30" s="148">
        <f ca="1">IF($B$1&gt;=$B34,COUNTIFS(РД[Дата подачи на регистрацию],"&gt;="&amp;DATE(YEAR($B30),MONTH($B30),1),РД[Дата подачи на регистрацию],"&lt;"&amp;$B34,РД[Дом],$B$2,РД[Тип кв],C$3,РД[Состояние],"Продажа"),'ПП 401'!D46)</f>
        <v>3</v>
      </c>
      <c r="D30" s="148">
        <f ca="1">IF($B$1&gt;=$B34,COUNTIFS(РД[Дата подачи на регистрацию],"&gt;="&amp;DATE(YEAR($B30),MONTH($B30),1),РД[Дата подачи на регистрацию],"&lt;"&amp;$B34,РД[Дом],$B$2,РД[Тип кв],D$3,РД[Состояние],"Продажа"),'ПП 401'!E46)</f>
        <v>4</v>
      </c>
      <c r="E30" s="148">
        <f ca="1">IF($B$1&gt;=$B34,COUNTIFS(РД[Дата подачи на регистрацию],"&gt;="&amp;DATE(YEAR($B30),MONTH($B30),1),РД[Дата подачи на регистрацию],"&lt;"&amp;$B34,РД[Дом],$B$2,РД[Тип кв],E$3,РД[Состояние],"Продажа"),'ПП 401'!F46)</f>
        <v>3</v>
      </c>
      <c r="F30" s="149">
        <f t="shared" ref="F30" ca="1" si="8">SUM(C30:E30)</f>
        <v>10</v>
      </c>
      <c r="G30" s="150">
        <f ca="1">IF($B$1&gt;=B31,SUMIFS(РД[S],РД[Дом],$B$2,РД[Состояние],"Продажа",РД[Дата подачи на регистрацию],"&gt;="&amp;DATE(YEAR($B30),MONTH($B30),1),РД[Дата подачи на регистрацию],"&lt;"&amp;$B34),'ПП 401'!H46)</f>
        <v>578.84172240802684</v>
      </c>
      <c r="H30" s="149">
        <f ca="1">IF($B$1&gt;=$B31,SUMIFS(РД[Стоимость без отделки итог],РД[Дом],$B$2,РД[Состояние],"Продажа",РД[Дата подачи на регистрацию],"&gt;="&amp;DATE(YEAR($B30),MONTH($B30),1),РД[Дата подачи на регистрацию],"&lt;"&amp;$B31),'ПП 401'!K46)</f>
        <v>72378027.21911788</v>
      </c>
      <c r="I30" s="47">
        <f t="shared" ca="1" si="7"/>
        <v>125039.40959545836</v>
      </c>
    </row>
    <row r="31" spans="2:9" s="346" customFormat="1" x14ac:dyDescent="0.25">
      <c r="B31" s="154" t="s">
        <v>4561</v>
      </c>
      <c r="C31" s="155">
        <f t="shared" ref="C31:H31" ca="1" si="9">SUM(C19:C30)</f>
        <v>21</v>
      </c>
      <c r="D31" s="155">
        <f t="shared" ca="1" si="9"/>
        <v>34</v>
      </c>
      <c r="E31" s="155">
        <f t="shared" ca="1" si="9"/>
        <v>15</v>
      </c>
      <c r="F31" s="155">
        <f t="shared" ca="1" si="9"/>
        <v>70</v>
      </c>
      <c r="G31" s="155">
        <f t="shared" ca="1" si="9"/>
        <v>3895.2845735785954</v>
      </c>
      <c r="H31" s="155">
        <f t="shared" ca="1" si="9"/>
        <v>489528045.17256057</v>
      </c>
      <c r="I31" s="156">
        <f ca="1">IFERROR(H31/G31,)</f>
        <v>125671.95950020963</v>
      </c>
    </row>
    <row r="32" spans="2:9" s="265" customFormat="1" x14ac:dyDescent="0.25">
      <c r="C32" s="461"/>
      <c r="D32" s="461"/>
      <c r="E32" s="461"/>
      <c r="F32" s="461"/>
      <c r="G32" s="462"/>
      <c r="H32" s="463"/>
      <c r="I32" s="463"/>
    </row>
    <row r="33" spans="2:9" s="265" customFormat="1" ht="15.75" x14ac:dyDescent="0.25">
      <c r="B33" s="157" t="s">
        <v>0</v>
      </c>
      <c r="C33" s="159">
        <v>1</v>
      </c>
      <c r="D33" s="159">
        <v>2</v>
      </c>
      <c r="E33" s="159">
        <v>3</v>
      </c>
      <c r="F33" s="160" t="s">
        <v>59</v>
      </c>
      <c r="G33" s="161" t="s">
        <v>51</v>
      </c>
      <c r="H33" s="196" t="s">
        <v>58</v>
      </c>
      <c r="I33" s="161" t="s">
        <v>17</v>
      </c>
    </row>
    <row r="34" spans="2:9" s="265" customFormat="1" x14ac:dyDescent="0.25">
      <c r="B34" s="38">
        <v>46023</v>
      </c>
      <c r="C34" s="148">
        <f ca="1">IF($B$1&gt;=$B35,COUNTIFS(РД[Дата подачи на регистрацию],"&gt;="&amp;DATE(YEAR($B34),MONTH($B34),1),РД[Дата подачи на регистрацию],"&lt;"&amp;$B35,РД[Дом],$B$2,РД[Тип кв],C$3,РД[Состояние],"Продажа"),'ПП 401'!D51)</f>
        <v>0</v>
      </c>
      <c r="D34" s="148">
        <f ca="1">IF($B$1&gt;=$B35,COUNTIFS(РД[Дата подачи на регистрацию],"&gt;="&amp;DATE(YEAR($B34),MONTH($B34),1),РД[Дата подачи на регистрацию],"&lt;"&amp;$B35,РД[Дом],$B$2,РД[Тип кв],D$3,РД[Состояние],"Продажа"),'ПП 401'!E51)</f>
        <v>0</v>
      </c>
      <c r="E34" s="148">
        <f ca="1">IF($B$1&gt;=$B35,COUNTIFS(РД[Дата подачи на регистрацию],"&gt;="&amp;DATE(YEAR($B34),MONTH($B34),1),РД[Дата подачи на регистрацию],"&lt;"&amp;$B35,РД[Дом],$B$2,РД[Тип кв],E$3,РД[Состояние],"Продажа"),'ПП 401'!F51)</f>
        <v>0</v>
      </c>
      <c r="F34" s="149">
        <f t="shared" ref="F34" ca="1" si="10">SUM(C34:E34)</f>
        <v>0</v>
      </c>
      <c r="G34" s="150">
        <f ca="1">IF($B$1&gt;=B35,SUMIFS(РД[S],РД[Дом],$B$2,РД[Состояние],"Продажа",РД[Дата подачи на регистрацию],"&gt;="&amp;DATE(YEAR($B34),MONTH($B34),1),РД[Дата подачи на регистрацию],"&lt;"&amp;$B35),'ПП 401'!H51)</f>
        <v>0</v>
      </c>
      <c r="H34" s="149">
        <f ca="1">IF($B$1&gt;=$B35,SUMIFS(РД[Стоимость без отделки итог],РД[Дом],$B$2,РД[Состояние],"Продажа",РД[Дата подачи на регистрацию],"&gt;="&amp;DATE(YEAR($B34),MONTH($B34),1),РД[Дата подачи на регистрацию],"&lt;"&amp;$B35),'ПП 401'!K51)</f>
        <v>0</v>
      </c>
      <c r="I34" s="47">
        <f ca="1">IFERROR(H34/G34,)</f>
        <v>0</v>
      </c>
    </row>
    <row r="35" spans="2:9" s="265" customFormat="1" x14ac:dyDescent="0.25">
      <c r="B35" s="38">
        <v>46054</v>
      </c>
      <c r="C35" s="148">
        <f ca="1">IF($B$1&gt;=$B36,COUNTIFS(РД[Дата подачи на регистрацию],"&gt;="&amp;DATE(YEAR($B35),MONTH($B35),1),РД[Дата подачи на регистрацию],"&lt;"&amp;$B36,РД[Дом],$B$2,РД[Тип кв],C$3,РД[Состояние],"Продажа"),'ПП 401'!D52)</f>
        <v>1</v>
      </c>
      <c r="D35" s="148">
        <f ca="1">IF($B$1&gt;=$B36,COUNTIFS(РД[Дата подачи на регистрацию],"&gt;="&amp;DATE(YEAR($B35),MONTH($B35),1),РД[Дата подачи на регистрацию],"&lt;"&amp;$B36,РД[Дом],$B$2,РД[Тип кв],D$3,РД[Состояние],"Продажа"),'ПП 401'!E52)</f>
        <v>1</v>
      </c>
      <c r="E35" s="148">
        <f ca="1">IF($B$1&gt;=$B36,COUNTIFS(РД[Дата подачи на регистрацию],"&gt;="&amp;DATE(YEAR($B35),MONTH($B35),1),РД[Дата подачи на регистрацию],"&lt;"&amp;$B36,РД[Дом],$B$2,РД[Тип кв],E$3,РД[Состояние],"Продажа"),'ПП 401'!F52)</f>
        <v>2</v>
      </c>
      <c r="F35" s="149">
        <f t="shared" ref="F35:F44" ca="1" si="11">SUM(C35:E35)</f>
        <v>4</v>
      </c>
      <c r="G35" s="150">
        <f ca="1">IF($B$1&gt;=B36,SUMIFS(РД[S],РД[Дом],$B$2,РД[Состояние],"Продажа",РД[Дата подачи на регистрацию],"&gt;="&amp;DATE(YEAR($B35),MONTH($B35),1),РД[Дата подачи на регистрацию],"&lt;"&amp;$B36),'ПП 401'!H52)</f>
        <v>253.77957775919731</v>
      </c>
      <c r="H35" s="149">
        <f ca="1">IF($B$1&gt;=$B36,SUMIFS(РД[Стоимость без отделки итог],РД[Дом],$B$2,РД[Состояние],"Продажа",РД[Дата подачи на регистрацию],"&gt;="&amp;DATE(YEAR($B35),MONTH($B35),1),РД[Дата подачи на регистрацию],"&lt;"&amp;$B36),'ПП 401'!K52)</f>
        <v>32221425.771582358</v>
      </c>
      <c r="I35" s="47">
        <f ca="1">IFERROR(H35/G35,)</f>
        <v>126966.18875359686</v>
      </c>
    </row>
    <row r="36" spans="2:9" s="265" customFormat="1" x14ac:dyDescent="0.25">
      <c r="B36" s="38">
        <v>46082</v>
      </c>
      <c r="C36" s="148">
        <f ca="1">IF($B$1&gt;=$B37,COUNTIFS(РД[Дата подачи на регистрацию],"&gt;="&amp;DATE(YEAR($B36),MONTH($B36),1),РД[Дата подачи на регистрацию],"&lt;"&amp;$B37,РД[Дом],$B$2,РД[Тип кв],C$3,РД[Состояние],"Продажа"),'ПП 401'!D53)</f>
        <v>1</v>
      </c>
      <c r="D36" s="148">
        <f ca="1">IF($B$1&gt;=$B37,COUNTIFS(РД[Дата подачи на регистрацию],"&gt;="&amp;DATE(YEAR($B36),MONTH($B36),1),РД[Дата подачи на регистрацию],"&lt;"&amp;$B37,РД[Дом],$B$2,РД[Тип кв],D$3,РД[Состояние],"Продажа"),'ПП 401'!E53)</f>
        <v>0</v>
      </c>
      <c r="E36" s="148">
        <f ca="1">IF($B$1&gt;=$B37,COUNTIFS(РД[Дата подачи на регистрацию],"&gt;="&amp;DATE(YEAR($B36),MONTH($B36),1),РД[Дата подачи на регистрацию],"&lt;"&amp;$B37,РД[Дом],$B$2,РД[Тип кв],E$3,РД[Состояние],"Продажа"),'ПП 401'!F53)</f>
        <v>1</v>
      </c>
      <c r="F36" s="149">
        <f t="shared" ca="1" si="11"/>
        <v>2</v>
      </c>
      <c r="G36" s="150">
        <f ca="1">IF($B$1&gt;=B37,SUMIFS(РД[S],РД[Дом],$B$2,РД[Состояние],"Продажа",РД[Дата подачи на регистрацию],"&gt;="&amp;DATE(YEAR($B36),MONTH($B36),1),РД[Дата подачи на регистрацию],"&lt;"&amp;$B37),'ПП 401'!H53)</f>
        <v>118.45224080267558</v>
      </c>
      <c r="H36" s="149">
        <f ca="1">IF($B$1&gt;=$B37,SUMIFS(РД[Стоимость без отделки итог],РД[Дом],$B$2,РД[Состояние],"Продажа",РД[Дата подачи на регистрацию],"&gt;="&amp;DATE(YEAR($B36),MONTH($B36),1),РД[Дата подачи на регистрацию],"&lt;"&amp;$B37),'ПП 401'!K53)</f>
        <v>15302529.792642139</v>
      </c>
      <c r="I36" s="47">
        <f ca="1">IFERROR(H36/G36,)</f>
        <v>129187.33904016182</v>
      </c>
    </row>
    <row r="37" spans="2:9" s="265" customFormat="1" x14ac:dyDescent="0.25">
      <c r="B37" s="38">
        <v>46113</v>
      </c>
      <c r="C37" s="148">
        <f ca="1">IF($B$1&gt;=$B38,COUNTIFS(РД[Дата подачи на регистрацию],"&gt;="&amp;DATE(YEAR($B37),MONTH($B37),1),РД[Дата подачи на регистрацию],"&lt;"&amp;$B38,РД[Дом],$B$2,РД[Тип кв],C$3,РД[Состояние],"Продажа"),'ПП 401'!D54)</f>
        <v>1</v>
      </c>
      <c r="D37" s="148">
        <f ca="1">IF($B$1&gt;=$B38,COUNTIFS(РД[Дата подачи на регистрацию],"&gt;="&amp;DATE(YEAR($B37),MONTH($B37),1),РД[Дата подачи на регистрацию],"&lt;"&amp;$B38,РД[Дом],$B$2,РД[Тип кв],D$3,РД[Состояние],"Продажа"),'ПП 401'!E54)</f>
        <v>0</v>
      </c>
      <c r="E37" s="148">
        <f ca="1">IF($B$1&gt;=$B38,COUNTIFS(РД[Дата подачи на регистрацию],"&gt;="&amp;DATE(YEAR($B37),MONTH($B37),1),РД[Дата подачи на регистрацию],"&lt;"&amp;$B38,РД[Дом],$B$2,РД[Тип кв],E$3,РД[Состояние],"Продажа"),'ПП 401'!F54)</f>
        <v>1</v>
      </c>
      <c r="F37" s="149">
        <f t="shared" ca="1" si="11"/>
        <v>2</v>
      </c>
      <c r="G37" s="150">
        <f ca="1">IF($B$1&gt;=B38,SUMIFS(РД[S],РД[Дом],$B$2,РД[Состояние],"Продажа",РД[Дата подачи на регистрацию],"&gt;="&amp;DATE(YEAR($B37),MONTH($B37),1),РД[Дата подачи на регистрацию],"&lt;"&amp;$B38),'ПП 401'!H54)</f>
        <v>118.45224080267558</v>
      </c>
      <c r="H37" s="149">
        <f ca="1">IF($B$1&gt;=$B38,SUMIFS(РД[Стоимость без отделки итог],РД[Дом],$B$2,РД[Состояние],"Продажа",РД[Дата подачи на регистрацию],"&gt;="&amp;DATE(YEAR($B37),MONTH($B37),1),РД[Дата подачи на регистрацию],"&lt;"&amp;$B38),'ПП 401'!K54)</f>
        <v>15302529.792642139</v>
      </c>
      <c r="I37" s="47">
        <f t="shared" ref="I37:I44" ca="1" si="12">IFERROR(H37/G37,)</f>
        <v>129187.33904016182</v>
      </c>
    </row>
    <row r="38" spans="2:9" s="265" customFormat="1" x14ac:dyDescent="0.25">
      <c r="B38" s="306">
        <v>46143</v>
      </c>
      <c r="C38" s="148">
        <f ca="1">IF($B$1&gt;=$B39,COUNTIFS(РД[Дата подачи на регистрацию],"&gt;="&amp;DATE(YEAR($B38),MONTH($B38),1),РД[Дата подачи на регистрацию],"&lt;"&amp;$B39,РД[Дом],$B$2,РД[Тип кв],C$3,РД[Состояние],"Продажа"),'ПП 401'!D55)</f>
        <v>1</v>
      </c>
      <c r="D38" s="148">
        <f ca="1">IF($B$1&gt;=$B39,COUNTIFS(РД[Дата подачи на регистрацию],"&gt;="&amp;DATE(YEAR($B38),MONTH($B38),1),РД[Дата подачи на регистрацию],"&lt;"&amp;$B39,РД[Дом],$B$2,РД[Тип кв],D$3,РД[Состояние],"Продажа"),'ПП 401'!E55)</f>
        <v>0</v>
      </c>
      <c r="E38" s="148">
        <f ca="1">IF($B$1&gt;=$B39,COUNTIFS(РД[Дата подачи на регистрацию],"&gt;="&amp;DATE(YEAR($B38),MONTH($B38),1),РД[Дата подачи на регистрацию],"&lt;"&amp;$B39,РД[Дом],$B$2,РД[Тип кв],E$3,РД[Состояние],"Продажа"),'ПП 401'!F55)</f>
        <v>1</v>
      </c>
      <c r="F38" s="149">
        <f t="shared" ca="1" si="11"/>
        <v>2</v>
      </c>
      <c r="G38" s="150">
        <f ca="1">IF($B$1&gt;=B39,SUMIFS(РД[S],РД[Дом],$B$2,РД[Состояние],"Продажа",РД[Дата подачи на регистрацию],"&gt;="&amp;DATE(YEAR($B38),MONTH($B38),1),РД[Дата подачи на регистрацию],"&lt;"&amp;$B39),'ПП 401'!H55)</f>
        <v>118.45224080267558</v>
      </c>
      <c r="H38" s="149">
        <f ca="1">IF($B$1&gt;=$B39,SUMIFS(РД[Стоимость без отделки итог],РД[Дом],$B$2,РД[Состояние],"Продажа",РД[Дата подачи на регистрацию],"&gt;="&amp;DATE(YEAR($B38),MONTH($B38),1),РД[Дата подачи на регистрацию],"&lt;"&amp;$B39),'ПП 401'!K55)</f>
        <v>15302529.792642139</v>
      </c>
      <c r="I38" s="47">
        <f t="shared" ca="1" si="12"/>
        <v>129187.33904016182</v>
      </c>
    </row>
    <row r="39" spans="2:9" s="265" customFormat="1" x14ac:dyDescent="0.25">
      <c r="B39" s="306">
        <v>46174</v>
      </c>
      <c r="C39" s="148">
        <f ca="1">IF($B$1&gt;=$B40,COUNTIFS(РД[Дата подачи на регистрацию],"&gt;="&amp;DATE(YEAR($B39),MONTH($B39),1),РД[Дата подачи на регистрацию],"&lt;"&amp;$B40,РД[Дом],$B$2,РД[Тип кв],C$3,РД[Состояние],"Продажа"),'ПП 401'!D56)</f>
        <v>1</v>
      </c>
      <c r="D39" s="148">
        <f ca="1">IF($B$1&gt;=$B40,COUNTIFS(РД[Дата подачи на регистрацию],"&gt;="&amp;DATE(YEAR($B39),MONTH($B39),1),РД[Дата подачи на регистрацию],"&lt;"&amp;$B40,РД[Дом],$B$2,РД[Тип кв],D$3,РД[Состояние],"Продажа"),'ПП 401'!E56)</f>
        <v>0</v>
      </c>
      <c r="E39" s="148">
        <f ca="1">IF($B$1&gt;=$B40,COUNTIFS(РД[Дата подачи на регистрацию],"&gt;="&amp;DATE(YEAR($B39),MONTH($B39),1),РД[Дата подачи на регистрацию],"&lt;"&amp;$B40,РД[Дом],$B$2,РД[Тип кв],E$3,РД[Состояние],"Продажа"),'ПП 401'!F56)</f>
        <v>0</v>
      </c>
      <c r="F39" s="149">
        <f t="shared" ca="1" si="11"/>
        <v>1</v>
      </c>
      <c r="G39" s="150">
        <f ca="1">IF($B$1&gt;=B40,SUMIFS(РД[S],РД[Дом],$B$2,РД[Состояние],"Продажа",РД[Дата подачи на регистрацию],"&gt;="&amp;DATE(YEAR($B39),MONTH($B39),1),РД[Дата подачи на регистрацию],"&lt;"&amp;$B40),'ПП 401'!H56)</f>
        <v>38.996153846153859</v>
      </c>
      <c r="H39" s="149">
        <f ca="1">IF($B$1&gt;=$B40,SUMIFS(РД[Стоимость без отделки итог],РД[Дом],$B$2,РД[Состояние],"Продажа",РД[Дата подачи на регистрацию],"&gt;="&amp;DATE(YEAR($B39),MONTH($B39),1),РД[Дата подачи на регистрацию],"&lt;"&amp;$B40),'ПП 401'!K56)</f>
        <v>5370518.923076923</v>
      </c>
      <c r="I39" s="47">
        <f t="shared" ca="1" si="12"/>
        <v>137719.19518690201</v>
      </c>
    </row>
    <row r="40" spans="2:9" s="265" customFormat="1" x14ac:dyDescent="0.25">
      <c r="B40" s="306">
        <v>46204</v>
      </c>
      <c r="C40" s="148">
        <f ca="1">IF($B$1&gt;=$B41,COUNTIFS(РД[Дата подачи на регистрацию],"&gt;="&amp;DATE(YEAR($B40),MONTH($B40),1),РД[Дата подачи на регистрацию],"&lt;"&amp;$B41,РД[Дом],$B$2,РД[Тип кв],C$3,РД[Состояние],"Продажа"),'ПП 401'!D57)</f>
        <v>1</v>
      </c>
      <c r="D40" s="148">
        <f ca="1">IF($B$1&gt;=$B41,COUNTIFS(РД[Дата подачи на регистрацию],"&gt;="&amp;DATE(YEAR($B40),MONTH($B40),1),РД[Дата подачи на регистрацию],"&lt;"&amp;$B41,РД[Дом],$B$2,РД[Тип кв],D$3,РД[Состояние],"Продажа"),'ПП 401'!E57)</f>
        <v>1</v>
      </c>
      <c r="E40" s="148">
        <f ca="1">IF($B$1&gt;=$B41,COUNTIFS(РД[Дата подачи на регистрацию],"&gt;="&amp;DATE(YEAR($B40),MONTH($B40),1),РД[Дата подачи на регистрацию],"&lt;"&amp;$B41,РД[Дом],$B$2,РД[Тип кв],E$3,РД[Состояние],"Продажа"),'ПП 401'!F57)</f>
        <v>0</v>
      </c>
      <c r="F40" s="149">
        <f t="shared" ca="1" si="11"/>
        <v>2</v>
      </c>
      <c r="G40" s="150">
        <f ca="1">IF($B$1&gt;=B41,SUMIFS(РД[S],РД[Дом],$B$2,РД[Состояние],"Продажа",РД[Дата подачи на регистрацию],"&gt;="&amp;DATE(YEAR($B40),MONTH($B40),1),РД[Дата подачи на регистрацию],"&lt;"&amp;$B41),'ПП 401'!H57)</f>
        <v>94.867403846153877</v>
      </c>
      <c r="H40" s="149">
        <f ca="1">IF($B$1&gt;=$B41,SUMIFS(РД[Стоимость без отделки итог],РД[Дом],$B$2,РД[Состояние],"Продажа",РД[Дата подачи на регистрацию],"&gt;="&amp;DATE(YEAR($B40),MONTH($B40),1),РД[Дата подачи на регистрацию],"&lt;"&amp;$B41),'ПП 401'!K57)</f>
        <v>12357404.032451924</v>
      </c>
      <c r="I40" s="47">
        <f t="shared" ca="1" si="12"/>
        <v>130259.74709386883</v>
      </c>
    </row>
    <row r="41" spans="2:9" s="265" customFormat="1" x14ac:dyDescent="0.25">
      <c r="B41" s="38">
        <v>46235</v>
      </c>
      <c r="C41" s="148">
        <f ca="1">IF($B$1&gt;=$B42,COUNTIFS(РД[Дата подачи на регистрацию],"&gt;="&amp;DATE(YEAR($B41),MONTH($B41),1),РД[Дата подачи на регистрацию],"&lt;"&amp;$B42,РД[Дом],$B$2,РД[Тип кв],C$3,РД[Состояние],"Продажа"),'ПП 401'!D58)</f>
        <v>1</v>
      </c>
      <c r="D41" s="148">
        <f ca="1">IF($B$1&gt;=$B42,COUNTIFS(РД[Дата подачи на регистрацию],"&gt;="&amp;DATE(YEAR($B41),MONTH($B41),1),РД[Дата подачи на регистрацию],"&lt;"&amp;$B42,РД[Дом],$B$2,РД[Тип кв],D$3,РД[Состояние],"Продажа"),'ПП 401'!E58)</f>
        <v>1</v>
      </c>
      <c r="E41" s="148">
        <f ca="1">IF($B$1&gt;=$B42,COUNTIFS(РД[Дата подачи на регистрацию],"&gt;="&amp;DATE(YEAR($B41),MONTH($B41),1),РД[Дата подачи на регистрацию],"&lt;"&amp;$B42,РД[Дом],$B$2,РД[Тип кв],E$3,РД[Состояние],"Продажа"),'ПП 401'!F58)</f>
        <v>0</v>
      </c>
      <c r="F41" s="149">
        <f t="shared" ca="1" si="11"/>
        <v>2</v>
      </c>
      <c r="G41" s="150">
        <f ca="1">IF($B$1&gt;=B42,SUMIFS(РД[S],РД[Дом],$B$2,РД[Состояние],"Продажа",РД[Дата подачи на регистрацию],"&gt;="&amp;DATE(YEAR($B41),MONTH($B41),1),РД[Дата подачи на регистрацию],"&lt;"&amp;$B42),'ПП 401'!H58)</f>
        <v>94.867403846153877</v>
      </c>
      <c r="H41" s="149">
        <f ca="1">IF($B$1&gt;=$B42,SUMIFS(РД[Стоимость без отделки итог],РД[Дом],$B$2,РД[Состояние],"Продажа",РД[Дата подачи на регистрацию],"&gt;="&amp;DATE(YEAR($B41),MONTH($B41),1),РД[Дата подачи на регистрацию],"&lt;"&amp;$B42),'ПП 401'!K58)</f>
        <v>12357404.032451924</v>
      </c>
      <c r="I41" s="47">
        <f t="shared" ca="1" si="12"/>
        <v>130259.74709386883</v>
      </c>
    </row>
    <row r="42" spans="2:9" s="265" customFormat="1" x14ac:dyDescent="0.25">
      <c r="B42" s="38">
        <v>46266</v>
      </c>
      <c r="C42" s="148">
        <f ca="1">IF($B$1&gt;=$B43,COUNTIFS(РД[Дата подачи на регистрацию],"&gt;="&amp;DATE(YEAR($B42),MONTH($B42),1),РД[Дата подачи на регистрацию],"&lt;"&amp;$B43,РД[Дом],$B$2,РД[Тип кв],C$3,РД[Состояние],"Продажа"),'ПП 401'!D59)</f>
        <v>1</v>
      </c>
      <c r="D42" s="148">
        <f ca="1">IF($B$1&gt;=$B43,COUNTIFS(РД[Дата подачи на регистрацию],"&gt;="&amp;DATE(YEAR($B42),MONTH($B42),1),РД[Дата подачи на регистрацию],"&lt;"&amp;$B43,РД[Дом],$B$2,РД[Тип кв],D$3,РД[Состояние],"Продажа"),'ПП 401'!E59)</f>
        <v>1</v>
      </c>
      <c r="E42" s="148">
        <f ca="1">IF($B$1&gt;=$B43,COUNTIFS(РД[Дата подачи на регистрацию],"&gt;="&amp;DATE(YEAR($B42),MONTH($B42),1),РД[Дата подачи на регистрацию],"&lt;"&amp;$B43,РД[Дом],$B$2,РД[Тип кв],E$3,РД[Состояние],"Продажа"),'ПП 401'!F59)</f>
        <v>1</v>
      </c>
      <c r="F42" s="149">
        <f t="shared" ca="1" si="11"/>
        <v>3</v>
      </c>
      <c r="G42" s="150">
        <f ca="1">IF($B$1&gt;=B43,SUMIFS(РД[S],РД[Дом],$B$2,РД[Состояние],"Продажа",РД[Дата подачи на регистрацию],"&gt;="&amp;DATE(YEAR($B42),MONTH($B42),1),РД[Дата подачи на регистрацию],"&lt;"&amp;$B43),'ПП 401'!H59)</f>
        <v>174.32349080267559</v>
      </c>
      <c r="H42" s="149">
        <f ca="1">IF($B$1&gt;=$B43,SUMIFS(РД[Стоимость без отделки итог],РД[Дом],$B$2,РД[Состояние],"Продажа",РД[Дата подачи на регистрацию],"&gt;="&amp;DATE(YEAR($B42),MONTH($B42),1),РД[Дата подачи на регистрацию],"&lt;"&amp;$B43),'ПП 401'!K59)</f>
        <v>22289414.902017139</v>
      </c>
      <c r="I42" s="47">
        <f t="shared" ca="1" si="12"/>
        <v>127862.37126955831</v>
      </c>
    </row>
    <row r="43" spans="2:9" s="265" customFormat="1" x14ac:dyDescent="0.25">
      <c r="B43" s="38">
        <v>46296</v>
      </c>
      <c r="C43" s="148">
        <f ca="1">IF($B$1&gt;=$B44,COUNTIFS(РД[Дата подачи на регистрацию],"&gt;="&amp;DATE(YEAR($B43),MONTH($B43),1),РД[Дата подачи на регистрацию],"&lt;"&amp;$B44,РД[Дом],$B$2,РД[Тип кв],C$3,РД[Состояние],"Продажа"),'ПП 401'!D60)</f>
        <v>0</v>
      </c>
      <c r="D43" s="148">
        <f ca="1">IF($B$1&gt;=$B44,COUNTIFS(РД[Дата подачи на регистрацию],"&gt;="&amp;DATE(YEAR($B43),MONTH($B43),1),РД[Дата подачи на регистрацию],"&lt;"&amp;$B44,РД[Дом],$B$2,РД[Тип кв],D$3,РД[Состояние],"Продажа"),'ПП 401'!E60)</f>
        <v>1</v>
      </c>
      <c r="E43" s="148">
        <f ca="1">IF($B$1&gt;=$B44,COUNTIFS(РД[Дата подачи на регистрацию],"&gt;="&amp;DATE(YEAR($B43),MONTH($B43),1),РД[Дата подачи на регистрацию],"&lt;"&amp;$B44,РД[Дом],$B$2,РД[Тип кв],E$3,РД[Состояние],"Продажа"),'ПП 401'!F60)</f>
        <v>1</v>
      </c>
      <c r="F43" s="149">
        <f t="shared" ca="1" si="11"/>
        <v>2</v>
      </c>
      <c r="G43" s="150">
        <f ca="1">IF($B$1&gt;=B44,SUMIFS(РД[S],РД[Дом],$B$2,РД[Состояние],"Продажа",РД[Дата подачи на регистрацию],"&gt;="&amp;DATE(YEAR($B43),MONTH($B43),1),РД[Дата подачи на регистрацию],"&lt;"&amp;$B44),'ПП 401'!H60)</f>
        <v>135.32733695652172</v>
      </c>
      <c r="H43" s="149">
        <f ca="1">IF($B$1&gt;=$B44,SUMIFS(РД[Стоимость без отделки итог],РД[Дом],$B$2,РД[Состояние],"Продажа",РД[Дата подачи на регистрацию],"&gt;="&amp;DATE(YEAR($B43),MONTH($B43),1),РД[Дата подачи на регистрацию],"&lt;"&amp;$B44),'ПП 401'!K60)</f>
        <v>16918895.978940219</v>
      </c>
      <c r="I43" s="47">
        <f t="shared" ca="1" si="12"/>
        <v>125022.01225149329</v>
      </c>
    </row>
    <row r="44" spans="2:9" s="265" customFormat="1" ht="15.75" customHeight="1" x14ac:dyDescent="0.25">
      <c r="B44" s="38">
        <v>46327</v>
      </c>
      <c r="C44" s="148">
        <f ca="1">IF($B$1&gt;=$B45,COUNTIFS(РД[Дата подачи на регистрацию],"&gt;="&amp;DATE(YEAR($B44),MONTH($B44),1),РД[Дата подачи на регистрацию],"&lt;"&amp;$B45,РД[Дом],$B$2,РД[Тип кв],C$3,РД[Состояние],"Продажа"),'ПП 401'!D61)</f>
        <v>0</v>
      </c>
      <c r="D44" s="148">
        <f ca="1">IF($B$1&gt;=$B45,COUNTIFS(РД[Дата подачи на регистрацию],"&gt;="&amp;DATE(YEAR($B44),MONTH($B44),1),РД[Дата подачи на регистрацию],"&lt;"&amp;$B45,РД[Дом],$B$2,РД[Тип кв],D$3,РД[Состояние],"Продажа"),'ПП 401'!E61)</f>
        <v>0</v>
      </c>
      <c r="E44" s="148">
        <f ca="1">IF($B$1&gt;=$B45,COUNTIFS(РД[Дата подачи на регистрацию],"&gt;="&amp;DATE(YEAR($B44),MONTH($B44),1),РД[Дата подачи на регистрацию],"&lt;"&amp;$B45,РД[Дом],$B$2,РД[Тип кв],E$3,РД[Состояние],"Продажа"),'ПП 401'!F61)</f>
        <v>1</v>
      </c>
      <c r="F44" s="149">
        <f t="shared" ca="1" si="11"/>
        <v>1</v>
      </c>
      <c r="G44" s="150">
        <f ca="1">IF($B$1&gt;=B45,SUMIFS(РД[S],РД[Дом],$B$2,РД[Состояние],"Продажа",РД[Дата подачи на регистрацию],"&gt;="&amp;DATE(YEAR($B44),MONTH($B44),1),РД[Дата подачи на регистрацию],"&lt;"&amp;$B45),'ПП 401'!H61)</f>
        <v>79.456086956521716</v>
      </c>
      <c r="H44" s="149">
        <f ca="1">IF($B$1&gt;=$B45,SUMIFS(РД[Стоимость без отделки итог],РД[Дом],$B$2,РД[Состояние],"Продажа",РД[Дата подачи на регистрацию],"&gt;="&amp;DATE(YEAR($B44),MONTH($B44),1),РД[Дата подачи на регистрацию],"&lt;"&amp;$B45),'ПП 401'!K61)</f>
        <v>9932010.8695652168</v>
      </c>
      <c r="I44" s="47">
        <f t="shared" ca="1" si="12"/>
        <v>125000.00000000003</v>
      </c>
    </row>
    <row r="45" spans="2:9" s="265" customFormat="1" x14ac:dyDescent="0.25">
      <c r="B45" s="38">
        <v>46357</v>
      </c>
      <c r="C45" s="148">
        <f ca="1">IF($B$1&gt;=$B46,COUNTIFS(РД[Дата подачи на регистрацию],"&gt;="&amp;DATE(YEAR($B45),MONTH($B45),1),РД[Дата подачи на регистрацию],"&lt;"&amp;$B46,РД[Дом],$B$2,РД[Тип кв],C$3,РД[Состояние],"Продажа"),'ПП 401'!D62)</f>
        <v>0</v>
      </c>
      <c r="D45" s="148">
        <f ca="1">IF($B$1&gt;=$B46,COUNTIFS(РД[Дата подачи на регистрацию],"&gt;="&amp;DATE(YEAR($B45),MONTH($B45),1),РД[Дата подачи на регистрацию],"&lt;"&amp;$B46,РД[Дом],$B$2,РД[Тип кв],D$3,РД[Состояние],"Продажа"),'ПП 401'!E62)</f>
        <v>0</v>
      </c>
      <c r="E45" s="148">
        <f ca="1">IF($B$1&gt;=$B46,COUNTIFS(РД[Дата подачи на регистрацию],"&gt;="&amp;DATE(YEAR($B45),MONTH($B45),1),РД[Дата подачи на регистрацию],"&lt;"&amp;$B46,РД[Дом],$B$2,РД[Тип кв],E$3,РД[Состояние],"Продажа"),'ПП 401'!F62)</f>
        <v>0</v>
      </c>
      <c r="F45" s="149">
        <f t="shared" ref="F45" ca="1" si="13">SUM(C45:E45)</f>
        <v>0</v>
      </c>
      <c r="G45" s="150">
        <f ca="1">IF($B$1&gt;=B46,SUMIFS(РД[S],РД[Дом],$B$2,РД[Состояние],"Продажа",РД[Дата подачи на регистрацию],"&gt;="&amp;DATE(YEAR($B45),MONTH($B45),1),РД[Дата подачи на регистрацию],"&lt;"&amp;$B46),'ПП 401'!H62)</f>
        <v>0</v>
      </c>
      <c r="H45" s="149">
        <f ca="1">IF($B$1&gt;=$B46,SUMIFS(РД[Стоимость без отделки итог],РД[Дом],$B$2,РД[Состояние],"Продажа",РД[Дата подачи на регистрацию],"&gt;="&amp;DATE(YEAR($B45),MONTH($B45),1),РД[Дата подачи на регистрацию],"&lt;"&amp;$B46),'ПП 401'!K62)</f>
        <v>0</v>
      </c>
      <c r="I45" s="47">
        <f t="shared" ref="I45" ca="1" si="14">IFERROR(H45/G45,)</f>
        <v>0</v>
      </c>
    </row>
    <row r="46" spans="2:9" s="265" customFormat="1" x14ac:dyDescent="0.25">
      <c r="B46" s="154" t="s">
        <v>4890</v>
      </c>
      <c r="C46" s="467">
        <f t="shared" ref="C46:H46" ca="1" si="15">SUM(C34:C45)</f>
        <v>8</v>
      </c>
      <c r="D46" s="467">
        <f t="shared" ca="1" si="15"/>
        <v>5</v>
      </c>
      <c r="E46" s="467">
        <f t="shared" ca="1" si="15"/>
        <v>8</v>
      </c>
      <c r="F46" s="467">
        <f t="shared" ca="1" si="15"/>
        <v>21</v>
      </c>
      <c r="G46" s="467">
        <f t="shared" ca="1" si="15"/>
        <v>1226.9741764214045</v>
      </c>
      <c r="H46" s="467">
        <f t="shared" ca="1" si="15"/>
        <v>157354663.88801214</v>
      </c>
      <c r="I46" s="156">
        <f ca="1">IFERROR(H46/G46,)</f>
        <v>128246.10893356621</v>
      </c>
    </row>
    <row r="47" spans="2:9" s="265" customFormat="1" ht="15.75" thickBot="1" x14ac:dyDescent="0.3">
      <c r="C47" s="461"/>
      <c r="D47" s="461"/>
      <c r="E47" s="461"/>
      <c r="F47" s="461"/>
      <c r="G47" s="462"/>
      <c r="H47" s="463"/>
      <c r="I47" s="463"/>
    </row>
    <row r="48" spans="2:9" ht="15.75" x14ac:dyDescent="0.25">
      <c r="B48" s="162" t="s">
        <v>0</v>
      </c>
      <c r="C48" s="164">
        <v>1</v>
      </c>
      <c r="D48" s="164">
        <v>2</v>
      </c>
      <c r="E48" s="164">
        <v>3</v>
      </c>
      <c r="F48" s="165" t="s">
        <v>59</v>
      </c>
      <c r="G48" s="166" t="s">
        <v>51</v>
      </c>
      <c r="H48" s="324" t="s">
        <v>58</v>
      </c>
      <c r="I48" s="167" t="s">
        <v>17</v>
      </c>
    </row>
    <row r="49" spans="2:9" ht="15.75" thickBot="1" x14ac:dyDescent="0.3">
      <c r="B49" s="168" t="s">
        <v>61</v>
      </c>
      <c r="C49" s="169">
        <f ca="1">C16+C31+C46</f>
        <v>32</v>
      </c>
      <c r="D49" s="169">
        <f ca="1">D16+D31+D46</f>
        <v>45</v>
      </c>
      <c r="E49" s="169">
        <f ca="1">E16+E31+E46</f>
        <v>23</v>
      </c>
      <c r="F49" s="169">
        <f ca="1">F16+F31+F46</f>
        <v>100</v>
      </c>
      <c r="G49" s="197">
        <f t="shared" ref="G49:H49" ca="1" si="16">G16+G31+G46</f>
        <v>5551.2787499999995</v>
      </c>
      <c r="H49" s="170">
        <f t="shared" ca="1" si="16"/>
        <v>698563791.06057274</v>
      </c>
      <c r="I49" s="171">
        <f ca="1">IFERROR(H49/G49,)</f>
        <v>125838.35590323631</v>
      </c>
    </row>
    <row r="50" spans="2:9" x14ac:dyDescent="0.25">
      <c r="C50" s="198"/>
      <c r="D50" s="198"/>
      <c r="E50" s="198"/>
      <c r="F50" s="198"/>
    </row>
  </sheetData>
  <sheetProtection formatCells="0" formatColumns="0" formatRows="0"/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8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230A-AD9D-4851-9189-304AEEC26EA4}">
  <sheetPr codeName="Лист3">
    <tabColor theme="9" tint="-0.249977111117893"/>
    <pageSetUpPr fitToPage="1"/>
  </sheetPr>
  <dimension ref="B1:U65"/>
  <sheetViews>
    <sheetView topLeftCell="A33" workbookViewId="0">
      <selection activeCell="C36" sqref="C36:I36"/>
    </sheetView>
  </sheetViews>
  <sheetFormatPr defaultRowHeight="15" x14ac:dyDescent="0.25"/>
  <cols>
    <col min="1" max="1" width="2.85546875" customWidth="1"/>
    <col min="2" max="2" width="14.140625" bestFit="1" customWidth="1"/>
    <col min="3" max="3" width="10.140625" bestFit="1" customWidth="1"/>
    <col min="4" max="6" width="13.85546875" bestFit="1" customWidth="1"/>
    <col min="7" max="7" width="6.7109375" bestFit="1" customWidth="1"/>
    <col min="8" max="8" width="10.85546875" style="11" bestFit="1" customWidth="1"/>
    <col min="9" max="9" width="15.7109375" style="11" bestFit="1" customWidth="1"/>
    <col min="10" max="10" width="12.140625" style="11" bestFit="1" customWidth="1"/>
    <col min="13" max="13" width="13.7109375" bestFit="1" customWidth="1"/>
    <col min="14" max="20" width="12.7109375" customWidth="1"/>
    <col min="21" max="21" width="6.28515625" style="346" customWidth="1"/>
  </cols>
  <sheetData>
    <row r="1" spans="2:21" ht="15.75" x14ac:dyDescent="0.25">
      <c r="B1" s="394">
        <f ca="1">TODAY()</f>
        <v>45891</v>
      </c>
      <c r="F1" s="24">
        <f ca="1">DATE(YEAR($B$1),MONTH($B$1),1)</f>
        <v>45870</v>
      </c>
      <c r="M1" s="26"/>
      <c r="N1" s="26"/>
      <c r="O1" s="26"/>
      <c r="P1" s="26"/>
    </row>
    <row r="2" spans="2:21" x14ac:dyDescent="0.25">
      <c r="B2" s="110" t="s">
        <v>3388</v>
      </c>
    </row>
    <row r="3" spans="2:21" s="26" customFormat="1" ht="15.75" x14ac:dyDescent="0.25">
      <c r="B3" s="157" t="s">
        <v>0</v>
      </c>
      <c r="C3" s="158">
        <v>0</v>
      </c>
      <c r="D3" s="159">
        <v>1</v>
      </c>
      <c r="E3" s="159">
        <v>2</v>
      </c>
      <c r="F3" s="159">
        <v>3</v>
      </c>
      <c r="G3" s="160" t="s">
        <v>59</v>
      </c>
      <c r="H3" s="161" t="s">
        <v>51</v>
      </c>
      <c r="I3" s="161" t="s">
        <v>58</v>
      </c>
      <c r="J3" s="161" t="s">
        <v>17</v>
      </c>
      <c r="M3"/>
      <c r="N3"/>
      <c r="O3"/>
      <c r="P3"/>
    </row>
    <row r="4" spans="2:21" hidden="1" x14ac:dyDescent="0.25">
      <c r="B4" s="38">
        <v>44927</v>
      </c>
      <c r="C4" s="148">
        <f ca="1">IF($B$1&gt;=$B5,COUNTIFS(РД[Дата подачи на регистрацию],"&gt;="&amp;DATE(YEAR($B4),MONTH($B4),1),РД[Дата подачи на регистрацию],"&lt;"&amp;$B5,РД[Дом],$B$2,РД[Тип кв],C$3,РД[Состояние],"Продажа"),'ПП Д5'!D20)</f>
        <v>0</v>
      </c>
      <c r="D4" s="148">
        <f ca="1">IF($B$1&gt;=$B5,COUNTIFS(РД[Дата подачи на регистрацию],"&gt;="&amp;DATE(YEAR($B4),MONTH($B4),1),РД[Дата подачи на регистрацию],"&lt;"&amp;$B5,РД[Дом],$B$2,РД[Тип кв],D$3,РД[Состояние],"Продажа"),'ПП Д5'!E20)</f>
        <v>0</v>
      </c>
      <c r="E4" s="148">
        <f ca="1">IF($B$1&gt;=$B5,COUNTIFS(РД[Дата подачи на регистрацию],"&gt;="&amp;DATE(YEAR($B4),MONTH($B4),1),РД[Дата подачи на регистрацию],"&lt;"&amp;$B5,РД[Дом],$B$2,РД[Тип кв],E$3,РД[Состояние],"Продажа"),'ПП Д5'!F20)</f>
        <v>0</v>
      </c>
      <c r="F4" s="148">
        <f ca="1">IF($B$1&gt;=$B5,COUNTIFS(РД[Дата подачи на регистрацию],"&gt;="&amp;DATE(YEAR($B4),MONTH($B4),1),РД[Дата подачи на регистрацию],"&lt;"&amp;$B5,РД[Дом],$B$2,РД[Тип кв],F$3,РД[Состояние],"Продажа"),'ПП Д5'!G20)</f>
        <v>0</v>
      </c>
      <c r="G4" s="149">
        <f ca="1">SUM(C4:F4)</f>
        <v>0</v>
      </c>
      <c r="H4" s="150">
        <f ca="1">IF($B$1&gt;=B4,SUMIFS(РД[S],РД[Дом],$B$2,РД[Состояние],"Продажа",РД[Дата подачи на регистрацию],"&gt;="&amp;DATE(YEAR($B4),MONTH($B4),1),РД[Дата подачи на регистрацию],"&lt;"&amp;$B5),'ПП Д5'!I20)</f>
        <v>0</v>
      </c>
      <c r="I4" s="151">
        <f ca="1">IF($B$1&gt;=B4,SUMIFS(РД[Стоимость без отделки итог],РД[Дом],$B$2,РД[Состояние],"Продажа",РД[Дата подачи на регистрацию],"&gt;="&amp;DATE(YEAR($B4),MONTH($B4),1),РД[Дата подачи на регистрацию],"&lt;"&amp;$B5),'ПП Д5'!L20)</f>
        <v>0</v>
      </c>
      <c r="J4" s="47">
        <f ca="1">IFERROR(I4/H4,)</f>
        <v>0</v>
      </c>
    </row>
    <row r="5" spans="2:21" hidden="1" x14ac:dyDescent="0.25">
      <c r="B5" s="38">
        <v>44958</v>
      </c>
      <c r="C5" s="148">
        <f ca="1">IF($B$1&gt;=$B6,COUNTIFS(РД[Дата подачи на регистрацию],"&gt;="&amp;DATE(YEAR($B5),MONTH($B5),1),РД[Дата подачи на регистрацию],"&lt;"&amp;$B6,РД[Дом],$B$2,РД[Тип кв],C$3,РД[Состояние],"Продажа"),'ПП Д5'!D21)</f>
        <v>0</v>
      </c>
      <c r="D5" s="148">
        <f ca="1">IF($B$1&gt;=$B6,COUNTIFS(РД[Дата подачи на регистрацию],"&gt;="&amp;DATE(YEAR($B5),MONTH($B5),1),РД[Дата подачи на регистрацию],"&lt;"&amp;$B6,РД[Дом],$B$2,РД[Тип кв],D$3,РД[Состояние],"Продажа"),'ПП Д5'!E21)</f>
        <v>0</v>
      </c>
      <c r="E5" s="148">
        <f ca="1">IF($B$1&gt;=$B6,COUNTIFS(РД[Дата подачи на регистрацию],"&gt;="&amp;DATE(YEAR($B5),MONTH($B5),1),РД[Дата подачи на регистрацию],"&lt;"&amp;$B6,РД[Дом],$B$2,РД[Тип кв],E$3,РД[Состояние],"Продажа"),'ПП Д5'!F21)</f>
        <v>0</v>
      </c>
      <c r="F5" s="148">
        <f ca="1">IF($B$1&gt;=$B6,COUNTIFS(РД[Дата подачи на регистрацию],"&gt;="&amp;DATE(YEAR($B5),MONTH($B5),1),РД[Дата подачи на регистрацию],"&lt;"&amp;$B6,РД[Дом],$B$2,РД[Тип кв],F$3,РД[Состояние],"Продажа"),'ПП Д5'!G21)</f>
        <v>0</v>
      </c>
      <c r="G5" s="149">
        <f ca="1">SUM(C5:F5)</f>
        <v>0</v>
      </c>
      <c r="H5" s="150">
        <f ca="1">IF($B$1&gt;=B5,SUMIFS(РД[S],РД[Дом],$B$2,РД[Состояние],"Продажа",РД[Дата подачи на регистрацию],"&gt;="&amp;DATE(YEAR($B5),MONTH($B5),1),РД[Дата подачи на регистрацию],"&lt;"&amp;$B6),'ПП Д5'!I21)</f>
        <v>0</v>
      </c>
      <c r="I5" s="151">
        <f ca="1">IF($B$1&gt;=B5,SUMIFS(РД[Стоимость без отделки итог],РД[Дом],$B$2,РД[Состояние],"Продажа",РД[Дата подачи на регистрацию],"&gt;="&amp;DATE(YEAR($B5),MONTH($B5),1),РД[Дата подачи на регистрацию],"&lt;"&amp;$B6),'ПП Д5'!L21)</f>
        <v>0</v>
      </c>
      <c r="J5" s="47">
        <f ca="1">IFERROR(I5/H5,)</f>
        <v>0</v>
      </c>
    </row>
    <row r="6" spans="2:21" hidden="1" x14ac:dyDescent="0.25">
      <c r="B6" s="38">
        <v>44986</v>
      </c>
      <c r="C6" s="148">
        <f ca="1">IF($B$1&gt;=$B7,COUNTIFS(РД[Дата подачи на регистрацию],"&gt;="&amp;DATE(YEAR($B6),MONTH($B6),1),РД[Дата подачи на регистрацию],"&lt;"&amp;$B7,РД[Дом],$B$2,РД[Тип кв],C$3,РД[Состояние],"Продажа"),'ПП Д5'!D22)</f>
        <v>0</v>
      </c>
      <c r="D6" s="148">
        <f ca="1">IF($B$1&gt;=$B7,COUNTIFS(РД[Дата подачи на регистрацию],"&gt;="&amp;DATE(YEAR($B6),MONTH($B6),1),РД[Дата подачи на регистрацию],"&lt;"&amp;$B7,РД[Дом],$B$2,РД[Тип кв],D$3,РД[Состояние],"Продажа"),'ПП Д5'!E22)</f>
        <v>0</v>
      </c>
      <c r="E6" s="148">
        <f ca="1">IF($B$1&gt;=$B7,COUNTIFS(РД[Дата подачи на регистрацию],"&gt;="&amp;DATE(YEAR($B6),MONTH($B6),1),РД[Дата подачи на регистрацию],"&lt;"&amp;$B7,РД[Дом],$B$2,РД[Тип кв],E$3,РД[Состояние],"Продажа"),'ПП Д5'!F22)</f>
        <v>0</v>
      </c>
      <c r="F6" s="148">
        <f ca="1">IF($B$1&gt;=$B7,COUNTIFS(РД[Дата подачи на регистрацию],"&gt;="&amp;DATE(YEAR($B6),MONTH($B6),1),РД[Дата подачи на регистрацию],"&lt;"&amp;$B7,РД[Дом],$B$2,РД[Тип кв],F$3,РД[Состояние],"Продажа"),'ПП Д5'!G22)</f>
        <v>0</v>
      </c>
      <c r="G6" s="149">
        <f ca="1">SUM(C6:F6)</f>
        <v>0</v>
      </c>
      <c r="H6" s="150">
        <f ca="1">IF($B$1&gt;=B6,SUMIFS(РД[S],РД[Дом],$B$2,РД[Состояние],"Продажа",РД[Дата подачи на регистрацию],"&gt;="&amp;DATE(YEAR($B6),MONTH($B6),1),РД[Дата подачи на регистрацию],"&lt;"&amp;$B7),'ПП Д5'!I22)</f>
        <v>0</v>
      </c>
      <c r="I6" s="151">
        <f ca="1">IF($B$1&gt;=B6,SUMIFS(РД[Стоимость без отделки итог],РД[Дом],$B$2,РД[Состояние],"Продажа",РД[Дата подачи на регистрацию],"&gt;="&amp;DATE(YEAR($B6),MONTH($B6),1),РД[Дата подачи на регистрацию],"&lt;"&amp;$B7),'ПП Д5'!L22)</f>
        <v>0</v>
      </c>
      <c r="J6" s="47">
        <f ca="1">IFERROR(I6/H6,)</f>
        <v>0</v>
      </c>
    </row>
    <row r="7" spans="2:21" hidden="1" x14ac:dyDescent="0.25">
      <c r="B7" s="38">
        <v>45017</v>
      </c>
      <c r="C7" s="148">
        <f ca="1">IF($B$1&gt;=$B8,COUNTIFS(РД[Дата подачи на регистрацию],"&gt;="&amp;DATE(YEAR($B7),MONTH($B7),1),РД[Дата подачи на регистрацию],"&lt;"&amp;$B8,РД[Дом],$B$2,РД[Тип кв],C$3,РД[Состояние],"Продажа"),'ПП Д5'!D23)</f>
        <v>0</v>
      </c>
      <c r="D7" s="148">
        <f ca="1">IF($B$1&gt;=$B8,COUNTIFS(РД[Дата подачи на регистрацию],"&gt;="&amp;DATE(YEAR($B7),MONTH($B7),1),РД[Дата подачи на регистрацию],"&lt;"&amp;$B8,РД[Дом],$B$2,РД[Тип кв],D$3,РД[Состояние],"Продажа"),'ПП Д5'!E23)</f>
        <v>0</v>
      </c>
      <c r="E7" s="148">
        <f ca="1">IF($B$1&gt;=$B8,COUNTIFS(РД[Дата подачи на регистрацию],"&gt;="&amp;DATE(YEAR($B7),MONTH($B7),1),РД[Дата подачи на регистрацию],"&lt;"&amp;$B8,РД[Дом],$B$2,РД[Тип кв],E$3,РД[Состояние],"Продажа"),'ПП Д5'!F23)</f>
        <v>0</v>
      </c>
      <c r="F7" s="148">
        <f ca="1">IF($B$1&gt;=$B8,COUNTIFS(РД[Дата подачи на регистрацию],"&gt;="&amp;DATE(YEAR($B7),MONTH($B7),1),РД[Дата подачи на регистрацию],"&lt;"&amp;$B8,РД[Дом],$B$2,РД[Тип кв],F$3,РД[Состояние],"Продажа"),'ПП Д5'!G23)</f>
        <v>0</v>
      </c>
      <c r="G7" s="149">
        <f t="shared" ref="G7:G15" ca="1" si="0">SUM(C7:F7)</f>
        <v>0</v>
      </c>
      <c r="H7" s="150">
        <f ca="1">IF($B$1&gt;=B7,SUMIFS(РД[S],РД[Дом],$B$2,РД[Состояние],"Продажа",РД[Дата подачи на регистрацию],"&gt;="&amp;DATE(YEAR($B7),MONTH($B7),1),РД[Дата подачи на регистрацию],"&lt;"&amp;$B8),'ПП Д5'!I23)</f>
        <v>0</v>
      </c>
      <c r="I7" s="151">
        <f ca="1">IF($B$1&gt;=B7,SUMIFS(РД[Стоимость без отделки итог],РД[Дом],$B$2,РД[Состояние],"Продажа",РД[Дата подачи на регистрацию],"&gt;="&amp;DATE(YEAR($B7),MONTH($B7),1),РД[Дата подачи на регистрацию],"&lt;"&amp;$B8),'ПП Д5'!L23)</f>
        <v>0</v>
      </c>
      <c r="J7" s="47">
        <f t="shared" ref="J7:J15" ca="1" si="1">IFERROR(I7/H7,)</f>
        <v>0</v>
      </c>
      <c r="M7" s="245"/>
      <c r="N7" s="245"/>
      <c r="O7" s="245"/>
      <c r="P7" s="245"/>
    </row>
    <row r="8" spans="2:21" hidden="1" x14ac:dyDescent="0.25">
      <c r="B8" s="38">
        <v>45047</v>
      </c>
      <c r="C8" s="148">
        <f ca="1">IF($B$1&gt;=$B9,COUNTIFS(РД[Дата подачи на регистрацию],"&gt;="&amp;DATE(YEAR($B8),MONTH($B8),1),РД[Дата подачи на регистрацию],"&lt;"&amp;$B9,РД[Дом],$B$2,РД[Тип кв],C$3,РД[Состояние],"Продажа"),'ПП Д5'!D24)</f>
        <v>0</v>
      </c>
      <c r="D8" s="148">
        <f ca="1">IF($B$1&gt;=$B9,COUNTIFS(РД[Дата подачи на регистрацию],"&gt;="&amp;DATE(YEAR($B8),MONTH($B8),1),РД[Дата подачи на регистрацию],"&lt;"&amp;$B9,РД[Дом],$B$2,РД[Тип кв],D$3,РД[Состояние],"Продажа"),'ПП Д5'!E24)</f>
        <v>0</v>
      </c>
      <c r="E8" s="148">
        <f ca="1">IF($B$1&gt;=$B9,COUNTIFS(РД[Дата подачи на регистрацию],"&gt;="&amp;DATE(YEAR($B8),MONTH($B8),1),РД[Дата подачи на регистрацию],"&lt;"&amp;$B9,РД[Дом],$B$2,РД[Тип кв],E$3,РД[Состояние],"Продажа"),'ПП Д5'!F24)</f>
        <v>0</v>
      </c>
      <c r="F8" s="148">
        <f ca="1">IF($B$1&gt;=$B9,COUNTIFS(РД[Дата подачи на регистрацию],"&gt;="&amp;DATE(YEAR($B8),MONTH($B8),1),РД[Дата подачи на регистрацию],"&lt;"&amp;$B9,РД[Дом],$B$2,РД[Тип кв],F$3,РД[Состояние],"Продажа"),'ПП Д5'!G24)</f>
        <v>0</v>
      </c>
      <c r="G8" s="149">
        <f t="shared" ca="1" si="0"/>
        <v>0</v>
      </c>
      <c r="H8" s="150">
        <f ca="1">IF($B$1&gt;=B8,SUMIFS(РД[S],РД[Дом],$B$2,РД[Состояние],"Продажа",РД[Дата подачи на регистрацию],"&gt;="&amp;DATE(YEAR($B8),MONTH($B8),1),РД[Дата подачи на регистрацию],"&lt;"&amp;$B9),'ПП Д5'!I24)</f>
        <v>0</v>
      </c>
      <c r="I8" s="151">
        <f ca="1">IF($B$1&gt;=B8,SUMIFS(РД[Стоимость без отделки итог],РД[Дом],$B$2,РД[Состояние],"Продажа",РД[Дата подачи на регистрацию],"&gt;="&amp;DATE(YEAR($B8),MONTH($B8),1),РД[Дата подачи на регистрацию],"&lt;"&amp;$B9),'ПП Д5'!L24)</f>
        <v>0</v>
      </c>
      <c r="J8" s="47">
        <f t="shared" ca="1" si="1"/>
        <v>0</v>
      </c>
    </row>
    <row r="9" spans="2:21" hidden="1" x14ac:dyDescent="0.25">
      <c r="B9" s="38">
        <v>45078</v>
      </c>
      <c r="C9" s="148">
        <f ca="1">IF($B$1&gt;=$B10,COUNTIFS(РД[Дата подачи на регистрацию],"&gt;="&amp;DATE(YEAR($B9),MONTH($B9),1),РД[Дата подачи на регистрацию],"&lt;"&amp;$B10,РД[Дом],$B$2,РД[Тип кв],C$3,РД[Состояние],"Продажа"),'ПП Д5'!D25)</f>
        <v>0</v>
      </c>
      <c r="D9" s="148">
        <f ca="1">IF($B$1&gt;=$B10,COUNTIFS(РД[Дата подачи на регистрацию],"&gt;="&amp;DATE(YEAR($B9),MONTH($B9),1),РД[Дата подачи на регистрацию],"&lt;"&amp;$B10,РД[Дом],$B$2,РД[Тип кв],D$3,РД[Состояние],"Продажа"),'ПП Д5'!E25)</f>
        <v>0</v>
      </c>
      <c r="E9" s="148">
        <f ca="1">IF($B$1&gt;=$B10,COUNTIFS(РД[Дата подачи на регистрацию],"&gt;="&amp;DATE(YEAR($B9),MONTH($B9),1),РД[Дата подачи на регистрацию],"&lt;"&amp;$B10,РД[Дом],$B$2,РД[Тип кв],E$3,РД[Состояние],"Продажа"),'ПП Д5'!F25)</f>
        <v>0</v>
      </c>
      <c r="F9" s="148">
        <f ca="1">IF($B$1&gt;=$B10,COUNTIFS(РД[Дата подачи на регистрацию],"&gt;="&amp;DATE(YEAR($B9),MONTH($B9),1),РД[Дата подачи на регистрацию],"&lt;"&amp;$B10,РД[Дом],$B$2,РД[Тип кв],F$3,РД[Состояние],"Продажа"),'ПП Д5'!G25)</f>
        <v>0</v>
      </c>
      <c r="G9" s="149">
        <f t="shared" ca="1" si="0"/>
        <v>0</v>
      </c>
      <c r="H9" s="150">
        <f ca="1">IF($B$1&gt;=B9,SUMIFS(РД[S],РД[Дом],$B$2,РД[Состояние],"Продажа",РД[Дата подачи на регистрацию],"&gt;="&amp;DATE(YEAR($B9),MONTH($B9),1),РД[Дата подачи на регистрацию],"&lt;"&amp;$B10),'ПП Д5'!I25)</f>
        <v>0</v>
      </c>
      <c r="I9" s="151">
        <f ca="1">IF($B$1&gt;=B9,SUMIFS(РД[Стоимость без отделки итог],РД[Дом],$B$2,РД[Состояние],"Продажа",РД[Дата подачи на регистрацию],"&gt;="&amp;DATE(YEAR($B9),MONTH($B9),1),РД[Дата подачи на регистрацию],"&lt;"&amp;$B10),'ПП Д5'!L25)</f>
        <v>0</v>
      </c>
      <c r="J9" s="47">
        <f t="shared" ca="1" si="1"/>
        <v>0</v>
      </c>
    </row>
    <row r="10" spans="2:21" s="245" customFormat="1" hidden="1" x14ac:dyDescent="0.25">
      <c r="B10" s="306">
        <v>45108</v>
      </c>
      <c r="C10" s="243">
        <f ca="1">IF($B$1&gt;=$B11,COUNTIFS(РД[Дата подачи на регистрацию],"&gt;="&amp;DATE(YEAR($B10),MONTH($B10),1),РД[Дата подачи на регистрацию],"&lt;"&amp;$B11,РД[Дом],$B$2,РД[Тип кв],C$3,РД[Состояние],"Продажа"),'ПП Д5'!D26)</f>
        <v>0</v>
      </c>
      <c r="D10" s="243">
        <f ca="1">IF($B$1&gt;=$B11,COUNTIFS(РД[Дата подачи на регистрацию],"&gt;="&amp;DATE(YEAR($B10),MONTH($B10),1),РД[Дата подачи на регистрацию],"&lt;"&amp;$B11,РД[Дом],$B$2,РД[Тип кв],D$3,РД[Состояние],"Продажа"),'ПП Д5'!E26)</f>
        <v>0</v>
      </c>
      <c r="E10" s="243">
        <f ca="1">IF($B$1&gt;=$B11,COUNTIFS(РД[Дата подачи на регистрацию],"&gt;="&amp;DATE(YEAR($B10),MONTH($B10),1),РД[Дата подачи на регистрацию],"&lt;"&amp;$B11,РД[Дом],$B$2,РД[Тип кв],E$3,РД[Состояние],"Продажа"),'ПП Д5'!F26)</f>
        <v>0</v>
      </c>
      <c r="F10" s="243">
        <f ca="1">IF($B$1&gt;=$B11,COUNTIFS(РД[Дата подачи на регистрацию],"&gt;="&amp;DATE(YEAR($B10),MONTH($B10),1),РД[Дата подачи на регистрацию],"&lt;"&amp;$B11,РД[Дом],$B$2,РД[Тип кв],F$3,РД[Состояние],"Продажа"),'ПП Д5'!G26)</f>
        <v>0</v>
      </c>
      <c r="G10" s="316">
        <f t="shared" ca="1" si="0"/>
        <v>0</v>
      </c>
      <c r="H10" s="47">
        <f ca="1">IF($B$1&gt;=B11,SUMIFS(РД[S],РД[Дом],$B$2,РД[Состояние],"Продажа",РД[Дата подачи на регистрацию],"&gt;="&amp;DATE(YEAR($B10),MONTH($B10),1),РД[Дата подачи на регистрацию],"&lt;"&amp;$B11),'ПП Д5'!I26)</f>
        <v>0</v>
      </c>
      <c r="I10" s="307">
        <f ca="1">IF($B$1&gt;=B11,SUMIFS(РД[Стоимость без отделки итог],РД[Дом],$B$2,РД[Состояние],"Продажа",РД[Дата подачи на регистрацию],"&gt;="&amp;DATE(YEAR($B10),MONTH($B10),1),РД[Дата подачи на регистрацию],"&lt;"&amp;$B11),'ПП Д5'!L26)</f>
        <v>0</v>
      </c>
      <c r="J10" s="47">
        <f t="shared" ca="1" si="1"/>
        <v>0</v>
      </c>
      <c r="M10"/>
      <c r="N10"/>
      <c r="O10"/>
      <c r="P10"/>
      <c r="U10" s="249"/>
    </row>
    <row r="11" spans="2:21" hidden="1" x14ac:dyDescent="0.25">
      <c r="B11" s="38">
        <v>45139</v>
      </c>
      <c r="C11" s="148">
        <f ca="1">IF($B$1&gt;=$B12,COUNTIFS(РД[Дата подачи на регистрацию],"&gt;="&amp;DATE(YEAR($B11),MONTH($B11),1),РД[Дата подачи на регистрацию],"&lt;"&amp;$B12,РД[Дом],$B$2,РД[Тип кв],C$3,РД[Состояние],"Продажа"),'ПП Д5'!D27)</f>
        <v>0</v>
      </c>
      <c r="D11" s="148">
        <f ca="1">IF($B$1&gt;=$B12,COUNTIFS(РД[Дата подачи на регистрацию],"&gt;="&amp;DATE(YEAR($B11),MONTH($B11),1),РД[Дата подачи на регистрацию],"&lt;"&amp;$B12,РД[Дом],$B$2,РД[Тип кв],D$3,РД[Состояние],"Продажа"),'ПП Д5'!E27)</f>
        <v>0</v>
      </c>
      <c r="E11" s="148">
        <f ca="1">IF($B$1&gt;=$B12,COUNTIFS(РД[Дата подачи на регистрацию],"&gt;="&amp;DATE(YEAR($B11),MONTH($B11),1),РД[Дата подачи на регистрацию],"&lt;"&amp;$B12,РД[Дом],$B$2,РД[Тип кв],E$3,РД[Состояние],"Продажа"),'ПП Д5'!F27)</f>
        <v>0</v>
      </c>
      <c r="F11" s="148">
        <f ca="1">IF($B$1&gt;=$B12,COUNTIFS(РД[Дата подачи на регистрацию],"&gt;="&amp;DATE(YEAR($B11),MONTH($B11),1),РД[Дата подачи на регистрацию],"&lt;"&amp;$B12,РД[Дом],$B$2,РД[Тип кв],F$3,РД[Состояние],"Продажа"),'ПП Д5'!G27)</f>
        <v>0</v>
      </c>
      <c r="G11" s="149">
        <f t="shared" ca="1" si="0"/>
        <v>0</v>
      </c>
      <c r="H11" s="150">
        <f ca="1">IF($B$1&gt;=B12,SUMIFS(РД[S],РД[Дом],$B$2,РД[Состояние],"Продажа",РД[Дата подачи на регистрацию],"&gt;="&amp;DATE(YEAR($B11),MONTH($B11),1),РД[Дата подачи на регистрацию],"&lt;"&amp;$B12),'ПП Д5'!I27)</f>
        <v>0</v>
      </c>
      <c r="I11" s="151">
        <f ca="1">IF($B$1&gt;=B12,SUMIFS(РД[Стоимость без отделки итог],РД[Дом],$B$2,РД[Состояние],"Продажа",РД[Дата подачи на регистрацию],"&gt;="&amp;DATE(YEAR($B11),MONTH($B11),1),РД[Дата подачи на регистрацию],"&lt;"&amp;$B12),'ПП Д5'!L27)</f>
        <v>0</v>
      </c>
      <c r="J11" s="47">
        <f t="shared" ca="1" si="1"/>
        <v>0</v>
      </c>
    </row>
    <row r="12" spans="2:21" x14ac:dyDescent="0.25">
      <c r="B12" s="273">
        <v>45170</v>
      </c>
      <c r="C12" s="274">
        <f ca="1">IF($B$1&gt;=$B13,COUNTIFS(РД[Дата подачи на регистрацию],"&gt;="&amp;DATE(YEAR($B12),MONTH($B12),1),РД[Дата подачи на регистрацию],"&lt;"&amp;$B13,РД[Дом],$B$2,РД[Тип кв],C$3,РД[Состояние],"Продажа"),'ПП Д5'!D28)</f>
        <v>23</v>
      </c>
      <c r="D12" s="274">
        <f ca="1">IF($B$1&gt;=$B13,COUNTIFS(РД[Дата подачи на регистрацию],"&gt;="&amp;DATE(YEAR($B12),MONTH($B12),1),РД[Дата подачи на регистрацию],"&lt;"&amp;$B13,РД[Дом],$B$2,РД[Тип кв],D$3,РД[Состояние],"Продажа"),'ПП Д5'!E28)</f>
        <v>32</v>
      </c>
      <c r="E12" s="274">
        <f ca="1">IF($B$1&gt;=$B13,COUNTIFS(РД[Дата подачи на регистрацию],"&gt;="&amp;DATE(YEAR($B12),MONTH($B12),1),РД[Дата подачи на регистрацию],"&lt;"&amp;$B13,РД[Дом],$B$2,РД[Тип кв],E$3,РД[Состояние],"Продажа"),'ПП Д5'!F28)</f>
        <v>12</v>
      </c>
      <c r="F12" s="274">
        <f ca="1">IF($B$1&gt;=$B13,COUNTIFS(РД[Дата подачи на регистрацию],"&gt;="&amp;DATE(YEAR($B12),MONTH($B12),1),РД[Дата подачи на регистрацию],"&lt;"&amp;$B13,РД[Дом],$B$2,РД[Тип кв],F$3,РД[Состояние],"Продажа"),'ПП Д5'!G28)</f>
        <v>4</v>
      </c>
      <c r="G12" s="333">
        <f t="shared" ca="1" si="0"/>
        <v>71</v>
      </c>
      <c r="H12" s="275">
        <f ca="1">IF($B$1&gt;=B13,SUMIFS(РД[S],РД[Дом],$B$2,РД[Состояние],"Продажа",РД[Дата подачи на регистрацию],"&gt;="&amp;DATE(YEAR($B12),MONTH($B12),1),РД[Дата подачи на регистрацию],"&lt;"&amp;$B13),'ПП Д5'!I28)</f>
        <v>2839.7000000000007</v>
      </c>
      <c r="I12" s="276">
        <f ca="1">IF($B$1&gt;=B13,SUMIFS(РД[Стоимость без отделки итог],РД[Дом],$B$2,РД[Состояние],"Продажа",РД[Дата подачи на регистрацию],"&gt;="&amp;DATE(YEAR($B12),MONTH($B12),1),РД[Дата подачи на регистрацию],"&lt;"&amp;$B13),'ПП Д5'!L28)</f>
        <v>247323295.59</v>
      </c>
      <c r="J12" s="275">
        <f t="shared" ca="1" si="1"/>
        <v>87094.867623340469</v>
      </c>
    </row>
    <row r="13" spans="2:21" x14ac:dyDescent="0.25">
      <c r="B13" s="273">
        <v>45200</v>
      </c>
      <c r="C13" s="274">
        <f ca="1">IF($B$1&gt;=$B14,COUNTIFS(РД[Дата подачи на регистрацию],"&gt;="&amp;DATE(YEAR($B13),MONTH($B13),1),РД[Дата подачи на регистрацию],"&lt;"&amp;$B14,РД[Дом],$B$2,РД[Тип кв],C$3,РД[Состояние],"Продажа"),'ПП Д5'!D29)</f>
        <v>1</v>
      </c>
      <c r="D13" s="274">
        <f ca="1">IF($B$1&gt;=$B14,COUNTIFS(РД[Дата подачи на регистрацию],"&gt;="&amp;DATE(YEAR($B13),MONTH($B13),1),РД[Дата подачи на регистрацию],"&lt;"&amp;$B14,РД[Дом],$B$2,РД[Тип кв],D$3,РД[Состояние],"Продажа"),'ПП Д5'!E29)</f>
        <v>9</v>
      </c>
      <c r="E13" s="274">
        <f ca="1">IF($B$1&gt;=$B14,COUNTIFS(РД[Дата подачи на регистрацию],"&gt;="&amp;DATE(YEAR($B13),MONTH($B13),1),РД[Дата подачи на регистрацию],"&lt;"&amp;$B14,РД[Дом],$B$2,РД[Тип кв],E$3,РД[Состояние],"Продажа"),'ПП Д5'!F29)</f>
        <v>7</v>
      </c>
      <c r="F13" s="274">
        <f ca="1">IF($B$1&gt;=$B14,COUNTIFS(РД[Дата подачи на регистрацию],"&gt;="&amp;DATE(YEAR($B13),MONTH($B13),1),РД[Дата подачи на регистрацию],"&lt;"&amp;$B14,РД[Дом],$B$2,РД[Тип кв],F$3,РД[Состояние],"Продажа"),'ПП Д5'!G29)</f>
        <v>2</v>
      </c>
      <c r="G13" s="333">
        <f t="shared" ca="1" si="0"/>
        <v>19</v>
      </c>
      <c r="H13" s="275">
        <f ca="1">IF($B$1&gt;=B14,SUMIFS(РД[S],РД[Дом],$B$2,РД[Состояние],"Продажа",РД[Дата подачи на регистрацию],"&gt;="&amp;DATE(YEAR($B13),MONTH($B13),1),РД[Дата подачи на регистрацию],"&lt;"&amp;$B14),'ПП Д5'!I29)</f>
        <v>990.55</v>
      </c>
      <c r="I13" s="276">
        <f ca="1">IF($B$1&gt;=B14,SUMIFS(РД[Стоимость без отделки итог],РД[Дом],$B$2,РД[Состояние],"Продажа",РД[Дата подачи на регистрацию],"&gt;="&amp;DATE(YEAR($B13),MONTH($B13),1),РД[Дата подачи на регистрацию],"&lt;"&amp;$B14),'ПП Д5'!L29)</f>
        <v>87367039.829999998</v>
      </c>
      <c r="J13" s="275">
        <f t="shared" ca="1" si="1"/>
        <v>88200.534884660039</v>
      </c>
      <c r="M13" s="13"/>
      <c r="N13" s="13"/>
      <c r="O13" s="13"/>
      <c r="P13" s="13"/>
    </row>
    <row r="14" spans="2:21" x14ac:dyDescent="0.25">
      <c r="B14" s="273">
        <v>45231</v>
      </c>
      <c r="C14" s="274">
        <f ca="1">IF($B$1&gt;=$B15,COUNTIFS(РД[Дата подачи на регистрацию],"&gt;="&amp;DATE(YEAR($B14),MONTH($B14),1),РД[Дата подачи на регистрацию],"&lt;"&amp;$B15,РД[Дом],$B$2,РД[Тип кв],C$3,РД[Состояние],"Продажа"),'ПП Д5'!D30)</f>
        <v>1</v>
      </c>
      <c r="D14" s="274">
        <f ca="1">IF($B$1&gt;=$B15,COUNTIFS(РД[Дата подачи на регистрацию],"&gt;="&amp;DATE(YEAR($B14),MONTH($B14),1),РД[Дата подачи на регистрацию],"&lt;"&amp;$B15,РД[Дом],$B$2,РД[Тип кв],D$3,РД[Состояние],"Продажа"),'ПП Д5'!E30)</f>
        <v>7</v>
      </c>
      <c r="E14" s="274">
        <f ca="1">IF($B$1&gt;=$B15,COUNTIFS(РД[Дата подачи на регистрацию],"&gt;="&amp;DATE(YEAR($B14),MONTH($B14),1),РД[Дата подачи на регистрацию],"&lt;"&amp;$B15,РД[Дом],$B$2,РД[Тип кв],E$3,РД[Состояние],"Продажа"),'ПП Д5'!F30)</f>
        <v>13</v>
      </c>
      <c r="F14" s="274">
        <f ca="1">IF($B$1&gt;=$B15,COUNTIFS(РД[Дата подачи на регистрацию],"&gt;="&amp;DATE(YEAR($B14),MONTH($B14),1),РД[Дата подачи на регистрацию],"&lt;"&amp;$B15,РД[Дом],$B$2,РД[Тип кв],F$3,РД[Состояние],"Продажа"),'ПП Д5'!G30)</f>
        <v>2</v>
      </c>
      <c r="G14" s="333">
        <f t="shared" ca="1" si="0"/>
        <v>23</v>
      </c>
      <c r="H14" s="275">
        <f ca="1">IF($B$1&gt;=B15,SUMIFS(РД[S],РД[Дом],$B$2,РД[Состояние],"Продажа",РД[Дата подачи на регистрацию],"&gt;="&amp;DATE(YEAR($B14),MONTH($B14),1),РД[Дата подачи на регистрацию],"&lt;"&amp;$B15),'ПП Д5'!I30)</f>
        <v>1243.04</v>
      </c>
      <c r="I14" s="276">
        <f ca="1">IF($B$1&gt;=B15,SUMIFS(РД[Стоимость без отделки итог],РД[Дом],$B$2,РД[Состояние],"Продажа",РД[Дата подачи на регистрацию],"&gt;="&amp;DATE(YEAR($B14),MONTH($B14),1),РД[Дата подачи на регистрацию],"&lt;"&amp;$B15),'ПП Д5'!L30)</f>
        <v>108371714.78999999</v>
      </c>
      <c r="J14" s="275">
        <f t="shared" ca="1" si="1"/>
        <v>87182.805694104769</v>
      </c>
    </row>
    <row r="15" spans="2:21" x14ac:dyDescent="0.25">
      <c r="B15" s="273">
        <v>45261</v>
      </c>
      <c r="C15" s="274">
        <f ca="1">IF($B$1&gt;=$B19,COUNTIFS(РД[Дата подачи на регистрацию],"&gt;="&amp;DATE(YEAR($B15),MONTH($B15),1),РД[Дата подачи на регистрацию],"&lt;"&amp;$B19,РД[Дом],$B$2,РД[Тип кв],C$3,РД[Состояние],"Продажа"),'ПП Д5'!D31)</f>
        <v>2</v>
      </c>
      <c r="D15" s="274">
        <f ca="1">IF($B$1&gt;=$B19,COUNTIFS(РД[Дата подачи на регистрацию],"&gt;="&amp;DATE(YEAR($B15),MONTH($B15),1),РД[Дата подачи на регистрацию],"&lt;"&amp;$B19,РД[Дом],$B$2,РД[Тип кв],D$3,РД[Состояние],"Продажа"),'ПП Д5'!E31)</f>
        <v>10</v>
      </c>
      <c r="E15" s="274">
        <f ca="1">IF($B$1&gt;=$B19,COUNTIFS(РД[Дата подачи на регистрацию],"&gt;="&amp;DATE(YEAR($B15),MONTH($B15),1),РД[Дата подачи на регистрацию],"&lt;"&amp;$B19,РД[Дом],$B$2,РД[Тип кв],E$3,РД[Состояние],"Продажа"),'ПП Д5'!F31)</f>
        <v>14</v>
      </c>
      <c r="F15" s="274">
        <f ca="1">IF($B$1&gt;=$B19,COUNTIFS(РД[Дата подачи на регистрацию],"&gt;="&amp;DATE(YEAR($B15),MONTH($B15),1),РД[Дата подачи на регистрацию],"&lt;"&amp;$B19,РД[Дом],$B$2,РД[Тип кв],F$3,РД[Состояние],"Продажа"),'ПП Д5'!G31)</f>
        <v>3</v>
      </c>
      <c r="G15" s="333">
        <f t="shared" ca="1" si="0"/>
        <v>29</v>
      </c>
      <c r="H15" s="275">
        <f ca="1">IF($B$1&gt;=B19,SUMIFS(РД[S],РД[Дом],$B$2,РД[Состояние],"Продажа",РД[Дата подачи на регистрацию],"&gt;="&amp;DATE(YEAR($B15),MONTH($B15),1),РД[Дата подачи на регистрацию],"&lt;"&amp;$B19),'ПП Д5'!I31)</f>
        <v>1559.2</v>
      </c>
      <c r="I15" s="276">
        <f ca="1">IF($B$1&gt;=B19,SUMIFS(РД[Стоимость без отделки итог],РД[Дом],$B$2,РД[Состояние],"Продажа",РД[Дата подачи на регистрацию],"&gt;="&amp;DATE(YEAR($B15),MONTH($B15),1),РД[Дата подачи на регистрацию],"&lt;"&amp;$B19),'ПП Д5'!L31)</f>
        <v>138811730.92000002</v>
      </c>
      <c r="J15" s="275">
        <f t="shared" ca="1" si="1"/>
        <v>89027.533940482303</v>
      </c>
    </row>
    <row r="16" spans="2:21" s="13" customFormat="1" x14ac:dyDescent="0.25">
      <c r="B16" s="154" t="s">
        <v>30</v>
      </c>
      <c r="C16" s="155">
        <f t="shared" ref="C16:I16" ca="1" si="2">SUM(C4:C15)</f>
        <v>27</v>
      </c>
      <c r="D16" s="155">
        <f t="shared" ca="1" si="2"/>
        <v>58</v>
      </c>
      <c r="E16" s="155">
        <f t="shared" ca="1" si="2"/>
        <v>46</v>
      </c>
      <c r="F16" s="155">
        <f t="shared" ca="1" si="2"/>
        <v>11</v>
      </c>
      <c r="G16" s="155">
        <f t="shared" ca="1" si="2"/>
        <v>142</v>
      </c>
      <c r="H16" s="155">
        <f t="shared" ca="1" si="2"/>
        <v>6632.4900000000007</v>
      </c>
      <c r="I16" s="155">
        <f t="shared" ca="1" si="2"/>
        <v>581873781.13000011</v>
      </c>
      <c r="J16" s="156">
        <f ca="1">IFERROR(I16/H16,)</f>
        <v>87730.81921420162</v>
      </c>
      <c r="L16" s="346"/>
      <c r="P16"/>
      <c r="R16" s="346"/>
      <c r="S16" s="346"/>
      <c r="U16" s="346"/>
    </row>
    <row r="17" spans="2:21" x14ac:dyDescent="0.25">
      <c r="C17" s="152"/>
      <c r="D17" s="152"/>
      <c r="E17" s="152"/>
      <c r="F17" s="152"/>
      <c r="G17" s="152"/>
      <c r="H17" s="179"/>
      <c r="I17" s="153"/>
      <c r="J17" s="32"/>
      <c r="M17" s="20"/>
      <c r="N17" s="20"/>
      <c r="O17" s="20"/>
    </row>
    <row r="18" spans="2:21" ht="15.75" x14ac:dyDescent="0.25">
      <c r="B18" s="157" t="s">
        <v>0</v>
      </c>
      <c r="C18" s="158">
        <v>0</v>
      </c>
      <c r="D18" s="159">
        <v>1</v>
      </c>
      <c r="E18" s="159">
        <v>2</v>
      </c>
      <c r="F18" s="159">
        <v>3</v>
      </c>
      <c r="G18" s="160" t="s">
        <v>59</v>
      </c>
      <c r="H18" s="180" t="s">
        <v>51</v>
      </c>
      <c r="I18" s="161" t="s">
        <v>58</v>
      </c>
      <c r="J18" s="161" t="s">
        <v>17</v>
      </c>
    </row>
    <row r="19" spans="2:21" x14ac:dyDescent="0.25">
      <c r="B19" s="273">
        <v>45292</v>
      </c>
      <c r="C19" s="274">
        <f ca="1">IF($B$1&gt;=$B20,COUNTIFS(РД[Дата подачи на регистрацию],"&gt;="&amp;DATE(YEAR($B19),MONTH($B19),1),РД[Дата подачи на регистрацию],"&lt;"&amp;$B20,РД[Дом],$B$2,РД[Тип кв],C$3,РД[Состояние],"Продажа"),'ПП Д5'!D36)</f>
        <v>2</v>
      </c>
      <c r="D19" s="274">
        <f ca="1">IF($B$1&gt;=$B20,COUNTIFS(РД[Дата подачи на регистрацию],"&gt;="&amp;DATE(YEAR($B19),MONTH($B19),1),РД[Дата подачи на регистрацию],"&lt;"&amp;$B20,РД[Дом],$B$2,РД[Тип кв],D$3,РД[Состояние],"Продажа"),'ПП Д5'!E36)</f>
        <v>1</v>
      </c>
      <c r="E19" s="274">
        <f ca="1">IF($B$1&gt;=$B20,COUNTIFS(РД[Дата подачи на регистрацию],"&gt;="&amp;DATE(YEAR($B19),MONTH($B19),1),РД[Дата подачи на регистрацию],"&lt;"&amp;$B20,РД[Дом],$B$2,РД[Тип кв],E$3,РД[Состояние],"Продажа"),'ПП Д5'!F36)</f>
        <v>1</v>
      </c>
      <c r="F19" s="274">
        <f ca="1">IF($B$1&gt;=$B20,COUNTIFS(РД[Дата подачи на регистрацию],"&gt;="&amp;DATE(YEAR($B19),MONTH($B19),1),РД[Дата подачи на регистрацию],"&lt;"&amp;$B20,РД[Дом],$B$2,РД[Тип кв],F$3,РД[Состояние],"Продажа"),'ПП Д5'!G36)</f>
        <v>2</v>
      </c>
      <c r="G19" s="333">
        <f ca="1">SUM($C$19:F19)</f>
        <v>6</v>
      </c>
      <c r="H19" s="275">
        <f ca="1">IF($B$1&gt;=B20,SUMIFS(РД[S],РД[Дом],$B$2,РД[Состояние],"Продажа",РД[Дата подачи на регистрацию],"&gt;="&amp;DATE(YEAR($B19),MONTH($B19),1),РД[Дата подачи на регистрацию],"&lt;"&amp;$B20),'ПП Д5'!I36)</f>
        <v>309.53999999999996</v>
      </c>
      <c r="I19" s="276">
        <f ca="1">IF($B$1&gt;=B20,SUMIFS(РД[Стоимость без отделки итог],РД[Дом],$B$2,РД[Состояние],"Продажа",РД[Дата подачи на регистрацию],"&gt;="&amp;DATE(YEAR($B19),MONTH($B19),1),РД[Дата подачи на регистрацию],"&lt;"&amp;$B20),'ПП Д5'!L36)</f>
        <v>29545592</v>
      </c>
      <c r="J19" s="275">
        <f ca="1">IFERROR(I19/H19,)</f>
        <v>95449.996769399761</v>
      </c>
    </row>
    <row r="20" spans="2:21" x14ac:dyDescent="0.25">
      <c r="B20" s="273">
        <v>45323</v>
      </c>
      <c r="C20" s="274">
        <f ca="1">IF($B$1&gt;=$B21,COUNTIFS(РД[Дата подачи на регистрацию],"&gt;="&amp;DATE(YEAR($B20),MONTH($B20),1),РД[Дата подачи на регистрацию],"&lt;"&amp;$B21,РД[Дом],$B$2,РД[Тип кв],C$3,РД[Состояние],"Продажа"),'ПП Д5'!D37)</f>
        <v>1</v>
      </c>
      <c r="D20" s="274">
        <f ca="1">IF($B$1&gt;=$B21,COUNTIFS(РД[Дата подачи на регистрацию],"&gt;="&amp;DATE(YEAR($B20),MONTH($B20),1),РД[Дата подачи на регистрацию],"&lt;"&amp;$B21,РД[Дом],$B$2,РД[Тип кв],D$3,РД[Состояние],"Продажа"),'ПП Д5'!E37)</f>
        <v>4</v>
      </c>
      <c r="E20" s="274">
        <f ca="1">IF($B$1&gt;=$B21,COUNTIFS(РД[Дата подачи на регистрацию],"&gt;="&amp;DATE(YEAR($B20),MONTH($B20),1),РД[Дата подачи на регистрацию],"&lt;"&amp;$B21,РД[Дом],$B$2,РД[Тип кв],E$3,РД[Состояние],"Продажа"),'ПП Д5'!F37)</f>
        <v>7</v>
      </c>
      <c r="F20" s="274">
        <f ca="1">IF($B$1&gt;=$B21,COUNTIFS(РД[Дата подачи на регистрацию],"&gt;="&amp;DATE(YEAR($B20),MONTH($B20),1),РД[Дата подачи на регистрацию],"&lt;"&amp;$B21,РД[Дом],$B$2,РД[Тип кв],F$3,РД[Состояние],"Продажа"),'ПП Д5'!G37)</f>
        <v>1</v>
      </c>
      <c r="G20" s="333">
        <f ca="1">SUM($C$20:F20)</f>
        <v>13</v>
      </c>
      <c r="H20" s="275">
        <f ca="1">IF($B$1&gt;=B21,SUMIFS(РД[S],РД[Дом],$B$2,РД[Состояние],"Продажа",РД[Дата подачи на регистрацию],"&gt;="&amp;DATE(YEAR($B20),MONTH($B20),1),РД[Дата подачи на регистрацию],"&lt;"&amp;$B21),'ПП Д5'!I37)</f>
        <v>680.26</v>
      </c>
      <c r="I20" s="276">
        <f ca="1">IF($B$1&gt;=B21,SUMIFS(РД[Стоимость без отделки итог],РД[Дом],$B$2,РД[Состояние],"Продажа",РД[Дата подачи на регистрацию],"&gt;="&amp;DATE(YEAR($B20),MONTH($B20),1),РД[Дата подачи на регистрацию],"&lt;"&amp;$B21),'ПП Д5'!L37)</f>
        <v>64173405.007300004</v>
      </c>
      <c r="J20" s="275">
        <f t="shared" ref="J20:J30" ca="1" si="3">IFERROR(I20/H20,)</f>
        <v>94336.58455193603</v>
      </c>
    </row>
    <row r="21" spans="2:21" x14ac:dyDescent="0.25">
      <c r="B21" s="273">
        <v>45352</v>
      </c>
      <c r="C21" s="274">
        <f ca="1">IF($B$1&gt;=$B22,COUNTIFS(РД[Дата подачи на регистрацию],"&gt;="&amp;DATE(YEAR($B21),MONTH($B21),1),РД[Дата подачи на регистрацию],"&lt;"&amp;$B22,РД[Дом],$B$2,РД[Тип кв],C$3,РД[Состояние],"Продажа"),'ПП Д5'!D38)</f>
        <v>0</v>
      </c>
      <c r="D21" s="274">
        <f ca="1">IF($B$1&gt;=$B22,COUNTIFS(РД[Дата подачи на регистрацию],"&gt;="&amp;DATE(YEAR($B21),MONTH($B21),1),РД[Дата подачи на регистрацию],"&lt;"&amp;$B22,РД[Дом],$B$2,РД[Тип кв],D$3,РД[Состояние],"Продажа"),'ПП Д5'!E38)</f>
        <v>9</v>
      </c>
      <c r="E21" s="274">
        <f ca="1">IF($B$1&gt;=$B22,COUNTIFS(РД[Дата подачи на регистрацию],"&gt;="&amp;DATE(YEAR($B21),MONTH($B21),1),РД[Дата подачи на регистрацию],"&lt;"&amp;$B22,РД[Дом],$B$2,РД[Тип кв],E$3,РД[Состояние],"Продажа"),'ПП Д5'!F38)</f>
        <v>5</v>
      </c>
      <c r="F21" s="274">
        <f ca="1">IF($B$1&gt;=$B22,COUNTIFS(РД[Дата подачи на регистрацию],"&gt;="&amp;DATE(YEAR($B21),MONTH($B21),1),РД[Дата подачи на регистрацию],"&lt;"&amp;$B22,РД[Дом],$B$2,РД[Тип кв],F$3,РД[Состояние],"Продажа"),'ПП Д5'!G38)</f>
        <v>2</v>
      </c>
      <c r="G21" s="333">
        <f ca="1">SUM($C$21:F21)</f>
        <v>16</v>
      </c>
      <c r="H21" s="275">
        <f ca="1">IF($B$1&gt;=B22,SUMIFS(РД[S],РД[Дом],$B$2,РД[Состояние],"Продажа",РД[Дата подачи на регистрацию],"&gt;="&amp;DATE(YEAR($B21),MONTH($B21),1),РД[Дата подачи на регистрацию],"&lt;"&amp;$B22),'ПП Д5'!I38)</f>
        <v>829.7700000000001</v>
      </c>
      <c r="I21" s="276">
        <f ca="1">IF($B$1&gt;=B22,SUMIFS(РД[Стоимость без отделки итог],РД[Дом],$B$2,РД[Состояние],"Продажа",РД[Дата подачи на регистрацию],"&gt;="&amp;DATE(YEAR($B21),MONTH($B21),1),РД[Дата подачи на регистрацию],"&lt;"&amp;$B22),'ПП Д5'!L38)</f>
        <v>81002350.719999999</v>
      </c>
      <c r="J21" s="275">
        <f t="shared" ca="1" si="3"/>
        <v>97620.245031755781</v>
      </c>
    </row>
    <row r="22" spans="2:21" x14ac:dyDescent="0.25">
      <c r="B22" s="273">
        <v>45383</v>
      </c>
      <c r="C22" s="274">
        <f ca="1">IF($B$1&gt;=$B23,COUNTIFS(РД[Дата подачи на регистрацию],"&gt;="&amp;DATE(YEAR($B22),MONTH($B22),1),РД[Дата подачи на регистрацию],"&lt;"&amp;$B23,РД[Дом],$B$2,РД[Тип кв],C$3,РД[Состояние],"Продажа"),'ПП Д5'!D39)</f>
        <v>1</v>
      </c>
      <c r="D22" s="274">
        <f ca="1">IF($B$1&gt;=$B23,COUNTIFS(РД[Дата подачи на регистрацию],"&gt;="&amp;DATE(YEAR($B22),MONTH($B22),1),РД[Дата подачи на регистрацию],"&lt;"&amp;$B23,РД[Дом],$B$2,РД[Тип кв],D$3,РД[Состояние],"Продажа"),'ПП Д5'!E39)</f>
        <v>4</v>
      </c>
      <c r="E22" s="274">
        <f ca="1">IF($B$1&gt;=$B23,COUNTIFS(РД[Дата подачи на регистрацию],"&gt;="&amp;DATE(YEAR($B22),MONTH($B22),1),РД[Дата подачи на регистрацию],"&lt;"&amp;$B23,РД[Дом],$B$2,РД[Тип кв],E$3,РД[Состояние],"Продажа"),'ПП Д5'!F39)</f>
        <v>9</v>
      </c>
      <c r="F22" s="274">
        <f ca="1">IF($B$1&gt;=$B23,COUNTIFS(РД[Дата подачи на регистрацию],"&gt;="&amp;DATE(YEAR($B22),MONTH($B22),1),РД[Дата подачи на регистрацию],"&lt;"&amp;$B23,РД[Дом],$B$2,РД[Тип кв],F$3,РД[Состояние],"Продажа"),'ПП Д5'!G39)</f>
        <v>5</v>
      </c>
      <c r="G22" s="333">
        <f ca="1">SUM($C$22:F22)</f>
        <v>19</v>
      </c>
      <c r="H22" s="275">
        <f ca="1">IF($B$1&gt;=B23,SUMIFS(РД[S],РД[Дом],$B$2,РД[Состояние],"Продажа",РД[Дата подачи на регистрацию],"&gt;="&amp;DATE(YEAR($B22),MONTH($B22),1),РД[Дата подачи на регистрацию],"&lt;"&amp;$B23),'ПП Д5'!I39)</f>
        <v>1101.9900000000002</v>
      </c>
      <c r="I22" s="276">
        <f ca="1">IF($B$1&gt;=B23,SUMIFS(РД[Стоимость без отделки итог],РД[Дом],$B$2,РД[Состояние],"Продажа",РД[Дата подачи на регистрацию],"&gt;="&amp;DATE(YEAR($B22),MONTH($B22),1),РД[Дата подачи на регистрацию],"&lt;"&amp;$B23),'ПП Д5'!L39)</f>
        <v>106316770</v>
      </c>
      <c r="J22" s="275">
        <f t="shared" ca="1" si="3"/>
        <v>96477.073294675982</v>
      </c>
    </row>
    <row r="23" spans="2:21" x14ac:dyDescent="0.25">
      <c r="B23" s="273">
        <v>45413</v>
      </c>
      <c r="C23" s="274">
        <f ca="1">IF($B$1&gt;=$B24,COUNTIFS(РД[Дата подачи на регистрацию],"&gt;="&amp;DATE(YEAR($B23),MONTH($B23),1),РД[Дата подачи на регистрацию],"&lt;"&amp;$B24,РД[Дом],$B$2,РД[Тип кв],C$3,РД[Состояние],"Продажа"),'ПП Д5'!D40)</f>
        <v>6</v>
      </c>
      <c r="D23" s="274">
        <f ca="1">IF($B$1&gt;=$B24,COUNTIFS(РД[Дата подачи на регистрацию],"&gt;="&amp;DATE(YEAR($B23),MONTH($B23),1),РД[Дата подачи на регистрацию],"&lt;"&amp;$B24,РД[Дом],$B$2,РД[Тип кв],D$3,РД[Состояние],"Продажа"),'ПП Д5'!E40)</f>
        <v>10</v>
      </c>
      <c r="E23" s="274">
        <f ca="1">IF($B$1&gt;=$B24,COUNTIFS(РД[Дата подачи на регистрацию],"&gt;="&amp;DATE(YEAR($B23),MONTH($B23),1),РД[Дата подачи на регистрацию],"&lt;"&amp;$B24,РД[Дом],$B$2,РД[Тип кв],E$3,РД[Состояние],"Продажа"),'ПП Д5'!F40)</f>
        <v>7</v>
      </c>
      <c r="F23" s="274">
        <f ca="1">IF($B$1&gt;=$B24,COUNTIFS(РД[Дата подачи на регистрацию],"&gt;="&amp;DATE(YEAR($B23),MONTH($B23),1),РД[Дата подачи на регистрацию],"&lt;"&amp;$B24,РД[Дом],$B$2,РД[Тип кв],F$3,РД[Состояние],"Продажа"),'ПП Д5'!G40)</f>
        <v>3</v>
      </c>
      <c r="G23" s="333">
        <f ca="1">SUM($C$23:F23)</f>
        <v>26</v>
      </c>
      <c r="H23" s="275">
        <f ca="1">IF($B$1&gt;=B24,SUMIFS(РД[S],РД[Дом],$B$2,РД[Состояние],"Продажа",РД[Дата подачи на регистрацию],"&gt;="&amp;DATE(YEAR($B23),MONTH($B23),1),РД[Дата подачи на регистрацию],"&lt;"&amp;$B24),'ПП Д5'!I40)</f>
        <v>1203.1700000000003</v>
      </c>
      <c r="I23" s="276">
        <f ca="1">IF($B$1&gt;=B24,SUMIFS(РД[Стоимость без отделки итог],РД[Дом],$B$2,РД[Состояние],"Продажа",РД[Дата подачи на регистрацию],"&gt;="&amp;DATE(YEAR($B23),MONTH($B23),1),РД[Дата подачи на регистрацию],"&lt;"&amp;$B24),'ПП Д5'!L40)</f>
        <v>125033665</v>
      </c>
      <c r="J23" s="275">
        <f t="shared" ca="1" si="3"/>
        <v>103920.19830946581</v>
      </c>
    </row>
    <row r="24" spans="2:21" x14ac:dyDescent="0.25">
      <c r="B24" s="273">
        <v>45444</v>
      </c>
      <c r="C24" s="274">
        <f ca="1">IF($B$1&gt;=$B25,COUNTIFS(РД[Дата подачи на регистрацию],"&gt;="&amp;DATE(YEAR($B24),MONTH($B24),1),РД[Дата подачи на регистрацию],"&lt;"&amp;$B25,РД[Дом],$B$2,РД[Тип кв],C$3,РД[Состояние],"Продажа"),'ПП Д5'!D41)</f>
        <v>3</v>
      </c>
      <c r="D24" s="274">
        <f ca="1">IF($B$1&gt;=$B25,COUNTIFS(РД[Дата подачи на регистрацию],"&gt;="&amp;DATE(YEAR($B24),MONTH($B24),1),РД[Дата подачи на регистрацию],"&lt;"&amp;$B25,РД[Дом],$B$2,РД[Тип кв],D$3,РД[Состояние],"Продажа"),'ПП Д5'!E41)</f>
        <v>20</v>
      </c>
      <c r="E24" s="274">
        <f ca="1">IF($B$1&gt;=$B25,COUNTIFS(РД[Дата подачи на регистрацию],"&gt;="&amp;DATE(YEAR($B24),MONTH($B24),1),РД[Дата подачи на регистрацию],"&lt;"&amp;$B25,РД[Дом],$B$2,РД[Тип кв],E$3,РД[Состояние],"Продажа"),'ПП Д5'!F41)</f>
        <v>18</v>
      </c>
      <c r="F24" s="274">
        <f ca="1">IF($B$1&gt;=$B25,COUNTIFS(РД[Дата подачи на регистрацию],"&gt;="&amp;DATE(YEAR($B24),MONTH($B24),1),РД[Дата подачи на регистрацию],"&lt;"&amp;$B25,РД[Дом],$B$2,РД[Тип кв],F$3,РД[Состояние],"Продажа"),'ПП Д5'!G41)</f>
        <v>6</v>
      </c>
      <c r="G24" s="333">
        <f ca="1">SUM($C$24:F24)</f>
        <v>47</v>
      </c>
      <c r="H24" s="275">
        <f ca="1">IF($B$1&gt;=B25,SUMIFS(РД[S],РД[Дом],$B$2,РД[Состояние],"Продажа",РД[Дата подачи на регистрацию],"&gt;="&amp;DATE(YEAR($B24),MONTH($B24),1),РД[Дата подачи на регистрацию],"&lt;"&amp;$B25),'ПП Д5'!I41)</f>
        <v>2423.5399999999991</v>
      </c>
      <c r="I24" s="276">
        <f ca="1">IF($B$1&gt;=B25,SUMIFS(РД[Стоимость без отделки итог],РД[Дом],$B$2,РД[Состояние],"Продажа",РД[Дата подачи на регистрацию],"&gt;="&amp;DATE(YEAR($B24),MONTH($B24),1),РД[Дата подачи на регистрацию],"&lt;"&amp;$B25),'ПП Д5'!L41)</f>
        <v>247114647</v>
      </c>
      <c r="J24" s="275">
        <f t="shared" ca="1" si="3"/>
        <v>101964.33605387165</v>
      </c>
    </row>
    <row r="25" spans="2:21" x14ac:dyDescent="0.25">
      <c r="B25" s="273">
        <v>45474</v>
      </c>
      <c r="C25" s="274">
        <f ca="1">IF($B$1&gt;=$B26,COUNTIFS(РД[Дата подачи на регистрацию],"&gt;="&amp;DATE(YEAR($B25),MONTH($B25),1),РД[Дата подачи на регистрацию],"&lt;"&amp;$B26,РД[Дом],$B$2,РД[Тип кв],C$3,РД[Состояние],"Продажа"),'ПП Д5'!D42)</f>
        <v>2</v>
      </c>
      <c r="D25" s="274">
        <f ca="1">IF($B$1&gt;=$B26,COUNTIFS(РД[Дата подачи на регистрацию],"&gt;="&amp;DATE(YEAR($B25),MONTH($B25),1),РД[Дата подачи на регистрацию],"&lt;"&amp;$B26,РД[Дом],$B$2,РД[Тип кв],D$3,РД[Состояние],"Продажа"),'ПП Д5'!E42)</f>
        <v>3</v>
      </c>
      <c r="E25" s="274">
        <f ca="1">IF($B$1&gt;=$B26,COUNTIFS(РД[Дата подачи на регистрацию],"&gt;="&amp;DATE(YEAR($B25),MONTH($B25),1),РД[Дата подачи на регистрацию],"&lt;"&amp;$B26,РД[Дом],$B$2,РД[Тип кв],E$3,РД[Состояние],"Продажа"),'ПП Д5'!F42)</f>
        <v>7</v>
      </c>
      <c r="F25" s="274">
        <f ca="1">IF($B$1&gt;=$B26,COUNTIFS(РД[Дата подачи на регистрацию],"&gt;="&amp;DATE(YEAR($B25),MONTH($B25),1),РД[Дата подачи на регистрацию],"&lt;"&amp;$B26,РД[Дом],$B$2,РД[Тип кв],F$3,РД[Состояние],"Продажа"),'ПП Д5'!G42)</f>
        <v>2</v>
      </c>
      <c r="G25" s="333">
        <f ca="1">SUM($C$25:F25)</f>
        <v>14</v>
      </c>
      <c r="H25" s="275">
        <f ca="1">IF($B$1&gt;=B26,SUMIFS(РД[S],РД[Дом],$B$2,РД[Состояние],"Продажа",РД[Дата подачи на регистрацию],"&gt;="&amp;DATE(YEAR($B25),MONTH($B25),1),РД[Дата подачи на регистрацию],"&lt;"&amp;$B26),'ПП Д5'!I42)</f>
        <v>761.7199999999998</v>
      </c>
      <c r="I25" s="276">
        <f ca="1">IF($B$1&gt;=B26,SUMIFS(РД[Стоимость без отделки итог],РД[Дом],$B$2,РД[Состояние],"Продажа",РД[Дата подачи на регистрацию],"&gt;="&amp;DATE(YEAR($B25),MONTH($B25),1),РД[Дата подачи на регистрацию],"&lt;"&amp;$B26),'ПП Д5'!L42)</f>
        <v>76564394</v>
      </c>
      <c r="J25" s="275">
        <f t="shared" ca="1" si="3"/>
        <v>100515.14204694641</v>
      </c>
    </row>
    <row r="26" spans="2:21" x14ac:dyDescent="0.25">
      <c r="B26" s="273">
        <v>45505</v>
      </c>
      <c r="C26" s="274">
        <f ca="1">IF($B$1&gt;=$B27,COUNTIFS(РД[Дата подачи на регистрацию],"&gt;="&amp;DATE(YEAR($B26),MONTH($B26),1),РД[Дата подачи на регистрацию],"&lt;"&amp;$B27,РД[Дом],$B$2,РД[Тип кв],C$3,РД[Состояние],"Продажа"),'ПП Д5'!D43)</f>
        <v>3</v>
      </c>
      <c r="D26" s="274">
        <f ca="1">IF($B$1&gt;=$B27,COUNTIFS(РД[Дата подачи на регистрацию],"&gt;="&amp;DATE(YEAR($B26),MONTH($B26),1),РД[Дата подачи на регистрацию],"&lt;"&amp;$B27,РД[Дом],$B$2,РД[Тип кв],D$3,РД[Состояние],"Продажа"),'ПП Д5'!E43)</f>
        <v>4</v>
      </c>
      <c r="E26" s="274">
        <f ca="1">IF($B$1&gt;=$B27,COUNTIFS(РД[Дата подачи на регистрацию],"&gt;="&amp;DATE(YEAR($B26),MONTH($B26),1),РД[Дата подачи на регистрацию],"&lt;"&amp;$B27,РД[Дом],$B$2,РД[Тип кв],E$3,РД[Состояние],"Продажа"),'ПП Д5'!F43)</f>
        <v>4</v>
      </c>
      <c r="F26" s="274">
        <f ca="1">IF($B$1&gt;=$B27,COUNTIFS(РД[Дата подачи на регистрацию],"&gt;="&amp;DATE(YEAR($B26),MONTH($B26),1),РД[Дата подачи на регистрацию],"&lt;"&amp;$B27,РД[Дом],$B$2,РД[Тип кв],F$3,РД[Состояние],"Продажа"),'ПП Д5'!G43)</f>
        <v>2</v>
      </c>
      <c r="G26" s="333">
        <f ca="1">SUM($C$26:F26)</f>
        <v>13</v>
      </c>
      <c r="H26" s="275">
        <f ca="1">IF($B$1&gt;=B27,SUMIFS(РД[S],РД[Дом],$B$2,РД[Состояние],"Продажа",РД[Дата подачи на регистрацию],"&gt;="&amp;DATE(YEAR($B26),MONTH($B26),1),РД[Дата подачи на регистрацию],"&lt;"&amp;$B27),'ПП Д5'!I43)</f>
        <v>640.61</v>
      </c>
      <c r="I26" s="276">
        <f ca="1">IF($B$1&gt;=B27,SUMIFS(РД[Стоимость без отделки итог],РД[Дом],$B$2,РД[Состояние],"Продажа",РД[Дата подачи на регистрацию],"&gt;="&amp;DATE(YEAR($B26),MONTH($B26),1),РД[Дата подачи на регистрацию],"&lt;"&amp;$B27),'ПП Д5'!L43)</f>
        <v>66878048</v>
      </c>
      <c r="J26" s="275">
        <f t="shared" ca="1" si="3"/>
        <v>104397.44618410578</v>
      </c>
    </row>
    <row r="27" spans="2:21" x14ac:dyDescent="0.25">
      <c r="B27" s="273">
        <v>45536</v>
      </c>
      <c r="C27" s="274">
        <f ca="1">IF($B$1&gt;=$B28,COUNTIFS(РД[Дата подачи на регистрацию],"&gt;="&amp;DATE(YEAR($B27),MONTH($B27),1),РД[Дата подачи на регистрацию],"&lt;"&amp;$B28,РД[Дом],$B$2,РД[Тип кв],C$3,РД[Состояние],"Продажа"),'ПП Д5'!D44)</f>
        <v>1</v>
      </c>
      <c r="D27" s="274">
        <f ca="1">IF($B$1&gt;=$B28,COUNTIFS(РД[Дата подачи на регистрацию],"&gt;="&amp;DATE(YEAR($B27),MONTH($B27),1),РД[Дата подачи на регистрацию],"&lt;"&amp;$B28,РД[Дом],$B$2,РД[Тип кв],D$3,РД[Состояние],"Продажа"),'ПП Д5'!E44)</f>
        <v>3</v>
      </c>
      <c r="E27" s="274">
        <f ca="1">IF($B$1&gt;=$B28,COUNTIFS(РД[Дата подачи на регистрацию],"&gt;="&amp;DATE(YEAR($B27),MONTH($B27),1),РД[Дата подачи на регистрацию],"&lt;"&amp;$B28,РД[Дом],$B$2,РД[Тип кв],E$3,РД[Состояние],"Продажа"),'ПП Д5'!F44)</f>
        <v>7</v>
      </c>
      <c r="F27" s="274">
        <f ca="1">IF($B$1&gt;=$B28,COUNTIFS(РД[Дата подачи на регистрацию],"&gt;="&amp;DATE(YEAR($B27),MONTH($B27),1),РД[Дата подачи на регистрацию],"&lt;"&amp;$B28,РД[Дом],$B$2,РД[Тип кв],F$3,РД[Состояние],"Продажа"),'ПП Д5'!G44)</f>
        <v>1</v>
      </c>
      <c r="G27" s="333">
        <f ca="1">SUM($C$27:F27)</f>
        <v>12</v>
      </c>
      <c r="H27" s="275">
        <f ca="1">IF($B$1&gt;=B28,SUMIFS(РД[S],РД[Дом],$B$2,РД[Состояние],"Продажа",РД[Дата подачи на регистрацию],"&gt;="&amp;DATE(YEAR($B27),MONTH($B27),1),РД[Дата подачи на регистрацию],"&lt;"&amp;$B28),'ПП Д5'!I44)</f>
        <v>627.02</v>
      </c>
      <c r="I27" s="276">
        <f ca="1">IF($B$1&gt;=B28,SUMIFS(РД[Стоимость без отделки итог],РД[Дом],$B$2,РД[Состояние],"Продажа",РД[Дата подачи на регистрацию],"&gt;="&amp;DATE(YEAR($B27),MONTH($B27),1),РД[Дата подачи на регистрацию],"&lt;"&amp;$B28),'ПП Д5'!L44)</f>
        <v>63713291</v>
      </c>
      <c r="J27" s="275">
        <f t="shared" ca="1" si="3"/>
        <v>101612.85285955791</v>
      </c>
    </row>
    <row r="28" spans="2:21" x14ac:dyDescent="0.25">
      <c r="B28" s="273">
        <v>45566</v>
      </c>
      <c r="C28" s="274">
        <f ca="1">IF($B$1&gt;=$B29,COUNTIFS(РД[Дата подачи на регистрацию],"&gt;="&amp;DATE(YEAR($B28),MONTH($B28),1),РД[Дата подачи на регистрацию],"&lt;"&amp;$B29,РД[Дом],$B$2,РД[Тип кв],C$3,РД[Состояние],"Продажа"),'ПП Д5'!D45)</f>
        <v>8</v>
      </c>
      <c r="D28" s="274">
        <f ca="1">IF($B$1&gt;=$B29,COUNTIFS(РД[Дата подачи на регистрацию],"&gt;="&amp;DATE(YEAR($B28),MONTH($B28),1),РД[Дата подачи на регистрацию],"&lt;"&amp;$B29,РД[Дом],$B$2,РД[Тип кв],D$3,РД[Состояние],"Продажа"),'ПП Д5'!E45)</f>
        <v>14</v>
      </c>
      <c r="E28" s="274">
        <f ca="1">IF($B$1&gt;=$B29,COUNTIFS(РД[Дата подачи на регистрацию],"&gt;="&amp;DATE(YEAR($B28),MONTH($B28),1),РД[Дата подачи на регистрацию],"&lt;"&amp;$B29,РД[Дом],$B$2,РД[Тип кв],E$3,РД[Состояние],"Продажа"),'ПП Д5'!F45)</f>
        <v>10</v>
      </c>
      <c r="F28" s="274">
        <f ca="1">IF($B$1&gt;=$B29,COUNTIFS(РД[Дата подачи на регистрацию],"&gt;="&amp;DATE(YEAR($B28),MONTH($B28),1),РД[Дата подачи на регистрацию],"&lt;"&amp;$B29,РД[Дом],$B$2,РД[Тип кв],F$3,РД[Состояние],"Продажа"),'ПП Д5'!G45)</f>
        <v>5</v>
      </c>
      <c r="G28" s="333">
        <f ca="1">SUM($C$28:F28)</f>
        <v>37</v>
      </c>
      <c r="H28" s="275">
        <f ca="1">IF($B$1&gt;=B29,SUMIFS(РД[S],РД[Дом],$B$2,РД[Состояние],"Продажа",РД[Дата подачи на регистрацию],"&gt;="&amp;DATE(YEAR($B28),MONTH($B28),1),РД[Дата подачи на регистрацию],"&lt;"&amp;$B29),'ПП Д5'!I45)</f>
        <v>1786.6200000000001</v>
      </c>
      <c r="I28" s="276">
        <f ca="1">IF($B$1&gt;=B29,SUMIFS(РД[Стоимость без отделки итог],РД[Дом],$B$2,РД[Состояние],"Продажа",РД[Дата подачи на регистрацию],"&gt;="&amp;DATE(YEAR($B28),MONTH($B28),1),РД[Дата подачи на регистрацию],"&lt;"&amp;$B29),'ПП Д5'!L45)</f>
        <v>190870755</v>
      </c>
      <c r="J28" s="275">
        <f t="shared" ca="1" si="3"/>
        <v>106833.43688081404</v>
      </c>
    </row>
    <row r="29" spans="2:21" x14ac:dyDescent="0.25">
      <c r="B29" s="273">
        <v>45597</v>
      </c>
      <c r="C29" s="274">
        <f ca="1">IF($B$1&gt;=$B30,COUNTIFS(РД[Дата подачи на регистрацию],"&gt;="&amp;DATE(YEAR($B29),MONTH($B29),1),РД[Дата подачи на регистрацию],"&lt;"&amp;$B30,РД[Дом],$B$2,РД[Тип кв],C$3,РД[Состояние],"Продажа"),'ПП Д5'!D46)</f>
        <v>4</v>
      </c>
      <c r="D29" s="274">
        <f ca="1">IF($B$1&gt;=$B30,COUNTIFS(РД[Дата подачи на регистрацию],"&gt;="&amp;DATE(YEAR($B29),MONTH($B29),1),РД[Дата подачи на регистрацию],"&lt;"&amp;$B30,РД[Дом],$B$2,РД[Тип кв],D$3,РД[Состояние],"Продажа"),'ПП Д5'!E46)</f>
        <v>4</v>
      </c>
      <c r="E29" s="274">
        <f ca="1">IF($B$1&gt;=$B30,COUNTIFS(РД[Дата подачи на регистрацию],"&gt;="&amp;DATE(YEAR($B29),MONTH($B29),1),РД[Дата подачи на регистрацию],"&lt;"&amp;$B30,РД[Дом],$B$2,РД[Тип кв],E$3,РД[Состояние],"Продажа"),'ПП Д5'!F46)</f>
        <v>9</v>
      </c>
      <c r="F29" s="274">
        <f ca="1">IF($B$1&gt;=$B30,COUNTIFS(РД[Дата подачи на регистрацию],"&gt;="&amp;DATE(YEAR($B29),MONTH($B29),1),РД[Дата подачи на регистрацию],"&lt;"&amp;$B30,РД[Дом],$B$2,РД[Тип кв],F$3,РД[Состояние],"Продажа"),'ПП Д5'!G46)</f>
        <v>0</v>
      </c>
      <c r="G29" s="333">
        <f ca="1">SUM(C29:F29)</f>
        <v>17</v>
      </c>
      <c r="H29" s="275">
        <f ca="1">IF($B$1&gt;=B30,SUMIFS(РД[S],РД[Дом],$B$2,РД[Состояние],"Продажа",РД[Дата подачи на регистрацию],"&gt;="&amp;DATE(YEAR($B29),MONTH($B29),1),РД[Дата подачи на регистрацию],"&lt;"&amp;$B30),'ПП Д5'!I46)</f>
        <v>847.85000000000014</v>
      </c>
      <c r="I29" s="276">
        <f ca="1">IF($B$1&gt;=B30,SUMIFS(РД[Стоимость без отделки итог],РД[Дом],$B$2,РД[Состояние],"Продажа",РД[Дата подачи на регистрацию],"&gt;="&amp;DATE(YEAR($B29),MONTH($B29),1),РД[Дата подачи на регистрацию],"&lt;"&amp;$B30),'ПП Д5'!L46)</f>
        <v>94597661</v>
      </c>
      <c r="J29" s="275">
        <f t="shared" ca="1" si="3"/>
        <v>111573.58141180631</v>
      </c>
    </row>
    <row r="30" spans="2:21" x14ac:dyDescent="0.25">
      <c r="B30" s="273">
        <v>45627</v>
      </c>
      <c r="C30" s="274">
        <f ca="1">IF($B$1&gt;=$B30,COUNTIFS(РД[Дата подачи на регистрацию],"&gt;="&amp;DATE(YEAR($B30),MONTH($B30),1),РД[Дата подачи на регистрацию],"&lt;"&amp;$B34,РД[Дом],$B$2,РД[Тип кв],C$3,РД[Состояние],"Продажа"),'ПП Д5'!D47)</f>
        <v>3</v>
      </c>
      <c r="D30" s="274">
        <f ca="1">IF($B$1&gt;=$B34,COUNTIFS(РД[Дата подачи на регистрацию],"&gt;="&amp;DATE(YEAR($B30),MONTH($B30),1),РД[Дата подачи на регистрацию],"&lt;"&amp;$B34,РД[Дом],$B$2,РД[Тип кв],D$3,РД[Состояние],"Продажа"),'ПП Д5'!E47)</f>
        <v>2</v>
      </c>
      <c r="E30" s="274">
        <f ca="1">IF($B$1&gt;=$B34,COUNTIFS(РД[Дата подачи на регистрацию],"&gt;="&amp;DATE(YEAR($B30),MONTH($B30),1),РД[Дата подачи на регистрацию],"&lt;"&amp;$B34,РД[Дом],$B$2,РД[Тип кв],E$3,РД[Состояние],"Продажа"),'ПП Д5'!F47)</f>
        <v>8</v>
      </c>
      <c r="F30" s="274">
        <f ca="1">IF($B$1&gt;=$B34,COUNTIFS(РД[Дата подачи на регистрацию],"&gt;="&amp;DATE(YEAR($B30),MONTH($B30),1),РД[Дата подачи на регистрацию],"&lt;"&amp;$B34,РД[Дом],$B$2,РД[Тип кв],F$3,РД[Состояние],"Продажа"),'ПП Д5'!G47)</f>
        <v>1</v>
      </c>
      <c r="G30" s="333">
        <f ca="1">SUM(C30:F30)</f>
        <v>14</v>
      </c>
      <c r="H30" s="275">
        <f ca="1">IF($B$1&gt;=B34,SUMIFS(РД[S],РД[Дом],$B$2,РД[Состояние],"Продажа",РД[Дата подачи на регистрацию],"&gt;="&amp;DATE(YEAR($B30),MONTH($B30),1),РД[Дата подачи на регистрацию],"&lt;"&amp;$B34),'ПП Д5'!I47)</f>
        <v>740.37</v>
      </c>
      <c r="I30" s="276">
        <f ca="1">IF($B$1&gt;=B34,SUMIFS(РД[Стоимость без отделки итог],РД[Дом],$B$2,РД[Состояние],"Продажа",РД[Дата подачи на регистрацию],"&gt;="&amp;DATE(YEAR($B30),MONTH($B30),1),РД[Дата подачи на регистрацию],"&lt;"&amp;$B34),'ПП Д5'!L47)</f>
        <v>88854984</v>
      </c>
      <c r="J30" s="275">
        <f t="shared" ca="1" si="3"/>
        <v>120014.29555492524</v>
      </c>
    </row>
    <row r="31" spans="2:21" x14ac:dyDescent="0.25">
      <c r="B31" s="154" t="s">
        <v>3249</v>
      </c>
      <c r="C31" s="155">
        <f t="shared" ref="C31:I31" ca="1" si="4">SUM(C19:C30)</f>
        <v>34</v>
      </c>
      <c r="D31" s="155">
        <f t="shared" ca="1" si="4"/>
        <v>78</v>
      </c>
      <c r="E31" s="155">
        <f t="shared" ca="1" si="4"/>
        <v>92</v>
      </c>
      <c r="F31" s="155">
        <f t="shared" ca="1" si="4"/>
        <v>30</v>
      </c>
      <c r="G31" s="155">
        <f t="shared" ca="1" si="4"/>
        <v>234</v>
      </c>
      <c r="H31" s="155">
        <f t="shared" ca="1" si="4"/>
        <v>11952.460000000001</v>
      </c>
      <c r="I31" s="155">
        <f t="shared" ca="1" si="4"/>
        <v>1234665562.7272999</v>
      </c>
      <c r="J31" s="156">
        <f ca="1">IFERROR(I31/H31,)</f>
        <v>103298.02925316629</v>
      </c>
    </row>
    <row r="32" spans="2:21" x14ac:dyDescent="0.25">
      <c r="C32" s="152"/>
      <c r="D32" s="152"/>
      <c r="E32" s="152"/>
      <c r="F32" s="152"/>
      <c r="G32" s="152"/>
      <c r="H32" s="179"/>
      <c r="I32" s="153"/>
      <c r="J32" s="32"/>
      <c r="M32" s="754" t="s">
        <v>6924</v>
      </c>
      <c r="N32" s="754"/>
      <c r="O32" s="754"/>
      <c r="P32" s="754"/>
      <c r="Q32" s="754"/>
      <c r="R32" s="754"/>
      <c r="S32" s="754"/>
      <c r="T32" s="754"/>
      <c r="U32" s="754"/>
    </row>
    <row r="33" spans="2:21" ht="15.75" x14ac:dyDescent="0.25">
      <c r="B33" s="157" t="s">
        <v>0</v>
      </c>
      <c r="C33" s="158">
        <v>0</v>
      </c>
      <c r="D33" s="159">
        <v>1</v>
      </c>
      <c r="E33" s="159">
        <v>2</v>
      </c>
      <c r="F33" s="159">
        <v>3</v>
      </c>
      <c r="G33" s="160" t="s">
        <v>59</v>
      </c>
      <c r="H33" s="180" t="s">
        <v>51</v>
      </c>
      <c r="I33" s="161" t="s">
        <v>58</v>
      </c>
      <c r="J33" s="161" t="s">
        <v>17</v>
      </c>
      <c r="M33" s="385"/>
      <c r="N33" s="385" t="s">
        <v>3</v>
      </c>
      <c r="O33" s="385" t="s">
        <v>4813</v>
      </c>
      <c r="P33" s="386" t="s">
        <v>6882</v>
      </c>
      <c r="Q33" s="385" t="s">
        <v>3245</v>
      </c>
      <c r="R33" s="385" t="s">
        <v>6990</v>
      </c>
      <c r="S33" s="385" t="s">
        <v>6991</v>
      </c>
      <c r="T33" s="385" t="s">
        <v>6923</v>
      </c>
      <c r="U33" s="408" t="s">
        <v>10</v>
      </c>
    </row>
    <row r="34" spans="2:21" s="245" customFormat="1" ht="15.75" x14ac:dyDescent="0.25">
      <c r="B34" s="273">
        <v>45658</v>
      </c>
      <c r="C34" s="274">
        <f ca="1">IF($B$1&gt;=$B35,COUNTIFS(РД[Дата подачи на регистрацию],"&gt;="&amp;DATE(YEAR($B34),MONTH($B34),1),РД[Дата подачи на регистрацию],"&lt;"&amp;$B35,РД[Дом],$B$2,РД[Тип кв],C$3,РД[Состояние],"Продажа"),'ПП Д5'!D52)</f>
        <v>0</v>
      </c>
      <c r="D34" s="274">
        <f ca="1">IF($B$1&gt;=$B35,COUNTIFS(РД[Дата подачи на регистрацию],"&gt;="&amp;DATE(YEAR($B34),MONTH($B34),1),РД[Дата подачи на регистрацию],"&lt;"&amp;$B35,РД[Дом],$B$2,РД[Тип кв],D$3,РД[Состояние],"Продажа"),'ПП Д5'!E52)</f>
        <v>1</v>
      </c>
      <c r="E34" s="274">
        <f ca="1">IF($B$1&gt;=$B35,COUNTIFS(РД[Дата подачи на регистрацию],"&gt;="&amp;DATE(YEAR($B34),MONTH($B34),1),РД[Дата подачи на регистрацию],"&lt;"&amp;$B35,РД[Дом],$B$2,РД[Тип кв],E$3,РД[Состояние],"Продажа"),'ПП Д5'!F52)</f>
        <v>1</v>
      </c>
      <c r="F34" s="274">
        <f ca="1">IF($B$1&gt;=$B35,COUNTIFS(РД[Дата подачи на регистрацию],"&gt;="&amp;DATE(YEAR($B34),MONTH($B34),1),РД[Дата подачи на регистрацию],"&lt;"&amp;$B35,РД[Дом],$B$2,РД[Тип кв],F$3,РД[Состояние],"Продажа"),'ПП Д5'!G52)</f>
        <v>0</v>
      </c>
      <c r="G34" s="333">
        <f ca="1">SUM(C34:F34)</f>
        <v>2</v>
      </c>
      <c r="H34" s="275">
        <f ca="1">IF($B$1&gt;=B35,SUMIFS(РД[S],РД[Дом],$B$2,РД[Состояние],"Продажа",РД[Дата подачи на регистрацию],"&gt;="&amp;DATE(YEAR($B34),MONTH($B34),1),РД[Дата подачи на регистрацию],"&lt;"&amp;$B35),'ПП Д5'!I52)</f>
        <v>94.39</v>
      </c>
      <c r="I34" s="276">
        <f ca="1">IF($B$1&gt;=B35,SUMIFS(РД[Стоимость без отделки итог],РД[Дом],$B$2,РД[Состояние],"Продажа",РД[Дата подачи на регистрацию],"&gt;="&amp;DATE(YEAR($B34),MONTH($B34),1),РД[Дата подачи на регистрацию],"&lt;"&amp;$B35),'ПП Д5'!L52)</f>
        <v>12488048</v>
      </c>
      <c r="J34" s="275">
        <f ca="1">IFERROR(I34/H34,)</f>
        <v>132302.65917999789</v>
      </c>
      <c r="M34" s="402">
        <v>0</v>
      </c>
      <c r="N34" s="384">
        <f>'Срез остатков'!J5</f>
        <v>15</v>
      </c>
      <c r="O34" s="384">
        <f>'Срез остатков'!J21</f>
        <v>0</v>
      </c>
      <c r="P34" s="384">
        <f>N34+(O34/2)</f>
        <v>15</v>
      </c>
      <c r="Q34" s="39">
        <f ca="1">VLOOKUP(DATE(YEAR(TODAY()),MONTH(TODAY()),1),$B$33:$J$46,U34,0)</f>
        <v>1</v>
      </c>
      <c r="R34" s="39">
        <f ca="1">COUNTIFS(РД[Тип кв],M34,РД[Дом],$B$2,РД[Дата подачи на регистрацию],"&gt;="&amp;DATE(YEAR($B$1),MONTH($B$1),1),РД[Дата подачи на регистрацию],"&lt;="&amp;$B$1)</f>
        <v>1</v>
      </c>
      <c r="S34" s="42">
        <f ca="1">R34/Q34</f>
        <v>1</v>
      </c>
      <c r="T34" s="39" t="str">
        <f ca="1">IF(P34&lt;Q34,"Пополнить","OK")</f>
        <v>OK</v>
      </c>
      <c r="U34" s="409">
        <v>2</v>
      </c>
    </row>
    <row r="35" spans="2:21" ht="15.75" x14ac:dyDescent="0.25">
      <c r="B35" s="273">
        <v>45689</v>
      </c>
      <c r="C35" s="274">
        <f ca="1">IF($B$1&gt;=$B36,COUNTIFS(РД[Дата подачи на регистрацию],"&gt;="&amp;DATE(YEAR($B35),MONTH($B35),1),РД[Дата подачи на регистрацию],"&lt;"&amp;$B36,РД[Дом],$B$2,РД[Тип кв],C$3,РД[Состояние],"Продажа"),'ПП Д5'!D53)</f>
        <v>2</v>
      </c>
      <c r="D35" s="274">
        <f ca="1">IF($B$1&gt;=$B36,COUNTIFS(РД[Дата подачи на регистрацию],"&gt;="&amp;DATE(YEAR($B35),MONTH($B35),1),РД[Дата подачи на регистрацию],"&lt;"&amp;$B36,РД[Дом],$B$2,РД[Тип кв],D$3,РД[Состояние],"Продажа"),'ПП Д5'!E53)</f>
        <v>3</v>
      </c>
      <c r="E35" s="274">
        <f ca="1">IF($B$1&gt;=$B36,COUNTIFS(РД[Дата подачи на регистрацию],"&gt;="&amp;DATE(YEAR($B35),MONTH($B35),1),РД[Дата подачи на регистрацию],"&lt;"&amp;$B36,РД[Дом],$B$2,РД[Тип кв],E$3,РД[Состояние],"Продажа"),'ПП Д5'!F53)</f>
        <v>4</v>
      </c>
      <c r="F35" s="274">
        <f ca="1">IF($B$1&gt;=$B36,COUNTIFS(РД[Дата подачи на регистрацию],"&gt;="&amp;DATE(YEAR($B35),MONTH($B35),1),РД[Дата подачи на регистрацию],"&lt;"&amp;$B36,РД[Дом],$B$2,РД[Тип кв],F$3,РД[Состояние],"Продажа"),'ПП Д5'!G53)</f>
        <v>0</v>
      </c>
      <c r="G35" s="333">
        <f t="shared" ref="G35:G45" ca="1" si="5">SUM(C35:F35)</f>
        <v>9</v>
      </c>
      <c r="H35" s="275">
        <f ca="1">IF($B$1&gt;=B36,SUMIFS(РД[S],РД[Дом],$B$2,РД[Состояние],"Продажа",РД[Дата подачи на регистрацию],"&gt;="&amp;DATE(YEAR($B35),MONTH($B35),1),РД[Дата подачи на регистрацию],"&lt;"&amp;$B36),'ПП Д5'!I53)</f>
        <v>400.63</v>
      </c>
      <c r="I35" s="276">
        <f ca="1">IF($B$1&gt;=B36,SUMIFS(РД[Стоимость без отделки итог],РД[Дом],$B$2,РД[Состояние],"Продажа",РД[Дата подачи на регистрацию],"&gt;="&amp;DATE(YEAR($B35),MONTH($B35),1),РД[Дата подачи на регистрацию],"&lt;"&amp;$B36),'ПП Д5'!L53)</f>
        <v>52136456</v>
      </c>
      <c r="J35" s="275">
        <f t="shared" ref="J35:J45" ca="1" si="6">IFERROR(I35/H35,)</f>
        <v>130136.17552355041</v>
      </c>
      <c r="M35" s="403">
        <v>1</v>
      </c>
      <c r="N35" s="384">
        <f>'Срез остатков'!J6</f>
        <v>38</v>
      </c>
      <c r="O35" s="384">
        <f>'Срез остатков'!J22</f>
        <v>4</v>
      </c>
      <c r="P35" s="384">
        <f>N35+(O35/2)</f>
        <v>40</v>
      </c>
      <c r="Q35" s="39">
        <f ca="1">VLOOKUP(DATE(YEAR(TODAY()),MONTH(TODAY()),1),$B$33:$J$46,U35,0)</f>
        <v>5</v>
      </c>
      <c r="R35" s="39">
        <f ca="1">COUNTIFS(РД[Тип кв],M35,РД[Дом],$B$2,РД[Дата подачи на регистрацию],"&gt;="&amp;DATE(YEAR($B$1),MONTH($B$1),1),РД[Дата подачи на регистрацию],"&lt;="&amp;$B$1)</f>
        <v>2</v>
      </c>
      <c r="S35" s="42">
        <f t="shared" ref="S35:S39" ca="1" si="7">R35/Q35</f>
        <v>0.4</v>
      </c>
      <c r="T35" s="39" t="str">
        <f t="shared" ref="T35:T37" ca="1" si="8">IF(P35&lt;Q35,"Пополнить","OK")</f>
        <v>OK</v>
      </c>
      <c r="U35" s="409">
        <v>3</v>
      </c>
    </row>
    <row r="36" spans="2:21" ht="15.75" x14ac:dyDescent="0.25">
      <c r="B36" s="273">
        <v>45717</v>
      </c>
      <c r="C36" s="274">
        <f ca="1">IF($B$1&gt;=$B37,COUNTIFS(РД[Дата подачи на регистрацию],"&gt;="&amp;DATE(YEAR($B36),MONTH($B36),1),РД[Дата подачи на регистрацию],"&lt;"&amp;$B37,РД[Дом],$B$2,РД[Тип кв],C$3,РД[Состояние],"Продажа"),'ПП Д5'!D54)</f>
        <v>1</v>
      </c>
      <c r="D36" s="274">
        <f ca="1">IF($B$1&gt;=$B37,COUNTIFS(РД[Дата подачи на регистрацию],"&gt;="&amp;DATE(YEAR($B36),MONTH($B36),1),РД[Дата подачи на регистрацию],"&lt;"&amp;$B37,РД[Дом],$B$2,РД[Тип кв],D$3,РД[Состояние],"Продажа"),'ПП Д5'!E54)</f>
        <v>2</v>
      </c>
      <c r="E36" s="274">
        <f ca="1">IF($B$1&gt;=$B37,COUNTIFS(РД[Дата подачи на регистрацию],"&gt;="&amp;DATE(YEAR($B36),MONTH($B36),1),РД[Дата подачи на регистрацию],"&lt;"&amp;$B37,РД[Дом],$B$2,РД[Тип кв],E$3,РД[Состояние],"Продажа"),'ПП Д5'!F54)</f>
        <v>2</v>
      </c>
      <c r="F36" s="274">
        <f ca="1">IF($B$1&gt;=$B37,COUNTIFS(РД[Дата подачи на регистрацию],"&gt;="&amp;DATE(YEAR($B36),MONTH($B36),1),РД[Дата подачи на регистрацию],"&lt;"&amp;$B37,РД[Дом],$B$2,РД[Тип кв],F$3,РД[Состояние],"Продажа"),'ПП Д5'!G54)</f>
        <v>2</v>
      </c>
      <c r="G36" s="333">
        <f t="shared" ca="1" si="5"/>
        <v>7</v>
      </c>
      <c r="H36" s="275">
        <f ca="1">IF($B$1&gt;=B37,SUMIFS(РД[S],РД[Дом],$B$2,РД[Состояние],"Продажа",РД[Дата подачи на регистрацию],"&gt;="&amp;DATE(YEAR($B36),MONTH($B36),1),РД[Дата подачи на регистрацию],"&lt;"&amp;$B37),'ПП Д5'!I54)</f>
        <v>382.05000000000007</v>
      </c>
      <c r="I36" s="276">
        <f ca="1">IF($B$1&gt;=B37,SUMIFS(РД[Стоимость без отделки итог],РД[Дом],$B$2,РД[Состояние],"Продажа",РД[Дата подачи на регистрацию],"&gt;="&amp;DATE(YEAR($B36),MONTH($B36),1),РД[Дата подачи на регистрацию],"&lt;"&amp;$B37),'ПП Д5'!L54)</f>
        <v>42161480</v>
      </c>
      <c r="J36" s="275">
        <f t="shared" ca="1" si="6"/>
        <v>110355.92199973823</v>
      </c>
      <c r="M36" s="403">
        <v>2</v>
      </c>
      <c r="N36" s="384">
        <f>'Срез остатков'!J7</f>
        <v>52</v>
      </c>
      <c r="O36" s="384">
        <f>'Срез остатков'!J23</f>
        <v>5</v>
      </c>
      <c r="P36" s="384">
        <f>N36+(O36/2)</f>
        <v>54.5</v>
      </c>
      <c r="Q36" s="39">
        <f ca="1">VLOOKUP(DATE(YEAR(TODAY()),MONTH(TODAY()),1),$B$33:$J$46,U36,0)</f>
        <v>5</v>
      </c>
      <c r="R36" s="39">
        <f ca="1">COUNTIFS(РД[Тип кв],M36,РД[Дом],$B$2,РД[Дата подачи на регистрацию],"&gt;="&amp;DATE(YEAR($B$1),MONTH($B$1),1),РД[Дата подачи на регистрацию],"&lt;="&amp;$B$1)</f>
        <v>5</v>
      </c>
      <c r="S36" s="42">
        <f t="shared" ca="1" si="7"/>
        <v>1</v>
      </c>
      <c r="T36" s="39" t="str">
        <f t="shared" ca="1" si="8"/>
        <v>OK</v>
      </c>
      <c r="U36" s="409">
        <v>4</v>
      </c>
    </row>
    <row r="37" spans="2:21" ht="15.75" x14ac:dyDescent="0.25">
      <c r="B37" s="273">
        <v>45748</v>
      </c>
      <c r="C37" s="274">
        <f ca="1">IF($B$1&gt;=$B38,COUNTIFS(РД[Дата подачи на регистрацию],"&gt;="&amp;DATE(YEAR($B37),MONTH($B37),1),РД[Дата подачи на регистрацию],"&lt;"&amp;$B38,РД[Дом],$B$2,РД[Тип кв],C$3,РД[Состояние],"Продажа"),'ПП Д5'!D55)</f>
        <v>2</v>
      </c>
      <c r="D37" s="274">
        <f ca="1">IF($B$1&gt;=$B38,COUNTIFS(РД[Дата подачи на регистрацию],"&gt;="&amp;DATE(YEAR($B37),MONTH($B37),1),РД[Дата подачи на регистрацию],"&lt;"&amp;$B38,РД[Дом],$B$2,РД[Тип кв],D$3,РД[Состояние],"Продажа"),'ПП Д5'!E55)</f>
        <v>3</v>
      </c>
      <c r="E37" s="274">
        <f ca="1">IF($B$1&gt;=$B38,COUNTIFS(РД[Дата подачи на регистрацию],"&gt;="&amp;DATE(YEAR($B37),MONTH($B37),1),РД[Дата подачи на регистрацию],"&lt;"&amp;$B38,РД[Дом],$B$2,РД[Тип кв],E$3,РД[Состояние],"Продажа"),'ПП Д5'!F55)</f>
        <v>6</v>
      </c>
      <c r="F37" s="274">
        <f ca="1">IF($B$1&gt;=$B38,COUNTIFS(РД[Дата подачи на регистрацию],"&gt;="&amp;DATE(YEAR($B37),MONTH($B37),1),РД[Дата подачи на регистрацию],"&lt;"&amp;$B38,РД[Дом],$B$2,РД[Тип кв],F$3,РД[Состояние],"Продажа"),'ПП Д5'!G55)</f>
        <v>2</v>
      </c>
      <c r="G37" s="333">
        <f t="shared" ca="1" si="5"/>
        <v>13</v>
      </c>
      <c r="H37" s="275">
        <f ca="1">IF($B$1&gt;=B38,SUMIFS(РД[S],РД[Дом],$B$2,РД[Состояние],"Продажа",РД[Дата подачи на регистрацию],"&gt;="&amp;DATE(YEAR($B37),MONTH($B37),1),РД[Дата подачи на регистрацию],"&lt;"&amp;$B38),'ПП Д5'!I55)</f>
        <v>685</v>
      </c>
      <c r="I37" s="276">
        <f ca="1">IF($B$1&gt;=B38,SUMIFS(РД[Стоимость без отделки итог],РД[Дом],$B$2,РД[Состояние],"Продажа",РД[Дата подачи на регистрацию],"&gt;="&amp;DATE(YEAR($B37),MONTH($B37),1),РД[Дата подачи на регистрацию],"&lt;"&amp;$B38),'ПП Д5'!L55)</f>
        <v>81624085</v>
      </c>
      <c r="J37" s="275">
        <f t="shared" ca="1" si="6"/>
        <v>119159.24817518248</v>
      </c>
      <c r="M37" s="403">
        <v>3</v>
      </c>
      <c r="N37" s="384">
        <f>'Срез остатков'!J8</f>
        <v>13</v>
      </c>
      <c r="O37" s="384">
        <f>'Срез остатков'!J24</f>
        <v>1</v>
      </c>
      <c r="P37" s="384">
        <f>N37+(O37/2)</f>
        <v>13.5</v>
      </c>
      <c r="Q37" s="39">
        <f ca="1">VLOOKUP(DATE(YEAR(TODAY()),MONTH(TODAY()),1),$B$33:$J$46,U37,0)</f>
        <v>3</v>
      </c>
      <c r="R37" s="39">
        <f ca="1">COUNTIFS(РД[Тип кв],M37,РД[Дом],$B$2,РД[Дата подачи на регистрацию],"&gt;="&amp;DATE(YEAR($B$1),MONTH($B$1),1),РД[Дата подачи на регистрацию],"&lt;="&amp;$B$1)</f>
        <v>0</v>
      </c>
      <c r="S37" s="42">
        <f t="shared" ca="1" si="7"/>
        <v>0</v>
      </c>
      <c r="T37" s="39" t="str">
        <f t="shared" ca="1" si="8"/>
        <v>OK</v>
      </c>
      <c r="U37" s="409">
        <v>5</v>
      </c>
    </row>
    <row r="38" spans="2:21" x14ac:dyDescent="0.25">
      <c r="B38" s="273">
        <v>45778</v>
      </c>
      <c r="C38" s="274">
        <f ca="1">IF($B$1&gt;=$B39,COUNTIFS(РД[Дата подачи на регистрацию],"&gt;="&amp;DATE(YEAR($B38),MONTH($B38),1),РД[Дата подачи на регистрацию],"&lt;"&amp;$B39,РД[Дом],$B$2,РД[Тип кв],C$3,РД[Состояние],"Продажа"),'ПП Д5'!D56)</f>
        <v>0</v>
      </c>
      <c r="D38" s="274">
        <f ca="1">IF($B$1&gt;=$B39,COUNTIFS(РД[Дата подачи на регистрацию],"&gt;="&amp;DATE(YEAR($B38),MONTH($B38),1),РД[Дата подачи на регистрацию],"&lt;"&amp;$B39,РД[Дом],$B$2,РД[Тип кв],D$3,РД[Состояние],"Продажа"),'ПП Д5'!E56)</f>
        <v>3</v>
      </c>
      <c r="E38" s="274">
        <f ca="1">IF($B$1&gt;=$B39,COUNTIFS(РД[Дата подачи на регистрацию],"&gt;="&amp;DATE(YEAR($B38),MONTH($B38),1),РД[Дата подачи на регистрацию],"&lt;"&amp;$B39,РД[Дом],$B$2,РД[Тип кв],E$3,РД[Состояние],"Продажа"),'ПП Д5'!F56)</f>
        <v>5</v>
      </c>
      <c r="F38" s="274">
        <f ca="1">IF($B$1&gt;=$B39,COUNTIFS(РД[Дата подачи на регистрацию],"&gt;="&amp;DATE(YEAR($B38),MONTH($B38),1),РД[Дата подачи на регистрацию],"&lt;"&amp;$B39,РД[Дом],$B$2,РД[Тип кв],F$3,РД[Состояние],"Продажа"),'ПП Д5'!G56)</f>
        <v>2</v>
      </c>
      <c r="G38" s="333">
        <f t="shared" ca="1" si="5"/>
        <v>10</v>
      </c>
      <c r="H38" s="275">
        <f ca="1">IF($B$1&gt;=B39,SUMIFS(РД[S],РД[Дом],$B$2,РД[Состояние],"Продажа",РД[Дата подачи на регистрацию],"&gt;="&amp;DATE(YEAR($B38),MONTH($B38),1),РД[Дата подачи на регистрацию],"&lt;"&amp;$B39),'ПП Д5'!I56)</f>
        <v>604.85</v>
      </c>
      <c r="I38" s="276">
        <f ca="1">IF($B$1&gt;=B39,SUMIFS(РД[Стоимость без отделки итог],РД[Дом],$B$2,РД[Состояние],"Продажа",РД[Дата подачи на регистрацию],"&gt;="&amp;DATE(YEAR($B38),MONTH($B38),1),РД[Дата подачи на регистрацию],"&lt;"&amp;$B39),'ПП Д5'!L56)</f>
        <v>69333934</v>
      </c>
      <c r="J38" s="275">
        <f t="shared" ca="1" si="6"/>
        <v>114629.96445399686</v>
      </c>
      <c r="M38" s="398" t="s">
        <v>59</v>
      </c>
      <c r="N38" s="399">
        <f>SUM(N34:N37)</f>
        <v>118</v>
      </c>
      <c r="O38" s="399">
        <f>SUM(O34:O37)</f>
        <v>10</v>
      </c>
      <c r="P38" s="399">
        <f>SUM(P34:P37)</f>
        <v>123</v>
      </c>
      <c r="Q38" s="399">
        <f ca="1">SUM(Q34:Q37)</f>
        <v>14</v>
      </c>
      <c r="R38" s="399">
        <f ca="1">SUM(R34:R37)</f>
        <v>8</v>
      </c>
      <c r="S38" s="400">
        <f t="shared" ca="1" si="7"/>
        <v>0.5714285714285714</v>
      </c>
      <c r="T38" s="401"/>
      <c r="U38" s="407"/>
    </row>
    <row r="39" spans="2:21" x14ac:dyDescent="0.25">
      <c r="B39" s="273">
        <v>45809</v>
      </c>
      <c r="C39" s="274">
        <f ca="1">IF($B$1&gt;=$B40,COUNTIFS(РД[Дата подачи на регистрацию],"&gt;="&amp;DATE(YEAR($B39),MONTH($B39),1),РД[Дата подачи на регистрацию],"&lt;"&amp;$B40,РД[Дом],$B$2,РД[Тип кв],C$3,РД[Состояние],"Продажа"),'ПП Д5'!D57)</f>
        <v>4</v>
      </c>
      <c r="D39" s="274">
        <f ca="1">IF($B$1&gt;=$B40,COUNTIFS(РД[Дата подачи на регистрацию],"&gt;="&amp;DATE(YEAR($B39),MONTH($B39),1),РД[Дата подачи на регистрацию],"&lt;"&amp;$B40,РД[Дом],$B$2,РД[Тип кв],D$3,РД[Состояние],"Продажа"),'ПП Д5'!E57)</f>
        <v>7</v>
      </c>
      <c r="E39" s="274">
        <f ca="1">IF($B$1&gt;=$B40,COUNTIFS(РД[Дата подачи на регистрацию],"&gt;="&amp;DATE(YEAR($B39),MONTH($B39),1),РД[Дата подачи на регистрацию],"&lt;"&amp;$B40,РД[Дом],$B$2,РД[Тип кв],E$3,РД[Состояние],"Продажа"),'ПП Д5'!F57)</f>
        <v>8</v>
      </c>
      <c r="F39" s="274">
        <f ca="1">IF($B$1&gt;=$B40,COUNTIFS(РД[Дата подачи на регистрацию],"&gt;="&amp;DATE(YEAR($B39),MONTH($B39),1),РД[Дата подачи на регистрацию],"&lt;"&amp;$B40,РД[Дом],$B$2,РД[Тип кв],F$3,РД[Состояние],"Продажа"),'ПП Д5'!G57)</f>
        <v>2</v>
      </c>
      <c r="G39" s="333">
        <f t="shared" ca="1" si="5"/>
        <v>21</v>
      </c>
      <c r="H39" s="275">
        <f ca="1">IF($B$1&gt;=B40,SUMIFS(РД[S],РД[Дом],$B$2,РД[Состояние],"Продажа",РД[Дата подачи на регистрацию],"&gt;="&amp;DATE(YEAR($B39),MONTH($B39),1),РД[Дата подачи на регистрацию],"&lt;"&amp;$B40),'ПП Д5'!I57)</f>
        <v>1019.6700000000001</v>
      </c>
      <c r="I39" s="276">
        <f ca="1">IF($B$1&gt;=B40,SUMIFS(РД[Стоимость без отделки итог],РД[Дом],$B$2,РД[Состояние],"Продажа",РД[Дата подачи на регистрацию],"&gt;="&amp;DATE(YEAR($B39),MONTH($B39),1),РД[Дата подачи на регистрацию],"&lt;"&amp;$B40),'ПП Д5'!L57)</f>
        <v>121625459</v>
      </c>
      <c r="J39" s="275">
        <f t="shared" ca="1" si="6"/>
        <v>119279.23641962594</v>
      </c>
      <c r="P39" s="364" t="s">
        <v>51</v>
      </c>
      <c r="Q39" s="316">
        <f ca="1">VLOOKUP(DATE(YEAR(TODAY()),MONTH(TODAY()),1),$B$33:$J$46,7,0)</f>
        <v>771.26043735676103</v>
      </c>
      <c r="R39" s="316">
        <f ca="1">SUMIFS(РД[S],РД[Дом],$B$2,РД[Дата подачи на регистрацию],"&gt;="&amp;DATE(YEAR($B$1),MONTH($B$1),1),РД[Дата подачи на регистрацию],"&lt;="&amp;$B$1)</f>
        <v>415.75</v>
      </c>
      <c r="S39" s="374">
        <f t="shared" ca="1" si="7"/>
        <v>0.53905267256394618</v>
      </c>
    </row>
    <row r="40" spans="2:21" x14ac:dyDescent="0.25">
      <c r="B40" s="273">
        <v>45839</v>
      </c>
      <c r="C40" s="274">
        <f ca="1">IF($B$1&gt;=$B41,COUNTIFS(РД[Дата подачи на регистрацию],"&gt;="&amp;DATE(YEAR($B40),MONTH($B40),1),РД[Дата подачи на регистрацию],"&lt;"&amp;$B41,РД[Дом],$B$2,РД[Тип кв],C$3,РД[Состояние],"Продажа"),'ПП Д5'!D58)</f>
        <v>1</v>
      </c>
      <c r="D40" s="274">
        <f ca="1">IF($B$1&gt;=$B41,COUNTIFS(РД[Дата подачи на регистрацию],"&gt;="&amp;DATE(YEAR($B40),MONTH($B40),1),РД[Дата подачи на регистрацию],"&lt;"&amp;$B41,РД[Дом],$B$2,РД[Тип кв],D$3,РД[Состояние],"Продажа"),'ПП Д5'!E58)</f>
        <v>1</v>
      </c>
      <c r="E40" s="274">
        <f ca="1">IF($B$1&gt;=$B41,COUNTIFS(РД[Дата подачи на регистрацию],"&gt;="&amp;DATE(YEAR($B40),MONTH($B40),1),РД[Дата подачи на регистрацию],"&lt;"&amp;$B41,РД[Дом],$B$2,РД[Тип кв],E$3,РД[Состояние],"Продажа"),'ПП Д5'!F58)</f>
        <v>2</v>
      </c>
      <c r="F40" s="274">
        <f ca="1">IF($B$1&gt;=$B41,COUNTIFS(РД[Дата подачи на регистрацию],"&gt;="&amp;DATE(YEAR($B40),MONTH($B40),1),РД[Дата подачи на регистрацию],"&lt;"&amp;$B41,РД[Дом],$B$2,РД[Тип кв],F$3,РД[Состояние],"Продажа"),'ПП Д5'!G58)</f>
        <v>0</v>
      </c>
      <c r="G40" s="333">
        <f t="shared" ca="1" si="5"/>
        <v>4</v>
      </c>
      <c r="H40" s="275">
        <f ca="1">IF($B$1&gt;=B41,SUMIFS(РД[S],РД[Дом],$B$2,РД[Состояние],"Продажа",РД[Дата подачи на регистрацию],"&gt;="&amp;DATE(YEAR($B40),MONTH($B40),1),РД[Дата подачи на регистрацию],"&lt;"&amp;$B41),'ПП Д5'!I58)</f>
        <v>193.85000000000002</v>
      </c>
      <c r="I40" s="276">
        <f ca="1">IF($B$1&gt;=B41,SUMIFS(РД[Стоимость без отделки итог],РД[Дом],$B$2,РД[Состояние],"Продажа",РД[Дата подачи на регистрацию],"&gt;="&amp;DATE(YEAR($B40),MONTH($B40),1),РД[Дата подачи на регистрацию],"&lt;"&amp;$B41),'ПП Д5'!L58)</f>
        <v>22865550</v>
      </c>
      <c r="J40" s="275">
        <f t="shared" ca="1" si="6"/>
        <v>117954.8620067062</v>
      </c>
      <c r="P40" s="364" t="s">
        <v>52</v>
      </c>
      <c r="Q40" s="316">
        <f ca="1">VLOOKUP(DATE(YEAR(TODAY()),MONTH(TODAY()),1),$B$33:$J$46,8,0)</f>
        <v>98613350.952628106</v>
      </c>
      <c r="R40" s="316">
        <f ca="1">SUMIFS(РД[Стоимость без отделки итог],РД[Дом],$B$2,РД[Дата подачи на регистрацию],"&gt;="&amp;DATE(YEAR($B$1),MONTH($B$1),1),РД[Дата подачи на регистрацию],"&lt;="&amp;$B$1)</f>
        <v>48979121</v>
      </c>
      <c r="S40" s="374">
        <f t="shared" ref="S40:S41" ca="1" si="9">R40/Q40</f>
        <v>0.49667839625010407</v>
      </c>
    </row>
    <row r="41" spans="2:21" x14ac:dyDescent="0.25">
      <c r="B41" s="38">
        <v>45870</v>
      </c>
      <c r="C41" s="148">
        <f ca="1">IF($B$1&gt;=$B42,COUNTIFS(РД[Дата подачи на регистрацию],"&gt;="&amp;DATE(YEAR($B41),MONTH($B41),1),РД[Дата подачи на регистрацию],"&lt;"&amp;$B42,РД[Дом],$B$2,РД[Тип кв],C$3,РД[Состояние],"Продажа"),'ПП Д5'!D59)</f>
        <v>1</v>
      </c>
      <c r="D41" s="148">
        <f ca="1">IF($B$1&gt;=$B42,COUNTIFS(РД[Дата подачи на регистрацию],"&gt;="&amp;DATE(YEAR($B41),MONTH($B41),1),РД[Дата подачи на регистрацию],"&lt;"&amp;$B42,РД[Дом],$B$2,РД[Тип кв],D$3,РД[Состояние],"Продажа"),'ПП Д5'!E59)</f>
        <v>5</v>
      </c>
      <c r="E41" s="148">
        <f ca="1">IF($B$1&gt;=$B42,COUNTIFS(РД[Дата подачи на регистрацию],"&gt;="&amp;DATE(YEAR($B41),MONTH($B41),1),РД[Дата подачи на регистрацию],"&lt;"&amp;$B42,РД[Дом],$B$2,РД[Тип кв],E$3,РД[Состояние],"Продажа"),'ПП Д5'!F59)</f>
        <v>5</v>
      </c>
      <c r="F41" s="148">
        <f ca="1">IF($B$1&gt;=$B42,COUNTIFS(РД[Дата подачи на регистрацию],"&gt;="&amp;DATE(YEAR($B41),MONTH($B41),1),РД[Дата подачи на регистрацию],"&lt;"&amp;$B42,РД[Дом],$B$2,РД[Тип кв],F$3,РД[Состояние],"Продажа"),'ПП Д5'!G59)</f>
        <v>3</v>
      </c>
      <c r="G41" s="149">
        <f t="shared" ca="1" si="5"/>
        <v>14</v>
      </c>
      <c r="H41" s="150">
        <f ca="1">IF($B$1&gt;=B42,SUMIFS(РД[S],РД[Дом],$B$2,РД[Состояние],"Продажа",РД[Дата подачи на регистрацию],"&gt;="&amp;DATE(YEAR($B41),MONTH($B41),1),РД[Дата подачи на регистрацию],"&lt;"&amp;$B42),'ПП Д5'!I59)</f>
        <v>771.26043735676103</v>
      </c>
      <c r="I41" s="151">
        <f ca="1">IF($B$1&gt;=B42,SUMIFS(РД[Стоимость без отделки итог],РД[Дом],$B$2,РД[Состояние],"Продажа",РД[Дата подачи на регистрацию],"&gt;="&amp;DATE(YEAR($B41),MONTH($B41),1),РД[Дата подачи на регистрацию],"&lt;"&amp;$B42),'ПП Д5'!L59)</f>
        <v>98613350.952628106</v>
      </c>
      <c r="J41" s="47">
        <f t="shared" ca="1" si="6"/>
        <v>127859.98889116186</v>
      </c>
      <c r="P41" s="364" t="s">
        <v>4307</v>
      </c>
      <c r="Q41" s="316">
        <f ca="1">Q40/Q39</f>
        <v>127859.98889116186</v>
      </c>
      <c r="R41" s="316">
        <f ca="1">IFERROR(R40/R39,)</f>
        <v>117809.07035478052</v>
      </c>
      <c r="S41" s="374">
        <f t="shared" ca="1" si="9"/>
        <v>0.92139121375227884</v>
      </c>
    </row>
    <row r="42" spans="2:21" x14ac:dyDescent="0.25">
      <c r="B42" s="38">
        <v>45901</v>
      </c>
      <c r="C42" s="148">
        <f ca="1">IF($B$1&gt;=$B43,COUNTIFS(РД[Дата подачи на регистрацию],"&gt;="&amp;DATE(YEAR($B42),MONTH($B42),1),РД[Дата подачи на регистрацию],"&lt;"&amp;$B43,РД[Дом],$B$2,РД[Тип кв],C$3,РД[Состояние],"Продажа"),'ПП Д5'!D60)</f>
        <v>0</v>
      </c>
      <c r="D42" s="148">
        <f ca="1">IF($B$1&gt;=$B43,COUNTIFS(РД[Дата подачи на регистрацию],"&gt;="&amp;DATE(YEAR($B42),MONTH($B42),1),РД[Дата подачи на регистрацию],"&lt;"&amp;$B43,РД[Дом],$B$2,РД[Тип кв],D$3,РД[Состояние],"Продажа"),'ПП Д5'!E60)</f>
        <v>3</v>
      </c>
      <c r="E42" s="148">
        <f ca="1">IF($B$1&gt;=$B43,COUNTIFS(РД[Дата подачи на регистрацию],"&gt;="&amp;DATE(YEAR($B42),MONTH($B42),1),РД[Дата подачи на регистрацию],"&lt;"&amp;$B43,РД[Дом],$B$2,РД[Тип кв],E$3,РД[Состояние],"Продажа"),'ПП Д5'!F60)</f>
        <v>4</v>
      </c>
      <c r="F42" s="148">
        <f ca="1">IF($B$1&gt;=$B43,COUNTIFS(РД[Дата подачи на регистрацию],"&gt;="&amp;DATE(YEAR($B42),MONTH($B42),1),РД[Дата подачи на регистрацию],"&lt;"&amp;$B43,РД[Дом],$B$2,РД[Тип кв],F$3,РД[Состояние],"Продажа"),'ПП Д5'!G60)</f>
        <v>3</v>
      </c>
      <c r="G42" s="149">
        <f t="shared" ca="1" si="5"/>
        <v>10</v>
      </c>
      <c r="H42" s="150">
        <f ca="1">IF($B$1&gt;=B43,SUMIFS(РД[S],РД[Дом],$B$2,РД[Состояние],"Продажа",РД[Дата подачи на регистрацию],"&gt;="&amp;DATE(YEAR($B42),MONTH($B42),1),РД[Дата подачи на регистрацию],"&lt;"&amp;$B43),'ПП Д5'!I60)</f>
        <v>607.07970779220784</v>
      </c>
      <c r="I42" s="151">
        <f ca="1">IF($B$1&gt;=B43,SUMIFS(РД[Стоимость без отделки итог],РД[Дом],$B$2,РД[Состояние],"Продажа",РД[Дата подачи на регистрацию],"&gt;="&amp;DATE(YEAR($B42),MONTH($B42),1),РД[Дата подачи на регистрацию],"&lt;"&amp;$B43),'ПП Д5'!L60)</f>
        <v>76211379.650526866</v>
      </c>
      <c r="J42" s="47">
        <f t="shared" ca="1" si="6"/>
        <v>125537.68256838624</v>
      </c>
    </row>
    <row r="43" spans="2:21" x14ac:dyDescent="0.25">
      <c r="B43" s="38">
        <v>45931</v>
      </c>
      <c r="C43" s="148">
        <f ca="1">IF($B$1&gt;=$B44,COUNTIFS(РД[Дата подачи на регистрацию],"&gt;="&amp;DATE(YEAR($B43),MONTH($B43),1),РД[Дата подачи на регистрацию],"&lt;"&amp;$B44,РД[Дом],$B$2,РД[Тип кв],C$3,РД[Состояние],"Продажа"),'ПП Д5'!D61)</f>
        <v>0</v>
      </c>
      <c r="D43" s="148">
        <f ca="1">IF($B$1&gt;=$B44,COUNTIFS(РД[Дата подачи на регистрацию],"&gt;="&amp;DATE(YEAR($B43),MONTH($B43),1),РД[Дата подачи на регистрацию],"&lt;"&amp;$B44,РД[Дом],$B$2,РД[Тип кв],D$3,РД[Состояние],"Продажа"),'ПП Д5'!E61)</f>
        <v>2</v>
      </c>
      <c r="E43" s="148">
        <f ca="1">IF($B$1&gt;=$B44,COUNTIFS(РД[Дата подачи на регистрацию],"&gt;="&amp;DATE(YEAR($B43),MONTH($B43),1),РД[Дата подачи на регистрацию],"&lt;"&amp;$B44,РД[Дом],$B$2,РД[Тип кв],E$3,РД[Состояние],"Продажа"),'ПП Д5'!F61)</f>
        <v>4</v>
      </c>
      <c r="F43" s="148">
        <f ca="1">IF($B$1&gt;=$B44,COUNTIFS(РД[Дата подачи на регистрацию],"&gt;="&amp;DATE(YEAR($B43),MONTH($B43),1),РД[Дата подачи на регистрацию],"&lt;"&amp;$B44,РД[Дом],$B$2,РД[Тип кв],F$3,РД[Состояние],"Продажа"),'ПП Д5'!G61)</f>
        <v>2</v>
      </c>
      <c r="G43" s="149">
        <f t="shared" ca="1" si="5"/>
        <v>8</v>
      </c>
      <c r="H43" s="150">
        <f ca="1">IF($B$1&gt;=B44,SUMIFS(РД[S],РД[Дом],$B$2,РД[Состояние],"Продажа",РД[Дата подачи на регистрацию],"&gt;="&amp;DATE(YEAR($B43),MONTH($B43),1),РД[Дата подачи на регистрацию],"&lt;"&amp;$B44),'ПП Д5'!I61)</f>
        <v>488.20551948051957</v>
      </c>
      <c r="I43" s="151">
        <f ca="1">IF($B$1&gt;=B44,SUMIFS(РД[Стоимость без отделки итог],РД[Дом],$B$2,РД[Состояние],"Продажа",РД[Дата подачи на регистрацию],"&gt;="&amp;DATE(YEAR($B43),MONTH($B43),1),РД[Дата подачи на регистрацию],"&lt;"&amp;$B44),'ПП Д5'!L61)</f>
        <v>62974801.971733309</v>
      </c>
      <c r="J43" s="47">
        <f t="shared" ca="1" si="6"/>
        <v>128992.40065688388</v>
      </c>
    </row>
    <row r="44" spans="2:21" x14ac:dyDescent="0.25">
      <c r="B44" s="38">
        <v>45962</v>
      </c>
      <c r="C44" s="148">
        <f ca="1">IF($B$1&gt;=$B45,COUNTIFS(РД[Дата подачи на регистрацию],"&gt;="&amp;DATE(YEAR($B44),MONTH($B44),1),РД[Дата подачи на регистрацию],"&lt;"&amp;$B45,РД[Дом],$B$2,РД[Тип кв],C$3,РД[Состояние],"Продажа"),'ПП Д5'!D62)</f>
        <v>0</v>
      </c>
      <c r="D44" s="148">
        <f ca="1">IF($B$1&gt;=$B45,COUNTIFS(РД[Дата подачи на регистрацию],"&gt;="&amp;DATE(YEAR($B44),MONTH($B44),1),РД[Дата подачи на регистрацию],"&lt;"&amp;$B45,РД[Дом],$B$2,РД[Тип кв],D$3,РД[Состояние],"Продажа"),'ПП Д5'!E62)</f>
        <v>2</v>
      </c>
      <c r="E44" s="148">
        <f ca="1">IF($B$1&gt;=$B45,COUNTIFS(РД[Дата подачи на регистрацию],"&gt;="&amp;DATE(YEAR($B44),MONTH($B44),1),РД[Дата подачи на регистрацию],"&lt;"&amp;$B45,РД[Дом],$B$2,РД[Тип кв],E$3,РД[Состояние],"Продажа"),'ПП Д5'!F62)</f>
        <v>4</v>
      </c>
      <c r="F44" s="148">
        <f ca="1">IF($B$1&gt;=$B45,COUNTIFS(РД[Дата подачи на регистрацию],"&gt;="&amp;DATE(YEAR($B44),MONTH($B44),1),РД[Дата подачи на регистрацию],"&lt;"&amp;$B45,РД[Дом],$B$2,РД[Тип кв],F$3,РД[Состояние],"Продажа"),'ПП Д5'!G62)</f>
        <v>2</v>
      </c>
      <c r="G44" s="149">
        <f t="shared" ca="1" si="5"/>
        <v>8</v>
      </c>
      <c r="H44" s="150">
        <f ca="1">IF($B$1&gt;=B45,SUMIFS(РД[S],РД[Дом],$B$2,РД[Состояние],"Продажа",РД[Дата подачи на регистрацию],"&gt;="&amp;DATE(YEAR($B44),MONTH($B44),1),РД[Дата подачи на регистрацию],"&lt;"&amp;$B45),'ПП Д5'!I62)</f>
        <v>488.20551948051957</v>
      </c>
      <c r="I44" s="151">
        <f ca="1">IF($B$1&gt;=B45,SUMIFS(РД[Стоимость без отделки итог],РД[Дом],$B$2,РД[Состояние],"Продажа",РД[Дата подачи на регистрацию],"&gt;="&amp;DATE(YEAR($B44),MONTH($B44),1),РД[Дата подачи на регистрацию],"&lt;"&amp;$B45),'ПП Д5'!L62)</f>
        <v>62974801.971733309</v>
      </c>
      <c r="J44" s="47">
        <f t="shared" ca="1" si="6"/>
        <v>128992.40065688388</v>
      </c>
    </row>
    <row r="45" spans="2:21" x14ac:dyDescent="0.25">
      <c r="B45" s="38">
        <v>45992</v>
      </c>
      <c r="C45" s="148">
        <f ca="1">IF($B$1&gt;=$B46,COUNTIFS(РД[Дата подачи на регистрацию],"&gt;="&amp;DATE(YEAR($B45),MONTH($B45),1),РД[Дата подачи на регистрацию],"&lt;"&amp;$B46,РД[Дом],$B$2,РД[Тип кв],C$3,РД[Состояние],"Продажа"),'ПП Д5'!D63)</f>
        <v>0</v>
      </c>
      <c r="D45" s="148">
        <f ca="1">IF($B$1&gt;=$B46,COUNTIFS(РД[Дата подачи на регистрацию],"&gt;="&amp;DATE(YEAR($B45),MONTH($B45),1),РД[Дата подачи на регистрацию],"&lt;"&amp;$B46,РД[Дом],$B$2,РД[Тип кв],D$3,РД[Состояние],"Продажа"),'ПП Д5'!E63)</f>
        <v>2</v>
      </c>
      <c r="E45" s="148">
        <f ca="1">IF($B$1&gt;=$B46,COUNTIFS(РД[Дата подачи на регистрацию],"&gt;="&amp;DATE(YEAR($B45),MONTH($B45),1),РД[Дата подачи на регистрацию],"&lt;"&amp;$B46,РД[Дом],$B$2,РД[Тип кв],E$3,РД[Состояние],"Продажа"),'ПП Д5'!F63)</f>
        <v>2</v>
      </c>
      <c r="F45" s="148">
        <f ca="1">IF($B$1&gt;=$B46,COUNTIFS(РД[Дата подачи на регистрацию],"&gt;="&amp;DATE(YEAR($B45),MONTH($B45),1),РД[Дата подачи на регистрацию],"&lt;"&amp;$B46,РД[Дом],$B$2,РД[Тип кв],F$3,РД[Состояние],"Продажа"),'ПП Д5'!G63)</f>
        <v>1</v>
      </c>
      <c r="G45" s="149">
        <f t="shared" ca="1" si="5"/>
        <v>5</v>
      </c>
      <c r="H45" s="150">
        <f ca="1">IF($B$1&gt;=B46,SUMIFS(РД[S],РД[Дом],$B$2,РД[Состояние],"Продажа",РД[Дата подачи на регистрацию],"&gt;="&amp;DATE(YEAR($B45),MONTH($B45),1),РД[Дата подачи на регистрацию],"&lt;"&amp;$B46),'ПП Д5'!I63)</f>
        <v>282.1448051948052</v>
      </c>
      <c r="I45" s="151">
        <f ca="1">IF($B$1&gt;=B46,SUMIFS(РД[Стоимость без отделки итог],РД[Дом],$B$2,РД[Состояние],"Продажа",РД[Дата подачи на регистрацию],"&gt;="&amp;DATE(YEAR($B45),MONTH($B45),1),РД[Дата подачи на регистрацию],"&lt;"&amp;$B46),'ПП Д5'!L63)</f>
        <v>37426872.246213831</v>
      </c>
      <c r="J45" s="47">
        <f t="shared" ca="1" si="6"/>
        <v>132651.28954039281</v>
      </c>
    </row>
    <row r="46" spans="2:21" x14ac:dyDescent="0.25">
      <c r="B46" s="154" t="s">
        <v>4561</v>
      </c>
      <c r="C46" s="155">
        <f t="shared" ref="C46:I46" ca="1" si="10">SUM(C34:C45)</f>
        <v>11</v>
      </c>
      <c r="D46" s="155">
        <f t="shared" ca="1" si="10"/>
        <v>34</v>
      </c>
      <c r="E46" s="155">
        <f t="shared" ca="1" si="10"/>
        <v>47</v>
      </c>
      <c r="F46" s="155">
        <f t="shared" ca="1" si="10"/>
        <v>19</v>
      </c>
      <c r="G46" s="155">
        <f t="shared" ca="1" si="10"/>
        <v>111</v>
      </c>
      <c r="H46" s="155">
        <f t="shared" ca="1" si="10"/>
        <v>6017.3359893048146</v>
      </c>
      <c r="I46" s="155">
        <f t="shared" ca="1" si="10"/>
        <v>740436218.79283547</v>
      </c>
      <c r="J46" s="156">
        <f ca="1">IFERROR(I46/H46,)</f>
        <v>123050.50276549015</v>
      </c>
    </row>
    <row r="47" spans="2:21" s="245" customFormat="1" x14ac:dyDescent="0.25">
      <c r="B47" s="352"/>
      <c r="C47" s="353"/>
      <c r="D47" s="353"/>
      <c r="E47" s="353"/>
      <c r="F47" s="353"/>
      <c r="G47" s="353"/>
      <c r="H47" s="353"/>
      <c r="I47" s="353"/>
      <c r="J47" s="113"/>
      <c r="U47" s="249"/>
    </row>
    <row r="48" spans="2:21" ht="15.75" x14ac:dyDescent="0.25">
      <c r="B48" s="157" t="s">
        <v>0</v>
      </c>
      <c r="C48" s="158">
        <v>0</v>
      </c>
      <c r="D48" s="159">
        <v>1</v>
      </c>
      <c r="E48" s="159">
        <v>2</v>
      </c>
      <c r="F48" s="159">
        <v>3</v>
      </c>
      <c r="G48" s="160" t="s">
        <v>59</v>
      </c>
      <c r="H48" s="180" t="s">
        <v>51</v>
      </c>
      <c r="I48" s="161" t="s">
        <v>58</v>
      </c>
      <c r="J48" s="161" t="s">
        <v>17</v>
      </c>
    </row>
    <row r="49" spans="2:10" x14ac:dyDescent="0.25">
      <c r="B49" s="38">
        <v>46023</v>
      </c>
      <c r="C49" s="148">
        <f ca="1">IF($B$1&gt;=$B50,COUNTIFS(РД[Дата подачи на регистрацию],"&gt;="&amp;DATE(YEAR($B49),MONTH($B49),1),РД[Дата подачи на регистрацию],"&lt;"&amp;$B50,РД[Дом],$B$2,РД[Тип кв],C$3,РД[Состояние],"Продажа"),'ПП Д5'!D68)</f>
        <v>2</v>
      </c>
      <c r="D49" s="148">
        <f ca="1">IF($B$1&gt;=$B50,COUNTIFS(РД[Дата подачи на регистрацию],"&gt;="&amp;DATE(YEAR($B49),MONTH($B49),1),РД[Дата подачи на регистрацию],"&lt;"&amp;$B50,РД[Дом],$B$2,РД[Тип кв],D$3,РД[Состояние],"Продажа"),'ПП Д5'!E68)</f>
        <v>2</v>
      </c>
      <c r="E49" s="148">
        <f ca="1">IF($B$1&gt;=$B50,COUNTIFS(РД[Дата подачи на регистрацию],"&gt;="&amp;DATE(YEAR($B49),MONTH($B49),1),РД[Дата подачи на регистрацию],"&lt;"&amp;$B50,РД[Дом],$B$2,РД[Тип кв],E$3,РД[Состояние],"Продажа"),'ПП Д5'!F68)</f>
        <v>2</v>
      </c>
      <c r="F49" s="148">
        <f ca="1">IF($B$1&gt;=$B50,COUNTIFS(РД[Дата подачи на регистрацию],"&gt;="&amp;DATE(YEAR($B49),MONTH($B49),1),РД[Дата подачи на регистрацию],"&lt;"&amp;$B50,РД[Дом],$B$2,РД[Тип кв],F$3,РД[Состояние],"Продажа"),'ПП Д5'!G68)</f>
        <v>0</v>
      </c>
      <c r="G49" s="149">
        <f ca="1">SUM(C49:F49)</f>
        <v>6</v>
      </c>
      <c r="H49" s="150">
        <f ca="1">IF($B$1&gt;=B50,SUMIFS(РД[S],РД[Дом],$B$2,РД[Состояние],"Продажа",РД[Дата подачи на регистрацию],"&gt;="&amp;DATE(YEAR($B49),MONTH($B49),1),РД[Дата подачи на регистрацию],"&lt;"&amp;$B50),'ПП Д5'!I68)</f>
        <v>252.27736822001529</v>
      </c>
      <c r="I49" s="151">
        <f ca="1">IF($B$1&gt;=B50,SUMIFS(РД[Стоимость без отделки итог],РД[Дом],$B$2,РД[Состояние],"Продажа",РД[Дата подачи на регистрацию],"&gt;="&amp;DATE(YEAR($B49),MONTH($B49),1),РД[Дата подачи на регистрацию],"&lt;"&amp;$B50),'ПП Д5'!L68)</f>
        <v>35352660.410079375</v>
      </c>
      <c r="J49" s="47">
        <f ca="1">IFERROR(I49/H49,)</f>
        <v>140134.0939122519</v>
      </c>
    </row>
    <row r="50" spans="2:10" x14ac:dyDescent="0.25">
      <c r="B50" s="38">
        <v>46054</v>
      </c>
      <c r="C50" s="148">
        <f ca="1">IF($B$1&gt;=$B51,COUNTIFS(РД[Дата подачи на регистрацию],"&gt;="&amp;DATE(YEAR($B50),MONTH($B50),1),РД[Дата подачи на регистрацию],"&lt;"&amp;$B51,РД[Дом],$B$2,РД[Тип кв],C$3,РД[Состояние],"Продажа"),'ПП Д5'!D69)</f>
        <v>1</v>
      </c>
      <c r="D50" s="148">
        <f ca="1">IF($B$1&gt;=$B51,COUNTIFS(РД[Дата подачи на регистрацию],"&gt;="&amp;DATE(YEAR($B50),MONTH($B50),1),РД[Дата подачи на регистрацию],"&lt;"&amp;$B51,РД[Дом],$B$2,РД[Тип кв],D$3,РД[Состояние],"Продажа"),'ПП Д5'!E69)</f>
        <v>2</v>
      </c>
      <c r="E50" s="148">
        <f ca="1">IF($B$1&gt;=$B51,COUNTIFS(РД[Дата подачи на регистрацию],"&gt;="&amp;DATE(YEAR($B50),MONTH($B50),1),РД[Дата подачи на регистрацию],"&lt;"&amp;$B51,РД[Дом],$B$2,РД[Тип кв],E$3,РД[Состояние],"Продажа"),'ПП Д5'!F69)</f>
        <v>3</v>
      </c>
      <c r="F50" s="148">
        <f ca="1">IF($B$1&gt;=$B51,COUNTIFS(РД[Дата подачи на регистрацию],"&gt;="&amp;DATE(YEAR($B50),MONTH($B50),1),РД[Дата подачи на регистрацию],"&lt;"&amp;$B51,РД[Дом],$B$2,РД[Тип кв],F$3,РД[Состояние],"Продажа"),'ПП Д5'!G69)</f>
        <v>0</v>
      </c>
      <c r="G50" s="149">
        <f t="shared" ref="G50:G60" ca="1" si="11">SUM(C50:F50)</f>
        <v>6</v>
      </c>
      <c r="H50" s="150">
        <f ca="1">IF($B$1&gt;=B51,SUMIFS(РД[S],РД[Дом],$B$2,РД[Состояние],"Продажа",РД[Дата подачи на регистрацию],"&gt;="&amp;DATE(YEAR($B50),MONTH($B50),1),РД[Дата подачи на регистрацию],"&lt;"&amp;$B51),'ПП Д5'!I69)</f>
        <v>289.40930099312459</v>
      </c>
      <c r="I50" s="151">
        <f ca="1">IF($B$1&gt;=B51,SUMIFS(РД[Стоимость без отделки итог],РД[Дом],$B$2,РД[Состояние],"Продажа",РД[Дата подачи на регистрацию],"&gt;="&amp;DATE(YEAR($B50),MONTH($B50),1),РД[Дата подачи на регистрацию],"&lt;"&amp;$B51),'ПП Д5'!L69)</f>
        <v>39404777.129143134</v>
      </c>
      <c r="J50" s="47">
        <f t="shared" ref="J50:J60" ca="1" si="12">IFERROR(I50/H50,)</f>
        <v>136155.87679429576</v>
      </c>
    </row>
    <row r="51" spans="2:10" x14ac:dyDescent="0.25">
      <c r="B51" s="38">
        <v>46082</v>
      </c>
      <c r="C51" s="148">
        <f ca="1">IF($B$1&gt;=$B52,COUNTIFS(РД[Дата подачи на регистрацию],"&gt;="&amp;DATE(YEAR($B51),MONTH($B51),1),РД[Дата подачи на регистрацию],"&lt;"&amp;$B52,РД[Дом],$B$2,РД[Тип кв],C$3,РД[Состояние],"Продажа"),'ПП Д5'!D70)</f>
        <v>1</v>
      </c>
      <c r="D51" s="148">
        <f ca="1">IF($B$1&gt;=$B52,COUNTIFS(РД[Дата подачи на регистрацию],"&gt;="&amp;DATE(YEAR($B51),MONTH($B51),1),РД[Дата подачи на регистрацию],"&lt;"&amp;$B52,РД[Дом],$B$2,РД[Тип кв],D$3,РД[Состояние],"Продажа"),'ПП Д5'!E70)</f>
        <v>4</v>
      </c>
      <c r="E51" s="148">
        <f ca="1">IF($B$1&gt;=$B52,COUNTIFS(РД[Дата подачи на регистрацию],"&gt;="&amp;DATE(YEAR($B51),MONTH($B51),1),РД[Дата подачи на регистрацию],"&lt;"&amp;$B52,РД[Дом],$B$2,РД[Тип кв],E$3,РД[Состояние],"Продажа"),'ПП Д5'!F70)</f>
        <v>5</v>
      </c>
      <c r="F51" s="148">
        <f ca="1">IF($B$1&gt;=$B52,COUNTIFS(РД[Дата подачи на регистрацию],"&gt;="&amp;DATE(YEAR($B51),MONTH($B51),1),РД[Дата подачи на регистрацию],"&lt;"&amp;$B52,РД[Дом],$B$2,РД[Тип кв],F$3,РД[Состояние],"Продажа"),'ПП Д5'!G70)</f>
        <v>0</v>
      </c>
      <c r="G51" s="149">
        <f t="shared" ca="1" si="11"/>
        <v>10</v>
      </c>
      <c r="H51" s="150">
        <f ca="1">IF($B$1&gt;=B52,SUMIFS(РД[S],РД[Дом],$B$2,РД[Состояние],"Продажа",РД[Дата подачи на регистрацию],"&gt;="&amp;DATE(YEAR($B51),MONTH($B51),1),РД[Дата подачи на регистрацию],"&lt;"&amp;$B52),'ПП Д5'!I70)</f>
        <v>490.72196333078688</v>
      </c>
      <c r="I51" s="151">
        <f ca="1">IF($B$1&gt;=B52,SUMIFS(РД[Стоимость без отделки итог],РД[Дом],$B$2,РД[Состояние],"Продажа",РД[Дата подачи на регистрацию],"&gt;="&amp;DATE(YEAR($B51),MONTH($B51),1),РД[Дата подачи на регистрацию],"&lt;"&amp;$B52),'ПП Д5'!L70)</f>
        <v>66763995.30392839</v>
      </c>
      <c r="J51" s="47">
        <f t="shared" ca="1" si="12"/>
        <v>136052.59249202177</v>
      </c>
    </row>
    <row r="52" spans="2:10" x14ac:dyDescent="0.25">
      <c r="B52" s="38">
        <v>46113</v>
      </c>
      <c r="C52" s="148">
        <f ca="1">IF($B$1&gt;=$B53,COUNTIFS(РД[Дата подачи на регистрацию],"&gt;="&amp;DATE(YEAR($B52),MONTH($B52),1),РД[Дата подачи на регистрацию],"&lt;"&amp;$B53,РД[Дом],$B$2,РД[Тип кв],C$3,РД[Состояние],"Продажа"),'ПП Д5'!D71)</f>
        <v>1</v>
      </c>
      <c r="D52" s="148">
        <f ca="1">IF($B$1&gt;=$B53,COUNTIFS(РД[Дата подачи на регистрацию],"&gt;="&amp;DATE(YEAR($B52),MONTH($B52),1),РД[Дата подачи на регистрацию],"&lt;"&amp;$B53,РД[Дом],$B$2,РД[Тип кв],D$3,РД[Состояние],"Продажа"),'ПП Д5'!E71)</f>
        <v>3</v>
      </c>
      <c r="E52" s="148">
        <f ca="1">IF($B$1&gt;=$B53,COUNTIFS(РД[Дата подачи на регистрацию],"&gt;="&amp;DATE(YEAR($B52),MONTH($B52),1),РД[Дата подачи на регистрацию],"&lt;"&amp;$B53,РД[Дом],$B$2,РД[Тип кв],E$3,РД[Состояние],"Продажа"),'ПП Д5'!F71)</f>
        <v>6</v>
      </c>
      <c r="F52" s="148">
        <f ca="1">IF($B$1&gt;=$B53,COUNTIFS(РД[Дата подачи на регистрацию],"&gt;="&amp;DATE(YEAR($B52),MONTH($B52),1),РД[Дата подачи на регистрацию],"&lt;"&amp;$B53,РД[Дом],$B$2,РД[Тип кв],F$3,РД[Состояние],"Продажа"),'ПП Д5'!G71)</f>
        <v>0</v>
      </c>
      <c r="G52" s="149">
        <f t="shared" ca="1" si="11"/>
        <v>10</v>
      </c>
      <c r="H52" s="150">
        <f ca="1">IF($B$1&gt;=B53,SUMIFS(РД[S],РД[Дом],$B$2,РД[Состояние],"Продажа",РД[Дата подачи на регистрацию],"&gt;="&amp;DATE(YEAR($B52),MONTH($B52),1),РД[Дата подачи на регистрацию],"&lt;"&amp;$B53),'ПП Д5'!I71)</f>
        <v>515.2942035905271</v>
      </c>
      <c r="I52" s="151">
        <f ca="1">IF($B$1&gt;=B53,SUMIFS(РД[Стоимость без отделки итог],РД[Дом],$B$2,РД[Состояние],"Продажа",РД[Дата подачи на регистрацию],"&gt;="&amp;DATE(YEAR($B52),MONTH($B52),1),РД[Дата подачи на регистрацию],"&lt;"&amp;$B53),'ПП Д5'!L71)</f>
        <v>69182061.889957383</v>
      </c>
      <c r="J52" s="47">
        <f t="shared" ca="1" si="12"/>
        <v>134257.40364999749</v>
      </c>
    </row>
    <row r="53" spans="2:10" x14ac:dyDescent="0.25">
      <c r="B53" s="38">
        <v>46143</v>
      </c>
      <c r="C53" s="148">
        <f ca="1">IF($B$1&gt;=$B54,COUNTIFS(РД[Дата подачи на регистрацию],"&gt;="&amp;DATE(YEAR($B53),MONTH($B53),1),РД[Дата подачи на регистрацию],"&lt;"&amp;$B54,РД[Дом],$B$2,РД[Тип кв],C$3,РД[Состояние],"Продажа"),'ПП Д5'!D72)</f>
        <v>1</v>
      </c>
      <c r="D53" s="148">
        <f ca="1">IF($B$1&gt;=$B54,COUNTIFS(РД[Дата подачи на регистрацию],"&gt;="&amp;DATE(YEAR($B53),MONTH($B53),1),РД[Дата подачи на регистрацию],"&lt;"&amp;$B54,РД[Дом],$B$2,РД[Тип кв],D$3,РД[Состояние],"Продажа"),'ПП Д5'!E72)</f>
        <v>3</v>
      </c>
      <c r="E53" s="148">
        <f ca="1">IF($B$1&gt;=$B54,COUNTIFS(РД[Дата подачи на регистрацию],"&gt;="&amp;DATE(YEAR($B53),MONTH($B53),1),РД[Дата подачи на регистрацию],"&lt;"&amp;$B54,РД[Дом],$B$2,РД[Тип кв],E$3,РД[Состояние],"Продажа"),'ПП Д5'!F72)</f>
        <v>5</v>
      </c>
      <c r="F53" s="148">
        <f ca="1">IF($B$1&gt;=$B54,COUNTIFS(РД[Дата подачи на регистрацию],"&gt;="&amp;DATE(YEAR($B53),MONTH($B53),1),РД[Дата подачи на регистрацию],"&lt;"&amp;$B54,РД[Дом],$B$2,РД[Тип кв],F$3,РД[Состояние],"Продажа"),'ПП Д5'!G72)</f>
        <v>1</v>
      </c>
      <c r="G53" s="149">
        <f t="shared" ca="1" si="11"/>
        <v>10</v>
      </c>
      <c r="H53" s="150">
        <f ca="1">IF($B$1&gt;=B54,SUMIFS(РД[S],РД[Дом],$B$2,РД[Состояние],"Продажа",РД[Дата подачи на регистрацию],"&gt;="&amp;DATE(YEAR($B53),MONTH($B53),1),РД[Дата подачи на регистрацию],"&lt;"&amp;$B54),'ПП Д5'!I72)</f>
        <v>533.51206073338426</v>
      </c>
      <c r="I53" s="151">
        <f ca="1">IF($B$1&gt;=B54,SUMIFS(РД[Стоимость без отделки итог],РД[Дом],$B$2,РД[Состояние],"Продажа",РД[Дата подачи на регистрацию],"&gt;="&amp;DATE(YEAR($B53),MONTH($B53),1),РД[Дата подачи на регистрацию],"&lt;"&amp;$B54),'ПП Д5'!L72)</f>
        <v>71200878.124675155</v>
      </c>
      <c r="J53" s="47">
        <f t="shared" ca="1" si="12"/>
        <v>133456.92321706831</v>
      </c>
    </row>
    <row r="54" spans="2:10" x14ac:dyDescent="0.25">
      <c r="B54" s="38">
        <v>46174</v>
      </c>
      <c r="C54" s="148">
        <f ca="1">IF($B$1&gt;=$B55,COUNTIFS(РД[Дата подачи на регистрацию],"&gt;="&amp;DATE(YEAR($B54),MONTH($B54),1),РД[Дата подачи на регистрацию],"&lt;"&amp;$B55,РД[Дом],$B$2,РД[Тип кв],C$3,РД[Состояние],"Продажа"),'ПП Д5'!D73)</f>
        <v>1</v>
      </c>
      <c r="D54" s="148">
        <f ca="1">IF($B$1&gt;=$B55,COUNTIFS(РД[Дата подачи на регистрацию],"&gt;="&amp;DATE(YEAR($B54),MONTH($B54),1),РД[Дата подачи на регистрацию],"&lt;"&amp;$B55,РД[Дом],$B$2,РД[Тип кв],D$3,РД[Состояние],"Продажа"),'ПП Д5'!E73)</f>
        <v>2</v>
      </c>
      <c r="E54" s="148">
        <f ca="1">IF($B$1&gt;=$B55,COUNTIFS(РД[Дата подачи на регистрацию],"&gt;="&amp;DATE(YEAR($B54),MONTH($B54),1),РД[Дата подачи на регистрацию],"&lt;"&amp;$B55,РД[Дом],$B$2,РД[Тип кв],E$3,РД[Состояние],"Продажа"),'ПП Д5'!F73)</f>
        <v>3</v>
      </c>
      <c r="F54" s="148">
        <f ca="1">IF($B$1&gt;=$B55,COUNTIFS(РД[Дата подачи на регистрацию],"&gt;="&amp;DATE(YEAR($B54),MONTH($B54),1),РД[Дата подачи на регистрацию],"&lt;"&amp;$B55,РД[Дом],$B$2,РД[Тип кв],F$3,РД[Состояние],"Продажа"),'ПП Д5'!G73)</f>
        <v>1</v>
      </c>
      <c r="G54" s="149">
        <f t="shared" ca="1" si="11"/>
        <v>7</v>
      </c>
      <c r="H54" s="150">
        <f ca="1">IF($B$1&gt;=B55,SUMIFS(РД[S],РД[Дом],$B$2,РД[Состояние],"Продажа",РД[Дата подачи на регистрацию],"&gt;="&amp;DATE(YEAR($B54),MONTH($B54),1),РД[Дата подачи на регистрацию],"&lt;"&amp;$B55),'ПП Д5'!I73)</f>
        <v>370.24144385026744</v>
      </c>
      <c r="I54" s="151">
        <f ca="1">IF($B$1&gt;=B55,SUMIFS(РД[Стоимость без отделки итог],РД[Дом],$B$2,РД[Состояние],"Продажа",РД[Дата подачи на регистрацию],"&gt;="&amp;DATE(YEAR($B54),MONTH($B54),1),РД[Дата подачи на регистрацию],"&lt;"&amp;$B55),'ПП Д5'!L73)</f>
        <v>49472431.200571708</v>
      </c>
      <c r="J54" s="47">
        <f t="shared" ca="1" si="12"/>
        <v>133622.07830136726</v>
      </c>
    </row>
    <row r="55" spans="2:10" x14ac:dyDescent="0.25">
      <c r="B55" s="38">
        <v>46204</v>
      </c>
      <c r="C55" s="148">
        <f ca="1">IF($B$1&gt;=$B56,COUNTIFS(РД[Дата подачи на регистрацию],"&gt;="&amp;DATE(YEAR($B55),MONTH($B55),1),РД[Дата подачи на регистрацию],"&lt;"&amp;$B56,РД[Дом],$B$2,РД[Тип кв],C$3,РД[Состояние],"Продажа"),'ПП Д5'!D74)</f>
        <v>1</v>
      </c>
      <c r="D55" s="148">
        <f ca="1">IF($B$1&gt;=$B56,COUNTIFS(РД[Дата подачи на регистрацию],"&gt;="&amp;DATE(YEAR($B55),MONTH($B55),1),РД[Дата подачи на регистрацию],"&lt;"&amp;$B56,РД[Дом],$B$2,РД[Тип кв],D$3,РД[Состояние],"Продажа"),'ПП Д5'!E74)</f>
        <v>2</v>
      </c>
      <c r="E55" s="148">
        <f ca="1">IF($B$1&gt;=$B56,COUNTIFS(РД[Дата подачи на регистрацию],"&gt;="&amp;DATE(YEAR($B55),MONTH($B55),1),РД[Дата подачи на регистрацию],"&lt;"&amp;$B56,РД[Дом],$B$2,РД[Тип кв],E$3,РД[Состояние],"Продажа"),'ПП Д5'!F74)</f>
        <v>3</v>
      </c>
      <c r="F55" s="148">
        <f ca="1">IF($B$1&gt;=$B56,COUNTIFS(РД[Дата подачи на регистрацию],"&gt;="&amp;DATE(YEAR($B55),MONTH($B55),1),РД[Дата подачи на регистрацию],"&lt;"&amp;$B56,РД[Дом],$B$2,РД[Тип кв],F$3,РД[Состояние],"Продажа"),'ПП Д5'!G74)</f>
        <v>0</v>
      </c>
      <c r="G55" s="149">
        <f t="shared" ca="1" si="11"/>
        <v>6</v>
      </c>
      <c r="H55" s="150">
        <f ca="1">IF($B$1&gt;=B56,SUMIFS(РД[S],РД[Дом],$B$2,РД[Состояние],"Продажа",РД[Дата подачи на регистрацию],"&gt;="&amp;DATE(YEAR($B55),MONTH($B55),1),РД[Дата подачи на регистрацию],"&lt;"&amp;$B56),'ПП Д5'!I74)</f>
        <v>289.40930099312459</v>
      </c>
      <c r="I55" s="151">
        <f ca="1">IF($B$1&gt;=B56,SUMIFS(РД[Стоимость без отделки итог],РД[Дом],$B$2,РД[Состояние],"Продажа",РД[Дата подачи на регистрацию],"&gt;="&amp;DATE(YEAR($B55),MONTH($B55),1),РД[Дата подачи на регистрацию],"&lt;"&amp;$B56),'ПП Д5'!L74)</f>
        <v>39404777.129143134</v>
      </c>
      <c r="J55" s="47">
        <f t="shared" ca="1" si="12"/>
        <v>136155.87679429576</v>
      </c>
    </row>
    <row r="56" spans="2:10" x14ac:dyDescent="0.25">
      <c r="B56" s="38">
        <v>46235</v>
      </c>
      <c r="C56" s="148">
        <f ca="1">IF($B$1&gt;=$B57,COUNTIFS(РД[Дата подачи на регистрацию],"&gt;="&amp;DATE(YEAR($B56),MONTH($B56),1),РД[Дата подачи на регистрацию],"&lt;"&amp;$B57,РД[Дом],$B$2,РД[Тип кв],C$3,РД[Состояние],"Продажа"),'ПП Д5'!D75)</f>
        <v>2</v>
      </c>
      <c r="D56" s="148">
        <f ca="1">IF($B$1&gt;=$B57,COUNTIFS(РД[Дата подачи на регистрацию],"&gt;="&amp;DATE(YEAR($B56),MONTH($B56),1),РД[Дата подачи на регистрацию],"&lt;"&amp;$B57,РД[Дом],$B$2,РД[Тип кв],D$3,РД[Состояние],"Продажа"),'ПП Д5'!E75)</f>
        <v>2</v>
      </c>
      <c r="E56" s="148">
        <f ca="1">IF($B$1&gt;=$B57,COUNTIFS(РД[Дата подачи на регистрацию],"&gt;="&amp;DATE(YEAR($B56),MONTH($B56),1),РД[Дата подачи на регистрацию],"&lt;"&amp;$B57,РД[Дом],$B$2,РД[Тип кв],E$3,РД[Состояние],"Продажа"),'ПП Д5'!F75)</f>
        <v>3</v>
      </c>
      <c r="F56" s="148">
        <f ca="1">IF($B$1&gt;=$B57,COUNTIFS(РД[Дата подачи на регистрацию],"&gt;="&amp;DATE(YEAR($B56),MONTH($B56),1),РД[Дата подачи на регистрацию],"&lt;"&amp;$B57,РД[Дом],$B$2,РД[Тип кв],F$3,РД[Состояние],"Продажа"),'ПП Д5'!G75)</f>
        <v>0</v>
      </c>
      <c r="G56" s="149">
        <f t="shared" ca="1" si="11"/>
        <v>7</v>
      </c>
      <c r="H56" s="150">
        <f ca="1">IF($B$1&gt;=B57,SUMIFS(РД[S],РД[Дом],$B$2,РД[Состояние],"Продажа",РД[Дата подачи на регистрацию],"&gt;="&amp;DATE(YEAR($B56),MONTH($B56),1),РД[Дата подачи на регистрацию],"&lt;"&amp;$B57),'ПП Д5'!I75)</f>
        <v>314.89165393430102</v>
      </c>
      <c r="I56" s="151">
        <f ca="1">IF($B$1&gt;=B57,SUMIFS(РД[Стоимость без отделки итог],РД[Дом],$B$2,РД[Состояние],"Продажа",РД[Дата подачи на регистрацию],"&gt;="&amp;DATE(YEAR($B56),MONTH($B56),1),РД[Дата подачи на регистрацию],"&lt;"&amp;$B57),'ПП Д5'!L75)</f>
        <v>43401498.246790193</v>
      </c>
      <c r="J56" s="47">
        <f t="shared" ca="1" si="12"/>
        <v>137829.9415196488</v>
      </c>
    </row>
    <row r="57" spans="2:10" x14ac:dyDescent="0.25">
      <c r="B57" s="38">
        <v>46266</v>
      </c>
      <c r="C57" s="148">
        <f ca="1">IF($B$1&gt;=$B58,COUNTIFS(РД[Дата подачи на регистрацию],"&gt;="&amp;DATE(YEAR($B57),MONTH($B57),1),РД[Дата подачи на регистрацию],"&lt;"&amp;$B58,РД[Дом],$B$2,РД[Тип кв],C$3,РД[Состояние],"Продажа"),'ПП Д5'!D76)</f>
        <v>1</v>
      </c>
      <c r="D57" s="148">
        <f ca="1">IF($B$1&gt;=$B58,COUNTIFS(РД[Дата подачи на регистрацию],"&gt;="&amp;DATE(YEAR($B57),MONTH($B57),1),РД[Дата подачи на регистрацию],"&lt;"&amp;$B58,РД[Дом],$B$2,РД[Тип кв],D$3,РД[Состояние],"Продажа"),'ПП Д5'!E76)</f>
        <v>3</v>
      </c>
      <c r="E57" s="148">
        <f ca="1">IF($B$1&gt;=$B58,COUNTIFS(РД[Дата подачи на регистрацию],"&gt;="&amp;DATE(YEAR($B57),MONTH($B57),1),РД[Дата подачи на регистрацию],"&lt;"&amp;$B58,РД[Дом],$B$2,РД[Тип кв],E$3,РД[Состояние],"Продажа"),'ПП Д5'!F76)</f>
        <v>4</v>
      </c>
      <c r="F57" s="148">
        <f ca="1">IF($B$1&gt;=$B58,COUNTIFS(РД[Дата подачи на регистрацию],"&gt;="&amp;DATE(YEAR($B57),MONTH($B57),1),РД[Дата подачи на регистрацию],"&lt;"&amp;$B58,РД[Дом],$B$2,РД[Тип кв],F$3,РД[Состояние],"Продажа"),'ПП Д5'!G76)</f>
        <v>1</v>
      </c>
      <c r="G57" s="149">
        <f t="shared" ca="1" si="11"/>
        <v>9</v>
      </c>
      <c r="H57" s="150">
        <f ca="1">IF($B$1&gt;=B58,SUMIFS(РД[S],РД[Дом],$B$2,РД[Состояние],"Продажа",РД[Дата подачи на регистрацию],"&gt;="&amp;DATE(YEAR($B57),MONTH($B57),1),РД[Дата подачи на регистрацию],"&lt;"&amp;$B58),'ПП Д5'!I76)</f>
        <v>470.89777501909856</v>
      </c>
      <c r="I57" s="151">
        <f ca="1">IF($B$1&gt;=B58,SUMIFS(РД[Стоимость без отделки итог],РД[Дом],$B$2,РД[Состояние],"Продажа",РД[Дата подачи на регистрацию],"&gt;="&amp;DATE(YEAR($B57),MONTH($B57),1),РД[Дата подачи на регистрацию],"&lt;"&amp;$B58),'ПП Д5'!L76)</f>
        <v>63152040.287964337</v>
      </c>
      <c r="J57" s="47">
        <f t="shared" ca="1" si="12"/>
        <v>134109.87190458275</v>
      </c>
    </row>
    <row r="58" spans="2:10" x14ac:dyDescent="0.25">
      <c r="B58" s="38">
        <v>46296</v>
      </c>
      <c r="C58" s="148">
        <f ca="1">IF($B$1&gt;=$B59,COUNTIFS(РД[Дата подачи на регистрацию],"&gt;="&amp;DATE(YEAR($B58),MONTH($B58),1),РД[Дата подачи на регистрацию],"&lt;"&amp;$B59,РД[Дом],$B$2,РД[Тип кв],C$3,РД[Состояние],"Продажа"),'ПП Д5'!D77)</f>
        <v>1</v>
      </c>
      <c r="D58" s="148">
        <f ca="1">IF($B$1&gt;=$B59,COUNTIFS(РД[Дата подачи на регистрацию],"&gt;="&amp;DATE(YEAR($B58),MONTH($B58),1),РД[Дата подачи на регистрацию],"&lt;"&amp;$B59,РД[Дом],$B$2,РД[Тип кв],D$3,РД[Состояние],"Продажа"),'ПП Д5'!E77)</f>
        <v>3</v>
      </c>
      <c r="E58" s="148">
        <f ca="1">IF($B$1&gt;=$B59,COUNTIFS(РД[Дата подачи на регистрацию],"&gt;="&amp;DATE(YEAR($B58),MONTH($B58),1),РД[Дата подачи на регистрацию],"&lt;"&amp;$B59,РД[Дом],$B$2,РД[Тип кв],E$3,РД[Состояние],"Продажа"),'ПП Д5'!F77)</f>
        <v>4</v>
      </c>
      <c r="F58" s="148">
        <f ca="1">IF($B$1&gt;=$B59,COUNTIFS(РД[Дата подачи на регистрацию],"&gt;="&amp;DATE(YEAR($B58),MONTH($B58),1),РД[Дата подачи на регистрацию],"&lt;"&amp;$B59,РД[Дом],$B$2,РД[Тип кв],F$3,РД[Состояние],"Продажа"),'ПП Д5'!G77)</f>
        <v>0</v>
      </c>
      <c r="G58" s="149">
        <f t="shared" ca="1" si="11"/>
        <v>8</v>
      </c>
      <c r="H58" s="150">
        <f ca="1">IF($B$1&gt;=B59,SUMIFS(РД[S],РД[Дом],$B$2,РД[Состояние],"Продажа",РД[Дата подачи на регистрацию],"&gt;="&amp;DATE(YEAR($B58),MONTH($B58),1),РД[Дата подачи на регистрацию],"&lt;"&amp;$B59),'ПП Д5'!I77)</f>
        <v>390.0656321619557</v>
      </c>
      <c r="I58" s="151">
        <f ca="1">IF($B$1&gt;=B59,SUMIFS(РД[Стоимость без отделки итог],РД[Дом],$B$2,РД[Состояние],"Продажа",РД[Дата подачи на регистрацию],"&gt;="&amp;DATE(YEAR($B58),MONTH($B58),1),РД[Дата подачи на регистрацию],"&lt;"&amp;$B59),'ПП Д5'!L77)</f>
        <v>53084386.216535762</v>
      </c>
      <c r="J58" s="47">
        <f t="shared" ca="1" si="12"/>
        <v>136090.90839998706</v>
      </c>
    </row>
    <row r="59" spans="2:10" x14ac:dyDescent="0.25">
      <c r="B59" s="38">
        <v>46327</v>
      </c>
      <c r="C59" s="148">
        <f ca="1">IF($B$1&gt;=$B60,COUNTIFS(РД[Дата подачи на регистрацию],"&gt;="&amp;DATE(YEAR($B59),MONTH($B59),1),РД[Дата подачи на регистрацию],"&lt;"&amp;$B60,РД[Дом],$B$2,РД[Тип кв],C$3,РД[Состояние],"Продажа"),'ПП Д5'!D78)</f>
        <v>2</v>
      </c>
      <c r="D59" s="148">
        <f ca="1">IF($B$1&gt;=$B60,COUNTIFS(РД[Дата подачи на регистрацию],"&gt;="&amp;DATE(YEAR($B59),MONTH($B59),1),РД[Дата подачи на регистрацию],"&lt;"&amp;$B60,РД[Дом],$B$2,РД[Тип кв],D$3,РД[Состояние],"Продажа"),'ПП Д5'!E78)</f>
        <v>2</v>
      </c>
      <c r="E59" s="148">
        <f ca="1">IF($B$1&gt;=$B60,COUNTIFS(РД[Дата подачи на регистрацию],"&gt;="&amp;DATE(YEAR($B59),MONTH($B59),1),РД[Дата подачи на регистрацию],"&lt;"&amp;$B60,РД[Дом],$B$2,РД[Тип кв],E$3,РД[Состояние],"Продажа"),'ПП Д5'!F78)</f>
        <v>3</v>
      </c>
      <c r="F59" s="148">
        <f ca="1">IF($B$1&gt;=$B60,COUNTIFS(РД[Дата подачи на регистрацию],"&gt;="&amp;DATE(YEAR($B59),MONTH($B59),1),РД[Дата подачи на регистрацию],"&lt;"&amp;$B60,РД[Дом],$B$2,РД[Тип кв],F$3,РД[Состояние],"Продажа"),'ПП Д5'!G78)</f>
        <v>0</v>
      </c>
      <c r="G59" s="149">
        <f t="shared" ca="1" si="11"/>
        <v>7</v>
      </c>
      <c r="H59" s="150">
        <f ca="1">IF($B$1&gt;=B60,SUMIFS(РД[S],РД[Дом],$B$2,РД[Состояние],"Продажа",РД[Дата подачи на регистрацию],"&gt;="&amp;DATE(YEAR($B59),MONTH($B59),1),РД[Дата подачи на регистрацию],"&lt;"&amp;$B60),'ПП Д5'!I78)</f>
        <v>314.89165393430102</v>
      </c>
      <c r="I59" s="151">
        <f ca="1">IF($B$1&gt;=B60,SUMIFS(РД[Стоимость без отделки итог],РД[Дом],$B$2,РД[Состояние],"Продажа",РД[Дата подачи на регистрацию],"&gt;="&amp;DATE(YEAR($B59),MONTH($B59),1),РД[Дата подачи на регистрацию],"&lt;"&amp;$B60),'ПП Д5'!L78)</f>
        <v>43401498.246790193</v>
      </c>
      <c r="J59" s="47">
        <f t="shared" ca="1" si="12"/>
        <v>137829.9415196488</v>
      </c>
    </row>
    <row r="60" spans="2:10" x14ac:dyDescent="0.25">
      <c r="B60" s="38">
        <v>46357</v>
      </c>
      <c r="C60" s="148">
        <f ca="1">IF($B$1&gt;=$B61,COUNTIFS(РД[Дата подачи на регистрацию],"&gt;="&amp;DATE(YEAR($B60),MONTH($B60),1),РД[Дата подачи на регистрацию],"&lt;"&amp;$B61,РД[Дом],$B$2,РД[Тип кв],C$3,РД[Состояние],"Продажа"),'ПП Д5'!D79)</f>
        <v>2</v>
      </c>
      <c r="D60" s="148">
        <f ca="1">IF($B$1&gt;=$B61,COUNTIFS(РД[Дата подачи на регистрацию],"&gt;="&amp;DATE(YEAR($B60),MONTH($B60),1),РД[Дата подачи на регистрацию],"&lt;"&amp;$B61,РД[Дом],$B$2,РД[Тип кв],D$3,РД[Состояние],"Продажа"),'ПП Д5'!E79)</f>
        <v>2</v>
      </c>
      <c r="E60" s="148">
        <f ca="1">IF($B$1&gt;=$B61,COUNTIFS(РД[Дата подачи на регистрацию],"&gt;="&amp;DATE(YEAR($B60),MONTH($B60),1),РД[Дата подачи на регистрацию],"&lt;"&amp;$B61,РД[Дом],$B$2,РД[Тип кв],E$3,РД[Состояние],"Продажа"),'ПП Д5'!F79)</f>
        <v>3</v>
      </c>
      <c r="F60" s="148">
        <f ca="1">IF($B$1&gt;=$B61,COUNTIFS(РД[Дата подачи на регистрацию],"&gt;="&amp;DATE(YEAR($B60),MONTH($B60),1),РД[Дата подачи на регистрацию],"&lt;"&amp;$B61,РД[Дом],$B$2,РД[Тип кв],F$3,РД[Состояние],"Продажа"),'ПП Д5'!G79)</f>
        <v>0</v>
      </c>
      <c r="G60" s="149">
        <f t="shared" ca="1" si="11"/>
        <v>7</v>
      </c>
      <c r="H60" s="150">
        <f ca="1">IF($B$1&gt;=B61,SUMIFS(РД[S],РД[Дом],$B$2,РД[Состояние],"Продажа",РД[Дата подачи на регистрацию],"&gt;="&amp;DATE(YEAR($B60),MONTH($B60),1),РД[Дата подачи на регистрацию],"&lt;"&amp;$B61),'ПП Д5'!I79)</f>
        <v>314.89165393430102</v>
      </c>
      <c r="I60" s="151">
        <f ca="1">IF($B$1&gt;=B61,SUMIFS(РД[Стоимость без отделки итог],РД[Дом],$B$2,РД[Состояние],"Продажа",РД[Дата подачи на регистрацию],"&gt;="&amp;DATE(YEAR($B60),MONTH($B60),1),РД[Дата подачи на регистрацию],"&lt;"&amp;$B61),'ПП Д5'!L79)</f>
        <v>43401498.246790193</v>
      </c>
      <c r="J60" s="47">
        <f t="shared" ca="1" si="12"/>
        <v>137829.9415196488</v>
      </c>
    </row>
    <row r="61" spans="2:10" x14ac:dyDescent="0.25">
      <c r="B61" s="154" t="s">
        <v>4890</v>
      </c>
      <c r="C61" s="155">
        <f t="shared" ref="C61:I61" ca="1" si="13">SUM(C49:C60)</f>
        <v>16</v>
      </c>
      <c r="D61" s="155">
        <f t="shared" ca="1" si="13"/>
        <v>30</v>
      </c>
      <c r="E61" s="155">
        <f t="shared" ca="1" si="13"/>
        <v>44</v>
      </c>
      <c r="F61" s="155">
        <f t="shared" ca="1" si="13"/>
        <v>3</v>
      </c>
      <c r="G61" s="155">
        <f t="shared" ca="1" si="13"/>
        <v>93</v>
      </c>
      <c r="H61" s="155">
        <f t="shared" ca="1" si="13"/>
        <v>4546.5040106951874</v>
      </c>
      <c r="I61" s="155">
        <f t="shared" ca="1" si="13"/>
        <v>617222502.43236887</v>
      </c>
      <c r="J61" s="156">
        <f ca="1">IFERROR(I61/H61,)</f>
        <v>135757.60649950287</v>
      </c>
    </row>
    <row r="62" spans="2:10" ht="15.75" thickBot="1" x14ac:dyDescent="0.3">
      <c r="C62" s="34"/>
      <c r="D62" s="34"/>
      <c r="E62" s="34"/>
      <c r="F62" s="34"/>
      <c r="G62" s="34"/>
      <c r="H62" s="32"/>
      <c r="I62" s="32"/>
      <c r="J62" s="32"/>
    </row>
    <row r="63" spans="2:10" ht="15.75" x14ac:dyDescent="0.25">
      <c r="B63" s="162" t="s">
        <v>0</v>
      </c>
      <c r="C63" s="163">
        <v>0</v>
      </c>
      <c r="D63" s="164">
        <v>1</v>
      </c>
      <c r="E63" s="164">
        <v>2</v>
      </c>
      <c r="F63" s="164">
        <v>3</v>
      </c>
      <c r="G63" s="165" t="s">
        <v>59</v>
      </c>
      <c r="H63" s="166" t="s">
        <v>51</v>
      </c>
      <c r="I63" s="166" t="s">
        <v>58</v>
      </c>
      <c r="J63" s="167" t="s">
        <v>17</v>
      </c>
    </row>
    <row r="64" spans="2:10" ht="15.75" thickBot="1" x14ac:dyDescent="0.3">
      <c r="B64" s="168" t="s">
        <v>61</v>
      </c>
      <c r="C64" s="169">
        <f t="shared" ref="C64:I64" ca="1" si="14">C31+C16+C46+C61</f>
        <v>88</v>
      </c>
      <c r="D64" s="169">
        <f t="shared" ca="1" si="14"/>
        <v>200</v>
      </c>
      <c r="E64" s="169">
        <f t="shared" ca="1" si="14"/>
        <v>229</v>
      </c>
      <c r="F64" s="169">
        <f t="shared" ca="1" si="14"/>
        <v>63</v>
      </c>
      <c r="G64" s="169">
        <f t="shared" ca="1" si="14"/>
        <v>580</v>
      </c>
      <c r="H64" s="197">
        <f t="shared" ca="1" si="14"/>
        <v>29148.79</v>
      </c>
      <c r="I64" s="170">
        <f t="shared" ca="1" si="14"/>
        <v>3174198065.0825043</v>
      </c>
      <c r="J64" s="171">
        <f ca="1">I64/H64</f>
        <v>108896.39210006673</v>
      </c>
    </row>
    <row r="65" spans="3:6" x14ac:dyDescent="0.25">
      <c r="C65" s="198"/>
      <c r="D65" s="198"/>
      <c r="E65" s="198"/>
      <c r="F65" s="198"/>
    </row>
  </sheetData>
  <sheetProtection formatCells="0" formatColumns="0" formatRows="0"/>
  <mergeCells count="1">
    <mergeCell ref="M32:U32"/>
  </mergeCells>
  <conditionalFormatting sqref="S34:S37 S39:S40">
    <cfRule type="colorScale" priority="4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S41">
    <cfRule type="colorScale" priority="1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2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5">
    <tabColor theme="9" tint="-0.249977111117893"/>
    <pageSetUpPr fitToPage="1"/>
  </sheetPr>
  <dimension ref="B1:T65"/>
  <sheetViews>
    <sheetView workbookViewId="0">
      <selection activeCell="B55" sqref="B55:J55"/>
    </sheetView>
  </sheetViews>
  <sheetFormatPr defaultRowHeight="15" x14ac:dyDescent="0.25"/>
  <cols>
    <col min="1" max="1" width="2.85546875" customWidth="1"/>
    <col min="2" max="2" width="14.140625" bestFit="1" customWidth="1"/>
    <col min="3" max="3" width="10.140625" bestFit="1" customWidth="1"/>
    <col min="4" max="6" width="13.85546875" bestFit="1" customWidth="1"/>
    <col min="7" max="7" width="6.7109375" bestFit="1" customWidth="1"/>
    <col min="8" max="8" width="10.85546875" style="11" bestFit="1" customWidth="1"/>
    <col min="9" max="9" width="15.7109375" style="11" bestFit="1" customWidth="1"/>
    <col min="10" max="10" width="12.140625" style="11" bestFit="1" customWidth="1"/>
    <col min="11" max="11" width="13.28515625" bestFit="1" customWidth="1"/>
    <col min="12" max="12" width="13.85546875" bestFit="1" customWidth="1"/>
    <col min="13" max="13" width="13.28515625" bestFit="1" customWidth="1"/>
    <col min="14" max="14" width="6.5703125" bestFit="1" customWidth="1"/>
    <col min="15" max="15" width="11.5703125" bestFit="1" customWidth="1"/>
    <col min="16" max="17" width="11" bestFit="1" customWidth="1"/>
    <col min="18" max="18" width="10.28515625" bestFit="1" customWidth="1"/>
    <col min="19" max="19" width="18.7109375" bestFit="1" customWidth="1"/>
    <col min="20" max="20" width="3.28515625" bestFit="1" customWidth="1"/>
  </cols>
  <sheetData>
    <row r="1" spans="2:18" x14ac:dyDescent="0.25">
      <c r="B1" s="394">
        <f ca="1">TODAY()</f>
        <v>45891</v>
      </c>
    </row>
    <row r="2" spans="2:18" x14ac:dyDescent="0.25">
      <c r="B2" s="110" t="s">
        <v>91</v>
      </c>
    </row>
    <row r="3" spans="2:18" s="26" customFormat="1" ht="15.75" x14ac:dyDescent="0.25">
      <c r="B3" s="157" t="s">
        <v>0</v>
      </c>
      <c r="C3" s="158">
        <v>0</v>
      </c>
      <c r="D3" s="159">
        <v>1</v>
      </c>
      <c r="E3" s="159">
        <v>2</v>
      </c>
      <c r="F3" s="159">
        <v>3</v>
      </c>
      <c r="G3" s="160" t="s">
        <v>59</v>
      </c>
      <c r="H3" s="161" t="s">
        <v>51</v>
      </c>
      <c r="I3" s="161" t="s">
        <v>58</v>
      </c>
      <c r="J3" s="161" t="s">
        <v>17</v>
      </c>
    </row>
    <row r="4" spans="2:18" hidden="1" x14ac:dyDescent="0.25">
      <c r="B4" s="38">
        <v>44562</v>
      </c>
      <c r="C4" s="148">
        <f ca="1">IF(TODAY()&gt;=$B5,COUNTIFS(РД[Дата подачи на регистрацию],"&gt;="&amp;DATE(YEAR($B4),MONTH($B4),1),РД[Дата подачи на регистрацию],"&lt;"&amp;$B5,РД[Дом],$B$2,РД[Тип кв],C$3,РД[Состояние],"&lt;&gt;расторгнут"),'ПП Д4'!D18)</f>
        <v>0</v>
      </c>
      <c r="D4" s="148">
        <f ca="1">IF(TODAY()&gt;=$B5,COUNTIFS(РД[Дата подачи на регистрацию],"&gt;="&amp;DATE(YEAR($B4),MONTH($B4),1),РД[Дата подачи на регистрацию],"&lt;"&amp;$B5,РД[Дом],$B$2,РД[Тип кв],D$3,РД[Состояние],"&lt;&gt;расторгнут"),'ПП Д4'!E18)</f>
        <v>0</v>
      </c>
      <c r="E4" s="148">
        <f ca="1">IF(TODAY()&gt;=$B5,COUNTIFS(РД[Дата подачи на регистрацию],"&gt;="&amp;DATE(YEAR($B4),MONTH($B4),1),РД[Дата подачи на регистрацию],"&lt;"&amp;$B5,РД[Дом],$B$2,РД[Тип кв],E$3,РД[Состояние],"&lt;&gt;расторгнут"),'ПП Д4'!F18)</f>
        <v>0</v>
      </c>
      <c r="F4" s="148">
        <f ca="1">IF(TODAY()&gt;=$B5,COUNTIFS(РД[Дата подачи на регистрацию],"&gt;="&amp;DATE(YEAR($B4),MONTH($B4),1),РД[Дата подачи на регистрацию],"&lt;"&amp;$B5,РД[Дом],$B$2,РД[Тип кв],F$3,РД[Состояние],"&lt;&gt;расторгнут"),'ПП Д4'!G18)</f>
        <v>0</v>
      </c>
      <c r="G4" s="149">
        <f t="shared" ref="G4:G15" ca="1" si="0">SUM(C4:F4)</f>
        <v>0</v>
      </c>
      <c r="H4" s="150">
        <f ca="1">IF(TODAY()&gt;=B4,SUMIFS(РД[S],РД[Дом],$B$2,РД[Состояние],"&lt;&gt;расторгнут",РД[Дата подачи на регистрацию],"&gt;="&amp;DATE(YEAR($B4),MONTH($B4),1),РД[Дата подачи на регистрацию],"&lt;"&amp;$B5),'ПП Д4'!I18)</f>
        <v>0</v>
      </c>
      <c r="I4" s="151">
        <f ca="1">IF(TODAY()&gt;=B4,SUMIFS(РД[Стоимость без отделки итог],РД[Дом],$B$2,РД[Состояние],"&lt;&gt;расторгнут",РД[Дата подачи на регистрацию],"&gt;="&amp;DATE(YEAR($B4),MONTH($B4),1),РД[Дата подачи на регистрацию],"&lt;"&amp;$B5),'ПП Д4'!L18)</f>
        <v>0</v>
      </c>
      <c r="J4" s="47">
        <f t="shared" ref="J4:J15" ca="1" si="1">IFERROR(I4/H4,)</f>
        <v>0</v>
      </c>
    </row>
    <row r="5" spans="2:18" hidden="1" x14ac:dyDescent="0.25">
      <c r="B5" s="38">
        <v>44593</v>
      </c>
      <c r="C5" s="148">
        <f ca="1">IF(TODAY()&gt;=$B6,COUNTIFS(РД[Дата подачи на регистрацию],"&gt;="&amp;DATE(YEAR($B5),MONTH($B5),1),РД[Дата подачи на регистрацию],"&lt;"&amp;$B6,РД[Дом],$B$2,РД[Тип кв],C$3,РД[Состояние],"&lt;&gt;расторгнут"),'ПП Д4'!D19)</f>
        <v>0</v>
      </c>
      <c r="D5" s="148">
        <f ca="1">IF(TODAY()&gt;=$B6,COUNTIFS(РД[Дата подачи на регистрацию],"&gt;="&amp;DATE(YEAR($B5),MONTH($B5),1),РД[Дата подачи на регистрацию],"&lt;"&amp;$B6,РД[Дом],$B$2,РД[Тип кв],D$3,РД[Состояние],"&lt;&gt;расторгнут"),'ПП Д4'!E19)</f>
        <v>0</v>
      </c>
      <c r="E5" s="148">
        <f ca="1">IF(TODAY()&gt;=$B6,COUNTIFS(РД[Дата подачи на регистрацию],"&gt;="&amp;DATE(YEAR($B5),MONTH($B5),1),РД[Дата подачи на регистрацию],"&lt;"&amp;$B6,РД[Дом],$B$2,РД[Тип кв],E$3,РД[Состояние],"&lt;&gt;расторгнут"),'ПП Д4'!F19)</f>
        <v>0</v>
      </c>
      <c r="F5" s="148">
        <f ca="1">IF(TODAY()&gt;=$B6,COUNTIFS(РД[Дата подачи на регистрацию],"&gt;="&amp;DATE(YEAR($B5),MONTH($B5),1),РД[Дата подачи на регистрацию],"&lt;"&amp;$B6,РД[Дом],$B$2,РД[Тип кв],F$3,РД[Состояние],"&lt;&gt;расторгнут"),'ПП Д4'!G19)</f>
        <v>0</v>
      </c>
      <c r="G5" s="149">
        <f t="shared" ca="1" si="0"/>
        <v>0</v>
      </c>
      <c r="H5" s="150">
        <f ca="1">IF(TODAY()&gt;=B5,SUMIFS(РД[S],РД[Дом],$B$2,РД[Состояние],"&lt;&gt;расторгнут",РД[Дата подачи на регистрацию],"&gt;="&amp;DATE(YEAR($B5),MONTH($B5),1),РД[Дата подачи на регистрацию],"&lt;"&amp;$B6),'ПП Д4'!I19)</f>
        <v>0</v>
      </c>
      <c r="I5" s="151">
        <f ca="1">IF(TODAY()&gt;=B5,SUMIFS(РД[Стоимость без отделки итог],РД[Дом],$B$2,РД[Состояние],"&lt;&gt;расторгнут",РД[Дата подачи на регистрацию],"&gt;="&amp;DATE(YEAR($B5),MONTH($B5),1),РД[Дата подачи на регистрацию],"&lt;"&amp;$B6),'ПП Д4'!L19)</f>
        <v>0</v>
      </c>
      <c r="J5" s="47">
        <f t="shared" ca="1" si="1"/>
        <v>0</v>
      </c>
    </row>
    <row r="6" spans="2:18" hidden="1" x14ac:dyDescent="0.25">
      <c r="B6" s="38">
        <v>44621</v>
      </c>
      <c r="C6" s="148">
        <f ca="1">IF(TODAY()&gt;=$B7,COUNTIFS(РД[Дата подачи на регистрацию],"&gt;="&amp;DATE(YEAR($B6),MONTH($B6),1),РД[Дата подачи на регистрацию],"&lt;"&amp;$B7,РД[Дом],$B$2,РД[Тип кв],C$3,РД[Состояние],"&lt;&gt;расторгнут"),'ПП Д4'!D20)</f>
        <v>0</v>
      </c>
      <c r="D6" s="148">
        <f ca="1">IF(TODAY()&gt;=$B7,COUNTIFS(РД[Дата подачи на регистрацию],"&gt;="&amp;DATE(YEAR($B6),MONTH($B6),1),РД[Дата подачи на регистрацию],"&lt;"&amp;$B7,РД[Дом],$B$2,РД[Тип кв],D$3,РД[Состояние],"&lt;&gt;расторгнут"),'ПП Д4'!E20)</f>
        <v>0</v>
      </c>
      <c r="E6" s="148">
        <f ca="1">IF(TODAY()&gt;=$B7,COUNTIFS(РД[Дата подачи на регистрацию],"&gt;="&amp;DATE(YEAR($B6),MONTH($B6),1),РД[Дата подачи на регистрацию],"&lt;"&amp;$B7,РД[Дом],$B$2,РД[Тип кв],E$3,РД[Состояние],"&lt;&gt;расторгнут"),'ПП Д4'!F20)</f>
        <v>0</v>
      </c>
      <c r="F6" s="148">
        <f ca="1">IF(TODAY()&gt;=$B7,COUNTIFS(РД[Дата подачи на регистрацию],"&gt;="&amp;DATE(YEAR($B6),MONTH($B6),1),РД[Дата подачи на регистрацию],"&lt;"&amp;$B7,РД[Дом],$B$2,РД[Тип кв],F$3,РД[Состояние],"&lt;&gt;расторгнут"),'ПП Д4'!G20)</f>
        <v>0</v>
      </c>
      <c r="G6" s="149">
        <f t="shared" ca="1" si="0"/>
        <v>0</v>
      </c>
      <c r="H6" s="150">
        <f ca="1">IF(TODAY()&gt;=B6,SUMIFS(РД[S],РД[Дом],$B$2,РД[Состояние],"&lt;&gt;расторгнут",РД[Дата подачи на регистрацию],"&gt;="&amp;DATE(YEAR($B6),MONTH($B6),1),РД[Дата подачи на регистрацию],"&lt;"&amp;$B7),'ПП Д4'!I20)</f>
        <v>0</v>
      </c>
      <c r="I6" s="151">
        <f ca="1">IF(TODAY()&gt;=B6,SUMIFS(РД[Стоимость без отделки итог],РД[Дом],$B$2,РД[Состояние],"&lt;&gt;расторгнут",РД[Дата подачи на регистрацию],"&gt;="&amp;DATE(YEAR($B6),MONTH($B6),1),РД[Дата подачи на регистрацию],"&lt;"&amp;$B7),'ПП Д4'!L20)</f>
        <v>0</v>
      </c>
      <c r="J6" s="47">
        <f t="shared" ca="1" si="1"/>
        <v>0</v>
      </c>
    </row>
    <row r="7" spans="2:18" hidden="1" x14ac:dyDescent="0.25">
      <c r="B7" s="38">
        <v>44652</v>
      </c>
      <c r="C7" s="148">
        <f ca="1">IF(TODAY()&gt;=$B8,COUNTIFS(РД[Дата подачи на регистрацию],"&gt;="&amp;DATE(YEAR($B7),MONTH($B7),1),РД[Дата подачи на регистрацию],"&lt;"&amp;$B8,РД[Дом],$B$2,РД[Тип кв],C$3,РД[Состояние],"&lt;&gt;расторгнут"),'ПП Д4'!D21)</f>
        <v>0</v>
      </c>
      <c r="D7" s="148">
        <f ca="1">IF(TODAY()&gt;=$B8,COUNTIFS(РД[Дата подачи на регистрацию],"&gt;="&amp;DATE(YEAR($B7),MONTH($B7),1),РД[Дата подачи на регистрацию],"&lt;"&amp;$B8,РД[Дом],$B$2,РД[Тип кв],D$3,РД[Состояние],"&lt;&gt;расторгнут"),'ПП Д4'!E21)</f>
        <v>0</v>
      </c>
      <c r="E7" s="148">
        <f ca="1">IF(TODAY()&gt;=$B8,COUNTIFS(РД[Дата подачи на регистрацию],"&gt;="&amp;DATE(YEAR($B7),MONTH($B7),1),РД[Дата подачи на регистрацию],"&lt;"&amp;$B8,РД[Дом],$B$2,РД[Тип кв],E$3,РД[Состояние],"&lt;&gt;расторгнут"),'ПП Д4'!F21)</f>
        <v>0</v>
      </c>
      <c r="F7" s="148">
        <f ca="1">IF(TODAY()&gt;=$B8,COUNTIFS(РД[Дата подачи на регистрацию],"&gt;="&amp;DATE(YEAR($B7),MONTH($B7),1),РД[Дата подачи на регистрацию],"&lt;"&amp;$B8,РД[Дом],$B$2,РД[Тип кв],F$3,РД[Состояние],"&lt;&gt;расторгнут"),'ПП Д4'!G21)</f>
        <v>0</v>
      </c>
      <c r="G7" s="149">
        <f t="shared" ca="1" si="0"/>
        <v>0</v>
      </c>
      <c r="H7" s="150">
        <f ca="1">IF(TODAY()&gt;=B7,SUMIFS(РД[S],РД[Дом],$B$2,РД[Состояние],"&lt;&gt;расторгнут",РД[Дата подачи на регистрацию],"&gt;="&amp;DATE(YEAR($B7),MONTH($B7),1),РД[Дата подачи на регистрацию],"&lt;"&amp;$B8),'ПП Д4'!I21)</f>
        <v>0</v>
      </c>
      <c r="I7" s="151">
        <f ca="1">IF(TODAY()&gt;=B7,SUMIFS(РД[Стоимость без отделки итог],РД[Дом],$B$2,РД[Состояние],"&lt;&gt;расторгнут",РД[Дата подачи на регистрацию],"&gt;="&amp;DATE(YEAR($B7),MONTH($B7),1),РД[Дата подачи на регистрацию],"&lt;"&amp;$B8),'ПП Д4'!L21)</f>
        <v>0</v>
      </c>
      <c r="J7" s="47">
        <f t="shared" ca="1" si="1"/>
        <v>0</v>
      </c>
    </row>
    <row r="8" spans="2:18" hidden="1" x14ac:dyDescent="0.25">
      <c r="B8" s="38">
        <v>44682</v>
      </c>
      <c r="C8" s="148">
        <f ca="1">IF(TODAY()&gt;=$B9,COUNTIFS(РД[Дата подачи на регистрацию],"&gt;="&amp;DATE(YEAR($B8),MONTH($B8),1),РД[Дата подачи на регистрацию],"&lt;"&amp;$B9,РД[Дом],$B$2,РД[Тип кв],C$3,РД[Состояние],"&lt;&gt;расторгнут"),'ПП Д4'!D22)</f>
        <v>0</v>
      </c>
      <c r="D8" s="148">
        <f ca="1">IF(TODAY()&gt;=$B9,COUNTIFS(РД[Дата подачи на регистрацию],"&gt;="&amp;DATE(YEAR($B8),MONTH($B8),1),РД[Дата подачи на регистрацию],"&lt;"&amp;$B9,РД[Дом],$B$2,РД[Тип кв],D$3,РД[Состояние],"&lt;&gt;расторгнут"),'ПП Д4'!E22)</f>
        <v>0</v>
      </c>
      <c r="E8" s="148">
        <f ca="1">IF(TODAY()&gt;=$B9,COUNTIFS(РД[Дата подачи на регистрацию],"&gt;="&amp;DATE(YEAR($B8),MONTH($B8),1),РД[Дата подачи на регистрацию],"&lt;"&amp;$B9,РД[Дом],$B$2,РД[Тип кв],E$3,РД[Состояние],"&lt;&gt;расторгнут"),'ПП Д4'!F22)</f>
        <v>0</v>
      </c>
      <c r="F8" s="148">
        <f ca="1">IF(TODAY()&gt;=$B9,COUNTIFS(РД[Дата подачи на регистрацию],"&gt;="&amp;DATE(YEAR($B8),MONTH($B8),1),РД[Дата подачи на регистрацию],"&lt;"&amp;$B9,РД[Дом],$B$2,РД[Тип кв],F$3,РД[Состояние],"&lt;&gt;расторгнут"),'ПП Д4'!G22)</f>
        <v>0</v>
      </c>
      <c r="G8" s="149">
        <f t="shared" ca="1" si="0"/>
        <v>0</v>
      </c>
      <c r="H8" s="150">
        <f ca="1">IF(TODAY()&gt;=B8,SUMIFS(РД[S],РД[Дом],$B$2,РД[Состояние],"&lt;&gt;расторгнут",РД[Дата подачи на регистрацию],"&gt;="&amp;DATE(YEAR($B8),MONTH($B8),1),РД[Дата подачи на регистрацию],"&lt;"&amp;$B9),'ПП Д4'!I22)</f>
        <v>0</v>
      </c>
      <c r="I8" s="151">
        <f ca="1">IF(TODAY()&gt;=B8,SUMIFS(РД[Стоимость без отделки итог],РД[Дом],$B$2,РД[Состояние],"&lt;&gt;расторгнут",РД[Дата подачи на регистрацию],"&gt;="&amp;DATE(YEAR($B8),MONTH($B8),1),РД[Дата подачи на регистрацию],"&lt;"&amp;$B9),'ПП Д4'!L22)</f>
        <v>0</v>
      </c>
      <c r="J8" s="47">
        <f t="shared" ca="1" si="1"/>
        <v>0</v>
      </c>
    </row>
    <row r="9" spans="2:18" hidden="1" x14ac:dyDescent="0.25">
      <c r="B9" s="38">
        <v>44713</v>
      </c>
      <c r="C9" s="148">
        <f ca="1">IF(TODAY()&gt;=$B10,COUNTIFS(РД[Дата подачи на регистрацию],"&gt;="&amp;DATE(YEAR($B9),MONTH($B9),1),РД[Дата подачи на регистрацию],"&lt;"&amp;$B10,РД[Дом],$B$2,РД[Тип кв],C$3,РД[Состояние],"&lt;&gt;расторгнут"),'ПП Д4'!D23)</f>
        <v>0</v>
      </c>
      <c r="D9" s="148">
        <f ca="1">IF(TODAY()&gt;=$B10,COUNTIFS(РД[Дата подачи на регистрацию],"&gt;="&amp;DATE(YEAR($B9),MONTH($B9),1),РД[Дата подачи на регистрацию],"&lt;"&amp;$B10,РД[Дом],$B$2,РД[Тип кв],D$3,РД[Состояние],"&lt;&gt;расторгнут"),'ПП Д4'!E23)</f>
        <v>0</v>
      </c>
      <c r="E9" s="148">
        <f ca="1">IF(TODAY()&gt;=$B10,COUNTIFS(РД[Дата подачи на регистрацию],"&gt;="&amp;DATE(YEAR($B9),MONTH($B9),1),РД[Дата подачи на регистрацию],"&lt;"&amp;$B10,РД[Дом],$B$2,РД[Тип кв],E$3,РД[Состояние],"&lt;&gt;расторгнут"),'ПП Д4'!F23)</f>
        <v>0</v>
      </c>
      <c r="F9" s="148">
        <f ca="1">IF(TODAY()&gt;=$B10,COUNTIFS(РД[Дата подачи на регистрацию],"&gt;="&amp;DATE(YEAR($B9),MONTH($B9),1),РД[Дата подачи на регистрацию],"&lt;"&amp;$B10,РД[Дом],$B$2,РД[Тип кв],F$3,РД[Состояние],"&lt;&gt;расторгнут"),'ПП Д4'!G23)</f>
        <v>0</v>
      </c>
      <c r="G9" s="149">
        <f t="shared" ca="1" si="0"/>
        <v>0</v>
      </c>
      <c r="H9" s="150">
        <f ca="1">IF(TODAY()&gt;=B9,SUMIFS(РД[S],РД[Дом],$B$2,РД[Состояние],"&lt;&gt;расторгнут",РД[Дата подачи на регистрацию],"&gt;="&amp;DATE(YEAR($B9),MONTH($B9),1),РД[Дата подачи на регистрацию],"&lt;"&amp;$B10),'ПП Д4'!I23)</f>
        <v>0</v>
      </c>
      <c r="I9" s="151">
        <f ca="1">IF(TODAY()&gt;=B9,SUMIFS(РД[Стоимость без отделки итог],РД[Дом],$B$2,РД[Состояние],"&lt;&gt;расторгнут",РД[Дата подачи на регистрацию],"&gt;="&amp;DATE(YEAR($B9),MONTH($B9),1),РД[Дата подачи на регистрацию],"&lt;"&amp;$B10),'ПП Д4'!L23)</f>
        <v>0</v>
      </c>
      <c r="J9" s="47">
        <f t="shared" ca="1" si="1"/>
        <v>0</v>
      </c>
    </row>
    <row r="10" spans="2:18" hidden="1" x14ac:dyDescent="0.25">
      <c r="B10" s="38">
        <v>44743</v>
      </c>
      <c r="C10" s="148">
        <f ca="1">IF(TODAY()&gt;=$B11,COUNTIFS(РД[Дата подачи на регистрацию],"&gt;="&amp;DATE(YEAR($B10),MONTH($B10),1),РД[Дата подачи на регистрацию],"&lt;"&amp;$B11,РД[Дом],$B$2,РД[Тип кв],C$3,РД[Состояние],"&lt;&gt;расторгнут"),'ПП Д4'!D24)</f>
        <v>0</v>
      </c>
      <c r="D10" s="148">
        <f ca="1">IF(TODAY()&gt;=$B11,COUNTIFS(РД[Дата подачи на регистрацию],"&gt;="&amp;DATE(YEAR($B10),MONTH($B10),1),РД[Дата подачи на регистрацию],"&lt;"&amp;$B11,РД[Дом],$B$2,РД[Тип кв],D$3,РД[Состояние],"&lt;&gt;расторгнут"),'ПП Д4'!E24)</f>
        <v>0</v>
      </c>
      <c r="E10" s="148">
        <f ca="1">IF(TODAY()&gt;=$B11,COUNTIFS(РД[Дата подачи на регистрацию],"&gt;="&amp;DATE(YEAR($B10),MONTH($B10),1),РД[Дата подачи на регистрацию],"&lt;"&amp;$B11,РД[Дом],$B$2,РД[Тип кв],E$3,РД[Состояние],"&lt;&gt;расторгнут"),'ПП Д4'!F24)</f>
        <v>0</v>
      </c>
      <c r="F10" s="148">
        <f ca="1">IF(TODAY()&gt;=$B11,COUNTIFS(РД[Дата подачи на регистрацию],"&gt;="&amp;DATE(YEAR($B10),MONTH($B10),1),РД[Дата подачи на регистрацию],"&lt;"&amp;$B11,РД[Дом],$B$2,РД[Тип кв],F$3,РД[Состояние],"&lt;&gt;расторгнут"),'ПП Д4'!G24)</f>
        <v>0</v>
      </c>
      <c r="G10" s="149">
        <f t="shared" ca="1" si="0"/>
        <v>0</v>
      </c>
      <c r="H10" s="150">
        <f ca="1">IF(TODAY()&gt;=B10,SUMIFS(РД[S],РД[Дом],$B$2,РД[Состояние],"&lt;&gt;расторгнут",РД[Дата подачи на регистрацию],"&gt;="&amp;DATE(YEAR($B10),MONTH($B10),1),РД[Дата подачи на регистрацию],"&lt;"&amp;$B11),'ПП Д4'!I24)</f>
        <v>0</v>
      </c>
      <c r="I10" s="151">
        <f ca="1">IF(TODAY()&gt;=B10,SUMIFS(РД[Стоимость без отделки итог],РД[Дом],$B$2,РД[Состояние],"&lt;&gt;расторгнут",РД[Дата подачи на регистрацию],"&gt;="&amp;DATE(YEAR($B10),MONTH($B10),1),РД[Дата подачи на регистрацию],"&lt;"&amp;$B11),'ПП Д4'!L24)</f>
        <v>0</v>
      </c>
      <c r="J10" s="47">
        <f t="shared" ca="1" si="1"/>
        <v>0</v>
      </c>
    </row>
    <row r="11" spans="2:18" hidden="1" x14ac:dyDescent="0.25">
      <c r="B11" s="172">
        <v>44774</v>
      </c>
      <c r="C11" s="43">
        <f ca="1">IF($B$1&gt;=$B12,COUNTIFS(РД[Дата подачи на регистрацию],"&gt;="&amp;DATE(YEAR($B11),MONTH($B11),1),РД[Дата подачи на регистрацию],"&lt;"&amp;$B12,РД[Дом],$B$2,РД[Тип кв],C$3,РД[Состояние],"&lt;&gt;расторгнут"),'ПП Д4'!D25)</f>
        <v>13</v>
      </c>
      <c r="D11" s="43">
        <f ca="1">IF($B$1&gt;=$B12,COUNTIFS(РД[Дата подачи на регистрацию],"&gt;="&amp;DATE(YEAR($B11),MONTH($B11),1),РД[Дата подачи на регистрацию],"&lt;"&amp;$B12,РД[Дом],$B$2,РД[Тип кв],D$3,РД[Состояние],"&lt;&gt;расторгнут"),'ПП Д4'!E25)</f>
        <v>17</v>
      </c>
      <c r="E11" s="43">
        <f ca="1">IF($B$1&gt;=$B12,COUNTIFS(РД[Дата подачи на регистрацию],"&gt;="&amp;DATE(YEAR($B11),MONTH($B11),1),РД[Дата подачи на регистрацию],"&lt;"&amp;$B12,РД[Дом],$B$2,РД[Тип кв],E$3,РД[Состояние],"&lt;&gt;расторгнут"),'ПП Д4'!F25)</f>
        <v>4</v>
      </c>
      <c r="F11" s="43">
        <f ca="1">IF($B$1&gt;=$B12,COUNTIFS(РД[Дата подачи на регистрацию],"&gt;="&amp;DATE(YEAR($B11),MONTH($B11),1),РД[Дата подачи на регистрацию],"&lt;"&amp;$B12,РД[Дом],$B$2,РД[Тип кв],F$3,РД[Состояние],"&lt;&gt;расторгнут"),'ПП Д4'!G25)</f>
        <v>0</v>
      </c>
      <c r="G11" s="44">
        <f t="shared" ca="1" si="0"/>
        <v>34</v>
      </c>
      <c r="H11" s="45">
        <f ca="1">IF($B$1&gt;=B12,SUMIFS(РД[S],РД[Дом],$B$2,РД[Состояние],"&lt;&gt;расторгнут",РД[Дата подачи на регистрацию],"&gt;="&amp;DATE(YEAR($B11),MONTH($B11),1),РД[Дата подачи на регистрацию],"&lt;"&amp;$B12),'ПП Д4'!I25)</f>
        <v>1140.4000000000003</v>
      </c>
      <c r="I11" s="46">
        <f ca="1">IF($B$1&gt;=B12,SUMIFS(РД[Стоимость без отделки итог],РД[Дом],$B$2,РД[Состояние],"&lt;&gt;расторгнут",РД[Дата подачи на регистрацию],"&gt;="&amp;DATE(YEAR($B11),MONTH($B11),1),РД[Дата подачи на регистрацию],"&lt;"&amp;$B12),'ПП Д4'!L25)</f>
        <v>83634756.039999977</v>
      </c>
      <c r="J11" s="45">
        <f t="shared" ca="1" si="1"/>
        <v>73338.088425113951</v>
      </c>
    </row>
    <row r="12" spans="2:18" hidden="1" x14ac:dyDescent="0.25">
      <c r="B12" s="172">
        <v>44805</v>
      </c>
      <c r="C12" s="43">
        <f ca="1">IF($B$1&gt;=$B13,COUNTIFS(РД[Дата подачи на регистрацию],"&gt;="&amp;DATE(YEAR($B12),MONTH($B12),1),РД[Дата подачи на регистрацию],"&lt;"&amp;$B13,РД[Дом],$B$2,РД[Тип кв],C$3,РД[Состояние],"&lt;&gt;расторгнут"),'ПП Д4'!D26)</f>
        <v>2</v>
      </c>
      <c r="D12" s="43">
        <f ca="1">IF($B$1&gt;=$B13,COUNTIFS(РД[Дата подачи на регистрацию],"&gt;="&amp;DATE(YEAR($B12),MONTH($B12),1),РД[Дата подачи на регистрацию],"&lt;"&amp;$B13,РД[Дом],$B$2,РД[Тип кв],D$3,РД[Состояние],"&lt;&gt;расторгнут"),'ПП Д4'!E26)</f>
        <v>3</v>
      </c>
      <c r="E12" s="43">
        <f ca="1">IF($B$1&gt;=$B13,COUNTIFS(РД[Дата подачи на регистрацию],"&gt;="&amp;DATE(YEAR($B12),MONTH($B12),1),РД[Дата подачи на регистрацию],"&lt;"&amp;$B13,РД[Дом],$B$2,РД[Тип кв],E$3,РД[Состояние],"&lt;&gt;расторгнут"),'ПП Д4'!F26)</f>
        <v>2</v>
      </c>
      <c r="F12" s="43">
        <f ca="1">IF($B$1&gt;=$B13,COUNTIFS(РД[Дата подачи на регистрацию],"&gt;="&amp;DATE(YEAR($B12),MONTH($B12),1),РД[Дата подачи на регистрацию],"&lt;"&amp;$B13,РД[Дом],$B$2,РД[Тип кв],F$3,РД[Состояние],"&lt;&gt;расторгнут"),'ПП Д4'!G26)</f>
        <v>0</v>
      </c>
      <c r="G12" s="44">
        <f t="shared" ca="1" si="0"/>
        <v>7</v>
      </c>
      <c r="H12" s="45">
        <f ca="1">IF($B$1&gt;=B13,SUMIFS(РД[S],РД[Дом],$B$2,РД[Состояние],"&lt;&gt;расторгнут",РД[Дата подачи на регистрацию],"&gt;="&amp;DATE(YEAR($B12),MONTH($B12),1),РД[Дата подачи на регистрацию],"&lt;"&amp;$B13),'ПП Д4'!I26)</f>
        <v>285.88</v>
      </c>
      <c r="I12" s="46">
        <f ca="1">IF($B$1&gt;=B13,SUMIFS(РД[Стоимость без отделки итог],РД[Дом],$B$2,РД[Состояние],"&lt;&gt;расторгнут",РД[Дата подачи на регистрацию],"&gt;="&amp;DATE(YEAR($B12),MONTH($B12),1),РД[Дата подачи на регистрацию],"&lt;"&amp;$B13),'ПП Д4'!L26)</f>
        <v>21886608.68</v>
      </c>
      <c r="J12" s="45">
        <f t="shared" ca="1" si="1"/>
        <v>76558.726318735135</v>
      </c>
    </row>
    <row r="13" spans="2:18" hidden="1" x14ac:dyDescent="0.25">
      <c r="B13" s="172">
        <v>44835</v>
      </c>
      <c r="C13" s="43">
        <f ca="1">IF($B$1&gt;=$B14,COUNTIFS(РД[Дата подачи на регистрацию],"&gt;="&amp;DATE(YEAR($B13),MONTH($B13),1),РД[Дата подачи на регистрацию],"&lt;"&amp;$B14,РД[Дом],$B$2,РД[Тип кв],C$3,РД[Состояние],"&lt;&gt;расторгнут"),'ПП Д4'!D27)</f>
        <v>2</v>
      </c>
      <c r="D13" s="43">
        <f ca="1">IF($B$1&gt;=$B14,COUNTIFS(РД[Дата подачи на регистрацию],"&gt;="&amp;DATE(YEAR($B13),MONTH($B13),1),РД[Дата подачи на регистрацию],"&lt;"&amp;$B14,РД[Дом],$B$2,РД[Тип кв],D$3,РД[Состояние],"&lt;&gt;расторгнут"),'ПП Д4'!E27)</f>
        <v>2</v>
      </c>
      <c r="E13" s="43">
        <f ca="1">IF($B$1&gt;=$B14,COUNTIFS(РД[Дата подачи на регистрацию],"&gt;="&amp;DATE(YEAR($B13),MONTH($B13),1),РД[Дата подачи на регистрацию],"&lt;"&amp;$B14,РД[Дом],$B$2,РД[Тип кв],E$3,РД[Состояние],"&lt;&gt;расторгнут"),'ПП Д4'!F27)</f>
        <v>2</v>
      </c>
      <c r="F13" s="43">
        <f ca="1">IF($B$1&gt;=$B14,COUNTIFS(РД[Дата подачи на регистрацию],"&gt;="&amp;DATE(YEAR($B13),MONTH($B13),1),РД[Дата подачи на регистрацию],"&lt;"&amp;$B14,РД[Дом],$B$2,РД[Тип кв],F$3,РД[Состояние],"&lt;&gt;расторгнут"),'ПП Д4'!G27)</f>
        <v>0</v>
      </c>
      <c r="G13" s="44">
        <f t="shared" ca="1" si="0"/>
        <v>6</v>
      </c>
      <c r="H13" s="45">
        <f ca="1">IF($B$1&gt;=B14,SUMIFS(РД[S],РД[Дом],$B$2,РД[Состояние],"&lt;&gt;расторгнут",РД[Дата подачи на регистрацию],"&gt;="&amp;DATE(YEAR($B13),MONTH($B13),1),РД[Дата подачи на регистрацию],"&lt;"&amp;$B14),'ПП Д4'!I27)</f>
        <v>246.38</v>
      </c>
      <c r="I13" s="46">
        <f ca="1">IF($B$1&gt;=B14,SUMIFS(РД[Стоимость без отделки итог],РД[Дом],$B$2,РД[Состояние],"&lt;&gt;расторгнут",РД[Дата подачи на регистрацию],"&gt;="&amp;DATE(YEAR($B13),MONTH($B13),1),РД[Дата подачи на регистрацию],"&lt;"&amp;$B14),'ПП Д4'!L27)</f>
        <v>18121566</v>
      </c>
      <c r="J13" s="45">
        <f t="shared" ca="1" si="1"/>
        <v>73551.286630408315</v>
      </c>
    </row>
    <row r="14" spans="2:18" hidden="1" x14ac:dyDescent="0.25">
      <c r="B14" s="172">
        <v>44866</v>
      </c>
      <c r="C14" s="43">
        <f ca="1">IF($B$1&gt;=$B15,COUNTIFS(РД[Дата подачи на регистрацию],"&gt;="&amp;DATE(YEAR($B14),MONTH($B14),1),РД[Дата подачи на регистрацию],"&lt;"&amp;$B15,РД[Дом],$B$2,РД[Тип кв],C$3,РД[Состояние],"&lt;&gt;расторгнут"),'ПП Д4'!D28)</f>
        <v>2</v>
      </c>
      <c r="D14" s="43">
        <f ca="1">IF($B$1&gt;=$B15,COUNTIFS(РД[Дата подачи на регистрацию],"&gt;="&amp;DATE(YEAR($B14),MONTH($B14),1),РД[Дата подачи на регистрацию],"&lt;"&amp;$B15,РД[Дом],$B$2,РД[Тип кв],D$3,РД[Состояние],"&lt;&gt;расторгнут"),'ПП Д4'!E28)</f>
        <v>16</v>
      </c>
      <c r="E14" s="43">
        <f ca="1">IF($B$1&gt;=$B15,COUNTIFS(РД[Дата подачи на регистрацию],"&gt;="&amp;DATE(YEAR($B14),MONTH($B14),1),РД[Дата подачи на регистрацию],"&lt;"&amp;$B15,РД[Дом],$B$2,РД[Тип кв],E$3,РД[Состояние],"&lt;&gt;расторгнут"),'ПП Д4'!F28)</f>
        <v>7</v>
      </c>
      <c r="F14" s="43">
        <f ca="1">IF($B$1&gt;=$B15,COUNTIFS(РД[Дата подачи на регистрацию],"&gt;="&amp;DATE(YEAR($B14),MONTH($B14),1),РД[Дата подачи на регистрацию],"&lt;"&amp;$B15,РД[Дом],$B$2,РД[Тип кв],F$3,РД[Состояние],"&lt;&gt;расторгнут"),'ПП Д4'!G28)</f>
        <v>2</v>
      </c>
      <c r="G14" s="44">
        <f t="shared" ca="1" si="0"/>
        <v>27</v>
      </c>
      <c r="H14" s="45">
        <f ca="1">IF($B$1&gt;=B15,SUMIFS(РД[S],РД[Дом],$B$2,РД[Состояние],"&lt;&gt;расторгнут",РД[Дата подачи на регистрацию],"&gt;="&amp;DATE(YEAR($B14),MONTH($B14),1),РД[Дата подачи на регистрацию],"&lt;"&amp;$B15),'ПП Д4'!I28)</f>
        <v>1181.33</v>
      </c>
      <c r="I14" s="46">
        <f ca="1">IF($B$1&gt;=B15,SUMIFS(РД[Стоимость без отделки итог],РД[Дом],$B$2,РД[Состояние],"&lt;&gt;расторгнут",РД[Дата подачи на регистрацию],"&gt;="&amp;DATE(YEAR($B14),MONTH($B14),1),РД[Дата подачи на регистрацию],"&lt;"&amp;$B15),'ПП Д4'!L28)</f>
        <v>87250281.549999997</v>
      </c>
      <c r="J14" s="45">
        <f t="shared" ca="1" si="1"/>
        <v>73857.670210694734</v>
      </c>
    </row>
    <row r="15" spans="2:18" hidden="1" x14ac:dyDescent="0.25">
      <c r="B15" s="172">
        <v>44896</v>
      </c>
      <c r="C15" s="43">
        <f ca="1">IF($B$1&gt;=$B19,COUNTIFS(РД[Дата подачи на регистрацию],"&gt;="&amp;DATE(YEAR($B15),MONTH($B15),1),РД[Дата подачи на регистрацию],"&lt;"&amp;$B19,РД[Дом],$B$2,РД[Тип кв],C$3,РД[Состояние],"&lt;&gt;расторгнут"),'ПП Д4'!D29)</f>
        <v>7</v>
      </c>
      <c r="D15" s="43">
        <f ca="1">IF($B$1&gt;=$B19,COUNTIFS(РД[Дата подачи на регистрацию],"&gt;="&amp;DATE(YEAR($B15),MONTH($B15),1),РД[Дата подачи на регистрацию],"&lt;"&amp;$B19,РД[Дом],$B$2,РД[Тип кв],D$3,РД[Состояние],"&lt;&gt;расторгнут"),'ПП Д4'!E29)</f>
        <v>13</v>
      </c>
      <c r="E15" s="43">
        <f ca="1">IF($B$1&gt;=$B19,COUNTIFS(РД[Дата подачи на регистрацию],"&gt;="&amp;DATE(YEAR($B15),MONTH($B15),1),РД[Дата подачи на регистрацию],"&lt;"&amp;$B19,РД[Дом],$B$2,РД[Тип кв],E$3,РД[Состояние],"&lt;&gt;расторгнут"),'ПП Д4'!F29)</f>
        <v>13</v>
      </c>
      <c r="F15" s="43">
        <f ca="1">IF($B$1&gt;=$B19,COUNTIFS(РД[Дата подачи на регистрацию],"&gt;="&amp;DATE(YEAR($B15),MONTH($B15),1),РД[Дата подачи на регистрацию],"&lt;"&amp;$B19,РД[Дом],$B$2,РД[Тип кв],F$3,РД[Состояние],"&lt;&gt;расторгнут"),'ПП Д4'!G29)</f>
        <v>2</v>
      </c>
      <c r="G15" s="44">
        <f t="shared" ca="1" si="0"/>
        <v>35</v>
      </c>
      <c r="H15" s="45">
        <f ca="1">IF($B$1&gt;=B19,SUMIFS(РД[S],РД[Дом],$B$2,РД[Состояние],"&lt;&gt;расторгнут",РД[Дата подачи на регистрацию],"&gt;="&amp;DATE(YEAR($B15),MONTH($B15),1),РД[Дата подачи на регистрацию],"&lt;"&amp;$B19),'ПП Д4'!I29)</f>
        <v>1541.07</v>
      </c>
      <c r="I15" s="46">
        <f ca="1">IF($B$1&gt;=B19,SUMIFS(РД[Стоимость без отделки итог],РД[Дом],$B$2,РД[Состояние],"&lt;&gt;расторгнут",РД[Дата подачи на регистрацию],"&gt;="&amp;DATE(YEAR($B15),MONTH($B15),1),РД[Дата подачи на регистрацию],"&lt;"&amp;$B19),'ПП Д4'!L29)</f>
        <v>119168670.69999997</v>
      </c>
      <c r="J15" s="45">
        <f t="shared" ca="1" si="1"/>
        <v>77328.525440116267</v>
      </c>
    </row>
    <row r="16" spans="2:18" s="13" customFormat="1" x14ac:dyDescent="0.25">
      <c r="B16" s="154" t="str">
        <f>'ПП Д4'!C30</f>
        <v>Итого по 2022</v>
      </c>
      <c r="C16" s="155">
        <f t="shared" ref="C16:I16" ca="1" si="2">SUM(C4:C15)</f>
        <v>26</v>
      </c>
      <c r="D16" s="155">
        <f t="shared" ca="1" si="2"/>
        <v>51</v>
      </c>
      <c r="E16" s="155">
        <f t="shared" ca="1" si="2"/>
        <v>28</v>
      </c>
      <c r="F16" s="155">
        <f t="shared" ca="1" si="2"/>
        <v>4</v>
      </c>
      <c r="G16" s="155">
        <f t="shared" ca="1" si="2"/>
        <v>109</v>
      </c>
      <c r="H16" s="155">
        <f t="shared" ca="1" si="2"/>
        <v>4395.0600000000004</v>
      </c>
      <c r="I16" s="155">
        <f t="shared" ca="1" si="2"/>
        <v>330061882.96999997</v>
      </c>
      <c r="J16" s="156">
        <f ca="1">IFERROR(I19/H19,)</f>
        <v>73594.430834770988</v>
      </c>
      <c r="N16" s="404"/>
      <c r="Q16" s="346"/>
      <c r="R16" s="346"/>
    </row>
    <row r="17" spans="2:10" x14ac:dyDescent="0.25">
      <c r="C17" s="152"/>
      <c r="D17" s="152"/>
      <c r="E17" s="152"/>
      <c r="F17" s="152"/>
      <c r="G17" s="152"/>
      <c r="H17" s="153"/>
      <c r="I17" s="153"/>
      <c r="J17" s="32"/>
    </row>
    <row r="18" spans="2:10" ht="15.75" x14ac:dyDescent="0.25">
      <c r="B18" s="157" t="s">
        <v>0</v>
      </c>
      <c r="C18" s="158">
        <v>0</v>
      </c>
      <c r="D18" s="159">
        <v>1</v>
      </c>
      <c r="E18" s="159">
        <v>2</v>
      </c>
      <c r="F18" s="159">
        <v>3</v>
      </c>
      <c r="G18" s="160" t="s">
        <v>59</v>
      </c>
      <c r="H18" s="196" t="s">
        <v>51</v>
      </c>
      <c r="I18" s="196" t="s">
        <v>58</v>
      </c>
      <c r="J18" s="161" t="s">
        <v>17</v>
      </c>
    </row>
    <row r="19" spans="2:10" hidden="1" x14ac:dyDescent="0.25">
      <c r="B19" s="273">
        <v>44927</v>
      </c>
      <c r="C19" s="274">
        <f ca="1">IF($B$1&gt;=$B20,COUNTIFS(РД[Дата подачи на регистрацию],"&gt;="&amp;DATE(YEAR($B19),MONTH($B19),1),РД[Дата подачи на регистрацию],"&lt;"&amp;$B20,РД[Дом],$B$2,РД[Тип кв],C$3,РД[Состояние],"&lt;&gt;расторгнут"),'ПП Д4'!D34)</f>
        <v>5</v>
      </c>
      <c r="D19" s="274">
        <f ca="1">IF($B$1&gt;=$B20,COUNTIFS(РД[Дата подачи на регистрацию],"&gt;="&amp;DATE(YEAR($B19),MONTH($B19),1),РД[Дата подачи на регистрацию],"&lt;"&amp;$B20,РД[Дом],$B$2,РД[Тип кв],D$3,РД[Состояние],"&lt;&gt;расторгнут"),'ПП Д4'!E34)</f>
        <v>2</v>
      </c>
      <c r="E19" s="274">
        <f ca="1">IF($B$1&gt;=$B20,COUNTIFS(РД[Дата подачи на регистрацию],"&gt;="&amp;DATE(YEAR($B19),MONTH($B19),1),РД[Дата подачи на регистрацию],"&lt;"&amp;$B20,РД[Дом],$B$2,РД[Тип кв],E$3,РД[Состояние],"&lt;&gt;расторгнут"),'ПП Д4'!F34)</f>
        <v>6</v>
      </c>
      <c r="F19" s="274">
        <f ca="1">IF($B$1&gt;=$B20,COUNTIFS(РД[Дата подачи на регистрацию],"&gt;="&amp;DATE(YEAR($B19),MONTH($B19),1),РД[Дата подачи на регистрацию],"&lt;"&amp;$B20,РД[Дом],$B$2,РД[Тип кв],F$3,РД[Состояние],"&lt;&gt;расторгнут"),'ПП Д4'!G34)</f>
        <v>4</v>
      </c>
      <c r="G19" s="333">
        <f t="shared" ref="G19:G30" ca="1" si="3">SUM(C19:F19)</f>
        <v>17</v>
      </c>
      <c r="H19" s="275">
        <f ca="1">IF($B$1&gt;=B20,SUMIFS(РД[S],РД[Дом],$B$2,РД[Состояние],"&lt;&gt;расторгнут",РД[Дата подачи на регистрацию],"&gt;="&amp;DATE(YEAR($B19),MONTH($B19),1),РД[Дата подачи на регистрацию],"&lt;"&amp;$B20),'ПП Д4'!I34)</f>
        <v>852.08999999999992</v>
      </c>
      <c r="I19" s="276">
        <f ca="1">IF($B$1&gt;=B20,SUMIFS(РД[Стоимость без отделки итог],РД[Дом],$B$2,РД[Состояние],"&lt;&gt;расторгнут",РД[Дата подачи на регистрацию],"&gt;="&amp;DATE(YEAR($B19),MONTH($B19),1),РД[Дата подачи на регистрацию],"&lt;"&amp;$B20),'ПП Д4'!L34)</f>
        <v>62709078.570000008</v>
      </c>
      <c r="J19" s="275">
        <f t="shared" ref="J19:J31" ca="1" si="4">IFERROR(I19/H19,)</f>
        <v>73594.430834770988</v>
      </c>
    </row>
    <row r="20" spans="2:10" hidden="1" x14ac:dyDescent="0.25">
      <c r="B20" s="273">
        <v>44958</v>
      </c>
      <c r="C20" s="274">
        <f ca="1">IF($B$1&gt;=$B21,COUNTIFS(РД[Дата подачи на регистрацию],"&gt;="&amp;DATE(YEAR($B20),MONTH($B20),1),РД[Дата подачи на регистрацию],"&lt;"&amp;$B21,РД[Дом],$B$2,РД[Тип кв],C$3,РД[Состояние],"&lt;&gt;расторгнут"),'ПП Д4'!D35)</f>
        <v>3</v>
      </c>
      <c r="D20" s="274">
        <f ca="1">IF($B$1&gt;=$B21,COUNTIFS(РД[Дата подачи на регистрацию],"&gt;="&amp;DATE(YEAR($B20),MONTH($B20),1),РД[Дата подачи на регистрацию],"&lt;"&amp;$B21,РД[Дом],$B$2,РД[Тип кв],D$3,РД[Состояние],"&lt;&gt;расторгнут"),'ПП Д4'!E35)</f>
        <v>11</v>
      </c>
      <c r="E20" s="274">
        <f ca="1">IF($B$1&gt;=$B21,COUNTIFS(РД[Дата подачи на регистрацию],"&gt;="&amp;DATE(YEAR($B20),MONTH($B20),1),РД[Дата подачи на регистрацию],"&lt;"&amp;$B21,РД[Дом],$B$2,РД[Тип кв],E$3,РД[Состояние],"&lt;&gt;расторгнут"),'ПП Д4'!F35)</f>
        <v>15</v>
      </c>
      <c r="F20" s="274">
        <f ca="1">IF($B$1&gt;=$B21,COUNTIFS(РД[Дата подачи на регистрацию],"&gt;="&amp;DATE(YEAR($B20),MONTH($B20),1),РД[Дата подачи на регистрацию],"&lt;"&amp;$B21,РД[Дом],$B$2,РД[Тип кв],F$3,РД[Состояние],"&lt;&gt;расторгнут"),'ПП Д4'!G35)</f>
        <v>3</v>
      </c>
      <c r="G20" s="333">
        <f t="shared" ca="1" si="3"/>
        <v>32</v>
      </c>
      <c r="H20" s="275">
        <f ca="1">IF($B$1&gt;=B21,SUMIFS(РД[S],РД[Дом],$B$2,РД[Состояние],"&lt;&gt;расторгнут",РД[Дата подачи на регистрацию],"&gt;="&amp;DATE(YEAR($B20),MONTH($B20),1),РД[Дата подачи на регистрацию],"&lt;"&amp;$B21),'ПП Д4'!I35)</f>
        <v>1569.43</v>
      </c>
      <c r="I20" s="276">
        <f ca="1">IF($B$1&gt;=B21,SUMIFS(РД[Стоимость без отделки итог],РД[Дом],$B$2,РД[Состояние],"&lt;&gt;расторгнут",РД[Дата подачи на регистрацию],"&gt;="&amp;DATE(YEAR($B20),MONTH($B20),1),РД[Дата подачи на регистрацию],"&lt;"&amp;$B21),'ПП Д4'!L35)</f>
        <v>120219191.03999999</v>
      </c>
      <c r="J20" s="275">
        <f t="shared" ca="1" si="4"/>
        <v>76600.543534913944</v>
      </c>
    </row>
    <row r="21" spans="2:10" s="245" customFormat="1" hidden="1" x14ac:dyDescent="0.25">
      <c r="B21" s="273">
        <v>44986</v>
      </c>
      <c r="C21" s="274">
        <f ca="1">IF($B$1&gt;=$B22,COUNTIFS(РД[Дата подачи на регистрацию],"&gt;="&amp;DATE(YEAR($B21),MONTH($B21),1),РД[Дата подачи на регистрацию],"&lt;"&amp;$B22,РД[Дом],$B$2,РД[Тип кв],C$3,РД[Состояние],"&lt;&gt;расторгнут"),'ПП Д4'!D36)</f>
        <v>3</v>
      </c>
      <c r="D21" s="274">
        <f ca="1">IF($B$1&gt;=$B22,COUNTIFS(РД[Дата подачи на регистрацию],"&gt;="&amp;DATE(YEAR($B21),MONTH($B21),1),РД[Дата подачи на регистрацию],"&lt;"&amp;$B22,РД[Дом],$B$2,РД[Тип кв],D$3,РД[Состояние],"&lt;&gt;расторгнут"),'ПП Д4'!E36)</f>
        <v>12</v>
      </c>
      <c r="E21" s="274">
        <f ca="1">IF($B$1&gt;=$B22,COUNTIFS(РД[Дата подачи на регистрацию],"&gt;="&amp;DATE(YEAR($B21),MONTH($B21),1),РД[Дата подачи на регистрацию],"&lt;"&amp;$B22,РД[Дом],$B$2,РД[Тип кв],E$3,РД[Состояние],"&lt;&gt;расторгнут"),'ПП Д4'!F36)</f>
        <v>13</v>
      </c>
      <c r="F21" s="274">
        <f ca="1">IF($B$1&gt;=$B22,COUNTIFS(РД[Дата подачи на регистрацию],"&gt;="&amp;DATE(YEAR($B21),MONTH($B21),1),РД[Дата подачи на регистрацию],"&lt;"&amp;$B22,РД[Дом],$B$2,РД[Тип кв],F$3,РД[Состояние],"&lt;&gt;расторгнут"),'ПП Д4'!G36)</f>
        <v>6</v>
      </c>
      <c r="G21" s="333">
        <f t="shared" ca="1" si="3"/>
        <v>34</v>
      </c>
      <c r="H21" s="275">
        <f ca="1">IF($B$1&gt;=B22,SUMIFS(РД[S],РД[Дом],$B$2,РД[Состояние],"&lt;&gt;расторгнут",РД[Дата подачи на регистрацию],"&gt;="&amp;DATE(YEAR($B21),MONTH($B21),1),РД[Дата подачи на регистрацию],"&lt;"&amp;$B22),'ПП Д4'!I36)</f>
        <v>1732.7999999999997</v>
      </c>
      <c r="I21" s="276">
        <f ca="1">IF($B$1&gt;=B22,SUMIFS(РД[Стоимость без отделки итог],РД[Дом],$B$2,РД[Состояние],"&lt;&gt;расторгнут",РД[Дата подачи на регистрацию],"&gt;="&amp;DATE(YEAR($B21),MONTH($B21),1),РД[Дата подачи на регистрацию],"&lt;"&amp;$B22),'ПП Д4'!L36)</f>
        <v>134859915.02000001</v>
      </c>
      <c r="J21" s="275">
        <f t="shared" ca="1" si="4"/>
        <v>77827.744125115438</v>
      </c>
    </row>
    <row r="22" spans="2:10" hidden="1" x14ac:dyDescent="0.25">
      <c r="B22" s="273">
        <v>45017</v>
      </c>
      <c r="C22" s="274">
        <f ca="1">IF($B$1&gt;=$B23,COUNTIFS(РД[Дата подачи на регистрацию],"&gt;="&amp;DATE(YEAR($B22),MONTH($B22),1),РД[Дата подачи на регистрацию],"&lt;"&amp;$B23,РД[Дом],$B$2,РД[Тип кв],C$3,РД[Состояние],"&lt;&gt;расторгнут"),'ПП Д4'!D37)</f>
        <v>9</v>
      </c>
      <c r="D22" s="274">
        <f ca="1">IF($B$1&gt;=$B23,COUNTIFS(РД[Дата подачи на регистрацию],"&gt;="&amp;DATE(YEAR($B22),MONTH($B22),1),РД[Дата подачи на регистрацию],"&lt;"&amp;$B23,РД[Дом],$B$2,РД[Тип кв],D$3,РД[Состояние],"&lt;&gt;расторгнут"),'ПП Д4'!E37)</f>
        <v>15</v>
      </c>
      <c r="E22" s="274">
        <f ca="1">IF($B$1&gt;=$B23,COUNTIFS(РД[Дата подачи на регистрацию],"&gt;="&amp;DATE(YEAR($B22),MONTH($B22),1),РД[Дата подачи на регистрацию],"&lt;"&amp;$B23,РД[Дом],$B$2,РД[Тип кв],E$3,РД[Состояние],"&lt;&gt;расторгнут"),'ПП Д4'!F37)</f>
        <v>16</v>
      </c>
      <c r="F22" s="274">
        <f ca="1">IF($B$1&gt;=$B23,COUNTIFS(РД[Дата подачи на регистрацию],"&gt;="&amp;DATE(YEAR($B22),MONTH($B22),1),РД[Дата подачи на регистрацию],"&lt;"&amp;$B23,РД[Дом],$B$2,РД[Тип кв],F$3,РД[Состояние],"&lt;&gt;расторгнут"),'ПП Д4'!G37)</f>
        <v>7</v>
      </c>
      <c r="G22" s="333">
        <f t="shared" ca="1" si="3"/>
        <v>47</v>
      </c>
      <c r="H22" s="275">
        <f ca="1">IF($B$1&gt;=B23,SUMIFS(РД[S],РД[Дом],$B$2,РД[Состояние],"&lt;&gt;расторгнут",РД[Дата подачи на регистрацию],"&gt;="&amp;DATE(YEAR($B22),MONTH($B22),1),РД[Дата подачи на регистрацию],"&lt;"&amp;$B23),'ПП Д4'!I37)</f>
        <v>2309.0000000000005</v>
      </c>
      <c r="I22" s="276">
        <f ca="1">IF($B$1&gt;=B23,SUMIFS(РД[Стоимость без отделки итог],РД[Дом],$B$2,РД[Состояние],"&lt;&gt;расторгнут",РД[Дата подачи на регистрацию],"&gt;="&amp;DATE(YEAR($B22),MONTH($B22),1),РД[Дата подачи на регистрацию],"&lt;"&amp;$B23),'ПП Д4'!L37)</f>
        <v>184536178.49000001</v>
      </c>
      <c r="J22" s="275">
        <f t="shared" ca="1" si="4"/>
        <v>79920.389125162401</v>
      </c>
    </row>
    <row r="23" spans="2:10" hidden="1" x14ac:dyDescent="0.25">
      <c r="B23" s="273">
        <v>45047</v>
      </c>
      <c r="C23" s="274">
        <f ca="1">IF($B$1&gt;=$B24,COUNTIFS(РД[Дата подачи на регистрацию],"&gt;="&amp;DATE(YEAR($B23),MONTH($B23),1),РД[Дата подачи на регистрацию],"&lt;"&amp;$B24,РД[Дом],$B$2,РД[Тип кв],C$3,РД[Состояние],"&lt;&gt;расторгнут"),'ПП Д4'!D38)</f>
        <v>4</v>
      </c>
      <c r="D23" s="274">
        <f ca="1">IF($B$1&gt;=$B24,COUNTIFS(РД[Дата подачи на регистрацию],"&gt;="&amp;DATE(YEAR($B23),MONTH($B23),1),РД[Дата подачи на регистрацию],"&lt;"&amp;$B24,РД[Дом],$B$2,РД[Тип кв],D$3,РД[Состояние],"&lt;&gt;расторгнут"),'ПП Д4'!E38)</f>
        <v>9</v>
      </c>
      <c r="E23" s="274">
        <f ca="1">IF($B$1&gt;=$B24,COUNTIFS(РД[Дата подачи на регистрацию],"&gt;="&amp;DATE(YEAR($B23),MONTH($B23),1),РД[Дата подачи на регистрацию],"&lt;"&amp;$B24,РД[Дом],$B$2,РД[Тип кв],E$3,РД[Состояние],"&lt;&gt;расторгнут"),'ПП Д4'!F38)</f>
        <v>12</v>
      </c>
      <c r="F23" s="274">
        <f ca="1">IF($B$1&gt;=$B24,COUNTIFS(РД[Дата подачи на регистрацию],"&gt;="&amp;DATE(YEAR($B23),MONTH($B23),1),РД[Дата подачи на регистрацию],"&lt;"&amp;$B24,РД[Дом],$B$2,РД[Тип кв],F$3,РД[Состояние],"&lt;&gt;расторгнут"),'ПП Д4'!G38)</f>
        <v>4</v>
      </c>
      <c r="G23" s="333">
        <f t="shared" ca="1" si="3"/>
        <v>29</v>
      </c>
      <c r="H23" s="275">
        <f ca="1">IF($B$1&gt;=B24,SUMIFS(РД[S],РД[Дом],$B$2,РД[Состояние],"&lt;&gt;расторгнут",РД[Дата подачи на регистрацию],"&gt;="&amp;DATE(YEAR($B23),MONTH($B23),1),РД[Дата подачи на регистрацию],"&lt;"&amp;$B24),'ПП Д4'!I38)</f>
        <v>1466.2100000000003</v>
      </c>
      <c r="I23" s="276">
        <f ca="1">IF($B$1&gt;=B24,SUMIFS(РД[Стоимость без отделки итог],РД[Дом],$B$2,РД[Состояние],"&lt;&gt;расторгнут",РД[Дата подачи на регистрацию],"&gt;="&amp;DATE(YEAR($B23),MONTH($B23),1),РД[Дата подачи на регистрацию],"&lt;"&amp;$B24),'ПП Д4'!L38)</f>
        <v>119214317.57999998</v>
      </c>
      <c r="J23" s="275">
        <f t="shared" ca="1" si="4"/>
        <v>81307.805553092636</v>
      </c>
    </row>
    <row r="24" spans="2:10" hidden="1" x14ac:dyDescent="0.25">
      <c r="B24" s="273">
        <v>45078</v>
      </c>
      <c r="C24" s="274">
        <f ca="1">IF($B$1&gt;=$B25,COUNTIFS(РД[Дата подачи на регистрацию],"&gt;="&amp;DATE(YEAR($B24),MONTH($B24),1),РД[Дата подачи на регистрацию],"&lt;"&amp;$B25,РД[Дом],$B$2,РД[Тип кв],C$3,РД[Состояние],"Продажа"),'ПП Д4'!D39)</f>
        <v>9</v>
      </c>
      <c r="D24" s="274">
        <f ca="1">IF($B$1&gt;=$B25,COUNTIFS(РД[Дата подачи на регистрацию],"&gt;="&amp;DATE(YEAR($B24),MONTH($B24),1),РД[Дата подачи на регистрацию],"&lt;"&amp;$B25,РД[Дом],$B$2,РД[Тип кв],D$3,РД[Состояние],"Продажа"),'ПП Д4'!E39)</f>
        <v>13</v>
      </c>
      <c r="E24" s="274">
        <f ca="1">IF($B$1&gt;=$B25,COUNTIFS(РД[Дата подачи на регистрацию],"&gt;="&amp;DATE(YEAR($B24),MONTH($B24),1),РД[Дата подачи на регистрацию],"&lt;"&amp;$B25,РД[Дом],$B$2,РД[Тип кв],E$3,РД[Состояние],"Продажа"),'ПП Д4'!F39)</f>
        <v>12</v>
      </c>
      <c r="F24" s="274">
        <f ca="1">IF($B$1&gt;=$B25,COUNTIFS(РД[Дата подачи на регистрацию],"&gt;="&amp;DATE(YEAR($B24),MONTH($B24),1),РД[Дата подачи на регистрацию],"&lt;"&amp;$B25,РД[Дом],$B$2,РД[Тип кв],F$3,РД[Состояние],"Продажа"),'ПП Д4'!G39)</f>
        <v>3</v>
      </c>
      <c r="G24" s="333">
        <f t="shared" ca="1" si="3"/>
        <v>37</v>
      </c>
      <c r="H24" s="275">
        <f ca="1">IF($B$1&gt;=B25,SUMIFS(РД[S],РД[Дом],$B$2,РД[Состояние],"продажа",РД[Дата подачи на регистрацию],"&gt;="&amp;DATE(YEAR($B24),MONTH($B24),1),РД[Дата подачи на регистрацию],"&lt;"&amp;$B25),'ПП Д4'!I39)</f>
        <v>1661.9999999999998</v>
      </c>
      <c r="I24" s="276">
        <f ca="1">IF($B$1&gt;=B25,SUMIFS(РД[Стоимость без отделки итог],РД[Дом],$B$2,РД[Состояние],"Продажа",РД[Дата подачи на регистрацию],"&gt;="&amp;DATE(YEAR($B24),MONTH($B24),1),РД[Дата подачи на регистрацию],"&lt;"&amp;$B25),'ПП Д4'!L39)</f>
        <v>143616778.10999998</v>
      </c>
      <c r="J24" s="275">
        <f t="shared" ca="1" si="4"/>
        <v>86412.020523465704</v>
      </c>
    </row>
    <row r="25" spans="2:10" hidden="1" x14ac:dyDescent="0.25">
      <c r="B25" s="273">
        <v>45108</v>
      </c>
      <c r="C25" s="274">
        <f ca="1">IF($B$1&gt;=$B26,COUNTIFS(РД[Дата подачи на регистрацию],"&gt;="&amp;DATE(YEAR($B25),MONTH($B25),1),РД[Дата подачи на регистрацию],"&lt;"&amp;$B26,РД[Дом],$B$2,РД[Тип кв],C$3,РД[Состояние],"Продажа"),'ПП Д4'!D40)</f>
        <v>7</v>
      </c>
      <c r="D25" s="274">
        <f ca="1">IF($B$1&gt;=$B26,COUNTIFS(РД[Дата подачи на регистрацию],"&gt;="&amp;DATE(YEAR($B25),MONTH($B25),1),РД[Дата подачи на регистрацию],"&lt;"&amp;$B26,РД[Дом],$B$2,РД[Тип кв],D$3,РД[Состояние],"Продажа"),'ПП Д4'!E40)</f>
        <v>13</v>
      </c>
      <c r="E25" s="274">
        <f ca="1">IF($B$1&gt;=$B26,COUNTIFS(РД[Дата подачи на регистрацию],"&gt;="&amp;DATE(YEAR($B25),MONTH($B25),1),РД[Дата подачи на регистрацию],"&lt;"&amp;$B26,РД[Дом],$B$2,РД[Тип кв],E$3,РД[Состояние],"Продажа"),'ПП Д4'!F40)</f>
        <v>9</v>
      </c>
      <c r="F25" s="274">
        <f ca="1">IF($B$1&gt;=$B26,COUNTIFS(РД[Дата подачи на регистрацию],"&gt;="&amp;DATE(YEAR($B25),MONTH($B25),1),РД[Дата подачи на регистрацию],"&lt;"&amp;$B26,РД[Дом],$B$2,РД[Тип кв],F$3,РД[Состояние],"Продажа"),'ПП Д4'!G40)</f>
        <v>4</v>
      </c>
      <c r="G25" s="333">
        <f t="shared" ca="1" si="3"/>
        <v>33</v>
      </c>
      <c r="H25" s="275">
        <f ca="1">IF($B$1&gt;=B26,SUMIFS(РД[S],РД[Дом],$B$2,РД[Состояние],"Продажа",РД[Дата подачи на регистрацию],"&gt;="&amp;DATE(YEAR($B25),MONTH($B25),1),РД[Дата подачи на регистрацию],"&lt;"&amp;$B26),'ПП Д4'!I40)</f>
        <v>1553.8500000000001</v>
      </c>
      <c r="I25" s="276">
        <f ca="1">IF($B$1&gt;=B26,SUMIFS(РД[Стоимость без отделки итог],РД[Дом],$B$2,РД[Состояние],"Продажа",РД[Дата подачи на регистрацию],"&gt;="&amp;DATE(YEAR($B25),MONTH($B25),1),РД[Дата подачи на регистрацию],"&lt;"&amp;$B26),'ПП Д4'!L40)</f>
        <v>137200899.34999999</v>
      </c>
      <c r="J25" s="275">
        <f t="shared" ca="1" si="4"/>
        <v>88297.389934678373</v>
      </c>
    </row>
    <row r="26" spans="2:10" hidden="1" x14ac:dyDescent="0.25">
      <c r="B26" s="273">
        <v>45139</v>
      </c>
      <c r="C26" s="274">
        <f ca="1">IF($B$1&gt;=$B27,COUNTIFS(РД[Дата подачи на регистрацию],"&gt;="&amp;DATE(YEAR($B26),MONTH($B26),1),РД[Дата подачи на регистрацию],"&lt;"&amp;$B27,РД[Дом],$B$2,РД[Тип кв],C$3,РД[Состояние],"Продажа"),'ПП Д4'!D41)</f>
        <v>7</v>
      </c>
      <c r="D26" s="274">
        <f ca="1">IF($B$1&gt;=$B27,COUNTIFS(РД[Дата подачи на регистрацию],"&gt;="&amp;DATE(YEAR($B26),MONTH($B26),1),РД[Дата подачи на регистрацию],"&lt;"&amp;$B27,РД[Дом],$B$2,РД[Тип кв],D$3,РД[Состояние],"Продажа"),'ПП Д4'!E41)</f>
        <v>16</v>
      </c>
      <c r="E26" s="274">
        <f ca="1">IF($B$1&gt;=$B27,COUNTIFS(РД[Дата подачи на регистрацию],"&gt;="&amp;DATE(YEAR($B26),MONTH($B26),1),РД[Дата подачи на регистрацию],"&lt;"&amp;$B27,РД[Дом],$B$2,РД[Тип кв],E$3,РД[Состояние],"Продажа"),'ПП Д4'!F41)</f>
        <v>10</v>
      </c>
      <c r="F26" s="274">
        <f ca="1">IF($B$1&gt;=$B27,COUNTIFS(РД[Дата подачи на регистрацию],"&gt;="&amp;DATE(YEAR($B26),MONTH($B26),1),РД[Дата подачи на регистрацию],"&lt;"&amp;$B27,РД[Дом],$B$2,РД[Тип кв],F$3,РД[Состояние],"Продажа"),'ПП Д4'!G41)</f>
        <v>5</v>
      </c>
      <c r="G26" s="333">
        <f t="shared" ca="1" si="3"/>
        <v>38</v>
      </c>
      <c r="H26" s="275">
        <f ca="1">IF($B$1&gt;=B27,SUMIFS(РД[S],РД[Дом],$B$2,РД[Состояние],"Продажа",РД[Дата подачи на регистрацию],"&gt;="&amp;DATE(YEAR($B26),MONTH($B26),1),РД[Дата подачи на регистрацию],"&lt;"&amp;$B27),'ПП Д4'!I41)</f>
        <v>1790.4799999999996</v>
      </c>
      <c r="I26" s="276">
        <f ca="1">IF($B$1&gt;=B27,SUMIFS(РД[Стоимость без отделки итог],РД[Дом],$B$2,РД[Состояние],"Продажа",РД[Дата подачи на регистрацию],"&gt;="&amp;DATE(YEAR($B26),MONTH($B26),1),РД[Дата подачи на регистрацию],"&lt;"&amp;$B27),'ПП Д4'!L41)</f>
        <v>158978364.85999998</v>
      </c>
      <c r="J26" s="275">
        <f t="shared" ca="1" si="4"/>
        <v>88790.919116661462</v>
      </c>
    </row>
    <row r="27" spans="2:10" hidden="1" x14ac:dyDescent="0.25">
      <c r="B27" s="273">
        <v>45170</v>
      </c>
      <c r="C27" s="274">
        <f ca="1">IF($B$1&gt;=$B28,COUNTIFS(РД[Дата подачи на регистрацию],"&gt;="&amp;DATE(YEAR($B27),MONTH($B27),1),РД[Дата подачи на регистрацию],"&lt;"&amp;$B28,РД[Дом],$B$2,РД[Тип кв],C$3,РД[Состояние],"Продажа"),'ПП Д4'!D42)</f>
        <v>3</v>
      </c>
      <c r="D27" s="274">
        <f ca="1">IF($B$1&gt;=$B28,COUNTIFS(РД[Дата подачи на регистрацию],"&gt;="&amp;DATE(YEAR($B27),MONTH($B27),1),РД[Дата подачи на регистрацию],"&lt;"&amp;$B28,РД[Дом],$B$2,РД[Тип кв],D$3,РД[Состояние],"Продажа"),'ПП Д4'!E42)</f>
        <v>7</v>
      </c>
      <c r="E27" s="274">
        <f ca="1">IF($B$1&gt;=$B28,COUNTIFS(РД[Дата подачи на регистрацию],"&gt;="&amp;DATE(YEAR($B27),MONTH($B27),1),РД[Дата подачи на регистрацию],"&lt;"&amp;$B28,РД[Дом],$B$2,РД[Тип кв],E$3,РД[Состояние],"Продажа"),'ПП Д4'!F42)</f>
        <v>8</v>
      </c>
      <c r="F27" s="274">
        <f ca="1">IF($B$1&gt;=$B28,COUNTIFS(РД[Дата подачи на регистрацию],"&gt;="&amp;DATE(YEAR($B27),MONTH($B27),1),РД[Дата подачи на регистрацию],"&lt;"&amp;$B28,РД[Дом],$B$2,РД[Тип кв],F$3,РД[Состояние],"Продажа"),'ПП Д4'!G42)</f>
        <v>2</v>
      </c>
      <c r="G27" s="333">
        <f t="shared" ca="1" si="3"/>
        <v>20</v>
      </c>
      <c r="H27" s="275">
        <f ca="1">IF($B$1&gt;=B28,SUMIFS(РД[S],РД[Дом],$B$2,РД[Состояние],"Продажа",РД[Дата подачи на регистрацию],"&gt;="&amp;DATE(YEAR($B27),MONTH($B27),1),РД[Дата подачи на регистрацию],"&lt;"&amp;$B28),'ПП Д4'!I42)</f>
        <v>1008.0700000000002</v>
      </c>
      <c r="I27" s="276">
        <f ca="1">IF($B$1&gt;=B28,SUMIFS(РД[Стоимость без отделки итог],РД[Дом],$B$2,РД[Состояние],"Продажа",РД[Дата подачи на регистрацию],"&gt;="&amp;DATE(YEAR($B27),MONTH($B27),1),РД[Дата подачи на регистрацию],"&lt;"&amp;$B28),'ПП Д4'!L42)</f>
        <v>93242972.859999999</v>
      </c>
      <c r="J27" s="275">
        <f t="shared" ca="1" si="4"/>
        <v>92496.525896019113</v>
      </c>
    </row>
    <row r="28" spans="2:10" hidden="1" x14ac:dyDescent="0.25">
      <c r="B28" s="273">
        <v>45200</v>
      </c>
      <c r="C28" s="274">
        <f ca="1">IF($B$1&gt;=$B29,COUNTIFS(РД[Дата подачи на регистрацию],"&gt;="&amp;DATE(YEAR($B28),MONTH($B28),1),РД[Дата подачи на регистрацию],"&lt;"&amp;$B29,РД[Дом],$B$2,РД[Тип кв],C$3,РД[Состояние],"Продажа"),'ПП Д4'!D43)</f>
        <v>0</v>
      </c>
      <c r="D28" s="274">
        <f ca="1">IF($B$1&gt;=$B29,COUNTIFS(РД[Дата подачи на регистрацию],"&gt;="&amp;DATE(YEAR($B28),MONTH($B28),1),РД[Дата подачи на регистрацию],"&lt;"&amp;$B29,РД[Дом],$B$2,РД[Тип кв],D$3,РД[Состояние],"Продажа"),'ПП Д4'!E43)</f>
        <v>5</v>
      </c>
      <c r="E28" s="274">
        <f ca="1">IF($B$1&gt;=$B29,COUNTIFS(РД[Дата подачи на регистрацию],"&gt;="&amp;DATE(YEAR($B28),MONTH($B28),1),РД[Дата подачи на регистрацию],"&lt;"&amp;$B29,РД[Дом],$B$2,РД[Тип кв],E$3,РД[Состояние],"Продажа"),'ПП Д4'!F43)</f>
        <v>7</v>
      </c>
      <c r="F28" s="274">
        <f ca="1">IF($B$1&gt;=$B29,COUNTIFS(РД[Дата подачи на регистрацию],"&gt;="&amp;DATE(YEAR($B28),MONTH($B28),1),РД[Дата подачи на регистрацию],"&lt;"&amp;$B29,РД[Дом],$B$2,РД[Тип кв],F$3,РД[Состояние],"Продажа"),'ПП Д4'!G43)</f>
        <v>0</v>
      </c>
      <c r="G28" s="333">
        <f t="shared" ca="1" si="3"/>
        <v>12</v>
      </c>
      <c r="H28" s="275">
        <f ca="1">IF($B$1&gt;=B29,SUMIFS(РД[S],РД[Дом],$B$2,РД[Состояние],"Продажа",РД[Дата подачи на регистрацию],"&gt;="&amp;DATE(YEAR($B28),MONTH($B28),1),РД[Дата подачи на регистрацию],"&lt;"&amp;$B29),'ПП Д4'!I43)</f>
        <v>640.06000000000006</v>
      </c>
      <c r="I28" s="276">
        <f ca="1">IF($B$1&gt;=B29,SUMIFS(РД[Стоимость без отделки итог],РД[Дом],$B$2,РД[Состояние],"Продажа",РД[Дата подачи на регистрацию],"&gt;="&amp;DATE(YEAR($B28),MONTH($B28),1),РД[Дата подачи на регистрацию],"&lt;"&amp;$B29),'ПП Д4'!L43)</f>
        <v>58375645.130000003</v>
      </c>
      <c r="J28" s="275">
        <f t="shared" ca="1" si="4"/>
        <v>91203.395197325241</v>
      </c>
    </row>
    <row r="29" spans="2:10" hidden="1" x14ac:dyDescent="0.25">
      <c r="B29" s="273">
        <v>45231</v>
      </c>
      <c r="C29" s="274">
        <f ca="1">IF($B$1&gt;=$B30,COUNTIFS(РД[Дата подачи на регистрацию],"&gt;="&amp;DATE(YEAR($B29),MONTH($B29),1),РД[Дата подачи на регистрацию],"&lt;"&amp;$B30,РД[Дом],$B$2,РД[Тип кв],C$3,РД[Состояние],"Продажа"),'ПП Д4'!D44)</f>
        <v>3</v>
      </c>
      <c r="D29" s="274">
        <f ca="1">IF($B$1&gt;=$B30,COUNTIFS(РД[Дата подачи на регистрацию],"&gt;="&amp;DATE(YEAR($B29),MONTH($B29),1),РД[Дата подачи на регистрацию],"&lt;"&amp;$B30,РД[Дом],$B$2,РД[Тип кв],D$3,РД[Состояние],"Продажа"),'ПП Д4'!E44)</f>
        <v>8</v>
      </c>
      <c r="E29" s="274">
        <f ca="1">IF($B$1&gt;=$B30,COUNTIFS(РД[Дата подачи на регистрацию],"&gt;="&amp;DATE(YEAR($B29),MONTH($B29),1),РД[Дата подачи на регистрацию],"&lt;"&amp;$B30,РД[Дом],$B$2,РД[Тип кв],E$3,РД[Состояние],"Продажа"),'ПП Д4'!F44)</f>
        <v>15</v>
      </c>
      <c r="F29" s="274">
        <f ca="1">IF($B$1&gt;=$B30,COUNTIFS(РД[Дата подачи на регистрацию],"&gt;="&amp;DATE(YEAR($B29),MONTH($B29),1),РД[Дата подачи на регистрацию],"&lt;"&amp;$B30,РД[Дом],$B$2,РД[Тип кв],F$3,РД[Состояние],"Продажа"),'ПП Д4'!G44)</f>
        <v>0</v>
      </c>
      <c r="G29" s="333">
        <f t="shared" ca="1" si="3"/>
        <v>26</v>
      </c>
      <c r="H29" s="275">
        <f ca="1">IF($B$1&gt;=B30,SUMIFS(РД[S],РД[Дом],$B$2,РД[Состояние],"Продажа",РД[Дата подачи на регистрацию],"&gt;="&amp;DATE(YEAR($B29),MONTH($B29),1),РД[Дата подачи на регистрацию],"&lt;"&amp;$B30),'ПП Д4'!I44)</f>
        <v>1352.74</v>
      </c>
      <c r="I29" s="276">
        <f ca="1">IF($B$1&gt;=B30,SUMIFS(РД[Стоимость без отделки итог],РД[Дом],$B$2,РД[Состояние],"Продажа",РД[Дата подачи на регистрацию],"&gt;="&amp;DATE(YEAR($B29),MONTH($B29),1),РД[Дата подачи на регистрацию],"&lt;"&amp;$B30),'ПП Д4'!L44)</f>
        <v>126203705.37900002</v>
      </c>
      <c r="J29" s="275">
        <f t="shared" ca="1" si="4"/>
        <v>93294.872169818307</v>
      </c>
    </row>
    <row r="30" spans="2:10" hidden="1" x14ac:dyDescent="0.25">
      <c r="B30" s="273">
        <v>45261</v>
      </c>
      <c r="C30" s="274">
        <f ca="1">IF($B$1&gt;=$B34,COUNTIFS(РД[Дата подачи на регистрацию],"&gt;="&amp;DATE(YEAR($B30),MONTH($B30),1),РД[Дата подачи на регистрацию],"&lt;"&amp;$B34,РД[Дом],$B$2,РД[Тип кв],C$3,РД[Состояние],"Продажа"),'ПП Д4'!D45)</f>
        <v>2</v>
      </c>
      <c r="D30" s="274">
        <f ca="1">IF($B$1&gt;=$B34,COUNTIFS(РД[Дата подачи на регистрацию],"&gt;="&amp;DATE(YEAR($B30),MONTH($B30),1),РД[Дата подачи на регистрацию],"&lt;"&amp;$B34,РД[Дом],$B$2,РД[Тип кв],D$3,РД[Состояние],"Продажа"),'ПП Д4'!E45)</f>
        <v>6</v>
      </c>
      <c r="E30" s="274">
        <f ca="1">IF($B$1&gt;=$B34,COUNTIFS(РД[Дата подачи на регистрацию],"&gt;="&amp;DATE(YEAR($B30),MONTH($B30),1),РД[Дата подачи на регистрацию],"&lt;"&amp;$B34,РД[Дом],$B$2,РД[Тип кв],E$3,РД[Состояние],"Продажа"),'ПП Д4'!F45)</f>
        <v>11</v>
      </c>
      <c r="F30" s="274">
        <f ca="1">IF($B$1&gt;=$B34,COUNTIFS(РД[Дата подачи на регистрацию],"&gt;="&amp;DATE(YEAR($B30),MONTH($B30),1),РД[Дата подачи на регистрацию],"&lt;"&amp;$B34,РД[Дом],$B$2,РД[Тип кв],F$3,РД[Состояние],"Продажа"),'ПП Д4'!G45)</f>
        <v>1</v>
      </c>
      <c r="G30" s="333">
        <f t="shared" ca="1" si="3"/>
        <v>20</v>
      </c>
      <c r="H30" s="275">
        <f ca="1">IF($B$1&gt;=B34,SUMIFS(РД[S],РД[Дом],$B$2,РД[Состояние],"Продажа",РД[Дата подачи на регистрацию],"&gt;="&amp;DATE(YEAR($B30),MONTH($B30),1),РД[Дата подачи на регистрацию],"&lt;"&amp;$B34),'ПП Д4'!I45)</f>
        <v>1098.44</v>
      </c>
      <c r="I30" s="276">
        <f ca="1">IF($B$1&gt;=B34,SUMIFS(РД[Стоимость без отделки итог],РД[Дом],$B$2,РД[Состояние],"Продажа",РД[Дата подачи на регистрацию],"&gt;="&amp;DATE(YEAR($B30),MONTH($B30),1),РД[Дата подачи на регистрацию],"&lt;"&amp;$B34),'ПП Д4'!L45)</f>
        <v>101138489.48</v>
      </c>
      <c r="J30" s="275">
        <f t="shared" ca="1" si="4"/>
        <v>92074.659954116752</v>
      </c>
    </row>
    <row r="31" spans="2:10" x14ac:dyDescent="0.25">
      <c r="B31" s="154" t="str">
        <f>'ПП Д4'!C46</f>
        <v>Итого по 2023</v>
      </c>
      <c r="C31" s="155">
        <f t="shared" ref="C31:I31" ca="1" si="5">SUM(C19:C30)</f>
        <v>55</v>
      </c>
      <c r="D31" s="155">
        <f t="shared" ca="1" si="5"/>
        <v>117</v>
      </c>
      <c r="E31" s="155">
        <f t="shared" ca="1" si="5"/>
        <v>134</v>
      </c>
      <c r="F31" s="155">
        <f t="shared" ca="1" si="5"/>
        <v>39</v>
      </c>
      <c r="G31" s="155">
        <f t="shared" ca="1" si="5"/>
        <v>345</v>
      </c>
      <c r="H31" s="155">
        <f t="shared" ca="1" si="5"/>
        <v>17035.169999999998</v>
      </c>
      <c r="I31" s="155">
        <f t="shared" ca="1" si="5"/>
        <v>1440295535.8690002</v>
      </c>
      <c r="J31" s="156">
        <f t="shared" ca="1" si="4"/>
        <v>84548.351197493204</v>
      </c>
    </row>
    <row r="32" spans="2:10" x14ac:dyDescent="0.25">
      <c r="C32" s="34"/>
      <c r="D32" s="34"/>
      <c r="E32" s="34"/>
      <c r="F32" s="34"/>
      <c r="G32" s="34"/>
      <c r="H32" s="32"/>
      <c r="I32" s="32"/>
      <c r="J32" s="32"/>
    </row>
    <row r="33" spans="2:20" ht="15.75" x14ac:dyDescent="0.25">
      <c r="B33" s="157" t="s">
        <v>0</v>
      </c>
      <c r="C33" s="158">
        <v>0</v>
      </c>
      <c r="D33" s="159">
        <v>1</v>
      </c>
      <c r="E33" s="159">
        <v>2</v>
      </c>
      <c r="F33" s="159">
        <v>3</v>
      </c>
      <c r="G33" s="160" t="s">
        <v>59</v>
      </c>
      <c r="H33" s="196" t="s">
        <v>51</v>
      </c>
      <c r="I33" s="196" t="s">
        <v>58</v>
      </c>
      <c r="J33" s="161" t="s">
        <v>17</v>
      </c>
    </row>
    <row r="34" spans="2:20" hidden="1" x14ac:dyDescent="0.25">
      <c r="B34" s="273">
        <v>45292</v>
      </c>
      <c r="C34" s="274">
        <f ca="1">IF($B$1&gt;=$B35,COUNTIFS(РД[Дата подачи на регистрацию],"&gt;="&amp;DATE(YEAR($B34),MONTH($B34),1),РД[Дата подачи на регистрацию],"&lt;"&amp;$B35,РД[Дом],$B$2,РД[Тип кв],C$3,РД[Состояние],"Продажа"),'ПП Д4'!D50)</f>
        <v>1</v>
      </c>
      <c r="D34" s="274">
        <f ca="1">IF($B$1&gt;=$B35,COUNTIFS(РД[Дата подачи на регистрацию],"&gt;="&amp;DATE(YEAR($B34),MONTH($B34),1),РД[Дата подачи на регистрацию],"&lt;"&amp;$B35,РД[Дом],$B$2,РД[Тип кв],D$3,РД[Состояние],"Продажа"),'ПП Д4'!E50)</f>
        <v>4</v>
      </c>
      <c r="E34" s="274">
        <f ca="1">IF($B$1&gt;=$B35,COUNTIFS(РД[Дата подачи на регистрацию],"&gt;="&amp;DATE(YEAR($B34),MONTH($B34),1),РД[Дата подачи на регистрацию],"&lt;"&amp;$B35,РД[Дом],$B$2,РД[Тип кв],E$3,РД[Состояние],"Продажа"),'ПП Д4'!F50)</f>
        <v>4</v>
      </c>
      <c r="F34" s="274">
        <f ca="1">IF($B$1&gt;=$B35,COUNTIFS(РД[Дата подачи на регистрацию],"&gt;="&amp;DATE(YEAR($B34),MONTH($B34),1),РД[Дата подачи на регистрацию],"&lt;"&amp;$B35,РД[Дом],$B$2,РД[Тип кв],F$3,РД[Состояние],"Продажа"),'ПП Д4'!G50)</f>
        <v>1</v>
      </c>
      <c r="G34" s="333">
        <f t="shared" ref="G34:G41" ca="1" si="6">SUM(C34:F34)</f>
        <v>10</v>
      </c>
      <c r="H34" s="275">
        <f ca="1">IF($B$1&gt;=B35,SUMIFS(РД[S],РД[Дом],$B$2,РД[Состояние],"Продажа",РД[Дата подачи на регистрацию],"&gt;="&amp;DATE(YEAR($B34),MONTH($B34),1),РД[Дата подачи на регистрацию],"&lt;"&amp;$B35),'ПП Д4'!I50)</f>
        <v>523.06999999999994</v>
      </c>
      <c r="I34" s="276">
        <f ca="1">IF($B$1&gt;=B35,SUMIFS(РД[Стоимость без отделки итог],РД[Дом],$B$2,РД[Состояние],"Продажа",РД[Дата подачи на регистрацию],"&gt;="&amp;DATE(YEAR($B34),MONTH($B34),1),РД[Дата подачи на регистрацию],"&lt;"&amp;$B35),'ПП Д4'!L50)</f>
        <v>51913710.719999999</v>
      </c>
      <c r="J34" s="275">
        <f t="shared" ref="J34:J46" ca="1" si="7">IFERROR(I34/H34,)</f>
        <v>99248.113483854948</v>
      </c>
    </row>
    <row r="35" spans="2:20" hidden="1" x14ac:dyDescent="0.25">
      <c r="B35" s="273">
        <v>45323</v>
      </c>
      <c r="C35" s="274">
        <f ca="1">IF($B$1&gt;=$B36,COUNTIFS(РД[Дата подачи на регистрацию],"&gt;="&amp;DATE(YEAR($B35),MONTH($B35),1),РД[Дата подачи на регистрацию],"&lt;"&amp;$B36,РД[Дом],$B$2,РД[Тип кв],C$3,РД[Состояние],"Продажа"),'ПП Д4'!D51)</f>
        <v>2</v>
      </c>
      <c r="D35" s="274">
        <f ca="1">IF($B$1&gt;=$B36,COUNTIFS(РД[Дата подачи на регистрацию],"&gt;="&amp;DATE(YEAR($B35),MONTH($B35),1),РД[Дата подачи на регистрацию],"&lt;"&amp;$B36,РД[Дом],$B$2,РД[Тип кв],D$3,РД[Состояние],"Продажа"),'ПП Д4'!E51)</f>
        <v>3</v>
      </c>
      <c r="E35" s="274">
        <f ca="1">IF($B$1&gt;=$B36,COUNTIFS(РД[Дата подачи на регистрацию],"&gt;="&amp;DATE(YEAR($B35),MONTH($B35),1),РД[Дата подачи на регистрацию],"&lt;"&amp;$B36,РД[Дом],$B$2,РД[Тип кв],E$3,РД[Состояние],"Продажа"),'ПП Д4'!F51)</f>
        <v>4</v>
      </c>
      <c r="F35" s="274">
        <f ca="1">IF($B$1&gt;=$B36,COUNTIFS(РД[Дата подачи на регистрацию],"&gt;="&amp;DATE(YEAR($B35),MONTH($B35),1),РД[Дата подачи на регистрацию],"&lt;"&amp;$B36,РД[Дом],$B$2,РД[Тип кв],F$3,РД[Состояние],"Продажа"),'ПП Д4'!G51)</f>
        <v>0</v>
      </c>
      <c r="G35" s="333">
        <f t="shared" ca="1" si="6"/>
        <v>9</v>
      </c>
      <c r="H35" s="275">
        <f ca="1">IF($B$1&gt;=B36,SUMIFS(РД[S],РД[Дом],$B$2,РД[Состояние],"Продажа",РД[Дата подачи на регистрацию],"&gt;="&amp;DATE(YEAR($B35),MONTH($B35),1),РД[Дата подачи на регистрацию],"&lt;"&amp;$B36),'ПП Д4'!I51)</f>
        <v>441.97999999999996</v>
      </c>
      <c r="I35" s="276">
        <f ca="1">IF($B$1&gt;=B36,SUMIFS(РД[Стоимость без отделки итог],РД[Дом],$B$2,РД[Состояние],"Продажа",РД[Дата подачи на регистрацию],"&gt;="&amp;DATE(YEAR($B35),MONTH($B35),1),РД[Дата подачи на регистрацию],"&lt;"&amp;$B36),'ПП Д4'!L51)</f>
        <v>43552649</v>
      </c>
      <c r="J35" s="275">
        <f t="shared" ca="1" si="7"/>
        <v>98539.863794741847</v>
      </c>
    </row>
    <row r="36" spans="2:20" hidden="1" x14ac:dyDescent="0.25">
      <c r="B36" s="273">
        <v>45352</v>
      </c>
      <c r="C36" s="274">
        <f ca="1">IF($B$1&gt;=$B37,COUNTIFS(РД[Дата подачи на регистрацию],"&gt;="&amp;DATE(YEAR($B36),MONTH($B36),1),РД[Дата подачи на регистрацию],"&lt;"&amp;$B37,РД[Дом],$B$2,РД[Тип кв],C$3,РД[Состояние],"Продажа"),'ПП Д4'!D52)</f>
        <v>2</v>
      </c>
      <c r="D36" s="274">
        <f ca="1">IF($B$1&gt;=$B37,COUNTIFS(РД[Дата подачи на регистрацию],"&gt;="&amp;DATE(YEAR($B36),MONTH($B36),1),РД[Дата подачи на регистрацию],"&lt;"&amp;$B37,РД[Дом],$B$2,РД[Тип кв],D$3,РД[Состояние],"Продажа"),'ПП Д4'!E52)</f>
        <v>4</v>
      </c>
      <c r="E36" s="274">
        <f ca="1">IF($B$1&gt;=$B37,COUNTIFS(РД[Дата подачи на регистрацию],"&gt;="&amp;DATE(YEAR($B36),MONTH($B36),1),РД[Дата подачи на регистрацию],"&lt;"&amp;$B37,РД[Дом],$B$2,РД[Тип кв],E$3,РД[Состояние],"Продажа"),'ПП Д4'!F52)</f>
        <v>10</v>
      </c>
      <c r="F36" s="274">
        <f ca="1">IF($B$1&gt;=$B37,COUNTIFS(РД[Дата подачи на регистрацию],"&gt;="&amp;DATE(YEAR($B36),MONTH($B36),1),РД[Дата подачи на регистрацию],"&lt;"&amp;$B37,РД[Дом],$B$2,РД[Тип кв],F$3,РД[Состояние],"Продажа"),'ПП Д4'!G52)</f>
        <v>0</v>
      </c>
      <c r="G36" s="333">
        <f t="shared" ca="1" si="6"/>
        <v>16</v>
      </c>
      <c r="H36" s="275">
        <f ca="1">IF($B$1&gt;=B37,SUMIFS(РД[S],РД[Дом],$B$2,РД[Состояние],"Продажа",РД[Дата подачи на регистрацию],"&gt;="&amp;DATE(YEAR($B36),MONTH($B36),1),РД[Дата подачи на регистрацию],"&lt;"&amp;$B37),'ПП Д4'!I52)</f>
        <v>825.3900000000001</v>
      </c>
      <c r="I36" s="276">
        <f ca="1">IF($B$1&gt;=B37,SUMIFS(РД[Стоимость без отделки итог],РД[Дом],$B$2,РД[Состояние],"Продажа",РД[Дата подачи на регистрацию],"&gt;="&amp;DATE(YEAR($B36),MONTH($B36),1),РД[Дата подачи на регистрацию],"&lt;"&amp;$B37),'ПП Д4'!L52)</f>
        <v>82345546</v>
      </c>
      <c r="J36" s="275">
        <f t="shared" ca="1" si="7"/>
        <v>99765.621100328324</v>
      </c>
    </row>
    <row r="37" spans="2:20" hidden="1" x14ac:dyDescent="0.25">
      <c r="B37" s="273">
        <v>45383</v>
      </c>
      <c r="C37" s="274">
        <f ca="1">IF($B$1&gt;=$B38,COUNTIFS(РД[Дата подачи на регистрацию],"&gt;="&amp;DATE(YEAR($B37),MONTH($B37),1),РД[Дата подачи на регистрацию],"&lt;"&amp;$B38,РД[Дом],$B$2,РД[Тип кв],C$3,РД[Состояние],"Продажа"),'ПП Д4'!D53)</f>
        <v>1</v>
      </c>
      <c r="D37" s="274">
        <f ca="1">IF($B$1&gt;=$B38,COUNTIFS(РД[Дата подачи на регистрацию],"&gt;="&amp;DATE(YEAR($B37),MONTH($B37),1),РД[Дата подачи на регистрацию],"&lt;"&amp;$B38,РД[Дом],$B$2,РД[Тип кв],D$3,РД[Состояние],"Продажа"),'ПП Д4'!E53)</f>
        <v>4</v>
      </c>
      <c r="E37" s="274">
        <f ca="1">IF($B$1&gt;=$B38,COUNTIFS(РД[Дата подачи на регистрацию],"&gt;="&amp;DATE(YEAR($B37),MONTH($B37),1),РД[Дата подачи на регистрацию],"&lt;"&amp;$B38,РД[Дом],$B$2,РД[Тип кв],E$3,РД[Состояние],"Продажа"),'ПП Д4'!F53)</f>
        <v>3</v>
      </c>
      <c r="F37" s="274">
        <f ca="1">IF($B$1&gt;=$B38,COUNTIFS(РД[Дата подачи на регистрацию],"&gt;="&amp;DATE(YEAR($B37),MONTH($B37),1),РД[Дата подачи на регистрацию],"&lt;"&amp;$B38,РД[Дом],$B$2,РД[Тип кв],F$3,РД[Состояние],"Продажа"),'ПП Д4'!G53)</f>
        <v>0</v>
      </c>
      <c r="G37" s="333">
        <f t="shared" ca="1" si="6"/>
        <v>8</v>
      </c>
      <c r="H37" s="275">
        <f ca="1">IF($B$1&gt;=B38,SUMIFS(РД[S],РД[Дом],$B$2,РД[Состояние],"Продажа",РД[Дата подачи на регистрацию],"&gt;="&amp;DATE(YEAR($B37),MONTH($B37),1),РД[Дата подачи на регистрацию],"&lt;"&amp;$B38),'ПП Д4'!I53)</f>
        <v>387.68000000000006</v>
      </c>
      <c r="I37" s="276">
        <f ca="1">IF($B$1&gt;=B38,SUMIFS(РД[Стоимость без отделки итог],РД[Дом],$B$2,РД[Состояние],"Продажа",РД[Дата подачи на регистрацию],"&gt;="&amp;DATE(YEAR($B37),MONTH($B37),1),РД[Дата подачи на регистрацию],"&lt;"&amp;$B38),'ПП Д4'!L53)</f>
        <v>41648100</v>
      </c>
      <c r="J37" s="275">
        <f t="shared" ca="1" si="7"/>
        <v>107429.0652084193</v>
      </c>
    </row>
    <row r="38" spans="2:20" hidden="1" x14ac:dyDescent="0.25">
      <c r="B38" s="273">
        <v>45413</v>
      </c>
      <c r="C38" s="274">
        <f ca="1">IF($B$1&gt;=$B39,COUNTIFS(РД[Дата подачи на регистрацию],"&gt;="&amp;DATE(YEAR($B38),MONTH($B38),1),РД[Дата подачи на регистрацию],"&lt;"&amp;$B39,РД[Дом],$B$2,РД[Тип кв],C$3,РД[Состояние],"Продажа"),'ПП Д4'!D54)</f>
        <v>4</v>
      </c>
      <c r="D38" s="274">
        <f ca="1">IF($B$1&gt;=$B39,COUNTIFS(РД[Дата подачи на регистрацию],"&gt;="&amp;DATE(YEAR($B38),MONTH($B38),1),РД[Дата подачи на регистрацию],"&lt;"&amp;$B39,РД[Дом],$B$2,РД[Тип кв],D$3,РД[Состояние],"Продажа"),'ПП Д4'!E54)</f>
        <v>0</v>
      </c>
      <c r="E38" s="274">
        <f ca="1">IF($B$1&gt;=$B39,COUNTIFS(РД[Дата подачи на регистрацию],"&gt;="&amp;DATE(YEAR($B38),MONTH($B38),1),РД[Дата подачи на регистрацию],"&lt;"&amp;$B39,РД[Дом],$B$2,РД[Тип кв],E$3,РД[Состояние],"Продажа"),'ПП Д4'!F54)</f>
        <v>4</v>
      </c>
      <c r="F38" s="274">
        <f ca="1">IF($B$1&gt;=$B39,COUNTIFS(РД[Дата подачи на регистрацию],"&gt;="&amp;DATE(YEAR($B38),MONTH($B38),1),РД[Дата подачи на регистрацию],"&lt;"&amp;$B39,РД[Дом],$B$2,РД[Тип кв],F$3,РД[Состояние],"Продажа"),'ПП Д4'!G54)</f>
        <v>4</v>
      </c>
      <c r="G38" s="333">
        <f t="shared" ca="1" si="6"/>
        <v>12</v>
      </c>
      <c r="H38" s="275">
        <f ca="1">IF($B$1&gt;=B39,SUMIFS(РД[S],РД[Дом],$B$2,РД[Состояние],"Продажа",РД[Дата подачи на регистрацию],"&gt;="&amp;DATE(YEAR($B38),MONTH($B38),1),РД[Дата подачи на регистрацию],"&lt;"&amp;$B39),'ПП Д4'!I54)</f>
        <v>656.22000000000014</v>
      </c>
      <c r="I38" s="276">
        <f ca="1">IF($B$1&gt;=B39,SUMIFS(РД[Стоимость без отделки итог],РД[Дом],$B$2,РД[Состояние],"Продажа",РД[Дата подачи на регистрацию],"&gt;="&amp;DATE(YEAR($B38),MONTH($B38),1),РД[Дата подачи на регистрацию],"&lt;"&amp;$B39),'ПП Д4'!L54)</f>
        <v>67246381</v>
      </c>
      <c r="J38" s="275">
        <f t="shared" ca="1" si="7"/>
        <v>102475.36039742766</v>
      </c>
    </row>
    <row r="39" spans="2:20" hidden="1" x14ac:dyDescent="0.25">
      <c r="B39" s="273">
        <v>45444</v>
      </c>
      <c r="C39" s="274">
        <f ca="1">IF($B$1&gt;=$B40,COUNTIFS(РД[Дата подачи на регистрацию],"&gt;="&amp;DATE(YEAR($B39),MONTH($B39),1),РД[Дата подачи на регистрацию],"&lt;"&amp;$B40,РД[Дом],$B$2,РД[Тип кв],C$3,РД[Состояние],"Продажа"),'ПП Д4'!D55)</f>
        <v>0</v>
      </c>
      <c r="D39" s="274">
        <f ca="1">IF($B$1&gt;=$B40,COUNTIFS(РД[Дата подачи на регистрацию],"&gt;="&amp;DATE(YEAR($B39),MONTH($B39),1),РД[Дата подачи на регистрацию],"&lt;"&amp;$B40,РД[Дом],$B$2,РД[Тип кв],D$3,РД[Состояние],"Продажа"),'ПП Д4'!E55)</f>
        <v>1</v>
      </c>
      <c r="E39" s="274">
        <f ca="1">IF($B$1&gt;=$B40,COUNTIFS(РД[Дата подачи на регистрацию],"&gt;="&amp;DATE(YEAR($B39),MONTH($B39),1),РД[Дата подачи на регистрацию],"&lt;"&amp;$B40,РД[Дом],$B$2,РД[Тип кв],E$3,РД[Состояние],"Продажа"),'ПП Д4'!F55)</f>
        <v>6</v>
      </c>
      <c r="F39" s="274">
        <f ca="1">IF($B$1&gt;=$B40,COUNTIFS(РД[Дата подачи на регистрацию],"&gt;="&amp;DATE(YEAR($B39),MONTH($B39),1),РД[Дата подачи на регистрацию],"&lt;"&amp;$B40,РД[Дом],$B$2,РД[Тип кв],F$3,РД[Состояние],"Продажа"),'ПП Д4'!G55)</f>
        <v>1</v>
      </c>
      <c r="G39" s="333">
        <f t="shared" ca="1" si="6"/>
        <v>8</v>
      </c>
      <c r="H39" s="275">
        <f ca="1">IF($B$1&gt;=B40,SUMIFS(РД[S],РД[Дом],$B$2,РД[Состояние],"Продажа",РД[Дата подачи на регистрацию],"&gt;="&amp;DATE(YEAR($B39),MONTH($B39),1),РД[Дата подачи на регистрацию],"&lt;"&amp;$B40),'ПП Д4'!I55)</f>
        <v>488.59999999999997</v>
      </c>
      <c r="I39" s="276">
        <f ca="1">IF($B$1&gt;=B40,SUMIFS(РД[Стоимость без отделки итог],РД[Дом],$B$2,РД[Состояние],"Продажа",РД[Дата подачи на регистрацию],"&gt;="&amp;DATE(YEAR($B39),MONTH($B39),1),РД[Дата подачи на регистрацию],"&lt;"&amp;$B40),'ПП Д4'!L55)</f>
        <v>50408728</v>
      </c>
      <c r="J39" s="275">
        <f t="shared" ca="1" si="7"/>
        <v>103169.72574703234</v>
      </c>
    </row>
    <row r="40" spans="2:20" hidden="1" x14ac:dyDescent="0.25">
      <c r="B40" s="273">
        <v>45474</v>
      </c>
      <c r="C40" s="274">
        <f ca="1">IF($B$1&gt;=$B41,COUNTIFS(РД[Дата подачи на регистрацию],"&gt;="&amp;DATE(YEAR($B40),MONTH($B40),1),РД[Дата подачи на регистрацию],"&lt;"&amp;$B41,РД[Дом],$B$2,РД[Тип кв],C$3,РД[Состояние],"Продажа"),'ПП Д4'!D56)</f>
        <v>0</v>
      </c>
      <c r="D40" s="274">
        <f ca="1">IF($B$1&gt;=$B41,COUNTIFS(РД[Дата подачи на регистрацию],"&gt;="&amp;DATE(YEAR($B40),MONTH($B40),1),РД[Дата подачи на регистрацию],"&lt;"&amp;$B41,РД[Дом],$B$2,РД[Тип кв],D$3,РД[Состояние],"Продажа"),'ПП Д4'!E56)</f>
        <v>0</v>
      </c>
      <c r="E40" s="274">
        <f ca="1">IF($B$1&gt;=$B41,COUNTIFS(РД[Дата подачи на регистрацию],"&gt;="&amp;DATE(YEAR($B40),MONTH($B40),1),РД[Дата подачи на регистрацию],"&lt;"&amp;$B41,РД[Дом],$B$2,РД[Тип кв],E$3,РД[Состояние],"Продажа"),'ПП Д4'!F56)</f>
        <v>1</v>
      </c>
      <c r="F40" s="274">
        <f ca="1">IF($B$1&gt;=$B41,COUNTIFS(РД[Дата подачи на регистрацию],"&gt;="&amp;DATE(YEAR($B40),MONTH($B40),1),РД[Дата подачи на регистрацию],"&lt;"&amp;$B41,РД[Дом],$B$2,РД[Тип кв],F$3,РД[Состояние],"Продажа"),'ПП Д4'!G56)</f>
        <v>1</v>
      </c>
      <c r="G40" s="333">
        <f t="shared" ca="1" si="6"/>
        <v>2</v>
      </c>
      <c r="H40" s="275">
        <f ca="1">IF($B$1&gt;=B41,SUMIFS(РД[S],РД[Дом],$B$2,РД[Состояние],"Продажа",РД[Дата подачи на регистрацию],"&gt;="&amp;DATE(YEAR($B40),MONTH($B40),1),РД[Дата подачи на регистрацию],"&lt;"&amp;$B41),'ПП Д4'!I56)</f>
        <v>138.02000000000001</v>
      </c>
      <c r="I40" s="276">
        <f ca="1">IF($B$1&gt;=B41,SUMIFS(РД[Стоимость без отделки итог],РД[Дом],$B$2,РД[Состояние],"Продажа",РД[Дата подачи на регистрацию],"&gt;="&amp;DATE(YEAR($B40),MONTH($B40),1),РД[Дата подачи на регистрацию],"&lt;"&amp;$B41),'ПП Д4'!L56)</f>
        <v>13896667</v>
      </c>
      <c r="J40" s="275">
        <f t="shared" ca="1" si="7"/>
        <v>100685.89334879002</v>
      </c>
    </row>
    <row r="41" spans="2:20" hidden="1" x14ac:dyDescent="0.25">
      <c r="B41" s="273">
        <v>45505</v>
      </c>
      <c r="C41" s="274">
        <f ca="1">IF($B$1&gt;=$B42,COUNTIFS(РД[Дата подачи на регистрацию],"&gt;="&amp;DATE(YEAR($B41),MONTH($B41),1),РД[Дата подачи на регистрацию],"&lt;"&amp;$B42,РД[Дом],$B$2,РД[Тип кв],C$3,РД[Состояние],"Продажа"),'ПП Д4'!D57)</f>
        <v>0</v>
      </c>
      <c r="D41" s="274">
        <f ca="1">IF($B$1&gt;=$B42,COUNTIFS(РД[Дата подачи на регистрацию],"&gt;="&amp;DATE(YEAR($B41),MONTH($B41),1),РД[Дата подачи на регистрацию],"&lt;"&amp;$B42,РД[Дом],$B$2,РД[Тип кв],D$3,РД[Состояние],"Продажа"),'ПП Д4'!E57)</f>
        <v>2</v>
      </c>
      <c r="E41" s="274">
        <f ca="1">IF($B$1&gt;=$B42,COUNTIFS(РД[Дата подачи на регистрацию],"&gt;="&amp;DATE(YEAR($B41),MONTH($B41),1),РД[Дата подачи на регистрацию],"&lt;"&amp;$B42,РД[Дом],$B$2,РД[Тип кв],E$3,РД[Состояние],"Продажа"),'ПП Д4'!F57)</f>
        <v>3</v>
      </c>
      <c r="F41" s="274">
        <f ca="1">IF($B$1&gt;=$B42,COUNTIFS(РД[Дата подачи на регистрацию],"&gt;="&amp;DATE(YEAR($B41),MONTH($B41),1),РД[Дата подачи на регистрацию],"&lt;"&amp;$B42,РД[Дом],$B$2,РД[Тип кв],F$3,РД[Состояние],"Продажа"),'ПП Д4'!G57)</f>
        <v>0</v>
      </c>
      <c r="G41" s="333">
        <f t="shared" ca="1" si="6"/>
        <v>5</v>
      </c>
      <c r="H41" s="275">
        <f ca="1">IF($B$1&gt;=B42,SUMIFS(РД[S],РД[Дом],$B$2,РД[Состояние],"Продажа",РД[Дата подачи на регистрацию],"&gt;="&amp;DATE(YEAR($B41),MONTH($B41),1),РД[Дата подачи на регистрацию],"&lt;"&amp;$B42),'ПП Д4'!I57)</f>
        <v>267.71999999999997</v>
      </c>
      <c r="I41" s="276">
        <f ca="1">IF($B$1&gt;=B42,SUMIFS(РД[Стоимость без отделки итог],РД[Дом],$B$2,РД[Состояние],"Продажа",РД[Дата подачи на регистрацию],"&gt;="&amp;DATE(YEAR($B41),MONTH($B41),1),РД[Дата подачи на регистрацию],"&lt;"&amp;$B42),'ПП Д4'!L57)</f>
        <v>28588442</v>
      </c>
      <c r="J41" s="275">
        <f t="shared" ca="1" si="7"/>
        <v>106784.85731361125</v>
      </c>
    </row>
    <row r="42" spans="2:20" s="245" customFormat="1" hidden="1" x14ac:dyDescent="0.25">
      <c r="B42" s="273">
        <v>45536</v>
      </c>
      <c r="C42" s="274">
        <f ca="1">IF(TODAY()&gt;=$B43,COUNTIFS(РД[Дата подачи на регистрацию],"&gt;="&amp;DATE(YEAR($B42),MONTH($B42),1),РД[Дата подачи на регистрацию],"&lt;"&amp;$B43,РД[Дом],$B$2,РД[Тип кв],C$3,РД[Состояние],"Продажа"),'ПП Д4'!D58)</f>
        <v>0</v>
      </c>
      <c r="D42" s="274">
        <f ca="1">IF(TODAY()&gt;=$B43,COUNTIFS(РД[Дата подачи на регистрацию],"&gt;="&amp;DATE(YEAR($B42),MONTH($B42),1),РД[Дата подачи на регистрацию],"&lt;"&amp;$B43,РД[Дом],$B$2,РД[Тип кв],D$3,РД[Состояние],"Продажа"),'ПП Д4'!E58)</f>
        <v>0</v>
      </c>
      <c r="E42" s="274">
        <f ca="1">IF(TODAY()&gt;=$B43,COUNTIFS(РД[Дата подачи на регистрацию],"&gt;="&amp;DATE(YEAR($B42),MONTH($B42),1),РД[Дата подачи на регистрацию],"&lt;"&amp;$B43,РД[Дом],$B$2,РД[Тип кв],E$3,РД[Состояние],"Продажа"),'ПП Д4'!F58)</f>
        <v>4</v>
      </c>
      <c r="F42" s="274">
        <f ca="1">IF(TODAY()&gt;=$B43,COUNTIFS(РД[Дата подачи на регистрацию],"&gt;="&amp;DATE(YEAR($B42),MONTH($B42),1),РД[Дата подачи на регистрацию],"&lt;"&amp;$B43,РД[Дом],$B$2,РД[Тип кв],F$3,РД[Состояние],"Продажа"),'ПП Д4'!G58)</f>
        <v>1</v>
      </c>
      <c r="G42" s="333">
        <f ca="1">SUM(C42:F42)</f>
        <v>5</v>
      </c>
      <c r="H42" s="275">
        <f ca="1">IF(TODAY()&gt;=B43,SUMIFS(РД[S],РД[Дом],$B$2,РД[Состояние],"Продажа",РД[Дата подачи на регистрацию],"&gt;="&amp;DATE(YEAR($B42),MONTH($B42),1),РД[Дата подачи на регистрацию],"&lt;"&amp;$B43),'ПП Д4'!I58)</f>
        <v>329.46999999999997</v>
      </c>
      <c r="I42" s="276">
        <f ca="1">IF(TODAY()&gt;=B43,SUMIFS(РД[Стоимость без отделки итог],РД[Дом],$B$2,РД[Состояние],"Продажа",РД[Дата подачи на регистрацию],"&gt;="&amp;DATE(YEAR($B42),MONTH($B42),1),РД[Дата подачи на регистрацию],"&lt;"&amp;$B43),'ПП Д4'!L58)</f>
        <v>34356386.600000001</v>
      </c>
      <c r="J42" s="275">
        <f t="shared" ca="1" si="7"/>
        <v>104277.73879260632</v>
      </c>
    </row>
    <row r="43" spans="2:20" s="245" customFormat="1" hidden="1" x14ac:dyDescent="0.25">
      <c r="B43" s="442">
        <v>45566</v>
      </c>
      <c r="C43" s="426">
        <f ca="1">IF(TODAY()&gt;=$B44,COUNTIFS(РД[Дата подачи на регистрацию],"&gt;="&amp;DATE(YEAR($B43),MONTH($B43),1),РД[Дата подачи на регистрацию],"&lt;"&amp;$B44,РД[Дом],$B$2,РД[Тип кв],C$3,РД[Состояние],"Продажа"),'ПП Д4'!D59)</f>
        <v>0</v>
      </c>
      <c r="D43" s="426">
        <f ca="1">IF(TODAY()&gt;=$B44,COUNTIFS(РД[Дата подачи на регистрацию],"&gt;="&amp;DATE(YEAR($B43),MONTH($B43),1),РД[Дата подачи на регистрацию],"&lt;"&amp;$B44,РД[Дом],$B$2,РД[Тип кв],D$3,РД[Состояние],"Продажа"),'ПП Д4'!E59)</f>
        <v>0</v>
      </c>
      <c r="E43" s="426">
        <f ca="1">IF(TODAY()&gt;=$B44,COUNTIFS(РД[Дата подачи на регистрацию],"&gt;="&amp;DATE(YEAR($B43),MONTH($B43),1),РД[Дата подачи на регистрацию],"&lt;"&amp;$B44,РД[Дом],$B$2,РД[Тип кв],E$3,РД[Состояние],"Продажа"),'ПП Д4'!F59)</f>
        <v>0</v>
      </c>
      <c r="F43" s="426">
        <f ca="1">IF(TODAY()&gt;=$B44,COUNTIFS(РД[Дата подачи на регистрацию],"&gt;="&amp;DATE(YEAR($B43),MONTH($B43),1),РД[Дата подачи на регистрацию],"&lt;"&amp;$B44,РД[Дом],$B$2,РД[Тип кв],F$3,РД[Состояние],"Продажа"),'ПП Д4'!G59)</f>
        <v>0</v>
      </c>
      <c r="G43" s="426">
        <f t="shared" ref="G43:G45" ca="1" si="8">SUM(C43:F43)</f>
        <v>0</v>
      </c>
      <c r="H43" s="443">
        <f ca="1">IF(TODAY()&gt;=B44,SUMIFS(РД[S],РД[Дом],$B$2,РД[Состояние],"Продажа",РД[Дата подачи на регистрацию],"&gt;="&amp;DATE(YEAR($B43),MONTH($B43),1),РД[Дата подачи на регистрацию],"&lt;"&amp;$B44),'ПП Д4'!I59)</f>
        <v>0</v>
      </c>
      <c r="I43" s="444">
        <f ca="1">IF(TODAY()&gt;=B44,SUMIFS(РД[Стоимость без отделки итог],РД[Дом],$B$2,РД[Состояние],"Продажа",РД[Дата подачи на регистрацию],"&gt;="&amp;DATE(YEAR($B43),MONTH($B43),1),РД[Дата подачи на регистрацию],"&lt;"&amp;$B44),'ПП Д4'!L59)</f>
        <v>0</v>
      </c>
      <c r="J43" s="443">
        <f t="shared" ca="1" si="7"/>
        <v>0</v>
      </c>
    </row>
    <row r="44" spans="2:20" hidden="1" x14ac:dyDescent="0.25">
      <c r="B44" s="273">
        <v>45597</v>
      </c>
      <c r="C44" s="274">
        <f ca="1">IF(TODAY()&gt;=$B45,COUNTIFS(РД[Дата подачи на регистрацию],"&gt;="&amp;DATE(YEAR($B44),MONTH($B44),1),РД[Дата подачи на регистрацию],"&lt;"&amp;$B45,РД[Дом],$B$2,РД[Тип кв],C$3,РД[Состояние],"Продажа"),'ПП Д4'!D60)</f>
        <v>0</v>
      </c>
      <c r="D44" s="274">
        <f ca="1">IF(TODAY()&gt;=$B45,COUNTIFS(РД[Дата подачи на регистрацию],"&gt;="&amp;DATE(YEAR($B44),MONTH($B44),1),РД[Дата подачи на регистрацию],"&lt;"&amp;$B45,РД[Дом],$B$2,РД[Тип кв],D$3,РД[Состояние],"Продажа"),'ПП Д4'!E60)</f>
        <v>0</v>
      </c>
      <c r="E44" s="274">
        <f ca="1">IF(TODAY()&gt;=$B45,COUNTIFS(РД[Дата подачи на регистрацию],"&gt;="&amp;DATE(YEAR($B44),MONTH($B44),1),РД[Дата подачи на регистрацию],"&lt;"&amp;$B45,РД[Дом],$B$2,РД[Тип кв],E$3,РД[Состояние],"Продажа"),'ПП Д4'!F60)</f>
        <v>0</v>
      </c>
      <c r="F44" s="274">
        <f ca="1">IF(TODAY()&gt;=$B45,COUNTIFS(РД[Дата подачи на регистрацию],"&gt;="&amp;DATE(YEAR($B44),MONTH($B44),1),РД[Дата подачи на регистрацию],"&lt;"&amp;$B45,РД[Дом],$B$2,РД[Тип кв],F$3,РД[Состояние],"Продажа"),'ПП Д4'!G60)</f>
        <v>0</v>
      </c>
      <c r="G44" s="274">
        <f t="shared" ca="1" si="8"/>
        <v>0</v>
      </c>
      <c r="H44" s="275">
        <f ca="1">IF(TODAY()&gt;=B45,SUMIFS(РД[S],РД[Дом],$B$2,РД[Состояние],"Продажа",РД[Дата подачи на регистрацию],"&gt;="&amp;DATE(YEAR($B44),MONTH($B44),1),РД[Дата подачи на регистрацию],"&lt;"&amp;$B45),'ПП Д4'!I60)</f>
        <v>0</v>
      </c>
      <c r="I44" s="276">
        <f ca="1">IF(TODAY()&gt;=B45,SUMIFS(РД[Стоимость без отделки итог],РД[Дом],$B$2,РД[Состояние],"Продажа",РД[Дата подачи на регистрацию],"&gt;="&amp;DATE(YEAR($B44),MONTH($B44),1),РД[Дата подачи на регистрацию],"&lt;"&amp;$B45),'ПП Д4'!L60)</f>
        <v>0</v>
      </c>
      <c r="J44" s="275">
        <f t="shared" ca="1" si="7"/>
        <v>0</v>
      </c>
    </row>
    <row r="45" spans="2:20" hidden="1" x14ac:dyDescent="0.25">
      <c r="B45" s="273">
        <v>45627</v>
      </c>
      <c r="C45" s="274">
        <f ca="1">IF(TODAY()&gt;=$B46,COUNTIFS(РД[Дата подачи на регистрацию],"&gt;="&amp;DATE(YEAR($B45),MONTH($B45),1),РД[Дата подачи на регистрацию],"&lt;"&amp;$B46,РД[Дом],$B$2,РД[Тип кв],C$3,РД[Состояние],"Продажа"),'ПП Д4'!D61)</f>
        <v>0</v>
      </c>
      <c r="D45" s="274">
        <f ca="1">IF(TODAY()&gt;=$B46,COUNTIFS(РД[Дата подачи на регистрацию],"&gt;="&amp;DATE(YEAR($B45),MONTH($B45),1),РД[Дата подачи на регистрацию],"&lt;"&amp;$B46,РД[Дом],$B$2,РД[Тип кв],D$3,РД[Состояние],"Продажа"),'ПП Д4'!E61)</f>
        <v>0</v>
      </c>
      <c r="E45" s="274">
        <f ca="1">IF(TODAY()&gt;=$B46,COUNTIFS(РД[Дата подачи на регистрацию],"&gt;="&amp;DATE(YEAR($B45),MONTH($B45),1),РД[Дата подачи на регистрацию],"&lt;"&amp;$B46,РД[Дом],$B$2,РД[Тип кв],E$3,РД[Состояние],"Продажа"),'ПП Д4'!F61)</f>
        <v>0</v>
      </c>
      <c r="F45" s="274">
        <f ca="1">IF(TODAY()&gt;=$B46,COUNTIFS(РД[Дата подачи на регистрацию],"&gt;="&amp;DATE(YEAR($B45),MONTH($B45),1),РД[Дата подачи на регистрацию],"&lt;"&amp;$B46,РД[Дом],$B$2,РД[Тип кв],F$3,РД[Состояние],"Продажа"),'ПП Д4'!G61)</f>
        <v>0</v>
      </c>
      <c r="G45" s="274">
        <f t="shared" ca="1" si="8"/>
        <v>0</v>
      </c>
      <c r="H45" s="275">
        <f ca="1">IF(TODAY()&gt;=B46,SUMIFS(РД[S],РД[Дом],$B$2,РД[Состояние],"Продажа",РД[Дата подачи на регистрацию],"&gt;="&amp;DATE(YEAR($B45),MONTH($B45),1),РД[Дата подачи на регистрацию],"&lt;"&amp;$B46),'ПП Д4'!I61)</f>
        <v>0</v>
      </c>
      <c r="I45" s="276">
        <f ca="1">IF(TODAY()&gt;=B46,SUMIFS(РД[Стоимость без отделки итог],РД[Дом],$B$2,РД[Состояние],"Продажа",РД[Дата подачи на регистрацию],"&gt;="&amp;DATE(YEAR($B45),MONTH($B45),1),РД[Дата подачи на регистрацию],"&lt;"&amp;$B46),'ПП Д4'!L61)</f>
        <v>0</v>
      </c>
      <c r="J45" s="275">
        <f t="shared" ca="1" si="7"/>
        <v>0</v>
      </c>
    </row>
    <row r="46" spans="2:20" x14ac:dyDescent="0.25">
      <c r="B46" s="154" t="str">
        <f>'ПП Д4'!C62</f>
        <v>Итого по 2024</v>
      </c>
      <c r="C46" s="155">
        <f t="shared" ref="C46:I46" ca="1" si="9">SUM(C34:C45)</f>
        <v>10</v>
      </c>
      <c r="D46" s="155">
        <f t="shared" ca="1" si="9"/>
        <v>18</v>
      </c>
      <c r="E46" s="155">
        <f t="shared" ca="1" si="9"/>
        <v>39</v>
      </c>
      <c r="F46" s="155">
        <f t="shared" ca="1" si="9"/>
        <v>8</v>
      </c>
      <c r="G46" s="155">
        <f t="shared" ca="1" si="9"/>
        <v>75</v>
      </c>
      <c r="H46" s="155">
        <f t="shared" ca="1" si="9"/>
        <v>4058.1499999999996</v>
      </c>
      <c r="I46" s="155">
        <f t="shared" ca="1" si="9"/>
        <v>413956610.32000005</v>
      </c>
      <c r="J46" s="156">
        <f t="shared" ca="1" si="7"/>
        <v>102006.2369109077</v>
      </c>
    </row>
    <row r="47" spans="2:20" x14ac:dyDescent="0.25">
      <c r="C47" s="34"/>
      <c r="D47" s="34"/>
      <c r="E47" s="34"/>
      <c r="F47" s="34"/>
      <c r="G47" s="34"/>
      <c r="H47" s="32"/>
      <c r="I47" s="32"/>
      <c r="J47" s="32"/>
      <c r="L47" s="754" t="s">
        <v>6924</v>
      </c>
      <c r="M47" s="754"/>
      <c r="N47" s="754"/>
      <c r="O47" s="754"/>
      <c r="P47" s="754"/>
      <c r="Q47" s="754"/>
      <c r="R47" s="754"/>
      <c r="S47" s="754"/>
      <c r="T47" s="754"/>
    </row>
    <row r="48" spans="2:20" ht="15.75" x14ac:dyDescent="0.25">
      <c r="B48" s="157" t="s">
        <v>0</v>
      </c>
      <c r="C48" s="158">
        <v>0</v>
      </c>
      <c r="D48" s="159">
        <v>1</v>
      </c>
      <c r="E48" s="159">
        <v>2</v>
      </c>
      <c r="F48" s="159">
        <v>3</v>
      </c>
      <c r="G48" s="160" t="s">
        <v>59</v>
      </c>
      <c r="H48" s="196" t="s">
        <v>51</v>
      </c>
      <c r="I48" s="196" t="s">
        <v>58</v>
      </c>
      <c r="J48" s="161" t="s">
        <v>17</v>
      </c>
      <c r="L48" s="385"/>
      <c r="M48" s="385" t="s">
        <v>3</v>
      </c>
      <c r="N48" s="385" t="s">
        <v>4813</v>
      </c>
      <c r="O48" s="460" t="s">
        <v>6882</v>
      </c>
      <c r="P48" s="385" t="s">
        <v>3245</v>
      </c>
      <c r="Q48" s="385" t="s">
        <v>6990</v>
      </c>
      <c r="R48" s="385" t="s">
        <v>7345</v>
      </c>
      <c r="S48" s="385" t="s">
        <v>7346</v>
      </c>
      <c r="T48" s="405" t="s">
        <v>10</v>
      </c>
    </row>
    <row r="49" spans="2:20" ht="15.75" x14ac:dyDescent="0.25">
      <c r="B49" s="273">
        <v>45658</v>
      </c>
      <c r="C49" s="274">
        <f ca="1">IF($B$1&gt;=$B50,COUNTIFS(РД[Дата подачи на регистрацию],"&gt;="&amp;DATE(YEAR($B49),MONTH($B49),1),РД[Дата подачи на регистрацию],"&lt;"&amp;$B50,РД[Дом],$B$2,РД[Тип кв],C$3,РД[Состояние],"Продажа"),'ПП Д4'!D66)</f>
        <v>0</v>
      </c>
      <c r="D49" s="274">
        <f ca="1">IF($B$1&gt;=$B50,COUNTIFS(РД[Дата подачи на регистрацию],"&gt;="&amp;DATE(YEAR($B49),MONTH($B49),1),РД[Дата подачи на регистрацию],"&lt;"&amp;$B50,РД[Дом],$B$2,РД[Тип кв],D$3,РД[Состояние],"Продажа"),'ПП Д4'!E66)</f>
        <v>0</v>
      </c>
      <c r="E49" s="274">
        <f ca="1">IF($B$1&gt;=$B50,COUNTIFS(РД[Дата подачи на регистрацию],"&gt;="&amp;DATE(YEAR($B49),MONTH($B49),1),РД[Дата подачи на регистрацию],"&lt;"&amp;$B50,РД[Дом],$B$2,РД[Тип кв],E$3,РД[Состояние],"Продажа"),'ПП Д4'!F66)</f>
        <v>0</v>
      </c>
      <c r="F49" s="274">
        <f ca="1">IF($B$1&gt;=$B50,COUNTIFS(РД[Дата подачи на регистрацию],"&gt;="&amp;DATE(YEAR($B49),MONTH($B49),1),РД[Дата подачи на регистрацию],"&lt;"&amp;$B50,РД[Дом],$B$2,РД[Тип кв],F$3,РД[Состояние],"Продажа"),'ПП Д4'!G66)</f>
        <v>0</v>
      </c>
      <c r="G49" s="333">
        <f t="shared" ref="G49" ca="1" si="10">SUM(C49:F49)</f>
        <v>0</v>
      </c>
      <c r="H49" s="275">
        <f ca="1">IF($B$1&gt;=B50,SUMIFS(РД[S],РД[Дом],$B$2,РД[Состояние],"Продажа",РД[Дата подачи на регистрацию],"&gt;="&amp;DATE(YEAR($B49),MONTH($B49),1),РД[Дата подачи на регистрацию],"&lt;"&amp;$B50),'ПП Д4'!I66)</f>
        <v>0</v>
      </c>
      <c r="I49" s="276">
        <f ca="1">IF($B$1&gt;=B50,SUMIFS(РД[Стоимость без отделки итог],РД[Дом],$B$2,РД[Состояние],"Продажа",РД[Дата подачи на регистрацию],"&gt;="&amp;DATE(YEAR($B49),MONTH($B49),1),РД[Дата подачи на регистрацию],"&lt;"&amp;$B50),'ПП Д4'!L66)</f>
        <v>0</v>
      </c>
      <c r="J49" s="275">
        <f t="shared" ref="J49:J61" ca="1" si="11">IFERROR(I49/H49,)</f>
        <v>0</v>
      </c>
      <c r="L49" s="158">
        <v>0</v>
      </c>
      <c r="M49" s="384">
        <f>'Срез остатков'!C5</f>
        <v>0</v>
      </c>
      <c r="N49" s="384">
        <f>'Срез остатков'!C21</f>
        <v>0</v>
      </c>
      <c r="O49" s="384">
        <f>M49+N49</f>
        <v>0</v>
      </c>
      <c r="P49" s="39">
        <f ca="1">VLOOKUP(DATE(YEAR(TODAY()),MONTH(TODAY()),1),$B$48:$J$61,T49,0)</f>
        <v>0</v>
      </c>
      <c r="Q49" s="39">
        <f ca="1">COUNTIFS(РД[Тип кв],L49,РД[Дом],$B$2,РД[Дата подачи на регистрацию],"&gt;="&amp;DATE(YEAR($B$1),MONTH($B$1),1),РД[Дата подачи на регистрацию],"&lt;="&amp;$B$1)</f>
        <v>0</v>
      </c>
      <c r="R49" s="374">
        <f t="shared" ref="R49:R56" ca="1" si="12">IFERROR(Q49/P49,)</f>
        <v>0</v>
      </c>
      <c r="S49" s="39" t="str">
        <f ca="1">IF(O49&lt;P49,"пополни","ОК")</f>
        <v>ОК</v>
      </c>
      <c r="T49" s="406">
        <v>2</v>
      </c>
    </row>
    <row r="50" spans="2:20" ht="15.75" x14ac:dyDescent="0.25">
      <c r="B50" s="273">
        <v>45689</v>
      </c>
      <c r="C50" s="274">
        <f ca="1">IF($B$1&gt;=$B51,COUNTIFS(РД[Дата подачи на регистрацию],"&gt;="&amp;DATE(YEAR($B50),MONTH($B50),1),РД[Дата подачи на регистрацию],"&lt;"&amp;$B51,РД[Дом],$B$2,РД[Тип кв],C$3,РД[Состояние],"Продажа"),'ПП Д4'!D67)</f>
        <v>0</v>
      </c>
      <c r="D50" s="274">
        <f ca="1">IF($B$1&gt;=$B51,COUNTIFS(РД[Дата подачи на регистрацию],"&gt;="&amp;DATE(YEAR($B50),MONTH($B50),1),РД[Дата подачи на регистрацию],"&lt;"&amp;$B51,РД[Дом],$B$2,РД[Тип кв],D$3,РД[Состояние],"Продажа"),'ПП Д4'!E67)</f>
        <v>0</v>
      </c>
      <c r="E50" s="274">
        <f ca="1">IF($B$1&gt;=$B51,COUNTIFS(РД[Дата подачи на регистрацию],"&gt;="&amp;DATE(YEAR($B50),MONTH($B50),1),РД[Дата подачи на регистрацию],"&lt;"&amp;$B51,РД[Дом],$B$2,РД[Тип кв],E$3,РД[Состояние],"Продажа"),'ПП Д4'!F67)</f>
        <v>0</v>
      </c>
      <c r="F50" s="274">
        <f ca="1">IF($B$1&gt;=$B51,COUNTIFS(РД[Дата подачи на регистрацию],"&gt;="&amp;DATE(YEAR($B50),MONTH($B50),1),РД[Дата подачи на регистрацию],"&lt;"&amp;$B51,РД[Дом],$B$2,РД[Тип кв],F$3,РД[Состояние],"Продажа"),'ПП Д4'!G67)</f>
        <v>0</v>
      </c>
      <c r="G50" s="333">
        <f t="shared" ref="G50:G60" ca="1" si="13">SUM(C50:F50)</f>
        <v>0</v>
      </c>
      <c r="H50" s="275">
        <f ca="1">IF($B$1&gt;=B51,SUMIFS(РД[S],РД[Дом],$B$2,РД[Состояние],"Продажа",РД[Дата подачи на регистрацию],"&gt;="&amp;DATE(YEAR($B50),MONTH($B50),1),РД[Дата подачи на регистрацию],"&lt;"&amp;$B51),'ПП Д4'!I67)</f>
        <v>0</v>
      </c>
      <c r="I50" s="276">
        <f ca="1">IF($B$1&gt;=B51,SUMIFS(РД[Стоимость без отделки итог],РД[Дом],$B$2,РД[Состояние],"Продажа",РД[Дата подачи на регистрацию],"&gt;="&amp;DATE(YEAR($B50),MONTH($B50),1),РД[Дата подачи на регистрацию],"&lt;"&amp;$B51),'ПП Д4'!L67)</f>
        <v>0</v>
      </c>
      <c r="J50" s="275">
        <f t="shared" ref="J50:J60" ca="1" si="14">IFERROR(I50/H50,)</f>
        <v>0</v>
      </c>
      <c r="L50" s="159">
        <v>1</v>
      </c>
      <c r="M50" s="384">
        <f>'Срез остатков'!C6</f>
        <v>2</v>
      </c>
      <c r="N50" s="384">
        <f>'Срез остатков'!C22</f>
        <v>0</v>
      </c>
      <c r="O50" s="384">
        <f t="shared" ref="O50:O52" si="15">M50+N50</f>
        <v>2</v>
      </c>
      <c r="P50" s="39">
        <f ca="1">VLOOKUP(DATE(YEAR(TODAY()),MONTH(TODAY()),1),$B$48:$J$61,T50,0)</f>
        <v>0</v>
      </c>
      <c r="Q50" s="39">
        <f ca="1">COUNTIFS(РД[Тип кв],L50,РД[Дом],$B$2,РД[Дата подачи на регистрацию],"&gt;="&amp;DATE(YEAR($B$1),MONTH($B$1),1),РД[Дата подачи на регистрацию],"&lt;="&amp;$B$1)</f>
        <v>0</v>
      </c>
      <c r="R50" s="374">
        <f t="shared" ca="1" si="12"/>
        <v>0</v>
      </c>
      <c r="S50" s="39" t="str">
        <f ca="1">IF(O50&lt;P50,"пополни","ОК")</f>
        <v>ОК</v>
      </c>
      <c r="T50" s="406">
        <v>3</v>
      </c>
    </row>
    <row r="51" spans="2:20" ht="15.75" x14ac:dyDescent="0.25">
      <c r="B51" s="273">
        <v>45717</v>
      </c>
      <c r="C51" s="274">
        <f ca="1">IF($B$1&gt;=$B52,COUNTIFS(РД[Дата подачи на регистрацию],"&gt;="&amp;DATE(YEAR($B51),MONTH($B51),1),РД[Дата подачи на регистрацию],"&lt;"&amp;$B52,РД[Дом],$B$2,РД[Тип кв],C$3,РД[Состояние],"Продажа"),'ПП Д4'!D68)</f>
        <v>0</v>
      </c>
      <c r="D51" s="274">
        <f ca="1">IF($B$1&gt;=$B52,COUNTIFS(РД[Дата подачи на регистрацию],"&gt;="&amp;DATE(YEAR($B51),MONTH($B51),1),РД[Дата подачи на регистрацию],"&lt;"&amp;$B52,РД[Дом],$B$2,РД[Тип кв],D$3,РД[Состояние],"Продажа"),'ПП Д4'!E68)</f>
        <v>0</v>
      </c>
      <c r="E51" s="274">
        <f ca="1">IF($B$1&gt;=$B52,COUNTIFS(РД[Дата подачи на регистрацию],"&gt;="&amp;DATE(YEAR($B51),MONTH($B51),1),РД[Дата подачи на регистрацию],"&lt;"&amp;$B52,РД[Дом],$B$2,РД[Тип кв],E$3,РД[Состояние],"Продажа"),'ПП Д4'!F68)</f>
        <v>0</v>
      </c>
      <c r="F51" s="274">
        <f ca="1">IF($B$1&gt;=$B52,COUNTIFS(РД[Дата подачи на регистрацию],"&gt;="&amp;DATE(YEAR($B51),MONTH($B51),1),РД[Дата подачи на регистрацию],"&lt;"&amp;$B52,РД[Дом],$B$2,РД[Тип кв],F$3,РД[Состояние],"Продажа"),'ПП Д4'!G68)</f>
        <v>1</v>
      </c>
      <c r="G51" s="333">
        <f t="shared" ca="1" si="13"/>
        <v>1</v>
      </c>
      <c r="H51" s="275">
        <f ca="1">IF($B$1&gt;=B52,SUMIFS(РД[S],РД[Дом],$B$2,РД[Состояние],"Продажа",РД[Дата подачи на регистрацию],"&gt;="&amp;DATE(YEAR($B51),MONTH($B51),1),РД[Дата подачи на регистрацию],"&lt;"&amp;$B52),'ПП Д4'!I68)</f>
        <v>75.7</v>
      </c>
      <c r="I51" s="276">
        <f ca="1">IF($B$1&gt;=B52,SUMIFS(РД[Стоимость без отделки итог],РД[Дом],$B$2,РД[Состояние],"Продажа",РД[Дата подачи на регистрацию],"&gt;="&amp;DATE(YEAR($B51),MONTH($B51),1),РД[Дата подачи на регистрацию],"&lt;"&amp;$B52),'ПП Д4'!L68)</f>
        <v>8374500</v>
      </c>
      <c r="J51" s="275">
        <f t="shared" ca="1" si="14"/>
        <v>110627.47688243064</v>
      </c>
      <c r="L51" s="159">
        <v>2</v>
      </c>
      <c r="M51" s="384">
        <f>'Срез остатков'!C7</f>
        <v>3</v>
      </c>
      <c r="N51" s="384">
        <f>'Срез остатков'!C23</f>
        <v>0</v>
      </c>
      <c r="O51" s="384">
        <f t="shared" si="15"/>
        <v>3</v>
      </c>
      <c r="P51" s="39">
        <f ca="1">VLOOKUP(DATE(YEAR(TODAY()),MONTH(TODAY()),1),$B$48:$J$61,T51,0)</f>
        <v>1</v>
      </c>
      <c r="Q51" s="39">
        <f ca="1">COUNTIFS(РД[Тип кв],L51,РД[Дом],$B$2,РД[Дата подачи на регистрацию],"&gt;="&amp;DATE(YEAR($B$1),MONTH($B$1),1),РД[Дата подачи на регистрацию],"&lt;="&amp;$B$1)</f>
        <v>0</v>
      </c>
      <c r="R51" s="374">
        <f t="shared" ca="1" si="12"/>
        <v>0</v>
      </c>
      <c r="S51" s="39" t="str">
        <f ca="1">IF(O51&lt;P51,"пополни","ОК")</f>
        <v>ОК</v>
      </c>
      <c r="T51" s="406">
        <v>4</v>
      </c>
    </row>
    <row r="52" spans="2:20" ht="15.75" x14ac:dyDescent="0.25">
      <c r="B52" s="273">
        <v>45748</v>
      </c>
      <c r="C52" s="274">
        <f ca="1">IF($B$1&gt;=$B53,COUNTIFS(РД[Дата подачи на регистрацию],"&gt;="&amp;DATE(YEAR($B52),MONTH($B52),1),РД[Дата подачи на регистрацию],"&lt;"&amp;$B53,РД[Дом],$B$2,РД[Тип кв],C$3,РД[Состояние],"Продажа"),'ПП Д4'!D69)</f>
        <v>0</v>
      </c>
      <c r="D52" s="274">
        <f ca="1">IF($B$1&gt;=$B53,COUNTIFS(РД[Дата подачи на регистрацию],"&gt;="&amp;DATE(YEAR($B52),MONTH($B52),1),РД[Дата подачи на регистрацию],"&lt;"&amp;$B53,РД[Дом],$B$2,РД[Тип кв],D$3,РД[Состояние],"Продажа"),'ПП Д4'!E69)</f>
        <v>0</v>
      </c>
      <c r="E52" s="274">
        <f ca="1">IF($B$1&gt;=$B53,COUNTIFS(РД[Дата подачи на регистрацию],"&gt;="&amp;DATE(YEAR($B52),MONTH($B52),1),РД[Дата подачи на регистрацию],"&lt;"&amp;$B53,РД[Дом],$B$2,РД[Тип кв],E$3,РД[Состояние],"Продажа"),'ПП Д4'!F69)</f>
        <v>0</v>
      </c>
      <c r="F52" s="274">
        <f ca="1">IF($B$1&gt;=$B53,COUNTIFS(РД[Дата подачи на регистрацию],"&gt;="&amp;DATE(YEAR($B52),MONTH($B52),1),РД[Дата подачи на регистрацию],"&lt;"&amp;$B53,РД[Дом],$B$2,РД[Тип кв],F$3,РД[Состояние],"Продажа"),'ПП Д4'!G69)</f>
        <v>0</v>
      </c>
      <c r="G52" s="333">
        <f t="shared" ca="1" si="13"/>
        <v>0</v>
      </c>
      <c r="H52" s="275">
        <f ca="1">IF($B$1&gt;=B53,SUMIFS(РД[S],РД[Дом],$B$2,РД[Состояние],"Продажа",РД[Дата подачи на регистрацию],"&gt;="&amp;DATE(YEAR($B52),MONTH($B52),1),РД[Дата подачи на регистрацию],"&lt;"&amp;$B53),'ПП Д4'!I69)</f>
        <v>0</v>
      </c>
      <c r="I52" s="276">
        <f ca="1">IF($B$1&gt;=B53,SUMIFS(РД[Стоимость без отделки итог],РД[Дом],$B$2,РД[Состояние],"Продажа",РД[Дата подачи на регистрацию],"&gt;="&amp;DATE(YEAR($B52),MONTH($B52),1),РД[Дата подачи на регистрацию],"&lt;"&amp;$B53),'ПП Д4'!L69)</f>
        <v>0</v>
      </c>
      <c r="J52" s="275">
        <f t="shared" ca="1" si="14"/>
        <v>0</v>
      </c>
      <c r="L52" s="159">
        <v>3</v>
      </c>
      <c r="M52" s="384">
        <f>'Срез остатков'!C8</f>
        <v>0</v>
      </c>
      <c r="N52" s="384">
        <f>'Срез остатков'!C24</f>
        <v>0</v>
      </c>
      <c r="O52" s="384">
        <f t="shared" si="15"/>
        <v>0</v>
      </c>
      <c r="P52" s="39">
        <f ca="1">VLOOKUP(DATE(YEAR(TODAY()),MONTH(TODAY()),1),$B$48:$J$61,T52,0)</f>
        <v>0</v>
      </c>
      <c r="Q52" s="39">
        <f ca="1">COUNTIFS(РД[Тип кв],L52,РД[Дом],$B$2,РД[Дата подачи на регистрацию],"&gt;="&amp;DATE(YEAR($B$1),MONTH($B$1),1),РД[Дата подачи на регистрацию],"&lt;="&amp;$B$1)</f>
        <v>0</v>
      </c>
      <c r="R52" s="374">
        <f t="shared" ca="1" si="12"/>
        <v>0</v>
      </c>
      <c r="S52" s="39" t="str">
        <f ca="1">IF(O52&lt;P52,"пополни","ОК")</f>
        <v>ОК</v>
      </c>
      <c r="T52" s="406">
        <v>5</v>
      </c>
    </row>
    <row r="53" spans="2:20" x14ac:dyDescent="0.25">
      <c r="B53" s="273">
        <v>45778</v>
      </c>
      <c r="C53" s="274">
        <f ca="1">IF($B$1&gt;=$B54,COUNTIFS(РД[Дата подачи на регистрацию],"&gt;="&amp;DATE(YEAR($B53),MONTH($B53),1),РД[Дата подачи на регистрацию],"&lt;"&amp;$B54,РД[Дом],$B$2,РД[Тип кв],C$3,РД[Состояние],"Продажа"),'ПП Д4'!D70)</f>
        <v>0</v>
      </c>
      <c r="D53" s="274">
        <f ca="1">IF($B$1&gt;=$B54,COUNTIFS(РД[Дата подачи на регистрацию],"&gt;="&amp;DATE(YEAR($B53),MONTH($B53),1),РД[Дата подачи на регистрацию],"&lt;"&amp;$B54,РД[Дом],$B$2,РД[Тип кв],D$3,РД[Состояние],"Продажа"),'ПП Д4'!E70)</f>
        <v>0</v>
      </c>
      <c r="E53" s="274">
        <f ca="1">IF($B$1&gt;=$B54,COUNTIFS(РД[Дата подачи на регистрацию],"&gt;="&amp;DATE(YEAR($B53),MONTH($B53),1),РД[Дата подачи на регистрацию],"&lt;"&amp;$B54,РД[Дом],$B$2,РД[Тип кв],E$3,РД[Состояние],"Продажа"),'ПП Д4'!F70)</f>
        <v>0</v>
      </c>
      <c r="F53" s="274">
        <f ca="1">IF($B$1&gt;=$B54,COUNTIFS(РД[Дата подачи на регистрацию],"&gt;="&amp;DATE(YEAR($B53),MONTH($B53),1),РД[Дата подачи на регистрацию],"&lt;"&amp;$B54,РД[Дом],$B$2,РД[Тип кв],F$3,РД[Состояние],"Продажа"),'ПП Д4'!G70)</f>
        <v>0</v>
      </c>
      <c r="G53" s="333">
        <f t="shared" ca="1" si="13"/>
        <v>0</v>
      </c>
      <c r="H53" s="275">
        <f ca="1">IF($B$1&gt;=B54,SUMIFS(РД[S],РД[Дом],$B$2,РД[Состояние],"Продажа",РД[Дата подачи на регистрацию],"&gt;="&amp;DATE(YEAR($B53),MONTH($B53),1),РД[Дата подачи на регистрацию],"&lt;"&amp;$B54),'ПП Д4'!I70)</f>
        <v>0</v>
      </c>
      <c r="I53" s="276">
        <f ca="1">IF($B$1&gt;=B54,SUMIFS(РД[Стоимость без отделки итог],РД[Дом],$B$2,РД[Состояние],"Продажа",РД[Дата подачи на регистрацию],"&gt;="&amp;DATE(YEAR($B53),MONTH($B53),1),РД[Дата подачи на регистрацию],"&lt;"&amp;$B54),'ПП Д4'!L70)</f>
        <v>0</v>
      </c>
      <c r="J53" s="275">
        <f t="shared" ca="1" si="14"/>
        <v>0</v>
      </c>
      <c r="L53" s="398" t="s">
        <v>59</v>
      </c>
      <c r="M53" s="399">
        <f>SUM(M49:M52)</f>
        <v>5</v>
      </c>
      <c r="N53" s="399">
        <f>SUM(N49:N52)</f>
        <v>0</v>
      </c>
      <c r="O53" s="399">
        <f>SUM(O49:O52)</f>
        <v>5</v>
      </c>
      <c r="P53" s="399">
        <f ca="1">SUM(P49:P52)</f>
        <v>1</v>
      </c>
      <c r="Q53" s="399">
        <f ca="1">SUM(Q49:Q52)</f>
        <v>0</v>
      </c>
      <c r="R53" s="374">
        <f t="shared" ca="1" si="12"/>
        <v>0</v>
      </c>
      <c r="S53" s="401"/>
      <c r="T53" s="407"/>
    </row>
    <row r="54" spans="2:20" x14ac:dyDescent="0.25">
      <c r="B54" s="273">
        <v>45809</v>
      </c>
      <c r="C54" s="274">
        <f ca="1">IF($B$1&gt;=$B55,COUNTIFS(РД[Дата подачи на регистрацию],"&gt;="&amp;DATE(YEAR($B54),MONTH($B54),1),РД[Дата подачи на регистрацию],"&lt;"&amp;$B55,РД[Дом],$B$2,РД[Тип кв],C$3,РД[Состояние],"Продажа"),'ПП Д4'!D71)</f>
        <v>0</v>
      </c>
      <c r="D54" s="274">
        <f ca="1">IF($B$1&gt;=$B55,COUNTIFS(РД[Дата подачи на регистрацию],"&gt;="&amp;DATE(YEAR($B54),MONTH($B54),1),РД[Дата подачи на регистрацию],"&lt;"&amp;$B55,РД[Дом],$B$2,РД[Тип кв],D$3,РД[Состояние],"Продажа"),'ПП Д4'!E71)</f>
        <v>1</v>
      </c>
      <c r="E54" s="274">
        <f ca="1">IF($B$1&gt;=$B55,COUNTIFS(РД[Дата подачи на регистрацию],"&gt;="&amp;DATE(YEAR($B54),MONTH($B54),1),РД[Дата подачи на регистрацию],"&lt;"&amp;$B55,РД[Дом],$B$2,РД[Тип кв],E$3,РД[Состояние],"Продажа"),'ПП Д4'!F71)</f>
        <v>0</v>
      </c>
      <c r="F54" s="274">
        <f ca="1">IF($B$1&gt;=$B55,COUNTIFS(РД[Дата подачи на регистрацию],"&gt;="&amp;DATE(YEAR($B54),MONTH($B54),1),РД[Дата подачи на регистрацию],"&lt;"&amp;$B55,РД[Дом],$B$2,РД[Тип кв],F$3,РД[Состояние],"Продажа"),'ПП Д4'!G71)</f>
        <v>0</v>
      </c>
      <c r="G54" s="333">
        <f t="shared" ca="1" si="13"/>
        <v>1</v>
      </c>
      <c r="H54" s="275">
        <f ca="1">IF($B$1&gt;=B55,SUMIFS(РД[S],РД[Дом],$B$2,РД[Состояние],"Продажа",РД[Дата подачи на регистрацию],"&gt;="&amp;DATE(YEAR($B54),MONTH($B54),1),РД[Дата подачи на регистрацию],"&lt;"&amp;$B55),'ПП Д4'!I71)</f>
        <v>34.6</v>
      </c>
      <c r="I54" s="276">
        <f ca="1">IF($B$1&gt;=B55,SUMIFS(РД[Стоимость без отделки итог],РД[Дом],$B$2,РД[Состояние],"Продажа",РД[Дата подачи на регистрацию],"&gt;="&amp;DATE(YEAR($B54),MONTH($B54),1),РД[Дата подачи на регистрацию],"&lt;"&amp;$B55),'ПП Д4'!L71)</f>
        <v>4255800</v>
      </c>
      <c r="J54" s="275">
        <f t="shared" ca="1" si="14"/>
        <v>123000</v>
      </c>
      <c r="O54" s="364" t="s">
        <v>51</v>
      </c>
      <c r="P54" s="316">
        <f ca="1">VLOOKUP(DATE(YEAR(TODAY()),MONTH(TODAY()),1),$B$48:$J$61,7,0)</f>
        <v>63.300000000004125</v>
      </c>
      <c r="Q54" s="316">
        <f ca="1">SUMIFS(РД[S],РД[Дом],$B$2,РД[Дата подачи на регистрацию],"&gt;="&amp;DATE(YEAR($B$1),MONTH($B$1),1),РД[Дата подачи на регистрацию],"&lt;="&amp;$B$1)</f>
        <v>0</v>
      </c>
      <c r="R54" s="374">
        <f t="shared" ca="1" si="12"/>
        <v>0</v>
      </c>
    </row>
    <row r="55" spans="2:20" x14ac:dyDescent="0.25">
      <c r="B55" s="273">
        <v>45839</v>
      </c>
      <c r="C55" s="274">
        <f ca="1">IF($B$1&gt;=$B56,COUNTIFS(РД[Дата подачи на регистрацию],"&gt;="&amp;DATE(YEAR($B55),MONTH($B55),1),РД[Дата подачи на регистрацию],"&lt;"&amp;$B56,РД[Дом],$B$2,РД[Тип кв],C$3,РД[Состояние],"Продажа"),'ПП Д4'!D72)</f>
        <v>0</v>
      </c>
      <c r="D55" s="274">
        <f ca="1">IF($B$1&gt;=$B56,COUNTIFS(РД[Дата подачи на регистрацию],"&gt;="&amp;DATE(YEAR($B55),MONTH($B55),1),РД[Дата подачи на регистрацию],"&lt;"&amp;$B56,РД[Дом],$B$2,РД[Тип кв],D$3,РД[Состояние],"Продажа"),'ПП Д4'!E72)</f>
        <v>0</v>
      </c>
      <c r="E55" s="274">
        <f ca="1">IF($B$1&gt;=$B56,COUNTIFS(РД[Дата подачи на регистрацию],"&gt;="&amp;DATE(YEAR($B55),MONTH($B55),1),РД[Дата подачи на регистрацию],"&lt;"&amp;$B56,РД[Дом],$B$2,РД[Тип кв],E$3,РД[Состояние],"Продажа"),'ПП Д4'!F72)</f>
        <v>0</v>
      </c>
      <c r="F55" s="274">
        <f ca="1">IF($B$1&gt;=$B56,COUNTIFS(РД[Дата подачи на регистрацию],"&gt;="&amp;DATE(YEAR($B55),MONTH($B55),1),РД[Дата подачи на регистрацию],"&lt;"&amp;$B56,РД[Дом],$B$2,РД[Тип кв],F$3,РД[Состояние],"Продажа"),'ПП Д4'!G72)</f>
        <v>0</v>
      </c>
      <c r="G55" s="333">
        <f t="shared" ca="1" si="13"/>
        <v>0</v>
      </c>
      <c r="H55" s="275">
        <f ca="1">IF($B$1&gt;=B56,SUMIFS(РД[S],РД[Дом],$B$2,РД[Состояние],"Продажа",РД[Дата подачи на регистрацию],"&gt;="&amp;DATE(YEAR($B55),MONTH($B55),1),РД[Дата подачи на регистрацию],"&lt;"&amp;$B56),'ПП Д4'!I72)</f>
        <v>0</v>
      </c>
      <c r="I55" s="276">
        <f ca="1">IF($B$1&gt;=B56,SUMIFS(РД[Стоимость без отделки итог],РД[Дом],$B$2,РД[Состояние],"Продажа",РД[Дата подачи на регистрацию],"&gt;="&amp;DATE(YEAR($B55),MONTH($B55),1),РД[Дата подачи на регистрацию],"&lt;"&amp;$B56),'ПП Д4'!L72)</f>
        <v>0</v>
      </c>
      <c r="J55" s="275">
        <f t="shared" ca="1" si="14"/>
        <v>0</v>
      </c>
      <c r="O55" s="364" t="s">
        <v>52</v>
      </c>
      <c r="P55" s="316">
        <f ca="1">VLOOKUP(DATE(YEAR(TODAY()),MONTH(TODAY()),1),$B$48:$J$61,8,0)</f>
        <v>7279296.0003200155</v>
      </c>
      <c r="Q55" s="316">
        <f ca="1">SUMIFS(РД[Стоимость без отделки итог],РД[Дом],$B$2,РД[Дата подачи на регистрацию],"&gt;="&amp;DATE(YEAR($B$1),MONTH($B$1),1),РД[Дата подачи на регистрацию],"&lt;="&amp;$B$1)</f>
        <v>0</v>
      </c>
      <c r="R55" s="374">
        <f t="shared" ca="1" si="12"/>
        <v>0</v>
      </c>
    </row>
    <row r="56" spans="2:20" x14ac:dyDescent="0.25">
      <c r="B56" s="306">
        <v>45870</v>
      </c>
      <c r="C56" s="243">
        <f ca="1">IF($B$1&gt;=$B57,COUNTIFS(РД[Дата подачи на регистрацию],"&gt;="&amp;DATE(YEAR($B56),MONTH($B56),1),РД[Дата подачи на регистрацию],"&lt;"&amp;$B57,РД[Дом],$B$2,РД[Тип кв],C$3,РД[Состояние],"Продажа"),'ПП Д4'!D73)</f>
        <v>0</v>
      </c>
      <c r="D56" s="243">
        <f ca="1">IF($B$1&gt;=$B57,COUNTIFS(РД[Дата подачи на регистрацию],"&gt;="&amp;DATE(YEAR($B56),MONTH($B56),1),РД[Дата подачи на регистрацию],"&lt;"&amp;$B57,РД[Дом],$B$2,РД[Тип кв],D$3,РД[Состояние],"Продажа"),'ПП Д4'!E73)</f>
        <v>0</v>
      </c>
      <c r="E56" s="243">
        <f ca="1">IF($B$1&gt;=$B57,COUNTIFS(РД[Дата подачи на регистрацию],"&gt;="&amp;DATE(YEAR($B56),MONTH($B56),1),РД[Дата подачи на регистрацию],"&lt;"&amp;$B57,РД[Дом],$B$2,РД[Тип кв],E$3,РД[Состояние],"Продажа"),'ПП Д4'!F73)</f>
        <v>1</v>
      </c>
      <c r="F56" s="243">
        <f ca="1">IF($B$1&gt;=$B57,COUNTIFS(РД[Дата подачи на регистрацию],"&gt;="&amp;DATE(YEAR($B56),MONTH($B56),1),РД[Дата подачи на регистрацию],"&lt;"&amp;$B57,РД[Дом],$B$2,РД[Тип кв],F$3,РД[Состояние],"Продажа"),'ПП Д4'!G73)</f>
        <v>0</v>
      </c>
      <c r="G56" s="316">
        <f t="shared" ca="1" si="13"/>
        <v>1</v>
      </c>
      <c r="H56" s="47">
        <f ca="1">IF($B$1&gt;=B57,SUMIFS(РД[S],РД[Дом],$B$2,РД[Состояние],"Продажа",РД[Дата подачи на регистрацию],"&gt;="&amp;DATE(YEAR($B56),MONTH($B56),1),РД[Дата подачи на регистрацию],"&lt;"&amp;$B57),'ПП Д4'!I73)</f>
        <v>63.300000000004125</v>
      </c>
      <c r="I56" s="307">
        <f ca="1">IF($B$1&gt;=B57,SUMIFS(РД[Стоимость без отделки итог],РД[Дом],$B$2,РД[Состояние],"Продажа",РД[Дата подачи на регистрацию],"&gt;="&amp;DATE(YEAR($B56),MONTH($B56),1),РД[Дата подачи на регистрацию],"&lt;"&amp;$B57),'ПП Д4'!L73)</f>
        <v>7279296.0003200155</v>
      </c>
      <c r="J56" s="47">
        <f t="shared" ca="1" si="14"/>
        <v>114996.77725623288</v>
      </c>
      <c r="O56" s="364" t="s">
        <v>4307</v>
      </c>
      <c r="P56" s="316">
        <f ca="1">IFERROR(P55/P54,)</f>
        <v>114996.77725623288</v>
      </c>
      <c r="Q56" s="316">
        <f ca="1">IFERROR(Q55/Q54,)</f>
        <v>0</v>
      </c>
      <c r="R56" s="374">
        <f t="shared" ca="1" si="12"/>
        <v>0</v>
      </c>
    </row>
    <row r="57" spans="2:20" x14ac:dyDescent="0.25">
      <c r="B57" s="306">
        <v>45901</v>
      </c>
      <c r="C57" s="243">
        <f ca="1">IF($B$1&gt;=$B58,COUNTIFS(РД[Дата подачи на регистрацию],"&gt;="&amp;DATE(YEAR($B57),MONTH($B57),1),РД[Дата подачи на регистрацию],"&lt;"&amp;$B58,РД[Дом],$B$2,РД[Тип кв],C$3,РД[Состояние],"Продажа"),'ПП Д4'!D74)</f>
        <v>0</v>
      </c>
      <c r="D57" s="243">
        <f ca="1">IF($B$1&gt;=$B58,COUNTIFS(РД[Дата подачи на регистрацию],"&gt;="&amp;DATE(YEAR($B57),MONTH($B57),1),РД[Дата подачи на регистрацию],"&lt;"&amp;$B58,РД[Дом],$B$2,РД[Тип кв],D$3,РД[Состояние],"Продажа"),'ПП Д4'!E74)</f>
        <v>1</v>
      </c>
      <c r="E57" s="243">
        <f ca="1">IF($B$1&gt;=$B58,COUNTIFS(РД[Дата подачи на регистрацию],"&gt;="&amp;DATE(YEAR($B57),MONTH($B57),1),РД[Дата подачи на регистрацию],"&lt;"&amp;$B58,РД[Дом],$B$2,РД[Тип кв],E$3,РД[Состояние],"Продажа"),'ПП Д4'!F74)</f>
        <v>0</v>
      </c>
      <c r="F57" s="243">
        <f ca="1">IF($B$1&gt;=$B58,COUNTIFS(РД[Дата подачи на регистрацию],"&gt;="&amp;DATE(YEAR($B57),MONTH($B57),1),РД[Дата подачи на регистрацию],"&lt;"&amp;$B58,РД[Дом],$B$2,РД[Тип кв],F$3,РД[Состояние],"Продажа"),'ПП Д4'!G74)</f>
        <v>0</v>
      </c>
      <c r="G57" s="316">
        <f t="shared" ca="1" si="13"/>
        <v>1</v>
      </c>
      <c r="H57" s="47">
        <f ca="1">IF($B$1&gt;=B58,SUMIFS(РД[S],РД[Дом],$B$2,РД[Состояние],"Продажа",РД[Дата подачи на регистрацию],"&gt;="&amp;DATE(YEAR($B57),MONTH($B57),1),РД[Дата подачи на регистрацию],"&lt;"&amp;$B58),'ПП Д4'!I74)</f>
        <v>54.850000000001728</v>
      </c>
      <c r="I57" s="307">
        <f ca="1">IF($B$1&gt;=B58,SUMIFS(РД[Стоимость без отделки итог],РД[Дом],$B$2,РД[Состояние],"Продажа",РД[Дата подачи на регистрацию],"&gt;="&amp;DATE(YEAR($B57),MONTH($B57),1),РД[Дата подачи на регистрацию],"&lt;"&amp;$B58),'ПП Д4'!L74)</f>
        <v>6318719.9999998286</v>
      </c>
      <c r="J57" s="47">
        <f t="shared" ca="1" si="14"/>
        <v>115199.99999999325</v>
      </c>
      <c r="L57" s="245"/>
      <c r="M57" s="245"/>
      <c r="N57" s="245"/>
      <c r="O57" s="245"/>
      <c r="P57" s="245"/>
      <c r="Q57" s="245"/>
      <c r="R57" s="245"/>
      <c r="S57" s="245"/>
      <c r="T57" s="245"/>
    </row>
    <row r="58" spans="2:20" x14ac:dyDescent="0.25">
      <c r="B58" s="306">
        <v>45931</v>
      </c>
      <c r="C58" s="243">
        <f ca="1">IF($B$1&gt;=$B59,COUNTIFS(РД[Дата подачи на регистрацию],"&gt;="&amp;DATE(YEAR($B58),MONTH($B58),1),РД[Дата подачи на регистрацию],"&lt;"&amp;$B59,РД[Дом],$B$2,РД[Тип кв],C$3,РД[Состояние],"Продажа"),'ПП Д4'!D75)</f>
        <v>0</v>
      </c>
      <c r="D58" s="243">
        <f ca="1">IF($B$1&gt;=$B59,COUNTIFS(РД[Дата подачи на регистрацию],"&gt;="&amp;DATE(YEAR($B58),MONTH($B58),1),РД[Дата подачи на регистрацию],"&lt;"&amp;$B59,РД[Дом],$B$2,РД[Тип кв],D$3,РД[Состояние],"Продажа"),'ПП Д4'!E75)</f>
        <v>0</v>
      </c>
      <c r="E58" s="243">
        <f ca="1">IF($B$1&gt;=$B59,COUNTIFS(РД[Дата подачи на регистрацию],"&gt;="&amp;DATE(YEAR($B58),MONTH($B58),1),РД[Дата подачи на регистрацию],"&lt;"&amp;$B59,РД[Дом],$B$2,РД[Тип кв],E$3,РД[Состояние],"Продажа"),'ПП Д4'!F75)</f>
        <v>1</v>
      </c>
      <c r="F58" s="243">
        <f ca="1">IF($B$1&gt;=$B59,COUNTIFS(РД[Дата подачи на регистрацию],"&gt;="&amp;DATE(YEAR($B58),MONTH($B58),1),РД[Дата подачи на регистрацию],"&lt;"&amp;$B59,РД[Дом],$B$2,РД[Тип кв],F$3,РД[Состояние],"Продажа"),'ПП Д4'!G75)</f>
        <v>0</v>
      </c>
      <c r="G58" s="316">
        <f t="shared" ca="1" si="13"/>
        <v>1</v>
      </c>
      <c r="H58" s="47">
        <f ca="1">IF($B$1&gt;=B59,SUMIFS(РД[S],РД[Дом],$B$2,РД[Состояние],"Продажа",РД[Дата подачи на регистрацию],"&gt;="&amp;DATE(YEAR($B58),MONTH($B58),1),РД[Дата подачи на регистрацию],"&lt;"&amp;$B59),'ПП Д4'!I75)</f>
        <v>63.300000000004125</v>
      </c>
      <c r="I58" s="307">
        <f ca="1">IF($B$1&gt;=B59,SUMIFS(РД[Стоимость без отделки итог],РД[Дом],$B$2,РД[Состояние],"Продажа",РД[Дата подачи на регистрацию],"&gt;="&amp;DATE(YEAR($B58),MONTH($B58),1),РД[Дата подачи на регистрацию],"&lt;"&amp;$B59),'ПП Д4'!L75)</f>
        <v>7279296.0003200155</v>
      </c>
      <c r="J58" s="47">
        <f t="shared" ca="1" si="14"/>
        <v>114996.77725623288</v>
      </c>
      <c r="L58" s="245"/>
      <c r="M58" s="245"/>
      <c r="N58" s="245"/>
      <c r="O58" s="245"/>
      <c r="P58" s="245"/>
      <c r="Q58" s="245"/>
      <c r="R58" s="245"/>
      <c r="S58" s="245"/>
      <c r="T58" s="245"/>
    </row>
    <row r="59" spans="2:20" x14ac:dyDescent="0.25">
      <c r="B59" s="306">
        <v>45962</v>
      </c>
      <c r="C59" s="243">
        <f ca="1">IF($B$1&gt;=$B60,COUNTIFS(РД[Дата подачи на регистрацию],"&gt;="&amp;DATE(YEAR($B59),MONTH($B59),1),РД[Дата подачи на регистрацию],"&lt;"&amp;$B60,РД[Дом],$B$2,РД[Тип кв],C$3,РД[Состояние],"Продажа"),'ПП Д4'!D76)</f>
        <v>0</v>
      </c>
      <c r="D59" s="243">
        <f ca="1">IF($B$1&gt;=$B60,COUNTIFS(РД[Дата подачи на регистрацию],"&gt;="&amp;DATE(YEAR($B59),MONTH($B59),1),РД[Дата подачи на регистрацию],"&lt;"&amp;$B60,РД[Дом],$B$2,РД[Тип кв],D$3,РД[Состояние],"Продажа"),'ПП Д4'!E76)</f>
        <v>0</v>
      </c>
      <c r="E59" s="243">
        <f ca="1">IF($B$1&gt;=$B60,COUNTIFS(РД[Дата подачи на регистрацию],"&gt;="&amp;DATE(YEAR($B59),MONTH($B59),1),РД[Дата подачи на регистрацию],"&lt;"&amp;$B60,РД[Дом],$B$2,РД[Тип кв],E$3,РД[Состояние],"Продажа"),'ПП Д4'!F76)</f>
        <v>1</v>
      </c>
      <c r="F59" s="243">
        <f ca="1">IF($B$1&gt;=$B60,COUNTIFS(РД[Дата подачи на регистрацию],"&gt;="&amp;DATE(YEAR($B59),MONTH($B59),1),РД[Дата подачи на регистрацию],"&lt;"&amp;$B60,РД[Дом],$B$2,РД[Тип кв],F$3,РД[Состояние],"Продажа"),'ПП Д4'!G76)</f>
        <v>0</v>
      </c>
      <c r="G59" s="316">
        <f t="shared" ca="1" si="13"/>
        <v>1</v>
      </c>
      <c r="H59" s="47">
        <f ca="1">IF($B$1&gt;=B60,SUMIFS(РД[S],РД[Дом],$B$2,РД[Состояние],"Продажа",РД[Дата подачи на регистрацию],"&gt;="&amp;DATE(YEAR($B59),MONTH($B59),1),РД[Дата подачи на регистрацию],"&lt;"&amp;$B60),'ПП Д4'!I76)</f>
        <v>63.300000000004125</v>
      </c>
      <c r="I59" s="307">
        <f ca="1">IF($B$1&gt;=B60,SUMIFS(РД[Стоимость без отделки итог],РД[Дом],$B$2,РД[Состояние],"Продажа",РД[Дата подачи на регистрацию],"&gt;="&amp;DATE(YEAR($B59),MONTH($B59),1),РД[Дата подачи на регистрацию],"&lt;"&amp;$B60),'ПП Д4'!L76)</f>
        <v>7279296.0003200155</v>
      </c>
      <c r="J59" s="47">
        <f t="shared" ca="1" si="14"/>
        <v>114996.77725623288</v>
      </c>
    </row>
    <row r="60" spans="2:20" x14ac:dyDescent="0.25">
      <c r="B60" s="306">
        <v>45992</v>
      </c>
      <c r="C60" s="243">
        <f ca="1">IF($B$1&gt;=$B61,COUNTIFS(РД[Дата подачи на регистрацию],"&gt;="&amp;DATE(YEAR($B60),MONTH($B60),1),РД[Дата подачи на регистрацию],"&lt;"&amp;$B61,РД[Дом],$B$2,РД[Тип кв],C$3,РД[Состояние],"Продажа"),'ПП Д4'!D77)</f>
        <v>0</v>
      </c>
      <c r="D60" s="243">
        <f ca="1">IF($B$1&gt;=$B61,COUNTIFS(РД[Дата подачи на регистрацию],"&gt;="&amp;DATE(YEAR($B60),MONTH($B60),1),РД[Дата подачи на регистрацию],"&lt;"&amp;$B61,РД[Дом],$B$2,РД[Тип кв],D$3,РД[Состояние],"Продажа"),'ПП Д4'!E77)</f>
        <v>1</v>
      </c>
      <c r="E60" s="243">
        <f ca="1">IF($B$1&gt;=$B61,COUNTIFS(РД[Дата подачи на регистрацию],"&gt;="&amp;DATE(YEAR($B60),MONTH($B60),1),РД[Дата подачи на регистрацию],"&lt;"&amp;$B61,РД[Дом],$B$2,РД[Тип кв],E$3,РД[Состояние],"Продажа"),'ПП Д4'!F77)</f>
        <v>0</v>
      </c>
      <c r="F60" s="243">
        <f ca="1">IF($B$1&gt;=$B61,COUNTIFS(РД[Дата подачи на регистрацию],"&gt;="&amp;DATE(YEAR($B60),MONTH($B60),1),РД[Дата подачи на регистрацию],"&lt;"&amp;$B61,РД[Дом],$B$2,РД[Тип кв],F$3,РД[Состояние],"Продажа"),'ПП Д4'!G77)</f>
        <v>0</v>
      </c>
      <c r="G60" s="316">
        <f t="shared" ca="1" si="13"/>
        <v>1</v>
      </c>
      <c r="H60" s="47">
        <f ca="1">IF($B$1&gt;=B61,SUMIFS(РД[S],РД[Дом],$B$2,РД[Состояние],"Продажа",РД[Дата подачи на регистрацию],"&gt;="&amp;DATE(YEAR($B60),MONTH($B60),1),РД[Дата подачи на регистрацию],"&lt;"&amp;$B61),'ПП Д4'!I77)</f>
        <v>54.850000000001728</v>
      </c>
      <c r="I60" s="307">
        <f ca="1">IF($B$1&gt;=B61,SUMIFS(РД[Стоимость без отделки итог],РД[Дом],$B$2,РД[Состояние],"Продажа",РД[Дата подачи на регистрацию],"&gt;="&amp;DATE(YEAR($B60),MONTH($B60),1),РД[Дата подачи на регистрацию],"&lt;"&amp;$B61),'ПП Д4'!L77)</f>
        <v>6318719.9999998286</v>
      </c>
      <c r="J60" s="47">
        <f t="shared" ca="1" si="14"/>
        <v>115199.99999999325</v>
      </c>
    </row>
    <row r="61" spans="2:20" x14ac:dyDescent="0.25">
      <c r="B61" s="154" t="str">
        <f>'ПП Д4'!C78</f>
        <v>Итого по 2025</v>
      </c>
      <c r="C61" s="482">
        <f t="shared" ref="C61:I61" ca="1" si="16">SUM(C49:C60)</f>
        <v>0</v>
      </c>
      <c r="D61" s="482">
        <f t="shared" ca="1" si="16"/>
        <v>3</v>
      </c>
      <c r="E61" s="482">
        <f t="shared" ca="1" si="16"/>
        <v>3</v>
      </c>
      <c r="F61" s="482">
        <f t="shared" ca="1" si="16"/>
        <v>1</v>
      </c>
      <c r="G61" s="482">
        <f t="shared" ca="1" si="16"/>
        <v>7</v>
      </c>
      <c r="H61" s="482">
        <f t="shared" ca="1" si="16"/>
        <v>409.90000000001584</v>
      </c>
      <c r="I61" s="482">
        <f t="shared" ca="1" si="16"/>
        <v>47105628.000959709</v>
      </c>
      <c r="J61" s="156">
        <f t="shared" ca="1" si="11"/>
        <v>114919.80483278334</v>
      </c>
    </row>
    <row r="62" spans="2:20" ht="15.75" thickBot="1" x14ac:dyDescent="0.3">
      <c r="C62" s="34"/>
      <c r="D62" s="34"/>
      <c r="E62" s="34"/>
      <c r="F62" s="34"/>
      <c r="G62" s="34"/>
      <c r="H62" s="32"/>
      <c r="I62" s="32"/>
      <c r="J62" s="32"/>
    </row>
    <row r="63" spans="2:20" ht="15.75" x14ac:dyDescent="0.25">
      <c r="B63" s="162" t="s">
        <v>0</v>
      </c>
      <c r="C63" s="163">
        <v>0</v>
      </c>
      <c r="D63" s="164">
        <v>1</v>
      </c>
      <c r="E63" s="164">
        <v>2</v>
      </c>
      <c r="F63" s="164">
        <v>3</v>
      </c>
      <c r="G63" s="165" t="s">
        <v>59</v>
      </c>
      <c r="H63" s="166" t="s">
        <v>51</v>
      </c>
      <c r="I63" s="166" t="s">
        <v>58</v>
      </c>
      <c r="J63" s="167" t="s">
        <v>17</v>
      </c>
    </row>
    <row r="64" spans="2:20" ht="15.75" thickBot="1" x14ac:dyDescent="0.3">
      <c r="B64" s="168" t="s">
        <v>61</v>
      </c>
      <c r="C64" s="169">
        <f ca="1">C31+C16+C46+C61</f>
        <v>91</v>
      </c>
      <c r="D64" s="169">
        <f t="shared" ref="D64:I64" ca="1" si="17">D31+D16+D46+D61</f>
        <v>189</v>
      </c>
      <c r="E64" s="169">
        <f t="shared" ca="1" si="17"/>
        <v>204</v>
      </c>
      <c r="F64" s="169">
        <f t="shared" ca="1" si="17"/>
        <v>52</v>
      </c>
      <c r="G64" s="169">
        <f t="shared" ca="1" si="17"/>
        <v>536</v>
      </c>
      <c r="H64" s="169">
        <f t="shared" ca="1" si="17"/>
        <v>25898.280000000013</v>
      </c>
      <c r="I64" s="169">
        <f t="shared" ca="1" si="17"/>
        <v>2231419657.1599603</v>
      </c>
      <c r="J64" s="171">
        <f ca="1">IFERROR(I64/H64,)</f>
        <v>86160.921001702009</v>
      </c>
    </row>
    <row r="65" spans="8:8" x14ac:dyDescent="0.25">
      <c r="H65" s="16"/>
    </row>
  </sheetData>
  <mergeCells count="1">
    <mergeCell ref="L47:T47"/>
  </mergeCells>
  <conditionalFormatting sqref="R49:R56">
    <cfRule type="colorScale" priority="1">
      <colorScale>
        <cfvo type="percentile" val="10"/>
        <cfvo type="percentile" val="40"/>
        <cfvo type="num" val="1"/>
        <color rgb="FFFF0000"/>
        <color rgb="FFFFEB84"/>
        <color rgb="FF63BE7B"/>
      </colorScale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2493F-FEEB-4BEE-A6EE-B5049083C4EB}">
  <sheetPr codeName="Лист8">
    <tabColor theme="9" tint="-0.249977111117893"/>
    <pageSetUpPr fitToPage="1"/>
  </sheetPr>
  <dimension ref="B2:K55"/>
  <sheetViews>
    <sheetView workbookViewId="0">
      <selection activeCell="M44" sqref="M44:M45"/>
    </sheetView>
  </sheetViews>
  <sheetFormatPr defaultColWidth="9.140625" defaultRowHeight="15" x14ac:dyDescent="0.25"/>
  <cols>
    <col min="1" max="1" width="10.28515625" style="299" bestFit="1" customWidth="1"/>
    <col min="2" max="2" width="18.42578125" style="299" bestFit="1" customWidth="1"/>
    <col min="3" max="3" width="10.140625" style="299" bestFit="1" customWidth="1"/>
    <col min="4" max="4" width="11.7109375" style="299" bestFit="1" customWidth="1"/>
    <col min="5" max="5" width="16.5703125" style="299" bestFit="1" customWidth="1"/>
    <col min="6" max="6" width="13.140625" style="299" bestFit="1" customWidth="1"/>
    <col min="7" max="9" width="9.140625" style="299"/>
    <col min="10" max="10" width="9.28515625" style="299" bestFit="1" customWidth="1"/>
    <col min="11" max="11" width="12.42578125" style="299" bestFit="1" customWidth="1"/>
    <col min="12" max="16384" width="9.140625" style="299"/>
  </cols>
  <sheetData>
    <row r="2" spans="2:11" x14ac:dyDescent="0.25">
      <c r="B2" s="110" t="s">
        <v>3946</v>
      </c>
      <c r="C2" s="464">
        <f ca="1">TODAY()</f>
        <v>45891</v>
      </c>
      <c r="D2" s="17"/>
      <c r="E2" s="17"/>
      <c r="F2" s="17"/>
    </row>
    <row r="3" spans="2:11" s="26" customFormat="1" ht="15.75" x14ac:dyDescent="0.25">
      <c r="B3" s="157" t="s">
        <v>0</v>
      </c>
      <c r="C3" s="300" t="s">
        <v>4080</v>
      </c>
      <c r="D3" s="301" t="s">
        <v>51</v>
      </c>
      <c r="E3" s="301" t="s">
        <v>58</v>
      </c>
      <c r="F3" s="301" t="s">
        <v>17</v>
      </c>
    </row>
    <row r="4" spans="2:11" s="26" customFormat="1" ht="15.75" hidden="1" x14ac:dyDescent="0.25">
      <c r="B4" s="273">
        <v>44926</v>
      </c>
      <c r="C4" s="274">
        <f ca="1">IF($C$2&gt;=$B8,COUNTIFS(РД[Дата подачи на регистрацию],"&gt;="&amp;DATE(YEAR($B4),MONTH($B4),1),РД[Дата подачи на регистрацию],"&lt;"&amp;$B8,РД[Состояние],"Коммерция"),COUNTIF(Таблица2[Планируемая дата продажи],B4))</f>
        <v>2</v>
      </c>
      <c r="D4" s="274">
        <f ca="1">IF($C$2&gt;=B8,SUMIFS(РД[S],РД[Состояние],"Коммерция",РД[Дата подачи на регистрацию],"&gt;="&amp;DATE(YEAR($B4),MONTH($B4),1),РД[Дата подачи на регистрацию],"&lt;"&amp;$B8),COUNTIF(Таблица2[Площадь],B4))</f>
        <v>220.5</v>
      </c>
      <c r="E4" s="276">
        <f ca="1">IF($C$2&gt;=B8,SUMIFS(РД[Стоимость с отделкой итог],РД[Состояние],"Коммерция",РД[Дата подачи на регистрацию],"&gt;="&amp;DATE(YEAR($B4),MONTH($B4),1),РД[Дата подачи на регистрацию],"&lt;"&amp;$B8),COUNTIF(Таблица2[Стоимость],B4))</f>
        <v>23152500</v>
      </c>
      <c r="F4" s="275">
        <v>105000</v>
      </c>
    </row>
    <row r="5" spans="2:11" s="26" customFormat="1" ht="15.75" x14ac:dyDescent="0.25">
      <c r="B5" s="154" t="s">
        <v>29</v>
      </c>
      <c r="C5" s="155">
        <f ca="1">SUM(C4)</f>
        <v>2</v>
      </c>
      <c r="D5" s="155">
        <f ca="1">SUM(D4)</f>
        <v>220.5</v>
      </c>
      <c r="E5" s="155">
        <f ca="1">SUM(E4)</f>
        <v>23152500</v>
      </c>
      <c r="F5" s="155">
        <f ca="1">E5/D5</f>
        <v>105000</v>
      </c>
    </row>
    <row r="6" spans="2:11" s="272" customFormat="1" ht="15.75" x14ac:dyDescent="0.25">
      <c r="B6" s="267"/>
      <c r="C6" s="268"/>
      <c r="D6" s="269"/>
      <c r="E6" s="270"/>
      <c r="F6" s="271"/>
    </row>
    <row r="7" spans="2:11" s="26" customFormat="1" ht="15.75" x14ac:dyDescent="0.25">
      <c r="B7" s="157" t="s">
        <v>0</v>
      </c>
      <c r="C7" s="300" t="s">
        <v>4080</v>
      </c>
      <c r="D7" s="301" t="s">
        <v>51</v>
      </c>
      <c r="E7" s="301" t="s">
        <v>58</v>
      </c>
      <c r="F7" s="301" t="s">
        <v>17</v>
      </c>
    </row>
    <row r="8" spans="2:11" hidden="1" x14ac:dyDescent="0.25">
      <c r="B8" s="273">
        <v>44927</v>
      </c>
      <c r="C8" s="274">
        <f ca="1">IF($C$2&gt;=$B9,COUNTIFS(РД[Дата подачи на регистрацию],"&gt;="&amp;DATE(YEAR($B8),MONTH($B8),1),РД[Дата подачи на регистрацию],"&lt;"&amp;$B9,РД[Состояние],"Коммерция"),COUNTIF(Таблица2[Планируемая дата продажи],B8))</f>
        <v>4</v>
      </c>
      <c r="D8" s="274">
        <f ca="1">IF($C$2&gt;=B9,SUMIFS(РД[S],РД[Состояние],"Коммерция",РД[Дата подачи на регистрацию],"&gt;="&amp;DATE(YEAR($B8),MONTH($B8),1),РД[Дата подачи на регистрацию],"&lt;"&amp;$B9),SUMIF(Таблица2[Планируемая дата продажи],B8,Таблица2[Площадь]))</f>
        <v>391.97999999999996</v>
      </c>
      <c r="E8" s="276">
        <f ca="1">IF($C$2&gt;=B9,SUMIFS(РД[Стоимость с отделкой итог],РД[Состояние],"Коммерция",РД[Дата подачи на регистрацию],"&gt;="&amp;DATE(YEAR($B8),MONTH($B8),1),РД[Дата подачи на регистрацию],"&lt;"&amp;$B9),SUMIF(Таблица2[Планируемая дата продажи],B8,Таблица2[Стоимость]))</f>
        <v>38335900</v>
      </c>
      <c r="F8" s="275">
        <f t="shared" ref="F8:F19" ca="1" si="0">IFERROR(E8/D8,)</f>
        <v>97800.653094545647</v>
      </c>
    </row>
    <row r="9" spans="2:11" hidden="1" x14ac:dyDescent="0.25">
      <c r="B9" s="273">
        <v>44958</v>
      </c>
      <c r="C9" s="274">
        <f ca="1">IF($C$2&gt;=$B10,COUNTIFS(РД[Дата подачи на регистрацию],"&gt;="&amp;DATE(YEAR($B9),MONTH($B9),1),РД[Дата подачи на регистрацию],"&lt;"&amp;$B10,РД[Состояние],"Коммерция"),COUNTIF(Таблица2[Планируемая дата продажи],B9))</f>
        <v>4</v>
      </c>
      <c r="D9" s="274">
        <f ca="1">IF($C$2&gt;=B10,SUMIFS(РД[S],РД[Состояние],"Коммерция",РД[Дата подачи на регистрацию],"&gt;="&amp;DATE(YEAR($B9),MONTH($B9),1),РД[Дата подачи на регистрацию],"&lt;"&amp;$B10),SUMIF(Таблица2[Планируемая дата продажи],B9,Таблица2[Площадь]))</f>
        <v>367.32</v>
      </c>
      <c r="E9" s="276">
        <f ca="1">IF($C$2&gt;=B10,SUMIFS(РД[Стоимость с отделкой итог],РД[Состояние],"Коммерция",РД[Дата подачи на регистрацию],"&gt;="&amp;DATE(YEAR($B9),MONTH($B9),1),РД[Дата подачи на регистрацию],"&lt;"&amp;$B10),SUMIF(Таблица2[Планируемая дата продажи],B9,Таблица2[Стоимость]))</f>
        <v>37757950</v>
      </c>
      <c r="F9" s="275">
        <f t="shared" ca="1" si="0"/>
        <v>102793.06871392792</v>
      </c>
    </row>
    <row r="10" spans="2:11" hidden="1" x14ac:dyDescent="0.25">
      <c r="B10" s="273">
        <v>44986</v>
      </c>
      <c r="C10" s="274">
        <f ca="1">IF($C$2&gt;=$B11,COUNTIFS(РД[Дата подачи на регистрацию],"&gt;="&amp;DATE(YEAR($B10),MONTH($B10),1),РД[Дата подачи на регистрацию],"&lt;"&amp;$B11,РД[Состояние],"Коммерция"),COUNTIF(Таблица2[Планируемая дата продажи],B10))</f>
        <v>1</v>
      </c>
      <c r="D10" s="274">
        <f ca="1">IF($C$2&gt;=B11,SUMIFS(РД[S],РД[Состояние],"Коммерция",РД[Дата подачи на регистрацию],"&gt;="&amp;DATE(YEAR($B10),MONTH($B10),1),РД[Дата подачи на регистрацию],"&lt;"&amp;$B11),SUMIF(Таблица2[Планируемая дата продажи],B10,Таблица2[Площадь]))</f>
        <v>134.52000000000001</v>
      </c>
      <c r="E10" s="276">
        <f ca="1">IF($C$2&gt;=B11,SUMIFS(РД[Стоимость с отделкой итог],РД[Состояние],"Коммерция",РД[Дата подачи на регистрацию],"&gt;="&amp;DATE(YEAR($B10),MONTH($B10),1),РД[Дата подачи на регистрацию],"&lt;"&amp;$B11),SUMIF(Таблица2[Планируемая дата продажи],B10,Таблица2[Стоимость]))</f>
        <v>12779400</v>
      </c>
      <c r="F10" s="275">
        <f t="shared" ca="1" si="0"/>
        <v>95000</v>
      </c>
    </row>
    <row r="11" spans="2:11" hidden="1" x14ac:dyDescent="0.25">
      <c r="B11" s="273">
        <v>45017</v>
      </c>
      <c r="C11" s="274">
        <f ca="1">IF($C$2&gt;=$B12,COUNTIFS(РД[Дата подачи на регистрацию],"&gt;="&amp;DATE(YEAR($B11),MONTH($B11),1),РД[Дата подачи на регистрацию],"&lt;"&amp;$B12,РД[Состояние],"Коммерция"),COUNTIF(Таблица2[Планируемая дата продажи],B11))</f>
        <v>0</v>
      </c>
      <c r="D11" s="274">
        <f ca="1">IF($C$2&gt;=B12,SUMIFS(РД[S],РД[Состояние],"Коммерция",РД[Дата подачи на регистрацию],"&gt;="&amp;DATE(YEAR($B11),MONTH($B11),1),РД[Дата подачи на регистрацию],"&lt;"&amp;$B12),SUMIF(Таблица2[Планируемая дата продажи],B11,Таблица2[Площадь]))</f>
        <v>0</v>
      </c>
      <c r="E11" s="276">
        <f ca="1">IF($C$2&gt;=B12,SUMIFS(РД[Стоимость с отделкой итог],РД[Состояние],"Коммерция",РД[Дата подачи на регистрацию],"&gt;="&amp;DATE(YEAR($B11),MONTH($B11),1),РД[Дата подачи на регистрацию],"&lt;"&amp;$B12),SUMIF(Таблица2[Планируемая дата продажи],B11,Таблица2[Стоимость]))</f>
        <v>0</v>
      </c>
      <c r="F11" s="275">
        <f t="shared" ca="1" si="0"/>
        <v>0</v>
      </c>
    </row>
    <row r="12" spans="2:11" hidden="1" x14ac:dyDescent="0.25">
      <c r="B12" s="273">
        <v>45047</v>
      </c>
      <c r="C12" s="274">
        <f ca="1">IF($C$2&gt;=$B13,COUNTIFS(РД[Дата подачи на регистрацию],"&gt;="&amp;DATE(YEAR($B12),MONTH($B12),1),РД[Дата подачи на регистрацию],"&lt;"&amp;$B13,РД[Состояние],"Коммерция"),COUNTIF(Таблица2[Планируемая дата продажи],B12))</f>
        <v>1</v>
      </c>
      <c r="D12" s="274">
        <f ca="1">IF($C$2&gt;=B13,SUMIFS(РД[S],РД[Состояние],"Коммерция",РД[Дата подачи на регистрацию],"&gt;="&amp;DATE(YEAR($B12),MONTH($B12),1),РД[Дата подачи на регистрацию],"&lt;"&amp;$B13),SUMIF(Таблица2[Планируемая дата продажи],B12,Таблица2[Площадь]))</f>
        <v>79.2</v>
      </c>
      <c r="E12" s="276">
        <f ca="1">IF($C$2&gt;=B13,SUMIFS(РД[Стоимость с отделкой итог],РД[Состояние],"Коммерция",РД[Дата подачи на регистрацию],"&gt;="&amp;DATE(YEAR($B12),MONTH($B12),1),РД[Дата подачи на регистрацию],"&lt;"&amp;$B13),SUMIF(Таблица2[Планируемая дата продажи],B12,Таблица2[Стоимость]))</f>
        <v>9108000</v>
      </c>
      <c r="F12" s="275">
        <f t="shared" ca="1" si="0"/>
        <v>115000</v>
      </c>
    </row>
    <row r="13" spans="2:11" hidden="1" x14ac:dyDescent="0.25">
      <c r="B13" s="273">
        <v>45078</v>
      </c>
      <c r="C13" s="274">
        <f ca="1">IF($C$2&gt;=$B14,COUNTIFS(РД[Дата подачи на регистрацию],"&gt;="&amp;DATE(YEAR($B13),MONTH($B13),1),РД[Дата подачи на регистрацию],"&lt;"&amp;$B14,РД[Состояние],"Коммерция"),COUNTIF(Таблица2[Планируемая дата продажи],B13))</f>
        <v>6</v>
      </c>
      <c r="D13" s="274">
        <f ca="1">IF($C$2&gt;=B14,SUMIFS(РД[S],РД[Состояние],"Коммерция",РД[Дата подачи на регистрацию],"&gt;="&amp;DATE(YEAR($B13),MONTH($B13),1),РД[Дата подачи на регистрацию],"&lt;"&amp;$B14),SUMIF(Таблица2[Планируемая дата продажи],B13,Таблица2[Площадь]))</f>
        <v>554.49</v>
      </c>
      <c r="E13" s="276">
        <f ca="1">IF($C$2&gt;=B14,SUMIFS(РД[Стоимость с отделкой итог],РД[Состояние],"Коммерция",РД[Дата подачи на регистрацию],"&gt;="&amp;DATE(YEAR($B13),MONTH($B13),1),РД[Дата подачи на регистрацию],"&lt;"&amp;$B14),SUMIF(Таблица2[Планируемая дата продажи],B13,Таблица2[Стоимость]))</f>
        <v>63984242</v>
      </c>
      <c r="F13" s="275">
        <f t="shared" ca="1" si="0"/>
        <v>115392.95929592958</v>
      </c>
      <c r="J13" s="313"/>
      <c r="K13" s="313"/>
    </row>
    <row r="14" spans="2:11" hidden="1" x14ac:dyDescent="0.25">
      <c r="B14" s="273">
        <v>45108</v>
      </c>
      <c r="C14" s="274">
        <f ca="1">IF($C$2&gt;=$B15,COUNTIFS(РД[Дата подачи на регистрацию],"&gt;="&amp;DATE(YEAR($B14),MONTH($B14),1),РД[Дата подачи на регистрацию],"&lt;"&amp;$B15,РД[Состояние],"Коммерция"),COUNTIF(Таблица2[Планируемая дата продажи],B14))</f>
        <v>3</v>
      </c>
      <c r="D14" s="274">
        <f ca="1">IF($C$2&gt;=B15,SUMIFS(РД[S],РД[Состояние],"Коммерция",РД[Дата подачи на регистрацию],"&gt;="&amp;DATE(YEAR($B14),MONTH($B14),1),РД[Дата подачи на регистрацию],"&lt;"&amp;$B15),SUMIF(Таблица2[Планируемая дата продажи],B14,Таблица2[Площадь]))</f>
        <v>284.60000000000002</v>
      </c>
      <c r="E14" s="276">
        <f ca="1">IF($C$2&gt;=B15,SUMIFS(РД[Стоимость с отделкой итог],РД[Состояние],"Коммерция",РД[Дата подачи на регистрацию],"&gt;="&amp;DATE(YEAR($B14),MONTH($B14),1),РД[Дата подачи на регистрацию],"&lt;"&amp;$B15),SUMIF(Таблица2[Планируемая дата продажи],B14,Таблица2[Стоимость]))</f>
        <v>34630791</v>
      </c>
      <c r="F14" s="275">
        <f t="shared" ca="1" si="0"/>
        <v>121682.32958538298</v>
      </c>
      <c r="J14" s="313"/>
      <c r="K14" s="313"/>
    </row>
    <row r="15" spans="2:11" hidden="1" x14ac:dyDescent="0.25">
      <c r="B15" s="273">
        <v>45139</v>
      </c>
      <c r="C15" s="274">
        <f ca="1">IF($C$2&gt;=$B16,COUNTIFS(РД[Дата подачи на регистрацию],"&gt;="&amp;DATE(YEAR($B15),MONTH($B15),1),РД[Дата подачи на регистрацию],"&lt;"&amp;$B16,РД[Состояние],"Коммерция"),COUNTIF(Таблица2[Планируемая дата продажи],B15))</f>
        <v>3</v>
      </c>
      <c r="D15" s="274">
        <f ca="1">IF($C$2&gt;=B16,SUMIFS(РД[S],РД[Состояние],"Коммерция",РД[Дата подачи на регистрацию],"&gt;="&amp;DATE(YEAR($B15),MONTH($B15),1),РД[Дата подачи на регистрацию],"&lt;"&amp;$B16),SUMIF(Таблица2[Планируемая дата продажи],B15,Таблица2[Площадь]))</f>
        <v>271.57</v>
      </c>
      <c r="E15" s="276">
        <f ca="1">IF($C$2&gt;=B16,SUMIFS(РД[Стоимость с отделкой итог],РД[Состояние],"Коммерция",РД[Дата подачи на регистрацию],"&gt;="&amp;DATE(YEAR($B15),MONTH($B15),1),РД[Дата подачи на регистрацию],"&lt;"&amp;$B16),SUMIF(Таблица2[Планируемая дата продажи],B15,Таблица2[Стоимость]))</f>
        <v>35453584</v>
      </c>
      <c r="F15" s="275">
        <f t="shared" ca="1" si="0"/>
        <v>130550.44371616894</v>
      </c>
      <c r="J15" s="313"/>
      <c r="K15" s="313"/>
    </row>
    <row r="16" spans="2:11" hidden="1" x14ac:dyDescent="0.25">
      <c r="B16" s="273">
        <v>45170</v>
      </c>
      <c r="C16" s="274">
        <f ca="1">IF($C$2&gt;=$B17,COUNTIFS(РД[Дата подачи на регистрацию],"&gt;="&amp;DATE(YEAR($B16),MONTH($B16),1),РД[Дата подачи на регистрацию],"&lt;"&amp;$B17,РД[Состояние],"Коммерция"),COUNTIF(Таблица2[Планируемая дата продажи],B16))</f>
        <v>1</v>
      </c>
      <c r="D16" s="274">
        <f ca="1">IF($C$2&gt;=B17,SUMIFS(РД[S],РД[Состояние],"Коммерция",РД[Дата подачи на регистрацию],"&gt;="&amp;DATE(YEAR($B16),MONTH($B16),1),РД[Дата подачи на регистрацию],"&lt;"&amp;$B17),SUMIF(Таблица2[Планируемая дата продажи],B16,Таблица2[Площадь]))</f>
        <v>52.8</v>
      </c>
      <c r="E16" s="276">
        <f ca="1">IF($C$2&gt;=B17,SUMIFS(РД[Стоимость с отделкой итог],РД[Состояние],"Коммерция",РД[Дата подачи на регистрацию],"&gt;="&amp;DATE(YEAR($B16),MONTH($B16),1),РД[Дата подачи на регистрацию],"&lt;"&amp;$B17),SUMIF(Таблица2[Планируемая дата продажи],B16,Таблица2[Стоимость]))</f>
        <v>6930000</v>
      </c>
      <c r="F16" s="275">
        <f t="shared" ca="1" si="0"/>
        <v>131250</v>
      </c>
      <c r="J16" s="313"/>
      <c r="K16" s="313"/>
    </row>
    <row r="17" spans="2:11" hidden="1" x14ac:dyDescent="0.25">
      <c r="B17" s="273">
        <v>45200</v>
      </c>
      <c r="C17" s="274">
        <f ca="1">IF($C$2&gt;=$B18,COUNTIFS(РД[Дата подачи на регистрацию],"&gt;="&amp;DATE(YEAR($B17),MONTH($B17),1),РД[Дата подачи на регистрацию],"&lt;"&amp;$B18,РД[Состояние],"Коммерция"),COUNTIF(Таблица2[Планируемая дата продажи],B17))</f>
        <v>6</v>
      </c>
      <c r="D17" s="274">
        <f ca="1">IF($C$2&gt;=B18,SUMIFS(РД[S],РД[Состояние],"Коммерция",РД[Дата подачи на регистрацию],"&gt;="&amp;DATE(YEAR($B17),MONTH($B17),1),РД[Дата подачи на регистрацию],"&lt;"&amp;$B18),SUMIF(Таблица2[Планируемая дата продажи],B17,Таблица2[Площадь]))</f>
        <v>615.16999999999996</v>
      </c>
      <c r="E17" s="276">
        <f ca="1">IF($C$2&gt;=B18,SUMIFS(РД[Стоимость с отделкой итог],РД[Состояние],"Коммерция",РД[Дата подачи на регистрацию],"&gt;="&amp;DATE(YEAR($B17),MONTH($B17),1),РД[Дата подачи на регистрацию],"&lt;"&amp;$B18),SUMIF(Таблица2[Планируемая дата продажи],B17,Таблица2[Стоимость]))</f>
        <v>74169879</v>
      </c>
      <c r="F17" s="275">
        <f t="shared" ca="1" si="0"/>
        <v>120568.10150039828</v>
      </c>
      <c r="J17" s="313"/>
      <c r="K17" s="313"/>
    </row>
    <row r="18" spans="2:11" hidden="1" x14ac:dyDescent="0.25">
      <c r="B18" s="273">
        <v>45231</v>
      </c>
      <c r="C18" s="274">
        <f ca="1">IF($C$2&gt;=$B19,COUNTIFS(РД[Дата подачи на регистрацию],"&gt;="&amp;DATE(YEAR($B18),MONTH($B18),1),РД[Дата подачи на регистрацию],"&lt;"&amp;$B19,РД[Состояние],"Коммерция"),COUNTIF(Таблица2[Планируемая дата продажи],B18))</f>
        <v>0</v>
      </c>
      <c r="D18" s="274">
        <f ca="1">IF($C$2&gt;=B19,SUMIFS(РД[S],РД[Состояние],"Коммерция",РД[Дата подачи на регистрацию],"&gt;="&amp;DATE(YEAR($B18),MONTH($B18),1),РД[Дата подачи на регистрацию],"&lt;"&amp;$B19),SUMIF(Таблица2[Планируемая дата продажи],B18,Таблица2[Площадь]))</f>
        <v>0</v>
      </c>
      <c r="E18" s="276">
        <f ca="1">IF($C$2&gt;=B19,SUMIFS(РД[Стоимость с отделкой итог],РД[Состояние],"Коммерция",РД[Дата подачи на регистрацию],"&gt;="&amp;DATE(YEAR($B18),MONTH($B18),1),РД[Дата подачи на регистрацию],"&lt;"&amp;$B19),SUMIF(Таблица2[Планируемая дата продажи],B18,Таблица2[Стоимость]))</f>
        <v>0</v>
      </c>
      <c r="F18" s="275">
        <f t="shared" ca="1" si="0"/>
        <v>0</v>
      </c>
    </row>
    <row r="19" spans="2:11" hidden="1" x14ac:dyDescent="0.25">
      <c r="B19" s="273">
        <v>45261</v>
      </c>
      <c r="C19" s="274">
        <f ca="1">IF($C$2&gt;=$B23,COUNTIFS(РД[Дата подачи на регистрацию],"&gt;="&amp;DATE(YEAR($B19),MONTH($B19),1),РД[Дата подачи на регистрацию],"&lt;"&amp;$B23,РД[Состояние],"Коммерция"),COUNTIF(Таблица2[Планируемая дата продажи],B19))</f>
        <v>0</v>
      </c>
      <c r="D19" s="274">
        <f ca="1">IF($C$2&gt;=B23,SUMIFS(РД[S],РД[Состояние],"Коммерция",РД[Дата подачи на регистрацию],"&gt;="&amp;DATE(YEAR($B19),MONTH($B19),1),РД[Дата подачи на регистрацию],"&lt;"&amp;$B23),SUMIF(Таблица2[Планируемая дата продажи],B19,Таблица2[Площадь]))</f>
        <v>0</v>
      </c>
      <c r="E19" s="276">
        <f ca="1">IF($C$2&gt;=B23,SUMIFS(РД[Стоимость с отделкой итог],РД[Состояние],"Коммерция",РД[Дата подачи на регистрацию],"&gt;="&amp;DATE(YEAR($B19),MONTH($B19),1),РД[Дата подачи на регистрацию],"&lt;"&amp;$B23),SUMIF(Таблица2[Планируемая дата продажи],B19,Таблица2[Стоимость]))</f>
        <v>0</v>
      </c>
      <c r="F19" s="275">
        <f t="shared" ca="1" si="0"/>
        <v>0</v>
      </c>
    </row>
    <row r="20" spans="2:11" s="13" customFormat="1" x14ac:dyDescent="0.25">
      <c r="B20" s="154" t="s">
        <v>30</v>
      </c>
      <c r="C20" s="155">
        <f ca="1">SUM(C8:C19)</f>
        <v>29</v>
      </c>
      <c r="D20" s="155">
        <f ca="1">SUM(D8:D19)</f>
        <v>2751.6500000000005</v>
      </c>
      <c r="E20" s="155">
        <f ca="1">SUM(E8:E19)</f>
        <v>313149746</v>
      </c>
      <c r="F20" s="155">
        <f t="shared" ref="F20" ca="1" si="1">IFERROR(E20/D20,)</f>
        <v>113804.35229771226</v>
      </c>
    </row>
    <row r="21" spans="2:11" x14ac:dyDescent="0.25">
      <c r="C21" s="152"/>
      <c r="D21" s="179"/>
      <c r="E21" s="153"/>
      <c r="F21" s="32"/>
    </row>
    <row r="22" spans="2:11" ht="15.75" x14ac:dyDescent="0.25">
      <c r="B22" s="157" t="s">
        <v>0</v>
      </c>
      <c r="C22" s="300" t="s">
        <v>4080</v>
      </c>
      <c r="D22" s="302" t="s">
        <v>51</v>
      </c>
      <c r="E22" s="301" t="s">
        <v>58</v>
      </c>
      <c r="F22" s="301" t="s">
        <v>17</v>
      </c>
    </row>
    <row r="23" spans="2:11" hidden="1" x14ac:dyDescent="0.25">
      <c r="B23" s="273">
        <v>45292</v>
      </c>
      <c r="C23" s="274">
        <f ca="1">IF($C$2&gt;=$B24,COUNTIFS(РД[Дата подачи на регистрацию],"&gt;="&amp;DATE(YEAR($B23),MONTH($B23),1),РД[Дата подачи на регистрацию],"&lt;"&amp;$B24,РД[Состояние],"Коммерция"),COUNTIF(Таблица2[Планируемая дата продажи],B23))</f>
        <v>0</v>
      </c>
      <c r="D23" s="274">
        <f ca="1">IF($C$2&gt;=B24,SUMIFS(РД[S],РД[Состояние],"Коммерция",РД[Дата подачи на регистрацию],"&gt;="&amp;DATE(YEAR($B23),MONTH($B23),1),РД[Дата подачи на регистрацию],"&lt;"&amp;$B24),SUMIF(Таблица2[Планируемая дата продажи],B23,Таблица2[Площадь]))</f>
        <v>0</v>
      </c>
      <c r="E23" s="276">
        <f ca="1">IF($C$2&gt;=B24,SUMIFS(РД[Стоимость с отделкой итог],РД[Состояние],"Коммерция",РД[Дата подачи на регистрацию],"&gt;="&amp;DATE(YEAR($B23),MONTH($B23),1),РД[Дата подачи на регистрацию],"&lt;"&amp;$B24),SUMIF(Таблица2[Планируемая дата продажи],B23,Таблица2[Стоимость]))</f>
        <v>0</v>
      </c>
      <c r="F23" s="275">
        <f t="shared" ref="F23:F35" ca="1" si="2">IFERROR(E23/D23,)</f>
        <v>0</v>
      </c>
    </row>
    <row r="24" spans="2:11" hidden="1" x14ac:dyDescent="0.25">
      <c r="B24" s="273">
        <v>45323</v>
      </c>
      <c r="C24" s="274">
        <f ca="1">IF($C$2&gt;=$B25,COUNTIFS(РД[Дата подачи на регистрацию],"&gt;="&amp;DATE(YEAR($B24),MONTH($B24),1),РД[Дата подачи на регистрацию],"&lt;"&amp;$B25,РД[Состояние],"Коммерция"),COUNTIF(Таблица2[Планируемая дата продажи],B24))</f>
        <v>3</v>
      </c>
      <c r="D24" s="274">
        <f ca="1">IF($C$2&gt;=B25,SUMIFS(РД[S],РД[Состояние],"Коммерция",РД[Дата подачи на регистрацию],"&gt;="&amp;DATE(YEAR($B24),MONTH($B24),1),РД[Дата подачи на регистрацию],"&lt;"&amp;$B25),SUMIF(Таблица2[Планируемая дата продажи],B24,Таблица2[Площадь]))</f>
        <v>668.09999999999991</v>
      </c>
      <c r="E24" s="276">
        <f ca="1">IF($C$2&gt;=B25,SUMIFS(РД[Стоимость с отделкой итог],РД[Состояние],"Коммерция",РД[Дата подачи на регистрацию],"&gt;="&amp;DATE(YEAR($B24),MONTH($B24),1),РД[Дата подачи на регистрацию],"&lt;"&amp;$B25),SUMIF(Таблица2[Планируемая дата продажи],B24,Таблица2[Стоимость]))</f>
        <v>81454630</v>
      </c>
      <c r="F24" s="275">
        <f t="shared" ca="1" si="2"/>
        <v>121919.81739260591</v>
      </c>
    </row>
    <row r="25" spans="2:11" hidden="1" x14ac:dyDescent="0.25">
      <c r="B25" s="273">
        <v>45352</v>
      </c>
      <c r="C25" s="274">
        <f ca="1">IF($C$2&gt;=$B26,COUNTIFS(РД[Дата подачи на регистрацию],"&gt;="&amp;DATE(YEAR($B25),MONTH($B25),1),РД[Дата подачи на регистрацию],"&lt;"&amp;$B26,РД[Состояние],"Коммерция"),COUNTIF(Таблица2[Планируемая дата продажи],B25))</f>
        <v>0</v>
      </c>
      <c r="D25" s="274">
        <f ca="1">IF($C$2&gt;=B26,SUMIFS(РД[S],РД[Состояние],"Коммерция",РД[Дата подачи на регистрацию],"&gt;="&amp;DATE(YEAR($B25),MONTH($B25),1),РД[Дата подачи на регистрацию],"&lt;"&amp;$B26),SUMIF(Таблица2[Планируемая дата продажи],B25,Таблица2[Площадь]))</f>
        <v>0</v>
      </c>
      <c r="E25" s="276">
        <f ca="1">IF($C$2&gt;=B26,SUMIFS(РД[Стоимость с отделкой итог],РД[Состояние],"Коммерция",РД[Дата подачи на регистрацию],"&gt;="&amp;DATE(YEAR($B25),MONTH($B25),1),РД[Дата подачи на регистрацию],"&lt;"&amp;$B26),SUMIF(Таблица2[Планируемая дата продажи],B25,Таблица2[Стоимость]))</f>
        <v>0</v>
      </c>
      <c r="F25" s="275">
        <f t="shared" ca="1" si="2"/>
        <v>0</v>
      </c>
    </row>
    <row r="26" spans="2:11" hidden="1" x14ac:dyDescent="0.25">
      <c r="B26" s="273">
        <v>45383</v>
      </c>
      <c r="C26" s="274">
        <f ca="1">IF($C$2&gt;=$B27,COUNTIFS(РД[Дата подачи на регистрацию],"&gt;="&amp;DATE(YEAR($B26),MONTH($B26),1),РД[Дата подачи на регистрацию],"&lt;"&amp;$B27,РД[Состояние],"Коммерция"),COUNTIF(Таблица2[Планируемая дата продажи],B26))</f>
        <v>0</v>
      </c>
      <c r="D26" s="274">
        <f ca="1">IF($C$2&gt;=B27,SUMIFS(РД[S],РД[Состояние],"Коммерция",РД[Дата подачи на регистрацию],"&gt;="&amp;DATE(YEAR($B26),MONTH($B26),1),РД[Дата подачи на регистрацию],"&lt;"&amp;$B27),SUMIF(Таблица2[Планируемая дата продажи],B26,Таблица2[Площадь]))</f>
        <v>0</v>
      </c>
      <c r="E26" s="276">
        <f ca="1">IF($C$2&gt;=B27,SUMIFS(РД[Стоимость с отделкой итог],РД[Состояние],"Коммерция",РД[Дата подачи на регистрацию],"&gt;="&amp;DATE(YEAR($B26),MONTH($B26),1),РД[Дата подачи на регистрацию],"&lt;"&amp;$B27),SUMIF(Таблица2[Планируемая дата продажи],B26,Таблица2[Стоимость]))</f>
        <v>0</v>
      </c>
      <c r="F26" s="275">
        <f t="shared" ca="1" si="2"/>
        <v>0</v>
      </c>
    </row>
    <row r="27" spans="2:11" ht="15.75" hidden="1" customHeight="1" x14ac:dyDescent="0.25">
      <c r="B27" s="273">
        <v>45413</v>
      </c>
      <c r="C27" s="274">
        <f ca="1">IF($C$2&gt;=$B28,COUNTIFS(РД[Дата подачи на регистрацию],"&gt;="&amp;DATE(YEAR($B27),MONTH($B27),1),РД[Дата подачи на регистрацию],"&lt;"&amp;$B28,РД[Состояние],"Коммерция"),COUNTIF(Таблица2[Планируемая дата продажи],B27))</f>
        <v>0</v>
      </c>
      <c r="D27" s="274">
        <f ca="1">IF($C$2&gt;=B28,SUMIFS(РД[S],РД[Состояние],"Коммерция",РД[Дата подачи на регистрацию],"&gt;="&amp;DATE(YEAR($B27),MONTH($B27),1),РД[Дата подачи на регистрацию],"&lt;"&amp;$B28),SUMIF(Таблица2[Планируемая дата продажи],B27,Таблица2[Площадь]))</f>
        <v>0</v>
      </c>
      <c r="E27" s="276">
        <f ca="1">IF($C$2&gt;=B28,SUMIFS(РД[Стоимость с отделкой итог],РД[Состояние],"Коммерция",РД[Дата подачи на регистрацию],"&gt;="&amp;DATE(YEAR($B27),MONTH($B27),1),РД[Дата подачи на регистрацию],"&lt;"&amp;$B28),SUMIF(Таблица2[Планируемая дата продажи],B27,Таблица2[Стоимость]))</f>
        <v>0</v>
      </c>
      <c r="F27" s="275">
        <f t="shared" ca="1" si="2"/>
        <v>0</v>
      </c>
    </row>
    <row r="28" spans="2:11" hidden="1" x14ac:dyDescent="0.25">
      <c r="B28" s="273">
        <v>45444</v>
      </c>
      <c r="C28" s="274">
        <f ca="1">IF($C$2&gt;=$B29,COUNTIFS(РД[Дата подачи на регистрацию],"&gt;="&amp;DATE(YEAR($B28),MONTH($B28),1),РД[Дата подачи на регистрацию],"&lt;"&amp;$B29,РД[Состояние],"Коммерция"),COUNTIF(Таблица2[Планируемая дата продажи],B28))</f>
        <v>0</v>
      </c>
      <c r="D28" s="274">
        <f ca="1">IF($C$2&gt;=B29,SUMIFS(РД[S],РД[Состояние],"Коммерция",РД[Дата подачи на регистрацию],"&gt;="&amp;DATE(YEAR($B28),MONTH($B28),1),РД[Дата подачи на регистрацию],"&lt;"&amp;$B29),SUMIF(Таблица2[Планируемая дата продажи],B28,Таблица2[Площадь]))</f>
        <v>0</v>
      </c>
      <c r="E28" s="276">
        <f ca="1">IF($C$2&gt;=B29,SUMIFS(РД[Стоимость с отделкой итог],РД[Состояние],"Коммерция",РД[Дата подачи на регистрацию],"&gt;="&amp;DATE(YEAR($B28),MONTH($B28),1),РД[Дата подачи на регистрацию],"&lt;"&amp;$B29),SUMIF(Таблица2[Планируемая дата продажи],B28,Таблица2[Стоимость]))</f>
        <v>0</v>
      </c>
      <c r="F28" s="275">
        <f t="shared" ca="1" si="2"/>
        <v>0</v>
      </c>
    </row>
    <row r="29" spans="2:11" hidden="1" x14ac:dyDescent="0.25">
      <c r="B29" s="273">
        <v>45474</v>
      </c>
      <c r="C29" s="274">
        <f ca="1">IF($C$2&gt;=$B30,COUNTIFS(РД[Дата подачи на регистрацию],"&gt;="&amp;DATE(YEAR($B29),MONTH($B29),1),РД[Дата подачи на регистрацию],"&lt;"&amp;$B30,РД[Состояние],"Коммерция"),COUNTIF(Таблица2[Планируемая дата продажи],B29))</f>
        <v>1</v>
      </c>
      <c r="D29" s="274">
        <f ca="1">IF($C$2&gt;=B30,SUMIFS(РД[S],РД[Состояние],"Коммерция",РД[Дата подачи на регистрацию],"&gt;="&amp;DATE(YEAR($B29),MONTH($B29),1),РД[Дата подачи на регистрацию],"&lt;"&amp;$B30),SUMIF(Таблица2[Планируемая дата продажи],B29,Таблица2[Площадь]))</f>
        <v>320.87</v>
      </c>
      <c r="E29" s="276">
        <f ca="1">IF($C$2&gt;=B30,SUMIFS(РД[Стоимость с отделкой итог],РД[Состояние],"Коммерция",РД[Дата подачи на регистрацию],"&gt;="&amp;DATE(YEAR($B29),MONTH($B29),1),РД[Дата подачи на регистрацию],"&lt;"&amp;$B30),SUMIF(Таблица2[Планируемая дата продажи],B29,Таблица2[Стоимость]))</f>
        <v>38504400</v>
      </c>
      <c r="F29" s="275">
        <f t="shared" ca="1" si="2"/>
        <v>120000</v>
      </c>
    </row>
    <row r="30" spans="2:11" hidden="1" x14ac:dyDescent="0.25">
      <c r="B30" s="273">
        <v>45505</v>
      </c>
      <c r="C30" s="274">
        <f ca="1">IF($C$2&gt;=$B31,COUNTIFS(РД[Дата подачи на регистрацию],"&gt;="&amp;DATE(YEAR($B30),MONTH($B30),1),РД[Дата подачи на регистрацию],"&lt;"&amp;$B31,РД[Состояние],"Коммерция"),COUNTIF(Таблица2[Планируемая дата продажи],B30))</f>
        <v>0</v>
      </c>
      <c r="D30" s="274">
        <f ca="1">IF($C$2&gt;=B31,SUMIFS(РД[S],РД[Состояние],"Коммерция",РД[Дата подачи на регистрацию],"&gt;="&amp;DATE(YEAR($B30),MONTH($B30),1),РД[Дата подачи на регистрацию],"&lt;"&amp;$B31),SUMIF(Таблица2[Планируемая дата продажи],B30,Таблица2[Площадь]))</f>
        <v>0</v>
      </c>
      <c r="E30" s="276">
        <f ca="1">IF($C$2&gt;=B31,SUMIFS(РД[Стоимость с отделкой итог],РД[Состояние],"Коммерция",РД[Дата подачи на регистрацию],"&gt;="&amp;DATE(YEAR($B30),MONTH($B30),1),РД[Дата подачи на регистрацию],"&lt;"&amp;$B31),SUMIF(Таблица2[Планируемая дата продажи],B30,Таблица2[Стоимость]))</f>
        <v>0</v>
      </c>
      <c r="F30" s="275">
        <f t="shared" ca="1" si="2"/>
        <v>0</v>
      </c>
    </row>
    <row r="31" spans="2:11" hidden="1" x14ac:dyDescent="0.25">
      <c r="B31" s="273">
        <v>45536</v>
      </c>
      <c r="C31" s="274">
        <f ca="1">IF($C$2&gt;=$B32,COUNTIFS(РД[Дата подачи на регистрацию],"&gt;="&amp;DATE(YEAR($B31),MONTH($B31),1),РД[Дата подачи на регистрацию],"&lt;"&amp;$B32,РД[Состояние],"Коммерция"),COUNTIF(Таблица2[Планируемая дата продажи],B31))</f>
        <v>0</v>
      </c>
      <c r="D31" s="274">
        <f ca="1">IF($C$2&gt;=B32,SUMIFS(РД[S],РД[Состояние],"Коммерция",РД[Дата подачи на регистрацию],"&gt;="&amp;DATE(YEAR($B31),MONTH($B31),1),РД[Дата подачи на регистрацию],"&lt;"&amp;$B32),SUMIF(Таблица2[Планируемая дата продажи],B31,Таблица2[Площадь]))</f>
        <v>0</v>
      </c>
      <c r="E31" s="276">
        <f ca="1">IF($C$2&gt;=B32,SUMIFS(РД[Стоимость с отделкой итог],РД[Состояние],"Коммерция",РД[Дата подачи на регистрацию],"&gt;="&amp;DATE(YEAR($B31),MONTH($B31),1),РД[Дата подачи на регистрацию],"&lt;"&amp;$B32),SUMIF(Таблица2[Планируемая дата продажи],B31,Таблица2[Стоимость]))</f>
        <v>0</v>
      </c>
      <c r="F31" s="275">
        <f t="shared" ca="1" si="2"/>
        <v>0</v>
      </c>
    </row>
    <row r="32" spans="2:11" hidden="1" x14ac:dyDescent="0.25">
      <c r="B32" s="273">
        <v>45566</v>
      </c>
      <c r="C32" s="274">
        <f ca="1">IF($C$2&gt;=$B33,COUNTIFS(РД[Дата подачи на регистрацию],"&gt;="&amp;DATE(YEAR($B32),MONTH($B32),1),РД[Дата подачи на регистрацию],"&lt;"&amp;$B33,РД[Состояние],"Коммерция"),COUNTIF(Таблица2[Планируемая дата продажи],B32))</f>
        <v>0</v>
      </c>
      <c r="D32" s="274">
        <f ca="1">IF($C$2&gt;=B33,SUMIFS(РД[S],РД[Состояние],"Коммерция",РД[Дата подачи на регистрацию],"&gt;="&amp;DATE(YEAR($B32),MONTH($B32),1),РД[Дата подачи на регистрацию],"&lt;"&amp;$B33),SUMIF(Таблица2[Планируемая дата продажи],B32,Таблица2[Площадь]))</f>
        <v>0</v>
      </c>
      <c r="E32" s="276">
        <f ca="1">IF($C$2&gt;=B33,SUMIFS(РД[Стоимость с отделкой итог],РД[Состояние],"Коммерция",РД[Дата подачи на регистрацию],"&gt;="&amp;DATE(YEAR($B32),MONTH($B32),1),РД[Дата подачи на регистрацию],"&lt;"&amp;$B33),SUMIF(Таблица2[Планируемая дата продажи],B32,Таблица2[Стоимость]))</f>
        <v>0</v>
      </c>
      <c r="F32" s="275">
        <f t="shared" ca="1" si="2"/>
        <v>0</v>
      </c>
    </row>
    <row r="33" spans="2:6" hidden="1" x14ac:dyDescent="0.25">
      <c r="B33" s="273">
        <v>45597</v>
      </c>
      <c r="C33" s="274">
        <f ca="1">IF($C$2&gt;=$B34,COUNTIFS(РД[Дата подачи на регистрацию],"&gt;="&amp;DATE(YEAR($B33),MONTH($B33),1),РД[Дата подачи на регистрацию],"&lt;"&amp;$B34,РД[Состояние],"Коммерция"),COUNTIF(Таблица2[Планируемая дата продажи],B33))</f>
        <v>0</v>
      </c>
      <c r="D33" s="274">
        <f ca="1">IF($C$2&gt;=B34,SUMIFS(РД[S],РД[Состояние],"Коммерция",РД[Дата подачи на регистрацию],"&gt;="&amp;DATE(YEAR($B33),MONTH($B33),1),РД[Дата подачи на регистрацию],"&lt;"&amp;$B34),SUMIF(Таблица2[Планируемая дата продажи],B33,Таблица2[Площадь]))</f>
        <v>0</v>
      </c>
      <c r="E33" s="276">
        <f ca="1">IF($C$2&gt;=B34,SUMIFS(РД[Стоимость с отделкой итог],РД[Состояние],"Коммерция",РД[Дата подачи на регистрацию],"&gt;="&amp;DATE(YEAR($B33),MONTH($B33),1),РД[Дата подачи на регистрацию],"&lt;"&amp;$B34),SUMIF(Таблица2[Планируемая дата продажи],B33,Таблица2[Стоимость]))</f>
        <v>0</v>
      </c>
      <c r="F33" s="275">
        <f t="shared" ca="1" si="2"/>
        <v>0</v>
      </c>
    </row>
    <row r="34" spans="2:6" hidden="1" x14ac:dyDescent="0.25">
      <c r="B34" s="273">
        <v>45627</v>
      </c>
      <c r="C34" s="274">
        <f ca="1">IF($C$2&gt;=$B38,COUNTIFS(РД[Дата подачи на регистрацию],"&gt;="&amp;DATE(YEAR($B34),MONTH($B34),1),РД[Дата подачи на регистрацию],"&lt;"&amp;$B38,РД[Состояние],"Коммерция"),COUNTIF(Таблица2[Планируемая дата продажи],B34))</f>
        <v>5</v>
      </c>
      <c r="D34" s="274">
        <f ca="1">IF($C$2&gt;=B38,SUMIFS(РД[S],РД[Состояние],"Коммерция",РД[Дата подачи на регистрацию],"&gt;="&amp;DATE(YEAR($B34),MONTH($B34),1),РД[Дата подачи на регистрацию],"&lt;"&amp;$B38),SUMIF(Таблица2[Планируемая дата продажи],B34,Таблица2[Площадь]))</f>
        <v>302.07</v>
      </c>
      <c r="E34" s="276">
        <f ca="1">IF($C$2&gt;=B38,SUMIFS(РД[Стоимость с отделкой итог],РД[Состояние],"Коммерция",РД[Дата подачи на регистрацию],"&gt;="&amp;DATE(YEAR($B34),MONTH($B34),1),РД[Дата подачи на регистрацию],"&lt;"&amp;$B38),SUMIF(Таблица2[Планируемая дата продажи],B34,Таблица2[Стоимость]))</f>
        <v>31157400</v>
      </c>
      <c r="F34" s="275">
        <f t="shared" ca="1" si="2"/>
        <v>103146.29059489522</v>
      </c>
    </row>
    <row r="35" spans="2:6" x14ac:dyDescent="0.25">
      <c r="B35" s="154" t="s">
        <v>3249</v>
      </c>
      <c r="C35" s="155">
        <f ca="1">SUM(C23:C34)</f>
        <v>9</v>
      </c>
      <c r="D35" s="155">
        <f ca="1">SUM(D23:D34)</f>
        <v>1291.04</v>
      </c>
      <c r="E35" s="155">
        <f ca="1">SUM(E23:E34)</f>
        <v>151116430</v>
      </c>
      <c r="F35" s="155">
        <f t="shared" ca="1" si="2"/>
        <v>117050.15336472921</v>
      </c>
    </row>
    <row r="36" spans="2:6" s="345" customFormat="1" x14ac:dyDescent="0.25">
      <c r="B36" s="352"/>
      <c r="C36" s="353"/>
      <c r="D36" s="353"/>
      <c r="E36" s="353"/>
      <c r="F36" s="353"/>
    </row>
    <row r="37" spans="2:6" ht="15.75" x14ac:dyDescent="0.25">
      <c r="B37" s="157" t="s">
        <v>0</v>
      </c>
      <c r="C37" s="300" t="s">
        <v>4080</v>
      </c>
      <c r="D37" s="301" t="s">
        <v>51</v>
      </c>
      <c r="E37" s="301" t="s">
        <v>58</v>
      </c>
      <c r="F37" s="301" t="s">
        <v>17</v>
      </c>
    </row>
    <row r="38" spans="2:6" x14ac:dyDescent="0.25">
      <c r="B38" s="273">
        <v>45658</v>
      </c>
      <c r="C38" s="274">
        <f ca="1">IF($C$2&gt;=$B39,COUNTIFS(РД[Дата подачи на регистрацию],"&gt;="&amp;DATE(YEAR($B38),MONTH($B38),1),РД[Дата подачи на регистрацию],"&lt;"&amp;$B39,РД[Состояние],"Коммерция"),COUNTIF(Таблица2[Планируемая дата продажи],B38))</f>
        <v>0</v>
      </c>
      <c r="D38" s="274">
        <f ca="1">IF($C$2&gt;=B39,SUMIFS(РД[S],РД[Состояние],"Коммерция",РД[Дата подачи на регистрацию],"&gt;="&amp;DATE(YEAR($B38),MONTH($B38),1),РД[Дата подачи на регистрацию],"&lt;"&amp;$B39),SUMIF(Таблица2[Планируемая дата продажи],B38,Таблица2[Площадь]))</f>
        <v>0</v>
      </c>
      <c r="E38" s="276">
        <f ca="1">IF($C$2&gt;=B39,SUMIFS(РД[Стоимость с отделкой итог],РД[Состояние],"Коммерция",РД[Дата подачи на регистрацию],"&gt;="&amp;DATE(YEAR($B38),MONTH($B38),1),РД[Дата подачи на регистрацию],"&lt;"&amp;$B39),SUMIF(Таблица2[Планируемая дата продажи],B38,Таблица2[Стоимость]))</f>
        <v>0</v>
      </c>
      <c r="F38" s="275">
        <f t="shared" ref="F38" ca="1" si="3">IFERROR(E38/D38,)</f>
        <v>0</v>
      </c>
    </row>
    <row r="39" spans="2:6" x14ac:dyDescent="0.25">
      <c r="B39" s="273">
        <v>45689</v>
      </c>
      <c r="C39" s="274">
        <f ca="1">IF($C$2&gt;=$B40,COUNTIFS(РД[Дата подачи на регистрацию],"&gt;="&amp;DATE(YEAR($B39),MONTH($B39),1),РД[Дата подачи на регистрацию],"&lt;"&amp;$B40,РД[Состояние],"Коммерция"),COUNTIF(Таблица2[Планируемая дата продажи],B39))</f>
        <v>0</v>
      </c>
      <c r="D39" s="274">
        <f ca="1">IF($C$2&gt;=B40,SUMIFS(РД[S],РД[Состояние],"Коммерция",РД[Дата подачи на регистрацию],"&gt;="&amp;DATE(YEAR($B39),MONTH($B39),1),РД[Дата подачи на регистрацию],"&lt;"&amp;$B40),SUMIF(Таблица2[Планируемая дата продажи],B39,Таблица2[Площадь]))</f>
        <v>0</v>
      </c>
      <c r="E39" s="276">
        <f ca="1">IF($C$2&gt;=B40,SUMIFS(РД[Стоимость с отделкой итог],РД[Состояние],"Коммерция",РД[Дата подачи на регистрацию],"&gt;="&amp;DATE(YEAR($B39),MONTH($B39),1),РД[Дата подачи на регистрацию],"&lt;"&amp;$B40),SUMIF(Таблица2[Планируемая дата продажи],B39,Таблица2[Стоимость]))</f>
        <v>0</v>
      </c>
      <c r="F39" s="275">
        <f t="shared" ref="F39:F49" ca="1" si="4">IFERROR(E39/D39,)</f>
        <v>0</v>
      </c>
    </row>
    <row r="40" spans="2:6" x14ac:dyDescent="0.25">
      <c r="B40" s="273">
        <v>45717</v>
      </c>
      <c r="C40" s="274">
        <f ca="1">IF($C$2&gt;=$B41,COUNTIFS(РД[Дата подачи на регистрацию],"&gt;="&amp;DATE(YEAR($B40),MONTH($B40),1),РД[Дата подачи на регистрацию],"&lt;"&amp;$B41,РД[Состояние],"Коммерция"),COUNTIF(Таблица2[Планируемая дата продажи],B40))</f>
        <v>1</v>
      </c>
      <c r="D40" s="274">
        <f ca="1">IF($C$2&gt;=B41,SUMIFS(РД[S],РД[Состояние],"Коммерция",РД[Дата подачи на регистрацию],"&gt;="&amp;DATE(YEAR($B40),MONTH($B40),1),РД[Дата подачи на регистрацию],"&lt;"&amp;$B41),SUMIF(Таблица2[Планируемая дата продажи],B40,Таблица2[Площадь]))</f>
        <v>149.19999999999999</v>
      </c>
      <c r="E40" s="276">
        <f ca="1">IF($C$2&gt;=B41,SUMIFS(РД[Стоимость с отделкой итог],РД[Состояние],"Коммерция",РД[Дата подачи на регистрацию],"&gt;="&amp;DATE(YEAR($B40),MONTH($B40),1),РД[Дата подачи на регистрацию],"&lt;"&amp;$B41),SUMIF(Таблица2[Планируемая дата продажи],B40,Таблица2[Стоимость]))</f>
        <v>18000000</v>
      </c>
      <c r="F40" s="275">
        <f t="shared" ca="1" si="4"/>
        <v>120643.43163538876</v>
      </c>
    </row>
    <row r="41" spans="2:6" x14ac:dyDescent="0.25">
      <c r="B41" s="273">
        <v>45748</v>
      </c>
      <c r="C41" s="274">
        <f ca="1">IF($C$2&gt;=$B42,COUNTIFS(РД[Дата подачи на регистрацию],"&gt;="&amp;DATE(YEAR($B41),MONTH($B41),1),РД[Дата подачи на регистрацию],"&lt;"&amp;$B42,РД[Состояние],"Коммерция"),COUNTIF(Таблица2[Планируемая дата продажи],B41))</f>
        <v>6</v>
      </c>
      <c r="D41" s="274">
        <f ca="1">IF($C$2&gt;=B42,SUMIFS(РД[S],РД[Состояние],"Коммерция",РД[Дата подачи на регистрацию],"&gt;="&amp;DATE(YEAR($B41),MONTH($B41),1),РД[Дата подачи на регистрацию],"&lt;"&amp;$B42),SUMIF(Таблица2[Планируемая дата продажи],B41,Таблица2[Площадь]))</f>
        <v>32.78</v>
      </c>
      <c r="E41" s="276">
        <f ca="1">IF($C$2&gt;=B42,SUMIFS(РД[Стоимость с отделкой итог],РД[Состояние],"Коммерция",РД[Дата подачи на регистрацию],"&gt;="&amp;DATE(YEAR($B41),MONTH($B41),1),РД[Дата подачи на регистрацию],"&lt;"&amp;$B42),SUMIF(Таблица2[Планируемая дата продажи],B41,Таблица2[Стоимость]))</f>
        <v>3466700</v>
      </c>
      <c r="F41" s="275">
        <f t="shared" ca="1" si="4"/>
        <v>105756.55887736424</v>
      </c>
    </row>
    <row r="42" spans="2:6" x14ac:dyDescent="0.25">
      <c r="B42" s="273">
        <v>45778</v>
      </c>
      <c r="C42" s="274">
        <f ca="1">IF($C$2&gt;=$B43,COUNTIFS(РД[Дата подачи на регистрацию],"&gt;="&amp;DATE(YEAR($B42),MONTH($B42),1),РД[Дата подачи на регистрацию],"&lt;"&amp;$B43,РД[Состояние],"Коммерция"),COUNTIF(Таблица2[Планируемая дата продажи],B42))</f>
        <v>4</v>
      </c>
      <c r="D42" s="274">
        <f ca="1">IF($C$2&gt;=B43,SUMIFS(РД[S],РД[Состояние],"Коммерция",РД[Дата подачи на регистрацию],"&gt;="&amp;DATE(YEAR($B42),MONTH($B42),1),РД[Дата подачи на регистрацию],"&lt;"&amp;$B43),SUMIF(Таблица2[Планируемая дата продажи],B42,Таблица2[Площадь]))</f>
        <v>243.45000000000002</v>
      </c>
      <c r="E42" s="276">
        <f ca="1">IF($C$2&gt;=B43,SUMIFS(РД[Стоимость с отделкой итог],РД[Состояние],"Коммерция",РД[Дата подачи на регистрацию],"&gt;="&amp;DATE(YEAR($B42),MONTH($B42),1),РД[Дата подачи на регистрацию],"&lt;"&amp;$B43),SUMIF(Таблица2[Планируемая дата продажи],B42,Таблица2[Стоимость]))</f>
        <v>33933000</v>
      </c>
      <c r="F42" s="275">
        <f t="shared" ca="1" si="4"/>
        <v>139383.8570548367</v>
      </c>
    </row>
    <row r="43" spans="2:6" x14ac:dyDescent="0.25">
      <c r="B43" s="306">
        <v>45809</v>
      </c>
      <c r="C43" s="243">
        <f ca="1">IF($C$2&gt;=$B44,COUNTIFS(РД[Дата подачи на регистрацию],"&gt;="&amp;DATE(YEAR($B43),MONTH($B43),1),РД[Дата подачи на регистрацию],"&lt;"&amp;$B44,РД[Состояние],"Коммерция"),COUNTIF(Таблица2[Планируемая дата продажи],B43))</f>
        <v>1</v>
      </c>
      <c r="D43" s="243">
        <f ca="1">IF($C$2&gt;=B44,SUMIFS(РД[S],РД[Состояние],"Коммерция",РД[Дата подачи на регистрацию],"&gt;="&amp;DATE(YEAR($B43),MONTH($B43),1),РД[Дата подачи на регистрацию],"&lt;"&amp;$B44),SUMIF(Таблица2[Планируемая дата продажи],B43,Таблица2[Площадь]))</f>
        <v>53.52</v>
      </c>
      <c r="E43" s="307">
        <f ca="1">IF($C$2&gt;=B44,SUMIFS(РД[Стоимость с отделкой итог],РД[Состояние],"Коммерция",РД[Дата подачи на регистрацию],"&gt;="&amp;DATE(YEAR($B43),MONTH($B43),1),РД[Дата подачи на регистрацию],"&lt;"&amp;$B44),SUMIF(Таблица2[Планируемая дата продажи],B43,Таблица2[Стоимость]))</f>
        <v>7492800</v>
      </c>
      <c r="F43" s="47">
        <f t="shared" ca="1" si="4"/>
        <v>140000</v>
      </c>
    </row>
    <row r="44" spans="2:6" x14ac:dyDescent="0.25">
      <c r="B44" s="306">
        <v>45839</v>
      </c>
      <c r="C44" s="243">
        <f ca="1">IF($C$2&gt;=$B45,COUNTIFS(РД[Дата подачи на регистрацию],"&gt;="&amp;DATE(YEAR($B44),MONTH($B44),1),РД[Дата подачи на регистрацию],"&lt;"&amp;$B45,РД[Состояние],"Коммерция"),COUNTIF(Таблица2[Планируемая дата продажи],B44))</f>
        <v>2</v>
      </c>
      <c r="D44" s="243">
        <f ca="1">IF($C$2&gt;=B45,SUMIFS(РД[S],РД[Состояние],"Коммерция",РД[Дата подачи на регистрацию],"&gt;="&amp;DATE(YEAR($B44),MONTH($B44),1),РД[Дата подачи на регистрацию],"&lt;"&amp;$B45),SUMIF(Таблица2[Планируемая дата продажи],B44,Таблица2[Площадь]))</f>
        <v>106.49</v>
      </c>
      <c r="E44" s="307">
        <f ca="1">IF($C$2&gt;=B45,SUMIFS(РД[Стоимость с отделкой итог],РД[Состояние],"Коммерция",РД[Дата подачи на регистрацию],"&gt;="&amp;DATE(YEAR($B44),MONTH($B44),1),РД[Дата подачи на регистрацию],"&lt;"&amp;$B45),SUMIF(Таблица2[Планируемая дата продажи],B44,Таблица2[Стоимость]))</f>
        <v>13596600</v>
      </c>
      <c r="F44" s="47">
        <f t="shared" ca="1" si="4"/>
        <v>127679.59432810593</v>
      </c>
    </row>
    <row r="45" spans="2:6" x14ac:dyDescent="0.25">
      <c r="B45" s="306">
        <v>45870</v>
      </c>
      <c r="C45" s="243">
        <f ca="1">IF($C$2&gt;=$B46,COUNTIFS(РД[Дата подачи на регистрацию],"&gt;="&amp;DATE(YEAR($B45),MONTH($B45),1),РД[Дата подачи на регистрацию],"&lt;"&amp;$B46,РД[Состояние],"Коммерция"),COUNTIF(Таблица2[Планируемая дата продажи],B45))</f>
        <v>3</v>
      </c>
      <c r="D45" s="243">
        <f ca="1">IF($C$2&gt;=B46,SUMIFS(РД[S],РД[Состояние],"Коммерция",РД[Дата подачи на регистрацию],"&gt;="&amp;DATE(YEAR($B45),MONTH($B45),1),РД[Дата подачи на регистрацию],"&lt;"&amp;$B46),SUMIF(Таблица2[Планируемая дата продажи],B45,Таблица2[Площадь]))</f>
        <v>231.44</v>
      </c>
      <c r="E45" s="307">
        <f ca="1">IF($C$2&gt;=B46,SUMIFS(РД[Стоимость с отделкой итог],РД[Состояние],"Коммерция",РД[Дата подачи на регистрацию],"&gt;="&amp;DATE(YEAR($B45),MONTH($B45),1),РД[Дата подачи на регистрацию],"&lt;"&amp;$B46),SUMIF(Таблица2[Планируемая дата продажи],B45,Таблица2[Стоимость]))</f>
        <v>29266600</v>
      </c>
      <c r="F45" s="47">
        <f t="shared" ca="1" si="4"/>
        <v>126454.37262357415</v>
      </c>
    </row>
    <row r="46" spans="2:6" x14ac:dyDescent="0.25">
      <c r="B46" s="306">
        <v>45901</v>
      </c>
      <c r="C46" s="243">
        <f ca="1">IF($C$2&gt;=$B47,COUNTIFS(РД[Дата подачи на регистрацию],"&gt;="&amp;DATE(YEAR($B46),MONTH($B46),1),РД[Дата подачи на регистрацию],"&lt;"&amp;$B47,РД[Состояние],"Коммерция"),COUNTIF(Таблица2[Планируемая дата продажи],B46))</f>
        <v>3</v>
      </c>
      <c r="D46" s="243">
        <f ca="1">IF($C$2&gt;=B47,SUMIFS(РД[S],РД[Состояние],"Коммерция",РД[Дата подачи на регистрацию],"&gt;="&amp;DATE(YEAR($B46),MONTH($B46),1),РД[Дата подачи на регистрацию],"&lt;"&amp;$B47),SUMIF(Таблица2[Планируемая дата продажи],B46,Таблица2[Площадь]))</f>
        <v>298.87</v>
      </c>
      <c r="E46" s="307">
        <f ca="1">IF($C$2&gt;=B47,SUMIFS(РД[Стоимость с отделкой итог],РД[Состояние],"Коммерция",РД[Дата подачи на регистрацию],"&gt;="&amp;DATE(YEAR($B46),MONTH($B46),1),РД[Дата подачи на регистрацию],"&lt;"&amp;$B47),SUMIF(Таблица2[Планируемая дата продажи],B46,Таблица2[Стоимость]))</f>
        <v>34410400</v>
      </c>
      <c r="F46" s="47">
        <f t="shared" ca="1" si="4"/>
        <v>115135.00853213771</v>
      </c>
    </row>
    <row r="47" spans="2:6" x14ac:dyDescent="0.25">
      <c r="B47" s="306">
        <v>45931</v>
      </c>
      <c r="C47" s="243">
        <f ca="1">IF($C$2&gt;=$B48,COUNTIFS(РД[Дата подачи на регистрацию],"&gt;="&amp;DATE(YEAR($B47),MONTH($B47),1),РД[Дата подачи на регистрацию],"&lt;"&amp;$B48,РД[Состояние],"Коммерция"),COUNTIF(Таблица2[Планируемая дата продажи],B47))</f>
        <v>3</v>
      </c>
      <c r="D47" s="243">
        <f ca="1">IF($C$2&gt;=B48,SUMIFS(РД[S],РД[Состояние],"Коммерция",РД[Дата подачи на регистрацию],"&gt;="&amp;DATE(YEAR($B47),MONTH($B47),1),РД[Дата подачи на регистрацию],"&lt;"&amp;$B48),SUMIF(Таблица2[Планируемая дата продажи],B47,Таблица2[Площадь]))</f>
        <v>293.37</v>
      </c>
      <c r="E47" s="307">
        <f ca="1">IF($C$2&gt;=B48,SUMIFS(РД[Стоимость с отделкой итог],РД[Состояние],"Коммерция",РД[Дата подачи на регистрацию],"&gt;="&amp;DATE(YEAR($B47),MONTH($B47),1),РД[Дата подачи на регистрацию],"&lt;"&amp;$B48),SUMIF(Таблица2[Планируемая дата продажи],B47,Таблица2[Стоимость]))</f>
        <v>35204400</v>
      </c>
      <c r="F47" s="47">
        <f t="shared" ca="1" si="4"/>
        <v>120000</v>
      </c>
    </row>
    <row r="48" spans="2:6" x14ac:dyDescent="0.25">
      <c r="B48" s="306">
        <v>45962</v>
      </c>
      <c r="C48" s="243">
        <f ca="1">IF($C$2&gt;=$B49,COUNTIFS(РД[Дата подачи на регистрацию],"&gt;="&amp;DATE(YEAR($B48),MONTH($B48),1),РД[Дата подачи на регистрацию],"&lt;"&amp;$B49,РД[Состояние],"Коммерция"),COUNTIF(Таблица2[Планируемая дата продажи],B48))</f>
        <v>4</v>
      </c>
      <c r="D48" s="243">
        <f ca="1">IF($C$2&gt;=B49,SUMIFS(РД[S],РД[Состояние],"Коммерция",РД[Дата подачи на регистрацию],"&gt;="&amp;DATE(YEAR($B48),MONTH($B48),1),РД[Дата подачи на регистрацию],"&lt;"&amp;$B49),SUMIF(Таблица2[Планируемая дата продажи],B48,Таблица2[Площадь]))</f>
        <v>189.67</v>
      </c>
      <c r="E48" s="307">
        <f ca="1">IF($C$2&gt;=B49,SUMIFS(РД[Стоимость с отделкой итог],РД[Состояние],"Коммерция",РД[Дата подачи на регистрацию],"&gt;="&amp;DATE(YEAR($B48),MONTH($B48),1),РД[Дата подачи на регистрацию],"&lt;"&amp;$B49),SUMIF(Таблица2[Планируемая дата продажи],B48,Таблица2[Стоимость]))</f>
        <v>21938900</v>
      </c>
      <c r="F48" s="47">
        <f t="shared" ca="1" si="4"/>
        <v>115668.79316707967</v>
      </c>
    </row>
    <row r="49" spans="2:6" x14ac:dyDescent="0.25">
      <c r="B49" s="306">
        <v>45992</v>
      </c>
      <c r="C49" s="243">
        <f ca="1">IF($C$2&gt;=$B50,COUNTIFS(РД[Дата подачи на регистрацию],"&gt;="&amp;DATE(YEAR($B49),MONTH($B49),1),РД[Дата подачи на регистрацию],"&lt;"&amp;$B50,РД[Состояние],"Коммерция"),COUNTIF(Таблица2[Планируемая дата продажи],B49))</f>
        <v>3</v>
      </c>
      <c r="D49" s="243">
        <f ca="1">IF($C$2&gt;=B50,SUMIFS(РД[S],РД[Состояние],"Коммерция",РД[Дата подачи на регистрацию],"&gt;="&amp;DATE(YEAR($B49),MONTH($B49),1),РД[Дата подачи на регистрацию],"&lt;"&amp;$B50),SUMIF(Таблица2[Планируемая дата продажи],B49,Таблица2[Площадь]))</f>
        <v>207.46</v>
      </c>
      <c r="E49" s="307">
        <f ca="1">IF($C$2&gt;=B50,SUMIFS(РД[Стоимость с отделкой итог],РД[Состояние],"Коммерция",РД[Дата подачи на регистрацию],"&gt;="&amp;DATE(YEAR($B49),MONTH($B49),1),РД[Дата подачи на регистрацию],"&lt;"&amp;$B50),SUMIF(Таблица2[Планируемая дата продажи],B49,Таблица2[Стоимость]))</f>
        <v>25713000</v>
      </c>
      <c r="F49" s="47">
        <f t="shared" ca="1" si="4"/>
        <v>123941.96471608985</v>
      </c>
    </row>
    <row r="50" spans="2:6" x14ac:dyDescent="0.25">
      <c r="B50" s="154" t="s">
        <v>4561</v>
      </c>
      <c r="C50" s="502">
        <f ca="1">SUM(C38:C49)</f>
        <v>30</v>
      </c>
      <c r="D50" s="502">
        <f ca="1">SUM(D38:D49)</f>
        <v>1806.25</v>
      </c>
      <c r="E50" s="502">
        <f ca="1">SUM(E38:E49)</f>
        <v>223022400</v>
      </c>
      <c r="F50" s="502">
        <f t="shared" ref="F50" ca="1" si="5">IFERROR(E50/D50,)</f>
        <v>123472.6089965398</v>
      </c>
    </row>
    <row r="51" spans="2:6" s="345" customFormat="1" ht="15.75" thickBot="1" x14ac:dyDescent="0.3">
      <c r="B51" s="352"/>
      <c r="C51" s="353"/>
      <c r="D51" s="353"/>
      <c r="E51" s="353"/>
      <c r="F51" s="353"/>
    </row>
    <row r="52" spans="2:6" ht="15.75" x14ac:dyDescent="0.25">
      <c r="B52" s="162" t="s">
        <v>4318</v>
      </c>
      <c r="C52" s="303" t="s">
        <v>4080</v>
      </c>
      <c r="D52" s="304" t="s">
        <v>51</v>
      </c>
      <c r="E52" s="304" t="s">
        <v>58</v>
      </c>
      <c r="F52" s="305" t="s">
        <v>17</v>
      </c>
    </row>
    <row r="53" spans="2:6" x14ac:dyDescent="0.25">
      <c r="B53" s="413" t="s">
        <v>54</v>
      </c>
      <c r="C53" s="414">
        <f>COUNTIF(Таблица2[Статус],"&lt;&gt;"&amp;B54)</f>
        <v>76</v>
      </c>
      <c r="D53" s="414">
        <f>SUMIF(Таблица2[Статус],"&lt;&gt;"&amp;B54,Таблица2[Площадь])</f>
        <v>6375.53</v>
      </c>
      <c r="E53" s="415">
        <f>SUMIF(Таблица2[Статус],"&lt;&gt;"&amp;B54,Таблица2[Стоимость])</f>
        <v>748934076</v>
      </c>
      <c r="F53" s="416">
        <f>E53/D53</f>
        <v>117470.0889180978</v>
      </c>
    </row>
    <row r="54" spans="2:6" x14ac:dyDescent="0.25">
      <c r="B54" s="417" t="s">
        <v>4313</v>
      </c>
      <c r="C54" s="418">
        <f>COUNTIF(Таблица2[Статус],B54)</f>
        <v>4</v>
      </c>
      <c r="D54" s="418">
        <f>SUMIF(Таблица2[Статус],B54,Таблица2[Площадь])</f>
        <v>792</v>
      </c>
      <c r="E54" s="418">
        <f>SUMIF(Таблица2[Статус],B54,Таблица2[Стоимость])</f>
        <v>98238500</v>
      </c>
      <c r="F54" s="419">
        <f>E54/D54</f>
        <v>124038.51010101011</v>
      </c>
    </row>
    <row r="55" spans="2:6" ht="15.75" thickBot="1" x14ac:dyDescent="0.3">
      <c r="B55" s="410" t="s">
        <v>7072</v>
      </c>
      <c r="C55" s="411">
        <f>C53+C54</f>
        <v>80</v>
      </c>
      <c r="D55" s="411">
        <f t="shared" ref="D55:E55" si="6">D53+D54</f>
        <v>7167.53</v>
      </c>
      <c r="E55" s="411">
        <f t="shared" si="6"/>
        <v>847172576</v>
      </c>
      <c r="F55" s="412">
        <f>E55/D55</f>
        <v>118195.88840228085</v>
      </c>
    </row>
  </sheetData>
  <sheetProtection formatCells="0" formatColumns="0" formatRows="0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BD03-A96C-457A-8D95-0351D9BB2DCF}">
  <sheetPr>
    <tabColor rgb="FFFFFF00"/>
  </sheetPr>
  <dimension ref="B2:O85"/>
  <sheetViews>
    <sheetView topLeftCell="A4" workbookViewId="0">
      <selection activeCell="N67" sqref="N67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7.85546875" bestFit="1" customWidth="1"/>
    <col min="4" max="4" width="9.2851562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16" bestFit="1" customWidth="1"/>
    <col min="15" max="15" width="9.140625" style="346"/>
  </cols>
  <sheetData>
    <row r="2" spans="3:15" x14ac:dyDescent="0.25">
      <c r="C2" s="111" t="s">
        <v>8424</v>
      </c>
      <c r="K2" s="30"/>
    </row>
    <row r="3" spans="3:15" ht="15.75" thickBot="1" x14ac:dyDescent="0.3">
      <c r="C3" s="2"/>
      <c r="K3" s="755">
        <v>110000</v>
      </c>
      <c r="L3" s="755"/>
      <c r="M3" s="755"/>
    </row>
    <row r="4" spans="3:15" ht="15.75" customHeight="1" thickBot="1" x14ac:dyDescent="0.3">
      <c r="C4" s="756" t="s">
        <v>104</v>
      </c>
      <c r="D4" s="757"/>
      <c r="E4" s="757"/>
      <c r="F4" s="757"/>
      <c r="G4" s="83" t="s">
        <v>109</v>
      </c>
      <c r="H4" s="77" t="s">
        <v>70</v>
      </c>
      <c r="I4" s="241" t="s">
        <v>69</v>
      </c>
      <c r="J4" s="84" t="s">
        <v>68</v>
      </c>
      <c r="K4" s="757" t="s">
        <v>105</v>
      </c>
      <c r="L4" s="757"/>
      <c r="M4" s="758"/>
    </row>
    <row r="5" spans="3:15" ht="30.75" thickBot="1" x14ac:dyDescent="0.3">
      <c r="C5" s="759" t="s">
        <v>11</v>
      </c>
      <c r="D5" s="760"/>
      <c r="E5" s="503" t="s">
        <v>103</v>
      </c>
      <c r="F5" s="126" t="s">
        <v>101</v>
      </c>
      <c r="G5" s="761">
        <f ca="1">DATE(YEAR(TODAY()),MONTH(TODAY()),1)</f>
        <v>45870</v>
      </c>
      <c r="H5" s="762"/>
      <c r="I5" s="762"/>
      <c r="J5" s="763"/>
      <c r="K5" s="127" t="s">
        <v>12</v>
      </c>
      <c r="L5" s="503" t="s">
        <v>102</v>
      </c>
      <c r="M5" s="128" t="s">
        <v>100</v>
      </c>
    </row>
    <row r="6" spans="3:15" ht="16.5" customHeight="1" x14ac:dyDescent="0.25">
      <c r="C6" s="120">
        <v>0</v>
      </c>
      <c r="D6" s="135">
        <f ca="1">SUMIF(Д403[Тип кв],C6,Д403[Расчетная проектная площадь])-SUMIFS(РД[S],РД[Тип кв],C6,РД[Дом],$C$2,РД[Состояние],"&lt;&gt;расторгнут",РД[Дата подачи на регистрацию],"&lt;"&amp;$G$5)</f>
        <v>1354.8100000000009</v>
      </c>
      <c r="E6" s="694">
        <f ca="1">D6/H6</f>
        <v>30.791136363636383</v>
      </c>
      <c r="F6" s="122">
        <f ca="1">D6/$D$10</f>
        <v>0.13228215297671711</v>
      </c>
      <c r="G6" s="31">
        <f>COUNTIF(Д403[Тип кв],C6)</f>
        <v>44</v>
      </c>
      <c r="H6" s="80">
        <f ca="1">G6-I6</f>
        <v>44</v>
      </c>
      <c r="I6" s="81">
        <f ca="1">COUNTIFS(РД[Тип кв],C6,РД[Дом],$C$2,РД[Состояние],"&lt;&gt;расторгнут",РД[Дата подачи на регистрацию],"&lt;"&amp;$G$5)</f>
        <v>0</v>
      </c>
      <c r="J6" s="82">
        <f ca="1">I6/G6</f>
        <v>0</v>
      </c>
      <c r="K6" s="123">
        <f ca="1">SUMIF(Д403[Тип кв],C6,Д403[Стоимость ОН без отделки со скидкой])-SUMIFS(РД[Стоимость без отделки итог],РД[Тип кв],C6,РД[Дом],$C$2,РД[Состояние],"&lt;&gt;расторгнут",РД[Дата подачи на регистрацию],"&lt;"&amp;$G$5)</f>
        <v>192958900</v>
      </c>
      <c r="L6" s="63">
        <f ca="1">K6/H6</f>
        <v>4385429.5454545459</v>
      </c>
      <c r="M6" s="124">
        <f ca="1">K6/$K$10</f>
        <v>0.15270057946979415</v>
      </c>
      <c r="N6" s="63">
        <f ca="1">L6/E6</f>
        <v>142425.06329300781</v>
      </c>
    </row>
    <row r="7" spans="3:15" ht="16.5" customHeight="1" x14ac:dyDescent="0.25">
      <c r="C7" s="119">
        <v>1</v>
      </c>
      <c r="D7" s="135">
        <f ca="1">SUMIF(Д403[Тип кв],C7,Д403[Расчетная проектная площадь])-SUMIFS(РД[S],РД[Тип кв],C7,РД[Дом],$C$2,РД[Состояние],"&lt;&gt;расторгнут",РД[Дата подачи на регистрацию],"&lt;"&amp;$G$5)</f>
        <v>3554.09</v>
      </c>
      <c r="E7" s="695">
        <f ca="1">D7/H7</f>
        <v>39.055934065934068</v>
      </c>
      <c r="F7" s="52">
        <f ca="1">D7/$D$10</f>
        <v>0.34701742463741797</v>
      </c>
      <c r="G7" s="31">
        <f>COUNTIF(Д403[Тип кв],C7)</f>
        <v>91</v>
      </c>
      <c r="H7" s="73">
        <f ca="1">G7-I7</f>
        <v>91</v>
      </c>
      <c r="I7" s="81">
        <f ca="1">COUNTIFS(РД[Тип кв],C7,РД[Дом],$C$2,РД[Состояние],"&lt;&gt;расторгнут",РД[Дата подачи на регистрацию],"&lt;"&amp;$G$5)</f>
        <v>0</v>
      </c>
      <c r="J7" s="74">
        <f ca="1">I7/G7</f>
        <v>0</v>
      </c>
      <c r="K7" s="123">
        <f ca="1">SUMIF(Д403[Тип кв],C7,Д403[Стоимость ОН без отделки со скидкой])-SUMIFS(РД[Стоимость без отделки итог],РД[Тип кв],C7,РД[Дом],$C$2,РД[Состояние],"&lt;&gt;расторгнут",РД[Дата подачи на регистрацию],"&lt;"&amp;$G$5)</f>
        <v>437057409</v>
      </c>
      <c r="L7" s="51">
        <f ca="1">K7/H7</f>
        <v>4802828.6703296704</v>
      </c>
      <c r="M7" s="29">
        <f ca="1">K7/$K$10</f>
        <v>0.34587116539256196</v>
      </c>
      <c r="N7" s="51">
        <f t="shared" ref="N7:N10" ca="1" si="0">L7/E7</f>
        <v>122973.08424941405</v>
      </c>
    </row>
    <row r="8" spans="3:15" ht="16.5" customHeight="1" x14ac:dyDescent="0.25">
      <c r="C8" s="119">
        <v>2</v>
      </c>
      <c r="D8" s="135">
        <f ca="1">SUMIF(Д403[Тип кв],C8,Д403[Расчетная проектная площадь])-SUMIFS(РД[S],РД[Тип кв],C8,РД[Дом],$C$2,РД[Состояние],"&lt;&gt;расторгнут",РД[Дата подачи на регистрацию],"&lt;"&amp;$G$5)</f>
        <v>4296.1799999999985</v>
      </c>
      <c r="E8" s="695">
        <f ca="1">D8/H8</f>
        <v>60.509577464788713</v>
      </c>
      <c r="F8" s="52">
        <f ca="1">D8/$D$10</f>
        <v>0.41947427312723701</v>
      </c>
      <c r="G8" s="31">
        <f>COUNTIF(Д403[Тип кв],C8)</f>
        <v>71</v>
      </c>
      <c r="H8" s="73">
        <f ca="1">G8-I8</f>
        <v>71</v>
      </c>
      <c r="I8" s="81">
        <f ca="1">COUNTIFS(РД[Тип кв],C8,РД[Дом],$C$2,РД[Состояние],"&lt;&gt;расторгнут",РД[Дата подачи на регистрацию],"&lt;"&amp;$G$5)</f>
        <v>0</v>
      </c>
      <c r="J8" s="74">
        <f ca="1">I8/G8</f>
        <v>0</v>
      </c>
      <c r="K8" s="123">
        <f ca="1">SUMIF(Д403[Тип кв],C8,Д403[Стоимость ОН без отделки со скидкой])-SUMIFS(РД[Стоимость без отделки итог],РД[Тип кв],C8,РД[Дом],$C$2,РД[Состояние],"&lt;&gt;расторгнут",РД[Дата подачи на регистрацию],"&lt;"&amp;$G$5)</f>
        <v>523716539</v>
      </c>
      <c r="L8" s="51">
        <f ca="1">K8/H8</f>
        <v>7376289.2816901412</v>
      </c>
      <c r="M8" s="29">
        <f ca="1">K8/$K$10</f>
        <v>0.41445001491620781</v>
      </c>
      <c r="N8" s="51">
        <f t="shared" ca="1" si="0"/>
        <v>121902.83903374631</v>
      </c>
    </row>
    <row r="9" spans="3:15" ht="16.5" customHeight="1" thickBot="1" x14ac:dyDescent="0.3">
      <c r="C9" s="119">
        <v>3</v>
      </c>
      <c r="D9" s="135">
        <f ca="1">SUMIF(Д403[Тип кв],C9,Д403[Расчетная проектная площадь])-SUMIFS(РД[S],РД[Тип кв],C9,РД[Дом],$C$2,РД[Состояние],"&lt;&gt;расторгнут",РД[Дата подачи на регистрацию],"&lt;"&amp;$G$5)</f>
        <v>1036.74</v>
      </c>
      <c r="E9" s="695">
        <f ca="1">D9/H9</f>
        <v>74.05285714285715</v>
      </c>
      <c r="F9" s="52">
        <f ca="1">D9/$D$10</f>
        <v>0.10122614925862787</v>
      </c>
      <c r="G9" s="31">
        <f>COUNTIF(Д403[Тип кв],C9)</f>
        <v>14</v>
      </c>
      <c r="H9" s="75">
        <f ca="1">G9-I9</f>
        <v>14</v>
      </c>
      <c r="I9" s="81">
        <f ca="1">COUNTIFS(РД[Тип кв],C9,РД[Дом],$C$2,РД[Состояние],"&lt;&gt;расторгнут",РД[Дата подачи на регистрацию],"&lt;"&amp;$G$5)</f>
        <v>0</v>
      </c>
      <c r="J9" s="76">
        <f ca="1">I9/G9</f>
        <v>0</v>
      </c>
      <c r="K9" s="123">
        <f ca="1">SUMIF(Д403[Тип кв],C9,Д403[Стоимость ОН без отделки со скидкой])-SUMIFS(РД[Стоимость без отделки итог],РД[Тип кв],C9,РД[Дом],$C$2,РД[Состояние],"&lt;&gt;расторгнут",РД[Дата подачи на регистрацию],"&lt;"&amp;$G$5)</f>
        <v>109909377</v>
      </c>
      <c r="L9" s="51">
        <f ca="1">K9/H9</f>
        <v>7850669.7857142854</v>
      </c>
      <c r="M9" s="29">
        <f ca="1">K9/$K$10</f>
        <v>8.697824022143609E-2</v>
      </c>
      <c r="N9" s="51">
        <f t="shared" ca="1" si="0"/>
        <v>106014.40766248046</v>
      </c>
    </row>
    <row r="10" spans="3:15" ht="15.75" thickBot="1" x14ac:dyDescent="0.3">
      <c r="C10" s="286" t="s">
        <v>49</v>
      </c>
      <c r="D10" s="287">
        <f ca="1">SUM(D6:D9)</f>
        <v>10241.82</v>
      </c>
      <c r="E10" s="288">
        <f ca="1">D10/H10</f>
        <v>46.553727272727272</v>
      </c>
      <c r="F10" s="289"/>
      <c r="G10" s="286">
        <f>SUM(G6:G9)</f>
        <v>220</v>
      </c>
      <c r="H10" s="290">
        <f ca="1">SUM(H6:H9)</f>
        <v>220</v>
      </c>
      <c r="I10" s="290">
        <f ca="1">G10-H10</f>
        <v>0</v>
      </c>
      <c r="J10" s="291">
        <f ca="1">I10/G10</f>
        <v>0</v>
      </c>
      <c r="K10" s="292">
        <f ca="1">SUM(K6:K9)</f>
        <v>1263642225</v>
      </c>
      <c r="L10" s="293">
        <f ca="1">K10/H10</f>
        <v>5743828.2954545459</v>
      </c>
      <c r="M10" s="291">
        <f ca="1">K10/$K$10</f>
        <v>1</v>
      </c>
      <c r="N10" s="63">
        <f t="shared" ca="1" si="0"/>
        <v>123380.63205563075</v>
      </c>
    </row>
    <row r="11" spans="3:15" x14ac:dyDescent="0.25">
      <c r="E11" s="8"/>
      <c r="I11" s="3"/>
      <c r="J11" s="3"/>
      <c r="K11" s="67"/>
      <c r="L11" s="18"/>
      <c r="M11" s="10"/>
    </row>
    <row r="12" spans="3:15" x14ac:dyDescent="0.25">
      <c r="C12" s="93" t="s">
        <v>92</v>
      </c>
      <c r="D12" s="94" t="s">
        <v>4</v>
      </c>
      <c r="E12" s="95" t="s">
        <v>22</v>
      </c>
      <c r="F12" s="95" t="s">
        <v>23</v>
      </c>
      <c r="G12" s="95" t="s">
        <v>24</v>
      </c>
      <c r="H12" s="72" t="s">
        <v>25</v>
      </c>
      <c r="I12" s="96" t="s">
        <v>51</v>
      </c>
      <c r="J12" s="96" t="s">
        <v>52</v>
      </c>
      <c r="K12"/>
      <c r="L12" s="15"/>
      <c r="M12" s="65"/>
    </row>
    <row r="13" spans="3:15" x14ac:dyDescent="0.25">
      <c r="C13" s="118" t="s">
        <v>2</v>
      </c>
      <c r="D13" s="116">
        <v>44</v>
      </c>
      <c r="E13" s="116">
        <v>91</v>
      </c>
      <c r="F13" s="116">
        <v>71</v>
      </c>
      <c r="G13" s="116">
        <v>14</v>
      </c>
      <c r="H13" s="116">
        <v>220</v>
      </c>
      <c r="I13" s="117">
        <v>10241.82</v>
      </c>
      <c r="J13" s="117">
        <v>1251578396</v>
      </c>
      <c r="K13" s="15"/>
      <c r="L13"/>
      <c r="M13" s="65"/>
      <c r="N13" s="346"/>
      <c r="O13"/>
    </row>
    <row r="14" spans="3:15" x14ac:dyDescent="0.25">
      <c r="C14" s="100" t="s">
        <v>26</v>
      </c>
      <c r="D14" s="98">
        <f>D31+D47+D63+D79</f>
        <v>44</v>
      </c>
      <c r="E14" s="98">
        <f t="shared" ref="E14:J14" si="1">E31+E47+E63+E79</f>
        <v>91</v>
      </c>
      <c r="F14" s="98">
        <f t="shared" si="1"/>
        <v>71</v>
      </c>
      <c r="G14" s="98">
        <f t="shared" si="1"/>
        <v>14</v>
      </c>
      <c r="H14" s="98">
        <f t="shared" si="1"/>
        <v>220</v>
      </c>
      <c r="I14" s="188">
        <f ca="1">I31+I47+I63+I79</f>
        <v>10241.820000000002</v>
      </c>
      <c r="J14" s="188">
        <f t="shared" ca="1" si="1"/>
        <v>1263642225.0000002</v>
      </c>
      <c r="K14" s="18"/>
      <c r="L14" s="4">
        <f ca="1">L31+L47+L63+L79</f>
        <v>1344632009.385926</v>
      </c>
      <c r="M14" s="65"/>
    </row>
    <row r="15" spans="3:15" x14ac:dyDescent="0.25">
      <c r="C15" s="145" t="s">
        <v>93</v>
      </c>
      <c r="D15" s="147"/>
      <c r="E15" s="147"/>
      <c r="F15" s="147"/>
      <c r="G15" s="147"/>
      <c r="H15" s="147"/>
      <c r="I15" s="146"/>
      <c r="J15" s="146"/>
      <c r="K15" s="25"/>
      <c r="L15"/>
      <c r="M15" s="65"/>
    </row>
    <row r="16" spans="3:15" ht="14.25" customHeight="1" x14ac:dyDescent="0.25">
      <c r="C16" s="101" t="s">
        <v>1</v>
      </c>
      <c r="D16" s="97">
        <f>D14-D13</f>
        <v>0</v>
      </c>
      <c r="E16" s="97">
        <f t="shared" ref="E16:J16" si="2">E14-E13</f>
        <v>0</v>
      </c>
      <c r="F16" s="97">
        <f t="shared" si="2"/>
        <v>0</v>
      </c>
      <c r="G16" s="97">
        <f t="shared" si="2"/>
        <v>0</v>
      </c>
      <c r="H16" s="97">
        <f t="shared" si="2"/>
        <v>0</v>
      </c>
      <c r="I16" s="97">
        <f t="shared" ca="1" si="2"/>
        <v>0</v>
      </c>
      <c r="J16" s="97">
        <f t="shared" ca="1" si="2"/>
        <v>12063829.000000238</v>
      </c>
      <c r="K16" s="4"/>
      <c r="L16" s="18"/>
      <c r="M16" s="65"/>
    </row>
    <row r="17" spans="3:15" ht="14.25" customHeight="1" x14ac:dyDescent="0.25">
      <c r="C17" s="2"/>
      <c r="D17" s="6"/>
      <c r="E17" s="6"/>
      <c r="F17" s="6"/>
      <c r="G17" s="6"/>
      <c r="H17" s="6"/>
      <c r="I17" s="6"/>
      <c r="J17" s="6"/>
      <c r="K17" s="62"/>
      <c r="L17" s="6"/>
    </row>
    <row r="18" spans="3:15" ht="24" x14ac:dyDescent="0.25">
      <c r="C18" s="102" t="s">
        <v>0</v>
      </c>
      <c r="D18" s="103" t="s">
        <v>4</v>
      </c>
      <c r="E18" s="104" t="s">
        <v>22</v>
      </c>
      <c r="F18" s="524" t="s">
        <v>23</v>
      </c>
      <c r="G18" s="104" t="s">
        <v>24</v>
      </c>
      <c r="H18" s="105" t="s">
        <v>59</v>
      </c>
      <c r="I18" s="106" t="s">
        <v>51</v>
      </c>
      <c r="J18" s="107" t="s">
        <v>33</v>
      </c>
      <c r="K18" s="107" t="s">
        <v>108</v>
      </c>
      <c r="L18" s="107" t="s">
        <v>107</v>
      </c>
      <c r="M18" s="108" t="s">
        <v>17</v>
      </c>
    </row>
    <row r="19" spans="3:15" hidden="1" x14ac:dyDescent="0.25">
      <c r="C19" s="136">
        <v>45658</v>
      </c>
      <c r="D19" s="39"/>
      <c r="E19" s="39"/>
      <c r="F19" s="39"/>
      <c r="G19" s="39"/>
      <c r="H19" s="39"/>
      <c r="I19" s="69"/>
      <c r="J19" s="59"/>
      <c r="K19" s="373"/>
      <c r="L19" s="60"/>
      <c r="M19" s="59"/>
    </row>
    <row r="20" spans="3:15" hidden="1" x14ac:dyDescent="0.25">
      <c r="C20" s="136">
        <v>45689</v>
      </c>
      <c r="D20" s="39"/>
      <c r="E20" s="39"/>
      <c r="F20" s="39"/>
      <c r="G20" s="39"/>
      <c r="H20" s="39"/>
      <c r="I20" s="69"/>
      <c r="J20" s="59"/>
      <c r="K20" s="373"/>
      <c r="L20" s="60"/>
      <c r="M20" s="59"/>
    </row>
    <row r="21" spans="3:15" hidden="1" x14ac:dyDescent="0.25">
      <c r="C21" s="136">
        <v>45717</v>
      </c>
      <c r="D21" s="39"/>
      <c r="E21" s="39"/>
      <c r="F21" s="39"/>
      <c r="G21" s="39"/>
      <c r="H21" s="39"/>
      <c r="I21" s="69"/>
      <c r="J21" s="59"/>
      <c r="K21" s="294"/>
      <c r="L21" s="60"/>
      <c r="M21" s="59"/>
    </row>
    <row r="22" spans="3:15" hidden="1" x14ac:dyDescent="0.25">
      <c r="C22" s="136">
        <v>45748</v>
      </c>
      <c r="D22" s="39"/>
      <c r="E22" s="39"/>
      <c r="F22" s="39"/>
      <c r="G22" s="39"/>
      <c r="H22" s="39"/>
      <c r="I22" s="69"/>
      <c r="J22" s="59"/>
      <c r="K22" s="294"/>
      <c r="L22" s="60"/>
      <c r="M22" s="59"/>
    </row>
    <row r="23" spans="3:15" hidden="1" x14ac:dyDescent="0.25">
      <c r="C23" s="136">
        <v>45778</v>
      </c>
      <c r="D23" s="39"/>
      <c r="E23" s="39"/>
      <c r="F23" s="39"/>
      <c r="G23" s="39"/>
      <c r="H23" s="39"/>
      <c r="I23" s="69"/>
      <c r="J23" s="59"/>
      <c r="K23" s="356"/>
      <c r="L23" s="60"/>
      <c r="M23" s="59"/>
    </row>
    <row r="24" spans="3:15" x14ac:dyDescent="0.25">
      <c r="C24" s="690">
        <v>45809</v>
      </c>
      <c r="D24" s="650"/>
      <c r="E24" s="650"/>
      <c r="F24" s="650"/>
      <c r="G24" s="650"/>
      <c r="H24" s="650"/>
      <c r="I24" s="651"/>
      <c r="J24" s="691"/>
      <c r="K24" s="692"/>
      <c r="L24" s="693"/>
      <c r="M24" s="691"/>
      <c r="O24" s="346">
        <v>530</v>
      </c>
    </row>
    <row r="25" spans="3:15" x14ac:dyDescent="0.25">
      <c r="C25" s="690">
        <v>45839</v>
      </c>
      <c r="D25" s="650"/>
      <c r="E25" s="650"/>
      <c r="F25" s="650"/>
      <c r="G25" s="650"/>
      <c r="H25" s="650"/>
      <c r="I25" s="651"/>
      <c r="J25" s="691"/>
      <c r="K25" s="692"/>
      <c r="L25" s="693"/>
      <c r="M25" s="691"/>
      <c r="O25" s="346">
        <v>530</v>
      </c>
    </row>
    <row r="26" spans="3:15" x14ac:dyDescent="0.25">
      <c r="C26" s="690">
        <v>45870</v>
      </c>
      <c r="D26" s="650"/>
      <c r="E26" s="650"/>
      <c r="F26" s="650"/>
      <c r="G26" s="650"/>
      <c r="H26" s="650"/>
      <c r="I26" s="651"/>
      <c r="J26" s="691"/>
      <c r="K26" s="692"/>
      <c r="L26" s="693"/>
      <c r="M26" s="691"/>
      <c r="O26" s="346">
        <v>530</v>
      </c>
    </row>
    <row r="27" spans="3:15" x14ac:dyDescent="0.25">
      <c r="C27" s="136">
        <v>45901</v>
      </c>
      <c r="D27" s="243">
        <v>2</v>
      </c>
      <c r="E27" s="243">
        <v>7</v>
      </c>
      <c r="F27" s="243">
        <v>6</v>
      </c>
      <c r="G27" s="243">
        <v>1</v>
      </c>
      <c r="H27" s="39">
        <f>SUM(D27:G27)</f>
        <v>16</v>
      </c>
      <c r="I27" s="69">
        <f t="shared" ref="I27" ca="1" si="3">D27*$E$6+E27*$E$7+F27*$E$8+G27*$E$9</f>
        <v>772.08413312040068</v>
      </c>
      <c r="J27" s="59">
        <f t="shared" ref="J27:J30" ca="1" si="4">D27*$L$6+E27*$L$7+F27*$L$8+G27*$L$9</f>
        <v>94499065.259071916</v>
      </c>
      <c r="K27" s="356">
        <v>-0.03</v>
      </c>
      <c r="L27" s="60">
        <f ca="1">J27+J27*SUM(SUM($K$19:K27))</f>
        <v>91664093.301299766</v>
      </c>
      <c r="M27" s="59">
        <f t="shared" ref="M27:M30" ca="1" si="5">IFERROR(L27/I27,"")</f>
        <v>118722.93364045268</v>
      </c>
      <c r="O27" s="346">
        <v>530</v>
      </c>
    </row>
    <row r="28" spans="3:15" x14ac:dyDescent="0.25">
      <c r="C28" s="136">
        <v>45931</v>
      </c>
      <c r="D28" s="39">
        <v>2</v>
      </c>
      <c r="E28" s="39">
        <v>7</v>
      </c>
      <c r="F28" s="39">
        <v>6</v>
      </c>
      <c r="G28" s="39">
        <v>1</v>
      </c>
      <c r="H28" s="39">
        <f>SUM(D28:G28)</f>
        <v>16</v>
      </c>
      <c r="I28" s="69">
        <f ca="1">D28*$E$6+E28*$E$7+F28*$E$8+G28*$E$9</f>
        <v>772.08413312040068</v>
      </c>
      <c r="J28" s="59">
        <f t="shared" ca="1" si="4"/>
        <v>94499065.259071916</v>
      </c>
      <c r="K28" s="356">
        <v>0.01</v>
      </c>
      <c r="L28" s="60">
        <f ca="1">J28+J28*SUM(SUM($K$19:K28))</f>
        <v>92609083.953890473</v>
      </c>
      <c r="M28" s="59">
        <f t="shared" ca="1" si="5"/>
        <v>119946.88140994187</v>
      </c>
      <c r="O28" s="346">
        <v>530</v>
      </c>
    </row>
    <row r="29" spans="3:15" x14ac:dyDescent="0.25">
      <c r="C29" s="136">
        <v>45962</v>
      </c>
      <c r="D29" s="39">
        <v>2</v>
      </c>
      <c r="E29" s="39">
        <v>9</v>
      </c>
      <c r="F29" s="39">
        <v>5</v>
      </c>
      <c r="G29" s="39">
        <v>1</v>
      </c>
      <c r="H29" s="39">
        <f>SUM(D29:G29)</f>
        <v>17</v>
      </c>
      <c r="I29" s="69">
        <f t="shared" ref="I29:I30" ca="1" si="6">D29*$E$6+E29*$E$7+F29*$E$8+G29*$E$9</f>
        <v>789.68642378748018</v>
      </c>
      <c r="J29" s="59">
        <f t="shared" ca="1" si="4"/>
        <v>96728433.318041116</v>
      </c>
      <c r="K29" s="356">
        <v>0.01</v>
      </c>
      <c r="L29" s="60">
        <f ca="1">J29+J29*SUM(SUM($K$19:K29))</f>
        <v>95761148.984860703</v>
      </c>
      <c r="M29" s="59">
        <f t="shared" ca="1" si="5"/>
        <v>121264.77814519434</v>
      </c>
      <c r="O29" s="346">
        <v>530</v>
      </c>
    </row>
    <row r="30" spans="3:15" x14ac:dyDescent="0.25">
      <c r="C30" s="136">
        <v>45992</v>
      </c>
      <c r="D30" s="39">
        <v>3</v>
      </c>
      <c r="E30" s="39">
        <v>8</v>
      </c>
      <c r="F30" s="39">
        <v>5</v>
      </c>
      <c r="G30" s="39">
        <v>1</v>
      </c>
      <c r="H30" s="39">
        <f>SUM(D30:G30)</f>
        <v>17</v>
      </c>
      <c r="I30" s="69">
        <f t="shared" ca="1" si="6"/>
        <v>781.42162608518242</v>
      </c>
      <c r="J30" s="59">
        <f t="shared" ca="1" si="4"/>
        <v>96311034.193165988</v>
      </c>
      <c r="K30" s="356">
        <v>0.01</v>
      </c>
      <c r="L30" s="60">
        <f ca="1">J30+J30*SUM(SUM($K$19:K30))</f>
        <v>96311034.193165988</v>
      </c>
      <c r="M30" s="59">
        <f t="shared" ca="1" si="5"/>
        <v>123251.04780587064</v>
      </c>
      <c r="O30" s="346">
        <v>530</v>
      </c>
    </row>
    <row r="31" spans="3:15" x14ac:dyDescent="0.25">
      <c r="C31" s="336" t="s">
        <v>4561</v>
      </c>
      <c r="D31" s="337">
        <f>SUM(D19:D30)</f>
        <v>9</v>
      </c>
      <c r="E31" s="337">
        <f>SUM(E19:E30)</f>
        <v>31</v>
      </c>
      <c r="F31" s="337">
        <f>SUM(F19:F30)</f>
        <v>22</v>
      </c>
      <c r="G31" s="337">
        <f>SUM(G19:G30)</f>
        <v>4</v>
      </c>
      <c r="H31" s="337">
        <f t="shared" ref="H31:L31" si="7">SUM(H19:H30)</f>
        <v>66</v>
      </c>
      <c r="I31" s="338">
        <f ca="1">SUM(I19:I30)</f>
        <v>3115.2763161134644</v>
      </c>
      <c r="J31" s="338">
        <f t="shared" ca="1" si="7"/>
        <v>382037598.029351</v>
      </c>
      <c r="K31" s="696">
        <f t="shared" si="7"/>
        <v>0</v>
      </c>
      <c r="L31" s="338">
        <f t="shared" ca="1" si="7"/>
        <v>376345360.43321693</v>
      </c>
      <c r="M31" s="338">
        <f ca="1">L31/I31</f>
        <v>120806.41402067838</v>
      </c>
    </row>
    <row r="32" spans="3:15" x14ac:dyDescent="0.25">
      <c r="C32" s="131" t="s">
        <v>106</v>
      </c>
      <c r="D32" s="132">
        <f>D31/$G$6</f>
        <v>0.20454545454545456</v>
      </c>
      <c r="E32" s="132">
        <f>E31/$G$7</f>
        <v>0.34065934065934067</v>
      </c>
      <c r="F32" s="132">
        <f>F31/$G$8</f>
        <v>0.30985915492957744</v>
      </c>
      <c r="G32" s="132">
        <f>G31/$G$9</f>
        <v>0.2857142857142857</v>
      </c>
      <c r="H32" s="133">
        <f>H31/$G$10</f>
        <v>0.3</v>
      </c>
      <c r="J32" s="66"/>
      <c r="K32" s="4"/>
      <c r="M32" s="65"/>
    </row>
    <row r="34" spans="3:15" ht="24" x14ac:dyDescent="0.25">
      <c r="C34" s="102" t="s">
        <v>0</v>
      </c>
      <c r="D34" s="103" t="s">
        <v>4</v>
      </c>
      <c r="E34" s="104" t="s">
        <v>22</v>
      </c>
      <c r="F34" s="104" t="s">
        <v>23</v>
      </c>
      <c r="G34" s="104" t="s">
        <v>24</v>
      </c>
      <c r="H34" s="105" t="s">
        <v>59</v>
      </c>
      <c r="I34" s="106" t="s">
        <v>51</v>
      </c>
      <c r="J34" s="107" t="s">
        <v>33</v>
      </c>
      <c r="K34" s="107" t="s">
        <v>108</v>
      </c>
      <c r="L34" s="107" t="s">
        <v>107</v>
      </c>
      <c r="M34" s="108" t="s">
        <v>17</v>
      </c>
    </row>
    <row r="35" spans="3:15" x14ac:dyDescent="0.25">
      <c r="C35" s="136">
        <v>46023</v>
      </c>
      <c r="D35" s="39">
        <v>2</v>
      </c>
      <c r="E35" s="39">
        <v>4</v>
      </c>
      <c r="F35" s="39">
        <v>2</v>
      </c>
      <c r="G35" s="39"/>
      <c r="H35" s="39">
        <f t="shared" ref="H35:H46" si="8">SUM(D35:G35)</f>
        <v>8</v>
      </c>
      <c r="I35" s="69">
        <f t="shared" ref="I35:I43" ca="1" si="9">D35*$E$6+E35*$E$7+F35*$E$8+G35*$E$9</f>
        <v>338.82516392058648</v>
      </c>
      <c r="J35" s="59">
        <f t="shared" ref="J35:J46" ca="1" si="10">D35*$L$6+E35*$L$7+F35*$L$8+G35*$L$9</f>
        <v>42734752.33560805</v>
      </c>
      <c r="K35" s="294">
        <v>0.01</v>
      </c>
      <c r="L35" s="60">
        <f ca="1">J35+J35*SUM($K$31+SUM($K$35:K35))</f>
        <v>43162099.85896413</v>
      </c>
      <c r="M35" s="59">
        <f ca="1">IFERROR(L35/I35,"")</f>
        <v>127387.52741836029</v>
      </c>
      <c r="O35" s="346">
        <v>530</v>
      </c>
    </row>
    <row r="36" spans="3:15" x14ac:dyDescent="0.25">
      <c r="C36" s="136">
        <v>46054</v>
      </c>
      <c r="D36" s="39">
        <v>2</v>
      </c>
      <c r="E36" s="39">
        <v>3</v>
      </c>
      <c r="F36" s="39">
        <v>3</v>
      </c>
      <c r="G36" s="39"/>
      <c r="H36" s="39">
        <f t="shared" si="8"/>
        <v>8</v>
      </c>
      <c r="I36" s="69">
        <f t="shared" ca="1" si="9"/>
        <v>360.27880731944106</v>
      </c>
      <c r="J36" s="59">
        <f t="shared" ca="1" si="10"/>
        <v>45308212.946968526</v>
      </c>
      <c r="K36" s="294">
        <v>0.01</v>
      </c>
      <c r="L36" s="60">
        <f ca="1">J36+J36*SUM($K$31+SUM($K$35:K36))</f>
        <v>46214377.205907896</v>
      </c>
      <c r="M36" s="59">
        <f t="shared" ref="M36:M46" ca="1" si="11">IFERROR(L36/I36,"")</f>
        <v>128273.9263787224</v>
      </c>
      <c r="O36" s="346">
        <v>331.25</v>
      </c>
    </row>
    <row r="37" spans="3:15" x14ac:dyDescent="0.25">
      <c r="C37" s="136">
        <v>46082</v>
      </c>
      <c r="D37" s="39">
        <v>2</v>
      </c>
      <c r="E37" s="39">
        <v>3</v>
      </c>
      <c r="F37" s="39">
        <v>2</v>
      </c>
      <c r="G37" s="39">
        <v>1</v>
      </c>
      <c r="H37" s="39">
        <f t="shared" si="8"/>
        <v>8</v>
      </c>
      <c r="I37" s="69">
        <f t="shared" ca="1" si="9"/>
        <v>373.82208699750953</v>
      </c>
      <c r="J37" s="59">
        <f t="shared" ca="1" si="10"/>
        <v>45782593.450992674</v>
      </c>
      <c r="K37" s="294">
        <v>0.01</v>
      </c>
      <c r="L37" s="60">
        <f ca="1">J37+J37*SUM($K$31+SUM($K$35:K37))</f>
        <v>47156071.25452245</v>
      </c>
      <c r="M37" s="59">
        <f t="shared" ca="1" si="11"/>
        <v>126145.75996103893</v>
      </c>
      <c r="O37" s="346">
        <v>331.25</v>
      </c>
    </row>
    <row r="38" spans="3:15" x14ac:dyDescent="0.25">
      <c r="C38" s="136">
        <v>46113</v>
      </c>
      <c r="D38" s="39">
        <v>2</v>
      </c>
      <c r="E38" s="39">
        <v>3</v>
      </c>
      <c r="F38" s="39">
        <v>2</v>
      </c>
      <c r="G38" s="39">
        <v>1</v>
      </c>
      <c r="H38" s="39">
        <f t="shared" si="8"/>
        <v>8</v>
      </c>
      <c r="I38" s="69">
        <f t="shared" ca="1" si="9"/>
        <v>373.82208699750953</v>
      </c>
      <c r="J38" s="59">
        <f t="shared" ca="1" si="10"/>
        <v>45782593.450992674</v>
      </c>
      <c r="K38" s="294">
        <v>0.01</v>
      </c>
      <c r="L38" s="60">
        <f ca="1">J38+J38*SUM($K$31+SUM($K$35:K38))</f>
        <v>47613897.189032383</v>
      </c>
      <c r="M38" s="59">
        <f t="shared" ca="1" si="11"/>
        <v>127370.47607716554</v>
      </c>
      <c r="O38" s="346">
        <v>331.25</v>
      </c>
    </row>
    <row r="39" spans="3:15" x14ac:dyDescent="0.25">
      <c r="C39" s="136">
        <v>46143</v>
      </c>
      <c r="D39" s="39">
        <v>2</v>
      </c>
      <c r="E39" s="39">
        <v>3</v>
      </c>
      <c r="F39" s="39">
        <v>2</v>
      </c>
      <c r="G39" s="39">
        <v>1</v>
      </c>
      <c r="H39" s="39">
        <f t="shared" si="8"/>
        <v>8</v>
      </c>
      <c r="I39" s="69">
        <f t="shared" ca="1" si="9"/>
        <v>373.82208699750953</v>
      </c>
      <c r="J39" s="59">
        <f t="shared" ca="1" si="10"/>
        <v>45782593.450992674</v>
      </c>
      <c r="K39" s="294">
        <v>0.01</v>
      </c>
      <c r="L39" s="60">
        <f ca="1">J39+J39*SUM($K$31+SUM($K$35:K39))</f>
        <v>48071723.123542309</v>
      </c>
      <c r="M39" s="59">
        <f t="shared" ca="1" si="11"/>
        <v>128595.19219329213</v>
      </c>
      <c r="O39" s="346">
        <v>331.25</v>
      </c>
    </row>
    <row r="40" spans="3:15" x14ac:dyDescent="0.25">
      <c r="C40" s="136">
        <v>46174</v>
      </c>
      <c r="D40" s="39">
        <v>2</v>
      </c>
      <c r="E40" s="39">
        <v>4</v>
      </c>
      <c r="F40" s="39">
        <v>2</v>
      </c>
      <c r="G40" s="39"/>
      <c r="H40" s="39">
        <f t="shared" si="8"/>
        <v>8</v>
      </c>
      <c r="I40" s="69">
        <f t="shared" ca="1" si="9"/>
        <v>338.82516392058648</v>
      </c>
      <c r="J40" s="59">
        <f t="shared" ca="1" si="10"/>
        <v>42734752.33560805</v>
      </c>
      <c r="K40" s="294">
        <v>0.01</v>
      </c>
      <c r="L40" s="60">
        <f ca="1">J40+J40*SUM($K$31+SUM($K$35:K40))</f>
        <v>45298837.475744531</v>
      </c>
      <c r="M40" s="59">
        <f t="shared" ca="1" si="11"/>
        <v>133693.84065689298</v>
      </c>
      <c r="O40" s="346">
        <v>331.25</v>
      </c>
    </row>
    <row r="41" spans="3:15" x14ac:dyDescent="0.25">
      <c r="C41" s="136">
        <v>46204</v>
      </c>
      <c r="D41" s="39">
        <v>3</v>
      </c>
      <c r="E41" s="39">
        <v>3</v>
      </c>
      <c r="F41" s="39">
        <v>2</v>
      </c>
      <c r="G41" s="39"/>
      <c r="H41" s="39">
        <f t="shared" si="8"/>
        <v>8</v>
      </c>
      <c r="I41" s="69">
        <f t="shared" ca="1" si="9"/>
        <v>330.56036621828878</v>
      </c>
      <c r="J41" s="59">
        <f t="shared" ca="1" si="10"/>
        <v>42317353.210732929</v>
      </c>
      <c r="K41" s="294">
        <v>0.01</v>
      </c>
      <c r="L41" s="60">
        <f ca="1">J41+J41*SUM($K$31+SUM($K$35:K41))</f>
        <v>45279567.935484238</v>
      </c>
      <c r="M41" s="59">
        <f t="shared" ca="1" si="11"/>
        <v>136978.21203883659</v>
      </c>
      <c r="O41" s="346">
        <v>331.25</v>
      </c>
    </row>
    <row r="42" spans="3:15" x14ac:dyDescent="0.25">
      <c r="C42" s="136">
        <v>46235</v>
      </c>
      <c r="D42" s="39">
        <v>2</v>
      </c>
      <c r="E42" s="39">
        <v>3</v>
      </c>
      <c r="F42" s="39">
        <v>3</v>
      </c>
      <c r="G42" s="39"/>
      <c r="H42" s="39">
        <f t="shared" si="8"/>
        <v>8</v>
      </c>
      <c r="I42" s="69">
        <f t="shared" ca="1" si="9"/>
        <v>360.27880731944106</v>
      </c>
      <c r="J42" s="59">
        <f t="shared" ca="1" si="10"/>
        <v>45308212.946968526</v>
      </c>
      <c r="K42" s="294">
        <v>0.01</v>
      </c>
      <c r="L42" s="60">
        <f ca="1">J42+J42*SUM($K$31+SUM($K$35:K42))</f>
        <v>48932869.982726008</v>
      </c>
      <c r="M42" s="59">
        <f t="shared" ca="1" si="11"/>
        <v>135819.45145982373</v>
      </c>
      <c r="O42" s="346">
        <v>331.25</v>
      </c>
    </row>
    <row r="43" spans="3:15" x14ac:dyDescent="0.25">
      <c r="C43" s="136">
        <v>46266</v>
      </c>
      <c r="D43" s="39">
        <v>2</v>
      </c>
      <c r="E43" s="39">
        <v>2</v>
      </c>
      <c r="F43" s="39">
        <v>2</v>
      </c>
      <c r="G43" s="39">
        <v>1</v>
      </c>
      <c r="H43" s="39">
        <f t="shared" si="8"/>
        <v>7</v>
      </c>
      <c r="I43" s="69">
        <f t="shared" ca="1" si="9"/>
        <v>334.76615293157545</v>
      </c>
      <c r="J43" s="59">
        <f t="shared" ca="1" si="10"/>
        <v>40979764.780662999</v>
      </c>
      <c r="K43" s="294">
        <v>0.01</v>
      </c>
      <c r="L43" s="60">
        <f ca="1">J43+J43*SUM($K$31+SUM($K$35:K43))</f>
        <v>44667943.610922664</v>
      </c>
      <c r="M43" s="59">
        <f t="shared" ca="1" si="11"/>
        <v>133430.28624537372</v>
      </c>
      <c r="O43" s="346">
        <v>331.25</v>
      </c>
    </row>
    <row r="44" spans="3:15" x14ac:dyDescent="0.25">
      <c r="C44" s="136">
        <v>46296</v>
      </c>
      <c r="D44" s="39">
        <v>2</v>
      </c>
      <c r="E44" s="39">
        <v>2</v>
      </c>
      <c r="F44" s="39">
        <v>2</v>
      </c>
      <c r="G44" s="39">
        <v>1</v>
      </c>
      <c r="H44" s="39">
        <f t="shared" si="8"/>
        <v>7</v>
      </c>
      <c r="I44" s="69">
        <f ca="1">D44*$E$6+E44*$E$7+F44*$E$8+G44*$E$9</f>
        <v>334.76615293157545</v>
      </c>
      <c r="J44" s="59">
        <f t="shared" ca="1" si="10"/>
        <v>40979764.780662999</v>
      </c>
      <c r="K44" s="294">
        <v>0.01</v>
      </c>
      <c r="L44" s="60">
        <f ca="1">J44+J44*SUM($K$31+SUM($K$35:K44))</f>
        <v>45077741.258729301</v>
      </c>
      <c r="M44" s="59">
        <f t="shared" ca="1" si="11"/>
        <v>134654.41731184506</v>
      </c>
      <c r="O44" s="346">
        <v>331.25</v>
      </c>
    </row>
    <row r="45" spans="3:15" x14ac:dyDescent="0.25">
      <c r="C45" s="136">
        <v>46327</v>
      </c>
      <c r="D45" s="39">
        <v>2</v>
      </c>
      <c r="E45" s="39">
        <v>2</v>
      </c>
      <c r="F45" s="39">
        <v>2</v>
      </c>
      <c r="G45" s="39">
        <v>1</v>
      </c>
      <c r="H45" s="39">
        <f t="shared" si="8"/>
        <v>7</v>
      </c>
      <c r="I45" s="69">
        <f t="shared" ref="I45:I46" ca="1" si="12">D45*$E$6+E45*$E$7+F45*$E$8+G45*$E$9</f>
        <v>334.76615293157545</v>
      </c>
      <c r="J45" s="59">
        <f t="shared" ca="1" si="10"/>
        <v>40979764.780662999</v>
      </c>
      <c r="K45" s="294">
        <v>0.01</v>
      </c>
      <c r="L45" s="60">
        <f ca="1">J45+J45*SUM($K$31+SUM($K$35:K45))</f>
        <v>45487538.906535931</v>
      </c>
      <c r="M45" s="59">
        <f t="shared" ca="1" si="11"/>
        <v>135878.54837831637</v>
      </c>
      <c r="O45" s="346">
        <v>331.25</v>
      </c>
    </row>
    <row r="46" spans="3:15" x14ac:dyDescent="0.25">
      <c r="C46" s="136">
        <v>46357</v>
      </c>
      <c r="D46" s="39">
        <v>2</v>
      </c>
      <c r="E46" s="39">
        <v>2</v>
      </c>
      <c r="F46" s="39">
        <v>2</v>
      </c>
      <c r="G46" s="39">
        <v>1</v>
      </c>
      <c r="H46" s="39">
        <f t="shared" si="8"/>
        <v>7</v>
      </c>
      <c r="I46" s="69">
        <f t="shared" ca="1" si="12"/>
        <v>334.76615293157545</v>
      </c>
      <c r="J46" s="59">
        <f t="shared" ca="1" si="10"/>
        <v>40979764.780662999</v>
      </c>
      <c r="K46" s="294">
        <v>0.01</v>
      </c>
      <c r="L46" s="60">
        <f ca="1">J46+J46*SUM($K$31+SUM($K$35:K46))</f>
        <v>45897336.55434256</v>
      </c>
      <c r="M46" s="59">
        <f t="shared" ca="1" si="11"/>
        <v>137102.67944478767</v>
      </c>
      <c r="O46" s="346">
        <v>331.25</v>
      </c>
    </row>
    <row r="47" spans="3:15" x14ac:dyDescent="0.25">
      <c r="C47" s="336" t="s">
        <v>4890</v>
      </c>
      <c r="D47" s="337">
        <f>SUM(D35:D46)</f>
        <v>25</v>
      </c>
      <c r="E47" s="337">
        <f>SUM(E35:E46)</f>
        <v>34</v>
      </c>
      <c r="F47" s="337">
        <f>SUM(F35:F46)</f>
        <v>26</v>
      </c>
      <c r="G47" s="337">
        <f>SUM(G35:G46)</f>
        <v>7</v>
      </c>
      <c r="H47" s="337">
        <f t="shared" ref="H47:L47" si="13">SUM(H35:H46)</f>
        <v>92</v>
      </c>
      <c r="I47" s="338">
        <f ca="1">SUM(I35:I46)</f>
        <v>4189.2991814171746</v>
      </c>
      <c r="J47" s="338">
        <f t="shared" ca="1" si="13"/>
        <v>519670123.2515161</v>
      </c>
      <c r="K47" s="696">
        <f t="shared" si="13"/>
        <v>0.11999999999999998</v>
      </c>
      <c r="L47" s="338">
        <f t="shared" ca="1" si="13"/>
        <v>552860004.35645437</v>
      </c>
      <c r="M47" s="338">
        <f ca="1">L47/I47</f>
        <v>131969.56827739155</v>
      </c>
    </row>
    <row r="48" spans="3:15" x14ac:dyDescent="0.25">
      <c r="C48" s="131" t="s">
        <v>106</v>
      </c>
      <c r="D48" s="132">
        <f>D47/$G$6</f>
        <v>0.56818181818181823</v>
      </c>
      <c r="E48" s="132">
        <f>E47/$G$7</f>
        <v>0.37362637362637363</v>
      </c>
      <c r="F48" s="132">
        <f>F47/$G$8</f>
        <v>0.36619718309859156</v>
      </c>
      <c r="G48" s="132">
        <f>G47/$G$9</f>
        <v>0.5</v>
      </c>
      <c r="H48" s="133">
        <f>H47/$G$10</f>
        <v>0.41818181818181815</v>
      </c>
      <c r="J48" s="66"/>
      <c r="K48" s="4"/>
      <c r="M48" s="65"/>
    </row>
    <row r="50" spans="3:15" ht="24" x14ac:dyDescent="0.25">
      <c r="C50" s="102" t="s">
        <v>0</v>
      </c>
      <c r="D50" s="103" t="s">
        <v>4</v>
      </c>
      <c r="E50" s="104" t="s">
        <v>22</v>
      </c>
      <c r="F50" s="104" t="s">
        <v>23</v>
      </c>
      <c r="G50" s="104" t="s">
        <v>24</v>
      </c>
      <c r="H50" s="105" t="s">
        <v>59</v>
      </c>
      <c r="I50" s="106" t="s">
        <v>51</v>
      </c>
      <c r="J50" s="107" t="s">
        <v>33</v>
      </c>
      <c r="K50" s="107" t="s">
        <v>108</v>
      </c>
      <c r="L50" s="107" t="s">
        <v>107</v>
      </c>
      <c r="M50" s="108" t="s">
        <v>17</v>
      </c>
    </row>
    <row r="51" spans="3:15" x14ac:dyDescent="0.25">
      <c r="C51" s="136">
        <v>46388</v>
      </c>
      <c r="D51" s="39">
        <v>1</v>
      </c>
      <c r="E51" s="39">
        <v>2</v>
      </c>
      <c r="F51" s="39">
        <v>1</v>
      </c>
      <c r="G51" s="39">
        <v>1</v>
      </c>
      <c r="H51" s="39">
        <f t="shared" ref="H51:H62" si="14">SUM(D51:G51)</f>
        <v>5</v>
      </c>
      <c r="I51" s="69">
        <f t="shared" ref="I51:I59" ca="1" si="15">D51*$E$6+E51*$E$7+F51*$E$8+G51*$E$9</f>
        <v>243.4654391031504</v>
      </c>
      <c r="J51" s="59">
        <f t="shared" ref="J51:J62" ca="1" si="16">D51*$L$6+E51*$L$7+F51*$L$8+G51*$L$9</f>
        <v>29218045.953518309</v>
      </c>
      <c r="K51" s="294">
        <v>0.01</v>
      </c>
      <c r="L51" s="60">
        <f ca="1">J51+J51*SUM($K$31+$K$47+SUM($K$51:K51))</f>
        <v>33016391.927475687</v>
      </c>
      <c r="M51" s="59">
        <f ca="1">IFERROR(L51/I51,"")</f>
        <v>135610.17961768052</v>
      </c>
      <c r="O51" s="346">
        <v>331.25</v>
      </c>
    </row>
    <row r="52" spans="3:15" x14ac:dyDescent="0.25">
      <c r="C52" s="136">
        <v>46419</v>
      </c>
      <c r="D52" s="39">
        <v>1</v>
      </c>
      <c r="E52" s="39">
        <v>2</v>
      </c>
      <c r="F52" s="39">
        <v>1</v>
      </c>
      <c r="G52" s="39"/>
      <c r="H52" s="39">
        <f t="shared" si="14"/>
        <v>4</v>
      </c>
      <c r="I52" s="69">
        <f t="shared" ca="1" si="15"/>
        <v>169.41258196029324</v>
      </c>
      <c r="J52" s="59">
        <f t="shared" ca="1" si="16"/>
        <v>21367376.167804025</v>
      </c>
      <c r="K52" s="294">
        <v>0.01</v>
      </c>
      <c r="L52" s="60">
        <f ca="1">J52+J52*SUM($K$31+$K$47+SUM($K$51:K52))</f>
        <v>24358808.831296589</v>
      </c>
      <c r="M52" s="59">
        <f t="shared" ref="M52:M62" ca="1" si="17">IFERROR(L52/I52,"")</f>
        <v>143783.94183854529</v>
      </c>
      <c r="O52" s="346">
        <v>331.25</v>
      </c>
    </row>
    <row r="53" spans="3:15" x14ac:dyDescent="0.25">
      <c r="C53" s="136">
        <v>46447</v>
      </c>
      <c r="D53" s="39">
        <v>1</v>
      </c>
      <c r="E53" s="39">
        <v>1</v>
      </c>
      <c r="F53" s="39">
        <v>1</v>
      </c>
      <c r="G53" s="39"/>
      <c r="H53" s="39">
        <f t="shared" si="14"/>
        <v>3</v>
      </c>
      <c r="I53" s="69">
        <f t="shared" ca="1" si="15"/>
        <v>130.35664789435916</v>
      </c>
      <c r="J53" s="59">
        <f t="shared" ca="1" si="16"/>
        <v>16564547.497474357</v>
      </c>
      <c r="K53" s="294">
        <v>0.01</v>
      </c>
      <c r="L53" s="60">
        <f ca="1">J53+J53*SUM($K$31+$K$47+SUM($K$51:K53))</f>
        <v>19049229.62209551</v>
      </c>
      <c r="M53" s="59">
        <f t="shared" ca="1" si="17"/>
        <v>146131.63141118034</v>
      </c>
      <c r="O53" s="346">
        <v>331.25</v>
      </c>
    </row>
    <row r="54" spans="3:15" x14ac:dyDescent="0.25">
      <c r="C54" s="136">
        <v>46478</v>
      </c>
      <c r="D54" s="39">
        <v>1</v>
      </c>
      <c r="E54" s="39">
        <v>1</v>
      </c>
      <c r="F54" s="39">
        <v>2</v>
      </c>
      <c r="G54" s="39"/>
      <c r="H54" s="39">
        <f t="shared" si="14"/>
        <v>4</v>
      </c>
      <c r="I54" s="69">
        <f t="shared" ca="1" si="15"/>
        <v>190.86622535914788</v>
      </c>
      <c r="J54" s="59">
        <f t="shared" ca="1" si="16"/>
        <v>23940836.779164501</v>
      </c>
      <c r="K54" s="294"/>
      <c r="L54" s="60">
        <f ca="1">J54+J54*SUM($K$31+$K$47+SUM($K$51:K54))</f>
        <v>27531962.296039175</v>
      </c>
      <c r="M54" s="59">
        <f t="shared" ca="1" si="17"/>
        <v>144247.42902644517</v>
      </c>
      <c r="O54" s="346">
        <v>331.25</v>
      </c>
    </row>
    <row r="55" spans="3:15" x14ac:dyDescent="0.25">
      <c r="C55" s="136">
        <v>46508</v>
      </c>
      <c r="D55" s="39">
        <v>1</v>
      </c>
      <c r="E55" s="39">
        <v>1</v>
      </c>
      <c r="F55" s="39">
        <v>1</v>
      </c>
      <c r="G55" s="39"/>
      <c r="H55" s="39">
        <f t="shared" si="14"/>
        <v>3</v>
      </c>
      <c r="I55" s="69">
        <f t="shared" ca="1" si="15"/>
        <v>130.35664789435916</v>
      </c>
      <c r="J55" s="59">
        <f t="shared" ca="1" si="16"/>
        <v>16564547.497474357</v>
      </c>
      <c r="K55" s="294"/>
      <c r="L55" s="60">
        <f ca="1">J55+J55*SUM($K$31+$K$47+SUM($K$51:K55))</f>
        <v>19049229.62209551</v>
      </c>
      <c r="M55" s="59">
        <f t="shared" ca="1" si="17"/>
        <v>146131.63141118034</v>
      </c>
      <c r="O55" s="346">
        <v>331.25</v>
      </c>
    </row>
    <row r="56" spans="3:15" x14ac:dyDescent="0.25">
      <c r="C56" s="136">
        <v>46539</v>
      </c>
      <c r="D56" s="39">
        <v>1</v>
      </c>
      <c r="E56" s="39">
        <v>1</v>
      </c>
      <c r="F56" s="39">
        <v>1</v>
      </c>
      <c r="G56" s="39"/>
      <c r="H56" s="39">
        <f t="shared" si="14"/>
        <v>3</v>
      </c>
      <c r="I56" s="69">
        <f t="shared" ca="1" si="15"/>
        <v>130.35664789435916</v>
      </c>
      <c r="J56" s="59">
        <f t="shared" ca="1" si="16"/>
        <v>16564547.497474357</v>
      </c>
      <c r="K56" s="294"/>
      <c r="L56" s="60">
        <f ca="1">J56+J56*SUM($K$31+$K$47+SUM($K$51:K56))</f>
        <v>19049229.62209551</v>
      </c>
      <c r="M56" s="59">
        <f t="shared" ca="1" si="17"/>
        <v>146131.63141118034</v>
      </c>
    </row>
    <row r="57" spans="3:15" x14ac:dyDescent="0.25">
      <c r="C57" s="136">
        <v>46569</v>
      </c>
      <c r="D57" s="39"/>
      <c r="E57" s="39">
        <v>1</v>
      </c>
      <c r="F57" s="39">
        <v>1</v>
      </c>
      <c r="G57" s="39"/>
      <c r="H57" s="39">
        <f t="shared" si="14"/>
        <v>2</v>
      </c>
      <c r="I57" s="69">
        <f t="shared" ca="1" si="15"/>
        <v>99.565511530722773</v>
      </c>
      <c r="J57" s="59">
        <f t="shared" ca="1" si="16"/>
        <v>12179117.952019811</v>
      </c>
      <c r="K57" s="374"/>
      <c r="L57" s="60">
        <f ca="1">J57+J57*SUM($K$31+$K$47+SUM($K$51:K57))</f>
        <v>14005985.644822782</v>
      </c>
      <c r="M57" s="59">
        <f t="shared" ca="1" si="17"/>
        <v>140671.05596601064</v>
      </c>
    </row>
    <row r="58" spans="3:15" x14ac:dyDescent="0.25">
      <c r="C58" s="136">
        <v>46600</v>
      </c>
      <c r="D58" s="39"/>
      <c r="E58" s="39">
        <v>1</v>
      </c>
      <c r="F58" s="39">
        <v>1</v>
      </c>
      <c r="G58" s="39"/>
      <c r="H58" s="39">
        <f t="shared" si="14"/>
        <v>2</v>
      </c>
      <c r="I58" s="69">
        <f t="shared" ca="1" si="15"/>
        <v>99.565511530722773</v>
      </c>
      <c r="J58" s="59">
        <f t="shared" ca="1" si="16"/>
        <v>12179117.952019811</v>
      </c>
      <c r="K58" s="294"/>
      <c r="L58" s="60">
        <f ca="1">J58+J58*SUM($K$31+$K$47+SUM($K$51:K58))</f>
        <v>14005985.644822782</v>
      </c>
      <c r="M58" s="59">
        <f t="shared" ca="1" si="17"/>
        <v>140671.05596601064</v>
      </c>
    </row>
    <row r="59" spans="3:15" x14ac:dyDescent="0.25">
      <c r="C59" s="136">
        <v>46631</v>
      </c>
      <c r="D59" s="39"/>
      <c r="E59" s="39">
        <v>1</v>
      </c>
      <c r="F59" s="39">
        <v>1</v>
      </c>
      <c r="G59" s="39"/>
      <c r="H59" s="39">
        <f t="shared" si="14"/>
        <v>2</v>
      </c>
      <c r="I59" s="69">
        <f t="shared" ca="1" si="15"/>
        <v>99.565511530722773</v>
      </c>
      <c r="J59" s="59">
        <f t="shared" ca="1" si="16"/>
        <v>12179117.952019811</v>
      </c>
      <c r="K59" s="374"/>
      <c r="L59" s="60">
        <f ca="1">J59+J59*SUM($K$31+$K$47+SUM($K$51:K59))</f>
        <v>14005985.644822782</v>
      </c>
      <c r="M59" s="59">
        <f t="shared" ca="1" si="17"/>
        <v>140671.05596601064</v>
      </c>
    </row>
    <row r="60" spans="3:15" x14ac:dyDescent="0.25">
      <c r="C60" s="136">
        <v>46661</v>
      </c>
      <c r="D60" s="39"/>
      <c r="E60" s="39">
        <v>1</v>
      </c>
      <c r="F60" s="39">
        <v>1</v>
      </c>
      <c r="G60" s="39"/>
      <c r="H60" s="39">
        <f t="shared" si="14"/>
        <v>2</v>
      </c>
      <c r="I60" s="69">
        <f ca="1">D60*$E$6+E60*$E$7+F60*$E$8+G60*$E$9</f>
        <v>99.565511530722773</v>
      </c>
      <c r="J60" s="59">
        <f t="shared" ca="1" si="16"/>
        <v>12179117.952019811</v>
      </c>
      <c r="K60" s="374"/>
      <c r="L60" s="60">
        <f ca="1">J60+J60*SUM($K$31+$K$47+SUM($K$51:K60))</f>
        <v>14005985.644822782</v>
      </c>
      <c r="M60" s="59">
        <f t="shared" ca="1" si="17"/>
        <v>140671.05596601064</v>
      </c>
    </row>
    <row r="61" spans="3:15" x14ac:dyDescent="0.25">
      <c r="C61" s="136">
        <v>46692</v>
      </c>
      <c r="D61" s="39"/>
      <c r="E61" s="39"/>
      <c r="F61" s="39"/>
      <c r="G61" s="39"/>
      <c r="H61" s="39">
        <f t="shared" si="14"/>
        <v>0</v>
      </c>
      <c r="I61" s="69">
        <f t="shared" ref="I61:I62" ca="1" si="18">D61*$E$6+E61*$E$7+F61*$E$8+G61*$E$9</f>
        <v>0</v>
      </c>
      <c r="J61" s="59">
        <f t="shared" ca="1" si="16"/>
        <v>0</v>
      </c>
      <c r="K61" s="373"/>
      <c r="L61" s="60">
        <f ca="1">J61+J61*SUM($K$31+$K$47+SUM($K$51:K61))</f>
        <v>0</v>
      </c>
      <c r="M61" s="59" t="str">
        <f t="shared" ca="1" si="17"/>
        <v/>
      </c>
    </row>
    <row r="62" spans="3:15" x14ac:dyDescent="0.25">
      <c r="C62" s="136">
        <v>46722</v>
      </c>
      <c r="D62" s="39"/>
      <c r="E62" s="39"/>
      <c r="F62" s="39"/>
      <c r="G62" s="39"/>
      <c r="H62" s="39">
        <f t="shared" si="14"/>
        <v>0</v>
      </c>
      <c r="I62" s="69">
        <f t="shared" ca="1" si="18"/>
        <v>0</v>
      </c>
      <c r="J62" s="59">
        <f t="shared" ca="1" si="16"/>
        <v>0</v>
      </c>
      <c r="K62" s="294"/>
      <c r="L62" s="60">
        <f ca="1">J62+J62*SUM($K$31+$K$47+SUM($K$51:K62))</f>
        <v>0</v>
      </c>
      <c r="M62" s="59" t="str">
        <f t="shared" ca="1" si="17"/>
        <v/>
      </c>
    </row>
    <row r="63" spans="3:15" x14ac:dyDescent="0.25">
      <c r="C63" s="36" t="s">
        <v>7854</v>
      </c>
      <c r="D63" s="337">
        <f>SUM(D51:D62)</f>
        <v>6</v>
      </c>
      <c r="E63" s="337">
        <f>SUM(E51:E62)</f>
        <v>12</v>
      </c>
      <c r="F63" s="337">
        <f>SUM(F51:F62)</f>
        <v>11</v>
      </c>
      <c r="G63" s="337">
        <f>SUM(G51:G62)</f>
        <v>1</v>
      </c>
      <c r="H63" s="337">
        <f t="shared" ref="H63:L63" si="19">SUM(H51:H62)</f>
        <v>30</v>
      </c>
      <c r="I63" s="338">
        <f ca="1">SUM(I51:I62)</f>
        <v>1393.0762362285598</v>
      </c>
      <c r="J63" s="338">
        <f t="shared" ca="1" si="19"/>
        <v>172936373.20098916</v>
      </c>
      <c r="K63" s="696">
        <f t="shared" si="19"/>
        <v>0.03</v>
      </c>
      <c r="L63" s="338">
        <f t="shared" ca="1" si="19"/>
        <v>198078794.5003891</v>
      </c>
      <c r="M63" s="338">
        <f ca="1">L63/I63</f>
        <v>142188.05069609315</v>
      </c>
    </row>
    <row r="64" spans="3:15" x14ac:dyDescent="0.25">
      <c r="C64" s="131" t="s">
        <v>106</v>
      </c>
      <c r="D64" s="132">
        <f>D63/$G$6</f>
        <v>0.13636363636363635</v>
      </c>
      <c r="E64" s="132">
        <f>E63/$G$7</f>
        <v>0.13186813186813187</v>
      </c>
      <c r="F64" s="132">
        <f>F63/$G$8</f>
        <v>0.15492957746478872</v>
      </c>
      <c r="G64" s="132">
        <f>G63/$G$9</f>
        <v>7.1428571428571425E-2</v>
      </c>
      <c r="H64" s="133">
        <f>H63/$G$10</f>
        <v>0.13636363636363635</v>
      </c>
      <c r="J64" s="66"/>
      <c r="K64" s="4"/>
      <c r="M64" s="65"/>
    </row>
    <row r="66" spans="3:13" ht="24" x14ac:dyDescent="0.25">
      <c r="C66" s="102" t="s">
        <v>0</v>
      </c>
      <c r="D66" s="103" t="s">
        <v>4</v>
      </c>
      <c r="E66" s="104" t="s">
        <v>22</v>
      </c>
      <c r="F66" s="104" t="s">
        <v>23</v>
      </c>
      <c r="G66" s="104" t="s">
        <v>24</v>
      </c>
      <c r="H66" s="105" t="s">
        <v>59</v>
      </c>
      <c r="I66" s="106" t="s">
        <v>51</v>
      </c>
      <c r="J66" s="107" t="s">
        <v>33</v>
      </c>
      <c r="K66" s="107" t="s">
        <v>108</v>
      </c>
      <c r="L66" s="107" t="s">
        <v>107</v>
      </c>
      <c r="M66" s="108" t="s">
        <v>17</v>
      </c>
    </row>
    <row r="67" spans="3:13" x14ac:dyDescent="0.25">
      <c r="C67" s="136">
        <v>46753</v>
      </c>
      <c r="D67" s="39">
        <v>2</v>
      </c>
      <c r="E67" s="39">
        <v>7</v>
      </c>
      <c r="F67" s="39">
        <v>6</v>
      </c>
      <c r="G67" s="39">
        <v>1</v>
      </c>
      <c r="H67" s="39">
        <f t="shared" ref="H67:H78" si="20">SUM(D67:G67)</f>
        <v>16</v>
      </c>
      <c r="I67" s="69">
        <f t="shared" ref="I67:I75" ca="1" si="21">D67*$E$6+E67*$E$7+F67*$E$8+G67*$E$9</f>
        <v>772.08413312040068</v>
      </c>
      <c r="J67" s="59">
        <f t="shared" ref="J67:J78" ca="1" si="22">D67*$L$6+E67*$L$7+F67*$L$8+G67*$L$9</f>
        <v>94499065.259071916</v>
      </c>
      <c r="K67" s="526"/>
      <c r="L67" s="60">
        <f ca="1">J67+J67*SUM($K$31+$K$47+$K$63+SUM($K$67:K67))</f>
        <v>108673925.0479327</v>
      </c>
      <c r="M67" s="59">
        <f ca="1">IFERROR(L67/I67,"")</f>
        <v>140753.99349125833</v>
      </c>
    </row>
    <row r="68" spans="3:13" x14ac:dyDescent="0.25">
      <c r="C68" s="136">
        <v>46784</v>
      </c>
      <c r="D68" s="39">
        <v>2</v>
      </c>
      <c r="E68" s="39">
        <v>7</v>
      </c>
      <c r="F68" s="39">
        <v>6</v>
      </c>
      <c r="G68" s="39">
        <v>1</v>
      </c>
      <c r="H68" s="39">
        <f t="shared" si="20"/>
        <v>16</v>
      </c>
      <c r="I68" s="69">
        <f t="shared" ca="1" si="21"/>
        <v>772.08413312040068</v>
      </c>
      <c r="J68" s="59">
        <f t="shared" ca="1" si="22"/>
        <v>94499065.259071916</v>
      </c>
      <c r="K68" s="294"/>
      <c r="L68" s="60">
        <f ca="1">J68+J68*SUM($K$31+$K$47+$K$63+SUM($K$67:K68))</f>
        <v>108673925.0479327</v>
      </c>
      <c r="M68" s="59">
        <f t="shared" ref="M68:M78" ca="1" si="23">IFERROR(L68/I68,"")</f>
        <v>140753.99349125833</v>
      </c>
    </row>
    <row r="69" spans="3:13" x14ac:dyDescent="0.25">
      <c r="C69" s="136">
        <v>46813</v>
      </c>
      <c r="D69" s="39"/>
      <c r="E69" s="39"/>
      <c r="F69" s="39"/>
      <c r="G69" s="39"/>
      <c r="H69" s="39">
        <f t="shared" si="20"/>
        <v>0</v>
      </c>
      <c r="I69" s="69">
        <f t="shared" ca="1" si="21"/>
        <v>0</v>
      </c>
      <c r="J69" s="59">
        <f t="shared" ca="1" si="22"/>
        <v>0</v>
      </c>
      <c r="K69" s="294"/>
      <c r="L69" s="60">
        <f ca="1">J69+J69*SUM($K$31+$K$47+$K$63+SUM($K$67:K69))</f>
        <v>0</v>
      </c>
      <c r="M69" s="59" t="str">
        <f t="shared" ca="1" si="23"/>
        <v/>
      </c>
    </row>
    <row r="70" spans="3:13" x14ac:dyDescent="0.25">
      <c r="C70" s="136">
        <v>46844</v>
      </c>
      <c r="D70" s="39"/>
      <c r="E70" s="39"/>
      <c r="F70" s="39"/>
      <c r="G70" s="39"/>
      <c r="H70" s="39">
        <f t="shared" si="20"/>
        <v>0</v>
      </c>
      <c r="I70" s="69">
        <f t="shared" ca="1" si="21"/>
        <v>0</v>
      </c>
      <c r="J70" s="59">
        <f t="shared" ca="1" si="22"/>
        <v>0</v>
      </c>
      <c r="K70" s="294"/>
      <c r="L70" s="60">
        <f ca="1">J70+J70*SUM($K$31+$K$47+$K$63+SUM($K$67:K70))</f>
        <v>0</v>
      </c>
      <c r="M70" s="59" t="str">
        <f t="shared" ca="1" si="23"/>
        <v/>
      </c>
    </row>
    <row r="71" spans="3:13" x14ac:dyDescent="0.25">
      <c r="C71" s="136">
        <v>46874</v>
      </c>
      <c r="D71" s="39"/>
      <c r="E71" s="39"/>
      <c r="F71" s="39"/>
      <c r="G71" s="39"/>
      <c r="H71" s="39">
        <f t="shared" si="20"/>
        <v>0</v>
      </c>
      <c r="I71" s="69">
        <f t="shared" ca="1" si="21"/>
        <v>0</v>
      </c>
      <c r="J71" s="59">
        <f t="shared" ca="1" si="22"/>
        <v>0</v>
      </c>
      <c r="K71" s="294"/>
      <c r="L71" s="60">
        <f ca="1">J71+J71*SUM($K$31+$K$47+$K$63+SUM($K$67:K71))</f>
        <v>0</v>
      </c>
      <c r="M71" s="59" t="str">
        <f t="shared" ca="1" si="23"/>
        <v/>
      </c>
    </row>
    <row r="72" spans="3:13" x14ac:dyDescent="0.25">
      <c r="C72" s="136">
        <v>46905</v>
      </c>
      <c r="D72" s="39"/>
      <c r="E72" s="39"/>
      <c r="F72" s="39"/>
      <c r="G72" s="39"/>
      <c r="H72" s="39">
        <f t="shared" si="20"/>
        <v>0</v>
      </c>
      <c r="I72" s="69">
        <f t="shared" ca="1" si="21"/>
        <v>0</v>
      </c>
      <c r="J72" s="59">
        <f t="shared" ca="1" si="22"/>
        <v>0</v>
      </c>
      <c r="K72" s="373"/>
      <c r="L72" s="60">
        <f ca="1">J72+J72*SUM($K$31+$K$47+$K$63+SUM($K$67:K72))</f>
        <v>0</v>
      </c>
      <c r="M72" s="59" t="str">
        <f t="shared" ca="1" si="23"/>
        <v/>
      </c>
    </row>
    <row r="73" spans="3:13" x14ac:dyDescent="0.25">
      <c r="C73" s="136">
        <v>46935</v>
      </c>
      <c r="D73" s="39"/>
      <c r="E73" s="39"/>
      <c r="F73" s="39"/>
      <c r="G73" s="39"/>
      <c r="H73" s="39">
        <f t="shared" si="20"/>
        <v>0</v>
      </c>
      <c r="I73" s="69">
        <f t="shared" ca="1" si="21"/>
        <v>0</v>
      </c>
      <c r="J73" s="59">
        <f t="shared" ca="1" si="22"/>
        <v>0</v>
      </c>
      <c r="K73" s="374"/>
      <c r="L73" s="60">
        <f ca="1">J73+J73*SUM($K$31+$K$47+$K$63+SUM($K$67:K73))</f>
        <v>0</v>
      </c>
      <c r="M73" s="59" t="str">
        <f t="shared" ca="1" si="23"/>
        <v/>
      </c>
    </row>
    <row r="74" spans="3:13" x14ac:dyDescent="0.25">
      <c r="C74" s="136">
        <v>46966</v>
      </c>
      <c r="D74" s="39"/>
      <c r="E74" s="39"/>
      <c r="F74" s="39"/>
      <c r="G74" s="39"/>
      <c r="H74" s="39">
        <f t="shared" si="20"/>
        <v>0</v>
      </c>
      <c r="I74" s="69">
        <f t="shared" ca="1" si="21"/>
        <v>0</v>
      </c>
      <c r="J74" s="59">
        <f t="shared" ca="1" si="22"/>
        <v>0</v>
      </c>
      <c r="K74" s="374"/>
      <c r="L74" s="60">
        <f ca="1">J74+J74*SUM($K$31+$K$47+$K$63+SUM($K$67:K74))</f>
        <v>0</v>
      </c>
      <c r="M74" s="59" t="str">
        <f t="shared" ca="1" si="23"/>
        <v/>
      </c>
    </row>
    <row r="75" spans="3:13" x14ac:dyDescent="0.25">
      <c r="C75" s="136">
        <v>46997</v>
      </c>
      <c r="D75" s="39"/>
      <c r="E75" s="39"/>
      <c r="F75" s="39"/>
      <c r="G75" s="39"/>
      <c r="H75" s="39">
        <f t="shared" si="20"/>
        <v>0</v>
      </c>
      <c r="I75" s="69">
        <f t="shared" ca="1" si="21"/>
        <v>0</v>
      </c>
      <c r="J75" s="59">
        <f t="shared" ca="1" si="22"/>
        <v>0</v>
      </c>
      <c r="K75" s="374"/>
      <c r="L75" s="60">
        <f ca="1">J75+J75*SUM($K$31+$K$47+$K$63+SUM($K$67:K75))</f>
        <v>0</v>
      </c>
      <c r="M75" s="59" t="str">
        <f t="shared" ca="1" si="23"/>
        <v/>
      </c>
    </row>
    <row r="76" spans="3:13" x14ac:dyDescent="0.25">
      <c r="C76" s="136">
        <v>47027</v>
      </c>
      <c r="D76" s="39"/>
      <c r="E76" s="39"/>
      <c r="F76" s="39"/>
      <c r="G76" s="39"/>
      <c r="H76" s="39">
        <f t="shared" si="20"/>
        <v>0</v>
      </c>
      <c r="I76" s="69">
        <f ca="1">D76*$E$6+E76*$E$7+F76*$E$8+G76*$E$9</f>
        <v>0</v>
      </c>
      <c r="J76" s="59">
        <f t="shared" ca="1" si="22"/>
        <v>0</v>
      </c>
      <c r="K76" s="374"/>
      <c r="L76" s="60">
        <f ca="1">J76+J76*SUM($K$31+$K$47+$K$63+SUM($K$67:K76))</f>
        <v>0</v>
      </c>
      <c r="M76" s="59" t="str">
        <f t="shared" ca="1" si="23"/>
        <v/>
      </c>
    </row>
    <row r="77" spans="3:13" x14ac:dyDescent="0.25">
      <c r="C77" s="136">
        <v>47058</v>
      </c>
      <c r="D77" s="39"/>
      <c r="E77" s="39"/>
      <c r="F77" s="39"/>
      <c r="G77" s="39"/>
      <c r="H77" s="39">
        <f t="shared" si="20"/>
        <v>0</v>
      </c>
      <c r="I77" s="69">
        <f t="shared" ref="I77:I78" ca="1" si="24">D77*$E$6+E77*$E$7+F77*$E$8+G77*$E$9</f>
        <v>0</v>
      </c>
      <c r="J77" s="59">
        <f t="shared" ca="1" si="22"/>
        <v>0</v>
      </c>
      <c r="K77" s="373"/>
      <c r="L77" s="60">
        <f ca="1">J77+J77*SUM($K$31+$K$47+$K$63+SUM($K$67:K77))</f>
        <v>0</v>
      </c>
      <c r="M77" s="59" t="str">
        <f t="shared" ca="1" si="23"/>
        <v/>
      </c>
    </row>
    <row r="78" spans="3:13" x14ac:dyDescent="0.25">
      <c r="C78" s="136">
        <v>47088</v>
      </c>
      <c r="D78" s="39"/>
      <c r="E78" s="39"/>
      <c r="F78" s="39"/>
      <c r="G78" s="39"/>
      <c r="H78" s="39">
        <f t="shared" si="20"/>
        <v>0</v>
      </c>
      <c r="I78" s="69">
        <f t="shared" ca="1" si="24"/>
        <v>0</v>
      </c>
      <c r="J78" s="59">
        <f t="shared" ca="1" si="22"/>
        <v>0</v>
      </c>
      <c r="K78" s="294"/>
      <c r="L78" s="60">
        <f ca="1">J78+J78*SUM($K$31+$K$47+$K$63+SUM($K$67:K78))</f>
        <v>0</v>
      </c>
      <c r="M78" s="59" t="str">
        <f t="shared" ca="1" si="23"/>
        <v/>
      </c>
    </row>
    <row r="79" spans="3:13" x14ac:dyDescent="0.25">
      <c r="C79" s="36" t="s">
        <v>8423</v>
      </c>
      <c r="D79" s="337">
        <f>SUM(D67:D78)</f>
        <v>4</v>
      </c>
      <c r="E79" s="337">
        <f>SUM(E67:E78)</f>
        <v>14</v>
      </c>
      <c r="F79" s="337">
        <f>SUM(F67:F78)</f>
        <v>12</v>
      </c>
      <c r="G79" s="337">
        <f>SUM(G67:G78)</f>
        <v>2</v>
      </c>
      <c r="H79" s="337">
        <f t="shared" ref="H79:L79" si="25">SUM(H67:H78)</f>
        <v>32</v>
      </c>
      <c r="I79" s="338">
        <f ca="1">SUM(I67:I78)</f>
        <v>1544.1682662408014</v>
      </c>
      <c r="J79" s="338">
        <f t="shared" ca="1" si="25"/>
        <v>188998130.51814383</v>
      </c>
      <c r="K79" s="696">
        <f t="shared" si="25"/>
        <v>0</v>
      </c>
      <c r="L79" s="338">
        <f t="shared" ca="1" si="25"/>
        <v>217347850.0958654</v>
      </c>
      <c r="M79" s="338">
        <f ca="1">L79/I79</f>
        <v>140753.99349125833</v>
      </c>
    </row>
    <row r="80" spans="3:13" x14ac:dyDescent="0.25">
      <c r="C80" s="131" t="s">
        <v>106</v>
      </c>
      <c r="D80" s="132">
        <f>D79/$G$6</f>
        <v>9.0909090909090912E-2</v>
      </c>
      <c r="E80" s="132">
        <f>E79/$G$7</f>
        <v>0.15384615384615385</v>
      </c>
      <c r="F80" s="132">
        <f>F79/$G$8</f>
        <v>0.16901408450704225</v>
      </c>
      <c r="G80" s="132">
        <f>G79/$G$9</f>
        <v>0.14285714285714285</v>
      </c>
      <c r="H80" s="133">
        <f>H79/$G$10</f>
        <v>0.14545454545454545</v>
      </c>
      <c r="J80" s="66"/>
      <c r="K80" s="4"/>
      <c r="M80" s="65"/>
    </row>
    <row r="84" spans="4:13" x14ac:dyDescent="0.25">
      <c r="F84" s="20"/>
    </row>
    <row r="85" spans="4:13" s="346" customFormat="1" x14ac:dyDescent="0.25">
      <c r="D85" s="436"/>
      <c r="E85" s="436"/>
      <c r="F85" s="436"/>
      <c r="G85" s="436"/>
      <c r="I85" s="331"/>
      <c r="K85" s="66"/>
      <c r="L85" s="474"/>
      <c r="M85" s="474"/>
    </row>
  </sheetData>
  <mergeCells count="5">
    <mergeCell ref="K3:M3"/>
    <mergeCell ref="C4:F4"/>
    <mergeCell ref="K4:M4"/>
    <mergeCell ref="C5:D5"/>
    <mergeCell ref="G5:J5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B85FF7B-5797-4C71-A153-FA31ABC53DCE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D16:J16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6FA75-E89D-42F5-8B26-D28C58400124}">
  <sheetPr>
    <tabColor rgb="FFFFFF00"/>
  </sheetPr>
  <dimension ref="B2:N85"/>
  <sheetViews>
    <sheetView topLeftCell="A6" workbookViewId="0">
      <selection activeCell="C24" sqref="C24:M26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7.85546875" bestFit="1" customWidth="1"/>
    <col min="4" max="4" width="9.2851562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10" bestFit="1" customWidth="1"/>
  </cols>
  <sheetData>
    <row r="2" spans="3:14" x14ac:dyDescent="0.25">
      <c r="C2" s="111" t="s">
        <v>8431</v>
      </c>
      <c r="K2" s="30"/>
    </row>
    <row r="3" spans="3:14" ht="15.75" thickBot="1" x14ac:dyDescent="0.3">
      <c r="C3" s="2"/>
      <c r="K3" s="755">
        <v>110000</v>
      </c>
      <c r="L3" s="755"/>
      <c r="M3" s="755"/>
    </row>
    <row r="4" spans="3:14" ht="15.75" customHeight="1" thickBot="1" x14ac:dyDescent="0.3">
      <c r="C4" s="756" t="s">
        <v>104</v>
      </c>
      <c r="D4" s="757"/>
      <c r="E4" s="757"/>
      <c r="F4" s="757"/>
      <c r="G4" s="83" t="s">
        <v>71</v>
      </c>
      <c r="H4" s="77" t="s">
        <v>70</v>
      </c>
      <c r="I4" s="241" t="s">
        <v>69</v>
      </c>
      <c r="J4" s="84" t="s">
        <v>68</v>
      </c>
      <c r="K4" s="757" t="s">
        <v>105</v>
      </c>
      <c r="L4" s="757"/>
      <c r="M4" s="758"/>
    </row>
    <row r="5" spans="3:14" ht="30.75" thickBot="1" x14ac:dyDescent="0.3">
      <c r="C5" s="759" t="s">
        <v>11</v>
      </c>
      <c r="D5" s="760"/>
      <c r="E5" s="503" t="s">
        <v>103</v>
      </c>
      <c r="F5" s="126" t="s">
        <v>101</v>
      </c>
      <c r="G5" s="761">
        <f ca="1">DATE(YEAR(TODAY()),MONTH(TODAY()),1)</f>
        <v>45870</v>
      </c>
      <c r="H5" s="762"/>
      <c r="I5" s="762"/>
      <c r="J5" s="763"/>
      <c r="K5" s="127" t="s">
        <v>12</v>
      </c>
      <c r="L5" s="503" t="s">
        <v>102</v>
      </c>
      <c r="M5" s="128" t="s">
        <v>100</v>
      </c>
    </row>
    <row r="6" spans="3:14" ht="16.5" customHeight="1" x14ac:dyDescent="0.25">
      <c r="C6" s="120">
        <v>0</v>
      </c>
      <c r="D6" s="135">
        <f ca="1">SUMIF(Д404[Тип кв],C6,Д404[Расчетная проектная площадь])-SUMIFS(РД[S],РД[Тип кв],C6,РД[Дом],$C$2,РД[Состояние],"&lt;&gt;расторгнут",РД[Дата подачи на регистрацию],"&lt;"&amp;$G$5)</f>
        <v>0</v>
      </c>
      <c r="E6" s="121" t="e">
        <f ca="1">D6/H6</f>
        <v>#DIV/0!</v>
      </c>
      <c r="F6" s="122">
        <f ca="1">D6/$D$10</f>
        <v>0</v>
      </c>
      <c r="G6" s="31">
        <f>COUNTIF(Д404[Тип кв],C6)</f>
        <v>0</v>
      </c>
      <c r="H6" s="80">
        <f ca="1">G6-I6</f>
        <v>0</v>
      </c>
      <c r="I6" s="81">
        <f ca="1">COUNTIFS(РД[Тип кв],C6,РД[Дом],$C$2,РД[Состояние],"&lt;&gt;расторгнут",РД[Дата подачи на регистрацию],"&lt;"&amp;$G$5)</f>
        <v>0</v>
      </c>
      <c r="J6" s="82" t="e">
        <f ca="1">I6/G6</f>
        <v>#DIV/0!</v>
      </c>
      <c r="K6" s="123">
        <f ca="1">SUMIF(Д404[Тип кв],C6,Д404[Стоимость ОН без отделки со скидкой])-SUMIFS(РД[Стоимость без отделки итог],РД[Тип кв],C6,РД[Дом],$C$2,РД[Состояние],"&lt;&gt;расторгнут",РД[Дата подачи на регистрацию],"&lt;"&amp;$G$5)</f>
        <v>0</v>
      </c>
      <c r="L6" s="63" t="e">
        <f ca="1">K6/H6</f>
        <v>#DIV/0!</v>
      </c>
      <c r="M6" s="124">
        <f ca="1">K6/$K$10</f>
        <v>0</v>
      </c>
      <c r="N6" s="123"/>
    </row>
    <row r="7" spans="3:14" ht="16.5" customHeight="1" x14ac:dyDescent="0.25">
      <c r="C7" s="119">
        <v>1</v>
      </c>
      <c r="D7" s="135">
        <f ca="1">SUMIF(Д404[Тип кв],C7,Д404[Расчетная проектная площадь])-SUMIFS(РД[S],РД[Тип кв],C7,РД[Дом],$C$2,РД[Состояние],"&lt;&gt;расторгнут",РД[Дата подачи на регистрацию],"&lt;"&amp;$G$5)</f>
        <v>3595.9999999999995</v>
      </c>
      <c r="E7" s="27">
        <f ca="1">D7/H7</f>
        <v>39.955555555555549</v>
      </c>
      <c r="F7" s="52">
        <f ca="1">D7/$D$10</f>
        <v>0.38815165979089872</v>
      </c>
      <c r="G7" s="31">
        <f>COUNTIF(Д404[Тип кв],C7)</f>
        <v>90</v>
      </c>
      <c r="H7" s="73">
        <f ca="1">G7-I7</f>
        <v>90</v>
      </c>
      <c r="I7" s="81">
        <f ca="1">COUNTIFS(РД[Тип кв],C7,РД[Дом],$C$2,РД[Состояние],"&lt;&gt;расторгнут",РД[Дата подачи на регистрацию],"&lt;"&amp;$G$5)</f>
        <v>0</v>
      </c>
      <c r="J7" s="74">
        <f ca="1">I7/G7</f>
        <v>0</v>
      </c>
      <c r="K7" s="123">
        <f ca="1">SUMIF(Д404[Тип кв],C7,Д404[Стоимость ОН без отделки со скидкой])-SUMIFS(РД[Стоимость без отделки итог],РД[Тип кв],C7,РД[Дом],$C$2,РД[Состояние],"&lt;&gt;расторгнут",РД[Дата подачи на регистрацию],"&lt;"&amp;$G$5)</f>
        <v>441134584</v>
      </c>
      <c r="L7" s="51">
        <f ca="1">K7/H7</f>
        <v>4901495.3777777776</v>
      </c>
      <c r="M7" s="29">
        <f ca="1">K7/$K$10</f>
        <v>0.39816389871229063</v>
      </c>
      <c r="N7" s="123">
        <f ca="1">L7/E7</f>
        <v>122673.68854282537</v>
      </c>
    </row>
    <row r="8" spans="3:14" ht="16.5" customHeight="1" x14ac:dyDescent="0.25">
      <c r="C8" s="119">
        <v>2</v>
      </c>
      <c r="D8" s="135">
        <f ca="1">SUMIF(Д404[Тип кв],C8,Д404[Расчетная проектная площадь])-SUMIFS(РД[S],РД[Тип кв],C8,РД[Дом],$C$2,РД[Состояние],"&lt;&gt;расторгнут",РД[Дата подачи на регистрацию],"&lt;"&amp;$G$5)</f>
        <v>3961.1000000000045</v>
      </c>
      <c r="E8" s="27">
        <f ca="1">D8/H8</f>
        <v>57.407246376811656</v>
      </c>
      <c r="F8" s="52">
        <f ca="1">D8/$D$10</f>
        <v>0.42756049488257258</v>
      </c>
      <c r="G8" s="31">
        <f>COUNTIF(Д404[Тип кв],C8)</f>
        <v>69</v>
      </c>
      <c r="H8" s="73">
        <f ca="1">G8-I8</f>
        <v>69</v>
      </c>
      <c r="I8" s="81">
        <f ca="1">COUNTIFS(РД[Тип кв],C8,РД[Дом],$C$2,РД[Состояние],"&lt;&gt;расторгнут",РД[Дата подачи на регистрацию],"&lt;"&amp;$G$5)</f>
        <v>0</v>
      </c>
      <c r="J8" s="74">
        <f ca="1">I8/G8</f>
        <v>0</v>
      </c>
      <c r="K8" s="123">
        <f ca="1">SUMIF(Д404[Тип кв],C8,Д404[Стоимость ОН без отделки со скидкой])-SUMIFS(РД[Стоимость без отделки итог],РД[Тип кв],C8,РД[Дом],$C$2,РД[Состояние],"&lt;&gt;расторгнут",РД[Дата подачи на регистрацию],"&lt;"&amp;$G$5)</f>
        <v>481625779</v>
      </c>
      <c r="L8" s="51">
        <f ca="1">K8/H8</f>
        <v>6980083.7536231885</v>
      </c>
      <c r="M8" s="29">
        <f ca="1">K8/$K$10</f>
        <v>0.43471086793545088</v>
      </c>
      <c r="N8" s="123">
        <f t="shared" ref="N8:N9" ca="1" si="0">L8/E8</f>
        <v>121588.89677109881</v>
      </c>
    </row>
    <row r="9" spans="3:14" ht="16.5" customHeight="1" thickBot="1" x14ac:dyDescent="0.3">
      <c r="C9" s="119">
        <v>3</v>
      </c>
      <c r="D9" s="135">
        <f ca="1">SUMIF(Д404[Тип кв],C9,Д404[Расчетная проектная площадь])-SUMIFS(РД[S],РД[Тип кв],C9,РД[Дом],$C$2,РД[Состояние],"&lt;&gt;расторгнут",РД[Дата подачи на регистрацию],"&lt;"&amp;$G$5)</f>
        <v>1707.3199999999995</v>
      </c>
      <c r="E9" s="27">
        <f ca="1">D9/H9</f>
        <v>77.605454545454521</v>
      </c>
      <c r="F9" s="52">
        <f ca="1">D9/$D$10</f>
        <v>0.18428784532652867</v>
      </c>
      <c r="G9" s="31">
        <f>COUNTIF(Д404[Тип кв],C9)</f>
        <v>22</v>
      </c>
      <c r="H9" s="75">
        <f ca="1">G9-I9</f>
        <v>22</v>
      </c>
      <c r="I9" s="81">
        <f ca="1">COUNTIFS(РД[Тип кв],C9,РД[Дом],$C$2,РД[Состояние],"&lt;&gt;расторгнут",РД[Дата подачи на регистрацию],"&lt;"&amp;$G$5)</f>
        <v>0</v>
      </c>
      <c r="J9" s="76">
        <f ca="1">I9/G9</f>
        <v>0</v>
      </c>
      <c r="K9" s="123">
        <f ca="1">SUMIF(Д404[Тип кв],C9,Д404[Стоимость ОН без отделки со скидкой])-SUMIFS(РД[Стоимость без отделки итог],РД[Тип кв],C9,РД[Дом],$C$2,РД[Состояние],"&lt;&gt;расторгнут",РД[Дата подачи на регистрацию],"&lt;"&amp;$G$5)</f>
        <v>185161740</v>
      </c>
      <c r="L9" s="51">
        <f ca="1">K9/H9</f>
        <v>8416442.7272727266</v>
      </c>
      <c r="M9" s="29">
        <f ca="1">K9/$K$10</f>
        <v>0.16712523335225851</v>
      </c>
      <c r="N9" s="123">
        <f t="shared" ca="1" si="0"/>
        <v>108451.69036853082</v>
      </c>
    </row>
    <row r="10" spans="3:14" ht="15.75" thickBot="1" x14ac:dyDescent="0.3">
      <c r="C10" s="286" t="s">
        <v>49</v>
      </c>
      <c r="D10" s="287">
        <f ca="1">SUM(D6:D9)</f>
        <v>9264.4200000000037</v>
      </c>
      <c r="E10" s="288">
        <f ca="1">D10/H10</f>
        <v>51.18464088397792</v>
      </c>
      <c r="F10" s="289"/>
      <c r="G10" s="286">
        <f>SUM(G6:G9)</f>
        <v>181</v>
      </c>
      <c r="H10" s="290">
        <f ca="1">SUM(H6:H9)</f>
        <v>181</v>
      </c>
      <c r="I10" s="290">
        <f ca="1">G10-H10</f>
        <v>0</v>
      </c>
      <c r="J10" s="291">
        <f ca="1">I10/G10</f>
        <v>0</v>
      </c>
      <c r="K10" s="292">
        <f ca="1">SUM(K6:K9)</f>
        <v>1107922103</v>
      </c>
      <c r="L10" s="293">
        <f ca="1">K10/H10</f>
        <v>6121116.591160221</v>
      </c>
      <c r="M10" s="291">
        <f ca="1">K10/$K$10</f>
        <v>1</v>
      </c>
    </row>
    <row r="11" spans="3:14" x14ac:dyDescent="0.25">
      <c r="E11" s="8"/>
      <c r="I11" s="3"/>
      <c r="J11" s="3"/>
      <c r="K11" s="67"/>
      <c r="L11" s="18"/>
      <c r="M11" s="10"/>
    </row>
    <row r="12" spans="3:14" x14ac:dyDescent="0.25">
      <c r="C12" s="93" t="s">
        <v>92</v>
      </c>
      <c r="D12" s="94" t="s">
        <v>4</v>
      </c>
      <c r="E12" s="95" t="s">
        <v>22</v>
      </c>
      <c r="F12" s="95" t="s">
        <v>23</v>
      </c>
      <c r="G12" s="95" t="s">
        <v>24</v>
      </c>
      <c r="H12" s="72" t="s">
        <v>25</v>
      </c>
      <c r="I12" s="96" t="s">
        <v>51</v>
      </c>
      <c r="J12" s="96" t="s">
        <v>52</v>
      </c>
      <c r="K12"/>
      <c r="L12" s="15"/>
      <c r="M12" s="65"/>
    </row>
    <row r="13" spans="3:14" x14ac:dyDescent="0.25">
      <c r="C13" s="118" t="s">
        <v>2</v>
      </c>
      <c r="D13" s="116">
        <v>0</v>
      </c>
      <c r="E13" s="116">
        <v>90</v>
      </c>
      <c r="F13" s="116">
        <v>69</v>
      </c>
      <c r="G13" s="116">
        <v>22</v>
      </c>
      <c r="H13" s="116">
        <v>181</v>
      </c>
      <c r="I13" s="117">
        <f ca="1">D10</f>
        <v>9264.4200000000037</v>
      </c>
      <c r="J13" s="117">
        <f ca="1">K10</f>
        <v>1107922103</v>
      </c>
      <c r="K13" s="15"/>
      <c r="L13"/>
      <c r="M13" s="65"/>
    </row>
    <row r="14" spans="3:14" x14ac:dyDescent="0.25">
      <c r="C14" s="100" t="s">
        <v>26</v>
      </c>
      <c r="D14" s="98">
        <f>D31+D47+D63+D79</f>
        <v>0</v>
      </c>
      <c r="E14" s="98">
        <f t="shared" ref="E14:I14" si="1">E31+E47+E63+E79</f>
        <v>90</v>
      </c>
      <c r="F14" s="98">
        <f t="shared" si="1"/>
        <v>69</v>
      </c>
      <c r="G14" s="98">
        <f t="shared" si="1"/>
        <v>22</v>
      </c>
      <c r="H14" s="98">
        <f t="shared" si="1"/>
        <v>181</v>
      </c>
      <c r="I14" s="188">
        <f t="shared" ca="1" si="1"/>
        <v>9264.4200000000019</v>
      </c>
      <c r="J14" s="188">
        <f ca="1">J31+J47+J63+J79</f>
        <v>1107922103</v>
      </c>
      <c r="K14" s="18"/>
      <c r="L14" s="4">
        <f ca="1">L31+L47+L63+L79</f>
        <v>1175456915.3705041</v>
      </c>
      <c r="M14" s="65"/>
    </row>
    <row r="15" spans="3:14" x14ac:dyDescent="0.25">
      <c r="C15" s="145" t="s">
        <v>93</v>
      </c>
      <c r="D15" s="147"/>
      <c r="E15" s="147"/>
      <c r="F15" s="147"/>
      <c r="G15" s="147"/>
      <c r="H15" s="147"/>
      <c r="I15" s="146"/>
      <c r="J15" s="146"/>
      <c r="K15" s="25"/>
      <c r="L15"/>
      <c r="M15" s="65"/>
    </row>
    <row r="16" spans="3:14" ht="14.25" customHeight="1" x14ac:dyDescent="0.25">
      <c r="C16" s="101" t="s">
        <v>1</v>
      </c>
      <c r="D16" s="97">
        <f>D14-D13</f>
        <v>0</v>
      </c>
      <c r="E16" s="97">
        <f t="shared" ref="E16:J16" si="2">E14-E13</f>
        <v>0</v>
      </c>
      <c r="F16" s="97">
        <f t="shared" si="2"/>
        <v>0</v>
      </c>
      <c r="G16" s="97">
        <f t="shared" si="2"/>
        <v>0</v>
      </c>
      <c r="H16" s="97">
        <f t="shared" si="2"/>
        <v>0</v>
      </c>
      <c r="I16" s="97">
        <f t="shared" ca="1" si="2"/>
        <v>0</v>
      </c>
      <c r="J16" s="97">
        <f t="shared" ca="1" si="2"/>
        <v>0</v>
      </c>
      <c r="K16" s="4"/>
      <c r="L16" s="18"/>
      <c r="M16" s="65"/>
    </row>
    <row r="17" spans="3:13" ht="14.25" customHeight="1" x14ac:dyDescent="0.25">
      <c r="C17" s="2"/>
      <c r="D17" s="6"/>
      <c r="E17" s="6"/>
      <c r="F17" s="6"/>
      <c r="G17" s="6"/>
      <c r="H17" s="6"/>
      <c r="I17" s="6"/>
      <c r="J17" s="6"/>
      <c r="K17" s="62"/>
      <c r="L17" s="6"/>
    </row>
    <row r="18" spans="3:13" ht="24" x14ac:dyDescent="0.25">
      <c r="C18" s="102" t="s">
        <v>0</v>
      </c>
      <c r="D18" s="103" t="s">
        <v>4</v>
      </c>
      <c r="E18" s="104" t="s">
        <v>22</v>
      </c>
      <c r="F18" s="524" t="s">
        <v>23</v>
      </c>
      <c r="G18" s="104" t="s">
        <v>24</v>
      </c>
      <c r="H18" s="105" t="s">
        <v>59</v>
      </c>
      <c r="I18" s="106" t="s">
        <v>51</v>
      </c>
      <c r="J18" s="107" t="s">
        <v>33</v>
      </c>
      <c r="K18" s="107" t="s">
        <v>108</v>
      </c>
      <c r="L18" s="107" t="s">
        <v>107</v>
      </c>
      <c r="M18" s="108" t="s">
        <v>17</v>
      </c>
    </row>
    <row r="19" spans="3:13" hidden="1" x14ac:dyDescent="0.25">
      <c r="C19" s="136">
        <v>45658</v>
      </c>
      <c r="D19" s="39"/>
      <c r="E19" s="39"/>
      <c r="F19" s="39"/>
      <c r="G19" s="39"/>
      <c r="H19" s="39">
        <f t="shared" ref="H19:H26" si="3">SUM(D19:G19)</f>
        <v>0</v>
      </c>
      <c r="I19" s="69">
        <f t="shared" ref="I19:I21" ca="1" si="4">F19*$E$8</f>
        <v>0</v>
      </c>
      <c r="J19" s="59">
        <f t="shared" ref="J19:J21" ca="1" si="5">F19*$L$8</f>
        <v>0</v>
      </c>
      <c r="K19" s="373"/>
      <c r="L19" s="60">
        <f ca="1">J19+J19*SUM(SUM($K$19))</f>
        <v>0</v>
      </c>
      <c r="M19" s="59" t="str">
        <f ca="1">IFERROR(L19/I19,"")</f>
        <v/>
      </c>
    </row>
    <row r="20" spans="3:13" hidden="1" x14ac:dyDescent="0.25">
      <c r="C20" s="136">
        <v>45689</v>
      </c>
      <c r="D20" s="39"/>
      <c r="E20" s="39"/>
      <c r="F20" s="39"/>
      <c r="G20" s="39"/>
      <c r="H20" s="39">
        <f t="shared" si="3"/>
        <v>0</v>
      </c>
      <c r="I20" s="69">
        <f t="shared" ca="1" si="4"/>
        <v>0</v>
      </c>
      <c r="J20" s="59">
        <f t="shared" ca="1" si="5"/>
        <v>0</v>
      </c>
      <c r="K20" s="373"/>
      <c r="L20" s="60">
        <f ca="1">J20+J20*SUM(SUM($K$19:K20))</f>
        <v>0</v>
      </c>
      <c r="M20" s="59" t="str">
        <f t="shared" ref="M20:M30" ca="1" si="6">IFERROR(L20/I20,"")</f>
        <v/>
      </c>
    </row>
    <row r="21" spans="3:13" hidden="1" x14ac:dyDescent="0.25">
      <c r="C21" s="136">
        <v>45717</v>
      </c>
      <c r="D21" s="39"/>
      <c r="E21" s="39"/>
      <c r="F21" s="39"/>
      <c r="G21" s="39"/>
      <c r="H21" s="39">
        <f t="shared" si="3"/>
        <v>0</v>
      </c>
      <c r="I21" s="69">
        <f t="shared" ca="1" si="4"/>
        <v>0</v>
      </c>
      <c r="J21" s="59">
        <f t="shared" ca="1" si="5"/>
        <v>0</v>
      </c>
      <c r="K21" s="294"/>
      <c r="L21" s="60">
        <f ca="1">J21+J21*SUM(SUM($K$19:K21))</f>
        <v>0</v>
      </c>
      <c r="M21" s="59" t="str">
        <f t="shared" ca="1" si="6"/>
        <v/>
      </c>
    </row>
    <row r="22" spans="3:13" hidden="1" x14ac:dyDescent="0.25">
      <c r="C22" s="136">
        <v>45748</v>
      </c>
      <c r="D22" s="39"/>
      <c r="E22" s="39"/>
      <c r="F22" s="39"/>
      <c r="G22" s="39"/>
      <c r="H22" s="39">
        <f t="shared" si="3"/>
        <v>0</v>
      </c>
      <c r="I22" s="69">
        <f ca="1">F22*$E$8</f>
        <v>0</v>
      </c>
      <c r="J22" s="59">
        <f ca="1">F22*$L$8</f>
        <v>0</v>
      </c>
      <c r="K22" s="294"/>
      <c r="L22" s="60">
        <f ca="1">J22+J22*SUM(SUM($K$19:K22))</f>
        <v>0</v>
      </c>
      <c r="M22" s="59" t="str">
        <f t="shared" ca="1" si="6"/>
        <v/>
      </c>
    </row>
    <row r="23" spans="3:13" hidden="1" x14ac:dyDescent="0.25">
      <c r="C23" s="136">
        <v>45778</v>
      </c>
      <c r="D23" s="39"/>
      <c r="E23" s="39"/>
      <c r="F23" s="39"/>
      <c r="G23" s="39"/>
      <c r="H23" s="39">
        <f t="shared" si="3"/>
        <v>0</v>
      </c>
      <c r="I23" s="69">
        <f t="shared" ref="I23:I24" ca="1" si="7">F23*$E$8</f>
        <v>0</v>
      </c>
      <c r="J23" s="59">
        <f t="shared" ref="J23:J24" ca="1" si="8">F23*$L$8</f>
        <v>0</v>
      </c>
      <c r="K23" s="356"/>
      <c r="L23" s="60">
        <f ca="1">J23+J23*SUM(SUM($K$19:K23))</f>
        <v>0</v>
      </c>
      <c r="M23" s="59" t="str">
        <f t="shared" ca="1" si="6"/>
        <v/>
      </c>
    </row>
    <row r="24" spans="3:13" x14ac:dyDescent="0.25">
      <c r="C24" s="690">
        <v>45809</v>
      </c>
      <c r="D24" s="650"/>
      <c r="E24" s="650"/>
      <c r="F24" s="650"/>
      <c r="G24" s="650"/>
      <c r="H24" s="650">
        <f t="shared" si="3"/>
        <v>0</v>
      </c>
      <c r="I24" s="651">
        <f t="shared" ca="1" si="7"/>
        <v>0</v>
      </c>
      <c r="J24" s="691">
        <f t="shared" ca="1" si="8"/>
        <v>0</v>
      </c>
      <c r="K24" s="692"/>
      <c r="L24" s="693">
        <f ca="1">J24+J24*SUM(SUM($K$19:K24))</f>
        <v>0</v>
      </c>
      <c r="M24" s="691" t="str">
        <f t="shared" ca="1" si="6"/>
        <v/>
      </c>
    </row>
    <row r="25" spans="3:13" x14ac:dyDescent="0.25">
      <c r="C25" s="690">
        <v>45839</v>
      </c>
      <c r="D25" s="650"/>
      <c r="E25" s="650"/>
      <c r="F25" s="650"/>
      <c r="G25" s="650"/>
      <c r="H25" s="650">
        <f t="shared" si="3"/>
        <v>0</v>
      </c>
      <c r="I25" s="651">
        <f ca="1">E25*$E$7+F25*$E$8+G25*$E$9</f>
        <v>0</v>
      </c>
      <c r="J25" s="691">
        <f ca="1">E25*$L$7+F25*$L$8+G25*$L$9</f>
        <v>0</v>
      </c>
      <c r="K25" s="692"/>
      <c r="L25" s="693">
        <f ca="1">J25+J25*SUM(SUM($K$19:K25))</f>
        <v>0</v>
      </c>
      <c r="M25" s="691" t="str">
        <f t="shared" ca="1" si="6"/>
        <v/>
      </c>
    </row>
    <row r="26" spans="3:13" x14ac:dyDescent="0.25">
      <c r="C26" s="690">
        <v>45870</v>
      </c>
      <c r="D26" s="650"/>
      <c r="E26" s="650"/>
      <c r="F26" s="650"/>
      <c r="G26" s="650"/>
      <c r="H26" s="650">
        <f t="shared" si="3"/>
        <v>0</v>
      </c>
      <c r="I26" s="651">
        <f t="shared" ref="I26:I30" ca="1" si="9">E26*$E$7+F26*$E$8+G26*$E$9</f>
        <v>0</v>
      </c>
      <c r="J26" s="691">
        <f t="shared" ref="J26:J30" ca="1" si="10">E26*$L$7+F26*$L$8+G26*$L$9</f>
        <v>0</v>
      </c>
      <c r="K26" s="692"/>
      <c r="L26" s="693">
        <f ca="1">J26+J26*SUM(SUM($K$19:K26))</f>
        <v>0</v>
      </c>
      <c r="M26" s="691" t="str">
        <f t="shared" ca="1" si="6"/>
        <v/>
      </c>
    </row>
    <row r="27" spans="3:13" x14ac:dyDescent="0.25">
      <c r="C27" s="136">
        <v>45901</v>
      </c>
      <c r="D27" s="39"/>
      <c r="E27" s="39">
        <v>9</v>
      </c>
      <c r="F27" s="39">
        <v>6</v>
      </c>
      <c r="G27" s="39">
        <v>2</v>
      </c>
      <c r="H27" s="39">
        <f>SUM(D27:G27)</f>
        <v>17</v>
      </c>
      <c r="I27" s="69">
        <f t="shared" ca="1" si="9"/>
        <v>859.25438735177886</v>
      </c>
      <c r="J27" s="59">
        <f t="shared" ca="1" si="10"/>
        <v>102826846.37628458</v>
      </c>
      <c r="K27" s="356">
        <v>-0.03</v>
      </c>
      <c r="L27" s="60">
        <f ca="1">J27+J27*SUM(SUM($K$19:K27))</f>
        <v>99742040.984996051</v>
      </c>
      <c r="M27" s="59">
        <f t="shared" ca="1" si="6"/>
        <v>116079.75758192044</v>
      </c>
    </row>
    <row r="28" spans="3:13" x14ac:dyDescent="0.25">
      <c r="C28" s="136">
        <v>45931</v>
      </c>
      <c r="D28" s="39"/>
      <c r="E28" s="39">
        <v>9</v>
      </c>
      <c r="F28" s="39">
        <v>6</v>
      </c>
      <c r="G28" s="39">
        <v>2</v>
      </c>
      <c r="H28" s="39">
        <f>SUM(D28:G28)</f>
        <v>17</v>
      </c>
      <c r="I28" s="69">
        <f t="shared" ca="1" si="9"/>
        <v>859.25438735177886</v>
      </c>
      <c r="J28" s="59">
        <f t="shared" ca="1" si="10"/>
        <v>102826846.37628458</v>
      </c>
      <c r="K28" s="356">
        <v>0.01</v>
      </c>
      <c r="L28" s="60">
        <f ca="1">J28+J28*SUM(SUM($K$19:K28))</f>
        <v>100770309.4487589</v>
      </c>
      <c r="M28" s="59">
        <f t="shared" ca="1" si="6"/>
        <v>117276.45611369281</v>
      </c>
    </row>
    <row r="29" spans="3:13" x14ac:dyDescent="0.25">
      <c r="C29" s="136">
        <v>45962</v>
      </c>
      <c r="D29" s="39"/>
      <c r="E29" s="39">
        <v>9</v>
      </c>
      <c r="F29" s="39">
        <v>7</v>
      </c>
      <c r="G29" s="39">
        <v>2</v>
      </c>
      <c r="H29" s="39">
        <f>SUM(D29:G29)</f>
        <v>18</v>
      </c>
      <c r="I29" s="69">
        <f t="shared" ca="1" si="9"/>
        <v>916.66163372859057</v>
      </c>
      <c r="J29" s="59">
        <f t="shared" ca="1" si="10"/>
        <v>109806930.12990777</v>
      </c>
      <c r="K29" s="356">
        <v>0.01</v>
      </c>
      <c r="L29" s="60">
        <f ca="1">J29+J29*SUM(SUM($K$19:K29))</f>
        <v>108708860.82860869</v>
      </c>
      <c r="M29" s="59">
        <f t="shared" ca="1" si="6"/>
        <v>118592.13566780052</v>
      </c>
    </row>
    <row r="30" spans="3:13" x14ac:dyDescent="0.25">
      <c r="C30" s="136">
        <v>45992</v>
      </c>
      <c r="D30" s="39"/>
      <c r="E30" s="39">
        <v>9</v>
      </c>
      <c r="F30" s="39">
        <v>7</v>
      </c>
      <c r="G30" s="39">
        <v>2</v>
      </c>
      <c r="H30" s="39">
        <f>SUM(D30:G30)</f>
        <v>18</v>
      </c>
      <c r="I30" s="69">
        <f t="shared" ca="1" si="9"/>
        <v>916.66163372859057</v>
      </c>
      <c r="J30" s="59">
        <f t="shared" ca="1" si="10"/>
        <v>109806930.12990777</v>
      </c>
      <c r="K30" s="356">
        <v>0.01</v>
      </c>
      <c r="L30" s="60">
        <f ca="1">J30+J30*SUM(SUM($K$19:K30))</f>
        <v>109806930.12990777</v>
      </c>
      <c r="M30" s="59">
        <f t="shared" ca="1" si="6"/>
        <v>119790.03602808135</v>
      </c>
    </row>
    <row r="31" spans="3:13" x14ac:dyDescent="0.25">
      <c r="C31" s="336" t="s">
        <v>4561</v>
      </c>
      <c r="D31" s="337">
        <f t="shared" ref="D31:G31" si="11">SUM(D19:D30)</f>
        <v>0</v>
      </c>
      <c r="E31" s="337">
        <f t="shared" si="11"/>
        <v>36</v>
      </c>
      <c r="F31" s="337">
        <f t="shared" si="11"/>
        <v>26</v>
      </c>
      <c r="G31" s="337">
        <f t="shared" si="11"/>
        <v>8</v>
      </c>
      <c r="H31" s="337">
        <f t="shared" ref="H31:L31" si="12">SUM(H19:H30)</f>
        <v>70</v>
      </c>
      <c r="I31" s="338">
        <f t="shared" ca="1" si="12"/>
        <v>3551.8320421607386</v>
      </c>
      <c r="J31" s="338">
        <f t="shared" ca="1" si="12"/>
        <v>425267553.01238471</v>
      </c>
      <c r="K31" s="339">
        <f t="shared" si="12"/>
        <v>0</v>
      </c>
      <c r="L31" s="338">
        <f t="shared" ca="1" si="12"/>
        <v>419028141.39227146</v>
      </c>
      <c r="M31" s="338">
        <f ca="1">L31/I31</f>
        <v>117975.2129093801</v>
      </c>
    </row>
    <row r="32" spans="3:13" x14ac:dyDescent="0.25">
      <c r="C32" s="131" t="s">
        <v>106</v>
      </c>
      <c r="D32" s="132" t="e">
        <f>D31/$G$6</f>
        <v>#DIV/0!</v>
      </c>
      <c r="E32" s="132">
        <f>E31/$G$7</f>
        <v>0.4</v>
      </c>
      <c r="F32" s="132">
        <f>F31/$G$8</f>
        <v>0.37681159420289856</v>
      </c>
      <c r="G32" s="132">
        <f>G31/$G$9</f>
        <v>0.36363636363636365</v>
      </c>
      <c r="H32" s="133">
        <f>H31/$G$10</f>
        <v>0.38674033149171272</v>
      </c>
      <c r="J32" s="66"/>
      <c r="K32" s="4"/>
      <c r="M32" s="65"/>
    </row>
    <row r="34" spans="3:13" ht="24" x14ac:dyDescent="0.25">
      <c r="C34" s="102" t="s">
        <v>0</v>
      </c>
      <c r="D34" s="103" t="s">
        <v>4</v>
      </c>
      <c r="E34" s="104" t="s">
        <v>22</v>
      </c>
      <c r="F34" s="104" t="s">
        <v>23</v>
      </c>
      <c r="G34" s="104" t="s">
        <v>24</v>
      </c>
      <c r="H34" s="105" t="s">
        <v>59</v>
      </c>
      <c r="I34" s="106" t="s">
        <v>51</v>
      </c>
      <c r="J34" s="107" t="s">
        <v>33</v>
      </c>
      <c r="K34" s="107" t="s">
        <v>108</v>
      </c>
      <c r="L34" s="107" t="s">
        <v>107</v>
      </c>
      <c r="M34" s="108" t="s">
        <v>17</v>
      </c>
    </row>
    <row r="35" spans="3:13" x14ac:dyDescent="0.25">
      <c r="C35" s="136">
        <v>46023</v>
      </c>
      <c r="D35" s="39"/>
      <c r="E35" s="39">
        <v>2</v>
      </c>
      <c r="F35" s="39">
        <v>2</v>
      </c>
      <c r="G35" s="39"/>
      <c r="H35" s="39">
        <f t="shared" ref="H35:H46" si="13">SUM(D35:G35)</f>
        <v>4</v>
      </c>
      <c r="I35" s="69">
        <f t="shared" ref="I35" ca="1" si="14">E35*$E$7+F35*$E$8+G35*$E$9</f>
        <v>194.72560386473441</v>
      </c>
      <c r="J35" s="59">
        <f t="shared" ref="J35" ca="1" si="15">E35*$L$7+F35*$L$8+G35*$L$9</f>
        <v>23763158.26280193</v>
      </c>
      <c r="K35" s="294">
        <v>0.01</v>
      </c>
      <c r="L35" s="60">
        <f ca="1">J35+J35*SUM($K$31+SUM($K$35:K35))</f>
        <v>24000789.845429949</v>
      </c>
      <c r="M35" s="59">
        <f ca="1">IFERROR(L35/I35,"")</f>
        <v>123254.41220406757</v>
      </c>
    </row>
    <row r="36" spans="3:13" x14ac:dyDescent="0.25">
      <c r="C36" s="136">
        <v>46054</v>
      </c>
      <c r="D36" s="39"/>
      <c r="E36" s="39">
        <v>3</v>
      </c>
      <c r="F36" s="39">
        <v>2</v>
      </c>
      <c r="G36" s="39"/>
      <c r="H36" s="39">
        <f t="shared" si="13"/>
        <v>5</v>
      </c>
      <c r="I36" s="69">
        <f t="shared" ref="I36:I46" ca="1" si="16">E36*$E$7+F36*$E$8+G36*$E$9</f>
        <v>234.68115942028996</v>
      </c>
      <c r="J36" s="59">
        <f t="shared" ref="J36:J46" ca="1" si="17">E36*$L$7+F36*$L$8+G36*$L$9</f>
        <v>28664653.640579708</v>
      </c>
      <c r="K36" s="294">
        <v>0.01</v>
      </c>
      <c r="L36" s="60">
        <f ca="1">J36+J36*SUM($K$31+SUM($K$35:K36))</f>
        <v>29237946.7133913</v>
      </c>
      <c r="M36" s="59">
        <f t="shared" ref="M36:M47" ca="1" si="18">IFERROR(L36/I36,"")</f>
        <v>124585.82864348785</v>
      </c>
    </row>
    <row r="37" spans="3:13" x14ac:dyDescent="0.25">
      <c r="C37" s="136">
        <v>46082</v>
      </c>
      <c r="D37" s="39"/>
      <c r="E37" s="39">
        <v>2</v>
      </c>
      <c r="F37" s="39">
        <v>2</v>
      </c>
      <c r="G37" s="39">
        <v>1</v>
      </c>
      <c r="H37" s="39">
        <f t="shared" si="13"/>
        <v>5</v>
      </c>
      <c r="I37" s="69">
        <f t="shared" ca="1" si="16"/>
        <v>272.33105841018892</v>
      </c>
      <c r="J37" s="59">
        <f t="shared" ca="1" si="17"/>
        <v>32179600.990074657</v>
      </c>
      <c r="K37" s="294">
        <v>0.01</v>
      </c>
      <c r="L37" s="60">
        <f ca="1">J37+J37*SUM($K$31+SUM($K$35:K37))</f>
        <v>33144989.019776896</v>
      </c>
      <c r="M37" s="59">
        <f t="shared" ca="1" si="18"/>
        <v>121708.44270672</v>
      </c>
    </row>
    <row r="38" spans="3:13" x14ac:dyDescent="0.25">
      <c r="C38" s="136">
        <v>46113</v>
      </c>
      <c r="D38" s="39"/>
      <c r="E38" s="39">
        <v>2</v>
      </c>
      <c r="F38" s="39">
        <v>2</v>
      </c>
      <c r="G38" s="39">
        <v>1</v>
      </c>
      <c r="H38" s="39">
        <f t="shared" si="13"/>
        <v>5</v>
      </c>
      <c r="I38" s="69">
        <f t="shared" ca="1" si="16"/>
        <v>272.33105841018892</v>
      </c>
      <c r="J38" s="59">
        <f t="shared" ca="1" si="17"/>
        <v>32179600.990074657</v>
      </c>
      <c r="K38" s="294">
        <v>0.01</v>
      </c>
      <c r="L38" s="60">
        <f ca="1">J38+J38*SUM($K$31+SUM($K$35:K38))</f>
        <v>33466785.029677644</v>
      </c>
      <c r="M38" s="59">
        <f t="shared" ca="1" si="18"/>
        <v>122890.07807280467</v>
      </c>
    </row>
    <row r="39" spans="3:13" x14ac:dyDescent="0.25">
      <c r="C39" s="136">
        <v>46143</v>
      </c>
      <c r="D39" s="39"/>
      <c r="E39" s="39">
        <v>2</v>
      </c>
      <c r="F39" s="39">
        <v>1</v>
      </c>
      <c r="G39" s="39">
        <v>1</v>
      </c>
      <c r="H39" s="39">
        <f t="shared" si="13"/>
        <v>4</v>
      </c>
      <c r="I39" s="69">
        <f t="shared" ca="1" si="16"/>
        <v>214.92381203337726</v>
      </c>
      <c r="J39" s="59">
        <f t="shared" ca="1" si="17"/>
        <v>25199517.236451469</v>
      </c>
      <c r="K39" s="294">
        <v>0.01</v>
      </c>
      <c r="L39" s="60">
        <f ca="1">J39+J39*SUM($K$31+SUM($K$35:K39))</f>
        <v>26459493.098274045</v>
      </c>
      <c r="M39" s="59">
        <f t="shared" ca="1" si="18"/>
        <v>123111.03571048207</v>
      </c>
    </row>
    <row r="40" spans="3:13" x14ac:dyDescent="0.25">
      <c r="C40" s="136">
        <v>46174</v>
      </c>
      <c r="D40" s="39"/>
      <c r="E40" s="39">
        <v>2</v>
      </c>
      <c r="F40" s="39">
        <v>2</v>
      </c>
      <c r="G40" s="39"/>
      <c r="H40" s="39">
        <f t="shared" si="13"/>
        <v>4</v>
      </c>
      <c r="I40" s="69">
        <f t="shared" ca="1" si="16"/>
        <v>194.72560386473441</v>
      </c>
      <c r="J40" s="59">
        <f t="shared" ca="1" si="17"/>
        <v>23763158.26280193</v>
      </c>
      <c r="K40" s="294">
        <v>0.01</v>
      </c>
      <c r="L40" s="60">
        <f ca="1">J40+J40*SUM($K$31+SUM($K$35:K40))</f>
        <v>25188947.758570045</v>
      </c>
      <c r="M40" s="59">
        <f t="shared" ca="1" si="18"/>
        <v>129356.11577852636</v>
      </c>
    </row>
    <row r="41" spans="3:13" x14ac:dyDescent="0.25">
      <c r="C41" s="136">
        <v>46204</v>
      </c>
      <c r="D41" s="39"/>
      <c r="E41" s="39">
        <v>2</v>
      </c>
      <c r="F41" s="39">
        <v>2</v>
      </c>
      <c r="G41" s="39"/>
      <c r="H41" s="39">
        <f t="shared" si="13"/>
        <v>4</v>
      </c>
      <c r="I41" s="69">
        <f t="shared" ca="1" si="16"/>
        <v>194.72560386473441</v>
      </c>
      <c r="J41" s="59">
        <f t="shared" ca="1" si="17"/>
        <v>23763158.26280193</v>
      </c>
      <c r="K41" s="294">
        <v>0.01</v>
      </c>
      <c r="L41" s="60">
        <f ca="1">J41+J41*SUM($K$31+SUM($K$35:K41))</f>
        <v>25426579.341198064</v>
      </c>
      <c r="M41" s="59">
        <f t="shared" ca="1" si="18"/>
        <v>130576.45649341813</v>
      </c>
    </row>
    <row r="42" spans="3:13" x14ac:dyDescent="0.25">
      <c r="C42" s="136">
        <v>46235</v>
      </c>
      <c r="D42" s="39"/>
      <c r="E42" s="39">
        <v>2</v>
      </c>
      <c r="F42" s="39">
        <v>2</v>
      </c>
      <c r="G42" s="39"/>
      <c r="H42" s="39">
        <f t="shared" si="13"/>
        <v>4</v>
      </c>
      <c r="I42" s="69">
        <f t="shared" ca="1" si="16"/>
        <v>194.72560386473441</v>
      </c>
      <c r="J42" s="59">
        <f t="shared" ca="1" si="17"/>
        <v>23763158.26280193</v>
      </c>
      <c r="K42" s="294">
        <v>0.01</v>
      </c>
      <c r="L42" s="60">
        <f ca="1">J42+J42*SUM($K$31+SUM($K$35:K42))</f>
        <v>25664210.923826084</v>
      </c>
      <c r="M42" s="59">
        <f t="shared" ca="1" si="18"/>
        <v>131796.79720830987</v>
      </c>
    </row>
    <row r="43" spans="3:13" x14ac:dyDescent="0.25">
      <c r="C43" s="136">
        <v>46266</v>
      </c>
      <c r="D43" s="39"/>
      <c r="E43" s="39">
        <v>2</v>
      </c>
      <c r="F43" s="39">
        <v>2</v>
      </c>
      <c r="G43" s="39">
        <v>1</v>
      </c>
      <c r="H43" s="39">
        <f t="shared" si="13"/>
        <v>5</v>
      </c>
      <c r="I43" s="69">
        <f t="shared" ca="1" si="16"/>
        <v>272.33105841018892</v>
      </c>
      <c r="J43" s="59">
        <f t="shared" ca="1" si="17"/>
        <v>32179600.990074657</v>
      </c>
      <c r="K43" s="294">
        <v>0.01</v>
      </c>
      <c r="L43" s="60">
        <f ca="1">J43+J43*SUM($K$31+SUM($K$35:K43))</f>
        <v>35075765.079181373</v>
      </c>
      <c r="M43" s="59">
        <f t="shared" ca="1" si="18"/>
        <v>128798.25490322795</v>
      </c>
    </row>
    <row r="44" spans="3:13" x14ac:dyDescent="0.25">
      <c r="C44" s="136">
        <v>46296</v>
      </c>
      <c r="D44" s="39"/>
      <c r="E44" s="39">
        <v>2</v>
      </c>
      <c r="F44" s="39">
        <v>2</v>
      </c>
      <c r="G44" s="39">
        <v>1</v>
      </c>
      <c r="H44" s="39">
        <f t="shared" si="13"/>
        <v>5</v>
      </c>
      <c r="I44" s="69">
        <f t="shared" ca="1" si="16"/>
        <v>272.33105841018892</v>
      </c>
      <c r="J44" s="59">
        <f t="shared" ca="1" si="17"/>
        <v>32179600.990074657</v>
      </c>
      <c r="K44" s="294">
        <v>0.01</v>
      </c>
      <c r="L44" s="60">
        <f ca="1">J44+J44*SUM($K$31+SUM($K$35:K44))</f>
        <v>35397561.089082122</v>
      </c>
      <c r="M44" s="59">
        <f t="shared" ca="1" si="18"/>
        <v>129979.89026931263</v>
      </c>
    </row>
    <row r="45" spans="3:13" x14ac:dyDescent="0.25">
      <c r="C45" s="136">
        <v>46327</v>
      </c>
      <c r="D45" s="39"/>
      <c r="E45" s="39">
        <v>2</v>
      </c>
      <c r="F45" s="39">
        <v>2</v>
      </c>
      <c r="G45" s="39">
        <v>1</v>
      </c>
      <c r="H45" s="39">
        <f t="shared" si="13"/>
        <v>5</v>
      </c>
      <c r="I45" s="69">
        <f t="shared" ca="1" si="16"/>
        <v>272.33105841018892</v>
      </c>
      <c r="J45" s="59">
        <f t="shared" ca="1" si="17"/>
        <v>32179600.990074657</v>
      </c>
      <c r="K45" s="294">
        <v>0.01</v>
      </c>
      <c r="L45" s="60">
        <f ca="1">J45+J45*SUM($K$31+SUM($K$35:K45))</f>
        <v>35719357.098982871</v>
      </c>
      <c r="M45" s="59">
        <f t="shared" ca="1" si="18"/>
        <v>131161.52563539729</v>
      </c>
    </row>
    <row r="46" spans="3:13" x14ac:dyDescent="0.25">
      <c r="C46" s="136">
        <v>46357</v>
      </c>
      <c r="D46" s="39"/>
      <c r="E46" s="39">
        <v>1</v>
      </c>
      <c r="F46" s="39">
        <v>2</v>
      </c>
      <c r="G46" s="39">
        <v>1</v>
      </c>
      <c r="H46" s="39">
        <f t="shared" si="13"/>
        <v>4</v>
      </c>
      <c r="I46" s="69">
        <f t="shared" ca="1" si="16"/>
        <v>232.3755028546334</v>
      </c>
      <c r="J46" s="59">
        <f t="shared" ca="1" si="17"/>
        <v>27278105.612296879</v>
      </c>
      <c r="K46" s="294">
        <v>0.01</v>
      </c>
      <c r="L46" s="60">
        <f ca="1">J46+J46*SUM($K$31+SUM($K$35:K46))</f>
        <v>30551478.285772502</v>
      </c>
      <c r="M46" s="59">
        <f t="shared" ca="1" si="18"/>
        <v>131474.60859884409</v>
      </c>
    </row>
    <row r="47" spans="3:13" x14ac:dyDescent="0.25">
      <c r="C47" s="336" t="s">
        <v>4890</v>
      </c>
      <c r="D47" s="337">
        <f t="shared" ref="D47:L47" si="19">SUM(D35:D46)</f>
        <v>0</v>
      </c>
      <c r="E47" s="337">
        <f t="shared" si="19"/>
        <v>24</v>
      </c>
      <c r="F47" s="337">
        <f t="shared" si="19"/>
        <v>23</v>
      </c>
      <c r="G47" s="337">
        <f t="shared" si="19"/>
        <v>7</v>
      </c>
      <c r="H47" s="337">
        <f t="shared" si="19"/>
        <v>54</v>
      </c>
      <c r="I47" s="338">
        <f t="shared" ca="1" si="19"/>
        <v>2822.5381818181827</v>
      </c>
      <c r="J47" s="338">
        <f t="shared" ca="1" si="19"/>
        <v>337092914.4909091</v>
      </c>
      <c r="K47" s="339">
        <f t="shared" si="19"/>
        <v>0.11999999999999998</v>
      </c>
      <c r="L47" s="340">
        <f t="shared" ca="1" si="19"/>
        <v>359333903.28316289</v>
      </c>
      <c r="M47" s="338">
        <f t="shared" ca="1" si="18"/>
        <v>127308.7838449336</v>
      </c>
    </row>
    <row r="48" spans="3:13" x14ac:dyDescent="0.25">
      <c r="C48" s="131" t="s">
        <v>106</v>
      </c>
      <c r="D48" s="132" t="e">
        <f>D47/$G$6</f>
        <v>#DIV/0!</v>
      </c>
      <c r="E48" s="132">
        <f>E47/$G$7</f>
        <v>0.26666666666666666</v>
      </c>
      <c r="F48" s="132">
        <f>F47/$G$8</f>
        <v>0.33333333333333331</v>
      </c>
      <c r="G48" s="132">
        <f>G47/$G$9</f>
        <v>0.31818181818181818</v>
      </c>
      <c r="H48" s="133">
        <f>H47/$G$10</f>
        <v>0.2983425414364641</v>
      </c>
      <c r="J48" s="66"/>
      <c r="K48" s="4"/>
      <c r="M48" s="65"/>
    </row>
    <row r="50" spans="3:13" ht="24" x14ac:dyDescent="0.25">
      <c r="C50" s="102" t="s">
        <v>0</v>
      </c>
      <c r="D50" s="103" t="s">
        <v>4</v>
      </c>
      <c r="E50" s="104" t="s">
        <v>22</v>
      </c>
      <c r="F50" s="104" t="s">
        <v>23</v>
      </c>
      <c r="G50" s="104" t="s">
        <v>24</v>
      </c>
      <c r="H50" s="105" t="s">
        <v>59</v>
      </c>
      <c r="I50" s="106" t="s">
        <v>51</v>
      </c>
      <c r="J50" s="107" t="s">
        <v>33</v>
      </c>
      <c r="K50" s="107" t="s">
        <v>108</v>
      </c>
      <c r="L50" s="107" t="s">
        <v>107</v>
      </c>
      <c r="M50" s="108" t="s">
        <v>17</v>
      </c>
    </row>
    <row r="51" spans="3:13" x14ac:dyDescent="0.25">
      <c r="C51" s="136">
        <v>46388</v>
      </c>
      <c r="D51" s="39"/>
      <c r="E51" s="39">
        <v>1</v>
      </c>
      <c r="F51" s="39"/>
      <c r="G51" s="39"/>
      <c r="H51" s="39">
        <f t="shared" ref="H51:H62" si="20">SUM(D51:G51)</f>
        <v>1</v>
      </c>
      <c r="I51" s="69">
        <f t="shared" ref="I51:I62" ca="1" si="21">E51*$E$7+F51*$E$8+G51*$E$9</f>
        <v>39.955555555555549</v>
      </c>
      <c r="J51" s="59">
        <f t="shared" ref="J51:J62" ca="1" si="22">E51*$L$7+F51*$L$8+G51*$L$9</f>
        <v>4901495.3777777776</v>
      </c>
      <c r="K51" s="356">
        <v>0.01</v>
      </c>
      <c r="L51" s="60">
        <f ca="1">J51+J51*SUM($K$31+$K$47+SUM($K$51:K51))</f>
        <v>5538689.7768888883</v>
      </c>
      <c r="M51" s="59">
        <f ca="1">IFERROR(L51/I51,"")</f>
        <v>138621.26805339268</v>
      </c>
    </row>
    <row r="52" spans="3:13" x14ac:dyDescent="0.25">
      <c r="C52" s="136">
        <v>46419</v>
      </c>
      <c r="D52" s="39"/>
      <c r="E52" s="39">
        <v>1</v>
      </c>
      <c r="F52" s="39">
        <v>1</v>
      </c>
      <c r="G52" s="39">
        <v>1</v>
      </c>
      <c r="H52" s="39">
        <f t="shared" si="20"/>
        <v>3</v>
      </c>
      <c r="I52" s="69">
        <f t="shared" ca="1" si="21"/>
        <v>174.96825647782174</v>
      </c>
      <c r="J52" s="59">
        <f t="shared" ca="1" si="22"/>
        <v>20298021.858673692</v>
      </c>
      <c r="K52" s="356">
        <v>0.01</v>
      </c>
      <c r="L52" s="60">
        <f ca="1">J52+J52*SUM($K$31+$K$47+SUM($K$51:K52))</f>
        <v>23139744.91888801</v>
      </c>
      <c r="M52" s="59">
        <f t="shared" ref="M52:M63" ca="1" si="23">IFERROR(L52/I52,"")</f>
        <v>132251.10305549114</v>
      </c>
    </row>
    <row r="53" spans="3:13" x14ac:dyDescent="0.25">
      <c r="C53" s="136">
        <v>46447</v>
      </c>
      <c r="D53" s="39"/>
      <c r="E53" s="39">
        <v>1</v>
      </c>
      <c r="F53" s="39">
        <v>1</v>
      </c>
      <c r="G53" s="39"/>
      <c r="H53" s="39">
        <f t="shared" si="20"/>
        <v>2</v>
      </c>
      <c r="I53" s="69">
        <f t="shared" ca="1" si="21"/>
        <v>97.362801932367205</v>
      </c>
      <c r="J53" s="59">
        <f t="shared" ca="1" si="22"/>
        <v>11881579.131400965</v>
      </c>
      <c r="K53" s="294">
        <v>0.01</v>
      </c>
      <c r="L53" s="60">
        <f ca="1">J53+J53*SUM($K$31+$K$47+SUM($K$51:K53))</f>
        <v>13663816.001111109</v>
      </c>
      <c r="M53" s="59">
        <f t="shared" ca="1" si="23"/>
        <v>140339.18221255217</v>
      </c>
    </row>
    <row r="54" spans="3:13" x14ac:dyDescent="0.25">
      <c r="C54" s="136">
        <v>46478</v>
      </c>
      <c r="D54" s="39"/>
      <c r="E54" s="39">
        <v>1</v>
      </c>
      <c r="F54" s="39">
        <v>1</v>
      </c>
      <c r="G54" s="39"/>
      <c r="H54" s="39">
        <f t="shared" si="20"/>
        <v>2</v>
      </c>
      <c r="I54" s="69">
        <f t="shared" ca="1" si="21"/>
        <v>97.362801932367205</v>
      </c>
      <c r="J54" s="59">
        <f t="shared" ca="1" si="22"/>
        <v>11881579.131400965</v>
      </c>
      <c r="K54" s="294"/>
      <c r="L54" s="60">
        <f ca="1">J54+J54*SUM($K$31+$K$47+SUM($K$51:K54))</f>
        <v>13663816.001111109</v>
      </c>
      <c r="M54" s="59">
        <f t="shared" ca="1" si="23"/>
        <v>140339.18221255217</v>
      </c>
    </row>
    <row r="55" spans="3:13" x14ac:dyDescent="0.25">
      <c r="C55" s="136">
        <v>46508</v>
      </c>
      <c r="D55" s="39"/>
      <c r="E55" s="39">
        <v>1</v>
      </c>
      <c r="F55" s="39">
        <v>1</v>
      </c>
      <c r="G55" s="39">
        <v>1</v>
      </c>
      <c r="H55" s="39">
        <f t="shared" si="20"/>
        <v>3</v>
      </c>
      <c r="I55" s="69">
        <f t="shared" ca="1" si="21"/>
        <v>174.96825647782174</v>
      </c>
      <c r="J55" s="59">
        <f t="shared" ca="1" si="22"/>
        <v>20298021.858673692</v>
      </c>
      <c r="K55" s="294"/>
      <c r="L55" s="60">
        <f ca="1">J55+J55*SUM($K$31+$K$47+SUM($K$51:K55))</f>
        <v>23342725.137474746</v>
      </c>
      <c r="M55" s="59">
        <f t="shared" ca="1" si="23"/>
        <v>133411.20045071474</v>
      </c>
    </row>
    <row r="56" spans="3:13" x14ac:dyDescent="0.25">
      <c r="C56" s="136">
        <v>46539</v>
      </c>
      <c r="D56" s="39"/>
      <c r="E56" s="39">
        <v>1</v>
      </c>
      <c r="F56" s="39">
        <v>1</v>
      </c>
      <c r="G56" s="39"/>
      <c r="H56" s="39">
        <f t="shared" si="20"/>
        <v>2</v>
      </c>
      <c r="I56" s="69">
        <f t="shared" ca="1" si="21"/>
        <v>97.362801932367205</v>
      </c>
      <c r="J56" s="59">
        <f t="shared" ca="1" si="22"/>
        <v>11881579.131400965</v>
      </c>
      <c r="K56" s="294"/>
      <c r="L56" s="60">
        <f ca="1">J56+J56*SUM($K$31+$K$47+SUM($K$51:K56))</f>
        <v>13663816.001111109</v>
      </c>
      <c r="M56" s="59">
        <f t="shared" ca="1" si="23"/>
        <v>140339.18221255217</v>
      </c>
    </row>
    <row r="57" spans="3:13" x14ac:dyDescent="0.25">
      <c r="C57" s="136">
        <v>46569</v>
      </c>
      <c r="D57" s="39"/>
      <c r="E57" s="39">
        <v>1</v>
      </c>
      <c r="F57" s="39">
        <v>1</v>
      </c>
      <c r="G57" s="39">
        <v>1</v>
      </c>
      <c r="H57" s="39">
        <f t="shared" si="20"/>
        <v>3</v>
      </c>
      <c r="I57" s="69">
        <f t="shared" ca="1" si="21"/>
        <v>174.96825647782174</v>
      </c>
      <c r="J57" s="59">
        <f t="shared" ca="1" si="22"/>
        <v>20298021.858673692</v>
      </c>
      <c r="K57" s="374"/>
      <c r="L57" s="60">
        <f ca="1">J57+J57*SUM($K$31+$K$47+SUM($K$51:K57))</f>
        <v>23342725.137474746</v>
      </c>
      <c r="M57" s="59">
        <f t="shared" ca="1" si="23"/>
        <v>133411.20045071474</v>
      </c>
    </row>
    <row r="58" spans="3:13" x14ac:dyDescent="0.25">
      <c r="C58" s="136">
        <v>46600</v>
      </c>
      <c r="D58" s="39"/>
      <c r="E58" s="39">
        <v>1</v>
      </c>
      <c r="F58" s="39">
        <v>1</v>
      </c>
      <c r="G58" s="39"/>
      <c r="H58" s="39">
        <f t="shared" si="20"/>
        <v>2</v>
      </c>
      <c r="I58" s="69">
        <f t="shared" ca="1" si="21"/>
        <v>97.362801932367205</v>
      </c>
      <c r="J58" s="59">
        <f t="shared" ca="1" si="22"/>
        <v>11881579.131400965</v>
      </c>
      <c r="K58" s="294"/>
      <c r="L58" s="60">
        <f ca="1">J58+J58*SUM($K$31+$K$47+SUM($K$51:K58))</f>
        <v>13663816.001111109</v>
      </c>
      <c r="M58" s="59">
        <f t="shared" ca="1" si="23"/>
        <v>140339.18221255217</v>
      </c>
    </row>
    <row r="59" spans="3:13" x14ac:dyDescent="0.25">
      <c r="C59" s="136">
        <v>46631</v>
      </c>
      <c r="D59" s="39"/>
      <c r="E59" s="39">
        <v>1</v>
      </c>
      <c r="F59" s="39">
        <v>1</v>
      </c>
      <c r="G59" s="39"/>
      <c r="H59" s="39">
        <f t="shared" si="20"/>
        <v>2</v>
      </c>
      <c r="I59" s="69">
        <f t="shared" ca="1" si="21"/>
        <v>97.362801932367205</v>
      </c>
      <c r="J59" s="59">
        <f t="shared" ca="1" si="22"/>
        <v>11881579.131400965</v>
      </c>
      <c r="K59" s="374"/>
      <c r="L59" s="60">
        <f ca="1">J59+J59*SUM($K$31+$K$47+SUM($K$51:K59))</f>
        <v>13663816.001111109</v>
      </c>
      <c r="M59" s="59">
        <f t="shared" ca="1" si="23"/>
        <v>140339.18221255217</v>
      </c>
    </row>
    <row r="60" spans="3:13" x14ac:dyDescent="0.25">
      <c r="C60" s="136">
        <v>46661</v>
      </c>
      <c r="D60" s="39"/>
      <c r="E60" s="39">
        <v>1</v>
      </c>
      <c r="F60" s="39"/>
      <c r="G60" s="39"/>
      <c r="H60" s="39">
        <f t="shared" si="20"/>
        <v>1</v>
      </c>
      <c r="I60" s="69">
        <f t="shared" ca="1" si="21"/>
        <v>39.955555555555549</v>
      </c>
      <c r="J60" s="59">
        <f t="shared" ca="1" si="22"/>
        <v>4901495.3777777776</v>
      </c>
      <c r="K60" s="374"/>
      <c r="L60" s="60">
        <f ca="1">J60+J60*SUM($K$31+$K$47+SUM($K$51:K60))</f>
        <v>5636719.6844444443</v>
      </c>
      <c r="M60" s="59">
        <f t="shared" ca="1" si="23"/>
        <v>141074.74182424918</v>
      </c>
    </row>
    <row r="61" spans="3:13" x14ac:dyDescent="0.25">
      <c r="C61" s="136">
        <v>46692</v>
      </c>
      <c r="D61" s="39"/>
      <c r="E61" s="39">
        <v>1</v>
      </c>
      <c r="F61" s="39"/>
      <c r="G61" s="39"/>
      <c r="H61" s="39">
        <f t="shared" si="20"/>
        <v>1</v>
      </c>
      <c r="I61" s="69">
        <f t="shared" ca="1" si="21"/>
        <v>39.955555555555549</v>
      </c>
      <c r="J61" s="59">
        <f t="shared" ca="1" si="22"/>
        <v>4901495.3777777776</v>
      </c>
      <c r="K61" s="373"/>
      <c r="L61" s="60">
        <f ca="1">J61+J61*SUM($K$31+$K$47+SUM($K$51:K61))</f>
        <v>5636719.6844444443</v>
      </c>
      <c r="M61" s="59">
        <f t="shared" ca="1" si="23"/>
        <v>141074.74182424918</v>
      </c>
    </row>
    <row r="62" spans="3:13" x14ac:dyDescent="0.25">
      <c r="C62" s="136">
        <v>46722</v>
      </c>
      <c r="D62" s="39"/>
      <c r="E62" s="39">
        <v>1</v>
      </c>
      <c r="F62" s="39"/>
      <c r="G62" s="39"/>
      <c r="H62" s="39">
        <f t="shared" si="20"/>
        <v>1</v>
      </c>
      <c r="I62" s="69">
        <f t="shared" ca="1" si="21"/>
        <v>39.955555555555549</v>
      </c>
      <c r="J62" s="59">
        <f t="shared" ca="1" si="22"/>
        <v>4901495.3777777776</v>
      </c>
      <c r="K62" s="294"/>
      <c r="L62" s="60">
        <f ca="1">J62+J62*SUM($K$31+$K$47+SUM($K$51:K62))</f>
        <v>5636719.6844444443</v>
      </c>
      <c r="M62" s="59">
        <f t="shared" ca="1" si="23"/>
        <v>141074.74182424918</v>
      </c>
    </row>
    <row r="63" spans="3:13" x14ac:dyDescent="0.25">
      <c r="C63" s="36" t="s">
        <v>7854</v>
      </c>
      <c r="D63" s="64">
        <f t="shared" ref="D63:L63" si="24">SUM(D51:D62)</f>
        <v>0</v>
      </c>
      <c r="E63" s="64">
        <f t="shared" si="24"/>
        <v>12</v>
      </c>
      <c r="F63" s="64">
        <f t="shared" si="24"/>
        <v>8</v>
      </c>
      <c r="G63" s="64">
        <f t="shared" si="24"/>
        <v>3</v>
      </c>
      <c r="H63" s="64">
        <f t="shared" si="24"/>
        <v>23</v>
      </c>
      <c r="I63" s="48">
        <f t="shared" ca="1" si="24"/>
        <v>1171.5410013175233</v>
      </c>
      <c r="J63" s="48">
        <f t="shared" ca="1" si="24"/>
        <v>139907942.74413705</v>
      </c>
      <c r="K63" s="37">
        <f t="shared" si="24"/>
        <v>0.03</v>
      </c>
      <c r="L63" s="49">
        <f t="shared" ca="1" si="24"/>
        <v>160593124.02961531</v>
      </c>
      <c r="M63" s="48">
        <f t="shared" ca="1" si="23"/>
        <v>137078.5348946483</v>
      </c>
    </row>
    <row r="64" spans="3:13" x14ac:dyDescent="0.25">
      <c r="C64" s="131" t="s">
        <v>106</v>
      </c>
      <c r="D64" s="132" t="e">
        <f>D63/$G$6</f>
        <v>#DIV/0!</v>
      </c>
      <c r="E64" s="132">
        <f>E63/$G$7</f>
        <v>0.13333333333333333</v>
      </c>
      <c r="F64" s="132">
        <f>F63/$G$8</f>
        <v>0.11594202898550725</v>
      </c>
      <c r="G64" s="132">
        <f>G63/$G$9</f>
        <v>0.13636363636363635</v>
      </c>
      <c r="H64" s="133">
        <f>H63/$G$10</f>
        <v>0.1270718232044199</v>
      </c>
      <c r="J64" s="66"/>
      <c r="K64" s="4"/>
      <c r="M64" s="65"/>
    </row>
    <row r="66" spans="3:13" ht="24" x14ac:dyDescent="0.25">
      <c r="C66" s="102" t="s">
        <v>0</v>
      </c>
      <c r="D66" s="103" t="s">
        <v>4</v>
      </c>
      <c r="E66" s="104" t="s">
        <v>22</v>
      </c>
      <c r="F66" s="104" t="s">
        <v>23</v>
      </c>
      <c r="G66" s="104" t="s">
        <v>24</v>
      </c>
      <c r="H66" s="105" t="s">
        <v>59</v>
      </c>
      <c r="I66" s="106" t="s">
        <v>51</v>
      </c>
      <c r="J66" s="107" t="s">
        <v>33</v>
      </c>
      <c r="K66" s="107" t="s">
        <v>108</v>
      </c>
      <c r="L66" s="107" t="s">
        <v>107</v>
      </c>
      <c r="M66" s="108" t="s">
        <v>17</v>
      </c>
    </row>
    <row r="67" spans="3:13" x14ac:dyDescent="0.25">
      <c r="C67" s="136">
        <v>46753</v>
      </c>
      <c r="D67" s="39"/>
      <c r="E67" s="39">
        <v>18</v>
      </c>
      <c r="F67" s="39">
        <v>12</v>
      </c>
      <c r="G67" s="39">
        <v>4</v>
      </c>
      <c r="H67" s="39">
        <f t="shared" ref="H67:H78" si="25">SUM(D67:G67)</f>
        <v>34</v>
      </c>
      <c r="I67" s="69">
        <f t="shared" ref="I67:I78" ca="1" si="26">E67*$E$7+F67*$E$8+G67*$E$9</f>
        <v>1718.5087747035577</v>
      </c>
      <c r="J67" s="59">
        <f t="shared" ref="J67:J78" ca="1" si="27">E67*$L$7+F67*$L$8+G67*$L$9</f>
        <v>205653692.75256917</v>
      </c>
      <c r="K67" s="526"/>
      <c r="L67" s="60">
        <f ca="1">J67+J67*SUM($K$31+$K$47+$K$63+SUM($K$67:K67))</f>
        <v>236501746.66545454</v>
      </c>
      <c r="M67" s="59">
        <f ca="1">IFERROR(L67/I67,"")</f>
        <v>137620.33115382318</v>
      </c>
    </row>
    <row r="68" spans="3:13" x14ac:dyDescent="0.25">
      <c r="C68" s="136">
        <v>46784</v>
      </c>
      <c r="D68" s="39"/>
      <c r="E68" s="39"/>
      <c r="F68" s="39"/>
      <c r="G68" s="39"/>
      <c r="H68" s="39">
        <f t="shared" si="25"/>
        <v>0</v>
      </c>
      <c r="I68" s="69">
        <f t="shared" ca="1" si="26"/>
        <v>0</v>
      </c>
      <c r="J68" s="59">
        <f t="shared" ca="1" si="27"/>
        <v>0</v>
      </c>
      <c r="K68" s="294"/>
      <c r="L68" s="60">
        <f ca="1">J68+J68*SUM($K$31+$K$47+$K$63+SUM($K$67:K68))</f>
        <v>0</v>
      </c>
      <c r="M68" s="59" t="str">
        <f t="shared" ref="M68:M79" ca="1" si="28">IFERROR(L68/I68,"")</f>
        <v/>
      </c>
    </row>
    <row r="69" spans="3:13" x14ac:dyDescent="0.25">
      <c r="C69" s="136">
        <v>46813</v>
      </c>
      <c r="D69" s="39"/>
      <c r="E69" s="39"/>
      <c r="F69" s="39"/>
      <c r="G69" s="39"/>
      <c r="H69" s="39">
        <f t="shared" si="25"/>
        <v>0</v>
      </c>
      <c r="I69" s="69">
        <f t="shared" ca="1" si="26"/>
        <v>0</v>
      </c>
      <c r="J69" s="59">
        <f t="shared" ca="1" si="27"/>
        <v>0</v>
      </c>
      <c r="K69" s="294"/>
      <c r="L69" s="60">
        <f ca="1">J69+J69*SUM($K$31+$K$47+$K$63+SUM($K$67:K69))</f>
        <v>0</v>
      </c>
      <c r="M69" s="59" t="str">
        <f t="shared" ca="1" si="28"/>
        <v/>
      </c>
    </row>
    <row r="70" spans="3:13" x14ac:dyDescent="0.25">
      <c r="C70" s="136">
        <v>46844</v>
      </c>
      <c r="D70" s="39"/>
      <c r="E70" s="39"/>
      <c r="F70" s="39"/>
      <c r="G70" s="39"/>
      <c r="H70" s="39">
        <f t="shared" si="25"/>
        <v>0</v>
      </c>
      <c r="I70" s="69">
        <f t="shared" ca="1" si="26"/>
        <v>0</v>
      </c>
      <c r="J70" s="59">
        <f t="shared" ca="1" si="27"/>
        <v>0</v>
      </c>
      <c r="K70" s="294"/>
      <c r="L70" s="60">
        <f ca="1">J70+J70*SUM($K$31+$K$47+$K$63+SUM($K$67:K70))</f>
        <v>0</v>
      </c>
      <c r="M70" s="59" t="str">
        <f t="shared" ca="1" si="28"/>
        <v/>
      </c>
    </row>
    <row r="71" spans="3:13" x14ac:dyDescent="0.25">
      <c r="C71" s="136">
        <v>46874</v>
      </c>
      <c r="D71" s="39"/>
      <c r="E71" s="39"/>
      <c r="F71" s="39"/>
      <c r="G71" s="39"/>
      <c r="H71" s="39">
        <f t="shared" si="25"/>
        <v>0</v>
      </c>
      <c r="I71" s="69">
        <f t="shared" ca="1" si="26"/>
        <v>0</v>
      </c>
      <c r="J71" s="59">
        <f t="shared" ca="1" si="27"/>
        <v>0</v>
      </c>
      <c r="K71" s="294"/>
      <c r="L71" s="60">
        <f ca="1">J71+J71*SUM($K$31+$K$47+$K$63+SUM($K$67:K71))</f>
        <v>0</v>
      </c>
      <c r="M71" s="59" t="str">
        <f t="shared" ca="1" si="28"/>
        <v/>
      </c>
    </row>
    <row r="72" spans="3:13" x14ac:dyDescent="0.25">
      <c r="C72" s="136">
        <v>46905</v>
      </c>
      <c r="D72" s="39"/>
      <c r="E72" s="39"/>
      <c r="F72" s="39"/>
      <c r="G72" s="39"/>
      <c r="H72" s="39">
        <f t="shared" si="25"/>
        <v>0</v>
      </c>
      <c r="I72" s="69">
        <f t="shared" ca="1" si="26"/>
        <v>0</v>
      </c>
      <c r="J72" s="59">
        <f t="shared" ca="1" si="27"/>
        <v>0</v>
      </c>
      <c r="K72" s="373"/>
      <c r="L72" s="60">
        <f ca="1">J72+J72*SUM($K$31+$K$47+$K$63+SUM($K$67:K72))</f>
        <v>0</v>
      </c>
      <c r="M72" s="59" t="str">
        <f t="shared" ca="1" si="28"/>
        <v/>
      </c>
    </row>
    <row r="73" spans="3:13" x14ac:dyDescent="0.25">
      <c r="C73" s="136">
        <v>46935</v>
      </c>
      <c r="D73" s="39"/>
      <c r="E73" s="39"/>
      <c r="F73" s="39"/>
      <c r="G73" s="39"/>
      <c r="H73" s="39">
        <f t="shared" si="25"/>
        <v>0</v>
      </c>
      <c r="I73" s="69">
        <f t="shared" ca="1" si="26"/>
        <v>0</v>
      </c>
      <c r="J73" s="59">
        <f t="shared" ca="1" si="27"/>
        <v>0</v>
      </c>
      <c r="K73" s="374"/>
      <c r="L73" s="60">
        <f ca="1">J73+J73*SUM($K$31+$K$47+$K$63+SUM($K$67:K73))</f>
        <v>0</v>
      </c>
      <c r="M73" s="59" t="str">
        <f t="shared" ca="1" si="28"/>
        <v/>
      </c>
    </row>
    <row r="74" spans="3:13" x14ac:dyDescent="0.25">
      <c r="C74" s="136">
        <v>46966</v>
      </c>
      <c r="D74" s="39"/>
      <c r="E74" s="39"/>
      <c r="F74" s="39"/>
      <c r="G74" s="39"/>
      <c r="H74" s="39">
        <f t="shared" si="25"/>
        <v>0</v>
      </c>
      <c r="I74" s="69">
        <f t="shared" ca="1" si="26"/>
        <v>0</v>
      </c>
      <c r="J74" s="59">
        <f t="shared" ca="1" si="27"/>
        <v>0</v>
      </c>
      <c r="K74" s="374"/>
      <c r="L74" s="60">
        <f ca="1">J74+J74*SUM($K$31+$K$47+$K$63+SUM($K$67:K74))</f>
        <v>0</v>
      </c>
      <c r="M74" s="59" t="str">
        <f t="shared" ca="1" si="28"/>
        <v/>
      </c>
    </row>
    <row r="75" spans="3:13" x14ac:dyDescent="0.25">
      <c r="C75" s="136">
        <v>46997</v>
      </c>
      <c r="D75" s="39"/>
      <c r="E75" s="39"/>
      <c r="F75" s="39"/>
      <c r="G75" s="39"/>
      <c r="H75" s="39">
        <f t="shared" si="25"/>
        <v>0</v>
      </c>
      <c r="I75" s="69">
        <f t="shared" ca="1" si="26"/>
        <v>0</v>
      </c>
      <c r="J75" s="59">
        <f t="shared" ca="1" si="27"/>
        <v>0</v>
      </c>
      <c r="K75" s="374"/>
      <c r="L75" s="60">
        <f ca="1">J75+J75*SUM($K$31+$K$47+$K$63+SUM($K$67:K75))</f>
        <v>0</v>
      </c>
      <c r="M75" s="59" t="str">
        <f t="shared" ca="1" si="28"/>
        <v/>
      </c>
    </row>
    <row r="76" spans="3:13" x14ac:dyDescent="0.25">
      <c r="C76" s="136">
        <v>47027</v>
      </c>
      <c r="D76" s="39"/>
      <c r="E76" s="39"/>
      <c r="F76" s="39"/>
      <c r="G76" s="39"/>
      <c r="H76" s="39">
        <f t="shared" si="25"/>
        <v>0</v>
      </c>
      <c r="I76" s="69">
        <f t="shared" ca="1" si="26"/>
        <v>0</v>
      </c>
      <c r="J76" s="59">
        <f t="shared" ca="1" si="27"/>
        <v>0</v>
      </c>
      <c r="K76" s="374"/>
      <c r="L76" s="60">
        <f ca="1">J76+J76*SUM($K$31+$K$47+$K$63+SUM($K$67:K76))</f>
        <v>0</v>
      </c>
      <c r="M76" s="59" t="str">
        <f t="shared" ca="1" si="28"/>
        <v/>
      </c>
    </row>
    <row r="77" spans="3:13" x14ac:dyDescent="0.25">
      <c r="C77" s="136">
        <v>47058</v>
      </c>
      <c r="D77" s="39"/>
      <c r="E77" s="39"/>
      <c r="F77" s="39"/>
      <c r="G77" s="39"/>
      <c r="H77" s="39">
        <f t="shared" si="25"/>
        <v>0</v>
      </c>
      <c r="I77" s="69">
        <f t="shared" ca="1" si="26"/>
        <v>0</v>
      </c>
      <c r="J77" s="59">
        <f t="shared" ca="1" si="27"/>
        <v>0</v>
      </c>
      <c r="K77" s="373"/>
      <c r="L77" s="60">
        <f ca="1">J77+J77*SUM($K$31+$K$47+$K$63+SUM($K$67:K77))</f>
        <v>0</v>
      </c>
      <c r="M77" s="59" t="str">
        <f t="shared" ca="1" si="28"/>
        <v/>
      </c>
    </row>
    <row r="78" spans="3:13" x14ac:dyDescent="0.25">
      <c r="C78" s="136">
        <v>47088</v>
      </c>
      <c r="D78" s="39"/>
      <c r="E78" s="39"/>
      <c r="F78" s="39"/>
      <c r="G78" s="39"/>
      <c r="H78" s="39">
        <f t="shared" si="25"/>
        <v>0</v>
      </c>
      <c r="I78" s="69">
        <f t="shared" ca="1" si="26"/>
        <v>0</v>
      </c>
      <c r="J78" s="59">
        <f t="shared" ca="1" si="27"/>
        <v>0</v>
      </c>
      <c r="K78" s="294"/>
      <c r="L78" s="60">
        <f ca="1">J78+J78*SUM($K$31+$K$47+$K$63+SUM($K$67:K78))</f>
        <v>0</v>
      </c>
      <c r="M78" s="59" t="str">
        <f t="shared" ca="1" si="28"/>
        <v/>
      </c>
    </row>
    <row r="79" spans="3:13" x14ac:dyDescent="0.25">
      <c r="C79" s="36" t="s">
        <v>8423</v>
      </c>
      <c r="D79" s="64">
        <f t="shared" ref="D79:L79" si="29">SUM(D67:D78)</f>
        <v>0</v>
      </c>
      <c r="E79" s="64">
        <f t="shared" si="29"/>
        <v>18</v>
      </c>
      <c r="F79" s="64">
        <f t="shared" si="29"/>
        <v>12</v>
      </c>
      <c r="G79" s="64">
        <f t="shared" si="29"/>
        <v>4</v>
      </c>
      <c r="H79" s="64">
        <f t="shared" si="29"/>
        <v>34</v>
      </c>
      <c r="I79" s="48">
        <f t="shared" ca="1" si="29"/>
        <v>1718.5087747035577</v>
      </c>
      <c r="J79" s="48">
        <f t="shared" ca="1" si="29"/>
        <v>205653692.75256917</v>
      </c>
      <c r="K79" s="37">
        <f t="shared" si="29"/>
        <v>0</v>
      </c>
      <c r="L79" s="49">
        <f t="shared" ca="1" si="29"/>
        <v>236501746.66545454</v>
      </c>
      <c r="M79" s="48">
        <f t="shared" ca="1" si="28"/>
        <v>137620.33115382318</v>
      </c>
    </row>
    <row r="80" spans="3:13" x14ac:dyDescent="0.25">
      <c r="C80" s="131" t="s">
        <v>106</v>
      </c>
      <c r="D80" s="132" t="e">
        <f>D79/$G$6</f>
        <v>#DIV/0!</v>
      </c>
      <c r="E80" s="132">
        <f>E79/$G$7</f>
        <v>0.2</v>
      </c>
      <c r="F80" s="132">
        <f>F79/$G$8</f>
        <v>0.17391304347826086</v>
      </c>
      <c r="G80" s="132">
        <f>G79/$G$9</f>
        <v>0.18181818181818182</v>
      </c>
      <c r="H80" s="133">
        <f>H79/$G$10</f>
        <v>0.18784530386740331</v>
      </c>
      <c r="J80" s="66"/>
      <c r="K80" s="4"/>
      <c r="M80" s="65"/>
    </row>
    <row r="85" spans="4:13" s="346" customFormat="1" x14ac:dyDescent="0.25">
      <c r="D85" s="436">
        <f>D16</f>
        <v>0</v>
      </c>
      <c r="E85" s="436">
        <f t="shared" ref="E85:F85" si="30">E16</f>
        <v>0</v>
      </c>
      <c r="F85" s="436">
        <f t="shared" si="30"/>
        <v>0</v>
      </c>
      <c r="G85" s="436">
        <f>G16</f>
        <v>0</v>
      </c>
      <c r="I85" s="331">
        <f ca="1">I31+I47+I63+I79</f>
        <v>9264.4200000000019</v>
      </c>
      <c r="J85" s="331">
        <f ca="1">J31+J47+J63+J79</f>
        <v>1107922103</v>
      </c>
      <c r="K85" s="66"/>
      <c r="L85" s="331">
        <f ca="1">L31+L47+L63+L79</f>
        <v>1175456915.3705041</v>
      </c>
      <c r="M85" s="474"/>
    </row>
  </sheetData>
  <mergeCells count="5">
    <mergeCell ref="K3:M3"/>
    <mergeCell ref="C4:F4"/>
    <mergeCell ref="K4:M4"/>
    <mergeCell ref="C5:D5"/>
    <mergeCell ref="G5:J5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A31137E9-B742-4952-8BCF-3B1B87A882E6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D16:J16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65F0-2C58-4C8C-AC9B-B5D4C41285A7}">
  <sheetPr codeName="Лист11">
    <tabColor rgb="FFFFFF00"/>
  </sheetPr>
  <dimension ref="B2:Q86"/>
  <sheetViews>
    <sheetView topLeftCell="A10" workbookViewId="0">
      <selection activeCell="D43" sqref="D43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7.85546875" bestFit="1" customWidth="1"/>
    <col min="4" max="4" width="9.2851562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25" customWidth="1"/>
    <col min="15" max="15" width="13.5703125" style="12" bestFit="1" customWidth="1"/>
    <col min="16" max="16" width="22.85546875" customWidth="1"/>
    <col min="17" max="17" width="17.42578125" customWidth="1"/>
  </cols>
  <sheetData>
    <row r="2" spans="3:14" x14ac:dyDescent="0.25">
      <c r="C2" s="111" t="s">
        <v>8060</v>
      </c>
    </row>
    <row r="3" spans="3:14" ht="15.75" thickBot="1" x14ac:dyDescent="0.3">
      <c r="C3" s="2"/>
    </row>
    <row r="4" spans="3:14" ht="15.75" customHeight="1" thickBot="1" x14ac:dyDescent="0.3">
      <c r="C4" s="756" t="s">
        <v>104</v>
      </c>
      <c r="D4" s="757"/>
      <c r="E4" s="757"/>
      <c r="F4" s="757"/>
      <c r="G4" s="83" t="s">
        <v>71</v>
      </c>
      <c r="H4" s="77" t="s">
        <v>70</v>
      </c>
      <c r="I4" s="241" t="s">
        <v>69</v>
      </c>
      <c r="J4" s="84" t="s">
        <v>68</v>
      </c>
      <c r="K4" s="757" t="s">
        <v>105</v>
      </c>
      <c r="L4" s="757"/>
      <c r="M4" s="758"/>
    </row>
    <row r="5" spans="3:14" ht="30.75" thickBot="1" x14ac:dyDescent="0.3">
      <c r="C5" s="759" t="s">
        <v>11</v>
      </c>
      <c r="D5" s="760"/>
      <c r="E5" s="322" t="s">
        <v>103</v>
      </c>
      <c r="F5" s="126" t="s">
        <v>101</v>
      </c>
      <c r="G5" s="761">
        <f ca="1">DATE(YEAR(TODAY()),MONTH(TODAY()),1)</f>
        <v>45870</v>
      </c>
      <c r="H5" s="762"/>
      <c r="I5" s="762"/>
      <c r="J5" s="763"/>
      <c r="K5" s="127" t="s">
        <v>12</v>
      </c>
      <c r="L5" s="322" t="s">
        <v>102</v>
      </c>
      <c r="M5" s="128" t="s">
        <v>100</v>
      </c>
      <c r="N5" s="14"/>
    </row>
    <row r="6" spans="3:14" ht="16.5" customHeight="1" x14ac:dyDescent="0.25">
      <c r="C6" s="120">
        <v>0</v>
      </c>
      <c r="D6" s="135">
        <f ca="1">SUMIF(Д402[Тип кв],C6,Д402[Расчетная проектная площадь])-SUMIFS(РД[S],РД[Тип кв],C6,РД[Дом],$C$2,РД[Состояние],"&lt;&gt;расторгнут",РД[Дата подачи на регистрацию],"&lt;"&amp;$G$5)</f>
        <v>1695.7600000000011</v>
      </c>
      <c r="E6" s="121">
        <f ca="1">D6/H6</f>
        <v>29.237241379310365</v>
      </c>
      <c r="F6" s="122">
        <f ca="1">D6/$D$10</f>
        <v>0.16283918027292893</v>
      </c>
      <c r="G6" s="31">
        <f>COUNTIF(Д402[Тип кв],C6)</f>
        <v>60</v>
      </c>
      <c r="H6" s="80">
        <f ca="1">G6-I6</f>
        <v>58</v>
      </c>
      <c r="I6" s="81">
        <f ca="1">COUNTIFS(РД[Тип кв],C6,РД[Дом],$C$2,РД[Состояние],"&lt;&gt;расторгнут",РД[Дата подачи на регистрацию],"&lt;"&amp;$G$5)</f>
        <v>2</v>
      </c>
      <c r="J6" s="82">
        <f ca="1">I6/G6</f>
        <v>3.3333333333333333E-2</v>
      </c>
      <c r="K6" s="123">
        <f ca="1">SUMIF(Д402[Тип кв],C6,Д402[Стоимость ОН без отделки со скидкой])-SUMIFS(РД[Стоимость без отделки итог],РД[Тип кв],C6,РД[Дом],$C$2,РД[Состояние],"&lt;&gt;расторгнут",РД[Дата подачи на регистрацию],"&lt;"&amp;$G$5)</f>
        <v>241256100</v>
      </c>
      <c r="L6" s="63">
        <f ca="1">K6/H6</f>
        <v>4159587.9310344825</v>
      </c>
      <c r="M6" s="124">
        <f ca="1">K6/$K$10</f>
        <v>0.18300837988482282</v>
      </c>
      <c r="N6" s="23"/>
    </row>
    <row r="7" spans="3:14" ht="16.5" customHeight="1" x14ac:dyDescent="0.25">
      <c r="C7" s="119">
        <v>1</v>
      </c>
      <c r="D7" s="135">
        <f ca="1">SUMIF(Д402[Тип кв],C7,Д402[Расчетная проектная площадь])-SUMIFS(РД[S],РД[Тип кв],C7,РД[Дом],$C$2,РД[Состояние],"&lt;&gt;расторгнут",РД[Дата подачи на регистрацию],"&lt;"&amp;$G$5)</f>
        <v>1776.3399999999992</v>
      </c>
      <c r="E7" s="27">
        <f ca="1">D7/H7</f>
        <v>40.371363636363618</v>
      </c>
      <c r="F7" s="52">
        <f ca="1">D7/$D$10</f>
        <v>0.1705770565917431</v>
      </c>
      <c r="G7" s="31">
        <f>COUNTIF(Д402[Тип кв],C7)</f>
        <v>92</v>
      </c>
      <c r="H7" s="73">
        <f ca="1">G7-I7</f>
        <v>44</v>
      </c>
      <c r="I7" s="81">
        <f ca="1">COUNTIFS(РД[Тип кв],C7,РД[Дом],$C$2,РД[Состояние],"&lt;&gt;расторгнут",РД[Дата подачи на регистрацию],"&lt;"&amp;$G$5)</f>
        <v>48</v>
      </c>
      <c r="J7" s="74">
        <f ca="1">I7/G7</f>
        <v>0.52173913043478259</v>
      </c>
      <c r="K7" s="123">
        <f ca="1">SUMIF(Д402[Тип кв],C7,Д402[Стоимость ОН без отделки со скидкой])-SUMIFS(РД[Стоимость без отделки итог],РД[Тип кв],C7,РД[Дом],$C$2,РД[Состояние],"&lt;&gt;расторгнут",РД[Дата подачи на регистрацию],"&lt;"&amp;$G$5)</f>
        <v>232151878</v>
      </c>
      <c r="L7" s="51">
        <f ca="1">K7/H7</f>
        <v>5276179.0454545459</v>
      </c>
      <c r="M7" s="29">
        <f ca="1">K7/$K$10</f>
        <v>0.17610223774652348</v>
      </c>
      <c r="N7" s="23"/>
    </row>
    <row r="8" spans="3:14" ht="16.5" customHeight="1" x14ac:dyDescent="0.25">
      <c r="C8" s="119">
        <v>2</v>
      </c>
      <c r="D8" s="135">
        <f ca="1">SUMIF(Д402[Тип кв],C8,Д402[Расчетная проектная площадь])-SUMIFS(РД[S],РД[Тип кв],C8,РД[Дом],$C$2,РД[Состояние],"&lt;&gt;расторгнут",РД[Дата подачи на регистрацию],"&lt;"&amp;$G$5)</f>
        <v>6316.3299999999881</v>
      </c>
      <c r="E8" s="27">
        <f ca="1">D8/H8</f>
        <v>58.48453703703693</v>
      </c>
      <c r="F8" s="52">
        <f ca="1">D8/$D$10</f>
        <v>0.60653984026826113</v>
      </c>
      <c r="G8" s="31">
        <f>COUNTIF(Д402[Тип кв],C8)</f>
        <v>128</v>
      </c>
      <c r="H8" s="73">
        <f ca="1">G8-I8</f>
        <v>108</v>
      </c>
      <c r="I8" s="81">
        <f ca="1">COUNTIFS(РД[Тип кв],C8,РД[Дом],$C$2,РД[Состояние],"&lt;&gt;расторгнут",РД[Дата подачи на регистрацию],"&lt;"&amp;$G$5)</f>
        <v>20</v>
      </c>
      <c r="J8" s="74">
        <f ca="1">I8/G8</f>
        <v>0.15625</v>
      </c>
      <c r="K8" s="123">
        <f ca="1">SUMIF(Д402[Тип кв],C8,Д402[Стоимость ОН без отделки со скидкой])-SUMIFS(РД[Стоимость без отделки итог],РД[Тип кв],C8,РД[Дом],$C$2,РД[Состояние],"&lt;&gt;расторгнут",РД[Дата подачи на регистрацию],"&lt;"&amp;$G$5)</f>
        <v>774873100</v>
      </c>
      <c r="L8" s="51">
        <f ca="1">K8/H8</f>
        <v>7174750.9259259263</v>
      </c>
      <c r="M8" s="29">
        <f ca="1">K8/$K$10</f>
        <v>0.58779144091001356</v>
      </c>
      <c r="N8" s="23"/>
    </row>
    <row r="9" spans="3:14" ht="16.5" customHeight="1" thickBot="1" x14ac:dyDescent="0.3">
      <c r="C9" s="119">
        <v>3</v>
      </c>
      <c r="D9" s="135">
        <f ca="1">SUMIF(Д402[Тип кв],C9,Д402[Расчетная проектная площадь])-SUMIFS(РД[S],РД[Тип кв],C9,РД[Дом],$C$2,РД[Состояние],"&lt;&gt;расторгнут",РД[Дата подачи на регистрацию],"&lt;"&amp;$G$5)</f>
        <v>625.27999999999986</v>
      </c>
      <c r="E9" s="27">
        <f ca="1">D9/H9</f>
        <v>78.159999999999982</v>
      </c>
      <c r="F9" s="52">
        <f ca="1">D9/$D$10</f>
        <v>6.0043922867066633E-2</v>
      </c>
      <c r="G9" s="31">
        <f>COUNTIF(Д402[Тип кв],C9)</f>
        <v>8</v>
      </c>
      <c r="H9" s="75">
        <f ca="1">G9-I9</f>
        <v>8</v>
      </c>
      <c r="I9" s="81">
        <f ca="1">COUNTIFS(РД[Тип кв],C9,РД[Дом],$C$2,РД[Состояние],"&lt;&gt;расторгнут",РД[Дата подачи на регистрацию],"&lt;"&amp;$G$5)</f>
        <v>0</v>
      </c>
      <c r="J9" s="76">
        <f ca="1">I9/G9</f>
        <v>0</v>
      </c>
      <c r="K9" s="123">
        <f ca="1">SUMIF(Д402[Тип кв],C9,Д402[Стоимость ОН без отделки со скидкой])-SUMIFS(РД[Стоимость без отделки итог],РД[Тип кв],C9,РД[Дом],$C$2,РД[Состояние],"&lt;&gt;расторгнут",РД[Дата подачи на регистрацию],"&lt;"&amp;$G$5)</f>
        <v>69997900</v>
      </c>
      <c r="L9" s="51">
        <f ca="1">K9/H9</f>
        <v>8749737.5</v>
      </c>
      <c r="M9" s="29">
        <f ca="1">K9/$K$10</f>
        <v>5.3097941458640177E-2</v>
      </c>
      <c r="N9" s="23"/>
    </row>
    <row r="10" spans="3:14" ht="15.75" thickBot="1" x14ac:dyDescent="0.3">
      <c r="C10" s="286" t="s">
        <v>49</v>
      </c>
      <c r="D10" s="287">
        <f ca="1">SUM(D6:D9)</f>
        <v>10413.70999999999</v>
      </c>
      <c r="E10" s="288">
        <f ca="1">D10/H10</f>
        <v>47.769311926605461</v>
      </c>
      <c r="F10" s="289"/>
      <c r="G10" s="286">
        <f>SUM(G6:G9)</f>
        <v>288</v>
      </c>
      <c r="H10" s="290">
        <f ca="1">SUM(H6:H9)</f>
        <v>218</v>
      </c>
      <c r="I10" s="290">
        <f ca="1">G10-H10</f>
        <v>70</v>
      </c>
      <c r="J10" s="291">
        <f ca="1">I10/G10</f>
        <v>0.24305555555555555</v>
      </c>
      <c r="K10" s="292">
        <f ca="1">SUM(K6:K9)</f>
        <v>1318278978</v>
      </c>
      <c r="L10" s="293">
        <f ca="1">K10/H10</f>
        <v>6047151.2752293581</v>
      </c>
      <c r="M10" s="291">
        <f ca="1">K10/$K$10</f>
        <v>1</v>
      </c>
      <c r="N10" s="18"/>
    </row>
    <row r="11" spans="3:14" x14ac:dyDescent="0.25">
      <c r="E11" s="8"/>
      <c r="I11" s="3"/>
      <c r="J11" s="3"/>
      <c r="K11" s="67"/>
      <c r="L11" s="18"/>
      <c r="M11" s="10"/>
    </row>
    <row r="12" spans="3:14" x14ac:dyDescent="0.25">
      <c r="C12" s="93" t="s">
        <v>92</v>
      </c>
      <c r="D12" s="94" t="s">
        <v>4</v>
      </c>
      <c r="E12" s="95" t="s">
        <v>22</v>
      </c>
      <c r="F12" s="95" t="s">
        <v>23</v>
      </c>
      <c r="G12" s="95" t="s">
        <v>24</v>
      </c>
      <c r="H12" s="72" t="s">
        <v>25</v>
      </c>
      <c r="I12" s="96" t="s">
        <v>51</v>
      </c>
      <c r="J12" s="96" t="s">
        <v>52</v>
      </c>
      <c r="K12" s="19"/>
      <c r="L12" s="15"/>
      <c r="M12" s="65"/>
    </row>
    <row r="13" spans="3:14" x14ac:dyDescent="0.25">
      <c r="C13" s="118" t="s">
        <v>2</v>
      </c>
      <c r="D13" s="116">
        <v>60</v>
      </c>
      <c r="E13" s="116">
        <v>92</v>
      </c>
      <c r="F13" s="116">
        <v>128</v>
      </c>
      <c r="G13" s="116">
        <v>8</v>
      </c>
      <c r="H13" s="116">
        <f>SUM(D13:G13)</f>
        <v>288</v>
      </c>
      <c r="I13" s="117">
        <f>SUM(Д402[Расчетная проектная площадь])</f>
        <v>13499.639999999981</v>
      </c>
      <c r="J13" s="117">
        <f>SUM(Д402[Стоимость ОН без отделки со скидкой])</f>
        <v>1700736100</v>
      </c>
      <c r="K13" s="512"/>
      <c r="L13"/>
      <c r="M13" s="65"/>
    </row>
    <row r="14" spans="3:14" x14ac:dyDescent="0.25">
      <c r="C14" s="100" t="s">
        <v>26</v>
      </c>
      <c r="D14" s="98">
        <f>D32+D48+D64+D80</f>
        <v>60</v>
      </c>
      <c r="E14" s="98">
        <f t="shared" ref="E14:J14" si="0">E32+E48+E64+E80</f>
        <v>92</v>
      </c>
      <c r="F14" s="98">
        <f t="shared" si="0"/>
        <v>128</v>
      </c>
      <c r="G14" s="98">
        <f t="shared" si="0"/>
        <v>8</v>
      </c>
      <c r="H14" s="98">
        <f t="shared" si="0"/>
        <v>288</v>
      </c>
      <c r="I14" s="188">
        <f t="shared" ca="1" si="0"/>
        <v>13499.802758620679</v>
      </c>
      <c r="J14" s="188">
        <f t="shared" ca="1" si="0"/>
        <v>1700301670.5689654</v>
      </c>
      <c r="K14" s="513"/>
      <c r="M14" s="65"/>
    </row>
    <row r="15" spans="3:14" x14ac:dyDescent="0.25">
      <c r="C15" s="145" t="s">
        <v>93</v>
      </c>
      <c r="D15" s="147">
        <f ca="1">'Свод ПП 402'!C64</f>
        <v>59</v>
      </c>
      <c r="E15" s="147">
        <f ca="1">'Свод ПП 402'!D64</f>
        <v>92</v>
      </c>
      <c r="F15" s="147">
        <f ca="1">'Свод ПП 402'!E64</f>
        <v>128</v>
      </c>
      <c r="G15" s="147">
        <f ca="1">'Свод ПП 402'!F64</f>
        <v>7</v>
      </c>
      <c r="H15" s="147">
        <f ca="1">'Свод ПП 402'!G64</f>
        <v>286</v>
      </c>
      <c r="I15" s="146">
        <f ca="1">'Свод ПП 402'!H64</f>
        <v>13392.242758620678</v>
      </c>
      <c r="J15" s="146">
        <f ca="1">'Свод ПП 402'!I64</f>
        <v>1745949421.828222</v>
      </c>
      <c r="K15" s="514">
        <f ca="1">J15/I15</f>
        <v>130370.20410224737</v>
      </c>
      <c r="L15"/>
      <c r="M15" s="65"/>
    </row>
    <row r="16" spans="3:14" ht="14.25" customHeight="1" x14ac:dyDescent="0.25">
      <c r="C16" s="101" t="s">
        <v>1</v>
      </c>
      <c r="D16" s="97">
        <f>D14-D13</f>
        <v>0</v>
      </c>
      <c r="E16" s="97">
        <f t="shared" ref="E16:J16" si="1">E14-E13</f>
        <v>0</v>
      </c>
      <c r="F16" s="97">
        <f t="shared" si="1"/>
        <v>0</v>
      </c>
      <c r="G16" s="97">
        <f t="shared" si="1"/>
        <v>0</v>
      </c>
      <c r="H16" s="97">
        <f t="shared" si="1"/>
        <v>0</v>
      </c>
      <c r="I16" s="97">
        <f t="shared" ca="1" si="1"/>
        <v>0.16275862069778668</v>
      </c>
      <c r="J16" s="97">
        <f t="shared" ca="1" si="1"/>
        <v>-434429.43103456497</v>
      </c>
      <c r="K16" s="515"/>
      <c r="L16" s="18"/>
      <c r="M16" s="65"/>
    </row>
    <row r="17" spans="3:17" ht="14.25" customHeight="1" x14ac:dyDescent="0.25">
      <c r="C17" s="2"/>
      <c r="D17" s="6"/>
      <c r="E17" s="6"/>
      <c r="F17" s="6"/>
      <c r="G17" s="6"/>
      <c r="H17" s="6"/>
      <c r="I17" s="6"/>
      <c r="J17" s="6"/>
      <c r="K17" s="62"/>
      <c r="L17" s="6"/>
    </row>
    <row r="18" spans="3:17" x14ac:dyDescent="0.25">
      <c r="C18" s="9"/>
      <c r="D18" s="129"/>
      <c r="E18" s="129"/>
      <c r="F18" s="129"/>
      <c r="G18" s="129"/>
      <c r="H18" s="130"/>
      <c r="I18" s="130"/>
      <c r="J18" s="66"/>
      <c r="K18" s="516"/>
      <c r="L18" s="134"/>
      <c r="M18" s="70"/>
    </row>
    <row r="19" spans="3:17" ht="24" x14ac:dyDescent="0.25">
      <c r="C19" s="102" t="s">
        <v>0</v>
      </c>
      <c r="D19" s="103" t="s">
        <v>4</v>
      </c>
      <c r="E19" s="104" t="s">
        <v>22</v>
      </c>
      <c r="F19" s="104" t="s">
        <v>23</v>
      </c>
      <c r="G19" s="104" t="s">
        <v>24</v>
      </c>
      <c r="H19" s="105" t="s">
        <v>59</v>
      </c>
      <c r="I19" s="106" t="s">
        <v>51</v>
      </c>
      <c r="J19" s="107" t="s">
        <v>33</v>
      </c>
      <c r="K19" s="107" t="s">
        <v>108</v>
      </c>
      <c r="L19" s="107" t="s">
        <v>107</v>
      </c>
      <c r="M19" s="108" t="s">
        <v>17</v>
      </c>
      <c r="N19" s="364" t="s">
        <v>6787</v>
      </c>
      <c r="O19" s="764" t="s">
        <v>6788</v>
      </c>
      <c r="P19" s="764"/>
      <c r="Q19" s="764"/>
    </row>
    <row r="20" spans="3:17" hidden="1" x14ac:dyDescent="0.25">
      <c r="C20" s="195">
        <v>45292</v>
      </c>
      <c r="D20" s="194"/>
      <c r="E20" s="194"/>
      <c r="F20" s="194"/>
      <c r="G20" s="194"/>
      <c r="H20" s="194">
        <f t="shared" ref="H20:H27" si="2">SUM(D20:G20)</f>
        <v>0</v>
      </c>
      <c r="I20" s="357">
        <f t="shared" ref="I20:I27" ca="1" si="3">D20*$E$6+E20*$E$7+F20*$E$8+G20*$E$9</f>
        <v>0</v>
      </c>
      <c r="J20" s="358">
        <f t="shared" ref="J20:J27" ca="1" si="4">D20*$L$6+E20*$L$7+F20*$L$8+G20*$L$9</f>
        <v>0</v>
      </c>
      <c r="K20" s="359"/>
      <c r="L20" s="360">
        <f ca="1">J20+J20*SUM(SUM($K$20))</f>
        <v>0</v>
      </c>
      <c r="M20" s="358" t="str">
        <f ca="1">IFERROR(L20/I20,"")</f>
        <v/>
      </c>
    </row>
    <row r="21" spans="3:17" hidden="1" x14ac:dyDescent="0.25">
      <c r="C21" s="195">
        <v>45323</v>
      </c>
      <c r="D21" s="194"/>
      <c r="E21" s="194"/>
      <c r="F21" s="194"/>
      <c r="G21" s="194"/>
      <c r="H21" s="194">
        <f t="shared" si="2"/>
        <v>0</v>
      </c>
      <c r="I21" s="357">
        <f t="shared" ca="1" si="3"/>
        <v>0</v>
      </c>
      <c r="J21" s="358">
        <f t="shared" ca="1" si="4"/>
        <v>0</v>
      </c>
      <c r="K21" s="359"/>
      <c r="L21" s="360">
        <f ca="1">J21+J21*SUM(SUM($K$20:K21))</f>
        <v>0</v>
      </c>
      <c r="M21" s="358" t="str">
        <f t="shared" ref="M21:M31" ca="1" si="5">IFERROR(L21/I21,"")</f>
        <v/>
      </c>
    </row>
    <row r="22" spans="3:17" hidden="1" x14ac:dyDescent="0.25">
      <c r="C22" s="136">
        <v>45352</v>
      </c>
      <c r="D22" s="39"/>
      <c r="E22" s="39"/>
      <c r="F22" s="39"/>
      <c r="G22" s="39"/>
      <c r="H22" s="39">
        <f t="shared" si="2"/>
        <v>0</v>
      </c>
      <c r="I22" s="69">
        <f t="shared" ca="1" si="3"/>
        <v>0</v>
      </c>
      <c r="J22" s="58">
        <f t="shared" ca="1" si="4"/>
        <v>0</v>
      </c>
      <c r="K22" s="61"/>
      <c r="L22" s="50">
        <f ca="1">J22+J22*SUM(SUM($K$20:K22))</f>
        <v>0</v>
      </c>
      <c r="M22" s="58" t="str">
        <f t="shared" ca="1" si="5"/>
        <v/>
      </c>
    </row>
    <row r="23" spans="3:17" hidden="1" x14ac:dyDescent="0.25">
      <c r="C23" s="136">
        <v>45383</v>
      </c>
      <c r="D23" s="39"/>
      <c r="E23" s="39"/>
      <c r="F23" s="39"/>
      <c r="G23" s="39"/>
      <c r="H23" s="39">
        <f t="shared" si="2"/>
        <v>0</v>
      </c>
      <c r="I23" s="69">
        <f t="shared" ca="1" si="3"/>
        <v>0</v>
      </c>
      <c r="J23" s="58">
        <f t="shared" ca="1" si="4"/>
        <v>0</v>
      </c>
      <c r="K23" s="61"/>
      <c r="L23" s="50">
        <f ca="1">J23+J23*SUM(SUM($K$20:K23))</f>
        <v>0</v>
      </c>
      <c r="M23" s="58" t="str">
        <f t="shared" ca="1" si="5"/>
        <v/>
      </c>
    </row>
    <row r="24" spans="3:17" hidden="1" x14ac:dyDescent="0.25">
      <c r="C24" s="136">
        <v>45413</v>
      </c>
      <c r="D24" s="243"/>
      <c r="E24" s="243"/>
      <c r="F24" s="243"/>
      <c r="G24" s="243"/>
      <c r="H24" s="39">
        <f t="shared" si="2"/>
        <v>0</v>
      </c>
      <c r="I24" s="69">
        <f t="shared" ca="1" si="3"/>
        <v>0</v>
      </c>
      <c r="J24" s="58">
        <f t="shared" ca="1" si="4"/>
        <v>0</v>
      </c>
      <c r="K24" s="335"/>
      <c r="L24" s="50">
        <f ca="1">J24+J24*SUM(SUM($K$20:K24))</f>
        <v>0</v>
      </c>
      <c r="M24" s="58" t="str">
        <f t="shared" ca="1" si="5"/>
        <v/>
      </c>
    </row>
    <row r="25" spans="3:17" s="245" customFormat="1" hidden="1" x14ac:dyDescent="0.25">
      <c r="C25" s="195">
        <v>45444</v>
      </c>
      <c r="D25" s="194"/>
      <c r="E25" s="194"/>
      <c r="F25" s="194"/>
      <c r="G25" s="194"/>
      <c r="H25" s="194">
        <f t="shared" si="2"/>
        <v>0</v>
      </c>
      <c r="I25" s="357">
        <f t="shared" ca="1" si="3"/>
        <v>0</v>
      </c>
      <c r="J25" s="358">
        <f t="shared" ca="1" si="4"/>
        <v>0</v>
      </c>
      <c r="K25" s="361"/>
      <c r="L25" s="360">
        <f ca="1">J25+J25*SUM(SUM($K$20:K24))</f>
        <v>0</v>
      </c>
      <c r="M25" s="358" t="str">
        <f t="shared" ca="1" si="5"/>
        <v/>
      </c>
      <c r="O25" s="246"/>
    </row>
    <row r="26" spans="3:17" hidden="1" x14ac:dyDescent="0.25">
      <c r="C26" s="195">
        <v>45474</v>
      </c>
      <c r="D26" s="194"/>
      <c r="E26" s="194"/>
      <c r="F26" s="194"/>
      <c r="G26" s="194"/>
      <c r="H26" s="194">
        <f t="shared" si="2"/>
        <v>0</v>
      </c>
      <c r="I26" s="357">
        <f t="shared" ca="1" si="3"/>
        <v>0</v>
      </c>
      <c r="J26" s="358">
        <f t="shared" ca="1" si="4"/>
        <v>0</v>
      </c>
      <c r="K26" s="361"/>
      <c r="L26" s="360">
        <f ca="1">J26+J26*SUM(SUM($K$20:K24))</f>
        <v>0</v>
      </c>
      <c r="M26" s="358" t="str">
        <f t="shared" ca="1" si="5"/>
        <v/>
      </c>
    </row>
    <row r="27" spans="3:17" hidden="1" x14ac:dyDescent="0.25">
      <c r="C27" s="195">
        <v>45505</v>
      </c>
      <c r="D27" s="194"/>
      <c r="E27" s="194"/>
      <c r="F27" s="194"/>
      <c r="G27" s="194"/>
      <c r="H27" s="194">
        <f t="shared" si="2"/>
        <v>0</v>
      </c>
      <c r="I27" s="357">
        <f t="shared" ca="1" si="3"/>
        <v>0</v>
      </c>
      <c r="J27" s="358">
        <f t="shared" ca="1" si="4"/>
        <v>0</v>
      </c>
      <c r="K27" s="361"/>
      <c r="L27" s="360">
        <f ca="1">J27+J27*SUM(SUM($K$20:K27))</f>
        <v>0</v>
      </c>
      <c r="M27" s="358" t="str">
        <f t="shared" ca="1" si="5"/>
        <v/>
      </c>
    </row>
    <row r="28" spans="3:17" hidden="1" x14ac:dyDescent="0.25">
      <c r="C28" s="242">
        <v>45536</v>
      </c>
      <c r="D28" s="243"/>
      <c r="E28" s="243"/>
      <c r="F28" s="243"/>
      <c r="G28" s="243"/>
      <c r="H28" s="243">
        <f>SUM(D28:G28)</f>
        <v>0</v>
      </c>
      <c r="I28" s="244">
        <f ca="1">D28*$E$6+E28*$E$7+F28*$E$8+G28*$E$9</f>
        <v>0</v>
      </c>
      <c r="J28" s="59">
        <f ca="1">D28*$L$6+E28*$L$7+F28*$L$8+G28*$L$9</f>
        <v>0</v>
      </c>
      <c r="K28" s="356"/>
      <c r="L28" s="60">
        <f ca="1">J28+J28*SUM(SUM($K$20:K28))</f>
        <v>0</v>
      </c>
      <c r="M28" s="59" t="str">
        <f t="shared" ca="1" si="5"/>
        <v/>
      </c>
      <c r="N28" s="243">
        <v>4</v>
      </c>
      <c r="O28" s="362">
        <v>27</v>
      </c>
      <c r="P28" s="244">
        <v>1237.8111003387833</v>
      </c>
      <c r="Q28" s="59">
        <v>123366617.10669279</v>
      </c>
    </row>
    <row r="29" spans="3:17" hidden="1" x14ac:dyDescent="0.25">
      <c r="C29" s="242">
        <v>45566</v>
      </c>
      <c r="D29" s="243"/>
      <c r="E29" s="243"/>
      <c r="F29" s="243"/>
      <c r="G29" s="243"/>
      <c r="H29" s="243">
        <f>SUM(D29:G29)</f>
        <v>0</v>
      </c>
      <c r="I29" s="244">
        <f ca="1">D29*$E$6+E29*$E$7+F29*$E$8+G29*$E$9</f>
        <v>0</v>
      </c>
      <c r="J29" s="59">
        <f ca="1">D29*$L$6+E29*$L$7+F29*$L$8+G29*$L$9</f>
        <v>0</v>
      </c>
      <c r="K29" s="356"/>
      <c r="L29" s="60">
        <f ca="1">J29+J29*SUM(SUM($K$20:K29))</f>
        <v>0</v>
      </c>
      <c r="M29" s="59" t="str">
        <f t="shared" ca="1" si="5"/>
        <v/>
      </c>
      <c r="N29" s="243">
        <v>3</v>
      </c>
      <c r="O29" s="362">
        <v>24</v>
      </c>
      <c r="P29" s="244">
        <v>1026.3436717673546</v>
      </c>
      <c r="Q29" s="59">
        <v>102911378.47212136</v>
      </c>
    </row>
    <row r="30" spans="3:17" hidden="1" x14ac:dyDescent="0.25">
      <c r="C30" s="242">
        <v>45597</v>
      </c>
      <c r="D30" s="243"/>
      <c r="E30" s="243"/>
      <c r="F30" s="243"/>
      <c r="G30" s="243"/>
      <c r="H30" s="243">
        <f>SUM(D30:G30)</f>
        <v>0</v>
      </c>
      <c r="I30" s="244">
        <f ca="1">D30*$E$6+E30*$E$7+F30*$E$8+G30*$E$9</f>
        <v>0</v>
      </c>
      <c r="J30" s="59">
        <f ca="1">D30*$L$6+E30*$L$7+F30*$L$8+G30*$L$9</f>
        <v>0</v>
      </c>
      <c r="K30" s="356"/>
      <c r="L30" s="60">
        <f ca="1">J30+J30*SUM(SUM($K$20:K30))</f>
        <v>0</v>
      </c>
      <c r="M30" s="59" t="str">
        <f t="shared" ca="1" si="5"/>
        <v/>
      </c>
      <c r="N30" s="243">
        <v>3</v>
      </c>
      <c r="O30" s="362">
        <v>24</v>
      </c>
      <c r="P30" s="244">
        <v>1063.7185261362865</v>
      </c>
      <c r="Q30" s="59">
        <v>106320852.19193932</v>
      </c>
    </row>
    <row r="31" spans="3:17" hidden="1" x14ac:dyDescent="0.25">
      <c r="C31" s="387">
        <v>45627</v>
      </c>
      <c r="D31" s="274">
        <v>0</v>
      </c>
      <c r="E31" s="274">
        <v>3</v>
      </c>
      <c r="F31" s="274">
        <v>1</v>
      </c>
      <c r="G31" s="274">
        <v>0</v>
      </c>
      <c r="H31" s="274">
        <v>4</v>
      </c>
      <c r="I31" s="388">
        <v>171.32</v>
      </c>
      <c r="J31" s="389">
        <v>20774772</v>
      </c>
      <c r="K31" s="519"/>
      <c r="L31" s="390">
        <f>J31+J31*SUM(SUM($K$20:K31))</f>
        <v>20774772</v>
      </c>
      <c r="M31" s="389">
        <f t="shared" si="5"/>
        <v>121262.96988092459</v>
      </c>
      <c r="N31" s="243">
        <v>3</v>
      </c>
      <c r="O31" s="362">
        <v>23</v>
      </c>
      <c r="P31" s="244">
        <v>1035.2163949887454</v>
      </c>
      <c r="Q31" s="59">
        <v>103360983.93423441</v>
      </c>
    </row>
    <row r="32" spans="3:17" x14ac:dyDescent="0.25">
      <c r="C32" s="369" t="s">
        <v>3249</v>
      </c>
      <c r="D32" s="370">
        <f>SUM(D20:D31)</f>
        <v>0</v>
      </c>
      <c r="E32" s="370">
        <f>SUM(E20:E31)</f>
        <v>3</v>
      </c>
      <c r="F32" s="370">
        <f>SUM(F20:F31)</f>
        <v>1</v>
      </c>
      <c r="G32" s="370">
        <f>SUM(G20:G31)</f>
        <v>0</v>
      </c>
      <c r="H32" s="370">
        <f t="shared" ref="H32:L32" si="6">SUM(H20:H31)</f>
        <v>4</v>
      </c>
      <c r="I32" s="371">
        <f t="shared" ca="1" si="6"/>
        <v>171.32</v>
      </c>
      <c r="J32" s="371">
        <f t="shared" ca="1" si="6"/>
        <v>20774772</v>
      </c>
      <c r="K32" s="520">
        <f t="shared" si="6"/>
        <v>0</v>
      </c>
      <c r="L32" s="371">
        <f t="shared" ca="1" si="6"/>
        <v>20774772</v>
      </c>
      <c r="M32" s="371">
        <f ca="1">L32/I32</f>
        <v>121262.96988092459</v>
      </c>
      <c r="N32" s="370">
        <v>21</v>
      </c>
      <c r="O32" s="521">
        <v>98</v>
      </c>
      <c r="P32" s="371">
        <v>4363.0896932311698</v>
      </c>
      <c r="Q32" s="371">
        <v>435959831.70498788</v>
      </c>
    </row>
    <row r="33" spans="3:14" x14ac:dyDescent="0.25">
      <c r="C33" s="131" t="s">
        <v>106</v>
      </c>
      <c r="D33" s="132">
        <f>D32/$G$6</f>
        <v>0</v>
      </c>
      <c r="E33" s="132">
        <f>E32/$G$7</f>
        <v>3.2608695652173912E-2</v>
      </c>
      <c r="F33" s="132">
        <f>F32/$G$8</f>
        <v>7.8125E-3</v>
      </c>
      <c r="G33" s="132">
        <f>G32/$G$9</f>
        <v>0</v>
      </c>
      <c r="H33" s="133">
        <f>H32/$G$10</f>
        <v>1.3888888888888888E-2</v>
      </c>
      <c r="J33" s="66"/>
      <c r="K33" s="515"/>
      <c r="M33" s="65"/>
    </row>
    <row r="35" spans="3:14" ht="24" x14ac:dyDescent="0.25">
      <c r="C35" s="102" t="s">
        <v>0</v>
      </c>
      <c r="D35" s="103" t="s">
        <v>4</v>
      </c>
      <c r="E35" s="104" t="s">
        <v>22</v>
      </c>
      <c r="F35" s="104" t="s">
        <v>23</v>
      </c>
      <c r="G35" s="104" t="s">
        <v>24</v>
      </c>
      <c r="H35" s="105" t="s">
        <v>59</v>
      </c>
      <c r="I35" s="106" t="s">
        <v>51</v>
      </c>
      <c r="J35" s="107" t="s">
        <v>33</v>
      </c>
      <c r="K35" s="107" t="s">
        <v>108</v>
      </c>
      <c r="L35" s="107" t="s">
        <v>107</v>
      </c>
      <c r="M35" s="108" t="s">
        <v>17</v>
      </c>
      <c r="N35" s="30"/>
    </row>
    <row r="36" spans="3:14" x14ac:dyDescent="0.25">
      <c r="C36" s="387">
        <v>45658</v>
      </c>
      <c r="D36" s="274">
        <v>1</v>
      </c>
      <c r="E36" s="274">
        <v>3</v>
      </c>
      <c r="F36" s="274">
        <v>0</v>
      </c>
      <c r="G36" s="274">
        <v>0</v>
      </c>
      <c r="H36" s="274">
        <v>4</v>
      </c>
      <c r="I36" s="388">
        <v>139.82</v>
      </c>
      <c r="J36" s="389">
        <v>17953004</v>
      </c>
      <c r="K36" s="619"/>
      <c r="L36" s="390">
        <f>J36+J36*SUM($K$32+SUM($K$36:K36))</f>
        <v>17953004</v>
      </c>
      <c r="M36" s="389">
        <f>IFERROR(L36/I36,"")</f>
        <v>128400.82963810614</v>
      </c>
      <c r="N36" s="30"/>
    </row>
    <row r="37" spans="3:14" x14ac:dyDescent="0.25">
      <c r="C37" s="387">
        <v>45689</v>
      </c>
      <c r="D37" s="274">
        <v>1</v>
      </c>
      <c r="E37" s="274">
        <v>13</v>
      </c>
      <c r="F37" s="274">
        <v>5</v>
      </c>
      <c r="G37" s="274">
        <v>0</v>
      </c>
      <c r="H37" s="274">
        <v>19</v>
      </c>
      <c r="I37" s="388">
        <v>818.7700000000001</v>
      </c>
      <c r="J37" s="389">
        <v>100818363</v>
      </c>
      <c r="K37" s="619"/>
      <c r="L37" s="390">
        <f>J37+J37*SUM($K$32+SUM($K$36:K37))</f>
        <v>100818363</v>
      </c>
      <c r="M37" s="389">
        <f t="shared" ref="M37:M48" si="7">IFERROR(L37/I37,"")</f>
        <v>123133.92405681692</v>
      </c>
      <c r="N37" s="30"/>
    </row>
    <row r="38" spans="3:14" x14ac:dyDescent="0.25">
      <c r="C38" s="387">
        <v>45717</v>
      </c>
      <c r="D38" s="274">
        <v>1</v>
      </c>
      <c r="E38" s="274">
        <v>13</v>
      </c>
      <c r="F38" s="274">
        <v>9</v>
      </c>
      <c r="G38" s="274">
        <v>0</v>
      </c>
      <c r="H38" s="274">
        <v>23</v>
      </c>
      <c r="I38" s="388">
        <v>1051.22</v>
      </c>
      <c r="J38" s="389">
        <v>131179738</v>
      </c>
      <c r="K38" s="619"/>
      <c r="L38" s="390">
        <f>J38+J38*SUM($K$32+SUM($K$36:K38))</f>
        <v>131179738</v>
      </c>
      <c r="M38" s="389">
        <f t="shared" si="7"/>
        <v>124788.09193127984</v>
      </c>
      <c r="N38" s="30"/>
    </row>
    <row r="39" spans="3:14" x14ac:dyDescent="0.25">
      <c r="C39" s="387">
        <v>45748</v>
      </c>
      <c r="D39" s="274">
        <v>0</v>
      </c>
      <c r="E39" s="274">
        <v>6</v>
      </c>
      <c r="F39" s="274">
        <v>0</v>
      </c>
      <c r="G39" s="274">
        <v>1</v>
      </c>
      <c r="H39" s="274">
        <v>7</v>
      </c>
      <c r="I39" s="388">
        <v>313.13</v>
      </c>
      <c r="J39" s="389">
        <v>38731671</v>
      </c>
      <c r="K39" s="619"/>
      <c r="L39" s="390">
        <f>J39+J39*SUM($K$32+SUM($K$36:K39))</f>
        <v>38731671</v>
      </c>
      <c r="M39" s="389">
        <f t="shared" si="7"/>
        <v>123691.98415993358</v>
      </c>
      <c r="N39" s="30"/>
    </row>
    <row r="40" spans="3:14" x14ac:dyDescent="0.25">
      <c r="C40" s="387">
        <v>45778</v>
      </c>
      <c r="D40" s="274">
        <v>0</v>
      </c>
      <c r="E40" s="274">
        <v>3</v>
      </c>
      <c r="F40" s="274">
        <v>2</v>
      </c>
      <c r="G40" s="274">
        <v>0</v>
      </c>
      <c r="H40" s="274">
        <v>5</v>
      </c>
      <c r="I40" s="388">
        <v>249.45</v>
      </c>
      <c r="J40" s="389">
        <v>30207764</v>
      </c>
      <c r="K40" s="619"/>
      <c r="L40" s="390">
        <f>J40+J40*SUM($K$32+SUM($K$36:K40))</f>
        <v>30207764</v>
      </c>
      <c r="M40" s="389">
        <f t="shared" si="7"/>
        <v>121097.47043495691</v>
      </c>
      <c r="N40" s="30"/>
    </row>
    <row r="41" spans="3:14" x14ac:dyDescent="0.25">
      <c r="C41" s="387">
        <v>45809</v>
      </c>
      <c r="D41" s="274">
        <v>0</v>
      </c>
      <c r="E41" s="274">
        <v>2</v>
      </c>
      <c r="F41" s="274">
        <v>2</v>
      </c>
      <c r="G41" s="274">
        <v>0</v>
      </c>
      <c r="H41" s="274">
        <v>4</v>
      </c>
      <c r="I41" s="388">
        <v>195.35999999999999</v>
      </c>
      <c r="J41" s="389">
        <v>23624076</v>
      </c>
      <c r="K41" s="619"/>
      <c r="L41" s="390">
        <f>J41+J41*SUM($K$32+SUM($K$36:K41))</f>
        <v>23624076</v>
      </c>
      <c r="M41" s="389">
        <f t="shared" si="7"/>
        <v>120925.85995085996</v>
      </c>
      <c r="N41" s="30"/>
    </row>
    <row r="42" spans="3:14" x14ac:dyDescent="0.25">
      <c r="C42" s="387">
        <v>45839</v>
      </c>
      <c r="D42" s="274">
        <v>0</v>
      </c>
      <c r="E42" s="274">
        <v>5</v>
      </c>
      <c r="F42" s="274">
        <v>1</v>
      </c>
      <c r="G42" s="274">
        <v>0</v>
      </c>
      <c r="H42" s="274">
        <v>6</v>
      </c>
      <c r="I42" s="388">
        <v>254.42000000000002</v>
      </c>
      <c r="J42" s="389">
        <v>31642630</v>
      </c>
      <c r="K42" s="619"/>
      <c r="L42" s="390">
        <f>J42+J42*SUM($K$32+SUM($K$36:K42))</f>
        <v>31642630</v>
      </c>
      <c r="M42" s="389">
        <f t="shared" si="7"/>
        <v>124371.62958886879</v>
      </c>
      <c r="N42" s="30"/>
    </row>
    <row r="43" spans="3:14" x14ac:dyDescent="0.25">
      <c r="C43" s="195">
        <v>45870</v>
      </c>
      <c r="D43" s="194"/>
      <c r="E43" s="194">
        <v>4</v>
      </c>
      <c r="F43" s="194">
        <v>8</v>
      </c>
      <c r="G43" s="194"/>
      <c r="H43" s="194">
        <f t="shared" ref="H43:H47" si="8">SUM(D43:G43)</f>
        <v>12</v>
      </c>
      <c r="I43" s="69">
        <f t="shared" ref="I43:I47" ca="1" si="9">D43*$E$6+E43*$E$7+F43*$E$8+G43*$E$9</f>
        <v>629.36175084174988</v>
      </c>
      <c r="J43" s="58">
        <f t="shared" ref="J43:J47" ca="1" si="10">D43*$L$6+E43*$L$7+F43*$L$8+G43*$L$9</f>
        <v>78502723.58922559</v>
      </c>
      <c r="K43" s="517"/>
      <c r="L43" s="50">
        <f ca="1">J43+J43*SUM($K$32+SUM($K$36:K43))</f>
        <v>78502723.58922559</v>
      </c>
      <c r="M43" s="58">
        <f t="shared" ca="1" si="7"/>
        <v>124733.86487855494</v>
      </c>
      <c r="N43" s="30"/>
    </row>
    <row r="44" spans="3:14" x14ac:dyDescent="0.25">
      <c r="C44" s="136">
        <v>45901</v>
      </c>
      <c r="D44" s="148">
        <v>2</v>
      </c>
      <c r="E44" s="148">
        <v>5</v>
      </c>
      <c r="F44" s="148">
        <v>7</v>
      </c>
      <c r="G44" s="148"/>
      <c r="H44" s="39">
        <f t="shared" si="8"/>
        <v>14</v>
      </c>
      <c r="I44" s="69">
        <f t="shared" ca="1" si="9"/>
        <v>669.72306019969733</v>
      </c>
      <c r="J44" s="58">
        <f t="shared" ca="1" si="10"/>
        <v>84923327.570823178</v>
      </c>
      <c r="K44" s="517"/>
      <c r="L44" s="50">
        <f ca="1">J44+J44*SUM($K$32+SUM($K$36:K44))</f>
        <v>84923327.570823178</v>
      </c>
      <c r="M44" s="58">
        <f t="shared" ca="1" si="7"/>
        <v>126803.64857901238</v>
      </c>
      <c r="N44" s="30"/>
    </row>
    <row r="45" spans="3:14" x14ac:dyDescent="0.25">
      <c r="C45" s="136">
        <v>45931</v>
      </c>
      <c r="D45" s="148">
        <v>3</v>
      </c>
      <c r="E45" s="148">
        <v>5</v>
      </c>
      <c r="F45" s="148">
        <v>7</v>
      </c>
      <c r="G45" s="148">
        <v>1</v>
      </c>
      <c r="H45" s="39">
        <f t="shared" si="8"/>
        <v>16</v>
      </c>
      <c r="I45" s="69">
        <f t="shared" ca="1" si="9"/>
        <v>777.12030157900767</v>
      </c>
      <c r="J45" s="58">
        <f t="shared" ca="1" si="10"/>
        <v>97832653.001857668</v>
      </c>
      <c r="K45" s="517">
        <v>0.01</v>
      </c>
      <c r="L45" s="50">
        <f ca="1">J45+J45*SUM($K$32+SUM($K$36:K45))</f>
        <v>98810979.531876251</v>
      </c>
      <c r="M45" s="58">
        <f t="shared" ca="1" si="7"/>
        <v>127150.17138415397</v>
      </c>
      <c r="N45" s="30"/>
    </row>
    <row r="46" spans="3:14" x14ac:dyDescent="0.25">
      <c r="C46" s="136">
        <v>45962</v>
      </c>
      <c r="D46" s="148">
        <v>4</v>
      </c>
      <c r="E46" s="148">
        <v>5</v>
      </c>
      <c r="F46" s="148">
        <v>5</v>
      </c>
      <c r="G46" s="148">
        <v>1</v>
      </c>
      <c r="H46" s="39">
        <f t="shared" si="8"/>
        <v>15</v>
      </c>
      <c r="I46" s="69">
        <f t="shared" ca="1" si="9"/>
        <v>689.38846888424416</v>
      </c>
      <c r="J46" s="58">
        <f t="shared" ca="1" si="10"/>
        <v>87642739.081040293</v>
      </c>
      <c r="K46" s="61"/>
      <c r="L46" s="50">
        <f ca="1">J46+J46*SUM($K$32+SUM($K$36:K46))</f>
        <v>88519166.471850693</v>
      </c>
      <c r="M46" s="58">
        <f t="shared" ca="1" si="7"/>
        <v>128402.44719369397</v>
      </c>
      <c r="N46" s="30"/>
    </row>
    <row r="47" spans="3:14" x14ac:dyDescent="0.25">
      <c r="C47" s="195">
        <v>45992</v>
      </c>
      <c r="D47" s="194">
        <v>4</v>
      </c>
      <c r="E47" s="194">
        <v>7</v>
      </c>
      <c r="F47" s="194">
        <v>4</v>
      </c>
      <c r="G47" s="194">
        <v>1</v>
      </c>
      <c r="H47" s="194">
        <f t="shared" si="8"/>
        <v>16</v>
      </c>
      <c r="I47" s="69">
        <f t="shared" ca="1" si="9"/>
        <v>711.6466591199345</v>
      </c>
      <c r="J47" s="58">
        <f t="shared" ca="1" si="10"/>
        <v>91020346.246023461</v>
      </c>
      <c r="K47" s="61">
        <v>0.01</v>
      </c>
      <c r="L47" s="50">
        <f ca="1">J47+J47*SUM($K$32+SUM($K$36:K47))</f>
        <v>92840753.170943931</v>
      </c>
      <c r="M47" s="58">
        <f t="shared" ca="1" si="7"/>
        <v>130459.0585526762</v>
      </c>
      <c r="N47" s="30"/>
    </row>
    <row r="48" spans="3:14" x14ac:dyDescent="0.25">
      <c r="C48" s="336" t="s">
        <v>4561</v>
      </c>
      <c r="D48" s="337">
        <f t="shared" ref="D48:L48" si="11">SUM(D36:D47)</f>
        <v>16</v>
      </c>
      <c r="E48" s="337">
        <f t="shared" si="11"/>
        <v>71</v>
      </c>
      <c r="F48" s="337">
        <f t="shared" si="11"/>
        <v>50</v>
      </c>
      <c r="G48" s="337">
        <f t="shared" si="11"/>
        <v>4</v>
      </c>
      <c r="H48" s="337">
        <f t="shared" si="11"/>
        <v>141</v>
      </c>
      <c r="I48" s="338">
        <f t="shared" ca="1" si="11"/>
        <v>6499.4102406246338</v>
      </c>
      <c r="J48" s="338">
        <f t="shared" ca="1" si="11"/>
        <v>814079035.48897004</v>
      </c>
      <c r="K48" s="518">
        <f t="shared" si="11"/>
        <v>0.02</v>
      </c>
      <c r="L48" s="340">
        <f t="shared" ca="1" si="11"/>
        <v>817754196.33471966</v>
      </c>
      <c r="M48" s="338">
        <f t="shared" ca="1" si="7"/>
        <v>125819.75380217396</v>
      </c>
      <c r="N48" s="30"/>
    </row>
    <row r="49" spans="3:13" x14ac:dyDescent="0.25">
      <c r="C49" s="131" t="s">
        <v>106</v>
      </c>
      <c r="D49" s="132">
        <f>D48/$G$6</f>
        <v>0.26666666666666666</v>
      </c>
      <c r="E49" s="132">
        <f>E48/$G$7</f>
        <v>0.77173913043478259</v>
      </c>
      <c r="F49" s="132">
        <f>F48/$G$8</f>
        <v>0.390625</v>
      </c>
      <c r="G49" s="132">
        <f>G48/$G$9</f>
        <v>0.5</v>
      </c>
      <c r="H49" s="133">
        <f>H48/$G$10</f>
        <v>0.48958333333333331</v>
      </c>
      <c r="J49" s="66"/>
      <c r="K49" s="515"/>
      <c r="M49" s="65"/>
    </row>
    <row r="51" spans="3:13" ht="24" x14ac:dyDescent="0.25">
      <c r="C51" s="102" t="s">
        <v>0</v>
      </c>
      <c r="D51" s="103" t="s">
        <v>4</v>
      </c>
      <c r="E51" s="104" t="s">
        <v>22</v>
      </c>
      <c r="F51" s="104" t="s">
        <v>23</v>
      </c>
      <c r="G51" s="104" t="s">
        <v>24</v>
      </c>
      <c r="H51" s="105" t="s">
        <v>59</v>
      </c>
      <c r="I51" s="106" t="s">
        <v>51</v>
      </c>
      <c r="J51" s="107" t="s">
        <v>33</v>
      </c>
      <c r="K51" s="107" t="s">
        <v>108</v>
      </c>
      <c r="L51" s="107" t="s">
        <v>107</v>
      </c>
      <c r="M51" s="108" t="s">
        <v>17</v>
      </c>
    </row>
    <row r="52" spans="3:13" x14ac:dyDescent="0.25">
      <c r="C52" s="195">
        <v>46023</v>
      </c>
      <c r="D52" s="194">
        <v>2</v>
      </c>
      <c r="E52" s="194">
        <v>1</v>
      </c>
      <c r="F52" s="194">
        <v>5</v>
      </c>
      <c r="G52" s="194"/>
      <c r="H52" s="194">
        <f t="shared" ref="H52:H63" si="12">SUM(D52:G52)</f>
        <v>8</v>
      </c>
      <c r="I52" s="69">
        <f t="shared" ref="I52:I55" ca="1" si="13">D52*$E$6+E52*$E$7+F52*$E$8+G52*$E$9</f>
        <v>391.268531580169</v>
      </c>
      <c r="J52" s="58">
        <f t="shared" ref="J52:J63" ca="1" si="14">D52*$L$6+E52*$L$7+F52*$L$8+G52*$L$9</f>
        <v>49469109.537153147</v>
      </c>
      <c r="K52" s="517"/>
      <c r="L52" s="50">
        <f ca="1">J52+J52*SUM($K$32+$K$48+SUM($K$52:K52))</f>
        <v>50458491.727896214</v>
      </c>
      <c r="M52" s="58">
        <f ca="1">IFERROR(L52/I52,"")</f>
        <v>128961.28273877685</v>
      </c>
    </row>
    <row r="53" spans="3:13" x14ac:dyDescent="0.25">
      <c r="C53" s="195">
        <v>46054</v>
      </c>
      <c r="D53" s="194">
        <v>2</v>
      </c>
      <c r="E53" s="194">
        <v>1</v>
      </c>
      <c r="F53" s="194">
        <v>5</v>
      </c>
      <c r="G53" s="194"/>
      <c r="H53" s="194">
        <f t="shared" si="12"/>
        <v>8</v>
      </c>
      <c r="I53" s="69">
        <f t="shared" ca="1" si="13"/>
        <v>391.268531580169</v>
      </c>
      <c r="J53" s="58">
        <f t="shared" ca="1" si="14"/>
        <v>49469109.537153147</v>
      </c>
      <c r="K53" s="517">
        <v>0.01</v>
      </c>
      <c r="L53" s="50">
        <f ca="1">J53+J53*SUM($K$32+$K$48+SUM($K$52:K53))</f>
        <v>50953182.823267743</v>
      </c>
      <c r="M53" s="58">
        <f t="shared" ref="M53:M64" ca="1" si="15">IFERROR(L53/I53,"")</f>
        <v>130225.60904013741</v>
      </c>
    </row>
    <row r="54" spans="3:13" x14ac:dyDescent="0.25">
      <c r="C54" s="136">
        <v>46082</v>
      </c>
      <c r="D54" s="148">
        <v>2</v>
      </c>
      <c r="E54" s="148">
        <v>1</v>
      </c>
      <c r="F54" s="148">
        <v>5</v>
      </c>
      <c r="G54" s="148"/>
      <c r="H54" s="39">
        <f t="shared" si="12"/>
        <v>8</v>
      </c>
      <c r="I54" s="69">
        <f t="shared" ca="1" si="13"/>
        <v>391.268531580169</v>
      </c>
      <c r="J54" s="58">
        <f t="shared" ca="1" si="14"/>
        <v>49469109.537153147</v>
      </c>
      <c r="K54" s="517"/>
      <c r="L54" s="50">
        <f ca="1">J54+J54*SUM($K$32+$K$48+SUM($K$52:K54))</f>
        <v>50953182.823267743</v>
      </c>
      <c r="M54" s="58">
        <f t="shared" ca="1" si="15"/>
        <v>130225.60904013741</v>
      </c>
    </row>
    <row r="55" spans="3:13" x14ac:dyDescent="0.25">
      <c r="C55" s="136">
        <v>46113</v>
      </c>
      <c r="D55" s="148">
        <v>2</v>
      </c>
      <c r="E55" s="148">
        <v>1</v>
      </c>
      <c r="F55" s="148">
        <v>5</v>
      </c>
      <c r="G55" s="148"/>
      <c r="H55" s="39">
        <f t="shared" si="12"/>
        <v>8</v>
      </c>
      <c r="I55" s="69">
        <f t="shared" ca="1" si="13"/>
        <v>391.268531580169</v>
      </c>
      <c r="J55" s="58">
        <f t="shared" ca="1" si="14"/>
        <v>49469109.537153147</v>
      </c>
      <c r="K55" s="517">
        <v>0.01</v>
      </c>
      <c r="L55" s="50">
        <f ca="1">J55+J55*SUM($K$32+$K$48+SUM($K$52:K55))</f>
        <v>51447873.918639272</v>
      </c>
      <c r="M55" s="58">
        <f t="shared" ca="1" si="15"/>
        <v>131489.93534149797</v>
      </c>
    </row>
    <row r="56" spans="3:13" x14ac:dyDescent="0.25">
      <c r="C56" s="136">
        <v>46143</v>
      </c>
      <c r="D56" s="148">
        <v>2</v>
      </c>
      <c r="E56" s="148">
        <v>1</v>
      </c>
      <c r="F56" s="148">
        <v>5</v>
      </c>
      <c r="G56" s="148"/>
      <c r="H56" s="39">
        <f t="shared" si="12"/>
        <v>8</v>
      </c>
      <c r="I56" s="69">
        <f ca="1">D56*$E$6+E56*$E$7+F56*$E$8+G56*$E$9</f>
        <v>391.268531580169</v>
      </c>
      <c r="J56" s="58">
        <f t="shared" ca="1" si="14"/>
        <v>49469109.537153147</v>
      </c>
      <c r="K56" s="517"/>
      <c r="L56" s="50">
        <f ca="1">J56+J56*SUM($K$32+$K$48+SUM($K$52:K56))</f>
        <v>51447873.918639272</v>
      </c>
      <c r="M56" s="58">
        <f t="shared" ca="1" si="15"/>
        <v>131489.93534149797</v>
      </c>
    </row>
    <row r="57" spans="3:13" x14ac:dyDescent="0.25">
      <c r="C57" s="195">
        <v>46174</v>
      </c>
      <c r="D57" s="194">
        <v>2</v>
      </c>
      <c r="E57" s="194"/>
      <c r="F57" s="194">
        <v>5</v>
      </c>
      <c r="G57" s="194"/>
      <c r="H57" s="194">
        <f t="shared" si="12"/>
        <v>7</v>
      </c>
      <c r="I57" s="69">
        <f t="shared" ref="I57:I63" ca="1" si="16">D57*$E$6+E57*$E$7+F57*$E$8+G57*$E$9</f>
        <v>350.89716794380541</v>
      </c>
      <c r="J57" s="58">
        <f t="shared" ca="1" si="14"/>
        <v>44192930.4916986</v>
      </c>
      <c r="K57" s="517">
        <v>0.01</v>
      </c>
      <c r="L57" s="50">
        <f ca="1">J57+J57*SUM($K$32+$K$48+SUM($K$52:K57))</f>
        <v>46402577.016283527</v>
      </c>
      <c r="M57" s="58">
        <f t="shared" ca="1" si="15"/>
        <v>132239.81626353477</v>
      </c>
    </row>
    <row r="58" spans="3:13" x14ac:dyDescent="0.25">
      <c r="C58" s="195">
        <v>46204</v>
      </c>
      <c r="D58" s="194">
        <v>2</v>
      </c>
      <c r="E58" s="194">
        <v>1</v>
      </c>
      <c r="F58" s="194">
        <v>5</v>
      </c>
      <c r="G58" s="194"/>
      <c r="H58" s="194">
        <f t="shared" si="12"/>
        <v>8</v>
      </c>
      <c r="I58" s="69">
        <f t="shared" ca="1" si="16"/>
        <v>391.268531580169</v>
      </c>
      <c r="J58" s="58">
        <f t="shared" ca="1" si="14"/>
        <v>49469109.537153147</v>
      </c>
      <c r="K58" s="517"/>
      <c r="L58" s="50">
        <f ca="1">J58+J58*SUM($K$32+$K$48+SUM($K$52:K58))</f>
        <v>51942565.014010802</v>
      </c>
      <c r="M58" s="58">
        <f t="shared" ca="1" si="15"/>
        <v>132754.2616428585</v>
      </c>
    </row>
    <row r="59" spans="3:13" x14ac:dyDescent="0.25">
      <c r="C59" s="195">
        <v>46235</v>
      </c>
      <c r="D59" s="194">
        <v>2</v>
      </c>
      <c r="E59" s="194">
        <v>1</v>
      </c>
      <c r="F59" s="194">
        <v>5</v>
      </c>
      <c r="G59" s="194"/>
      <c r="H59" s="194">
        <f t="shared" si="12"/>
        <v>8</v>
      </c>
      <c r="I59" s="69">
        <f t="shared" ca="1" si="16"/>
        <v>391.268531580169</v>
      </c>
      <c r="J59" s="58">
        <f t="shared" ca="1" si="14"/>
        <v>49469109.537153147</v>
      </c>
      <c r="K59" s="517">
        <v>0.01</v>
      </c>
      <c r="L59" s="50">
        <f ca="1">J59+J59*SUM($K$32+$K$48+SUM($K$52:K59))</f>
        <v>52437256.109382339</v>
      </c>
      <c r="M59" s="58">
        <f t="shared" ca="1" si="15"/>
        <v>134018.58794421909</v>
      </c>
    </row>
    <row r="60" spans="3:13" x14ac:dyDescent="0.25">
      <c r="C60" s="136">
        <v>46266</v>
      </c>
      <c r="D60" s="148">
        <v>2</v>
      </c>
      <c r="E60" s="148">
        <v>2</v>
      </c>
      <c r="F60" s="148">
        <v>4</v>
      </c>
      <c r="G60" s="148"/>
      <c r="H60" s="39">
        <f t="shared" si="12"/>
        <v>8</v>
      </c>
      <c r="I60" s="69">
        <f t="shared" ca="1" si="16"/>
        <v>373.15535817949569</v>
      </c>
      <c r="J60" s="58">
        <f t="shared" ca="1" si="14"/>
        <v>47570537.656681761</v>
      </c>
      <c r="K60" s="517"/>
      <c r="L60" s="50">
        <f ca="1">J60+J60*SUM($K$32+$K$48+SUM($K$52:K60))</f>
        <v>50424769.916082665</v>
      </c>
      <c r="M60" s="58">
        <f t="shared" ca="1" si="15"/>
        <v>135130.76741571879</v>
      </c>
    </row>
    <row r="61" spans="3:13" x14ac:dyDescent="0.25">
      <c r="C61" s="136">
        <v>46296</v>
      </c>
      <c r="D61" s="148">
        <v>2</v>
      </c>
      <c r="E61" s="148">
        <v>2</v>
      </c>
      <c r="F61" s="148">
        <v>4</v>
      </c>
      <c r="G61" s="148"/>
      <c r="H61" s="39">
        <f t="shared" si="12"/>
        <v>8</v>
      </c>
      <c r="I61" s="69">
        <f t="shared" ca="1" si="16"/>
        <v>373.15535817949569</v>
      </c>
      <c r="J61" s="58">
        <f t="shared" ca="1" si="14"/>
        <v>47570537.656681761</v>
      </c>
      <c r="K61" s="517">
        <v>0.01</v>
      </c>
      <c r="L61" s="50">
        <f ca="1">J61+J61*SUM($K$32+$K$48+SUM($K$52:K61))</f>
        <v>50900475.292649485</v>
      </c>
      <c r="M61" s="58">
        <f t="shared" ca="1" si="15"/>
        <v>136405.58597624445</v>
      </c>
    </row>
    <row r="62" spans="3:13" x14ac:dyDescent="0.25">
      <c r="C62" s="136">
        <v>46327</v>
      </c>
      <c r="D62" s="148">
        <v>2</v>
      </c>
      <c r="E62" s="148">
        <v>2</v>
      </c>
      <c r="F62" s="148">
        <v>4</v>
      </c>
      <c r="G62" s="148"/>
      <c r="H62" s="39">
        <f t="shared" si="12"/>
        <v>8</v>
      </c>
      <c r="I62" s="69">
        <f t="shared" ca="1" si="16"/>
        <v>373.15535817949569</v>
      </c>
      <c r="J62" s="58">
        <f t="shared" ca="1" si="14"/>
        <v>47570537.656681761</v>
      </c>
      <c r="K62" s="61"/>
      <c r="L62" s="50">
        <f ca="1">J62+J62*SUM($K$32+$K$48+SUM($K$52:K62))</f>
        <v>50900475.292649485</v>
      </c>
      <c r="M62" s="58">
        <f t="shared" ca="1" si="15"/>
        <v>136405.58597624445</v>
      </c>
    </row>
    <row r="63" spans="3:13" x14ac:dyDescent="0.25">
      <c r="C63" s="195">
        <v>46357</v>
      </c>
      <c r="D63" s="194">
        <v>2</v>
      </c>
      <c r="E63" s="194">
        <v>1</v>
      </c>
      <c r="F63" s="194">
        <v>4</v>
      </c>
      <c r="G63" s="194"/>
      <c r="H63" s="194">
        <f t="shared" si="12"/>
        <v>7</v>
      </c>
      <c r="I63" s="69">
        <f t="shared" ca="1" si="16"/>
        <v>332.78399454313205</v>
      </c>
      <c r="J63" s="58">
        <f t="shared" ca="1" si="14"/>
        <v>42294358.611227214</v>
      </c>
      <c r="K63" s="61">
        <v>0.01</v>
      </c>
      <c r="L63" s="50">
        <f ca="1">J63+J63*SUM($K$32+$K$48+SUM($K$52:K63))</f>
        <v>45677907.30012539</v>
      </c>
      <c r="M63" s="58">
        <f t="shared" ca="1" si="15"/>
        <v>137259.92850958789</v>
      </c>
    </row>
    <row r="64" spans="3:13" x14ac:dyDescent="0.25">
      <c r="C64" s="36" t="s">
        <v>4890</v>
      </c>
      <c r="D64" s="64">
        <f t="shared" ref="D64:L64" si="17">SUM(D52:D63)</f>
        <v>24</v>
      </c>
      <c r="E64" s="64">
        <f t="shared" si="17"/>
        <v>14</v>
      </c>
      <c r="F64" s="64">
        <f t="shared" si="17"/>
        <v>56</v>
      </c>
      <c r="G64" s="64">
        <f t="shared" si="17"/>
        <v>0</v>
      </c>
      <c r="H64" s="64">
        <f t="shared" si="17"/>
        <v>94</v>
      </c>
      <c r="I64" s="48">
        <f t="shared" ca="1" si="17"/>
        <v>4542.0269580866079</v>
      </c>
      <c r="J64" s="48">
        <f t="shared" ca="1" si="17"/>
        <v>575482668.8330431</v>
      </c>
      <c r="K64" s="518">
        <f t="shared" si="17"/>
        <v>6.0000000000000005E-2</v>
      </c>
      <c r="L64" s="49">
        <f t="shared" ca="1" si="17"/>
        <v>603946631.1528939</v>
      </c>
      <c r="M64" s="48">
        <f t="shared" ca="1" si="15"/>
        <v>132968.52632669421</v>
      </c>
    </row>
    <row r="65" spans="3:13" x14ac:dyDescent="0.25">
      <c r="C65" s="131" t="s">
        <v>106</v>
      </c>
      <c r="D65" s="132">
        <f>D64/$G$6</f>
        <v>0.4</v>
      </c>
      <c r="E65" s="132">
        <f>E64/$G$7</f>
        <v>0.15217391304347827</v>
      </c>
      <c r="F65" s="132">
        <f>F64/$G$8</f>
        <v>0.4375</v>
      </c>
      <c r="G65" s="132">
        <f>G64/$G$9</f>
        <v>0</v>
      </c>
      <c r="H65" s="133">
        <f>H64/$G$10</f>
        <v>0.3263888888888889</v>
      </c>
      <c r="J65" s="66"/>
      <c r="K65" s="515"/>
      <c r="M65" s="65"/>
    </row>
    <row r="67" spans="3:13" ht="24" x14ac:dyDescent="0.25">
      <c r="C67" s="102" t="s">
        <v>0</v>
      </c>
      <c r="D67" s="103" t="s">
        <v>4</v>
      </c>
      <c r="E67" s="104" t="s">
        <v>22</v>
      </c>
      <c r="F67" s="104" t="s">
        <v>23</v>
      </c>
      <c r="G67" s="104" t="s">
        <v>24</v>
      </c>
      <c r="H67" s="105" t="s">
        <v>59</v>
      </c>
      <c r="I67" s="106" t="s">
        <v>51</v>
      </c>
      <c r="J67" s="107" t="s">
        <v>33</v>
      </c>
      <c r="K67" s="107" t="s">
        <v>108</v>
      </c>
      <c r="L67" s="107" t="s">
        <v>107</v>
      </c>
      <c r="M67" s="108" t="s">
        <v>17</v>
      </c>
    </row>
    <row r="68" spans="3:13" x14ac:dyDescent="0.25">
      <c r="C68" s="195">
        <v>46388</v>
      </c>
      <c r="D68" s="194">
        <v>1</v>
      </c>
      <c r="E68" s="194"/>
      <c r="F68" s="194">
        <v>1</v>
      </c>
      <c r="G68" s="194"/>
      <c r="H68" s="194">
        <f t="shared" ref="H68:H79" si="18">SUM(D68:G68)</f>
        <v>2</v>
      </c>
      <c r="I68" s="69">
        <f t="shared" ref="I68:I71" ca="1" si="19">D68*$E$6+E68*$E$7+F68*$E$8+G68*$E$9</f>
        <v>87.721778416347291</v>
      </c>
      <c r="J68" s="58">
        <f t="shared" ref="J68:J79" ca="1" si="20">D68*$L$6+E68*$L$7+F68*$L$8+G68*$L$9</f>
        <v>11334338.856960408</v>
      </c>
      <c r="K68" s="517"/>
      <c r="L68" s="50">
        <f ca="1">J68+J68*SUM($K$32+$K$48+$K$64+SUM($K$68:K68))</f>
        <v>12241085.965517242</v>
      </c>
      <c r="M68" s="58">
        <f ca="1">IFERROR(L68/I68,"")</f>
        <v>139544.43453503979</v>
      </c>
    </row>
    <row r="69" spans="3:13" x14ac:dyDescent="0.25">
      <c r="C69" s="195">
        <v>46419</v>
      </c>
      <c r="D69" s="194">
        <v>1</v>
      </c>
      <c r="E69" s="194"/>
      <c r="F69" s="194">
        <v>2</v>
      </c>
      <c r="G69" s="194"/>
      <c r="H69" s="194">
        <f t="shared" si="18"/>
        <v>3</v>
      </c>
      <c r="I69" s="69">
        <f t="shared" ca="1" si="19"/>
        <v>146.20631545338424</v>
      </c>
      <c r="J69" s="58">
        <f t="shared" ca="1" si="20"/>
        <v>18509089.782886334</v>
      </c>
      <c r="K69" s="517">
        <v>0.01</v>
      </c>
      <c r="L69" s="50">
        <f ca="1">J69+J69*SUM($K$32+$K$48+$K$64+SUM($K$68:K69))</f>
        <v>20174907.863346104</v>
      </c>
      <c r="M69" s="58">
        <f t="shared" ref="M69:M80" ca="1" si="21">IFERROR(L69/I69,"")</f>
        <v>137989.30505008576</v>
      </c>
    </row>
    <row r="70" spans="3:13" x14ac:dyDescent="0.25">
      <c r="C70" s="136">
        <v>46447</v>
      </c>
      <c r="D70" s="148">
        <v>1</v>
      </c>
      <c r="E70" s="148"/>
      <c r="F70" s="148">
        <v>2</v>
      </c>
      <c r="G70" s="148">
        <v>1</v>
      </c>
      <c r="H70" s="39">
        <f t="shared" si="18"/>
        <v>4</v>
      </c>
      <c r="I70" s="69">
        <f t="shared" ca="1" si="19"/>
        <v>224.36631545338423</v>
      </c>
      <c r="J70" s="58">
        <f t="shared" ca="1" si="20"/>
        <v>27258827.282886334</v>
      </c>
      <c r="K70" s="517"/>
      <c r="L70" s="50">
        <f ca="1">J70+J70*SUM($K$32+$K$48+$K$64+SUM($K$68:K70))</f>
        <v>29712121.738346104</v>
      </c>
      <c r="M70" s="58">
        <f t="shared" ca="1" si="21"/>
        <v>132426.83812989425</v>
      </c>
    </row>
    <row r="71" spans="3:13" x14ac:dyDescent="0.25">
      <c r="C71" s="136">
        <v>46478</v>
      </c>
      <c r="D71" s="148">
        <v>2</v>
      </c>
      <c r="E71" s="148">
        <v>1</v>
      </c>
      <c r="F71" s="148">
        <v>2</v>
      </c>
      <c r="G71" s="148"/>
      <c r="H71" s="39">
        <f t="shared" si="18"/>
        <v>5</v>
      </c>
      <c r="I71" s="69">
        <f t="shared" ca="1" si="19"/>
        <v>215.81492046905822</v>
      </c>
      <c r="J71" s="58">
        <f t="shared" ca="1" si="20"/>
        <v>27944856.759375364</v>
      </c>
      <c r="K71" s="517"/>
      <c r="L71" s="50">
        <f ca="1">J71+J71*SUM($K$32+$K$48+$K$64+SUM($K$68:K71))</f>
        <v>30459893.867719147</v>
      </c>
      <c r="M71" s="58">
        <f t="shared" ca="1" si="21"/>
        <v>141138.96203986619</v>
      </c>
    </row>
    <row r="72" spans="3:13" x14ac:dyDescent="0.25">
      <c r="C72" s="136">
        <v>46508</v>
      </c>
      <c r="D72" s="148">
        <v>1</v>
      </c>
      <c r="E72" s="148">
        <v>1</v>
      </c>
      <c r="F72" s="148">
        <v>2</v>
      </c>
      <c r="G72" s="148">
        <v>1</v>
      </c>
      <c r="H72" s="39">
        <f t="shared" si="18"/>
        <v>5</v>
      </c>
      <c r="I72" s="69">
        <f ca="1">D72*$E$6+E72*$E$7+F72*$E$8+G72*$E$9</f>
        <v>264.73767908974781</v>
      </c>
      <c r="J72" s="58">
        <f t="shared" ca="1" si="20"/>
        <v>32535006.328340881</v>
      </c>
      <c r="K72" s="517"/>
      <c r="L72" s="50">
        <f ca="1">J72+J72*SUM($K$32+$K$48+$K$64+SUM($K$68:K72))</f>
        <v>35463156.897891559</v>
      </c>
      <c r="M72" s="58">
        <f t="shared" ca="1" si="21"/>
        <v>133955.8351490621</v>
      </c>
    </row>
    <row r="73" spans="3:13" x14ac:dyDescent="0.25">
      <c r="C73" s="195">
        <v>46539</v>
      </c>
      <c r="D73" s="194">
        <v>2</v>
      </c>
      <c r="E73" s="194"/>
      <c r="F73" s="194">
        <v>1</v>
      </c>
      <c r="G73" s="194"/>
      <c r="H73" s="194">
        <f t="shared" si="18"/>
        <v>3</v>
      </c>
      <c r="I73" s="69">
        <f t="shared" ref="I73:I79" ca="1" si="22">D73*$E$6+E73*$E$7+F73*$E$8+G73*$E$9</f>
        <v>116.95901979565767</v>
      </c>
      <c r="J73" s="58">
        <f t="shared" ca="1" si="20"/>
        <v>15493926.787994891</v>
      </c>
      <c r="K73" s="517"/>
      <c r="L73" s="50">
        <f ca="1">J73+J73*SUM($K$32+$K$48+$K$64+SUM($K$68:K73))</f>
        <v>16888380.198914431</v>
      </c>
      <c r="M73" s="58">
        <f t="shared" ca="1" si="21"/>
        <v>144395.70567896846</v>
      </c>
    </row>
    <row r="74" spans="3:13" x14ac:dyDescent="0.25">
      <c r="C74" s="195">
        <v>46569</v>
      </c>
      <c r="D74" s="194">
        <v>2</v>
      </c>
      <c r="E74" s="194"/>
      <c r="F74" s="194">
        <v>1</v>
      </c>
      <c r="G74" s="194"/>
      <c r="H74" s="194">
        <f t="shared" si="18"/>
        <v>3</v>
      </c>
      <c r="I74" s="69">
        <f t="shared" ca="1" si="22"/>
        <v>116.95901979565767</v>
      </c>
      <c r="J74" s="58">
        <f t="shared" ca="1" si="20"/>
        <v>15493926.787994891</v>
      </c>
      <c r="K74" s="517"/>
      <c r="L74" s="50">
        <f ca="1">J74+J74*SUM($K$32+$K$48+$K$64+SUM($K$68:K74))</f>
        <v>16888380.198914431</v>
      </c>
      <c r="M74" s="58">
        <f t="shared" ca="1" si="21"/>
        <v>144395.70567896846</v>
      </c>
    </row>
    <row r="75" spans="3:13" x14ac:dyDescent="0.25">
      <c r="C75" s="195">
        <v>46600</v>
      </c>
      <c r="D75" s="194">
        <v>2</v>
      </c>
      <c r="E75" s="194"/>
      <c r="F75" s="194">
        <v>2</v>
      </c>
      <c r="G75" s="194"/>
      <c r="H75" s="194">
        <f t="shared" si="18"/>
        <v>4</v>
      </c>
      <c r="I75" s="69">
        <f t="shared" ca="1" si="22"/>
        <v>175.44355683269458</v>
      </c>
      <c r="J75" s="58">
        <f t="shared" ca="1" si="20"/>
        <v>22668677.713920817</v>
      </c>
      <c r="K75" s="517"/>
      <c r="L75" s="50">
        <f ca="1">J75+J75*SUM($K$32+$K$48+$K$64+SUM($K$68:K75))</f>
        <v>24708858.708173689</v>
      </c>
      <c r="M75" s="58">
        <f t="shared" ca="1" si="21"/>
        <v>140836.51263258644</v>
      </c>
    </row>
    <row r="76" spans="3:13" x14ac:dyDescent="0.25">
      <c r="C76" s="136">
        <v>46631</v>
      </c>
      <c r="D76" s="148">
        <v>2</v>
      </c>
      <c r="E76" s="148"/>
      <c r="F76" s="148">
        <v>2</v>
      </c>
      <c r="G76" s="148">
        <v>1</v>
      </c>
      <c r="H76" s="39">
        <f t="shared" si="18"/>
        <v>5</v>
      </c>
      <c r="I76" s="69">
        <f t="shared" ca="1" si="22"/>
        <v>253.60355683269455</v>
      </c>
      <c r="J76" s="58">
        <f t="shared" ca="1" si="20"/>
        <v>31418415.213920817</v>
      </c>
      <c r="K76" s="517"/>
      <c r="L76" s="50">
        <f ca="1">J76+J76*SUM($K$32+$K$48+$K$64+SUM($K$68:K76))</f>
        <v>34246072.583173692</v>
      </c>
      <c r="M76" s="58">
        <f t="shared" ca="1" si="21"/>
        <v>135037.82443306289</v>
      </c>
    </row>
    <row r="77" spans="3:13" x14ac:dyDescent="0.25">
      <c r="C77" s="136">
        <v>46661</v>
      </c>
      <c r="D77" s="148">
        <v>2</v>
      </c>
      <c r="E77" s="148">
        <v>1</v>
      </c>
      <c r="F77" s="148">
        <v>2</v>
      </c>
      <c r="G77" s="148"/>
      <c r="H77" s="39">
        <f t="shared" si="18"/>
        <v>5</v>
      </c>
      <c r="I77" s="69">
        <f t="shared" ca="1" si="22"/>
        <v>215.81492046905822</v>
      </c>
      <c r="J77" s="58">
        <f t="shared" ca="1" si="20"/>
        <v>27944856.759375364</v>
      </c>
      <c r="K77" s="517"/>
      <c r="L77" s="50">
        <f ca="1">J77+J77*SUM($K$32+$K$48+$K$64+SUM($K$68:K77))</f>
        <v>30459893.867719147</v>
      </c>
      <c r="M77" s="58">
        <f t="shared" ca="1" si="21"/>
        <v>141138.96203986619</v>
      </c>
    </row>
    <row r="78" spans="3:13" x14ac:dyDescent="0.25">
      <c r="C78" s="136">
        <v>46692</v>
      </c>
      <c r="D78" s="148">
        <v>2</v>
      </c>
      <c r="E78" s="148"/>
      <c r="F78" s="148">
        <v>2</v>
      </c>
      <c r="G78" s="148">
        <v>1</v>
      </c>
      <c r="H78" s="39">
        <f t="shared" si="18"/>
        <v>5</v>
      </c>
      <c r="I78" s="69">
        <f t="shared" ca="1" si="22"/>
        <v>253.60355683269455</v>
      </c>
      <c r="J78" s="58">
        <f t="shared" ca="1" si="20"/>
        <v>31418415.213920817</v>
      </c>
      <c r="K78" s="61"/>
      <c r="L78" s="50">
        <f ca="1">J78+J78*SUM($K$32+$K$48+$K$64+SUM($K$68:K78))</f>
        <v>34246072.583173692</v>
      </c>
      <c r="M78" s="58">
        <f t="shared" ca="1" si="21"/>
        <v>135037.82443306289</v>
      </c>
    </row>
    <row r="79" spans="3:13" x14ac:dyDescent="0.25">
      <c r="C79" s="195">
        <v>46722</v>
      </c>
      <c r="D79" s="194">
        <v>2</v>
      </c>
      <c r="E79" s="194">
        <v>1</v>
      </c>
      <c r="F79" s="194">
        <v>2</v>
      </c>
      <c r="G79" s="194"/>
      <c r="H79" s="194">
        <f t="shared" si="18"/>
        <v>5</v>
      </c>
      <c r="I79" s="69">
        <f t="shared" ca="1" si="22"/>
        <v>215.81492046905822</v>
      </c>
      <c r="J79" s="58">
        <f t="shared" ca="1" si="20"/>
        <v>27944856.759375364</v>
      </c>
      <c r="K79" s="61"/>
      <c r="L79" s="50">
        <f ca="1">J79+J79*SUM($K$32+$K$48+$K$64+SUM($K$68:K79))</f>
        <v>30459893.867719147</v>
      </c>
      <c r="M79" s="58">
        <f t="shared" ca="1" si="21"/>
        <v>141138.96203986619</v>
      </c>
    </row>
    <row r="80" spans="3:13" x14ac:dyDescent="0.25">
      <c r="C80" s="36" t="s">
        <v>7854</v>
      </c>
      <c r="D80" s="64">
        <f t="shared" ref="D80:L80" si="23">SUM(D68:D79)</f>
        <v>20</v>
      </c>
      <c r="E80" s="64">
        <f t="shared" si="23"/>
        <v>4</v>
      </c>
      <c r="F80" s="64">
        <f t="shared" si="23"/>
        <v>21</v>
      </c>
      <c r="G80" s="64">
        <f t="shared" si="23"/>
        <v>4</v>
      </c>
      <c r="H80" s="64">
        <f t="shared" si="23"/>
        <v>49</v>
      </c>
      <c r="I80" s="48">
        <f t="shared" ca="1" si="23"/>
        <v>2287.0455599094371</v>
      </c>
      <c r="J80" s="48">
        <f t="shared" ca="1" si="23"/>
        <v>289965194.2469523</v>
      </c>
      <c r="K80" s="518">
        <f t="shared" si="23"/>
        <v>0.01</v>
      </c>
      <c r="L80" s="49">
        <f t="shared" ca="1" si="23"/>
        <v>315948718.34060842</v>
      </c>
      <c r="M80" s="48">
        <f t="shared" ca="1" si="21"/>
        <v>138147.10291697006</v>
      </c>
    </row>
    <row r="81" spans="3:15" x14ac:dyDescent="0.25">
      <c r="C81" s="131" t="s">
        <v>106</v>
      </c>
      <c r="D81" s="132">
        <f>D80/$G$6</f>
        <v>0.33333333333333331</v>
      </c>
      <c r="E81" s="132">
        <f>E80/$G$7</f>
        <v>4.3478260869565216E-2</v>
      </c>
      <c r="F81" s="132">
        <f>F80/$G$8</f>
        <v>0.1640625</v>
      </c>
      <c r="G81" s="132">
        <f>G80/$G$9</f>
        <v>0.5</v>
      </c>
      <c r="H81" s="133">
        <f>H80/$G$10</f>
        <v>0.1701388888888889</v>
      </c>
      <c r="J81" s="66"/>
      <c r="K81" s="515"/>
      <c r="M81" s="65"/>
    </row>
    <row r="86" spans="3:15" s="346" customFormat="1" x14ac:dyDescent="0.25">
      <c r="D86" s="436">
        <f>D16</f>
        <v>0</v>
      </c>
      <c r="E86" s="436">
        <f t="shared" ref="E86:F86" si="24">E16</f>
        <v>0</v>
      </c>
      <c r="F86" s="436">
        <f t="shared" si="24"/>
        <v>0</v>
      </c>
      <c r="G86" s="436">
        <f>G16</f>
        <v>0</v>
      </c>
      <c r="K86" s="66"/>
      <c r="L86" s="474"/>
      <c r="M86" s="474"/>
      <c r="O86" s="331"/>
    </row>
  </sheetData>
  <mergeCells count="5">
    <mergeCell ref="C4:F4"/>
    <mergeCell ref="K4:M4"/>
    <mergeCell ref="C5:D5"/>
    <mergeCell ref="G5:J5"/>
    <mergeCell ref="O19:Q19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88DB5A37-43AD-4143-95D0-4AB86709EEC6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D16:J16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BF731-825D-4531-B178-DD727A78F81D}">
  <sheetPr codeName="Лист9">
    <tabColor rgb="FFFFFF00"/>
  </sheetPr>
  <dimension ref="A2:N67"/>
  <sheetViews>
    <sheetView topLeftCell="A12" workbookViewId="0">
      <selection activeCell="K36" sqref="K36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7.85546875" bestFit="1" customWidth="1"/>
    <col min="4" max="4" width="11.8554687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9.28515625" style="12" bestFit="1" customWidth="1"/>
    <col min="15" max="17" width="14.42578125" customWidth="1"/>
  </cols>
  <sheetData>
    <row r="2" spans="2:14" x14ac:dyDescent="0.25">
      <c r="C2" s="111" t="s">
        <v>7562</v>
      </c>
    </row>
    <row r="3" spans="2:14" ht="15.75" thickBot="1" x14ac:dyDescent="0.3">
      <c r="C3" s="2"/>
    </row>
    <row r="4" spans="2:14" ht="15.75" customHeight="1" thickBot="1" x14ac:dyDescent="0.3">
      <c r="C4" s="756" t="s">
        <v>104</v>
      </c>
      <c r="D4" s="757"/>
      <c r="E4" s="757"/>
      <c r="F4" s="757"/>
      <c r="G4" s="83" t="s">
        <v>71</v>
      </c>
      <c r="H4" s="77" t="s">
        <v>70</v>
      </c>
      <c r="I4" s="241" t="s">
        <v>69</v>
      </c>
      <c r="J4" s="84" t="s">
        <v>68</v>
      </c>
      <c r="K4" s="757" t="s">
        <v>105</v>
      </c>
      <c r="L4" s="757"/>
      <c r="M4" s="758"/>
    </row>
    <row r="5" spans="2:14" ht="30.75" thickBot="1" x14ac:dyDescent="0.3">
      <c r="C5" s="759" t="s">
        <v>11</v>
      </c>
      <c r="D5" s="760"/>
      <c r="E5" s="322" t="s">
        <v>103</v>
      </c>
      <c r="F5" s="126" t="s">
        <v>101</v>
      </c>
      <c r="G5" s="761">
        <f ca="1">DATE(YEAR(TODAY()),MONTH(TODAY()),1)</f>
        <v>45870</v>
      </c>
      <c r="H5" s="762"/>
      <c r="I5" s="762"/>
      <c r="J5" s="763"/>
      <c r="K5" s="127" t="s">
        <v>12</v>
      </c>
      <c r="L5" s="322" t="s">
        <v>102</v>
      </c>
      <c r="M5" s="128" t="s">
        <v>100</v>
      </c>
    </row>
    <row r="6" spans="2:14" s="12" customFormat="1" ht="16.5" customHeight="1" x14ac:dyDescent="0.25">
      <c r="B6"/>
      <c r="C6" s="119">
        <v>1</v>
      </c>
      <c r="D6" s="135">
        <f ca="1">SUMIF(Д401[Тип кв],C6,Д401[Расчетная проектная площадь])-SUMIFS(РД[S],РД[Тип кв],C6,РД[Дом],$C$2,РД[Состояние],"Продажа",РД[Дата подачи на регистрацию],"&lt;"&amp;$G$5)</f>
        <v>1013.9000000000004</v>
      </c>
      <c r="E6" s="27">
        <f ca="1">D6/H6</f>
        <v>38.996153846153859</v>
      </c>
      <c r="F6" s="52">
        <f ca="1">D6/$D$9</f>
        <v>0.21901941342803516</v>
      </c>
      <c r="G6" s="31">
        <f>COUNTIF(Д401[Тип кв],C6)</f>
        <v>32</v>
      </c>
      <c r="H6" s="73">
        <f ca="1">G6-I6</f>
        <v>26</v>
      </c>
      <c r="I6" s="81">
        <f ca="1">COUNTIFS(РД[Тип кв],C6,РД[Дом],$C$2,РД[Состояние],"Продажа",РД[Дата подачи на регистрацию],"&lt;"&amp;$G$5)</f>
        <v>6</v>
      </c>
      <c r="J6" s="74">
        <f ca="1">I6/G6</f>
        <v>0.1875</v>
      </c>
      <c r="K6" s="123">
        <f ca="1">SUMIF(Д401[Тип кв],C6,Д401[Стоимость ОН без отделки со скидкой])-SUMIFS(РД[Стоимость без отделки итог],РД[Тип кв],C6,РД[Дом],$C$2,РД[Состояние],"Продажа",РД[Дата подачи на регистрацию],"&lt;"&amp;$G$5)</f>
        <v>139633492</v>
      </c>
      <c r="L6" s="51">
        <f ca="1">K6/H6</f>
        <v>5370518.923076923</v>
      </c>
      <c r="M6" s="29">
        <f ca="1">K6/$K$9</f>
        <v>0.23600689012346607</v>
      </c>
    </row>
    <row r="7" spans="2:14" s="12" customFormat="1" ht="16.5" customHeight="1" x14ac:dyDescent="0.25">
      <c r="B7"/>
      <c r="C7" s="119">
        <v>2</v>
      </c>
      <c r="D7" s="135">
        <f ca="1">SUMIF(Д401[Тип кв],C7,Д401[Расчетная проектная площадь])-SUMIFS(РД[S],РД[Тип кв],C7,РД[Дом],$C$2,РД[Состояние],"Продажа",РД[Дата подачи на регистрацию],"&lt;"&amp;$G$5)</f>
        <v>1787.8800000000006</v>
      </c>
      <c r="E7" s="27">
        <f ca="1">D7/H7</f>
        <v>55.871250000000018</v>
      </c>
      <c r="F7" s="52">
        <f ca="1">D7/$D$9</f>
        <v>0.38621208095444864</v>
      </c>
      <c r="G7" s="31">
        <f>COUNTIF(Д401[Тип кв],C7)</f>
        <v>46</v>
      </c>
      <c r="H7" s="73">
        <f ca="1">G7-I7</f>
        <v>32</v>
      </c>
      <c r="I7" s="81">
        <f ca="1">COUNTIFS(РД[Тип кв],C7,РД[Дом],$C$2,РД[Состояние],"Продажа",РД[Дата подачи на регистрацию],"&lt;"&amp;$G$5)</f>
        <v>14</v>
      </c>
      <c r="J7" s="74">
        <f ca="1">I7/G7</f>
        <v>0.30434782608695654</v>
      </c>
      <c r="K7" s="123">
        <f ca="1">SUMIF(Д401[Тип кв],C7,Д401[Стоимость ОН без отделки со скидкой])-SUMIFS(РД[Стоимость без отделки итог],РД[Тип кв],C7,РД[Дом],$C$2,РД[Состояние],"Продажа",РД[Дата подачи на регистрацию],"&lt;"&amp;$G$5)</f>
        <v>223580323.5</v>
      </c>
      <c r="L7" s="51">
        <f ca="1">K7/H7</f>
        <v>6986885.109375</v>
      </c>
      <c r="M7" s="29">
        <f ca="1">K7/$K$9</f>
        <v>0.37789283993580491</v>
      </c>
    </row>
    <row r="8" spans="2:14" s="12" customFormat="1" ht="16.5" customHeight="1" thickBot="1" x14ac:dyDescent="0.3">
      <c r="B8"/>
      <c r="C8" s="119">
        <v>3</v>
      </c>
      <c r="D8" s="135">
        <f ca="1">SUMIF(Д401[Тип кв],C8,Д401[Расчетная проектная площадь])-SUMIFS(РД[S],РД[Тип кв],C8,РД[Дом],$C$2,РД[Состояние],"Продажа",РД[Дата подачи на регистрацию],"&lt;"&amp;$G$5)</f>
        <v>1827.4899999999996</v>
      </c>
      <c r="E8" s="27">
        <f ca="1">D8/H8</f>
        <v>79.456086956521716</v>
      </c>
      <c r="F8" s="52">
        <f ca="1">D8/$D$9</f>
        <v>0.39476850561751625</v>
      </c>
      <c r="G8" s="31">
        <f>COUNTIF(Д401[Тип кв],C8)</f>
        <v>23</v>
      </c>
      <c r="H8" s="75">
        <f ca="1">G8-I8</f>
        <v>23</v>
      </c>
      <c r="I8" s="81">
        <f ca="1">COUNTIFS(РД[Тип кв],C8,РД[Дом],$C$2,РД[Состояние],"Продажа",РД[Дата подачи на регистрацию],"&lt;"&amp;$G$5)</f>
        <v>0</v>
      </c>
      <c r="J8" s="76">
        <f ca="1">I8/G8</f>
        <v>0</v>
      </c>
      <c r="K8" s="123">
        <f ca="1">SUMIF(Д401[Тип кв],C8,Д401[Стоимость ОН без отделки со скидкой])-SUMIFS(РД[Стоимость без отделки итог],РД[Тип кв],C8,РД[Дом],$C$2,РД[Состояние],"Продажа",РД[Дата подачи на регистрацию],"&lt;"&amp;$G$5)</f>
        <v>228436250</v>
      </c>
      <c r="L8" s="51">
        <f ca="1">K8/H8</f>
        <v>9932010.8695652168</v>
      </c>
      <c r="M8" s="29">
        <f ca="1">K8/$K$9</f>
        <v>0.38610026994072899</v>
      </c>
    </row>
    <row r="9" spans="2:14" s="12" customFormat="1" ht="15.75" thickBot="1" x14ac:dyDescent="0.3">
      <c r="B9"/>
      <c r="C9" s="286" t="s">
        <v>49</v>
      </c>
      <c r="D9" s="287">
        <f ca="1">SUM(D6:D8)</f>
        <v>4629.2700000000004</v>
      </c>
      <c r="E9" s="288"/>
      <c r="F9" s="289"/>
      <c r="G9" s="286">
        <f>SUM(G6:G8)</f>
        <v>101</v>
      </c>
      <c r="H9" s="290">
        <f ca="1">SUM(H6:H8)</f>
        <v>81</v>
      </c>
      <c r="I9" s="290">
        <f ca="1">G9-H9</f>
        <v>20</v>
      </c>
      <c r="J9" s="291">
        <f ca="1">I9/G9</f>
        <v>0.19801980198019803</v>
      </c>
      <c r="K9" s="292">
        <f ca="1">SUM(K6:K8)</f>
        <v>591650065.5</v>
      </c>
      <c r="L9" s="293">
        <f ca="1">K9/H9</f>
        <v>7304321.7962962966</v>
      </c>
      <c r="M9" s="291">
        <f ca="1">K9/$K$9</f>
        <v>1</v>
      </c>
    </row>
    <row r="10" spans="2:14" s="12" customFormat="1" x14ac:dyDescent="0.25">
      <c r="B10"/>
      <c r="C10"/>
      <c r="D10"/>
      <c r="E10" s="8"/>
      <c r="F10"/>
      <c r="G10"/>
      <c r="H10"/>
      <c r="I10" s="3"/>
      <c r="J10" s="3"/>
      <c r="K10" s="67"/>
      <c r="L10" s="18"/>
      <c r="M10" s="10"/>
    </row>
    <row r="11" spans="2:14" s="12" customFormat="1" x14ac:dyDescent="0.25">
      <c r="B11"/>
      <c r="C11" s="93" t="s">
        <v>92</v>
      </c>
      <c r="D11" s="95" t="s">
        <v>22</v>
      </c>
      <c r="E11" s="95" t="s">
        <v>23</v>
      </c>
      <c r="F11" s="95" t="s">
        <v>24</v>
      </c>
      <c r="G11" s="72" t="s">
        <v>25</v>
      </c>
      <c r="H11" s="96" t="s">
        <v>51</v>
      </c>
      <c r="I11" s="96" t="s">
        <v>52</v>
      </c>
      <c r="J11"/>
      <c r="K11" s="15"/>
      <c r="L11" s="65"/>
    </row>
    <row r="12" spans="2:14" s="12" customFormat="1" x14ac:dyDescent="0.25">
      <c r="B12"/>
      <c r="C12" s="118" t="s">
        <v>2</v>
      </c>
      <c r="D12" s="116">
        <v>32</v>
      </c>
      <c r="E12" s="116">
        <v>46</v>
      </c>
      <c r="F12" s="116">
        <v>23</v>
      </c>
      <c r="G12" s="116">
        <f>SUM(D12:F12)</f>
        <v>101</v>
      </c>
      <c r="H12" s="117">
        <f>SUM(Д401[Расчетная проектная площадь])</f>
        <v>5607.1500000000051</v>
      </c>
      <c r="I12" s="117">
        <f>SUM(Д401[Стоимость ОН без отделки со скидкой])</f>
        <v>714096846.5</v>
      </c>
      <c r="J12" s="354">
        <f>I12/H12</f>
        <v>127354.68936982234</v>
      </c>
      <c r="K12"/>
      <c r="L12" s="65"/>
    </row>
    <row r="13" spans="2:14" s="12" customFormat="1" x14ac:dyDescent="0.25">
      <c r="B13"/>
      <c r="C13" s="100" t="s">
        <v>26</v>
      </c>
      <c r="D13" s="98">
        <f>D31+D47+D63</f>
        <v>32</v>
      </c>
      <c r="E13" s="98">
        <f>E31+E47+E63</f>
        <v>46</v>
      </c>
      <c r="F13" s="98">
        <f>F31+F47+F63</f>
        <v>23</v>
      </c>
      <c r="G13" s="98">
        <f>G31+G47+G63</f>
        <v>101</v>
      </c>
      <c r="H13" s="188">
        <f t="shared" ref="H13:I13" ca="1" si="0">H31+H47+H63</f>
        <v>5600.4787500000002</v>
      </c>
      <c r="I13" s="188">
        <f t="shared" ca="1" si="0"/>
        <v>713314081.390625</v>
      </c>
      <c r="J13" s="188" t="b">
        <f ca="1">I14=K13</f>
        <v>0</v>
      </c>
      <c r="K13" s="188">
        <f ca="1">K31+K47+K63</f>
        <v>704767911.06057274</v>
      </c>
      <c r="L13" s="65"/>
    </row>
    <row r="14" spans="2:14" s="12" customFormat="1" x14ac:dyDescent="0.25">
      <c r="B14"/>
      <c r="C14" s="145" t="s">
        <v>93</v>
      </c>
      <c r="D14" s="147">
        <f ca="1">'Свод ПП 401'!C49</f>
        <v>32</v>
      </c>
      <c r="E14" s="147">
        <f ca="1">'Свод ПП 401'!D49</f>
        <v>45</v>
      </c>
      <c r="F14" s="147">
        <f ca="1">'Свод ПП 401'!E49</f>
        <v>23</v>
      </c>
      <c r="G14" s="147">
        <f ca="1">'Свод ПП 401'!F49</f>
        <v>100</v>
      </c>
      <c r="H14" s="146">
        <f ca="1">'Свод ПП 401'!G49</f>
        <v>5551.2787499999995</v>
      </c>
      <c r="I14" s="146">
        <f ca="1">'Свод ПП 401'!H49</f>
        <v>698563791.06057274</v>
      </c>
      <c r="J14" s="354">
        <f ca="1">I14/H14</f>
        <v>125838.35590323631</v>
      </c>
      <c r="K14"/>
      <c r="L14" s="65"/>
    </row>
    <row r="15" spans="2:14" s="12" customFormat="1" ht="14.25" customHeight="1" x14ac:dyDescent="0.25">
      <c r="B15"/>
      <c r="C15" s="101" t="s">
        <v>1</v>
      </c>
      <c r="D15" s="97">
        <f t="shared" ref="D15:H15" si="1">D13-D12</f>
        <v>0</v>
      </c>
      <c r="E15" s="97">
        <f t="shared" si="1"/>
        <v>0</v>
      </c>
      <c r="F15" s="97">
        <f t="shared" si="1"/>
        <v>0</v>
      </c>
      <c r="G15" s="97">
        <f t="shared" si="1"/>
        <v>0</v>
      </c>
      <c r="H15" s="97">
        <f t="shared" ca="1" si="1"/>
        <v>-6.6712500000048749</v>
      </c>
      <c r="I15" s="97">
        <f ca="1">I13-I12</f>
        <v>-782765.109375</v>
      </c>
      <c r="J15" s="4"/>
      <c r="K15" s="18"/>
      <c r="L15" s="65"/>
    </row>
    <row r="16" spans="2:14" ht="14.25" customHeight="1" x14ac:dyDescent="0.25">
      <c r="C16" s="2"/>
      <c r="D16" s="6"/>
      <c r="E16" s="6"/>
      <c r="F16" s="6"/>
      <c r="G16" s="6"/>
      <c r="H16" s="6"/>
      <c r="I16" s="6"/>
      <c r="J16" s="6"/>
      <c r="K16" s="62"/>
      <c r="L16" s="6"/>
      <c r="M16" s="12"/>
      <c r="N16"/>
    </row>
    <row r="17" spans="3:14" x14ac:dyDescent="0.25">
      <c r="C17" s="9"/>
      <c r="D17" s="129"/>
      <c r="E17" s="129"/>
      <c r="F17" s="129"/>
      <c r="G17" s="129"/>
      <c r="H17" s="130"/>
      <c r="I17" s="130"/>
      <c r="J17" s="66"/>
      <c r="K17" s="7"/>
      <c r="L17" s="134"/>
      <c r="M17" s="12"/>
      <c r="N17"/>
    </row>
    <row r="18" spans="3:14" ht="24" x14ac:dyDescent="0.25">
      <c r="C18" s="102" t="s">
        <v>0</v>
      </c>
      <c r="D18" s="104" t="s">
        <v>22</v>
      </c>
      <c r="E18" s="104" t="s">
        <v>23</v>
      </c>
      <c r="F18" s="104" t="s">
        <v>24</v>
      </c>
      <c r="G18" s="105" t="s">
        <v>59</v>
      </c>
      <c r="H18" s="106" t="s">
        <v>51</v>
      </c>
      <c r="I18" s="107" t="s">
        <v>33</v>
      </c>
      <c r="J18" s="107" t="s">
        <v>108</v>
      </c>
      <c r="K18" s="107" t="s">
        <v>107</v>
      </c>
      <c r="L18" s="108" t="s">
        <v>17</v>
      </c>
      <c r="M18"/>
      <c r="N18"/>
    </row>
    <row r="19" spans="3:14" hidden="1" x14ac:dyDescent="0.25">
      <c r="C19" s="136">
        <v>45292</v>
      </c>
      <c r="D19" s="39"/>
      <c r="E19" s="39"/>
      <c r="F19" s="39"/>
      <c r="G19" s="243">
        <f t="shared" ref="G19:G23" si="2">SUM(D19:F19)</f>
        <v>0</v>
      </c>
      <c r="H19" s="69">
        <f t="shared" ref="H19:H21" ca="1" si="3">D19*$E$6+E19*$E$7+F19*$E$8</f>
        <v>0</v>
      </c>
      <c r="I19" s="58">
        <f ca="1">D19*$L$6+E19*$L$7+F19*$L$8</f>
        <v>0</v>
      </c>
      <c r="J19" s="40"/>
      <c r="K19" s="50">
        <f ca="1">I19+I19*SUM(SUM($J$19:J19))</f>
        <v>0</v>
      </c>
      <c r="L19" s="58" t="str">
        <f ca="1">IFERROR(K19/H19,"")</f>
        <v/>
      </c>
      <c r="M19"/>
      <c r="N19"/>
    </row>
    <row r="20" spans="3:14" hidden="1" x14ac:dyDescent="0.25">
      <c r="C20" s="136">
        <v>45323</v>
      </c>
      <c r="D20" s="39"/>
      <c r="E20" s="39"/>
      <c r="F20" s="39"/>
      <c r="G20" s="243">
        <f t="shared" si="2"/>
        <v>0</v>
      </c>
      <c r="H20" s="69">
        <f t="shared" ca="1" si="3"/>
        <v>0</v>
      </c>
      <c r="I20" s="58">
        <f t="shared" ref="I20:I27" ca="1" si="4">D20*$L$6+E20*$L$7+F20*$L$8</f>
        <v>0</v>
      </c>
      <c r="J20" s="40"/>
      <c r="K20" s="50">
        <f ca="1">I20+I20*SUM(SUM($J$19:J20))</f>
        <v>0</v>
      </c>
      <c r="L20" s="58" t="str">
        <f t="shared" ref="L20:L30" ca="1" si="5">IFERROR(K20/H20,"")</f>
        <v/>
      </c>
      <c r="M20"/>
      <c r="N20"/>
    </row>
    <row r="21" spans="3:14" hidden="1" x14ac:dyDescent="0.25">
      <c r="C21" s="136">
        <v>45352</v>
      </c>
      <c r="D21" s="39"/>
      <c r="E21" s="39"/>
      <c r="F21" s="39"/>
      <c r="G21" s="243">
        <f t="shared" si="2"/>
        <v>0</v>
      </c>
      <c r="H21" s="69">
        <f t="shared" ca="1" si="3"/>
        <v>0</v>
      </c>
      <c r="I21" s="58">
        <f t="shared" ca="1" si="4"/>
        <v>0</v>
      </c>
      <c r="J21" s="61"/>
      <c r="K21" s="50">
        <f ca="1">I21+I21*SUM(SUM($J$19:J21))</f>
        <v>0</v>
      </c>
      <c r="L21" s="58" t="str">
        <f t="shared" ca="1" si="5"/>
        <v/>
      </c>
      <c r="M21"/>
      <c r="N21"/>
    </row>
    <row r="22" spans="3:14" hidden="1" x14ac:dyDescent="0.25">
      <c r="C22" s="136">
        <v>45383</v>
      </c>
      <c r="D22" s="39"/>
      <c r="E22" s="39"/>
      <c r="F22" s="39"/>
      <c r="G22" s="243">
        <f t="shared" si="2"/>
        <v>0</v>
      </c>
      <c r="H22" s="69">
        <f ca="1">D22*$E$6+E22*$E$7+F22*$E$8</f>
        <v>0</v>
      </c>
      <c r="I22" s="58">
        <f t="shared" ca="1" si="4"/>
        <v>0</v>
      </c>
      <c r="J22" s="61"/>
      <c r="K22" s="50">
        <f ca="1">I22+I22*SUM(SUM($J$19:J22))</f>
        <v>0</v>
      </c>
      <c r="L22" s="58" t="str">
        <f t="shared" ca="1" si="5"/>
        <v/>
      </c>
      <c r="M22"/>
      <c r="N22"/>
    </row>
    <row r="23" spans="3:14" hidden="1" x14ac:dyDescent="0.25">
      <c r="C23" s="136">
        <v>45413</v>
      </c>
      <c r="D23" s="39"/>
      <c r="E23" s="39"/>
      <c r="F23" s="39"/>
      <c r="G23" s="243">
        <f t="shared" si="2"/>
        <v>0</v>
      </c>
      <c r="H23" s="69">
        <f t="shared" ref="H23:H27" ca="1" si="6">D23*$E$6+E23*$E$7+F23*$E$8</f>
        <v>0</v>
      </c>
      <c r="I23" s="58">
        <f t="shared" ca="1" si="4"/>
        <v>0</v>
      </c>
      <c r="J23" s="334"/>
      <c r="K23" s="50">
        <f ca="1">I23+I23*SUM(SUM($J$19:J23))</f>
        <v>0</v>
      </c>
      <c r="L23" s="58" t="str">
        <f t="shared" ca="1" si="5"/>
        <v/>
      </c>
      <c r="M23"/>
      <c r="N23"/>
    </row>
    <row r="24" spans="3:14" s="245" customFormat="1" hidden="1" x14ac:dyDescent="0.25">
      <c r="C24" s="387">
        <v>45444</v>
      </c>
      <c r="D24" s="274">
        <v>0</v>
      </c>
      <c r="E24" s="274">
        <v>1</v>
      </c>
      <c r="F24" s="274">
        <v>0</v>
      </c>
      <c r="G24" s="274">
        <v>1</v>
      </c>
      <c r="H24" s="388">
        <v>61.41</v>
      </c>
      <c r="I24" s="389">
        <v>7409584</v>
      </c>
      <c r="J24" s="438"/>
      <c r="K24" s="390">
        <f>I24+I24*SUM(SUM($J$19:J24))</f>
        <v>7409584</v>
      </c>
      <c r="L24" s="389">
        <f t="shared" si="5"/>
        <v>120657.61276665039</v>
      </c>
    </row>
    <row r="25" spans="3:14" hidden="1" x14ac:dyDescent="0.25">
      <c r="C25" s="387">
        <v>45474</v>
      </c>
      <c r="D25" s="274"/>
      <c r="E25" s="274"/>
      <c r="F25" s="274"/>
      <c r="G25" s="274">
        <v>0</v>
      </c>
      <c r="H25" s="388">
        <v>0</v>
      </c>
      <c r="I25" s="389">
        <v>0</v>
      </c>
      <c r="J25" s="504"/>
      <c r="K25" s="390">
        <f>I25+I25*SUM(SUM($J$19:J25))</f>
        <v>0</v>
      </c>
      <c r="L25" s="389" t="str">
        <f t="shared" si="5"/>
        <v/>
      </c>
      <c r="M25"/>
      <c r="N25"/>
    </row>
    <row r="26" spans="3:14" hidden="1" x14ac:dyDescent="0.25">
      <c r="C26" s="387">
        <v>45505</v>
      </c>
      <c r="D26" s="274">
        <v>0</v>
      </c>
      <c r="E26" s="274">
        <v>1</v>
      </c>
      <c r="F26" s="274">
        <v>0</v>
      </c>
      <c r="G26" s="274">
        <v>1</v>
      </c>
      <c r="H26" s="388">
        <v>54.07</v>
      </c>
      <c r="I26" s="389">
        <v>6306800</v>
      </c>
      <c r="J26" s="504"/>
      <c r="K26" s="390">
        <f>I26+I26*SUM(SUM($J$19:J26))</f>
        <v>6306800</v>
      </c>
      <c r="L26" s="389">
        <f t="shared" si="5"/>
        <v>116641.39078971703</v>
      </c>
      <c r="M26"/>
      <c r="N26"/>
    </row>
    <row r="27" spans="3:14" hidden="1" x14ac:dyDescent="0.25">
      <c r="C27" s="387">
        <v>45536</v>
      </c>
      <c r="D27" s="274"/>
      <c r="E27" s="274"/>
      <c r="F27" s="274"/>
      <c r="G27" s="274">
        <v>0</v>
      </c>
      <c r="H27" s="388">
        <f t="shared" ca="1" si="6"/>
        <v>0</v>
      </c>
      <c r="I27" s="389">
        <f t="shared" ca="1" si="4"/>
        <v>0</v>
      </c>
      <c r="J27" s="504"/>
      <c r="K27" s="390">
        <f ca="1">I27+I27*SUM(SUM($J$19:J27))</f>
        <v>0</v>
      </c>
      <c r="L27" s="389" t="str">
        <f t="shared" ca="1" si="5"/>
        <v/>
      </c>
      <c r="M27"/>
      <c r="N27"/>
    </row>
    <row r="28" spans="3:14" hidden="1" x14ac:dyDescent="0.25">
      <c r="C28" s="387">
        <v>45566</v>
      </c>
      <c r="D28" s="274">
        <v>1</v>
      </c>
      <c r="E28" s="274">
        <v>0</v>
      </c>
      <c r="F28" s="274">
        <v>0</v>
      </c>
      <c r="G28" s="274">
        <v>1</v>
      </c>
      <c r="H28" s="388">
        <v>35.630000000000003</v>
      </c>
      <c r="I28" s="389">
        <v>4566207</v>
      </c>
      <c r="J28" s="504"/>
      <c r="K28" s="390">
        <f>I28+I28*SUM(SUM($J$19:J28))</f>
        <v>4566207</v>
      </c>
      <c r="L28" s="389">
        <f t="shared" si="5"/>
        <v>128156.24473758068</v>
      </c>
      <c r="M28"/>
      <c r="N28"/>
    </row>
    <row r="29" spans="3:14" hidden="1" x14ac:dyDescent="0.25">
      <c r="C29" s="387">
        <v>45597</v>
      </c>
      <c r="D29" s="274">
        <v>0</v>
      </c>
      <c r="E29" s="274">
        <v>3</v>
      </c>
      <c r="F29" s="274">
        <v>0</v>
      </c>
      <c r="G29" s="274">
        <v>3</v>
      </c>
      <c r="H29" s="388">
        <v>157.65</v>
      </c>
      <c r="I29" s="389">
        <v>17600314</v>
      </c>
      <c r="J29" s="438"/>
      <c r="K29" s="390">
        <f>I29+I29*SUM(SUM($J$19:J29))</f>
        <v>17600314</v>
      </c>
      <c r="L29" s="389">
        <f t="shared" si="5"/>
        <v>111641.69996828417</v>
      </c>
      <c r="M29"/>
      <c r="N29"/>
    </row>
    <row r="30" spans="3:14" hidden="1" x14ac:dyDescent="0.25">
      <c r="C30" s="387">
        <v>45627</v>
      </c>
      <c r="D30" s="274">
        <v>2</v>
      </c>
      <c r="E30" s="274">
        <v>1</v>
      </c>
      <c r="F30" s="274">
        <v>0</v>
      </c>
      <c r="G30" s="274">
        <v>3</v>
      </c>
      <c r="H30" s="388">
        <v>120.26</v>
      </c>
      <c r="I30" s="389">
        <v>15798177</v>
      </c>
      <c r="J30" s="438"/>
      <c r="K30" s="390">
        <f>I30+I30*SUM(SUM($J$19:J30))</f>
        <v>15798177</v>
      </c>
      <c r="L30" s="389">
        <f t="shared" si="5"/>
        <v>131366.8468318643</v>
      </c>
      <c r="M30"/>
      <c r="N30"/>
    </row>
    <row r="31" spans="3:14" x14ac:dyDescent="0.25">
      <c r="C31" s="36" t="s">
        <v>3249</v>
      </c>
      <c r="D31" s="64">
        <f>SUM(D19:D30)</f>
        <v>3</v>
      </c>
      <c r="E31" s="64">
        <f>SUM(E19:E30)</f>
        <v>6</v>
      </c>
      <c r="F31" s="64">
        <f>SUM(F19:F30)</f>
        <v>0</v>
      </c>
      <c r="G31" s="64">
        <f t="shared" ref="G31:K31" si="7">SUM(G19:G30)</f>
        <v>9</v>
      </c>
      <c r="H31" s="48">
        <f t="shared" ca="1" si="7"/>
        <v>429.02</v>
      </c>
      <c r="I31" s="48">
        <f t="shared" ca="1" si="7"/>
        <v>51681082</v>
      </c>
      <c r="J31" s="295">
        <f t="shared" si="7"/>
        <v>0</v>
      </c>
      <c r="K31" s="48">
        <f t="shared" ca="1" si="7"/>
        <v>51681082</v>
      </c>
      <c r="L31" s="48">
        <f ca="1">K31/H31</f>
        <v>120463.10661507622</v>
      </c>
      <c r="M31"/>
      <c r="N31"/>
    </row>
    <row r="32" spans="3:14" x14ac:dyDescent="0.25">
      <c r="C32" s="131" t="s">
        <v>106</v>
      </c>
      <c r="D32" s="132">
        <f>D31/$G$6</f>
        <v>9.375E-2</v>
      </c>
      <c r="E32" s="132">
        <f>E31/$G$7</f>
        <v>0.13043478260869565</v>
      </c>
      <c r="F32" s="132">
        <f>F31/$G$8</f>
        <v>0</v>
      </c>
      <c r="G32" s="133">
        <f>G31/$G$9</f>
        <v>8.9108910891089105E-2</v>
      </c>
      <c r="I32" s="66"/>
      <c r="J32" s="4"/>
      <c r="K32" s="4"/>
      <c r="L32" s="65"/>
      <c r="M32"/>
      <c r="N32"/>
    </row>
    <row r="33" spans="2:14" x14ac:dyDescent="0.25">
      <c r="J33" s="66"/>
      <c r="K33" s="4"/>
      <c r="M33"/>
      <c r="N33"/>
    </row>
    <row r="34" spans="2:14" ht="24" x14ac:dyDescent="0.25">
      <c r="B34" s="12"/>
      <c r="C34" s="102" t="s">
        <v>0</v>
      </c>
      <c r="D34" s="104" t="s">
        <v>22</v>
      </c>
      <c r="E34" s="104" t="s">
        <v>23</v>
      </c>
      <c r="F34" s="104" t="s">
        <v>24</v>
      </c>
      <c r="G34" s="105" t="s">
        <v>59</v>
      </c>
      <c r="H34" s="106" t="s">
        <v>51</v>
      </c>
      <c r="I34" s="107" t="s">
        <v>33</v>
      </c>
      <c r="J34" s="107" t="s">
        <v>108</v>
      </c>
      <c r="K34" s="107" t="s">
        <v>107</v>
      </c>
      <c r="L34" s="108" t="s">
        <v>17</v>
      </c>
      <c r="M34" s="12"/>
      <c r="N34"/>
    </row>
    <row r="35" spans="2:14" x14ac:dyDescent="0.25">
      <c r="B35" s="12"/>
      <c r="C35" s="387">
        <v>45658</v>
      </c>
      <c r="D35" s="274">
        <v>0</v>
      </c>
      <c r="E35" s="274">
        <v>0</v>
      </c>
      <c r="F35" s="274">
        <v>0</v>
      </c>
      <c r="G35" s="274">
        <v>0</v>
      </c>
      <c r="H35" s="388">
        <v>0</v>
      </c>
      <c r="I35" s="389">
        <v>0</v>
      </c>
      <c r="J35" s="438"/>
      <c r="K35" s="390">
        <f>I35+I35*SUM($J$31+SUM($J$35:J35))</f>
        <v>0</v>
      </c>
      <c r="L35" s="389" t="str">
        <f>IFERROR(K35/H35,"")</f>
        <v/>
      </c>
      <c r="M35" s="12"/>
      <c r="N35"/>
    </row>
    <row r="36" spans="2:14" x14ac:dyDescent="0.25">
      <c r="B36" s="12"/>
      <c r="C36" s="387">
        <v>45689</v>
      </c>
      <c r="D36" s="274">
        <v>2</v>
      </c>
      <c r="E36" s="274">
        <v>2</v>
      </c>
      <c r="F36" s="274">
        <v>0</v>
      </c>
      <c r="G36" s="274">
        <v>4</v>
      </c>
      <c r="H36" s="388">
        <v>188.52999999999997</v>
      </c>
      <c r="I36" s="389">
        <v>24764168</v>
      </c>
      <c r="J36" s="438"/>
      <c r="K36" s="390">
        <f>I36+I36*SUM($J$31+SUM($J$35:J36))</f>
        <v>24764168</v>
      </c>
      <c r="L36" s="389">
        <f t="shared" ref="L36:L46" si="8">IFERROR(K36/H36,"")</f>
        <v>131353.99140720311</v>
      </c>
      <c r="M36" s="12"/>
      <c r="N36"/>
    </row>
    <row r="37" spans="2:14" x14ac:dyDescent="0.25">
      <c r="B37" s="12"/>
      <c r="C37" s="387">
        <v>45717</v>
      </c>
      <c r="D37" s="274">
        <v>0</v>
      </c>
      <c r="E37" s="274">
        <v>2</v>
      </c>
      <c r="F37" s="274">
        <v>0</v>
      </c>
      <c r="G37" s="274">
        <v>2</v>
      </c>
      <c r="H37" s="388">
        <v>98.4</v>
      </c>
      <c r="I37" s="389">
        <v>12472200</v>
      </c>
      <c r="J37" s="438"/>
      <c r="K37" s="390">
        <f>I37+I37*SUM($J$31+SUM($J$35:J37))</f>
        <v>12472200</v>
      </c>
      <c r="L37" s="389">
        <f t="shared" si="8"/>
        <v>126749.99999999999</v>
      </c>
      <c r="M37" s="12"/>
      <c r="N37"/>
    </row>
    <row r="38" spans="2:14" x14ac:dyDescent="0.25">
      <c r="B38" s="12"/>
      <c r="C38" s="387">
        <v>45748</v>
      </c>
      <c r="D38" s="274">
        <v>1</v>
      </c>
      <c r="E38" s="274">
        <v>1</v>
      </c>
      <c r="F38" s="274">
        <v>0</v>
      </c>
      <c r="G38" s="274">
        <v>2</v>
      </c>
      <c r="H38" s="388">
        <v>96.94</v>
      </c>
      <c r="I38" s="389">
        <v>12621812</v>
      </c>
      <c r="J38" s="438"/>
      <c r="K38" s="390">
        <f>I38+I38*SUM($J$31+SUM($J$35:J38))</f>
        <v>12621812</v>
      </c>
      <c r="L38" s="389">
        <f t="shared" si="8"/>
        <v>130202.31070765422</v>
      </c>
      <c r="M38" s="12"/>
      <c r="N38"/>
    </row>
    <row r="39" spans="2:14" x14ac:dyDescent="0.25">
      <c r="B39" s="12"/>
      <c r="C39" s="387">
        <v>45778</v>
      </c>
      <c r="D39" s="274">
        <v>0</v>
      </c>
      <c r="E39" s="274">
        <v>1</v>
      </c>
      <c r="F39" s="274">
        <v>0</v>
      </c>
      <c r="G39" s="274">
        <v>1</v>
      </c>
      <c r="H39" s="388">
        <v>61.41</v>
      </c>
      <c r="I39" s="389">
        <v>7584135</v>
      </c>
      <c r="J39" s="438"/>
      <c r="K39" s="390">
        <f>I39+I39*SUM($J$31+SUM($J$35:J39))</f>
        <v>7584135</v>
      </c>
      <c r="L39" s="389">
        <f t="shared" si="8"/>
        <v>123500</v>
      </c>
      <c r="M39" s="12"/>
      <c r="N39"/>
    </row>
    <row r="40" spans="2:14" x14ac:dyDescent="0.25">
      <c r="B40" s="12"/>
      <c r="C40" s="387">
        <v>45809</v>
      </c>
      <c r="D40" s="274">
        <v>0</v>
      </c>
      <c r="E40" s="274">
        <v>0</v>
      </c>
      <c r="F40" s="274">
        <v>0</v>
      </c>
      <c r="G40" s="274">
        <v>0</v>
      </c>
      <c r="H40" s="274">
        <v>0</v>
      </c>
      <c r="I40" s="274">
        <v>0</v>
      </c>
      <c r="J40" s="274"/>
      <c r="K40" s="274"/>
      <c r="L40" s="274" t="str">
        <f t="shared" si="8"/>
        <v/>
      </c>
      <c r="M40" s="12"/>
      <c r="N40"/>
    </row>
    <row r="41" spans="2:14" x14ac:dyDescent="0.25">
      <c r="B41" s="12"/>
      <c r="C41" s="387">
        <v>45839</v>
      </c>
      <c r="D41" s="274">
        <v>0</v>
      </c>
      <c r="E41" s="274">
        <v>3</v>
      </c>
      <c r="F41" s="274">
        <v>0</v>
      </c>
      <c r="G41" s="274">
        <v>3</v>
      </c>
      <c r="H41" s="388">
        <v>152.78</v>
      </c>
      <c r="I41" s="389">
        <v>19527504</v>
      </c>
      <c r="J41" s="438"/>
      <c r="K41" s="389">
        <f>I41+I41*SUM($J$31+SUM($J$35:J41))</f>
        <v>19527504</v>
      </c>
      <c r="L41" s="389">
        <f t="shared" si="8"/>
        <v>127814.5306977353</v>
      </c>
      <c r="M41" s="12"/>
      <c r="N41"/>
    </row>
    <row r="42" spans="2:14" x14ac:dyDescent="0.25">
      <c r="B42" s="12"/>
      <c r="C42" s="242">
        <v>45870</v>
      </c>
      <c r="D42" s="243">
        <v>4</v>
      </c>
      <c r="E42" s="243">
        <v>5</v>
      </c>
      <c r="F42" s="243">
        <v>3</v>
      </c>
      <c r="G42" s="243">
        <f t="shared" ref="G42:G46" si="9">SUM(D42:F42)</f>
        <v>12</v>
      </c>
      <c r="H42" s="244">
        <f t="shared" ref="H42:H46" ca="1" si="10">D42*$E$6+E42*$E$7+F42*$E$8</f>
        <v>673.70912625418066</v>
      </c>
      <c r="I42" s="59">
        <f t="shared" ref="I42:I46" ca="1" si="11">D42*$L$6+E42*$L$7+F42*$L$8</f>
        <v>86212533.847878337</v>
      </c>
      <c r="J42" s="61">
        <v>-0.02</v>
      </c>
      <c r="K42" s="59">
        <f ca="1">I42+I42*SUM($J$31+SUM($J$35:J42))</f>
        <v>84488283.170920774</v>
      </c>
      <c r="L42" s="59">
        <f t="shared" ca="1" si="8"/>
        <v>125407.65721948165</v>
      </c>
      <c r="M42" s="12"/>
      <c r="N42"/>
    </row>
    <row r="43" spans="2:14" x14ac:dyDescent="0.25">
      <c r="B43" s="12"/>
      <c r="C43" s="242">
        <v>45901</v>
      </c>
      <c r="D43" s="243">
        <v>4</v>
      </c>
      <c r="E43" s="243">
        <v>6</v>
      </c>
      <c r="F43" s="243">
        <v>3</v>
      </c>
      <c r="G43" s="243">
        <f t="shared" si="9"/>
        <v>13</v>
      </c>
      <c r="H43" s="244">
        <f t="shared" ca="1" si="10"/>
        <v>729.58037625418069</v>
      </c>
      <c r="I43" s="59">
        <f t="shared" ca="1" si="11"/>
        <v>93199418.957253337</v>
      </c>
      <c r="J43" s="61"/>
      <c r="K43" s="60">
        <f ca="1">I43+I43*SUM($J$31+SUM($J$35:J43))</f>
        <v>91335430.578108266</v>
      </c>
      <c r="L43" s="59">
        <f t="shared" ca="1" si="8"/>
        <v>125188.99020700585</v>
      </c>
      <c r="M43" s="12"/>
      <c r="N43"/>
    </row>
    <row r="44" spans="2:14" x14ac:dyDescent="0.25">
      <c r="B44" s="12"/>
      <c r="C44" s="242">
        <v>45931</v>
      </c>
      <c r="D44" s="243">
        <v>4</v>
      </c>
      <c r="E44" s="243">
        <v>6</v>
      </c>
      <c r="F44" s="243">
        <v>3</v>
      </c>
      <c r="G44" s="243">
        <f t="shared" si="9"/>
        <v>13</v>
      </c>
      <c r="H44" s="244">
        <f t="shared" ca="1" si="10"/>
        <v>729.58037625418069</v>
      </c>
      <c r="I44" s="59">
        <f t="shared" ca="1" si="11"/>
        <v>93199418.957253337</v>
      </c>
      <c r="J44" s="61"/>
      <c r="K44" s="60">
        <f ca="1">I44+I44*SUM($J$31+SUM($J$35:J44))</f>
        <v>91335430.578108266</v>
      </c>
      <c r="L44" s="59">
        <f t="shared" ca="1" si="8"/>
        <v>125188.99020700585</v>
      </c>
      <c r="M44" s="12"/>
      <c r="N44"/>
    </row>
    <row r="45" spans="2:14" x14ac:dyDescent="0.25">
      <c r="B45" s="12"/>
      <c r="C45" s="242">
        <v>45962</v>
      </c>
      <c r="D45" s="243">
        <v>3</v>
      </c>
      <c r="E45" s="243">
        <v>5</v>
      </c>
      <c r="F45" s="243">
        <v>3</v>
      </c>
      <c r="G45" s="243">
        <f t="shared" si="9"/>
        <v>11</v>
      </c>
      <c r="H45" s="244">
        <f t="shared" ca="1" si="10"/>
        <v>634.71297240802687</v>
      </c>
      <c r="I45" s="59">
        <f t="shared" ca="1" si="11"/>
        <v>80842014.924801409</v>
      </c>
      <c r="J45" s="61"/>
      <c r="K45" s="60">
        <f ca="1">I45+I45*SUM($J$31+SUM($J$35:J45))</f>
        <v>79225174.626305386</v>
      </c>
      <c r="L45" s="59">
        <f t="shared" ca="1" si="8"/>
        <v>124820.47487659553</v>
      </c>
      <c r="M45" s="12"/>
      <c r="N45"/>
    </row>
    <row r="46" spans="2:14" x14ac:dyDescent="0.25">
      <c r="B46" s="12"/>
      <c r="C46" s="242">
        <v>45992</v>
      </c>
      <c r="D46" s="243">
        <v>3</v>
      </c>
      <c r="E46" s="243">
        <v>4</v>
      </c>
      <c r="F46" s="243">
        <v>3</v>
      </c>
      <c r="G46" s="243">
        <f t="shared" si="9"/>
        <v>10</v>
      </c>
      <c r="H46" s="244">
        <f t="shared" ca="1" si="10"/>
        <v>578.84172240802684</v>
      </c>
      <c r="I46" s="59">
        <f t="shared" ca="1" si="11"/>
        <v>73855129.815426409</v>
      </c>
      <c r="J46" s="61"/>
      <c r="K46" s="60">
        <f ca="1">I46+I46*SUM($J$31+SUM($J$35:J46))</f>
        <v>72378027.21911788</v>
      </c>
      <c r="L46" s="59">
        <f t="shared" ca="1" si="8"/>
        <v>125039.40959545836</v>
      </c>
      <c r="M46" s="12"/>
      <c r="N46"/>
    </row>
    <row r="47" spans="2:14" x14ac:dyDescent="0.25">
      <c r="B47" s="12"/>
      <c r="C47" s="36" t="s">
        <v>4561</v>
      </c>
      <c r="D47" s="64">
        <f>SUM(D35:D46)</f>
        <v>21</v>
      </c>
      <c r="E47" s="64">
        <f>SUM(E35:E46)</f>
        <v>35</v>
      </c>
      <c r="F47" s="64">
        <f>SUM(F35:F46)</f>
        <v>15</v>
      </c>
      <c r="G47" s="64">
        <f t="shared" ref="G47:K47" si="12">SUM(G35:G46)</f>
        <v>71</v>
      </c>
      <c r="H47" s="48">
        <f t="shared" ca="1" si="12"/>
        <v>3944.4845735785957</v>
      </c>
      <c r="I47" s="48">
        <f t="shared" ca="1" si="12"/>
        <v>504278335.50261283</v>
      </c>
      <c r="J47" s="295">
        <f t="shared" si="12"/>
        <v>-0.02</v>
      </c>
      <c r="K47" s="48">
        <f t="shared" ca="1" si="12"/>
        <v>495732165.17256057</v>
      </c>
      <c r="L47" s="48">
        <f ca="1">K47/H47</f>
        <v>125677.29849753535</v>
      </c>
      <c r="M47" s="12"/>
      <c r="N47"/>
    </row>
    <row r="48" spans="2:14" x14ac:dyDescent="0.25">
      <c r="B48" s="12"/>
      <c r="C48" s="131" t="s">
        <v>106</v>
      </c>
      <c r="D48" s="132">
        <f>D47/$G$6</f>
        <v>0.65625</v>
      </c>
      <c r="E48" s="132">
        <f>E47/$G$7</f>
        <v>0.76086956521739135</v>
      </c>
      <c r="F48" s="132">
        <f>F47/$G$8</f>
        <v>0.65217391304347827</v>
      </c>
      <c r="G48" s="133">
        <f>G47/$G$9</f>
        <v>0.70297029702970293</v>
      </c>
      <c r="I48" s="66"/>
      <c r="J48" s="4"/>
      <c r="K48" s="4"/>
      <c r="L48" s="65"/>
      <c r="M48"/>
      <c r="N48"/>
    </row>
    <row r="49" spans="2:14" x14ac:dyDescent="0.25">
      <c r="B49" s="12"/>
      <c r="C49" s="12"/>
      <c r="K49"/>
      <c r="L49"/>
      <c r="M49"/>
      <c r="N49"/>
    </row>
    <row r="50" spans="2:14" ht="24" x14ac:dyDescent="0.25">
      <c r="B50" s="12"/>
      <c r="C50" s="102" t="s">
        <v>0</v>
      </c>
      <c r="D50" s="104" t="s">
        <v>22</v>
      </c>
      <c r="E50" s="104" t="s">
        <v>23</v>
      </c>
      <c r="F50" s="104" t="s">
        <v>24</v>
      </c>
      <c r="G50" s="105" t="s">
        <v>59</v>
      </c>
      <c r="H50" s="106" t="s">
        <v>51</v>
      </c>
      <c r="I50" s="107" t="s">
        <v>33</v>
      </c>
      <c r="J50" s="107" t="s">
        <v>108</v>
      </c>
      <c r="K50" s="107" t="s">
        <v>107</v>
      </c>
      <c r="L50" s="108" t="s">
        <v>17</v>
      </c>
      <c r="M50"/>
      <c r="N50"/>
    </row>
    <row r="51" spans="2:14" s="245" customFormat="1" x14ac:dyDescent="0.25">
      <c r="B51" s="246"/>
      <c r="C51" s="506">
        <v>46023</v>
      </c>
      <c r="D51" s="507"/>
      <c r="E51" s="507"/>
      <c r="F51" s="507"/>
      <c r="G51" s="507">
        <f t="shared" ref="G51:G62" si="13">SUM(D51:F51)</f>
        <v>0</v>
      </c>
      <c r="H51" s="508">
        <f t="shared" ref="H51:H62" ca="1" si="14">D51*$E$6+E51*$E$7+F51*$E$8</f>
        <v>0</v>
      </c>
      <c r="I51" s="509">
        <f t="shared" ref="I51:I62" ca="1" si="15">D51*$L$6+E51*$L$7+F51*$L$8</f>
        <v>0</v>
      </c>
      <c r="J51" s="510">
        <v>0.02</v>
      </c>
      <c r="K51" s="511">
        <f ca="1">I51+I51*SUM($J$31+$J$47+SUM($J$51:J51))</f>
        <v>0</v>
      </c>
      <c r="L51" s="509" t="str">
        <f ca="1">IFERROR(K51/H51,"")</f>
        <v/>
      </c>
    </row>
    <row r="52" spans="2:14" s="245" customFormat="1" x14ac:dyDescent="0.25">
      <c r="B52" s="246"/>
      <c r="C52" s="242">
        <v>46054</v>
      </c>
      <c r="D52" s="243">
        <v>1</v>
      </c>
      <c r="E52" s="243">
        <v>1</v>
      </c>
      <c r="F52" s="243">
        <v>2</v>
      </c>
      <c r="G52" s="243">
        <f t="shared" si="13"/>
        <v>4</v>
      </c>
      <c r="H52" s="244">
        <f t="shared" ca="1" si="14"/>
        <v>253.77957775919731</v>
      </c>
      <c r="I52" s="59">
        <f t="shared" ca="1" si="15"/>
        <v>32221425.771582358</v>
      </c>
      <c r="J52" s="294"/>
      <c r="K52" s="60">
        <f ca="1">I52+I52*SUM($J$31+$J$47+SUM($J$51:J52))</f>
        <v>32221425.771582358</v>
      </c>
      <c r="L52" s="59">
        <f t="shared" ref="L52:L62" ca="1" si="16">IFERROR(K52/H52,"")</f>
        <v>126966.18875359686</v>
      </c>
    </row>
    <row r="53" spans="2:14" s="245" customFormat="1" x14ac:dyDescent="0.25">
      <c r="B53" s="246"/>
      <c r="C53" s="242">
        <v>46082</v>
      </c>
      <c r="D53" s="243">
        <v>1</v>
      </c>
      <c r="E53" s="243"/>
      <c r="F53" s="243">
        <v>1</v>
      </c>
      <c r="G53" s="243">
        <f t="shared" si="13"/>
        <v>2</v>
      </c>
      <c r="H53" s="244">
        <f t="shared" ca="1" si="14"/>
        <v>118.45224080267558</v>
      </c>
      <c r="I53" s="59">
        <f t="shared" ca="1" si="15"/>
        <v>15302529.792642139</v>
      </c>
      <c r="J53" s="294"/>
      <c r="K53" s="60">
        <f ca="1">I53+I53*SUM($J$31+$J$47+SUM($J$51:J53))</f>
        <v>15302529.792642139</v>
      </c>
      <c r="L53" s="59">
        <f t="shared" ca="1" si="16"/>
        <v>129187.33904016182</v>
      </c>
    </row>
    <row r="54" spans="2:14" s="245" customFormat="1" x14ac:dyDescent="0.25">
      <c r="B54" s="246"/>
      <c r="C54" s="242">
        <v>46113</v>
      </c>
      <c r="D54" s="243">
        <v>1</v>
      </c>
      <c r="E54" s="243"/>
      <c r="F54" s="243">
        <v>1</v>
      </c>
      <c r="G54" s="243">
        <f t="shared" si="13"/>
        <v>2</v>
      </c>
      <c r="H54" s="244">
        <f t="shared" ca="1" si="14"/>
        <v>118.45224080267558</v>
      </c>
      <c r="I54" s="59">
        <f t="shared" ca="1" si="15"/>
        <v>15302529.792642139</v>
      </c>
      <c r="J54" s="294"/>
      <c r="K54" s="60">
        <f ca="1">I54+I54*SUM($J$31+$J$47+SUM($J$51:J54))</f>
        <v>15302529.792642139</v>
      </c>
      <c r="L54" s="59">
        <f t="shared" ca="1" si="16"/>
        <v>129187.33904016182</v>
      </c>
    </row>
    <row r="55" spans="2:14" s="245" customFormat="1" x14ac:dyDescent="0.25">
      <c r="B55" s="246"/>
      <c r="C55" s="242">
        <v>46143</v>
      </c>
      <c r="D55" s="243">
        <v>1</v>
      </c>
      <c r="E55" s="243"/>
      <c r="F55" s="243">
        <v>1</v>
      </c>
      <c r="G55" s="243">
        <f t="shared" si="13"/>
        <v>2</v>
      </c>
      <c r="H55" s="244">
        <f t="shared" ca="1" si="14"/>
        <v>118.45224080267558</v>
      </c>
      <c r="I55" s="59">
        <f t="shared" ca="1" si="15"/>
        <v>15302529.792642139</v>
      </c>
      <c r="J55" s="505"/>
      <c r="K55" s="60">
        <f ca="1">I55+I55*SUM($J$31+$J$47+SUM($J$51:J55))</f>
        <v>15302529.792642139</v>
      </c>
      <c r="L55" s="59">
        <f t="shared" ca="1" si="16"/>
        <v>129187.33904016182</v>
      </c>
    </row>
    <row r="56" spans="2:14" s="245" customFormat="1" x14ac:dyDescent="0.25">
      <c r="B56" s="246"/>
      <c r="C56" s="681">
        <v>46174</v>
      </c>
      <c r="D56" s="682">
        <v>1</v>
      </c>
      <c r="E56" s="682"/>
      <c r="F56" s="682"/>
      <c r="G56" s="682">
        <f t="shared" si="13"/>
        <v>1</v>
      </c>
      <c r="H56" s="683">
        <f t="shared" ca="1" si="14"/>
        <v>38.996153846153859</v>
      </c>
      <c r="I56" s="684">
        <f t="shared" ca="1" si="15"/>
        <v>5370518.923076923</v>
      </c>
      <c r="J56" s="685"/>
      <c r="K56" s="684">
        <f ca="1">I56+I56*SUM($J$31+$J$47+SUM($J$51:J56))</f>
        <v>5370518.923076923</v>
      </c>
      <c r="L56" s="684">
        <f t="shared" ca="1" si="16"/>
        <v>137719.19518690201</v>
      </c>
    </row>
    <row r="57" spans="2:14" s="245" customFormat="1" x14ac:dyDescent="0.25">
      <c r="B57" s="246"/>
      <c r="C57" s="681">
        <v>46204</v>
      </c>
      <c r="D57" s="682">
        <v>1</v>
      </c>
      <c r="E57" s="682">
        <v>1</v>
      </c>
      <c r="F57" s="682"/>
      <c r="G57" s="682">
        <f t="shared" si="13"/>
        <v>2</v>
      </c>
      <c r="H57" s="683">
        <f t="shared" ca="1" si="14"/>
        <v>94.867403846153877</v>
      </c>
      <c r="I57" s="684">
        <f t="shared" ca="1" si="15"/>
        <v>12357404.032451924</v>
      </c>
      <c r="J57" s="686"/>
      <c r="K57" s="684">
        <f ca="1">I57+I57*SUM($J$31+$J$47+SUM($J$51:J57))</f>
        <v>12357404.032451924</v>
      </c>
      <c r="L57" s="684">
        <f t="shared" ca="1" si="16"/>
        <v>130259.74709386883</v>
      </c>
    </row>
    <row r="58" spans="2:14" s="245" customFormat="1" x14ac:dyDescent="0.25">
      <c r="B58" s="246"/>
      <c r="C58" s="681">
        <v>46235</v>
      </c>
      <c r="D58" s="682">
        <v>1</v>
      </c>
      <c r="E58" s="682">
        <v>1</v>
      </c>
      <c r="F58" s="682"/>
      <c r="G58" s="682">
        <f t="shared" si="13"/>
        <v>2</v>
      </c>
      <c r="H58" s="683">
        <f t="shared" ca="1" si="14"/>
        <v>94.867403846153877</v>
      </c>
      <c r="I58" s="684">
        <f t="shared" ca="1" si="15"/>
        <v>12357404.032451924</v>
      </c>
      <c r="J58" s="686"/>
      <c r="K58" s="684">
        <f ca="1">I58+I58*SUM($J$31+$J$47+SUM($J$51:J58))</f>
        <v>12357404.032451924</v>
      </c>
      <c r="L58" s="684">
        <f t="shared" ca="1" si="16"/>
        <v>130259.74709386883</v>
      </c>
    </row>
    <row r="59" spans="2:14" s="245" customFormat="1" x14ac:dyDescent="0.25">
      <c r="B59" s="246"/>
      <c r="C59" s="242">
        <v>46266</v>
      </c>
      <c r="D59" s="243">
        <v>1</v>
      </c>
      <c r="E59" s="243">
        <v>1</v>
      </c>
      <c r="F59" s="243">
        <v>1</v>
      </c>
      <c r="G59" s="243">
        <f t="shared" si="13"/>
        <v>3</v>
      </c>
      <c r="H59" s="244">
        <f t="shared" ca="1" si="14"/>
        <v>174.32349080267559</v>
      </c>
      <c r="I59" s="59">
        <f t="shared" ca="1" si="15"/>
        <v>22289414.902017139</v>
      </c>
      <c r="J59" s="505"/>
      <c r="K59" s="60">
        <f ca="1">I59+I59*SUM($J$31+$J$47+SUM($J$51:J59))</f>
        <v>22289414.902017139</v>
      </c>
      <c r="L59" s="59">
        <f t="shared" ca="1" si="16"/>
        <v>127862.37126955831</v>
      </c>
    </row>
    <row r="60" spans="2:14" s="245" customFormat="1" x14ac:dyDescent="0.25">
      <c r="B60" s="246"/>
      <c r="C60" s="242">
        <v>46296</v>
      </c>
      <c r="D60" s="243"/>
      <c r="E60" s="243">
        <v>1</v>
      </c>
      <c r="F60" s="243">
        <v>1</v>
      </c>
      <c r="G60" s="243">
        <f t="shared" si="13"/>
        <v>2</v>
      </c>
      <c r="H60" s="244">
        <f t="shared" ca="1" si="14"/>
        <v>135.32733695652172</v>
      </c>
      <c r="I60" s="59">
        <f t="shared" ca="1" si="15"/>
        <v>16918895.978940219</v>
      </c>
      <c r="J60" s="505"/>
      <c r="K60" s="60">
        <f ca="1">I60+I60*SUM($J$31+$J$47+SUM($J$51:J60))</f>
        <v>16918895.978940219</v>
      </c>
      <c r="L60" s="59">
        <f t="shared" ca="1" si="16"/>
        <v>125022.01225149329</v>
      </c>
    </row>
    <row r="61" spans="2:14" s="245" customFormat="1" x14ac:dyDescent="0.25">
      <c r="B61" s="246"/>
      <c r="C61" s="242">
        <v>46327</v>
      </c>
      <c r="D61" s="243"/>
      <c r="E61" s="243"/>
      <c r="F61" s="243">
        <v>1</v>
      </c>
      <c r="G61" s="243">
        <f t="shared" si="13"/>
        <v>1</v>
      </c>
      <c r="H61" s="244">
        <f t="shared" ca="1" si="14"/>
        <v>79.456086956521716</v>
      </c>
      <c r="I61" s="59">
        <f t="shared" ca="1" si="15"/>
        <v>9932010.8695652168</v>
      </c>
      <c r="J61" s="294"/>
      <c r="K61" s="60">
        <f ca="1">I61+I61*SUM($J$31+$J$47+SUM($J$51:J61))</f>
        <v>9932010.8695652168</v>
      </c>
      <c r="L61" s="59">
        <f t="shared" ca="1" si="16"/>
        <v>125000.00000000003</v>
      </c>
    </row>
    <row r="62" spans="2:14" s="245" customFormat="1" x14ac:dyDescent="0.25">
      <c r="B62" s="246"/>
      <c r="C62" s="242">
        <v>46357</v>
      </c>
      <c r="D62" s="243"/>
      <c r="E62" s="243"/>
      <c r="F62" s="243"/>
      <c r="G62" s="243">
        <f t="shared" si="13"/>
        <v>0</v>
      </c>
      <c r="H62" s="244">
        <f t="shared" ca="1" si="14"/>
        <v>0</v>
      </c>
      <c r="I62" s="59">
        <f t="shared" ca="1" si="15"/>
        <v>0</v>
      </c>
      <c r="J62" s="294"/>
      <c r="K62" s="60">
        <f ca="1">I62+I62*SUM($J$31+$J$47+SUM($J$51:J62))</f>
        <v>0</v>
      </c>
      <c r="L62" s="59" t="str">
        <f t="shared" ca="1" si="16"/>
        <v/>
      </c>
    </row>
    <row r="63" spans="2:14" x14ac:dyDescent="0.25">
      <c r="B63" s="12"/>
      <c r="C63" s="36" t="s">
        <v>4890</v>
      </c>
      <c r="D63" s="64">
        <f>SUM(D51:D62)</f>
        <v>8</v>
      </c>
      <c r="E63" s="64">
        <f>SUM(E51:E62)</f>
        <v>5</v>
      </c>
      <c r="F63" s="64">
        <f>SUM(F51:F62)</f>
        <v>8</v>
      </c>
      <c r="G63" s="64">
        <f t="shared" ref="G63:K63" si="17">SUM(G51:G62)</f>
        <v>21</v>
      </c>
      <c r="H63" s="48">
        <f t="shared" ca="1" si="17"/>
        <v>1226.9741764214045</v>
      </c>
      <c r="I63" s="48">
        <f t="shared" ca="1" si="17"/>
        <v>157354663.88801214</v>
      </c>
      <c r="J63" s="295">
        <f t="shared" si="17"/>
        <v>0.02</v>
      </c>
      <c r="K63" s="48">
        <f t="shared" ca="1" si="17"/>
        <v>157354663.88801214</v>
      </c>
      <c r="L63" s="48">
        <f ca="1">IFERROR(K63/H63,"-")</f>
        <v>128246.10893356621</v>
      </c>
      <c r="M63"/>
      <c r="N63"/>
    </row>
    <row r="64" spans="2:14" x14ac:dyDescent="0.25">
      <c r="B64" s="12"/>
      <c r="C64" s="131" t="s">
        <v>106</v>
      </c>
      <c r="D64" s="132">
        <f>D63/$G$6</f>
        <v>0.25</v>
      </c>
      <c r="E64" s="132">
        <f>E63/$G$7</f>
        <v>0.10869565217391304</v>
      </c>
      <c r="F64" s="132">
        <f>F63/$G$8</f>
        <v>0.34782608695652173</v>
      </c>
      <c r="G64" s="133">
        <f>G63/$G$9</f>
        <v>0.20792079207920791</v>
      </c>
      <c r="I64" s="66"/>
      <c r="J64" s="4"/>
      <c r="K64" s="4"/>
      <c r="L64" s="65"/>
      <c r="M64"/>
      <c r="N64"/>
    </row>
    <row r="65" spans="1:14" x14ac:dyDescent="0.25">
      <c r="A65" s="4"/>
      <c r="C65" s="12"/>
      <c r="D65" s="12"/>
      <c r="E65" s="12"/>
      <c r="K65"/>
      <c r="L65"/>
      <c r="M65"/>
      <c r="N65"/>
    </row>
    <row r="66" spans="1:14" x14ac:dyDescent="0.25">
      <c r="D66" s="355">
        <f>D15</f>
        <v>0</v>
      </c>
      <c r="E66" s="355">
        <f t="shared" ref="E66:G66" si="18">E15</f>
        <v>0</v>
      </c>
      <c r="F66" s="355">
        <f t="shared" si="18"/>
        <v>0</v>
      </c>
      <c r="G66" s="355">
        <f t="shared" si="18"/>
        <v>0</v>
      </c>
      <c r="K66"/>
      <c r="L66" s="66"/>
    </row>
    <row r="67" spans="1:14" x14ac:dyDescent="0.25">
      <c r="K67"/>
      <c r="L67" s="66"/>
    </row>
  </sheetData>
  <mergeCells count="4">
    <mergeCell ref="C4:F4"/>
    <mergeCell ref="K4:M4"/>
    <mergeCell ref="C5:D5"/>
    <mergeCell ref="G5:J5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47" id="{52BF2006-E560-4BC0-8B2D-B8563392CF9D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D15:I15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71C4-4781-44B4-878D-CEBCA0C9A853}">
  <sheetPr codeName="Лист10">
    <tabColor rgb="FFFFFF00"/>
  </sheetPr>
  <dimension ref="B1:T83"/>
  <sheetViews>
    <sheetView topLeftCell="A13" workbookViewId="0">
      <selection activeCell="L59" sqref="L59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5.140625" bestFit="1" customWidth="1"/>
    <col min="4" max="4" width="9.2851562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10" bestFit="1" customWidth="1"/>
    <col min="15" max="16" width="12" bestFit="1" customWidth="1"/>
    <col min="17" max="19" width="12.42578125" bestFit="1" customWidth="1"/>
    <col min="20" max="20" width="12.28515625" style="20" bestFit="1" customWidth="1"/>
  </cols>
  <sheetData>
    <row r="1" spans="3:20" x14ac:dyDescent="0.25">
      <c r="O1" s="432"/>
      <c r="P1" s="428">
        <v>0</v>
      </c>
      <c r="Q1" s="429">
        <v>1</v>
      </c>
      <c r="R1" s="429">
        <v>2</v>
      </c>
      <c r="S1" s="429">
        <v>3</v>
      </c>
      <c r="T1" s="430" t="s">
        <v>110</v>
      </c>
    </row>
    <row r="2" spans="3:20" x14ac:dyDescent="0.25">
      <c r="C2" s="111" t="s">
        <v>3388</v>
      </c>
      <c r="O2" s="318" t="s">
        <v>96</v>
      </c>
      <c r="P2" s="39">
        <f ca="1">COUNTIF(Реестр_Д5[Тип кв],P1)-COUNTIFS(РД[Тип кв],P1,РД[Дом],$C$2,РД[Состояние],"Продажа",РД[Дата подачи на регистрацию],"&lt;"&amp;$G$5)</f>
        <v>17</v>
      </c>
      <c r="Q2" s="39">
        <f ca="1">COUNTIF(Реестр_Д5[Тип кв],Q1)-COUNTIFS(РД[Тип кв],Q1,РД[Дом],$C$2,РД[Состояние],"Продажа",РД[Дата подачи на регистрацию],"&lt;"&amp;$G$5)</f>
        <v>44</v>
      </c>
      <c r="R2" s="39">
        <f ca="1">COUNTIF(Реестр_Д5[Тип кв],R1)-COUNTIFS(РД[Тип кв],R1,РД[Дом],$C$2,РД[Состояние],"Продажа",РД[Дата подачи на регистрацию],"&lt;"&amp;$G$5)</f>
        <v>63</v>
      </c>
      <c r="S2" s="39">
        <f ca="1">COUNTIF(Реестр_Д5[Тип кв],S1)-COUNTIFS(РД[Тип кв],S1,РД[Дом],$C$2,РД[Состояние],"Продажа",РД[Дата подачи на регистрацию],"&lt;"&amp;$G$5)</f>
        <v>14</v>
      </c>
      <c r="T2" s="384">
        <f ca="1">SUM(P2:S2)</f>
        <v>138</v>
      </c>
    </row>
    <row r="3" spans="3:20" ht="15.75" thickBot="1" x14ac:dyDescent="0.3">
      <c r="C3" s="2"/>
      <c r="O3" s="318" t="s">
        <v>95</v>
      </c>
      <c r="P3" s="51">
        <f ca="1">SUMIF(Реестр_Д5[Тип кв],P1,Реестр_Д5[Расчетная проектная площадь])-SUMIFS(РД[S],РД[Тип кв],P1,РД[Дом],$C$2,РД[Состояние],"&lt;&gt;расторгнут",РД[Дата подачи на регистрацию],"&lt;"&amp;$G$5)</f>
        <v>435.77000000000112</v>
      </c>
      <c r="Q3" s="51">
        <f ca="1">SUMIF(Реестр_Д5[Тип кв],Q1,Реестр_Д5[Расчетная проектная площадь])-SUMIFS(РД[S],РД[Тип кв],Q1,РД[Дом],$C$2,РД[Состояние],"&lt;&gt;расторгнут",РД[Дата подачи на регистрацию],"&lt;"&amp;$G$5)</f>
        <v>1685.6100000000042</v>
      </c>
      <c r="R3" s="51">
        <f ca="1">SUMIF(Реестр_Д5[Тип кв],R1,Реестр_Д5[Расчетная проектная площадь])-SUMIFS(РД[S],РД[Тип кв],R1,РД[Дом],$C$2,РД[Состояние],"&lt;&gt;расторгнут",РД[Дата подачи на регистрацию],"&lt;"&amp;$G$5)</f>
        <v>3961.0800000000017</v>
      </c>
      <c r="S3" s="51">
        <f ca="1">SUMIF(Реестр_Д5[Тип кв],S1,Реестр_Д5[Расчетная проектная площадь])-SUMIFS(РД[S],РД[Тип кв],S1,РД[Дом],$C$2,РД[Состояние],"&lt;&gt;расторгнут",РД[Дата подачи на регистрацию],"&lt;"&amp;$G$5)</f>
        <v>1140.4799999999955</v>
      </c>
      <c r="T3" s="384">
        <f ca="1">SUM(P3:S3)</f>
        <v>7222.9400000000023</v>
      </c>
    </row>
    <row r="4" spans="3:20" ht="15.75" customHeight="1" thickBot="1" x14ac:dyDescent="0.3">
      <c r="C4" s="756" t="s">
        <v>104</v>
      </c>
      <c r="D4" s="757"/>
      <c r="E4" s="757"/>
      <c r="F4" s="757"/>
      <c r="G4" s="83" t="s">
        <v>71</v>
      </c>
      <c r="H4" s="77" t="s">
        <v>70</v>
      </c>
      <c r="I4" s="78" t="s">
        <v>69</v>
      </c>
      <c r="J4" s="84" t="s">
        <v>68</v>
      </c>
      <c r="K4" s="757" t="s">
        <v>105</v>
      </c>
      <c r="L4" s="757"/>
      <c r="M4" s="758"/>
      <c r="O4" s="318" t="s">
        <v>7130</v>
      </c>
      <c r="P4" s="384">
        <f ca="1">SUMIF(Реестр_Д5[Тип кв],P1,Реестр_Д5[Стоимость ОН без отделки со скидкой])-SUMIFS(РД[Стоимость без отделки итог],РД[Тип кв],P1,РД[Дом],$C$2,РД[Состояние],"Продажа",РД[Дата подачи на регистрацию],"&lt;"&amp;$G$5)</f>
        <v>65965300.00000006</v>
      </c>
      <c r="Q4" s="384">
        <f ca="1">SUMIF(Реестр_Д5[Тип кв],Q1,Реестр_Д5[Стоимость ОН без отделки со скидкой])-SUMIFS(РД[Стоимость без отделки итог],РД[Тип кв],Q1,РД[Дом],$C$2,РД[Состояние],"Продажа",РД[Дата подачи на регистрацию],"&lt;"&amp;$G$5)</f>
        <v>240537800.99999976</v>
      </c>
      <c r="R4" s="384">
        <f ca="1">SUMIF(Реестр_Д5[Тип кв],R1,Реестр_Д5[Стоимость ОН без отделки со скидкой])-SUMIFS(РД[Стоимость без отделки итог],РД[Тип кв],R1,РД[Дом],$C$2,РД[Состояние],"Продажа",РД[Дата подачи на регистрацию],"&lt;"&amp;$G$5)</f>
        <v>492307557.00270033</v>
      </c>
      <c r="S4" s="384">
        <f ca="1">SUMIF(Реестр_Д5[Тип кв],S1,Реестр_Д5[Стоимость ОН без отделки со скидкой])-SUMIFS(РД[Стоимость без отделки итог],РД[Тип кв],S1,РД[Дом],$C$2,РД[Состояние],"Продажа",РД[Дата подачи на регистрацию],"&lt;"&amp;$G$5)</f>
        <v>136841900</v>
      </c>
      <c r="T4" s="384">
        <f ca="1">SUM(P4:S4)</f>
        <v>935652558.00270009</v>
      </c>
    </row>
    <row r="5" spans="3:20" ht="30.75" thickBot="1" x14ac:dyDescent="0.3">
      <c r="C5" s="759" t="s">
        <v>11</v>
      </c>
      <c r="D5" s="760"/>
      <c r="E5" s="125" t="s">
        <v>103</v>
      </c>
      <c r="F5" s="126" t="s">
        <v>101</v>
      </c>
      <c r="G5" s="761">
        <f ca="1">DATE(YEAR(TODAY()),MONTH(TODAY()),1)</f>
        <v>45870</v>
      </c>
      <c r="H5" s="762"/>
      <c r="I5" s="762"/>
      <c r="J5" s="763"/>
      <c r="K5" s="127" t="s">
        <v>12</v>
      </c>
      <c r="L5" s="125" t="s">
        <v>102</v>
      </c>
      <c r="M5" s="128" t="s">
        <v>100</v>
      </c>
      <c r="N5" s="14"/>
      <c r="O5" s="433" t="s">
        <v>7131</v>
      </c>
      <c r="P5" s="51">
        <f ca="1">P3/P2</f>
        <v>25.633529411764773</v>
      </c>
      <c r="Q5" s="51">
        <f t="shared" ref="Q5:S5" ca="1" si="0">Q3/Q2</f>
        <v>38.309318181818277</v>
      </c>
      <c r="R5" s="51">
        <f t="shared" ca="1" si="0"/>
        <v>62.87428571428574</v>
      </c>
      <c r="S5" s="51">
        <f t="shared" ca="1" si="0"/>
        <v>81.462857142856819</v>
      </c>
      <c r="T5" s="51">
        <f t="shared" ref="T5" ca="1" si="1">T3/T2</f>
        <v>52.340144927536251</v>
      </c>
    </row>
    <row r="6" spans="3:20" ht="16.5" customHeight="1" x14ac:dyDescent="0.25">
      <c r="C6" s="120">
        <v>0</v>
      </c>
      <c r="D6" s="135">
        <f ca="1">SUMIFS(Реестр_Д5[ТП S Расчетная],Реестр_Д5[Схема продажи],"ДКП",Реестр_Д5[Тип кв],C6)-SUMIFS(РД[S],РД[Тип кв],C6,РД[Дом],$C$2,РД[Состояние],"&lt;&gt;расторгнут",РД[Дата подачи на регистрацию],"&lt;"&amp;$G$5,РД[Тип покупки],"&lt;&gt;"&amp;"ДДУ")</f>
        <v>433.19999999999993</v>
      </c>
      <c r="E6" s="121">
        <f ca="1">D6/H6</f>
        <v>25.482352941176465</v>
      </c>
      <c r="F6" s="122">
        <f ca="1">D6/$D$10</f>
        <v>6.0305704819444826E-2</v>
      </c>
      <c r="G6" s="31">
        <f>COUNTIF(Реестр_Д5[Тип кв],C6)</f>
        <v>88</v>
      </c>
      <c r="H6" s="80">
        <f ca="1">G6-I6</f>
        <v>17</v>
      </c>
      <c r="I6" s="81">
        <f ca="1">COUNTIFS(РД[Тип кв],C6,РД[Дом],$C$2,РД[Состояние],"&lt;&gt;расторгнут",РД[Дата подачи на регистрацию],"&lt;"&amp;$G$5)</f>
        <v>71</v>
      </c>
      <c r="J6" s="82">
        <f ca="1">I6/G6</f>
        <v>0.80681818181818177</v>
      </c>
      <c r="K6" s="123">
        <f ca="1">SUMIF(Реестр_Д5[Тип кв],C6,Реестр_Д5[Стоимость ОН без отделки со скидкой])-SUMIFS(РД[Стоимость без отделки итог],РД[Тип кв],C6,РД[Дом],$C$2,РД[Состояние],"&lt;&gt;расторгнут",РД[Дата подачи на регистрацию],"&lt;"&amp;$G$5)</f>
        <v>65965300.00000006</v>
      </c>
      <c r="L6" s="63">
        <f ca="1">K6/H6</f>
        <v>3880311.7647058857</v>
      </c>
      <c r="M6" s="124">
        <f ca="1">K6/$K$10</f>
        <v>7.0501918084650492E-2</v>
      </c>
      <c r="N6" s="23"/>
      <c r="O6" s="433" t="s">
        <v>7132</v>
      </c>
      <c r="P6" s="69">
        <f ca="1">P4/P2</f>
        <v>3880311.7647058857</v>
      </c>
      <c r="Q6" s="69">
        <f t="shared" ref="Q6:S6" ca="1" si="2">Q4/Q2</f>
        <v>5466768.2045454495</v>
      </c>
      <c r="R6" s="69">
        <f t="shared" ca="1" si="2"/>
        <v>7814405.6667095292</v>
      </c>
      <c r="S6" s="69">
        <f t="shared" ca="1" si="2"/>
        <v>9774421.4285714291</v>
      </c>
      <c r="T6" s="69">
        <f t="shared" ref="T6" ca="1" si="3">T4/T2</f>
        <v>6780091.0000195662</v>
      </c>
    </row>
    <row r="7" spans="3:20" ht="16.5" customHeight="1" x14ac:dyDescent="0.25">
      <c r="C7" s="119">
        <v>1</v>
      </c>
      <c r="D7" s="135">
        <f ca="1">SUMIFS(Реестр_Д5[ТП S Расчетная],Реестр_Д5[Схема продажи],"ДКП",Реестр_Д5[Тип кв],C7)-SUMIFS(РД[S],РД[Тип кв],C7,РД[Дом],$C$2,РД[Состояние],"&lt;&gt;расторгнут",РД[Дата подачи на регистрацию],"&lt;"&amp;$G$5,РД[Тип покупки],"&lt;&gt;"&amp;"ДДУ")</f>
        <v>1673.8500000000004</v>
      </c>
      <c r="E7" s="27">
        <f ca="1">D7/H7</f>
        <v>38.042045454545466</v>
      </c>
      <c r="F7" s="52">
        <f ca="1">D7/$D$10</f>
        <v>0.23301639891973167</v>
      </c>
      <c r="G7" s="31">
        <f>COUNTIF(Реестр_Д5[Тип кв],C7)</f>
        <v>200</v>
      </c>
      <c r="H7" s="73">
        <f ca="1">G7-I7</f>
        <v>44</v>
      </c>
      <c r="I7" s="81">
        <f ca="1">COUNTIFS(РД[Тип кв],C7,РД[Дом],$C$2,РД[Состояние],"&lt;&gt;расторгнут",РД[Дата подачи на регистрацию],"&lt;"&amp;$G$5)</f>
        <v>156</v>
      </c>
      <c r="J7" s="74">
        <f ca="1">I7/G7</f>
        <v>0.78</v>
      </c>
      <c r="K7" s="123">
        <f ca="1">SUMIF(Реестр_Д5[Тип кв],C7,Реестр_Д5[Стоимость ОН без отделки со скидкой])-SUMIFS(РД[Стоимость без отделки итог],РД[Тип кв],C7,РД[Дом],$C$2,РД[Состояние],"&lt;&gt;расторгнут",РД[Дата подачи на регистрацию],"&lt;"&amp;$G$5)</f>
        <v>240537800.99999976</v>
      </c>
      <c r="L7" s="51">
        <f ca="1">K7/H7</f>
        <v>5466768.2045454495</v>
      </c>
      <c r="M7" s="29">
        <f ca="1">K7/$K$10</f>
        <v>0.25708025798963896</v>
      </c>
      <c r="N7" s="23"/>
    </row>
    <row r="8" spans="3:20" ht="16.5" customHeight="1" x14ac:dyDescent="0.25">
      <c r="C8" s="119">
        <v>2</v>
      </c>
      <c r="D8" s="135">
        <f ca="1">SUMIFS(Реестр_Д5[ТП S Расчетная],Реестр_Д5[Схема продажи],"ДКП",Реестр_Д5[Тип кв],C8)-SUMIFS(РД[S],РД[Тип кв],C8,РД[Дом],$C$2,РД[Состояние],"&lt;&gt;расторгнут",РД[Дата подачи на регистрацию],"&lt;"&amp;$G$5,РД[Тип покупки],"&lt;&gt;"&amp;"ДДУ")</f>
        <v>3944.7</v>
      </c>
      <c r="E8" s="27">
        <f ca="1">D8/H8</f>
        <v>62.614285714285714</v>
      </c>
      <c r="F8" s="52">
        <f ca="1">D8/$D$10</f>
        <v>0.54914107525684219</v>
      </c>
      <c r="G8" s="31">
        <f>COUNTIF(Реестр_Д5[Тип кв],C8)</f>
        <v>229</v>
      </c>
      <c r="H8" s="73">
        <f ca="1">G8-I8</f>
        <v>63</v>
      </c>
      <c r="I8" s="81">
        <f ca="1">COUNTIFS(РД[Тип кв],C8,РД[Дом],$C$2,РД[Состояние],"&lt;&gt;расторгнут",РД[Дата подачи на регистрацию],"&lt;"&amp;$G$5)</f>
        <v>166</v>
      </c>
      <c r="J8" s="74">
        <f ca="1">I8/G8</f>
        <v>0.72489082969432317</v>
      </c>
      <c r="K8" s="123">
        <f ca="1">SUMIF(Реестр_Д5[Тип кв],C8,Реестр_Д5[Стоимость ОН без отделки со скидкой])-SUMIFS(РД[Стоимость без отделки итог],РД[Тип кв],C8,РД[Дом],$C$2,РД[Состояние],"&lt;&gt;расторгнут",РД[Дата подачи на регистрацию],"&lt;"&amp;$G$5)</f>
        <v>492307557.00270033</v>
      </c>
      <c r="L8" s="51">
        <f ca="1">K8/H8</f>
        <v>7814405.6667095292</v>
      </c>
      <c r="M8" s="29">
        <f ca="1">K8/$K$10</f>
        <v>0.52616492392604519</v>
      </c>
      <c r="N8" s="23"/>
    </row>
    <row r="9" spans="3:20" ht="16.5" customHeight="1" thickBot="1" x14ac:dyDescent="0.3">
      <c r="C9" s="119">
        <v>3</v>
      </c>
      <c r="D9" s="135">
        <f ca="1">SUMIFS(Реестр_Д5[ТП S Расчетная],Реестр_Д5[Схема продажи],"ДКП",Реестр_Д5[Тип кв],C9)-SUMIFS(РД[S],РД[Тип кв],C9,РД[Дом],$C$2,РД[Состояние],"&lt;&gt;расторгнут",РД[Дата подачи на регистрацию],"&lt;"&amp;$G$5,РД[Тип покупки],"&lt;&gt;"&amp;"ДДУ")</f>
        <v>1131.6500000000001</v>
      </c>
      <c r="E9" s="27">
        <f ca="1">D9/H9</f>
        <v>80.83214285714287</v>
      </c>
      <c r="F9" s="52">
        <f ca="1">D9/$D$10</f>
        <v>0.15753682100398142</v>
      </c>
      <c r="G9" s="31">
        <f>COUNTIF(Реестр_Д5[Тип кв],C9)</f>
        <v>63</v>
      </c>
      <c r="H9" s="75">
        <f ca="1">G9-I9</f>
        <v>14</v>
      </c>
      <c r="I9" s="81">
        <f ca="1">COUNTIFS(РД[Тип кв],C9,РД[Дом],$C$2,РД[Состояние],"&lt;&gt;расторгнут",РД[Дата подачи на регистрацию],"&lt;"&amp;$G$5)</f>
        <v>49</v>
      </c>
      <c r="J9" s="76">
        <f ca="1">I9/G9</f>
        <v>0.77777777777777779</v>
      </c>
      <c r="K9" s="123">
        <f ca="1">SUMIF(Реестр_Д5[Тип кв],C9,Реестр_Д5[Стоимость ОН без отделки со скидкой])-SUMIFS(РД[Стоимость без отделки итог],РД[Тип кв],C9,РД[Дом],$C$2,РД[Состояние],"&lt;&gt;расторгнут",РД[Дата подачи на регистрацию],"&lt;"&amp;$G$5)</f>
        <v>136841900</v>
      </c>
      <c r="L9" s="51">
        <f ca="1">K9/H9</f>
        <v>9774421.4285714291</v>
      </c>
      <c r="M9" s="29">
        <f ca="1">K9/$K$10</f>
        <v>0.14625289999966537</v>
      </c>
      <c r="N9" s="23"/>
    </row>
    <row r="10" spans="3:20" ht="15.75" thickBot="1" x14ac:dyDescent="0.3">
      <c r="C10" s="286" t="s">
        <v>49</v>
      </c>
      <c r="D10" s="287">
        <f ca="1">SUM(D6:D9)</f>
        <v>7183.4</v>
      </c>
      <c r="E10" s="288"/>
      <c r="F10" s="289"/>
      <c r="G10" s="286">
        <f>SUM(G6:G9)</f>
        <v>580</v>
      </c>
      <c r="H10" s="290">
        <f ca="1">SUM(H6:H9)</f>
        <v>138</v>
      </c>
      <c r="I10" s="290">
        <f ca="1">G10-H10</f>
        <v>442</v>
      </c>
      <c r="J10" s="291">
        <f ca="1">I10/G10</f>
        <v>0.76206896551724135</v>
      </c>
      <c r="K10" s="292">
        <f ca="1">SUM(K6:K9)</f>
        <v>935652558.00270009</v>
      </c>
      <c r="L10" s="293">
        <f ca="1">K10/H10</f>
        <v>6780091.0000195662</v>
      </c>
      <c r="M10" s="291">
        <f ca="1">K10/$K$10</f>
        <v>1</v>
      </c>
      <c r="N10" s="18"/>
      <c r="R10" s="12"/>
    </row>
    <row r="11" spans="3:20" x14ac:dyDescent="0.25">
      <c r="E11" s="8"/>
      <c r="I11" s="3"/>
      <c r="J11" s="3"/>
      <c r="K11" s="67"/>
      <c r="L11" s="18"/>
      <c r="M11" s="10"/>
    </row>
    <row r="12" spans="3:20" x14ac:dyDescent="0.25">
      <c r="C12" s="93" t="s">
        <v>92</v>
      </c>
      <c r="D12" s="94" t="s">
        <v>4</v>
      </c>
      <c r="E12" s="95" t="s">
        <v>22</v>
      </c>
      <c r="F12" s="95" t="s">
        <v>23</v>
      </c>
      <c r="G12" s="95" t="s">
        <v>24</v>
      </c>
      <c r="H12" s="72" t="s">
        <v>25</v>
      </c>
      <c r="I12" s="96" t="s">
        <v>51</v>
      </c>
      <c r="J12" s="96" t="s">
        <v>52</v>
      </c>
      <c r="K12"/>
      <c r="L12" s="15"/>
      <c r="M12" s="65"/>
    </row>
    <row r="13" spans="3:20" x14ac:dyDescent="0.25">
      <c r="C13" s="118" t="s">
        <v>2</v>
      </c>
      <c r="D13" s="116">
        <v>88</v>
      </c>
      <c r="E13" s="116">
        <v>200</v>
      </c>
      <c r="F13" s="116">
        <v>229</v>
      </c>
      <c r="G13" s="116">
        <v>63</v>
      </c>
      <c r="H13" s="116">
        <f>SUM(D13:G13)</f>
        <v>580</v>
      </c>
      <c r="I13" s="117">
        <f>SUM(Реестр_Д5[Расчетная проектная площадь])</f>
        <v>29188.330000000034</v>
      </c>
      <c r="J13" s="117">
        <f>SUM(Реестр_Д5[Стоимость ОН без отделки со скидкой])</f>
        <v>3154426913.8600006</v>
      </c>
      <c r="K13" s="15"/>
      <c r="L13"/>
      <c r="M13" s="65"/>
    </row>
    <row r="14" spans="3:20" x14ac:dyDescent="0.25">
      <c r="C14" s="100" t="s">
        <v>26</v>
      </c>
      <c r="D14" s="98">
        <f>D32+D48+D64+D80</f>
        <v>88</v>
      </c>
      <c r="E14" s="98">
        <f t="shared" ref="E14:J14" si="4">E32+E48+E64+E80</f>
        <v>200</v>
      </c>
      <c r="F14" s="98">
        <f t="shared" si="4"/>
        <v>229</v>
      </c>
      <c r="G14" s="98">
        <f t="shared" si="4"/>
        <v>63</v>
      </c>
      <c r="H14" s="98">
        <f t="shared" si="4"/>
        <v>580</v>
      </c>
      <c r="I14" s="188">
        <f t="shared" ca="1" si="4"/>
        <v>29148.79</v>
      </c>
      <c r="J14" s="188">
        <f t="shared" ca="1" si="4"/>
        <v>3154426813.8600001</v>
      </c>
      <c r="K14" s="18"/>
      <c r="M14" s="65"/>
    </row>
    <row r="15" spans="3:20" x14ac:dyDescent="0.25">
      <c r="C15" s="145" t="s">
        <v>93</v>
      </c>
      <c r="D15" s="147">
        <f ca="1">'Свод ПП Д5'!C64</f>
        <v>88</v>
      </c>
      <c r="E15" s="147">
        <f ca="1">'Свод ПП Д5'!D64</f>
        <v>200</v>
      </c>
      <c r="F15" s="147">
        <f ca="1">'Свод ПП Д5'!E64</f>
        <v>229</v>
      </c>
      <c r="G15" s="147">
        <f ca="1">'Свод ПП Д5'!F64</f>
        <v>63</v>
      </c>
      <c r="H15" s="147">
        <f ca="1">'Свод ПП Д5'!G64</f>
        <v>580</v>
      </c>
      <c r="I15" s="146">
        <f ca="1">'Свод ПП Д5'!H64</f>
        <v>29148.79</v>
      </c>
      <c r="J15" s="146">
        <f ca="1">'Свод ПП Д5'!I64</f>
        <v>3174198065.0825043</v>
      </c>
      <c r="K15" s="25"/>
      <c r="L15"/>
      <c r="M15" s="65"/>
    </row>
    <row r="16" spans="3:20" ht="14.25" customHeight="1" x14ac:dyDescent="0.25">
      <c r="C16" s="101" t="s">
        <v>1</v>
      </c>
      <c r="D16" s="97">
        <f>D14-D13</f>
        <v>0</v>
      </c>
      <c r="E16" s="97">
        <f t="shared" ref="E16:J16" si="5">E14-E13</f>
        <v>0</v>
      </c>
      <c r="F16" s="97">
        <f t="shared" si="5"/>
        <v>0</v>
      </c>
      <c r="G16" s="97">
        <f t="shared" si="5"/>
        <v>0</v>
      </c>
      <c r="H16" s="97">
        <f t="shared" si="5"/>
        <v>0</v>
      </c>
      <c r="I16" s="648">
        <f t="shared" ca="1" si="5"/>
        <v>-39.540000000033615</v>
      </c>
      <c r="J16" s="97">
        <f t="shared" ca="1" si="5"/>
        <v>-100.00000047683716</v>
      </c>
      <c r="K16" s="4"/>
      <c r="L16" s="18"/>
      <c r="M16" s="65"/>
    </row>
    <row r="17" spans="3:20" ht="14.25" customHeight="1" x14ac:dyDescent="0.25">
      <c r="C17" s="2"/>
      <c r="D17" s="6"/>
      <c r="E17" s="6"/>
      <c r="F17" s="6"/>
      <c r="G17" s="6"/>
      <c r="H17" s="6"/>
      <c r="I17" s="6"/>
      <c r="J17" s="6"/>
      <c r="K17" s="62"/>
      <c r="L17" s="6"/>
    </row>
    <row r="18" spans="3:20" x14ac:dyDescent="0.25">
      <c r="C18" s="9"/>
      <c r="D18" s="129"/>
      <c r="E18" s="129"/>
      <c r="F18" s="129"/>
      <c r="G18" s="129"/>
      <c r="H18" s="130"/>
      <c r="I18" s="130"/>
      <c r="J18" s="66"/>
      <c r="K18" s="7"/>
      <c r="L18" s="134"/>
      <c r="M18" s="70"/>
    </row>
    <row r="19" spans="3:20" ht="24" x14ac:dyDescent="0.25">
      <c r="C19" s="102" t="s">
        <v>0</v>
      </c>
      <c r="D19" s="103" t="s">
        <v>4</v>
      </c>
      <c r="E19" s="104" t="s">
        <v>22</v>
      </c>
      <c r="F19" s="104" t="s">
        <v>23</v>
      </c>
      <c r="G19" s="104" t="s">
        <v>24</v>
      </c>
      <c r="H19" s="105" t="s">
        <v>59</v>
      </c>
      <c r="I19" s="106" t="s">
        <v>51</v>
      </c>
      <c r="J19" s="107" t="s">
        <v>33</v>
      </c>
      <c r="K19" s="107" t="s">
        <v>108</v>
      </c>
      <c r="L19" s="107" t="s">
        <v>107</v>
      </c>
      <c r="M19" s="108" t="s">
        <v>17</v>
      </c>
    </row>
    <row r="20" spans="3:20" hidden="1" x14ac:dyDescent="0.25">
      <c r="C20" s="242">
        <v>44927</v>
      </c>
      <c r="D20" s="243"/>
      <c r="E20" s="243"/>
      <c r="F20" s="243"/>
      <c r="G20" s="243"/>
      <c r="H20" s="243">
        <f t="shared" ref="H20:H27" si="6">SUM(D20:G20)</f>
        <v>0</v>
      </c>
      <c r="I20" s="244">
        <f t="shared" ref="I20:I27" ca="1" si="7">D20*$E$6+E20*$E$7+F20*$E$8+G20*$E$9</f>
        <v>0</v>
      </c>
      <c r="J20" s="59">
        <f t="shared" ref="J20:J27" ca="1" si="8">D20*$L$6+E20*$L$7+F20*$L$8+G20*$L$9</f>
        <v>0</v>
      </c>
      <c r="K20" s="373"/>
      <c r="L20" s="60">
        <f ca="1">J20+J20*SUM(SUM($K$20:K20))</f>
        <v>0</v>
      </c>
      <c r="M20" s="59" t="str">
        <f ca="1">IFERROR(L20/I20,"")</f>
        <v/>
      </c>
    </row>
    <row r="21" spans="3:20" hidden="1" x14ac:dyDescent="0.25">
      <c r="C21" s="242">
        <v>44958</v>
      </c>
      <c r="D21" s="243"/>
      <c r="E21" s="243"/>
      <c r="F21" s="243"/>
      <c r="G21" s="243"/>
      <c r="H21" s="243">
        <f t="shared" si="6"/>
        <v>0</v>
      </c>
      <c r="I21" s="244">
        <f t="shared" ca="1" si="7"/>
        <v>0</v>
      </c>
      <c r="J21" s="59">
        <f t="shared" ca="1" si="8"/>
        <v>0</v>
      </c>
      <c r="K21" s="373"/>
      <c r="L21" s="60">
        <f ca="1">J21+J21*SUM(SUM($K$20:K21))</f>
        <v>0</v>
      </c>
      <c r="M21" s="59" t="str">
        <f t="shared" ref="M21:M31" ca="1" si="9">IFERROR(L21/I21,"")</f>
        <v/>
      </c>
    </row>
    <row r="22" spans="3:20" hidden="1" x14ac:dyDescent="0.25">
      <c r="C22" s="242">
        <v>44986</v>
      </c>
      <c r="D22" s="243"/>
      <c r="E22" s="243"/>
      <c r="F22" s="243"/>
      <c r="G22" s="243"/>
      <c r="H22" s="243">
        <f t="shared" si="6"/>
        <v>0</v>
      </c>
      <c r="I22" s="244">
        <f t="shared" ca="1" si="7"/>
        <v>0</v>
      </c>
      <c r="J22" s="59">
        <f t="shared" ca="1" si="8"/>
        <v>0</v>
      </c>
      <c r="K22" s="294"/>
      <c r="L22" s="60">
        <f ca="1">J22+J22*SUM(SUM($K$20:K22))</f>
        <v>0</v>
      </c>
      <c r="M22" s="59" t="str">
        <f t="shared" ca="1" si="9"/>
        <v/>
      </c>
    </row>
    <row r="23" spans="3:20" hidden="1" x14ac:dyDescent="0.25">
      <c r="C23" s="242">
        <v>45017</v>
      </c>
      <c r="D23" s="243"/>
      <c r="E23" s="243"/>
      <c r="F23" s="243"/>
      <c r="G23" s="243"/>
      <c r="H23" s="243">
        <f t="shared" si="6"/>
        <v>0</v>
      </c>
      <c r="I23" s="244">
        <f t="shared" ca="1" si="7"/>
        <v>0</v>
      </c>
      <c r="J23" s="59">
        <f t="shared" ca="1" si="8"/>
        <v>0</v>
      </c>
      <c r="K23" s="294"/>
      <c r="L23" s="60">
        <f ca="1">J23+J23*SUM(SUM($K$20:K23))</f>
        <v>0</v>
      </c>
      <c r="M23" s="59" t="str">
        <f t="shared" ca="1" si="9"/>
        <v/>
      </c>
    </row>
    <row r="24" spans="3:20" hidden="1" x14ac:dyDescent="0.25">
      <c r="C24" s="242">
        <v>45047</v>
      </c>
      <c r="D24" s="243"/>
      <c r="E24" s="243"/>
      <c r="F24" s="243"/>
      <c r="G24" s="243"/>
      <c r="H24" s="243">
        <f t="shared" si="6"/>
        <v>0</v>
      </c>
      <c r="I24" s="244">
        <f t="shared" ca="1" si="7"/>
        <v>0</v>
      </c>
      <c r="J24" s="59">
        <f t="shared" ca="1" si="8"/>
        <v>0</v>
      </c>
      <c r="K24" s="294"/>
      <c r="L24" s="60">
        <f ca="1">J24+J24*SUM(SUM($K$20:K24))</f>
        <v>0</v>
      </c>
      <c r="M24" s="59" t="str">
        <f t="shared" ca="1" si="9"/>
        <v/>
      </c>
    </row>
    <row r="25" spans="3:20" s="245" customFormat="1" hidden="1" x14ac:dyDescent="0.25">
      <c r="C25" s="242">
        <v>45078</v>
      </c>
      <c r="D25" s="243"/>
      <c r="E25" s="243"/>
      <c r="F25" s="243"/>
      <c r="G25" s="243"/>
      <c r="H25" s="243">
        <f t="shared" si="6"/>
        <v>0</v>
      </c>
      <c r="I25" s="244">
        <f t="shared" ca="1" si="7"/>
        <v>0</v>
      </c>
      <c r="J25" s="59">
        <f t="shared" ca="1" si="8"/>
        <v>0</v>
      </c>
      <c r="K25" s="294"/>
      <c r="L25" s="60">
        <f ca="1">J25+J25*SUM(SUM($K$20:K25))</f>
        <v>0</v>
      </c>
      <c r="M25" s="59" t="str">
        <f t="shared" ca="1" si="9"/>
        <v/>
      </c>
      <c r="T25" s="431"/>
    </row>
    <row r="26" spans="3:20" hidden="1" x14ac:dyDescent="0.25">
      <c r="C26" s="242">
        <v>45108</v>
      </c>
      <c r="D26" s="243"/>
      <c r="E26" s="243"/>
      <c r="F26" s="243"/>
      <c r="G26" s="243"/>
      <c r="H26" s="243">
        <f t="shared" si="6"/>
        <v>0</v>
      </c>
      <c r="I26" s="244">
        <f t="shared" ca="1" si="7"/>
        <v>0</v>
      </c>
      <c r="J26" s="59">
        <f t="shared" ca="1" si="8"/>
        <v>0</v>
      </c>
      <c r="K26" s="347"/>
      <c r="L26" s="60">
        <f ca="1">J26+J26*SUM(SUM($K$20:K26))</f>
        <v>0</v>
      </c>
      <c r="M26" s="59" t="str">
        <f t="shared" ca="1" si="9"/>
        <v/>
      </c>
    </row>
    <row r="27" spans="3:20" hidden="1" x14ac:dyDescent="0.25">
      <c r="C27" s="242">
        <v>45139</v>
      </c>
      <c r="D27" s="243"/>
      <c r="E27" s="243"/>
      <c r="F27" s="243"/>
      <c r="G27" s="243"/>
      <c r="H27" s="243">
        <f t="shared" si="6"/>
        <v>0</v>
      </c>
      <c r="I27" s="244">
        <f t="shared" ca="1" si="7"/>
        <v>0</v>
      </c>
      <c r="J27" s="59">
        <f t="shared" ca="1" si="8"/>
        <v>0</v>
      </c>
      <c r="K27" s="374"/>
      <c r="L27" s="60">
        <f ca="1">J27+J27*SUM(SUM($K$20:K27))</f>
        <v>0</v>
      </c>
      <c r="M27" s="59" t="str">
        <f t="shared" ca="1" si="9"/>
        <v/>
      </c>
    </row>
    <row r="28" spans="3:20" hidden="1" x14ac:dyDescent="0.25">
      <c r="C28" s="191">
        <v>45170</v>
      </c>
      <c r="D28" s="43">
        <v>23</v>
      </c>
      <c r="E28" s="43">
        <v>32</v>
      </c>
      <c r="F28" s="43">
        <v>12</v>
      </c>
      <c r="G28" s="43">
        <v>4</v>
      </c>
      <c r="H28" s="43">
        <v>71</v>
      </c>
      <c r="I28" s="341">
        <v>2839.7000000000007</v>
      </c>
      <c r="J28" s="173">
        <v>247323295.59</v>
      </c>
      <c r="K28" s="343"/>
      <c r="L28" s="342">
        <f>J28+J28*SUM(SUM($K$20:K28))</f>
        <v>247323295.59</v>
      </c>
      <c r="M28" s="173">
        <f t="shared" si="9"/>
        <v>87094.867623340469</v>
      </c>
      <c r="Q28" s="20"/>
      <c r="R28" s="20"/>
      <c r="S28" s="20"/>
    </row>
    <row r="29" spans="3:20" hidden="1" x14ac:dyDescent="0.25">
      <c r="C29" s="191">
        <v>45200</v>
      </c>
      <c r="D29" s="43">
        <v>1</v>
      </c>
      <c r="E29" s="43">
        <v>9</v>
      </c>
      <c r="F29" s="43">
        <v>7</v>
      </c>
      <c r="G29" s="43">
        <v>2</v>
      </c>
      <c r="H29" s="43">
        <v>19</v>
      </c>
      <c r="I29" s="341">
        <v>990.55</v>
      </c>
      <c r="J29" s="173">
        <v>87367039.829999998</v>
      </c>
      <c r="K29" s="343"/>
      <c r="L29" s="342">
        <f>J29+J29*SUM(SUM($K$20:K29))</f>
        <v>87367039.829999998</v>
      </c>
      <c r="M29" s="173">
        <f t="shared" si="9"/>
        <v>88200.534884660039</v>
      </c>
      <c r="Q29" s="20"/>
      <c r="R29" s="20"/>
      <c r="S29" s="20"/>
    </row>
    <row r="30" spans="3:20" hidden="1" x14ac:dyDescent="0.25">
      <c r="C30" s="191">
        <v>45231</v>
      </c>
      <c r="D30" s="43">
        <v>1</v>
      </c>
      <c r="E30" s="43">
        <v>7</v>
      </c>
      <c r="F30" s="43">
        <v>13</v>
      </c>
      <c r="G30" s="43">
        <v>2</v>
      </c>
      <c r="H30" s="43">
        <v>23</v>
      </c>
      <c r="I30" s="341">
        <v>1243.04</v>
      </c>
      <c r="J30" s="173">
        <v>108371714.78999999</v>
      </c>
      <c r="K30" s="343"/>
      <c r="L30" s="342">
        <f>J30+J30*SUM(SUM($K$20:K30))</f>
        <v>108371714.78999999</v>
      </c>
      <c r="M30" s="173">
        <f t="shared" si="9"/>
        <v>87182.805694104769</v>
      </c>
      <c r="Q30" s="20"/>
      <c r="R30" s="20"/>
      <c r="S30" s="20"/>
    </row>
    <row r="31" spans="3:20" hidden="1" x14ac:dyDescent="0.25">
      <c r="C31" s="191">
        <v>45261</v>
      </c>
      <c r="D31" s="43">
        <v>2</v>
      </c>
      <c r="E31" s="43">
        <v>10</v>
      </c>
      <c r="F31" s="43">
        <v>14</v>
      </c>
      <c r="G31" s="43">
        <v>3</v>
      </c>
      <c r="H31" s="43">
        <v>29</v>
      </c>
      <c r="I31" s="341">
        <v>1559.2</v>
      </c>
      <c r="J31" s="173">
        <v>138811730.92000002</v>
      </c>
      <c r="K31" s="343"/>
      <c r="L31" s="342">
        <f>J31+J31*SUM(SUM($K$20:K31))</f>
        <v>138811730.92000002</v>
      </c>
      <c r="M31" s="173">
        <f t="shared" si="9"/>
        <v>89027.533940482303</v>
      </c>
      <c r="Q31" s="20"/>
      <c r="R31" s="20"/>
      <c r="S31" s="20"/>
    </row>
    <row r="32" spans="3:20" x14ac:dyDescent="0.25">
      <c r="C32" s="369" t="s">
        <v>30</v>
      </c>
      <c r="D32" s="370">
        <f t="shared" ref="D32:L32" si="10">SUM(D20:D31)</f>
        <v>27</v>
      </c>
      <c r="E32" s="370">
        <f t="shared" si="10"/>
        <v>58</v>
      </c>
      <c r="F32" s="370">
        <f t="shared" si="10"/>
        <v>46</v>
      </c>
      <c r="G32" s="370">
        <f t="shared" si="10"/>
        <v>11</v>
      </c>
      <c r="H32" s="370">
        <f t="shared" si="10"/>
        <v>142</v>
      </c>
      <c r="I32" s="371">
        <f t="shared" ca="1" si="10"/>
        <v>6632.4900000000007</v>
      </c>
      <c r="J32" s="371">
        <f t="shared" ca="1" si="10"/>
        <v>581873781.13000011</v>
      </c>
      <c r="K32" s="372">
        <f t="shared" si="10"/>
        <v>0</v>
      </c>
      <c r="L32" s="370">
        <f t="shared" ca="1" si="10"/>
        <v>581873781.13000011</v>
      </c>
      <c r="M32" s="371">
        <f ca="1">L32/I32</f>
        <v>87730.81921420162</v>
      </c>
      <c r="Q32" s="20"/>
      <c r="R32" s="20"/>
      <c r="S32" s="20"/>
    </row>
    <row r="33" spans="3:20" x14ac:dyDescent="0.25">
      <c r="C33" s="131" t="s">
        <v>106</v>
      </c>
      <c r="D33" s="132">
        <f>D32/$G$6</f>
        <v>0.30681818181818182</v>
      </c>
      <c r="E33" s="132">
        <f>E32/$G$7</f>
        <v>0.28999999999999998</v>
      </c>
      <c r="F33" s="132">
        <f>F32/$G$8</f>
        <v>0.20087336244541484</v>
      </c>
      <c r="G33" s="132">
        <f>G32/$G$9</f>
        <v>0.17460317460317459</v>
      </c>
      <c r="H33" s="133">
        <f>H32/$G$10</f>
        <v>0.24482758620689654</v>
      </c>
      <c r="J33" s="66"/>
      <c r="K33" s="4"/>
      <c r="M33" s="65"/>
      <c r="P33" s="425"/>
    </row>
    <row r="34" spans="3:20" x14ac:dyDescent="0.25">
      <c r="O34" s="20"/>
      <c r="T34"/>
    </row>
    <row r="35" spans="3:20" ht="24" x14ac:dyDescent="0.25">
      <c r="C35" s="102" t="s">
        <v>0</v>
      </c>
      <c r="D35" s="103" t="s">
        <v>4</v>
      </c>
      <c r="E35" s="104" t="s">
        <v>22</v>
      </c>
      <c r="F35" s="104" t="s">
        <v>23</v>
      </c>
      <c r="G35" s="104" t="s">
        <v>24</v>
      </c>
      <c r="H35" s="105" t="s">
        <v>59</v>
      </c>
      <c r="I35" s="106" t="s">
        <v>51</v>
      </c>
      <c r="J35" s="107" t="s">
        <v>33</v>
      </c>
      <c r="K35" s="107" t="s">
        <v>108</v>
      </c>
      <c r="L35" s="107" t="s">
        <v>107</v>
      </c>
      <c r="M35" s="108" t="s">
        <v>17</v>
      </c>
      <c r="T35"/>
    </row>
    <row r="36" spans="3:20" hidden="1" x14ac:dyDescent="0.25">
      <c r="C36" s="387">
        <v>45292</v>
      </c>
      <c r="D36" s="274">
        <v>2</v>
      </c>
      <c r="E36" s="274">
        <v>1</v>
      </c>
      <c r="F36" s="274">
        <v>1</v>
      </c>
      <c r="G36" s="274">
        <v>2</v>
      </c>
      <c r="H36" s="274">
        <v>6</v>
      </c>
      <c r="I36" s="388">
        <v>309.53999999999996</v>
      </c>
      <c r="J36" s="389">
        <v>29545592</v>
      </c>
      <c r="K36" s="424"/>
      <c r="L36" s="390">
        <f>J36+J36*SUM($K$32+SUM($K$37:K37))</f>
        <v>29545592</v>
      </c>
      <c r="M36" s="389">
        <f>IFERROR(L36/I36,"")</f>
        <v>95449.996769399761</v>
      </c>
      <c r="O36">
        <v>6</v>
      </c>
      <c r="T36"/>
    </row>
    <row r="37" spans="3:20" hidden="1" x14ac:dyDescent="0.25">
      <c r="C37" s="387">
        <v>45323</v>
      </c>
      <c r="D37" s="274">
        <v>1</v>
      </c>
      <c r="E37" s="274">
        <v>4</v>
      </c>
      <c r="F37" s="274">
        <v>7</v>
      </c>
      <c r="G37" s="274">
        <v>1</v>
      </c>
      <c r="H37" s="274">
        <v>13</v>
      </c>
      <c r="I37" s="388">
        <v>680.26</v>
      </c>
      <c r="J37" s="389">
        <v>64173405.007300004</v>
      </c>
      <c r="K37" s="424"/>
      <c r="L37" s="390">
        <f>J37+J37*SUM($K$32+SUM($K$37:K37))</f>
        <v>64173405.007300004</v>
      </c>
      <c r="M37" s="389">
        <f t="shared" ref="M37:M47" si="11">IFERROR(L37/I37,"")</f>
        <v>94336.58455193603</v>
      </c>
      <c r="O37">
        <v>13</v>
      </c>
      <c r="T37"/>
    </row>
    <row r="38" spans="3:20" hidden="1" x14ac:dyDescent="0.25">
      <c r="C38" s="387">
        <v>45352</v>
      </c>
      <c r="D38" s="274">
        <v>0</v>
      </c>
      <c r="E38" s="274">
        <v>9</v>
      </c>
      <c r="F38" s="274">
        <v>5</v>
      </c>
      <c r="G38" s="274">
        <v>2</v>
      </c>
      <c r="H38" s="274">
        <v>16</v>
      </c>
      <c r="I38" s="388">
        <v>829.7700000000001</v>
      </c>
      <c r="J38" s="389">
        <v>81002350.719999999</v>
      </c>
      <c r="K38" s="424"/>
      <c r="L38" s="390">
        <f>J38+J38*SUM($K$32+SUM($K$37:K38))</f>
        <v>81002350.719999999</v>
      </c>
      <c r="M38" s="389">
        <f t="shared" si="11"/>
        <v>97620.245031755781</v>
      </c>
      <c r="O38">
        <v>16</v>
      </c>
      <c r="T38"/>
    </row>
    <row r="39" spans="3:20" hidden="1" x14ac:dyDescent="0.25">
      <c r="C39" s="387">
        <v>45383</v>
      </c>
      <c r="D39" s="274">
        <v>1</v>
      </c>
      <c r="E39" s="274">
        <v>4</v>
      </c>
      <c r="F39" s="274">
        <v>9</v>
      </c>
      <c r="G39" s="274">
        <v>5</v>
      </c>
      <c r="H39" s="274">
        <v>19</v>
      </c>
      <c r="I39" s="388">
        <v>1101.9900000000002</v>
      </c>
      <c r="J39" s="389">
        <v>106316770</v>
      </c>
      <c r="K39" s="438"/>
      <c r="L39" s="390">
        <f>J39+J39*SUM($K$32+SUM($K$37:K39))</f>
        <v>106316770</v>
      </c>
      <c r="M39" s="389">
        <f t="shared" si="11"/>
        <v>96477.073294675982</v>
      </c>
      <c r="O39">
        <v>19</v>
      </c>
      <c r="T39"/>
    </row>
    <row r="40" spans="3:20" hidden="1" x14ac:dyDescent="0.25">
      <c r="C40" s="387">
        <v>45413</v>
      </c>
      <c r="D40" s="274">
        <v>6</v>
      </c>
      <c r="E40" s="274">
        <v>10</v>
      </c>
      <c r="F40" s="274">
        <v>7</v>
      </c>
      <c r="G40" s="274">
        <v>3</v>
      </c>
      <c r="H40" s="274">
        <v>26</v>
      </c>
      <c r="I40" s="388">
        <v>1203.1700000000003</v>
      </c>
      <c r="J40" s="389">
        <v>125033665</v>
      </c>
      <c r="K40" s="438"/>
      <c r="L40" s="390">
        <f>J40+J40*SUM($K$32+SUM($K$37:K40))</f>
        <v>125033665</v>
      </c>
      <c r="M40" s="389">
        <f t="shared" si="11"/>
        <v>103920.19830946581</v>
      </c>
      <c r="O40">
        <v>26</v>
      </c>
      <c r="T40"/>
    </row>
    <row r="41" spans="3:20" hidden="1" x14ac:dyDescent="0.25">
      <c r="C41" s="387">
        <v>45444</v>
      </c>
      <c r="D41" s="274">
        <v>3</v>
      </c>
      <c r="E41" s="274">
        <v>20</v>
      </c>
      <c r="F41" s="274">
        <v>18</v>
      </c>
      <c r="G41" s="274">
        <v>6</v>
      </c>
      <c r="H41" s="274">
        <v>47</v>
      </c>
      <c r="I41" s="388">
        <v>2423.5399999999991</v>
      </c>
      <c r="J41" s="389">
        <v>247114647</v>
      </c>
      <c r="K41" s="438"/>
      <c r="L41" s="390">
        <f>J41+J41*SUM($K$32+SUM($K$37:K41))</f>
        <v>247114647</v>
      </c>
      <c r="M41" s="389">
        <f t="shared" si="11"/>
        <v>101964.33605387165</v>
      </c>
      <c r="O41">
        <v>47</v>
      </c>
      <c r="T41"/>
    </row>
    <row r="42" spans="3:20" hidden="1" x14ac:dyDescent="0.25">
      <c r="C42" s="387">
        <v>45474</v>
      </c>
      <c r="D42" s="274">
        <v>2</v>
      </c>
      <c r="E42" s="274">
        <v>3</v>
      </c>
      <c r="F42" s="274">
        <v>7</v>
      </c>
      <c r="G42" s="274">
        <v>2</v>
      </c>
      <c r="H42" s="274">
        <v>14</v>
      </c>
      <c r="I42" s="388">
        <v>761.7199999999998</v>
      </c>
      <c r="J42" s="389">
        <v>76564394</v>
      </c>
      <c r="K42" s="438"/>
      <c r="L42" s="390">
        <f>J42+J42*SUM($K$32+SUM($K$37:K42))</f>
        <v>76564394</v>
      </c>
      <c r="M42" s="389">
        <f t="shared" si="11"/>
        <v>100515.14204694641</v>
      </c>
      <c r="O42">
        <v>14</v>
      </c>
      <c r="T42"/>
    </row>
    <row r="43" spans="3:20" s="245" customFormat="1" hidden="1" x14ac:dyDescent="0.25">
      <c r="C43" s="387">
        <v>45505</v>
      </c>
      <c r="D43" s="274">
        <v>3</v>
      </c>
      <c r="E43" s="274">
        <v>4</v>
      </c>
      <c r="F43" s="274">
        <v>4</v>
      </c>
      <c r="G43" s="274">
        <v>2</v>
      </c>
      <c r="H43" s="274">
        <v>13</v>
      </c>
      <c r="I43" s="388">
        <v>640.61</v>
      </c>
      <c r="J43" s="389">
        <v>66878048</v>
      </c>
      <c r="K43" s="438"/>
      <c r="L43" s="390">
        <f>J43+J43*SUM($K$32+SUM($K$37:K43))</f>
        <v>66878048</v>
      </c>
      <c r="M43" s="389">
        <f t="shared" si="11"/>
        <v>104397.44618410578</v>
      </c>
      <c r="O43" s="245">
        <v>13</v>
      </c>
    </row>
    <row r="44" spans="3:20" hidden="1" x14ac:dyDescent="0.25">
      <c r="C44" s="387">
        <v>45536</v>
      </c>
      <c r="D44" s="274">
        <v>1</v>
      </c>
      <c r="E44" s="274">
        <v>3</v>
      </c>
      <c r="F44" s="274">
        <v>7</v>
      </c>
      <c r="G44" s="274">
        <v>1</v>
      </c>
      <c r="H44" s="274">
        <v>12</v>
      </c>
      <c r="I44" s="388">
        <v>627.02</v>
      </c>
      <c r="J44" s="389">
        <v>63713291</v>
      </c>
      <c r="K44" s="438"/>
      <c r="L44" s="390">
        <f>J44+J44*SUM($K$32+SUM($K$37:K44))</f>
        <v>63713291</v>
      </c>
      <c r="M44" s="389">
        <f t="shared" si="11"/>
        <v>101612.85285955791</v>
      </c>
      <c r="O44">
        <v>12</v>
      </c>
      <c r="T44"/>
    </row>
    <row r="45" spans="3:20" hidden="1" x14ac:dyDescent="0.25">
      <c r="C45" s="387">
        <v>45566</v>
      </c>
      <c r="D45" s="274">
        <v>8</v>
      </c>
      <c r="E45" s="274">
        <v>14</v>
      </c>
      <c r="F45" s="274">
        <v>10</v>
      </c>
      <c r="G45" s="274">
        <v>5</v>
      </c>
      <c r="H45" s="274">
        <v>37</v>
      </c>
      <c r="I45" s="388">
        <v>1786.6200000000001</v>
      </c>
      <c r="J45" s="389">
        <v>190870755</v>
      </c>
      <c r="K45" s="438"/>
      <c r="L45" s="390">
        <f>J45+J45*SUM($K$32+SUM($K$36:K45))</f>
        <v>190870755</v>
      </c>
      <c r="M45" s="389">
        <f t="shared" si="11"/>
        <v>106833.43688081404</v>
      </c>
      <c r="O45">
        <v>37</v>
      </c>
      <c r="T45"/>
    </row>
    <row r="46" spans="3:20" hidden="1" x14ac:dyDescent="0.25">
      <c r="C46" s="387">
        <v>45597</v>
      </c>
      <c r="D46" s="274">
        <v>4</v>
      </c>
      <c r="E46" s="274">
        <v>4</v>
      </c>
      <c r="F46" s="274">
        <v>9</v>
      </c>
      <c r="G46" s="274">
        <v>0</v>
      </c>
      <c r="H46" s="274">
        <v>17</v>
      </c>
      <c r="I46" s="388">
        <v>847.85000000000014</v>
      </c>
      <c r="J46" s="389">
        <v>94597661</v>
      </c>
      <c r="K46" s="438"/>
      <c r="L46" s="390">
        <f>J46+J46*SUM($K$32+SUM($K$36:K46))</f>
        <v>94597661</v>
      </c>
      <c r="M46" s="389">
        <f t="shared" si="11"/>
        <v>111573.58141180631</v>
      </c>
      <c r="O46">
        <v>17</v>
      </c>
      <c r="T46"/>
    </row>
    <row r="47" spans="3:20" hidden="1" x14ac:dyDescent="0.25">
      <c r="C47" s="387">
        <v>45627</v>
      </c>
      <c r="D47" s="274">
        <v>3</v>
      </c>
      <c r="E47" s="274">
        <v>2</v>
      </c>
      <c r="F47" s="274">
        <v>8</v>
      </c>
      <c r="G47" s="274">
        <v>1</v>
      </c>
      <c r="H47" s="274">
        <v>14</v>
      </c>
      <c r="I47" s="388">
        <v>740.37</v>
      </c>
      <c r="J47" s="389">
        <v>88854984</v>
      </c>
      <c r="K47" s="438"/>
      <c r="L47" s="390">
        <f>J47+J47*SUM($K$32+SUM($K$36:K47))</f>
        <v>88854984</v>
      </c>
      <c r="M47" s="389">
        <f t="shared" si="11"/>
        <v>120014.29555492524</v>
      </c>
      <c r="O47">
        <v>14</v>
      </c>
      <c r="T47"/>
    </row>
    <row r="48" spans="3:20" s="2" customFormat="1" x14ac:dyDescent="0.25">
      <c r="C48" s="369" t="s">
        <v>3249</v>
      </c>
      <c r="D48" s="370">
        <f t="shared" ref="D48:L48" si="12">SUM(D36:D47)</f>
        <v>34</v>
      </c>
      <c r="E48" s="370">
        <f t="shared" si="12"/>
        <v>78</v>
      </c>
      <c r="F48" s="370">
        <f t="shared" si="12"/>
        <v>92</v>
      </c>
      <c r="G48" s="370">
        <f t="shared" si="12"/>
        <v>30</v>
      </c>
      <c r="H48" s="370">
        <f t="shared" si="12"/>
        <v>234</v>
      </c>
      <c r="I48" s="371">
        <f t="shared" si="12"/>
        <v>11952.460000000001</v>
      </c>
      <c r="J48" s="371">
        <f t="shared" si="12"/>
        <v>1234665562.7272999</v>
      </c>
      <c r="K48" s="372">
        <f t="shared" si="12"/>
        <v>0</v>
      </c>
      <c r="L48" s="370">
        <f t="shared" si="12"/>
        <v>1234665562.7272999</v>
      </c>
      <c r="M48" s="371">
        <f>L48/I48</f>
        <v>103298.02925316629</v>
      </c>
    </row>
    <row r="49" spans="3:20" x14ac:dyDescent="0.25">
      <c r="C49" s="131" t="s">
        <v>106</v>
      </c>
      <c r="D49" s="132">
        <f>D48/$G$6</f>
        <v>0.38636363636363635</v>
      </c>
      <c r="E49" s="132">
        <f>E48/$G$7</f>
        <v>0.39</v>
      </c>
      <c r="F49" s="132">
        <f>F48/$G$8</f>
        <v>0.40174672489082969</v>
      </c>
      <c r="G49" s="132">
        <f>G48/$G$9</f>
        <v>0.47619047619047616</v>
      </c>
      <c r="H49" s="133">
        <f>H48/$G$10</f>
        <v>0.40344827586206894</v>
      </c>
      <c r="J49" s="66"/>
      <c r="K49" s="4"/>
      <c r="M49" s="65"/>
      <c r="T49"/>
    </row>
    <row r="50" spans="3:20" x14ac:dyDescent="0.25">
      <c r="N50" s="765" t="s">
        <v>7134</v>
      </c>
      <c r="O50" s="765"/>
      <c r="P50" s="765"/>
      <c r="Q50" s="765"/>
      <c r="R50" s="20"/>
      <c r="T50"/>
    </row>
    <row r="51" spans="3:20" ht="24" x14ac:dyDescent="0.25">
      <c r="C51" s="102" t="s">
        <v>0</v>
      </c>
      <c r="D51" s="103" t="s">
        <v>4</v>
      </c>
      <c r="E51" s="104" t="s">
        <v>22</v>
      </c>
      <c r="F51" s="104" t="s">
        <v>23</v>
      </c>
      <c r="G51" s="104" t="s">
        <v>24</v>
      </c>
      <c r="H51" s="105" t="s">
        <v>59</v>
      </c>
      <c r="I51" s="106" t="s">
        <v>51</v>
      </c>
      <c r="J51" s="107" t="s">
        <v>33</v>
      </c>
      <c r="K51" s="107" t="s">
        <v>108</v>
      </c>
      <c r="L51" s="107" t="s">
        <v>107</v>
      </c>
      <c r="M51" s="108" t="s">
        <v>17</v>
      </c>
      <c r="N51" s="434" t="s">
        <v>4</v>
      </c>
      <c r="O51" s="435" t="s">
        <v>22</v>
      </c>
      <c r="P51" s="435" t="s">
        <v>23</v>
      </c>
      <c r="Q51" s="435" t="s">
        <v>24</v>
      </c>
      <c r="R51" s="20"/>
      <c r="T51"/>
    </row>
    <row r="52" spans="3:20" s="245" customFormat="1" x14ac:dyDescent="0.25">
      <c r="C52" s="387">
        <v>45658</v>
      </c>
      <c r="D52" s="274">
        <v>0</v>
      </c>
      <c r="E52" s="274">
        <v>1</v>
      </c>
      <c r="F52" s="274">
        <v>1</v>
      </c>
      <c r="G52" s="274">
        <v>0</v>
      </c>
      <c r="H52" s="274">
        <v>2</v>
      </c>
      <c r="I52" s="388">
        <v>94.39</v>
      </c>
      <c r="J52" s="389">
        <v>12488048</v>
      </c>
      <c r="K52" s="438"/>
      <c r="L52" s="390">
        <f>J52+J52*SUM($K$32+$K$48+SUM($K$52:K52))</f>
        <v>12488048</v>
      </c>
      <c r="M52" s="389">
        <f>IFERROR(L52/I52,"")</f>
        <v>132302.65917999789</v>
      </c>
      <c r="N52" s="572" t="str">
        <f ca="1">IFERROR(((D52*P$6)+(D52*P$6)*SUM($K$32+$K$48+SUM($K$52:$K52)))/(D52*P$5),"-")</f>
        <v>-</v>
      </c>
      <c r="O52" s="572">
        <f ca="1">IFERROR(((E52*Q$6)+(E52*Q$6)*SUM($K$32+$K$48+SUM($K$52:$K52)))/(E52*Q$5),"-")</f>
        <v>142700.74394432828</v>
      </c>
      <c r="P52" s="572">
        <f ca="1">IFERROR(((F52*R$6)+(F52*R$6)*SUM($K$32+$K$48+SUM($K$52:$K52)))/(F52*R$5),"-")</f>
        <v>124286.19391749223</v>
      </c>
      <c r="Q52" s="572" t="str">
        <f ca="1">IFERROR(((G52*S$6)+(G52*S$6)*SUM($K$32+$K$48+SUM($K$52:$K52)))/(G52*S$5),"-")</f>
        <v>-</v>
      </c>
      <c r="R52" s="431"/>
    </row>
    <row r="53" spans="3:20" s="245" customFormat="1" x14ac:dyDescent="0.25">
      <c r="C53" s="387">
        <v>45689</v>
      </c>
      <c r="D53" s="274">
        <v>2</v>
      </c>
      <c r="E53" s="274">
        <v>3</v>
      </c>
      <c r="F53" s="274">
        <v>4</v>
      </c>
      <c r="G53" s="274">
        <v>0</v>
      </c>
      <c r="H53" s="274">
        <v>9</v>
      </c>
      <c r="I53" s="388">
        <v>400.63</v>
      </c>
      <c r="J53" s="389">
        <v>52136456</v>
      </c>
      <c r="K53" s="438"/>
      <c r="L53" s="390">
        <f>J53+J53*SUM($K$32+$K$48+SUM($K$52:K53))</f>
        <v>52136456</v>
      </c>
      <c r="M53" s="389">
        <f t="shared" ref="M53:M64" si="13">IFERROR(L53/I53,"")</f>
        <v>130136.17552355041</v>
      </c>
      <c r="N53" s="572">
        <f ca="1">IFERROR(((D53*P$6)+(D53*P$6)*SUM($K$32+$K$48+SUM($K$52:$K53)))/(D53*P$5),"-")</f>
        <v>151376.41416343459</v>
      </c>
      <c r="O53" s="572">
        <f ca="1">IFERROR(((E53*Q$6)+(E53*Q$6)*SUM($K$32+$K$48+SUM($K$52:$K53)))/(E53*Q$5),"-")</f>
        <v>142700.74394432825</v>
      </c>
      <c r="P53" s="572">
        <f ca="1">IFERROR(((F53*R$6)+(F53*R$6)*SUM($K$32+$K$48+SUM($K$52:$K53)))/(F53*R$5),"-")</f>
        <v>124286.19391749223</v>
      </c>
      <c r="Q53" s="572" t="str">
        <f ca="1">IFERROR(((G53*S$6)+(G53*S$6)*SUM($K$32+$K$48+SUM($K$52:$K53)))/(G53*S$5),"-")</f>
        <v>-</v>
      </c>
      <c r="R53" s="431"/>
    </row>
    <row r="54" spans="3:20" s="245" customFormat="1" x14ac:dyDescent="0.25">
      <c r="C54" s="387">
        <v>45717</v>
      </c>
      <c r="D54" s="274">
        <v>1</v>
      </c>
      <c r="E54" s="274">
        <v>2</v>
      </c>
      <c r="F54" s="274">
        <v>2</v>
      </c>
      <c r="G54" s="274">
        <v>2</v>
      </c>
      <c r="H54" s="274">
        <v>7</v>
      </c>
      <c r="I54" s="388">
        <v>382.05000000000007</v>
      </c>
      <c r="J54" s="389">
        <v>42161480</v>
      </c>
      <c r="K54" s="438"/>
      <c r="L54" s="390">
        <f>J54+J54*SUM($K$32+$K$48+SUM($K$52:K54))</f>
        <v>42161480</v>
      </c>
      <c r="M54" s="389">
        <f t="shared" si="13"/>
        <v>110355.92199973823</v>
      </c>
      <c r="N54" s="572">
        <f ca="1">IFERROR(((D54*P$6)+(D54*P$6)*SUM($K$32+$K$48+SUM($K$52:$K54)))/(D54*P$5),"-")</f>
        <v>151376.41416343459</v>
      </c>
      <c r="O54" s="572">
        <f ca="1">IFERROR(((E54*Q$6)+(E54*Q$6)*SUM($K$32+$K$48+SUM($K$52:$K54)))/(E54*Q$5),"-")</f>
        <v>142700.74394432828</v>
      </c>
      <c r="P54" s="572">
        <f ca="1">IFERROR(((F54*R$6)+(F54*R$6)*SUM($K$32+$K$48+SUM($K$52:$K54)))/(F54*R$5),"-")</f>
        <v>124286.19391749223</v>
      </c>
      <c r="Q54" s="572">
        <f ca="1">IFERROR(((G54*S$6)+(G54*S$6)*SUM($K$32+$K$48+SUM($K$52:$K54)))/(G54*S$5),"-")</f>
        <v>119986.23386644268</v>
      </c>
      <c r="R54" s="431"/>
    </row>
    <row r="55" spans="3:20" s="245" customFormat="1" x14ac:dyDescent="0.25">
      <c r="C55" s="387">
        <v>45748</v>
      </c>
      <c r="D55" s="274">
        <v>2</v>
      </c>
      <c r="E55" s="274">
        <v>3</v>
      </c>
      <c r="F55" s="274">
        <v>6</v>
      </c>
      <c r="G55" s="274">
        <v>2</v>
      </c>
      <c r="H55" s="274">
        <v>13</v>
      </c>
      <c r="I55" s="388">
        <v>685</v>
      </c>
      <c r="J55" s="389">
        <v>81624085</v>
      </c>
      <c r="K55" s="438"/>
      <c r="L55" s="390">
        <f>J55+J55*SUM($K$32+$K$48+SUM($K$52:K55))</f>
        <v>81624085</v>
      </c>
      <c r="M55" s="389">
        <f t="shared" si="13"/>
        <v>119159.24817518248</v>
      </c>
      <c r="N55" s="572">
        <f ca="1">IFERROR(((D55*P$6)+(D55*P$6)*SUM($K$32+$K$48+SUM($K$52:$K55)))/(D55*P$5),"-")</f>
        <v>151376.41416343459</v>
      </c>
      <c r="O55" s="572">
        <f ca="1">IFERROR(((E55*Q$6)+(E55*Q$6)*SUM($K$32+$K$48+SUM($K$52:$K55)))/(E55*Q$5),"-")</f>
        <v>142700.74394432825</v>
      </c>
      <c r="P55" s="572">
        <f ca="1">IFERROR(((F55*R$6)+(F55*R$6)*SUM($K$32+$K$48+SUM($K$52:$K55)))/(F55*R$5),"-")</f>
        <v>124286.19391749224</v>
      </c>
      <c r="Q55" s="572">
        <f ca="1">IFERROR(((G55*S$6)+(G55*S$6)*SUM($K$32+$K$48+SUM($K$52:$K55)))/(G55*S$5),"-")</f>
        <v>119986.23386644268</v>
      </c>
      <c r="R55" s="431"/>
    </row>
    <row r="56" spans="3:20" s="245" customFormat="1" x14ac:dyDescent="0.25">
      <c r="C56" s="387">
        <v>45778</v>
      </c>
      <c r="D56" s="274">
        <v>0</v>
      </c>
      <c r="E56" s="274">
        <v>3</v>
      </c>
      <c r="F56" s="274">
        <v>5</v>
      </c>
      <c r="G56" s="274">
        <v>2</v>
      </c>
      <c r="H56" s="274">
        <v>10</v>
      </c>
      <c r="I56" s="388">
        <v>604.85</v>
      </c>
      <c r="J56" s="389">
        <v>69333934</v>
      </c>
      <c r="K56" s="438"/>
      <c r="L56" s="390">
        <f>J56+J56*SUM($K$32+$K$48+SUM($K$52:K56))</f>
        <v>69333934</v>
      </c>
      <c r="M56" s="389">
        <f t="shared" si="13"/>
        <v>114629.96445399686</v>
      </c>
      <c r="N56" s="572" t="str">
        <f ca="1">IFERROR(((D56*P$6)+(D56*P$6)*SUM($K$32+$K$48+SUM($K$52:$K56)))/(D56*P$5),"-")</f>
        <v>-</v>
      </c>
      <c r="O56" s="572">
        <f ca="1">IFERROR(((E56*Q$6)+(E56*Q$6)*SUM($K$32+$K$48+SUM($K$52:$K56)))/(E56*Q$5),"-")</f>
        <v>142700.74394432825</v>
      </c>
      <c r="P56" s="572">
        <f ca="1">IFERROR(((F56*R$6)+(F56*R$6)*SUM($K$32+$K$48+SUM($K$52:$K56)))/(F56*R$5),"-")</f>
        <v>124286.19391749223</v>
      </c>
      <c r="Q56" s="572">
        <f ca="1">IFERROR(((G56*S$6)+(G56*S$6)*SUM($K$32+$K$48+SUM($K$52:$K56)))/(G56*S$5),"-")</f>
        <v>119986.23386644268</v>
      </c>
      <c r="R56" s="431"/>
    </row>
    <row r="57" spans="3:20" s="245" customFormat="1" x14ac:dyDescent="0.25">
      <c r="C57" s="387">
        <v>45809</v>
      </c>
      <c r="D57" s="274">
        <v>4</v>
      </c>
      <c r="E57" s="274">
        <v>7</v>
      </c>
      <c r="F57" s="274">
        <v>8</v>
      </c>
      <c r="G57" s="274">
        <v>2</v>
      </c>
      <c r="H57" s="274">
        <v>21</v>
      </c>
      <c r="I57" s="388">
        <v>1019.6700000000001</v>
      </c>
      <c r="J57" s="389">
        <v>121625459</v>
      </c>
      <c r="K57" s="438"/>
      <c r="L57" s="390">
        <f>J57+J57*SUM($K$32+$K$48+SUM($K$52:K57))</f>
        <v>121625459</v>
      </c>
      <c r="M57" s="389">
        <f t="shared" si="13"/>
        <v>119279.23641962594</v>
      </c>
      <c r="N57" s="572">
        <f ca="1">IFERROR(((D57*P$6)+(D57*P$6)*SUM($K$32+$K$48+SUM($K$52:$K57)))/(D57*P$5),"-")</f>
        <v>151376.41416343459</v>
      </c>
      <c r="O57" s="572">
        <f ca="1">IFERROR(((E57*Q$6)+(E57*Q$6)*SUM($K$32+$K$48+SUM($K$52:$K57)))/(E57*Q$5),"-")</f>
        <v>142700.74394432828</v>
      </c>
      <c r="P57" s="572">
        <f ca="1">IFERROR(((F57*R$6)+(F57*R$6)*SUM($K$32+$K$48+SUM($K$52:$K57)))/(F57*R$5),"-")</f>
        <v>124286.19391749223</v>
      </c>
      <c r="Q57" s="572">
        <f ca="1">IFERROR(((G57*S$6)+(G57*S$6)*SUM($K$32+$K$48+SUM($K$52:$K57)))/(G57*S$5),"-")</f>
        <v>119986.23386644268</v>
      </c>
      <c r="R57" s="431"/>
    </row>
    <row r="58" spans="3:20" s="245" customFormat="1" x14ac:dyDescent="0.25">
      <c r="C58" s="387">
        <v>45839</v>
      </c>
      <c r="D58" s="274">
        <v>1</v>
      </c>
      <c r="E58" s="274">
        <v>1</v>
      </c>
      <c r="F58" s="274">
        <v>2</v>
      </c>
      <c r="G58" s="274">
        <v>0</v>
      </c>
      <c r="H58" s="274">
        <v>4</v>
      </c>
      <c r="I58" s="388">
        <v>193.85000000000002</v>
      </c>
      <c r="J58" s="389">
        <v>22865450</v>
      </c>
      <c r="K58" s="391"/>
      <c r="L58" s="390">
        <f>J58+J58*SUM($K$32+$K$48+SUM($K$52:K58))</f>
        <v>22865450</v>
      </c>
      <c r="M58" s="389">
        <f t="shared" si="13"/>
        <v>117954.34614392571</v>
      </c>
      <c r="N58" s="572">
        <f ca="1">IFERROR(((D58*P$6)+(D58*P$6)*SUM($K$32+$K$48+SUM($K$52:$K58)))/(D58*P$5),"-")</f>
        <v>151376.41416343459</v>
      </c>
      <c r="O58" s="572">
        <f ca="1">IFERROR(((E58*Q$6)+(E58*Q$6)*SUM($K$32+$K$48+SUM($K$52:$K58)))/(E58*Q$5),"-")</f>
        <v>142700.74394432828</v>
      </c>
      <c r="P58" s="572">
        <f ca="1">IFERROR(((F58*R$6)+(F58*R$6)*SUM($K$32+$K$48+SUM($K$52:$K58)))/(F58*R$5),"-")</f>
        <v>124286.19391749223</v>
      </c>
      <c r="Q58" s="572" t="str">
        <f ca="1">IFERROR(((G58*S$6)+(G58*S$6)*SUM($K$32+$K$48+SUM($K$52:$K58)))/(G58*S$5),"-")</f>
        <v>-</v>
      </c>
      <c r="R58" s="431"/>
    </row>
    <row r="59" spans="3:20" s="245" customFormat="1" x14ac:dyDescent="0.25">
      <c r="C59" s="242">
        <v>45870</v>
      </c>
      <c r="D59" s="243">
        <v>1</v>
      </c>
      <c r="E59" s="243">
        <v>5</v>
      </c>
      <c r="F59" s="243">
        <v>5</v>
      </c>
      <c r="G59" s="243">
        <v>3</v>
      </c>
      <c r="H59" s="243">
        <f t="shared" ref="H59:H63" si="14">SUM(D59:G59)</f>
        <v>14</v>
      </c>
      <c r="I59" s="244">
        <f t="shared" ref="I59:I63" ca="1" si="15">D59*$E$6+E59*$E$7+F59*$E$8+G59*$E$9</f>
        <v>771.26043735676103</v>
      </c>
      <c r="J59" s="59">
        <f t="shared" ref="J59:J63" ca="1" si="16">D59*$L$6+E59*$L$7+F59*$L$8+G59*$L$9</f>
        <v>99609445.406695053</v>
      </c>
      <c r="K59" s="374">
        <v>-0.01</v>
      </c>
      <c r="L59" s="60">
        <f ca="1">J59+J59*SUM($K$32+$K$48+SUM($K$52:K59))</f>
        <v>98613350.952628106</v>
      </c>
      <c r="M59" s="59">
        <f t="shared" ca="1" si="13"/>
        <v>127859.98889116186</v>
      </c>
      <c r="N59" s="433">
        <f ca="1">IFERROR(((D59*P$6)+(D59*P$6)*SUM($K$32+$K$48+SUM($K$52:$K59)))/(D59*P$5),"-")</f>
        <v>149862.65002180022</v>
      </c>
      <c r="O59" s="433">
        <f ca="1">IFERROR(((E59*Q$6)+(E59*Q$6)*SUM($K$32+$K$48+SUM($K$52:$K59)))/(E59*Q$5),"-")</f>
        <v>141273.73650488499</v>
      </c>
      <c r="P59" s="433">
        <f ca="1">IFERROR(((F59*R$6)+(F59*R$6)*SUM($K$32+$K$48+SUM($K$52:$K59)))/(F59*R$5),"-")</f>
        <v>123043.33197831731</v>
      </c>
      <c r="Q59" s="433">
        <f ca="1">IFERROR(((G59*S$6)+(G59*S$6)*SUM($K$32+$K$48+SUM($K$52:$K59)))/(G59*S$5),"-")</f>
        <v>118786.37152777826</v>
      </c>
      <c r="R59" s="431"/>
    </row>
    <row r="60" spans="3:20" s="245" customFormat="1" x14ac:dyDescent="0.25">
      <c r="C60" s="242">
        <v>45901</v>
      </c>
      <c r="D60" s="243"/>
      <c r="E60" s="243">
        <v>3</v>
      </c>
      <c r="F60" s="243">
        <v>4</v>
      </c>
      <c r="G60" s="243">
        <v>3</v>
      </c>
      <c r="H60" s="243">
        <f t="shared" si="14"/>
        <v>10</v>
      </c>
      <c r="I60" s="244">
        <f t="shared" ca="1" si="15"/>
        <v>607.07970779220784</v>
      </c>
      <c r="J60" s="59">
        <f t="shared" ca="1" si="16"/>
        <v>76981191.566188753</v>
      </c>
      <c r="K60" s="374"/>
      <c r="L60" s="60">
        <f ca="1">J60+J60*SUM($K$32+$K$48+SUM($K$52:K60))</f>
        <v>76211379.650526866</v>
      </c>
      <c r="M60" s="59">
        <f t="shared" ca="1" si="13"/>
        <v>125537.68256838624</v>
      </c>
      <c r="N60" s="433" t="str">
        <f ca="1">IFERROR(((D60*P$6)+(D60*P$6)*SUM($K$32+$K$48+SUM($K$52:$K60)))/(D60*P$5),"-")</f>
        <v>-</v>
      </c>
      <c r="O60" s="433">
        <f ca="1">IFERROR(((E60*Q$6)+(E60*Q$6)*SUM($K$32+$K$48+SUM($K$52:$K60)))/(E60*Q$5),"-")</f>
        <v>141273.73650488496</v>
      </c>
      <c r="P60" s="433">
        <f ca="1">IFERROR(((F60*R$6)+(F60*R$6)*SUM($K$32+$K$48+SUM($K$52:$K60)))/(F60*R$5),"-")</f>
        <v>123043.33197831732</v>
      </c>
      <c r="Q60" s="433">
        <f ca="1">IFERROR(((G60*S$6)+(G60*S$6)*SUM($K$32+$K$48+SUM($K$52:$K60)))/(G60*S$5),"-")</f>
        <v>118786.37152777826</v>
      </c>
      <c r="R60" s="431"/>
    </row>
    <row r="61" spans="3:20" s="245" customFormat="1" x14ac:dyDescent="0.25">
      <c r="C61" s="242">
        <v>45931</v>
      </c>
      <c r="D61" s="243"/>
      <c r="E61" s="243">
        <v>2</v>
      </c>
      <c r="F61" s="243">
        <v>4</v>
      </c>
      <c r="G61" s="243">
        <v>2</v>
      </c>
      <c r="H61" s="243">
        <f t="shared" si="14"/>
        <v>8</v>
      </c>
      <c r="I61" s="244">
        <f t="shared" ca="1" si="15"/>
        <v>488.20551948051957</v>
      </c>
      <c r="J61" s="59">
        <f t="shared" ca="1" si="16"/>
        <v>61740001.933071874</v>
      </c>
      <c r="K61" s="374">
        <v>0.03</v>
      </c>
      <c r="L61" s="60">
        <f ca="1">J61+J61*SUM($K$32+$K$48+SUM($K$52:K61))</f>
        <v>62974801.971733309</v>
      </c>
      <c r="M61" s="59">
        <f t="shared" ca="1" si="13"/>
        <v>128992.40065688388</v>
      </c>
      <c r="N61" s="433" t="str">
        <f ca="1">IFERROR(((D61*P$6)+(D61*P$6)*SUM($K$32+$K$48+SUM($K$52:$K61)))/(D61*P$5),"-")</f>
        <v>-</v>
      </c>
      <c r="O61" s="433">
        <f ca="1">IFERROR(((E61*Q$6)+(E61*Q$6)*SUM($K$32+$K$48+SUM($K$52:$K61)))/(E61*Q$5),"-")</f>
        <v>145554.75882321486</v>
      </c>
      <c r="P61" s="433">
        <f ca="1">IFERROR(((F61*R$6)+(F61*R$6)*SUM($K$32+$K$48+SUM($K$52:$K61)))/(F61*R$5),"-")</f>
        <v>126771.91779584208</v>
      </c>
      <c r="Q61" s="433">
        <f ca="1">IFERROR(((G61*S$6)+(G61*S$6)*SUM($K$32+$K$48+SUM($K$52:$K61)))/(G61*S$5),"-")</f>
        <v>122385.95854377154</v>
      </c>
      <c r="R61" s="431"/>
    </row>
    <row r="62" spans="3:20" s="245" customFormat="1" x14ac:dyDescent="0.25">
      <c r="C62" s="242">
        <v>45962</v>
      </c>
      <c r="D62" s="243"/>
      <c r="E62" s="243">
        <v>2</v>
      </c>
      <c r="F62" s="243">
        <v>4</v>
      </c>
      <c r="G62" s="243">
        <v>2</v>
      </c>
      <c r="H62" s="243">
        <f t="shared" si="14"/>
        <v>8</v>
      </c>
      <c r="I62" s="244">
        <f t="shared" ca="1" si="15"/>
        <v>488.20551948051957</v>
      </c>
      <c r="J62" s="59">
        <f t="shared" ca="1" si="16"/>
        <v>61740001.933071874</v>
      </c>
      <c r="K62" s="374"/>
      <c r="L62" s="60">
        <f ca="1">J62+J62*SUM($K$32+$K$48+SUM($K$52:K62))</f>
        <v>62974801.971733309</v>
      </c>
      <c r="M62" s="59">
        <f t="shared" ca="1" si="13"/>
        <v>128992.40065688388</v>
      </c>
      <c r="N62" s="433" t="str">
        <f ca="1">IFERROR(((D62*P$6)+(D62*P$6)*SUM($K$32+$K$48+SUM($K$52:$K62)))/(D62*P$5),"-")</f>
        <v>-</v>
      </c>
      <c r="O62" s="433">
        <f ca="1">IFERROR(((E62*Q$6)+(E62*Q$6)*SUM($K$32+$K$48+SUM($K$52:$K62)))/(E62*Q$5),"-")</f>
        <v>145554.75882321486</v>
      </c>
      <c r="P62" s="433">
        <f ca="1">IFERROR(((F62*R$6)+(F62*R$6)*SUM($K$32+$K$48+SUM($K$52:$K62)))/(F62*R$5),"-")</f>
        <v>126771.91779584208</v>
      </c>
      <c r="Q62" s="433">
        <f ca="1">IFERROR(((G62*S$6)+(G62*S$6)*SUM($K$32+$K$48+SUM($K$52:$K62)))/(G62*S$5),"-")</f>
        <v>122385.95854377154</v>
      </c>
      <c r="R62" s="431"/>
    </row>
    <row r="63" spans="3:20" s="245" customFormat="1" x14ac:dyDescent="0.25">
      <c r="C63" s="242">
        <v>45992</v>
      </c>
      <c r="D63" s="243"/>
      <c r="E63" s="243">
        <v>2</v>
      </c>
      <c r="F63" s="243">
        <v>2</v>
      </c>
      <c r="G63" s="243">
        <v>1</v>
      </c>
      <c r="H63" s="243">
        <f t="shared" si="14"/>
        <v>5</v>
      </c>
      <c r="I63" s="244">
        <f t="shared" ca="1" si="15"/>
        <v>282.1448051948052</v>
      </c>
      <c r="J63" s="59">
        <f t="shared" ca="1" si="16"/>
        <v>36336769.171081387</v>
      </c>
      <c r="K63" s="374">
        <v>0.01</v>
      </c>
      <c r="L63" s="60">
        <f ca="1">J63+J63*SUM($K$32+$K$48+SUM($K$52:K63))</f>
        <v>37426872.246213831</v>
      </c>
      <c r="M63" s="59">
        <f t="shared" ca="1" si="13"/>
        <v>132651.28954039281</v>
      </c>
      <c r="N63" s="433" t="str">
        <f ca="1">IFERROR(((D63*P$6)+(D63*P$6)*SUM($K$32+$K$48+SUM($K$52:$K63)))/(D63*P$5),"-")</f>
        <v>-</v>
      </c>
      <c r="O63" s="433">
        <f ca="1">IFERROR(((E63*Q$6)+(E63*Q$6)*SUM($K$32+$K$48+SUM($K$52:$K63)))/(E63*Q$5),"-")</f>
        <v>146981.76626265812</v>
      </c>
      <c r="P63" s="433">
        <f ca="1">IFERROR(((F63*R$6)+(F63*R$6)*SUM($K$32+$K$48+SUM($K$52:$K63)))/(F63*R$5),"-")</f>
        <v>128014.779735017</v>
      </c>
      <c r="Q63" s="433">
        <f ca="1">IFERROR(((G63*S$6)+(G63*S$6)*SUM($K$32+$K$48+SUM($K$52:$K63)))/(G63*S$5),"-")</f>
        <v>123585.82088243598</v>
      </c>
      <c r="R63" s="431"/>
    </row>
    <row r="64" spans="3:20" x14ac:dyDescent="0.25">
      <c r="C64" s="36" t="s">
        <v>4561</v>
      </c>
      <c r="D64" s="64">
        <f t="shared" ref="D64:L64" si="17">SUM(D52:D63)</f>
        <v>11</v>
      </c>
      <c r="E64" s="64">
        <f t="shared" si="17"/>
        <v>34</v>
      </c>
      <c r="F64" s="64">
        <f t="shared" si="17"/>
        <v>47</v>
      </c>
      <c r="G64" s="64">
        <f t="shared" si="17"/>
        <v>19</v>
      </c>
      <c r="H64" s="64">
        <f t="shared" si="17"/>
        <v>111</v>
      </c>
      <c r="I64" s="48">
        <f t="shared" ca="1" si="17"/>
        <v>6017.3359893048146</v>
      </c>
      <c r="J64" s="48">
        <f t="shared" ca="1" si="17"/>
        <v>738642322.01010895</v>
      </c>
      <c r="K64" s="37">
        <f t="shared" si="17"/>
        <v>0.03</v>
      </c>
      <c r="L64" s="49">
        <f t="shared" ca="1" si="17"/>
        <v>740436118.79283547</v>
      </c>
      <c r="M64" s="48">
        <f t="shared" ca="1" si="13"/>
        <v>123050.48614684027</v>
      </c>
      <c r="N64" s="338">
        <f ca="1">IFERROR(((D64*P$6)+(D64*P$6)*SUM($K$32+$K$48+SUM($K$64:$K64)))/(D64*P$5),"-")</f>
        <v>155917.70658833761</v>
      </c>
      <c r="O64" s="338">
        <f ca="1">IFERROR(((E64*Q$6)+(E64*Q$6)*SUM($K$32+$K$48+SUM($K$64:$K64)))/(E64*Q$5),"-")</f>
        <v>146981.76626265812</v>
      </c>
      <c r="P64" s="338">
        <f ca="1">IFERROR(((F64*R$6)+(F64*R$6)*SUM($K$32+$K$48+SUM($K$64:$K64)))/(F64*R$5),"-")</f>
        <v>128014.77973501701</v>
      </c>
      <c r="Q64" s="338">
        <f ca="1">IFERROR(((G64*S$6)+(G64*S$6)*SUM($K$32+$K$48+SUM($K$64:$K64)))/(G64*S$5),"-")</f>
        <v>123585.82088243596</v>
      </c>
      <c r="R64" s="20"/>
      <c r="T64"/>
    </row>
    <row r="65" spans="3:20" x14ac:dyDescent="0.25">
      <c r="C65" s="131" t="s">
        <v>106</v>
      </c>
      <c r="D65" s="132">
        <f>D64/$G$6</f>
        <v>0.125</v>
      </c>
      <c r="E65" s="132">
        <f>E64/$G$7</f>
        <v>0.17</v>
      </c>
      <c r="F65" s="132">
        <f>F64/$G$8</f>
        <v>0.20524017467248909</v>
      </c>
      <c r="G65" s="132">
        <f>G64/$G$9</f>
        <v>0.30158730158730157</v>
      </c>
      <c r="H65" s="133">
        <f>H64/$G$10</f>
        <v>0.19137931034482758</v>
      </c>
      <c r="J65" s="66"/>
      <c r="K65" s="4"/>
      <c r="M65" s="65"/>
      <c r="R65" s="20"/>
      <c r="T65"/>
    </row>
    <row r="66" spans="3:20" x14ac:dyDescent="0.25">
      <c r="N66" s="766" t="s">
        <v>7134</v>
      </c>
      <c r="O66" s="766"/>
      <c r="P66" s="766"/>
      <c r="Q66" s="766"/>
      <c r="R66" s="20"/>
      <c r="T66"/>
    </row>
    <row r="67" spans="3:20" ht="24" x14ac:dyDescent="0.25">
      <c r="C67" s="102" t="s">
        <v>0</v>
      </c>
      <c r="D67" s="103" t="s">
        <v>4</v>
      </c>
      <c r="E67" s="104" t="s">
        <v>22</v>
      </c>
      <c r="F67" s="104" t="s">
        <v>23</v>
      </c>
      <c r="G67" s="104" t="s">
        <v>24</v>
      </c>
      <c r="H67" s="105" t="s">
        <v>59</v>
      </c>
      <c r="I67" s="106" t="s">
        <v>51</v>
      </c>
      <c r="J67" s="107" t="s">
        <v>33</v>
      </c>
      <c r="K67" s="107" t="s">
        <v>108</v>
      </c>
      <c r="L67" s="107" t="s">
        <v>107</v>
      </c>
      <c r="M67" s="108" t="s">
        <v>17</v>
      </c>
      <c r="N67" s="434" t="s">
        <v>4</v>
      </c>
      <c r="O67" s="435" t="s">
        <v>22</v>
      </c>
      <c r="P67" s="435" t="s">
        <v>23</v>
      </c>
      <c r="Q67" s="435" t="s">
        <v>24</v>
      </c>
      <c r="R67" s="20"/>
      <c r="T67"/>
    </row>
    <row r="68" spans="3:20" x14ac:dyDescent="0.25">
      <c r="C68" s="195">
        <v>46023</v>
      </c>
      <c r="D68" s="194">
        <v>2</v>
      </c>
      <c r="E68" s="194">
        <v>2</v>
      </c>
      <c r="F68" s="194">
        <v>2</v>
      </c>
      <c r="G68" s="194"/>
      <c r="H68" s="194">
        <f t="shared" ref="H68:H79" si="18">SUM(D68:G68)</f>
        <v>6</v>
      </c>
      <c r="I68" s="69">
        <f t="shared" ref="I68:I79" ca="1" si="19">D68*$E$6+E68*$E$7+F68*$E$8+G68*$E$9</f>
        <v>252.27736822001529</v>
      </c>
      <c r="J68" s="58">
        <f t="shared" ref="J68:J79" ca="1" si="20">D68*$L$6+E68*$L$7+F68*$L$8+G68*$L$9</f>
        <v>34322971.271921724</v>
      </c>
      <c r="K68" s="61"/>
      <c r="L68" s="50">
        <f ca="1">J68+J68*SUM($K$32+$K$48+$K$64+SUM($K$68:K68))</f>
        <v>35352660.410079375</v>
      </c>
      <c r="M68" s="58">
        <f ca="1">IFERROR(L68/I68,"")</f>
        <v>140134.0939122519</v>
      </c>
      <c r="N68" s="51">
        <f ca="1">IFERROR(((D68*P$6)+(D68*P$6)*SUM($K$32+$K$48+$K$64+SUM($K$68:$K68)))/(D68*P$5),"-")</f>
        <v>155917.70658833761</v>
      </c>
      <c r="O68" s="51">
        <f ca="1">IFERROR(((E68*Q$6)+(E68*Q$6)*SUM($K$32+$K$48+$K$64+SUM($K$68:$K68)))/(E68*Q$5),"-")</f>
        <v>146981.76626265812</v>
      </c>
      <c r="P68" s="51">
        <f ca="1">IFERROR(((F68*R$6)+(F68*R$6)*SUM($K$32+$K$48+$K$64+SUM($K$68:$K68)))/(F68*R$5),"-")</f>
        <v>128014.779735017</v>
      </c>
      <c r="Q68" s="51" t="str">
        <f ca="1">IFERROR(((G68*S$6)+(G68*S$6)*SUM($K$32+$K$48+$K$64+SUM($K$68:$K68)))/(G68*S$5),"-")</f>
        <v>-</v>
      </c>
      <c r="R68" s="20"/>
      <c r="T68"/>
    </row>
    <row r="69" spans="3:20" x14ac:dyDescent="0.25">
      <c r="C69" s="195">
        <v>46054</v>
      </c>
      <c r="D69" s="194">
        <v>1</v>
      </c>
      <c r="E69" s="194">
        <v>2</v>
      </c>
      <c r="F69" s="194">
        <v>3</v>
      </c>
      <c r="G69" s="194"/>
      <c r="H69" s="194">
        <f t="shared" si="18"/>
        <v>6</v>
      </c>
      <c r="I69" s="69">
        <f t="shared" ca="1" si="19"/>
        <v>289.40930099312459</v>
      </c>
      <c r="J69" s="58">
        <f t="shared" ca="1" si="20"/>
        <v>38257065.17392537</v>
      </c>
      <c r="K69" s="61"/>
      <c r="L69" s="50">
        <f ca="1">J69+J69*SUM($K$32+$K$48+$K$64+SUM($K$68:K69))</f>
        <v>39404777.129143134</v>
      </c>
      <c r="M69" s="58">
        <f t="shared" ref="M69:M80" ca="1" si="21">IFERROR(L69/I69,"")</f>
        <v>136155.87679429576</v>
      </c>
      <c r="N69" s="51">
        <f ca="1">IFERROR(((D69*P$6)+(D69*P$6)*SUM($K$32+$K$48+$K$64+SUM($K$68:$K69)))/(D69*P$5),"-")</f>
        <v>155917.70658833761</v>
      </c>
      <c r="O69" s="51">
        <f ca="1">IFERROR(((E69*Q$6)+(E69*Q$6)*SUM($K$32+$K$48+$K$64+SUM($K$68:$K69)))/(E69*Q$5),"-")</f>
        <v>146981.76626265812</v>
      </c>
      <c r="P69" s="51">
        <f ca="1">IFERROR(((F69*R$6)+(F69*R$6)*SUM($K$32+$K$48+$K$64+SUM($K$68:$K69)))/(F69*R$5),"-")</f>
        <v>128014.77973501701</v>
      </c>
      <c r="Q69" s="51" t="str">
        <f ca="1">IFERROR(((G69*S$6)+(G69*S$6)*SUM($K$32+$K$48+$K$64+SUM($K$68:$K69)))/(G69*S$5),"-")</f>
        <v>-</v>
      </c>
      <c r="R69" s="20"/>
      <c r="T69"/>
    </row>
    <row r="70" spans="3:20" x14ac:dyDescent="0.25">
      <c r="C70" s="136">
        <v>46082</v>
      </c>
      <c r="D70" s="148">
        <v>1</v>
      </c>
      <c r="E70" s="148">
        <v>4</v>
      </c>
      <c r="F70" s="148">
        <v>5</v>
      </c>
      <c r="G70" s="148"/>
      <c r="H70" s="39">
        <f t="shared" si="18"/>
        <v>10</v>
      </c>
      <c r="I70" s="69">
        <f t="shared" ca="1" si="19"/>
        <v>490.72196333078688</v>
      </c>
      <c r="J70" s="58">
        <f t="shared" ca="1" si="20"/>
        <v>64819412.916435331</v>
      </c>
      <c r="K70" s="61"/>
      <c r="L70" s="50">
        <f ca="1">J70+J70*SUM($K$32+$K$48+$K$64+SUM($K$68:K70))</f>
        <v>66763995.30392839</v>
      </c>
      <c r="M70" s="58">
        <f t="shared" ca="1" si="21"/>
        <v>136052.59249202177</v>
      </c>
      <c r="N70" s="51">
        <f ca="1">IFERROR(((D70*P$6)+(D70*P$6)*SUM($K$32+$K$48+$K$64+SUM($K$68:$K70)))/(D70*P$5),"-")</f>
        <v>155917.70658833761</v>
      </c>
      <c r="O70" s="51">
        <f ca="1">IFERROR(((E70*Q$6)+(E70*Q$6)*SUM($K$32+$K$48+$K$64+SUM($K$68:$K70)))/(E70*Q$5),"-")</f>
        <v>146981.76626265812</v>
      </c>
      <c r="P70" s="51">
        <f ca="1">IFERROR(((F70*R$6)+(F70*R$6)*SUM($K$32+$K$48+$K$64+SUM($K$68:$K70)))/(F70*R$5),"-")</f>
        <v>128014.77973501701</v>
      </c>
      <c r="Q70" s="51" t="str">
        <f ca="1">IFERROR(((G70*S$6)+(G70*S$6)*SUM($K$32+$K$48+$K$64+SUM($K$68:$K70)))/(G70*S$5),"-")</f>
        <v>-</v>
      </c>
      <c r="R70" s="20"/>
      <c r="T70"/>
    </row>
    <row r="71" spans="3:20" x14ac:dyDescent="0.25">
      <c r="C71" s="136">
        <v>46113</v>
      </c>
      <c r="D71" s="148">
        <v>1</v>
      </c>
      <c r="E71" s="148">
        <v>3</v>
      </c>
      <c r="F71" s="148">
        <v>6</v>
      </c>
      <c r="G71" s="148"/>
      <c r="H71" s="39">
        <f t="shared" si="18"/>
        <v>10</v>
      </c>
      <c r="I71" s="69">
        <f t="shared" ca="1" si="19"/>
        <v>515.2942035905271</v>
      </c>
      <c r="J71" s="58">
        <f t="shared" ca="1" si="20"/>
        <v>67167050.378599405</v>
      </c>
      <c r="K71" s="61"/>
      <c r="L71" s="50">
        <f ca="1">J71+J71*SUM($K$32+$K$48+$K$64+SUM($K$68:K71))</f>
        <v>69182061.889957383</v>
      </c>
      <c r="M71" s="58">
        <f t="shared" ca="1" si="21"/>
        <v>134257.40364999749</v>
      </c>
      <c r="N71" s="51">
        <f ca="1">IFERROR(((D71*P$6)+(D71*P$6)*SUM($K$32+$K$48+$K$64+SUM($K$68:$K71)))/(D71*P$5),"-")</f>
        <v>155917.70658833761</v>
      </c>
      <c r="O71" s="51">
        <f ca="1">IFERROR(((E71*Q$6)+(E71*Q$6)*SUM($K$32+$K$48+$K$64+SUM($K$68:$K71)))/(E71*Q$5),"-")</f>
        <v>146981.76626265812</v>
      </c>
      <c r="P71" s="51">
        <f ca="1">IFERROR(((F71*R$6)+(F71*R$6)*SUM($K$32+$K$48+$K$64+SUM($K$68:$K71)))/(F71*R$5),"-")</f>
        <v>128014.77973501701</v>
      </c>
      <c r="Q71" s="51" t="str">
        <f ca="1">IFERROR(((G71*S$6)+(G71*S$6)*SUM($K$32+$K$48+$K$64+SUM($K$68:$K71)))/(G71*S$5),"-")</f>
        <v>-</v>
      </c>
      <c r="R71" s="20"/>
      <c r="T71"/>
    </row>
    <row r="72" spans="3:20" x14ac:dyDescent="0.25">
      <c r="C72" s="136">
        <v>46143</v>
      </c>
      <c r="D72" s="148">
        <v>1</v>
      </c>
      <c r="E72" s="148">
        <v>3</v>
      </c>
      <c r="F72" s="148">
        <v>5</v>
      </c>
      <c r="G72" s="148">
        <v>1</v>
      </c>
      <c r="H72" s="39">
        <f t="shared" si="18"/>
        <v>10</v>
      </c>
      <c r="I72" s="69">
        <f t="shared" ca="1" si="19"/>
        <v>533.51206073338426</v>
      </c>
      <c r="J72" s="58">
        <f t="shared" ca="1" si="20"/>
        <v>69127066.140461311</v>
      </c>
      <c r="K72" s="61"/>
      <c r="L72" s="50">
        <f ca="1">J72+J72*SUM($K$32+$K$48+$K$64+SUM($K$68:K72))</f>
        <v>71200878.124675155</v>
      </c>
      <c r="M72" s="58">
        <f t="shared" ca="1" si="21"/>
        <v>133456.92321706831</v>
      </c>
      <c r="N72" s="51">
        <f ca="1">IFERROR(((D72*P$6)+(D72*P$6)*SUM($K$32+$K$48+$K$64+SUM($K$68:$K72)))/(D72*P$5),"-")</f>
        <v>155917.70658833761</v>
      </c>
      <c r="O72" s="51">
        <f ca="1">IFERROR(((E72*Q$6)+(E72*Q$6)*SUM($K$32+$K$48+$K$64+SUM($K$68:$K72)))/(E72*Q$5),"-")</f>
        <v>146981.76626265812</v>
      </c>
      <c r="P72" s="51">
        <f ca="1">IFERROR(((F72*R$6)+(F72*R$6)*SUM($K$32+$K$48+$K$64+SUM($K$68:$K72)))/(F72*R$5),"-")</f>
        <v>128014.77973501701</v>
      </c>
      <c r="Q72" s="51">
        <f ca="1">IFERROR(((G72*S$6)+(G72*S$6)*SUM($K$32+$K$48+$K$64+SUM($K$68:$K72)))/(G72*S$5),"-")</f>
        <v>123585.82088243598</v>
      </c>
      <c r="R72" s="20"/>
      <c r="T72"/>
    </row>
    <row r="73" spans="3:20" s="245" customFormat="1" x14ac:dyDescent="0.25">
      <c r="C73" s="195">
        <v>46174</v>
      </c>
      <c r="D73" s="194">
        <v>1</v>
      </c>
      <c r="E73" s="194">
        <v>2</v>
      </c>
      <c r="F73" s="194">
        <v>3</v>
      </c>
      <c r="G73" s="194">
        <v>1</v>
      </c>
      <c r="H73" s="194">
        <f t="shared" si="18"/>
        <v>7</v>
      </c>
      <c r="I73" s="244">
        <f t="shared" ca="1" si="19"/>
        <v>370.24144385026744</v>
      </c>
      <c r="J73" s="59">
        <f t="shared" ca="1" si="20"/>
        <v>48031486.602496803</v>
      </c>
      <c r="K73" s="294"/>
      <c r="L73" s="50">
        <f ca="1">J73+J73*SUM($K$32+$K$48+$K$64+SUM($K$68:K73))</f>
        <v>49472431.200571708</v>
      </c>
      <c r="M73" s="59">
        <f t="shared" ca="1" si="21"/>
        <v>133622.07830136726</v>
      </c>
      <c r="N73" s="433">
        <f ca="1">IFERROR(((D73*P$6)+(D73*P$6)*SUM($K$32+$K$48+$K$64+SUM($K$68:$K73)))/(D73*P$5),"-")</f>
        <v>155917.70658833761</v>
      </c>
      <c r="O73" s="433">
        <f ca="1">IFERROR(((E73*Q$6)+(E73*Q$6)*SUM($K$32+$K$48+$K$64+SUM($K$68:$K73)))/(E73*Q$5),"-")</f>
        <v>146981.76626265812</v>
      </c>
      <c r="P73" s="433">
        <f ca="1">IFERROR(((F73*R$6)+(F73*R$6)*SUM($K$32+$K$48+$K$64+SUM($K$68:$K73)))/(F73*R$5),"-")</f>
        <v>128014.77973501701</v>
      </c>
      <c r="Q73" s="433">
        <f ca="1">IFERROR(((G73*S$6)+(G73*S$6)*SUM($K$32+$K$48+$K$64+SUM($K$68:$K73)))/(G73*S$5),"-")</f>
        <v>123585.82088243598</v>
      </c>
      <c r="R73" s="431"/>
    </row>
    <row r="74" spans="3:20" x14ac:dyDescent="0.25">
      <c r="C74" s="195">
        <v>46204</v>
      </c>
      <c r="D74" s="194">
        <v>1</v>
      </c>
      <c r="E74" s="194">
        <v>2</v>
      </c>
      <c r="F74" s="194">
        <v>3</v>
      </c>
      <c r="G74" s="194"/>
      <c r="H74" s="194">
        <f t="shared" si="18"/>
        <v>6</v>
      </c>
      <c r="I74" s="69">
        <f t="shared" ca="1" si="19"/>
        <v>289.40930099312459</v>
      </c>
      <c r="J74" s="58">
        <f t="shared" ca="1" si="20"/>
        <v>38257065.17392537</v>
      </c>
      <c r="K74" s="42"/>
      <c r="L74" s="50">
        <f ca="1">J74+J74*SUM($K$32+$K$48+$K$64+SUM($K$68:K74))</f>
        <v>39404777.129143134</v>
      </c>
      <c r="M74" s="58">
        <f t="shared" ca="1" si="21"/>
        <v>136155.87679429576</v>
      </c>
      <c r="N74" s="51">
        <f ca="1">IFERROR(((D74*P$6)+(D74*P$6)*SUM($K$32+$K$48+$K$64+SUM($K$68:$K74)))/(D74*P$5),"-")</f>
        <v>155917.70658833761</v>
      </c>
      <c r="O74" s="51">
        <f ca="1">IFERROR(((E74*Q$6)+(E74*Q$6)*SUM($K$32+$K$48+$K$64+SUM($K$68:$K74)))/(E74*Q$5),"-")</f>
        <v>146981.76626265812</v>
      </c>
      <c r="P74" s="51">
        <f ca="1">IFERROR(((F74*R$6)+(F74*R$6)*SUM($K$32+$K$48+$K$64+SUM($K$68:$K74)))/(F74*R$5),"-")</f>
        <v>128014.77973501701</v>
      </c>
      <c r="Q74" s="51" t="str">
        <f ca="1">IFERROR(((G74*S$6)+(G74*S$6)*SUM($K$32+$K$48+$K$64+SUM($K$68:$K74)))/(G74*S$5),"-")</f>
        <v>-</v>
      </c>
      <c r="R74" s="20"/>
      <c r="T74"/>
    </row>
    <row r="75" spans="3:20" x14ac:dyDescent="0.25">
      <c r="C75" s="195">
        <v>46235</v>
      </c>
      <c r="D75" s="194">
        <v>2</v>
      </c>
      <c r="E75" s="194">
        <v>2</v>
      </c>
      <c r="F75" s="194">
        <v>3</v>
      </c>
      <c r="G75" s="194"/>
      <c r="H75" s="194">
        <f t="shared" si="18"/>
        <v>7</v>
      </c>
      <c r="I75" s="69">
        <f t="shared" ca="1" si="19"/>
        <v>314.89165393430102</v>
      </c>
      <c r="J75" s="58">
        <f t="shared" ca="1" si="20"/>
        <v>42137376.938631259</v>
      </c>
      <c r="K75" s="42"/>
      <c r="L75" s="50">
        <f ca="1">J75+J75*SUM($K$32+$K$48+$K$64+SUM($K$68:K75))</f>
        <v>43401498.246790193</v>
      </c>
      <c r="M75" s="58">
        <f t="shared" ca="1" si="21"/>
        <v>137829.9415196488</v>
      </c>
      <c r="N75" s="51">
        <f ca="1">IFERROR(((D75*P$6)+(D75*P$6)*SUM($K$32+$K$48+$K$64+SUM($K$68:$K75)))/(D75*P$5),"-")</f>
        <v>155917.70658833761</v>
      </c>
      <c r="O75" s="51">
        <f ca="1">IFERROR(((E75*Q$6)+(E75*Q$6)*SUM($K$32+$K$48+$K$64+SUM($K$68:$K75)))/(E75*Q$5),"-")</f>
        <v>146981.76626265812</v>
      </c>
      <c r="P75" s="51">
        <f ca="1">IFERROR(((F75*R$6)+(F75*R$6)*SUM($K$32+$K$48+$K$64+SUM($K$68:$K75)))/(F75*R$5),"-")</f>
        <v>128014.77973501701</v>
      </c>
      <c r="Q75" s="51" t="str">
        <f ca="1">IFERROR(((G75*S$6)+(G75*S$6)*SUM($K$32+$K$48+$K$64+SUM($K$68:$K75)))/(G75*S$5),"-")</f>
        <v>-</v>
      </c>
      <c r="R75" s="20"/>
      <c r="T75"/>
    </row>
    <row r="76" spans="3:20" x14ac:dyDescent="0.25">
      <c r="C76" s="136">
        <v>46266</v>
      </c>
      <c r="D76" s="148">
        <v>1</v>
      </c>
      <c r="E76" s="148">
        <v>3</v>
      </c>
      <c r="F76" s="148">
        <v>4</v>
      </c>
      <c r="G76" s="148">
        <v>1</v>
      </c>
      <c r="H76" s="39">
        <f t="shared" si="18"/>
        <v>9</v>
      </c>
      <c r="I76" s="69">
        <f t="shared" ca="1" si="19"/>
        <v>470.89777501909856</v>
      </c>
      <c r="J76" s="58">
        <f t="shared" ca="1" si="20"/>
        <v>61312660.473751783</v>
      </c>
      <c r="K76" s="42"/>
      <c r="L76" s="50">
        <f ca="1">J76+J76*SUM($K$32+$K$48+$K$64+SUM($K$68:K76))</f>
        <v>63152040.287964337</v>
      </c>
      <c r="M76" s="58">
        <f t="shared" ca="1" si="21"/>
        <v>134109.87190458275</v>
      </c>
      <c r="N76" s="51">
        <f ca="1">IFERROR(((D76*P$6)+(D76*P$6)*SUM($K$32+$K$48+$K$64+SUM($K$68:$K76)))/(D76*P$5),"-")</f>
        <v>155917.70658833761</v>
      </c>
      <c r="O76" s="51">
        <f ca="1">IFERROR(((E76*Q$6)+(E76*Q$6)*SUM($K$32+$K$48+$K$64+SUM($K$68:$K76)))/(E76*Q$5),"-")</f>
        <v>146981.76626265812</v>
      </c>
      <c r="P76" s="51">
        <f ca="1">IFERROR(((F76*R$6)+(F76*R$6)*SUM($K$32+$K$48+$K$64+SUM($K$68:$K76)))/(F76*R$5),"-")</f>
        <v>128014.779735017</v>
      </c>
      <c r="Q76" s="51">
        <f ca="1">IFERROR(((G76*S$6)+(G76*S$6)*SUM($K$32+$K$48+$K$64+SUM($K$68:$K76)))/(G76*S$5),"-")</f>
        <v>123585.82088243598</v>
      </c>
      <c r="R76" s="20"/>
      <c r="T76"/>
    </row>
    <row r="77" spans="3:20" x14ac:dyDescent="0.25">
      <c r="C77" s="136">
        <v>46296</v>
      </c>
      <c r="D77" s="148">
        <v>1</v>
      </c>
      <c r="E77" s="148">
        <v>3</v>
      </c>
      <c r="F77" s="148">
        <v>4</v>
      </c>
      <c r="G77" s="148"/>
      <c r="H77" s="39">
        <f t="shared" si="18"/>
        <v>8</v>
      </c>
      <c r="I77" s="69">
        <f t="shared" ca="1" si="19"/>
        <v>390.0656321619557</v>
      </c>
      <c r="J77" s="58">
        <f t="shared" ca="1" si="20"/>
        <v>51538239.045180351</v>
      </c>
      <c r="K77" s="42"/>
      <c r="L77" s="50">
        <f ca="1">J77+J77*SUM($K$32+$K$48+$K$64+SUM($K$68:K77))</f>
        <v>53084386.216535762</v>
      </c>
      <c r="M77" s="58">
        <f t="shared" ca="1" si="21"/>
        <v>136090.90839998706</v>
      </c>
      <c r="N77" s="51">
        <f ca="1">IFERROR(((D77*P$6)+(D77*P$6)*SUM($K$32+$K$48+$K$64+SUM($K$68:$K77)))/(D77*P$5),"-")</f>
        <v>155917.70658833761</v>
      </c>
      <c r="O77" s="51">
        <f ca="1">IFERROR(((E77*Q$6)+(E77*Q$6)*SUM($K$32+$K$48+$K$64+SUM($K$68:$K77)))/(E77*Q$5),"-")</f>
        <v>146981.76626265812</v>
      </c>
      <c r="P77" s="51">
        <f ca="1">IFERROR(((F77*R$6)+(F77*R$6)*SUM($K$32+$K$48+$K$64+SUM($K$68:$K77)))/(F77*R$5),"-")</f>
        <v>128014.779735017</v>
      </c>
      <c r="Q77" s="51" t="str">
        <f ca="1">IFERROR(((G77*S$6)+(G77*S$6)*SUM($K$32+$K$48+$K$64+SUM($K$68:$K77)))/(G77*S$5),"-")</f>
        <v>-</v>
      </c>
      <c r="R77" s="20"/>
      <c r="T77"/>
    </row>
    <row r="78" spans="3:20" x14ac:dyDescent="0.25">
      <c r="C78" s="136">
        <v>46327</v>
      </c>
      <c r="D78" s="148">
        <v>2</v>
      </c>
      <c r="E78" s="148">
        <v>2</v>
      </c>
      <c r="F78" s="148">
        <v>3</v>
      </c>
      <c r="G78" s="148"/>
      <c r="H78" s="39">
        <f t="shared" si="18"/>
        <v>7</v>
      </c>
      <c r="I78" s="69">
        <f t="shared" ca="1" si="19"/>
        <v>314.89165393430102</v>
      </c>
      <c r="J78" s="58">
        <f t="shared" ca="1" si="20"/>
        <v>42137376.938631259</v>
      </c>
      <c r="K78" s="40"/>
      <c r="L78" s="50">
        <f ca="1">J78+J78*SUM($K$32+$K$48+$K$64+SUM($K$68:K78))</f>
        <v>43401498.246790193</v>
      </c>
      <c r="M78" s="58">
        <f t="shared" ca="1" si="21"/>
        <v>137829.9415196488</v>
      </c>
      <c r="N78" s="51">
        <f ca="1">IFERROR(((D78*P$6)+(D78*P$6)*SUM($K$32+$K$48+$K$64+SUM($K$68:$K78)))/(D78*P$5),"-")</f>
        <v>155917.70658833761</v>
      </c>
      <c r="O78" s="51">
        <f ca="1">IFERROR(((E78*Q$6)+(E78*Q$6)*SUM($K$32+$K$48+$K$64+SUM($K$68:$K78)))/(E78*Q$5),"-")</f>
        <v>146981.76626265812</v>
      </c>
      <c r="P78" s="51">
        <f ca="1">IFERROR(((F78*R$6)+(F78*R$6)*SUM($K$32+$K$48+$K$64+SUM($K$68:$K78)))/(F78*R$5),"-")</f>
        <v>128014.77973501701</v>
      </c>
      <c r="Q78" s="51" t="str">
        <f ca="1">IFERROR(((G78*S$6)+(G78*S$6)*SUM($K$32+$K$48+$K$64+SUM($K$68:$K78)))/(G78*S$5),"-")</f>
        <v>-</v>
      </c>
      <c r="R78" s="20"/>
      <c r="T78"/>
    </row>
    <row r="79" spans="3:20" x14ac:dyDescent="0.25">
      <c r="C79" s="195">
        <v>46357</v>
      </c>
      <c r="D79" s="194">
        <v>2</v>
      </c>
      <c r="E79" s="194">
        <v>2</v>
      </c>
      <c r="F79" s="194">
        <v>3</v>
      </c>
      <c r="G79" s="194"/>
      <c r="H79" s="194">
        <f t="shared" si="18"/>
        <v>7</v>
      </c>
      <c r="I79" s="69">
        <f t="shared" ca="1" si="19"/>
        <v>314.89165393430102</v>
      </c>
      <c r="J79" s="58">
        <f t="shared" ca="1" si="20"/>
        <v>42137376.938631259</v>
      </c>
      <c r="K79" s="61"/>
      <c r="L79" s="50">
        <f ca="1">J79+J79*SUM($K$32+$K$48+$K$64+SUM($K$68:K79))</f>
        <v>43401498.246790193</v>
      </c>
      <c r="M79" s="58">
        <f t="shared" ca="1" si="21"/>
        <v>137829.9415196488</v>
      </c>
      <c r="N79" s="51">
        <f ca="1">IFERROR(((D79*P$6)+(D79*P$6)*SUM($K$32+$K$48+$K$64+SUM($K$68:$K79)))/(D79*P$5),"-")</f>
        <v>155917.70658833761</v>
      </c>
      <c r="O79" s="51">
        <f ca="1">IFERROR(((E79*Q$6)+(E79*Q$6)*SUM($K$32+$K$48+$K$64+SUM($K$68:$K79)))/(E79*Q$5),"-")</f>
        <v>146981.76626265812</v>
      </c>
      <c r="P79" s="51">
        <f ca="1">IFERROR(((F79*R$6)+(F79*R$6)*SUM($K$32+$K$48+$K$64+SUM($K$68:$K79)))/(F79*R$5),"-")</f>
        <v>128014.77973501701</v>
      </c>
      <c r="Q79" s="51" t="str">
        <f ca="1">IFERROR(((G79*S$6)+(G79*S$6)*SUM($K$32+$K$48+$K$64+SUM($K$68:$K79)))/(G79*S$5),"-")</f>
        <v>-</v>
      </c>
      <c r="R79" s="20"/>
      <c r="T79"/>
    </row>
    <row r="80" spans="3:20" x14ac:dyDescent="0.25">
      <c r="C80" s="36" t="s">
        <v>4890</v>
      </c>
      <c r="D80" s="64">
        <f t="shared" ref="D80:L80" si="22">SUM(D68:D79)</f>
        <v>16</v>
      </c>
      <c r="E80" s="64">
        <f t="shared" si="22"/>
        <v>30</v>
      </c>
      <c r="F80" s="64">
        <f t="shared" si="22"/>
        <v>44</v>
      </c>
      <c r="G80" s="64">
        <f t="shared" si="22"/>
        <v>3</v>
      </c>
      <c r="H80" s="64">
        <f t="shared" si="22"/>
        <v>93</v>
      </c>
      <c r="I80" s="48">
        <f t="shared" ca="1" si="22"/>
        <v>4546.5040106951874</v>
      </c>
      <c r="J80" s="48">
        <f t="shared" ca="1" si="22"/>
        <v>599245147.99259126</v>
      </c>
      <c r="K80" s="37">
        <f t="shared" si="22"/>
        <v>0</v>
      </c>
      <c r="L80" s="49">
        <f t="shared" ca="1" si="22"/>
        <v>617222502.43236887</v>
      </c>
      <c r="M80" s="48">
        <f t="shared" ca="1" si="21"/>
        <v>135757.60649950287</v>
      </c>
      <c r="N80" s="338">
        <f ca="1">IFERROR(((D80*P$6)+(D80*P$6)*SUM($K$32+$K$48+$K$64+SUM($K$68:$K80)))/(D80*P$5),"-")</f>
        <v>155917.70658833761</v>
      </c>
      <c r="O80" s="338">
        <f ca="1">IFERROR(((E80*Q$6)+(E80*Q$6)*SUM($K$32+$K$48+$K$64+SUM($K$68:$K80)))/(E80*Q$5),"-")</f>
        <v>146981.76626265812</v>
      </c>
      <c r="P80" s="338">
        <f ca="1">IFERROR(((F80*R$6)+(F80*R$6)*SUM($K$32+$K$48+$K$64+SUM($K$68:$K80)))/(F80*R$5),"-")</f>
        <v>128014.779735017</v>
      </c>
      <c r="Q80" s="338">
        <f ca="1">IFERROR(((G80*S$6)+(G80*S$6)*SUM($K$32+$K$48+$K$64+SUM($K$68:$K80)))/(G80*S$5),"-")</f>
        <v>123585.82088243596</v>
      </c>
      <c r="R80" s="20"/>
      <c r="T80"/>
    </row>
    <row r="81" spans="3:20" x14ac:dyDescent="0.25">
      <c r="C81" s="131" t="s">
        <v>106</v>
      </c>
      <c r="D81" s="132">
        <f>D80/$G$6</f>
        <v>0.18181818181818182</v>
      </c>
      <c r="E81" s="132">
        <f>E80/$G$7</f>
        <v>0.15</v>
      </c>
      <c r="F81" s="132">
        <f>F80/$G$8</f>
        <v>0.19213973799126638</v>
      </c>
      <c r="G81" s="132">
        <f>G80/$G$9</f>
        <v>4.7619047619047616E-2</v>
      </c>
      <c r="H81" s="133">
        <f>H80/$G$10</f>
        <v>0.16034482758620688</v>
      </c>
      <c r="J81" s="66"/>
      <c r="K81" s="4"/>
      <c r="M81" s="65"/>
      <c r="S81" s="20"/>
      <c r="T81"/>
    </row>
    <row r="82" spans="3:20" x14ac:dyDescent="0.25">
      <c r="L82" s="390">
        <f ca="1">L32+L48+L64+L80</f>
        <v>3174197965.0825043</v>
      </c>
      <c r="M82" s="389">
        <f ca="1">L82/I13</f>
        <v>108748.87206916259</v>
      </c>
    </row>
    <row r="83" spans="3:20" x14ac:dyDescent="0.25">
      <c r="D83" s="436">
        <f>D16</f>
        <v>0</v>
      </c>
      <c r="E83" s="436">
        <f t="shared" ref="E83:J83" si="23">E16</f>
        <v>0</v>
      </c>
      <c r="F83" s="436">
        <f t="shared" si="23"/>
        <v>0</v>
      </c>
      <c r="G83" s="436">
        <f t="shared" si="23"/>
        <v>0</v>
      </c>
      <c r="H83" s="436">
        <f t="shared" si="23"/>
        <v>0</v>
      </c>
      <c r="I83" s="436">
        <f t="shared" ca="1" si="23"/>
        <v>-39.540000000033615</v>
      </c>
      <c r="J83" s="436">
        <f t="shared" ca="1" si="23"/>
        <v>-100.00000047683716</v>
      </c>
    </row>
  </sheetData>
  <mergeCells count="6">
    <mergeCell ref="N50:Q50"/>
    <mergeCell ref="N66:Q66"/>
    <mergeCell ref="C4:F4"/>
    <mergeCell ref="K4:M4"/>
    <mergeCell ref="C5:D5"/>
    <mergeCell ref="G5:J5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540E31D4-CCA1-41A4-B542-D974D70AD428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D16:J16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5">
    <tabColor rgb="FFFFFF00"/>
  </sheetPr>
  <dimension ref="B1:R84"/>
  <sheetViews>
    <sheetView topLeftCell="A52" workbookViewId="0">
      <selection activeCell="L71" sqref="L71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4.140625" bestFit="1" customWidth="1"/>
    <col min="4" max="4" width="9.28515625" bestFit="1" customWidth="1"/>
    <col min="5" max="5" width="11.140625" bestFit="1" customWidth="1"/>
    <col min="6" max="6" width="11.42578125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4" max="14" width="11.42578125" style="13" bestFit="1" customWidth="1"/>
    <col min="15" max="17" width="19.5703125" bestFit="1" customWidth="1"/>
  </cols>
  <sheetData>
    <row r="1" spans="3:18" x14ac:dyDescent="0.25">
      <c r="O1" s="310"/>
      <c r="P1" s="310"/>
      <c r="Q1" s="310"/>
      <c r="R1" s="310"/>
    </row>
    <row r="2" spans="3:18" ht="15.75" thickBot="1" x14ac:dyDescent="0.3">
      <c r="C2" s="111" t="s">
        <v>91</v>
      </c>
      <c r="O2" s="427"/>
      <c r="P2" s="427"/>
      <c r="Q2" s="427"/>
      <c r="R2" s="427"/>
    </row>
    <row r="3" spans="3:18" ht="15.75" customHeight="1" thickBot="1" x14ac:dyDescent="0.3">
      <c r="C3" s="756" t="s">
        <v>104</v>
      </c>
      <c r="D3" s="757"/>
      <c r="E3" s="757"/>
      <c r="F3" s="757"/>
      <c r="G3" s="83" t="s">
        <v>71</v>
      </c>
      <c r="H3" s="77" t="s">
        <v>70</v>
      </c>
      <c r="I3" s="78" t="s">
        <v>3964</v>
      </c>
      <c r="J3" s="84" t="s">
        <v>68</v>
      </c>
      <c r="K3" s="757" t="s">
        <v>105</v>
      </c>
      <c r="L3" s="757"/>
      <c r="M3" s="758"/>
    </row>
    <row r="4" spans="3:18" ht="30.75" thickBot="1" x14ac:dyDescent="0.3">
      <c r="C4" s="759" t="s">
        <v>11</v>
      </c>
      <c r="D4" s="760"/>
      <c r="E4" s="125" t="s">
        <v>103</v>
      </c>
      <c r="F4" s="126" t="s">
        <v>101</v>
      </c>
      <c r="G4" s="761">
        <f ca="1">DATE(YEAR(TODAY()),MONTH(TODAY()),1)</f>
        <v>45870</v>
      </c>
      <c r="H4" s="762"/>
      <c r="I4" s="762"/>
      <c r="J4" s="763"/>
      <c r="K4" s="127" t="s">
        <v>12</v>
      </c>
      <c r="L4" s="125" t="s">
        <v>102</v>
      </c>
      <c r="M4" s="128" t="s">
        <v>100</v>
      </c>
      <c r="N4" s="14"/>
    </row>
    <row r="5" spans="3:18" ht="16.5" customHeight="1" x14ac:dyDescent="0.25">
      <c r="C5" s="120">
        <v>0</v>
      </c>
      <c r="D5" s="135">
        <f ca="1">SUMIFS(Реестр_Д4[Расчетная проектная площадь],Реестр_Д4[Тип кв],C5,Реестр_Д4[Схема продажи],"ДДУ")+SUMIFS(Реестр_Д4[ТП S Расчетная],Реестр_Д4[Тип кв],C5,Реестр_Д4[Схема продажи],"ДКП")-SUMIFS(РД[S],РД[Тип кв],C5,РД[Дом],$C$2,РД[Состояние],"&lt;&gt;расторгнут",РД[Дата подачи на регистрацию],"&lt;"&amp;$G$4)</f>
        <v>0</v>
      </c>
      <c r="E5" s="121">
        <f ca="1">IFERROR(D5/H5,0)</f>
        <v>0</v>
      </c>
      <c r="F5" s="122">
        <f ca="1">D5/$D$9</f>
        <v>0</v>
      </c>
      <c r="G5" s="31">
        <f>COUNTIF(Реестр_Д4[Тип кв],C5)</f>
        <v>91</v>
      </c>
      <c r="H5" s="80">
        <f ca="1">G5-I5</f>
        <v>0</v>
      </c>
      <c r="I5" s="81">
        <f ca="1">COUNTIFS(РД[Тип кв],C5,РД[Дом],$C$2,РД[Состояние],"&lt;&gt;расторгнут",РД[Дата подачи на регистрацию],"&lt;"&amp;$G$4)</f>
        <v>91</v>
      </c>
      <c r="J5" s="82">
        <f ca="1">I5/G5</f>
        <v>1</v>
      </c>
      <c r="K5" s="123">
        <f ca="1">SUMIF(Реестр_Д4[Тип кв],C5,Реестр_Д4[Стоимость ОН без отделки со скидкой])-SUMIFS(РД[Стоимость без отделки итог],РД[Тип кв],C5,РД[Дом],$C$2,РД[Состояние],"&lt;&gt;расторгнут",РД[Дата подачи на регистрацию],"&lt;"&amp;$G$4)</f>
        <v>0</v>
      </c>
      <c r="L5" s="63">
        <f ca="1">IFERROR(K5/H5,0)</f>
        <v>0</v>
      </c>
      <c r="M5" s="124">
        <f ca="1">K5/$K$9</f>
        <v>0</v>
      </c>
      <c r="N5" s="247"/>
    </row>
    <row r="6" spans="3:18" ht="16.5" customHeight="1" x14ac:dyDescent="0.25">
      <c r="C6" s="119">
        <v>1</v>
      </c>
      <c r="D6" s="135">
        <f ca="1">SUMIFS(Реестр_Д4[Расчетная проектная площадь],Реестр_Д4[Тип кв],C6,Реестр_Д4[Схема продажи],"ДДУ")+SUMIFS(Реестр_Д4[ТП S Расчетная],Реестр_Д4[Тип кв],C6,Реестр_Д4[Схема продажи],"ДКП")-SUMIFS(РД[S],РД[Тип кв],C6,РД[Дом],$C$2,РД[Состояние],"&lt;&gt;расторгнут",РД[Дата подачи на регистрацию],"&lt;"&amp;$G$4)</f>
        <v>109.70000000000346</v>
      </c>
      <c r="E6" s="121">
        <f t="shared" ref="E6:E8" ca="1" si="0">IFERROR(D6/H6,0)</f>
        <v>54.850000000001728</v>
      </c>
      <c r="F6" s="52">
        <f ca="1">D6/$D$9</f>
        <v>0.36615487316421114</v>
      </c>
      <c r="G6" s="31">
        <f>COUNTIF(Реестр_Д4[Тип кв],C6)</f>
        <v>189</v>
      </c>
      <c r="H6" s="73">
        <f ca="1">G6-I6</f>
        <v>2</v>
      </c>
      <c r="I6" s="81">
        <f ca="1">COUNTIFS(РД[Тип кв],C6,РД[Дом],$C$2,РД[Состояние],"&lt;&gt;расторгнут",РД[Дата подачи на регистрацию],"&lt;"&amp;$G$4)</f>
        <v>187</v>
      </c>
      <c r="J6" s="74">
        <f ca="1">I6/G6</f>
        <v>0.98941798941798942</v>
      </c>
      <c r="K6" s="123">
        <f ca="1">SUMIF(Реестр_Д4[Тип кв],C6,Реестр_Д4[Стоимость ОН без отделки со скидкой])-SUMIFS(РД[Стоимость без отделки итог],РД[Тип кв],C6,РД[Дом],$C$2,РД[Состояние],"&lt;&gt;расторгнут",РД[Дата подачи на регистрацию],"&lt;"&amp;$G$4)</f>
        <v>13163999.999999642</v>
      </c>
      <c r="L6" s="63">
        <f t="shared" ref="L6:L8" ca="1" si="1">IFERROR(K6/H6,0)</f>
        <v>6581999.9999998212</v>
      </c>
      <c r="M6" s="29">
        <f ca="1">K6/$K$9</f>
        <v>0.36656475029469954</v>
      </c>
      <c r="N6" s="247"/>
    </row>
    <row r="7" spans="3:18" ht="16.5" customHeight="1" x14ac:dyDescent="0.25">
      <c r="C7" s="119">
        <v>2</v>
      </c>
      <c r="D7" s="135">
        <f ca="1">SUMIFS(Реестр_Д4[Расчетная проектная площадь],Реестр_Д4[Тип кв],C7,Реестр_Д4[Схема продажи],"ДДУ")+SUMIFS(Реестр_Д4[ТП S Расчетная],Реестр_Д4[Тип кв],C7,Реестр_Д4[Схема продажи],"ДКП")-SUMIFS(РД[S],РД[Тип кв],C7,РД[Дом],$C$2,РД[Состояние],"&lt;&gt;расторгнут",РД[Дата подачи на регистрацию],"&lt;"&amp;$G$4)</f>
        <v>189.90000000001237</v>
      </c>
      <c r="E7" s="121">
        <f t="shared" ca="1" si="0"/>
        <v>63.300000000004125</v>
      </c>
      <c r="F7" s="52">
        <f ca="1">D7/$D$9</f>
        <v>0.63384512683578886</v>
      </c>
      <c r="G7" s="31">
        <f>COUNTIF(Реестр_Д4[Тип кв],C7)</f>
        <v>204</v>
      </c>
      <c r="H7" s="73">
        <f ca="1">G7-I7</f>
        <v>3</v>
      </c>
      <c r="I7" s="81">
        <f ca="1">COUNTIFS(РД[Тип кв],C7,РД[Дом],$C$2,РД[Состояние],"&lt;&gt;расторгнут",РД[Дата подачи на регистрацию],"&lt;"&amp;$G$4)</f>
        <v>201</v>
      </c>
      <c r="J7" s="74">
        <f ca="1">I7/G7</f>
        <v>0.98529411764705888</v>
      </c>
      <c r="K7" s="123">
        <f ca="1">SUMIF(Реестр_Д4[Тип кв],C7,Реестр_Д4[Стоимость ОН без отделки со скидкой])-SUMIFS(РД[Стоимость без отделки итог],РД[Тип кв],C7,РД[Дом],$C$2,РД[Состояние],"&lt;&gt;расторгнут",РД[Дата подачи на регистрацию],"&lt;"&amp;$G$4)</f>
        <v>22747800.001000047</v>
      </c>
      <c r="L7" s="63">
        <f t="shared" ca="1" si="1"/>
        <v>7582600.0003333492</v>
      </c>
      <c r="M7" s="29">
        <f ca="1">K7/$K$9</f>
        <v>0.63343524970530041</v>
      </c>
      <c r="N7" s="247"/>
    </row>
    <row r="8" spans="3:18" ht="16.5" customHeight="1" thickBot="1" x14ac:dyDescent="0.3">
      <c r="C8" s="626">
        <v>3</v>
      </c>
      <c r="D8" s="627">
        <f ca="1">SUMIFS(Реестр_Д4[Расчетная проектная площадь],Реестр_Д4[Тип кв],C8,Реестр_Д4[Схема продажи],"ДДУ")+SUMIFS(Реестр_Д4[ТП S Расчетная],Реестр_Д4[Тип кв],C8,Реестр_Д4[Схема продажи],"ДКП")-SUMIFS(РД[S],РД[Тип кв],C8,РД[Дом],$C$2,РД[Состояние],"&lt;&gt;расторгнут",РД[Дата подачи на регистрацию],"&lt;"&amp;$G$4)</f>
        <v>0</v>
      </c>
      <c r="E8" s="628">
        <f t="shared" ca="1" si="0"/>
        <v>0</v>
      </c>
      <c r="F8" s="629">
        <f ca="1">D8/$D$9</f>
        <v>0</v>
      </c>
      <c r="G8" s="630">
        <f>COUNTIF(Реестр_Д4[Тип кв],C8)</f>
        <v>52</v>
      </c>
      <c r="H8" s="75">
        <f ca="1">G8-I8</f>
        <v>0</v>
      </c>
      <c r="I8" s="631">
        <f ca="1">COUNTIFS(РД[Тип кв],C8,РД[Дом],$C$2,РД[Состояние],"&lt;&gt;расторгнут",РД[Дата подачи на регистрацию],"&lt;"&amp;$G$4)</f>
        <v>52</v>
      </c>
      <c r="J8" s="76">
        <f ca="1">I8/G8</f>
        <v>1</v>
      </c>
      <c r="K8" s="632">
        <f ca="1">SUMIF(Реестр_Д4[Тип кв],C8,Реестр_Д4[Стоимость ОН без отделки со скидкой])-SUMIFS(РД[Стоимость без отделки итог],РД[Тип кв],C8,РД[Дом],$C$2,РД[Состояние],"&lt;&gt;расторгнут",РД[Дата подачи на регистрацию],"&lt;"&amp;$G$4)</f>
        <v>0</v>
      </c>
      <c r="L8" s="633">
        <f t="shared" ca="1" si="1"/>
        <v>0</v>
      </c>
      <c r="M8" s="634">
        <f ca="1">K8/$K$9</f>
        <v>0</v>
      </c>
      <c r="N8" s="247"/>
    </row>
    <row r="9" spans="3:18" ht="15.75" thickBot="1" x14ac:dyDescent="0.3">
      <c r="C9" s="53" t="s">
        <v>49</v>
      </c>
      <c r="D9" s="635">
        <f ca="1">SUM(D5:D8)</f>
        <v>299.60000000001583</v>
      </c>
      <c r="E9" s="54"/>
      <c r="F9" s="55"/>
      <c r="G9" s="53">
        <f>SUM(G5:G8)</f>
        <v>536</v>
      </c>
      <c r="H9" s="77">
        <f ca="1">SUM(H5:H8)</f>
        <v>5</v>
      </c>
      <c r="I9" s="241">
        <f ca="1">G9-H9</f>
        <v>531</v>
      </c>
      <c r="J9" s="79"/>
      <c r="K9" s="68">
        <f ca="1">SUM(K5:K8)</f>
        <v>35911800.000999689</v>
      </c>
      <c r="L9" s="56">
        <f ca="1">K9/H9</f>
        <v>7182360.0001999382</v>
      </c>
      <c r="M9" s="57">
        <f ca="1">K9/$K$9</f>
        <v>1</v>
      </c>
      <c r="N9" s="248"/>
    </row>
    <row r="10" spans="3:18" x14ac:dyDescent="0.25">
      <c r="E10" s="8"/>
      <c r="I10" s="3"/>
      <c r="J10" s="3"/>
      <c r="K10" s="67"/>
      <c r="L10" s="436"/>
      <c r="M10" s="10"/>
    </row>
    <row r="11" spans="3:18" x14ac:dyDescent="0.25">
      <c r="C11" s="93" t="s">
        <v>92</v>
      </c>
      <c r="D11" s="94" t="s">
        <v>4</v>
      </c>
      <c r="E11" s="95" t="s">
        <v>22</v>
      </c>
      <c r="F11" s="95" t="s">
        <v>23</v>
      </c>
      <c r="G11" s="95" t="s">
        <v>24</v>
      </c>
      <c r="H11" s="72" t="s">
        <v>25</v>
      </c>
      <c r="I11" s="96" t="s">
        <v>51</v>
      </c>
      <c r="J11" s="96" t="s">
        <v>52</v>
      </c>
      <c r="K11"/>
      <c r="L11" s="477"/>
      <c r="M11" s="65"/>
    </row>
    <row r="12" spans="3:18" x14ac:dyDescent="0.25">
      <c r="C12" s="118" t="s">
        <v>2</v>
      </c>
      <c r="D12" s="116">
        <v>91</v>
      </c>
      <c r="E12" s="116">
        <v>189</v>
      </c>
      <c r="F12" s="116">
        <v>204</v>
      </c>
      <c r="G12" s="116">
        <v>52</v>
      </c>
      <c r="H12" s="116">
        <f>SUM(D12:G12)</f>
        <v>536</v>
      </c>
      <c r="I12" s="117">
        <f>SUMIFS(Реестр_Д4[Расчетная проектная площадь],Реестр_Д4[Схема продажи],"ДДУ")+SUMIFS(Реестр_Д4[ТП S Расчетная],Реестр_Д4[Схема продажи],"ДКП")</f>
        <v>25898.280000000035</v>
      </c>
      <c r="J12" s="117">
        <f>SUM(Реестр_Д4[Стоимость ОН без отделки со скидкой])</f>
        <v>2232856129.1599998</v>
      </c>
      <c r="K12" s="15"/>
      <c r="L12" s="15"/>
      <c r="M12" s="65"/>
    </row>
    <row r="13" spans="3:18" x14ac:dyDescent="0.25">
      <c r="C13" s="100" t="s">
        <v>26</v>
      </c>
      <c r="D13" s="98">
        <f>D30+D46+D62+D78</f>
        <v>91</v>
      </c>
      <c r="E13" s="98">
        <f t="shared" ref="E13:I13" si="2">E30+E46+E62+E78</f>
        <v>189</v>
      </c>
      <c r="F13" s="98">
        <f t="shared" si="2"/>
        <v>204</v>
      </c>
      <c r="G13" s="98">
        <f t="shared" si="2"/>
        <v>52</v>
      </c>
      <c r="H13" s="98">
        <f t="shared" si="2"/>
        <v>536</v>
      </c>
      <c r="I13" s="99">
        <f t="shared" ca="1" si="2"/>
        <v>25898.280000000013</v>
      </c>
      <c r="J13" s="99">
        <f ca="1">L30+L46+L62+L78</f>
        <v>2231419657.1599603</v>
      </c>
      <c r="K13" s="18" t="s">
        <v>4878</v>
      </c>
      <c r="L13" s="15"/>
      <c r="M13" s="65"/>
    </row>
    <row r="14" spans="3:18" x14ac:dyDescent="0.25">
      <c r="C14" s="145" t="s">
        <v>93</v>
      </c>
      <c r="D14" s="147">
        <f ca="1">'Свод ПП Д4'!C64</f>
        <v>91</v>
      </c>
      <c r="E14" s="147">
        <f ca="1">'Свод ПП Д4'!D64</f>
        <v>189</v>
      </c>
      <c r="F14" s="147">
        <f ca="1">'Свод ПП Д4'!E64</f>
        <v>204</v>
      </c>
      <c r="G14" s="147">
        <f ca="1">'Свод ПП Д4'!F64</f>
        <v>52</v>
      </c>
      <c r="H14" s="147">
        <f ca="1">'Свод ПП Д4'!G64</f>
        <v>536</v>
      </c>
      <c r="I14" s="146">
        <f ca="1">'Свод ПП Д4'!H64</f>
        <v>25898.280000000013</v>
      </c>
      <c r="J14" s="146">
        <f ca="1">'Свод ПП Д4'!I64</f>
        <v>2231419657.1599603</v>
      </c>
      <c r="K14" s="65"/>
      <c r="L14" s="15"/>
      <c r="M14" s="65"/>
    </row>
    <row r="15" spans="3:18" ht="14.25" customHeight="1" x14ac:dyDescent="0.25">
      <c r="C15" s="101" t="s">
        <v>1</v>
      </c>
      <c r="D15" s="97">
        <f>D13-D12</f>
        <v>0</v>
      </c>
      <c r="E15" s="97">
        <f t="shared" ref="E15:I15" si="3">E13-E12</f>
        <v>0</v>
      </c>
      <c r="F15" s="97">
        <f t="shared" si="3"/>
        <v>0</v>
      </c>
      <c r="G15" s="97">
        <f t="shared" si="3"/>
        <v>0</v>
      </c>
      <c r="H15" s="97">
        <f t="shared" si="3"/>
        <v>0</v>
      </c>
      <c r="I15" s="97">
        <f t="shared" ca="1" si="3"/>
        <v>0</v>
      </c>
      <c r="J15" s="97">
        <f ca="1">J14-J13</f>
        <v>0</v>
      </c>
      <c r="K15" s="8"/>
      <c r="L15" s="18"/>
      <c r="M15" s="65"/>
    </row>
    <row r="16" spans="3:18" ht="14.25" customHeight="1" x14ac:dyDescent="0.25">
      <c r="C16" s="2"/>
      <c r="D16" s="6"/>
      <c r="E16" s="6"/>
      <c r="F16" s="6"/>
      <c r="G16" s="6"/>
      <c r="H16" s="6"/>
      <c r="I16" s="6"/>
      <c r="J16" s="6"/>
      <c r="K16" s="62"/>
      <c r="L16" s="6"/>
    </row>
    <row r="17" spans="2:18" ht="24" x14ac:dyDescent="0.25">
      <c r="C17" s="102" t="s">
        <v>0</v>
      </c>
      <c r="D17" s="103" t="s">
        <v>4</v>
      </c>
      <c r="E17" s="104" t="s">
        <v>22</v>
      </c>
      <c r="F17" s="104" t="s">
        <v>23</v>
      </c>
      <c r="G17" s="104" t="s">
        <v>24</v>
      </c>
      <c r="H17" s="105" t="s">
        <v>59</v>
      </c>
      <c r="I17" s="106" t="s">
        <v>51</v>
      </c>
      <c r="J17" s="107" t="s">
        <v>33</v>
      </c>
      <c r="K17" s="107" t="s">
        <v>108</v>
      </c>
      <c r="L17" s="107" t="s">
        <v>107</v>
      </c>
      <c r="M17" s="108" t="s">
        <v>17</v>
      </c>
      <c r="N17" s="346"/>
      <c r="O17" s="346"/>
      <c r="P17" s="346"/>
    </row>
    <row r="18" spans="2:18" hidden="1" x14ac:dyDescent="0.25">
      <c r="B18">
        <v>0.8</v>
      </c>
      <c r="C18" s="85">
        <v>44562</v>
      </c>
      <c r="D18" s="86"/>
      <c r="E18" s="86"/>
      <c r="F18" s="86"/>
      <c r="G18" s="86"/>
      <c r="H18" s="86"/>
      <c r="I18" s="87"/>
      <c r="J18" s="88"/>
      <c r="K18" s="89"/>
      <c r="L18" s="90"/>
      <c r="M18" s="88"/>
      <c r="N18" s="346"/>
      <c r="O18" s="346"/>
      <c r="P18" s="346"/>
    </row>
    <row r="19" spans="2:18" hidden="1" x14ac:dyDescent="0.25">
      <c r="C19" s="85">
        <v>44593</v>
      </c>
      <c r="D19" s="86"/>
      <c r="E19" s="86"/>
      <c r="F19" s="86"/>
      <c r="G19" s="86"/>
      <c r="H19" s="86"/>
      <c r="I19" s="87"/>
      <c r="J19" s="88"/>
      <c r="K19" s="91"/>
      <c r="L19" s="90"/>
      <c r="M19" s="88"/>
      <c r="N19" s="346"/>
      <c r="O19" s="346"/>
      <c r="P19" s="346"/>
    </row>
    <row r="20" spans="2:18" hidden="1" x14ac:dyDescent="0.25">
      <c r="C20" s="85">
        <v>44621</v>
      </c>
      <c r="D20" s="86"/>
      <c r="E20" s="86"/>
      <c r="F20" s="86"/>
      <c r="G20" s="86"/>
      <c r="H20" s="86"/>
      <c r="I20" s="87"/>
      <c r="J20" s="88"/>
      <c r="K20" s="92"/>
      <c r="L20" s="90"/>
      <c r="M20" s="88"/>
      <c r="N20" s="346"/>
      <c r="O20" s="346"/>
      <c r="P20" s="346"/>
    </row>
    <row r="21" spans="2:18" hidden="1" x14ac:dyDescent="0.25">
      <c r="C21" s="85">
        <v>44652</v>
      </c>
      <c r="D21" s="86"/>
      <c r="E21" s="86"/>
      <c r="F21" s="86"/>
      <c r="G21" s="86"/>
      <c r="H21" s="86"/>
      <c r="I21" s="87"/>
      <c r="J21" s="88"/>
      <c r="K21" s="92"/>
      <c r="L21" s="90"/>
      <c r="M21" s="88"/>
      <c r="N21" s="346"/>
      <c r="O21" s="346"/>
      <c r="P21" s="346"/>
    </row>
    <row r="22" spans="2:18" hidden="1" x14ac:dyDescent="0.25">
      <c r="B22">
        <v>0.8</v>
      </c>
      <c r="C22" s="85">
        <v>44682</v>
      </c>
      <c r="D22" s="86"/>
      <c r="E22" s="86"/>
      <c r="F22" s="86"/>
      <c r="G22" s="86"/>
      <c r="H22" s="86"/>
      <c r="I22" s="87"/>
      <c r="J22" s="88"/>
      <c r="K22" s="92"/>
      <c r="L22" s="90"/>
      <c r="M22" s="88"/>
      <c r="N22" s="346"/>
      <c r="O22" s="346"/>
      <c r="P22" s="346"/>
    </row>
    <row r="23" spans="2:18" hidden="1" x14ac:dyDescent="0.25">
      <c r="C23" s="85">
        <v>44713</v>
      </c>
      <c r="D23" s="86"/>
      <c r="E23" s="86"/>
      <c r="F23" s="86"/>
      <c r="G23" s="86"/>
      <c r="H23" s="86"/>
      <c r="I23" s="87"/>
      <c r="J23" s="88"/>
      <c r="K23" s="89"/>
      <c r="L23" s="90"/>
      <c r="M23" s="88"/>
      <c r="N23" s="346"/>
      <c r="O23" s="346"/>
      <c r="P23" s="346"/>
    </row>
    <row r="24" spans="2:18" hidden="1" x14ac:dyDescent="0.25">
      <c r="B24">
        <v>0.8</v>
      </c>
      <c r="C24" s="85">
        <v>44743</v>
      </c>
      <c r="D24" s="86"/>
      <c r="E24" s="86"/>
      <c r="F24" s="86"/>
      <c r="G24" s="86"/>
      <c r="H24" s="86"/>
      <c r="I24" s="87"/>
      <c r="J24" s="88"/>
      <c r="K24" s="89"/>
      <c r="L24" s="90"/>
      <c r="M24" s="88"/>
      <c r="N24" s="346"/>
      <c r="O24" s="346"/>
      <c r="P24" s="346"/>
    </row>
    <row r="25" spans="2:18" hidden="1" x14ac:dyDescent="0.25">
      <c r="C25" s="191">
        <v>44774</v>
      </c>
      <c r="D25" s="43">
        <v>13</v>
      </c>
      <c r="E25" s="43">
        <v>17</v>
      </c>
      <c r="F25" s="43">
        <v>4</v>
      </c>
      <c r="G25" s="43">
        <v>0</v>
      </c>
      <c r="H25" s="43">
        <v>34</v>
      </c>
      <c r="I25" s="178">
        <v>1140.4000000000003</v>
      </c>
      <c r="J25" s="173">
        <v>83634756.039999977</v>
      </c>
      <c r="K25" s="177"/>
      <c r="L25" s="176">
        <f>J25+J25*SUM(SUM($K$18:K25))</f>
        <v>83634756.039999977</v>
      </c>
      <c r="M25" s="173">
        <f t="shared" ref="M25:M30" si="4">L25/I25</f>
        <v>73338.088425113951</v>
      </c>
      <c r="N25" s="346"/>
      <c r="O25" s="346"/>
      <c r="P25" s="346"/>
      <c r="Q25" s="19"/>
      <c r="R25" s="478"/>
    </row>
    <row r="26" spans="2:18" hidden="1" x14ac:dyDescent="0.25">
      <c r="C26" s="191">
        <v>44805</v>
      </c>
      <c r="D26" s="43">
        <v>2</v>
      </c>
      <c r="E26" s="43">
        <v>3</v>
      </c>
      <c r="F26" s="43">
        <v>2</v>
      </c>
      <c r="G26" s="43">
        <v>0</v>
      </c>
      <c r="H26" s="43">
        <v>7</v>
      </c>
      <c r="I26" s="178">
        <v>285.88</v>
      </c>
      <c r="J26" s="173">
        <v>21886608.68</v>
      </c>
      <c r="K26" s="177"/>
      <c r="L26" s="176">
        <f>J26+J26*SUM(SUM($K$18:K26))</f>
        <v>21886608.68</v>
      </c>
      <c r="M26" s="173">
        <f t="shared" si="4"/>
        <v>76558.726318735135</v>
      </c>
      <c r="N26" s="346"/>
      <c r="O26" s="346"/>
      <c r="P26" s="346"/>
      <c r="Q26" s="19"/>
      <c r="R26" s="478"/>
    </row>
    <row r="27" spans="2:18" hidden="1" x14ac:dyDescent="0.25">
      <c r="C27" s="191">
        <v>44835</v>
      </c>
      <c r="D27" s="43">
        <v>2</v>
      </c>
      <c r="E27" s="43">
        <v>2</v>
      </c>
      <c r="F27" s="43">
        <v>2</v>
      </c>
      <c r="G27" s="43">
        <v>0</v>
      </c>
      <c r="H27" s="43">
        <v>6</v>
      </c>
      <c r="I27" s="178">
        <v>246.38</v>
      </c>
      <c r="J27" s="173">
        <v>18121566</v>
      </c>
      <c r="K27" s="177"/>
      <c r="L27" s="176">
        <f>J27+J27*SUM(SUM($K$18:K27))</f>
        <v>18121566</v>
      </c>
      <c r="M27" s="173">
        <f t="shared" si="4"/>
        <v>73551.286630408315</v>
      </c>
      <c r="N27" s="346"/>
      <c r="O27" s="346"/>
      <c r="P27" s="346"/>
      <c r="Q27" s="19"/>
      <c r="R27" s="478"/>
    </row>
    <row r="28" spans="2:18" hidden="1" x14ac:dyDescent="0.25">
      <c r="C28" s="191">
        <v>44866</v>
      </c>
      <c r="D28" s="43">
        <v>2</v>
      </c>
      <c r="E28" s="43">
        <v>16</v>
      </c>
      <c r="F28" s="43">
        <v>7</v>
      </c>
      <c r="G28" s="43">
        <v>2</v>
      </c>
      <c r="H28" s="43">
        <v>27</v>
      </c>
      <c r="I28" s="178">
        <v>1181.33</v>
      </c>
      <c r="J28" s="173">
        <v>87250281.549999997</v>
      </c>
      <c r="K28" s="175"/>
      <c r="L28" s="176">
        <f>J28+J28*SUM(SUM($K$18:K28))</f>
        <v>87250281.549999997</v>
      </c>
      <c r="M28" s="173">
        <f t="shared" si="4"/>
        <v>73857.670210694734</v>
      </c>
      <c r="N28" s="346"/>
      <c r="O28" s="346"/>
      <c r="P28" s="346"/>
      <c r="Q28" s="19"/>
      <c r="R28" s="478"/>
    </row>
    <row r="29" spans="2:18" hidden="1" x14ac:dyDescent="0.25">
      <c r="C29" s="191">
        <v>44896</v>
      </c>
      <c r="D29" s="43">
        <v>7</v>
      </c>
      <c r="E29" s="43">
        <v>13</v>
      </c>
      <c r="F29" s="43">
        <v>13</v>
      </c>
      <c r="G29" s="43">
        <v>2</v>
      </c>
      <c r="H29" s="43">
        <v>35</v>
      </c>
      <c r="I29" s="178">
        <v>1541.07</v>
      </c>
      <c r="J29" s="173">
        <v>119168670.69999997</v>
      </c>
      <c r="K29" s="175"/>
      <c r="L29" s="176">
        <f>J29+J29*SUM(SUM($K$18:K29))</f>
        <v>119168670.69999997</v>
      </c>
      <c r="M29" s="173">
        <f t="shared" si="4"/>
        <v>77328.525440116267</v>
      </c>
      <c r="N29" s="346"/>
      <c r="O29" s="346"/>
      <c r="P29" s="346"/>
      <c r="Q29" s="19"/>
      <c r="R29" s="478"/>
    </row>
    <row r="30" spans="2:18" x14ac:dyDescent="0.25">
      <c r="C30" s="137" t="s">
        <v>29</v>
      </c>
      <c r="D30" s="109">
        <f t="shared" ref="D30:L30" si="5">SUM(D18:D29)</f>
        <v>26</v>
      </c>
      <c r="E30" s="109">
        <f t="shared" si="5"/>
        <v>51</v>
      </c>
      <c r="F30" s="109">
        <f t="shared" si="5"/>
        <v>28</v>
      </c>
      <c r="G30" s="109">
        <f t="shared" si="5"/>
        <v>4</v>
      </c>
      <c r="H30" s="41">
        <f t="shared" si="5"/>
        <v>109</v>
      </c>
      <c r="I30" s="49">
        <f t="shared" si="5"/>
        <v>4395.0600000000004</v>
      </c>
      <c r="J30" s="49">
        <f t="shared" si="5"/>
        <v>330061882.96999997</v>
      </c>
      <c r="K30" s="37">
        <f t="shared" si="5"/>
        <v>0</v>
      </c>
      <c r="L30" s="71">
        <f t="shared" si="5"/>
        <v>330061882.96999997</v>
      </c>
      <c r="M30" s="48">
        <f t="shared" si="4"/>
        <v>75098.379309952521</v>
      </c>
      <c r="N30" s="346"/>
      <c r="O30" s="346"/>
      <c r="P30" s="346"/>
      <c r="Q30" s="19"/>
      <c r="R30" s="478"/>
    </row>
    <row r="31" spans="2:18" x14ac:dyDescent="0.25">
      <c r="C31" s="138" t="s">
        <v>106</v>
      </c>
      <c r="D31" s="132">
        <f>D30/$G$5</f>
        <v>0.2857142857142857</v>
      </c>
      <c r="E31" s="132">
        <f>E30/$G$6</f>
        <v>0.26984126984126983</v>
      </c>
      <c r="F31" s="132">
        <f>F30/$G$7</f>
        <v>0.13725490196078433</v>
      </c>
      <c r="G31" s="132">
        <f>G30/$G$8</f>
        <v>7.6923076923076927E-2</v>
      </c>
      <c r="H31" s="133">
        <f>H30/$G$9</f>
        <v>0.20335820895522388</v>
      </c>
      <c r="I31" s="130"/>
      <c r="J31" s="66"/>
      <c r="K31" s="4"/>
      <c r="L31" s="5"/>
      <c r="M31" s="65"/>
      <c r="N31" s="346"/>
      <c r="O31" s="346"/>
      <c r="P31" s="346"/>
      <c r="Q31" s="19"/>
      <c r="R31" s="19"/>
    </row>
    <row r="32" spans="2:18" x14ac:dyDescent="0.25">
      <c r="C32" s="9"/>
      <c r="D32" s="19"/>
      <c r="E32" s="19"/>
      <c r="F32" s="19"/>
      <c r="G32" s="265"/>
      <c r="H32" s="130"/>
      <c r="I32" s="130"/>
      <c r="J32" s="66"/>
      <c r="K32" s="7"/>
      <c r="L32" s="134"/>
      <c r="M32" s="70"/>
      <c r="O32" s="19"/>
      <c r="P32" s="19"/>
      <c r="Q32" s="19"/>
      <c r="R32" s="19"/>
    </row>
    <row r="33" spans="3:18" ht="24" x14ac:dyDescent="0.25">
      <c r="C33" s="102" t="s">
        <v>0</v>
      </c>
      <c r="D33" s="103" t="s">
        <v>4</v>
      </c>
      <c r="E33" s="104" t="s">
        <v>22</v>
      </c>
      <c r="F33" s="104" t="s">
        <v>23</v>
      </c>
      <c r="G33" s="104" t="s">
        <v>24</v>
      </c>
      <c r="H33" s="105" t="s">
        <v>59</v>
      </c>
      <c r="I33" s="106" t="s">
        <v>51</v>
      </c>
      <c r="J33" s="107" t="s">
        <v>33</v>
      </c>
      <c r="K33" s="107" t="s">
        <v>108</v>
      </c>
      <c r="L33" s="107" t="s">
        <v>107</v>
      </c>
      <c r="M33" s="108" t="s">
        <v>17</v>
      </c>
      <c r="O33" s="19"/>
      <c r="P33" s="19"/>
      <c r="Q33" s="19"/>
      <c r="R33" s="19"/>
    </row>
    <row r="34" spans="3:18" hidden="1" x14ac:dyDescent="0.25">
      <c r="C34" s="191">
        <v>44927</v>
      </c>
      <c r="D34" s="43">
        <v>5</v>
      </c>
      <c r="E34" s="43">
        <v>2</v>
      </c>
      <c r="F34" s="43">
        <v>6</v>
      </c>
      <c r="G34" s="43">
        <v>4</v>
      </c>
      <c r="H34" s="43">
        <v>17</v>
      </c>
      <c r="I34" s="178">
        <v>852.08999999999992</v>
      </c>
      <c r="J34" s="173">
        <v>62709078.570000008</v>
      </c>
      <c r="K34" s="175"/>
      <c r="L34" s="176">
        <f>J34+J34*SUM($K$30+SUM($K$34))</f>
        <v>62709078.570000008</v>
      </c>
      <c r="M34" s="173">
        <f t="shared" ref="M34:M46" si="6">L34/I34</f>
        <v>73594.430834770988</v>
      </c>
      <c r="O34" s="19"/>
      <c r="P34" s="19"/>
      <c r="Q34" s="19"/>
      <c r="R34" s="478"/>
    </row>
    <row r="35" spans="3:18" hidden="1" x14ac:dyDescent="0.25">
      <c r="C35" s="191">
        <v>44958</v>
      </c>
      <c r="D35" s="43">
        <v>3</v>
      </c>
      <c r="E35" s="43">
        <v>11</v>
      </c>
      <c r="F35" s="43">
        <v>15</v>
      </c>
      <c r="G35" s="43">
        <v>3</v>
      </c>
      <c r="H35" s="43">
        <v>32</v>
      </c>
      <c r="I35" s="178">
        <v>1569.43</v>
      </c>
      <c r="J35" s="173">
        <v>120219191.03999999</v>
      </c>
      <c r="K35" s="175"/>
      <c r="L35" s="176">
        <f>J35+J35*SUM($K$30+SUM($K$34:K35))</f>
        <v>120219191.03999999</v>
      </c>
      <c r="M35" s="173">
        <f t="shared" si="6"/>
        <v>76600.543534913944</v>
      </c>
      <c r="O35" s="19"/>
      <c r="P35" s="19"/>
      <c r="Q35" s="19"/>
      <c r="R35" s="478"/>
    </row>
    <row r="36" spans="3:18" s="245" customFormat="1" hidden="1" x14ac:dyDescent="0.25">
      <c r="C36" s="191">
        <v>44986</v>
      </c>
      <c r="D36" s="43">
        <v>3</v>
      </c>
      <c r="E36" s="43">
        <v>12</v>
      </c>
      <c r="F36" s="43">
        <v>13</v>
      </c>
      <c r="G36" s="43">
        <v>6</v>
      </c>
      <c r="H36" s="43">
        <v>34</v>
      </c>
      <c r="I36" s="178">
        <v>1732.7999999999997</v>
      </c>
      <c r="J36" s="173">
        <v>134859915.02000001</v>
      </c>
      <c r="K36" s="175"/>
      <c r="L36" s="176">
        <f>J36+J36*SUM($K$30+SUM($K$34:K36))</f>
        <v>134859915.02000001</v>
      </c>
      <c r="M36" s="173">
        <f t="shared" si="6"/>
        <v>77827.744125115438</v>
      </c>
      <c r="N36" s="249"/>
      <c r="O36" s="265"/>
      <c r="P36" s="265"/>
      <c r="Q36" s="19"/>
      <c r="R36" s="478"/>
    </row>
    <row r="37" spans="3:18" hidden="1" x14ac:dyDescent="0.25">
      <c r="C37" s="191">
        <v>45017</v>
      </c>
      <c r="D37" s="43">
        <v>9</v>
      </c>
      <c r="E37" s="43">
        <v>15</v>
      </c>
      <c r="F37" s="43">
        <v>16</v>
      </c>
      <c r="G37" s="43">
        <v>7</v>
      </c>
      <c r="H37" s="43">
        <v>47</v>
      </c>
      <c r="I37" s="178">
        <v>2309.0000000000005</v>
      </c>
      <c r="J37" s="173">
        <v>184536178.49000001</v>
      </c>
      <c r="K37" s="177"/>
      <c r="L37" s="176">
        <f>J37+J37*SUM($K$30+SUM($K$34:K37))</f>
        <v>184536178.49000001</v>
      </c>
      <c r="M37" s="173">
        <f t="shared" si="6"/>
        <v>79920.389125162401</v>
      </c>
      <c r="O37" s="19"/>
      <c r="P37" s="19"/>
      <c r="Q37" s="19"/>
      <c r="R37" s="478"/>
    </row>
    <row r="38" spans="3:18" hidden="1" x14ac:dyDescent="0.25">
      <c r="C38" s="191">
        <v>45047</v>
      </c>
      <c r="D38" s="43">
        <v>4</v>
      </c>
      <c r="E38" s="43">
        <v>9</v>
      </c>
      <c r="F38" s="43">
        <v>12</v>
      </c>
      <c r="G38" s="43">
        <v>4</v>
      </c>
      <c r="H38" s="43">
        <v>29</v>
      </c>
      <c r="I38" s="178">
        <v>1466.2100000000003</v>
      </c>
      <c r="J38" s="173">
        <v>119214317.57999998</v>
      </c>
      <c r="K38" s="177"/>
      <c r="L38" s="176">
        <f>J38+J38*SUM($K$30+SUM($K$34:K38))</f>
        <v>119214317.57999998</v>
      </c>
      <c r="M38" s="173">
        <f t="shared" si="6"/>
        <v>81307.805553092636</v>
      </c>
      <c r="O38" s="19"/>
      <c r="P38" s="19"/>
      <c r="Q38" s="19"/>
      <c r="R38" s="478"/>
    </row>
    <row r="39" spans="3:18" hidden="1" x14ac:dyDescent="0.25">
      <c r="C39" s="191">
        <v>45078</v>
      </c>
      <c r="D39" s="43">
        <v>9</v>
      </c>
      <c r="E39" s="43">
        <v>13</v>
      </c>
      <c r="F39" s="43">
        <v>12</v>
      </c>
      <c r="G39" s="43">
        <v>3</v>
      </c>
      <c r="H39" s="43">
        <v>37</v>
      </c>
      <c r="I39" s="178">
        <v>1661.9999999999998</v>
      </c>
      <c r="J39" s="173">
        <v>143616778.10999998</v>
      </c>
      <c r="K39" s="177"/>
      <c r="L39" s="176">
        <f>J39+J39*SUM($K$30+SUM($K$34:K39))</f>
        <v>143616778.10999998</v>
      </c>
      <c r="M39" s="173">
        <f t="shared" si="6"/>
        <v>86412.020523465704</v>
      </c>
      <c r="O39" s="19"/>
      <c r="P39" s="19"/>
      <c r="Q39" s="19"/>
      <c r="R39" s="478"/>
    </row>
    <row r="40" spans="3:18" hidden="1" x14ac:dyDescent="0.25">
      <c r="C40" s="191">
        <v>45108</v>
      </c>
      <c r="D40" s="43">
        <v>7</v>
      </c>
      <c r="E40" s="43">
        <v>13</v>
      </c>
      <c r="F40" s="43">
        <v>9</v>
      </c>
      <c r="G40" s="43">
        <v>4</v>
      </c>
      <c r="H40" s="43">
        <v>33</v>
      </c>
      <c r="I40" s="178">
        <v>1553.8500000000001</v>
      </c>
      <c r="J40" s="173">
        <v>137200899.34999999</v>
      </c>
      <c r="K40" s="177"/>
      <c r="L40" s="176">
        <f>J40+J40*SUM($K$30+SUM($K$34:K40))</f>
        <v>137200899.34999999</v>
      </c>
      <c r="M40" s="173">
        <f t="shared" si="6"/>
        <v>88297.389934678373</v>
      </c>
      <c r="O40" s="19"/>
      <c r="P40" s="19"/>
      <c r="Q40" s="19"/>
      <c r="R40" s="478"/>
    </row>
    <row r="41" spans="3:18" hidden="1" x14ac:dyDescent="0.25">
      <c r="C41" s="191">
        <v>45139</v>
      </c>
      <c r="D41" s="43">
        <v>7</v>
      </c>
      <c r="E41" s="43">
        <v>16</v>
      </c>
      <c r="F41" s="43">
        <v>10</v>
      </c>
      <c r="G41" s="43">
        <v>5</v>
      </c>
      <c r="H41" s="43">
        <v>38</v>
      </c>
      <c r="I41" s="178">
        <v>1790.4799999999996</v>
      </c>
      <c r="J41" s="173">
        <v>158978364.85999998</v>
      </c>
      <c r="K41" s="177"/>
      <c r="L41" s="176">
        <f>J41+J41*SUM($K$30+SUM($K$34:K41))</f>
        <v>158978364.85999998</v>
      </c>
      <c r="M41" s="173">
        <f t="shared" si="6"/>
        <v>88790.919116661462</v>
      </c>
      <c r="O41" s="19"/>
      <c r="P41" s="19"/>
      <c r="Q41" s="19"/>
      <c r="R41" s="478"/>
    </row>
    <row r="42" spans="3:18" s="245" customFormat="1" hidden="1" x14ac:dyDescent="0.25">
      <c r="C42" s="191">
        <v>45170</v>
      </c>
      <c r="D42" s="43">
        <v>3</v>
      </c>
      <c r="E42" s="43">
        <v>7</v>
      </c>
      <c r="F42" s="43">
        <v>8</v>
      </c>
      <c r="G42" s="43">
        <v>2</v>
      </c>
      <c r="H42" s="43">
        <v>20</v>
      </c>
      <c r="I42" s="178">
        <v>1008.0700000000002</v>
      </c>
      <c r="J42" s="173">
        <v>93242972.859999999</v>
      </c>
      <c r="K42" s="177"/>
      <c r="L42" s="176">
        <f>J42+J42*SUM($K$30+SUM($K$34:K42))</f>
        <v>93242972.859999999</v>
      </c>
      <c r="M42" s="173">
        <f t="shared" si="6"/>
        <v>92496.525896019113</v>
      </c>
      <c r="N42" s="249"/>
      <c r="O42" s="265"/>
      <c r="P42" s="265"/>
      <c r="Q42" s="19"/>
      <c r="R42" s="478"/>
    </row>
    <row r="43" spans="3:18" hidden="1" x14ac:dyDescent="0.25">
      <c r="C43" s="191">
        <v>45200</v>
      </c>
      <c r="D43" s="43">
        <v>0</v>
      </c>
      <c r="E43" s="43">
        <v>5</v>
      </c>
      <c r="F43" s="43">
        <v>7</v>
      </c>
      <c r="G43" s="43">
        <v>0</v>
      </c>
      <c r="H43" s="43">
        <v>12</v>
      </c>
      <c r="I43" s="178">
        <v>640.06000000000006</v>
      </c>
      <c r="J43" s="173">
        <v>58375645.130000003</v>
      </c>
      <c r="K43" s="177"/>
      <c r="L43" s="176">
        <f>J43+J43*SUM($K$30+SUM($K$34:K43))</f>
        <v>58375645.130000003</v>
      </c>
      <c r="M43" s="173">
        <f t="shared" si="6"/>
        <v>91203.395197325241</v>
      </c>
      <c r="O43" s="19"/>
      <c r="P43" s="19"/>
      <c r="Q43" s="19"/>
      <c r="R43" s="478"/>
    </row>
    <row r="44" spans="3:18" hidden="1" x14ac:dyDescent="0.25">
      <c r="C44" s="191">
        <v>45231</v>
      </c>
      <c r="D44" s="43">
        <v>3</v>
      </c>
      <c r="E44" s="43">
        <v>8</v>
      </c>
      <c r="F44" s="43">
        <v>15</v>
      </c>
      <c r="G44" s="43">
        <v>0</v>
      </c>
      <c r="H44" s="43">
        <v>26</v>
      </c>
      <c r="I44" s="178">
        <v>1352.74</v>
      </c>
      <c r="J44" s="173">
        <v>126203705.37900002</v>
      </c>
      <c r="K44" s="177"/>
      <c r="L44" s="176">
        <f>J44+J44*SUM($K$30+SUM($K$34:K44))</f>
        <v>126203705.37900002</v>
      </c>
      <c r="M44" s="173">
        <f t="shared" si="6"/>
        <v>93294.872169818307</v>
      </c>
      <c r="O44" s="19"/>
      <c r="P44" s="19"/>
      <c r="Q44" s="19"/>
      <c r="R44" s="478"/>
    </row>
    <row r="45" spans="3:18" hidden="1" x14ac:dyDescent="0.25">
      <c r="C45" s="191">
        <v>45261</v>
      </c>
      <c r="D45" s="43">
        <v>2</v>
      </c>
      <c r="E45" s="43">
        <v>6</v>
      </c>
      <c r="F45" s="43">
        <v>11</v>
      </c>
      <c r="G45" s="43">
        <v>1</v>
      </c>
      <c r="H45" s="43">
        <v>20</v>
      </c>
      <c r="I45" s="178">
        <v>1098.44</v>
      </c>
      <c r="J45" s="173">
        <v>101138489.48</v>
      </c>
      <c r="K45" s="177"/>
      <c r="L45" s="176">
        <f>J45+J45*SUM($K$30+SUM($K$34:K45))</f>
        <v>101138489.48</v>
      </c>
      <c r="M45" s="173">
        <f t="shared" si="6"/>
        <v>92074.659954116752</v>
      </c>
      <c r="O45" s="19"/>
      <c r="P45" s="19"/>
      <c r="Q45" s="19"/>
      <c r="R45" s="478"/>
    </row>
    <row r="46" spans="3:18" x14ac:dyDescent="0.25">
      <c r="C46" s="36" t="s">
        <v>30</v>
      </c>
      <c r="D46" s="64">
        <v>55</v>
      </c>
      <c r="E46" s="64">
        <v>117</v>
      </c>
      <c r="F46" s="64">
        <v>134</v>
      </c>
      <c r="G46" s="64">
        <v>39</v>
      </c>
      <c r="H46" s="41">
        <v>345</v>
      </c>
      <c r="I46" s="49">
        <v>17035.169999999998</v>
      </c>
      <c r="J46" s="48">
        <v>1440295535.8690002</v>
      </c>
      <c r="K46" s="37">
        <f t="shared" ref="K46:L46" si="7">SUM(K34:K45)</f>
        <v>0</v>
      </c>
      <c r="L46" s="49">
        <f t="shared" si="7"/>
        <v>1440295535.8690002</v>
      </c>
      <c r="M46" s="48">
        <f t="shared" si="6"/>
        <v>84548.351197493204</v>
      </c>
      <c r="O46" s="19"/>
      <c r="P46" s="19"/>
      <c r="Q46" s="19"/>
      <c r="R46" s="478"/>
    </row>
    <row r="47" spans="3:18" x14ac:dyDescent="0.25">
      <c r="C47" s="131" t="s">
        <v>106</v>
      </c>
      <c r="D47" s="132">
        <f>D46/$G$5</f>
        <v>0.60439560439560436</v>
      </c>
      <c r="E47" s="132">
        <f>E46/$G$6</f>
        <v>0.61904761904761907</v>
      </c>
      <c r="F47" s="132">
        <f>F46/$G$7</f>
        <v>0.65686274509803921</v>
      </c>
      <c r="G47" s="132">
        <f>G46/$G$8</f>
        <v>0.75</v>
      </c>
      <c r="H47" s="133">
        <f>H46/$G$9</f>
        <v>0.64365671641791045</v>
      </c>
      <c r="J47" s="66"/>
      <c r="K47" s="4"/>
      <c r="M47" s="65"/>
      <c r="O47" s="19"/>
      <c r="P47" s="19"/>
      <c r="Q47" s="19"/>
      <c r="R47" s="19"/>
    </row>
    <row r="48" spans="3:18" s="245" customFormat="1" x14ac:dyDescent="0.25">
      <c r="I48" s="380"/>
      <c r="J48" s="381"/>
      <c r="K48" s="382"/>
      <c r="L48" s="383"/>
      <c r="M48" s="380"/>
      <c r="N48" s="249"/>
      <c r="O48" s="265"/>
      <c r="P48" s="265"/>
      <c r="Q48" s="265"/>
      <c r="R48" s="265"/>
    </row>
    <row r="49" spans="3:18" ht="24" x14ac:dyDescent="0.25">
      <c r="C49" s="102" t="s">
        <v>0</v>
      </c>
      <c r="D49" s="103" t="s">
        <v>4</v>
      </c>
      <c r="E49" s="104" t="s">
        <v>22</v>
      </c>
      <c r="F49" s="104" t="s">
        <v>23</v>
      </c>
      <c r="G49" s="104" t="s">
        <v>24</v>
      </c>
      <c r="H49" s="105" t="s">
        <v>59</v>
      </c>
      <c r="I49" s="377" t="s">
        <v>51</v>
      </c>
      <c r="J49" s="378" t="s">
        <v>33</v>
      </c>
      <c r="K49" s="378" t="s">
        <v>108</v>
      </c>
      <c r="L49" s="378" t="s">
        <v>107</v>
      </c>
      <c r="M49" s="379" t="s">
        <v>17</v>
      </c>
      <c r="N49"/>
      <c r="O49" s="19"/>
      <c r="P49" s="19"/>
      <c r="Q49" s="19"/>
      <c r="R49" s="19"/>
    </row>
    <row r="50" spans="3:18" x14ac:dyDescent="0.25">
      <c r="C50" s="387">
        <v>45292</v>
      </c>
      <c r="D50" s="274">
        <v>1</v>
      </c>
      <c r="E50" s="274">
        <v>4</v>
      </c>
      <c r="F50" s="274">
        <v>4</v>
      </c>
      <c r="G50" s="274">
        <v>1</v>
      </c>
      <c r="H50" s="274">
        <v>10</v>
      </c>
      <c r="I50" s="388">
        <v>523.06999999999994</v>
      </c>
      <c r="J50" s="389">
        <v>51913710.719999999</v>
      </c>
      <c r="K50" s="391"/>
      <c r="L50" s="390">
        <f>J50+J50*SUM($K$46+SUM($K$50:K50))</f>
        <v>51913710.719999999</v>
      </c>
      <c r="M50" s="389">
        <f>IFERROR(L50/I50,"")</f>
        <v>99248.113483854948</v>
      </c>
      <c r="N50"/>
      <c r="O50" s="479"/>
      <c r="P50" s="19"/>
      <c r="Q50" s="19"/>
      <c r="R50" s="478"/>
    </row>
    <row r="51" spans="3:18" x14ac:dyDescent="0.25">
      <c r="C51" s="387">
        <v>45323</v>
      </c>
      <c r="D51" s="274">
        <v>2</v>
      </c>
      <c r="E51" s="274">
        <v>3</v>
      </c>
      <c r="F51" s="274">
        <v>4</v>
      </c>
      <c r="G51" s="274">
        <v>0</v>
      </c>
      <c r="H51" s="274">
        <v>9</v>
      </c>
      <c r="I51" s="388">
        <v>441.97999999999996</v>
      </c>
      <c r="J51" s="389">
        <v>43552649</v>
      </c>
      <c r="K51" s="391"/>
      <c r="L51" s="390">
        <f>J51+J51*SUM($K$46+SUM($K$50:K51))</f>
        <v>43552649</v>
      </c>
      <c r="M51" s="389">
        <f t="shared" ref="M51:M61" si="8">IFERROR(L51/I51,"")</f>
        <v>98539.863794741847</v>
      </c>
      <c r="N51"/>
      <c r="O51" s="479"/>
      <c r="P51" s="19"/>
      <c r="Q51" s="19"/>
      <c r="R51" s="478"/>
    </row>
    <row r="52" spans="3:18" x14ac:dyDescent="0.25">
      <c r="C52" s="387">
        <v>45352</v>
      </c>
      <c r="D52" s="274">
        <v>2</v>
      </c>
      <c r="E52" s="274">
        <v>4</v>
      </c>
      <c r="F52" s="274">
        <v>10</v>
      </c>
      <c r="G52" s="274">
        <v>0</v>
      </c>
      <c r="H52" s="274">
        <v>16</v>
      </c>
      <c r="I52" s="388">
        <v>825.3900000000001</v>
      </c>
      <c r="J52" s="389">
        <v>82345546</v>
      </c>
      <c r="K52" s="391"/>
      <c r="L52" s="390">
        <f>J52+J52*SUM($K$46+SUM($K$50:K52))</f>
        <v>82345546</v>
      </c>
      <c r="M52" s="389">
        <f t="shared" si="8"/>
        <v>99765.621100328324</v>
      </c>
      <c r="N52"/>
      <c r="O52" s="479"/>
      <c r="P52" s="19"/>
      <c r="Q52" s="19"/>
      <c r="R52" s="478"/>
    </row>
    <row r="53" spans="3:18" x14ac:dyDescent="0.25">
      <c r="C53" s="387">
        <v>45383</v>
      </c>
      <c r="D53" s="274">
        <v>1</v>
      </c>
      <c r="E53" s="274">
        <v>4</v>
      </c>
      <c r="F53" s="274">
        <v>3</v>
      </c>
      <c r="G53" s="274">
        <v>0</v>
      </c>
      <c r="H53" s="274">
        <v>8</v>
      </c>
      <c r="I53" s="388">
        <v>387.68000000000006</v>
      </c>
      <c r="J53" s="389">
        <v>41648100</v>
      </c>
      <c r="K53" s="438"/>
      <c r="L53" s="390">
        <f>J53+J53*SUM($K$46+SUM($K$50:K53))</f>
        <v>41648100</v>
      </c>
      <c r="M53" s="389">
        <f t="shared" si="8"/>
        <v>107429.0652084193</v>
      </c>
      <c r="N53"/>
      <c r="O53" s="479"/>
      <c r="P53" s="19"/>
      <c r="Q53" s="19"/>
      <c r="R53" s="478"/>
    </row>
    <row r="54" spans="3:18" x14ac:dyDescent="0.25">
      <c r="C54" s="387">
        <v>45413</v>
      </c>
      <c r="D54" s="274">
        <v>4</v>
      </c>
      <c r="E54" s="274">
        <v>0</v>
      </c>
      <c r="F54" s="274">
        <v>4</v>
      </c>
      <c r="G54" s="274">
        <v>4</v>
      </c>
      <c r="H54" s="274">
        <v>12</v>
      </c>
      <c r="I54" s="388">
        <v>656.22000000000014</v>
      </c>
      <c r="J54" s="389">
        <v>67246381</v>
      </c>
      <c r="K54" s="441"/>
      <c r="L54" s="390">
        <f>J54+J54*SUM($K$46+SUM($K$50:K54))</f>
        <v>67246381</v>
      </c>
      <c r="M54" s="389">
        <f t="shared" si="8"/>
        <v>102475.36039742766</v>
      </c>
      <c r="N54"/>
      <c r="O54" s="479"/>
      <c r="P54" s="19"/>
      <c r="Q54" s="19"/>
      <c r="R54" s="478"/>
    </row>
    <row r="55" spans="3:18" x14ac:dyDescent="0.25">
      <c r="C55" s="387">
        <v>45444</v>
      </c>
      <c r="D55" s="274">
        <v>0</v>
      </c>
      <c r="E55" s="274">
        <v>1</v>
      </c>
      <c r="F55" s="274">
        <v>6</v>
      </c>
      <c r="G55" s="274">
        <v>1</v>
      </c>
      <c r="H55" s="274">
        <v>8</v>
      </c>
      <c r="I55" s="388">
        <v>488.59999999999997</v>
      </c>
      <c r="J55" s="389">
        <v>50408728</v>
      </c>
      <c r="K55" s="438"/>
      <c r="L55" s="390">
        <f>J55+J55*SUM($K$46+SUM($K$50:K55))</f>
        <v>50408728</v>
      </c>
      <c r="M55" s="389">
        <f t="shared" si="8"/>
        <v>103169.72574703234</v>
      </c>
      <c r="N55"/>
      <c r="O55" s="479"/>
      <c r="P55" s="19"/>
      <c r="Q55" s="19"/>
      <c r="R55" s="478"/>
    </row>
    <row r="56" spans="3:18" x14ac:dyDescent="0.25">
      <c r="C56" s="387">
        <v>45474</v>
      </c>
      <c r="D56" s="274">
        <v>0</v>
      </c>
      <c r="E56" s="274">
        <v>0</v>
      </c>
      <c r="F56" s="274">
        <v>1</v>
      </c>
      <c r="G56" s="274">
        <v>1</v>
      </c>
      <c r="H56" s="274">
        <v>2</v>
      </c>
      <c r="I56" s="388">
        <v>138.02000000000001</v>
      </c>
      <c r="J56" s="389">
        <v>13896667</v>
      </c>
      <c r="K56" s="438"/>
      <c r="L56" s="390">
        <f>J56+J56*SUM($K$46+SUM($K$50:K56))</f>
        <v>13896667</v>
      </c>
      <c r="M56" s="389">
        <f t="shared" si="8"/>
        <v>100685.89334879002</v>
      </c>
      <c r="N56"/>
      <c r="O56" s="479"/>
      <c r="P56" s="19"/>
      <c r="Q56" s="19"/>
      <c r="R56" s="478"/>
    </row>
    <row r="57" spans="3:18" x14ac:dyDescent="0.25">
      <c r="C57" s="387">
        <v>45505</v>
      </c>
      <c r="D57" s="274">
        <v>0</v>
      </c>
      <c r="E57" s="274">
        <v>2</v>
      </c>
      <c r="F57" s="274">
        <v>3</v>
      </c>
      <c r="G57" s="274">
        <v>0</v>
      </c>
      <c r="H57" s="274">
        <v>5</v>
      </c>
      <c r="I57" s="388">
        <v>267.71999999999997</v>
      </c>
      <c r="J57" s="389">
        <v>28588442</v>
      </c>
      <c r="K57" s="438"/>
      <c r="L57" s="390">
        <f>J57+J57*SUM($K$46+SUM($K$50:K57))</f>
        <v>28588442</v>
      </c>
      <c r="M57" s="389">
        <f t="shared" si="8"/>
        <v>106784.85731361125</v>
      </c>
      <c r="N57"/>
      <c r="O57" s="479"/>
      <c r="P57" s="19"/>
      <c r="Q57" s="19"/>
      <c r="R57" s="478"/>
    </row>
    <row r="58" spans="3:18" x14ac:dyDescent="0.25">
      <c r="C58" s="387">
        <v>45536</v>
      </c>
      <c r="D58" s="274">
        <v>0</v>
      </c>
      <c r="E58" s="274">
        <v>0</v>
      </c>
      <c r="F58" s="274">
        <v>4</v>
      </c>
      <c r="G58" s="274">
        <v>1</v>
      </c>
      <c r="H58" s="274">
        <v>5</v>
      </c>
      <c r="I58" s="388">
        <v>329.46999999999997</v>
      </c>
      <c r="J58" s="389">
        <v>34356386.600000001</v>
      </c>
      <c r="K58" s="438"/>
      <c r="L58" s="390">
        <f>J58+J58*SUM($K$46+SUM($K$50:K58))</f>
        <v>34356386.600000001</v>
      </c>
      <c r="M58" s="389">
        <f t="shared" si="8"/>
        <v>104277.73879260632</v>
      </c>
      <c r="N58"/>
      <c r="O58" s="479"/>
      <c r="P58" s="19"/>
      <c r="Q58" s="19"/>
      <c r="R58" s="478"/>
    </row>
    <row r="59" spans="3:18" s="245" customFormat="1" x14ac:dyDescent="0.25">
      <c r="C59" s="468">
        <v>45566</v>
      </c>
      <c r="D59" s="469"/>
      <c r="E59" s="469"/>
      <c r="F59" s="469"/>
      <c r="G59" s="469"/>
      <c r="H59" s="469">
        <f t="shared" ref="H59:H62" si="9">SUM(D59:G59)</f>
        <v>0</v>
      </c>
      <c r="I59" s="470">
        <f t="shared" ref="I59:I61" ca="1" si="10">D59*$E$5+E59*$E$6+F59*$E$7+G59*$E$8</f>
        <v>0</v>
      </c>
      <c r="J59" s="471">
        <f t="shared" ref="J59:J61" ca="1" si="11">D59*$L$5+E59*$L$6+F59*$L$7+G59*$L$8</f>
        <v>0</v>
      </c>
      <c r="K59" s="472"/>
      <c r="L59" s="473">
        <f ca="1">J59+J59*SUM($K$46+SUM($K$50:K59))</f>
        <v>0</v>
      </c>
      <c r="M59" s="471" t="str">
        <f t="shared" ca="1" si="8"/>
        <v/>
      </c>
      <c r="O59" s="479"/>
      <c r="P59" s="265"/>
      <c r="Q59" s="19"/>
      <c r="R59" s="478"/>
    </row>
    <row r="60" spans="3:18" x14ac:dyDescent="0.25">
      <c r="C60" s="387">
        <v>45597</v>
      </c>
      <c r="D60" s="274"/>
      <c r="E60" s="274"/>
      <c r="F60" s="274"/>
      <c r="G60" s="274"/>
      <c r="H60" s="274">
        <f t="shared" si="9"/>
        <v>0</v>
      </c>
      <c r="I60" s="388">
        <f t="shared" ca="1" si="10"/>
        <v>0</v>
      </c>
      <c r="J60" s="389">
        <f t="shared" ca="1" si="11"/>
        <v>0</v>
      </c>
      <c r="K60" s="438"/>
      <c r="L60" s="390">
        <f ca="1">J60+J60*SUM($K$46+SUM($K$50:K60))</f>
        <v>0</v>
      </c>
      <c r="M60" s="389" t="str">
        <f t="shared" ca="1" si="8"/>
        <v/>
      </c>
      <c r="N60"/>
      <c r="O60" s="479"/>
      <c r="P60" s="19"/>
      <c r="Q60" s="19"/>
      <c r="R60" s="478"/>
    </row>
    <row r="61" spans="3:18" x14ac:dyDescent="0.25">
      <c r="C61" s="387">
        <v>45627</v>
      </c>
      <c r="D61" s="274"/>
      <c r="E61" s="274"/>
      <c r="F61" s="274"/>
      <c r="G61" s="274"/>
      <c r="H61" s="274">
        <f t="shared" si="9"/>
        <v>0</v>
      </c>
      <c r="I61" s="388">
        <f t="shared" ca="1" si="10"/>
        <v>0</v>
      </c>
      <c r="J61" s="389">
        <f t="shared" ca="1" si="11"/>
        <v>0</v>
      </c>
      <c r="K61" s="438"/>
      <c r="L61" s="390">
        <f ca="1">J61+J61*SUM($K$46+SUM($K$50:K61))</f>
        <v>0</v>
      </c>
      <c r="M61" s="389" t="str">
        <f t="shared" ca="1" si="8"/>
        <v/>
      </c>
      <c r="N61"/>
      <c r="O61" s="479"/>
      <c r="P61" s="19"/>
      <c r="Q61" s="19"/>
      <c r="R61" s="478"/>
    </row>
    <row r="62" spans="3:18" x14ac:dyDescent="0.25">
      <c r="C62" s="36" t="s">
        <v>3249</v>
      </c>
      <c r="D62" s="109">
        <f t="shared" ref="D62:M62" si="12">SUM(D50:D61)</f>
        <v>10</v>
      </c>
      <c r="E62" s="109">
        <f t="shared" si="12"/>
        <v>18</v>
      </c>
      <c r="F62" s="109">
        <f t="shared" si="12"/>
        <v>39</v>
      </c>
      <c r="G62" s="109">
        <f t="shared" si="12"/>
        <v>8</v>
      </c>
      <c r="H62" s="41">
        <f t="shared" si="9"/>
        <v>75</v>
      </c>
      <c r="I62" s="49">
        <f t="shared" ca="1" si="12"/>
        <v>4058.1499999999996</v>
      </c>
      <c r="J62" s="49">
        <f t="shared" ca="1" si="12"/>
        <v>413956610.32000005</v>
      </c>
      <c r="K62" s="37">
        <f>SUM(K50:K61)</f>
        <v>0</v>
      </c>
      <c r="L62" s="71">
        <f t="shared" ca="1" si="12"/>
        <v>413956610.32000005</v>
      </c>
      <c r="M62" s="48">
        <f t="shared" ca="1" si="12"/>
        <v>922376.23918681184</v>
      </c>
      <c r="N62"/>
      <c r="O62" s="479"/>
      <c r="P62" s="19"/>
      <c r="Q62" s="19"/>
      <c r="R62" s="478"/>
    </row>
    <row r="63" spans="3:18" x14ac:dyDescent="0.25">
      <c r="C63" s="131" t="s">
        <v>106</v>
      </c>
      <c r="D63" s="132">
        <f>D62/$G$5</f>
        <v>0.10989010989010989</v>
      </c>
      <c r="E63" s="132">
        <f>E62/$G$6</f>
        <v>9.5238095238095233E-2</v>
      </c>
      <c r="F63" s="132">
        <f>F62/$G$7</f>
        <v>0.19117647058823528</v>
      </c>
      <c r="G63" s="132">
        <f>G62/$G$8</f>
        <v>0.15384615384615385</v>
      </c>
      <c r="H63" s="133">
        <f>H62/$G$9</f>
        <v>0.13992537313432835</v>
      </c>
      <c r="J63" s="66"/>
      <c r="K63" s="4"/>
      <c r="M63" s="65"/>
    </row>
    <row r="64" spans="3:18" x14ac:dyDescent="0.25">
      <c r="I64" s="12"/>
      <c r="J64" s="12"/>
    </row>
    <row r="65" spans="3:14" ht="24" x14ac:dyDescent="0.25">
      <c r="C65" s="102" t="s">
        <v>0</v>
      </c>
      <c r="D65" s="103" t="s">
        <v>4</v>
      </c>
      <c r="E65" s="104" t="s">
        <v>22</v>
      </c>
      <c r="F65" s="104" t="s">
        <v>23</v>
      </c>
      <c r="G65" s="104" t="s">
        <v>24</v>
      </c>
      <c r="H65" s="105" t="s">
        <v>59</v>
      </c>
      <c r="I65" s="377" t="s">
        <v>51</v>
      </c>
      <c r="J65" s="378" t="s">
        <v>33</v>
      </c>
      <c r="K65" s="378" t="s">
        <v>108</v>
      </c>
      <c r="L65" s="378" t="s">
        <v>107</v>
      </c>
      <c r="M65" s="379" t="s">
        <v>17</v>
      </c>
      <c r="N65" s="346"/>
    </row>
    <row r="66" spans="3:14" s="245" customFormat="1" x14ac:dyDescent="0.25">
      <c r="C66" s="387">
        <v>45658</v>
      </c>
      <c r="D66" s="274"/>
      <c r="E66" s="274"/>
      <c r="F66" s="274"/>
      <c r="G66" s="274"/>
      <c r="H66" s="274">
        <f t="shared" ref="H66:H77" si="13">SUM(D66:G66)</f>
        <v>0</v>
      </c>
      <c r="I66" s="388">
        <f t="shared" ref="I66:I76" ca="1" si="14">D66*$E$5+E66*$E$6+F66*$E$7+G66*$E$8</f>
        <v>0</v>
      </c>
      <c r="J66" s="389">
        <f t="shared" ref="J66:J76" ca="1" si="15">D66*$L$5+E66*$L$6+F66*$L$7+G66*$L$8</f>
        <v>0</v>
      </c>
      <c r="K66" s="391"/>
      <c r="L66" s="390">
        <f ca="1">J66+J66*SUM($K$46+$K$62+SUM($K$66:K66))</f>
        <v>0</v>
      </c>
      <c r="M66" s="389" t="str">
        <f ca="1">IFERROR(L66/I66,"")</f>
        <v/>
      </c>
      <c r="N66" s="249"/>
    </row>
    <row r="67" spans="3:14" s="245" customFormat="1" x14ac:dyDescent="0.25">
      <c r="C67" s="387">
        <v>45689</v>
      </c>
      <c r="D67" s="274"/>
      <c r="E67" s="274"/>
      <c r="F67" s="274"/>
      <c r="G67" s="274"/>
      <c r="H67" s="274">
        <f t="shared" si="13"/>
        <v>0</v>
      </c>
      <c r="I67" s="388">
        <f t="shared" ca="1" si="14"/>
        <v>0</v>
      </c>
      <c r="J67" s="389">
        <f t="shared" ca="1" si="15"/>
        <v>0</v>
      </c>
      <c r="K67" s="391"/>
      <c r="L67" s="390">
        <f ca="1">J67+J67*SUM($K$46+$K$62+SUM($K$66:K67))</f>
        <v>0</v>
      </c>
      <c r="M67" s="389" t="str">
        <f t="shared" ref="M67:M77" ca="1" si="16">IFERROR(L67/I67,"")</f>
        <v/>
      </c>
      <c r="N67" s="249"/>
    </row>
    <row r="68" spans="3:14" s="245" customFormat="1" x14ac:dyDescent="0.25">
      <c r="C68" s="387">
        <v>45717</v>
      </c>
      <c r="D68" s="274"/>
      <c r="E68" s="274"/>
      <c r="F68" s="274"/>
      <c r="G68" s="274">
        <v>1</v>
      </c>
      <c r="H68" s="274">
        <v>1</v>
      </c>
      <c r="I68" s="388">
        <v>75.7</v>
      </c>
      <c r="J68" s="389">
        <v>8374500</v>
      </c>
      <c r="K68" s="391"/>
      <c r="L68" s="390">
        <f>J68+J68*SUM($K$46+$K$62+SUM($K$66:K68))</f>
        <v>8374500</v>
      </c>
      <c r="M68" s="389">
        <f t="shared" si="16"/>
        <v>110627.47688243064</v>
      </c>
      <c r="N68" s="249"/>
    </row>
    <row r="69" spans="3:14" s="245" customFormat="1" x14ac:dyDescent="0.25">
      <c r="C69" s="387">
        <v>45748</v>
      </c>
      <c r="D69" s="274"/>
      <c r="E69" s="274"/>
      <c r="F69" s="274"/>
      <c r="G69" s="274"/>
      <c r="H69" s="274">
        <f t="shared" si="13"/>
        <v>0</v>
      </c>
      <c r="I69" s="388">
        <f t="shared" ca="1" si="14"/>
        <v>0</v>
      </c>
      <c r="J69" s="389">
        <f t="shared" ca="1" si="15"/>
        <v>0</v>
      </c>
      <c r="K69" s="438"/>
      <c r="L69" s="390">
        <f ca="1">J69+J69*SUM($K$46+$K$62+SUM($K$66:K69))</f>
        <v>0</v>
      </c>
      <c r="M69" s="389" t="str">
        <f t="shared" ca="1" si="16"/>
        <v/>
      </c>
      <c r="N69" s="249"/>
    </row>
    <row r="70" spans="3:14" s="245" customFormat="1" x14ac:dyDescent="0.25">
      <c r="C70" s="387">
        <v>45778</v>
      </c>
      <c r="D70" s="274"/>
      <c r="E70" s="274"/>
      <c r="F70" s="274"/>
      <c r="G70" s="274"/>
      <c r="H70" s="274">
        <f t="shared" si="13"/>
        <v>0</v>
      </c>
      <c r="I70" s="388">
        <f t="shared" ca="1" si="14"/>
        <v>0</v>
      </c>
      <c r="J70" s="389">
        <f t="shared" ca="1" si="15"/>
        <v>0</v>
      </c>
      <c r="K70" s="649"/>
      <c r="L70" s="390">
        <f ca="1">J70+J70*SUM($K$46+$K$62+SUM($K$66:K70))</f>
        <v>0</v>
      </c>
      <c r="M70" s="389" t="str">
        <f t="shared" ca="1" si="16"/>
        <v/>
      </c>
      <c r="N70" s="249"/>
    </row>
    <row r="71" spans="3:14" s="245" customFormat="1" x14ac:dyDescent="0.25">
      <c r="C71" s="387">
        <v>45809</v>
      </c>
      <c r="D71" s="274"/>
      <c r="E71" s="274">
        <v>1</v>
      </c>
      <c r="F71" s="274"/>
      <c r="G71" s="274"/>
      <c r="H71" s="274">
        <f t="shared" si="13"/>
        <v>1</v>
      </c>
      <c r="I71" s="388">
        <v>34.6</v>
      </c>
      <c r="J71" s="389">
        <v>4255800</v>
      </c>
      <c r="K71" s="649"/>
      <c r="L71" s="390">
        <f>J71+J71*SUM($K$46+$K$62+SUM($K$66:K71))</f>
        <v>4255800</v>
      </c>
      <c r="M71" s="389">
        <f t="shared" si="16"/>
        <v>123000</v>
      </c>
      <c r="N71" s="249"/>
    </row>
    <row r="72" spans="3:14" s="245" customFormat="1" x14ac:dyDescent="0.25">
      <c r="C72" s="387">
        <v>45839</v>
      </c>
      <c r="D72" s="274"/>
      <c r="E72" s="274"/>
      <c r="F72" s="274"/>
      <c r="G72" s="274"/>
      <c r="H72" s="274">
        <v>0</v>
      </c>
      <c r="I72" s="388">
        <v>0</v>
      </c>
      <c r="J72" s="389">
        <v>0</v>
      </c>
      <c r="K72" s="438"/>
      <c r="L72" s="390">
        <f>J72+J72*SUM($K$46+$K$62+SUM($K$66:K72))</f>
        <v>0</v>
      </c>
      <c r="M72" s="389" t="str">
        <f t="shared" si="16"/>
        <v/>
      </c>
      <c r="N72" s="249"/>
    </row>
    <row r="73" spans="3:14" s="245" customFormat="1" x14ac:dyDescent="0.25">
      <c r="C73" s="242">
        <v>45870</v>
      </c>
      <c r="D73" s="243"/>
      <c r="E73" s="243"/>
      <c r="F73" s="243">
        <v>1</v>
      </c>
      <c r="G73" s="243"/>
      <c r="H73" s="243">
        <f t="shared" si="13"/>
        <v>1</v>
      </c>
      <c r="I73" s="244">
        <f t="shared" ca="1" si="14"/>
        <v>63.300000000004125</v>
      </c>
      <c r="J73" s="59">
        <f t="shared" ca="1" si="15"/>
        <v>7582600.0003333492</v>
      </c>
      <c r="K73" s="294">
        <v>-0.04</v>
      </c>
      <c r="L73" s="60">
        <f ca="1">J73+J73*SUM($K$46+$K$62+SUM($K$66:K73))</f>
        <v>7279296.0003200155</v>
      </c>
      <c r="M73" s="59">
        <f t="shared" ca="1" si="16"/>
        <v>114996.77725623288</v>
      </c>
      <c r="N73" s="249"/>
    </row>
    <row r="74" spans="3:14" s="245" customFormat="1" x14ac:dyDescent="0.25">
      <c r="C74" s="242">
        <v>45901</v>
      </c>
      <c r="D74" s="243"/>
      <c r="E74" s="243">
        <v>1</v>
      </c>
      <c r="F74" s="243"/>
      <c r="G74" s="243"/>
      <c r="H74" s="243">
        <f t="shared" si="13"/>
        <v>1</v>
      </c>
      <c r="I74" s="244">
        <f t="shared" ca="1" si="14"/>
        <v>54.850000000001728</v>
      </c>
      <c r="J74" s="59">
        <f t="shared" ca="1" si="15"/>
        <v>6581999.9999998212</v>
      </c>
      <c r="K74" s="294"/>
      <c r="L74" s="60">
        <f ca="1">J74+J74*SUM($K$46+$K$62+SUM($K$66:K74))</f>
        <v>6318719.9999998286</v>
      </c>
      <c r="M74" s="59">
        <f t="shared" ca="1" si="16"/>
        <v>115199.99999999325</v>
      </c>
      <c r="N74" s="249"/>
    </row>
    <row r="75" spans="3:14" s="245" customFormat="1" x14ac:dyDescent="0.25">
      <c r="C75" s="242">
        <v>45931</v>
      </c>
      <c r="D75" s="243"/>
      <c r="E75" s="243"/>
      <c r="F75" s="243">
        <v>1</v>
      </c>
      <c r="G75" s="243"/>
      <c r="H75" s="243">
        <f t="shared" si="13"/>
        <v>1</v>
      </c>
      <c r="I75" s="244">
        <f t="shared" ca="1" si="14"/>
        <v>63.300000000004125</v>
      </c>
      <c r="J75" s="59">
        <f t="shared" ca="1" si="15"/>
        <v>7582600.0003333492</v>
      </c>
      <c r="K75" s="294"/>
      <c r="L75" s="60">
        <f ca="1">J75+J75*SUM($K$46+$K$62+SUM($K$66:K75))</f>
        <v>7279296.0003200155</v>
      </c>
      <c r="M75" s="59">
        <f t="shared" ca="1" si="16"/>
        <v>114996.77725623288</v>
      </c>
      <c r="N75" s="249"/>
    </row>
    <row r="76" spans="3:14" s="245" customFormat="1" x14ac:dyDescent="0.25">
      <c r="C76" s="242">
        <v>45962</v>
      </c>
      <c r="D76" s="243"/>
      <c r="E76" s="243"/>
      <c r="F76" s="243">
        <v>1</v>
      </c>
      <c r="G76" s="243"/>
      <c r="H76" s="243">
        <f t="shared" si="13"/>
        <v>1</v>
      </c>
      <c r="I76" s="244">
        <f t="shared" ca="1" si="14"/>
        <v>63.300000000004125</v>
      </c>
      <c r="J76" s="59">
        <f t="shared" ca="1" si="15"/>
        <v>7582600.0003333492</v>
      </c>
      <c r="K76" s="294"/>
      <c r="L76" s="60">
        <f ca="1">J76+J76*SUM($K$46+$K$62+SUM($K$66:K76))</f>
        <v>7279296.0003200155</v>
      </c>
      <c r="M76" s="59">
        <f t="shared" ca="1" si="16"/>
        <v>114996.77725623288</v>
      </c>
      <c r="N76" s="249"/>
    </row>
    <row r="77" spans="3:14" s="245" customFormat="1" x14ac:dyDescent="0.25">
      <c r="C77" s="242">
        <v>45992</v>
      </c>
      <c r="D77" s="243"/>
      <c r="E77" s="243">
        <v>1</v>
      </c>
      <c r="F77" s="243"/>
      <c r="G77" s="243"/>
      <c r="H77" s="243">
        <f t="shared" si="13"/>
        <v>1</v>
      </c>
      <c r="I77" s="244">
        <f t="shared" ref="I77" ca="1" si="17">D77*$E$5+E77*$E$6+F77*$E$7+G77*$E$8</f>
        <v>54.850000000001728</v>
      </c>
      <c r="J77" s="59">
        <f t="shared" ref="J77" ca="1" si="18">D77*$L$5+E77*$L$6+F77*$L$7+G77*$L$8</f>
        <v>6581999.9999998212</v>
      </c>
      <c r="K77" s="294"/>
      <c r="L77" s="60">
        <f ca="1">J77+J77*SUM($K$46+$K$62+SUM($K$66:K77))</f>
        <v>6318719.9999998286</v>
      </c>
      <c r="M77" s="59">
        <f t="shared" ca="1" si="16"/>
        <v>115199.99999999325</v>
      </c>
      <c r="N77" s="249"/>
    </row>
    <row r="78" spans="3:14" x14ac:dyDescent="0.25">
      <c r="C78" s="36" t="s">
        <v>4561</v>
      </c>
      <c r="D78" s="109">
        <f t="shared" ref="D78:G78" si="19">SUM(D66:D77)</f>
        <v>0</v>
      </c>
      <c r="E78" s="109">
        <f t="shared" si="19"/>
        <v>3</v>
      </c>
      <c r="F78" s="109">
        <f t="shared" si="19"/>
        <v>3</v>
      </c>
      <c r="G78" s="109">
        <f t="shared" si="19"/>
        <v>1</v>
      </c>
      <c r="H78" s="41">
        <f t="shared" ref="H78" si="20">SUM(D78:G78)</f>
        <v>7</v>
      </c>
      <c r="I78" s="49">
        <f t="shared" ref="I78:J78" ca="1" si="21">SUM(I66:I77)</f>
        <v>409.90000000001584</v>
      </c>
      <c r="J78" s="49">
        <f t="shared" ca="1" si="21"/>
        <v>48542100.000999689</v>
      </c>
      <c r="K78" s="37">
        <f>SUM(K66:K77)</f>
        <v>-0.04</v>
      </c>
      <c r="L78" s="71">
        <f t="shared" ref="L78:M78" ca="1" si="22">SUM(L66:L77)</f>
        <v>47105628.000959709</v>
      </c>
      <c r="M78" s="48">
        <f t="shared" ca="1" si="22"/>
        <v>809017.80865111586</v>
      </c>
      <c r="N78" s="346"/>
    </row>
    <row r="79" spans="3:14" x14ac:dyDescent="0.25">
      <c r="C79" s="131" t="s">
        <v>106</v>
      </c>
      <c r="D79" s="132">
        <f>D78/$G$5</f>
        <v>0</v>
      </c>
      <c r="E79" s="132">
        <f>E78/$G$6</f>
        <v>1.5873015873015872E-2</v>
      </c>
      <c r="F79" s="132">
        <f>F78/$G$7</f>
        <v>1.4705882352941176E-2</v>
      </c>
      <c r="G79" s="132">
        <f>G78/$G$8</f>
        <v>1.9230769230769232E-2</v>
      </c>
      <c r="H79" s="133">
        <f>H78/$G$9</f>
        <v>1.3059701492537313E-2</v>
      </c>
      <c r="J79" s="66"/>
      <c r="K79" s="4"/>
      <c r="M79" s="65"/>
      <c r="N79" s="346"/>
    </row>
    <row r="80" spans="3:14" x14ac:dyDescent="0.25">
      <c r="I80" s="12"/>
      <c r="J80" s="12"/>
      <c r="N80" s="346"/>
    </row>
    <row r="81" spans="4:10" x14ac:dyDescent="0.25">
      <c r="D81" s="355">
        <f>D15</f>
        <v>0</v>
      </c>
      <c r="E81" s="355">
        <f t="shared" ref="E81:G81" si="23">E15</f>
        <v>0</v>
      </c>
      <c r="F81" s="355">
        <f t="shared" si="23"/>
        <v>0</v>
      </c>
      <c r="G81" s="355">
        <f t="shared" si="23"/>
        <v>0</v>
      </c>
      <c r="I81" s="355">
        <f ca="1">I15</f>
        <v>0</v>
      </c>
      <c r="J81" s="355">
        <f ca="1">J15</f>
        <v>0</v>
      </c>
    </row>
    <row r="82" spans="4:10" x14ac:dyDescent="0.25">
      <c r="I82" s="12"/>
    </row>
    <row r="83" spans="4:10" x14ac:dyDescent="0.25">
      <c r="I83" s="12"/>
    </row>
    <row r="84" spans="4:10" x14ac:dyDescent="0.25">
      <c r="I84" s="12"/>
    </row>
  </sheetData>
  <sheetProtection formatCells="0" formatColumns="0" formatRows="0" sort="0" autoFilter="0" pivotTables="0"/>
  <mergeCells count="4">
    <mergeCell ref="C3:F3"/>
    <mergeCell ref="K3:M3"/>
    <mergeCell ref="C4:D4"/>
    <mergeCell ref="G4:J4"/>
  </mergeCells>
  <pageMargins left="0.7" right="0.7" top="0.75" bottom="0.75" header="0.3" footer="0.3"/>
  <pageSetup paperSize="9" orientation="portrait" r:id="rId1"/>
  <ignoredErrors>
    <ignoredError sqref="H30" formulaRange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D78092D-9DD8-4C0C-B16E-FA8CC13E2E10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D15:J15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94221-373A-49E4-82F9-B9E910B637D1}">
  <sheetPr codeName="Лист13">
    <tabColor rgb="FFFFFF00"/>
  </sheetPr>
  <dimension ref="A1:L90"/>
  <sheetViews>
    <sheetView workbookViewId="0">
      <selection activeCell="A77" sqref="A77"/>
    </sheetView>
  </sheetViews>
  <sheetFormatPr defaultRowHeight="15" x14ac:dyDescent="0.25"/>
  <cols>
    <col min="1" max="1" width="15.7109375" bestFit="1" customWidth="1"/>
    <col min="2" max="2" width="17.28515625" bestFit="1" customWidth="1"/>
    <col min="3" max="3" width="12.140625" bestFit="1" customWidth="1"/>
    <col min="4" max="4" width="14.140625" bestFit="1" customWidth="1"/>
    <col min="5" max="5" width="13.28515625" bestFit="1" customWidth="1"/>
    <col min="6" max="6" width="15.28515625" bestFit="1" customWidth="1"/>
    <col min="7" max="7" width="16.85546875" bestFit="1" customWidth="1"/>
    <col min="8" max="8" width="17.85546875" bestFit="1" customWidth="1"/>
    <col min="9" max="9" width="32.140625" bestFit="1" customWidth="1"/>
    <col min="10" max="10" width="20.28515625" bestFit="1" customWidth="1"/>
    <col min="11" max="11" width="43.85546875" customWidth="1"/>
    <col min="12" max="12" width="43.85546875" bestFit="1" customWidth="1"/>
    <col min="14" max="14" width="10.28515625" bestFit="1" customWidth="1"/>
    <col min="15" max="15" width="16.5703125" bestFit="1" customWidth="1"/>
    <col min="16" max="16" width="13.140625" bestFit="1" customWidth="1"/>
  </cols>
  <sheetData>
    <row r="1" spans="1:12" ht="15.75" thickBot="1" x14ac:dyDescent="0.3"/>
    <row r="2" spans="1:12" ht="15.75" thickBot="1" x14ac:dyDescent="0.3">
      <c r="B2" s="756" t="s">
        <v>104</v>
      </c>
      <c r="C2" s="757"/>
      <c r="D2" s="758"/>
      <c r="E2" s="83" t="s">
        <v>109</v>
      </c>
      <c r="F2" s="77" t="s">
        <v>70</v>
      </c>
      <c r="G2" s="241" t="s">
        <v>69</v>
      </c>
      <c r="H2" s="84" t="s">
        <v>68</v>
      </c>
      <c r="I2" s="756" t="s">
        <v>105</v>
      </c>
      <c r="J2" s="758"/>
    </row>
    <row r="3" spans="1:12" ht="30.75" thickBot="1" x14ac:dyDescent="0.3">
      <c r="B3" s="759" t="s">
        <v>11</v>
      </c>
      <c r="C3" s="760"/>
      <c r="D3" s="298" t="s">
        <v>103</v>
      </c>
      <c r="E3" s="761">
        <f ca="1">DATE(YEAR(TODAY()),MONTH(TODAY()),1)</f>
        <v>45870</v>
      </c>
      <c r="F3" s="762"/>
      <c r="G3" s="762"/>
      <c r="H3" s="763"/>
      <c r="I3" s="127" t="s">
        <v>12</v>
      </c>
      <c r="J3" s="128" t="s">
        <v>102</v>
      </c>
    </row>
    <row r="4" spans="1:12" ht="15.75" thickBot="1" x14ac:dyDescent="0.3">
      <c r="B4" s="256" t="s">
        <v>4319</v>
      </c>
      <c r="C4" s="257">
        <f ca="1">SUMIFS(Коммерция[Общая фактическая],Коммерция[Статус],"&lt;&gt;За застройщиком")-SUMIFS(РД[S],РД[Состояние],"коммерция",РД[Дата подачи на регистрацию],"&lt;"&amp;$E$3)</f>
        <v>2427.5199999999986</v>
      </c>
      <c r="D4" s="258">
        <f ca="1">C4/F4</f>
        <v>78.307096774193511</v>
      </c>
      <c r="E4" s="259">
        <f>COUNTIFS(Коммерция[Статус],"&lt;&gt;За застройщиком")</f>
        <v>85</v>
      </c>
      <c r="F4" s="260">
        <f ca="1">E4-G4</f>
        <v>31</v>
      </c>
      <c r="G4" s="261">
        <f ca="1">COUNTIFS(РД[Состояние],"Коммерция",РД[Дата подачи на регистрацию],"&lt;"&amp;$E$3)</f>
        <v>54</v>
      </c>
      <c r="H4" s="262">
        <f ca="1">G4/E4</f>
        <v>0.63529411764705879</v>
      </c>
      <c r="I4" s="263">
        <f ca="1">SUMIFS(Коммерция[стоимость лота],Коммерция[Статус],"&lt;&gt;За застройщиком")-SUMIFS(РД[Стоимость без отделки итог],РД[Состояние],"коммерция",РД[Дата подачи на регистрацию],"&lt;"&amp;$E$3)</f>
        <v>311729300</v>
      </c>
      <c r="J4" s="264">
        <f ca="1">I4/F4</f>
        <v>10055783.870967742</v>
      </c>
    </row>
    <row r="5" spans="1:12" ht="15.75" thickBot="1" x14ac:dyDescent="0.3">
      <c r="B5" s="277" t="s">
        <v>4313</v>
      </c>
      <c r="C5" s="278">
        <f>SUMIFS(Коммерция[Общая фактическая],Коммерция[Статус],"За застройщиком")</f>
        <v>792</v>
      </c>
      <c r="D5" s="279">
        <f>C5/E5</f>
        <v>198</v>
      </c>
      <c r="E5" s="280">
        <f>COUNTIFS(Коммерция[Статус],"За застройщиком")</f>
        <v>4</v>
      </c>
      <c r="F5" s="281"/>
      <c r="G5" s="281"/>
      <c r="H5" s="282"/>
      <c r="I5" s="283">
        <f>SUMIFS(Коммерция[стоимость лота],Коммерция[Статус],"За застройщиком")</f>
        <v>98238500</v>
      </c>
      <c r="J5" s="284">
        <f>I5/E5</f>
        <v>24559625</v>
      </c>
    </row>
    <row r="9" spans="1:12" s="310" customFormat="1" x14ac:dyDescent="0.25">
      <c r="B9" s="310">
        <f>SUBTOTAL(3,Таблица2[Дом])</f>
        <v>4</v>
      </c>
      <c r="D9" s="320">
        <f>SUBTOTAL(9,Таблица2[Площадь])</f>
        <v>277.66000000000003</v>
      </c>
      <c r="E9" s="320"/>
      <c r="F9" s="320">
        <f>SUBTOTAL(9,Таблица2[Стоимость])</f>
        <v>34488000</v>
      </c>
    </row>
    <row r="10" spans="1:12" s="310" customFormat="1" x14ac:dyDescent="0.25">
      <c r="A10" s="266" t="s">
        <v>1145</v>
      </c>
      <c r="B10" s="266" t="s">
        <v>4689</v>
      </c>
      <c r="C10" s="266" t="s">
        <v>40</v>
      </c>
      <c r="D10" s="266" t="s">
        <v>51</v>
      </c>
      <c r="E10" s="266" t="s">
        <v>4307</v>
      </c>
      <c r="F10" s="266" t="s">
        <v>52</v>
      </c>
      <c r="G10" s="266" t="s">
        <v>8</v>
      </c>
      <c r="H10" s="266" t="s">
        <v>4690</v>
      </c>
      <c r="I10" s="266" t="s">
        <v>4688</v>
      </c>
      <c r="J10" s="266" t="s">
        <v>4691</v>
      </c>
      <c r="K10" s="266" t="s">
        <v>4732</v>
      </c>
      <c r="L10" s="311" t="s">
        <v>62</v>
      </c>
    </row>
    <row r="11" spans="1:12" s="310" customFormat="1" hidden="1" x14ac:dyDescent="0.25">
      <c r="A11" s="243" t="s">
        <v>20</v>
      </c>
      <c r="B11" s="243">
        <v>1</v>
      </c>
      <c r="C11" s="243" t="s">
        <v>6</v>
      </c>
      <c r="D11" s="243" cm="1">
        <f t="array" ref="D11">_xlfn.XLOOKUP(Таблица2[[#This Row],[Дом]]&amp;Таблица2[[#This Row],[№ Офиса]],Коммерция[Дом]&amp;Коммерция[№],Коммерция[Общая фактическая],"",0)</f>
        <v>89.8</v>
      </c>
      <c r="E11" s="244" cm="1">
        <f t="array" ref="E11">_xlfn.XLOOKUP(Таблица2[[#This Row],[Дом]]&amp;Таблица2[[#This Row],[№ Офиса]],Коммерция[Дом]&amp;Коммерция[№],Коммерция[Цена м2],"",0)</f>
        <v>95000</v>
      </c>
      <c r="F11" s="244" cm="1">
        <f t="array" ref="F11">_xlfn.XLOOKUP(Таблица2[[#This Row],[Дом]]&amp;Таблица2[[#This Row],[№ Офиса]],Коммерция[Дом]&amp;Коммерция[№],Коммерция[стоимость лота],"",0)</f>
        <v>8531000</v>
      </c>
      <c r="G11" s="243" t="str" cm="1">
        <f t="array" ref="G11">_xlfn.XLOOKUP(Таблица2[[#This Row],[Дом]]&amp;Таблица2[[#This Row],[№ Офиса]],Коммерция[Дом]&amp;Коммерция[№],Коммерция[Статус],"",0)</f>
        <v>Продажа</v>
      </c>
      <c r="H11" s="312" cm="1">
        <f t="array" ref="H11">_xlfn.XLOOKUP(Таблица2[[#This Row],[Дом]]&amp;Таблица2[[#This Row],[№ Офиса]]&amp;"Коммерция",РД[Дом]&amp;РД[№ кв]&amp;РД[Состояние],РД[Дата подачи на регистрацию],"",0)</f>
        <v>45328</v>
      </c>
      <c r="I11" s="312"/>
      <c r="J11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11" s="243" t="s">
        <v>4310</v>
      </c>
      <c r="L11" s="243"/>
    </row>
    <row r="12" spans="1:12" s="310" customFormat="1" hidden="1" x14ac:dyDescent="0.25">
      <c r="A12" s="650" t="s">
        <v>20</v>
      </c>
      <c r="B12" s="650">
        <v>2</v>
      </c>
      <c r="C12" s="650" t="s">
        <v>6</v>
      </c>
      <c r="D12" s="650" cm="1">
        <f t="array" ref="D12">_xlfn.XLOOKUP(Таблица2[[#This Row],[Дом]]&amp;Таблица2[[#This Row],[№ Офиса]],Коммерция[Дом]&amp;Коммерция[№],Коммерция[Общая фактическая],"",0)</f>
        <v>65.599999999999994</v>
      </c>
      <c r="E12" s="651" cm="1">
        <f t="array" ref="E12">_xlfn.XLOOKUP(Таблица2[[#This Row],[Дом]]&amp;Таблица2[[#This Row],[№ Офиса]],Коммерция[Дом]&amp;Коммерция[№],Коммерция[Цена м2],"",0)</f>
        <v>120000.00000000001</v>
      </c>
      <c r="F12" s="651" cm="1">
        <f t="array" ref="F12">_xlfn.XLOOKUP(Таблица2[[#This Row],[Дом]]&amp;Таблица2[[#This Row],[№ Офиса]],Коммерция[Дом]&amp;Коммерция[№],Коммерция[стоимость лота],"",0)</f>
        <v>7872000</v>
      </c>
      <c r="G12" s="650" t="str" cm="1">
        <f t="array" ref="G12">_xlfn.XLOOKUP(Таблица2[[#This Row],[Дом]]&amp;Таблица2[[#This Row],[№ Офиса]],Коммерция[Дом]&amp;Коммерция[№],Коммерция[Статус],"",0)</f>
        <v>Продажа</v>
      </c>
      <c r="H12" s="652" cm="1">
        <f t="array" ref="H12">_xlfn.XLOOKUP(Таблица2[[#This Row],[Дом]]&amp;Таблица2[[#This Row],[№ Офиса]]&amp;"Коммерция",РД[Дом]&amp;РД[№ кв]&amp;РД[Состояние],РД[Дата подачи на регистрацию],"",0)</f>
        <v>45868</v>
      </c>
      <c r="I12" s="652">
        <v>45809</v>
      </c>
      <c r="J12" s="650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Убрать из плана</v>
      </c>
      <c r="K12" s="650" t="s">
        <v>4491</v>
      </c>
      <c r="L12" s="650"/>
    </row>
    <row r="13" spans="1:12" s="653" customFormat="1" hidden="1" x14ac:dyDescent="0.25">
      <c r="A13" s="650" t="s">
        <v>20</v>
      </c>
      <c r="B13" s="650">
        <v>3</v>
      </c>
      <c r="C13" s="650" t="s">
        <v>6</v>
      </c>
      <c r="D13" s="650" cm="1">
        <f t="array" ref="D13">_xlfn.XLOOKUP(Таблица2[[#This Row],[Дом]]&amp;Таблица2[[#This Row],[№ Офиса]],Коммерция[Дом]&amp;Коммерция[№],Коммерция[Общая фактическая],"",0)</f>
        <v>127.2</v>
      </c>
      <c r="E13" s="651" cm="1">
        <f t="array" ref="E13">_xlfn.XLOOKUP(Таблица2[[#This Row],[Дом]]&amp;Таблица2[[#This Row],[№ Офиса]],Коммерция[Дом]&amp;Коммерция[№],Коммерция[Цена м2],"",0)</f>
        <v>100000</v>
      </c>
      <c r="F13" s="651" cm="1">
        <f t="array" ref="F13">_xlfn.XLOOKUP(Таблица2[[#This Row],[Дом]]&amp;Таблица2[[#This Row],[№ Офиса]],Коммерция[Дом]&amp;Коммерция[№],Коммерция[стоимость лота],"",0)</f>
        <v>12720000</v>
      </c>
      <c r="G13" s="650" t="str" cm="1">
        <f t="array" ref="G13">_xlfn.XLOOKUP(Таблица2[[#This Row],[Дом]]&amp;Таблица2[[#This Row],[№ Офиса]],Коммерция[Дом]&amp;Коммерция[№],Коммерция[Статус],"",0)</f>
        <v>Свободно</v>
      </c>
      <c r="H13" s="652" t="str" cm="1">
        <f t="array" ref="H13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13" s="652">
        <v>45839</v>
      </c>
      <c r="J13" s="650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13" s="650"/>
      <c r="L13" s="650"/>
    </row>
    <row r="14" spans="1:12" s="653" customFormat="1" hidden="1" x14ac:dyDescent="0.25">
      <c r="A14" s="650" t="s">
        <v>20</v>
      </c>
      <c r="B14" s="650">
        <v>4</v>
      </c>
      <c r="C14" s="650" t="s">
        <v>6</v>
      </c>
      <c r="D14" s="650" cm="1">
        <f t="array" ref="D14">_xlfn.XLOOKUP(Таблица2[[#This Row],[Дом]]&amp;Таблица2[[#This Row],[№ Офиса]],Коммерция[Дом]&amp;Коммерция[№],Коммерция[Общая фактическая],"",0)</f>
        <v>104.1</v>
      </c>
      <c r="E14" s="651" cm="1">
        <f t="array" ref="E14">_xlfn.XLOOKUP(Таблица2[[#This Row],[Дом]]&amp;Таблица2[[#This Row],[№ Офиса]],Коммерция[Дом]&amp;Коммерция[№],Коммерция[Цена м2],"",0)</f>
        <v>120000</v>
      </c>
      <c r="F14" s="651" cm="1">
        <f t="array" ref="F14">_xlfn.XLOOKUP(Таблица2[[#This Row],[Дом]]&amp;Таблица2[[#This Row],[№ Офиса]],Коммерция[Дом]&amp;Коммерция[№],Коммерция[стоимость лота],"",0)</f>
        <v>12492000</v>
      </c>
      <c r="G14" s="650" t="str" cm="1">
        <f t="array" ref="G14">_xlfn.XLOOKUP(Таблица2[[#This Row],[Дом]]&amp;Таблица2[[#This Row],[№ Офиса]],Коммерция[Дом]&amp;Коммерция[№],Коммерция[Статус],"",0)</f>
        <v>Свободно</v>
      </c>
      <c r="H14" s="652" t="str" cm="1">
        <f t="array" ref="H14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14" s="652">
        <v>45870</v>
      </c>
      <c r="J14" s="650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14" s="650" t="s">
        <v>4311</v>
      </c>
      <c r="L14" s="650"/>
    </row>
    <row r="15" spans="1:12" s="310" customFormat="1" hidden="1" x14ac:dyDescent="0.25">
      <c r="A15" s="39" t="s">
        <v>20</v>
      </c>
      <c r="B15" s="39">
        <v>5</v>
      </c>
      <c r="C15" s="39" t="s">
        <v>6</v>
      </c>
      <c r="D15" s="39" cm="1">
        <f t="array" ref="D15">_xlfn.XLOOKUP(Таблица2[[#This Row],[Дом]]&amp;Таблица2[[#This Row],[№ Офиса]],Коммерция[Дом]&amp;Коммерция[№],Коммерция[Общая фактическая],"",0)</f>
        <v>79.2</v>
      </c>
      <c r="E15" s="69" cm="1">
        <f t="array" ref="E15">_xlfn.XLOOKUP(Таблица2[[#This Row],[Дом]]&amp;Таблица2[[#This Row],[№ Офиса]],Коммерция[Дом]&amp;Коммерция[№],Коммерция[Цена м2],"",0)</f>
        <v>115000</v>
      </c>
      <c r="F15" s="69" cm="1">
        <f t="array" ref="F15">_xlfn.XLOOKUP(Таблица2[[#This Row],[Дом]]&amp;Таблица2[[#This Row],[№ Офиса]],Коммерция[Дом]&amp;Коммерция[№],Коммерция[стоимость лота],"",0)</f>
        <v>9108000</v>
      </c>
      <c r="G15" s="39" t="str" cm="1">
        <f t="array" ref="G15">_xlfn.XLOOKUP(Таблица2[[#This Row],[Дом]]&amp;Таблица2[[#This Row],[№ Офиса]],Коммерция[Дом]&amp;Коммерция[№],Коммерция[Статус],"",0)</f>
        <v>Продажа</v>
      </c>
      <c r="H15" s="308" cm="1">
        <f t="array" ref="H15">_xlfn.XLOOKUP(Таблица2[[#This Row],[Дом]]&amp;Таблица2[[#This Row],[№ Офиса]]&amp;"Коммерция",РД[Дом]&amp;РД[№ кв]&amp;РД[Состояние],РД[Дата подачи на регистрацию],"",0)</f>
        <v>45070</v>
      </c>
      <c r="I15" s="312"/>
      <c r="J15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15" s="39" t="s">
        <v>4312</v>
      </c>
      <c r="L15" s="39"/>
    </row>
    <row r="16" spans="1:12" s="653" customFormat="1" hidden="1" x14ac:dyDescent="0.25">
      <c r="A16" s="650" t="s">
        <v>20</v>
      </c>
      <c r="B16" s="650">
        <v>6</v>
      </c>
      <c r="C16" s="650" t="s">
        <v>6</v>
      </c>
      <c r="D16" s="650" cm="1">
        <f t="array" ref="D16">_xlfn.XLOOKUP(Таблица2[[#This Row],[Дом]]&amp;Таблица2[[#This Row],[№ Офиса]],Коммерция[Дом]&amp;Коммерция[№],Коммерция[Общая фактическая],"",0)</f>
        <v>116</v>
      </c>
      <c r="E16" s="651" cm="1">
        <f t="array" ref="E16">_xlfn.XLOOKUP(Таблица2[[#This Row],[Дом]]&amp;Таблица2[[#This Row],[№ Офиса]],Коммерция[Дом]&amp;Коммерция[№],Коммерция[Цена м2],"",0)</f>
        <v>110000</v>
      </c>
      <c r="F16" s="651" cm="1">
        <f t="array" ref="F16">_xlfn.XLOOKUP(Таблица2[[#This Row],[Дом]]&amp;Таблица2[[#This Row],[№ Офиса]],Коммерция[Дом]&amp;Коммерция[№],Коммерция[стоимость лота],"",0)</f>
        <v>12760000</v>
      </c>
      <c r="G16" s="650" t="str" cm="1">
        <f t="array" ref="G16">_xlfn.XLOOKUP(Таблица2[[#This Row],[Дом]]&amp;Таблица2[[#This Row],[№ Офиса]],Коммерция[Дом]&amp;Коммерция[№],Коммерция[Статус],"",0)</f>
        <v>Свободно</v>
      </c>
      <c r="H16" s="652" t="str" cm="1">
        <f t="array" ref="H16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16" s="652">
        <v>45962</v>
      </c>
      <c r="J16" s="650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16" s="650" t="s">
        <v>4712</v>
      </c>
      <c r="L16" s="650"/>
    </row>
    <row r="17" spans="1:12" s="653" customFormat="1" hidden="1" x14ac:dyDescent="0.25">
      <c r="A17" s="650" t="s">
        <v>20</v>
      </c>
      <c r="B17" s="650">
        <v>7</v>
      </c>
      <c r="C17" s="650" t="s">
        <v>5</v>
      </c>
      <c r="D17" s="650" cm="1">
        <f t="array" ref="D17">_xlfn.XLOOKUP(Таблица2[[#This Row],[Дом]]&amp;Таблица2[[#This Row],[№ Офиса]],Коммерция[Дом]&amp;Коммерция[№],Коммерция[Общая фактическая],"",0)</f>
        <v>150.9</v>
      </c>
      <c r="E17" s="651" cm="1">
        <f t="array" ref="E17">_xlfn.XLOOKUP(Таблица2[[#This Row],[Дом]]&amp;Таблица2[[#This Row],[№ Офиса]],Коммерция[Дом]&amp;Коммерция[№],Коммерция[Цена м2],"",0)</f>
        <v>120000</v>
      </c>
      <c r="F17" s="651" cm="1">
        <f t="array" ref="F17">_xlfn.XLOOKUP(Таблица2[[#This Row],[Дом]]&amp;Таблица2[[#This Row],[№ Офиса]],Коммерция[Дом]&amp;Коммерция[№],Коммерция[стоимость лота],"",0)</f>
        <v>18108000</v>
      </c>
      <c r="G17" s="650" t="str" cm="1">
        <f t="array" ref="G17">_xlfn.XLOOKUP(Таблица2[[#This Row],[Дом]]&amp;Таблица2[[#This Row],[№ Офиса]],Коммерция[Дом]&amp;Коммерция[№],Коммерция[Статус],"",0)</f>
        <v>Свободно</v>
      </c>
      <c r="H17" s="652" t="str" cm="1">
        <f t="array" ref="H17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17" s="652">
        <v>45931</v>
      </c>
      <c r="J17" s="650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17" s="650" t="s">
        <v>4713</v>
      </c>
      <c r="L17" s="650"/>
    </row>
    <row r="18" spans="1:12" s="310" customFormat="1" hidden="1" x14ac:dyDescent="0.25">
      <c r="A18" s="39" t="s">
        <v>20</v>
      </c>
      <c r="B18" s="39">
        <v>8</v>
      </c>
      <c r="C18" s="39" t="s">
        <v>5</v>
      </c>
      <c r="D18" s="39" cm="1">
        <f t="array" ref="D18">_xlfn.XLOOKUP(Таблица2[[#This Row],[Дом]]&amp;Таблица2[[#This Row],[№ Офиса]],Коммерция[Дом]&amp;Коммерция[№],Коммерция[Общая фактическая],"",0)</f>
        <v>383.8</v>
      </c>
      <c r="E18" s="69" cm="1">
        <f t="array" ref="E18">_xlfn.XLOOKUP(Таблица2[[#This Row],[Дом]]&amp;Таблица2[[#This Row],[№ Офиса]],Коммерция[Дом]&amp;Коммерция[№],Коммерция[Цена м2],"",0)</f>
        <v>130000</v>
      </c>
      <c r="F18" s="69" cm="1">
        <f t="array" ref="F18">_xlfn.XLOOKUP(Таблица2[[#This Row],[Дом]]&amp;Таблица2[[#This Row],[№ Офиса]],Коммерция[Дом]&amp;Коммерция[№],Коммерция[стоимость лота],"",0)</f>
        <v>49894000</v>
      </c>
      <c r="G18" s="39" t="str" cm="1">
        <f t="array" ref="G18">_xlfn.XLOOKUP(Таблица2[[#This Row],[Дом]]&amp;Таблица2[[#This Row],[№ Офиса]],Коммерция[Дом]&amp;Коммерция[№],Коммерция[Статус],"",0)</f>
        <v>За застройщиком</v>
      </c>
      <c r="H18" s="308" t="str" cm="1">
        <f t="array" ref="H18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18" s="243"/>
      <c r="J18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Не для продажи</v>
      </c>
      <c r="K18" s="318" t="s">
        <v>4315</v>
      </c>
      <c r="L18" s="318" t="s">
        <v>4315</v>
      </c>
    </row>
    <row r="19" spans="1:12" s="310" customFormat="1" hidden="1" x14ac:dyDescent="0.25">
      <c r="A19" s="243" t="s">
        <v>20</v>
      </c>
      <c r="B19" s="243">
        <v>9</v>
      </c>
      <c r="C19" s="243" t="s">
        <v>5</v>
      </c>
      <c r="D19" s="243" cm="1">
        <f t="array" ref="D19">_xlfn.XLOOKUP(Таблица2[[#This Row],[Дом]]&amp;Таблица2[[#This Row],[№ Офиса]],Коммерция[Дом]&amp;Коммерция[№],Коммерция[Общая фактическая],"",0)</f>
        <v>242.4</v>
      </c>
      <c r="E19" s="244" cm="1">
        <f t="array" ref="E19">_xlfn.XLOOKUP(Таблица2[[#This Row],[Дом]]&amp;Таблица2[[#This Row],[№ Офиса]],Коммерция[Дом]&amp;Коммерция[№],Коммерция[Цена м2],"",0)</f>
        <v>126100</v>
      </c>
      <c r="F19" s="244" cm="1">
        <f t="array" ref="F19">_xlfn.XLOOKUP(Таблица2[[#This Row],[Дом]]&amp;Таблица2[[#This Row],[№ Офиса]],Коммерция[Дом]&amp;Коммерция[№],Коммерция[стоимость лота],"",0)</f>
        <v>30566640</v>
      </c>
      <c r="G19" s="243" t="str" cm="1">
        <f t="array" ref="G19">_xlfn.XLOOKUP(Таблица2[[#This Row],[Дом]]&amp;Таблица2[[#This Row],[№ Офиса]],Коммерция[Дом]&amp;Коммерция[№],Коммерция[Статус],"",0)</f>
        <v>Продажа</v>
      </c>
      <c r="H19" s="312" cm="1">
        <f t="array" ref="H19">_xlfn.XLOOKUP(Таблица2[[#This Row],[Дом]]&amp;Таблица2[[#This Row],[№ Офиса]]&amp;"Коммерция",РД[Дом]&amp;РД[№ кв]&amp;РД[Состояние],РД[Дата подачи на регистрацию],"",0)</f>
        <v>45350</v>
      </c>
      <c r="I19" s="312"/>
      <c r="J19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19" s="396" t="s">
        <v>6466</v>
      </c>
      <c r="L19" s="243"/>
    </row>
    <row r="20" spans="1:12" s="310" customFormat="1" hidden="1" x14ac:dyDescent="0.25">
      <c r="A20" s="243" t="s">
        <v>20</v>
      </c>
      <c r="B20" s="243">
        <v>10</v>
      </c>
      <c r="C20" s="243" t="s">
        <v>5</v>
      </c>
      <c r="D20" s="243" cm="1">
        <f t="array" ref="D20">_xlfn.XLOOKUP(Таблица2[[#This Row],[Дом]]&amp;Таблица2[[#This Row],[№ Офиса]],Коммерция[Дом]&amp;Коммерция[№],Коммерция[Общая фактическая],"",0)</f>
        <v>335.9</v>
      </c>
      <c r="E20" s="244" cm="1">
        <f t="array" ref="E20">_xlfn.XLOOKUP(Таблица2[[#This Row],[Дом]]&amp;Таблица2[[#This Row],[№ Офиса]],Коммерция[Дом]&amp;Коммерция[№],Коммерция[Цена м2],"",0)</f>
        <v>126100.00000000001</v>
      </c>
      <c r="F20" s="244" cm="1">
        <f t="array" ref="F20">_xlfn.XLOOKUP(Таблица2[[#This Row],[Дом]]&amp;Таблица2[[#This Row],[№ Офиса]],Коммерция[Дом]&amp;Коммерция[№],Коммерция[стоимость лота],"",0)</f>
        <v>42356990</v>
      </c>
      <c r="G20" s="243" t="str" cm="1">
        <f t="array" ref="G20">_xlfn.XLOOKUP(Таблица2[[#This Row],[Дом]]&amp;Таблица2[[#This Row],[№ Офиса]],Коммерция[Дом]&amp;Коммерция[№],Коммерция[Статус],"",0)</f>
        <v>Продажа</v>
      </c>
      <c r="H20" s="312" cm="1">
        <f t="array" ref="H20">_xlfn.XLOOKUP(Таблица2[[#This Row],[Дом]]&amp;Таблица2[[#This Row],[№ Офиса]]&amp;"Коммерция",РД[Дом]&amp;РД[№ кв]&amp;РД[Состояние],РД[Дата подачи на регистрацию],"",0)</f>
        <v>45350</v>
      </c>
      <c r="I20" s="312"/>
      <c r="J20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20" s="396" t="s">
        <v>6466</v>
      </c>
      <c r="L20" s="243"/>
    </row>
    <row r="21" spans="1:12" s="310" customFormat="1" hidden="1" x14ac:dyDescent="0.25">
      <c r="A21" s="39" t="s">
        <v>19</v>
      </c>
      <c r="B21" s="39">
        <v>1</v>
      </c>
      <c r="C21" s="39" t="s">
        <v>6</v>
      </c>
      <c r="D21" s="39" cm="1">
        <f t="array" ref="D21">_xlfn.XLOOKUP(Таблица2[[#This Row],[Дом]]&amp;Таблица2[[#This Row],[№ Офиса]],Коммерция[Дом]&amp;Коммерция[№],Коммерция[Общая фактическая],"",0)</f>
        <v>126.7</v>
      </c>
      <c r="E21" s="69" cm="1">
        <f t="array" ref="E21">_xlfn.XLOOKUP(Таблица2[[#This Row],[Дом]]&amp;Таблица2[[#This Row],[№ Офиса]],Коммерция[Дом]&amp;Коммерция[№],Коммерция[Цена м2],"",0)</f>
        <v>110000</v>
      </c>
      <c r="F21" s="69" cm="1">
        <f t="array" ref="F21">_xlfn.XLOOKUP(Таблица2[[#This Row],[Дом]]&amp;Таблица2[[#This Row],[№ Офиса]],Коммерция[Дом]&amp;Коммерция[№],Коммерция[стоимость лота],"",0)</f>
        <v>13937000</v>
      </c>
      <c r="G21" s="39" t="str" cm="1">
        <f t="array" ref="G21">_xlfn.XLOOKUP(Таблица2[[#This Row],[Дом]]&amp;Таблица2[[#This Row],[№ Офиса]],Коммерция[Дом]&amp;Коммерция[№],Коммерция[Статус],"",0)</f>
        <v>За застройщиком</v>
      </c>
      <c r="H21" s="308" t="str" cm="1">
        <f t="array" ref="H21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1" s="312"/>
      <c r="J21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Не для продажи</v>
      </c>
      <c r="K21" s="318" t="s">
        <v>4714</v>
      </c>
      <c r="L21" s="318" t="s">
        <v>4714</v>
      </c>
    </row>
    <row r="22" spans="1:12" s="310" customFormat="1" hidden="1" x14ac:dyDescent="0.25">
      <c r="A22" s="39" t="s">
        <v>19</v>
      </c>
      <c r="B22" s="39">
        <v>2</v>
      </c>
      <c r="C22" s="39" t="s">
        <v>6</v>
      </c>
      <c r="D22" s="39" cm="1">
        <f t="array" ref="D22">_xlfn.XLOOKUP(Таблица2[[#This Row],[Дом]]&amp;Таблица2[[#This Row],[№ Офиса]],Коммерция[Дом]&amp;Коммерция[№],Коммерция[Общая фактическая],"",0)</f>
        <v>143.80000000000001</v>
      </c>
      <c r="E22" s="69" cm="1">
        <f t="array" ref="E22">_xlfn.XLOOKUP(Таблица2[[#This Row],[Дом]]&amp;Таблица2[[#This Row],[№ Офиса]],Коммерция[Дом]&amp;Коммерция[№],Коммерция[Цена м2],"",0)</f>
        <v>109999.99999999999</v>
      </c>
      <c r="F22" s="69" cm="1">
        <f t="array" ref="F22">_xlfn.XLOOKUP(Таблица2[[#This Row],[Дом]]&amp;Таблица2[[#This Row],[№ Офиса]],Коммерция[Дом]&amp;Коммерция[№],Коммерция[стоимость лота],"",0)</f>
        <v>15818000</v>
      </c>
      <c r="G22" s="39" t="str" cm="1">
        <f t="array" ref="G22">_xlfn.XLOOKUP(Таблица2[[#This Row],[Дом]]&amp;Таблица2[[#This Row],[№ Офиса]],Коммерция[Дом]&amp;Коммерция[№],Коммерция[Статус],"",0)</f>
        <v>За застройщиком</v>
      </c>
      <c r="H22" s="308" t="str" cm="1">
        <f t="array" ref="H22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2" s="312"/>
      <c r="J2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Не для продажи</v>
      </c>
      <c r="K22" s="318" t="s">
        <v>4714</v>
      </c>
      <c r="L22" s="318" t="s">
        <v>4714</v>
      </c>
    </row>
    <row r="23" spans="1:12" s="310" customFormat="1" hidden="1" x14ac:dyDescent="0.25">
      <c r="A23" s="39" t="s">
        <v>19</v>
      </c>
      <c r="B23" s="39">
        <v>3</v>
      </c>
      <c r="C23" s="39" t="s">
        <v>6</v>
      </c>
      <c r="D23" s="39" cm="1">
        <f t="array" ref="D23">_xlfn.XLOOKUP(Таблица2[[#This Row],[Дом]]&amp;Таблица2[[#This Row],[№ Офиса]],Коммерция[Дом]&amp;Коммерция[№],Коммерция[Общая фактическая],"",0)</f>
        <v>137.69999999999999</v>
      </c>
      <c r="E23" s="69" cm="1">
        <f t="array" ref="E23">_xlfn.XLOOKUP(Таблица2[[#This Row],[Дом]]&amp;Таблица2[[#This Row],[№ Офиса]],Коммерция[Дом]&amp;Коммерция[№],Коммерция[Цена м2],"",0)</f>
        <v>135000</v>
      </c>
      <c r="F23" s="69" cm="1">
        <f t="array" ref="F23">_xlfn.XLOOKUP(Таблица2[[#This Row],[Дом]]&amp;Таблица2[[#This Row],[№ Офиса]],Коммерция[Дом]&amp;Коммерция[№],Коммерция[стоимость лота],"",0)</f>
        <v>18589500</v>
      </c>
      <c r="G23" s="39" t="str" cm="1">
        <f t="array" ref="G23">_xlfn.XLOOKUP(Таблица2[[#This Row],[Дом]]&amp;Таблица2[[#This Row],[№ Офиса]],Коммерция[Дом]&amp;Коммерция[№],Коммерция[Статус],"",0)</f>
        <v>За застройщиком</v>
      </c>
      <c r="H23" s="308" t="str" cm="1">
        <f t="array" ref="H23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3" s="312"/>
      <c r="J23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Не для продажи</v>
      </c>
      <c r="K23" s="318" t="s">
        <v>4316</v>
      </c>
      <c r="L23" s="39" t="s">
        <v>7699</v>
      </c>
    </row>
    <row r="24" spans="1:12" s="657" customFormat="1" hidden="1" x14ac:dyDescent="0.25">
      <c r="A24" s="654" t="s">
        <v>19</v>
      </c>
      <c r="B24" s="654">
        <v>4</v>
      </c>
      <c r="C24" s="654" t="s">
        <v>5</v>
      </c>
      <c r="D24" s="654" cm="1">
        <f t="array" ref="D24">_xlfn.XLOOKUP(Таблица2[[#This Row],[Дом]]&amp;Таблица2[[#This Row],[№ Офиса]],Коммерция[Дом]&amp;Коммерция[№],Коммерция[Общая фактическая],"",0)</f>
        <v>114.8</v>
      </c>
      <c r="E24" s="655" cm="1">
        <f t="array" ref="E24">_xlfn.XLOOKUP(Таблица2[[#This Row],[Дом]]&amp;Таблица2[[#This Row],[№ Офиса]],Коммерция[Дом]&amp;Коммерция[№],Коммерция[Цена м2],"",0)</f>
        <v>120000</v>
      </c>
      <c r="F24" s="655" cm="1">
        <f t="array" ref="F24">_xlfn.XLOOKUP(Таблица2[[#This Row],[Дом]]&amp;Таблица2[[#This Row],[№ Офиса]],Коммерция[Дом]&amp;Коммерция[№],Коммерция[стоимость лота],"",0)</f>
        <v>13776000</v>
      </c>
      <c r="G24" s="654" t="str" cm="1">
        <f t="array" ref="G24">_xlfn.XLOOKUP(Таблица2[[#This Row],[Дом]]&amp;Таблица2[[#This Row],[№ Офиса]],Коммерция[Дом]&amp;Коммерция[№],Коммерция[Статус],"",0)</f>
        <v>Свободно</v>
      </c>
      <c r="H24" s="656" t="str" cm="1">
        <f t="array" ref="H24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4" s="656">
        <v>45809</v>
      </c>
      <c r="J24" s="654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24" s="654" t="s">
        <v>4715</v>
      </c>
      <c r="L24" s="654"/>
    </row>
    <row r="25" spans="1:12" s="657" customFormat="1" hidden="1" x14ac:dyDescent="0.25">
      <c r="A25" s="654" t="s">
        <v>19</v>
      </c>
      <c r="B25" s="654">
        <v>5</v>
      </c>
      <c r="C25" s="654" t="s">
        <v>5</v>
      </c>
      <c r="D25" s="654" cm="1">
        <f t="array" ref="D25">_xlfn.XLOOKUP(Таблица2[[#This Row],[Дом]]&amp;Таблица2[[#This Row],[№ Офиса]],Коммерция[Дом]&amp;Коммерция[№],Коммерция[Общая фактическая],"",0)</f>
        <v>147.5</v>
      </c>
      <c r="E25" s="655" cm="1">
        <f t="array" ref="E25">_xlfn.XLOOKUP(Таблица2[[#This Row],[Дом]]&amp;Таблица2[[#This Row],[№ Офиса]],Коммерция[Дом]&amp;Коммерция[№],Коммерция[Цена м2],"",0)</f>
        <v>120000</v>
      </c>
      <c r="F25" s="655" cm="1">
        <f t="array" ref="F25">_xlfn.XLOOKUP(Таблица2[[#This Row],[Дом]]&amp;Таблица2[[#This Row],[№ Офиса]],Коммерция[Дом]&amp;Коммерция[№],Коммерция[стоимость лота],"",0)</f>
        <v>17700000</v>
      </c>
      <c r="G25" s="654" t="str" cm="1">
        <f t="array" ref="G25">_xlfn.XLOOKUP(Таблица2[[#This Row],[Дом]]&amp;Таблица2[[#This Row],[№ Офиса]],Коммерция[Дом]&amp;Коммерция[№],Коммерция[Статус],"",0)</f>
        <v>Свободно</v>
      </c>
      <c r="H25" s="656" t="str" cm="1">
        <f t="array" ref="H25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5" s="656">
        <v>45901</v>
      </c>
      <c r="J25" s="654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25" s="654"/>
      <c r="L25" s="654"/>
    </row>
    <row r="26" spans="1:12" s="657" customFormat="1" x14ac:dyDescent="0.25">
      <c r="A26" s="654" t="s">
        <v>19</v>
      </c>
      <c r="B26" s="654">
        <v>6</v>
      </c>
      <c r="C26" s="654" t="s">
        <v>5</v>
      </c>
      <c r="D26" s="654" cm="1">
        <f t="array" ref="D26">_xlfn.XLOOKUP(Таблица2[[#This Row],[Дом]]&amp;Таблица2[[#This Row],[№ Офиса]],Коммерция[Дом]&amp;Коммерция[№],Коммерция[Общая фактическая],"",0)</f>
        <v>160.6</v>
      </c>
      <c r="E26" s="655" cm="1">
        <f t="array" ref="E26">_xlfn.XLOOKUP(Таблица2[[#This Row],[Дом]]&amp;Таблица2[[#This Row],[№ Офиса]],Коммерция[Дом]&amp;Коммерция[№],Коммерция[Цена м2],"",0)</f>
        <v>120000</v>
      </c>
      <c r="F26" s="655" cm="1">
        <f t="array" ref="F26">_xlfn.XLOOKUP(Таблица2[[#This Row],[Дом]]&amp;Таблица2[[#This Row],[№ Офиса]],Коммерция[Дом]&amp;Коммерция[№],Коммерция[стоимость лота],"",0)</f>
        <v>19272000</v>
      </c>
      <c r="G26" s="654" t="str" cm="1">
        <f t="array" ref="G26">_xlfn.XLOOKUP(Таблица2[[#This Row],[Дом]]&amp;Таблица2[[#This Row],[№ Офиса]],Коммерция[Дом]&amp;Коммерция[№],Коммерция[Статус],"",0)</f>
        <v>Свободно</v>
      </c>
      <c r="H26" s="656" t="str" cm="1">
        <f t="array" ref="H26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6" s="656">
        <v>45992</v>
      </c>
      <c r="J26" s="654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26" s="654" t="s">
        <v>4716</v>
      </c>
      <c r="L26" s="654"/>
    </row>
    <row r="27" spans="1:12" s="310" customFormat="1" hidden="1" x14ac:dyDescent="0.25">
      <c r="A27" s="39" t="s">
        <v>19</v>
      </c>
      <c r="B27" s="39">
        <v>7</v>
      </c>
      <c r="C27" s="39" t="s">
        <v>5</v>
      </c>
      <c r="D27" s="39" cm="1">
        <f t="array" ref="D27">_xlfn.XLOOKUP(Таблица2[[#This Row],[Дом]]&amp;Таблица2[[#This Row],[№ Офиса]],Коммерция[Дом]&amp;Коммерция[№],Коммерция[Общая фактическая],"",0)</f>
        <v>123.8</v>
      </c>
      <c r="E27" s="69" cm="1">
        <f t="array" ref="E27">_xlfn.XLOOKUP(Таблица2[[#This Row],[Дом]]&amp;Таблица2[[#This Row],[№ Офиса]],Коммерция[Дом]&amp;Коммерция[№],Коммерция[Цена м2],"",0)</f>
        <v>120000</v>
      </c>
      <c r="F27" s="69" cm="1">
        <f t="array" ref="F27">_xlfn.XLOOKUP(Таблица2[[#This Row],[Дом]]&amp;Таблица2[[#This Row],[№ Офиса]],Коммерция[Дом]&amp;Коммерция[№],Коммерция[стоимость лота],"",0)</f>
        <v>14856000</v>
      </c>
      <c r="G27" s="39" t="str" cm="1">
        <f t="array" ref="G27">_xlfn.XLOOKUP(Таблица2[[#This Row],[Дом]]&amp;Таблица2[[#This Row],[№ Офиса]],Коммерция[Дом]&amp;Коммерция[№],Коммерция[Статус],"",0)</f>
        <v>Гарантированная бронь</v>
      </c>
      <c r="H27" s="308" t="str" cm="1">
        <f t="array" ref="H27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7" s="312"/>
      <c r="J27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Не для продажи</v>
      </c>
      <c r="K27" s="318" t="s">
        <v>4717</v>
      </c>
      <c r="L27" s="39" t="s">
        <v>7698</v>
      </c>
    </row>
    <row r="28" spans="1:12" s="310" customFormat="1" hidden="1" x14ac:dyDescent="0.25">
      <c r="A28" s="39" t="s">
        <v>27</v>
      </c>
      <c r="B28" s="39">
        <v>1</v>
      </c>
      <c r="C28" s="39" t="s">
        <v>6</v>
      </c>
      <c r="D28" s="39" cm="1">
        <f t="array" ref="D28">_xlfn.XLOOKUP(Таблица2[[#This Row],[Дом]]&amp;Таблица2[[#This Row],[№ Офиса]],Коммерция[Дом]&amp;Коммерция[№],Коммерция[Общая фактическая],"",0)</f>
        <v>36.89</v>
      </c>
      <c r="E28" s="69" cm="1">
        <f t="array" ref="E28">_xlfn.XLOOKUP(Таблица2[[#This Row],[Дом]]&amp;Таблица2[[#This Row],[№ Офиса]],Коммерция[Дом]&amp;Коммерция[№],Коммерция[Цена м2],"",0)</f>
        <v>110000</v>
      </c>
      <c r="F28" s="69" cm="1">
        <f t="array" ref="F28">_xlfn.XLOOKUP(Таблица2[[#This Row],[Дом]]&amp;Таблица2[[#This Row],[№ Офиса]],Коммерция[Дом]&amp;Коммерция[№],Коммерция[стоимость лота],"",0)</f>
        <v>4057900</v>
      </c>
      <c r="G28" s="39" t="str" cm="1">
        <f t="array" ref="G28">_xlfn.XLOOKUP(Таблица2[[#This Row],[Дом]]&amp;Таблица2[[#This Row],[№ Офиса]],Коммерция[Дом]&amp;Коммерция[№],Коммерция[Статус],"",0)</f>
        <v>Продажа</v>
      </c>
      <c r="H28" s="308" cm="1">
        <f t="array" ref="H28">_xlfn.XLOOKUP(Таблица2[[#This Row],[Дом]]&amp;Таблица2[[#This Row],[№ Офиса]]&amp;"Коммерция",РД[Дом]&amp;РД[№ кв]&amp;РД[Состояние],РД[Дата подачи на регистрацию],"",0)</f>
        <v>44965</v>
      </c>
      <c r="I28" s="312"/>
      <c r="J28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28" s="39"/>
      <c r="L28" s="39"/>
    </row>
    <row r="29" spans="1:12" s="661" customFormat="1" hidden="1" x14ac:dyDescent="0.25">
      <c r="A29" s="658" t="s">
        <v>27</v>
      </c>
      <c r="B29" s="658">
        <v>2</v>
      </c>
      <c r="C29" s="658" t="s">
        <v>6</v>
      </c>
      <c r="D29" s="658" cm="1">
        <f t="array" ref="D29">_xlfn.XLOOKUP(Таблица2[[#This Row],[Дом]]&amp;Таблица2[[#This Row],[№ Офиса]],Коммерция[Дом]&amp;Коммерция[№],Коммерция[Общая фактическая],"",0)</f>
        <v>145.4</v>
      </c>
      <c r="E29" s="659" cm="1">
        <f t="array" ref="E29">_xlfn.XLOOKUP(Таблица2[[#This Row],[Дом]]&amp;Таблица2[[#This Row],[№ Офиса]],Коммерция[Дом]&amp;Коммерция[№],Коммерция[Цена м2],"",0)</f>
        <v>110000</v>
      </c>
      <c r="F29" s="659" cm="1">
        <f t="array" ref="F29">_xlfn.XLOOKUP(Таблица2[[#This Row],[Дом]]&amp;Таблица2[[#This Row],[№ Офиса]],Коммерция[Дом]&amp;Коммерция[№],Коммерция[стоимость лота],"",0)</f>
        <v>15994000</v>
      </c>
      <c r="G29" s="658" t="str" cm="1">
        <f t="array" ref="G29">_xlfn.XLOOKUP(Таблица2[[#This Row],[Дом]]&amp;Таблица2[[#This Row],[№ Офиса]],Коммерция[Дом]&amp;Коммерция[№],Коммерция[Статус],"",0)</f>
        <v>Свободно</v>
      </c>
      <c r="H29" s="660" t="str" cm="1">
        <f t="array" ref="H29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29" s="660">
        <v>45901</v>
      </c>
      <c r="J29" s="658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29" s="73" t="s">
        <v>4492</v>
      </c>
      <c r="L29" s="73"/>
    </row>
    <row r="30" spans="1:12" s="310" customFormat="1" hidden="1" x14ac:dyDescent="0.25">
      <c r="A30" s="39" t="s">
        <v>27</v>
      </c>
      <c r="B30" s="39">
        <v>3</v>
      </c>
      <c r="C30" s="39" t="s">
        <v>6</v>
      </c>
      <c r="D30" s="39" cm="1">
        <f t="array" ref="D30">_xlfn.XLOOKUP(Таблица2[[#This Row],[Дом]]&amp;Таблица2[[#This Row],[№ Офиса]],Коммерция[Дом]&amp;Коммерция[№],Коммерция[Общая фактическая],"",0)</f>
        <v>101.3</v>
      </c>
      <c r="E30" s="69" cm="1">
        <f t="array" ref="E30">_xlfn.XLOOKUP(Таблица2[[#This Row],[Дом]]&amp;Таблица2[[#This Row],[№ Офиса]],Коммерция[Дом]&amp;Коммерция[№],Коммерция[Цена м2],"",0)</f>
        <v>120000</v>
      </c>
      <c r="F30" s="69" cm="1">
        <f t="array" ref="F30">_xlfn.XLOOKUP(Таблица2[[#This Row],[Дом]]&amp;Таблица2[[#This Row],[№ Офиса]],Коммерция[Дом]&amp;Коммерция[№],Коммерция[стоимость лота],"",0)</f>
        <v>12156000</v>
      </c>
      <c r="G30" s="39" t="str" cm="1">
        <f t="array" ref="G30">_xlfn.XLOOKUP(Таблица2[[#This Row],[Дом]]&amp;Таблица2[[#This Row],[№ Офиса]],Коммерция[Дом]&amp;Коммерция[№],Коммерция[Статус],"",0)</f>
        <v>Продажа</v>
      </c>
      <c r="H30" s="308" cm="1">
        <f t="array" ref="H30">_xlfn.XLOOKUP(Таблица2[[#This Row],[Дом]]&amp;Таблица2[[#This Row],[№ Офиса]]&amp;"Коммерция",РД[Дом]&amp;РД[№ кв]&amp;РД[Состояние],РД[Дата подачи на регистрацию],"",0)</f>
        <v>45637</v>
      </c>
      <c r="I30" s="312"/>
      <c r="J3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0" s="344" t="s">
        <v>4314</v>
      </c>
      <c r="L30" s="318"/>
    </row>
    <row r="31" spans="1:12" s="661" customFormat="1" hidden="1" x14ac:dyDescent="0.25">
      <c r="A31" s="658" t="s">
        <v>27</v>
      </c>
      <c r="B31" s="658">
        <v>4</v>
      </c>
      <c r="C31" s="658" t="s">
        <v>6</v>
      </c>
      <c r="D31" s="658" cm="1">
        <f t="array" ref="D31">_xlfn.XLOOKUP(Таблица2[[#This Row],[Дом]]&amp;Таблица2[[#This Row],[№ Офиса]],Коммерция[Дом]&amp;Коммерция[№],Коммерция[Общая фактическая],"",0)</f>
        <v>136.5</v>
      </c>
      <c r="E31" s="659" cm="1">
        <f t="array" ref="E31">_xlfn.XLOOKUP(Таблица2[[#This Row],[Дом]]&amp;Таблица2[[#This Row],[№ Офиса]],Коммерция[Дом]&amp;Коммерция[№],Коммерция[Цена м2],"",0)</f>
        <v>120000</v>
      </c>
      <c r="F31" s="659" cm="1">
        <f t="array" ref="F31">_xlfn.XLOOKUP(Таблица2[[#This Row],[Дом]]&amp;Таблица2[[#This Row],[№ Офиса]],Коммерция[Дом]&amp;Коммерция[№],Коммерция[стоимость лота],"",0)</f>
        <v>16380000</v>
      </c>
      <c r="G31" s="658" t="str" cm="1">
        <f t="array" ref="G31">_xlfn.XLOOKUP(Таблица2[[#This Row],[Дом]]&amp;Таблица2[[#This Row],[№ Офиса]],Коммерция[Дом]&amp;Коммерция[№],Коммерция[Статус],"",0)</f>
        <v>Свободно</v>
      </c>
      <c r="H31" s="660" t="str" cm="1">
        <f t="array" ref="H31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31" s="660">
        <v>45931</v>
      </c>
      <c r="J31" s="658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31" s="658"/>
      <c r="L31" s="658"/>
    </row>
    <row r="32" spans="1:12" s="310" customFormat="1" hidden="1" x14ac:dyDescent="0.25">
      <c r="A32" s="39" t="s">
        <v>27</v>
      </c>
      <c r="B32" s="39">
        <v>5</v>
      </c>
      <c r="C32" s="39" t="s">
        <v>5</v>
      </c>
      <c r="D32" s="39" cm="1">
        <f t="array" ref="D32">_xlfn.XLOOKUP(Таблица2[[#This Row],[Дом]]&amp;Таблица2[[#This Row],[№ Офиса]],Коммерция[Дом]&amp;Коммерция[№],Коммерция[Общая фактическая],"",0)</f>
        <v>78.95</v>
      </c>
      <c r="E32" s="69" cm="1">
        <f t="array" ref="E32">_xlfn.XLOOKUP(Таблица2[[#This Row],[Дом]]&amp;Таблица2[[#This Row],[№ Офиса]],Коммерция[Дом]&amp;Коммерция[№],Коммерция[Цена м2],"",0)</f>
        <v>95000</v>
      </c>
      <c r="F32" s="69" cm="1">
        <f t="array" ref="F32">_xlfn.XLOOKUP(Таблица2[[#This Row],[Дом]]&amp;Таблица2[[#This Row],[№ Офиса]],Коммерция[Дом]&amp;Коммерция[№],Коммерция[стоимость лота],"",0)</f>
        <v>7500250</v>
      </c>
      <c r="G32" s="39" t="str" cm="1">
        <f t="array" ref="G32">_xlfn.XLOOKUP(Таблица2[[#This Row],[Дом]]&amp;Таблица2[[#This Row],[№ Офиса]],Коммерция[Дом]&amp;Коммерция[№],Коммерция[Статус],"",0)</f>
        <v>Продажа</v>
      </c>
      <c r="H32" s="308" cm="1">
        <f t="array" ref="H32">_xlfn.XLOOKUP(Таблица2[[#This Row],[Дом]]&amp;Таблица2[[#This Row],[№ Офиса]]&amp;"Коммерция",РД[Дом]&amp;РД[№ кв]&amp;РД[Состояние],РД[Дата подачи на регистрацию],"",0)</f>
        <v>44985</v>
      </c>
      <c r="I32" s="312"/>
      <c r="J3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2" s="39"/>
      <c r="L32" s="39"/>
    </row>
    <row r="33" spans="1:12" s="310" customFormat="1" hidden="1" x14ac:dyDescent="0.25">
      <c r="A33" s="243" t="s">
        <v>27</v>
      </c>
      <c r="B33" s="243">
        <v>6</v>
      </c>
      <c r="C33" s="243" t="s">
        <v>5</v>
      </c>
      <c r="D33" s="243" cm="1">
        <f t="array" ref="D33">_xlfn.XLOOKUP(Таблица2[[#This Row],[Дом]]&amp;Таблица2[[#This Row],[№ Офиса]],Коммерция[Дом]&amp;Коммерция[№],Коммерция[Общая фактическая],"",0)</f>
        <v>149.19999999999999</v>
      </c>
      <c r="E33" s="244" cm="1">
        <f t="array" ref="E33">_xlfn.XLOOKUP(Таблица2[[#This Row],[Дом]]&amp;Таблица2[[#This Row],[№ Офиса]],Коммерция[Дом]&amp;Коммерция[№],Коммерция[Цена м2],"",0)</f>
        <v>120643.43163538876</v>
      </c>
      <c r="F33" s="244" cm="1">
        <f t="array" ref="F33">_xlfn.XLOOKUP(Таблица2[[#This Row],[Дом]]&amp;Таблица2[[#This Row],[№ Офиса]],Коммерция[Дом]&amp;Коммерция[№],Коммерция[стоимость лота],"",0)</f>
        <v>18000000</v>
      </c>
      <c r="G33" s="243" t="str" cm="1">
        <f t="array" ref="G33">_xlfn.XLOOKUP(Таблица2[[#This Row],[Дом]]&amp;Таблица2[[#This Row],[№ Офиса]],Коммерция[Дом]&amp;Коммерция[№],Коммерция[Статус],"",0)</f>
        <v>Продажа</v>
      </c>
      <c r="H33" s="312" cm="1">
        <f t="array" ref="H33">_xlfn.XLOOKUP(Таблица2[[#This Row],[Дом]]&amp;Таблица2[[#This Row],[№ Офиса]]&amp;"Коммерция",РД[Дом]&amp;РД[№ кв]&amp;РД[Состояние],РД[Дата подачи на регистрацию],"",0)</f>
        <v>45737</v>
      </c>
      <c r="I33" s="312"/>
      <c r="J33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3" s="243"/>
      <c r="L33" s="243"/>
    </row>
    <row r="34" spans="1:12" s="310" customFormat="1" hidden="1" x14ac:dyDescent="0.25">
      <c r="A34" s="39" t="s">
        <v>27</v>
      </c>
      <c r="B34" s="39">
        <v>7</v>
      </c>
      <c r="C34" s="39" t="s">
        <v>5</v>
      </c>
      <c r="D34" s="39" cm="1">
        <f t="array" ref="D34">_xlfn.XLOOKUP(Таблица2[[#This Row],[Дом]]&amp;Таблица2[[#This Row],[№ Офиса]],Коммерция[Дом]&amp;Коммерция[№],Коммерция[Общая фактическая],"",0)</f>
        <v>134.52000000000001</v>
      </c>
      <c r="E34" s="69" cm="1">
        <f t="array" ref="E34">_xlfn.XLOOKUP(Таблица2[[#This Row],[Дом]]&amp;Таблица2[[#This Row],[№ Офиса]],Коммерция[Дом]&amp;Коммерция[№],Коммерция[Цена м2],"",0)</f>
        <v>95000</v>
      </c>
      <c r="F34" s="69" cm="1">
        <f t="array" ref="F34">_xlfn.XLOOKUP(Таблица2[[#This Row],[Дом]]&amp;Таблица2[[#This Row],[№ Офиса]],Коммерция[Дом]&amp;Коммерция[№],Коммерция[стоимость лота],"",0)</f>
        <v>12779400</v>
      </c>
      <c r="G34" s="39" t="str" cm="1">
        <f t="array" ref="G34">_xlfn.XLOOKUP(Таблица2[[#This Row],[Дом]]&amp;Таблица2[[#This Row],[№ Офиса]],Коммерция[Дом]&amp;Коммерция[№],Коммерция[Статус],"",0)</f>
        <v>Продажа</v>
      </c>
      <c r="H34" s="308" cm="1">
        <f t="array" ref="H34">_xlfn.XLOOKUP(Таблица2[[#This Row],[Дом]]&amp;Таблица2[[#This Row],[№ Офиса]]&amp;"Коммерция",РД[Дом]&amp;РД[№ кв]&amp;РД[Состояние],РД[Дата подачи на регистрацию],"",0)</f>
        <v>45005</v>
      </c>
      <c r="I34" s="312"/>
      <c r="J34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4" s="39"/>
      <c r="L34" s="39"/>
    </row>
    <row r="35" spans="1:12" s="310" customFormat="1" hidden="1" x14ac:dyDescent="0.25">
      <c r="A35" s="39" t="s">
        <v>27</v>
      </c>
      <c r="B35" s="39">
        <v>8</v>
      </c>
      <c r="C35" s="39" t="s">
        <v>16</v>
      </c>
      <c r="D35" s="39" cm="1">
        <f t="array" ref="D35">_xlfn.XLOOKUP(Таблица2[[#This Row],[Дом]]&amp;Таблица2[[#This Row],[№ Офиса]],Коммерция[Дом]&amp;Коммерция[№],Коммерция[Общая фактическая],"",0)</f>
        <v>84.7</v>
      </c>
      <c r="E35" s="69" cm="1">
        <f t="array" ref="E35">_xlfn.XLOOKUP(Таблица2[[#This Row],[Дом]]&amp;Таблица2[[#This Row],[№ Офиса]],Коммерция[Дом]&amp;Коммерция[№],Коммерция[Цена м2],"",0)</f>
        <v>130000</v>
      </c>
      <c r="F35" s="69" cm="1">
        <f t="array" ref="F35">_xlfn.XLOOKUP(Таблица2[[#This Row],[Дом]]&amp;Таблица2[[#This Row],[№ Офиса]],Коммерция[Дом]&amp;Коммерция[№],Коммерция[стоимость лота],"",0)</f>
        <v>11011000</v>
      </c>
      <c r="G35" s="39" t="str" cm="1">
        <f t="array" ref="G35">_xlfn.XLOOKUP(Таблица2[[#This Row],[Дом]]&amp;Таблица2[[#This Row],[№ Офиса]],Коммерция[Дом]&amp;Коммерция[№],Коммерция[Статус],"",0)</f>
        <v>Продажа</v>
      </c>
      <c r="H35" s="308" cm="1">
        <f t="array" ref="H35">_xlfn.XLOOKUP(Таблица2[[#This Row],[Дом]]&amp;Таблица2[[#This Row],[№ Офиса]]&amp;"Коммерция",РД[Дом]&amp;РД[№ кв]&amp;РД[Состояние],РД[Дата подачи на регистрацию],"",0)</f>
        <v>45162</v>
      </c>
      <c r="I35" s="312"/>
      <c r="J35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5" s="39"/>
      <c r="L35" s="39"/>
    </row>
    <row r="36" spans="1:12" s="310" customFormat="1" hidden="1" x14ac:dyDescent="0.25">
      <c r="A36" s="39" t="s">
        <v>27</v>
      </c>
      <c r="B36" s="39">
        <v>9</v>
      </c>
      <c r="C36" s="39" t="s">
        <v>16</v>
      </c>
      <c r="D36" s="39" cm="1">
        <f t="array" ref="D36">_xlfn.XLOOKUP(Таблица2[[#This Row],[Дом]]&amp;Таблица2[[#This Row],[№ Офиса]],Коммерция[Дом]&amp;Коммерция[№],Коммерция[Общая фактическая],"",0)</f>
        <v>149.19999999999999</v>
      </c>
      <c r="E36" s="69" cm="1">
        <f t="array" ref="E36">_xlfn.XLOOKUP(Таблица2[[#This Row],[Дом]]&amp;Таблица2[[#This Row],[№ Офиса]],Коммерция[Дом]&amp;Коммерция[№],Коммерция[Цена м2],"",0)</f>
        <v>120000.00000000001</v>
      </c>
      <c r="F36" s="69" cm="1">
        <f t="array" ref="F36">_xlfn.XLOOKUP(Таблица2[[#This Row],[Дом]]&amp;Таблица2[[#This Row],[№ Офиса]],Коммерция[Дом]&amp;Коммерция[№],Коммерция[стоимость лота],"",0)</f>
        <v>17904000</v>
      </c>
      <c r="G36" s="39" t="str" cm="1">
        <f t="array" ref="G36">_xlfn.XLOOKUP(Таблица2[[#This Row],[Дом]]&amp;Таблица2[[#This Row],[№ Офиса]],Коммерция[Дом]&amp;Коммерция[№],Коммерция[Статус],"",0)</f>
        <v>Продажа</v>
      </c>
      <c r="H36" s="308" cm="1">
        <f t="array" ref="H36">_xlfn.XLOOKUP(Таблица2[[#This Row],[Дом]]&amp;Таблица2[[#This Row],[№ Офиса]]&amp;"Коммерция",РД[Дом]&amp;РД[№ кв]&amp;РД[Состояние],РД[Дата подачи на регистрацию],"",0)</f>
        <v>45211</v>
      </c>
      <c r="I36" s="312"/>
      <c r="J36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6" s="39"/>
      <c r="L36" s="39"/>
    </row>
    <row r="37" spans="1:12" s="310" customFormat="1" hidden="1" x14ac:dyDescent="0.25">
      <c r="A37" s="39" t="s">
        <v>27</v>
      </c>
      <c r="B37" s="39">
        <v>10</v>
      </c>
      <c r="C37" s="39" t="s">
        <v>16</v>
      </c>
      <c r="D37" s="39" cm="1">
        <f t="array" ref="D37">_xlfn.XLOOKUP(Таблица2[[#This Row],[Дом]]&amp;Таблица2[[#This Row],[№ Офиса]],Коммерция[Дом]&amp;Коммерция[№],Коммерция[Общая фактическая],"",0)</f>
        <v>137.30000000000001</v>
      </c>
      <c r="E37" s="69" cm="1">
        <f t="array" ref="E37">_xlfn.XLOOKUP(Таблица2[[#This Row],[Дом]]&amp;Таблица2[[#This Row],[№ Офиса]],Коммерция[Дом]&amp;Коммерция[№],Коммерция[Цена м2],"",0)</f>
        <v>123868.05535324107</v>
      </c>
      <c r="F37" s="69" cm="1">
        <f t="array" ref="F37">_xlfn.XLOOKUP(Таблица2[[#This Row],[Дом]]&amp;Таблица2[[#This Row],[№ Офиса]],Коммерция[Дом]&amp;Коммерция[№],Коммерция[стоимость лота],"",0)</f>
        <v>17007084</v>
      </c>
      <c r="G37" s="39" t="str" cm="1">
        <f t="array" ref="G37">_xlfn.XLOOKUP(Таблица2[[#This Row],[Дом]]&amp;Таблица2[[#This Row],[№ Офиса]],Коммерция[Дом]&amp;Коммерция[№],Коммерция[Статус],"",0)</f>
        <v>Продажа</v>
      </c>
      <c r="H37" s="308" cm="1">
        <f t="array" ref="H37">_xlfn.XLOOKUP(Таблица2[[#This Row],[Дом]]&amp;Таблица2[[#This Row],[№ Офиса]]&amp;"Коммерция",РД[Дом]&amp;РД[№ кв]&amp;РД[Состояние],РД[Дата подачи на регистрацию],"",0)</f>
        <v>45142</v>
      </c>
      <c r="I37" s="312"/>
      <c r="J37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7" s="39"/>
      <c r="L37" s="39"/>
    </row>
    <row r="38" spans="1:12" s="310" customFormat="1" hidden="1" x14ac:dyDescent="0.25">
      <c r="A38" s="39" t="s">
        <v>27</v>
      </c>
      <c r="B38" s="39">
        <v>11</v>
      </c>
      <c r="C38" s="39" t="s">
        <v>15</v>
      </c>
      <c r="D38" s="39" cm="1">
        <f t="array" ref="D38">_xlfn.XLOOKUP(Таблица2[[#This Row],[Дом]]&amp;Таблица2[[#This Row],[№ Офиса]],Коммерция[Дом]&amp;Коммерция[№],Коммерция[Общая фактическая],"",0)</f>
        <v>76.14</v>
      </c>
      <c r="E38" s="69" cm="1">
        <f t="array" ref="E38">_xlfn.XLOOKUP(Таблица2[[#This Row],[Дом]]&amp;Таблица2[[#This Row],[№ Офиса]],Коммерция[Дом]&amp;Коммерция[№],Коммерция[Цена м2],"",0)</f>
        <v>92373.259784607304</v>
      </c>
      <c r="F38" s="69" cm="1">
        <f t="array" ref="F38">_xlfn.XLOOKUP(Таблица2[[#This Row],[Дом]]&amp;Таблица2[[#This Row],[№ Офиса]],Коммерция[Дом]&amp;Коммерция[№],Коммерция[стоимость лота],"",0)</f>
        <v>7033300</v>
      </c>
      <c r="G38" s="39" t="str" cm="1">
        <f t="array" ref="G38">_xlfn.XLOOKUP(Таблица2[[#This Row],[Дом]]&amp;Таблица2[[#This Row],[№ Офиса]],Коммерция[Дом]&amp;Коммерция[№],Коммерция[Статус],"",0)</f>
        <v>Продажа</v>
      </c>
      <c r="H38" s="308" cm="1">
        <f t="array" ref="H38">_xlfn.XLOOKUP(Таблица2[[#This Row],[Дом]]&amp;Таблица2[[#This Row],[№ Офиса]]&amp;"Коммерция",РД[Дом]&amp;РД[№ кв]&amp;РД[Состояние],РД[Дата подачи на регистрацию],"",0)</f>
        <v>44956</v>
      </c>
      <c r="I38" s="312"/>
      <c r="J38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8" s="39"/>
      <c r="L38" s="39"/>
    </row>
    <row r="39" spans="1:12" s="310" customFormat="1" hidden="1" x14ac:dyDescent="0.25">
      <c r="A39" s="39" t="s">
        <v>27</v>
      </c>
      <c r="B39" s="39">
        <v>12</v>
      </c>
      <c r="C39" s="39" t="s">
        <v>15</v>
      </c>
      <c r="D39" s="39" cm="1">
        <f t="array" ref="D39">_xlfn.XLOOKUP(Таблица2[[#This Row],[Дом]]&amp;Таблица2[[#This Row],[№ Офиса]],Коммерция[Дом]&amp;Коммерция[№],Коммерция[Общая фактическая],"",0)</f>
        <v>136.02000000000001</v>
      </c>
      <c r="E39" s="69" cm="1">
        <f t="array" ref="E39">_xlfn.XLOOKUP(Таблица2[[#This Row],[Дом]]&amp;Таблица2[[#This Row],[№ Офиса]],Коммерция[Дом]&amp;Коммерция[№],Коммерция[Цена м2],"",0)</f>
        <v>95000</v>
      </c>
      <c r="F39" s="69" cm="1">
        <f t="array" ref="F39">_xlfn.XLOOKUP(Таблица2[[#This Row],[Дом]]&amp;Таблица2[[#This Row],[№ Офиса]],Коммерция[Дом]&amp;Коммерция[№],Коммерция[стоимость лота],"",0)</f>
        <v>12921900</v>
      </c>
      <c r="G39" s="39" t="str" cm="1">
        <f t="array" ref="G39">_xlfn.XLOOKUP(Таблица2[[#This Row],[Дом]]&amp;Таблица2[[#This Row],[№ Офиса]],Коммерция[Дом]&amp;Коммерция[№],Коммерция[Статус],"",0)</f>
        <v>Продажа</v>
      </c>
      <c r="H39" s="308" cm="1">
        <f t="array" ref="H39">_xlfn.XLOOKUP(Таблица2[[#This Row],[Дом]]&amp;Таблица2[[#This Row],[№ Офиса]]&amp;"Коммерция",РД[Дом]&amp;РД[№ кв]&amp;РД[Состояние],РД[Дата подачи на регистрацию],"",0)</f>
        <v>44965</v>
      </c>
      <c r="I39" s="312"/>
      <c r="J39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39" s="39"/>
      <c r="L39" s="39"/>
    </row>
    <row r="40" spans="1:12" s="310" customFormat="1" hidden="1" x14ac:dyDescent="0.25">
      <c r="A40" s="39" t="s">
        <v>27</v>
      </c>
      <c r="B40" s="39">
        <v>13</v>
      </c>
      <c r="C40" s="39" t="s">
        <v>15</v>
      </c>
      <c r="D40" s="39" cm="1">
        <f t="array" ref="D40">_xlfn.XLOOKUP(Таблица2[[#This Row],[Дом]]&amp;Таблица2[[#This Row],[№ Офиса]],Коммерция[Дом]&amp;Коммерция[№],Коммерция[Общая фактическая],"",0)</f>
        <v>62.02</v>
      </c>
      <c r="E40" s="69" cm="1">
        <f t="array" ref="E40">_xlfn.XLOOKUP(Таблица2[[#This Row],[Дом]]&amp;Таблица2[[#This Row],[№ Офиса]],Коммерция[Дом]&amp;Коммерция[№],Коммерция[Цена м2],"",0)</f>
        <v>112288.50370848113</v>
      </c>
      <c r="F40" s="69" cm="1">
        <f t="array" ref="F40">_xlfn.XLOOKUP(Таблица2[[#This Row],[Дом]]&amp;Таблица2[[#This Row],[№ Офиса]],Коммерция[Дом]&amp;Коммерция[№],Коммерция[стоимость лота],"",0)</f>
        <v>6964133</v>
      </c>
      <c r="G40" s="39" t="str" cm="1">
        <f t="array" ref="G40">_xlfn.XLOOKUP(Таблица2[[#This Row],[Дом]]&amp;Таблица2[[#This Row],[№ Офиса]],Коммерция[Дом]&amp;Коммерция[№],Коммерция[Статус],"",0)</f>
        <v>Продажа</v>
      </c>
      <c r="H40" s="308" cm="1">
        <f t="array" ref="H40">_xlfn.XLOOKUP(Таблица2[[#This Row],[Дом]]&amp;Таблица2[[#This Row],[№ Офиса]]&amp;"Коммерция",РД[Дом]&amp;РД[№ кв]&amp;РД[Состояние],РД[Дата подачи на регистрацию],"",0)</f>
        <v>44957</v>
      </c>
      <c r="I40" s="312"/>
      <c r="J4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0" s="39"/>
      <c r="L40" s="39"/>
    </row>
    <row r="41" spans="1:12" s="310" customFormat="1" hidden="1" x14ac:dyDescent="0.25">
      <c r="A41" s="39" t="s">
        <v>27</v>
      </c>
      <c r="B41" s="39">
        <v>14</v>
      </c>
      <c r="C41" s="39" t="s">
        <v>15</v>
      </c>
      <c r="D41" s="39" cm="1">
        <f t="array" ref="D41">_xlfn.XLOOKUP(Таблица2[[#This Row],[Дом]]&amp;Таблица2[[#This Row],[№ Офиса]],Коммерция[Дом]&amp;Коммерция[№],Коммерция[Общая фактическая],"",0)</f>
        <v>67.06</v>
      </c>
      <c r="E41" s="69" cm="1">
        <f t="array" ref="E41">_xlfn.XLOOKUP(Таблица2[[#This Row],[Дом]]&amp;Таблица2[[#This Row],[№ Офиса]],Коммерция[Дом]&amp;Коммерция[№],Коммерция[Цена м2],"",0)</f>
        <v>112288.50283328362</v>
      </c>
      <c r="F41" s="69" cm="1">
        <f t="array" ref="F41">_xlfn.XLOOKUP(Таблица2[[#This Row],[Дом]]&amp;Таблица2[[#This Row],[№ Офиса]],Коммерция[Дом]&amp;Коммерция[№],Коммерция[стоимость лота],"",0)</f>
        <v>7530067</v>
      </c>
      <c r="G41" s="39" t="str" cm="1">
        <f t="array" ref="G41">_xlfn.XLOOKUP(Таблица2[[#This Row],[Дом]]&amp;Таблица2[[#This Row],[№ Офиса]],Коммерция[Дом]&amp;Коммерция[№],Коммерция[Статус],"",0)</f>
        <v>Продажа</v>
      </c>
      <c r="H41" s="308" cm="1">
        <f t="array" ref="H41">_xlfn.XLOOKUP(Таблица2[[#This Row],[Дом]]&amp;Таблица2[[#This Row],[№ Офиса]]&amp;"Коммерция",РД[Дом]&amp;РД[№ кв]&amp;РД[Состояние],РД[Дата подачи на регистрацию],"",0)</f>
        <v>44957</v>
      </c>
      <c r="I41" s="312"/>
      <c r="J41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1" s="39"/>
      <c r="L41" s="39"/>
    </row>
    <row r="42" spans="1:12" s="310" customFormat="1" hidden="1" x14ac:dyDescent="0.25">
      <c r="A42" s="39" t="s">
        <v>27</v>
      </c>
      <c r="B42" s="39">
        <v>15</v>
      </c>
      <c r="C42" s="39" t="s">
        <v>15</v>
      </c>
      <c r="D42" s="39" cm="1">
        <f t="array" ref="D42">_xlfn.XLOOKUP(Таблица2[[#This Row],[Дом]]&amp;Таблица2[[#This Row],[№ Офиса]],Коммерция[Дом]&amp;Коммерция[№],Коммерция[Общая фактическая],"",0)</f>
        <v>115.46</v>
      </c>
      <c r="E42" s="69" cm="1">
        <f t="array" ref="E42">_xlfn.XLOOKUP(Таблица2[[#This Row],[Дом]]&amp;Таблица2[[#This Row],[№ Офиса]],Коммерция[Дом]&amp;Коммерция[№],Коммерция[Цена м2],"",0)</f>
        <v>115000</v>
      </c>
      <c r="F42" s="69" cm="1">
        <f t="array" ref="F42">_xlfn.XLOOKUP(Таблица2[[#This Row],[Дом]]&amp;Таблица2[[#This Row],[№ Офиса]],Коммерция[Дом]&amp;Коммерция[№],Коммерция[стоимость лота],"",0)</f>
        <v>13277900</v>
      </c>
      <c r="G42" s="39" t="str" cm="1">
        <f t="array" ref="G42">_xlfn.XLOOKUP(Таблица2[[#This Row],[Дом]]&amp;Таблица2[[#This Row],[№ Офиса]],Коммерция[Дом]&amp;Коммерция[№],Коммерция[Статус],"",0)</f>
        <v>Продажа</v>
      </c>
      <c r="H42" s="308" cm="1">
        <f t="array" ref="H42">_xlfn.XLOOKUP(Таблица2[[#This Row],[Дом]]&amp;Таблица2[[#This Row],[№ Офиса]]&amp;"Коммерция",РД[Дом]&amp;РД[№ кв]&amp;РД[Состояние],РД[Дата подачи на регистрацию],"",0)</f>
        <v>44985</v>
      </c>
      <c r="I42" s="312"/>
      <c r="J4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2" s="39"/>
      <c r="L42" s="39"/>
    </row>
    <row r="43" spans="1:12" s="661" customFormat="1" hidden="1" x14ac:dyDescent="0.25">
      <c r="A43" s="658" t="s">
        <v>27</v>
      </c>
      <c r="B43" s="658">
        <v>161</v>
      </c>
      <c r="C43" s="658" t="s">
        <v>14</v>
      </c>
      <c r="D43" s="658" t="str" cm="1">
        <f t="array" ref="D43">_xlfn.XLOOKUP(Таблица2[[#This Row],[Дом]]&amp;Таблица2[[#This Row],[№ Офиса]],Коммерция[Дом]&amp;Коммерция[№],Коммерция[Общая фактическая],"",0)</f>
        <v/>
      </c>
      <c r="E43" s="659" t="str" cm="1">
        <f t="array" ref="E43">_xlfn.XLOOKUP(Таблица2[[#This Row],[Дом]]&amp;Таблица2[[#This Row],[№ Офиса]],Коммерция[Дом]&amp;Коммерция[№],Коммерция[Цена м2],"",0)</f>
        <v/>
      </c>
      <c r="F43" s="659" t="str" cm="1">
        <f t="array" ref="F43">_xlfn.XLOOKUP(Таблица2[[#This Row],[Дом]]&amp;Таблица2[[#This Row],[№ Офиса]],Коммерция[Дом]&amp;Коммерция[№],Коммерция[стоимость лота],"",0)</f>
        <v/>
      </c>
      <c r="G43" s="658" t="str" cm="1">
        <f t="array" ref="G43">_xlfn.XLOOKUP(Таблица2[[#This Row],[Дом]]&amp;Таблица2[[#This Row],[№ Офиса]],Коммерция[Дом]&amp;Коммерция[№],Коммерция[Статус],"",0)</f>
        <v/>
      </c>
      <c r="H43" s="660" t="str" cm="1">
        <f t="array" ref="H43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43" s="660">
        <v>45962</v>
      </c>
      <c r="J43" s="658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43" s="73" t="s">
        <v>4493</v>
      </c>
      <c r="L43" s="73"/>
    </row>
    <row r="44" spans="1:12" s="310" customFormat="1" hidden="1" x14ac:dyDescent="0.25">
      <c r="A44" s="39" t="s">
        <v>27</v>
      </c>
      <c r="B44" s="39">
        <v>162</v>
      </c>
      <c r="C44" s="39" t="s">
        <v>14</v>
      </c>
      <c r="D44" s="39" t="str" cm="1">
        <f t="array" ref="D44">_xlfn.XLOOKUP(Таблица2[[#This Row],[Дом]]&amp;Таблица2[[#This Row],[№ Офиса]],Коммерция[Дом]&amp;Коммерция[№],Коммерция[Общая фактическая],"",0)</f>
        <v/>
      </c>
      <c r="E44" s="69" t="str" cm="1">
        <f t="array" ref="E44">_xlfn.XLOOKUP(Таблица2[[#This Row],[Дом]]&amp;Таблица2[[#This Row],[№ Офиса]],Коммерция[Дом]&amp;Коммерция[№],Коммерция[Цена м2],"",0)</f>
        <v/>
      </c>
      <c r="F44" s="69" t="str" cm="1">
        <f t="array" ref="F44">_xlfn.XLOOKUP(Таблица2[[#This Row],[Дом]]&amp;Таблица2[[#This Row],[№ Офиса]],Коммерция[Дом]&amp;Коммерция[№],Коммерция[стоимость лота],"",0)</f>
        <v/>
      </c>
      <c r="G44" s="39" t="str" cm="1">
        <f t="array" ref="G44">_xlfn.XLOOKUP(Таблица2[[#This Row],[Дом]]&amp;Таблица2[[#This Row],[№ Офиса]],Коммерция[Дом]&amp;Коммерция[№],Коммерция[Статус],"",0)</f>
        <v/>
      </c>
      <c r="H44" s="308" cm="1">
        <f t="array" ref="H44">_xlfn.XLOOKUP(Таблица2[[#This Row],[Дом]]&amp;Таблица2[[#This Row],[№ Офиса]]&amp;"Коммерция",РД[Дом]&amp;РД[№ кв]&amp;РД[Состояние],РД[Дата подачи на регистрацию],"",0)</f>
        <v>45637</v>
      </c>
      <c r="I44" s="312"/>
      <c r="J44" s="636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4" s="39"/>
      <c r="L44" s="318" t="s">
        <v>4493</v>
      </c>
    </row>
    <row r="45" spans="1:12" s="315" customFormat="1" hidden="1" x14ac:dyDescent="0.25">
      <c r="A45" s="309" t="s">
        <v>27</v>
      </c>
      <c r="B45" s="309">
        <v>17</v>
      </c>
      <c r="C45" s="309" t="s">
        <v>14</v>
      </c>
      <c r="D45" s="309" cm="1">
        <f t="array" ref="D45">_xlfn.XLOOKUP(Таблица2[[#This Row],[Дом]]&amp;Таблица2[[#This Row],[№ Офиса]],Коммерция[Дом]&amp;Коммерция[№],Коммерция[Общая фактическая],"",0)</f>
        <v>101.7</v>
      </c>
      <c r="E45" s="314" cm="1">
        <f t="array" ref="E45">_xlfn.XLOOKUP(Таблица2[[#This Row],[Дом]]&amp;Таблица2[[#This Row],[№ Офиса]],Коммерция[Дом]&amp;Коммерция[№],Коммерция[Цена м2],"",0)</f>
        <v>125000</v>
      </c>
      <c r="F45" s="314" cm="1">
        <f t="array" ref="F45">_xlfn.XLOOKUP(Таблица2[[#This Row],[Дом]]&amp;Таблица2[[#This Row],[№ Офиса]],Коммерция[Дом]&amp;Коммерция[№],Коммерция[стоимость лота],"",0)</f>
        <v>12712500</v>
      </c>
      <c r="G45" s="309" t="str" cm="1">
        <f t="array" ref="G45">_xlfn.XLOOKUP(Таблица2[[#This Row],[Дом]]&amp;Таблица2[[#This Row],[№ Офиса]],Коммерция[Дом]&amp;Коммерция[№],Коммерция[Статус],"",0)</f>
        <v>Продажа</v>
      </c>
      <c r="H45" s="321" cm="1">
        <f t="array" ref="H45">_xlfn.XLOOKUP(Таблица2[[#This Row],[Дом]]&amp;Таблица2[[#This Row],[№ Офиса]]&amp;"Коммерция",РД[Дом]&amp;РД[№ кв]&amp;РД[Состояние],РД[Дата подачи на регистрацию],"",0)</f>
        <v>45108</v>
      </c>
      <c r="I45" s="321"/>
      <c r="J45" s="30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5" s="309"/>
      <c r="L45" s="309"/>
    </row>
    <row r="46" spans="1:12" s="310" customFormat="1" hidden="1" x14ac:dyDescent="0.25">
      <c r="A46" s="39" t="s">
        <v>27</v>
      </c>
      <c r="B46" s="39">
        <v>18</v>
      </c>
      <c r="C46" s="39" t="s">
        <v>14</v>
      </c>
      <c r="D46" s="39" cm="1">
        <f t="array" ref="D46">_xlfn.XLOOKUP(Таблица2[[#This Row],[Дом]]&amp;Таблица2[[#This Row],[№ Офиса]],Коммерция[Дом]&amp;Коммерция[№],Коммерция[Общая фактическая],"",0)</f>
        <v>103.81</v>
      </c>
      <c r="E46" s="69" cm="1">
        <f t="array" ref="E46">_xlfn.XLOOKUP(Таблица2[[#This Row],[Дом]]&amp;Таблица2[[#This Row],[№ Офиса]],Коммерция[Дом]&amp;Коммерция[№],Коммерция[Цена м2],"",0)</f>
        <v>105000</v>
      </c>
      <c r="F46" s="69" cm="1">
        <f t="array" ref="F46">_xlfn.XLOOKUP(Таблица2[[#This Row],[Дом]]&amp;Таблица2[[#This Row],[№ Офиса]],Коммерция[Дом]&amp;Коммерция[№],Коммерция[стоимость лота],"",0)</f>
        <v>10900050</v>
      </c>
      <c r="G46" s="39" t="str" cm="1">
        <f t="array" ref="G46">_xlfn.XLOOKUP(Таблица2[[#This Row],[Дом]]&amp;Таблица2[[#This Row],[№ Офиса]],Коммерция[Дом]&amp;Коммерция[№],Коммерция[Статус],"",0)</f>
        <v>Продажа</v>
      </c>
      <c r="H46" s="308" cm="1">
        <f t="array" ref="H46">_xlfn.XLOOKUP(Таблица2[[#This Row],[Дом]]&amp;Таблица2[[#This Row],[№ Офиса]]&amp;"Коммерция",РД[Дом]&amp;РД[№ кв]&amp;РД[Состояние],РД[Дата подачи на регистрацию],"",0)</f>
        <v>44924</v>
      </c>
      <c r="I46" s="312"/>
      <c r="J46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6" s="39"/>
      <c r="L46" s="39"/>
    </row>
    <row r="47" spans="1:12" s="310" customFormat="1" hidden="1" x14ac:dyDescent="0.25">
      <c r="A47" s="39" t="s">
        <v>27</v>
      </c>
      <c r="B47" s="39">
        <v>19</v>
      </c>
      <c r="C47" s="39" t="s">
        <v>14</v>
      </c>
      <c r="D47" s="39" cm="1">
        <f t="array" ref="D47">_xlfn.XLOOKUP(Таблица2[[#This Row],[Дом]]&amp;Таблица2[[#This Row],[№ Офиса]],Коммерция[Дом]&amp;Коммерция[№],Коммерция[Общая фактическая],"",0)</f>
        <v>116.69</v>
      </c>
      <c r="E47" s="69" cm="1">
        <f t="array" ref="E47">_xlfn.XLOOKUP(Таблица2[[#This Row],[Дом]]&amp;Таблица2[[#This Row],[№ Офиса]],Коммерция[Дом]&amp;Коммерция[№],Коммерция[Цена м2],"",0)</f>
        <v>105000</v>
      </c>
      <c r="F47" s="69" cm="1">
        <f t="array" ref="F47">_xlfn.XLOOKUP(Таблица2[[#This Row],[Дом]]&amp;Таблица2[[#This Row],[№ Офиса]],Коммерция[Дом]&amp;Коммерция[№],Коммерция[стоимость лота],"",0)</f>
        <v>12252450</v>
      </c>
      <c r="G47" s="39" t="str" cm="1">
        <f t="array" ref="G47">_xlfn.XLOOKUP(Таблица2[[#This Row],[Дом]]&amp;Таблица2[[#This Row],[№ Офиса]],Коммерция[Дом]&amp;Коммерция[№],Коммерция[Статус],"",0)</f>
        <v>Продажа</v>
      </c>
      <c r="H47" s="308" cm="1">
        <f t="array" ref="H47">_xlfn.XLOOKUP(Таблица2[[#This Row],[Дом]]&amp;Таблица2[[#This Row],[№ Офиса]]&amp;"Коммерция",РД[Дом]&amp;РД[№ кв]&amp;РД[Состояние],РД[Дата подачи на регистрацию],"",0)</f>
        <v>44924</v>
      </c>
      <c r="I47" s="312"/>
      <c r="J47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7" s="39"/>
      <c r="L47" s="39"/>
    </row>
    <row r="48" spans="1:12" s="310" customFormat="1" hidden="1" x14ac:dyDescent="0.25">
      <c r="A48" s="243" t="s">
        <v>27</v>
      </c>
      <c r="B48" s="243">
        <v>20</v>
      </c>
      <c r="C48" s="243" t="s">
        <v>13</v>
      </c>
      <c r="D48" s="243" cm="1">
        <f t="array" ref="D48">_xlfn.XLOOKUP(Таблица2[[#This Row],[Дом]]&amp;Таблица2[[#This Row],[№ Офиса]],Коммерция[Дом]&amp;Коммерция[№],Коммерция[Общая фактическая],"",0)</f>
        <v>121.3</v>
      </c>
      <c r="E48" s="244" cm="1">
        <f t="array" ref="E48">_xlfn.XLOOKUP(Таблица2[[#This Row],[Дом]]&amp;Таблица2[[#This Row],[№ Офиса]],Коммерция[Дом]&amp;Коммерция[№],Коммерция[Цена м2],"",0)</f>
        <v>120000</v>
      </c>
      <c r="F48" s="244" cm="1">
        <f t="array" ref="F48">_xlfn.XLOOKUP(Таблица2[[#This Row],[Дом]]&amp;Таблица2[[#This Row],[№ Офиса]],Коммерция[Дом]&amp;Коммерция[№],Коммерция[стоимость лота],"",0)</f>
        <v>14556000</v>
      </c>
      <c r="G48" s="243" t="str" cm="1">
        <f t="array" ref="G48">_xlfn.XLOOKUP(Таблица2[[#This Row],[Дом]]&amp;Таблица2[[#This Row],[№ Офиса]],Коммерция[Дом]&amp;Коммерция[№],Коммерция[Статус],"",0)</f>
        <v>Продажа</v>
      </c>
      <c r="H48" s="312" cm="1">
        <f t="array" ref="H48">_xlfn.XLOOKUP(Таблица2[[#This Row],[Дом]]&amp;Таблица2[[#This Row],[№ Офиса]]&amp;"Коммерция",РД[Дом]&amp;РД[№ кв]&amp;РД[Состояние],РД[Дата подачи на регистрацию],"",0)</f>
        <v>45103</v>
      </c>
      <c r="I48" s="312"/>
      <c r="J48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8" s="243"/>
      <c r="L48" s="39"/>
    </row>
    <row r="49" spans="1:12" s="310" customFormat="1" hidden="1" x14ac:dyDescent="0.25">
      <c r="A49" s="39" t="s">
        <v>27</v>
      </c>
      <c r="B49" s="39">
        <v>21</v>
      </c>
      <c r="C49" s="39" t="s">
        <v>13</v>
      </c>
      <c r="D49" s="39" cm="1">
        <f t="array" ref="D49">_xlfn.XLOOKUP(Таблица2[[#This Row],[Дом]]&amp;Таблица2[[#This Row],[№ Офиса]],Коммерция[Дом]&amp;Коммерция[№],Коммерция[Общая фактическая],"",0)</f>
        <v>96.4</v>
      </c>
      <c r="E49" s="69" cm="1">
        <f t="array" ref="E49">_xlfn.XLOOKUP(Таблица2[[#This Row],[Дом]]&amp;Таблица2[[#This Row],[№ Офиса]],Коммерция[Дом]&amp;Коммерция[№],Коммерция[Цена м2],"",0)</f>
        <v>120000</v>
      </c>
      <c r="F49" s="69" cm="1">
        <f t="array" ref="F49">_xlfn.XLOOKUP(Таблица2[[#This Row],[Дом]]&amp;Таблица2[[#This Row],[№ Офиса]],Коммерция[Дом]&amp;Коммерция[№],Коммерция[стоимость лота],"",0)</f>
        <v>11568000</v>
      </c>
      <c r="G49" s="39" t="str" cm="1">
        <f t="array" ref="G49">_xlfn.XLOOKUP(Таблица2[[#This Row],[Дом]]&amp;Таблица2[[#This Row],[№ Офиса]],Коммерция[Дом]&amp;Коммерция[№],Коммерция[Статус],"",0)</f>
        <v>Продажа</v>
      </c>
      <c r="H49" s="312" cm="1">
        <f t="array" ref="H49">_xlfn.XLOOKUP(Таблица2[[#This Row],[Дом]]&amp;Таблица2[[#This Row],[№ Офиса]]&amp;"Коммерция",РД[Дом]&amp;РД[№ кв]&amp;РД[Состояние],РД[Дата подачи на регистрацию],"",0)</f>
        <v>45125</v>
      </c>
      <c r="I49" s="321"/>
      <c r="J49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49" s="39"/>
      <c r="L49" s="39"/>
    </row>
    <row r="50" spans="1:12" s="310" customFormat="1" hidden="1" x14ac:dyDescent="0.25">
      <c r="A50" s="39" t="s">
        <v>27</v>
      </c>
      <c r="B50" s="39">
        <v>22</v>
      </c>
      <c r="C50" s="39" t="s">
        <v>13</v>
      </c>
      <c r="D50" s="39" cm="1">
        <f t="array" ref="D50">_xlfn.XLOOKUP(Таблица2[[#This Row],[Дом]]&amp;Таблица2[[#This Row],[№ Офиса]],Коммерция[Дом]&amp;Коммерция[№],Коммерция[Общая фактическая],"",0)</f>
        <v>186.76</v>
      </c>
      <c r="E50" s="69" cm="1">
        <f t="array" ref="E50">_xlfn.XLOOKUP(Таблица2[[#This Row],[Дом]]&amp;Таблица2[[#This Row],[№ Офиса]],Коммерция[Дом]&amp;Коммерция[№],Коммерция[Цена м2],"",0)</f>
        <v>90000</v>
      </c>
      <c r="F50" s="69" cm="1">
        <f t="array" ref="F50">_xlfn.XLOOKUP(Таблица2[[#This Row],[Дом]]&amp;Таблица2[[#This Row],[№ Офиса]],Коммерция[Дом]&amp;Коммерция[№],Коммерция[стоимость лота],"",0)</f>
        <v>16808400</v>
      </c>
      <c r="G50" s="39" t="str" cm="1">
        <f t="array" ref="G50">_xlfn.XLOOKUP(Таблица2[[#This Row],[Дом]]&amp;Таблица2[[#This Row],[№ Офиса]],Коммерция[Дом]&amp;Коммерция[№],Коммерция[Статус],"",0)</f>
        <v>Продажа</v>
      </c>
      <c r="H50" s="308" cm="1">
        <f t="array" ref="H50">_xlfn.XLOOKUP(Таблица2[[#This Row],[Дом]]&amp;Таблица2[[#This Row],[№ Офиса]]&amp;"Коммерция",РД[Дом]&amp;РД[№ кв]&amp;РД[Состояние],РД[Дата подачи на регистрацию],"",0)</f>
        <v>44956</v>
      </c>
      <c r="I50" s="312"/>
      <c r="J5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0" s="39"/>
      <c r="L50" s="39"/>
    </row>
    <row r="51" spans="1:12" s="310" customFormat="1" hidden="1" x14ac:dyDescent="0.25">
      <c r="A51" s="39" t="s">
        <v>91</v>
      </c>
      <c r="B51" s="39">
        <v>1</v>
      </c>
      <c r="C51" s="39" t="s">
        <v>6</v>
      </c>
      <c r="D51" s="39" cm="1">
        <f t="array" ref="D51">_xlfn.XLOOKUP(Таблица2[[#This Row],[Дом]]&amp;Таблица2[[#This Row],[№ Офиса]],Коммерция[Дом]&amp;Коммерция[№],Коммерция[Общая фактическая],"",0)</f>
        <v>90.98</v>
      </c>
      <c r="E51" s="69" cm="1">
        <f t="array" ref="E51">_xlfn.XLOOKUP(Таблица2[[#This Row],[Дом]]&amp;Таблица2[[#This Row],[№ Офиса]],Коммерция[Дом]&amp;Коммерция[№],Коммерция[Цена м2],"",0)</f>
        <v>120750</v>
      </c>
      <c r="F51" s="69" cm="1">
        <f t="array" ref="F51">_xlfn.XLOOKUP(Таблица2[[#This Row],[Дом]]&amp;Таблица2[[#This Row],[№ Офиса]],Коммерция[Дом]&amp;Коммерция[№],Коммерция[стоимость лота],"",0)</f>
        <v>10985835</v>
      </c>
      <c r="G51" s="39" t="str" cm="1">
        <f t="array" ref="G51">_xlfn.XLOOKUP(Таблица2[[#This Row],[Дом]]&amp;Таблица2[[#This Row],[№ Офиса]],Коммерция[Дом]&amp;Коммерция[№],Коммерция[Статус],"",0)</f>
        <v>Продажа</v>
      </c>
      <c r="H51" s="308" cm="1">
        <f t="array" ref="H51">_xlfn.XLOOKUP(Таблица2[[#This Row],[Дом]]&amp;Таблица2[[#This Row],[№ Офиса]]&amp;"Коммерция",РД[Дом]&amp;РД[№ кв]&amp;РД[Состояние],РД[Дата подачи на регистрацию],"",0)</f>
        <v>45217</v>
      </c>
      <c r="I51" s="312"/>
      <c r="J51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1" s="39"/>
      <c r="L51" s="39"/>
    </row>
    <row r="52" spans="1:12" s="310" customFormat="1" hidden="1" x14ac:dyDescent="0.25">
      <c r="A52" s="39" t="s">
        <v>91</v>
      </c>
      <c r="B52" s="39">
        <v>2</v>
      </c>
      <c r="C52" s="39" t="s">
        <v>6</v>
      </c>
      <c r="D52" s="39" cm="1">
        <f t="array" ref="D52">_xlfn.XLOOKUP(Таблица2[[#This Row],[Дом]]&amp;Таблица2[[#This Row],[№ Офиса]],Коммерция[Дом]&amp;Коммерция[№],Коммерция[Общая фактическая],"",0)</f>
        <v>88.73</v>
      </c>
      <c r="E52" s="69" cm="1">
        <f t="array" ref="E52">_xlfn.XLOOKUP(Таблица2[[#This Row],[Дом]]&amp;Таблица2[[#This Row],[№ Офиса]],Коммерция[Дом]&amp;Коммерция[№],Коммерция[Цена м2],"",0)</f>
        <v>120750.00563507268</v>
      </c>
      <c r="F52" s="69" cm="1">
        <f t="array" ref="F52">_xlfn.XLOOKUP(Таблица2[[#This Row],[Дом]]&amp;Таблица2[[#This Row],[№ Офиса]],Коммерция[Дом]&amp;Коммерция[№],Коммерция[стоимость лота],"",0)</f>
        <v>10714148</v>
      </c>
      <c r="G52" s="39" t="str" cm="1">
        <f t="array" ref="G52">_xlfn.XLOOKUP(Таблица2[[#This Row],[Дом]]&amp;Таблица2[[#This Row],[№ Офиса]],Коммерция[Дом]&amp;Коммерция[№],Коммерция[Статус],"",0)</f>
        <v>Продажа</v>
      </c>
      <c r="H52" s="308" cm="1">
        <f t="array" ref="H52">_xlfn.XLOOKUP(Таблица2[[#This Row],[Дом]]&amp;Таблица2[[#This Row],[№ Офиса]]&amp;"Коммерция",РД[Дом]&amp;РД[№ кв]&amp;РД[Состояние],РД[Дата подачи на регистрацию],"",0)</f>
        <v>45217</v>
      </c>
      <c r="I52" s="312"/>
      <c r="J5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2" s="39"/>
      <c r="L52" s="39"/>
    </row>
    <row r="53" spans="1:12" s="310" customFormat="1" hidden="1" x14ac:dyDescent="0.25">
      <c r="A53" s="39" t="s">
        <v>91</v>
      </c>
      <c r="B53" s="39">
        <v>3</v>
      </c>
      <c r="C53" s="39" t="s">
        <v>6</v>
      </c>
      <c r="D53" s="39" cm="1">
        <f t="array" ref="D53">_xlfn.XLOOKUP(Таблица2[[#This Row],[Дом]]&amp;Таблица2[[#This Row],[№ Офиса]],Коммерция[Дом]&amp;Коммерция[№],Коммерция[Общая фактическая],"",0)</f>
        <v>100.75</v>
      </c>
      <c r="E53" s="69" cm="1">
        <f t="array" ref="E53">_xlfn.XLOOKUP(Таблица2[[#This Row],[Дом]]&amp;Таблица2[[#This Row],[№ Офиса]],Коммерция[Дом]&amp;Коммерция[№],Коммерция[Цена м2],"",0)</f>
        <v>120750.00496277916</v>
      </c>
      <c r="F53" s="69" cm="1">
        <f t="array" ref="F53">_xlfn.XLOOKUP(Таблица2[[#This Row],[Дом]]&amp;Таблица2[[#This Row],[№ Офиса]],Коммерция[Дом]&amp;Коммерция[№],Коммерция[стоимость лота],"",0)</f>
        <v>12165563</v>
      </c>
      <c r="G53" s="39" t="str" cm="1">
        <f t="array" ref="G53">_xlfn.XLOOKUP(Таблица2[[#This Row],[Дом]]&amp;Таблица2[[#This Row],[№ Офиса]],Коммерция[Дом]&amp;Коммерция[№],Коммерция[Статус],"",0)</f>
        <v>Продажа</v>
      </c>
      <c r="H53" s="308" cm="1">
        <f t="array" ref="H53">_xlfn.XLOOKUP(Таблица2[[#This Row],[Дом]]&amp;Таблица2[[#This Row],[№ Офиса]]&amp;"Коммерция",РД[Дом]&amp;РД[№ кв]&amp;РД[Состояние],РД[Дата подачи на регистрацию],"",0)</f>
        <v>45219</v>
      </c>
      <c r="I53" s="312"/>
      <c r="J53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3" s="318"/>
      <c r="L53" s="39"/>
    </row>
    <row r="54" spans="1:12" s="310" customFormat="1" hidden="1" x14ac:dyDescent="0.25">
      <c r="A54" s="39" t="s">
        <v>91</v>
      </c>
      <c r="B54" s="39">
        <v>4</v>
      </c>
      <c r="C54" s="39" t="s">
        <v>6</v>
      </c>
      <c r="D54" s="39" cm="1">
        <f t="array" ref="D54">_xlfn.XLOOKUP(Таблица2[[#This Row],[Дом]]&amp;Таблица2[[#This Row],[№ Офиса]],Коммерция[Дом]&amp;Коммерция[№],Коммерция[Общая фактическая],"",0)</f>
        <v>89.2</v>
      </c>
      <c r="E54" s="69" cm="1">
        <f t="array" ref="E54">_xlfn.XLOOKUP(Таблица2[[#This Row],[Дом]]&amp;Таблица2[[#This Row],[№ Офиса]],Коммерция[Дом]&amp;Коммерция[№],Коммерция[Цена м2],"",0)</f>
        <v>120750</v>
      </c>
      <c r="F54" s="69" cm="1">
        <f t="array" ref="F54">_xlfn.XLOOKUP(Таблица2[[#This Row],[Дом]]&amp;Таблица2[[#This Row],[№ Офиса]],Коммерция[Дом]&amp;Коммерция[№],Коммерция[стоимость лота],"",0)</f>
        <v>10770900</v>
      </c>
      <c r="G54" s="39" t="str" cm="1">
        <f t="array" ref="G54">_xlfn.XLOOKUP(Таблица2[[#This Row],[Дом]]&amp;Таблица2[[#This Row],[№ Офиса]],Коммерция[Дом]&amp;Коммерция[№],Коммерция[Статус],"",0)</f>
        <v>Продажа</v>
      </c>
      <c r="H54" s="308" cm="1">
        <f t="array" ref="H54">_xlfn.XLOOKUP(Таблица2[[#This Row],[Дом]]&amp;Таблица2[[#This Row],[№ Офиса]]&amp;"Коммерция",РД[Дом]&amp;РД[№ кв]&amp;РД[Состояние],РД[Дата подачи на регистрацию],"",0)</f>
        <v>45217</v>
      </c>
      <c r="I54" s="312"/>
      <c r="J54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4" s="318"/>
      <c r="L54" s="39"/>
    </row>
    <row r="55" spans="1:12" s="310" customFormat="1" hidden="1" x14ac:dyDescent="0.25">
      <c r="A55" s="243" t="s">
        <v>91</v>
      </c>
      <c r="B55" s="243">
        <v>5</v>
      </c>
      <c r="C55" s="243" t="s">
        <v>5</v>
      </c>
      <c r="D55" s="243" cm="1">
        <f t="array" ref="D55">_xlfn.XLOOKUP(Таблица2[[#This Row],[Дом]]&amp;Таблица2[[#This Row],[№ Офиса]],Коммерция[Дом]&amp;Коммерция[№],Коммерция[Общая фактическая],"",0)</f>
        <v>81.599999999999994</v>
      </c>
      <c r="E55" s="244" cm="1">
        <f t="array" ref="E55">_xlfn.XLOOKUP(Таблица2[[#This Row],[Дом]]&amp;Таблица2[[#This Row],[№ Офиса]],Коммерция[Дом]&amp;Коммерция[№],Коммерция[Цена м2],"",0)</f>
        <v>115750.00000000001</v>
      </c>
      <c r="F55" s="244" cm="1">
        <f t="array" ref="F55">_xlfn.XLOOKUP(Таблица2[[#This Row],[Дом]]&amp;Таблица2[[#This Row],[№ Офиса]],Коммерция[Дом]&amp;Коммерция[№],Коммерция[стоимость лота],"",0)</f>
        <v>9445200</v>
      </c>
      <c r="G55" s="243" t="str" cm="1">
        <f t="array" ref="G55">_xlfn.XLOOKUP(Таблица2[[#This Row],[Дом]]&amp;Таблица2[[#This Row],[№ Офиса]],Коммерция[Дом]&amp;Коммерция[№],Коммерция[Статус],"",0)</f>
        <v>Продажа</v>
      </c>
      <c r="H55" s="312" cm="1">
        <f t="array" ref="H55">_xlfn.XLOOKUP(Таблица2[[#This Row],[Дом]]&amp;Таблица2[[#This Row],[№ Офиса]]&amp;"Коммерция",РД[Дом]&amp;РД[№ кв]&amp;РД[Состояние],РД[Дата подачи на регистрацию],"",0)</f>
        <v>45637</v>
      </c>
      <c r="I55" s="312"/>
      <c r="J55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5" s="397"/>
      <c r="L55" s="243"/>
    </row>
    <row r="56" spans="1:12" s="310" customFormat="1" hidden="1" x14ac:dyDescent="0.25">
      <c r="A56" s="243" t="s">
        <v>91</v>
      </c>
      <c r="B56" s="243">
        <v>6</v>
      </c>
      <c r="C56" s="243" t="s">
        <v>5</v>
      </c>
      <c r="D56" s="243" cm="1">
        <f t="array" ref="D56">_xlfn.XLOOKUP(Таблица2[[#This Row],[Дом]]&amp;Таблица2[[#This Row],[№ Офиса]],Коммерция[Дом]&amp;Коммерция[№],Коммерция[Общая фактическая],"",0)</f>
        <v>70.5</v>
      </c>
      <c r="E56" s="244" cm="1">
        <f t="array" ref="E56">_xlfn.XLOOKUP(Таблица2[[#This Row],[Дом]]&amp;Таблица2[[#This Row],[№ Офиса]],Коммерция[Дом]&amp;Коммерция[№],Коммерция[Цена м2],"",0)</f>
        <v>126000</v>
      </c>
      <c r="F56" s="244" cm="1">
        <f t="array" ref="F56">_xlfn.XLOOKUP(Таблица2[[#This Row],[Дом]]&amp;Таблица2[[#This Row],[№ Офиса]],Коммерция[Дом]&amp;Коммерция[№],Коммерция[стоимость лота],"",0)</f>
        <v>8883000</v>
      </c>
      <c r="G56" s="243" t="str" cm="1">
        <f t="array" ref="G56">_xlfn.XLOOKUP(Таблица2[[#This Row],[Дом]]&amp;Таблица2[[#This Row],[№ Офиса]],Коммерция[Дом]&amp;Коммерция[№],Коммерция[Статус],"",0)</f>
        <v>Продажа</v>
      </c>
      <c r="H56" s="312" cm="1">
        <f t="array" ref="H56">_xlfn.XLOOKUP(Таблица2[[#This Row],[Дом]]&amp;Таблица2[[#This Row],[№ Офиса]]&amp;"Коммерция",РД[Дом]&amp;РД[№ кв]&amp;РД[Состояние],РД[Дата подачи на регистрацию],"",0)</f>
        <v>45654</v>
      </c>
      <c r="I56" s="312"/>
      <c r="J56" s="2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6" s="397"/>
      <c r="L56" s="243"/>
    </row>
    <row r="57" spans="1:12" s="665" customFormat="1" hidden="1" x14ac:dyDescent="0.25">
      <c r="A57" s="662" t="s">
        <v>91</v>
      </c>
      <c r="B57" s="662">
        <v>7</v>
      </c>
      <c r="C57" s="662" t="s">
        <v>5</v>
      </c>
      <c r="D57" s="662" cm="1">
        <f t="array" ref="D57">_xlfn.XLOOKUP(Таблица2[[#This Row],[Дом]]&amp;Таблица2[[#This Row],[№ Офиса]],Коммерция[Дом]&amp;Коммерция[№],Коммерция[Общая фактическая],"",0)</f>
        <v>67.7</v>
      </c>
      <c r="E57" s="663" cm="1">
        <f t="array" ref="E57">_xlfn.XLOOKUP(Таблица2[[#This Row],[Дом]]&amp;Таблица2[[#This Row],[№ Офиса]],Коммерция[Дом]&amp;Коммерция[№],Коммерция[Цена м2],"",0)</f>
        <v>125000</v>
      </c>
      <c r="F57" s="663" cm="1">
        <f t="array" ref="F57">_xlfn.XLOOKUP(Таблица2[[#This Row],[Дом]]&amp;Таблица2[[#This Row],[№ Офиса]],Коммерция[Дом]&amp;Коммерция[№],Коммерция[стоимость лота],"",0)</f>
        <v>8462500</v>
      </c>
      <c r="G57" s="662" t="str" cm="1">
        <f t="array" ref="G57">_xlfn.XLOOKUP(Таблица2[[#This Row],[Дом]]&amp;Таблица2[[#This Row],[№ Офиса]],Коммерция[Дом]&amp;Коммерция[№],Коммерция[Статус],"",0)</f>
        <v>Свободно</v>
      </c>
      <c r="H57" s="664" t="str" cm="1">
        <f t="array" ref="H57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57" s="664">
        <v>45962</v>
      </c>
      <c r="J57" s="662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57" s="662"/>
      <c r="L57" s="662"/>
    </row>
    <row r="58" spans="1:12" s="665" customFormat="1" x14ac:dyDescent="0.25">
      <c r="A58" s="662" t="s">
        <v>91</v>
      </c>
      <c r="B58" s="662">
        <v>8</v>
      </c>
      <c r="C58" s="662" t="s">
        <v>5</v>
      </c>
      <c r="D58" s="662" cm="1">
        <f t="array" ref="D58">_xlfn.XLOOKUP(Таблица2[[#This Row],[Дом]]&amp;Таблица2[[#This Row],[№ Офиса]],Коммерция[Дом]&amp;Коммерция[№],Коммерция[Общая фактическая],"",0)</f>
        <v>70.2</v>
      </c>
      <c r="E58" s="663" cm="1">
        <f t="array" ref="E58">_xlfn.XLOOKUP(Таблица2[[#This Row],[Дом]]&amp;Таблица2[[#This Row],[№ Офиса]],Коммерция[Дом]&amp;Коммерция[№],Коммерция[Цена м2],"",0)</f>
        <v>125000</v>
      </c>
      <c r="F58" s="663" cm="1">
        <f t="array" ref="F58">_xlfn.XLOOKUP(Таблица2[[#This Row],[Дом]]&amp;Таблица2[[#This Row],[№ Офиса]],Коммерция[Дом]&amp;Коммерция[№],Коммерция[стоимость лота],"",0)</f>
        <v>8775000</v>
      </c>
      <c r="G58" s="662" t="str" cm="1">
        <f t="array" ref="G58">_xlfn.XLOOKUP(Таблица2[[#This Row],[Дом]]&amp;Таблица2[[#This Row],[№ Офиса]],Коммерция[Дом]&amp;Коммерция[№],Коммерция[Статус],"",0)</f>
        <v>Свободно</v>
      </c>
      <c r="H58" s="664" t="str" cm="1">
        <f t="array" ref="H58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58" s="664">
        <v>45870</v>
      </c>
      <c r="J58" s="662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58" s="662"/>
      <c r="L58" s="662"/>
    </row>
    <row r="59" spans="1:12" s="310" customFormat="1" hidden="1" x14ac:dyDescent="0.25">
      <c r="A59" s="39" t="s">
        <v>91</v>
      </c>
      <c r="B59" s="39">
        <v>9</v>
      </c>
      <c r="C59" s="39" t="s">
        <v>5</v>
      </c>
      <c r="D59" s="39" cm="1">
        <f t="array" ref="D59">_xlfn.XLOOKUP(Таблица2[[#This Row],[Дом]]&amp;Таблица2[[#This Row],[№ Офиса]],Коммерция[Дом]&amp;Коммерция[№],Коммерция[Общая фактическая],"",0)</f>
        <v>86.5</v>
      </c>
      <c r="E59" s="69" cm="1">
        <f t="array" ref="E59">_xlfn.XLOOKUP(Таблица2[[#This Row],[Дом]]&amp;Таблица2[[#This Row],[№ Офиса]],Коммерция[Дом]&amp;Коммерция[№],Коммерция[Цена м2],"",0)</f>
        <v>119656.54335260116</v>
      </c>
      <c r="F59" s="69" cm="1">
        <f t="array" ref="F59">_xlfn.XLOOKUP(Таблица2[[#This Row],[Дом]]&amp;Таблица2[[#This Row],[№ Офиса]],Коммерция[Дом]&amp;Коммерция[№],Коммерция[стоимость лота],"",0)</f>
        <v>10350291</v>
      </c>
      <c r="G59" s="39" t="str" cm="1">
        <f t="array" ref="G59">_xlfn.XLOOKUP(Таблица2[[#This Row],[Дом]]&amp;Таблица2[[#This Row],[№ Офиса]],Коммерция[Дом]&amp;Коммерция[№],Коммерция[Статус],"",0)</f>
        <v>Продажа</v>
      </c>
      <c r="H59" s="312" cm="1">
        <f t="array" ref="H59">_xlfn.XLOOKUP(Таблица2[[#This Row],[Дом]]&amp;Таблица2[[#This Row],[№ Офиса]]&amp;"Коммерция",РД[Дом]&amp;РД[№ кв]&amp;РД[Состояние],РД[Дата подачи на регистрацию],"",0)</f>
        <v>45138</v>
      </c>
      <c r="I59" s="312"/>
      <c r="J59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59" s="39"/>
      <c r="L59" s="39"/>
    </row>
    <row r="60" spans="1:12" s="310" customFormat="1" hidden="1" x14ac:dyDescent="0.25">
      <c r="A60" s="39" t="s">
        <v>91</v>
      </c>
      <c r="B60" s="39">
        <v>10</v>
      </c>
      <c r="C60" s="39" t="s">
        <v>16</v>
      </c>
      <c r="D60" s="39" cm="1">
        <f t="array" ref="D60">_xlfn.XLOOKUP(Таблица2[[#This Row],[Дом]]&amp;Таблица2[[#This Row],[№ Офиса]],Коммерция[Дом]&amp;Коммерция[№],Коммерция[Общая фактическая],"",0)</f>
        <v>96.31</v>
      </c>
      <c r="E60" s="69" cm="1">
        <f t="array" ref="E60">_xlfn.XLOOKUP(Таблица2[[#This Row],[Дом]]&amp;Таблица2[[#This Row],[№ Офиса]],Коммерция[Дом]&amp;Коммерция[№],Коммерция[Цена м2],"",0)</f>
        <v>120750.0051915689</v>
      </c>
      <c r="F60" s="69" cm="1">
        <f t="array" ref="F60">_xlfn.XLOOKUP(Таблица2[[#This Row],[Дом]]&amp;Таблица2[[#This Row],[№ Офиса]],Коммерция[Дом]&amp;Коммерция[№],Коммерция[стоимость лота],"",0)</f>
        <v>11629433</v>
      </c>
      <c r="G60" s="39" t="str" cm="1">
        <f t="array" ref="G60">_xlfn.XLOOKUP(Таблица2[[#This Row],[Дом]]&amp;Таблица2[[#This Row],[№ Офиса]],Коммерция[Дом]&amp;Коммерция[№],Коммерция[Статус],"",0)</f>
        <v>Продажа</v>
      </c>
      <c r="H60" s="308" cm="1">
        <f t="array" ref="H60">_xlfn.XLOOKUP(Таблица2[[#This Row],[Дом]]&amp;Таблица2[[#This Row],[№ Офиса]]&amp;"Коммерция",РД[Дом]&amp;РД[№ кв]&amp;РД[Состояние],РД[Дата подачи на регистрацию],"",0)</f>
        <v>45211</v>
      </c>
      <c r="I60" s="312"/>
      <c r="J6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0" s="39"/>
      <c r="L60" s="39"/>
    </row>
    <row r="61" spans="1:12" s="310" customFormat="1" hidden="1" x14ac:dyDescent="0.25">
      <c r="A61" s="39" t="s">
        <v>91</v>
      </c>
      <c r="B61" s="39">
        <v>11</v>
      </c>
      <c r="C61" s="39" t="s">
        <v>16</v>
      </c>
      <c r="D61" s="39" cm="1">
        <f t="array" ref="D61">_xlfn.XLOOKUP(Таблица2[[#This Row],[Дом]]&amp;Таблица2[[#This Row],[№ Офиса]],Коммерция[Дом]&amp;Коммерция[№],Коммерция[Общая фактическая],"",0)</f>
        <v>52.8</v>
      </c>
      <c r="E61" s="69" cm="1">
        <f t="array" ref="E61">_xlfn.XLOOKUP(Таблица2[[#This Row],[Дом]]&amp;Таблица2[[#This Row],[№ Офиса]],Коммерция[Дом]&amp;Коммерция[№],Коммерция[Цена м2],"",0)</f>
        <v>131250</v>
      </c>
      <c r="F61" s="69" cm="1">
        <f t="array" ref="F61">_xlfn.XLOOKUP(Таблица2[[#This Row],[Дом]]&amp;Таблица2[[#This Row],[№ Офиса]],Коммерция[Дом]&amp;Коммерция[№],Коммерция[стоимость лота],"",0)</f>
        <v>6930000</v>
      </c>
      <c r="G61" s="39" t="str" cm="1">
        <f t="array" ref="G61">_xlfn.XLOOKUP(Таблица2[[#This Row],[Дом]]&amp;Таблица2[[#This Row],[№ Офиса]],Коммерция[Дом]&amp;Коммерция[№],Коммерция[Статус],"",0)</f>
        <v>Продажа</v>
      </c>
      <c r="H61" s="308" cm="1">
        <f t="array" ref="H61">_xlfn.XLOOKUP(Таблица2[[#This Row],[Дом]]&amp;Таблица2[[#This Row],[№ Офиса]]&amp;"Коммерция",РД[Дом]&amp;РД[№ кв]&amp;РД[Состояние],РД[Дата подачи на регистрацию],"",0)</f>
        <v>45191</v>
      </c>
      <c r="I61" s="312"/>
      <c r="J61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1" s="39"/>
      <c r="L61" s="39"/>
    </row>
    <row r="62" spans="1:12" s="310" customFormat="1" hidden="1" x14ac:dyDescent="0.25">
      <c r="A62" s="39" t="s">
        <v>91</v>
      </c>
      <c r="B62" s="39">
        <v>12</v>
      </c>
      <c r="C62" s="39" t="s">
        <v>16</v>
      </c>
      <c r="D62" s="39" cm="1">
        <f t="array" ref="D62">_xlfn.XLOOKUP(Таблица2[[#This Row],[Дом]]&amp;Таблица2[[#This Row],[№ Офиса]],Коммерция[Дом]&amp;Коммерция[№],Коммерция[Общая фактическая],"",0)</f>
        <v>320.87</v>
      </c>
      <c r="E62" s="69" cm="1">
        <f t="array" ref="E62">_xlfn.XLOOKUP(Таблица2[[#This Row],[Дом]]&amp;Таблица2[[#This Row],[№ Офиса]],Коммерция[Дом]&amp;Коммерция[№],Коммерция[Цена м2],"",0)</f>
        <v>120000</v>
      </c>
      <c r="F62" s="69" cm="1">
        <f t="array" ref="F62">_xlfn.XLOOKUP(Таблица2[[#This Row],[Дом]]&amp;Таблица2[[#This Row],[№ Офиса]],Коммерция[Дом]&amp;Коммерция[№],Коммерция[стоимость лота],"",0)</f>
        <v>38504400</v>
      </c>
      <c r="G62" s="39" t="str" cm="1">
        <f t="array" ref="G62">_xlfn.XLOOKUP(Таблица2[[#This Row],[Дом]]&amp;Таблица2[[#This Row],[№ Офиса]],Коммерция[Дом]&amp;Коммерция[№],Коммерция[Статус],"",0)</f>
        <v>Продажа</v>
      </c>
      <c r="H62" s="308" cm="1">
        <f t="array" ref="H62">_xlfn.XLOOKUP(Таблица2[[#This Row],[Дом]]&amp;Таблица2[[#This Row],[№ Офиса]]&amp;"Коммерция",РД[Дом]&amp;РД[№ кв]&amp;РД[Состояние],РД[Дата подачи на регистрацию],"",0)</f>
        <v>45504</v>
      </c>
      <c r="I62" s="312"/>
      <c r="J6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2" s="319" t="s">
        <v>4692</v>
      </c>
      <c r="L62" s="39"/>
    </row>
    <row r="63" spans="1:12" s="310" customFormat="1" hidden="1" x14ac:dyDescent="0.25">
      <c r="A63" s="39" t="s">
        <v>91</v>
      </c>
      <c r="B63" s="39">
        <v>13</v>
      </c>
      <c r="C63" s="39" t="s">
        <v>15</v>
      </c>
      <c r="D63" s="39" cm="1">
        <f t="array" ref="D63">_xlfn.XLOOKUP(Таблица2[[#This Row],[Дом]]&amp;Таблица2[[#This Row],[№ Офиса]],Коммерция[Дом]&amp;Коммерция[№],Коммерция[Общая фактическая],"",0)</f>
        <v>77.55</v>
      </c>
      <c r="E63" s="69" cm="1">
        <f t="array" ref="E63">_xlfn.XLOOKUP(Таблица2[[#This Row],[Дом]]&amp;Таблица2[[#This Row],[№ Офиса]],Коммерция[Дом]&amp;Коммерция[№],Коммерция[Цена м2],"",0)</f>
        <v>112700</v>
      </c>
      <c r="F63" s="69" cm="1">
        <f t="array" ref="F63">_xlfn.XLOOKUP(Таблица2[[#This Row],[Дом]]&amp;Таблица2[[#This Row],[№ Офиса]],Коммерция[Дом]&amp;Коммерция[№],Коммерция[стоимость лота],"",0)</f>
        <v>8739885</v>
      </c>
      <c r="G63" s="39" t="str" cm="1">
        <f t="array" ref="G63">_xlfn.XLOOKUP(Таблица2[[#This Row],[Дом]]&amp;Таблица2[[#This Row],[№ Офиса]],Коммерция[Дом]&amp;Коммерция[№],Коммерция[Статус],"",0)</f>
        <v>Продажа</v>
      </c>
      <c r="H63" s="308" cm="1">
        <f t="array" ref="H63">_xlfn.XLOOKUP(Таблица2[[#This Row],[Дом]]&amp;Таблица2[[#This Row],[№ Офиса]]&amp;"Коммерция",РД[Дом]&amp;РД[№ кв]&amp;РД[Состояние],РД[Дата подачи на регистрацию],"",0)</f>
        <v>45107</v>
      </c>
      <c r="I63" s="312"/>
      <c r="J63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3" s="39"/>
      <c r="L63" s="39"/>
    </row>
    <row r="64" spans="1:12" s="310" customFormat="1" hidden="1" x14ac:dyDescent="0.25">
      <c r="A64" s="39" t="s">
        <v>91</v>
      </c>
      <c r="B64" s="39">
        <v>14</v>
      </c>
      <c r="C64" s="39" t="s">
        <v>15</v>
      </c>
      <c r="D64" s="39" cm="1">
        <f t="array" ref="D64">_xlfn.XLOOKUP(Таблица2[[#This Row],[Дом]]&amp;Таблица2[[#This Row],[№ Офиса]],Коммерция[Дом]&amp;Коммерция[№],Коммерция[Общая фактическая],"",0)</f>
        <v>91.41</v>
      </c>
      <c r="E64" s="69" cm="1">
        <f t="array" ref="E64">_xlfn.XLOOKUP(Таблица2[[#This Row],[Дом]]&amp;Таблица2[[#This Row],[№ Офиса]],Коммерция[Дом]&amp;Коммерция[№],Коммерция[Цена м2],"",0)</f>
        <v>112700</v>
      </c>
      <c r="F64" s="69" cm="1">
        <f t="array" ref="F64">_xlfn.XLOOKUP(Таблица2[[#This Row],[Дом]]&amp;Таблица2[[#This Row],[№ Офиса]],Коммерция[Дом]&amp;Коммерция[№],Коммерция[стоимость лота],"",0)</f>
        <v>10301907</v>
      </c>
      <c r="G64" s="39" t="str" cm="1">
        <f t="array" ref="G64">_xlfn.XLOOKUP(Таблица2[[#This Row],[Дом]]&amp;Таблица2[[#This Row],[№ Офиса]],Коммерция[Дом]&amp;Коммерция[№],Коммерция[Статус],"",0)</f>
        <v>Продажа</v>
      </c>
      <c r="H64" s="308" cm="1">
        <f t="array" ref="H64">_xlfn.XLOOKUP(Таблица2[[#This Row],[Дом]]&amp;Таблица2[[#This Row],[№ Офиса]]&amp;"Коммерция",РД[Дом]&amp;РД[№ кв]&amp;РД[Состояние],РД[Дата подачи на регистрацию],"",0)</f>
        <v>45107</v>
      </c>
      <c r="I64" s="312"/>
      <c r="J64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4" s="39"/>
      <c r="L64" s="39"/>
    </row>
    <row r="65" spans="1:12" s="310" customFormat="1" hidden="1" x14ac:dyDescent="0.25">
      <c r="A65" s="39" t="s">
        <v>91</v>
      </c>
      <c r="B65" s="39">
        <v>15</v>
      </c>
      <c r="C65" s="39" t="s">
        <v>15</v>
      </c>
      <c r="D65" s="39" cm="1">
        <f t="array" ref="D65">_xlfn.XLOOKUP(Таблица2[[#This Row],[Дом]]&amp;Таблица2[[#This Row],[№ Офиса]],Коммерция[Дом]&amp;Коммерция[№],Коммерция[Общая фактическая],"",0)</f>
        <v>91.9</v>
      </c>
      <c r="E65" s="69" cm="1">
        <f t="array" ref="E65">_xlfn.XLOOKUP(Таблица2[[#This Row],[Дом]]&amp;Таблица2[[#This Row],[№ Офиса]],Коммерция[Дом]&amp;Коммерция[№],Коммерция[Цена м2],"",0)</f>
        <v>115000</v>
      </c>
      <c r="F65" s="69" cm="1">
        <f t="array" ref="F65">_xlfn.XLOOKUP(Таблица2[[#This Row],[Дом]]&amp;Таблица2[[#This Row],[№ Офиса]],Коммерция[Дом]&amp;Коммерция[№],Коммерция[стоимость лота],"",0)</f>
        <v>10568500</v>
      </c>
      <c r="G65" s="39" t="str" cm="1">
        <f t="array" ref="G65">_xlfn.XLOOKUP(Таблица2[[#This Row],[Дом]]&amp;Таблица2[[#This Row],[№ Офиса]],Коммерция[Дом]&amp;Коммерция[№],Коммерция[Статус],"",0)</f>
        <v>Продажа</v>
      </c>
      <c r="H65" s="308" cm="1">
        <f t="array" ref="H65">_xlfn.XLOOKUP(Таблица2[[#This Row],[Дом]]&amp;Таблица2[[#This Row],[№ Офиса]]&amp;"Коммерция",РД[Дом]&amp;РД[№ кв]&amp;РД[Состояние],РД[Дата подачи на регистрацию],"",0)</f>
        <v>45107</v>
      </c>
      <c r="I65" s="312"/>
      <c r="J65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5" s="39"/>
      <c r="L65" s="39"/>
    </row>
    <row r="66" spans="1:12" s="310" customFormat="1" hidden="1" x14ac:dyDescent="0.25">
      <c r="A66" s="39" t="s">
        <v>91</v>
      </c>
      <c r="B66" s="39">
        <v>16</v>
      </c>
      <c r="C66" s="39" t="s">
        <v>15</v>
      </c>
      <c r="D66" s="39" cm="1">
        <f t="array" ref="D66">_xlfn.XLOOKUP(Таблица2[[#This Row],[Дом]]&amp;Таблица2[[#This Row],[№ Офиса]],Коммерция[Дом]&amp;Коммерция[№],Коммерция[Общая фактическая],"",0)</f>
        <v>75.98</v>
      </c>
      <c r="E66" s="69" cm="1">
        <f t="array" ref="E66">_xlfn.XLOOKUP(Таблица2[[#This Row],[Дом]]&amp;Таблица2[[#This Row],[№ Офиса]],Коммерция[Дом]&amp;Коммерция[№],Коммерция[Цена м2],"",0)</f>
        <v>115000</v>
      </c>
      <c r="F66" s="69" cm="1">
        <f t="array" ref="F66">_xlfn.XLOOKUP(Таблица2[[#This Row],[Дом]]&amp;Таблица2[[#This Row],[№ Офиса]],Коммерция[Дом]&amp;Коммерция[№],Коммерция[стоимость лота],"",0)</f>
        <v>8737700</v>
      </c>
      <c r="G66" s="39" t="str" cm="1">
        <f t="array" ref="G66">_xlfn.XLOOKUP(Таблица2[[#This Row],[Дом]]&amp;Таблица2[[#This Row],[№ Офиса]],Коммерция[Дом]&amp;Коммерция[№],Коммерция[Статус],"",0)</f>
        <v>Продажа</v>
      </c>
      <c r="H66" s="308" cm="1">
        <f t="array" ref="H66">_xlfn.XLOOKUP(Таблица2[[#This Row],[Дом]]&amp;Таблица2[[#This Row],[№ Офиса]]&amp;"Коммерция",РД[Дом]&amp;РД[№ кв]&amp;РД[Состояние],РД[Дата подачи на регистрацию],"",0)</f>
        <v>45107</v>
      </c>
      <c r="I66" s="312"/>
      <c r="J66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6" s="39"/>
      <c r="L66" s="39"/>
    </row>
    <row r="67" spans="1:12" s="310" customFormat="1" hidden="1" x14ac:dyDescent="0.25">
      <c r="A67" s="39" t="s">
        <v>91</v>
      </c>
      <c r="B67" s="39">
        <v>17</v>
      </c>
      <c r="C67" s="39" t="s">
        <v>15</v>
      </c>
      <c r="D67" s="39" cm="1">
        <f t="array" ref="D67">_xlfn.XLOOKUP(Таблица2[[#This Row],[Дом]]&amp;Таблица2[[#This Row],[№ Офиса]],Коммерция[Дом]&amp;Коммерция[№],Коммерция[Общая фактическая],"",0)</f>
        <v>49.57</v>
      </c>
      <c r="E67" s="69" cm="1">
        <f t="array" ref="E67">_xlfn.XLOOKUP(Таблица2[[#This Row],[Дом]]&amp;Таблица2[[#This Row],[№ Офиса]],Коммерция[Дом]&amp;Коммерция[№],Коммерция[Цена м2],"",0)</f>
        <v>150000</v>
      </c>
      <c r="F67" s="69" cm="1">
        <f t="array" ref="F67">_xlfn.XLOOKUP(Таблица2[[#This Row],[Дом]]&amp;Таблица2[[#This Row],[№ Офиса]],Коммерция[Дом]&amp;Коммерция[№],Коммерция[стоимость лота],"",0)</f>
        <v>7435500</v>
      </c>
      <c r="G67" s="39" t="str" cm="1">
        <f t="array" ref="G67">_xlfn.XLOOKUP(Таблица2[[#This Row],[Дом]]&amp;Таблица2[[#This Row],[№ Офиса]],Коммерция[Дом]&amp;Коммерция[№],Коммерция[Статус],"",0)</f>
        <v>Продажа</v>
      </c>
      <c r="H67" s="308" cm="1">
        <f t="array" ref="H67">_xlfn.XLOOKUP(Таблица2[[#This Row],[Дом]]&amp;Таблица2[[#This Row],[№ Офиса]]&amp;"Коммерция",РД[Дом]&amp;РД[№ кв]&amp;РД[Состояние],РД[Дата подачи на регистрацию],"",0)</f>
        <v>45153</v>
      </c>
      <c r="I67" s="312"/>
      <c r="J67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7" s="39"/>
      <c r="L67" s="39"/>
    </row>
    <row r="68" spans="1:12" s="310" customFormat="1" hidden="1" x14ac:dyDescent="0.25">
      <c r="A68" s="39" t="s">
        <v>91</v>
      </c>
      <c r="B68" s="39">
        <v>18</v>
      </c>
      <c r="C68" s="39" t="s">
        <v>15</v>
      </c>
      <c r="D68" s="39" cm="1">
        <f t="array" ref="D68">_xlfn.XLOOKUP(Таблица2[[#This Row],[Дом]]&amp;Таблица2[[#This Row],[№ Офиса]],Коммерция[Дом]&amp;Коммерция[№],Коммерция[Общая фактическая],"",0)</f>
        <v>96.35</v>
      </c>
      <c r="E68" s="69" cm="1">
        <f t="array" ref="E68">_xlfn.XLOOKUP(Таблица2[[#This Row],[Дом]]&amp;Таблица2[[#This Row],[№ Офиса]],Коммерция[Дом]&amp;Коммерция[№],Коммерция[Цена м2],"",0)</f>
        <v>115000</v>
      </c>
      <c r="F68" s="69" cm="1">
        <f t="array" ref="F68">_xlfn.XLOOKUP(Таблица2[[#This Row],[Дом]]&amp;Таблица2[[#This Row],[№ Офиса]],Коммерция[Дом]&amp;Коммерция[№],Коммерция[стоимость лота],"",0)</f>
        <v>11080250</v>
      </c>
      <c r="G68" s="39" t="str" cm="1">
        <f t="array" ref="G68">_xlfn.XLOOKUP(Таблица2[[#This Row],[Дом]]&amp;Таблица2[[#This Row],[№ Офиса]],Коммерция[Дом]&amp;Коммерция[№],Коммерция[Статус],"",0)</f>
        <v>Продажа</v>
      </c>
      <c r="H68" s="308" cm="1">
        <f t="array" ref="H68">_xlfn.XLOOKUP(Таблица2[[#This Row],[Дом]]&amp;Таблица2[[#This Row],[№ Офиса]]&amp;"Коммерция",РД[Дом]&amp;РД[№ кв]&amp;РД[Состояние],РД[Дата подачи на регистрацию],"",0)</f>
        <v>45106</v>
      </c>
      <c r="I68" s="312"/>
      <c r="J68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8" s="39"/>
      <c r="L68" s="39"/>
    </row>
    <row r="69" spans="1:12" hidden="1" x14ac:dyDescent="0.25">
      <c r="A69" s="39" t="s">
        <v>3388</v>
      </c>
      <c r="B69" s="39">
        <v>1</v>
      </c>
      <c r="C69" s="39" t="s">
        <v>6</v>
      </c>
      <c r="D69" s="636" cm="1">
        <f t="array" ref="D69">_xlfn.XLOOKUP(Таблица2[[#This Row],[Дом]]&amp;Таблица2[[#This Row],[№ Офиса]],Коммерция[Дом]&amp;Коммерция[№],Коммерция[Общая фактическая],"",0)</f>
        <v>5.23</v>
      </c>
      <c r="E69" s="69" cm="1">
        <f t="array" ref="E69">_xlfn.XLOOKUP(Таблица2[[#This Row],[Дом]]&amp;Таблица2[[#This Row],[№ Офиса]],Коммерция[Дом]&amp;Коммерция[№],Коммерция[Цена м2],"",0)</f>
        <v>109999.99999999999</v>
      </c>
      <c r="F69" s="69" cm="1">
        <f t="array" ref="F69">_xlfn.XLOOKUP(Таблица2[[#This Row],[Дом]]&amp;Таблица2[[#This Row],[№ Офиса]],Коммерция[Дом]&amp;Коммерция[№],Коммерция[стоимость лота],"",0)</f>
        <v>575300</v>
      </c>
      <c r="G69" s="39" t="str" cm="1">
        <f t="array" ref="G69">_xlfn.XLOOKUP(Таблица2[[#This Row],[Дом]]&amp;Таблица2[[#This Row],[№ Офиса]],Коммерция[Дом]&amp;Коммерция[№],Коммерция[Статус],"",0)</f>
        <v>Продажа</v>
      </c>
      <c r="H69" s="308" cm="1">
        <f t="array" ref="H69">_xlfn.XLOOKUP(Таблица2[[#This Row],[Дом]]&amp;Таблица2[[#This Row],[№ Офиса]]&amp;"Коммерция",РД[Дом]&amp;РД[№ кв]&amp;РД[Состояние],РД[Дата подачи на регистрацию],"",0)</f>
        <v>45777</v>
      </c>
      <c r="I69" s="312"/>
      <c r="J69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69" s="39"/>
      <c r="L69" s="39"/>
    </row>
    <row r="70" spans="1:12" hidden="1" x14ac:dyDescent="0.25">
      <c r="A70" s="39" t="s">
        <v>3388</v>
      </c>
      <c r="B70" s="39">
        <v>2</v>
      </c>
      <c r="C70" s="39" t="s">
        <v>6</v>
      </c>
      <c r="D70" s="636" cm="1">
        <f t="array" ref="D70">_xlfn.XLOOKUP(Таблица2[[#This Row],[Дом]]&amp;Таблица2[[#This Row],[№ Офиса]],Коммерция[Дом]&amp;Коммерция[№],Коммерция[Общая фактическая],"",0)</f>
        <v>5.07</v>
      </c>
      <c r="E70" s="69" cm="1">
        <f t="array" ref="E70">_xlfn.XLOOKUP(Таблица2[[#This Row],[Дом]]&amp;Таблица2[[#This Row],[№ Офиса]],Коммерция[Дом]&amp;Коммерция[№],Коммерция[Цена м2],"",0)</f>
        <v>110000</v>
      </c>
      <c r="F70" s="69" cm="1">
        <f t="array" ref="F70">_xlfn.XLOOKUP(Таблица2[[#This Row],[Дом]]&amp;Таблица2[[#This Row],[№ Офиса]],Коммерция[Дом]&amp;Коммерция[№],Коммерция[стоимость лота],"",0)</f>
        <v>557700</v>
      </c>
      <c r="G70" s="39" t="str" cm="1">
        <f t="array" ref="G70">_xlfn.XLOOKUP(Таблица2[[#This Row],[Дом]]&amp;Таблица2[[#This Row],[№ Офиса]],Коммерция[Дом]&amp;Коммерция[№],Коммерция[Статус],"",0)</f>
        <v>Продажа</v>
      </c>
      <c r="H70" s="308" cm="1">
        <f t="array" ref="H70">_xlfn.XLOOKUP(Таблица2[[#This Row],[Дом]]&amp;Таблица2[[#This Row],[№ Офиса]]&amp;"Коммерция",РД[Дом]&amp;РД[№ кв]&amp;РД[Состояние],РД[Дата подачи на регистрацию],"",0)</f>
        <v>45758</v>
      </c>
      <c r="I70" s="312"/>
      <c r="J7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0" s="39"/>
      <c r="L70" s="39"/>
    </row>
    <row r="71" spans="1:12" hidden="1" x14ac:dyDescent="0.25">
      <c r="A71" s="39" t="s">
        <v>3388</v>
      </c>
      <c r="B71" s="39">
        <v>3</v>
      </c>
      <c r="C71" s="39" t="s">
        <v>5</v>
      </c>
      <c r="D71" s="636" cm="1">
        <f t="array" ref="D71">_xlfn.XLOOKUP(Таблица2[[#This Row],[Дом]]&amp;Таблица2[[#This Row],[№ Офиса]],Коммерция[Дом]&amp;Коммерция[№],Коммерция[Общая фактическая],"",0)</f>
        <v>4.7</v>
      </c>
      <c r="E71" s="69" cm="1">
        <f t="array" ref="E71">_xlfn.XLOOKUP(Таблица2[[#This Row],[Дом]]&amp;Таблица2[[#This Row],[№ Офиса]],Коммерция[Дом]&amp;Коммерция[№],Коммерция[Цена м2],"",0)</f>
        <v>110000</v>
      </c>
      <c r="F71" s="69" cm="1">
        <f t="array" ref="F71">_xlfn.XLOOKUP(Таблица2[[#This Row],[Дом]]&amp;Таблица2[[#This Row],[№ Офиса]],Коммерция[Дом]&amp;Коммерция[№],Коммерция[стоимость лота],"",0)</f>
        <v>517000</v>
      </c>
      <c r="G71" s="39" t="str" cm="1">
        <f t="array" ref="G71">_xlfn.XLOOKUP(Таблица2[[#This Row],[Дом]]&amp;Таблица2[[#This Row],[№ Офиса]],Коммерция[Дом]&amp;Коммерция[№],Коммерция[Статус],"",0)</f>
        <v>Продажа</v>
      </c>
      <c r="H71" s="308" cm="1">
        <f t="array" ref="H71">_xlfn.XLOOKUP(Таблица2[[#This Row],[Дом]]&amp;Таблица2[[#This Row],[№ Офиса]]&amp;"Коммерция",РД[Дом]&amp;РД[№ кв]&amp;РД[Состояние],РД[Дата подачи на регистрацию],"",0)</f>
        <v>45768</v>
      </c>
      <c r="I71" s="312"/>
      <c r="J71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1" s="39"/>
      <c r="L71" s="39"/>
    </row>
    <row r="72" spans="1:12" hidden="1" x14ac:dyDescent="0.25">
      <c r="A72" s="39" t="s">
        <v>3388</v>
      </c>
      <c r="B72" s="39">
        <v>4</v>
      </c>
      <c r="C72" s="39" t="s">
        <v>5</v>
      </c>
      <c r="D72" s="636" cm="1">
        <f t="array" ref="D72">_xlfn.XLOOKUP(Таблица2[[#This Row],[Дом]]&amp;Таблица2[[#This Row],[№ Офиса]],Коммерция[Дом]&amp;Коммерция[№],Коммерция[Общая фактическая],"",0)</f>
        <v>6.97</v>
      </c>
      <c r="E72" s="69" cm="1">
        <f t="array" ref="E72">_xlfn.XLOOKUP(Таблица2[[#This Row],[Дом]]&amp;Таблица2[[#This Row],[№ Офиса]],Коммерция[Дом]&amp;Коммерция[№],Коммерция[Цена м2],"",0)</f>
        <v>100000</v>
      </c>
      <c r="F72" s="69" cm="1">
        <f t="array" ref="F72">_xlfn.XLOOKUP(Таблица2[[#This Row],[Дом]]&amp;Таблица2[[#This Row],[№ Офиса]],Коммерция[Дом]&amp;Коммерция[№],Коммерция[стоимость лота],"",0)</f>
        <v>697000</v>
      </c>
      <c r="G72" s="39" t="str" cm="1">
        <f t="array" ref="G72">_xlfn.XLOOKUP(Таблица2[[#This Row],[Дом]]&amp;Таблица2[[#This Row],[№ Офиса]],Коммерция[Дом]&amp;Коммерция[№],Коммерция[Статус],"",0)</f>
        <v>Продажа</v>
      </c>
      <c r="H72" s="308" cm="1">
        <f t="array" ref="H72">_xlfn.XLOOKUP(Таблица2[[#This Row],[Дом]]&amp;Таблица2[[#This Row],[№ Офиса]]&amp;"Коммерция",РД[Дом]&amp;РД[№ кв]&amp;РД[Состояние],РД[Дата подачи на регистрацию],"",0)</f>
        <v>45769</v>
      </c>
      <c r="I72" s="312"/>
      <c r="J72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2" s="39"/>
      <c r="L72" s="39"/>
    </row>
    <row r="73" spans="1:12" hidden="1" x14ac:dyDescent="0.25">
      <c r="A73" s="39" t="s">
        <v>3388</v>
      </c>
      <c r="B73" s="39">
        <v>5</v>
      </c>
      <c r="C73" s="39" t="s">
        <v>16</v>
      </c>
      <c r="D73" s="636" cm="1">
        <f t="array" ref="D73">_xlfn.XLOOKUP(Таблица2[[#This Row],[Дом]]&amp;Таблица2[[#This Row],[№ Офиса]],Коммерция[Дом]&amp;Коммерция[№],Коммерция[Общая фактическая],"",0)</f>
        <v>3.87</v>
      </c>
      <c r="E73" s="69" cm="1">
        <f t="array" ref="E73">_xlfn.XLOOKUP(Таблица2[[#This Row],[Дом]]&amp;Таблица2[[#This Row],[№ Офиса]],Коммерция[Дом]&amp;Коммерция[№],Коммерция[Цена м2],"",0)</f>
        <v>110000</v>
      </c>
      <c r="F73" s="69" cm="1">
        <f t="array" ref="F73">_xlfn.XLOOKUP(Таблица2[[#This Row],[Дом]]&amp;Таблица2[[#This Row],[№ Офиса]],Коммерция[Дом]&amp;Коммерция[№],Коммерция[стоимость лота],"",0)</f>
        <v>425700</v>
      </c>
      <c r="G73" s="39" t="str" cm="1">
        <f t="array" ref="G73">_xlfn.XLOOKUP(Таблица2[[#This Row],[Дом]]&amp;Таблица2[[#This Row],[№ Офиса]],Коммерция[Дом]&amp;Коммерция[№],Коммерция[Статус],"",0)</f>
        <v>Продажа</v>
      </c>
      <c r="H73" s="308" cm="1">
        <f t="array" ref="H73">_xlfn.XLOOKUP(Таблица2[[#This Row],[Дом]]&amp;Таблица2[[#This Row],[№ Офиса]]&amp;"Коммерция",РД[Дом]&amp;РД[№ кв]&amp;РД[Состояние],РД[Дата подачи на регистрацию],"",0)</f>
        <v>45757</v>
      </c>
      <c r="I73" s="312"/>
      <c r="J73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3" s="39"/>
      <c r="L73" s="39"/>
    </row>
    <row r="74" spans="1:12" hidden="1" x14ac:dyDescent="0.25">
      <c r="A74" s="539" t="s">
        <v>3388</v>
      </c>
      <c r="B74" s="539">
        <v>6</v>
      </c>
      <c r="C74" s="539" t="s">
        <v>16</v>
      </c>
      <c r="D74" s="637" cm="1">
        <f t="array" ref="D74">_xlfn.XLOOKUP(Таблица2[[#This Row],[Дом]]&amp;Таблица2[[#This Row],[№ Офиса]],Коммерция[Дом]&amp;Коммерция[№],Коммерция[Общая фактическая],"",0)</f>
        <v>6.94</v>
      </c>
      <c r="E74" s="638" cm="1">
        <f t="array" ref="E74">_xlfn.XLOOKUP(Таблица2[[#This Row],[Дом]]&amp;Таблица2[[#This Row],[№ Офиса]],Коммерция[Дом]&amp;Коммерция[№],Коммерция[Цена м2],"",0)</f>
        <v>100000</v>
      </c>
      <c r="F74" s="638" cm="1">
        <f t="array" ref="F74">_xlfn.XLOOKUP(Таблица2[[#This Row],[Дом]]&amp;Таблица2[[#This Row],[№ Офиса]],Коммерция[Дом]&amp;Коммерция[№],Коммерция[стоимость лота],"",0)</f>
        <v>694000</v>
      </c>
      <c r="G74" s="539" t="str" cm="1">
        <f t="array" ref="G74">_xlfn.XLOOKUP(Таблица2[[#This Row],[Дом]]&amp;Таблица2[[#This Row],[№ Офиса]],Коммерция[Дом]&amp;Коммерция[№],Коммерция[Статус],"",0)</f>
        <v>Продажа</v>
      </c>
      <c r="H74" s="639" cm="1">
        <f t="array" ref="H74">_xlfn.XLOOKUP(Таблица2[[#This Row],[Дом]]&amp;Таблица2[[#This Row],[№ Офиса]]&amp;"Коммерция",РД[Дом]&amp;РД[№ кв]&amp;РД[Состояние],РД[Дата подачи на регистрацию],"",0)</f>
        <v>45776</v>
      </c>
      <c r="I74" s="312"/>
      <c r="J74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4" s="539"/>
      <c r="L74" s="539"/>
    </row>
    <row r="75" spans="1:12" hidden="1" x14ac:dyDescent="0.25">
      <c r="A75" s="640" t="s">
        <v>7562</v>
      </c>
      <c r="B75" s="39">
        <v>1</v>
      </c>
      <c r="C75" s="39">
        <v>1</v>
      </c>
      <c r="D75" s="636" cm="1">
        <f t="array" ref="D75">_xlfn.XLOOKUP(Таблица2[[#This Row],[Дом]]&amp;Таблица2[[#This Row],[№ Офиса]],Коммерция[Дом]&amp;Коммерция[№],Коммерция[Общая фактическая],"",0)</f>
        <v>71.41</v>
      </c>
      <c r="E75" s="69" cm="1">
        <f t="array" ref="E75">_xlfn.XLOOKUP(Таблица2[[#This Row],[Дом]]&amp;Таблица2[[#This Row],[№ Офиса]],Коммерция[Дом]&amp;Коммерция[№],Коммерция[Цена м2],"",0)</f>
        <v>140000</v>
      </c>
      <c r="F75" s="69" cm="1">
        <f t="array" ref="F75">_xlfn.XLOOKUP(Таблица2[[#This Row],[Дом]]&amp;Таблица2[[#This Row],[№ Офиса]],Коммерция[Дом]&amp;Коммерция[№],Коммерция[стоимость лота],"",0)</f>
        <v>9997400</v>
      </c>
      <c r="G75" s="39" t="str" cm="1">
        <f t="array" ref="G75">_xlfn.XLOOKUP(Таблица2[[#This Row],[Дом]]&amp;Таблица2[[#This Row],[№ Офиса]],Коммерция[Дом]&amp;Коммерция[№],Коммерция[Статус],"",0)</f>
        <v>Продажа</v>
      </c>
      <c r="H75" s="308" cm="1">
        <f t="array" ref="H75">_xlfn.XLOOKUP(Таблица2[[#This Row],[Дом]]&amp;Таблица2[[#This Row],[№ Офиса]]&amp;"Коммерция",РД[Дом]&amp;РД[№ кв]&amp;РД[Состояние],РД[Дата подачи на регистрацию],"",0)</f>
        <v>45800</v>
      </c>
      <c r="I75" s="312"/>
      <c r="J75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5" s="39"/>
      <c r="L75" s="39"/>
    </row>
    <row r="76" spans="1:12" hidden="1" x14ac:dyDescent="0.25">
      <c r="A76" s="640" t="s">
        <v>7562</v>
      </c>
      <c r="B76" s="39">
        <v>2</v>
      </c>
      <c r="C76" s="39">
        <v>1</v>
      </c>
      <c r="D76" s="636" cm="1">
        <f t="array" ref="D76">_xlfn.XLOOKUP(Таблица2[[#This Row],[Дом]]&amp;Таблица2[[#This Row],[№ Офиса]],Коммерция[Дом]&amp;Коммерция[№],Коммерция[Общая фактическая],"",0)</f>
        <v>56.78</v>
      </c>
      <c r="E76" s="69" cm="1">
        <f t="array" ref="E76">_xlfn.XLOOKUP(Таблица2[[#This Row],[Дом]]&amp;Таблица2[[#This Row],[№ Офиса]],Коммерция[Дом]&amp;Коммерция[№],Коммерция[Цена м2],"",0)</f>
        <v>140000</v>
      </c>
      <c r="F76" s="69" cm="1">
        <f t="array" ref="F76">_xlfn.XLOOKUP(Таблица2[[#This Row],[Дом]]&amp;Таблица2[[#This Row],[№ Офиса]],Коммерция[Дом]&amp;Коммерция[№],Коммерция[стоимость лота],"",0)</f>
        <v>7949200</v>
      </c>
      <c r="G76" s="39" t="str" cm="1">
        <f t="array" ref="G76">_xlfn.XLOOKUP(Таблица2[[#This Row],[Дом]]&amp;Таблица2[[#This Row],[№ Офиса]],Коммерция[Дом]&amp;Коммерция[№],Коммерция[Статус],"",0)</f>
        <v>Продажа</v>
      </c>
      <c r="H76" s="308" cm="1">
        <f t="array" ref="H76">_xlfn.XLOOKUP(Таблица2[[#This Row],[Дом]]&amp;Таблица2[[#This Row],[№ Офиса]]&amp;"Коммерция",РД[Дом]&amp;РД[№ кв]&amp;РД[Состояние],РД[Дата подачи на регистрацию],"",0)</f>
        <v>45800</v>
      </c>
      <c r="I76" s="312"/>
      <c r="J76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6" s="39"/>
      <c r="L76" s="39"/>
    </row>
    <row r="77" spans="1:12" s="669" customFormat="1" x14ac:dyDescent="0.25">
      <c r="A77" s="666" t="s">
        <v>7562</v>
      </c>
      <c r="B77" s="43">
        <v>3</v>
      </c>
      <c r="C77" s="43">
        <v>1</v>
      </c>
      <c r="D77" s="667" cm="1">
        <f t="array" ref="D77">_xlfn.XLOOKUP(Таблица2[[#This Row],[Дом]]&amp;Таблица2[[#This Row],[№ Офиса]],Коммерция[Дом]&amp;Коммерция[№],Коммерция[Общая фактическая],"",0)</f>
        <v>40.89</v>
      </c>
      <c r="E77" s="341" cm="1">
        <f t="array" ref="E77">_xlfn.XLOOKUP(Таблица2[[#This Row],[Дом]]&amp;Таблица2[[#This Row],[№ Офиса]],Коммерция[Дом]&amp;Коммерция[№],Коммерция[Цена м2],"",0)</f>
        <v>140000</v>
      </c>
      <c r="F77" s="341" cm="1">
        <f t="array" ref="F77">_xlfn.XLOOKUP(Таблица2[[#This Row],[Дом]]&amp;Таблица2[[#This Row],[№ Офиса]],Коммерция[Дом]&amp;Коммерция[№],Коммерция[стоимость лота],"",0)</f>
        <v>5724600</v>
      </c>
      <c r="G77" s="43" t="str" cm="1">
        <f t="array" ref="G77">_xlfn.XLOOKUP(Таблица2[[#This Row],[Дом]]&amp;Таблица2[[#This Row],[№ Офиса]],Коммерция[Дом]&amp;Коммерция[№],Коммерция[Статус],"",0)</f>
        <v>Продажа</v>
      </c>
      <c r="H77" s="668" cm="1">
        <f t="array" ref="H77">_xlfn.XLOOKUP(Таблица2[[#This Row],[Дом]]&amp;Таблица2[[#This Row],[№ Офиса]]&amp;"Коммерция",РД[Дом]&amp;РД[№ кв]&amp;РД[Состояние],РД[Дата подачи на регистрацию],"",0)</f>
        <v>45847</v>
      </c>
      <c r="I77" s="668">
        <v>45992</v>
      </c>
      <c r="J77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Убрать из плана</v>
      </c>
      <c r="K77" s="43"/>
      <c r="L77" s="43"/>
    </row>
    <row r="78" spans="1:12" s="669" customFormat="1" hidden="1" x14ac:dyDescent="0.25">
      <c r="A78" s="666" t="s">
        <v>7562</v>
      </c>
      <c r="B78" s="43">
        <v>4</v>
      </c>
      <c r="C78" s="43">
        <v>1</v>
      </c>
      <c r="D78" s="667" cm="1">
        <f t="array" ref="D78">_xlfn.XLOOKUP(Таблица2[[#This Row],[Дом]]&amp;Таблица2[[#This Row],[№ Офиса]],Коммерция[Дом]&amp;Коммерция[№],Коммерция[Общая фактическая],"",0)</f>
        <v>53.52</v>
      </c>
      <c r="E78" s="341" cm="1">
        <f t="array" ref="E78">_xlfn.XLOOKUP(Таблица2[[#This Row],[Дом]]&amp;Таблица2[[#This Row],[№ Офиса]],Коммерция[Дом]&amp;Коммерция[№],Коммерция[Цена м2],"",0)</f>
        <v>140000</v>
      </c>
      <c r="F78" s="341" cm="1">
        <f t="array" ref="F78">_xlfn.XLOOKUP(Таблица2[[#This Row],[Дом]]&amp;Таблица2[[#This Row],[№ Офиса]],Коммерция[Дом]&amp;Коммерция[№],Коммерция[стоимость лота],"",0)</f>
        <v>7492800</v>
      </c>
      <c r="G78" s="43" t="str" cm="1">
        <f t="array" ref="G78">_xlfn.XLOOKUP(Таблица2[[#This Row],[Дом]]&amp;Таблица2[[#This Row],[№ Офиса]],Коммерция[Дом]&amp;Коммерция[№],Коммерция[Статус],"",0)</f>
        <v>Продажа</v>
      </c>
      <c r="H78" s="668" cm="1">
        <f t="array" ref="H78">_xlfn.XLOOKUP(Таблица2[[#This Row],[Дом]]&amp;Таблица2[[#This Row],[№ Офиса]]&amp;"Коммерция",РД[Дом]&amp;РД[№ кв]&amp;РД[Состояние],РД[Дата подачи на регистрацию],"",0)</f>
        <v>45817</v>
      </c>
      <c r="I78" s="668">
        <v>45839</v>
      </c>
      <c r="J78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Убрать из плана</v>
      </c>
      <c r="K78" s="43"/>
      <c r="L78" s="43"/>
    </row>
    <row r="79" spans="1:12" hidden="1" x14ac:dyDescent="0.25">
      <c r="A79" s="640" t="s">
        <v>7562</v>
      </c>
      <c r="B79" s="39">
        <v>5</v>
      </c>
      <c r="C79" s="39">
        <v>2</v>
      </c>
      <c r="D79" s="636" cm="1">
        <f t="array" ref="D79">_xlfn.XLOOKUP(Таблица2[[#This Row],[Дом]]&amp;Таблица2[[#This Row],[№ Офиса]],Коммерция[Дом]&amp;Коммерция[№],Коммерция[Общая фактическая],"",0)</f>
        <v>58.59</v>
      </c>
      <c r="E79" s="69" cm="1">
        <f t="array" ref="E79">_xlfn.XLOOKUP(Таблица2[[#This Row],[Дом]]&amp;Таблица2[[#This Row],[№ Офиса]],Коммерция[Дом]&amp;Коммерция[№],Коммерция[Цена м2],"",0)</f>
        <v>137439.83614951355</v>
      </c>
      <c r="F79" s="69" cm="1">
        <f t="array" ref="F79">_xlfn.XLOOKUP(Таблица2[[#This Row],[Дом]]&amp;Таблица2[[#This Row],[№ Офиса]],Коммерция[Дом]&amp;Коммерция[№],Коммерция[стоимость лота],"",0)</f>
        <v>8052600</v>
      </c>
      <c r="G79" s="39" t="str" cm="1">
        <f t="array" ref="G79">_xlfn.XLOOKUP(Таблица2[[#This Row],[Дом]]&amp;Таблица2[[#This Row],[№ Офиса]],Коммерция[Дом]&amp;Коммерция[№],Коммерция[Статус],"",0)</f>
        <v>Продажа</v>
      </c>
      <c r="H79" s="308" cm="1">
        <f t="array" ref="H79">_xlfn.XLOOKUP(Таблица2[[#This Row],[Дом]]&amp;Таблица2[[#This Row],[№ Офиса]]&amp;"Коммерция",РД[Дом]&amp;РД[№ кв]&amp;РД[Состояние],РД[Дата подачи на регистрацию],"",0)</f>
        <v>45807</v>
      </c>
      <c r="I79" s="312"/>
      <c r="J79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79" s="39"/>
      <c r="L79" s="39"/>
    </row>
    <row r="80" spans="1:12" hidden="1" x14ac:dyDescent="0.25">
      <c r="A80" s="640" t="s">
        <v>7562</v>
      </c>
      <c r="B80" s="39">
        <v>6</v>
      </c>
      <c r="C80" s="39">
        <v>2</v>
      </c>
      <c r="D80" s="636" cm="1">
        <f t="array" ref="D80">_xlfn.XLOOKUP(Таблица2[[#This Row],[Дом]]&amp;Таблица2[[#This Row],[№ Офиса]],Коммерция[Дом]&amp;Коммерция[№],Коммерция[Общая фактическая],"",0)</f>
        <v>56.67</v>
      </c>
      <c r="E80" s="69" cm="1">
        <f t="array" ref="E80">_xlfn.XLOOKUP(Таблица2[[#This Row],[Дом]]&amp;Таблица2[[#This Row],[№ Офиса]],Коммерция[Дом]&amp;Коммерция[№],Коммерция[Цена м2],"",0)</f>
        <v>140000</v>
      </c>
      <c r="F80" s="69" cm="1">
        <f t="array" ref="F80">_xlfn.XLOOKUP(Таблица2[[#This Row],[Дом]]&amp;Таблица2[[#This Row],[№ Офиса]],Коммерция[Дом]&amp;Коммерция[№],Коммерция[стоимость лота],"",0)</f>
        <v>7933800</v>
      </c>
      <c r="G80" s="39" t="str" cm="1">
        <f t="array" ref="G80">_xlfn.XLOOKUP(Таблица2[[#This Row],[Дом]]&amp;Таблица2[[#This Row],[№ Офиса]],Коммерция[Дом]&amp;Коммерция[№],Коммерция[Статус],"",0)</f>
        <v>Продажа</v>
      </c>
      <c r="H80" s="308" cm="1">
        <f t="array" ref="H80">_xlfn.XLOOKUP(Таблица2[[#This Row],[Дом]]&amp;Таблица2[[#This Row],[№ Офиса]]&amp;"Коммерция",РД[Дом]&amp;РД[№ кв]&amp;РД[Состояние],РД[Дата подачи на регистрацию],"",0)</f>
        <v>45800</v>
      </c>
      <c r="I80" s="312"/>
      <c r="J80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80" s="39"/>
      <c r="L80" s="39"/>
    </row>
    <row r="81" spans="1:12" s="669" customFormat="1" hidden="1" x14ac:dyDescent="0.25">
      <c r="A81" s="666" t="s">
        <v>7562</v>
      </c>
      <c r="B81" s="43">
        <v>7</v>
      </c>
      <c r="C81" s="43">
        <v>2</v>
      </c>
      <c r="D81" s="667" cm="1">
        <f t="array" ref="D81">_xlfn.XLOOKUP(Таблица2[[#This Row],[Дом]]&amp;Таблица2[[#This Row],[№ Офиса]],Коммерция[Дом]&amp;Коммерция[№],Коммерция[Общая фактическая],"",0)</f>
        <v>57.14</v>
      </c>
      <c r="E81" s="341" cm="1">
        <f t="array" ref="E81">_xlfn.XLOOKUP(Таблица2[[#This Row],[Дом]]&amp;Таблица2[[#This Row],[№ Офиса]],Коммерция[Дом]&amp;Коммерция[№],Коммерция[Цена м2],"",0)</f>
        <v>140000</v>
      </c>
      <c r="F81" s="341" cm="1">
        <f t="array" ref="F81">_xlfn.XLOOKUP(Таблица2[[#This Row],[Дом]]&amp;Таблица2[[#This Row],[№ Офиса]],Коммерция[Дом]&amp;Коммерция[№],Коммерция[стоимость лота],"",0)</f>
        <v>7999600</v>
      </c>
      <c r="G81" s="43" t="str" cm="1">
        <f t="array" ref="G81">_xlfn.XLOOKUP(Таблица2[[#This Row],[Дом]]&amp;Таблица2[[#This Row],[№ Офиса]],Коммерция[Дом]&amp;Коммерция[№],Коммерция[Статус],"",0)</f>
        <v>Гарантированная бронь</v>
      </c>
      <c r="H81" s="668" t="str" cm="1">
        <f t="array" ref="H81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1" s="668">
        <v>45870</v>
      </c>
      <c r="J81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1" s="43"/>
      <c r="L81" s="43"/>
    </row>
    <row r="82" spans="1:12" s="669" customFormat="1" hidden="1" x14ac:dyDescent="0.25">
      <c r="A82" s="666" t="s">
        <v>7562</v>
      </c>
      <c r="B82" s="43">
        <v>8</v>
      </c>
      <c r="C82" s="43">
        <v>2</v>
      </c>
      <c r="D82" s="667" cm="1">
        <f t="array" ref="D82">_xlfn.XLOOKUP(Таблица2[[#This Row],[Дом]]&amp;Таблица2[[#This Row],[№ Офиса]],Коммерция[Дом]&amp;Коммерция[№],Коммерция[Общая фактическая],"",0)</f>
        <v>5.97</v>
      </c>
      <c r="E82" s="341" cm="1">
        <f t="array" ref="E82">_xlfn.XLOOKUP(Таблица2[[#This Row],[Дом]]&amp;Таблица2[[#This Row],[№ Офиса]],Коммерция[Дом]&amp;Коммерция[№],Коммерция[Цена м2],"",0)</f>
        <v>120000</v>
      </c>
      <c r="F82" s="341" cm="1">
        <f t="array" ref="F82">_xlfn.XLOOKUP(Таблица2[[#This Row],[Дом]]&amp;Таблица2[[#This Row],[№ Офиса]],Коммерция[Дом]&amp;Коммерция[№],Коммерция[стоимость лота],"",0)</f>
        <v>716400</v>
      </c>
      <c r="G82" s="43" t="str" cm="1">
        <f t="array" ref="G82">_xlfn.XLOOKUP(Таблица2[[#This Row],[Дом]]&amp;Таблица2[[#This Row],[№ Офиса]],Коммерция[Дом]&amp;Коммерция[№],Коммерция[Статус],"",0)</f>
        <v>Свободно</v>
      </c>
      <c r="H82" s="668" t="str" cm="1">
        <f t="array" ref="H82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2" s="668">
        <v>45901</v>
      </c>
      <c r="J82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2" s="43"/>
      <c r="L82" s="43" t="s">
        <v>7656</v>
      </c>
    </row>
    <row r="83" spans="1:12" hidden="1" x14ac:dyDescent="0.25">
      <c r="A83" s="640" t="s">
        <v>7562</v>
      </c>
      <c r="B83" s="39">
        <v>9</v>
      </c>
      <c r="C83" s="39">
        <v>2</v>
      </c>
      <c r="D83" s="636" cm="1">
        <f t="array" ref="D83">_xlfn.XLOOKUP(Таблица2[[#This Row],[Дом]]&amp;Таблица2[[#This Row],[№ Офиса]],Коммерция[Дом]&amp;Коммерция[№],Коммерция[Общая фактическая],"",0)</f>
        <v>5.97</v>
      </c>
      <c r="E83" s="69" cm="1">
        <f t="array" ref="E83">_xlfn.XLOOKUP(Таблица2[[#This Row],[Дом]]&amp;Таблица2[[#This Row],[№ Офиса]],Коммерция[Дом]&amp;Коммерция[№],Коммерция[Цена м2],"",0)</f>
        <v>112763.81909547739</v>
      </c>
      <c r="F83" s="69" cm="1">
        <f t="array" ref="F83">_xlfn.XLOOKUP(Таблица2[[#This Row],[Дом]]&amp;Таблица2[[#This Row],[№ Офиса]],Коммерция[Дом]&amp;Коммерция[№],Коммерция[стоимость лота],"",0)</f>
        <v>673200</v>
      </c>
      <c r="G83" s="39" t="str" cm="1">
        <f t="array" ref="G83">_xlfn.XLOOKUP(Таблица2[[#This Row],[Дом]]&amp;Таблица2[[#This Row],[№ Офиса]],Коммерция[Дом]&amp;Коммерция[№],Коммерция[Статус],"",0)</f>
        <v>Продажа</v>
      </c>
      <c r="H83" s="308" cm="1">
        <f t="array" ref="H83">_xlfn.XLOOKUP(Таблица2[[#This Row],[Дом]]&amp;Таблица2[[#This Row],[№ Офиса]]&amp;"Коммерция",РД[Дом]&amp;РД[№ кв]&amp;РД[Состояние],РД[Дата подачи на регистрацию],"",0)</f>
        <v>45652</v>
      </c>
      <c r="I83" s="312"/>
      <c r="J83" s="39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Продажа</v>
      </c>
      <c r="K83" s="39"/>
      <c r="L83" s="39" t="s">
        <v>7656</v>
      </c>
    </row>
    <row r="84" spans="1:12" s="669" customFormat="1" hidden="1" x14ac:dyDescent="0.25">
      <c r="A84" s="666" t="s">
        <v>7562</v>
      </c>
      <c r="B84" s="43">
        <v>10</v>
      </c>
      <c r="C84" s="43">
        <v>2</v>
      </c>
      <c r="D84" s="667" cm="1">
        <f t="array" ref="D84">_xlfn.XLOOKUP(Таблица2[[#This Row],[Дом]]&amp;Таблица2[[#This Row],[№ Офиса]],Коммерция[Дом]&amp;Коммерция[№],Коммерция[Общая фактическая],"",0)</f>
        <v>5.97</v>
      </c>
      <c r="E84" s="341" cm="1">
        <f t="array" ref="E84">_xlfn.XLOOKUP(Таблица2[[#This Row],[Дом]]&amp;Таблица2[[#This Row],[№ Офиса]],Коммерция[Дом]&amp;Коммерция[№],Коммерция[Цена м2],"",0)</f>
        <v>120000</v>
      </c>
      <c r="F84" s="341" cm="1">
        <f t="array" ref="F84">_xlfn.XLOOKUP(Таблица2[[#This Row],[Дом]]&amp;Таблица2[[#This Row],[№ Офиса]],Коммерция[Дом]&amp;Коммерция[№],Коммерция[стоимость лота],"",0)</f>
        <v>716400</v>
      </c>
      <c r="G84" s="43" t="str" cm="1">
        <f t="array" ref="G84">_xlfn.XLOOKUP(Таблица2[[#This Row],[Дом]]&amp;Таблица2[[#This Row],[№ Офиса]],Коммерция[Дом]&amp;Коммерция[№],Коммерция[Статус],"",0)</f>
        <v>Свободно</v>
      </c>
      <c r="H84" s="668" t="str" cm="1">
        <f t="array" ref="H84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4" s="668">
        <v>45931</v>
      </c>
      <c r="J84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4" s="43"/>
      <c r="L84" s="43" t="s">
        <v>7656</v>
      </c>
    </row>
    <row r="85" spans="1:12" s="669" customFormat="1" hidden="1" x14ac:dyDescent="0.25">
      <c r="A85" s="666" t="s">
        <v>7562</v>
      </c>
      <c r="B85" s="43">
        <v>11</v>
      </c>
      <c r="C85" s="43">
        <v>2</v>
      </c>
      <c r="D85" s="667" cm="1">
        <f t="array" ref="D85">_xlfn.XLOOKUP(Таблица2[[#This Row],[Дом]]&amp;Таблица2[[#This Row],[№ Офиса]],Коммерция[Дом]&amp;Коммерция[№],Коммерция[Общая фактическая],"",0)</f>
        <v>5.97</v>
      </c>
      <c r="E85" s="341" cm="1">
        <f t="array" ref="E85">_xlfn.XLOOKUP(Таблица2[[#This Row],[Дом]]&amp;Таблица2[[#This Row],[№ Офиса]],Коммерция[Дом]&amp;Коммерция[№],Коммерция[Цена м2],"",0)</f>
        <v>120000</v>
      </c>
      <c r="F85" s="341" cm="1">
        <f t="array" ref="F85">_xlfn.XLOOKUP(Таблица2[[#This Row],[Дом]]&amp;Таблица2[[#This Row],[№ Офиса]],Коммерция[Дом]&amp;Коммерция[№],Коммерция[стоимость лота],"",0)</f>
        <v>716400</v>
      </c>
      <c r="G85" s="43" t="str" cm="1">
        <f t="array" ref="G85">_xlfn.XLOOKUP(Таблица2[[#This Row],[Дом]]&amp;Таблица2[[#This Row],[№ Офиса]],Коммерция[Дом]&amp;Коммерция[№],Коммерция[Статус],"",0)</f>
        <v>Свободно</v>
      </c>
      <c r="H85" s="668" t="str" cm="1">
        <f t="array" ref="H85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5" s="668">
        <v>45962</v>
      </c>
      <c r="J85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5" s="43"/>
      <c r="L85" s="43" t="s">
        <v>7656</v>
      </c>
    </row>
    <row r="86" spans="1:12" s="669" customFormat="1" x14ac:dyDescent="0.25">
      <c r="A86" s="666" t="s">
        <v>7562</v>
      </c>
      <c r="B86" s="43">
        <v>12</v>
      </c>
      <c r="C86" s="43">
        <v>2</v>
      </c>
      <c r="D86" s="667" cm="1">
        <f t="array" ref="D86">_xlfn.XLOOKUP(Таблица2[[#This Row],[Дом]]&amp;Таблица2[[#This Row],[№ Офиса]],Коммерция[Дом]&amp;Коммерция[№],Коммерция[Общая фактическая],"",0)</f>
        <v>5.97</v>
      </c>
      <c r="E86" s="341" cm="1">
        <f t="array" ref="E86">_xlfn.XLOOKUP(Таблица2[[#This Row],[Дом]]&amp;Таблица2[[#This Row],[№ Офиса]],Коммерция[Дом]&amp;Коммерция[№],Коммерция[Цена м2],"",0)</f>
        <v>120000</v>
      </c>
      <c r="F86" s="341" cm="1">
        <f t="array" ref="F86">_xlfn.XLOOKUP(Таблица2[[#This Row],[Дом]]&amp;Таблица2[[#This Row],[№ Офиса]],Коммерция[Дом]&amp;Коммерция[№],Коммерция[стоимость лота],"",0)</f>
        <v>716400</v>
      </c>
      <c r="G86" s="43" t="str" cm="1">
        <f t="array" ref="G86">_xlfn.XLOOKUP(Таблица2[[#This Row],[Дом]]&amp;Таблица2[[#This Row],[№ Офиса]],Коммерция[Дом]&amp;Коммерция[№],Коммерция[Статус],"",0)</f>
        <v>Свободно</v>
      </c>
      <c r="H86" s="668" t="str" cm="1">
        <f t="array" ref="H86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6" s="668">
        <v>45992</v>
      </c>
      <c r="J86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6" s="43"/>
      <c r="L86" s="43" t="s">
        <v>7656</v>
      </c>
    </row>
    <row r="87" spans="1:12" s="669" customFormat="1" hidden="1" x14ac:dyDescent="0.25">
      <c r="A87" s="666" t="s">
        <v>7562</v>
      </c>
      <c r="B87" s="43">
        <v>13</v>
      </c>
      <c r="C87" s="43">
        <v>2</v>
      </c>
      <c r="D87" s="667" cm="1">
        <f t="array" ref="D87">_xlfn.XLOOKUP(Таблица2[[#This Row],[Дом]]&amp;Таблица2[[#This Row],[№ Офиса]],Коммерция[Дом]&amp;Коммерция[№],Коммерция[Общая фактическая],"",0)</f>
        <v>5.97</v>
      </c>
      <c r="E87" s="341" cm="1">
        <f t="array" ref="E87">_xlfn.XLOOKUP(Таблица2[[#This Row],[Дом]]&amp;Таблица2[[#This Row],[№ Офиса]],Коммерция[Дом]&amp;Коммерция[№],Коммерция[Цена м2],"",0)</f>
        <v>120000</v>
      </c>
      <c r="F87" s="341" cm="1">
        <f t="array" ref="F87">_xlfn.XLOOKUP(Таблица2[[#This Row],[Дом]]&amp;Таблица2[[#This Row],[№ Офиса]],Коммерция[Дом]&amp;Коммерция[№],Коммерция[стоимость лота],"",0)</f>
        <v>716400</v>
      </c>
      <c r="G87" s="43" t="str" cm="1">
        <f t="array" ref="G87">_xlfn.XLOOKUP(Таблица2[[#This Row],[Дом]]&amp;Таблица2[[#This Row],[№ Офиса]],Коммерция[Дом]&amp;Коммерция[№],Коммерция[Статус],"",0)</f>
        <v>Свободно</v>
      </c>
      <c r="H87" s="668" t="str" cm="1">
        <f t="array" ref="H87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7" s="668">
        <v>45839</v>
      </c>
      <c r="J87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7" s="43"/>
      <c r="L87" s="43" t="s">
        <v>7656</v>
      </c>
    </row>
    <row r="88" spans="1:12" s="669" customFormat="1" hidden="1" x14ac:dyDescent="0.25">
      <c r="A88" s="666" t="s">
        <v>7562</v>
      </c>
      <c r="B88" s="43">
        <v>14</v>
      </c>
      <c r="C88" s="43">
        <v>2</v>
      </c>
      <c r="D88" s="667" cm="1">
        <f t="array" ref="D88">_xlfn.XLOOKUP(Таблица2[[#This Row],[Дом]]&amp;Таблица2[[#This Row],[№ Офиса]],Коммерция[Дом]&amp;Коммерция[№],Коммерция[Общая фактическая],"",0)</f>
        <v>5.97</v>
      </c>
      <c r="E88" s="341" cm="1">
        <f t="array" ref="E88">_xlfn.XLOOKUP(Таблица2[[#This Row],[Дом]]&amp;Таблица2[[#This Row],[№ Офиса]],Коммерция[Дом]&amp;Коммерция[№],Коммерция[Цена м2],"",0)</f>
        <v>120000</v>
      </c>
      <c r="F88" s="341" cm="1">
        <f t="array" ref="F88">_xlfn.XLOOKUP(Таблица2[[#This Row],[Дом]]&amp;Таблица2[[#This Row],[№ Офиса]],Коммерция[Дом]&amp;Коммерция[№],Коммерция[стоимость лота],"",0)</f>
        <v>716400</v>
      </c>
      <c r="G88" s="43" t="str" cm="1">
        <f t="array" ref="G88">_xlfn.XLOOKUP(Таблица2[[#This Row],[Дом]]&amp;Таблица2[[#This Row],[№ Офиса]],Коммерция[Дом]&amp;Коммерция[№],Коммерция[Статус],"",0)</f>
        <v>Свободно</v>
      </c>
      <c r="H88" s="668" t="str" cm="1">
        <f t="array" ref="H88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8" s="668">
        <v>45839</v>
      </c>
      <c r="J88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8" s="43"/>
      <c r="L88" s="43" t="s">
        <v>7656</v>
      </c>
    </row>
    <row r="89" spans="1:12" s="669" customFormat="1" hidden="1" x14ac:dyDescent="0.25">
      <c r="A89" s="666" t="s">
        <v>7562</v>
      </c>
      <c r="B89" s="43">
        <v>15</v>
      </c>
      <c r="C89" s="43">
        <v>2</v>
      </c>
      <c r="D89" s="667" cm="1">
        <f t="array" ref="D89">_xlfn.XLOOKUP(Таблица2[[#This Row],[Дом]]&amp;Таблица2[[#This Row],[№ Офиса]],Коммерция[Дом]&amp;Коммерция[№],Коммерция[Общая фактическая],"",0)</f>
        <v>5.97</v>
      </c>
      <c r="E89" s="341" cm="1">
        <f t="array" ref="E89">_xlfn.XLOOKUP(Таблица2[[#This Row],[Дом]]&amp;Таблица2[[#This Row],[№ Офиса]],Коммерция[Дом]&amp;Коммерция[№],Коммерция[Цена м2],"",0)</f>
        <v>120000</v>
      </c>
      <c r="F89" s="341" cm="1">
        <f t="array" ref="F89">_xlfn.XLOOKUP(Таблица2[[#This Row],[Дом]]&amp;Таблица2[[#This Row],[№ Офиса]],Коммерция[Дом]&amp;Коммерция[№],Коммерция[стоимость лота],"",0)</f>
        <v>716400</v>
      </c>
      <c r="G89" s="43" t="str" cm="1">
        <f t="array" ref="G89">_xlfn.XLOOKUP(Таблица2[[#This Row],[Дом]]&amp;Таблица2[[#This Row],[№ Офиса]],Коммерция[Дом]&amp;Коммерция[№],Коммерция[Статус],"",0)</f>
        <v>Свободно</v>
      </c>
      <c r="H89" s="668" t="str" cm="1">
        <f t="array" ref="H89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89" s="668">
        <v>45839</v>
      </c>
      <c r="J89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89" s="43"/>
      <c r="L89" s="43" t="s">
        <v>7656</v>
      </c>
    </row>
    <row r="90" spans="1:12" s="669" customFormat="1" hidden="1" x14ac:dyDescent="0.25">
      <c r="A90" s="670" t="s">
        <v>7562</v>
      </c>
      <c r="B90" s="671">
        <v>16</v>
      </c>
      <c r="C90" s="671">
        <v>2</v>
      </c>
      <c r="D90" s="672" cm="1">
        <f t="array" ref="D90">_xlfn.XLOOKUP(Таблица2[[#This Row],[Дом]]&amp;Таблица2[[#This Row],[№ Офиса]],Коммерция[Дом]&amp;Коммерция[№],Коммерция[Общая фактическая],"",0)</f>
        <v>5.97</v>
      </c>
      <c r="E90" s="673" cm="1">
        <f t="array" ref="E90">_xlfn.XLOOKUP(Таблица2[[#This Row],[Дом]]&amp;Таблица2[[#This Row],[№ Офиса]],Коммерция[Дом]&amp;Коммерция[№],Коммерция[Цена м2],"",0)</f>
        <v>120000</v>
      </c>
      <c r="F90" s="673" cm="1">
        <f t="array" ref="F90">_xlfn.XLOOKUP(Таблица2[[#This Row],[Дом]]&amp;Таблица2[[#This Row],[№ Офиса]],Коммерция[Дом]&amp;Коммерция[№],Коммерция[стоимость лота],"",0)</f>
        <v>716400</v>
      </c>
      <c r="G90" s="671" t="str" cm="1">
        <f t="array" ref="G90">_xlfn.XLOOKUP(Таблица2[[#This Row],[Дом]]&amp;Таблица2[[#This Row],[№ Офиса]],Коммерция[Дом]&amp;Коммерция[№],Коммерция[Статус],"",0)</f>
        <v>Свободно</v>
      </c>
      <c r="H90" s="674" t="str" cm="1">
        <f t="array" ref="H90">_xlfn.XLOOKUP(Таблица2[[#This Row],[Дом]]&amp;Таблица2[[#This Row],[№ Офиса]]&amp;"Коммерция",РД[Дом]&amp;РД[№ кв]&amp;РД[Состояние],РД[Дата подачи на регистрацию],"",0)</f>
        <v/>
      </c>
      <c r="I90" s="668">
        <v>45839</v>
      </c>
      <c r="J90" s="43" t="str">
        <f>IF(Таблица2[[#This Row],[Факт продаж]]="",IF(Таблица2[[#This Row],[Планируемая дата продажи]]="","Не для продажи","Запланировано"),IF(Таблица2[[#This Row],[Факт продаж]]&lt;&gt;"",IF(Таблица2[[#This Row],[Факт продаж]]=Таблица2[[#This Row],[Планируемая дата продажи]],"Продажа",IF(Таблица2[[#This Row],[Планируемая дата продажи]]="","Продажа","Убрать из плана"))))</f>
        <v>Запланировано</v>
      </c>
      <c r="K90" s="671"/>
      <c r="L90" s="43" t="s">
        <v>7656</v>
      </c>
    </row>
  </sheetData>
  <mergeCells count="4">
    <mergeCell ref="B2:D2"/>
    <mergeCell ref="I2:J2"/>
    <mergeCell ref="B3:C3"/>
    <mergeCell ref="E3:H3"/>
  </mergeCells>
  <phoneticPr fontId="7" type="noConversion"/>
  <conditionalFormatting sqref="J12:J90">
    <cfRule type="containsText" dxfId="135" priority="9" operator="containsText" text="Продажа">
      <formula>NOT(ISERROR(SEARCH("Продажа",J12)))</formula>
    </cfRule>
    <cfRule type="containsText" dxfId="134" priority="10" operator="containsText" text="Убрать из плана">
      <formula>NOT(ISERROR(SEARCH("Убрать из плана",J12)))</formula>
    </cfRule>
    <cfRule type="containsText" dxfId="133" priority="11" operator="containsText" text="Не для продажи">
      <formula>NOT(ISERROR(SEARCH("Не для продажи",J12)))</formula>
    </cfRule>
  </conditionalFormatting>
  <conditionalFormatting sqref="J11">
    <cfRule type="containsText" dxfId="132" priority="2" operator="containsText" text="Продажа">
      <formula>NOT(ISERROR(SEARCH("Продажа",J11)))</formula>
    </cfRule>
    <cfRule type="containsText" dxfId="131" priority="3" operator="containsText" text="Убрать из плана">
      <formula>NOT(ISERROR(SEARCH("Убрать из плана",J11)))</formula>
    </cfRule>
    <cfRule type="containsText" dxfId="130" priority="4" operator="containsText" text="Не для продажи">
      <formula>NOT(ISERROR(SEARCH("Не для продажи",J11)))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7">
    <tabColor rgb="FF0070C0"/>
  </sheetPr>
  <dimension ref="A1:BH915"/>
  <sheetViews>
    <sheetView zoomScale="90" zoomScaleNormal="90" workbookViewId="0">
      <selection activeCell="AA12" sqref="AA12"/>
    </sheetView>
  </sheetViews>
  <sheetFormatPr defaultColWidth="9.140625" defaultRowHeight="12" x14ac:dyDescent="0.2"/>
  <cols>
    <col min="1" max="1" width="1.85546875" style="617" customWidth="1"/>
    <col min="2" max="2" width="5.140625" style="234" bestFit="1" customWidth="1"/>
    <col min="3" max="3" width="10.28515625" style="234" bestFit="1" customWidth="1"/>
    <col min="4" max="5" width="13.7109375" style="612" hidden="1" customWidth="1"/>
    <col min="6" max="6" width="11.28515625" style="234" bestFit="1" customWidth="1"/>
    <col min="7" max="8" width="13.7109375" style="234" hidden="1" customWidth="1"/>
    <col min="9" max="9" width="13.5703125" style="234" bestFit="1" customWidth="1"/>
    <col min="10" max="10" width="10.7109375" style="234" hidden="1" customWidth="1"/>
    <col min="11" max="11" width="9.7109375" style="234" hidden="1" customWidth="1"/>
    <col min="12" max="12" width="12.5703125" style="234" customWidth="1"/>
    <col min="13" max="14" width="11.42578125" style="234" hidden="1" customWidth="1"/>
    <col min="15" max="15" width="11.5703125" style="234" bestFit="1" customWidth="1"/>
    <col min="16" max="16" width="1.85546875" style="617" customWidth="1"/>
    <col min="17" max="17" width="5.140625" style="234" bestFit="1" customWidth="1"/>
    <col min="18" max="18" width="10.28515625" style="234" bestFit="1" customWidth="1"/>
    <col min="19" max="20" width="13.7109375" style="234" hidden="1" customWidth="1"/>
    <col min="21" max="21" width="11.28515625" style="234" bestFit="1" customWidth="1"/>
    <col min="22" max="23" width="13.7109375" style="234" hidden="1" customWidth="1"/>
    <col min="24" max="24" width="13.5703125" style="234" bestFit="1" customWidth="1"/>
    <col min="25" max="25" width="10.7109375" style="234" hidden="1" customWidth="1"/>
    <col min="26" max="26" width="9.7109375" style="234" hidden="1" customWidth="1"/>
    <col min="27" max="27" width="12.5703125" style="234" customWidth="1"/>
    <col min="28" max="29" width="11.42578125" style="234" hidden="1" customWidth="1"/>
    <col min="30" max="30" width="11.5703125" style="234" bestFit="1" customWidth="1"/>
    <col min="31" max="31" width="1.85546875" style="617" customWidth="1"/>
    <col min="32" max="32" width="5.140625" style="234" bestFit="1" customWidth="1"/>
    <col min="33" max="33" width="10.28515625" style="234" bestFit="1" customWidth="1"/>
    <col min="34" max="34" width="12.28515625" style="234" hidden="1" customWidth="1"/>
    <col min="35" max="35" width="11.42578125" style="234" hidden="1" customWidth="1"/>
    <col min="36" max="36" width="11.28515625" style="234" bestFit="1" customWidth="1"/>
    <col min="37" max="37" width="11.28515625" style="234" hidden="1" customWidth="1"/>
    <col min="38" max="38" width="12.28515625" style="234" hidden="1" customWidth="1"/>
    <col min="39" max="39" width="12.42578125" style="234" customWidth="1"/>
    <col min="40" max="40" width="10.7109375" style="234" customWidth="1"/>
    <col min="41" max="41" width="9.7109375" style="234" customWidth="1"/>
    <col min="42" max="42" width="12.5703125" style="234" customWidth="1"/>
    <col min="43" max="44" width="10.5703125" style="234" hidden="1" customWidth="1"/>
    <col min="45" max="45" width="11.5703125" style="234" bestFit="1" customWidth="1"/>
    <col min="46" max="46" width="1.85546875" style="617" customWidth="1"/>
    <col min="47" max="47" width="5.140625" style="234" bestFit="1" customWidth="1"/>
    <col min="48" max="48" width="10.28515625" style="234" bestFit="1" customWidth="1"/>
    <col min="49" max="49" width="13.7109375" style="234" hidden="1" customWidth="1"/>
    <col min="50" max="50" width="11.42578125" style="234" hidden="1" customWidth="1"/>
    <col min="51" max="51" width="11.28515625" style="234" bestFit="1" customWidth="1"/>
    <col min="52" max="52" width="11.85546875" style="234" hidden="1" customWidth="1"/>
    <col min="53" max="53" width="13.7109375" style="234" hidden="1" customWidth="1"/>
    <col min="54" max="54" width="13.5703125" style="234" bestFit="1" customWidth="1"/>
    <col min="55" max="55" width="10.7109375" style="234" hidden="1" customWidth="1"/>
    <col min="56" max="56" width="9.7109375" style="234" hidden="1" customWidth="1"/>
    <col min="57" max="57" width="12.5703125" style="234" customWidth="1"/>
    <col min="58" max="58" width="9.28515625" style="234" hidden="1" customWidth="1"/>
    <col min="59" max="59" width="9.85546875" style="234" hidden="1" customWidth="1"/>
    <col min="60" max="60" width="11.5703125" style="234" bestFit="1" customWidth="1"/>
    <col min="61" max="16384" width="9.140625" style="234"/>
  </cols>
  <sheetData>
    <row r="1" spans="1:60" s="237" customFormat="1" ht="29.25" customHeight="1" x14ac:dyDescent="0.2">
      <c r="A1" s="236"/>
      <c r="B1" s="770">
        <f>C2/B2</f>
        <v>0.99067164179104472</v>
      </c>
      <c r="C1" s="771"/>
      <c r="D1" s="235"/>
      <c r="E1" s="235"/>
      <c r="F1" s="233"/>
      <c r="G1" s="233"/>
      <c r="H1" s="233"/>
      <c r="I1" s="480"/>
      <c r="J1" s="233"/>
      <c r="K1" s="233"/>
      <c r="L1" s="233"/>
      <c r="N1" s="235"/>
      <c r="P1" s="236"/>
      <c r="Q1" s="770">
        <f>R2/Q2</f>
        <v>0.77586206896551724</v>
      </c>
      <c r="R1" s="771"/>
      <c r="AE1" s="236"/>
      <c r="AF1" s="770">
        <f>AG2/AF2</f>
        <v>0.21782178217821782</v>
      </c>
      <c r="AG1" s="771"/>
      <c r="AT1" s="236"/>
      <c r="AU1" s="770">
        <f>AV2/AU2</f>
        <v>0.24305555555555555</v>
      </c>
      <c r="AV1" s="771"/>
    </row>
    <row r="2" spans="1:60" s="231" customFormat="1" ht="20.25" customHeight="1" x14ac:dyDescent="0.25">
      <c r="A2" s="228"/>
      <c r="B2" s="225">
        <f>SUBTOTAL(3,Таблица4[№])</f>
        <v>536</v>
      </c>
      <c r="C2" s="229">
        <f>COUNTIF(Таблица4[Статус],"Продажа")</f>
        <v>531</v>
      </c>
      <c r="D2" s="230">
        <f>SUBTOTAL(9,Таблица4[ПП])</f>
        <v>2232856129.1599998</v>
      </c>
      <c r="E2" s="226">
        <f>SUBTOTAL(9,Таблица4[ДДУ])</f>
        <v>2196944329.1589994</v>
      </c>
      <c r="F2" s="227">
        <f>SUBTOTAL(9,Таблица4[Сверка])</f>
        <v>1.0000190231949091E-3</v>
      </c>
      <c r="G2" s="226">
        <f>SUBTOTAL(9,Таблица4[СО ДДУ])</f>
        <v>2374793689.1589999</v>
      </c>
      <c r="H2" s="226">
        <f>SUBTOTAL(9,Таблица4[СО ПП])</f>
        <v>2410705489.1599998</v>
      </c>
      <c r="I2" s="227">
        <f>SUBTOTAL(9,Таблица4[СО сверка])</f>
        <v>1.0000001639127731E-3</v>
      </c>
      <c r="J2" s="226">
        <f>SUBTOTAL(9,Таблица4[S ДДУ])</f>
        <v>25598.680000000033</v>
      </c>
      <c r="K2" s="226">
        <f>SUBTOTAL(9,Таблица4[S ПП])</f>
        <v>25898.280000000032</v>
      </c>
      <c r="L2" s="227">
        <f>SUBTOTAL(9,Таблица4[S Сверка])</f>
        <v>-7.1054273576010019E-15</v>
      </c>
      <c r="M2" s="227">
        <f>SUBTOTAL(9,Таблица4[ППС])</f>
        <v>43250779.910000004</v>
      </c>
      <c r="N2" s="227">
        <f>SUBTOTAL(9,Таблица4[ДДУС])</f>
        <v>43250779.910000004</v>
      </c>
      <c r="O2" s="227">
        <f>SUBTOTAL(9,Таблица4[СверкаС])</f>
        <v>0</v>
      </c>
      <c r="P2" s="228"/>
      <c r="Q2" s="225">
        <f>SUBTOTAL(3,Таблица10[№])</f>
        <v>580</v>
      </c>
      <c r="R2" s="229">
        <f>COUNTIF(Таблица10[Статус],"Продажа")</f>
        <v>450</v>
      </c>
      <c r="S2" s="230">
        <f>SUBTOTAL(9,Таблица10[ПП])</f>
        <v>3154426913.8600006</v>
      </c>
      <c r="T2" s="226">
        <f>SUBTOTAL(9,Таблица10[ДДУ])</f>
        <v>2267753476.8572998</v>
      </c>
      <c r="U2" s="227">
        <f>SUBTOTAL(9,Таблица10[Сверка])</f>
        <v>2.6999982073903084E-3</v>
      </c>
      <c r="V2" s="226">
        <f>SUBTOTAL(9,Таблица10[СО ДДУ])</f>
        <v>2464910106.8572993</v>
      </c>
      <c r="W2" s="226">
        <f>SUBTOTAL(9,Таблица10[СО ПП])</f>
        <v>3383390543.8600006</v>
      </c>
      <c r="X2" s="227">
        <f>SUBTOTAL(9,Таблица10[СО сверка])</f>
        <v>2.7000061236321926E-3</v>
      </c>
      <c r="Y2" s="226">
        <f>SUBTOTAL(9,Таблица10[S ДДУ])</f>
        <v>22381.139999999952</v>
      </c>
      <c r="Z2" s="226">
        <f>SUBTOTAL(9,Таблица10[S ПП])</f>
        <v>29148.790000000019</v>
      </c>
      <c r="AA2" s="227">
        <f>SUBTOTAL(9,Таблица10[S Сверка])</f>
        <v>7.1054273576010019E-15</v>
      </c>
      <c r="AB2" s="227">
        <f>SUBTOTAL(9,Таблица10[ППС])</f>
        <v>60104407.189999998</v>
      </c>
      <c r="AC2" s="227">
        <f>SUBTOTAL(9,Таблица10[ДДУС])</f>
        <v>57890444.190000005</v>
      </c>
      <c r="AD2" s="227">
        <f>SUBTOTAL(9,Таблица10[СверкаС])</f>
        <v>0</v>
      </c>
      <c r="AE2" s="228"/>
      <c r="AF2" s="225">
        <f>SUBTOTAL(3,Таблица1[№])</f>
        <v>101</v>
      </c>
      <c r="AG2" s="229">
        <f>COUNTIF(Таблица1[Статус],"Продажа")</f>
        <v>22</v>
      </c>
      <c r="AH2" s="230">
        <f>SUBTOTAL(9,Таблица1[ПП])</f>
        <v>714096846.5</v>
      </c>
      <c r="AI2" s="226">
        <f>SUBTOTAL(9,Таблица1[ДДУ])</f>
        <v>134751563</v>
      </c>
      <c r="AJ2" s="227">
        <f>SUBTOTAL(9,Таблица1[Сверка])</f>
        <v>0</v>
      </c>
      <c r="AK2" s="226">
        <f>SUBTOTAL(9,Таблица1[СО ДДУ])</f>
        <v>138523563</v>
      </c>
      <c r="AL2" s="226">
        <f>SUBTOTAL(9,Таблица1[СО ПП])</f>
        <v>718818946.5</v>
      </c>
      <c r="AM2" s="227">
        <f>SUBTOTAL(9,Таблица1[СО сверка])</f>
        <v>62600.000000000931</v>
      </c>
      <c r="AN2" s="226">
        <f>SUBTOTAL(9,Таблица1[S ДДУ])</f>
        <v>1069.6600000000001</v>
      </c>
      <c r="AO2" s="226">
        <f>SUBTOTAL(9,Таблица1[S ПП])</f>
        <v>5607.1500000000051</v>
      </c>
      <c r="AP2" s="227">
        <f>SUBTOTAL(9,Таблица1[S Сверка])</f>
        <v>13.539999999999992</v>
      </c>
      <c r="AQ2" s="227">
        <f>SUBTOTAL(9,Таблица1[ППС])</f>
        <v>3515339.5</v>
      </c>
      <c r="AR2" s="227">
        <f>SUBTOTAL(9,Таблица1[ДДУС])</f>
        <v>3073037</v>
      </c>
      <c r="AS2" s="227">
        <f>SUBTOTAL(9,Таблица1[СверкаС])</f>
        <v>5.8207660913467407E-11</v>
      </c>
      <c r="AT2" s="228"/>
      <c r="AU2" s="225">
        <f>SUBTOTAL(3,Т402[№])</f>
        <v>288</v>
      </c>
      <c r="AV2" s="229">
        <f>COUNTIF(Т402[Статус],"Продажа")</f>
        <v>70</v>
      </c>
      <c r="AW2" s="230">
        <f>SUBTOTAL(9,Т402[ПП])</f>
        <v>1700736100</v>
      </c>
      <c r="AX2" s="226">
        <f>SUBTOTAL(9,Т402[ДДУ])</f>
        <v>382457122</v>
      </c>
      <c r="AY2" s="227">
        <f>SUBTOTAL(9,Т402[Сверка])</f>
        <v>0</v>
      </c>
      <c r="AZ2" s="226">
        <f>SUBTOTAL(9,Т402[СО ДДУ])</f>
        <v>394319172</v>
      </c>
      <c r="BA2" s="226">
        <f>SUBTOTAL(9,Т402[СО ПП])</f>
        <v>1763448550</v>
      </c>
      <c r="BB2" s="227">
        <f>SUBTOTAL(9,Т402[СО сверка])</f>
        <v>0</v>
      </c>
      <c r="BC2" s="226">
        <f>SUBTOTAL(9,Т402[S ДДУ])</f>
        <v>3085.9300000000007</v>
      </c>
      <c r="BD2" s="226">
        <f>SUBTOTAL(9,Т402[S ПП])</f>
        <v>13499.639999999981</v>
      </c>
      <c r="BE2" s="227">
        <f>SUBTOTAL(9,Т402[S Сверка])</f>
        <v>0</v>
      </c>
      <c r="BF2" s="227">
        <f>SUBTOTAL(9,Т402[ППС])</f>
        <v>7276700</v>
      </c>
      <c r="BG2" s="227">
        <f>SUBTOTAL(9,Т402[ДДУС])</f>
        <v>7180778</v>
      </c>
      <c r="BH2" s="227">
        <f>SUBTOTAL(9,Т402[СверкаС])</f>
        <v>0</v>
      </c>
    </row>
    <row r="3" spans="1:60" s="231" customFormat="1" ht="12.75" x14ac:dyDescent="0.25">
      <c r="A3" s="232"/>
      <c r="B3" s="775" t="s">
        <v>91</v>
      </c>
      <c r="C3" s="776"/>
      <c r="D3" s="772" t="s">
        <v>52</v>
      </c>
      <c r="E3" s="773"/>
      <c r="F3" s="774"/>
      <c r="G3" s="772" t="s">
        <v>7913</v>
      </c>
      <c r="H3" s="773"/>
      <c r="I3" s="774"/>
      <c r="J3" s="777" t="s">
        <v>72</v>
      </c>
      <c r="K3" s="777"/>
      <c r="L3" s="777"/>
      <c r="M3" s="767" t="s">
        <v>4323</v>
      </c>
      <c r="N3" s="768"/>
      <c r="O3" s="769"/>
      <c r="P3" s="232"/>
      <c r="Q3" s="775" t="s">
        <v>3388</v>
      </c>
      <c r="R3" s="776"/>
      <c r="S3" s="772" t="s">
        <v>52</v>
      </c>
      <c r="T3" s="773"/>
      <c r="U3" s="774"/>
      <c r="V3" s="772" t="s">
        <v>7913</v>
      </c>
      <c r="W3" s="773"/>
      <c r="X3" s="774"/>
      <c r="Y3" s="777" t="s">
        <v>72</v>
      </c>
      <c r="Z3" s="777"/>
      <c r="AA3" s="777"/>
      <c r="AB3" s="767" t="s">
        <v>4323</v>
      </c>
      <c r="AC3" s="768"/>
      <c r="AD3" s="769"/>
      <c r="AE3" s="232"/>
      <c r="AF3" s="775" t="s">
        <v>7562</v>
      </c>
      <c r="AG3" s="776"/>
      <c r="AH3" s="772" t="s">
        <v>52</v>
      </c>
      <c r="AI3" s="773"/>
      <c r="AJ3" s="774"/>
      <c r="AK3" s="772" t="s">
        <v>7913</v>
      </c>
      <c r="AL3" s="773"/>
      <c r="AM3" s="774"/>
      <c r="AN3" s="777" t="s">
        <v>72</v>
      </c>
      <c r="AO3" s="777"/>
      <c r="AP3" s="777"/>
      <c r="AQ3" s="767" t="s">
        <v>4323</v>
      </c>
      <c r="AR3" s="768"/>
      <c r="AS3" s="769"/>
      <c r="AT3" s="232"/>
      <c r="AU3" s="775" t="s">
        <v>8060</v>
      </c>
      <c r="AV3" s="776"/>
      <c r="AW3" s="772" t="s">
        <v>52</v>
      </c>
      <c r="AX3" s="773"/>
      <c r="AY3" s="774"/>
      <c r="AZ3" s="772" t="s">
        <v>7913</v>
      </c>
      <c r="BA3" s="773"/>
      <c r="BB3" s="774"/>
      <c r="BC3" s="777" t="s">
        <v>72</v>
      </c>
      <c r="BD3" s="777"/>
      <c r="BE3" s="777"/>
      <c r="BF3" s="767" t="s">
        <v>4323</v>
      </c>
      <c r="BG3" s="768"/>
      <c r="BH3" s="769"/>
    </row>
    <row r="4" spans="1:60" s="233" customFormat="1" x14ac:dyDescent="0.2">
      <c r="A4" s="641"/>
      <c r="B4" s="642" t="s">
        <v>10</v>
      </c>
      <c r="C4" s="642" t="s">
        <v>8</v>
      </c>
      <c r="D4" s="643" t="s">
        <v>3245</v>
      </c>
      <c r="E4" s="643" t="s">
        <v>3246</v>
      </c>
      <c r="F4" s="644" t="s">
        <v>67</v>
      </c>
      <c r="G4" s="643" t="s">
        <v>7891</v>
      </c>
      <c r="H4" s="643" t="s">
        <v>7892</v>
      </c>
      <c r="I4" s="643" t="s">
        <v>7893</v>
      </c>
      <c r="J4" s="645" t="s">
        <v>73</v>
      </c>
      <c r="K4" s="645" t="s">
        <v>74</v>
      </c>
      <c r="L4" s="645" t="s">
        <v>111</v>
      </c>
      <c r="M4" s="646" t="s">
        <v>4320</v>
      </c>
      <c r="N4" s="646" t="s">
        <v>4321</v>
      </c>
      <c r="O4" s="646" t="s">
        <v>4322</v>
      </c>
      <c r="P4" s="641"/>
      <c r="Q4" s="642" t="s">
        <v>10</v>
      </c>
      <c r="R4" s="642" t="s">
        <v>8</v>
      </c>
      <c r="S4" s="643" t="s">
        <v>3245</v>
      </c>
      <c r="T4" s="643" t="s">
        <v>3246</v>
      </c>
      <c r="U4" s="644" t="s">
        <v>67</v>
      </c>
      <c r="V4" s="643" t="s">
        <v>7891</v>
      </c>
      <c r="W4" s="643" t="s">
        <v>7892</v>
      </c>
      <c r="X4" s="643" t="s">
        <v>7893</v>
      </c>
      <c r="Y4" s="645" t="s">
        <v>73</v>
      </c>
      <c r="Z4" s="645" t="s">
        <v>74</v>
      </c>
      <c r="AA4" s="645" t="s">
        <v>111</v>
      </c>
      <c r="AB4" s="646" t="s">
        <v>4320</v>
      </c>
      <c r="AC4" s="646" t="s">
        <v>4321</v>
      </c>
      <c r="AD4" s="646" t="s">
        <v>4322</v>
      </c>
      <c r="AE4" s="641"/>
      <c r="AF4" s="642" t="s">
        <v>10</v>
      </c>
      <c r="AG4" s="642" t="s">
        <v>8</v>
      </c>
      <c r="AH4" s="643" t="s">
        <v>3245</v>
      </c>
      <c r="AI4" s="643" t="s">
        <v>3246</v>
      </c>
      <c r="AJ4" s="644" t="s">
        <v>67</v>
      </c>
      <c r="AK4" s="643" t="s">
        <v>7891</v>
      </c>
      <c r="AL4" s="643" t="s">
        <v>7892</v>
      </c>
      <c r="AM4" s="643" t="s">
        <v>7893</v>
      </c>
      <c r="AN4" s="645" t="s">
        <v>73</v>
      </c>
      <c r="AO4" s="645" t="s">
        <v>74</v>
      </c>
      <c r="AP4" s="645" t="s">
        <v>111</v>
      </c>
      <c r="AQ4" s="646" t="s">
        <v>4320</v>
      </c>
      <c r="AR4" s="646" t="s">
        <v>4321</v>
      </c>
      <c r="AS4" s="646" t="s">
        <v>4322</v>
      </c>
      <c r="AT4" s="641"/>
      <c r="AU4" s="647" t="s">
        <v>10</v>
      </c>
      <c r="AV4" s="647" t="s">
        <v>8</v>
      </c>
      <c r="AW4" s="643" t="s">
        <v>3245</v>
      </c>
      <c r="AX4" s="643" t="s">
        <v>3246</v>
      </c>
      <c r="AY4" s="644" t="s">
        <v>67</v>
      </c>
      <c r="AZ4" s="643" t="s">
        <v>7891</v>
      </c>
      <c r="BA4" s="643" t="s">
        <v>7892</v>
      </c>
      <c r="BB4" s="643" t="s">
        <v>7893</v>
      </c>
      <c r="BC4" s="645" t="s">
        <v>73</v>
      </c>
      <c r="BD4" s="645" t="s">
        <v>74</v>
      </c>
      <c r="BE4" s="645" t="s">
        <v>111</v>
      </c>
      <c r="BF4" s="646" t="s">
        <v>4320</v>
      </c>
      <c r="BG4" s="646" t="s">
        <v>4321</v>
      </c>
      <c r="BH4" s="646" t="s">
        <v>4322</v>
      </c>
    </row>
    <row r="5" spans="1:60" x14ac:dyDescent="0.2">
      <c r="A5" s="611"/>
      <c r="B5" s="234">
        <f>VLOOKUP(ППД4!A2,Реестр_Д4[№],1,0)</f>
        <v>1</v>
      </c>
      <c r="C5" s="234" t="str">
        <f>VLOOKUP(ППД4!CO2,Реестр_Д4[Статус],1,0)</f>
        <v>Продажа</v>
      </c>
      <c r="D5" s="612">
        <f>VLOOKUP(ППД4!CE2,Реестр_Д4[Стоимость ОН без отделки со скидкой],1,0)</f>
        <v>2588663.5299999998</v>
      </c>
      <c r="E5" s="612" cm="1">
        <f t="array" ref="E5">IFERROR(INDEX(РД[Стоимость без отделки итог],MATCH($B$3&amp;Таблица4[[#This Row],[№]]&amp;"Продажа",РД[Дом]&amp;РД[№ кв]&amp;РД[Состояние],0),1),Таблица4[[#This Row],[Статус]])</f>
        <v>2588663.5299999993</v>
      </c>
      <c r="F5" s="235">
        <f>IFERROR((Таблица4[[#This Row],[ПП]]-Таблица4[[#This Row],[ДДУ]])*1,"")</f>
        <v>4.6566128730773926E-10</v>
      </c>
      <c r="G5" s="235" cm="1">
        <f t="array" ref="G5">IFERROR(INDEX(РД[Стоимость с отделкой итог],MATCH($B$3&amp;Таблица4[[#This Row],[№]]&amp;"Продажа",РД[Дом]&amp;РД[№ кв]&amp;РД[Состояние],0),1),Таблица4[[#This Row],[Статус]])</f>
        <v>2840138.53</v>
      </c>
      <c r="H5" s="235">
        <f>_xlfn.XLOOKUP(Таблица4[[#This Row],[№]],Реестр_Д4[№],Реестр_Д4[Стоимость квартиры с отделкой],"-",0)</f>
        <v>2840138.53</v>
      </c>
      <c r="I5" s="235">
        <f>IFERROR(Таблица4[[#This Row],[СО ПП]]-Таблица4[[#This Row],[СО ДДУ]],"")</f>
        <v>0</v>
      </c>
      <c r="J5" s="233" cm="1">
        <f t="array" ref="J5">IFERROR(INDEX(РД[S],MATCH($B$3&amp;Таблица4[[#This Row],[№]]&amp;"Продажа",РД[Дом]&amp;РД[№ кв]&amp;РД[Состояние],0),1),Таблица4[[#This Row],[Статус]])</f>
        <v>33.53</v>
      </c>
      <c r="K5" s="233">
        <f>VLOOKUP(Таблица4[[#This Row],[№]],Реестр_Д4[],20,0)</f>
        <v>33.53</v>
      </c>
      <c r="L5" s="235">
        <f>IFERROR(Таблица4[[#This Row],[S ПП]]-Таблица4[[#This Row],[S ДДУ]],)</f>
        <v>0</v>
      </c>
      <c r="M5" s="235">
        <f>ROUND(_xlfn.XLOOKUP(Таблица4[[#This Row],[№]],Реестр_Д4[№],Реестр_Д4[Итоговая сумма скидки],"",0),2)</f>
        <v>0</v>
      </c>
      <c r="N5" s="235" cm="1">
        <f t="array" ref="N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" s="285">
        <f>IFERROR(Таблица4[[#This Row],[ППС]]-Таблица4[[#This Row],[ДДУС]],)</f>
        <v>0</v>
      </c>
      <c r="P5" s="611"/>
      <c r="Q5" s="234">
        <f>VLOOKUP(ППД5!A2,Реестр_Д5[№],1,0)</f>
        <v>1</v>
      </c>
      <c r="R5" s="234" t="str">
        <f>VLOOKUP(ППД5!CH2,Реестр_Д5[Статус],1,0)</f>
        <v>Продажа</v>
      </c>
      <c r="S5" s="612">
        <f>VLOOKUP(ППД5!BZ2,Реестр_Д5[Стоимость ОН без отделки со скидкой],1,0)</f>
        <v>3133956.92</v>
      </c>
      <c r="T5" s="612" cm="1">
        <f t="array" ref="T5">IFERROR(INDEX(РД[Стоимость без отделки итог],MATCH($Q$3&amp;Таблица10[[#This Row],[№]]&amp;"Продажа",РД[Дом]&amp;РД[№ кв]&amp;РД[Состояние],0),1),Таблица10[[#This Row],[Статус]])</f>
        <v>3133956.92</v>
      </c>
      <c r="U5" s="235">
        <f>IFERROR((Таблица10[[#This Row],[ПП]]-Таблица10[[#This Row],[ДДУ]])*1,)</f>
        <v>0</v>
      </c>
      <c r="V5" s="235" cm="1">
        <f t="array" ref="V5">IFERROR(INDEX(РД[Стоимость с отделкой итог],MATCH($Q$3&amp;Таблица10[[#This Row],[№]]&amp;"Продажа",РД[Дом]&amp;РД[№ кв]&amp;РД[Состояние],0),1),Таблица10[[#This Row],[Статус]])</f>
        <v>3305906.92</v>
      </c>
      <c r="W5" s="235">
        <f>_xlfn.XLOOKUP(Таблица10[[#This Row],[№]],Реестр_Д5[№],Реестр_Д5[Стоимость квартиры с отделкой],"-",0)</f>
        <v>3305906.92</v>
      </c>
      <c r="X5" s="235">
        <f>IFERROR(Таблица10[[#This Row],[СО ПП]]-Таблица10[[#This Row],[СО ДДУ]],"")</f>
        <v>0</v>
      </c>
      <c r="Y5" s="233" cm="1">
        <f t="array" ref="Y5">IFERROR(INDEX(РД[S],MATCH($Q$3&amp;Таблица10[[#This Row],[№]]&amp;"Продажа",РД[Дом]&amp;РД[№ кв]&amp;РД[Состояние],0),1),Таблица10[[#This Row],[Статус]])</f>
        <v>34.39</v>
      </c>
      <c r="Z5" s="233">
        <f>IF(Таблица10[[#This Row],[№]]&amp;"ДДУ"=ППД5!A2&amp;ППД5!CR2,ППД5!U2,ППД5!V2)</f>
        <v>34.39</v>
      </c>
      <c r="AA5" s="285">
        <f>IFERROR(Таблица10[[#This Row],[S ПП]]-Таблица10[[#This Row],[S ДДУ]],)</f>
        <v>0</v>
      </c>
      <c r="AB5" s="235">
        <f>ROUND(_xlfn.XLOOKUP(Таблица10[[#This Row],[№]],Реестр_Д5[№],Реестр_Д5[Итоговая сумма скидки],"",0),2)</f>
        <v>0</v>
      </c>
      <c r="AC5" s="235" cm="1">
        <f t="array" ref="AC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" s="285">
        <f>IFERROR(Таблица10[[#This Row],[ППС]]-Таблица10[[#This Row],[ДДУС]],)</f>
        <v>0</v>
      </c>
      <c r="AE5" s="611"/>
      <c r="AF5" s="234">
        <f>VLOOKUP(ППД401!A2,Д401[],1,0)</f>
        <v>1</v>
      </c>
      <c r="AG5" s="234" t="str">
        <f>_xlfn.XLOOKUP(Таблица1[[#This Row],[№]],Д401[№],Д401[Статус],"-",0)</f>
        <v>Стр. Резерв</v>
      </c>
      <c r="AH5" s="612">
        <f>_xlfn.XLOOKUP(Таблица1[[#This Row],[№]],Д401[№],Д401[Стоимость ОН без отделки со скидкой],"-",0)</f>
        <v>7798750</v>
      </c>
      <c r="AI5" s="612" t="str" cm="1">
        <f t="array" ref="AI5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5" s="235" t="str">
        <f>IFERROR((Таблица1[[#This Row],[ПП]]-Таблица1[[#This Row],[ДДУ]])*1,"")</f>
        <v/>
      </c>
      <c r="AK5" s="235" t="str" cm="1">
        <f t="array" ref="AK5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5" s="235">
        <f>_xlfn.XLOOKUP(Таблица1[[#This Row],[№]],Д401[№],Д401[Стоимость квартиры с отделкой],"-",0)</f>
        <v>7798750</v>
      </c>
      <c r="AM5" s="235" t="str">
        <f>IFERROR(Таблица1[[#This Row],[СО ПП]]-Таблица1[[#This Row],[СО ДДУ]],"")</f>
        <v/>
      </c>
      <c r="AN5" s="233" t="str" cm="1">
        <f t="array" ref="AN5">IFERROR(INDEX(РД[S],MATCH($AF$3&amp;Таблица1[[#This Row],[№]]&amp;"Продажа",РД[Дом]&amp;РД[№ кв]&amp;РД[Состояние],0),1),Таблица1[[#This Row],[Статус]])</f>
        <v>Стр. Резерв</v>
      </c>
      <c r="AO5" s="233">
        <f>_xlfn.XLOOKUP(Таблица1[[#This Row],[№]],Д401[№],Д401[Расчетная проектная площадь],"-",0)</f>
        <v>62.39</v>
      </c>
      <c r="AP5" s="235" t="str">
        <f>IFERROR(Таблица1[[#This Row],[S ПП]]-Таблица1[[#This Row],[S ДДУ]],"")</f>
        <v/>
      </c>
      <c r="AQ5" s="235">
        <f>_xlfn.XLOOKUP(Таблица1[[#This Row],[№]],Д401[№],Д401[Итоговая сумма скидки],"-",0)</f>
        <v>0</v>
      </c>
      <c r="AR5" s="235" t="str" cm="1">
        <f t="array" ref="AR5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5" s="285" t="str">
        <f>IFERROR(Таблица1[[#This Row],[ППС]]-Таблица1[[#This Row],[ДДУС]],"")</f>
        <v/>
      </c>
      <c r="AT5" s="611"/>
      <c r="AU5" s="484">
        <f>VLOOKUP(ППД402!A2,Д402[],1,0)</f>
        <v>1</v>
      </c>
      <c r="AV5" s="484" t="str">
        <f>_xlfn.XLOOKUP(Т402[[#This Row],[№]],Д402[№],Д402[Статус],"-",0)</f>
        <v>Стр. Резерв</v>
      </c>
      <c r="AW5" s="613">
        <f>_xlfn.XLOOKUP(Т402[[#This Row],[№]],Д402[№],Д402[Стоимость ОН без отделки со скидкой],"-",0)</f>
        <v>4185200</v>
      </c>
      <c r="AX5" s="614" t="str" cm="1">
        <f t="array" ref="AX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" s="485" t="str">
        <f>IFERROR((Т402[[#This Row],[ПП]]-Т402[[#This Row],[ДДУ]])*1,"")</f>
        <v/>
      </c>
      <c r="AZ5" s="486" t="str" cm="1">
        <f t="array" ref="AZ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" s="485">
        <f>_xlfn.XLOOKUP(Т402[[#This Row],[№]],Д402[№],Д402[Стоимость квартиры с отделкой],"-",0)</f>
        <v>4185200</v>
      </c>
      <c r="BB5" s="485" t="str">
        <f>IFERROR(Т402[[#This Row],[СО ПП]]-Т402[[#This Row],[СО ДДУ]],"")</f>
        <v/>
      </c>
      <c r="BC5" s="487" t="str" cm="1">
        <f t="array" ref="BC5">IFERROR(INDEX(РД[S],MATCH($AU$3&amp;Т402[[#This Row],[№]]&amp;"Продажа",РД[Дом]&amp;РД[№ кв]&amp;РД[Состояние],0),1),Т402[[#This Row],[Статус]])</f>
        <v>Стр. Резерв</v>
      </c>
      <c r="BD5" s="483">
        <f>_xlfn.XLOOKUP(Т402[[#This Row],[№]],Д402[№],Д402[Расчетная проектная площадь],"-",0)</f>
        <v>29.69</v>
      </c>
      <c r="BE5" s="485" t="str">
        <f>IFERROR(Т402[[#This Row],[S ПП]]-Т402[[#This Row],[S ДДУ]],"")</f>
        <v/>
      </c>
      <c r="BF5" s="485">
        <f>_xlfn.XLOOKUP(Т402[[#This Row],[№]],Д402[№],Д402[Итоговая сумма скидки],"-",0)</f>
        <v>0</v>
      </c>
      <c r="BG5" s="486" t="str" cm="1">
        <f t="array" ref="BG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" s="488" t="str">
        <f>IFERROR(Т402[[#This Row],[ППС]]-Т402[[#This Row],[ДДУС]],"")</f>
        <v/>
      </c>
    </row>
    <row r="6" spans="1:60" x14ac:dyDescent="0.2">
      <c r="A6" s="611"/>
      <c r="B6" s="234">
        <f>VLOOKUP(ППД4!A3,Реестр_Д4[№],1,0)</f>
        <v>2</v>
      </c>
      <c r="C6" s="234" t="str">
        <f>VLOOKUP(ППД4!CO3,Реестр_Д4[Статус],1,0)</f>
        <v>Продажа</v>
      </c>
      <c r="D6" s="612">
        <f>VLOOKUP(ППД4!CE3,Реестр_Д4[Стоимость ОН без отделки со скидкой],1,0)</f>
        <v>6017312</v>
      </c>
      <c r="E6" s="612" cm="1">
        <f t="array" ref="E6">IFERROR(INDEX(РД[Стоимость без отделки итог],MATCH($B$3&amp;Таблица4[[#This Row],[№]]&amp;"Продажа",РД[Дом]&amp;РД[№ кв]&amp;РД[Состояние],0),1),Таблица4[[#This Row],[Статус]])</f>
        <v>6017312</v>
      </c>
      <c r="F6" s="235">
        <f>IFERROR((Таблица4[[#This Row],[ПП]]-Таблица4[[#This Row],[ДДУ]])*1,"")</f>
        <v>0</v>
      </c>
      <c r="G6" s="235" cm="1">
        <f t="array" ref="G6">IFERROR(INDEX(РД[Стоимость с отделкой итог],MATCH($B$3&amp;Таблица4[[#This Row],[№]]&amp;"Продажа",РД[Дом]&amp;РД[№ кв]&amp;РД[Состояние],0),1),Таблица4[[#This Row],[Статус]])</f>
        <v>6480512</v>
      </c>
      <c r="H6" s="235">
        <f>_xlfn.XLOOKUP(Таблица4[[#This Row],[№]],Реестр_Д4[№],Реестр_Д4[Стоимость квартиры с отделкой],"-",0)</f>
        <v>6480512</v>
      </c>
      <c r="I6" s="235">
        <f>IFERROR(Таблица4[[#This Row],[СО ПП]]-Таблица4[[#This Row],[СО ДДУ]],"")</f>
        <v>0</v>
      </c>
      <c r="J6" s="233" cm="1">
        <f t="array" ref="J6">IFERROR(INDEX(РД[S],MATCH($B$3&amp;Таблица4[[#This Row],[№]]&amp;"Продажа",РД[Дом]&amp;РД[№ кв]&amp;РД[Состояние],0),1),Таблица4[[#This Row],[Статус]])</f>
        <v>61.76</v>
      </c>
      <c r="K6" s="233">
        <f>VLOOKUP(Таблица4[[#This Row],[№]],Реестр_Д4[],20,0)</f>
        <v>61.76</v>
      </c>
      <c r="L6" s="235">
        <f>IFERROR(Таблица4[[#This Row],[S ПП]]-Таблица4[[#This Row],[S ДДУ]],)</f>
        <v>0</v>
      </c>
      <c r="M6" s="235">
        <f>ROUND(_xlfn.XLOOKUP(Таблица4[[#This Row],[№]],Реестр_Д4[№],Реестр_Д4[Итоговая сумма скидки],"",0),2)</f>
        <v>88888</v>
      </c>
      <c r="N6" s="235" cm="1">
        <f t="array" ref="N6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6" s="235">
        <f>IFERROR(Таблица4[[#This Row],[ППС]]-Таблица4[[#This Row],[ДДУС]],)</f>
        <v>0</v>
      </c>
      <c r="P6" s="611"/>
      <c r="Q6" s="234">
        <f>VLOOKUP(ППД5!A3,Реестр_Д5[№],1,0)</f>
        <v>2</v>
      </c>
      <c r="R6" s="234" t="str">
        <f>VLOOKUP(ППД5!CH3,Реестр_Д5[Статус],1,0)</f>
        <v>Свободно</v>
      </c>
      <c r="S6" s="612">
        <f>VLOOKUP(ППД5!BZ3,Реестр_Д5[Стоимость ОН без отделки со скидкой],1,0)</f>
        <v>8312200</v>
      </c>
      <c r="T6" s="612" t="str" cm="1">
        <f t="array" ref="T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6" s="235">
        <f>IFERROR((Таблица10[[#This Row],[ПП]]-Таблица10[[#This Row],[ДДУ]])*1,)</f>
        <v>0</v>
      </c>
      <c r="V6" s="235" t="str" cm="1">
        <f t="array" ref="V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6" s="235">
        <f>_xlfn.XLOOKUP(Таблица10[[#This Row],[№]],Реестр_Д5[№],Реестр_Д5[Стоимость квартиры с отделкой],"-",0)</f>
        <v>8312200</v>
      </c>
      <c r="X6" s="235" t="str">
        <f>IFERROR(Таблица10[[#This Row],[СО ПП]]-Таблица10[[#This Row],[СО ДДУ]],"")</f>
        <v/>
      </c>
      <c r="Y6" s="233" t="str" cm="1">
        <f t="array" ref="Y6">IFERROR(INDEX(РД[S],MATCH($Q$3&amp;Таблица10[[#This Row],[№]]&amp;"Продажа",РД[Дом]&amp;РД[№ кв]&amp;РД[Состояние],0),1),Таблица10[[#This Row],[Статус]])</f>
        <v>Свободно</v>
      </c>
      <c r="Z6" s="233">
        <f>IF(Таблица10[[#This Row],[№]]&amp;"ДДУ"=ППД5!A3&amp;ППД5!CR3,ППД5!U3,ППД5!V3)</f>
        <v>66.350000000000009</v>
      </c>
      <c r="AA6" s="285">
        <f>IFERROR(Таблица10[[#This Row],[S ПП]]-Таблица10[[#This Row],[S ДДУ]],)</f>
        <v>0</v>
      </c>
      <c r="AB6" s="235">
        <f>ROUND(_xlfn.XLOOKUP(Таблица10[[#This Row],[№]],Реестр_Д5[№],Реестр_Д5[Итоговая сумма скидки],"",0),2)</f>
        <v>0</v>
      </c>
      <c r="AC6" s="235" t="str" cm="1">
        <f t="array" ref="AC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6" s="285">
        <f>IFERROR(Таблица10[[#This Row],[ППС]]-Таблица10[[#This Row],[ДДУС]],)</f>
        <v>0</v>
      </c>
      <c r="AE6" s="611"/>
      <c r="AF6" s="234">
        <f>VLOOKUP(ППД401!A3,Д401[],1,0)</f>
        <v>2</v>
      </c>
      <c r="AG6" s="234" t="str">
        <f>_xlfn.XLOOKUP(Таблица1[[#This Row],[№]],Д401[№],Д401[Статус],"-",0)</f>
        <v>Свободно</v>
      </c>
      <c r="AH6" s="612">
        <f>_xlfn.XLOOKUP(Таблица1[[#This Row],[№]],Д401[№],Д401[Стоимость ОН без отделки со скидкой],"-",0)</f>
        <v>5199800</v>
      </c>
      <c r="AI6" s="612" t="str" cm="1">
        <f t="array" ref="AI6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6" s="235" t="str">
        <f>IFERROR((Таблица1[[#This Row],[ПП]]-Таблица1[[#This Row],[ДДУ]])*1,"")</f>
        <v/>
      </c>
      <c r="AK6" s="235" t="str" cm="1">
        <f t="array" ref="AK6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6" s="235">
        <f>_xlfn.XLOOKUP(Таблица1[[#This Row],[№]],Д401[№],Д401[Стоимость квартиры с отделкой],"-",0)</f>
        <v>5199800</v>
      </c>
      <c r="AM6" s="235" t="str">
        <f>IFERROR(Таблица1[[#This Row],[СО ПП]]-Таблица1[[#This Row],[СО ДДУ]],"")</f>
        <v/>
      </c>
      <c r="AN6" s="233" t="str" cm="1">
        <f t="array" ref="AN6">IFERROR(INDEX(РД[S],MATCH($AF$3&amp;Таблица1[[#This Row],[№]]&amp;"Продажа",РД[Дом]&amp;РД[№ кв]&amp;РД[Состояние],0),1),Таблица1[[#This Row],[Статус]])</f>
        <v>Свободно</v>
      </c>
      <c r="AO6" s="233">
        <f>_xlfn.XLOOKUP(Таблица1[[#This Row],[№]],Д401[№],Д401[Расчетная проектная площадь],"-",0)</f>
        <v>38.46</v>
      </c>
      <c r="AP6" s="235" t="str">
        <f>IFERROR(Таблица1[[#This Row],[S ПП]]-Таблица1[[#This Row],[S ДДУ]],"")</f>
        <v/>
      </c>
      <c r="AQ6" s="235">
        <f>_xlfn.XLOOKUP(Таблица1[[#This Row],[№]],Д401[№],Д401[Итоговая сумма скидки],"-",0)</f>
        <v>0</v>
      </c>
      <c r="AR6" s="235" t="str" cm="1">
        <f t="array" ref="AR6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6" s="285" t="str">
        <f>IFERROR(Таблица1[[#This Row],[ППС]]-Таблица1[[#This Row],[ДДУС]],"")</f>
        <v/>
      </c>
      <c r="AT6" s="611"/>
      <c r="AU6" s="484">
        <f>VLOOKUP(ППД402!A3,Д402[],1,0)</f>
        <v>2</v>
      </c>
      <c r="AV6" s="484" t="str">
        <f>_xlfn.XLOOKUP(Т402[[#This Row],[№]],Д402[№],Д402[Статус],"-",0)</f>
        <v>Стр. Резерв</v>
      </c>
      <c r="AW6" s="613">
        <f>_xlfn.XLOOKUP(Т402[[#This Row],[№]],Д402[№],Д402[Стоимость ОН без отделки со скидкой],"-",0)</f>
        <v>7531800</v>
      </c>
      <c r="AX6" s="614" t="str" cm="1">
        <f t="array" ref="AX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" s="485" t="str">
        <f>IFERROR((Т402[[#This Row],[ПП]]-Т402[[#This Row],[ДДУ]])*1,"")</f>
        <v/>
      </c>
      <c r="AZ6" s="486" t="str" cm="1">
        <f t="array" ref="AZ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" s="485">
        <f>_xlfn.XLOOKUP(Т402[[#This Row],[№]],Д402[№],Д402[Стоимость квартиры с отделкой],"-",0)</f>
        <v>7531800</v>
      </c>
      <c r="BB6" s="485" t="str">
        <f>IFERROR(Т402[[#This Row],[СО ПП]]-Т402[[#This Row],[СО ДДУ]],"")</f>
        <v/>
      </c>
      <c r="BC6" s="487" t="str" cm="1">
        <f t="array" ref="BC6">IFERROR(INDEX(РД[S],MATCH($AU$3&amp;Т402[[#This Row],[№]]&amp;"Продажа",РД[Дом]&amp;РД[№ кв]&amp;РД[Состояние],0),1),Т402[[#This Row],[Статус]])</f>
        <v>Стр. Резерв</v>
      </c>
      <c r="BD6" s="483">
        <f>_xlfn.XLOOKUP(Т402[[#This Row],[№]],Д402[№],Д402[Расчетная проектная площадь],"-",0)</f>
        <v>60.11</v>
      </c>
      <c r="BE6" s="485" t="str">
        <f>IFERROR(Т402[[#This Row],[S ПП]]-Т402[[#This Row],[S ДДУ]],"")</f>
        <v/>
      </c>
      <c r="BF6" s="485">
        <f>_xlfn.XLOOKUP(Т402[[#This Row],[№]],Д402[№],Д402[Итоговая сумма скидки],"-",0)</f>
        <v>0</v>
      </c>
      <c r="BG6" s="486" t="str" cm="1">
        <f t="array" ref="BG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" s="488" t="str">
        <f>IFERROR(Т402[[#This Row],[ППС]]-Т402[[#This Row],[ДДУС]],"")</f>
        <v/>
      </c>
    </row>
    <row r="7" spans="1:60" x14ac:dyDescent="0.2">
      <c r="A7" s="611"/>
      <c r="B7" s="234">
        <f>VLOOKUP(ППД4!A4,Реестр_Д4[№],1,0)</f>
        <v>3</v>
      </c>
      <c r="C7" s="234" t="str">
        <f>VLOOKUP(ППД4!CO4,Реестр_Д4[Статус],1,0)</f>
        <v>Продажа</v>
      </c>
      <c r="D7" s="612">
        <f>VLOOKUP(ППД4!CE4,Реестр_Д4[Стоимость ОН без отделки со скидкой],1,0)</f>
        <v>3406171.01</v>
      </c>
      <c r="E7" s="612" cm="1">
        <f t="array" ref="E7">IFERROR(INDEX(РД[Стоимость без отделки итог],MATCH($B$3&amp;Таблица4[[#This Row],[№]]&amp;"Продажа",РД[Дом]&amp;РД[№ кв]&amp;РД[Состояние],0),1),Таблица4[[#This Row],[Статус]])</f>
        <v>3406171.01</v>
      </c>
      <c r="F7" s="235">
        <f>IFERROR((Таблица4[[#This Row],[ПП]]-Таблица4[[#This Row],[ДДУ]])*1,"")</f>
        <v>0</v>
      </c>
      <c r="G7" s="235" cm="1">
        <f t="array" ref="G7">IFERROR(INDEX(РД[Стоимость с отделкой итог],MATCH($B$3&amp;Таблица4[[#This Row],[№]]&amp;"Продажа",РД[Дом]&amp;РД[№ кв]&amp;РД[Состояние],0),1),Таблица4[[#This Row],[Статус]])</f>
        <v>3957041.01</v>
      </c>
      <c r="H7" s="235">
        <f>_xlfn.XLOOKUP(Таблица4[[#This Row],[№]],Реестр_Д4[№],Реестр_Д4[Стоимость квартиры с отделкой],"-",0)</f>
        <v>3957041.01</v>
      </c>
      <c r="I7" s="235">
        <f>IFERROR(Таблица4[[#This Row],[СО ПП]]-Таблица4[[#This Row],[СО ДДУ]],"")</f>
        <v>0</v>
      </c>
      <c r="J7" s="233" cm="1">
        <f t="array" ref="J7">IFERROR(INDEX(РД[S],MATCH($B$3&amp;Таблица4[[#This Row],[№]]&amp;"Продажа",РД[Дом]&amp;РД[№ кв]&amp;РД[Состояние],0),1),Таблица4[[#This Row],[Статус]])</f>
        <v>35.54</v>
      </c>
      <c r="K7" s="233">
        <f>VLOOKUP(Таблица4[[#This Row],[№]],Реестр_Д4[],20,0)</f>
        <v>35.54</v>
      </c>
      <c r="L7" s="235">
        <f>IFERROR(Таблица4[[#This Row],[S ПП]]-Таблица4[[#This Row],[S ДДУ]],)</f>
        <v>0</v>
      </c>
      <c r="M7" s="235">
        <f>ROUND(_xlfn.XLOOKUP(Таблица4[[#This Row],[№]],Реестр_Д4[№],Реестр_Д4[Итоговая сумма скидки],"",0),2)</f>
        <v>0</v>
      </c>
      <c r="N7" s="235" cm="1">
        <f t="array" ref="N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" s="235">
        <f>IFERROR(Таблица4[[#This Row],[ППС]]-Таблица4[[#This Row],[ДДУС]],)</f>
        <v>0</v>
      </c>
      <c r="P7" s="611"/>
      <c r="Q7" s="234">
        <f>VLOOKUP(ППД5!A4,Реестр_Д5[№],1,0)</f>
        <v>3</v>
      </c>
      <c r="R7" s="234" t="str">
        <f>VLOOKUP(ППД5!CH4,Реестр_Д5[Статус],1,0)</f>
        <v>Свободно</v>
      </c>
      <c r="S7" s="612">
        <f>VLOOKUP(ППД5!BZ4,Реестр_Д5[Стоимость ОН без отделки со скидкой],1,0)</f>
        <v>5781800</v>
      </c>
      <c r="T7" s="612" t="str" cm="1">
        <f t="array" ref="T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7" s="235">
        <f>IFERROR((Таблица10[[#This Row],[ПП]]-Таблица10[[#This Row],[ДДУ]])*1,)</f>
        <v>0</v>
      </c>
      <c r="V7" s="235" t="str" cm="1">
        <f t="array" ref="V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7" s="235">
        <f>_xlfn.XLOOKUP(Таблица10[[#This Row],[№]],Реестр_Д5[№],Реестр_Д5[Стоимость квартиры с отделкой],"-",0)</f>
        <v>5781800</v>
      </c>
      <c r="X7" s="235" t="str">
        <f>IFERROR(Таблица10[[#This Row],[СО ПП]]-Таблица10[[#This Row],[СО ДДУ]],"")</f>
        <v/>
      </c>
      <c r="Y7" s="233" t="str" cm="1">
        <f t="array" ref="Y7">IFERROR(INDEX(РД[S],MATCH($Q$3&amp;Таблица10[[#This Row],[№]]&amp;"Продажа",РД[Дом]&amp;РД[№ кв]&amp;РД[Состояние],0),1),Таблица10[[#This Row],[Статус]])</f>
        <v>Свободно</v>
      </c>
      <c r="Z7" s="233">
        <f>IF(Таблица10[[#This Row],[№]]&amp;"ДДУ"=ППД5!A4&amp;ППД5!CR4,ППД5!U4,ППД5!V4)</f>
        <v>37.549999999999997</v>
      </c>
      <c r="AA7" s="285">
        <f>IFERROR(Таблица10[[#This Row],[S ПП]]-Таблица10[[#This Row],[S ДДУ]],)</f>
        <v>0</v>
      </c>
      <c r="AB7" s="235">
        <f>ROUND(_xlfn.XLOOKUP(Таблица10[[#This Row],[№]],Реестр_Д5[№],Реестр_Д5[Итоговая сумма скидки],"",0),2)</f>
        <v>0</v>
      </c>
      <c r="AC7" s="235" t="str" cm="1">
        <f t="array" ref="AC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7" s="285">
        <f>IFERROR(Таблица10[[#This Row],[ППС]]-Таблица10[[#This Row],[ДДУС]],)</f>
        <v>0</v>
      </c>
      <c r="AE7" s="611"/>
      <c r="AF7" s="234">
        <f>VLOOKUP(ППД401!A4,Д401[],1,0)</f>
        <v>3</v>
      </c>
      <c r="AG7" s="234" t="str">
        <f>_xlfn.XLOOKUP(Таблица1[[#This Row],[№]],Д401[№],Д401[Статус],"-",0)</f>
        <v>Стр. Резерв</v>
      </c>
      <c r="AH7" s="612">
        <f>_xlfn.XLOOKUP(Таблица1[[#This Row],[№]],Д401[№],Д401[Стоимость ОН без отделки со скидкой],"-",0)</f>
        <v>6856250</v>
      </c>
      <c r="AI7" s="612" t="str" cm="1">
        <f t="array" ref="AI7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" s="235" t="str">
        <f>IFERROR((Таблица1[[#This Row],[ПП]]-Таблица1[[#This Row],[ДДУ]])*1,"")</f>
        <v/>
      </c>
      <c r="AK7" s="235" t="str" cm="1">
        <f t="array" ref="AK7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" s="235">
        <f>_xlfn.XLOOKUP(Таблица1[[#This Row],[№]],Д401[№],Д401[Стоимость квартиры с отделкой],"-",0)</f>
        <v>6856250</v>
      </c>
      <c r="AM7" s="235" t="str">
        <f>IFERROR(Таблица1[[#This Row],[СО ПП]]-Таблица1[[#This Row],[СО ДДУ]],"")</f>
        <v/>
      </c>
      <c r="AN7" s="233" t="str" cm="1">
        <f t="array" ref="AN7">IFERROR(INDEX(РД[S],MATCH($AF$3&amp;Таблица1[[#This Row],[№]]&amp;"Продажа",РД[Дом]&amp;РД[№ кв]&amp;РД[Состояние],0),1),Таблица1[[#This Row],[Статус]])</f>
        <v>Стр. Резерв</v>
      </c>
      <c r="AO7" s="233">
        <f>_xlfn.XLOOKUP(Таблица1[[#This Row],[№]],Д401[№],Д401[Расчетная проектная площадь],"-",0)</f>
        <v>54.85</v>
      </c>
      <c r="AP7" s="235" t="str">
        <f>IFERROR(Таблица1[[#This Row],[S ПП]]-Таблица1[[#This Row],[S ДДУ]],"")</f>
        <v/>
      </c>
      <c r="AQ7" s="235">
        <f>_xlfn.XLOOKUP(Таблица1[[#This Row],[№]],Д401[№],Д401[Итоговая сумма скидки],"-",0)</f>
        <v>0</v>
      </c>
      <c r="AR7" s="235" t="str" cm="1">
        <f t="array" ref="AR7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" s="285" t="str">
        <f>IFERROR(Таблица1[[#This Row],[ППС]]-Таблица1[[#This Row],[ДДУС]],"")</f>
        <v/>
      </c>
      <c r="AT7" s="611"/>
      <c r="AU7" s="484">
        <f>VLOOKUP(ППД402!A4,Д402[],1,0)</f>
        <v>3</v>
      </c>
      <c r="AV7" s="484" t="str">
        <f>_xlfn.XLOOKUP(Т402[[#This Row],[№]],Д402[№],Д402[Статус],"-",0)</f>
        <v>Стр. Резерв</v>
      </c>
      <c r="AW7" s="613">
        <f>_xlfn.XLOOKUP(Т402[[#This Row],[№]],Д402[№],Д402[Стоимость ОН без отделки со скидкой],"-",0)</f>
        <v>6527600</v>
      </c>
      <c r="AX7" s="614" t="str" cm="1">
        <f t="array" ref="AX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" s="485" t="str">
        <f>IFERROR((Т402[[#This Row],[ПП]]-Т402[[#This Row],[ДДУ]])*1,"")</f>
        <v/>
      </c>
      <c r="AZ7" s="486" t="str" cm="1">
        <f t="array" ref="AZ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" s="485">
        <f>_xlfn.XLOOKUP(Т402[[#This Row],[№]],Д402[№],Д402[Стоимость квартиры с отделкой],"-",0)</f>
        <v>6527600</v>
      </c>
      <c r="BB7" s="485" t="str">
        <f>IFERROR(Т402[[#This Row],[СО ПП]]-Т402[[#This Row],[СО ДДУ]],"")</f>
        <v/>
      </c>
      <c r="BC7" s="487" t="str" cm="1">
        <f t="array" ref="BC7">IFERROR(INDEX(РД[S],MATCH($AU$3&amp;Т402[[#This Row],[№]]&amp;"Продажа",РД[Дом]&amp;РД[№ кв]&amp;РД[Состояние],0),1),Т402[[#This Row],[Статус]])</f>
        <v>Стр. Резерв</v>
      </c>
      <c r="BD7" s="483">
        <f>_xlfn.XLOOKUP(Т402[[#This Row],[№]],Д402[№],Д402[Расчетная проектная площадь],"-",0)</f>
        <v>54.68</v>
      </c>
      <c r="BE7" s="485" t="str">
        <f>IFERROR(Т402[[#This Row],[S ПП]]-Т402[[#This Row],[S ДДУ]],"")</f>
        <v/>
      </c>
      <c r="BF7" s="485">
        <f>_xlfn.XLOOKUP(Т402[[#This Row],[№]],Д402[№],Д402[Итоговая сумма скидки],"-",0)</f>
        <v>0</v>
      </c>
      <c r="BG7" s="486" t="str" cm="1">
        <f t="array" ref="BG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" s="488" t="str">
        <f>IFERROR(Т402[[#This Row],[ППС]]-Т402[[#This Row],[ДДУС]],"")</f>
        <v/>
      </c>
    </row>
    <row r="8" spans="1:60" x14ac:dyDescent="0.2">
      <c r="A8" s="611"/>
      <c r="B8" s="234">
        <f>VLOOKUP(ППД4!A5,Реестр_Д4[№],1,0)</f>
        <v>4</v>
      </c>
      <c r="C8" s="234" t="str">
        <f>VLOOKUP(ППД4!CO5,Реестр_Д4[Статус],1,0)</f>
        <v>Продажа</v>
      </c>
      <c r="D8" s="612">
        <f>VLOOKUP(ППД4!CE5,Реестр_Д4[Стоимость ОН без отделки со скидкой],1,0)</f>
        <v>4199405.3600000003</v>
      </c>
      <c r="E8" s="612" cm="1">
        <f t="array" ref="E8">IFERROR(INDEX(РД[Стоимость без отделки итог],MATCH($B$3&amp;Таблица4[[#This Row],[№]]&amp;"Продажа",РД[Дом]&amp;РД[№ кв]&amp;РД[Состояние],0),1),Таблица4[[#This Row],[Статус]])</f>
        <v>4199405.3599999994</v>
      </c>
      <c r="F8" s="235">
        <f>IFERROR((Таблица4[[#This Row],[ПП]]-Таблица4[[#This Row],[ДДУ]])*1,"")</f>
        <v>9.3132257461547852E-10</v>
      </c>
      <c r="G8" s="235" cm="1">
        <f t="array" ref="G8">IFERROR(INDEX(РД[Стоимость с отделкой итог],MATCH($B$3&amp;Таблица4[[#This Row],[№]]&amp;"Продажа",РД[Дом]&amp;РД[№ кв]&amp;РД[Состояние],0),1),Таблица4[[#This Row],[Статус]])</f>
        <v>5039855.3600000003</v>
      </c>
      <c r="H8" s="235">
        <f>_xlfn.XLOOKUP(Таблица4[[#This Row],[№]],Реестр_Д4[№],Реестр_Д4[Стоимость квартиры с отделкой],"-",0)</f>
        <v>5039855.3600000003</v>
      </c>
      <c r="I8" s="235">
        <f>IFERROR(Таблица4[[#This Row],[СО ПП]]-Таблица4[[#This Row],[СО ДДУ]],"")</f>
        <v>0</v>
      </c>
      <c r="J8" s="233" cm="1">
        <f t="array" ref="J8">IFERROR(INDEX(РД[S],MATCH($B$3&amp;Таблица4[[#This Row],[№]]&amp;"Продажа",РД[Дом]&amp;РД[№ кв]&amp;РД[Состояние],0),1),Таблица4[[#This Row],[Статус]])</f>
        <v>56.03</v>
      </c>
      <c r="K8" s="233">
        <f>VLOOKUP(Таблица4[[#This Row],[№]],Реестр_Д4[],20,0)</f>
        <v>56.03</v>
      </c>
      <c r="L8" s="235">
        <f>IFERROR(Таблица4[[#This Row],[S ПП]]-Таблица4[[#This Row],[S ДДУ]],)</f>
        <v>0</v>
      </c>
      <c r="M8" s="235">
        <f>ROUND(_xlfn.XLOOKUP(Таблица4[[#This Row],[№]],Реестр_Д4[№],Реестр_Д4[Итоговая сумма скидки],"",0),2)</f>
        <v>0</v>
      </c>
      <c r="N8" s="235" cm="1">
        <f t="array" ref="N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" s="235">
        <f>IFERROR(Таблица4[[#This Row],[ППС]]-Таблица4[[#This Row],[ДДУС]],)</f>
        <v>0</v>
      </c>
      <c r="P8" s="611"/>
      <c r="Q8" s="234">
        <f>VLOOKUP(ППД5!A5,Реестр_Д5[№],1,0)</f>
        <v>4</v>
      </c>
      <c r="R8" s="234" t="str">
        <f>VLOOKUP(ППД5!CH5,Реестр_Д5[Статус],1,0)</f>
        <v>Продажа</v>
      </c>
      <c r="S8" s="612">
        <f>VLOOKUP(ППД5!BZ5,Реестр_Д5[Стоимость ОН без отделки со скидкой],1,0)</f>
        <v>6215162.3600000003</v>
      </c>
      <c r="T8" s="612" cm="1">
        <f t="array" ref="T8">IFERROR(INDEX(РД[Стоимость без отделки итог],MATCH($Q$3&amp;Таблица10[[#This Row],[№]]&amp;"Продажа",РД[Дом]&amp;РД[№ кв]&amp;РД[Состояние],0),1),Таблица10[[#This Row],[Статус]])</f>
        <v>6215162.3600000003</v>
      </c>
      <c r="U8" s="235">
        <f>IFERROR((Таблица10[[#This Row],[ПП]]-Таблица10[[#This Row],[ДДУ]])*1,)</f>
        <v>0</v>
      </c>
      <c r="V8" s="235" cm="1">
        <f t="array" ref="V8">IFERROR(INDEX(РД[Стоимость с отделкой итог],MATCH($Q$3&amp;Таблица10[[#This Row],[№]]&amp;"Продажа",РД[Дом]&amp;РД[№ кв]&amp;РД[Состояние],0),1),Таблица10[[#This Row],[Статус]])</f>
        <v>6762812.3600000003</v>
      </c>
      <c r="W8" s="235">
        <f>_xlfn.XLOOKUP(Таблица10[[#This Row],[№]],Реестр_Д5[№],Реестр_Д5[Стоимость квартиры с отделкой],"-",0)</f>
        <v>6762812.3599999994</v>
      </c>
      <c r="X8" s="235">
        <f>IFERROR(Таблица10[[#This Row],[СО ПП]]-Таблица10[[#This Row],[СО ДДУ]],"")</f>
        <v>-9.3132257461547852E-10</v>
      </c>
      <c r="Y8" s="233" cm="1">
        <f t="array" ref="Y8">IFERROR(INDEX(РД[S],MATCH($Q$3&amp;Таблица10[[#This Row],[№]]&amp;"Продажа",РД[Дом]&amp;РД[№ кв]&amp;РД[Состояние],0),1),Таблица10[[#This Row],[Статус]])</f>
        <v>73.02</v>
      </c>
      <c r="Z8" s="233">
        <f>IF(Таблица10[[#This Row],[№]]&amp;"ДДУ"=ППД5!A5&amp;ППД5!CR5,ППД5!U5,ППД5!V5)</f>
        <v>73.02</v>
      </c>
      <c r="AA8" s="285">
        <f>IFERROR(Таблица10[[#This Row],[S ПП]]-Таблица10[[#This Row],[S ДДУ]],)</f>
        <v>0</v>
      </c>
      <c r="AB8" s="235">
        <f>ROUND(_xlfn.XLOOKUP(Таблица10[[#This Row],[№]],Реестр_Д5[№],Реестр_Д5[Итоговая сумма скидки],"",0),2)</f>
        <v>126840.05</v>
      </c>
      <c r="AC8" s="235" cm="1">
        <f t="array" ref="AC8">IFERROR(ROUND(_xlfn.XLOOKUP($Q$3&amp;Таблица10[[#This Row],[№]]&amp;"Продажа",РД[Дом]&amp;РД[№ кв]&amp;РД[Состояние],РД[Сумма скидки],"",0,-1),2),Таблица10[[#This Row],[Статус]])</f>
        <v>126840.05</v>
      </c>
      <c r="AD8" s="285">
        <f>IFERROR(Таблица10[[#This Row],[ППС]]-Таблица10[[#This Row],[ДДУС]],)</f>
        <v>0</v>
      </c>
      <c r="AE8" s="611"/>
      <c r="AF8" s="234">
        <f>VLOOKUP(ППД401!A5,Д401[],1,0)</f>
        <v>4</v>
      </c>
      <c r="AG8" s="234" t="str">
        <f>_xlfn.XLOOKUP(Таблица1[[#This Row],[№]],Д401[№],Д401[Статус],"-",0)</f>
        <v>Стр. Резерв</v>
      </c>
      <c r="AH8" s="612">
        <f>_xlfn.XLOOKUP(Таблица1[[#This Row],[№]],Д401[№],Д401[Стоимость ОН без отделки со скидкой],"-",0)</f>
        <v>10525000</v>
      </c>
      <c r="AI8" s="612" t="str" cm="1">
        <f t="array" ref="AI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8" s="235" t="str">
        <f>IFERROR((Таблица1[[#This Row],[ПП]]-Таблица1[[#This Row],[ДДУ]])*1,"")</f>
        <v/>
      </c>
      <c r="AK8" s="235" t="str" cm="1">
        <f t="array" ref="AK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8" s="235">
        <f>_xlfn.XLOOKUP(Таблица1[[#This Row],[№]],Д401[№],Д401[Стоимость квартиры с отделкой],"-",0)</f>
        <v>10525000</v>
      </c>
      <c r="AM8" s="235" t="str">
        <f>IFERROR(Таблица1[[#This Row],[СО ПП]]-Таблица1[[#This Row],[СО ДДУ]],"")</f>
        <v/>
      </c>
      <c r="AN8" s="233" t="str" cm="1">
        <f t="array" ref="AN8">IFERROR(INDEX(РД[S],MATCH($AF$3&amp;Таблица1[[#This Row],[№]]&amp;"Продажа",РД[Дом]&amp;РД[№ кв]&amp;РД[Состояние],0),1),Таблица1[[#This Row],[Статус]])</f>
        <v>Стр. Резерв</v>
      </c>
      <c r="AO8" s="233">
        <f>_xlfn.XLOOKUP(Таблица1[[#This Row],[№]],Д401[№],Д401[Расчетная проектная площадь],"-",0)</f>
        <v>84.2</v>
      </c>
      <c r="AP8" s="235" t="str">
        <f>IFERROR(Таблица1[[#This Row],[S ПП]]-Таблица1[[#This Row],[S ДДУ]],"")</f>
        <v/>
      </c>
      <c r="AQ8" s="235">
        <f>_xlfn.XLOOKUP(Таблица1[[#This Row],[№]],Д401[№],Д401[Итоговая сумма скидки],"-",0)</f>
        <v>0</v>
      </c>
      <c r="AR8" s="235" t="str" cm="1">
        <f t="array" ref="AR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8" s="285" t="str">
        <f>IFERROR(Таблица1[[#This Row],[ППС]]-Таблица1[[#This Row],[ДДУС]],"")</f>
        <v/>
      </c>
      <c r="AT8" s="611"/>
      <c r="AU8" s="484">
        <f>VLOOKUP(ППД402!A5,Д402[],1,0)</f>
        <v>4</v>
      </c>
      <c r="AV8" s="484" t="str">
        <f>_xlfn.XLOOKUP(Т402[[#This Row],[№]],Д402[№],Д402[Статус],"-",0)</f>
        <v>Стр. Резерв</v>
      </c>
      <c r="AW8" s="613">
        <f>_xlfn.XLOOKUP(Т402[[#This Row],[№]],Д402[№],Д402[Стоимость ОН без отделки со скидкой],"-",0)</f>
        <v>6908400</v>
      </c>
      <c r="AX8" s="614" t="str" cm="1">
        <f t="array" ref="AX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8" s="485" t="str">
        <f>IFERROR((Т402[[#This Row],[ПП]]-Т402[[#This Row],[ДДУ]])*1,"")</f>
        <v/>
      </c>
      <c r="AZ8" s="486" t="str" cm="1">
        <f t="array" ref="AZ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8" s="485">
        <f>_xlfn.XLOOKUP(Т402[[#This Row],[№]],Д402[№],Д402[Стоимость квартиры с отделкой],"-",0)</f>
        <v>6908400</v>
      </c>
      <c r="BB8" s="485" t="str">
        <f>IFERROR(Т402[[#This Row],[СО ПП]]-Т402[[#This Row],[СО ДДУ]],"")</f>
        <v/>
      </c>
      <c r="BC8" s="487" t="str" cm="1">
        <f t="array" ref="BC8">IFERROR(INDEX(РД[S],MATCH($AU$3&amp;Т402[[#This Row],[№]]&amp;"Продажа",РД[Дом]&amp;РД[№ кв]&amp;РД[Состояние],0),1),Т402[[#This Row],[Статус]])</f>
        <v>Стр. Резерв</v>
      </c>
      <c r="BD8" s="483">
        <f>_xlfn.XLOOKUP(Т402[[#This Row],[№]],Д402[№],Д402[Расчетная проектная площадь],"-",0)</f>
        <v>57.28</v>
      </c>
      <c r="BE8" s="485" t="str">
        <f>IFERROR(Т402[[#This Row],[S ПП]]-Т402[[#This Row],[S ДДУ]],"")</f>
        <v/>
      </c>
      <c r="BF8" s="485">
        <f>_xlfn.XLOOKUP(Т402[[#This Row],[№]],Д402[№],Д402[Итоговая сумма скидки],"-",0)</f>
        <v>0</v>
      </c>
      <c r="BG8" s="486" t="str" cm="1">
        <f t="array" ref="BG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8" s="488" t="str">
        <f>IFERROR(Т402[[#This Row],[ППС]]-Т402[[#This Row],[ДДУС]],"")</f>
        <v/>
      </c>
    </row>
    <row r="9" spans="1:60" x14ac:dyDescent="0.2">
      <c r="A9" s="611"/>
      <c r="B9" s="234">
        <f>VLOOKUP(ППД4!A6,Реестр_Д4[№],1,0)</f>
        <v>5</v>
      </c>
      <c r="C9" s="234" t="str">
        <f>VLOOKUP(ППД4!CO6,Реестр_Д4[Статус],1,0)</f>
        <v>Продажа</v>
      </c>
      <c r="D9" s="612">
        <f>VLOOKUP(ППД4!CE6,Реестр_Д4[Стоимость ОН без отделки со скидкой],1,0)</f>
        <v>4053299.39</v>
      </c>
      <c r="E9" s="612" cm="1">
        <f t="array" ref="E9">IFERROR(INDEX(РД[Стоимость без отделки итог],MATCH($B$3&amp;Таблица4[[#This Row],[№]]&amp;"Продажа",РД[Дом]&amp;РД[№ кв]&amp;РД[Состояние],0),1),Таблица4[[#This Row],[Статус]])</f>
        <v>4053299.3899999997</v>
      </c>
      <c r="F9" s="235">
        <f>IFERROR((Таблица4[[#This Row],[ПП]]-Таблица4[[#This Row],[ДДУ]])*1,"")</f>
        <v>4.6566128730773926E-10</v>
      </c>
      <c r="G9" s="235" cm="1">
        <f t="array" ref="G9">IFERROR(INDEX(РД[Стоимость с отделкой итог],MATCH($B$3&amp;Таблица4[[#This Row],[№]]&amp;"Продажа",РД[Дом]&amp;РД[№ кв]&amp;РД[Состояние],0),1),Таблица4[[#This Row],[Статус]])</f>
        <v>4271939.3899999997</v>
      </c>
      <c r="H9" s="235">
        <f>_xlfn.XLOOKUP(Таблица4[[#This Row],[№]],Реестр_Д4[№],Реестр_Д4[Стоимость квартиры с отделкой],"-",0)</f>
        <v>4271939.3899999997</v>
      </c>
      <c r="I9" s="235">
        <f>IFERROR(Таблица4[[#This Row],[СО ПП]]-Таблица4[[#This Row],[СО ДДУ]],"")</f>
        <v>0</v>
      </c>
      <c r="J9" s="233" cm="1">
        <f t="array" ref="J9">IFERROR(INDEX(РД[S],MATCH($B$3&amp;Таблица4[[#This Row],[№]]&amp;"Продажа",РД[Дом]&amp;РД[№ кв]&amp;РД[Состояние],0),1),Таблица4[[#This Row],[Статус]])</f>
        <v>54.66</v>
      </c>
      <c r="K9" s="233">
        <f>VLOOKUP(Таблица4[[#This Row],[№]],Реестр_Д4[],20,0)</f>
        <v>54.66</v>
      </c>
      <c r="L9" s="235">
        <f>IFERROR(Таблица4[[#This Row],[S ПП]]-Таблица4[[#This Row],[S ДДУ]],)</f>
        <v>0</v>
      </c>
      <c r="M9" s="235">
        <f>ROUND(_xlfn.XLOOKUP(Таблица4[[#This Row],[№]],Реестр_Д4[№],Реестр_Д4[Итоговая сумма скидки],"",0),2)</f>
        <v>125359.77</v>
      </c>
      <c r="N9" s="235" cm="1">
        <f t="array" ref="N9">IFERROR(ROUND(_xlfn.XLOOKUP($B$3&amp;Таблица4[[#This Row],[№]]&amp;"Продажа",РД[Дом]&amp;РД[№ кв]&amp;РД[Состояние],РД[Сумма скидки],"",0),2),Таблица4[[#This Row],[Статус]])</f>
        <v>125359.77</v>
      </c>
      <c r="O9" s="235">
        <f>IFERROR(Таблица4[[#This Row],[ППС]]-Таблица4[[#This Row],[ДДУС]],)</f>
        <v>0</v>
      </c>
      <c r="P9" s="611"/>
      <c r="Q9" s="234">
        <f>VLOOKUP(ППД5!A6,Реестр_Д5[№],1,0)</f>
        <v>5</v>
      </c>
      <c r="R9" s="234" t="str">
        <f>VLOOKUP(ППД5!CH6,Реестр_Д5[Статус],1,0)</f>
        <v>Продажа</v>
      </c>
      <c r="S9" s="612">
        <f>VLOOKUP(ППД5!BZ6,Реестр_Д5[Стоимость ОН без отделки со скидкой],1,0)</f>
        <v>4657041.54</v>
      </c>
      <c r="T9" s="612" cm="1">
        <f t="array" ref="T9">IFERROR(INDEX(РД[Стоимость без отделки итог],MATCH($Q$3&amp;Таблица10[[#This Row],[№]]&amp;"Продажа",РД[Дом]&amp;РД[№ кв]&amp;РД[Состояние],0),1),Таблица10[[#This Row],[Статус]])</f>
        <v>4657041.54</v>
      </c>
      <c r="U9" s="235">
        <f>IFERROR((Таблица10[[#This Row],[ПП]]-Таблица10[[#This Row],[ДДУ]])*1,)</f>
        <v>0</v>
      </c>
      <c r="V9" s="235" cm="1">
        <f t="array" ref="V9">IFERROR(INDEX(РД[Стоимость с отделкой итог],MATCH($Q$3&amp;Таблица10[[#This Row],[№]]&amp;"Продажа",РД[Дом]&amp;РД[№ кв]&amp;РД[Состояние],0),1),Таблица10[[#This Row],[Статус]])</f>
        <v>4919256.54</v>
      </c>
      <c r="W9" s="235">
        <f>_xlfn.XLOOKUP(Таблица10[[#This Row],[№]],Реестр_Д5[№],Реестр_Д5[Стоимость квартиры с отделкой],"-",0)</f>
        <v>4919256.54</v>
      </c>
      <c r="X9" s="235">
        <f>IFERROR(Таблица10[[#This Row],[СО ПП]]-Таблица10[[#This Row],[СО ДДУ]],"")</f>
        <v>0</v>
      </c>
      <c r="Y9" s="233" cm="1">
        <f t="array" ref="Y9">IFERROR(INDEX(РД[S],MATCH($Q$3&amp;Таблица10[[#This Row],[№]]&amp;"Продажа",РД[Дом]&amp;РД[№ кв]&amp;РД[Состояние],0),1),Таблица10[[#This Row],[Статус]])</f>
        <v>58.27</v>
      </c>
      <c r="Z9" s="233">
        <f>IF(Таблица10[[#This Row],[№]]&amp;"ДДУ"=ППД5!A6&amp;ППД5!CR6,ППД5!U6,ППД5!V6)</f>
        <v>58.27</v>
      </c>
      <c r="AA9" s="285">
        <f>IFERROR(Таблица10[[#This Row],[S ПП]]-Таблица10[[#This Row],[S ДДУ]],)</f>
        <v>0</v>
      </c>
      <c r="AB9" s="235">
        <f>ROUND(_xlfn.XLOOKUP(Таблица10[[#This Row],[№]],Реестр_Д5[№],Реестр_Д5[Итоговая сумма скидки],"",0),2)</f>
        <v>0</v>
      </c>
      <c r="AC9" s="235" cm="1">
        <f t="array" ref="AC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" s="285">
        <f>IFERROR(Таблица10[[#This Row],[ППС]]-Таблица10[[#This Row],[ДДУС]],)</f>
        <v>0</v>
      </c>
      <c r="AE9" s="611"/>
      <c r="AF9" s="234">
        <f>VLOOKUP(ППД401!A6,Д401[],1,0)</f>
        <v>5</v>
      </c>
      <c r="AG9" s="234" t="str">
        <f>_xlfn.XLOOKUP(Таблица1[[#This Row],[№]],Д401[№],Д401[Статус],"-",0)</f>
        <v>Свободно</v>
      </c>
      <c r="AH9" s="612">
        <f>_xlfn.XLOOKUP(Таблица1[[#This Row],[№]],Д401[№],Д401[Стоимость ОН без отделки со скидкой],"-",0)</f>
        <v>7720000</v>
      </c>
      <c r="AI9" s="612" t="str" cm="1">
        <f t="array" ref="AI9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" s="235" t="str">
        <f>IFERROR((Таблица1[[#This Row],[ПП]]-Таблица1[[#This Row],[ДДУ]])*1,"")</f>
        <v/>
      </c>
      <c r="AK9" s="235" t="str" cm="1">
        <f t="array" ref="AK9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" s="235">
        <f>_xlfn.XLOOKUP(Таблица1[[#This Row],[№]],Д401[№],Д401[Стоимость квартиры с отделкой],"-",0)</f>
        <v>7720000</v>
      </c>
      <c r="AM9" s="235" t="str">
        <f>IFERROR(Таблица1[[#This Row],[СО ПП]]-Таблица1[[#This Row],[СО ДДУ]],"")</f>
        <v/>
      </c>
      <c r="AN9" s="233" t="str" cm="1">
        <f t="array" ref="AN9">IFERROR(INDEX(РД[S],MATCH($AF$3&amp;Таблица1[[#This Row],[№]]&amp;"Продажа",РД[Дом]&amp;РД[№ кв]&amp;РД[Состояние],0),1),Таблица1[[#This Row],[Статус]])</f>
        <v>Свободно</v>
      </c>
      <c r="AO9" s="233">
        <f>_xlfn.XLOOKUP(Таблица1[[#This Row],[№]],Д401[№],Д401[Расчетная проектная площадь],"-",0)</f>
        <v>61.76</v>
      </c>
      <c r="AP9" s="235" t="str">
        <f>IFERROR(Таблица1[[#This Row],[S ПП]]-Таблица1[[#This Row],[S ДДУ]],"")</f>
        <v/>
      </c>
      <c r="AQ9" s="235">
        <f>_xlfn.XLOOKUP(Таблица1[[#This Row],[№]],Д401[№],Д401[Итоговая сумма скидки],"-",0)</f>
        <v>0</v>
      </c>
      <c r="AR9" s="235" t="str" cm="1">
        <f t="array" ref="AR9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" s="285" t="str">
        <f>IFERROR(Таблица1[[#This Row],[ППС]]-Таблица1[[#This Row],[ДДУС]],"")</f>
        <v/>
      </c>
      <c r="AT9" s="611"/>
      <c r="AU9" s="484">
        <f>VLOOKUP(ППД402!A6,Д402[],1,0)</f>
        <v>5</v>
      </c>
      <c r="AV9" s="484" t="str">
        <f>_xlfn.XLOOKUP(Т402[[#This Row],[№]],Д402[№],Д402[Статус],"-",0)</f>
        <v>Стр. Резерв</v>
      </c>
      <c r="AW9" s="613">
        <f>_xlfn.XLOOKUP(Т402[[#This Row],[№]],Д402[№],Д402[Стоимость ОН без отделки со скидкой],"-",0)</f>
        <v>4845900</v>
      </c>
      <c r="AX9" s="614" t="str" cm="1">
        <f t="array" ref="AX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" s="485" t="str">
        <f>IFERROR((Т402[[#This Row],[ПП]]-Т402[[#This Row],[ДДУ]])*1,"")</f>
        <v/>
      </c>
      <c r="AZ9" s="486" t="str" cm="1">
        <f t="array" ref="AZ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" s="485">
        <f>_xlfn.XLOOKUP(Т402[[#This Row],[№]],Д402[№],Д402[Стоимость квартиры с отделкой],"-",0)</f>
        <v>4845900</v>
      </c>
      <c r="BB9" s="485" t="str">
        <f>IFERROR(Т402[[#This Row],[СО ПП]]-Т402[[#This Row],[СО ДДУ]],"")</f>
        <v/>
      </c>
      <c r="BC9" s="487" t="str" cm="1">
        <f t="array" ref="BC9">IFERROR(INDEX(РД[S],MATCH($AU$3&amp;Т402[[#This Row],[№]]&amp;"Продажа",РД[Дом]&amp;РД[№ кв]&amp;РД[Состояние],0),1),Т402[[#This Row],[Статус]])</f>
        <v>Стр. Резерв</v>
      </c>
      <c r="BD9" s="483">
        <f>_xlfn.XLOOKUP(Т402[[#This Row],[№]],Д402[№],Д402[Расчетная проектная площадь],"-",0)</f>
        <v>37.01</v>
      </c>
      <c r="BE9" s="485" t="str">
        <f>IFERROR(Т402[[#This Row],[S ПП]]-Т402[[#This Row],[S ДДУ]],"")</f>
        <v/>
      </c>
      <c r="BF9" s="485">
        <f>_xlfn.XLOOKUP(Т402[[#This Row],[№]],Д402[№],Д402[Итоговая сумма скидки],"-",0)</f>
        <v>0</v>
      </c>
      <c r="BG9" s="486" t="str" cm="1">
        <f t="array" ref="BG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" s="488" t="str">
        <f>IFERROR(Т402[[#This Row],[ППС]]-Т402[[#This Row],[ДДУС]],"")</f>
        <v/>
      </c>
    </row>
    <row r="10" spans="1:60" x14ac:dyDescent="0.2">
      <c r="A10" s="611"/>
      <c r="B10" s="234">
        <f>VLOOKUP(ППД4!A7,Реестр_Д4[№],1,0)</f>
        <v>6</v>
      </c>
      <c r="C10" s="234" t="str">
        <f>VLOOKUP(ППД4!CO7,Реестр_Д4[Статус],1,0)</f>
        <v>Продажа</v>
      </c>
      <c r="D10" s="612">
        <f>VLOOKUP(ППД4!CE7,Реестр_Д4[Стоимость ОН без отделки со скидкой],1,0)</f>
        <v>6162800</v>
      </c>
      <c r="E10" s="612" cm="1">
        <f t="array" ref="E10">IFERROR(INDEX(РД[Стоимость без отделки итог],MATCH($B$3&amp;Таблица4[[#This Row],[№]]&amp;"Продажа",РД[Дом]&amp;РД[№ кв]&amp;РД[Состояние],0),1),Таблица4[[#This Row],[Статус]])</f>
        <v>6162800</v>
      </c>
      <c r="F10" s="235">
        <f>IFERROR((Таблица4[[#This Row],[ПП]]-Таблица4[[#This Row],[ДДУ]])*1,"")</f>
        <v>0</v>
      </c>
      <c r="G10" s="235" cm="1">
        <f t="array" ref="G10">IFERROR(INDEX(РД[Стоимость с отделкой итог],MATCH($B$3&amp;Таблица4[[#This Row],[№]]&amp;"Продажа",РД[Дом]&amp;РД[№ кв]&amp;РД[Состояние],0),1),Таблица4[[#This Row],[Статус]])</f>
        <v>6611825</v>
      </c>
      <c r="H10" s="235">
        <f>_xlfn.XLOOKUP(Таблица4[[#This Row],[№]],Реестр_Д4[№],Реестр_Д4[Стоимость квартиры с отделкой],"-",0)</f>
        <v>6611825</v>
      </c>
      <c r="I10" s="235">
        <f>IFERROR(Таблица4[[#This Row],[СО ПП]]-Таблица4[[#This Row],[СО ДДУ]],"")</f>
        <v>0</v>
      </c>
      <c r="J10" s="233" cm="1">
        <f t="array" ref="J10">IFERROR(INDEX(РД[S],MATCH($B$3&amp;Таблица4[[#This Row],[№]]&amp;"Продажа",РД[Дом]&amp;РД[№ кв]&amp;РД[Состояние],0),1),Таблица4[[#This Row],[Статус]])</f>
        <v>59.87</v>
      </c>
      <c r="K10" s="233">
        <f>VLOOKUP(Таблица4[[#This Row],[№]],Реестр_Д4[],20,0)</f>
        <v>59.87</v>
      </c>
      <c r="L10" s="235">
        <f>IFERROR(Таблица4[[#This Row],[S ПП]]-Таблица4[[#This Row],[S ДДУ]],)</f>
        <v>0</v>
      </c>
      <c r="M10" s="235">
        <f>ROUND(_xlfn.XLOOKUP(Таблица4[[#This Row],[№]],Реестр_Д4[№],Реестр_Д4[Итоговая сумма скидки],"",0),2)</f>
        <v>0</v>
      </c>
      <c r="N10" s="235" cm="1">
        <f t="array" ref="N1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" s="235">
        <f>IFERROR(Таблица4[[#This Row],[ППС]]-Таблица4[[#This Row],[ДДУС]],)</f>
        <v>0</v>
      </c>
      <c r="P10" s="611"/>
      <c r="Q10" s="234">
        <f>VLOOKUP(ППД5!A7,Реестр_Д5[№],1,0)</f>
        <v>6</v>
      </c>
      <c r="R10" s="234" t="str">
        <f>VLOOKUP(ППД5!CH7,Реестр_Д5[Статус],1,0)</f>
        <v>Продажа</v>
      </c>
      <c r="S10" s="612">
        <f>VLOOKUP(ППД5!BZ7,Реестр_Д5[Стоимость ОН без отделки со скидкой],1,0)</f>
        <v>4036678.16</v>
      </c>
      <c r="T10" s="612" cm="1">
        <f t="array" ref="T10">IFERROR(INDEX(РД[Стоимость без отделки итог],MATCH($Q$3&amp;Таблица10[[#This Row],[№]]&amp;"Продажа",РД[Дом]&amp;РД[№ кв]&amp;РД[Состояние],0),1),Таблица10[[#This Row],[Статус]])</f>
        <v>4036678.16</v>
      </c>
      <c r="U10" s="235">
        <f>IFERROR((Таблица10[[#This Row],[ПП]]-Таблица10[[#This Row],[ДДУ]])*1,)</f>
        <v>0</v>
      </c>
      <c r="V10" s="235" cm="1">
        <f t="array" ref="V10">IFERROR(INDEX(РД[Стоимость с отделкой итог],MATCH($Q$3&amp;Таблица10[[#This Row],[№]]&amp;"Продажа",РД[Дом]&amp;РД[№ кв]&amp;РД[Состояние],0),1),Таблица10[[#This Row],[Статус]])</f>
        <v>4977178.16</v>
      </c>
      <c r="W10" s="235">
        <f>_xlfn.XLOOKUP(Таблица10[[#This Row],[№]],Реестр_Д5[№],Реестр_Д5[Стоимость квартиры с отделкой],"-",0)</f>
        <v>4977178.16</v>
      </c>
      <c r="X10" s="235">
        <f>IFERROR(Таблица10[[#This Row],[СО ПП]]-Таблица10[[#This Row],[СО ДДУ]],"")</f>
        <v>0</v>
      </c>
      <c r="Y10" s="233" cm="1">
        <f t="array" ref="Y10">IFERROR(INDEX(РД[S],MATCH($Q$3&amp;Таблица10[[#This Row],[№]]&amp;"Продажа",РД[Дом]&amp;РД[№ кв]&amp;РД[Состояние],0),1),Таблица10[[#This Row],[Статус]])</f>
        <v>42.75</v>
      </c>
      <c r="Z10" s="233">
        <f>IF(Таблица10[[#This Row],[№]]&amp;"ДДУ"=ППД5!A7&amp;ППД5!CR7,ППД5!U7,ППД5!V7)</f>
        <v>42.75</v>
      </c>
      <c r="AA10" s="285">
        <f>IFERROR(Таблица10[[#This Row],[S ПП]]-Таблица10[[#This Row],[S ДДУ]],)</f>
        <v>0</v>
      </c>
      <c r="AB10" s="235">
        <f>ROUND(_xlfn.XLOOKUP(Таблица10[[#This Row],[№]],Реестр_Д5[№],Реестр_Д5[Итоговая сумма скидки],"",0),2)</f>
        <v>0</v>
      </c>
      <c r="AC10" s="235" cm="1">
        <f t="array" ref="AC1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0" s="285">
        <f>IFERROR(Таблица10[[#This Row],[ППС]]-Таблица10[[#This Row],[ДДУС]],)</f>
        <v>0</v>
      </c>
      <c r="AE10" s="611"/>
      <c r="AF10" s="615">
        <f>VLOOKUP(ППД401!A7,Д401[],1,0)</f>
        <v>6</v>
      </c>
      <c r="AG10" s="234" t="str">
        <f>_xlfn.XLOOKUP(Таблица1[[#This Row],[№]],Д401[№],Д401[Статус],"-",0)</f>
        <v>Стр. Резерв</v>
      </c>
      <c r="AH10" s="612">
        <f>_xlfn.XLOOKUP(Таблица1[[#This Row],[№]],Д401[№],Д401[Стоимость ОН без отделки со скидкой],"-",0)</f>
        <v>5160600</v>
      </c>
      <c r="AI10" s="612" t="str" cm="1">
        <f t="array" ref="AI1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0" s="235" t="str">
        <f>IFERROR((Таблица1[[#This Row],[ПП]]-Таблица1[[#This Row],[ДДУ]])*1,"")</f>
        <v/>
      </c>
      <c r="AK10" s="235" t="str" cm="1">
        <f t="array" ref="AK1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0" s="235">
        <f>_xlfn.XLOOKUP(Таблица1[[#This Row],[№]],Д401[№],Д401[Стоимость квартиры с отделкой],"-",0)</f>
        <v>5160600</v>
      </c>
      <c r="AM10" s="235" t="str">
        <f>IFERROR(Таблица1[[#This Row],[СО ПП]]-Таблица1[[#This Row],[СО ДДУ]],"")</f>
        <v/>
      </c>
      <c r="AN10" s="233" t="str" cm="1">
        <f t="array" ref="AN10">IFERROR(INDEX(РД[S],MATCH($AF$3&amp;Таблица1[[#This Row],[№]]&amp;"Продажа",РД[Дом]&amp;РД[№ кв]&amp;РД[Состояние],0),1),Таблица1[[#This Row],[Статус]])</f>
        <v>Стр. Резерв</v>
      </c>
      <c r="AO10" s="233">
        <f>_xlfn.XLOOKUP(Таблица1[[#This Row],[№]],Д401[№],Д401[Расчетная проектная площадь],"-",0)</f>
        <v>38.17</v>
      </c>
      <c r="AP10" s="235" t="str">
        <f>IFERROR(Таблица1[[#This Row],[S ПП]]-Таблица1[[#This Row],[S ДДУ]],"")</f>
        <v/>
      </c>
      <c r="AQ10" s="235">
        <f>_xlfn.XLOOKUP(Таблица1[[#This Row],[№]],Д401[№],Д401[Итоговая сумма скидки],"-",0)</f>
        <v>0</v>
      </c>
      <c r="AR10" s="235" t="str" cm="1">
        <f t="array" ref="AR1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0" s="285" t="str">
        <f>IFERROR(Таблица1[[#This Row],[ППС]]-Таблица1[[#This Row],[ДДУС]],"")</f>
        <v/>
      </c>
      <c r="AT10" s="611"/>
      <c r="AU10" s="484">
        <f>VLOOKUP(ППД402!A7,Д402[],1,0)</f>
        <v>6</v>
      </c>
      <c r="AV10" s="484" t="str">
        <f>_xlfn.XLOOKUP(Т402[[#This Row],[№]],Д402[№],Д402[Статус],"-",0)</f>
        <v>Стр. Резерв</v>
      </c>
      <c r="AW10" s="613">
        <f>_xlfn.XLOOKUP(Т402[[#This Row],[№]],Д402[№],Д402[Стоимость ОН без отделки со скидкой],"-",0)</f>
        <v>5815700</v>
      </c>
      <c r="AX10" s="614" t="str" cm="1">
        <f t="array" ref="AX1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0" s="485" t="str">
        <f>IFERROR((Т402[[#This Row],[ПП]]-Т402[[#This Row],[ДДУ]])*1,"")</f>
        <v/>
      </c>
      <c r="AZ10" s="486" t="str" cm="1">
        <f t="array" ref="AZ1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0" s="485">
        <f>_xlfn.XLOOKUP(Т402[[#This Row],[№]],Д402[№],Д402[Стоимость квартиры с отделкой],"-",0)</f>
        <v>5815700</v>
      </c>
      <c r="BB10" s="485" t="str">
        <f>IFERROR(Т402[[#This Row],[СО ПП]]-Т402[[#This Row],[СО ДДУ]],"")</f>
        <v/>
      </c>
      <c r="BC10" s="487" t="str" cm="1">
        <f t="array" ref="BC10">IFERROR(INDEX(РД[S],MATCH($AU$3&amp;Т402[[#This Row],[№]]&amp;"Продажа",РД[Дом]&amp;РД[№ кв]&amp;РД[Состояние],0),1),Т402[[#This Row],[Статус]])</f>
        <v>Стр. Резерв</v>
      </c>
      <c r="BD10" s="483">
        <f>_xlfn.XLOOKUP(Т402[[#This Row],[№]],Д402[№],Д402[Расчетная проектная площадь],"-",0)</f>
        <v>45.26</v>
      </c>
      <c r="BE10" s="485" t="str">
        <f>IFERROR(Т402[[#This Row],[S ПП]]-Т402[[#This Row],[S ДДУ]],"")</f>
        <v/>
      </c>
      <c r="BF10" s="485">
        <f>_xlfn.XLOOKUP(Т402[[#This Row],[№]],Д402[№],Д402[Итоговая сумма скидки],"-",0)</f>
        <v>0</v>
      </c>
      <c r="BG10" s="486" t="str" cm="1">
        <f t="array" ref="BG1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0" s="488" t="str">
        <f>IFERROR(Т402[[#This Row],[ППС]]-Т402[[#This Row],[ДДУС]],"")</f>
        <v/>
      </c>
    </row>
    <row r="11" spans="1:60" x14ac:dyDescent="0.2">
      <c r="A11" s="611"/>
      <c r="B11" s="234">
        <f>VLOOKUP(ППД4!A8,Реестр_Д4[№],1,0)</f>
        <v>7</v>
      </c>
      <c r="C11" s="234" t="str">
        <f>VLOOKUP(ППД4!CO8,Реестр_Д4[Статус],1,0)</f>
        <v>Продажа</v>
      </c>
      <c r="D11" s="612">
        <f>VLOOKUP(ППД4!CE8,Реестр_Д4[Стоимость ОН без отделки со скидкой],1,0)</f>
        <v>1644300</v>
      </c>
      <c r="E11" s="612" cm="1">
        <f t="array" ref="E11">IFERROR(INDEX(РД[Стоимость без отделки итог],MATCH($B$3&amp;Таблица4[[#This Row],[№]]&amp;"Продажа",РД[Дом]&amp;РД[№ кв]&amp;РД[Состояние],0),1),Таблица4[[#This Row],[Статус]])</f>
        <v>1644300</v>
      </c>
      <c r="F11" s="235">
        <f>IFERROR((Таблица4[[#This Row],[ПП]]-Таблица4[[#This Row],[ДДУ]])*1,"")</f>
        <v>0</v>
      </c>
      <c r="G11" s="235" cm="1">
        <f t="array" ref="G11">IFERROR(INDEX(РД[Стоимость с отделкой итог],MATCH($B$3&amp;Таблица4[[#This Row],[№]]&amp;"Продажа",РД[Дом]&amp;РД[№ кв]&amp;РД[Состояние],0),1),Таблица4[[#This Row],[Статус]])</f>
        <v>1644300</v>
      </c>
      <c r="H11" s="235">
        <f>_xlfn.XLOOKUP(Таблица4[[#This Row],[№]],Реестр_Д4[№],Реестр_Д4[Стоимость квартиры с отделкой],"-",0)</f>
        <v>1644300</v>
      </c>
      <c r="I11" s="235">
        <f>IFERROR(Таблица4[[#This Row],[СО ПП]]-Таблица4[[#This Row],[СО ДДУ]],"")</f>
        <v>0</v>
      </c>
      <c r="J11" s="233" cm="1">
        <f t="array" ref="J11">IFERROR(INDEX(РД[S],MATCH($B$3&amp;Таблица4[[#This Row],[№]]&amp;"Продажа",РД[Дом]&amp;РД[№ кв]&amp;РД[Состояние],0),1),Таблица4[[#This Row],[Статус]])</f>
        <v>21.75</v>
      </c>
      <c r="K11" s="233">
        <f>VLOOKUP(Таблица4[[#This Row],[№]],Реестр_Д4[],20,0)</f>
        <v>21.75</v>
      </c>
      <c r="L11" s="235">
        <f>IFERROR(Таблица4[[#This Row],[S ПП]]-Таблица4[[#This Row],[S ДДУ]],)</f>
        <v>0</v>
      </c>
      <c r="M11" s="235">
        <f>ROUND(_xlfn.XLOOKUP(Таблица4[[#This Row],[№]],Реестр_Д4[№],Реестр_Д4[Итоговая сумма скидки],"",0),2)</f>
        <v>0</v>
      </c>
      <c r="N11" s="235" cm="1">
        <f t="array" ref="N1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" s="235">
        <f>IFERROR(Таблица4[[#This Row],[ППС]]-Таблица4[[#This Row],[ДДУС]],)</f>
        <v>0</v>
      </c>
      <c r="P11" s="611"/>
      <c r="Q11" s="234">
        <f>VLOOKUP(ППД5!A8,Реестр_Д5[№],1,0)</f>
        <v>7</v>
      </c>
      <c r="R11" s="234" t="str">
        <f>VLOOKUP(ППД5!CH8,Реестр_Д5[Статус],1,0)</f>
        <v>Продажа</v>
      </c>
      <c r="S11" s="612">
        <f>VLOOKUP(ППД5!BZ8,Реестр_Д5[Стоимость ОН без отделки со скидкой],1,0)</f>
        <v>2853142.81</v>
      </c>
      <c r="T11" s="612" cm="1">
        <f t="array" ref="T11">IFERROR(INDEX(РД[Стоимость без отделки итог],MATCH($Q$3&amp;Таблица10[[#This Row],[№]]&amp;"Продажа",РД[Дом]&amp;РД[№ кв]&amp;РД[Состояние],0),1),Таблица10[[#This Row],[Статус]])</f>
        <v>2853142.81</v>
      </c>
      <c r="U11" s="235">
        <f>IFERROR((Таблица10[[#This Row],[ПП]]-Таблица10[[#This Row],[ДДУ]])*1,)</f>
        <v>0</v>
      </c>
      <c r="V11" s="235" cm="1">
        <f t="array" ref="V11">IFERROR(INDEX(РД[Стоимость с отделкой итог],MATCH($Q$3&amp;Таблица10[[#This Row],[№]]&amp;"Продажа",РД[Дом]&amp;РД[№ кв]&amp;РД[Состояние],0),1),Таблица10[[#This Row],[Статус]])</f>
        <v>2853142.81</v>
      </c>
      <c r="W11" s="235">
        <f>_xlfn.XLOOKUP(Таблица10[[#This Row],[№]],Реестр_Д5[№],Реестр_Д5[Стоимость квартиры с отделкой],"-",0)</f>
        <v>2853142.81</v>
      </c>
      <c r="X11" s="235">
        <f>IFERROR(Таблица10[[#This Row],[СО ПП]]-Таблица10[[#This Row],[СО ДДУ]],"")</f>
        <v>0</v>
      </c>
      <c r="Y11" s="233" cm="1">
        <f t="array" ref="Y11">IFERROR(INDEX(РД[S],MATCH($Q$3&amp;Таблица10[[#This Row],[№]]&amp;"Продажа",РД[Дом]&amp;РД[№ кв]&amp;РД[Состояние],0),1),Таблица10[[#This Row],[Статус]])</f>
        <v>34.39</v>
      </c>
      <c r="Z11" s="233">
        <f>IF(Таблица10[[#This Row],[№]]&amp;"ДДУ"=ППД5!A8&amp;ППД5!CR8,ППД5!U8,ППД5!V8)</f>
        <v>34.39</v>
      </c>
      <c r="AA11" s="285">
        <f>IFERROR(Таблица10[[#This Row],[S ПП]]-Таблица10[[#This Row],[S ДДУ]],)</f>
        <v>0</v>
      </c>
      <c r="AB11" s="235">
        <f>ROUND(_xlfn.XLOOKUP(Таблица10[[#This Row],[№]],Реестр_Д5[№],Реестр_Д5[Итоговая сумма скидки],"",0),2)</f>
        <v>20000</v>
      </c>
      <c r="AC11" s="235" cm="1">
        <f t="array" ref="AC11">IFERROR(ROUND(_xlfn.XLOOKUP($Q$3&amp;Таблица10[[#This Row],[№]]&amp;"Продажа",РД[Дом]&amp;РД[№ кв]&amp;РД[Состояние],РД[Сумма скидки],"",0,-1),2),Таблица10[[#This Row],[Статус]])</f>
        <v>20000</v>
      </c>
      <c r="AD11" s="285">
        <f>IFERROR(Таблица10[[#This Row],[ППС]]-Таблица10[[#This Row],[ДДУС]],)</f>
        <v>0</v>
      </c>
      <c r="AE11" s="611"/>
      <c r="AF11" s="615">
        <f>VLOOKUP(ППД401!A8,Д401[],1,0)</f>
        <v>7</v>
      </c>
      <c r="AG11" s="234" t="str">
        <f>_xlfn.XLOOKUP(Таблица1[[#This Row],[№]],Д401[№],Д401[Статус],"-",0)</f>
        <v>Стр. Резерв</v>
      </c>
      <c r="AH11" s="612">
        <f>_xlfn.XLOOKUP(Таблица1[[#This Row],[№]],Д401[№],Д401[Стоимость ОН без отделки со скидкой],"-",0)</f>
        <v>6827500</v>
      </c>
      <c r="AI11" s="612" t="str" cm="1">
        <f t="array" ref="AI11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1" s="235" t="str">
        <f>IFERROR((Таблица1[[#This Row],[ПП]]-Таблица1[[#This Row],[ДДУ]])*1,"")</f>
        <v/>
      </c>
      <c r="AK11" s="235" t="str" cm="1">
        <f t="array" ref="AK11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1" s="235">
        <f>_xlfn.XLOOKUP(Таблица1[[#This Row],[№]],Д401[№],Д401[Стоимость квартиры с отделкой],"-",0)</f>
        <v>6827500</v>
      </c>
      <c r="AM11" s="235" t="str">
        <f>IFERROR(Таблица1[[#This Row],[СО ПП]]-Таблица1[[#This Row],[СО ДДУ]],"")</f>
        <v/>
      </c>
      <c r="AN11" s="233" t="str" cm="1">
        <f t="array" ref="AN11">IFERROR(INDEX(РД[S],MATCH($AF$3&amp;Таблица1[[#This Row],[№]]&amp;"Продажа",РД[Дом]&amp;РД[№ кв]&amp;РД[Состояние],0),1),Таблица1[[#This Row],[Статус]])</f>
        <v>Стр. Резерв</v>
      </c>
      <c r="AO11" s="233">
        <f>_xlfn.XLOOKUP(Таблица1[[#This Row],[№]],Д401[№],Д401[Расчетная проектная площадь],"-",0)</f>
        <v>54.62</v>
      </c>
      <c r="AP11" s="235" t="str">
        <f>IFERROR(Таблица1[[#This Row],[S ПП]]-Таблица1[[#This Row],[S ДДУ]],"")</f>
        <v/>
      </c>
      <c r="AQ11" s="235">
        <f>_xlfn.XLOOKUP(Таблица1[[#This Row],[№]],Д401[№],Д401[Итоговая сумма скидки],"-",0)</f>
        <v>0</v>
      </c>
      <c r="AR11" s="235" t="str" cm="1">
        <f t="array" ref="AR11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1" s="285" t="str">
        <f>IFERROR(Таблица1[[#This Row],[ППС]]-Таблица1[[#This Row],[ДДУС]],"")</f>
        <v/>
      </c>
      <c r="AT11" s="611"/>
      <c r="AU11" s="484">
        <f>VLOOKUP(ППД402!A8,Д402[],1,0)</f>
        <v>7</v>
      </c>
      <c r="AV11" s="484" t="str">
        <f>_xlfn.XLOOKUP(Т402[[#This Row],[№]],Д402[№],Д402[Статус],"-",0)</f>
        <v>Свободно</v>
      </c>
      <c r="AW11" s="613">
        <f>_xlfn.XLOOKUP(Т402[[#This Row],[№]],Д402[№],Д402[Стоимость ОН без отделки со скидкой],"-",0)</f>
        <v>4191200</v>
      </c>
      <c r="AX11" s="614" t="str" cm="1">
        <f t="array" ref="AX1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1" s="485" t="str">
        <f>IFERROR((Т402[[#This Row],[ПП]]-Т402[[#This Row],[ДДУ]])*1,"")</f>
        <v/>
      </c>
      <c r="AZ11" s="486" t="str" cm="1">
        <f t="array" ref="AZ1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1" s="485">
        <f>_xlfn.XLOOKUP(Т402[[#This Row],[№]],Д402[№],Д402[Стоимость квартиры с отделкой],"-",0)</f>
        <v>4191200</v>
      </c>
      <c r="BB11" s="485" t="str">
        <f>IFERROR(Т402[[#This Row],[СО ПП]]-Т402[[#This Row],[СО ДДУ]],"")</f>
        <v/>
      </c>
      <c r="BC11" s="487" t="str" cm="1">
        <f t="array" ref="BC11">IFERROR(INDEX(РД[S],MATCH($AU$3&amp;Т402[[#This Row],[№]]&amp;"Продажа",РД[Дом]&amp;РД[№ кв]&amp;РД[Состояние],0),1),Т402[[#This Row],[Статус]])</f>
        <v>Свободно</v>
      </c>
      <c r="BD11" s="483">
        <f>_xlfn.XLOOKUP(Т402[[#This Row],[№]],Д402[№],Д402[Расчетная проектная площадь],"-",0)</f>
        <v>29.69</v>
      </c>
      <c r="BE11" s="485" t="str">
        <f>IFERROR(Т402[[#This Row],[S ПП]]-Т402[[#This Row],[S ДДУ]],"")</f>
        <v/>
      </c>
      <c r="BF11" s="485">
        <f>_xlfn.XLOOKUP(Т402[[#This Row],[№]],Д402[№],Д402[Итоговая сумма скидки],"-",0)</f>
        <v>0</v>
      </c>
      <c r="BG11" s="486" t="str" cm="1">
        <f t="array" ref="BG1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1" s="488" t="str">
        <f>IFERROR(Т402[[#This Row],[ППС]]-Т402[[#This Row],[ДДУС]],"")</f>
        <v/>
      </c>
    </row>
    <row r="12" spans="1:60" x14ac:dyDescent="0.2">
      <c r="A12" s="611"/>
      <c r="B12" s="234">
        <f>VLOOKUP(ППД4!A9,Реестр_Д4[№],1,0)</f>
        <v>8</v>
      </c>
      <c r="C12" s="234" t="str">
        <f>VLOOKUP(ППД4!CO9,Реестр_Д4[Статус],1,0)</f>
        <v>Продажа</v>
      </c>
      <c r="D12" s="612">
        <f>VLOOKUP(ППД4!CE9,Реестр_Д4[Стоимость ОН без отделки со скидкой],1,0)</f>
        <v>1724927.4</v>
      </c>
      <c r="E12" s="612" cm="1">
        <f t="array" ref="E12">IFERROR(INDEX(РД[Стоимость без отделки итог],MATCH($B$3&amp;Таблица4[[#This Row],[№]]&amp;"Продажа",РД[Дом]&amp;РД[№ кв]&amp;РД[Состояние],0),1),Таблица4[[#This Row],[Статус]])</f>
        <v>1724927.4000000001</v>
      </c>
      <c r="F12" s="235">
        <f>IFERROR((Таблица4[[#This Row],[ПП]]-Таблица4[[#This Row],[ДДУ]])*1,"")</f>
        <v>-2.3283064365386963E-10</v>
      </c>
      <c r="G12" s="235" cm="1">
        <f t="array" ref="G12">IFERROR(INDEX(РД[Стоимость с отделкой итог],MATCH($B$3&amp;Таблица4[[#This Row],[№]]&amp;"Продажа",РД[Дом]&amp;РД[№ кв]&amp;РД[Состояние],0),1),Таблица4[[#This Row],[Статус]])</f>
        <v>1887902.4</v>
      </c>
      <c r="H12" s="235">
        <f>_xlfn.XLOOKUP(Таблица4[[#This Row],[№]],Реестр_Д4[№],Реестр_Д4[Стоимость квартиры с отделкой],"-",0)</f>
        <v>1887902.4</v>
      </c>
      <c r="I12" s="235">
        <f>IFERROR(Таблица4[[#This Row],[СО ПП]]-Таблица4[[#This Row],[СО ДДУ]],"")</f>
        <v>0</v>
      </c>
      <c r="J12" s="233" cm="1">
        <f t="array" ref="J12">IFERROR(INDEX(РД[S],MATCH($B$3&amp;Таблица4[[#This Row],[№]]&amp;"Продажа",РД[Дом]&amp;РД[№ кв]&amp;РД[Состояние],0),1),Таблица4[[#This Row],[Статус]])</f>
        <v>21.73</v>
      </c>
      <c r="K12" s="233">
        <f>VLOOKUP(Таблица4[[#This Row],[№]],Реестр_Д4[],20,0)</f>
        <v>21.73</v>
      </c>
      <c r="L12" s="235">
        <f>IFERROR(Таблица4[[#This Row],[S ПП]]-Таблица4[[#This Row],[S ДДУ]],)</f>
        <v>0</v>
      </c>
      <c r="M12" s="235">
        <f>ROUND(_xlfn.XLOOKUP(Таблица4[[#This Row],[№]],Реестр_Д4[№],Реестр_Д4[Итоговая сумма скидки],"",0),2)</f>
        <v>0</v>
      </c>
      <c r="N12" s="235" cm="1">
        <f t="array" ref="N1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2" s="235">
        <f>IFERROR(Таблица4[[#This Row],[ППС]]-Таблица4[[#This Row],[ДДУС]],)</f>
        <v>0</v>
      </c>
      <c r="P12" s="611"/>
      <c r="Q12" s="234">
        <f>VLOOKUP(ППД5!A9,Реестр_Д5[№],1,0)</f>
        <v>8</v>
      </c>
      <c r="R12" s="234" t="str">
        <f>VLOOKUP(ППД5!CH9,Реестр_Д5[Статус],1,0)</f>
        <v>Продажа</v>
      </c>
      <c r="S12" s="612">
        <f>VLOOKUP(ППД5!BZ9,Реестр_Д5[Стоимость ОН без отделки со скидкой],1,0)</f>
        <v>8119006</v>
      </c>
      <c r="T12" s="612" cm="1">
        <f t="array" ref="T12">IFERROR(INDEX(РД[Стоимость без отделки итог],MATCH($Q$3&amp;Таблица10[[#This Row],[№]]&amp;"Продажа",РД[Дом]&amp;РД[№ кв]&amp;РД[Состояние],0),1),Таблица10[[#This Row],[Статус]])</f>
        <v>8119006</v>
      </c>
      <c r="U12" s="235">
        <f>IFERROR((Таблица10[[#This Row],[ПП]]-Таблица10[[#This Row],[ДДУ]])*1,)</f>
        <v>0</v>
      </c>
      <c r="V12" s="235" cm="1">
        <f t="array" ref="V12">IFERROR(INDEX(РД[Стоимость с отделкой итог],MATCH($Q$3&amp;Таблица10[[#This Row],[№]]&amp;"Продажа",РД[Дом]&amp;РД[№ кв]&amp;РД[Состояние],0),1),Таблица10[[#This Row],[Статус]])</f>
        <v>8119006</v>
      </c>
      <c r="W12" s="235">
        <f>_xlfn.XLOOKUP(Таблица10[[#This Row],[№]],Реестр_Д5[№],Реестр_Д5[Стоимость квартиры с отделкой],"-",0)</f>
        <v>8119006</v>
      </c>
      <c r="X12" s="235">
        <f>IFERROR(Таблица10[[#This Row],[СО ПП]]-Таблица10[[#This Row],[СО ДДУ]],"")</f>
        <v>0</v>
      </c>
      <c r="Y12" s="233" cm="1">
        <f t="array" ref="Y12">IFERROR(INDEX(РД[S],MATCH($Q$3&amp;Таблица10[[#This Row],[№]]&amp;"Продажа",РД[Дом]&amp;РД[№ кв]&amp;РД[Состояние],0),1),Таблица10[[#This Row],[Статус]])</f>
        <v>68.5</v>
      </c>
      <c r="Z12" s="233">
        <f>IF(Таблица10[[#This Row],[№]]&amp;"ДДУ"=ППД5!A9&amp;ППД5!CR9,ППД5!U9,ППД5!V9)</f>
        <v>68.5</v>
      </c>
      <c r="AA12" s="285">
        <f>IFERROR(Таблица10[[#This Row],[S ПП]]-Таблица10[[#This Row],[S ДДУ]],)</f>
        <v>0</v>
      </c>
      <c r="AB12" s="235">
        <f>ROUND(_xlfn.XLOOKUP(Таблица10[[#This Row],[№]],Реестр_Д5[№],Реестр_Д5[Итоговая сумма скидки],"",0),2)</f>
        <v>165694</v>
      </c>
      <c r="AC12" s="235" cm="1">
        <f t="array" ref="AC12">IFERROR(ROUND(_xlfn.XLOOKUP($Q$3&amp;Таблица10[[#This Row],[№]]&amp;"Продажа",РД[Дом]&amp;РД[№ кв]&amp;РД[Состояние],РД[Сумма скидки],"",0,-1),2),Таблица10[[#This Row],[Статус]])</f>
        <v>165694</v>
      </c>
      <c r="AD12" s="285">
        <f>IFERROR(Таблица10[[#This Row],[ППС]]-Таблица10[[#This Row],[ДДУС]],)</f>
        <v>0</v>
      </c>
      <c r="AE12" s="611"/>
      <c r="AF12" s="615">
        <f>VLOOKUP(ППД401!A9,Д401[],1,0)</f>
        <v>8</v>
      </c>
      <c r="AG12" s="234" t="str">
        <f>_xlfn.XLOOKUP(Таблица1[[#This Row],[№]],Д401[№],Д401[Статус],"-",0)</f>
        <v>Свободно</v>
      </c>
      <c r="AH12" s="612">
        <f>_xlfn.XLOOKUP(Таблица1[[#This Row],[№]],Д401[№],Д401[Стоимость ОН без отделки со скидкой],"-",0)</f>
        <v>10446250</v>
      </c>
      <c r="AI12" s="612" t="str" cm="1">
        <f t="array" ref="AI12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12" s="235" t="str">
        <f>IFERROR((Таблица1[[#This Row],[ПП]]-Таблица1[[#This Row],[ДДУ]])*1,"")</f>
        <v/>
      </c>
      <c r="AK12" s="235" t="str" cm="1">
        <f t="array" ref="AK12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12" s="235">
        <f>_xlfn.XLOOKUP(Таблица1[[#This Row],[№]],Д401[№],Д401[Стоимость квартиры с отделкой],"-",0)</f>
        <v>10446250</v>
      </c>
      <c r="AM12" s="235" t="str">
        <f>IFERROR(Таблица1[[#This Row],[СО ПП]]-Таблица1[[#This Row],[СО ДДУ]],"")</f>
        <v/>
      </c>
      <c r="AN12" s="233" t="str" cm="1">
        <f t="array" ref="AN12">IFERROR(INDEX(РД[S],MATCH($AF$3&amp;Таблица1[[#This Row],[№]]&amp;"Продажа",РД[Дом]&amp;РД[№ кв]&amp;РД[Состояние],0),1),Таблица1[[#This Row],[Статус]])</f>
        <v>Свободно</v>
      </c>
      <c r="AO12" s="233">
        <f>_xlfn.XLOOKUP(Таблица1[[#This Row],[№]],Д401[№],Д401[Расчетная проектная площадь],"-",0)</f>
        <v>83.57</v>
      </c>
      <c r="AP12" s="235" t="str">
        <f>IFERROR(Таблица1[[#This Row],[S ПП]]-Таблица1[[#This Row],[S ДДУ]],"")</f>
        <v/>
      </c>
      <c r="AQ12" s="235">
        <f>_xlfn.XLOOKUP(Таблица1[[#This Row],[№]],Д401[№],Д401[Итоговая сумма скидки],"-",0)</f>
        <v>0</v>
      </c>
      <c r="AR12" s="235" t="str" cm="1">
        <f t="array" ref="AR12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12" s="285" t="str">
        <f>IFERROR(Таблица1[[#This Row],[ППС]]-Таблица1[[#This Row],[ДДУС]],"")</f>
        <v/>
      </c>
      <c r="AT12" s="611"/>
      <c r="AU12" s="484">
        <f>VLOOKUP(ППД402!A9,Д402[],1,0)</f>
        <v>8</v>
      </c>
      <c r="AV12" s="484" t="str">
        <f>_xlfn.XLOOKUP(Т402[[#This Row],[№]],Д402[№],Д402[Статус],"-",0)</f>
        <v>Стр. Резерв</v>
      </c>
      <c r="AW12" s="613">
        <f>_xlfn.XLOOKUP(Т402[[#This Row],[№]],Д402[№],Д402[Стоимость ОН без отделки со скидкой],"-",0)</f>
        <v>7531800</v>
      </c>
      <c r="AX12" s="614" t="str" cm="1">
        <f t="array" ref="AX1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" s="485" t="str">
        <f>IFERROR((Т402[[#This Row],[ПП]]-Т402[[#This Row],[ДДУ]])*1,"")</f>
        <v/>
      </c>
      <c r="AZ12" s="486" t="str" cm="1">
        <f t="array" ref="AZ1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" s="485">
        <f>_xlfn.XLOOKUP(Т402[[#This Row],[№]],Д402[№],Д402[Стоимость квартиры с отделкой],"-",0)</f>
        <v>7531800</v>
      </c>
      <c r="BB12" s="485" t="str">
        <f>IFERROR(Т402[[#This Row],[СО ПП]]-Т402[[#This Row],[СО ДДУ]],"")</f>
        <v/>
      </c>
      <c r="BC12" s="487" t="str" cm="1">
        <f t="array" ref="BC12">IFERROR(INDEX(РД[S],MATCH($AU$3&amp;Т402[[#This Row],[№]]&amp;"Продажа",РД[Дом]&amp;РД[№ кв]&amp;РД[Состояние],0),1),Т402[[#This Row],[Статус]])</f>
        <v>Стр. Резерв</v>
      </c>
      <c r="BD12" s="483">
        <f>_xlfn.XLOOKUP(Т402[[#This Row],[№]],Д402[№],Д402[Расчетная проектная площадь],"-",0)</f>
        <v>60.11</v>
      </c>
      <c r="BE12" s="485" t="str">
        <f>IFERROR(Т402[[#This Row],[S ПП]]-Т402[[#This Row],[S ДДУ]],"")</f>
        <v/>
      </c>
      <c r="BF12" s="485">
        <f>_xlfn.XLOOKUP(Т402[[#This Row],[№]],Д402[№],Д402[Итоговая сумма скидки],"-",0)</f>
        <v>0</v>
      </c>
      <c r="BG12" s="486" t="str" cm="1">
        <f t="array" ref="BG1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" s="488" t="str">
        <f>IFERROR(Т402[[#This Row],[ППС]]-Т402[[#This Row],[ДДУС]],"")</f>
        <v/>
      </c>
    </row>
    <row r="13" spans="1:60" x14ac:dyDescent="0.2">
      <c r="A13" s="611"/>
      <c r="B13" s="234">
        <f>VLOOKUP(ППД4!A10,Реестр_Д4[№],1,0)</f>
        <v>9</v>
      </c>
      <c r="C13" s="234" t="str">
        <f>VLOOKUP(ППД4!CO10,Реестр_Д4[Статус],1,0)</f>
        <v>Продажа</v>
      </c>
      <c r="D13" s="612">
        <f>VLOOKUP(ППД4!CE10,Реестр_Д4[Стоимость ОН без отделки со скидкой],1,0)</f>
        <v>2459230.36</v>
      </c>
      <c r="E13" s="612" cm="1">
        <f t="array" ref="E13">IFERROR(INDEX(РД[Стоимость без отделки итог],MATCH($B$3&amp;Таблица4[[#This Row],[№]]&amp;"Продажа",РД[Дом]&amp;РД[№ кв]&amp;РД[Состояние],0),1),Таблица4[[#This Row],[Статус]])</f>
        <v>2459230.36</v>
      </c>
      <c r="F13" s="235">
        <f>IFERROR((Таблица4[[#This Row],[ПП]]-Таблица4[[#This Row],[ДДУ]])*1,"")</f>
        <v>0</v>
      </c>
      <c r="G13" s="235" cm="1">
        <f t="array" ref="G13">IFERROR(INDEX(РД[Стоимость с отделкой итог],MATCH($B$3&amp;Таблица4[[#This Row],[№]]&amp;"Продажа",РД[Дом]&amp;РД[№ кв]&amp;РД[Состояние],0),1),Таблица4[[#This Row],[Статус]])</f>
        <v>2710705.36</v>
      </c>
      <c r="H13" s="235">
        <f>_xlfn.XLOOKUP(Таблица4[[#This Row],[№]],Реестр_Д4[№],Реестр_Д4[Стоимость квартиры с отделкой],"-",0)</f>
        <v>2710705.36</v>
      </c>
      <c r="I13" s="235">
        <f>IFERROR(Таблица4[[#This Row],[СО ПП]]-Таблица4[[#This Row],[СО ДДУ]],"")</f>
        <v>0</v>
      </c>
      <c r="J13" s="233" cm="1">
        <f t="array" ref="J13">IFERROR(INDEX(РД[S],MATCH($B$3&amp;Таблица4[[#This Row],[№]]&amp;"Продажа",РД[Дом]&amp;РД[№ кв]&amp;РД[Состояние],0),1),Таблица4[[#This Row],[Статус]])</f>
        <v>33.53</v>
      </c>
      <c r="K13" s="233">
        <f>VLOOKUP(Таблица4[[#This Row],[№]],Реестр_Д4[],20,0)</f>
        <v>33.53</v>
      </c>
      <c r="L13" s="235">
        <f>IFERROR(Таблица4[[#This Row],[S ПП]]-Таблица4[[#This Row],[S ДДУ]],)</f>
        <v>0</v>
      </c>
      <c r="M13" s="235">
        <f>ROUND(_xlfn.XLOOKUP(Таблица4[[#This Row],[№]],Реестр_Д4[№],Реестр_Д4[Итоговая сумма скидки],"",0),2)</f>
        <v>129433.18</v>
      </c>
      <c r="N13" s="235" cm="1">
        <f t="array" ref="N13">IFERROR(ROUND(_xlfn.XLOOKUP($B$3&amp;Таблица4[[#This Row],[№]]&amp;"Продажа",РД[Дом]&amp;РД[№ кв]&amp;РД[Состояние],РД[Сумма скидки],"",0),2),Таблица4[[#This Row],[Статус]])</f>
        <v>129433.18</v>
      </c>
      <c r="O13" s="235">
        <f>IFERROR(Таблица4[[#This Row],[ППС]]-Таблица4[[#This Row],[ДДУС]],)</f>
        <v>0</v>
      </c>
      <c r="P13" s="611"/>
      <c r="Q13" s="234">
        <f>VLOOKUP(ППД5!A10,Реестр_Д5[№],1,0)</f>
        <v>9</v>
      </c>
      <c r="R13" s="234" t="str">
        <f>VLOOKUP(ППД5!CH10,Реестр_Д5[Статус],1,0)</f>
        <v>Продажа</v>
      </c>
      <c r="S13" s="612">
        <f>VLOOKUP(ППД5!BZ10,Реестр_Д5[Стоимость ОН без отделки со скидкой],1,0)</f>
        <v>4602400</v>
      </c>
      <c r="T13" s="612" cm="1">
        <f t="array" ref="T13">IFERROR(INDEX(РД[Стоимость без отделки итог],MATCH($Q$3&amp;Таблица10[[#This Row],[№]]&amp;"Продажа",РД[Дом]&amp;РД[№ кв]&amp;РД[Состояние],0),1),Таблица10[[#This Row],[Статус]])</f>
        <v>4602400</v>
      </c>
      <c r="U13" s="235">
        <f>IFERROR((Таблица10[[#This Row],[ПП]]-Таблица10[[#This Row],[ДДУ]])*1,)</f>
        <v>0</v>
      </c>
      <c r="V13" s="235" cm="1">
        <f t="array" ref="V13">IFERROR(INDEX(РД[Стоимость с отделкой итог],MATCH($Q$3&amp;Таблица10[[#This Row],[№]]&amp;"Продажа",РД[Дом]&amp;РД[№ кв]&amp;РД[Состояние],0),1),Таблица10[[#This Row],[Статус]])</f>
        <v>4602400</v>
      </c>
      <c r="W13" s="235">
        <f>_xlfn.XLOOKUP(Таблица10[[#This Row],[№]],Реестр_Д5[№],Реестр_Д5[Стоимость квартиры с отделкой],"-",0)</f>
        <v>4602400</v>
      </c>
      <c r="X13" s="235">
        <f>IFERROR(Таблица10[[#This Row],[СО ПП]]-Таблица10[[#This Row],[СО ДДУ]],"")</f>
        <v>0</v>
      </c>
      <c r="Y13" s="233" cm="1">
        <f t="array" ref="Y13">IFERROR(INDEX(РД[S],MATCH($Q$3&amp;Таблица10[[#This Row],[№]]&amp;"Продажа",РД[Дом]&amp;РД[№ кв]&amp;РД[Состояние],0),1),Таблица10[[#This Row],[Статус]])</f>
        <v>37.729999999999997</v>
      </c>
      <c r="Z13" s="233">
        <f>IF(Таблица10[[#This Row],[№]]&amp;"ДДУ"=ППД5!A10&amp;ППД5!CR10,ППД5!U10,ППД5!V10)</f>
        <v>37.729999999999997</v>
      </c>
      <c r="AA13" s="285">
        <f>IFERROR(Таблица10[[#This Row],[S ПП]]-Таблица10[[#This Row],[S ДДУ]],)</f>
        <v>0</v>
      </c>
      <c r="AB13" s="235">
        <f>ROUND(_xlfn.XLOOKUP(Таблица10[[#This Row],[№]],Реестр_Д5[№],Реестр_Д5[Итоговая сумма скидки],"",0),2)</f>
        <v>0</v>
      </c>
      <c r="AC13" s="235" cm="1">
        <f t="array" ref="AC1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3" s="285">
        <f>IFERROR(Таблица10[[#This Row],[ППС]]-Таблица10[[#This Row],[ДДУС]],)</f>
        <v>0</v>
      </c>
      <c r="AE13" s="611"/>
      <c r="AF13" s="615">
        <f>VLOOKUP(ППД401!A10,Д401[],1,0)</f>
        <v>9</v>
      </c>
      <c r="AG13" s="234" t="str">
        <f>_xlfn.XLOOKUP(Таблица1[[#This Row],[№]],Д401[№],Д401[Статус],"-",0)</f>
        <v>Стр. Резерв</v>
      </c>
      <c r="AH13" s="612">
        <f>_xlfn.XLOOKUP(Таблица1[[#This Row],[№]],Д401[№],Д401[Стоимость ОН без отделки со скидкой],"-",0)</f>
        <v>7720000</v>
      </c>
      <c r="AI13" s="612" t="str" cm="1">
        <f t="array" ref="AI13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3" s="235" t="str">
        <f>IFERROR((Таблица1[[#This Row],[ПП]]-Таблица1[[#This Row],[ДДУ]])*1,"")</f>
        <v/>
      </c>
      <c r="AK13" s="235" t="str" cm="1">
        <f t="array" ref="AK13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3" s="235">
        <f>_xlfn.XLOOKUP(Таблица1[[#This Row],[№]],Д401[№],Д401[Стоимость квартиры с отделкой],"-",0)</f>
        <v>7720000</v>
      </c>
      <c r="AM13" s="235" t="str">
        <f>IFERROR(Таблица1[[#This Row],[СО ПП]]-Таблица1[[#This Row],[СО ДДУ]],"")</f>
        <v/>
      </c>
      <c r="AN13" s="233" t="str" cm="1">
        <f t="array" ref="AN13">IFERROR(INDEX(РД[S],MATCH($AF$3&amp;Таблица1[[#This Row],[№]]&amp;"Продажа",РД[Дом]&amp;РД[№ кв]&amp;РД[Состояние],0),1),Таблица1[[#This Row],[Статус]])</f>
        <v>Стр. Резерв</v>
      </c>
      <c r="AO13" s="233">
        <f>_xlfn.XLOOKUP(Таблица1[[#This Row],[№]],Д401[№],Д401[Расчетная проектная площадь],"-",0)</f>
        <v>61.76</v>
      </c>
      <c r="AP13" s="235" t="str">
        <f>IFERROR(Таблица1[[#This Row],[S ПП]]-Таблица1[[#This Row],[S ДДУ]],"")</f>
        <v/>
      </c>
      <c r="AQ13" s="235">
        <f>_xlfn.XLOOKUP(Таблица1[[#This Row],[№]],Д401[№],Д401[Итоговая сумма скидки],"-",0)</f>
        <v>0</v>
      </c>
      <c r="AR13" s="235" t="str" cm="1">
        <f t="array" ref="AR13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3" s="285" t="str">
        <f>IFERROR(Таблица1[[#This Row],[ППС]]-Таблица1[[#This Row],[ДДУС]],"")</f>
        <v/>
      </c>
      <c r="AT13" s="611"/>
      <c r="AU13" s="484">
        <f>VLOOKUP(ППД402!A10,Д402[],1,0)</f>
        <v>9</v>
      </c>
      <c r="AV13" s="484" t="str">
        <f>_xlfn.XLOOKUP(Т402[[#This Row],[№]],Д402[№],Д402[Статус],"-",0)</f>
        <v>Стр. Резерв</v>
      </c>
      <c r="AW13" s="613">
        <f>_xlfn.XLOOKUP(Т402[[#This Row],[№]],Д402[№],Д402[Стоимость ОН без отделки со скидкой],"-",0)</f>
        <v>6547900</v>
      </c>
      <c r="AX13" s="614" t="str" cm="1">
        <f t="array" ref="AX1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" s="485" t="str">
        <f>IFERROR((Т402[[#This Row],[ПП]]-Т402[[#This Row],[ДДУ]])*1,"")</f>
        <v/>
      </c>
      <c r="AZ13" s="486" t="str" cm="1">
        <f t="array" ref="AZ1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" s="485">
        <f>_xlfn.XLOOKUP(Т402[[#This Row],[№]],Д402[№],Д402[Стоимость квартиры с отделкой],"-",0)</f>
        <v>6547900</v>
      </c>
      <c r="BB13" s="485" t="str">
        <f>IFERROR(Т402[[#This Row],[СО ПП]]-Т402[[#This Row],[СО ДДУ]],"")</f>
        <v/>
      </c>
      <c r="BC13" s="487" t="str" cm="1">
        <f t="array" ref="BC13">IFERROR(INDEX(РД[S],MATCH($AU$3&amp;Т402[[#This Row],[№]]&amp;"Продажа",РД[Дом]&amp;РД[№ кв]&amp;РД[Состояние],0),1),Т402[[#This Row],[Статус]])</f>
        <v>Стр. Резерв</v>
      </c>
      <c r="BD13" s="483">
        <f>_xlfn.XLOOKUP(Т402[[#This Row],[№]],Д402[№],Д402[Расчетная проектная площадь],"-",0)</f>
        <v>54.85</v>
      </c>
      <c r="BE13" s="485" t="str">
        <f>IFERROR(Т402[[#This Row],[S ПП]]-Т402[[#This Row],[S ДДУ]],"")</f>
        <v/>
      </c>
      <c r="BF13" s="485">
        <f>_xlfn.XLOOKUP(Т402[[#This Row],[№]],Д402[№],Д402[Итоговая сумма скидки],"-",0)</f>
        <v>0</v>
      </c>
      <c r="BG13" s="486" t="str" cm="1">
        <f t="array" ref="BG1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" s="488" t="str">
        <f>IFERROR(Т402[[#This Row],[ППС]]-Т402[[#This Row],[ДДУС]],"")</f>
        <v/>
      </c>
    </row>
    <row r="14" spans="1:60" x14ac:dyDescent="0.2">
      <c r="A14" s="611"/>
      <c r="B14" s="234">
        <f>VLOOKUP(ППД4!A11,Реестр_Д4[№],1,0)</f>
        <v>10</v>
      </c>
      <c r="C14" s="234" t="str">
        <f>VLOOKUP(ППД4!CO11,Реестр_Д4[Статус],1,0)</f>
        <v>Продажа</v>
      </c>
      <c r="D14" s="612">
        <f>VLOOKUP(ППД4!CE11,Реестр_Д4[Стоимость ОН без отделки со скидкой],1,0)</f>
        <v>5806905</v>
      </c>
      <c r="E14" s="612" cm="1">
        <f t="array" ref="E14">IFERROR(INDEX(РД[Стоимость без отделки итог],MATCH($B$3&amp;Таблица4[[#This Row],[№]]&amp;"Продажа",РД[Дом]&amp;РД[№ кв]&amp;РД[Состояние],0),1),Таблица4[[#This Row],[Статус]])</f>
        <v>5806905</v>
      </c>
      <c r="F14" s="235">
        <f>IFERROR((Таблица4[[#This Row],[ПП]]-Таблица4[[#This Row],[ДДУ]])*1,"")</f>
        <v>0</v>
      </c>
      <c r="G14" s="235" cm="1">
        <f t="array" ref="G14">IFERROR(INDEX(РД[Стоимость с отделкой итог],MATCH($B$3&amp;Таблица4[[#This Row],[№]]&amp;"Продажа",РД[Дом]&amp;РД[№ кв]&amp;РД[Состояние],0),1),Таблица4[[#This Row],[Статус]])</f>
        <v>6270105</v>
      </c>
      <c r="H14" s="235">
        <f>_xlfn.XLOOKUP(Таблица4[[#This Row],[№]],Реестр_Д4[№],Реестр_Д4[Стоимость квартиры с отделкой],"-",0)</f>
        <v>6270105</v>
      </c>
      <c r="I14" s="235">
        <f>IFERROR(Таблица4[[#This Row],[СО ПП]]-Таблица4[[#This Row],[СО ДДУ]],"")</f>
        <v>0</v>
      </c>
      <c r="J14" s="233" cm="1">
        <f t="array" ref="J14">IFERROR(INDEX(РД[S],MATCH($B$3&amp;Таблица4[[#This Row],[№]]&amp;"Продажа",РД[Дом]&amp;РД[№ кв]&amp;РД[Состояние],0),1),Таблица4[[#This Row],[Статус]])</f>
        <v>61.76</v>
      </c>
      <c r="K14" s="233">
        <f>VLOOKUP(Таблица4[[#This Row],[№]],Реестр_Д4[],20,0)</f>
        <v>61.76</v>
      </c>
      <c r="L14" s="235">
        <f>IFERROR(Таблица4[[#This Row],[S ПП]]-Таблица4[[#This Row],[S ДДУ]],)</f>
        <v>0</v>
      </c>
      <c r="M14" s="235">
        <f>ROUND(_xlfn.XLOOKUP(Таблица4[[#This Row],[№]],Реестр_Д4[№],Реестр_Д4[Итоговая сумма скидки],"",0),2)</f>
        <v>179595</v>
      </c>
      <c r="N14" s="235" cm="1">
        <f t="array" ref="N14">IFERROR(ROUND(_xlfn.XLOOKUP($B$3&amp;Таблица4[[#This Row],[№]]&amp;"Продажа",РД[Дом]&amp;РД[№ кв]&amp;РД[Состояние],РД[Сумма скидки],"",0),2),Таблица4[[#This Row],[Статус]])</f>
        <v>179595</v>
      </c>
      <c r="O14" s="235">
        <f>IFERROR(Таблица4[[#This Row],[ППС]]-Таблица4[[#This Row],[ДДУС]],)</f>
        <v>0</v>
      </c>
      <c r="P14" s="611"/>
      <c r="Q14" s="234">
        <f>VLOOKUP(ППД5!A11,Реестр_Д5[№],1,0)</f>
        <v>10</v>
      </c>
      <c r="R14" s="234" t="str">
        <f>VLOOKUP(ППД5!CH11,Реестр_Д5[Статус],1,0)</f>
        <v>Продажа</v>
      </c>
      <c r="S14" s="612">
        <f>VLOOKUP(ППД5!BZ11,Реестр_Д5[Стоимость ОН без отделки со скидкой],1,0)</f>
        <v>6202580</v>
      </c>
      <c r="T14" s="612" cm="1">
        <f t="array" ref="T14">IFERROR(INDEX(РД[Стоимость без отделки итог],MATCH($Q$3&amp;Таблица10[[#This Row],[№]]&amp;"Продажа",РД[Дом]&amp;РД[№ кв]&amp;РД[Состояние],0),1),Таблица10[[#This Row],[Статус]])</f>
        <v>6202580</v>
      </c>
      <c r="U14" s="235">
        <f>IFERROR((Таблица10[[#This Row],[ПП]]-Таблица10[[#This Row],[ДДУ]])*1,)</f>
        <v>0</v>
      </c>
      <c r="V14" s="235" cm="1">
        <f t="array" ref="V14">IFERROR(INDEX(РД[Стоимость с отделкой итог],MATCH($Q$3&amp;Таблица10[[#This Row],[№]]&amp;"Продажа",РД[Дом]&amp;РД[№ кв]&amp;РД[Состояние],0),1),Таблица10[[#This Row],[Статус]])</f>
        <v>6202580</v>
      </c>
      <c r="W14" s="235">
        <f>_xlfn.XLOOKUP(Таблица10[[#This Row],[№]],Реестр_Д5[№],Реестр_Д5[Стоимость квартиры с отделкой],"-",0)</f>
        <v>6202580</v>
      </c>
      <c r="X14" s="235">
        <f>IFERROR(Таблица10[[#This Row],[СО ПП]]-Таблица10[[#This Row],[СО ДДУ]],"")</f>
        <v>0</v>
      </c>
      <c r="Y14" s="233" cm="1">
        <f t="array" ref="Y14">IFERROR(INDEX(РД[S],MATCH($Q$3&amp;Таблица10[[#This Row],[№]]&amp;"Продажа",РД[Дом]&amp;РД[№ кв]&amp;РД[Состояние],0),1),Таблица10[[#This Row],[Статус]])</f>
        <v>58.39</v>
      </c>
      <c r="Z14" s="233">
        <f>IF(Таблица10[[#This Row],[№]]&amp;"ДДУ"=ППД5!A11&amp;ППД5!CR11,ППД5!U11,ППД5!V11)</f>
        <v>58.39</v>
      </c>
      <c r="AA14" s="285">
        <f>IFERROR(Таблица10[[#This Row],[S ПП]]-Таблица10[[#This Row],[S ДДУ]],)</f>
        <v>0</v>
      </c>
      <c r="AB14" s="235">
        <f>ROUND(_xlfn.XLOOKUP(Таблица10[[#This Row],[№]],Реестр_Д5[№],Реестр_Д5[Итоговая сумма скидки],"",0),2)</f>
        <v>467120</v>
      </c>
      <c r="AC14" s="235" cm="1">
        <f t="array" ref="AC14">IFERROR(ROUND(_xlfn.XLOOKUP($Q$3&amp;Таблица10[[#This Row],[№]]&amp;"Продажа",РД[Дом]&amp;РД[№ кв]&amp;РД[Состояние],РД[Сумма скидки],"",0,-1),2),Таблица10[[#This Row],[Статус]])</f>
        <v>467120</v>
      </c>
      <c r="AD14" s="285">
        <f>IFERROR(Таблица10[[#This Row],[ППС]]-Таблица10[[#This Row],[ДДУС]],)</f>
        <v>0</v>
      </c>
      <c r="AE14" s="611"/>
      <c r="AF14" s="615">
        <f>VLOOKUP(ППД401!A11,Д401[],1,0)</f>
        <v>10</v>
      </c>
      <c r="AG14" s="234" t="str">
        <f>_xlfn.XLOOKUP(Таблица1[[#This Row],[№]],Д401[№],Д401[Статус],"-",0)</f>
        <v>Продажа</v>
      </c>
      <c r="AH14" s="612">
        <f>_xlfn.XLOOKUP(Таблица1[[#This Row],[№]],Д401[№],Д401[Стоимость ОН без отделки со скидкой],"-",0)</f>
        <v>4707626</v>
      </c>
      <c r="AI14" s="612" cm="1">
        <f t="array" ref="AI14">IFERROR(INDEX(РД[Стоимость без отделки итог],MATCH($AF$3&amp;Таблица1[[#This Row],[№]]&amp;"Продажа",РД[Дом]&amp;РД[№ кв]&amp;РД[Состояние],0),1),Таблица1[[#This Row],[Статус]])</f>
        <v>4707626</v>
      </c>
      <c r="AJ14" s="235">
        <f>IFERROR((Таблица1[[#This Row],[ПП]]-Таблица1[[#This Row],[ДДУ]])*1,"")</f>
        <v>0</v>
      </c>
      <c r="AK14" s="235" cm="1">
        <f t="array" ref="AK14">IFERROR(INDEX(РД[Стоимость с отделкой итог],MATCH($AF$3&amp;Таблица1[[#This Row],[№]]&amp;"Продажа",РД[Дом]&amp;РД[№ кв]&amp;РД[Состояние],0),1),Таблица1[[#This Row],[Статус]])</f>
        <v>4707626</v>
      </c>
      <c r="AL14" s="235">
        <f>_xlfn.XLOOKUP(Таблица1[[#This Row],[№]],Д401[№],Д401[Стоимость квартиры с отделкой],"-",0)</f>
        <v>4707626</v>
      </c>
      <c r="AM14" s="235">
        <f>IFERROR(Таблица1[[#This Row],[СО ПП]]-Таблица1[[#This Row],[СО ДДУ]],"")</f>
        <v>0</v>
      </c>
      <c r="AN14" s="233" cm="1">
        <f t="array" ref="AN14">IFERROR(INDEX(РД[S],MATCH($AF$3&amp;Таблица1[[#This Row],[№]]&amp;"Продажа",РД[Дом]&amp;РД[№ кв]&amp;РД[Состояние],0),1),Таблица1[[#This Row],[Статус]])</f>
        <v>35.53</v>
      </c>
      <c r="AO14" s="233">
        <f>_xlfn.XLOOKUP(Таблица1[[#This Row],[№]],Д401[№],Д401[Расчетная проектная площадь],"-",0)</f>
        <v>38.17</v>
      </c>
      <c r="AP14" s="680">
        <f>IFERROR(Таблица1[[#This Row],[S ПП]]-Таблица1[[#This Row],[S ДДУ]],"")</f>
        <v>2.6400000000000006</v>
      </c>
      <c r="AQ14" s="235">
        <f>_xlfn.XLOOKUP(Таблица1[[#This Row],[№]],Д401[№],Д401[Итоговая сумма скидки],"-",0)</f>
        <v>96074</v>
      </c>
      <c r="AR14" s="235" cm="1">
        <f t="array" ref="AR14">IFERROR(ROUND(_xlfn.XLOOKUP($AF$3&amp;Таблица1[[#This Row],[№]]&amp;"Продажа",РД[Дом]&amp;РД[№ кв]&amp;РД[Состояние],РД[Сумма скидки],"",0),2),Таблица1[[#This Row],[Статус]])</f>
        <v>96074</v>
      </c>
      <c r="AS14" s="285">
        <f>IFERROR(Таблица1[[#This Row],[ППС]]-Таблица1[[#This Row],[ДДУС]],"")</f>
        <v>0</v>
      </c>
      <c r="AT14" s="611"/>
      <c r="AU14" s="484">
        <f>VLOOKUP(ППД402!A11,Д402[],1,0)</f>
        <v>10</v>
      </c>
      <c r="AV14" s="484" t="str">
        <f>_xlfn.XLOOKUP(Т402[[#This Row],[№]],Д402[№],Д402[Статус],"-",0)</f>
        <v>Стр. Резерв</v>
      </c>
      <c r="AW14" s="613">
        <f>_xlfn.XLOOKUP(Т402[[#This Row],[№]],Д402[№],Д402[Стоимость ОН без отделки со скидкой],"-",0)</f>
        <v>6664000</v>
      </c>
      <c r="AX14" s="614" t="str" cm="1">
        <f t="array" ref="AX1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" s="485" t="str">
        <f>IFERROR((Т402[[#This Row],[ПП]]-Т402[[#This Row],[ДДУ]])*1,"")</f>
        <v/>
      </c>
      <c r="AZ14" s="486" t="str" cm="1">
        <f t="array" ref="AZ1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" s="485">
        <f>_xlfn.XLOOKUP(Т402[[#This Row],[№]],Д402[№],Д402[Стоимость квартиры с отделкой],"-",0)</f>
        <v>8307400</v>
      </c>
      <c r="BB14" s="485" t="str">
        <f>IFERROR(Т402[[#This Row],[СО ПП]]-Т402[[#This Row],[СО ДДУ]],"")</f>
        <v/>
      </c>
      <c r="BC14" s="487" t="str" cm="1">
        <f t="array" ref="BC14">IFERROR(INDEX(РД[S],MATCH($AU$3&amp;Т402[[#This Row],[№]]&amp;"Продажа",РД[Дом]&amp;РД[№ кв]&amp;РД[Состояние],0),1),Т402[[#This Row],[Статус]])</f>
        <v>Стр. Резерв</v>
      </c>
      <c r="BD14" s="483">
        <f>_xlfn.XLOOKUP(Т402[[#This Row],[№]],Д402[№],Д402[Расчетная проектная площадь],"-",0)</f>
        <v>54.78</v>
      </c>
      <c r="BE14" s="485" t="str">
        <f>IFERROR(Т402[[#This Row],[S ПП]]-Т402[[#This Row],[S ДДУ]],"")</f>
        <v/>
      </c>
      <c r="BF14" s="485">
        <f>_xlfn.XLOOKUP(Т402[[#This Row],[№]],Д402[№],Д402[Итоговая сумма скидки],"-",0)</f>
        <v>0</v>
      </c>
      <c r="BG14" s="486" t="str" cm="1">
        <f t="array" ref="BG1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" s="488" t="str">
        <f>IFERROR(Т402[[#This Row],[ППС]]-Т402[[#This Row],[ДДУС]],"")</f>
        <v/>
      </c>
    </row>
    <row r="15" spans="1:60" x14ac:dyDescent="0.2">
      <c r="A15" s="611"/>
      <c r="B15" s="234">
        <f>VLOOKUP(ППД4!A12,Реестр_Д4[№],1,0)</f>
        <v>11</v>
      </c>
      <c r="C15" s="234" t="str">
        <f>VLOOKUP(ППД4!CO12,Реестр_Д4[Статус],1,0)</f>
        <v>Продажа</v>
      </c>
      <c r="D15" s="612">
        <f>VLOOKUP(ППД4!CE12,Реестр_Д4[Стоимость ОН без отделки со скидкой],1,0)</f>
        <v>2909919.6</v>
      </c>
      <c r="E15" s="612" cm="1">
        <f t="array" ref="E15">IFERROR(INDEX(РД[Стоимость без отделки итог],MATCH($B$3&amp;Таблица4[[#This Row],[№]]&amp;"Продажа",РД[Дом]&amp;РД[№ кв]&amp;РД[Состояние],0),1),Таблица4[[#This Row],[Статус]])</f>
        <v>2909919.5999999996</v>
      </c>
      <c r="F15" s="235">
        <f>IFERROR((Таблица4[[#This Row],[ПП]]-Таблица4[[#This Row],[ДДУ]])*1,"")</f>
        <v>4.6566128730773926E-10</v>
      </c>
      <c r="G15" s="235" cm="1">
        <f t="array" ref="G15">IFERROR(INDEX(РД[Стоимость с отделкой итог],MATCH($B$3&amp;Таблица4[[#This Row],[№]]&amp;"Продажа",РД[Дом]&amp;РД[№ кв]&amp;РД[Состояние],0),1),Таблица4[[#This Row],[Статус]])</f>
        <v>3691799.6</v>
      </c>
      <c r="H15" s="235">
        <f>_xlfn.XLOOKUP(Таблица4[[#This Row],[№]],Реестр_Д4[№],Реестр_Д4[Стоимость квартиры с отделкой],"-",0)</f>
        <v>3691799.6</v>
      </c>
      <c r="I15" s="235">
        <f>IFERROR(Таблица4[[#This Row],[СО ПП]]-Таблица4[[#This Row],[СО ДДУ]],"")</f>
        <v>0</v>
      </c>
      <c r="J15" s="233" cm="1">
        <f t="array" ref="J15">IFERROR(INDEX(РД[S],MATCH($B$3&amp;Таблица4[[#This Row],[№]]&amp;"Продажа",РД[Дом]&amp;РД[№ кв]&amp;РД[Состояние],0),1),Таблица4[[#This Row],[Статус]])</f>
        <v>35.54</v>
      </c>
      <c r="K15" s="233">
        <f>VLOOKUP(Таблица4[[#This Row],[№]],Реестр_Д4[],20,0)</f>
        <v>35.54</v>
      </c>
      <c r="L15" s="235">
        <f>IFERROR(Таблица4[[#This Row],[S ПП]]-Таблица4[[#This Row],[S ДДУ]],)</f>
        <v>0</v>
      </c>
      <c r="M15" s="235">
        <f>ROUND(_xlfn.XLOOKUP(Таблица4[[#This Row],[№]],Реестр_Д4[№],Реестр_Д4[Итоговая сумма скидки],"",0),2)</f>
        <v>0</v>
      </c>
      <c r="N15" s="235" cm="1">
        <f t="array" ref="N1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" s="235">
        <f>IFERROR(Таблица4[[#This Row],[ППС]]-Таблица4[[#This Row],[ДДУС]],)</f>
        <v>0</v>
      </c>
      <c r="P15" s="611"/>
      <c r="Q15" s="234">
        <f>VLOOKUP(ППД5!A12,Реестр_Д5[№],1,0)</f>
        <v>11</v>
      </c>
      <c r="R15" s="234" t="str">
        <f>VLOOKUP(ППД5!CH12,Реестр_Д5[Статус],1,0)</f>
        <v>Продажа</v>
      </c>
      <c r="S15" s="612">
        <f>VLOOKUP(ППД5!BZ12,Реестр_Д5[Стоимость ОН без отделки со скидкой],1,0)</f>
        <v>7114777</v>
      </c>
      <c r="T15" s="612" cm="1">
        <f t="array" ref="T15">IFERROR(INDEX(РД[Стоимость без отделки итог],MATCH($Q$3&amp;Таблица10[[#This Row],[№]]&amp;"Продажа",РД[Дом]&amp;РД[№ кв]&amp;РД[Состояние],0),1),Таблица10[[#This Row],[Статус]])</f>
        <v>7114777</v>
      </c>
      <c r="U15" s="235">
        <f>IFERROR((Таблица10[[#This Row],[ПП]]-Таблица10[[#This Row],[ДДУ]])*1,)</f>
        <v>0</v>
      </c>
      <c r="V15" s="235" cm="1">
        <f t="array" ref="V15">IFERROR(INDEX(РД[Стоимость с отделкой итог],MATCH($Q$3&amp;Таблица10[[#This Row],[№]]&amp;"Продажа",РД[Дом]&amp;РД[№ кв]&amp;РД[Состояние],0),1),Таблица10[[#This Row],[Статус]])</f>
        <v>7736477</v>
      </c>
      <c r="W15" s="235">
        <f>_xlfn.XLOOKUP(Таблица10[[#This Row],[№]],Реестр_Д5[№],Реестр_Д5[Стоимость квартиры с отделкой],"-",0)</f>
        <v>7736477</v>
      </c>
      <c r="X15" s="235">
        <f>IFERROR(Таблица10[[#This Row],[СО ПП]]-Таблица10[[#This Row],[СО ДДУ]],"")</f>
        <v>0</v>
      </c>
      <c r="Y15" s="233" cm="1">
        <f t="array" ref="Y15">IFERROR(INDEX(РД[S],MATCH($Q$3&amp;Таблица10[[#This Row],[№]]&amp;"Продажа",РД[Дом]&amp;РД[№ кв]&amp;РД[Состояние],0),1),Таблица10[[#This Row],[Статус]])</f>
        <v>62.17</v>
      </c>
      <c r="Z15" s="233">
        <f>IF(Таблица10[[#This Row],[№]]&amp;"ДДУ"=ППД5!A12&amp;ППД5!CR12,ППД5!U12,ППД5!V12)</f>
        <v>62.17</v>
      </c>
      <c r="AA15" s="285">
        <f>IFERROR(Таблица10[[#This Row],[S ПП]]-Таблица10[[#This Row],[S ДДУ]],)</f>
        <v>0</v>
      </c>
      <c r="AB15" s="235">
        <f>ROUND(_xlfn.XLOOKUP(Таблица10[[#This Row],[№]],Реестр_Д5[№],Реестр_Д5[Итоговая сумма скидки],"",0),2)</f>
        <v>529323</v>
      </c>
      <c r="AC15" s="235" cm="1">
        <f t="array" ref="AC15">IFERROR(ROUND(_xlfn.XLOOKUP($Q$3&amp;Таблица10[[#This Row],[№]]&amp;"Продажа",РД[Дом]&amp;РД[№ кв]&amp;РД[Состояние],РД[Сумма скидки],"",0,-1),2),Таблица10[[#This Row],[Статус]])</f>
        <v>529323</v>
      </c>
      <c r="AD15" s="285">
        <f>IFERROR(Таблица10[[#This Row],[ППС]]-Таблица10[[#This Row],[ДДУС]],)</f>
        <v>0</v>
      </c>
      <c r="AE15" s="611"/>
      <c r="AF15" s="615">
        <f>VLOOKUP(ППД401!A12,Д401[],1,0)</f>
        <v>11</v>
      </c>
      <c r="AG15" s="234" t="str">
        <f>_xlfn.XLOOKUP(Таблица1[[#This Row],[№]],Д401[№],Д401[Статус],"-",0)</f>
        <v>Свободно</v>
      </c>
      <c r="AH15" s="612">
        <f>_xlfn.XLOOKUP(Таблица1[[#This Row],[№]],Д401[№],Д401[Стоимость ОН без отделки со скидкой],"-",0)</f>
        <v>6827500</v>
      </c>
      <c r="AI15" s="612" t="str" cm="1">
        <f t="array" ref="AI15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15" s="235" t="str">
        <f>IFERROR((Таблица1[[#This Row],[ПП]]-Таблица1[[#This Row],[ДДУ]])*1,"")</f>
        <v/>
      </c>
      <c r="AK15" s="235" t="str" cm="1">
        <f t="array" ref="AK15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15" s="235">
        <f>_xlfn.XLOOKUP(Таблица1[[#This Row],[№]],Д401[№],Д401[Стоимость квартиры с отделкой],"-",0)</f>
        <v>6827500</v>
      </c>
      <c r="AM15" s="235" t="str">
        <f>IFERROR(Таблица1[[#This Row],[СО ПП]]-Таблица1[[#This Row],[СО ДДУ]],"")</f>
        <v/>
      </c>
      <c r="AN15" s="233" t="str" cm="1">
        <f t="array" ref="AN15">IFERROR(INDEX(РД[S],MATCH($AF$3&amp;Таблица1[[#This Row],[№]]&amp;"Продажа",РД[Дом]&amp;РД[№ кв]&amp;РД[Состояние],0),1),Таблица1[[#This Row],[Статус]])</f>
        <v>Свободно</v>
      </c>
      <c r="AO15" s="233">
        <f>_xlfn.XLOOKUP(Таблица1[[#This Row],[№]],Д401[№],Д401[Расчетная проектная площадь],"-",0)</f>
        <v>54.62</v>
      </c>
      <c r="AP15" s="235" t="str">
        <f>IFERROR(Таблица1[[#This Row],[S ПП]]-Таблица1[[#This Row],[S ДДУ]],"")</f>
        <v/>
      </c>
      <c r="AQ15" s="235">
        <f>_xlfn.XLOOKUP(Таблица1[[#This Row],[№]],Д401[№],Д401[Итоговая сумма скидки],"-",0)</f>
        <v>0</v>
      </c>
      <c r="AR15" s="235" t="str" cm="1">
        <f t="array" ref="AR15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15" s="285" t="str">
        <f>IFERROR(Таблица1[[#This Row],[ППС]]-Таблица1[[#This Row],[ДДУС]],"")</f>
        <v/>
      </c>
      <c r="AT15" s="611"/>
      <c r="AU15" s="484">
        <f>VLOOKUP(ППД402!A12,Д402[],1,0)</f>
        <v>11</v>
      </c>
      <c r="AV15" s="484" t="str">
        <f>_xlfn.XLOOKUP(Т402[[#This Row],[№]],Д402[№],Д402[Статус],"-",0)</f>
        <v>Стр. Резерв</v>
      </c>
      <c r="AW15" s="613">
        <f>_xlfn.XLOOKUP(Т402[[#This Row],[№]],Д402[№],Д402[Стоимость ОН без отделки со скидкой],"-",0)</f>
        <v>4941800</v>
      </c>
      <c r="AX15" s="614" t="str" cm="1">
        <f t="array" ref="AX1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" s="485" t="str">
        <f>IFERROR((Т402[[#This Row],[ПП]]-Т402[[#This Row],[ДДУ]])*1,"")</f>
        <v/>
      </c>
      <c r="AZ15" s="486" t="str" cm="1">
        <f t="array" ref="AZ1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" s="485">
        <f>_xlfn.XLOOKUP(Т402[[#This Row],[№]],Д402[№],Д402[Стоимость квартиры с отделкой],"-",0)</f>
        <v>4941800</v>
      </c>
      <c r="BB15" s="485" t="str">
        <f>IFERROR(Т402[[#This Row],[СО ПП]]-Т402[[#This Row],[СО ДДУ]],"")</f>
        <v/>
      </c>
      <c r="BC15" s="487" t="str" cm="1">
        <f t="array" ref="BC15">IFERROR(INDEX(РД[S],MATCH($AU$3&amp;Т402[[#This Row],[№]]&amp;"Продажа",РД[Дом]&amp;РД[№ кв]&amp;РД[Состояние],0),1),Т402[[#This Row],[Статус]])</f>
        <v>Стр. Резерв</v>
      </c>
      <c r="BD15" s="483">
        <f>_xlfn.XLOOKUP(Т402[[#This Row],[№]],Д402[№],Д402[Расчетная проектная площадь],"-",0)</f>
        <v>37.01</v>
      </c>
      <c r="BE15" s="485" t="str">
        <f>IFERROR(Т402[[#This Row],[S ПП]]-Т402[[#This Row],[S ДДУ]],"")</f>
        <v/>
      </c>
      <c r="BF15" s="485">
        <f>_xlfn.XLOOKUP(Т402[[#This Row],[№]],Д402[№],Д402[Итоговая сумма скидки],"-",0)</f>
        <v>0</v>
      </c>
      <c r="BG15" s="486" t="str" cm="1">
        <f t="array" ref="BG1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" s="488" t="str">
        <f>IFERROR(Т402[[#This Row],[ППС]]-Т402[[#This Row],[ДДУС]],"")</f>
        <v/>
      </c>
    </row>
    <row r="16" spans="1:60" x14ac:dyDescent="0.2">
      <c r="A16" s="611"/>
      <c r="B16" s="234">
        <f>VLOOKUP(ППД4!A13,Реестр_Д4[№],1,0)</f>
        <v>12</v>
      </c>
      <c r="C16" s="234" t="str">
        <f>VLOOKUP(ППД4!CO13,Реестр_Д4[Статус],1,0)</f>
        <v>Продажа</v>
      </c>
      <c r="D16" s="612">
        <f>VLOOKUP(ППД4!CE13,Реестр_Д4[Стоимость ОН без отделки со скидкой],1,0)</f>
        <v>4326227.58</v>
      </c>
      <c r="E16" s="612" cm="1">
        <f t="array" ref="E16">IFERROR(INDEX(РД[Стоимость без отделки итог],MATCH($B$3&amp;Таблица4[[#This Row],[№]]&amp;"Продажа",РД[Дом]&amp;РД[№ кв]&amp;РД[Состояние],0),1),Таблица4[[#This Row],[Статус]])</f>
        <v>4326227.58</v>
      </c>
      <c r="F16" s="235">
        <f>IFERROR((Таблица4[[#This Row],[ПП]]-Таблица4[[#This Row],[ДДУ]])*1,"")</f>
        <v>0</v>
      </c>
      <c r="G16" s="235" cm="1">
        <f t="array" ref="G16">IFERROR(INDEX(РД[Стоимость с отделкой итог],MATCH($B$3&amp;Таблица4[[#This Row],[№]]&amp;"Продажа",РД[Дом]&amp;РД[№ кв]&amp;РД[Состояние],0),1),Таблица4[[#This Row],[Статус]])</f>
        <v>4550347.58</v>
      </c>
      <c r="H16" s="235">
        <f>_xlfn.XLOOKUP(Таблица4[[#This Row],[№]],Реестр_Д4[№],Реестр_Д4[Стоимость квартиры с отделкой],"-",0)</f>
        <v>4550347.58</v>
      </c>
      <c r="I16" s="235">
        <f>IFERROR(Таблица4[[#This Row],[СО ПП]]-Таблица4[[#This Row],[СО ДДУ]],"")</f>
        <v>0</v>
      </c>
      <c r="J16" s="233" cm="1">
        <f t="array" ref="J16">IFERROR(INDEX(РД[S],MATCH($B$3&amp;Таблица4[[#This Row],[№]]&amp;"Продажа",РД[Дом]&amp;РД[№ кв]&amp;РД[Состояние],0),1),Таблица4[[#This Row],[Статус]])</f>
        <v>56.03</v>
      </c>
      <c r="K16" s="233">
        <f>VLOOKUP(Таблица4[[#This Row],[№]],Реестр_Д4[],20,0)</f>
        <v>56.03</v>
      </c>
      <c r="L16" s="235">
        <f>IFERROR(Таблица4[[#This Row],[S ПП]]-Таблица4[[#This Row],[S ДДУ]],)</f>
        <v>0</v>
      </c>
      <c r="M16" s="235">
        <f>ROUND(_xlfn.XLOOKUP(Таблица4[[#This Row],[№]],Реестр_Д4[№],Реестр_Д4[Итоговая сумма скидки],"",0),2)</f>
        <v>0</v>
      </c>
      <c r="N16" s="235" cm="1">
        <f t="array" ref="N1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" s="235">
        <f>IFERROR(Таблица4[[#This Row],[ППС]]-Таблица4[[#This Row],[ДДУС]],)</f>
        <v>0</v>
      </c>
      <c r="P16" s="611"/>
      <c r="Q16" s="234">
        <f>VLOOKUP(ППД5!A13,Реестр_Д5[№],1,0)</f>
        <v>12</v>
      </c>
      <c r="R16" s="234" t="str">
        <f>VLOOKUP(ППД5!CH13,Реестр_Д5[Статус],1,0)</f>
        <v>Продажа</v>
      </c>
      <c r="S16" s="612">
        <f>VLOOKUP(ППД5!BZ13,Реестр_Д5[Стоимость ОН без отделки со скидкой],1,0)</f>
        <v>5172795.18</v>
      </c>
      <c r="T16" s="612" cm="1">
        <f t="array" ref="T16">IFERROR(INDEX(РД[Стоимость без отделки итог],MATCH($Q$3&amp;Таблица10[[#This Row],[№]]&amp;"Продажа",РД[Дом]&amp;РД[№ кв]&amp;РД[Состояние],0),1),Таблица10[[#This Row],[Статус]])</f>
        <v>5172795.18</v>
      </c>
      <c r="U16" s="235">
        <f>IFERROR((Таблица10[[#This Row],[ПП]]-Таблица10[[#This Row],[ДДУ]])*1,)</f>
        <v>0</v>
      </c>
      <c r="V16" s="235" cm="1">
        <f t="array" ref="V16">IFERROR(INDEX(РД[Стоимость с отделкой итог],MATCH($Q$3&amp;Таблица10[[#This Row],[№]]&amp;"Продажа",РД[Дом]&amp;РД[№ кв]&amp;РД[Состояние],0),1),Таблица10[[#This Row],[Статус]])</f>
        <v>5608995.1799999997</v>
      </c>
      <c r="W16" s="235">
        <f>_xlfn.XLOOKUP(Таблица10[[#This Row],[№]],Реестр_Д5[№],Реестр_Д5[Стоимость квартиры с отделкой],"-",0)</f>
        <v>5608995.1799999997</v>
      </c>
      <c r="X16" s="235">
        <f>IFERROR(Таблица10[[#This Row],[СО ПП]]-Таблица10[[#This Row],[СО ДДУ]],"")</f>
        <v>0</v>
      </c>
      <c r="Y16" s="233" cm="1">
        <f t="array" ref="Y16">IFERROR(INDEX(РД[S],MATCH($Q$3&amp;Таблица10[[#This Row],[№]]&amp;"Продажа",РД[Дом]&amp;РД[№ кв]&amp;РД[Состояние],0),1),Таблица10[[#This Row],[Статус]])</f>
        <v>58.16</v>
      </c>
      <c r="Z16" s="233">
        <f>IF(Таблица10[[#This Row],[№]]&amp;"ДДУ"=ППД5!A13&amp;ППД5!CR13,ППД5!U13,ППД5!V13)</f>
        <v>58.16</v>
      </c>
      <c r="AA16" s="285">
        <f>IFERROR(Таблица10[[#This Row],[S ПП]]-Таблица10[[#This Row],[S ДДУ]],)</f>
        <v>0</v>
      </c>
      <c r="AB16" s="235">
        <f>ROUND(_xlfn.XLOOKUP(Таблица10[[#This Row],[№]],Реестр_Д5[№],Реестр_Д5[Итоговая сумма скидки],"",0),2)</f>
        <v>0</v>
      </c>
      <c r="AC16" s="235" cm="1">
        <f t="array" ref="AC1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6" s="285">
        <f>IFERROR(Таблица10[[#This Row],[ППС]]-Таблица10[[#This Row],[ДДУС]],)</f>
        <v>0</v>
      </c>
      <c r="AE16" s="611"/>
      <c r="AF16" s="615">
        <f>VLOOKUP(ППД401!A13,Д401[],1,0)</f>
        <v>12</v>
      </c>
      <c r="AG16" s="234" t="str">
        <f>_xlfn.XLOOKUP(Таблица1[[#This Row],[№]],Д401[№],Д401[Статус],"-",0)</f>
        <v>Стр. Резерв</v>
      </c>
      <c r="AH16" s="612">
        <f>_xlfn.XLOOKUP(Таблица1[[#This Row],[№]],Д401[№],Д401[Стоимость ОН без отделки со скидкой],"-",0)</f>
        <v>10446250</v>
      </c>
      <c r="AI16" s="612" t="str" cm="1">
        <f t="array" ref="AI1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6" s="235" t="str">
        <f>IFERROR((Таблица1[[#This Row],[ПП]]-Таблица1[[#This Row],[ДДУ]])*1,"")</f>
        <v/>
      </c>
      <c r="AK16" s="235" t="str" cm="1">
        <f t="array" ref="AK1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6" s="235">
        <f>_xlfn.XLOOKUP(Таблица1[[#This Row],[№]],Д401[№],Д401[Стоимость квартиры с отделкой],"-",0)</f>
        <v>10446250</v>
      </c>
      <c r="AM16" s="235" t="str">
        <f>IFERROR(Таблица1[[#This Row],[СО ПП]]-Таблица1[[#This Row],[СО ДДУ]],"")</f>
        <v/>
      </c>
      <c r="AN16" s="233" t="str" cm="1">
        <f t="array" ref="AN16">IFERROR(INDEX(РД[S],MATCH($AF$3&amp;Таблица1[[#This Row],[№]]&amp;"Продажа",РД[Дом]&amp;РД[№ кв]&amp;РД[Состояние],0),1),Таблица1[[#This Row],[Статус]])</f>
        <v>Стр. Резерв</v>
      </c>
      <c r="AO16" s="233">
        <f>_xlfn.XLOOKUP(Таблица1[[#This Row],[№]],Д401[№],Д401[Расчетная проектная площадь],"-",0)</f>
        <v>83.57</v>
      </c>
      <c r="AP16" s="235" t="str">
        <f>IFERROR(Таблица1[[#This Row],[S ПП]]-Таблица1[[#This Row],[S ДДУ]],"")</f>
        <v/>
      </c>
      <c r="AQ16" s="235">
        <f>_xlfn.XLOOKUP(Таблица1[[#This Row],[№]],Д401[№],Д401[Итоговая сумма скидки],"-",0)</f>
        <v>0</v>
      </c>
      <c r="AR16" s="235" t="str" cm="1">
        <f t="array" ref="AR1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6" s="285" t="str">
        <f>IFERROR(Таблица1[[#This Row],[ППС]]-Таблица1[[#This Row],[ДДУС]],"")</f>
        <v/>
      </c>
      <c r="AT16" s="611"/>
      <c r="AU16" s="484">
        <f>VLOOKUP(ППД402!A13,Д402[],1,0)</f>
        <v>12</v>
      </c>
      <c r="AV16" s="484" t="str">
        <f>_xlfn.XLOOKUP(Т402[[#This Row],[№]],Д402[№],Д402[Статус],"-",0)</f>
        <v>Стр. Резерв</v>
      </c>
      <c r="AW16" s="613">
        <f>_xlfn.XLOOKUP(Т402[[#This Row],[№]],Д402[№],Д402[Стоимость ОН без отделки со скидкой],"-",0)</f>
        <v>5815700</v>
      </c>
      <c r="AX16" s="614" t="str" cm="1">
        <f t="array" ref="AX1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" s="485" t="str">
        <f>IFERROR((Т402[[#This Row],[ПП]]-Т402[[#This Row],[ДДУ]])*1,"")</f>
        <v/>
      </c>
      <c r="AZ16" s="486" t="str" cm="1">
        <f t="array" ref="AZ1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" s="485">
        <f>_xlfn.XLOOKUP(Т402[[#This Row],[№]],Д402[№],Д402[Стоимость квартиры с отделкой],"-",0)</f>
        <v>5815700</v>
      </c>
      <c r="BB16" s="485" t="str">
        <f>IFERROR(Т402[[#This Row],[СО ПП]]-Т402[[#This Row],[СО ДДУ]],"")</f>
        <v/>
      </c>
      <c r="BC16" s="487" t="str" cm="1">
        <f t="array" ref="BC16">IFERROR(INDEX(РД[S],MATCH($AU$3&amp;Т402[[#This Row],[№]]&amp;"Продажа",РД[Дом]&amp;РД[№ кв]&amp;РД[Состояние],0),1),Т402[[#This Row],[Статус]])</f>
        <v>Стр. Резерв</v>
      </c>
      <c r="BD16" s="483">
        <f>_xlfn.XLOOKUP(Т402[[#This Row],[№]],Д402[№],Д402[Расчетная проектная площадь],"-",0)</f>
        <v>45.26</v>
      </c>
      <c r="BE16" s="485" t="str">
        <f>IFERROR(Т402[[#This Row],[S ПП]]-Т402[[#This Row],[S ДДУ]],"")</f>
        <v/>
      </c>
      <c r="BF16" s="485">
        <f>_xlfn.XLOOKUP(Т402[[#This Row],[№]],Д402[№],Д402[Итоговая сумма скидки],"-",0)</f>
        <v>0</v>
      </c>
      <c r="BG16" s="486" t="str" cm="1">
        <f t="array" ref="BG1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" s="488" t="str">
        <f>IFERROR(Т402[[#This Row],[ППС]]-Т402[[#This Row],[ДДУС]],"")</f>
        <v/>
      </c>
    </row>
    <row r="17" spans="1:60" x14ac:dyDescent="0.2">
      <c r="A17" s="611"/>
      <c r="B17" s="234">
        <f>VLOOKUP(ППД4!A14,Реестр_Д4[№],1,0)</f>
        <v>13</v>
      </c>
      <c r="C17" s="234" t="str">
        <f>VLOOKUP(ППД4!CO14,Реестр_Д4[Статус],1,0)</f>
        <v>Продажа</v>
      </c>
      <c r="D17" s="612">
        <f>VLOOKUP(ППД4!CE14,Реестр_Д4[Стоимость ОН без отделки со скидкой],1,0)</f>
        <v>4795371.54</v>
      </c>
      <c r="E17" s="612" cm="1">
        <f t="array" ref="E17">IFERROR(INDEX(РД[Стоимость без отделки итог],MATCH($B$3&amp;Таблица4[[#This Row],[№]]&amp;"Продажа",РД[Дом]&amp;РД[№ кв]&amp;РД[Состояние],0),1),Таблица4[[#This Row],[Статус]])</f>
        <v>4795371.54</v>
      </c>
      <c r="F17" s="235">
        <f>IFERROR((Таблица4[[#This Row],[ПП]]-Таблица4[[#This Row],[ДДУ]])*1,"")</f>
        <v>0</v>
      </c>
      <c r="G17" s="235" cm="1">
        <f t="array" ref="G17">IFERROR(INDEX(РД[Стоимость с отделкой итог],MATCH($B$3&amp;Таблица4[[#This Row],[№]]&amp;"Продажа",РД[Дом]&amp;РД[№ кв]&amp;РД[Состояние],0),1),Таблица4[[#This Row],[Статус]])</f>
        <v>5642601.54</v>
      </c>
      <c r="H17" s="235">
        <f>_xlfn.XLOOKUP(Таблица4[[#This Row],[№]],Реестр_Д4[№],Реестр_Д4[Стоимость квартиры с отделкой],"-",0)</f>
        <v>5642601.54</v>
      </c>
      <c r="I17" s="235">
        <f>IFERROR(Таблица4[[#This Row],[СО ПП]]-Таблица4[[#This Row],[СО ДДУ]],"")</f>
        <v>0</v>
      </c>
      <c r="J17" s="233" cm="1">
        <f t="array" ref="J17">IFERROR(INDEX(РД[S],MATCH($B$3&amp;Таблица4[[#This Row],[№]]&amp;"Продажа",РД[Дом]&amp;РД[№ кв]&amp;РД[Состояние],0),1),Таблица4[[#This Row],[Статус]])</f>
        <v>54.66</v>
      </c>
      <c r="K17" s="233">
        <f>VLOOKUP(Таблица4[[#This Row],[№]],Реестр_Д4[],20,0)</f>
        <v>54.66</v>
      </c>
      <c r="L17" s="235">
        <f>IFERROR(Таблица4[[#This Row],[S ПП]]-Таблица4[[#This Row],[S ДДУ]],)</f>
        <v>0</v>
      </c>
      <c r="M17" s="235">
        <f>ROUND(_xlfn.XLOOKUP(Таблица4[[#This Row],[№]],Реестр_Д4[№],Реестр_Д4[Итоговая сумма скидки],"",0),2)</f>
        <v>0</v>
      </c>
      <c r="N17" s="235" cm="1">
        <f t="array" ref="N1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" s="235">
        <f>IFERROR(Таблица4[[#This Row],[ППС]]-Таблица4[[#This Row],[ДДУС]],)</f>
        <v>0</v>
      </c>
      <c r="P17" s="611"/>
      <c r="Q17" s="234">
        <f>VLOOKUP(ППД5!A14,Реестр_Д5[№],1,0)</f>
        <v>13</v>
      </c>
      <c r="R17" s="234" t="str">
        <f>VLOOKUP(ППД5!CH14,Реестр_Д5[Статус],1,0)</f>
        <v>Продажа</v>
      </c>
      <c r="S17" s="612">
        <f>VLOOKUP(ППД5!BZ14,Реестр_Д5[Стоимость ОН без отделки со скидкой],1,0)</f>
        <v>4075679.84</v>
      </c>
      <c r="T17" s="612" cm="1">
        <f t="array" ref="T17">IFERROR(INDEX(РД[Стоимость без отделки итог],MATCH($Q$3&amp;Таблица10[[#This Row],[№]]&amp;"Продажа",РД[Дом]&amp;РД[№ кв]&amp;РД[Состояние],0),1),Таблица10[[#This Row],[Статус]])</f>
        <v>4075679.84</v>
      </c>
      <c r="U17" s="235">
        <f>IFERROR((Таблица10[[#This Row],[ПП]]-Таблица10[[#This Row],[ДДУ]])*1,)</f>
        <v>0</v>
      </c>
      <c r="V17" s="235" cm="1">
        <f t="array" ref="V17">IFERROR(INDEX(РД[Стоимость с отделкой итог],MATCH($Q$3&amp;Таблица10[[#This Row],[№]]&amp;"Продажа",РД[Дом]&amp;РД[№ кв]&amp;РД[Состояние],0),1),Таблица10[[#This Row],[Статус]])</f>
        <v>4396304.84</v>
      </c>
      <c r="W17" s="235">
        <f>_xlfn.XLOOKUP(Таблица10[[#This Row],[№]],Реестр_Д5[№],Реестр_Д5[Стоимость квартиры с отделкой],"-",0)</f>
        <v>4396304.84</v>
      </c>
      <c r="X17" s="235">
        <f>IFERROR(Таблица10[[#This Row],[СО ПП]]-Таблица10[[#This Row],[СО ДДУ]],"")</f>
        <v>0</v>
      </c>
      <c r="Y17" s="233" cm="1">
        <f t="array" ref="Y17">IFERROR(INDEX(РД[S],MATCH($Q$3&amp;Таблица10[[#This Row],[№]]&amp;"Продажа",РД[Дом]&amp;РД[№ кв]&amp;РД[Состояние],0),1),Таблица10[[#This Row],[Статус]])</f>
        <v>42.75</v>
      </c>
      <c r="Z17" s="233">
        <f>IF(Таблица10[[#This Row],[№]]&amp;"ДДУ"=ППД5!A14&amp;ППД5!CR14,ППД5!U14,ППД5!V14)</f>
        <v>42.75</v>
      </c>
      <c r="AA17" s="285">
        <f>IFERROR(Таблица10[[#This Row],[S ПП]]-Таблица10[[#This Row],[S ДДУ]],)</f>
        <v>0</v>
      </c>
      <c r="AB17" s="235">
        <f>ROUND(_xlfn.XLOOKUP(Таблица10[[#This Row],[№]],Реестр_Д5[№],Реестр_Д5[Итоговая сумма скидки],"",0),2)</f>
        <v>0</v>
      </c>
      <c r="AC17" s="235" cm="1">
        <f t="array" ref="AC1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7" s="285">
        <f>IFERROR(Таблица10[[#This Row],[ППС]]-Таблица10[[#This Row],[ДДУС]],)</f>
        <v>0</v>
      </c>
      <c r="AE17" s="611"/>
      <c r="AF17" s="615">
        <f>VLOOKUP(ППД401!A14,Д401[],1,0)</f>
        <v>13</v>
      </c>
      <c r="AG17" s="234" t="str">
        <f>_xlfn.XLOOKUP(Таблица1[[#This Row],[№]],Д401[№],Д401[Статус],"-",0)</f>
        <v>Стр. Резерв</v>
      </c>
      <c r="AH17" s="612">
        <f>_xlfn.XLOOKUP(Таблица1[[#This Row],[№]],Д401[№],Д401[Стоимость ОН без отделки со скидкой],"-",0)</f>
        <v>7720000</v>
      </c>
      <c r="AI17" s="612" t="str" cm="1">
        <f t="array" ref="AI17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7" s="235" t="str">
        <f>IFERROR((Таблица1[[#This Row],[ПП]]-Таблица1[[#This Row],[ДДУ]])*1,"")</f>
        <v/>
      </c>
      <c r="AK17" s="235" t="str" cm="1">
        <f t="array" ref="AK17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7" s="235">
        <f>_xlfn.XLOOKUP(Таблица1[[#This Row],[№]],Д401[№],Д401[Стоимость квартиры с отделкой],"-",0)</f>
        <v>7720000</v>
      </c>
      <c r="AM17" s="235" t="str">
        <f>IFERROR(Таблица1[[#This Row],[СО ПП]]-Таблица1[[#This Row],[СО ДДУ]],"")</f>
        <v/>
      </c>
      <c r="AN17" s="233" t="str" cm="1">
        <f t="array" ref="AN17">IFERROR(INDEX(РД[S],MATCH($AF$3&amp;Таблица1[[#This Row],[№]]&amp;"Продажа",РД[Дом]&amp;РД[№ кв]&amp;РД[Состояние],0),1),Таблица1[[#This Row],[Статус]])</f>
        <v>Стр. Резерв</v>
      </c>
      <c r="AO17" s="233">
        <f>_xlfn.XLOOKUP(Таблица1[[#This Row],[№]],Д401[№],Д401[Расчетная проектная площадь],"-",0)</f>
        <v>61.76</v>
      </c>
      <c r="AP17" s="235" t="str">
        <f>IFERROR(Таблица1[[#This Row],[S ПП]]-Таблица1[[#This Row],[S ДДУ]],"")</f>
        <v/>
      </c>
      <c r="AQ17" s="235">
        <f>_xlfn.XLOOKUP(Таблица1[[#This Row],[№]],Д401[№],Д401[Итоговая сумма скидки],"-",0)</f>
        <v>0</v>
      </c>
      <c r="AR17" s="235" t="str" cm="1">
        <f t="array" ref="AR17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7" s="285" t="str">
        <f>IFERROR(Таблица1[[#This Row],[ППС]]-Таблица1[[#This Row],[ДДУС]],"")</f>
        <v/>
      </c>
      <c r="AT17" s="611"/>
      <c r="AU17" s="484">
        <f>VLOOKUP(ППД402!A14,Д402[],1,0)</f>
        <v>13</v>
      </c>
      <c r="AV17" s="484" t="str">
        <f>_xlfn.XLOOKUP(Т402[[#This Row],[№]],Д402[№],Д402[Статус],"-",0)</f>
        <v>Стр. Резерв</v>
      </c>
      <c r="AW17" s="613">
        <f>_xlfn.XLOOKUP(Т402[[#This Row],[№]],Д402[№],Д402[Стоимость ОН без отделки со скидкой],"-",0)</f>
        <v>4191200</v>
      </c>
      <c r="AX17" s="614" t="str" cm="1">
        <f t="array" ref="AX1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" s="485" t="str">
        <f>IFERROR((Т402[[#This Row],[ПП]]-Т402[[#This Row],[ДДУ]])*1,"")</f>
        <v/>
      </c>
      <c r="AZ17" s="486" t="str" cm="1">
        <f t="array" ref="AZ1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" s="485">
        <f>_xlfn.XLOOKUP(Т402[[#This Row],[№]],Д402[№],Д402[Стоимость квартиры с отделкой],"-",0)</f>
        <v>4191200</v>
      </c>
      <c r="BB17" s="485" t="str">
        <f>IFERROR(Т402[[#This Row],[СО ПП]]-Т402[[#This Row],[СО ДДУ]],"")</f>
        <v/>
      </c>
      <c r="BC17" s="487" t="str" cm="1">
        <f t="array" ref="BC17">IFERROR(INDEX(РД[S],MATCH($AU$3&amp;Т402[[#This Row],[№]]&amp;"Продажа",РД[Дом]&amp;РД[№ кв]&amp;РД[Состояние],0),1),Т402[[#This Row],[Статус]])</f>
        <v>Стр. Резерв</v>
      </c>
      <c r="BD17" s="483">
        <f>_xlfn.XLOOKUP(Т402[[#This Row],[№]],Д402[№],Д402[Расчетная проектная площадь],"-",0)</f>
        <v>29.69</v>
      </c>
      <c r="BE17" s="485" t="str">
        <f>IFERROR(Т402[[#This Row],[S ПП]]-Т402[[#This Row],[S ДДУ]],"")</f>
        <v/>
      </c>
      <c r="BF17" s="485">
        <f>_xlfn.XLOOKUP(Т402[[#This Row],[№]],Д402[№],Д402[Итоговая сумма скидки],"-",0)</f>
        <v>0</v>
      </c>
      <c r="BG17" s="486" t="str" cm="1">
        <f t="array" ref="BG1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" s="488" t="str">
        <f>IFERROR(Т402[[#This Row],[ППС]]-Т402[[#This Row],[ДДУС]],"")</f>
        <v/>
      </c>
    </row>
    <row r="18" spans="1:60" x14ac:dyDescent="0.2">
      <c r="A18" s="611"/>
      <c r="B18" s="234">
        <f>VLOOKUP(ППД4!A15,Реестр_Д4[№],1,0)</f>
        <v>14</v>
      </c>
      <c r="C18" s="234" t="str">
        <f>VLOOKUP(ППД4!CO15,Реестр_Д4[Статус],1,0)</f>
        <v>Продажа</v>
      </c>
      <c r="D18" s="612">
        <f>VLOOKUP(ППД4!CE15,Реестр_Д4[Стоимость ОН без отделки со скидкой],1,0)</f>
        <v>6162800</v>
      </c>
      <c r="E18" s="612" cm="1">
        <f t="array" ref="E18">IFERROR(INDEX(РД[Стоимость без отделки итог],MATCH($B$3&amp;Таблица4[[#This Row],[№]]&amp;"Продажа",РД[Дом]&amp;РД[№ кв]&amp;РД[Состояние],0),1),Таблица4[[#This Row],[Статус]])</f>
        <v>6162800</v>
      </c>
      <c r="F18" s="235">
        <f>IFERROR((Таблица4[[#This Row],[ПП]]-Таблица4[[#This Row],[ДДУ]])*1,"")</f>
        <v>0</v>
      </c>
      <c r="G18" s="235" cm="1">
        <f t="array" ref="G18">IFERROR(INDEX(РД[Стоимость с отделкой итог],MATCH($B$3&amp;Таблица4[[#This Row],[№]]&amp;"Продажа",РД[Дом]&amp;РД[№ кв]&amp;РД[Состояние],0),1),Таблица4[[#This Row],[Статус]])</f>
        <v>6611825</v>
      </c>
      <c r="H18" s="235">
        <f>_xlfn.XLOOKUP(Таблица4[[#This Row],[№]],Реестр_Д4[№],Реестр_Д4[Стоимость квартиры с отделкой],"-",0)</f>
        <v>6611825</v>
      </c>
      <c r="I18" s="235">
        <f>IFERROR(Таблица4[[#This Row],[СО ПП]]-Таблица4[[#This Row],[СО ДДУ]],"")</f>
        <v>0</v>
      </c>
      <c r="J18" s="233" cm="1">
        <f t="array" ref="J18">IFERROR(INDEX(РД[S],MATCH($B$3&amp;Таблица4[[#This Row],[№]]&amp;"Продажа",РД[Дом]&amp;РД[№ кв]&amp;РД[Состояние],0),1),Таблица4[[#This Row],[Статус]])</f>
        <v>59.87</v>
      </c>
      <c r="K18" s="233">
        <f>VLOOKUP(Таблица4[[#This Row],[№]],Реестр_Д4[],20,0)</f>
        <v>59.87</v>
      </c>
      <c r="L18" s="235">
        <f>IFERROR(Таблица4[[#This Row],[S ПП]]-Таблица4[[#This Row],[S ДДУ]],)</f>
        <v>0</v>
      </c>
      <c r="M18" s="235">
        <f>ROUND(_xlfn.XLOOKUP(Таблица4[[#This Row],[№]],Реестр_Д4[№],Реестр_Д4[Итоговая сумма скидки],"",0),2)</f>
        <v>0</v>
      </c>
      <c r="N18" s="235" cm="1">
        <f t="array" ref="N1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" s="235">
        <f>IFERROR(Таблица4[[#This Row],[ППС]]-Таблица4[[#This Row],[ДДУС]],)</f>
        <v>0</v>
      </c>
      <c r="P18" s="611"/>
      <c r="Q18" s="234">
        <f>VLOOKUP(ППД5!A15,Реестр_Д5[№],1,0)</f>
        <v>14</v>
      </c>
      <c r="R18" s="234" t="str">
        <f>VLOOKUP(ППД5!CH15,Реестр_Д5[Статус],1,0)</f>
        <v>Продажа</v>
      </c>
      <c r="S18" s="612">
        <f>VLOOKUP(ППД5!BZ15,Реестр_Д5[Стоимость ОН без отделки со скидкой],1,0)</f>
        <v>3016799.82</v>
      </c>
      <c r="T18" s="612" cm="1">
        <f t="array" ref="T18">IFERROR(INDEX(РД[Стоимость без отделки итог],MATCH($Q$3&amp;Таблица10[[#This Row],[№]]&amp;"Продажа",РД[Дом]&amp;РД[№ кв]&amp;РД[Состояние],0),1),Таблица10[[#This Row],[Статус]])</f>
        <v>3016799.82</v>
      </c>
      <c r="U18" s="235">
        <f>IFERROR((Таблица10[[#This Row],[ПП]]-Таблица10[[#This Row],[ДДУ]])*1,)</f>
        <v>0</v>
      </c>
      <c r="V18" s="235" cm="1">
        <f t="array" ref="V18">IFERROR(INDEX(РД[Стоимость с отделкой итог],MATCH($Q$3&amp;Таблица10[[#This Row],[№]]&amp;"Продажа",РД[Дом]&amp;РД[№ кв]&amp;РД[Состояние],0),1),Таблица10[[#This Row],[Статус]])</f>
        <v>3016799.82</v>
      </c>
      <c r="W18" s="235">
        <f>_xlfn.XLOOKUP(Таблица10[[#This Row],[№]],Реестр_Д5[№],Реестр_Д5[Стоимость квартиры с отделкой],"-",0)</f>
        <v>3016799.82</v>
      </c>
      <c r="X18" s="235">
        <f>IFERROR(Таблица10[[#This Row],[СО ПП]]-Таблица10[[#This Row],[СО ДДУ]],"")</f>
        <v>0</v>
      </c>
      <c r="Y18" s="233" cm="1">
        <f t="array" ref="Y18">IFERROR(INDEX(РД[S],MATCH($Q$3&amp;Таблица10[[#This Row],[№]]&amp;"Продажа",РД[Дом]&amp;РД[№ кв]&amp;РД[Состояние],0),1),Таблица10[[#This Row],[Статус]])</f>
        <v>34.39</v>
      </c>
      <c r="Z18" s="233">
        <f>IF(Таблица10[[#This Row],[№]]&amp;"ДДУ"=ППД5!A15&amp;ППД5!CR15,ППД5!U15,ППД5!V15)</f>
        <v>34.39</v>
      </c>
      <c r="AA18" s="285">
        <f>IFERROR(Таблица10[[#This Row],[S ПП]]-Таблица10[[#This Row],[S ДДУ]],)</f>
        <v>0</v>
      </c>
      <c r="AB18" s="235">
        <f>ROUND(_xlfn.XLOOKUP(Таблица10[[#This Row],[№]],Реестр_Д5[№],Реестр_Д5[Итоговая сумма скидки],"",0),2)</f>
        <v>0</v>
      </c>
      <c r="AC18" s="235" cm="1">
        <f t="array" ref="AC1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" s="285">
        <f>IFERROR(Таблица10[[#This Row],[ППС]]-Таблица10[[#This Row],[ДДУС]],)</f>
        <v>0</v>
      </c>
      <c r="AE18" s="611"/>
      <c r="AF18" s="615">
        <f>VLOOKUP(ППД401!A15,Д401[],1,0)</f>
        <v>14</v>
      </c>
      <c r="AG18" s="234" t="str">
        <f>_xlfn.XLOOKUP(Таблица1[[#This Row],[№]],Д401[№],Д401[Статус],"-",0)</f>
        <v>Стр. Резерв</v>
      </c>
      <c r="AH18" s="612">
        <f>_xlfn.XLOOKUP(Таблица1[[#This Row],[№]],Д401[№],Д401[Стоимость ОН без отделки со скидкой],"-",0)</f>
        <v>5259900</v>
      </c>
      <c r="AI18" s="612" t="str" cm="1">
        <f t="array" ref="AI1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8" s="235" t="str">
        <f>IFERROR((Таблица1[[#This Row],[ПП]]-Таблица1[[#This Row],[ДДУ]])*1,"")</f>
        <v/>
      </c>
      <c r="AK18" s="235" t="str" cm="1">
        <f t="array" ref="AK1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8" s="235">
        <f>_xlfn.XLOOKUP(Таблица1[[#This Row],[№]],Д401[№],Д401[Стоимость квартиры с отделкой],"-",0)</f>
        <v>5259900</v>
      </c>
      <c r="AM18" s="235" t="str">
        <f>IFERROR(Таблица1[[#This Row],[СО ПП]]-Таблица1[[#This Row],[СО ДДУ]],"")</f>
        <v/>
      </c>
      <c r="AN18" s="233" t="str" cm="1">
        <f t="array" ref="AN18">IFERROR(INDEX(РД[S],MATCH($AF$3&amp;Таблица1[[#This Row],[№]]&amp;"Продажа",РД[Дом]&amp;РД[№ кв]&amp;РД[Состояние],0),1),Таблица1[[#This Row],[Статус]])</f>
        <v>Стр. Резерв</v>
      </c>
      <c r="AO18" s="233">
        <f>_xlfn.XLOOKUP(Таблица1[[#This Row],[№]],Д401[№],Д401[Расчетная проектная площадь],"-",0)</f>
        <v>38.17</v>
      </c>
      <c r="AP18" s="235" t="str">
        <f>IFERROR(Таблица1[[#This Row],[S ПП]]-Таблица1[[#This Row],[S ДДУ]],"")</f>
        <v/>
      </c>
      <c r="AQ18" s="235">
        <f>_xlfn.XLOOKUP(Таблица1[[#This Row],[№]],Д401[№],Д401[Итоговая сумма скидки],"-",0)</f>
        <v>0</v>
      </c>
      <c r="AR18" s="235" t="str" cm="1">
        <f t="array" ref="AR1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8" s="285" t="str">
        <f>IFERROR(Таблица1[[#This Row],[ППС]]-Таблица1[[#This Row],[ДДУС]],"")</f>
        <v/>
      </c>
      <c r="AT18" s="611"/>
      <c r="AU18" s="484">
        <f>VLOOKUP(ППД402!A15,Д402[],1,0)</f>
        <v>14</v>
      </c>
      <c r="AV18" s="484" t="str">
        <f>_xlfn.XLOOKUP(Т402[[#This Row],[№]],Д402[№],Д402[Статус],"-",0)</f>
        <v>Стр. Резерв</v>
      </c>
      <c r="AW18" s="613">
        <f>_xlfn.XLOOKUP(Т402[[#This Row],[№]],Д402[№],Д402[Стоимость ОН без отделки со скидкой],"-",0)</f>
        <v>7531800</v>
      </c>
      <c r="AX18" s="614" t="str" cm="1">
        <f t="array" ref="AX1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" s="485" t="str">
        <f>IFERROR((Т402[[#This Row],[ПП]]-Т402[[#This Row],[ДДУ]])*1,"")</f>
        <v/>
      </c>
      <c r="AZ18" s="486" t="str" cm="1">
        <f t="array" ref="AZ1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" s="485">
        <f>_xlfn.XLOOKUP(Т402[[#This Row],[№]],Д402[№],Д402[Стоимость квартиры с отделкой],"-",0)</f>
        <v>7531800</v>
      </c>
      <c r="BB18" s="485" t="str">
        <f>IFERROR(Т402[[#This Row],[СО ПП]]-Т402[[#This Row],[СО ДДУ]],"")</f>
        <v/>
      </c>
      <c r="BC18" s="487" t="str" cm="1">
        <f t="array" ref="BC18">IFERROR(INDEX(РД[S],MATCH($AU$3&amp;Т402[[#This Row],[№]]&amp;"Продажа",РД[Дом]&amp;РД[№ кв]&amp;РД[Состояние],0),1),Т402[[#This Row],[Статус]])</f>
        <v>Стр. Резерв</v>
      </c>
      <c r="BD18" s="483">
        <f>_xlfn.XLOOKUP(Т402[[#This Row],[№]],Д402[№],Д402[Расчетная проектная площадь],"-",0)</f>
        <v>60.11</v>
      </c>
      <c r="BE18" s="485" t="str">
        <f>IFERROR(Т402[[#This Row],[S ПП]]-Т402[[#This Row],[S ДДУ]],"")</f>
        <v/>
      </c>
      <c r="BF18" s="485">
        <f>_xlfn.XLOOKUP(Т402[[#This Row],[№]],Д402[№],Д402[Итоговая сумма скидки],"-",0)</f>
        <v>0</v>
      </c>
      <c r="BG18" s="486" t="str" cm="1">
        <f t="array" ref="BG1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" s="488" t="str">
        <f>IFERROR(Т402[[#This Row],[ППС]]-Т402[[#This Row],[ДДУС]],"")</f>
        <v/>
      </c>
    </row>
    <row r="19" spans="1:60" ht="13.5" customHeight="1" x14ac:dyDescent="0.2">
      <c r="A19" s="611"/>
      <c r="B19" s="234">
        <f>VLOOKUP(ППД4!A16,Реестр_Д4[№],1,0)</f>
        <v>15</v>
      </c>
      <c r="C19" s="234" t="str">
        <f>VLOOKUP(ППД4!CO16,Реестр_Д4[Статус],1,0)</f>
        <v>Продажа</v>
      </c>
      <c r="D19" s="612">
        <f>VLOOKUP(ППД4!CE16,Реестр_Д4[Стоимость ОН без отделки со скидкой],1,0)</f>
        <v>1726515</v>
      </c>
      <c r="E19" s="612" cm="1">
        <f t="array" ref="E19">IFERROR(INDEX(РД[Стоимость без отделки итог],MATCH($B$3&amp;Таблица4[[#This Row],[№]]&amp;"Продажа",РД[Дом]&amp;РД[№ кв]&amp;РД[Состояние],0),1),Таблица4[[#This Row],[Статус]])</f>
        <v>1726515</v>
      </c>
      <c r="F19" s="235">
        <f>IFERROR((Таблица4[[#This Row],[ПП]]-Таблица4[[#This Row],[ДДУ]])*1,"")</f>
        <v>0</v>
      </c>
      <c r="G19" s="235" cm="1">
        <f t="array" ref="G19">IFERROR(INDEX(РД[Стоимость с отделкой итог],MATCH($B$3&amp;Таблица4[[#This Row],[№]]&amp;"Продажа",РД[Дом]&amp;РД[№ кв]&amp;РД[Состояние],0),1),Таблица4[[#This Row],[Статус]])</f>
        <v>1889640</v>
      </c>
      <c r="H19" s="235">
        <f>_xlfn.XLOOKUP(Таблица4[[#This Row],[№]],Реестр_Д4[№],Реестр_Д4[Стоимость квартиры с отделкой],"-",0)</f>
        <v>1889640</v>
      </c>
      <c r="I19" s="235">
        <f>IFERROR(Таблица4[[#This Row],[СО ПП]]-Таблица4[[#This Row],[СО ДДУ]],"")</f>
        <v>0</v>
      </c>
      <c r="J19" s="233" cm="1">
        <f t="array" ref="J19">IFERROR(INDEX(РД[S],MATCH($B$3&amp;Таблица4[[#This Row],[№]]&amp;"Продажа",РД[Дом]&amp;РД[№ кв]&amp;РД[Состояние],0),1),Таблица4[[#This Row],[Статус]])</f>
        <v>21.75</v>
      </c>
      <c r="K19" s="233">
        <f>VLOOKUP(Таблица4[[#This Row],[№]],Реестр_Д4[],20,0)</f>
        <v>21.75</v>
      </c>
      <c r="L19" s="235">
        <f>IFERROR(Таблица4[[#This Row],[S ПП]]-Таблица4[[#This Row],[S ДДУ]],)</f>
        <v>0</v>
      </c>
      <c r="M19" s="235">
        <f>ROUND(_xlfn.XLOOKUP(Таблица4[[#This Row],[№]],Реестр_Д4[№],Реестр_Д4[Итоговая сумма скидки],"",0),2)</f>
        <v>0</v>
      </c>
      <c r="N19" s="235" cm="1">
        <f t="array" ref="N1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" s="235">
        <f>IFERROR(Таблица4[[#This Row],[ППС]]-Таблица4[[#This Row],[ДДУС]],)</f>
        <v>0</v>
      </c>
      <c r="P19" s="611"/>
      <c r="Q19" s="234">
        <f>VLOOKUP(ППД5!A16,Реестр_Д5[№],1,0)</f>
        <v>15</v>
      </c>
      <c r="R19" s="234" t="str">
        <f>VLOOKUP(ППД5!CH16,Реестр_Д5[Статус],1,0)</f>
        <v>Свободно</v>
      </c>
      <c r="S19" s="612">
        <f>VLOOKUP(ППД5!BZ16,Реестр_Д5[Стоимость ОН без отделки со скидкой],1,0)</f>
        <v>8242400</v>
      </c>
      <c r="T19" s="612" t="str" cm="1">
        <f t="array" ref="T1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9" s="235">
        <f>IFERROR((Таблица10[[#This Row],[ПП]]-Таблица10[[#This Row],[ДДУ]])*1,)</f>
        <v>0</v>
      </c>
      <c r="V19" s="235" t="str" cm="1">
        <f t="array" ref="V1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9" s="235">
        <f>_xlfn.XLOOKUP(Таблица10[[#This Row],[№]],Реестр_Д5[№],Реестр_Д5[Стоимость квартиры с отделкой],"-",0)</f>
        <v>8242399.9999999981</v>
      </c>
      <c r="X19" s="235" t="str">
        <f>IFERROR(Таблица10[[#This Row],[СО ПП]]-Таблица10[[#This Row],[СО ДДУ]],"")</f>
        <v/>
      </c>
      <c r="Y19" s="233" t="str" cm="1">
        <f t="array" ref="Y19">IFERROR(INDEX(РД[S],MATCH($Q$3&amp;Таблица10[[#This Row],[№]]&amp;"Продажа",РД[Дом]&amp;РД[№ кв]&amp;РД[Состояние],0),1),Таблица10[[#This Row],[Статус]])</f>
        <v>Свободно</v>
      </c>
      <c r="Z19" s="233">
        <f>IF(Таблица10[[#This Row],[№]]&amp;"ДДУ"=ППД5!A16&amp;ППД5!CR16,ППД5!U16,ППД5!V16)</f>
        <v>68.150000000000006</v>
      </c>
      <c r="AA19" s="285">
        <f>IFERROR(Таблица10[[#This Row],[S ПП]]-Таблица10[[#This Row],[S ДДУ]],)</f>
        <v>0</v>
      </c>
      <c r="AB19" s="235">
        <f>ROUND(_xlfn.XLOOKUP(Таблица10[[#This Row],[№]],Реестр_Д5[№],Реестр_Д5[Итоговая сумма скидки],"",0),2)</f>
        <v>0</v>
      </c>
      <c r="AC19" s="235" t="str" cm="1">
        <f t="array" ref="AC1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9" s="285">
        <f>IFERROR(Таблица10[[#This Row],[ППС]]-Таблица10[[#This Row],[ДДУС]],)</f>
        <v>0</v>
      </c>
      <c r="AE19" s="611"/>
      <c r="AF19" s="615">
        <f>VLOOKUP(ППД401!A16,Д401[],1,0)</f>
        <v>15</v>
      </c>
      <c r="AG19" s="234" t="str">
        <f>_xlfn.XLOOKUP(Таблица1[[#This Row],[№]],Д401[№],Д401[Статус],"-",0)</f>
        <v>Продажа</v>
      </c>
      <c r="AH19" s="612">
        <f>_xlfn.XLOOKUP(Таблица1[[#This Row],[№]],Д401[№],Д401[Стоимость ОН без отделки со скидкой],"-",0)</f>
        <v>5689100</v>
      </c>
      <c r="AI19" s="612" cm="1">
        <f t="array" ref="AI19">IFERROR(INDEX(РД[Стоимость без отделки итог],MATCH($AF$3&amp;Таблица1[[#This Row],[№]]&amp;"Продажа",РД[Дом]&amp;РД[№ кв]&amp;РД[Состояние],0),1),Таблица1[[#This Row],[Статус]])</f>
        <v>5689100</v>
      </c>
      <c r="AJ19" s="235">
        <f>IFERROR((Таблица1[[#This Row],[ПП]]-Таблица1[[#This Row],[ДДУ]])*1,"")</f>
        <v>0</v>
      </c>
      <c r="AK19" s="235" cm="1">
        <f t="array" ref="AK19">IFERROR(INDEX(РД[Стоимость с отделкой итог],MATCH($AF$3&amp;Таблица1[[#This Row],[№]]&amp;"Продажа",РД[Дом]&amp;РД[№ кв]&amp;РД[Состояние],0),1),Таблица1[[#This Row],[Статус]])</f>
        <v>5689100</v>
      </c>
      <c r="AL19" s="235">
        <f>_xlfn.XLOOKUP(Таблица1[[#This Row],[№]],Д401[№],Д401[Стоимость квартиры с отделкой],"-",0)</f>
        <v>5689100</v>
      </c>
      <c r="AM19" s="235">
        <f>IFERROR(Таблица1[[#This Row],[СО ПП]]-Таблица1[[#This Row],[СО ДДУ]],"")</f>
        <v>0</v>
      </c>
      <c r="AN19" s="233" cm="1">
        <f t="array" ref="AN19">IFERROR(INDEX(РД[S],MATCH($AF$3&amp;Таблица1[[#This Row],[№]]&amp;"Продажа",РД[Дом]&amp;РД[№ кв]&amp;РД[Состояние],0),1),Таблица1[[#This Row],[Статус]])</f>
        <v>51.79</v>
      </c>
      <c r="AO19" s="233">
        <f>_xlfn.XLOOKUP(Таблица1[[#This Row],[№]],Д401[№],Д401[Расчетная проектная площадь],"-",0)</f>
        <v>54.62</v>
      </c>
      <c r="AP19" s="680">
        <f>IFERROR(Таблица1[[#This Row],[S ПП]]-Таблица1[[#This Row],[S ДДУ]],"")</f>
        <v>2.8299999999999983</v>
      </c>
      <c r="AQ19" s="235">
        <f>_xlfn.XLOOKUP(Таблица1[[#This Row],[№]],Д401[№],Д401[Итоговая сумма скидки],"-",0)</f>
        <v>100000</v>
      </c>
      <c r="AR19" s="235" cm="1">
        <f t="array" ref="AR19">IFERROR(ROUND(_xlfn.XLOOKUP($AF$3&amp;Таблица1[[#This Row],[№]]&amp;"Продажа",РД[Дом]&amp;РД[№ кв]&amp;РД[Состояние],РД[Сумма скидки],"",0),2),Таблица1[[#This Row],[Статус]])</f>
        <v>100000</v>
      </c>
      <c r="AS19" s="285">
        <f>IFERROR(Таблица1[[#This Row],[ППС]]-Таблица1[[#This Row],[ДДУС]],"")</f>
        <v>0</v>
      </c>
      <c r="AT19" s="611"/>
      <c r="AU19" s="484">
        <f>VLOOKUP(ППД402!A16,Д402[],1,0)</f>
        <v>15</v>
      </c>
      <c r="AV19" s="484" t="str">
        <f>_xlfn.XLOOKUP(Т402[[#This Row],[№]],Д402[№],Д402[Статус],"-",0)</f>
        <v>Стр. Резерв</v>
      </c>
      <c r="AW19" s="613">
        <f>_xlfn.XLOOKUP(Т402[[#This Row],[№]],Д402[№],Д402[Стоимость ОН без отделки со скидкой],"-",0)</f>
        <v>6610200</v>
      </c>
      <c r="AX19" s="614" t="str" cm="1">
        <f t="array" ref="AX1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" s="485" t="str">
        <f>IFERROR((Т402[[#This Row],[ПП]]-Т402[[#This Row],[ДДУ]])*1,"")</f>
        <v/>
      </c>
      <c r="AZ19" s="486" t="str" cm="1">
        <f t="array" ref="AZ1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" s="485">
        <f>_xlfn.XLOOKUP(Т402[[#This Row],[№]],Д402[№],Д402[Стоимость квартиры с отделкой],"-",0)</f>
        <v>6610200</v>
      </c>
      <c r="BB19" s="485" t="str">
        <f>IFERROR(Т402[[#This Row],[СО ПП]]-Т402[[#This Row],[СО ДДУ]],"")</f>
        <v/>
      </c>
      <c r="BC19" s="487" t="str" cm="1">
        <f t="array" ref="BC19">IFERROR(INDEX(РД[S],MATCH($AU$3&amp;Т402[[#This Row],[№]]&amp;"Продажа",РД[Дом]&amp;РД[№ кв]&amp;РД[Состояние],0),1),Т402[[#This Row],[Статус]])</f>
        <v>Стр. Резерв</v>
      </c>
      <c r="BD19" s="483">
        <f>_xlfn.XLOOKUP(Т402[[#This Row],[№]],Д402[№],Д402[Расчетная проектная площадь],"-",0)</f>
        <v>54.85</v>
      </c>
      <c r="BE19" s="485" t="str">
        <f>IFERROR(Т402[[#This Row],[S ПП]]-Т402[[#This Row],[S ДДУ]],"")</f>
        <v/>
      </c>
      <c r="BF19" s="485">
        <f>_xlfn.XLOOKUP(Т402[[#This Row],[№]],Д402[№],Д402[Итоговая сумма скидки],"-",0)</f>
        <v>0</v>
      </c>
      <c r="BG19" s="486" t="str" cm="1">
        <f t="array" ref="BG1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" s="488" t="str">
        <f>IFERROR(Т402[[#This Row],[ППС]]-Т402[[#This Row],[ДДУС]],"")</f>
        <v/>
      </c>
    </row>
    <row r="20" spans="1:60" x14ac:dyDescent="0.2">
      <c r="A20" s="611"/>
      <c r="B20" s="234">
        <f>VLOOKUP(ППД4!A17,Реестр_Д4[№],1,0)</f>
        <v>16</v>
      </c>
      <c r="C20" s="234" t="str">
        <f>VLOOKUP(ППД4!CO17,Реестр_Д4[Статус],1,0)</f>
        <v>Продажа</v>
      </c>
      <c r="D20" s="612">
        <f>VLOOKUP(ППД4!CE17,Реестр_Д4[Стоимость ОН без отделки со скидкой],1,0)</f>
        <v>1642788</v>
      </c>
      <c r="E20" s="612" cm="1">
        <f t="array" ref="E20">IFERROR(INDEX(РД[Стоимость без отделки итог],MATCH($B$3&amp;Таблица4[[#This Row],[№]]&amp;"Продажа",РД[Дом]&amp;РД[№ кв]&amp;РД[Состояние],0),1),Таблица4[[#This Row],[Статус]])</f>
        <v>1642788</v>
      </c>
      <c r="F20" s="235">
        <f>IFERROR((Таблица4[[#This Row],[ПП]]-Таблица4[[#This Row],[ДДУ]])*1,"")</f>
        <v>0</v>
      </c>
      <c r="G20" s="235" cm="1">
        <f t="array" ref="G20">IFERROR(INDEX(РД[Стоимость с отделкой итог],MATCH($B$3&amp;Таблица4[[#This Row],[№]]&amp;"Продажа",РД[Дом]&amp;РД[№ кв]&amp;РД[Состояние],0),1),Таблица4[[#This Row],[Статус]])</f>
        <v>1642788</v>
      </c>
      <c r="H20" s="235">
        <f>_xlfn.XLOOKUP(Таблица4[[#This Row],[№]],Реестр_Д4[№],Реестр_Д4[Стоимость квартиры с отделкой],"-",0)</f>
        <v>1642788</v>
      </c>
      <c r="I20" s="235">
        <f>IFERROR(Таблица4[[#This Row],[СО ПП]]-Таблица4[[#This Row],[СО ДДУ]],"")</f>
        <v>0</v>
      </c>
      <c r="J20" s="233" cm="1">
        <f t="array" ref="J20">IFERROR(INDEX(РД[S],MATCH($B$3&amp;Таблица4[[#This Row],[№]]&amp;"Продажа",РД[Дом]&amp;РД[№ кв]&amp;РД[Состояние],0),1),Таблица4[[#This Row],[Статус]])</f>
        <v>21.73</v>
      </c>
      <c r="K20" s="233">
        <f>VLOOKUP(Таблица4[[#This Row],[№]],Реестр_Д4[],20,0)</f>
        <v>21.73</v>
      </c>
      <c r="L20" s="235">
        <f>IFERROR(Таблица4[[#This Row],[S ПП]]-Таблица4[[#This Row],[S ДДУ]],)</f>
        <v>0</v>
      </c>
      <c r="M20" s="235">
        <f>ROUND(_xlfn.XLOOKUP(Таблица4[[#This Row],[№]],Реестр_Д4[№],Реестр_Д4[Итоговая сумма скидки],"",0),2)</f>
        <v>0</v>
      </c>
      <c r="N20" s="235" cm="1">
        <f t="array" ref="N2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" s="235">
        <f>IFERROR(Таблица4[[#This Row],[ППС]]-Таблица4[[#This Row],[ДДУС]],)</f>
        <v>0</v>
      </c>
      <c r="P20" s="611"/>
      <c r="Q20" s="234">
        <f>VLOOKUP(ППД5!A17,Реестр_Д5[№],1,0)</f>
        <v>16</v>
      </c>
      <c r="R20" s="234" t="str">
        <f>VLOOKUP(ППД5!CH17,Реестр_Д5[Статус],1,0)</f>
        <v>Продажа</v>
      </c>
      <c r="S20" s="612">
        <f>VLOOKUP(ППД5!BZ17,Реестр_Д5[Стоимость ОН без отделки со скидкой],1,0)</f>
        <v>3335808.53</v>
      </c>
      <c r="T20" s="612" cm="1">
        <f t="array" ref="T20">IFERROR(INDEX(РД[Стоимость без отделки итог],MATCH($Q$3&amp;Таблица10[[#This Row],[№]]&amp;"Продажа",РД[Дом]&amp;РД[№ кв]&amp;РД[Состояние],0),1),Таблица10[[#This Row],[Статус]])</f>
        <v>3335808.53</v>
      </c>
      <c r="U20" s="235">
        <f>IFERROR((Таблица10[[#This Row],[ПП]]-Таблица10[[#This Row],[ДДУ]])*1,)</f>
        <v>0</v>
      </c>
      <c r="V20" s="235" cm="1">
        <f t="array" ref="V20">IFERROR(INDEX(РД[Стоимость с отделкой итог],MATCH($Q$3&amp;Таблица10[[#This Row],[№]]&amp;"Продажа",РД[Дом]&amp;РД[№ кв]&amp;РД[Состояние],0),1),Таблица10[[#This Row],[Статус]])</f>
        <v>3505593.53</v>
      </c>
      <c r="W20" s="235">
        <f>_xlfn.XLOOKUP(Таблица10[[#This Row],[№]],Реестр_Д5[№],Реестр_Д5[Стоимость квартиры с отделкой],"-",0)</f>
        <v>3505593.53</v>
      </c>
      <c r="X20" s="235">
        <f>IFERROR(Таблица10[[#This Row],[СО ПП]]-Таблица10[[#This Row],[СО ДДУ]],"")</f>
        <v>0</v>
      </c>
      <c r="Y20" s="233" cm="1">
        <f t="array" ref="Y20">IFERROR(INDEX(РД[S],MATCH($Q$3&amp;Таблица10[[#This Row],[№]]&amp;"Продажа",РД[Дом]&amp;РД[№ кв]&amp;РД[Состояние],0),1),Таблица10[[#This Row],[Статус]])</f>
        <v>37.729999999999997</v>
      </c>
      <c r="Z20" s="233">
        <f>IF(Таблица10[[#This Row],[№]]&amp;"ДДУ"=ППД5!A17&amp;ППД5!CR17,ППД5!U17,ППД5!V17)</f>
        <v>37.729999999999997</v>
      </c>
      <c r="AA20" s="285">
        <f>IFERROR(Таблица10[[#This Row],[S ПП]]-Таблица10[[#This Row],[S ДДУ]],)</f>
        <v>0</v>
      </c>
      <c r="AB20" s="235">
        <f>ROUND(_xlfn.XLOOKUP(Таблица10[[#This Row],[№]],Реестр_Д5[№],Реестр_Д5[Итоговая сумма скидки],"",0),2)</f>
        <v>0</v>
      </c>
      <c r="AC20" s="235" cm="1">
        <f t="array" ref="AC2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0" s="285">
        <f>IFERROR(Таблица10[[#This Row],[ППС]]-Таблица10[[#This Row],[ДДУС]],)</f>
        <v>0</v>
      </c>
      <c r="AE20" s="611"/>
      <c r="AF20" s="615">
        <f>VLOOKUP(ППД401!A17,Д401[],1,0)</f>
        <v>16</v>
      </c>
      <c r="AG20" s="234" t="str">
        <f>_xlfn.XLOOKUP(Таблица1[[#This Row],[№]],Д401[№],Д401[Статус],"-",0)</f>
        <v>Стр. Резерв</v>
      </c>
      <c r="AH20" s="612">
        <f>_xlfn.XLOOKUP(Таблица1[[#This Row],[№]],Д401[№],Д401[Стоимость ОН без отделки со скидкой],"-",0)</f>
        <v>10446250</v>
      </c>
      <c r="AI20" s="612" t="str" cm="1">
        <f t="array" ref="AI2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20" s="235" t="str">
        <f>IFERROR((Таблица1[[#This Row],[ПП]]-Таблица1[[#This Row],[ДДУ]])*1,"")</f>
        <v/>
      </c>
      <c r="AK20" s="235" t="str" cm="1">
        <f t="array" ref="AK2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20" s="235">
        <f>_xlfn.XLOOKUP(Таблица1[[#This Row],[№]],Д401[№],Д401[Стоимость квартиры с отделкой],"-",0)</f>
        <v>10446250</v>
      </c>
      <c r="AM20" s="235" t="str">
        <f>IFERROR(Таблица1[[#This Row],[СО ПП]]-Таблица1[[#This Row],[СО ДДУ]],"")</f>
        <v/>
      </c>
      <c r="AN20" s="233" t="str" cm="1">
        <f t="array" ref="AN20">IFERROR(INDEX(РД[S],MATCH($AF$3&amp;Таблица1[[#This Row],[№]]&amp;"Продажа",РД[Дом]&amp;РД[№ кв]&amp;РД[Состояние],0),1),Таблица1[[#This Row],[Статус]])</f>
        <v>Стр. Резерв</v>
      </c>
      <c r="AO20" s="233">
        <f>_xlfn.XLOOKUP(Таблица1[[#This Row],[№]],Д401[№],Д401[Расчетная проектная площадь],"-",0)</f>
        <v>83.57</v>
      </c>
      <c r="AP20" s="235" t="str">
        <f>IFERROR(Таблица1[[#This Row],[S ПП]]-Таблица1[[#This Row],[S ДДУ]],"")</f>
        <v/>
      </c>
      <c r="AQ20" s="235">
        <f>_xlfn.XLOOKUP(Таблица1[[#This Row],[№]],Д401[№],Д401[Итоговая сумма скидки],"-",0)</f>
        <v>0</v>
      </c>
      <c r="AR20" s="235" t="str" cm="1">
        <f t="array" ref="AR2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20" s="285" t="str">
        <f>IFERROR(Таблица1[[#This Row],[ППС]]-Таблица1[[#This Row],[ДДУС]],"")</f>
        <v/>
      </c>
      <c r="AT20" s="611"/>
      <c r="AU20" s="484">
        <f>VLOOKUP(ППД402!A17,Д402[],1,0)</f>
        <v>16</v>
      </c>
      <c r="AV20" s="484" t="str">
        <f>_xlfn.XLOOKUP(Т402[[#This Row],[№]],Д402[№],Д402[Статус],"-",0)</f>
        <v>Стр. Резерв</v>
      </c>
      <c r="AW20" s="613">
        <f>_xlfn.XLOOKUP(Т402[[#This Row],[№]],Д402[№],Д402[Стоимость ОН без отделки со скидкой],"-",0)</f>
        <v>6726200</v>
      </c>
      <c r="AX20" s="614" t="str" cm="1">
        <f t="array" ref="AX2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" s="485" t="str">
        <f>IFERROR((Т402[[#This Row],[ПП]]-Т402[[#This Row],[ДДУ]])*1,"")</f>
        <v/>
      </c>
      <c r="AZ20" s="486" t="str" cm="1">
        <f t="array" ref="AZ2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" s="485">
        <f>_xlfn.XLOOKUP(Т402[[#This Row],[№]],Д402[№],Д402[Стоимость квартиры с отделкой],"-",0)</f>
        <v>6726200</v>
      </c>
      <c r="BB20" s="485" t="str">
        <f>IFERROR(Т402[[#This Row],[СО ПП]]-Т402[[#This Row],[СО ДДУ]],"")</f>
        <v/>
      </c>
      <c r="BC20" s="487" t="str" cm="1">
        <f t="array" ref="BC20">IFERROR(INDEX(РД[S],MATCH($AU$3&amp;Т402[[#This Row],[№]]&amp;"Продажа",РД[Дом]&amp;РД[№ кв]&amp;РД[Состояние],0),1),Т402[[#This Row],[Статус]])</f>
        <v>Стр. Резерв</v>
      </c>
      <c r="BD20" s="483">
        <f>_xlfn.XLOOKUP(Т402[[#This Row],[№]],Д402[№],Д402[Расчетная проектная площадь],"-",0)</f>
        <v>54.78</v>
      </c>
      <c r="BE20" s="485" t="str">
        <f>IFERROR(Т402[[#This Row],[S ПП]]-Т402[[#This Row],[S ДДУ]],"")</f>
        <v/>
      </c>
      <c r="BF20" s="485">
        <f>_xlfn.XLOOKUP(Т402[[#This Row],[№]],Д402[№],Д402[Итоговая сумма скидки],"-",0)</f>
        <v>0</v>
      </c>
      <c r="BG20" s="486" t="str" cm="1">
        <f t="array" ref="BG2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" s="488" t="str">
        <f>IFERROR(Т402[[#This Row],[ППС]]-Т402[[#This Row],[ДДУС]],"")</f>
        <v/>
      </c>
    </row>
    <row r="21" spans="1:60" x14ac:dyDescent="0.2">
      <c r="A21" s="611"/>
      <c r="B21" s="234">
        <f>VLOOKUP(ППД4!A18,Реестр_Д4[№],1,0)</f>
        <v>17</v>
      </c>
      <c r="C21" s="234" t="str">
        <f>VLOOKUP(ППД4!CO18,Реестр_Д4[Статус],1,0)</f>
        <v>Продажа</v>
      </c>
      <c r="D21" s="612">
        <f>VLOOKUP(ППД4!CE18,Реестр_Д4[Стоимость ОН без отделки со скидкой],1,0)</f>
        <v>2459230.36</v>
      </c>
      <c r="E21" s="612" cm="1">
        <f t="array" ref="E21">IFERROR(INDEX(РД[Стоимость без отделки итог],MATCH($B$3&amp;Таблица4[[#This Row],[№]]&amp;"Продажа",РД[Дом]&amp;РД[№ кв]&amp;РД[Состояние],0),1),Таблица4[[#This Row],[Статус]])</f>
        <v>2459230.36</v>
      </c>
      <c r="F21" s="235">
        <f>IFERROR((Таблица4[[#This Row],[ПП]]-Таблица4[[#This Row],[ДДУ]])*1,"")</f>
        <v>0</v>
      </c>
      <c r="G21" s="235" cm="1">
        <f t="array" ref="G21">IFERROR(INDEX(РД[Стоимость с отделкой итог],MATCH($B$3&amp;Таблица4[[#This Row],[№]]&amp;"Продажа",РД[Дом]&amp;РД[№ кв]&amp;РД[Состояние],0),1),Таблица4[[#This Row],[Статус]])</f>
        <v>2710705.36</v>
      </c>
      <c r="H21" s="235">
        <f>_xlfn.XLOOKUP(Таблица4[[#This Row],[№]],Реестр_Д4[№],Реестр_Д4[Стоимость квартиры с отделкой],"-",0)</f>
        <v>2710705.36</v>
      </c>
      <c r="I21" s="235">
        <f>IFERROR(Таблица4[[#This Row],[СО ПП]]-Таблица4[[#This Row],[СО ДДУ]],"")</f>
        <v>0</v>
      </c>
      <c r="J21" s="233" cm="1">
        <f t="array" ref="J21">IFERROR(INDEX(РД[S],MATCH($B$3&amp;Таблица4[[#This Row],[№]]&amp;"Продажа",РД[Дом]&amp;РД[№ кв]&amp;РД[Состояние],0),1),Таблица4[[#This Row],[Статус]])</f>
        <v>33.53</v>
      </c>
      <c r="K21" s="233">
        <f>VLOOKUP(Таблица4[[#This Row],[№]],Реестр_Д4[],20,0)</f>
        <v>33.53</v>
      </c>
      <c r="L21" s="235">
        <f>IFERROR(Таблица4[[#This Row],[S ПП]]-Таблица4[[#This Row],[S ДДУ]],)</f>
        <v>0</v>
      </c>
      <c r="M21" s="235">
        <f>ROUND(_xlfn.XLOOKUP(Таблица4[[#This Row],[№]],Реестр_Д4[№],Реестр_Д4[Итоговая сумма скидки],"",0),2)</f>
        <v>129433.18</v>
      </c>
      <c r="N21" s="235" cm="1">
        <f t="array" ref="N21">IFERROR(ROUND(_xlfn.XLOOKUP($B$3&amp;Таблица4[[#This Row],[№]]&amp;"Продажа",РД[Дом]&amp;РД[№ кв]&amp;РД[Состояние],РД[Сумма скидки],"",0),2),Таблица4[[#This Row],[Статус]])</f>
        <v>129433.18</v>
      </c>
      <c r="O21" s="235">
        <f>IFERROR(Таблица4[[#This Row],[ППС]]-Таблица4[[#This Row],[ДДУС]],)</f>
        <v>0</v>
      </c>
      <c r="P21" s="611"/>
      <c r="Q21" s="234">
        <f>VLOOKUP(ППД5!A18,Реестр_Д5[№],1,0)</f>
        <v>17</v>
      </c>
      <c r="R21" s="234" t="str">
        <f>VLOOKUP(ППД5!CH18,Реестр_Д5[Статус],1,0)</f>
        <v>Продажа</v>
      </c>
      <c r="S21" s="612">
        <f>VLOOKUP(ППД5!BZ18,Реестр_Д5[Стоимость ОН без отделки со скидкой],1,0)</f>
        <v>6795350</v>
      </c>
      <c r="T21" s="612" cm="1">
        <f t="array" ref="T21">IFERROR(INDEX(РД[Стоимость без отделки итог],MATCH($Q$3&amp;Таблица10[[#This Row],[№]]&amp;"Продажа",РД[Дом]&amp;РД[№ кв]&amp;РД[Состояние],0),1),Таблица10[[#This Row],[Статус]])</f>
        <v>6795350</v>
      </c>
      <c r="U21" s="235">
        <f>IFERROR((Таблица10[[#This Row],[ПП]]-Таблица10[[#This Row],[ДДУ]])*1,)</f>
        <v>0</v>
      </c>
      <c r="V21" s="235" cm="1">
        <f t="array" ref="V21">IFERROR(INDEX(РД[Стоимость с отделкой итог],MATCH($Q$3&amp;Таблица10[[#This Row],[№]]&amp;"Продажа",РД[Дом]&amp;РД[№ кв]&amp;РД[Состояние],0),1),Таблица10[[#This Row],[Статус]])</f>
        <v>6795350</v>
      </c>
      <c r="W21" s="235">
        <f>_xlfn.XLOOKUP(Таблица10[[#This Row],[№]],Реестр_Д5[№],Реестр_Д5[Стоимость квартиры с отделкой],"-",0)</f>
        <v>6795350</v>
      </c>
      <c r="X21" s="235">
        <f>IFERROR(Таблица10[[#This Row],[СО ПП]]-Таблица10[[#This Row],[СО ДДУ]],"")</f>
        <v>0</v>
      </c>
      <c r="Y21" s="233" cm="1">
        <f t="array" ref="Y21">IFERROR(INDEX(РД[S],MATCH($Q$3&amp;Таблица10[[#This Row],[№]]&amp;"Продажа",РД[Дом]&amp;РД[№ кв]&amp;РД[Состояние],0),1),Таблица10[[#This Row],[Статус]])</f>
        <v>59.09</v>
      </c>
      <c r="Z21" s="233">
        <f>IF(Таблица10[[#This Row],[№]]&amp;"ДДУ"=ППД5!A18&amp;ППД5!CR18,ППД5!U18,ППД5!V18)</f>
        <v>59.09</v>
      </c>
      <c r="AA21" s="285">
        <f>IFERROR(Таблица10[[#This Row],[S ПП]]-Таблица10[[#This Row],[S ДДУ]],)</f>
        <v>0</v>
      </c>
      <c r="AB21" s="235">
        <f>ROUND(_xlfn.XLOOKUP(Таблица10[[#This Row],[№]],Реестр_Д5[№],Реестр_Д5[Итоговая сумма скидки],"",0),2)</f>
        <v>507550</v>
      </c>
      <c r="AC21" s="235" cm="1">
        <f t="array" ref="AC21">IFERROR(ROUND(_xlfn.XLOOKUP($Q$3&amp;Таблица10[[#This Row],[№]]&amp;"Продажа",РД[Дом]&amp;РД[№ кв]&amp;РД[Состояние],РД[Сумма скидки],"",0,-1),2),Таблица10[[#This Row],[Статус]])</f>
        <v>507550</v>
      </c>
      <c r="AD21" s="285">
        <f>IFERROR(Таблица10[[#This Row],[ППС]]-Таблица10[[#This Row],[ДДУС]],)</f>
        <v>0</v>
      </c>
      <c r="AE21" s="611"/>
      <c r="AF21" s="615">
        <f>VLOOKUP(ППД401!A18,Д401[],1,0)</f>
        <v>17</v>
      </c>
      <c r="AG21" s="234" t="str">
        <f>_xlfn.XLOOKUP(Таблица1[[#This Row],[№]],Д401[№],Д401[Статус],"-",0)</f>
        <v>Свободно</v>
      </c>
      <c r="AH21" s="612">
        <f>_xlfn.XLOOKUP(Таблица1[[#This Row],[№]],Д401[№],Д401[Стоимость ОН без отделки со скидкой],"-",0)</f>
        <v>7720000</v>
      </c>
      <c r="AI21" s="612" t="str" cm="1">
        <f t="array" ref="AI21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21" s="235" t="str">
        <f>IFERROR((Таблица1[[#This Row],[ПП]]-Таблица1[[#This Row],[ДДУ]])*1,"")</f>
        <v/>
      </c>
      <c r="AK21" s="235" t="str" cm="1">
        <f t="array" ref="AK21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21" s="235">
        <f>_xlfn.XLOOKUP(Таблица1[[#This Row],[№]],Д401[№],Д401[Стоимость квартиры с отделкой],"-",0)</f>
        <v>7720000</v>
      </c>
      <c r="AM21" s="235" t="str">
        <f>IFERROR(Таблица1[[#This Row],[СО ПП]]-Таблица1[[#This Row],[СО ДДУ]],"")</f>
        <v/>
      </c>
      <c r="AN21" s="233" t="str" cm="1">
        <f t="array" ref="AN21">IFERROR(INDEX(РД[S],MATCH($AF$3&amp;Таблица1[[#This Row],[№]]&amp;"Продажа",РД[Дом]&amp;РД[№ кв]&amp;РД[Состояние],0),1),Таблица1[[#This Row],[Статус]])</f>
        <v>Свободно</v>
      </c>
      <c r="AO21" s="233">
        <f>_xlfn.XLOOKUP(Таблица1[[#This Row],[№]],Д401[№],Д401[Расчетная проектная площадь],"-",0)</f>
        <v>61.76</v>
      </c>
      <c r="AP21" s="235" t="str">
        <f>IFERROR(Таблица1[[#This Row],[S ПП]]-Таблица1[[#This Row],[S ДДУ]],"")</f>
        <v/>
      </c>
      <c r="AQ21" s="235">
        <f>_xlfn.XLOOKUP(Таблица1[[#This Row],[№]],Д401[№],Д401[Итоговая сумма скидки],"-",0)</f>
        <v>0</v>
      </c>
      <c r="AR21" s="235" t="str" cm="1">
        <f t="array" ref="AR21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21" s="285" t="str">
        <f>IFERROR(Таблица1[[#This Row],[ППС]]-Таблица1[[#This Row],[ДДУС]],"")</f>
        <v/>
      </c>
      <c r="AT21" s="611"/>
      <c r="AU21" s="484">
        <f>VLOOKUP(ППД402!A18,Д402[],1,0)</f>
        <v>17</v>
      </c>
      <c r="AV21" s="484" t="str">
        <f>_xlfn.XLOOKUP(Т402[[#This Row],[№]],Д402[№],Д402[Статус],"-",0)</f>
        <v>Стр. Резерв</v>
      </c>
      <c r="AW21" s="613">
        <f>_xlfn.XLOOKUP(Т402[[#This Row],[№]],Д402[№],Д402[Стоимость ОН без отделки со скидкой],"-",0)</f>
        <v>4941800</v>
      </c>
      <c r="AX21" s="614" t="str" cm="1">
        <f t="array" ref="AX2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1" s="485" t="str">
        <f>IFERROR((Т402[[#This Row],[ПП]]-Т402[[#This Row],[ДДУ]])*1,"")</f>
        <v/>
      </c>
      <c r="AZ21" s="486" t="str" cm="1">
        <f t="array" ref="AZ2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1" s="485">
        <f>_xlfn.XLOOKUP(Т402[[#This Row],[№]],Д402[№],Д402[Стоимость квартиры с отделкой],"-",0)</f>
        <v>4941800</v>
      </c>
      <c r="BB21" s="485" t="str">
        <f>IFERROR(Т402[[#This Row],[СО ПП]]-Т402[[#This Row],[СО ДДУ]],"")</f>
        <v/>
      </c>
      <c r="BC21" s="487" t="str" cm="1">
        <f t="array" ref="BC21">IFERROR(INDEX(РД[S],MATCH($AU$3&amp;Т402[[#This Row],[№]]&amp;"Продажа",РД[Дом]&amp;РД[№ кв]&amp;РД[Состояние],0),1),Т402[[#This Row],[Статус]])</f>
        <v>Стр. Резерв</v>
      </c>
      <c r="BD21" s="483">
        <f>_xlfn.XLOOKUP(Т402[[#This Row],[№]],Д402[№],Д402[Расчетная проектная площадь],"-",0)</f>
        <v>37.01</v>
      </c>
      <c r="BE21" s="485" t="str">
        <f>IFERROR(Т402[[#This Row],[S ПП]]-Т402[[#This Row],[S ДДУ]],"")</f>
        <v/>
      </c>
      <c r="BF21" s="485">
        <f>_xlfn.XLOOKUP(Т402[[#This Row],[№]],Д402[№],Д402[Итоговая сумма скидки],"-",0)</f>
        <v>0</v>
      </c>
      <c r="BG21" s="486" t="str" cm="1">
        <f t="array" ref="BG2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1" s="488" t="str">
        <f>IFERROR(Т402[[#This Row],[ППС]]-Т402[[#This Row],[ДДУС]],"")</f>
        <v/>
      </c>
    </row>
    <row r="22" spans="1:60" x14ac:dyDescent="0.2">
      <c r="A22" s="611"/>
      <c r="B22" s="234">
        <f>VLOOKUP(ППД4!A19,Реестр_Д4[№],1,0)</f>
        <v>18</v>
      </c>
      <c r="C22" s="234" t="str">
        <f>VLOOKUP(ППД4!CO19,Реестр_Д4[Статус],1,0)</f>
        <v>Продажа</v>
      </c>
      <c r="D22" s="612">
        <f>VLOOKUP(ППД4!CE19,Реестр_Д4[Стоимость ОН без отделки со скидкой],1,0)</f>
        <v>5952987</v>
      </c>
      <c r="E22" s="612" cm="1">
        <f t="array" ref="E22">IFERROR(INDEX(РД[Стоимость без отделки итог],MATCH($B$3&amp;Таблица4[[#This Row],[№]]&amp;"Продажа",РД[Дом]&amp;РД[№ кв]&amp;РД[Состояние],0),1),Таблица4[[#This Row],[Статус]])</f>
        <v>5952987</v>
      </c>
      <c r="F22" s="235">
        <f>IFERROR((Таблица4[[#This Row],[ПП]]-Таблица4[[#This Row],[ДДУ]])*1,"")</f>
        <v>0</v>
      </c>
      <c r="G22" s="235" cm="1">
        <f t="array" ref="G22">IFERROR(INDEX(РД[Стоимость с отделкой итог],MATCH($B$3&amp;Таблица4[[#This Row],[№]]&amp;"Продажа",РД[Дом]&amp;РД[№ кв]&amp;РД[Состояние],0),1),Таблица4[[#This Row],[Статус]])</f>
        <v>7311707</v>
      </c>
      <c r="H22" s="235">
        <f>_xlfn.XLOOKUP(Таблица4[[#This Row],[№]],Реестр_Д4[№],Реестр_Д4[Стоимость квартиры с отделкой],"-",0)</f>
        <v>7311707</v>
      </c>
      <c r="I22" s="235">
        <f>IFERROR(Таблица4[[#This Row],[СО ПП]]-Таблица4[[#This Row],[СО ДДУ]],"")</f>
        <v>0</v>
      </c>
      <c r="J22" s="233" cm="1">
        <f t="array" ref="J22">IFERROR(INDEX(РД[S],MATCH($B$3&amp;Таблица4[[#This Row],[№]]&amp;"Продажа",РД[Дом]&amp;РД[№ кв]&amp;РД[Состояние],0),1),Таблица4[[#This Row],[Статус]])</f>
        <v>61.76</v>
      </c>
      <c r="K22" s="233">
        <f>VLOOKUP(Таблица4[[#This Row],[№]],Реестр_Д4[],20,0)</f>
        <v>61.76</v>
      </c>
      <c r="L22" s="235">
        <f>IFERROR(Таблица4[[#This Row],[S ПП]]-Таблица4[[#This Row],[S ДДУ]],)</f>
        <v>0</v>
      </c>
      <c r="M22" s="235">
        <f>ROUND(_xlfn.XLOOKUP(Таблица4[[#This Row],[№]],Реестр_Д4[№],Реестр_Д4[Итоговая сумма скидки],"",0),2)</f>
        <v>184113</v>
      </c>
      <c r="N22" s="235" cm="1">
        <f t="array" ref="N22">IFERROR(ROUND(_xlfn.XLOOKUP($B$3&amp;Таблица4[[#This Row],[№]]&amp;"Продажа",РД[Дом]&amp;РД[№ кв]&amp;РД[Состояние],РД[Сумма скидки],"",0),2),Таблица4[[#This Row],[Статус]])</f>
        <v>184113</v>
      </c>
      <c r="O22" s="235">
        <f>IFERROR(Таблица4[[#This Row],[ППС]]-Таблица4[[#This Row],[ДДУС]],)</f>
        <v>0</v>
      </c>
      <c r="P22" s="611"/>
      <c r="Q22" s="234">
        <f>VLOOKUP(ППД5!A19,Реестр_Д5[№],1,0)</f>
        <v>18</v>
      </c>
      <c r="R22" s="234" t="str">
        <f>VLOOKUP(ППД5!CH19,Реестр_Д5[Статус],1,0)</f>
        <v>Продажа</v>
      </c>
      <c r="S22" s="612">
        <f>VLOOKUP(ППД5!BZ19,Реестр_Д5[Стоимость ОН без отделки со скидкой],1,0)</f>
        <v>5421600</v>
      </c>
      <c r="T22" s="612" cm="1">
        <f t="array" ref="T22">IFERROR(INDEX(РД[Стоимость без отделки итог],MATCH($Q$3&amp;Таблица10[[#This Row],[№]]&amp;"Продажа",РД[Дом]&amp;РД[№ кв]&amp;РД[Состояние],0),1),Таблица10[[#This Row],[Статус]])</f>
        <v>5421600</v>
      </c>
      <c r="U22" s="235">
        <f>IFERROR((Таблица10[[#This Row],[ПП]]-Таблица10[[#This Row],[ДДУ]])*1,)</f>
        <v>0</v>
      </c>
      <c r="V22" s="235" cm="1">
        <f t="array" ref="V22">IFERROR(INDEX(РД[Стоимость с отделкой итог],MATCH($Q$3&amp;Таблица10[[#This Row],[№]]&amp;"Продажа",РД[Дом]&amp;РД[№ кв]&amp;РД[Состояние],0),1),Таблица10[[#This Row],[Статус]])</f>
        <v>5887875</v>
      </c>
      <c r="W22" s="235">
        <f>_xlfn.XLOOKUP(Таблица10[[#This Row],[№]],Реестр_Д5[№],Реестр_Д5[Стоимость квартиры с отделкой],"-",0)</f>
        <v>5887875</v>
      </c>
      <c r="X22" s="235">
        <f>IFERROR(Таблица10[[#This Row],[СО ПП]]-Таблица10[[#This Row],[СО ДДУ]],"")</f>
        <v>0</v>
      </c>
      <c r="Y22" s="233" cm="1">
        <f t="array" ref="Y22">IFERROR(INDEX(РД[S],MATCH($Q$3&amp;Таблица10[[#This Row],[№]]&amp;"Продажа",РД[Дом]&amp;РД[№ кв]&amp;РД[Состояние],0),1),Таблица10[[#This Row],[Статус]])</f>
        <v>62.17</v>
      </c>
      <c r="Z22" s="233">
        <f>IF(Таблица10[[#This Row],[№]]&amp;"ДДУ"=ППД5!A19&amp;ППД5!CR19,ППД5!U19,ППД5!V19)</f>
        <v>62.17</v>
      </c>
      <c r="AA22" s="285">
        <f>IFERROR(Таблица10[[#This Row],[S ПП]]-Таблица10[[#This Row],[S ДДУ]],)</f>
        <v>0</v>
      </c>
      <c r="AB22" s="235">
        <f>ROUND(_xlfn.XLOOKUP(Таблица10[[#This Row],[№]],Реестр_Д5[№],Реестр_Д5[Итоговая сумма скидки],"",0),2)</f>
        <v>30000</v>
      </c>
      <c r="AC22" s="235" cm="1">
        <f t="array" ref="AC22">IFERROR(ROUND(_xlfn.XLOOKUP($Q$3&amp;Таблица10[[#This Row],[№]]&amp;"Продажа",РД[Дом]&amp;РД[№ кв]&amp;РД[Состояние],РД[Сумма скидки],"",0,-1),2),Таблица10[[#This Row],[Статус]])</f>
        <v>30000</v>
      </c>
      <c r="AD22" s="285">
        <f>IFERROR(Таблица10[[#This Row],[ППС]]-Таблица10[[#This Row],[ДДУС]],)</f>
        <v>0</v>
      </c>
      <c r="AE22" s="611"/>
      <c r="AF22" s="615">
        <f>VLOOKUP(ППД401!A19,Д401[],1,0)</f>
        <v>18</v>
      </c>
      <c r="AG22" s="234" t="str">
        <f>_xlfn.XLOOKUP(Таблица1[[#This Row],[№]],Д401[№],Д401[Статус],"-",0)</f>
        <v>Свободно</v>
      </c>
      <c r="AH22" s="612">
        <f>_xlfn.XLOOKUP(Таблица1[[#This Row],[№]],Д401[№],Д401[Стоимость ОН без отделки со скидкой],"-",0)</f>
        <v>4799600</v>
      </c>
      <c r="AI22" s="612" t="str" cm="1">
        <f t="array" ref="AI22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22" s="235" t="str">
        <f>IFERROR((Таблица1[[#This Row],[ПП]]-Таблица1[[#This Row],[ДДУ]])*1,"")</f>
        <v/>
      </c>
      <c r="AK22" s="235" t="str" cm="1">
        <f t="array" ref="AK22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22" s="235">
        <f>_xlfn.XLOOKUP(Таблица1[[#This Row],[№]],Д401[№],Д401[Стоимость квартиры с отделкой],"-",0)</f>
        <v>4799600</v>
      </c>
      <c r="AM22" s="235" t="str">
        <f>IFERROR(Таблица1[[#This Row],[СО ПП]]-Таблица1[[#This Row],[СО ДДУ]],"")</f>
        <v/>
      </c>
      <c r="AN22" s="233" t="str" cm="1">
        <f t="array" ref="AN22">IFERROR(INDEX(РД[S],MATCH($AF$3&amp;Таблица1[[#This Row],[№]]&amp;"Продажа",РД[Дом]&amp;РД[№ кв]&amp;РД[Состояние],0),1),Таблица1[[#This Row],[Статус]])</f>
        <v>Свободно</v>
      </c>
      <c r="AO22" s="233">
        <f>_xlfn.XLOOKUP(Таблица1[[#This Row],[№]],Д401[№],Д401[Расчетная проектная площадь],"-",0)</f>
        <v>35.5</v>
      </c>
      <c r="AP22" s="235" t="str">
        <f>IFERROR(Таблица1[[#This Row],[S ПП]]-Таблица1[[#This Row],[S ДДУ]],"")</f>
        <v/>
      </c>
      <c r="AQ22" s="235">
        <f>_xlfn.XLOOKUP(Таблица1[[#This Row],[№]],Д401[№],Д401[Итоговая сумма скидки],"-",0)</f>
        <v>0</v>
      </c>
      <c r="AR22" s="235" t="str" cm="1">
        <f t="array" ref="AR22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22" s="285" t="str">
        <f>IFERROR(Таблица1[[#This Row],[ППС]]-Таблица1[[#This Row],[ДДУС]],"")</f>
        <v/>
      </c>
      <c r="AT22" s="611"/>
      <c r="AU22" s="484">
        <f>VLOOKUP(ППД402!A19,Д402[],1,0)</f>
        <v>18</v>
      </c>
      <c r="AV22" s="484" t="str">
        <f>_xlfn.XLOOKUP(Т402[[#This Row],[№]],Д402[№],Д402[Статус],"-",0)</f>
        <v>Стр. Резерв</v>
      </c>
      <c r="AW22" s="613">
        <f>_xlfn.XLOOKUP(Т402[[#This Row],[№]],Д402[№],Д402[Стоимость ОН без отделки со скидкой],"-",0)</f>
        <v>5815700</v>
      </c>
      <c r="AX22" s="614" t="str" cm="1">
        <f t="array" ref="AX2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2" s="485" t="str">
        <f>IFERROR((Т402[[#This Row],[ПП]]-Т402[[#This Row],[ДДУ]])*1,"")</f>
        <v/>
      </c>
      <c r="AZ22" s="486" t="str" cm="1">
        <f t="array" ref="AZ2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2" s="485">
        <f>_xlfn.XLOOKUP(Т402[[#This Row],[№]],Д402[№],Д402[Стоимость квартиры с отделкой],"-",0)</f>
        <v>5815700</v>
      </c>
      <c r="BB22" s="485" t="str">
        <f>IFERROR(Т402[[#This Row],[СО ПП]]-Т402[[#This Row],[СО ДДУ]],"")</f>
        <v/>
      </c>
      <c r="BC22" s="487" t="str" cm="1">
        <f t="array" ref="BC22">IFERROR(INDEX(РД[S],MATCH($AU$3&amp;Т402[[#This Row],[№]]&amp;"Продажа",РД[Дом]&amp;РД[№ кв]&amp;РД[Состояние],0),1),Т402[[#This Row],[Статус]])</f>
        <v>Стр. Резерв</v>
      </c>
      <c r="BD22" s="483">
        <f>_xlfn.XLOOKUP(Т402[[#This Row],[№]],Д402[№],Д402[Расчетная проектная площадь],"-",0)</f>
        <v>45.26</v>
      </c>
      <c r="BE22" s="485" t="str">
        <f>IFERROR(Т402[[#This Row],[S ПП]]-Т402[[#This Row],[S ДДУ]],"")</f>
        <v/>
      </c>
      <c r="BF22" s="485">
        <f>_xlfn.XLOOKUP(Т402[[#This Row],[№]],Д402[№],Д402[Итоговая сумма скидки],"-",0)</f>
        <v>0</v>
      </c>
      <c r="BG22" s="486" t="str" cm="1">
        <f t="array" ref="BG2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2" s="488" t="str">
        <f>IFERROR(Т402[[#This Row],[ППС]]-Т402[[#This Row],[ДДУС]],"")</f>
        <v/>
      </c>
    </row>
    <row r="23" spans="1:60" x14ac:dyDescent="0.2">
      <c r="A23" s="611"/>
      <c r="B23" s="234">
        <f>VLOOKUP(ППД4!A20,Реестр_Д4[№],1,0)</f>
        <v>19</v>
      </c>
      <c r="C23" s="234" t="str">
        <f>VLOOKUP(ППД4!CO20,Реестр_Д4[Статус],1,0)</f>
        <v>Продажа</v>
      </c>
      <c r="D23" s="612">
        <f>VLOOKUP(ППД4!CE20,Реестр_Д4[Стоимость ОН без отделки со скидкой],1,0)</f>
        <v>3055415.74</v>
      </c>
      <c r="E23" s="612" cm="1">
        <f t="array" ref="E23">IFERROR(INDEX(РД[Стоимость без отделки итог],MATCH($B$3&amp;Таблица4[[#This Row],[№]]&amp;"Продажа",РД[Дом]&amp;РД[№ кв]&amp;РД[Состояние],0),1),Таблица4[[#This Row],[Статус]])</f>
        <v>3055415.74</v>
      </c>
      <c r="F23" s="235">
        <f>IFERROR((Таблица4[[#This Row],[ПП]]-Таблица4[[#This Row],[ДДУ]])*1,"")</f>
        <v>0</v>
      </c>
      <c r="G23" s="235" cm="1">
        <f t="array" ref="G23">IFERROR(INDEX(РД[Стоимость с отделкой итог],MATCH($B$3&amp;Таблица4[[#This Row],[№]]&amp;"Продажа",РД[Дом]&amp;РД[№ кв]&amp;РД[Состояние],0),1),Таблица4[[#This Row],[Статус]])</f>
        <v>3588515.74</v>
      </c>
      <c r="H23" s="235">
        <f>_xlfn.XLOOKUP(Таблица4[[#This Row],[№]],Реестр_Д4[№],Реестр_Д4[Стоимость квартиры с отделкой],"-",0)</f>
        <v>3588515.74</v>
      </c>
      <c r="I23" s="235">
        <f>IFERROR(Таблица4[[#This Row],[СО ПП]]-Таблица4[[#This Row],[СО ДДУ]],"")</f>
        <v>0</v>
      </c>
      <c r="J23" s="233" cm="1">
        <f t="array" ref="J23">IFERROR(INDEX(РД[S],MATCH($B$3&amp;Таблица4[[#This Row],[№]]&amp;"Продажа",РД[Дом]&amp;РД[№ кв]&amp;РД[Состояние],0),1),Таблица4[[#This Row],[Статус]])</f>
        <v>35.54</v>
      </c>
      <c r="K23" s="233">
        <f>VLOOKUP(Таблица4[[#This Row],[№]],Реестр_Д4[],20,0)</f>
        <v>35.54</v>
      </c>
      <c r="L23" s="235">
        <f>IFERROR(Таблица4[[#This Row],[S ПП]]-Таблица4[[#This Row],[S ДДУ]],)</f>
        <v>0</v>
      </c>
      <c r="M23" s="235">
        <f>ROUND(_xlfn.XLOOKUP(Таблица4[[#This Row],[№]],Реестр_Д4[№],Реестр_Д4[Итоговая сумма скидки],"",0),2)</f>
        <v>0</v>
      </c>
      <c r="N23" s="235" cm="1">
        <f t="array" ref="N2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" s="235">
        <f>IFERROR(Таблица4[[#This Row],[ППС]]-Таблица4[[#This Row],[ДДУС]],)</f>
        <v>0</v>
      </c>
      <c r="P23" s="611"/>
      <c r="Q23" s="234">
        <f>VLOOKUP(ППД5!A20,Реестр_Д5[№],1,0)</f>
        <v>19</v>
      </c>
      <c r="R23" s="234" t="str">
        <f>VLOOKUP(ППД5!CH20,Реестр_Д5[Статус],1,0)</f>
        <v>Продажа</v>
      </c>
      <c r="S23" s="612">
        <f>VLOOKUP(ППД5!BZ20,Реестр_Д5[Стоимость ОН без отделки со скидкой],1,0)</f>
        <v>6807093</v>
      </c>
      <c r="T23" s="612" cm="1">
        <f t="array" ref="T23">IFERROR(INDEX(РД[Стоимость без отделки итог],MATCH($Q$3&amp;Таблица10[[#This Row],[№]]&amp;"Продажа",РД[Дом]&amp;РД[№ кв]&amp;РД[Состояние],0),1),Таблица10[[#This Row],[Статус]])</f>
        <v>6807093</v>
      </c>
      <c r="U23" s="235">
        <f>IFERROR((Таблица10[[#This Row],[ПП]]-Таблица10[[#This Row],[ДДУ]])*1,)</f>
        <v>0</v>
      </c>
      <c r="V23" s="235" cm="1">
        <f t="array" ref="V23">IFERROR(INDEX(РД[Стоимость с отделкой итог],MATCH($Q$3&amp;Таблица10[[#This Row],[№]]&amp;"Продажа",РД[Дом]&amp;РД[№ кв]&amp;РД[Состояние],0),1),Таблица10[[#This Row],[Статус]])</f>
        <v>6807093</v>
      </c>
      <c r="W23" s="235">
        <f>_xlfn.XLOOKUP(Таблица10[[#This Row],[№]],Реестр_Д5[№],Реестр_Д5[Стоимость квартиры с отделкой],"-",0)</f>
        <v>6807093</v>
      </c>
      <c r="X23" s="235">
        <f>IFERROR(Таблица10[[#This Row],[СО ПП]]-Таблица10[[#This Row],[СО ДДУ]],"")</f>
        <v>0</v>
      </c>
      <c r="Y23" s="233" cm="1">
        <f t="array" ref="Y23">IFERROR(INDEX(РД[S],MATCH($Q$3&amp;Таблица10[[#This Row],[№]]&amp;"Продажа",РД[Дом]&amp;РД[№ кв]&amp;РД[Состояние],0),1),Таблица10[[#This Row],[Статус]])</f>
        <v>58.16</v>
      </c>
      <c r="Z23" s="233">
        <f>IF(Таблица10[[#This Row],[№]]&amp;"ДДУ"=ППД5!A20&amp;ППД5!CR20,ППД5!U20,ППД5!V20)</f>
        <v>58.16</v>
      </c>
      <c r="AA23" s="285">
        <f>IFERROR(Таблица10[[#This Row],[S ПП]]-Таблица10[[#This Row],[S ДДУ]],)</f>
        <v>0</v>
      </c>
      <c r="AB23" s="235">
        <f>ROUND(_xlfn.XLOOKUP(Таблица10[[#This Row],[№]],Реестр_Д5[№],Реестр_Д5[Итоговая сумма скидки],"",0),2)</f>
        <v>519807</v>
      </c>
      <c r="AC23" s="235" cm="1">
        <f t="array" ref="AC23">IFERROR(ROUND(_xlfn.XLOOKUP($Q$3&amp;Таблица10[[#This Row],[№]]&amp;"Продажа",РД[Дом]&amp;РД[№ кв]&amp;РД[Состояние],РД[Сумма скидки],"",0,-1),2),Таблица10[[#This Row],[Статус]])</f>
        <v>519807</v>
      </c>
      <c r="AD23" s="285">
        <f>IFERROR(Таблица10[[#This Row],[ППС]]-Таблица10[[#This Row],[ДДУС]],)</f>
        <v>0</v>
      </c>
      <c r="AE23" s="611"/>
      <c r="AF23" s="615">
        <f>VLOOKUP(ППД401!A20,Д401[],1,0)</f>
        <v>19</v>
      </c>
      <c r="AG23" s="234" t="str">
        <f>_xlfn.XLOOKUP(Таблица1[[#This Row],[№]],Д401[№],Д401[Статус],"-",0)</f>
        <v>Продажа</v>
      </c>
      <c r="AH23" s="612">
        <f>_xlfn.XLOOKUP(Таблица1[[#This Row],[№]],Д401[№],Д401[Стоимость ОН без отделки со скидкой],"-",0)</f>
        <v>6661378</v>
      </c>
      <c r="AI23" s="612" cm="1">
        <f t="array" ref="AI23">IFERROR(INDEX(РД[Стоимость без отделки итог],MATCH($AF$3&amp;Таблица1[[#This Row],[№]]&amp;"Продажа",РД[Дом]&amp;РД[№ кв]&amp;РД[Состояние],0),1),Таблица1[[#This Row],[Статус]])</f>
        <v>6661378</v>
      </c>
      <c r="AJ23" s="235">
        <f>IFERROR((Таблица1[[#This Row],[ПП]]-Таблица1[[#This Row],[ДДУ]])*1,"")</f>
        <v>0</v>
      </c>
      <c r="AK23" s="235" cm="1">
        <f t="array" ref="AK23">IFERROR(INDEX(РД[Стоимость с отделкой итог],MATCH($AF$3&amp;Таблица1[[#This Row],[№]]&amp;"Продажа",РД[Дом]&amp;РД[№ кв]&amp;РД[Состояние],0),1),Таблица1[[#This Row],[Статус]])</f>
        <v>6661378</v>
      </c>
      <c r="AL23" s="235">
        <f>_xlfn.XLOOKUP(Таблица1[[#This Row],[№]],Д401[№],Д401[Стоимость квартиры с отделкой],"-",0)</f>
        <v>6661378</v>
      </c>
      <c r="AM23" s="235">
        <f>IFERROR(Таблица1[[#This Row],[СО ПП]]-Таблица1[[#This Row],[СО ДДУ]],"")</f>
        <v>0</v>
      </c>
      <c r="AN23" s="233" cm="1">
        <f t="array" ref="AN23">IFERROR(INDEX(РД[S],MATCH($AF$3&amp;Таблица1[[#This Row],[№]]&amp;"Продажа",РД[Дом]&amp;РД[№ кв]&amp;РД[Состояние],0),1),Таблица1[[#This Row],[Статус]])</f>
        <v>51.79</v>
      </c>
      <c r="AO23" s="233">
        <f>_xlfn.XLOOKUP(Таблица1[[#This Row],[№]],Д401[№],Д401[Расчетная проектная площадь],"-",0)</f>
        <v>51.75</v>
      </c>
      <c r="AP23" s="680">
        <f>IFERROR(Таблица1[[#This Row],[S ПП]]-Таблица1[[#This Row],[S ДДУ]],"")</f>
        <v>-3.9999999999999147E-2</v>
      </c>
      <c r="AQ23" s="235">
        <f>_xlfn.XLOOKUP(Таблица1[[#This Row],[№]],Д401[№],Д401[Итоговая сумма скидки],"-",0)</f>
        <v>206022</v>
      </c>
      <c r="AR23" s="235" cm="1">
        <f t="array" ref="AR23">IFERROR(ROUND(_xlfn.XLOOKUP($AF$3&amp;Таблица1[[#This Row],[№]]&amp;"Продажа",РД[Дом]&amp;РД[№ кв]&amp;РД[Состояние],РД[Сумма скидки],"",0),2),Таблица1[[#This Row],[Статус]])</f>
        <v>206022</v>
      </c>
      <c r="AS23" s="285">
        <f>IFERROR(Таблица1[[#This Row],[ППС]]-Таблица1[[#This Row],[ДДУС]],"")</f>
        <v>0</v>
      </c>
      <c r="AT23" s="611"/>
      <c r="AU23" s="484">
        <f>VLOOKUP(ППД402!A20,Д402[],1,0)</f>
        <v>19</v>
      </c>
      <c r="AV23" s="484" t="str">
        <f>_xlfn.XLOOKUP(Т402[[#This Row],[№]],Д402[№],Д402[Статус],"-",0)</f>
        <v>Свободно</v>
      </c>
      <c r="AW23" s="613">
        <f>_xlfn.XLOOKUP(Т402[[#This Row],[№]],Д402[№],Д402[Стоимость ОН без отделки со скидкой],"-",0)</f>
        <v>4191200</v>
      </c>
      <c r="AX23" s="614" t="str" cm="1">
        <f t="array" ref="AX2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3" s="485" t="str">
        <f>IFERROR((Т402[[#This Row],[ПП]]-Т402[[#This Row],[ДДУ]])*1,"")</f>
        <v/>
      </c>
      <c r="AZ23" s="486" t="str" cm="1">
        <f t="array" ref="AZ2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3" s="485">
        <f>_xlfn.XLOOKUP(Т402[[#This Row],[№]],Д402[№],Д402[Стоимость квартиры с отделкой],"-",0)</f>
        <v>4191200</v>
      </c>
      <c r="BB23" s="485" t="str">
        <f>IFERROR(Т402[[#This Row],[СО ПП]]-Т402[[#This Row],[СО ДДУ]],"")</f>
        <v/>
      </c>
      <c r="BC23" s="487" t="str" cm="1">
        <f t="array" ref="BC23">IFERROR(INDEX(РД[S],MATCH($AU$3&amp;Т402[[#This Row],[№]]&amp;"Продажа",РД[Дом]&amp;РД[№ кв]&amp;РД[Состояние],0),1),Т402[[#This Row],[Статус]])</f>
        <v>Свободно</v>
      </c>
      <c r="BD23" s="483">
        <f>_xlfn.XLOOKUP(Т402[[#This Row],[№]],Д402[№],Д402[Расчетная проектная площадь],"-",0)</f>
        <v>29.69</v>
      </c>
      <c r="BE23" s="485" t="str">
        <f>IFERROR(Т402[[#This Row],[S ПП]]-Т402[[#This Row],[S ДДУ]],"")</f>
        <v/>
      </c>
      <c r="BF23" s="485">
        <f>_xlfn.XLOOKUP(Т402[[#This Row],[№]],Д402[№],Д402[Итоговая сумма скидки],"-",0)</f>
        <v>0</v>
      </c>
      <c r="BG23" s="486" t="str" cm="1">
        <f t="array" ref="BG2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3" s="488" t="str">
        <f>IFERROR(Т402[[#This Row],[ППС]]-Т402[[#This Row],[ДДУС]],"")</f>
        <v/>
      </c>
    </row>
    <row r="24" spans="1:60" x14ac:dyDescent="0.2">
      <c r="A24" s="611"/>
      <c r="B24" s="234">
        <f>VLOOKUP(ППД4!A21,Реестр_Д4[№],1,0)</f>
        <v>20</v>
      </c>
      <c r="C24" s="234" t="str">
        <f>VLOOKUP(ППД4!CO21,Реестр_Д4[Статус],1,0)</f>
        <v>Продажа</v>
      </c>
      <c r="D24" s="612">
        <f>VLOOKUP(ППД4!CE21,Реестр_Д4[Стоимость ОН без отделки со скидкой],1,0)</f>
        <v>4545134.55</v>
      </c>
      <c r="E24" s="612" cm="1">
        <f t="array" ref="E24">IFERROR(INDEX(РД[Стоимость без отделки итог],MATCH($B$3&amp;Таблица4[[#This Row],[№]]&amp;"Продажа",РД[Дом]&amp;РД[№ кв]&amp;РД[Состояние],0),1),Таблица4[[#This Row],[Статус]])</f>
        <v>4545134.55</v>
      </c>
      <c r="F24" s="235">
        <f>IFERROR((Таблица4[[#This Row],[ПП]]-Таблица4[[#This Row],[ДДУ]])*1,"")</f>
        <v>0</v>
      </c>
      <c r="G24" s="235" cm="1">
        <f t="array" ref="G24">IFERROR(INDEX(РД[Стоимость с отделкой итог],MATCH($B$3&amp;Таблица4[[#This Row],[№]]&amp;"Продажа",РД[Дом]&amp;РД[№ кв]&amp;РД[Состояние],0),1),Таблица4[[#This Row],[Статус]])</f>
        <v>5385584.5499999998</v>
      </c>
      <c r="H24" s="235">
        <f>_xlfn.XLOOKUP(Таблица4[[#This Row],[№]],Реестр_Д4[№],Реестр_Д4[Стоимость квартиры с отделкой],"-",0)</f>
        <v>5385584.5499999998</v>
      </c>
      <c r="I24" s="235">
        <f>IFERROR(Таблица4[[#This Row],[СО ПП]]-Таблица4[[#This Row],[СО ДДУ]],"")</f>
        <v>0</v>
      </c>
      <c r="J24" s="233" cm="1">
        <f t="array" ref="J24">IFERROR(INDEX(РД[S],MATCH($B$3&amp;Таблица4[[#This Row],[№]]&amp;"Продажа",РД[Дом]&amp;РД[№ кв]&amp;РД[Состояние],0),1),Таблица4[[#This Row],[Статус]])</f>
        <v>56.03</v>
      </c>
      <c r="K24" s="233">
        <f>VLOOKUP(Таблица4[[#This Row],[№]],Реестр_Д4[],20,0)</f>
        <v>56.03</v>
      </c>
      <c r="L24" s="235">
        <f>IFERROR(Таблица4[[#This Row],[S ПП]]-Таблица4[[#This Row],[S ДДУ]],)</f>
        <v>0</v>
      </c>
      <c r="M24" s="235">
        <f>ROUND(_xlfn.XLOOKUP(Таблица4[[#This Row],[№]],Реестр_Д4[№],Реестр_Д4[Итоговая сумма скидки],"",0),2)</f>
        <v>0</v>
      </c>
      <c r="N24" s="235" cm="1">
        <f t="array" ref="N2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" s="235">
        <f>IFERROR(Таблица4[[#This Row],[ППС]]-Таблица4[[#This Row],[ДДУС]],)</f>
        <v>0</v>
      </c>
      <c r="P24" s="611"/>
      <c r="Q24" s="234">
        <f>VLOOKUP(ППД5!A21,Реестр_Д5[№],1,0)</f>
        <v>20</v>
      </c>
      <c r="R24" s="234" t="str">
        <f>VLOOKUP(ППД5!CH21,Реестр_Д5[Статус],1,0)</f>
        <v>Продажа</v>
      </c>
      <c r="S24" s="612">
        <f>VLOOKUP(ППД5!BZ21,Реестр_Д5[Стоимость ОН без отделки со скидкой],1,0)</f>
        <v>4534362</v>
      </c>
      <c r="T24" s="612" cm="1">
        <f t="array" ref="T24">IFERROR(INDEX(РД[Стоимость без отделки итог],MATCH($Q$3&amp;Таблица10[[#This Row],[№]]&amp;"Продажа",РД[Дом]&amp;РД[№ кв]&amp;РД[Состояние],0),1),Таблица10[[#This Row],[Статус]])</f>
        <v>4534362</v>
      </c>
      <c r="U24" s="235">
        <f>IFERROR((Таблица10[[#This Row],[ПП]]-Таблица10[[#This Row],[ДДУ]])*1,)</f>
        <v>0</v>
      </c>
      <c r="V24" s="235" cm="1">
        <f t="array" ref="V24">IFERROR(INDEX(РД[Стоимость с отделкой итог],MATCH($Q$3&amp;Таблица10[[#This Row],[№]]&amp;"Продажа",РД[Дом]&amp;РД[№ кв]&amp;РД[Состояние],0),1),Таблица10[[#This Row],[Статус]])</f>
        <v>5389362</v>
      </c>
      <c r="W24" s="235">
        <f>_xlfn.XLOOKUP(Таблица10[[#This Row],[№]],Реестр_Д5[№],Реестр_Д5[Стоимость квартиры с отделкой],"-",0)</f>
        <v>5389362</v>
      </c>
      <c r="X24" s="235">
        <f>IFERROR(Таблица10[[#This Row],[СО ПП]]-Таблица10[[#This Row],[СО ДДУ]],"")</f>
        <v>0</v>
      </c>
      <c r="Y24" s="233" cm="1">
        <f t="array" ref="Y24">IFERROR(INDEX(РД[S],MATCH($Q$3&amp;Таблица10[[#This Row],[№]]&amp;"Продажа",РД[Дом]&amp;РД[№ кв]&amp;РД[Состояние],0),1),Таблица10[[#This Row],[Статус]])</f>
        <v>42.75</v>
      </c>
      <c r="Z24" s="233">
        <f>IF(Таблица10[[#This Row],[№]]&amp;"ДДУ"=ППД5!A21&amp;ППД5!CR21,ППД5!U21,ППД5!V21)</f>
        <v>42.75</v>
      </c>
      <c r="AA24" s="285">
        <f>IFERROR(Таблица10[[#This Row],[S ПП]]-Таблица10[[#This Row],[S ДДУ]],)</f>
        <v>0</v>
      </c>
      <c r="AB24" s="235">
        <f>ROUND(_xlfn.XLOOKUP(Таблица10[[#This Row],[№]],Реестр_Д5[№],Реестр_Д5[Итоговая сумма скидки],"",0),2)</f>
        <v>140238</v>
      </c>
      <c r="AC24" s="235" cm="1">
        <f t="array" ref="AC24">IFERROR(ROUND(_xlfn.XLOOKUP($Q$3&amp;Таблица10[[#This Row],[№]]&amp;"Продажа",РД[Дом]&amp;РД[№ кв]&amp;РД[Состояние],РД[Сумма скидки],"",0,-1),2),Таблица10[[#This Row],[Статус]])</f>
        <v>140238</v>
      </c>
      <c r="AD24" s="285">
        <f>IFERROR(Таблица10[[#This Row],[ППС]]-Таблица10[[#This Row],[ДДУС]],)</f>
        <v>0</v>
      </c>
      <c r="AE24" s="611"/>
      <c r="AF24" s="615">
        <f>VLOOKUP(ППД401!A21,Д401[],1,0)</f>
        <v>20</v>
      </c>
      <c r="AG24" s="234" t="str">
        <f>_xlfn.XLOOKUP(Таблица1[[#This Row],[№]],Д401[№],Д401[Статус],"-",0)</f>
        <v>Свободно</v>
      </c>
      <c r="AH24" s="612">
        <f>_xlfn.XLOOKUP(Таблица1[[#This Row],[№]],Д401[№],Д401[Стоимость ОН без отделки со скидкой],"-",0)</f>
        <v>10093750</v>
      </c>
      <c r="AI24" s="612" t="str" cm="1">
        <f t="array" ref="AI24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24" s="235" t="str">
        <f>IFERROR((Таблица1[[#This Row],[ПП]]-Таблица1[[#This Row],[ДДУ]])*1,"")</f>
        <v/>
      </c>
      <c r="AK24" s="235" t="str" cm="1">
        <f t="array" ref="AK24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24" s="235">
        <f>_xlfn.XLOOKUP(Таблица1[[#This Row],[№]],Д401[№],Д401[Стоимость квартиры с отделкой],"-",0)</f>
        <v>10093750</v>
      </c>
      <c r="AM24" s="235" t="str">
        <f>IFERROR(Таблица1[[#This Row],[СО ПП]]-Таблица1[[#This Row],[СО ДДУ]],"")</f>
        <v/>
      </c>
      <c r="AN24" s="233" t="str" cm="1">
        <f t="array" ref="AN24">IFERROR(INDEX(РД[S],MATCH($AF$3&amp;Таблица1[[#This Row],[№]]&amp;"Продажа",РД[Дом]&amp;РД[№ кв]&amp;РД[Состояние],0),1),Таблица1[[#This Row],[Статус]])</f>
        <v>Свободно</v>
      </c>
      <c r="AO24" s="233">
        <f>_xlfn.XLOOKUP(Таблица1[[#This Row],[№]],Д401[№],Д401[Расчетная проектная площадь],"-",0)</f>
        <v>80.75</v>
      </c>
      <c r="AP24" s="235" t="str">
        <f>IFERROR(Таблица1[[#This Row],[S ПП]]-Таблица1[[#This Row],[S ДДУ]],"")</f>
        <v/>
      </c>
      <c r="AQ24" s="235">
        <f>_xlfn.XLOOKUP(Таблица1[[#This Row],[№]],Д401[№],Д401[Итоговая сумма скидки],"-",0)</f>
        <v>0</v>
      </c>
      <c r="AR24" s="235" t="str" cm="1">
        <f t="array" ref="AR24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24" s="285" t="str">
        <f>IFERROR(Таблица1[[#This Row],[ППС]]-Таблица1[[#This Row],[ДДУС]],"")</f>
        <v/>
      </c>
      <c r="AT24" s="611"/>
      <c r="AU24" s="484">
        <f>VLOOKUP(ППД402!A21,Д402[],1,0)</f>
        <v>20</v>
      </c>
      <c r="AV24" s="484" t="str">
        <f>_xlfn.XLOOKUP(Т402[[#This Row],[№]],Д402[№],Д402[Статус],"-",0)</f>
        <v>Стр. Резерв</v>
      </c>
      <c r="AW24" s="613">
        <f>_xlfn.XLOOKUP(Т402[[#This Row],[№]],Д402[№],Д402[Стоимость ОН без отделки со скидкой],"-",0)</f>
        <v>7531800</v>
      </c>
      <c r="AX24" s="614" t="str" cm="1">
        <f t="array" ref="AX2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" s="485" t="str">
        <f>IFERROR((Т402[[#This Row],[ПП]]-Т402[[#This Row],[ДДУ]])*1,"")</f>
        <v/>
      </c>
      <c r="AZ24" s="486" t="str" cm="1">
        <f t="array" ref="AZ2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" s="485">
        <f>_xlfn.XLOOKUP(Т402[[#This Row],[№]],Д402[№],Д402[Стоимость квартиры с отделкой],"-",0)</f>
        <v>9335100</v>
      </c>
      <c r="BB24" s="485" t="str">
        <f>IFERROR(Т402[[#This Row],[СО ПП]]-Т402[[#This Row],[СО ДДУ]],"")</f>
        <v/>
      </c>
      <c r="BC24" s="487" t="str" cm="1">
        <f t="array" ref="BC24">IFERROR(INDEX(РД[S],MATCH($AU$3&amp;Т402[[#This Row],[№]]&amp;"Продажа",РД[Дом]&amp;РД[№ кв]&amp;РД[Состояние],0),1),Т402[[#This Row],[Статус]])</f>
        <v>Стр. Резерв</v>
      </c>
      <c r="BD24" s="483">
        <f>_xlfn.XLOOKUP(Т402[[#This Row],[№]],Д402[№],Д402[Расчетная проектная площадь],"-",0)</f>
        <v>60.11</v>
      </c>
      <c r="BE24" s="485" t="str">
        <f>IFERROR(Т402[[#This Row],[S ПП]]-Т402[[#This Row],[S ДДУ]],"")</f>
        <v/>
      </c>
      <c r="BF24" s="485">
        <f>_xlfn.XLOOKUP(Т402[[#This Row],[№]],Д402[№],Д402[Итоговая сумма скидки],"-",0)</f>
        <v>0</v>
      </c>
      <c r="BG24" s="486" t="str" cm="1">
        <f t="array" ref="BG2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" s="488" t="str">
        <f>IFERROR(Т402[[#This Row],[ППС]]-Т402[[#This Row],[ДДУС]],"")</f>
        <v/>
      </c>
    </row>
    <row r="25" spans="1:60" x14ac:dyDescent="0.2">
      <c r="A25" s="611"/>
      <c r="B25" s="234">
        <f>VLOOKUP(ППД4!A22,Реестр_Д4[№],1,0)</f>
        <v>21</v>
      </c>
      <c r="C25" s="234" t="str">
        <f>VLOOKUP(ППД4!CO22,Реестр_Д4[Статус],1,0)</f>
        <v>Продажа</v>
      </c>
      <c r="D25" s="612">
        <f>VLOOKUP(ППД4!CE22,Реестр_Д4[Стоимость ОН без отделки со скидкой],1,0)</f>
        <v>3931724.91</v>
      </c>
      <c r="E25" s="612" cm="1">
        <f t="array" ref="E25">IFERROR(INDEX(РД[Стоимость без отделки итог],MATCH($B$3&amp;Таблица4[[#This Row],[№]]&amp;"Продажа",РД[Дом]&amp;РД[№ кв]&amp;РД[Состояние],0),1),Таблица4[[#This Row],[Статус]])</f>
        <v>3931724.91</v>
      </c>
      <c r="F25" s="235">
        <f>IFERROR((Таблица4[[#This Row],[ПП]]-Таблица4[[#This Row],[ДДУ]])*1,"")</f>
        <v>0</v>
      </c>
      <c r="G25" s="235" cm="1">
        <f t="array" ref="G25">IFERROR(INDEX(РД[Стоимость с отделкой итог],MATCH($B$3&amp;Таблица4[[#This Row],[№]]&amp;"Продажа",РД[Дом]&amp;РД[№ кв]&amp;РД[Состояние],0),1),Таблица4[[#This Row],[Статус]])</f>
        <v>4150364.91</v>
      </c>
      <c r="H25" s="235">
        <f>_xlfn.XLOOKUP(Таблица4[[#This Row],[№]],Реестр_Д4[№],Реестр_Д4[Стоимость квартиры с отделкой],"-",0)</f>
        <v>4150364.91</v>
      </c>
      <c r="I25" s="235">
        <f>IFERROR(Таблица4[[#This Row],[СО ПП]]-Таблица4[[#This Row],[СО ДДУ]],"")</f>
        <v>0</v>
      </c>
      <c r="J25" s="233" cm="1">
        <f t="array" ref="J25">IFERROR(INDEX(РД[S],MATCH($B$3&amp;Таблица4[[#This Row],[№]]&amp;"Продажа",РД[Дом]&amp;РД[№ кв]&amp;РД[Состояние],0),1),Таблица4[[#This Row],[Статус]])</f>
        <v>54.66</v>
      </c>
      <c r="K25" s="233">
        <f>VLOOKUP(Таблица4[[#This Row],[№]],Реестр_Д4[],20,0)</f>
        <v>54.66</v>
      </c>
      <c r="L25" s="235">
        <f>IFERROR(Таблица4[[#This Row],[S ПП]]-Таблица4[[#This Row],[S ДДУ]],)</f>
        <v>0</v>
      </c>
      <c r="M25" s="235">
        <f>ROUND(_xlfn.XLOOKUP(Таблица4[[#This Row],[№]],Реестр_Д4[№],Реестр_Д4[Итоговая сумма скидки],"",0),2)</f>
        <v>165000</v>
      </c>
      <c r="N25" s="235" cm="1">
        <f t="array" ref="N25">IFERROR(ROUND(_xlfn.XLOOKUP($B$3&amp;Таблица4[[#This Row],[№]]&amp;"Продажа",РД[Дом]&amp;РД[№ кв]&amp;РД[Состояние],РД[Сумма скидки],"",0),2),Таблица4[[#This Row],[Статус]])</f>
        <v>165000</v>
      </c>
      <c r="O25" s="235">
        <f>IFERROR(Таблица4[[#This Row],[ППС]]-Таблица4[[#This Row],[ДДУС]],)</f>
        <v>0</v>
      </c>
      <c r="P25" s="611"/>
      <c r="Q25" s="234">
        <f>VLOOKUP(ППД5!A22,Реестр_Д5[№],1,0)</f>
        <v>21</v>
      </c>
      <c r="R25" s="234" t="str">
        <f>VLOOKUP(ППД5!CH22,Реестр_Д5[Статус],1,0)</f>
        <v>Продажа</v>
      </c>
      <c r="S25" s="612">
        <f>VLOOKUP(ППД5!BZ22,Реестр_Д5[Стоимость ОН без отделки со скидкой],1,0)</f>
        <v>4062900</v>
      </c>
      <c r="T25" s="612" cm="1">
        <f t="array" ref="T25">IFERROR(INDEX(РД[Стоимость без отделки итог],MATCH($Q$3&amp;Таблица10[[#This Row],[№]]&amp;"Продажа",РД[Дом]&amp;РД[№ кв]&amp;РД[Состояние],0),1),Таблица10[[#This Row],[Статус]])</f>
        <v>4062900</v>
      </c>
      <c r="U25" s="235">
        <f>IFERROR((Таблица10[[#This Row],[ПП]]-Таблица10[[#This Row],[ДДУ]])*1,)</f>
        <v>0</v>
      </c>
      <c r="V25" s="235" cm="1">
        <f t="array" ref="V25">IFERROR(INDEX(РД[Стоимость с отделкой итог],MATCH($Q$3&amp;Таблица10[[#This Row],[№]]&amp;"Продажа",РД[Дом]&amp;РД[№ кв]&amp;РД[Состояние],0),1),Таблица10[[#This Row],[Статус]])</f>
        <v>4303630</v>
      </c>
      <c r="W25" s="235">
        <f>_xlfn.XLOOKUP(Таблица10[[#This Row],[№]],Реестр_Д5[№],Реестр_Д5[Стоимость квартиры с отделкой],"-",0)</f>
        <v>4303630</v>
      </c>
      <c r="X25" s="235">
        <f>IFERROR(Таблица10[[#This Row],[СО ПП]]-Таблица10[[#This Row],[СО ДДУ]],"")</f>
        <v>0</v>
      </c>
      <c r="Y25" s="233" cm="1">
        <f t="array" ref="Y25">IFERROR(INDEX(РД[S],MATCH($Q$3&amp;Таблица10[[#This Row],[№]]&amp;"Продажа",РД[Дом]&amp;РД[№ кв]&amp;РД[Состояние],0),1),Таблица10[[#This Row],[Статус]])</f>
        <v>34.39</v>
      </c>
      <c r="Z25" s="233">
        <f>IF(Таблица10[[#This Row],[№]]&amp;"ДДУ"=ППД5!A22&amp;ППД5!CR22,ППД5!U22,ППД5!V22)</f>
        <v>34.39</v>
      </c>
      <c r="AA25" s="285">
        <f>IFERROR(Таблица10[[#This Row],[S ПП]]-Таблица10[[#This Row],[S ДДУ]],)</f>
        <v>0</v>
      </c>
      <c r="AB25" s="235">
        <f>ROUND(_xlfn.XLOOKUP(Таблица10[[#This Row],[№]],Реестр_Д5[№],Реестр_Д5[Итоговая сумма скидки],"",0),2)</f>
        <v>0</v>
      </c>
      <c r="AC25" s="235" cm="1">
        <f t="array" ref="AC2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" s="285">
        <f>IFERROR(Таблица10[[#This Row],[ППС]]-Таблица10[[#This Row],[ДДУС]],)</f>
        <v>0</v>
      </c>
      <c r="AE25" s="611"/>
      <c r="AF25" s="615">
        <f>VLOOKUP(ППД401!A22,Д401[],1,0)</f>
        <v>21</v>
      </c>
      <c r="AG25" s="234" t="str">
        <f>_xlfn.XLOOKUP(Таблица1[[#This Row],[№]],Д401[№],Д401[Статус],"-",0)</f>
        <v>Стр. Резерв</v>
      </c>
      <c r="AH25" s="612">
        <f>_xlfn.XLOOKUP(Таблица1[[#This Row],[№]],Д401[№],Д401[Стоимость ОН без отделки со скидкой],"-",0)</f>
        <v>7720000</v>
      </c>
      <c r="AI25" s="612" t="str" cm="1">
        <f t="array" ref="AI25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25" s="235" t="str">
        <f>IFERROR((Таблица1[[#This Row],[ПП]]-Таблица1[[#This Row],[ДДУ]])*1,"")</f>
        <v/>
      </c>
      <c r="AK25" s="235" t="str" cm="1">
        <f t="array" ref="AK25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25" s="235">
        <f>_xlfn.XLOOKUP(Таблица1[[#This Row],[№]],Д401[№],Д401[Стоимость квартиры с отделкой],"-",0)</f>
        <v>7720000</v>
      </c>
      <c r="AM25" s="235" t="str">
        <f>IFERROR(Таблица1[[#This Row],[СО ПП]]-Таблица1[[#This Row],[СО ДДУ]],"")</f>
        <v/>
      </c>
      <c r="AN25" s="233" t="str" cm="1">
        <f t="array" ref="AN25">IFERROR(INDEX(РД[S],MATCH($AF$3&amp;Таблица1[[#This Row],[№]]&amp;"Продажа",РД[Дом]&amp;РД[№ кв]&amp;РД[Состояние],0),1),Таблица1[[#This Row],[Статус]])</f>
        <v>Стр. Резерв</v>
      </c>
      <c r="AO25" s="233">
        <f>_xlfn.XLOOKUP(Таблица1[[#This Row],[№]],Д401[№],Д401[Расчетная проектная площадь],"-",0)</f>
        <v>61.76</v>
      </c>
      <c r="AP25" s="235" t="str">
        <f>IFERROR(Таблица1[[#This Row],[S ПП]]-Таблица1[[#This Row],[S ДДУ]],"")</f>
        <v/>
      </c>
      <c r="AQ25" s="235">
        <f>_xlfn.XLOOKUP(Таблица1[[#This Row],[№]],Д401[№],Д401[Итоговая сумма скидки],"-",0)</f>
        <v>0</v>
      </c>
      <c r="AR25" s="235" t="str" cm="1">
        <f t="array" ref="AR25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25" s="285" t="str">
        <f>IFERROR(Таблица1[[#This Row],[ППС]]-Таблица1[[#This Row],[ДДУС]],"")</f>
        <v/>
      </c>
      <c r="AT25" s="611"/>
      <c r="AU25" s="484">
        <f>VLOOKUP(ППД402!A22,Д402[],1,0)</f>
        <v>21</v>
      </c>
      <c r="AV25" s="484" t="str">
        <f>_xlfn.XLOOKUP(Т402[[#This Row],[№]],Д402[№],Д402[Статус],"-",0)</f>
        <v>Стр. Резерв</v>
      </c>
      <c r="AW25" s="613">
        <f>_xlfn.XLOOKUP(Т402[[#This Row],[№]],Д402[№],Д402[Стоимость ОН без отделки со скидкой],"-",0)</f>
        <v>6547900</v>
      </c>
      <c r="AX25" s="614" t="str" cm="1">
        <f t="array" ref="AX2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5" s="485" t="str">
        <f>IFERROR((Т402[[#This Row],[ПП]]-Т402[[#This Row],[ДДУ]])*1,"")</f>
        <v/>
      </c>
      <c r="AZ25" s="486" t="str" cm="1">
        <f t="array" ref="AZ2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5" s="485">
        <f>_xlfn.XLOOKUP(Т402[[#This Row],[№]],Д402[№],Д402[Стоимость квартиры с отделкой],"-",0)</f>
        <v>6547900</v>
      </c>
      <c r="BB25" s="485" t="str">
        <f>IFERROR(Т402[[#This Row],[СО ПП]]-Т402[[#This Row],[СО ДДУ]],"")</f>
        <v/>
      </c>
      <c r="BC25" s="487" t="str" cm="1">
        <f t="array" ref="BC25">IFERROR(INDEX(РД[S],MATCH($AU$3&amp;Т402[[#This Row],[№]]&amp;"Продажа",РД[Дом]&amp;РД[№ кв]&amp;РД[Состояние],0),1),Т402[[#This Row],[Статус]])</f>
        <v>Стр. Резерв</v>
      </c>
      <c r="BD25" s="483">
        <f>_xlfn.XLOOKUP(Т402[[#This Row],[№]],Д402[№],Д402[Расчетная проектная площадь],"-",0)</f>
        <v>54.85</v>
      </c>
      <c r="BE25" s="485" t="str">
        <f>IFERROR(Т402[[#This Row],[S ПП]]-Т402[[#This Row],[S ДДУ]],"")</f>
        <v/>
      </c>
      <c r="BF25" s="485">
        <f>_xlfn.XLOOKUP(Т402[[#This Row],[№]],Д402[№],Д402[Итоговая сумма скидки],"-",0)</f>
        <v>0</v>
      </c>
      <c r="BG25" s="486" t="str" cm="1">
        <f t="array" ref="BG2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5" s="488" t="str">
        <f>IFERROR(Т402[[#This Row],[ППС]]-Т402[[#This Row],[ДДУС]],"")</f>
        <v/>
      </c>
    </row>
    <row r="26" spans="1:60" x14ac:dyDescent="0.2">
      <c r="A26" s="611"/>
      <c r="B26" s="234">
        <f>VLOOKUP(ППД4!A23,Реестр_Д4[№],1,0)</f>
        <v>22</v>
      </c>
      <c r="C26" s="234" t="str">
        <f>VLOOKUP(ППД4!CO23,Реестр_Д4[Статус],1,0)</f>
        <v>Продажа</v>
      </c>
      <c r="D26" s="612">
        <f>VLOOKUP(ППД4!CE23,Реестр_Д4[Стоимость ОН без отделки со скидкой],1,0)</f>
        <v>6226900</v>
      </c>
      <c r="E26" s="612" cm="1">
        <f t="array" ref="E26">IFERROR(INDEX(РД[Стоимость без отделки итог],MATCH($B$3&amp;Таблица4[[#This Row],[№]]&amp;"Продажа",РД[Дом]&amp;РД[№ кв]&amp;РД[Состояние],0),1),Таблица4[[#This Row],[Статус]])</f>
        <v>6226900</v>
      </c>
      <c r="F26" s="235">
        <f>IFERROR((Таблица4[[#This Row],[ПП]]-Таблица4[[#This Row],[ДДУ]])*1,"")</f>
        <v>0</v>
      </c>
      <c r="G26" s="235" cm="1">
        <f t="array" ref="G26">IFERROR(INDEX(РД[Стоимость с отделкой итог],MATCH($B$3&amp;Таблица4[[#This Row],[№]]&amp;"Продажа",РД[Дом]&amp;РД[№ кв]&amp;РД[Состояние],0),1),Таблица4[[#This Row],[Статус]])</f>
        <v>6675925</v>
      </c>
      <c r="H26" s="235">
        <f>_xlfn.XLOOKUP(Таблица4[[#This Row],[№]],Реестр_Д4[№],Реестр_Д4[Стоимость квартиры с отделкой],"-",0)</f>
        <v>6675925</v>
      </c>
      <c r="I26" s="235">
        <f>IFERROR(Таблица4[[#This Row],[СО ПП]]-Таблица4[[#This Row],[СО ДДУ]],"")</f>
        <v>0</v>
      </c>
      <c r="J26" s="233" cm="1">
        <f t="array" ref="J26">IFERROR(INDEX(РД[S],MATCH($B$3&amp;Таблица4[[#This Row],[№]]&amp;"Продажа",РД[Дом]&amp;РД[№ кв]&amp;РД[Состояние],0),1),Таблица4[[#This Row],[Статус]])</f>
        <v>59.87</v>
      </c>
      <c r="K26" s="233">
        <f>VLOOKUP(Таблица4[[#This Row],[№]],Реестр_Д4[],20,0)</f>
        <v>59.87</v>
      </c>
      <c r="L26" s="235">
        <f>IFERROR(Таблица4[[#This Row],[S ПП]]-Таблица4[[#This Row],[S ДДУ]],)</f>
        <v>0</v>
      </c>
      <c r="M26" s="235">
        <f>ROUND(_xlfn.XLOOKUP(Таблица4[[#This Row],[№]],Реестр_Д4[№],Реестр_Д4[Итоговая сумма скидки],"",0),2)</f>
        <v>0</v>
      </c>
      <c r="N26" s="235" cm="1">
        <f t="array" ref="N2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" s="235">
        <f>IFERROR(Таблица4[[#This Row],[ППС]]-Таблица4[[#This Row],[ДДУС]],)</f>
        <v>0</v>
      </c>
      <c r="P26" s="611"/>
      <c r="Q26" s="234">
        <f>VLOOKUP(ППД5!A23,Реестр_Д5[№],1,0)</f>
        <v>22</v>
      </c>
      <c r="R26" s="234" t="str">
        <f>VLOOKUP(ППД5!CH23,Реестр_Д5[Статус],1,0)</f>
        <v>Свободно</v>
      </c>
      <c r="S26" s="612">
        <f>VLOOKUP(ППД5!BZ23,Реестр_Д5[Стоимость ОН без отделки со скидкой],1,0)</f>
        <v>8212200</v>
      </c>
      <c r="T26" s="612" t="str" cm="1">
        <f t="array" ref="T2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6" s="235">
        <f>IFERROR((Таблица10[[#This Row],[ПП]]-Таблица10[[#This Row],[ДДУ]])*1,)</f>
        <v>0</v>
      </c>
      <c r="V26" s="235" t="str" cm="1">
        <f t="array" ref="V2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6" s="235">
        <f>_xlfn.XLOOKUP(Таблица10[[#This Row],[№]],Реестр_Д5[№],Реестр_Д5[Стоимость квартиры с отделкой],"-",0)</f>
        <v>8212200</v>
      </c>
      <c r="X26" s="235" t="str">
        <f>IFERROR(Таблица10[[#This Row],[СО ПП]]-Таблица10[[#This Row],[СО ДДУ]],"")</f>
        <v/>
      </c>
      <c r="Y26" s="233" t="str" cm="1">
        <f t="array" ref="Y26">IFERROR(INDEX(РД[S],MATCH($Q$3&amp;Таблица10[[#This Row],[№]]&amp;"Продажа",РД[Дом]&amp;РД[№ кв]&amp;РД[Состояние],0),1),Таблица10[[#This Row],[Статус]])</f>
        <v>Свободно</v>
      </c>
      <c r="Z26" s="233">
        <f>IF(Таблица10[[#This Row],[№]]&amp;"ДДУ"=ППД5!A23&amp;ППД5!CR23,ППД5!U23,ППД5!V23)</f>
        <v>67.899999999999991</v>
      </c>
      <c r="AA26" s="285">
        <f>IFERROR(Таблица10[[#This Row],[S ПП]]-Таблица10[[#This Row],[S ДДУ]],)</f>
        <v>0</v>
      </c>
      <c r="AB26" s="235">
        <f>ROUND(_xlfn.XLOOKUP(Таблица10[[#This Row],[№]],Реестр_Д5[№],Реестр_Д5[Итоговая сумма скидки],"",0),2)</f>
        <v>0</v>
      </c>
      <c r="AC26" s="235" t="str" cm="1">
        <f t="array" ref="AC2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6" s="285">
        <f>IFERROR(Таблица10[[#This Row],[ППС]]-Таблица10[[#This Row],[ДДУС]],)</f>
        <v>0</v>
      </c>
      <c r="AE26" s="611"/>
      <c r="AF26" s="615">
        <f>VLOOKUP(ППД401!A23,Д401[],1,0)</f>
        <v>22</v>
      </c>
      <c r="AG26" s="234" t="str">
        <f>_xlfn.XLOOKUP(Таблица1[[#This Row],[№]],Д401[№],Д401[Статус],"-",0)</f>
        <v>Стр. Резерв</v>
      </c>
      <c r="AH26" s="612">
        <f>_xlfn.XLOOKUP(Таблица1[[#This Row],[№]],Д401[№],Д401[Стоимость ОН без отделки со скидкой],"-",0)</f>
        <v>4891900</v>
      </c>
      <c r="AI26" s="612" t="str" cm="1">
        <f t="array" ref="AI2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26" s="235" t="str">
        <f>IFERROR((Таблица1[[#This Row],[ПП]]-Таблица1[[#This Row],[ДДУ]])*1,"")</f>
        <v/>
      </c>
      <c r="AK26" s="235" t="str" cm="1">
        <f t="array" ref="AK2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26" s="235">
        <f>_xlfn.XLOOKUP(Таблица1[[#This Row],[№]],Д401[№],Д401[Стоимость квартиры с отделкой],"-",0)</f>
        <v>4891900</v>
      </c>
      <c r="AM26" s="235" t="str">
        <f>IFERROR(Таблица1[[#This Row],[СО ПП]]-Таблица1[[#This Row],[СО ДДУ]],"")</f>
        <v/>
      </c>
      <c r="AN26" s="233" t="str" cm="1">
        <f t="array" ref="AN26">IFERROR(INDEX(РД[S],MATCH($AF$3&amp;Таблица1[[#This Row],[№]]&amp;"Продажа",РД[Дом]&amp;РД[№ кв]&amp;РД[Состояние],0),1),Таблица1[[#This Row],[Статус]])</f>
        <v>Стр. Резерв</v>
      </c>
      <c r="AO26" s="233">
        <f>_xlfn.XLOOKUP(Таблица1[[#This Row],[№]],Д401[№],Д401[Расчетная проектная площадь],"-",0)</f>
        <v>35.5</v>
      </c>
      <c r="AP26" s="235" t="str">
        <f>IFERROR(Таблица1[[#This Row],[S ПП]]-Таблица1[[#This Row],[S ДДУ]],"")</f>
        <v/>
      </c>
      <c r="AQ26" s="235">
        <f>_xlfn.XLOOKUP(Таблица1[[#This Row],[№]],Д401[№],Д401[Итоговая сумма скидки],"-",0)</f>
        <v>0</v>
      </c>
      <c r="AR26" s="235" t="str" cm="1">
        <f t="array" ref="AR2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26" s="285" t="str">
        <f>IFERROR(Таблица1[[#This Row],[ППС]]-Таблица1[[#This Row],[ДДУС]],"")</f>
        <v/>
      </c>
      <c r="AT26" s="611"/>
      <c r="AU26" s="484">
        <f>VLOOKUP(ППД402!A23,Д402[],1,0)</f>
        <v>22</v>
      </c>
      <c r="AV26" s="484" t="str">
        <f>_xlfn.XLOOKUP(Т402[[#This Row],[№]],Д402[№],Д402[Статус],"-",0)</f>
        <v>Стр. Резерв</v>
      </c>
      <c r="AW26" s="613">
        <f>_xlfn.XLOOKUP(Т402[[#This Row],[№]],Д402[№],Д402[Стоимость ОН без отделки со скидкой],"-",0)</f>
        <v>6664000</v>
      </c>
      <c r="AX26" s="614" t="str" cm="1">
        <f t="array" ref="AX2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" s="485" t="str">
        <f>IFERROR((Т402[[#This Row],[ПП]]-Т402[[#This Row],[ДДУ]])*1,"")</f>
        <v/>
      </c>
      <c r="AZ26" s="486" t="str" cm="1">
        <f t="array" ref="AZ2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" s="485">
        <f>_xlfn.XLOOKUP(Т402[[#This Row],[№]],Д402[№],Д402[Стоимость квартиры с отделкой],"-",0)</f>
        <v>6664000</v>
      </c>
      <c r="BB26" s="485" t="str">
        <f>IFERROR(Т402[[#This Row],[СО ПП]]-Т402[[#This Row],[СО ДДУ]],"")</f>
        <v/>
      </c>
      <c r="BC26" s="487" t="str" cm="1">
        <f t="array" ref="BC26">IFERROR(INDEX(РД[S],MATCH($AU$3&amp;Т402[[#This Row],[№]]&amp;"Продажа",РД[Дом]&amp;РД[№ кв]&amp;РД[Состояние],0),1),Т402[[#This Row],[Статус]])</f>
        <v>Стр. Резерв</v>
      </c>
      <c r="BD26" s="483">
        <f>_xlfn.XLOOKUP(Т402[[#This Row],[№]],Д402[№],Д402[Расчетная проектная площадь],"-",0)</f>
        <v>54.78</v>
      </c>
      <c r="BE26" s="485" t="str">
        <f>IFERROR(Т402[[#This Row],[S ПП]]-Т402[[#This Row],[S ДДУ]],"")</f>
        <v/>
      </c>
      <c r="BF26" s="485">
        <f>_xlfn.XLOOKUP(Т402[[#This Row],[№]],Д402[№],Д402[Итоговая сумма скидки],"-",0)</f>
        <v>0</v>
      </c>
      <c r="BG26" s="486" t="str" cm="1">
        <f t="array" ref="BG2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" s="488" t="str">
        <f>IFERROR(Т402[[#This Row],[ППС]]-Т402[[#This Row],[ДДУС]],"")</f>
        <v/>
      </c>
    </row>
    <row r="27" spans="1:60" x14ac:dyDescent="0.2">
      <c r="A27" s="611"/>
      <c r="B27" s="234">
        <f>VLOOKUP(ППД4!A24,Реестр_Д4[№],1,0)</f>
        <v>23</v>
      </c>
      <c r="C27" s="234" t="str">
        <f>VLOOKUP(ППД4!CO24,Реестр_Д4[Статус],1,0)</f>
        <v>Продажа</v>
      </c>
      <c r="D27" s="612">
        <f>VLOOKUP(ППД4!CE24,Реестр_Д4[Стоимость ОН без отделки со скидкой],1,0)</f>
        <v>1726515</v>
      </c>
      <c r="E27" s="612" cm="1">
        <f t="array" ref="E27">IFERROR(INDEX(РД[Стоимость без отделки итог],MATCH($B$3&amp;Таблица4[[#This Row],[№]]&amp;"Продажа",РД[Дом]&amp;РД[№ кв]&amp;РД[Состояние],0),1),Таблица4[[#This Row],[Статус]])</f>
        <v>1726515</v>
      </c>
      <c r="F27" s="235">
        <f>IFERROR((Таблица4[[#This Row],[ПП]]-Таблица4[[#This Row],[ДДУ]])*1,"")</f>
        <v>0</v>
      </c>
      <c r="G27" s="235" cm="1">
        <f t="array" ref="G27">IFERROR(INDEX(РД[Стоимость с отделкой итог],MATCH($B$3&amp;Таблица4[[#This Row],[№]]&amp;"Продажа",РД[Дом]&amp;РД[№ кв]&amp;РД[Состояние],0),1),Таблица4[[#This Row],[Статус]])</f>
        <v>1889640</v>
      </c>
      <c r="H27" s="235">
        <f>_xlfn.XLOOKUP(Таблица4[[#This Row],[№]],Реестр_Д4[№],Реестр_Д4[Стоимость квартиры с отделкой],"-",0)</f>
        <v>1889640</v>
      </c>
      <c r="I27" s="235">
        <f>IFERROR(Таблица4[[#This Row],[СО ПП]]-Таблица4[[#This Row],[СО ДДУ]],"")</f>
        <v>0</v>
      </c>
      <c r="J27" s="233" cm="1">
        <f t="array" ref="J27">IFERROR(INDEX(РД[S],MATCH($B$3&amp;Таблица4[[#This Row],[№]]&amp;"Продажа",РД[Дом]&amp;РД[№ кв]&amp;РД[Состояние],0),1),Таблица4[[#This Row],[Статус]])</f>
        <v>21.75</v>
      </c>
      <c r="K27" s="233">
        <f>VLOOKUP(Таблица4[[#This Row],[№]],Реестр_Д4[],20,0)</f>
        <v>21.75</v>
      </c>
      <c r="L27" s="235">
        <f>IFERROR(Таблица4[[#This Row],[S ПП]]-Таблица4[[#This Row],[S ДДУ]],)</f>
        <v>0</v>
      </c>
      <c r="M27" s="235">
        <f>ROUND(_xlfn.XLOOKUP(Таблица4[[#This Row],[№]],Реестр_Д4[№],Реестр_Д4[Итоговая сумма скидки],"",0),2)</f>
        <v>0</v>
      </c>
      <c r="N27" s="235" cm="1">
        <f t="array" ref="N2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" s="235">
        <f>IFERROR(Таблица4[[#This Row],[ППС]]-Таблица4[[#This Row],[ДДУС]],)</f>
        <v>0</v>
      </c>
      <c r="P27" s="611"/>
      <c r="Q27" s="234">
        <f>VLOOKUP(ППД5!A24,Реестр_Д5[№],1,0)</f>
        <v>23</v>
      </c>
      <c r="R27" s="234" t="str">
        <f>VLOOKUP(ППД5!CH24,Реестр_Д5[Статус],1,0)</f>
        <v>Продажа</v>
      </c>
      <c r="S27" s="612">
        <f>VLOOKUP(ППД5!BZ24,Реестр_Д5[Стоимость ОН без отделки со скидкой],1,0)</f>
        <v>4427400</v>
      </c>
      <c r="T27" s="612" cm="1">
        <f t="array" ref="T27">IFERROR(INDEX(РД[Стоимость без отделки итог],MATCH($Q$3&amp;Таблица10[[#This Row],[№]]&amp;"Продажа",РД[Дом]&amp;РД[№ кв]&amp;РД[Состояние],0),1),Таблица10[[#This Row],[Статус]])</f>
        <v>4427400</v>
      </c>
      <c r="U27" s="235">
        <f>IFERROR((Таблица10[[#This Row],[ПП]]-Таблица10[[#This Row],[ДДУ]])*1,)</f>
        <v>0</v>
      </c>
      <c r="V27" s="235" cm="1">
        <f t="array" ref="V27">IFERROR(INDEX(РД[Стоимость с отделкой итог],MATCH($Q$3&amp;Таблица10[[#This Row],[№]]&amp;"Продажа",РД[Дом]&amp;РД[№ кв]&amp;РД[Состояние],0),1),Таблица10[[#This Row],[Статус]])</f>
        <v>5182000</v>
      </c>
      <c r="W27" s="235">
        <f>_xlfn.XLOOKUP(Таблица10[[#This Row],[№]],Реестр_Д5[№],Реестр_Д5[Стоимость квартиры с отделкой],"-",0)</f>
        <v>5182000</v>
      </c>
      <c r="X27" s="235">
        <f>IFERROR(Таблица10[[#This Row],[СО ПП]]-Таблица10[[#This Row],[СО ДДУ]],"")</f>
        <v>0</v>
      </c>
      <c r="Y27" s="233" cm="1">
        <f t="array" ref="Y27">IFERROR(INDEX(РД[S],MATCH($Q$3&amp;Таблица10[[#This Row],[№]]&amp;"Продажа",РД[Дом]&amp;РД[№ кв]&amp;РД[Состояние],0),1),Таблица10[[#This Row],[Статус]])</f>
        <v>37.729999999999997</v>
      </c>
      <c r="Z27" s="233">
        <f>IF(Таблица10[[#This Row],[№]]&amp;"ДДУ"=ППД5!A24&amp;ППД5!CR24,ППД5!U24,ППД5!V24)</f>
        <v>37.729999999999997</v>
      </c>
      <c r="AA27" s="285">
        <f>IFERROR(Таблица10[[#This Row],[S ПП]]-Таблица10[[#This Row],[S ДДУ]],)</f>
        <v>0</v>
      </c>
      <c r="AB27" s="235">
        <f>ROUND(_xlfn.XLOOKUP(Таблица10[[#This Row],[№]],Реестр_Д5[№],Реестр_Д5[Итоговая сумма скидки],"",0),2)</f>
        <v>0</v>
      </c>
      <c r="AC27" s="235" cm="1">
        <f t="array" ref="AC2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" s="285">
        <f>IFERROR(Таблица10[[#This Row],[ППС]]-Таблица10[[#This Row],[ДДУС]],)</f>
        <v>0</v>
      </c>
      <c r="AE27" s="611"/>
      <c r="AF27" s="615">
        <f>VLOOKUP(ППД401!A24,Д401[],1,0)</f>
        <v>23</v>
      </c>
      <c r="AG27" s="234" t="str">
        <f>_xlfn.XLOOKUP(Таблица1[[#This Row],[№]],Д401[№],Д401[Статус],"-",0)</f>
        <v>Продажа</v>
      </c>
      <c r="AH27" s="612">
        <f>_xlfn.XLOOKUP(Таблица1[[#This Row],[№]],Д401[№],Д401[Стоимость ОН без отделки со скидкой],"-",0)</f>
        <v>6598046</v>
      </c>
      <c r="AI27" s="612" cm="1">
        <f t="array" ref="AI27">IFERROR(INDEX(РД[Стоимость без отделки итог],MATCH($AF$3&amp;Таблица1[[#This Row],[№]]&amp;"Продажа",РД[Дом]&amp;РД[№ кв]&amp;РД[Состояние],0),1),Таблица1[[#This Row],[Статус]])</f>
        <v>6598046</v>
      </c>
      <c r="AJ27" s="235">
        <f>IFERROR((Таблица1[[#This Row],[ПП]]-Таблица1[[#This Row],[ДДУ]])*1,"")</f>
        <v>0</v>
      </c>
      <c r="AK27" s="235" cm="1">
        <f t="array" ref="AK27">IFERROR(INDEX(РД[Стоимость с отделкой итог],MATCH($AF$3&amp;Таблица1[[#This Row],[№]]&amp;"Продажа",РД[Дом]&amp;РД[№ кв]&amp;РД[Состояние],0),1),Таблица1[[#This Row],[Статус]])</f>
        <v>6598046</v>
      </c>
      <c r="AL27" s="235">
        <f>_xlfn.XLOOKUP(Таблица1[[#This Row],[№]],Д401[№],Д401[Стоимость квартиры с отделкой],"-",0)</f>
        <v>6598046</v>
      </c>
      <c r="AM27" s="235">
        <f>IFERROR(Таблица1[[#This Row],[СО ПП]]-Таблица1[[#This Row],[СО ДДУ]],"")</f>
        <v>0</v>
      </c>
      <c r="AN27" s="233" cm="1">
        <f t="array" ref="AN27">IFERROR(INDEX(РД[S],MATCH($AF$3&amp;Таблица1[[#This Row],[№]]&amp;"Продажа",РД[Дом]&amp;РД[№ кв]&amp;РД[Состояние],0),1),Таблица1[[#This Row],[Статус]])</f>
        <v>51.79</v>
      </c>
      <c r="AO27" s="233">
        <f>_xlfn.XLOOKUP(Таблица1[[#This Row],[№]],Д401[№],Д401[Расчетная проектная площадь],"-",0)</f>
        <v>51.75</v>
      </c>
      <c r="AP27" s="680">
        <f>IFERROR(Таблица1[[#This Row],[S ПП]]-Таблица1[[#This Row],[S ДДУ]],"")</f>
        <v>-3.9999999999999147E-2</v>
      </c>
      <c r="AQ27" s="235">
        <f>_xlfn.XLOOKUP(Таблица1[[#This Row],[№]],Д401[№],Д401[Итоговая сумма скидки],"-",0)</f>
        <v>134654</v>
      </c>
      <c r="AR27" s="235" cm="1">
        <f t="array" ref="AR27">IFERROR(ROUND(_xlfn.XLOOKUP($AF$3&amp;Таблица1[[#This Row],[№]]&amp;"Продажа",РД[Дом]&amp;РД[№ кв]&amp;РД[Состояние],РД[Сумма скидки],"",0),2),Таблица1[[#This Row],[Статус]])</f>
        <v>134654</v>
      </c>
      <c r="AS27" s="285">
        <f>IFERROR(Таблица1[[#This Row],[ППС]]-Таблица1[[#This Row],[ДДУС]],"")</f>
        <v>0</v>
      </c>
      <c r="AT27" s="611"/>
      <c r="AU27" s="484">
        <f>VLOOKUP(ППД402!A24,Д402[],1,0)</f>
        <v>23</v>
      </c>
      <c r="AV27" s="484" t="str">
        <f>_xlfn.XLOOKUP(Т402[[#This Row],[№]],Д402[№],Д402[Статус],"-",0)</f>
        <v>Продажа</v>
      </c>
      <c r="AW27" s="613">
        <f>_xlfn.XLOOKUP(Т402[[#This Row],[№]],Д402[№],Д402[Стоимость ОН без отделки со скидкой],"-",0)</f>
        <v>4673363</v>
      </c>
      <c r="AX27" s="614" cm="1">
        <f t="array" ref="AX27">IFERROR(INDEX(РД[Стоимость без отделки итог],MATCH($AU$3&amp;Т402[[#This Row],[№]]&amp;"Продажа",РД[Дом]&amp;РД[№ кв]&amp;РД[Состояние],0),1),Т402[[#This Row],[Статус]])</f>
        <v>4673363</v>
      </c>
      <c r="AY27" s="485">
        <f>IFERROR((Т402[[#This Row],[ПП]]-Т402[[#This Row],[ДДУ]])*1,"")</f>
        <v>0</v>
      </c>
      <c r="AZ27" s="486" cm="1">
        <f t="array" ref="AZ27">IFERROR(INDEX(РД[Стоимость с отделкой итог],MATCH($AU$3&amp;Т402[[#This Row],[№]]&amp;"Продажа",РД[Дом]&amp;РД[№ кв]&amp;РД[Состояние],0),1),Т402[[#This Row],[Статус]])</f>
        <v>5043463</v>
      </c>
      <c r="BA27" s="485">
        <f>_xlfn.XLOOKUP(Т402[[#This Row],[№]],Д402[№],Д402[Стоимость квартиры с отделкой],"-",0)</f>
        <v>5043463</v>
      </c>
      <c r="BB27" s="485">
        <f>IFERROR(Т402[[#This Row],[СО ПП]]-Т402[[#This Row],[СО ДДУ]],"")</f>
        <v>0</v>
      </c>
      <c r="BC27" s="487" cm="1">
        <f t="array" ref="BC27">IFERROR(INDEX(РД[S],MATCH($AU$3&amp;Т402[[#This Row],[№]]&amp;"Продажа",РД[Дом]&amp;РД[№ кв]&amp;РД[Состояние],0),1),Т402[[#This Row],[Статус]])</f>
        <v>37.01</v>
      </c>
      <c r="BD27" s="483">
        <f>_xlfn.XLOOKUP(Т402[[#This Row],[№]],Д402[№],Д402[Расчетная проектная площадь],"-",0)</f>
        <v>37.01</v>
      </c>
      <c r="BE27" s="485">
        <f>IFERROR(Т402[[#This Row],[S ПП]]-Т402[[#This Row],[S ДДУ]],"")</f>
        <v>0</v>
      </c>
      <c r="BF27" s="485">
        <f>_xlfn.XLOOKUP(Т402[[#This Row],[№]],Д402[№],Д402[Итоговая сумма скидки],"-",0)</f>
        <v>144537</v>
      </c>
      <c r="BG27" s="486" cm="1">
        <f t="array" ref="BG27">IFERROR(ROUND(_xlfn.XLOOKUP($AU$3&amp;Т402[[#This Row],[№]]&amp;"Продажа",РД[Дом]&amp;РД[№ кв]&amp;РД[Состояние],РД[Сумма скидки],"",0),2),Т402[[#This Row],[Статус]])</f>
        <v>144537</v>
      </c>
      <c r="BH27" s="488">
        <f>IFERROR(Т402[[#This Row],[ППС]]-Т402[[#This Row],[ДДУС]],"")</f>
        <v>0</v>
      </c>
    </row>
    <row r="28" spans="1:60" x14ac:dyDescent="0.2">
      <c r="A28" s="611"/>
      <c r="B28" s="234">
        <f>VLOOKUP(ППД4!A25,Реестр_Д4[№],1,0)</f>
        <v>24</v>
      </c>
      <c r="C28" s="234" t="str">
        <f>VLOOKUP(ППД4!CO25,Реестр_Д4[Статус],1,0)</f>
        <v>Продажа</v>
      </c>
      <c r="D28" s="612">
        <f>VLOOKUP(ППД4!CE25,Реестр_Д4[Стоимость ОН без отделки со скидкой],1,0)</f>
        <v>1724927.4</v>
      </c>
      <c r="E28" s="612" cm="1">
        <f t="array" ref="E28">IFERROR(INDEX(РД[Стоимость без отделки итог],MATCH($B$3&amp;Таблица4[[#This Row],[№]]&amp;"Продажа",РД[Дом]&amp;РД[№ кв]&amp;РД[Состояние],0),1),Таблица4[[#This Row],[Статус]])</f>
        <v>1724927.4000000001</v>
      </c>
      <c r="F28" s="235">
        <f>IFERROR((Таблица4[[#This Row],[ПП]]-Таблица4[[#This Row],[ДДУ]])*1,"")</f>
        <v>-2.3283064365386963E-10</v>
      </c>
      <c r="G28" s="235" cm="1">
        <f t="array" ref="G28">IFERROR(INDEX(РД[Стоимость с отделкой итог],MATCH($B$3&amp;Таблица4[[#This Row],[№]]&amp;"Продажа",РД[Дом]&amp;РД[№ кв]&amp;РД[Состояние],0),1),Таблица4[[#This Row],[Статус]])</f>
        <v>1887902.4</v>
      </c>
      <c r="H28" s="235">
        <f>_xlfn.XLOOKUP(Таблица4[[#This Row],[№]],Реестр_Д4[№],Реестр_Д4[Стоимость квартиры с отделкой],"-",0)</f>
        <v>1887902.4</v>
      </c>
      <c r="I28" s="235">
        <f>IFERROR(Таблица4[[#This Row],[СО ПП]]-Таблица4[[#This Row],[СО ДДУ]],"")</f>
        <v>0</v>
      </c>
      <c r="J28" s="233" cm="1">
        <f t="array" ref="J28">IFERROR(INDEX(РД[S],MATCH($B$3&amp;Таблица4[[#This Row],[№]]&amp;"Продажа",РД[Дом]&amp;РД[№ кв]&amp;РД[Состояние],0),1),Таблица4[[#This Row],[Статус]])</f>
        <v>21.73</v>
      </c>
      <c r="K28" s="233">
        <f>VLOOKUP(Таблица4[[#This Row],[№]],Реестр_Д4[],20,0)</f>
        <v>21.73</v>
      </c>
      <c r="L28" s="235">
        <f>IFERROR(Таблица4[[#This Row],[S ПП]]-Таблица4[[#This Row],[S ДДУ]],)</f>
        <v>0</v>
      </c>
      <c r="M28" s="235">
        <f>ROUND(_xlfn.XLOOKUP(Таблица4[[#This Row],[№]],Реестр_Д4[№],Реестр_Д4[Итоговая сумма скидки],"",0),2)</f>
        <v>0</v>
      </c>
      <c r="N28" s="235" cm="1">
        <f t="array" ref="N2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" s="235">
        <f>IFERROR(Таблица4[[#This Row],[ППС]]-Таблица4[[#This Row],[ДДУС]],)</f>
        <v>0</v>
      </c>
      <c r="P28" s="611"/>
      <c r="Q28" s="234">
        <f>VLOOKUP(ППД5!A25,Реестр_Д5[№],1,0)</f>
        <v>24</v>
      </c>
      <c r="R28" s="234" t="str">
        <f>VLOOKUP(ППД5!CH25,Реестр_Д5[Статус],1,0)</f>
        <v>Продажа</v>
      </c>
      <c r="S28" s="612">
        <f>VLOOKUP(ППД5!BZ25,Реестр_Д5[Стоимость ОН без отделки со скидкой],1,0)</f>
        <v>6795350</v>
      </c>
      <c r="T28" s="612" cm="1">
        <f t="array" ref="T28">IFERROR(INDEX(РД[Стоимость без отделки итог],MATCH($Q$3&amp;Таблица10[[#This Row],[№]]&amp;"Продажа",РД[Дом]&amp;РД[№ кв]&amp;РД[Состояние],0),1),Таблица10[[#This Row],[Статус]])</f>
        <v>6795350</v>
      </c>
      <c r="U28" s="235">
        <f>IFERROR((Таблица10[[#This Row],[ПП]]-Таблица10[[#This Row],[ДДУ]])*1,)</f>
        <v>0</v>
      </c>
      <c r="V28" s="235" cm="1">
        <f t="array" ref="V28">IFERROR(INDEX(РД[Стоимость с отделкой итог],MATCH($Q$3&amp;Таблица10[[#This Row],[№]]&amp;"Продажа",РД[Дом]&amp;РД[№ кв]&amp;РД[Состояние],0),1),Таблица10[[#This Row],[Статус]])</f>
        <v>8272600</v>
      </c>
      <c r="W28" s="235">
        <f>_xlfn.XLOOKUP(Таблица10[[#This Row],[№]],Реестр_Д5[№],Реестр_Д5[Стоимость квартиры с отделкой],"-",0)</f>
        <v>8272600.0000000019</v>
      </c>
      <c r="X28" s="235">
        <f>IFERROR(Таблица10[[#This Row],[СО ПП]]-Таблица10[[#This Row],[СО ДДУ]],"")</f>
        <v>1.862645149230957E-9</v>
      </c>
      <c r="Y28" s="233" cm="1">
        <f t="array" ref="Y28">IFERROR(INDEX(РД[S],MATCH($Q$3&amp;Таблица10[[#This Row],[№]]&amp;"Продажа",РД[Дом]&amp;РД[№ кв]&amp;РД[Состояние],0),1),Таблица10[[#This Row],[Статус]])</f>
        <v>59.09</v>
      </c>
      <c r="Z28" s="233">
        <f>IF(Таблица10[[#This Row],[№]]&amp;"ДДУ"=ППД5!A25&amp;ППД5!CR25,ППД5!U25,ППД5!V25)</f>
        <v>59.09</v>
      </c>
      <c r="AA28" s="285">
        <f>IFERROR(Таблица10[[#This Row],[S ПП]]-Таблица10[[#This Row],[S ДДУ]],)</f>
        <v>0</v>
      </c>
      <c r="AB28" s="235">
        <f>ROUND(_xlfn.XLOOKUP(Таблица10[[#This Row],[№]],Реестр_Д5[№],Реестр_Д5[Итоговая сумма скидки],"",0),2)</f>
        <v>507550</v>
      </c>
      <c r="AC28" s="235" cm="1">
        <f t="array" ref="AC28">IFERROR(ROUND(_xlfn.XLOOKUP($Q$3&amp;Таблица10[[#This Row],[№]]&amp;"Продажа",РД[Дом]&amp;РД[№ кв]&amp;РД[Состояние],РД[Сумма скидки],"",0,-1),2),Таблица10[[#This Row],[Статус]])</f>
        <v>507550</v>
      </c>
      <c r="AD28" s="285">
        <f>IFERROR(Таблица10[[#This Row],[ППС]]-Таблица10[[#This Row],[ДДУС]],)</f>
        <v>0</v>
      </c>
      <c r="AE28" s="611"/>
      <c r="AF28" s="615">
        <f>VLOOKUP(ППД401!A25,Д401[],1,0)</f>
        <v>24</v>
      </c>
      <c r="AG28" s="234" t="str">
        <f>_xlfn.XLOOKUP(Таблица1[[#This Row],[№]],Д401[№],Д401[Статус],"-",0)</f>
        <v>Стр. Резерв</v>
      </c>
      <c r="AH28" s="612">
        <f>_xlfn.XLOOKUP(Таблица1[[#This Row],[№]],Д401[№],Д401[Стоимость ОН без отделки со скидкой],"-",0)</f>
        <v>10093750</v>
      </c>
      <c r="AI28" s="612" t="str" cm="1">
        <f t="array" ref="AI2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28" s="235" t="str">
        <f>IFERROR((Таблица1[[#This Row],[ПП]]-Таблица1[[#This Row],[ДДУ]])*1,"")</f>
        <v/>
      </c>
      <c r="AK28" s="235" t="str" cm="1">
        <f t="array" ref="AK2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28" s="235">
        <f>_xlfn.XLOOKUP(Таблица1[[#This Row],[№]],Д401[№],Д401[Стоимость квартиры с отделкой],"-",0)</f>
        <v>10093750</v>
      </c>
      <c r="AM28" s="235" t="str">
        <f>IFERROR(Таблица1[[#This Row],[СО ПП]]-Таблица1[[#This Row],[СО ДДУ]],"")</f>
        <v/>
      </c>
      <c r="AN28" s="233" t="str" cm="1">
        <f t="array" ref="AN28">IFERROR(INDEX(РД[S],MATCH($AF$3&amp;Таблица1[[#This Row],[№]]&amp;"Продажа",РД[Дом]&amp;РД[№ кв]&amp;РД[Состояние],0),1),Таблица1[[#This Row],[Статус]])</f>
        <v>Стр. Резерв</v>
      </c>
      <c r="AO28" s="233">
        <f>_xlfn.XLOOKUP(Таблица1[[#This Row],[№]],Д401[№],Д401[Расчетная проектная площадь],"-",0)</f>
        <v>80.75</v>
      </c>
      <c r="AP28" s="235" t="str">
        <f>IFERROR(Таблица1[[#This Row],[S ПП]]-Таблица1[[#This Row],[S ДДУ]],"")</f>
        <v/>
      </c>
      <c r="AQ28" s="235">
        <f>_xlfn.XLOOKUP(Таблица1[[#This Row],[№]],Д401[№],Д401[Итоговая сумма скидки],"-",0)</f>
        <v>0</v>
      </c>
      <c r="AR28" s="235" t="str" cm="1">
        <f t="array" ref="AR2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28" s="285" t="str">
        <f>IFERROR(Таблица1[[#This Row],[ППС]]-Таблица1[[#This Row],[ДДУС]],"")</f>
        <v/>
      </c>
      <c r="AT28" s="611"/>
      <c r="AU28" s="484">
        <f>VLOOKUP(ППД402!A25,Д402[],1,0)</f>
        <v>24</v>
      </c>
      <c r="AV28" s="484" t="str">
        <f>_xlfn.XLOOKUP(Т402[[#This Row],[№]],Д402[№],Д402[Статус],"-",0)</f>
        <v>Стр. Резерв</v>
      </c>
      <c r="AW28" s="613">
        <f>_xlfn.XLOOKUP(Т402[[#This Row],[№]],Д402[№],Д402[Стоимость ОН без отделки со скидкой],"-",0)</f>
        <v>5872100</v>
      </c>
      <c r="AX28" s="614" t="str" cm="1">
        <f t="array" ref="AX2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8" s="485" t="str">
        <f>IFERROR((Т402[[#This Row],[ПП]]-Т402[[#This Row],[ДДУ]])*1,"")</f>
        <v/>
      </c>
      <c r="AZ28" s="486" t="str" cm="1">
        <f t="array" ref="AZ2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8" s="485">
        <f>_xlfn.XLOOKUP(Т402[[#This Row],[№]],Д402[№],Д402[Стоимость квартиры с отделкой],"-",0)</f>
        <v>5872100</v>
      </c>
      <c r="BB28" s="485" t="str">
        <f>IFERROR(Т402[[#This Row],[СО ПП]]-Т402[[#This Row],[СО ДДУ]],"")</f>
        <v/>
      </c>
      <c r="BC28" s="487" t="str" cm="1">
        <f t="array" ref="BC28">IFERROR(INDEX(РД[S],MATCH($AU$3&amp;Т402[[#This Row],[№]]&amp;"Продажа",РД[Дом]&amp;РД[№ кв]&amp;РД[Состояние],0),1),Т402[[#This Row],[Статус]])</f>
        <v>Стр. Резерв</v>
      </c>
      <c r="BD28" s="483">
        <f>_xlfn.XLOOKUP(Т402[[#This Row],[№]],Д402[№],Д402[Расчетная проектная площадь],"-",0)</f>
        <v>45.26</v>
      </c>
      <c r="BE28" s="485" t="str">
        <f>IFERROR(Т402[[#This Row],[S ПП]]-Т402[[#This Row],[S ДДУ]],"")</f>
        <v/>
      </c>
      <c r="BF28" s="485">
        <f>_xlfn.XLOOKUP(Т402[[#This Row],[№]],Д402[№],Д402[Итоговая сумма скидки],"-",0)</f>
        <v>0</v>
      </c>
      <c r="BG28" s="486" t="str" cm="1">
        <f t="array" ref="BG2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8" s="488" t="str">
        <f>IFERROR(Т402[[#This Row],[ППС]]-Т402[[#This Row],[ДДУС]],"")</f>
        <v/>
      </c>
    </row>
    <row r="29" spans="1:60" x14ac:dyDescent="0.2">
      <c r="A29" s="611"/>
      <c r="B29" s="234">
        <f>VLOOKUP(ППД4!A26,Реестр_Д4[№],1,0)</f>
        <v>25</v>
      </c>
      <c r="C29" s="234" t="str">
        <f>VLOOKUP(ППД4!CO26,Реестр_Д4[Статус],1,0)</f>
        <v>Продажа</v>
      </c>
      <c r="D29" s="612">
        <f>VLOOKUP(ППД4!CE26,Реестр_Д4[Стоимость ОН без отделки со скидкой],1,0)</f>
        <v>3212296.05</v>
      </c>
      <c r="E29" s="612" cm="1">
        <f t="array" ref="E29">IFERROR(INDEX(РД[Стоимость без отделки итог],MATCH($B$3&amp;Таблица4[[#This Row],[№]]&amp;"Продажа",РД[Дом]&amp;РД[№ кв]&amp;РД[Состояние],0),1),Таблица4[[#This Row],[Статус]])</f>
        <v>3212296.0499999993</v>
      </c>
      <c r="F29" s="235">
        <f>IFERROR((Таблица4[[#This Row],[ПП]]-Таблица4[[#This Row],[ДДУ]])*1,"")</f>
        <v>4.6566128730773926E-10</v>
      </c>
      <c r="G29" s="235" cm="1">
        <f t="array" ref="G29">IFERROR(INDEX(РД[Стоимость с отделкой итог],MATCH($B$3&amp;Таблица4[[#This Row],[№]]&amp;"Продажа",РД[Дом]&amp;РД[№ кв]&amp;РД[Состояние],0),1),Таблица4[[#This Row],[Статус]])</f>
        <v>3346416.05</v>
      </c>
      <c r="H29" s="235">
        <f>_xlfn.XLOOKUP(Таблица4[[#This Row],[№]],Реестр_Д4[№],Реестр_Д4[Стоимость квартиры с отделкой],"-",0)</f>
        <v>3346416.05</v>
      </c>
      <c r="I29" s="235">
        <f>IFERROR(Таблица4[[#This Row],[СО ПП]]-Таблица4[[#This Row],[СО ДДУ]],"")</f>
        <v>0</v>
      </c>
      <c r="J29" s="233" cm="1">
        <f t="array" ref="J29">IFERROR(INDEX(РД[S],MATCH($B$3&amp;Таблица4[[#This Row],[№]]&amp;"Продажа",РД[Дом]&amp;РД[№ кв]&amp;РД[Состояние],0),1),Таблица4[[#This Row],[Статус]])</f>
        <v>33.53</v>
      </c>
      <c r="K29" s="233">
        <f>VLOOKUP(Таблица4[[#This Row],[№]],Реестр_Д4[],20,0)</f>
        <v>33.53</v>
      </c>
      <c r="L29" s="235">
        <f>IFERROR(Таблица4[[#This Row],[S ПП]]-Таблица4[[#This Row],[S ДДУ]],)</f>
        <v>0</v>
      </c>
      <c r="M29" s="235">
        <f>ROUND(_xlfn.XLOOKUP(Таблица4[[#This Row],[№]],Реестр_Д4[№],Реестр_Д4[Итоговая сумма скидки],"",0),2)</f>
        <v>0</v>
      </c>
      <c r="N29" s="235" cm="1">
        <f t="array" ref="N2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" s="235">
        <f>IFERROR(Таблица4[[#This Row],[ППС]]-Таблица4[[#This Row],[ДДУС]],)</f>
        <v>0</v>
      </c>
      <c r="P29" s="611"/>
      <c r="Q29" s="234">
        <f>VLOOKUP(ППД5!A26,Реестр_Д5[№],1,0)</f>
        <v>25</v>
      </c>
      <c r="R29" s="234" t="str">
        <f>VLOOKUP(ППД5!CH26,Реестр_Д5[Статус],1,0)</f>
        <v>Продажа</v>
      </c>
      <c r="S29" s="612">
        <f>VLOOKUP(ППД5!BZ26,Реестр_Д5[Стоимость ОН без отделки со скидкой],1,0)</f>
        <v>5040747.33</v>
      </c>
      <c r="T29" s="612" cm="1">
        <f t="array" ref="T29">IFERROR(INDEX(РД[Стоимость без отделки итог],MATCH($Q$3&amp;Таблица10[[#This Row],[№]]&amp;"Продажа",РД[Дом]&amp;РД[№ кв]&amp;РД[Состояние],0),1),Таблица10[[#This Row],[Статус]])</f>
        <v>5040747.33</v>
      </c>
      <c r="U29" s="235">
        <f>IFERROR((Таблица10[[#This Row],[ПП]]-Таблица10[[#This Row],[ДДУ]])*1,)</f>
        <v>0</v>
      </c>
      <c r="V29" s="235" cm="1">
        <f t="array" ref="V29">IFERROR(INDEX(РД[Стоимость с отделкой итог],MATCH($Q$3&amp;Таблица10[[#This Row],[№]]&amp;"Продажа",РД[Дом]&amp;РД[№ кв]&amp;РД[Состояние],0),1),Таблица10[[#This Row],[Статус]])</f>
        <v>6004382.3300000001</v>
      </c>
      <c r="W29" s="235">
        <f>_xlfn.XLOOKUP(Таблица10[[#This Row],[№]],Реестр_Д5[№],Реестр_Д5[Стоимость квартиры с отделкой],"-",0)</f>
        <v>6004382.3300000001</v>
      </c>
      <c r="X29" s="235">
        <f>IFERROR(Таблица10[[#This Row],[СО ПП]]-Таблица10[[#This Row],[СО ДДУ]],"")</f>
        <v>0</v>
      </c>
      <c r="Y29" s="233" cm="1">
        <f t="array" ref="Y29">IFERROR(INDEX(РД[S],MATCH($Q$3&amp;Таблица10[[#This Row],[№]]&amp;"Продажа",РД[Дом]&amp;РД[№ кв]&amp;РД[Состояние],0),1),Таблица10[[#This Row],[Статус]])</f>
        <v>62.17</v>
      </c>
      <c r="Z29" s="233">
        <f>IF(Таблица10[[#This Row],[№]]&amp;"ДДУ"=ППД5!A26&amp;ППД5!CR26,ППД5!U26,ППД5!V26)</f>
        <v>62.17</v>
      </c>
      <c r="AA29" s="285">
        <f>IFERROR(Таблица10[[#This Row],[S ПП]]-Таблица10[[#This Row],[S ДДУ]],)</f>
        <v>0</v>
      </c>
      <c r="AB29" s="235">
        <f>ROUND(_xlfn.XLOOKUP(Таблица10[[#This Row],[№]],Реестр_Д5[№],Реестр_Д5[Итоговая сумма скидки],"",0),2)</f>
        <v>0</v>
      </c>
      <c r="AC29" s="235" cm="1">
        <f t="array" ref="AC2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9" s="285">
        <f>IFERROR(Таблица10[[#This Row],[ППС]]-Таблица10[[#This Row],[ДДУС]],)</f>
        <v>0</v>
      </c>
      <c r="AE29" s="611"/>
      <c r="AF29" s="615">
        <f>VLOOKUP(ППД401!A26,Д401[],1,0)</f>
        <v>25</v>
      </c>
      <c r="AG29" s="234" t="str">
        <f>_xlfn.XLOOKUP(Таблица1[[#This Row],[№]],Д401[№],Д401[Статус],"-",0)</f>
        <v>Свободно</v>
      </c>
      <c r="AH29" s="612">
        <f>_xlfn.XLOOKUP(Таблица1[[#This Row],[№]],Д401[№],Д401[Стоимость ОН без отделки со скидкой],"-",0)</f>
        <v>7720000</v>
      </c>
      <c r="AI29" s="612" t="str" cm="1">
        <f t="array" ref="AI29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29" s="235" t="str">
        <f>IFERROR((Таблица1[[#This Row],[ПП]]-Таблица1[[#This Row],[ДДУ]])*1,"")</f>
        <v/>
      </c>
      <c r="AK29" s="235" t="str" cm="1">
        <f t="array" ref="AK29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29" s="235">
        <f>_xlfn.XLOOKUP(Таблица1[[#This Row],[№]],Д401[№],Д401[Стоимость квартиры с отделкой],"-",0)</f>
        <v>7720000</v>
      </c>
      <c r="AM29" s="235" t="str">
        <f>IFERROR(Таблица1[[#This Row],[СО ПП]]-Таблица1[[#This Row],[СО ДДУ]],"")</f>
        <v/>
      </c>
      <c r="AN29" s="233" t="str" cm="1">
        <f t="array" ref="AN29">IFERROR(INDEX(РД[S],MATCH($AF$3&amp;Таблица1[[#This Row],[№]]&amp;"Продажа",РД[Дом]&amp;РД[№ кв]&amp;РД[Состояние],0),1),Таблица1[[#This Row],[Статус]])</f>
        <v>Свободно</v>
      </c>
      <c r="AO29" s="233">
        <f>_xlfn.XLOOKUP(Таблица1[[#This Row],[№]],Д401[№],Д401[Расчетная проектная площадь],"-",0)</f>
        <v>61.76</v>
      </c>
      <c r="AP29" s="235" t="str">
        <f>IFERROR(Таблица1[[#This Row],[S ПП]]-Таблица1[[#This Row],[S ДДУ]],"")</f>
        <v/>
      </c>
      <c r="AQ29" s="235">
        <f>_xlfn.XLOOKUP(Таблица1[[#This Row],[№]],Д401[№],Д401[Итоговая сумма скидки],"-",0)</f>
        <v>0</v>
      </c>
      <c r="AR29" s="235" t="str" cm="1">
        <f t="array" ref="AR29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29" s="285" t="str">
        <f>IFERROR(Таблица1[[#This Row],[ППС]]-Таблица1[[#This Row],[ДДУС]],"")</f>
        <v/>
      </c>
      <c r="AT29" s="611"/>
      <c r="AU29" s="484">
        <f>VLOOKUP(ППД402!A26,Д402[],1,0)</f>
        <v>25</v>
      </c>
      <c r="AV29" s="484" t="str">
        <f>_xlfn.XLOOKUP(Т402[[#This Row],[№]],Д402[№],Д402[Статус],"-",0)</f>
        <v>Свободно</v>
      </c>
      <c r="AW29" s="613">
        <f>_xlfn.XLOOKUP(Т402[[#This Row],[№]],Д402[№],Д402[Стоимость ОН без отделки со скидкой],"-",0)</f>
        <v>4191200</v>
      </c>
      <c r="AX29" s="614" t="str" cm="1">
        <f t="array" ref="AX29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9" s="485" t="str">
        <f>IFERROR((Т402[[#This Row],[ПП]]-Т402[[#This Row],[ДДУ]])*1,"")</f>
        <v/>
      </c>
      <c r="AZ29" s="486" t="str" cm="1">
        <f t="array" ref="AZ29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9" s="485">
        <f>_xlfn.XLOOKUP(Т402[[#This Row],[№]],Д402[№],Д402[Стоимость квартиры с отделкой],"-",0)</f>
        <v>5081900</v>
      </c>
      <c r="BB29" s="485" t="str">
        <f>IFERROR(Т402[[#This Row],[СО ПП]]-Т402[[#This Row],[СО ДДУ]],"")</f>
        <v/>
      </c>
      <c r="BC29" s="487" t="str" cm="1">
        <f t="array" ref="BC29">IFERROR(INDEX(РД[S],MATCH($AU$3&amp;Т402[[#This Row],[№]]&amp;"Продажа",РД[Дом]&amp;РД[№ кв]&amp;РД[Состояние],0),1),Т402[[#This Row],[Статус]])</f>
        <v>Свободно</v>
      </c>
      <c r="BD29" s="483">
        <f>_xlfn.XLOOKUP(Т402[[#This Row],[№]],Д402[№],Д402[Расчетная проектная площадь],"-",0)</f>
        <v>29.69</v>
      </c>
      <c r="BE29" s="485" t="str">
        <f>IFERROR(Т402[[#This Row],[S ПП]]-Т402[[#This Row],[S ДДУ]],"")</f>
        <v/>
      </c>
      <c r="BF29" s="485">
        <f>_xlfn.XLOOKUP(Т402[[#This Row],[№]],Д402[№],Д402[Итоговая сумма скидки],"-",0)</f>
        <v>0</v>
      </c>
      <c r="BG29" s="486" t="str" cm="1">
        <f t="array" ref="BG29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9" s="488" t="str">
        <f>IFERROR(Т402[[#This Row],[ППС]]-Т402[[#This Row],[ДДУС]],"")</f>
        <v/>
      </c>
    </row>
    <row r="30" spans="1:60" x14ac:dyDescent="0.2">
      <c r="A30" s="611"/>
      <c r="B30" s="234">
        <f>VLOOKUP(ППД4!A27,Реестр_Д4[№],1,0)</f>
        <v>26</v>
      </c>
      <c r="C30" s="234" t="str">
        <f>VLOOKUP(ППД4!CO27,Реестр_Д4[Статус],1,0)</f>
        <v>Продажа</v>
      </c>
      <c r="D30" s="612">
        <f>VLOOKUP(ППД4!CE27,Реестр_Д4[Стоимость ОН без отделки со скидкой],1,0)</f>
        <v>4440533.41</v>
      </c>
      <c r="E30" s="612" cm="1">
        <f t="array" ref="E30">IFERROR(INDEX(РД[Стоимость без отделки итог],MATCH($B$3&amp;Таблица4[[#This Row],[№]]&amp;"Продажа",РД[Дом]&amp;РД[№ кв]&amp;РД[Состояние],0),1),Таблица4[[#This Row],[Статус]])</f>
        <v>4440533.41</v>
      </c>
      <c r="F30" s="235">
        <f>IFERROR((Таблица4[[#This Row],[ПП]]-Таблица4[[#This Row],[ДДУ]])*1,"")</f>
        <v>0</v>
      </c>
      <c r="G30" s="235" cm="1">
        <f t="array" ref="G30">IFERROR(INDEX(РД[Стоимость с отделкой итог],MATCH($B$3&amp;Таблица4[[#This Row],[№]]&amp;"Продажа",РД[Дом]&amp;РД[№ кв]&amp;РД[Состояние],0),1),Таблица4[[#This Row],[Статус]])</f>
        <v>5366933.41</v>
      </c>
      <c r="H30" s="235">
        <f>_xlfn.XLOOKUP(Таблица4[[#This Row],[№]],Реестр_Д4[№],Реестр_Д4[Стоимость квартиры с отделкой],"-",0)</f>
        <v>5366933.41</v>
      </c>
      <c r="I30" s="235">
        <f>IFERROR(Таблица4[[#This Row],[СО ПП]]-Таблица4[[#This Row],[СО ДДУ]],"")</f>
        <v>0</v>
      </c>
      <c r="J30" s="233" cm="1">
        <f t="array" ref="J30">IFERROR(INDEX(РД[S],MATCH($B$3&amp;Таблица4[[#This Row],[№]]&amp;"Продажа",РД[Дом]&amp;РД[№ кв]&amp;РД[Состояние],0),1),Таблица4[[#This Row],[Статус]])</f>
        <v>61.76</v>
      </c>
      <c r="K30" s="233">
        <f>VLOOKUP(Таблица4[[#This Row],[№]],Реестр_Д4[],20,0)</f>
        <v>61.76</v>
      </c>
      <c r="L30" s="235">
        <f>IFERROR(Таблица4[[#This Row],[S ПП]]-Таблица4[[#This Row],[S ДДУ]],)</f>
        <v>0</v>
      </c>
      <c r="M30" s="235">
        <f>ROUND(_xlfn.XLOOKUP(Таблица4[[#This Row],[№]],Реестр_Д4[№],Реестр_Д4[Итоговая сумма скидки],"",0),2)</f>
        <v>233712.28</v>
      </c>
      <c r="N30" s="235" cm="1">
        <f t="array" ref="N30">IFERROR(ROUND(_xlfn.XLOOKUP($B$3&amp;Таблица4[[#This Row],[№]]&amp;"Продажа",РД[Дом]&amp;РД[№ кв]&amp;РД[Состояние],РД[Сумма скидки],"",0),2),Таблица4[[#This Row],[Статус]])</f>
        <v>233712.28</v>
      </c>
      <c r="O30" s="235">
        <f>IFERROR(Таблица4[[#This Row],[ППС]]-Таблица4[[#This Row],[ДДУС]],)</f>
        <v>0</v>
      </c>
      <c r="P30" s="611"/>
      <c r="Q30" s="234">
        <f>VLOOKUP(ППД5!A27,Реестр_Д5[№],1,0)</f>
        <v>26</v>
      </c>
      <c r="R30" s="234" t="str">
        <f>VLOOKUP(ППД5!CH27,Реестр_Д5[Статус],1,0)</f>
        <v>Продажа</v>
      </c>
      <c r="S30" s="612">
        <f>VLOOKUP(ППД5!BZ27,Реестр_Д5[Стоимость ОН без отделки со скидкой],1,0)</f>
        <v>5591565</v>
      </c>
      <c r="T30" s="612" cm="1">
        <f t="array" ref="T30">IFERROR(INDEX(РД[Стоимость без отделки итог],MATCH($Q$3&amp;Таблица10[[#This Row],[№]]&amp;"Продажа",РД[Дом]&amp;РД[№ кв]&amp;РД[Состояние],0),1),Таблица10[[#This Row],[Статус]])</f>
        <v>5591565</v>
      </c>
      <c r="U30" s="235">
        <f>IFERROR((Таблица10[[#This Row],[ПП]]-Таблица10[[#This Row],[ДДУ]])*1,)</f>
        <v>0</v>
      </c>
      <c r="V30" s="235" cm="1">
        <f t="array" ref="V30">IFERROR(INDEX(РД[Стоимость с отделкой итог],MATCH($Q$3&amp;Таблица10[[#This Row],[№]]&amp;"Продажа",РД[Дом]&amp;РД[№ кв]&amp;РД[Состояние],0),1),Таблица10[[#This Row],[Статус]])</f>
        <v>5591565</v>
      </c>
      <c r="W30" s="235">
        <f>_xlfn.XLOOKUP(Таблица10[[#This Row],[№]],Реестр_Д5[№],Реестр_Д5[Стоимость квартиры с отделкой],"-",0)</f>
        <v>5591565</v>
      </c>
      <c r="X30" s="235">
        <f>IFERROR(Таблица10[[#This Row],[СО ПП]]-Таблица10[[#This Row],[СО ДДУ]],"")</f>
        <v>0</v>
      </c>
      <c r="Y30" s="233" cm="1">
        <f t="array" ref="Y30">IFERROR(INDEX(РД[S],MATCH($Q$3&amp;Таблица10[[#This Row],[№]]&amp;"Продажа",РД[Дом]&amp;РД[№ кв]&amp;РД[Состояние],0),1),Таблица10[[#This Row],[Статус]])</f>
        <v>58.16</v>
      </c>
      <c r="Z30" s="233">
        <f>IF(Таблица10[[#This Row],[№]]&amp;"ДДУ"=ППД5!A27&amp;ППД5!CR27,ППД5!U27,ППД5!V27)</f>
        <v>58.16</v>
      </c>
      <c r="AA30" s="285">
        <f>IFERROR(Таблица10[[#This Row],[S ПП]]-Таблица10[[#This Row],[S ДДУ]],)</f>
        <v>0</v>
      </c>
      <c r="AB30" s="235">
        <f>ROUND(_xlfn.XLOOKUP(Таблица10[[#This Row],[№]],Реестр_Д5[№],Реестр_Д5[Итоговая сумма скидки],"",0),2)</f>
        <v>172935</v>
      </c>
      <c r="AC30" s="235" cm="1">
        <f t="array" ref="AC30">IFERROR(ROUND(_xlfn.XLOOKUP($Q$3&amp;Таблица10[[#This Row],[№]]&amp;"Продажа",РД[Дом]&amp;РД[№ кв]&amp;РД[Состояние],РД[Сумма скидки],"",0,-1),2),Таблица10[[#This Row],[Статус]])</f>
        <v>172935</v>
      </c>
      <c r="AD30" s="285">
        <f>IFERROR(Таблица10[[#This Row],[ППС]]-Таблица10[[#This Row],[ДДУС]],)</f>
        <v>0</v>
      </c>
      <c r="AE30" s="611"/>
      <c r="AF30" s="615">
        <f>VLOOKUP(ППД401!A27,Д401[],1,0)</f>
        <v>26</v>
      </c>
      <c r="AG30" s="234" t="str">
        <f>_xlfn.XLOOKUP(Таблица1[[#This Row],[№]],Д401[№],Д401[Статус],"-",0)</f>
        <v>Продажа</v>
      </c>
      <c r="AH30" s="612">
        <f>_xlfn.XLOOKUP(Таблица1[[#This Row],[№]],Д401[№],Д401[Стоимость ОН без отделки со скидкой],"-",0)</f>
        <v>4798178</v>
      </c>
      <c r="AI30" s="612" cm="1">
        <f t="array" ref="AI30">IFERROR(INDEX(РД[Стоимость без отделки итог],MATCH($AF$3&amp;Таблица1[[#This Row],[№]]&amp;"Продажа",РД[Дом]&amp;РД[№ кв]&amp;РД[Состояние],0),1),Таблица1[[#This Row],[Статус]])</f>
        <v>4798178</v>
      </c>
      <c r="AJ30" s="235">
        <f>IFERROR((Таблица1[[#This Row],[ПП]]-Таблица1[[#This Row],[ДДУ]])*1,"")</f>
        <v>0</v>
      </c>
      <c r="AK30" s="235" cm="1">
        <f t="array" ref="AK30">IFERROR(INDEX(РД[Стоимость с отделкой итог],MATCH($AF$3&amp;Таблица1[[#This Row],[№]]&amp;"Продажа",РД[Дом]&amp;РД[№ кв]&amp;РД[Состояние],0),1),Таблица1[[#This Row],[Статус]])</f>
        <v>4798178</v>
      </c>
      <c r="AL30" s="235">
        <f>_xlfn.XLOOKUP(Таблица1[[#This Row],[№]],Д401[№],Д401[Стоимость квартиры с отделкой],"-",0)</f>
        <v>4798178</v>
      </c>
      <c r="AM30" s="235">
        <f>IFERROR(Таблица1[[#This Row],[СО ПП]]-Таблица1[[#This Row],[СО ДДУ]],"")</f>
        <v>0</v>
      </c>
      <c r="AN30" s="233" cm="1">
        <f t="array" ref="AN30">IFERROR(INDEX(РД[S],MATCH($AF$3&amp;Таблица1[[#This Row],[№]]&amp;"Продажа",РД[Дом]&amp;РД[№ кв]&amp;РД[Состояние],0),1),Таблица1[[#This Row],[Статус]])</f>
        <v>35.53</v>
      </c>
      <c r="AO30" s="233">
        <f>_xlfn.XLOOKUP(Таблица1[[#This Row],[№]],Д401[№],Д401[Расчетная проектная площадь],"-",0)</f>
        <v>35.5</v>
      </c>
      <c r="AP30" s="680">
        <f>IFERROR(Таблица1[[#This Row],[S ПП]]-Таблица1[[#This Row],[S ДДУ]],"")</f>
        <v>-3.0000000000001137E-2</v>
      </c>
      <c r="AQ30" s="235">
        <f>_xlfn.XLOOKUP(Таблица1[[#This Row],[№]],Д401[№],Д401[Итоговая сумма скидки],"-",0)</f>
        <v>97922</v>
      </c>
      <c r="AR30" s="235" cm="1">
        <f t="array" ref="AR30">IFERROR(ROUND(_xlfn.XLOOKUP($AF$3&amp;Таблица1[[#This Row],[№]]&amp;"Продажа",РД[Дом]&amp;РД[№ кв]&amp;РД[Состояние],РД[Сумма скидки],"",0),2),Таблица1[[#This Row],[Статус]])</f>
        <v>97922</v>
      </c>
      <c r="AS30" s="285">
        <f>IFERROR(Таблица1[[#This Row],[ППС]]-Таблица1[[#This Row],[ДДУС]],"")</f>
        <v>0</v>
      </c>
      <c r="AT30" s="611"/>
      <c r="AU30" s="484">
        <f>VLOOKUP(ППД402!A27,Д402[],1,0)</f>
        <v>26</v>
      </c>
      <c r="AV30" s="484" t="str">
        <f>_xlfn.XLOOKUP(Т402[[#This Row],[№]],Д402[№],Д402[Статус],"-",0)</f>
        <v>Стр. Резерв</v>
      </c>
      <c r="AW30" s="613">
        <f>_xlfn.XLOOKUP(Т402[[#This Row],[№]],Д402[№],Д402[Стоимость ОН без отделки со скидкой],"-",0)</f>
        <v>7531800</v>
      </c>
      <c r="AX30" s="614" t="str" cm="1">
        <f t="array" ref="AX3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0" s="485" t="str">
        <f>IFERROR((Т402[[#This Row],[ПП]]-Т402[[#This Row],[ДДУ]])*1,"")</f>
        <v/>
      </c>
      <c r="AZ30" s="486" t="str" cm="1">
        <f t="array" ref="AZ3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0" s="485">
        <f>_xlfn.XLOOKUP(Т402[[#This Row],[№]],Д402[№],Д402[Стоимость квартиры с отделкой],"-",0)</f>
        <v>7531800</v>
      </c>
      <c r="BB30" s="485" t="str">
        <f>IFERROR(Т402[[#This Row],[СО ПП]]-Т402[[#This Row],[СО ДДУ]],"")</f>
        <v/>
      </c>
      <c r="BC30" s="487" t="str" cm="1">
        <f t="array" ref="BC30">IFERROR(INDEX(РД[S],MATCH($AU$3&amp;Т402[[#This Row],[№]]&amp;"Продажа",РД[Дом]&amp;РД[№ кв]&amp;РД[Состояние],0),1),Т402[[#This Row],[Статус]])</f>
        <v>Стр. Резерв</v>
      </c>
      <c r="BD30" s="483">
        <f>_xlfn.XLOOKUP(Т402[[#This Row],[№]],Д402[№],Д402[Расчетная проектная площадь],"-",0)</f>
        <v>60.11</v>
      </c>
      <c r="BE30" s="485" t="str">
        <f>IFERROR(Т402[[#This Row],[S ПП]]-Т402[[#This Row],[S ДДУ]],"")</f>
        <v/>
      </c>
      <c r="BF30" s="485">
        <f>_xlfn.XLOOKUP(Т402[[#This Row],[№]],Д402[№],Д402[Итоговая сумма скидки],"-",0)</f>
        <v>0</v>
      </c>
      <c r="BG30" s="486" t="str" cm="1">
        <f t="array" ref="BG3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0" s="488" t="str">
        <f>IFERROR(Т402[[#This Row],[ППС]]-Т402[[#This Row],[ДДУС]],"")</f>
        <v/>
      </c>
    </row>
    <row r="31" spans="1:60" x14ac:dyDescent="0.2">
      <c r="A31" s="611"/>
      <c r="B31" s="234">
        <f>VLOOKUP(ППД4!A28,Реестр_Д4[№],1,0)</f>
        <v>27</v>
      </c>
      <c r="C31" s="234" t="str">
        <f>VLOOKUP(ППД4!CO28,Реестр_Д4[Статус],1,0)</f>
        <v>Продажа</v>
      </c>
      <c r="D31" s="612">
        <f>VLOOKUP(ППД4!CE28,Реестр_Д4[Стоимость ОН без отделки со скидкой],1,0)</f>
        <v>2909919.6</v>
      </c>
      <c r="E31" s="612" cm="1">
        <f t="array" ref="E31">IFERROR(INDEX(РД[Стоимость без отделки итог],MATCH($B$3&amp;Таблица4[[#This Row],[№]]&amp;"Продажа",РД[Дом]&amp;РД[№ кв]&amp;РД[Состояние],0),1),Таблица4[[#This Row],[Статус]])</f>
        <v>2909919.5999999996</v>
      </c>
      <c r="F31" s="235">
        <f>IFERROR((Таблица4[[#This Row],[ПП]]-Таблица4[[#This Row],[ДДУ]])*1,"")</f>
        <v>4.6566128730773926E-10</v>
      </c>
      <c r="G31" s="235" cm="1">
        <f t="array" ref="G31">IFERROR(INDEX(РД[Стоимость с отделкой итог],MATCH($B$3&amp;Таблица4[[#This Row],[№]]&amp;"Продажа",РД[Дом]&amp;РД[№ кв]&amp;РД[Состояние],0),1),Таблица4[[#This Row],[Статус]])</f>
        <v>3176469.6</v>
      </c>
      <c r="H31" s="235">
        <f>_xlfn.XLOOKUP(Таблица4[[#This Row],[№]],Реестр_Д4[№],Реестр_Д4[Стоимость квартиры с отделкой],"-",0)</f>
        <v>3176469.6</v>
      </c>
      <c r="I31" s="235">
        <f>IFERROR(Таблица4[[#This Row],[СО ПП]]-Таблица4[[#This Row],[СО ДДУ]],"")</f>
        <v>0</v>
      </c>
      <c r="J31" s="233" cm="1">
        <f t="array" ref="J31">IFERROR(INDEX(РД[S],MATCH($B$3&amp;Таблица4[[#This Row],[№]]&amp;"Продажа",РД[Дом]&amp;РД[№ кв]&amp;РД[Состояние],0),1),Таблица4[[#This Row],[Статус]])</f>
        <v>35.54</v>
      </c>
      <c r="K31" s="233">
        <f>VLOOKUP(Таблица4[[#This Row],[№]],Реестр_Д4[],20,0)</f>
        <v>35.54</v>
      </c>
      <c r="L31" s="235">
        <f>IFERROR(Таблица4[[#This Row],[S ПП]]-Таблица4[[#This Row],[S ДДУ]],)</f>
        <v>0</v>
      </c>
      <c r="M31" s="235">
        <f>ROUND(_xlfn.XLOOKUP(Таблица4[[#This Row],[№]],Реестр_Д4[№],Реестр_Д4[Итоговая сумма скидки],"",0),2)</f>
        <v>0</v>
      </c>
      <c r="N31" s="235" cm="1">
        <f t="array" ref="N3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" s="235">
        <f>IFERROR(Таблица4[[#This Row],[ППС]]-Таблица4[[#This Row],[ДДУС]],)</f>
        <v>0</v>
      </c>
      <c r="P31" s="611"/>
      <c r="Q31" s="234">
        <f>VLOOKUP(ППД5!A28,Реестр_Д5[№],1,0)</f>
        <v>27</v>
      </c>
      <c r="R31" s="234" t="str">
        <f>VLOOKUP(ППД5!CH28,Реестр_Д5[Статус],1,0)</f>
        <v>Продажа</v>
      </c>
      <c r="S31" s="612">
        <f>VLOOKUP(ППД5!BZ28,Реестр_Д5[Стоимость ОН без отделки со скидкой],1,0)</f>
        <v>4075679.84</v>
      </c>
      <c r="T31" s="612" cm="1">
        <f t="array" ref="T31">IFERROR(INDEX(РД[Стоимость без отделки итог],MATCH($Q$3&amp;Таблица10[[#This Row],[№]]&amp;"Продажа",РД[Дом]&amp;РД[№ кв]&amp;РД[Состояние],0),1),Таблица10[[#This Row],[Статус]])</f>
        <v>4075679.84</v>
      </c>
      <c r="U31" s="235">
        <f>IFERROR((Таблица10[[#This Row],[ПП]]-Таблица10[[#This Row],[ДДУ]])*1,)</f>
        <v>0</v>
      </c>
      <c r="V31" s="235" cm="1">
        <f t="array" ref="V31">IFERROR(INDEX(РД[Стоимость с отделкой итог],MATCH($Q$3&amp;Таблица10[[#This Row],[№]]&amp;"Продажа",РД[Дом]&amp;РД[№ кв]&amp;РД[Состояние],0),1),Таблица10[[#This Row],[Статус]])</f>
        <v>4075679.84</v>
      </c>
      <c r="W31" s="235">
        <f>_xlfn.XLOOKUP(Таблица10[[#This Row],[№]],Реестр_Д5[№],Реестр_Д5[Стоимость квартиры с отделкой],"-",0)</f>
        <v>4075679.84</v>
      </c>
      <c r="X31" s="235">
        <f>IFERROR(Таблица10[[#This Row],[СО ПП]]-Таблица10[[#This Row],[СО ДДУ]],"")</f>
        <v>0</v>
      </c>
      <c r="Y31" s="233" cm="1">
        <f t="array" ref="Y31">IFERROR(INDEX(РД[S],MATCH($Q$3&amp;Таблица10[[#This Row],[№]]&amp;"Продажа",РД[Дом]&amp;РД[№ кв]&amp;РД[Состояние],0),1),Таблица10[[#This Row],[Статус]])</f>
        <v>42.75</v>
      </c>
      <c r="Z31" s="233">
        <f>IF(Таблица10[[#This Row],[№]]&amp;"ДДУ"=ППД5!A28&amp;ППД5!CR28,ППД5!U28,ППД5!V28)</f>
        <v>42.75</v>
      </c>
      <c r="AA31" s="285">
        <f>IFERROR(Таблица10[[#This Row],[S ПП]]-Таблица10[[#This Row],[S ДДУ]],)</f>
        <v>0</v>
      </c>
      <c r="AB31" s="235">
        <f>ROUND(_xlfn.XLOOKUP(Таблица10[[#This Row],[№]],Реестр_Д5[№],Реестр_Д5[Итоговая сумма скидки],"",0),2)</f>
        <v>0</v>
      </c>
      <c r="AC31" s="235" cm="1">
        <f t="array" ref="AC3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" s="285">
        <f>IFERROR(Таблица10[[#This Row],[ППС]]-Таблица10[[#This Row],[ДДУС]],)</f>
        <v>0</v>
      </c>
      <c r="AE31" s="611"/>
      <c r="AF31" s="615">
        <f>VLOOKUP(ППД401!A28,Д401[],1,0)</f>
        <v>27</v>
      </c>
      <c r="AG31" s="234" t="str">
        <f>_xlfn.XLOOKUP(Таблица1[[#This Row],[№]],Д401[№],Д401[Статус],"-",0)</f>
        <v>Стр. Резерв</v>
      </c>
      <c r="AH31" s="612">
        <f>_xlfn.XLOOKUP(Таблица1[[#This Row],[№]],Д401[№],Д401[Стоимость ОН без отделки со скидкой],"-",0)</f>
        <v>6603352</v>
      </c>
      <c r="AI31" s="612" t="str" cm="1">
        <f t="array" ref="AI31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31" s="235" t="str">
        <f>IFERROR((Таблица1[[#This Row],[ПП]]-Таблица1[[#This Row],[ДДУ]])*1,"")</f>
        <v/>
      </c>
      <c r="AK31" s="235" t="str" cm="1">
        <f t="array" ref="AK31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31" s="235">
        <f>_xlfn.XLOOKUP(Таблица1[[#This Row],[№]],Д401[№],Д401[Стоимость квартиры с отделкой],"-",0)</f>
        <v>6603352</v>
      </c>
      <c r="AM31" s="235" t="str">
        <f>IFERROR(Таблица1[[#This Row],[СО ПП]]-Таблица1[[#This Row],[СО ДДУ]],"")</f>
        <v/>
      </c>
      <c r="AN31" s="233" t="str" cm="1">
        <f t="array" ref="AN31">IFERROR(INDEX(РД[S],MATCH($AF$3&amp;Таблица1[[#This Row],[№]]&amp;"Продажа",РД[Дом]&amp;РД[№ кв]&amp;РД[Состояние],0),1),Таблица1[[#This Row],[Статус]])</f>
        <v>Стр. Резерв</v>
      </c>
      <c r="AO31" s="233">
        <f>_xlfn.XLOOKUP(Таблица1[[#This Row],[№]],Д401[№],Д401[Расчетная проектная площадь],"-",0)</f>
        <v>51.75</v>
      </c>
      <c r="AP31" s="235" t="str">
        <f>IFERROR(Таблица1[[#This Row],[S ПП]]-Таблица1[[#This Row],[S ДДУ]],"")</f>
        <v/>
      </c>
      <c r="AQ31" s="235">
        <f>_xlfn.XLOOKUP(Таблица1[[#This Row],[№]],Д401[№],Д401[Итоговая сумма скидки],"-",0)</f>
        <v>0</v>
      </c>
      <c r="AR31" s="235" t="str" cm="1">
        <f t="array" ref="AR31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31" s="285" t="str">
        <f>IFERROR(Таблица1[[#This Row],[ППС]]-Таблица1[[#This Row],[ДДУС]],"")</f>
        <v/>
      </c>
      <c r="AT31" s="611"/>
      <c r="AU31" s="484">
        <f>VLOOKUP(ППД402!A28,Д402[],1,0)</f>
        <v>27</v>
      </c>
      <c r="AV31" s="484" t="str">
        <f>_xlfn.XLOOKUP(Т402[[#This Row],[№]],Д402[№],Д402[Статус],"-",0)</f>
        <v>Стр. Резерв</v>
      </c>
      <c r="AW31" s="613">
        <f>_xlfn.XLOOKUP(Т402[[#This Row],[№]],Д402[№],Д402[Стоимость ОН без отделки со скидкой],"-",0)</f>
        <v>6610200</v>
      </c>
      <c r="AX31" s="614" t="str" cm="1">
        <f t="array" ref="AX3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1" s="485" t="str">
        <f>IFERROR((Т402[[#This Row],[ПП]]-Т402[[#This Row],[ДДУ]])*1,"")</f>
        <v/>
      </c>
      <c r="AZ31" s="486" t="str" cm="1">
        <f t="array" ref="AZ3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1" s="485">
        <f>_xlfn.XLOOKUP(Т402[[#This Row],[№]],Д402[№],Д402[Стоимость квартиры с отделкой],"-",0)</f>
        <v>6610200</v>
      </c>
      <c r="BB31" s="485" t="str">
        <f>IFERROR(Т402[[#This Row],[СО ПП]]-Т402[[#This Row],[СО ДДУ]],"")</f>
        <v/>
      </c>
      <c r="BC31" s="487" t="str" cm="1">
        <f t="array" ref="BC31">IFERROR(INDEX(РД[S],MATCH($AU$3&amp;Т402[[#This Row],[№]]&amp;"Продажа",РД[Дом]&amp;РД[№ кв]&amp;РД[Состояние],0),1),Т402[[#This Row],[Статус]])</f>
        <v>Стр. Резерв</v>
      </c>
      <c r="BD31" s="483">
        <f>_xlfn.XLOOKUP(Т402[[#This Row],[№]],Д402[№],Д402[Расчетная проектная площадь],"-",0)</f>
        <v>54.85</v>
      </c>
      <c r="BE31" s="485" t="str">
        <f>IFERROR(Т402[[#This Row],[S ПП]]-Т402[[#This Row],[S ДДУ]],"")</f>
        <v/>
      </c>
      <c r="BF31" s="485">
        <f>_xlfn.XLOOKUP(Т402[[#This Row],[№]],Д402[№],Д402[Итоговая сумма скидки],"-",0)</f>
        <v>0</v>
      </c>
      <c r="BG31" s="486" t="str" cm="1">
        <f t="array" ref="BG3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1" s="488" t="str">
        <f>IFERROR(Т402[[#This Row],[ППС]]-Т402[[#This Row],[ДДУС]],"")</f>
        <v/>
      </c>
    </row>
    <row r="32" spans="1:60" x14ac:dyDescent="0.2">
      <c r="A32" s="611"/>
      <c r="B32" s="234">
        <f>VLOOKUP(ППД4!A29,Реестр_Д4[№],1,0)</f>
        <v>28</v>
      </c>
      <c r="C32" s="234" t="str">
        <f>VLOOKUP(ППД4!CO29,Реестр_Д4[Статус],1,0)</f>
        <v>Продажа</v>
      </c>
      <c r="D32" s="612">
        <f>VLOOKUP(ППД4!CE29,Реестр_Д4[Стоимость ОН без отделки со скидкой],1,0)</f>
        <v>4199405.3600000003</v>
      </c>
      <c r="E32" s="612" cm="1">
        <f t="array" ref="E32">IFERROR(INDEX(РД[Стоимость без отделки итог],MATCH($B$3&amp;Таблица4[[#This Row],[№]]&amp;"Продажа",РД[Дом]&amp;РД[№ кв]&amp;РД[Состояние],0),1),Таблица4[[#This Row],[Статус]])</f>
        <v>4199405.3600000003</v>
      </c>
      <c r="F32" s="235">
        <f>IFERROR((Таблица4[[#This Row],[ПП]]-Таблица4[[#This Row],[ДДУ]])*1,"")</f>
        <v>0</v>
      </c>
      <c r="G32" s="235" cm="1">
        <f t="array" ref="G32">IFERROR(INDEX(РД[Стоимость с отделкой итог],MATCH($B$3&amp;Таблица4[[#This Row],[№]]&amp;"Продажа",РД[Дом]&amp;РД[№ кв]&amp;РД[Состояние],0),1),Таблица4[[#This Row],[Статус]])</f>
        <v>4423525.3600000003</v>
      </c>
      <c r="H32" s="235">
        <f>_xlfn.XLOOKUP(Таблица4[[#This Row],[№]],Реестр_Д4[№],Реестр_Д4[Стоимость квартиры с отделкой],"-",0)</f>
        <v>4423525.3600000003</v>
      </c>
      <c r="I32" s="235">
        <f>IFERROR(Таблица4[[#This Row],[СО ПП]]-Таблица4[[#This Row],[СО ДДУ]],"")</f>
        <v>0</v>
      </c>
      <c r="J32" s="233" cm="1">
        <f t="array" ref="J32">IFERROR(INDEX(РД[S],MATCH($B$3&amp;Таблица4[[#This Row],[№]]&amp;"Продажа",РД[Дом]&amp;РД[№ кв]&amp;РД[Состояние],0),1),Таблица4[[#This Row],[Статус]])</f>
        <v>56.03</v>
      </c>
      <c r="K32" s="233">
        <f>VLOOKUP(Таблица4[[#This Row],[№]],Реестр_Д4[],20,0)</f>
        <v>56.03</v>
      </c>
      <c r="L32" s="235">
        <f>IFERROR(Таблица4[[#This Row],[S ПП]]-Таблица4[[#This Row],[S ДДУ]],)</f>
        <v>0</v>
      </c>
      <c r="M32" s="235">
        <f>ROUND(_xlfn.XLOOKUP(Таблица4[[#This Row],[№]],Реестр_Д4[№],Реестр_Д4[Итоговая сумма скидки],"",0),2)</f>
        <v>0</v>
      </c>
      <c r="N32" s="235" cm="1">
        <f t="array" ref="N3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" s="235">
        <f>IFERROR(Таблица4[[#This Row],[ППС]]-Таблица4[[#This Row],[ДДУС]],)</f>
        <v>0</v>
      </c>
      <c r="P32" s="611"/>
      <c r="Q32" s="234">
        <f>VLOOKUP(ППД5!A29,Реестр_Д5[№],1,0)</f>
        <v>28</v>
      </c>
      <c r="R32" s="234" t="str">
        <f>VLOOKUP(ППД5!CH29,Реестр_Д5[Статус],1,0)</f>
        <v>Продажа</v>
      </c>
      <c r="S32" s="612">
        <f>VLOOKUP(ППД5!BZ29,Реестр_Д5[Стоимость ОН без отделки со скидкой],1,0)</f>
        <v>4122370</v>
      </c>
      <c r="T32" s="612" cm="1">
        <f t="array" ref="T32">IFERROR(INDEX(РД[Стоимость без отделки итог],MATCH($Q$3&amp;Таблица10[[#This Row],[№]]&amp;"Продажа",РД[Дом]&amp;РД[№ кв]&amp;РД[Состояние],0),1),Таблица10[[#This Row],[Статус]])</f>
        <v>4122370</v>
      </c>
      <c r="U32" s="235">
        <f>IFERROR((Таблица10[[#This Row],[ПП]]-Таблица10[[#This Row],[ДДУ]])*1,)</f>
        <v>0</v>
      </c>
      <c r="V32" s="235" cm="1">
        <f t="array" ref="V32">IFERROR(INDEX(РД[Стоимость с отделкой итог],MATCH($Q$3&amp;Таблица10[[#This Row],[№]]&amp;"Продажа",РД[Дом]&amp;РД[№ кв]&amp;РД[Состояние],0),1),Таблица10[[#This Row],[Статус]])</f>
        <v>4122370</v>
      </c>
      <c r="W32" s="235">
        <f>_xlfn.XLOOKUP(Таблица10[[#This Row],[№]],Реестр_Д5[№],Реестр_Д5[Стоимость квартиры с отделкой],"-",0)</f>
        <v>4122370</v>
      </c>
      <c r="X32" s="235">
        <f>IFERROR(Таблица10[[#This Row],[СО ПП]]-Таблица10[[#This Row],[СО ДДУ]],"")</f>
        <v>0</v>
      </c>
      <c r="Y32" s="233" cm="1">
        <f t="array" ref="Y32">IFERROR(INDEX(РД[S],MATCH($Q$3&amp;Таблица10[[#This Row],[№]]&amp;"Продажа",РД[Дом]&amp;РД[№ кв]&amp;РД[Состояние],0),1),Таблица10[[#This Row],[Статус]])</f>
        <v>34.39</v>
      </c>
      <c r="Z32" s="233">
        <f>IF(Таблица10[[#This Row],[№]]&amp;"ДДУ"=ППД5!A29&amp;ППД5!CR29,ППД5!U29,ППД5!V29)</f>
        <v>34.39</v>
      </c>
      <c r="AA32" s="285">
        <f>IFERROR(Таблица10[[#This Row],[S ПП]]-Таблица10[[#This Row],[S ДДУ]],)</f>
        <v>0</v>
      </c>
      <c r="AB32" s="235">
        <f>ROUND(_xlfn.XLOOKUP(Таблица10[[#This Row],[№]],Реестр_Д5[№],Реестр_Д5[Итоговая сумма скидки],"",0),2)</f>
        <v>84130</v>
      </c>
      <c r="AC32" s="235" cm="1">
        <f t="array" ref="AC32">IFERROR(ROUND(_xlfn.XLOOKUP($Q$3&amp;Таблица10[[#This Row],[№]]&amp;"Продажа",РД[Дом]&amp;РД[№ кв]&amp;РД[Состояние],РД[Сумма скидки],"",0,-1),2),Таблица10[[#This Row],[Статус]])</f>
        <v>84130</v>
      </c>
      <c r="AD32" s="285">
        <f>IFERROR(Таблица10[[#This Row],[ППС]]-Таблица10[[#This Row],[ДДУС]],)</f>
        <v>0</v>
      </c>
      <c r="AE32" s="611"/>
      <c r="AF32" s="615">
        <f>VLOOKUP(ППД401!A29,Д401[],1,0)</f>
        <v>28</v>
      </c>
      <c r="AG32" s="234" t="str">
        <f>_xlfn.XLOOKUP(Таблица1[[#This Row],[№]],Д401[№],Д401[Статус],"-",0)</f>
        <v>Стр. Резерв</v>
      </c>
      <c r="AH32" s="612">
        <f>_xlfn.XLOOKUP(Таблица1[[#This Row],[№]],Д401[№],Д401[Стоимость ОН без отделки со скидкой],"-",0)</f>
        <v>10093750</v>
      </c>
      <c r="AI32" s="612" t="str" cm="1">
        <f t="array" ref="AI32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32" s="235" t="str">
        <f>IFERROR((Таблица1[[#This Row],[ПП]]-Таблица1[[#This Row],[ДДУ]])*1,"")</f>
        <v/>
      </c>
      <c r="AK32" s="235" t="str" cm="1">
        <f t="array" ref="AK32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32" s="235">
        <f>_xlfn.XLOOKUP(Таблица1[[#This Row],[№]],Д401[№],Д401[Стоимость квартиры с отделкой],"-",0)</f>
        <v>10093750</v>
      </c>
      <c r="AM32" s="235" t="str">
        <f>IFERROR(Таблица1[[#This Row],[СО ПП]]-Таблица1[[#This Row],[СО ДДУ]],"")</f>
        <v/>
      </c>
      <c r="AN32" s="233" t="str" cm="1">
        <f t="array" ref="AN32">IFERROR(INDEX(РД[S],MATCH($AF$3&amp;Таблица1[[#This Row],[№]]&amp;"Продажа",РД[Дом]&amp;РД[№ кв]&amp;РД[Состояние],0),1),Таблица1[[#This Row],[Статус]])</f>
        <v>Стр. Резерв</v>
      </c>
      <c r="AO32" s="233">
        <f>_xlfn.XLOOKUP(Таблица1[[#This Row],[№]],Д401[№],Д401[Расчетная проектная площадь],"-",0)</f>
        <v>80.75</v>
      </c>
      <c r="AP32" s="235" t="str">
        <f>IFERROR(Таблица1[[#This Row],[S ПП]]-Таблица1[[#This Row],[S ДДУ]],"")</f>
        <v/>
      </c>
      <c r="AQ32" s="235">
        <f>_xlfn.XLOOKUP(Таблица1[[#This Row],[№]],Д401[№],Д401[Итоговая сумма скидки],"-",0)</f>
        <v>0</v>
      </c>
      <c r="AR32" s="235" t="str" cm="1">
        <f t="array" ref="AR32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32" s="285" t="str">
        <f>IFERROR(Таблица1[[#This Row],[ППС]]-Таблица1[[#This Row],[ДДУС]],"")</f>
        <v/>
      </c>
      <c r="AT32" s="611"/>
      <c r="AU32" s="484">
        <f>VLOOKUP(ППД402!A29,Д402[],1,0)</f>
        <v>28</v>
      </c>
      <c r="AV32" s="484" t="str">
        <f>_xlfn.XLOOKUP(Т402[[#This Row],[№]],Д402[№],Д402[Статус],"-",0)</f>
        <v>Стр. Резерв</v>
      </c>
      <c r="AW32" s="613">
        <f>_xlfn.XLOOKUP(Т402[[#This Row],[№]],Д402[№],Д402[Стоимость ОН без отделки со скидкой],"-",0)</f>
        <v>6726200</v>
      </c>
      <c r="AX32" s="614" t="str" cm="1">
        <f t="array" ref="AX3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2" s="485" t="str">
        <f>IFERROR((Т402[[#This Row],[ПП]]-Т402[[#This Row],[ДДУ]])*1,"")</f>
        <v/>
      </c>
      <c r="AZ32" s="486" t="str" cm="1">
        <f t="array" ref="AZ3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2" s="485">
        <f>_xlfn.XLOOKUP(Т402[[#This Row],[№]],Д402[№],Д402[Стоимость квартиры с отделкой],"-",0)</f>
        <v>6726200</v>
      </c>
      <c r="BB32" s="485" t="str">
        <f>IFERROR(Т402[[#This Row],[СО ПП]]-Т402[[#This Row],[СО ДДУ]],"")</f>
        <v/>
      </c>
      <c r="BC32" s="487" t="str" cm="1">
        <f t="array" ref="BC32">IFERROR(INDEX(РД[S],MATCH($AU$3&amp;Т402[[#This Row],[№]]&amp;"Продажа",РД[Дом]&amp;РД[№ кв]&amp;РД[Состояние],0),1),Т402[[#This Row],[Статус]])</f>
        <v>Стр. Резерв</v>
      </c>
      <c r="BD32" s="483">
        <f>_xlfn.XLOOKUP(Т402[[#This Row],[№]],Д402[№],Д402[Расчетная проектная площадь],"-",0)</f>
        <v>54.78</v>
      </c>
      <c r="BE32" s="485" t="str">
        <f>IFERROR(Т402[[#This Row],[S ПП]]-Т402[[#This Row],[S ДДУ]],"")</f>
        <v/>
      </c>
      <c r="BF32" s="485">
        <f>_xlfn.XLOOKUP(Т402[[#This Row],[№]],Д402[№],Д402[Итоговая сумма скидки],"-",0)</f>
        <v>0</v>
      </c>
      <c r="BG32" s="486" t="str" cm="1">
        <f t="array" ref="BG3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2" s="488" t="str">
        <f>IFERROR(Т402[[#This Row],[ППС]]-Т402[[#This Row],[ДДУС]],"")</f>
        <v/>
      </c>
    </row>
    <row r="33" spans="1:60" x14ac:dyDescent="0.2">
      <c r="A33" s="611"/>
      <c r="B33" s="234">
        <f>VLOOKUP(ППД4!A30,Реестр_Д4[№],1,0)</f>
        <v>29</v>
      </c>
      <c r="C33" s="234" t="str">
        <f>VLOOKUP(ППД4!CO30,Реестр_Д4[Статус],1,0)</f>
        <v>Продажа</v>
      </c>
      <c r="D33" s="612">
        <f>VLOOKUP(ППД4!CE30,Реестр_Д4[Стоимость ОН без отделки со скидкой],1,0)</f>
        <v>4434000.62</v>
      </c>
      <c r="E33" s="612" cm="1">
        <f t="array" ref="E33">IFERROR(INDEX(РД[Стоимость без отделки итог],MATCH($B$3&amp;Таблица4[[#This Row],[№]]&amp;"Продажа",РД[Дом]&amp;РД[№ кв]&amp;РД[Состояние],0),1),Таблица4[[#This Row],[Статус]])</f>
        <v>4434000.62</v>
      </c>
      <c r="F33" s="235">
        <f>IFERROR((Таблица4[[#This Row],[ПП]]-Таблица4[[#This Row],[ДДУ]])*1,"")</f>
        <v>0</v>
      </c>
      <c r="G33" s="235" cm="1">
        <f t="array" ref="G33">IFERROR(INDEX(РД[Стоимость с отделкой итог],MATCH($B$3&amp;Таблица4[[#This Row],[№]]&amp;"Продажа",РД[Дом]&amp;РД[№ кв]&amp;РД[Состояние],0),1),Таблица4[[#This Row],[Статус]])</f>
        <v>5253900.62</v>
      </c>
      <c r="H33" s="235">
        <f>_xlfn.XLOOKUP(Таблица4[[#This Row],[№]],Реестр_Д4[№],Реестр_Д4[Стоимость квартиры с отделкой],"-",0)</f>
        <v>5253900.62</v>
      </c>
      <c r="I33" s="235">
        <f>IFERROR(Таблица4[[#This Row],[СО ПП]]-Таблица4[[#This Row],[СО ДДУ]],"")</f>
        <v>0</v>
      </c>
      <c r="J33" s="233" cm="1">
        <f t="array" ref="J33">IFERROR(INDEX(РД[S],MATCH($B$3&amp;Таблица4[[#This Row],[№]]&amp;"Продажа",РД[Дом]&amp;РД[№ кв]&amp;РД[Состояние],0),1),Таблица4[[#This Row],[Статус]])</f>
        <v>54.66</v>
      </c>
      <c r="K33" s="233">
        <f>VLOOKUP(Таблица4[[#This Row],[№]],Реестр_Д4[],20,0)</f>
        <v>54.66</v>
      </c>
      <c r="L33" s="235">
        <f>IFERROR(Таблица4[[#This Row],[S ПП]]-Таблица4[[#This Row],[S ДДУ]],)</f>
        <v>0</v>
      </c>
      <c r="M33" s="235">
        <f>ROUND(_xlfn.XLOOKUP(Таблица4[[#This Row],[№]],Реестр_Д4[№],Реестр_Д4[Итоговая сумма скидки],"",0),2)</f>
        <v>0</v>
      </c>
      <c r="N33" s="235" cm="1">
        <f t="array" ref="N3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3" s="235">
        <f>IFERROR(Таблица4[[#This Row],[ППС]]-Таблица4[[#This Row],[ДДУС]],)</f>
        <v>0</v>
      </c>
      <c r="P33" s="611"/>
      <c r="Q33" s="234">
        <f>VLOOKUP(ППД5!A30,Реестр_Д5[№],1,0)</f>
        <v>29</v>
      </c>
      <c r="R33" s="234" t="str">
        <f>VLOOKUP(ППД5!CH30,Реестр_Д5[Статус],1,0)</f>
        <v>Продажа</v>
      </c>
      <c r="S33" s="612">
        <f>VLOOKUP(ППД5!BZ30,Реестр_Д5[Стоимость ОН без отделки со скидкой],1,0)</f>
        <v>8042174</v>
      </c>
      <c r="T33" s="612" cm="1">
        <f t="array" ref="T33">IFERROR(INDEX(РД[Стоимость без отделки итог],MATCH($Q$3&amp;Таблица10[[#This Row],[№]]&amp;"Продажа",РД[Дом]&amp;РД[№ кв]&amp;РД[Состояние],0),1),Таблица10[[#This Row],[Статус]])</f>
        <v>8042174</v>
      </c>
      <c r="U33" s="235">
        <f>IFERROR((Таблица10[[#This Row],[ПП]]-Таблица10[[#This Row],[ДДУ]])*1,)</f>
        <v>0</v>
      </c>
      <c r="V33" s="235" cm="1">
        <f t="array" ref="V33">IFERROR(INDEX(РД[Стоимость с отделкой итог],MATCH($Q$3&amp;Таблица10[[#This Row],[№]]&amp;"Продажа",РД[Дом]&amp;РД[№ кв]&amp;РД[Состояние],0),1),Таблица10[[#This Row],[Статус]])</f>
        <v>8727174</v>
      </c>
      <c r="W33" s="235">
        <f>_xlfn.XLOOKUP(Таблица10[[#This Row],[№]],Реестр_Д5[№],Реестр_Д5[Стоимость квартиры с отделкой],"-",0)</f>
        <v>8727174</v>
      </c>
      <c r="X33" s="235">
        <f>IFERROR(Таблица10[[#This Row],[СО ПП]]-Таблица10[[#This Row],[СО ДДУ]],"")</f>
        <v>0</v>
      </c>
      <c r="Y33" s="233" cm="1">
        <f t="array" ref="Y33">IFERROR(INDEX(РД[S],MATCH($Q$3&amp;Таблица10[[#This Row],[№]]&amp;"Продажа",РД[Дом]&amp;РД[№ кв]&amp;РД[Состояние],0),1),Таблица10[[#This Row],[Статус]])</f>
        <v>68.5</v>
      </c>
      <c r="Z33" s="233">
        <f>IF(Таблица10[[#This Row],[№]]&amp;"ДДУ"=ППД5!A30&amp;ППД5!CR30,ППД5!U30,ППД5!V30)</f>
        <v>68.5</v>
      </c>
      <c r="AA33" s="285">
        <f>IFERROR(Таблица10[[#This Row],[S ПП]]-Таблица10[[#This Row],[S ДДУ]],)</f>
        <v>0</v>
      </c>
      <c r="AB33" s="235">
        <f>ROUND(_xlfn.XLOOKUP(Таблица10[[#This Row],[№]],Реестр_Д5[№],Реестр_Д5[Итоговая сумма скидки],"",0),2)</f>
        <v>164126</v>
      </c>
      <c r="AC33" s="235" cm="1">
        <f t="array" ref="AC33">IFERROR(ROUND(_xlfn.XLOOKUP($Q$3&amp;Таблица10[[#This Row],[№]]&amp;"Продажа",РД[Дом]&amp;РД[№ кв]&amp;РД[Состояние],РД[Сумма скидки],"",0,-1),2),Таблица10[[#This Row],[Статус]])</f>
        <v>164126</v>
      </c>
      <c r="AD33" s="285">
        <f>IFERROR(Таблица10[[#This Row],[ППС]]-Таблица10[[#This Row],[ДДУС]],)</f>
        <v>0</v>
      </c>
      <c r="AE33" s="611"/>
      <c r="AF33" s="615">
        <f>VLOOKUP(ППД401!A30,Д401[],1,0)</f>
        <v>29</v>
      </c>
      <c r="AG33" s="234" t="str">
        <f>_xlfn.XLOOKUP(Таблица1[[#This Row],[№]],Д401[№],Д401[Статус],"-",0)</f>
        <v>Продажа</v>
      </c>
      <c r="AH33" s="612">
        <f>_xlfn.XLOOKUP(Таблица1[[#This Row],[№]],Д401[№],Д401[Стоимость ОН без отделки со скидкой],"-",0)</f>
        <v>7823634</v>
      </c>
      <c r="AI33" s="612" cm="1">
        <f t="array" ref="AI33">IFERROR(INDEX(РД[Стоимость без отделки итог],MATCH($AF$3&amp;Таблица1[[#This Row],[№]]&amp;"Продажа",РД[Дом]&amp;РД[№ кв]&amp;РД[Состояние],0),1),Таблица1[[#This Row],[Статус]])</f>
        <v>7823634</v>
      </c>
      <c r="AJ33" s="235">
        <f>IFERROR((Таблица1[[#This Row],[ПП]]-Таблица1[[#This Row],[ДДУ]])*1,"")</f>
        <v>0</v>
      </c>
      <c r="AK33" s="235" cm="1">
        <f t="array" ref="AK33">IFERROR(INDEX(РД[Стоимость с отделкой итог],MATCH($AF$3&amp;Таблица1[[#This Row],[№]]&amp;"Продажа",РД[Дом]&amp;РД[№ кв]&amp;РД[Состояние],0),1),Таблица1[[#This Row],[Статус]])</f>
        <v>8437734</v>
      </c>
      <c r="AL33" s="235">
        <f>_xlfn.XLOOKUP(Таблица1[[#This Row],[№]],Д401[№],Д401[Стоимость квартиры с отделкой],"-",0)</f>
        <v>8441234</v>
      </c>
      <c r="AM33" s="235">
        <f>IFERROR(Таблица1[[#This Row],[СО ПП]]-Таблица1[[#This Row],[СО ДДУ]],"")</f>
        <v>3500</v>
      </c>
      <c r="AN33" s="233" cm="1">
        <f t="array" ref="AN33">IFERROR(INDEX(РД[S],MATCH($AF$3&amp;Таблица1[[#This Row],[№]]&amp;"Продажа",РД[Дом]&amp;РД[№ кв]&amp;РД[Состояние],0),1),Таблица1[[#This Row],[Статус]])</f>
        <v>61.41</v>
      </c>
      <c r="AO33" s="233">
        <f>_xlfn.XLOOKUP(Таблица1[[#This Row],[№]],Д401[№],Д401[Расчетная проектная площадь],"-",0)</f>
        <v>61.76</v>
      </c>
      <c r="AP33" s="680">
        <f>IFERROR(Таблица1[[#This Row],[S ПП]]-Таблица1[[#This Row],[S ДДУ]],"")</f>
        <v>0.35000000000000142</v>
      </c>
      <c r="AQ33" s="235">
        <f>_xlfn.XLOOKUP(Таблица1[[#This Row],[№]],Д401[№],Д401[Итоговая сумма скидки],"-",0)</f>
        <v>159666</v>
      </c>
      <c r="AR33" s="235" cm="1">
        <f t="array" ref="AR33">IFERROR(ROUND(_xlfn.XLOOKUP($AF$3&amp;Таблица1[[#This Row],[№]]&amp;"Продажа",РД[Дом]&amp;РД[№ кв]&amp;РД[Состояние],РД[Сумма скидки],"",0),2),Таблица1[[#This Row],[Статус]])</f>
        <v>159666</v>
      </c>
      <c r="AS33" s="285">
        <f>IFERROR(Таблица1[[#This Row],[ППС]]-Таблица1[[#This Row],[ДДУС]],"")</f>
        <v>0</v>
      </c>
      <c r="AT33" s="611"/>
      <c r="AU33" s="484">
        <f>VLOOKUP(ППД402!A30,Д402[],1,0)</f>
        <v>29</v>
      </c>
      <c r="AV33" s="484" t="str">
        <f>_xlfn.XLOOKUP(Т402[[#This Row],[№]],Д402[№],Д402[Статус],"-",0)</f>
        <v>Продажа</v>
      </c>
      <c r="AW33" s="613">
        <f>_xlfn.XLOOKUP(Т402[[#This Row],[№]],Д402[№],Д402[Стоимость ОН без отделки со скидкой],"-",0)</f>
        <v>4676854</v>
      </c>
      <c r="AX33" s="614" cm="1">
        <f t="array" ref="AX33">IFERROR(INDEX(РД[Стоимость без отделки итог],MATCH($AU$3&amp;Т402[[#This Row],[№]]&amp;"Продажа",РД[Дом]&amp;РД[№ кв]&amp;РД[Состояние],0),1),Т402[[#This Row],[Статус]])</f>
        <v>4676854</v>
      </c>
      <c r="AY33" s="485">
        <f>IFERROR((Т402[[#This Row],[ПП]]-Т402[[#This Row],[ДДУ]])*1,"")</f>
        <v>0</v>
      </c>
      <c r="AZ33" s="486" cm="1">
        <f t="array" ref="AZ33">IFERROR(INDEX(РД[Стоимость с отделкой итог],MATCH($AU$3&amp;Т402[[#This Row],[№]]&amp;"Продажа",РД[Дом]&amp;РД[№ кв]&amp;РД[Состояние],0),1),Т402[[#This Row],[Статус]])</f>
        <v>4676854</v>
      </c>
      <c r="BA33" s="485">
        <f>_xlfn.XLOOKUP(Т402[[#This Row],[№]],Д402[№],Д402[Стоимость квартиры с отделкой],"-",0)</f>
        <v>4676854</v>
      </c>
      <c r="BB33" s="485">
        <f>IFERROR(Т402[[#This Row],[СО ПП]]-Т402[[#This Row],[СО ДДУ]],"")</f>
        <v>0</v>
      </c>
      <c r="BC33" s="487" cm="1">
        <f t="array" ref="BC33">IFERROR(INDEX(РД[S],MATCH($AU$3&amp;Т402[[#This Row],[№]]&amp;"Продажа",РД[Дом]&amp;РД[№ кв]&amp;РД[Состояние],0),1),Т402[[#This Row],[Статус]])</f>
        <v>37.01</v>
      </c>
      <c r="BD33" s="483">
        <f>_xlfn.XLOOKUP(Т402[[#This Row],[№]],Д402[№],Д402[Расчетная проектная площадь],"-",0)</f>
        <v>37.01</v>
      </c>
      <c r="BE33" s="485">
        <f>IFERROR(Т402[[#This Row],[S ПП]]-Т402[[#This Row],[S ДДУ]],"")</f>
        <v>0</v>
      </c>
      <c r="BF33" s="485">
        <f>_xlfn.XLOOKUP(Т402[[#This Row],[№]],Д402[№],Д402[Итоговая сумма скидки],"-",0)</f>
        <v>95446</v>
      </c>
      <c r="BG33" s="486" cm="1">
        <f t="array" ref="BG33">IFERROR(ROUND(_xlfn.XLOOKUP($AU$3&amp;Т402[[#This Row],[№]]&amp;"Продажа",РД[Дом]&amp;РД[№ кв]&amp;РД[Состояние],РД[Сумма скидки],"",0),2),Т402[[#This Row],[Статус]])</f>
        <v>95446</v>
      </c>
      <c r="BH33" s="488">
        <f>IFERROR(Т402[[#This Row],[ППС]]-Т402[[#This Row],[ДДУС]],"")</f>
        <v>0</v>
      </c>
    </row>
    <row r="34" spans="1:60" x14ac:dyDescent="0.2">
      <c r="A34" s="611"/>
      <c r="B34" s="234">
        <f>VLOOKUP(ППД4!A31,Реестр_Д4[№],1,0)</f>
        <v>30</v>
      </c>
      <c r="C34" s="234" t="str">
        <f>VLOOKUP(ППД4!CO31,Реестр_Д4[Статус],1,0)</f>
        <v>Продажа</v>
      </c>
      <c r="D34" s="612">
        <f>VLOOKUP(ППД4!CE31,Реестр_Д4[Стоимость ОН без отделки со скидкой],1,0)</f>
        <v>5287369.96</v>
      </c>
      <c r="E34" s="612" cm="1">
        <f t="array" ref="E34">IFERROR(INDEX(РД[Стоимость без отделки итог],MATCH($B$3&amp;Таблица4[[#This Row],[№]]&amp;"Продажа",РД[Дом]&amp;РД[№ кв]&amp;РД[Состояние],0),1),Таблица4[[#This Row],[Статус]])</f>
        <v>5287369.96</v>
      </c>
      <c r="F34" s="235">
        <f>IFERROR((Таблица4[[#This Row],[ПП]]-Таблица4[[#This Row],[ДДУ]])*1,"")</f>
        <v>0</v>
      </c>
      <c r="G34" s="235" cm="1">
        <f t="array" ref="G34">IFERROR(INDEX(РД[Стоимость с отделкой итог],MATCH($B$3&amp;Таблица4[[#This Row],[№]]&amp;"Продажа",РД[Дом]&amp;РД[№ кв]&amp;РД[Состояние],0),1),Таблица4[[#This Row],[Статус]])</f>
        <v>6185419.96</v>
      </c>
      <c r="H34" s="235">
        <f>_xlfn.XLOOKUP(Таблица4[[#This Row],[№]],Реестр_Д4[№],Реестр_Д4[Стоимость квартиры с отделкой],"-",0)</f>
        <v>6185419.96</v>
      </c>
      <c r="I34" s="235">
        <f>IFERROR(Таблица4[[#This Row],[СО ПП]]-Таблица4[[#This Row],[СО ДДУ]],"")</f>
        <v>0</v>
      </c>
      <c r="J34" s="233" cm="1">
        <f t="array" ref="J34">IFERROR(INDEX(РД[S],MATCH($B$3&amp;Таблица4[[#This Row],[№]]&amp;"Продажа",РД[Дом]&amp;РД[№ кв]&amp;РД[Состояние],0),1),Таблица4[[#This Row],[Статус]])</f>
        <v>59.87</v>
      </c>
      <c r="K34" s="233">
        <f>VLOOKUP(Таблица4[[#This Row],[№]],Реестр_Д4[],20,0)</f>
        <v>59.87</v>
      </c>
      <c r="L34" s="235">
        <f>IFERROR(Таблица4[[#This Row],[S ПП]]-Таблица4[[#This Row],[S ДДУ]],)</f>
        <v>0</v>
      </c>
      <c r="M34" s="235">
        <f>ROUND(_xlfn.XLOOKUP(Таблица4[[#This Row],[№]],Реестр_Д4[№],Реестр_Д4[Итоговая сумма скидки],"",0),2)</f>
        <v>0</v>
      </c>
      <c r="N34" s="235" cm="1">
        <f t="array" ref="N3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" s="235">
        <f>IFERROR(Таблица4[[#This Row],[ППС]]-Таблица4[[#This Row],[ДДУС]],)</f>
        <v>0</v>
      </c>
      <c r="P34" s="611"/>
      <c r="Q34" s="234">
        <f>VLOOKUP(ППД5!A31,Реестр_Д5[№],1,0)</f>
        <v>30</v>
      </c>
      <c r="R34" s="234" t="str">
        <f>VLOOKUP(ППД5!CH31,Реестр_Д5[Статус],1,0)</f>
        <v>Свободно</v>
      </c>
      <c r="S34" s="612">
        <f>VLOOKUP(ППД5!BZ31,Реестр_Д5[Стоимость ОН без отделки со скидкой],1,0)</f>
        <v>5440200</v>
      </c>
      <c r="T34" s="612" t="str" cm="1">
        <f t="array" ref="T3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4" s="235">
        <f>IFERROR((Таблица10[[#This Row],[ПП]]-Таблица10[[#This Row],[ДДУ]])*1,)</f>
        <v>0</v>
      </c>
      <c r="V34" s="235" t="str" cm="1">
        <f t="array" ref="V3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4" s="235">
        <f>_xlfn.XLOOKUP(Таблица10[[#This Row],[№]],Реестр_Д5[№],Реестр_Д5[Стоимость квартиры с отделкой],"-",0)</f>
        <v>5815700</v>
      </c>
      <c r="X34" s="235" t="str">
        <f>IFERROR(Таблица10[[#This Row],[СО ПП]]-Таблица10[[#This Row],[СО ДДУ]],"")</f>
        <v/>
      </c>
      <c r="Y34" s="233" t="str" cm="1">
        <f t="array" ref="Y34">IFERROR(INDEX(РД[S],MATCH($Q$3&amp;Таблица10[[#This Row],[№]]&amp;"Продажа",РД[Дом]&amp;РД[№ кв]&amp;РД[Состояние],0),1),Таблица10[[#This Row],[Статус]])</f>
        <v>Свободно</v>
      </c>
      <c r="Z34" s="233">
        <f>IF(Таблица10[[#This Row],[№]]&amp;"ДДУ"=ППД5!A31&amp;ППД5!CR31,ППД5!U31,ППД5!V31)</f>
        <v>37.549999999999997</v>
      </c>
      <c r="AA34" s="285">
        <f>IFERROR(Таблица10[[#This Row],[S ПП]]-Таблица10[[#This Row],[S ДДУ]],)</f>
        <v>0</v>
      </c>
      <c r="AB34" s="235">
        <f>ROUND(_xlfn.XLOOKUP(Таблица10[[#This Row],[№]],Реестр_Д5[№],Реестр_Д5[Итоговая сумма скидки],"",0),2)</f>
        <v>0</v>
      </c>
      <c r="AC34" s="235" t="str" cm="1">
        <f t="array" ref="AC3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4" s="285">
        <f>IFERROR(Таблица10[[#This Row],[ППС]]-Таблица10[[#This Row],[ДДУС]],)</f>
        <v>0</v>
      </c>
      <c r="AE34" s="611"/>
      <c r="AF34" s="615">
        <f>VLOOKUP(ППД401!A31,Д401[],1,0)</f>
        <v>30</v>
      </c>
      <c r="AG34" s="234" t="str">
        <f>_xlfn.XLOOKUP(Таблица1[[#This Row],[№]],Д401[№],Д401[Статус],"-",0)</f>
        <v>Стр. Резерв</v>
      </c>
      <c r="AH34" s="612">
        <f>_xlfn.XLOOKUP(Таблица1[[#This Row],[№]],Д401[№],Д401[Стоимость ОН без отделки со скидкой],"-",0)</f>
        <v>4891900</v>
      </c>
      <c r="AI34" s="612" t="str" cm="1">
        <f t="array" ref="AI34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34" s="235" t="str">
        <f>IFERROR((Таблица1[[#This Row],[ПП]]-Таблица1[[#This Row],[ДДУ]])*1,"")</f>
        <v/>
      </c>
      <c r="AK34" s="235" t="str" cm="1">
        <f t="array" ref="AK34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34" s="235">
        <f>_xlfn.XLOOKUP(Таблица1[[#This Row],[№]],Д401[№],Д401[Стоимость квартиры с отделкой],"-",0)</f>
        <v>4891900</v>
      </c>
      <c r="AM34" s="235" t="str">
        <f>IFERROR(Таблица1[[#This Row],[СО ПП]]-Таблица1[[#This Row],[СО ДДУ]],"")</f>
        <v/>
      </c>
      <c r="AN34" s="233" t="str" cm="1">
        <f t="array" ref="AN34">IFERROR(INDEX(РД[S],MATCH($AF$3&amp;Таблица1[[#This Row],[№]]&amp;"Продажа",РД[Дом]&amp;РД[№ кв]&amp;РД[Состояние],0),1),Таблица1[[#This Row],[Статус]])</f>
        <v>Стр. Резерв</v>
      </c>
      <c r="AO34" s="233">
        <f>_xlfn.XLOOKUP(Таблица1[[#This Row],[№]],Д401[№],Д401[Расчетная проектная площадь],"-",0)</f>
        <v>35.5</v>
      </c>
      <c r="AP34" s="235" t="str">
        <f>IFERROR(Таблица1[[#This Row],[S ПП]]-Таблица1[[#This Row],[S ДДУ]],"")</f>
        <v/>
      </c>
      <c r="AQ34" s="235">
        <f>_xlfn.XLOOKUP(Таблица1[[#This Row],[№]],Д401[№],Д401[Итоговая сумма скидки],"-",0)</f>
        <v>0</v>
      </c>
      <c r="AR34" s="235" t="str" cm="1">
        <f t="array" ref="AR34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34" s="285" t="str">
        <f>IFERROR(Таблица1[[#This Row],[ППС]]-Таблица1[[#This Row],[ДДУС]],"")</f>
        <v/>
      </c>
      <c r="AT34" s="611"/>
      <c r="AU34" s="484">
        <f>VLOOKUP(ППД402!A31,Д402[],1,0)</f>
        <v>30</v>
      </c>
      <c r="AV34" s="484" t="str">
        <f>_xlfn.XLOOKUP(Т402[[#This Row],[№]],Д402[№],Д402[Статус],"-",0)</f>
        <v>Стр. Резерв</v>
      </c>
      <c r="AW34" s="613">
        <f>_xlfn.XLOOKUP(Т402[[#This Row],[№]],Д402[№],Д402[Стоимость ОН без отделки со скидкой],"-",0)</f>
        <v>5872100</v>
      </c>
      <c r="AX34" s="614" t="str" cm="1">
        <f t="array" ref="AX3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4" s="485" t="str">
        <f>IFERROR((Т402[[#This Row],[ПП]]-Т402[[#This Row],[ДДУ]])*1,"")</f>
        <v/>
      </c>
      <c r="AZ34" s="486" t="str" cm="1">
        <f t="array" ref="AZ3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4" s="485">
        <f>_xlfn.XLOOKUP(Т402[[#This Row],[№]],Д402[№],Д402[Стоимость квартиры с отделкой],"-",0)</f>
        <v>5872100</v>
      </c>
      <c r="BB34" s="485" t="str">
        <f>IFERROR(Т402[[#This Row],[СО ПП]]-Т402[[#This Row],[СО ДДУ]],"")</f>
        <v/>
      </c>
      <c r="BC34" s="487" t="str" cm="1">
        <f t="array" ref="BC34">IFERROR(INDEX(РД[S],MATCH($AU$3&amp;Т402[[#This Row],[№]]&amp;"Продажа",РД[Дом]&amp;РД[№ кв]&amp;РД[Состояние],0),1),Т402[[#This Row],[Статус]])</f>
        <v>Стр. Резерв</v>
      </c>
      <c r="BD34" s="483">
        <f>_xlfn.XLOOKUP(Т402[[#This Row],[№]],Д402[№],Д402[Расчетная проектная площадь],"-",0)</f>
        <v>45.26</v>
      </c>
      <c r="BE34" s="485" t="str">
        <f>IFERROR(Т402[[#This Row],[S ПП]]-Т402[[#This Row],[S ДДУ]],"")</f>
        <v/>
      </c>
      <c r="BF34" s="485">
        <f>_xlfn.XLOOKUP(Т402[[#This Row],[№]],Д402[№],Д402[Итоговая сумма скидки],"-",0)</f>
        <v>0</v>
      </c>
      <c r="BG34" s="486" t="str" cm="1">
        <f t="array" ref="BG3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4" s="488" t="str">
        <f>IFERROR(Т402[[#This Row],[ППС]]-Т402[[#This Row],[ДДУС]],"")</f>
        <v/>
      </c>
    </row>
    <row r="35" spans="1:60" x14ac:dyDescent="0.2">
      <c r="A35" s="611"/>
      <c r="B35" s="234">
        <f>VLOOKUP(ППД4!A32,Реестр_Д4[№],1,0)</f>
        <v>31</v>
      </c>
      <c r="C35" s="234" t="str">
        <f>VLOOKUP(ППД4!CO32,Реестр_Д4[Статус],1,0)</f>
        <v>Продажа</v>
      </c>
      <c r="D35" s="612">
        <f>VLOOKUP(ППД4!CE32,Реестр_Д4[Стоимость ОН без отделки со скидкой],1,0)</f>
        <v>1994370.17</v>
      </c>
      <c r="E35" s="612" cm="1">
        <f t="array" ref="E35">IFERROR(INDEX(РД[Стоимость без отделки итог],MATCH($B$3&amp;Таблица4[[#This Row],[№]]&amp;"Продажа",РД[Дом]&amp;РД[№ кв]&amp;РД[Состояние],0),1),Таблица4[[#This Row],[Статус]])</f>
        <v>1994370.17</v>
      </c>
      <c r="F35" s="235">
        <f>IFERROR((Таблица4[[#This Row],[ПП]]-Таблица4[[#This Row],[ДДУ]])*1,"")</f>
        <v>0</v>
      </c>
      <c r="G35" s="235" cm="1">
        <f t="array" ref="G35">IFERROR(INDEX(РД[Стоимость с отделкой итог],MATCH($B$3&amp;Таблица4[[#This Row],[№]]&amp;"Продажа",РД[Дом]&amp;РД[№ кв]&amp;РД[Состояние],0),1),Таблица4[[#This Row],[Статус]])</f>
        <v>2320620.17</v>
      </c>
      <c r="H35" s="235">
        <f>_xlfn.XLOOKUP(Таблица4[[#This Row],[№]],Реестр_Д4[№],Реестр_Д4[Стоимость квартиры с отделкой],"-",0)</f>
        <v>2320620.17</v>
      </c>
      <c r="I35" s="235">
        <f>IFERROR(Таблица4[[#This Row],[СО ПП]]-Таблица4[[#This Row],[СО ДДУ]],"")</f>
        <v>0</v>
      </c>
      <c r="J35" s="233" cm="1">
        <f t="array" ref="J35">IFERROR(INDEX(РД[S],MATCH($B$3&amp;Таблица4[[#This Row],[№]]&amp;"Продажа",РД[Дом]&amp;РД[№ кв]&amp;РД[Состояние],0),1),Таблица4[[#This Row],[Статус]])</f>
        <v>21.75</v>
      </c>
      <c r="K35" s="233">
        <f>VLOOKUP(Таблица4[[#This Row],[№]],Реестр_Д4[],20,0)</f>
        <v>21.75</v>
      </c>
      <c r="L35" s="235">
        <f>IFERROR(Таблица4[[#This Row],[S ПП]]-Таблица4[[#This Row],[S ДДУ]],)</f>
        <v>0</v>
      </c>
      <c r="M35" s="235">
        <f>ROUND(_xlfn.XLOOKUP(Таблица4[[#This Row],[№]],Реестр_Д4[№],Реестр_Д4[Итоговая сумма скидки],"",0),2)</f>
        <v>0</v>
      </c>
      <c r="N35" s="235" cm="1">
        <f t="array" ref="N3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" s="235">
        <f>IFERROR(Таблица4[[#This Row],[ППС]]-Таблица4[[#This Row],[ДДУС]],)</f>
        <v>0</v>
      </c>
      <c r="P35" s="611"/>
      <c r="Q35" s="234">
        <f>VLOOKUP(ППД5!A32,Реестр_Д5[№],1,0)</f>
        <v>31</v>
      </c>
      <c r="R35" s="234" t="str">
        <f>VLOOKUP(ППД5!CH32,Реестр_Д5[Статус],1,0)</f>
        <v>Продажа</v>
      </c>
      <c r="S35" s="612">
        <f>VLOOKUP(ППД5!BZ32,Реестр_Д5[Стоимость ОН без отделки со скидкой],1,0)</f>
        <v>4745391.45</v>
      </c>
      <c r="T35" s="612" cm="1">
        <f t="array" ref="T35">IFERROR(INDEX(РД[Стоимость без отделки итог],MATCH($Q$3&amp;Таблица10[[#This Row],[№]]&amp;"Продажа",РД[Дом]&amp;РД[№ кв]&amp;РД[Состояние],0),1),Таблица10[[#This Row],[Статус]])</f>
        <v>4745391.45</v>
      </c>
      <c r="U35" s="235">
        <f>IFERROR((Таблица10[[#This Row],[ПП]]-Таблица10[[#This Row],[ДДУ]])*1,)</f>
        <v>0</v>
      </c>
      <c r="V35" s="235" cm="1">
        <f t="array" ref="V35">IFERROR(INDEX(РД[Стоимость с отделкой итог],MATCH($Q$3&amp;Таблица10[[#This Row],[№]]&amp;"Продажа",РД[Дом]&amp;РД[№ кв]&amp;РД[Состояние],0),1),Таблица10[[#This Row],[Статус]])</f>
        <v>5011296.45</v>
      </c>
      <c r="W35" s="235">
        <f>_xlfn.XLOOKUP(Таблица10[[#This Row],[№]],Реестр_Д5[№],Реестр_Д5[Стоимость квартиры с отделкой],"-",0)</f>
        <v>5011296.45</v>
      </c>
      <c r="X35" s="235">
        <f>IFERROR(Таблица10[[#This Row],[СО ПП]]-Таблица10[[#This Row],[СО ДДУ]],"")</f>
        <v>0</v>
      </c>
      <c r="Y35" s="233" cm="1">
        <f t="array" ref="Y35">IFERROR(INDEX(РД[S],MATCH($Q$3&amp;Таблица10[[#This Row],[№]]&amp;"Продажа",РД[Дом]&amp;РД[№ кв]&amp;РД[Состояние],0),1),Таблица10[[#This Row],[Статус]])</f>
        <v>59.09</v>
      </c>
      <c r="Z35" s="233">
        <f>IF(Таблица10[[#This Row],[№]]&amp;"ДДУ"=ППД5!A32&amp;ППД5!CR32,ППД5!U32,ППД5!V32)</f>
        <v>59.09</v>
      </c>
      <c r="AA35" s="285">
        <f>IFERROR(Таблица10[[#This Row],[S ПП]]-Таблица10[[#This Row],[S ДДУ]],)</f>
        <v>0</v>
      </c>
      <c r="AB35" s="235">
        <f>ROUND(_xlfn.XLOOKUP(Таблица10[[#This Row],[№]],Реестр_Д5[№],Реестр_Д5[Итоговая сумма скидки],"",0),2)</f>
        <v>0</v>
      </c>
      <c r="AC35" s="235" cm="1">
        <f t="array" ref="AC3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5" s="285">
        <f>IFERROR(Таблица10[[#This Row],[ППС]]-Таблица10[[#This Row],[ДДУС]],)</f>
        <v>0</v>
      </c>
      <c r="AE35" s="611"/>
      <c r="AF35" s="615">
        <f>VLOOKUP(ППД401!A32,Д401[],1,0)</f>
        <v>31</v>
      </c>
      <c r="AG35" s="234" t="str">
        <f>_xlfn.XLOOKUP(Таблица1[[#This Row],[№]],Д401[№],Д401[Статус],"-",0)</f>
        <v>Свободно</v>
      </c>
      <c r="AH35" s="612">
        <f>_xlfn.XLOOKUP(Таблица1[[#This Row],[№]],Д401[№],Д401[Стоимость ОН без отделки со скидкой],"-",0)</f>
        <v>6468750</v>
      </c>
      <c r="AI35" s="612" t="str" cm="1">
        <f t="array" ref="AI35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35" s="235" t="str">
        <f>IFERROR((Таблица1[[#This Row],[ПП]]-Таблица1[[#This Row],[ДДУ]])*1,"")</f>
        <v/>
      </c>
      <c r="AK35" s="235" t="str" cm="1">
        <f t="array" ref="AK35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35" s="235">
        <f>_xlfn.XLOOKUP(Таблица1[[#This Row],[№]],Д401[№],Д401[Стоимость квартиры с отделкой],"-",0)</f>
        <v>6468750</v>
      </c>
      <c r="AM35" s="235" t="str">
        <f>IFERROR(Таблица1[[#This Row],[СО ПП]]-Таблица1[[#This Row],[СО ДДУ]],"")</f>
        <v/>
      </c>
      <c r="AN35" s="233" t="str" cm="1">
        <f t="array" ref="AN35">IFERROR(INDEX(РД[S],MATCH($AF$3&amp;Таблица1[[#This Row],[№]]&amp;"Продажа",РД[Дом]&amp;РД[№ кв]&amp;РД[Состояние],0),1),Таблица1[[#This Row],[Статус]])</f>
        <v>Свободно</v>
      </c>
      <c r="AO35" s="233">
        <f>_xlfn.XLOOKUP(Таблица1[[#This Row],[№]],Д401[№],Д401[Расчетная проектная площадь],"-",0)</f>
        <v>51.75</v>
      </c>
      <c r="AP35" s="235" t="str">
        <f>IFERROR(Таблица1[[#This Row],[S ПП]]-Таблица1[[#This Row],[S ДДУ]],"")</f>
        <v/>
      </c>
      <c r="AQ35" s="235">
        <f>_xlfn.XLOOKUP(Таблица1[[#This Row],[№]],Д401[№],Д401[Итоговая сумма скидки],"-",0)</f>
        <v>0</v>
      </c>
      <c r="AR35" s="235" t="str" cm="1">
        <f t="array" ref="AR35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35" s="285" t="str">
        <f>IFERROR(Таблица1[[#This Row],[ППС]]-Таблица1[[#This Row],[ДДУС]],"")</f>
        <v/>
      </c>
      <c r="AT35" s="611"/>
      <c r="AU35" s="484">
        <f>VLOOKUP(ППД402!A32,Д402[],1,0)</f>
        <v>31</v>
      </c>
      <c r="AV35" s="484" t="str">
        <f>_xlfn.XLOOKUP(Т402[[#This Row],[№]],Д402[№],Д402[Статус],"-",0)</f>
        <v>Свободно</v>
      </c>
      <c r="AW35" s="613">
        <f>_xlfn.XLOOKUP(Т402[[#This Row],[№]],Д402[№],Д402[Стоимость ОН без отделки со скидкой],"-",0)</f>
        <v>4191200</v>
      </c>
      <c r="AX35" s="614" t="str" cm="1">
        <f t="array" ref="AX35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35" s="485" t="str">
        <f>IFERROR((Т402[[#This Row],[ПП]]-Т402[[#This Row],[ДДУ]])*1,"")</f>
        <v/>
      </c>
      <c r="AZ35" s="486" t="str" cm="1">
        <f t="array" ref="AZ35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35" s="485">
        <f>_xlfn.XLOOKUP(Т402[[#This Row],[№]],Д402[№],Д402[Стоимость квартиры с отделкой],"-",0)</f>
        <v>4191200</v>
      </c>
      <c r="BB35" s="485" t="str">
        <f>IFERROR(Т402[[#This Row],[СО ПП]]-Т402[[#This Row],[СО ДДУ]],"")</f>
        <v/>
      </c>
      <c r="BC35" s="487" t="str" cm="1">
        <f t="array" ref="BC35">IFERROR(INDEX(РД[S],MATCH($AU$3&amp;Т402[[#This Row],[№]]&amp;"Продажа",РД[Дом]&amp;РД[№ кв]&amp;РД[Состояние],0),1),Т402[[#This Row],[Статус]])</f>
        <v>Свободно</v>
      </c>
      <c r="BD35" s="483">
        <f>_xlfn.XLOOKUP(Т402[[#This Row],[№]],Д402[№],Д402[Расчетная проектная площадь],"-",0)</f>
        <v>29.69</v>
      </c>
      <c r="BE35" s="485" t="str">
        <f>IFERROR(Т402[[#This Row],[S ПП]]-Т402[[#This Row],[S ДДУ]],"")</f>
        <v/>
      </c>
      <c r="BF35" s="485">
        <f>_xlfn.XLOOKUP(Т402[[#This Row],[№]],Д402[№],Д402[Итоговая сумма скидки],"-",0)</f>
        <v>0</v>
      </c>
      <c r="BG35" s="486" t="str" cm="1">
        <f t="array" ref="BG35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35" s="488" t="str">
        <f>IFERROR(Т402[[#This Row],[ППС]]-Т402[[#This Row],[ДДУС]],"")</f>
        <v/>
      </c>
    </row>
    <row r="36" spans="1:60" x14ac:dyDescent="0.2">
      <c r="A36" s="611"/>
      <c r="B36" s="234">
        <f>VLOOKUP(ППД4!A33,Реестр_Д4[№],1,0)</f>
        <v>32</v>
      </c>
      <c r="C36" s="234" t="str">
        <f>VLOOKUP(ППД4!CO33,Реестр_Д4[Статус],1,0)</f>
        <v>Продажа</v>
      </c>
      <c r="D36" s="612">
        <f>VLOOKUP(ППД4!CE33,Реестр_Д4[Стоимость ОН без отделки со скидкой],1,0)</f>
        <v>2241125.0699999998</v>
      </c>
      <c r="E36" s="612" cm="1">
        <f t="array" ref="E36">IFERROR(INDEX(РД[Стоимость без отделки итог],MATCH($B$3&amp;Таблица4[[#This Row],[№]]&amp;"Продажа",РД[Дом]&amp;РД[№ кв]&amp;РД[Состояние],0),1),Таблица4[[#This Row],[Статус]])</f>
        <v>2241125.0699999998</v>
      </c>
      <c r="F36" s="235">
        <f>IFERROR((Таблица4[[#This Row],[ПП]]-Таблица4[[#This Row],[ДДУ]])*1,"")</f>
        <v>0</v>
      </c>
      <c r="G36" s="235" cm="1">
        <f t="array" ref="G36">IFERROR(INDEX(РД[Стоимость с отделкой итог],MATCH($B$3&amp;Таблица4[[#This Row],[№]]&amp;"Продажа",РД[Дом]&amp;РД[№ кв]&amp;РД[Состояние],0),1),Таблица4[[#This Row],[Статус]])</f>
        <v>2567075.0699999998</v>
      </c>
      <c r="H36" s="235">
        <f>_xlfn.XLOOKUP(Таблица4[[#This Row],[№]],Реестр_Д4[№],Реестр_Д4[Стоимость квартиры с отделкой],"-",0)</f>
        <v>2567075.0699999998</v>
      </c>
      <c r="I36" s="235">
        <f>IFERROR(Таблица4[[#This Row],[СО ПП]]-Таблица4[[#This Row],[СО ДДУ]],"")</f>
        <v>0</v>
      </c>
      <c r="J36" s="233" cm="1">
        <f t="array" ref="J36">IFERROR(INDEX(РД[S],MATCH($B$3&amp;Таблица4[[#This Row],[№]]&amp;"Продажа",РД[Дом]&amp;РД[№ кв]&amp;РД[Состояние],0),1),Таблица4[[#This Row],[Статус]])</f>
        <v>21.73</v>
      </c>
      <c r="K36" s="233">
        <f>VLOOKUP(Таблица4[[#This Row],[№]],Реестр_Д4[],20,0)</f>
        <v>21.73</v>
      </c>
      <c r="L36" s="235">
        <f>IFERROR(Таблица4[[#This Row],[S ПП]]-Таблица4[[#This Row],[S ДДУ]],)</f>
        <v>0</v>
      </c>
      <c r="M36" s="235">
        <f>ROUND(_xlfn.XLOOKUP(Таблица4[[#This Row],[№]],Реестр_Д4[№],Реестр_Д4[Итоговая сумма скидки],"",0),2)</f>
        <v>0</v>
      </c>
      <c r="N36" s="235" cm="1">
        <f t="array" ref="N3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" s="235">
        <f>IFERROR(Таблица4[[#This Row],[ППС]]-Таблица4[[#This Row],[ДДУС]],)</f>
        <v>0</v>
      </c>
      <c r="P36" s="611"/>
      <c r="Q36" s="234">
        <f>VLOOKUP(ППД5!A33,Реестр_Д5[№],1,0)</f>
        <v>32</v>
      </c>
      <c r="R36" s="234" t="str">
        <f>VLOOKUP(ППД5!CH33,Реестр_Д5[Статус],1,0)</f>
        <v>Продажа</v>
      </c>
      <c r="S36" s="612">
        <f>VLOOKUP(ППД5!BZ33,Реестр_Д5[Стоимость ОН без отделки со скидкой],1,0)</f>
        <v>6320400</v>
      </c>
      <c r="T36" s="612" cm="1">
        <f t="array" ref="T36">IFERROR(INDEX(РД[Стоимость без отделки итог],MATCH($Q$3&amp;Таблица10[[#This Row],[№]]&amp;"Продажа",РД[Дом]&amp;РД[№ кв]&amp;РД[Состояние],0),1),Таблица10[[#This Row],[Статус]])</f>
        <v>6320400</v>
      </c>
      <c r="U36" s="235">
        <f>IFERROR((Таблица10[[#This Row],[ПП]]-Таблица10[[#This Row],[ДДУ]])*1,)</f>
        <v>0</v>
      </c>
      <c r="V36" s="235" cm="1">
        <f t="array" ref="V36">IFERROR(INDEX(РД[Стоимость с отделкой итог],MATCH($Q$3&amp;Таблица10[[#This Row],[№]]&amp;"Продажа",РД[Дом]&amp;РД[№ кв]&amp;РД[Состояние],0),1),Таблица10[[#This Row],[Статус]])</f>
        <v>6755590</v>
      </c>
      <c r="W36" s="235">
        <f>_xlfn.XLOOKUP(Таблица10[[#This Row],[№]],Реестр_Д5[№],Реестр_Д5[Стоимость квартиры с отделкой],"-",0)</f>
        <v>6755590</v>
      </c>
      <c r="X36" s="235">
        <f>IFERROR(Таблица10[[#This Row],[СО ПП]]-Таблица10[[#This Row],[СО ДДУ]],"")</f>
        <v>0</v>
      </c>
      <c r="Y36" s="233" cm="1">
        <f t="array" ref="Y36">IFERROR(INDEX(РД[S],MATCH($Q$3&amp;Таблица10[[#This Row],[№]]&amp;"Продажа",РД[Дом]&amp;РД[№ кв]&amp;РД[Состояние],0),1),Таблица10[[#This Row],[Статус]])</f>
        <v>62.17</v>
      </c>
      <c r="Z36" s="233">
        <f>IF(Таблица10[[#This Row],[№]]&amp;"ДДУ"=ППД5!A33&amp;ППД5!CR33,ППД5!U33,ППД5!V33)</f>
        <v>62.17</v>
      </c>
      <c r="AA36" s="285">
        <f>IFERROR(Таблица10[[#This Row],[S ПП]]-Таблица10[[#This Row],[S ДДУ]],)</f>
        <v>0</v>
      </c>
      <c r="AB36" s="235">
        <f>ROUND(_xlfn.XLOOKUP(Таблица10[[#This Row],[№]],Реестр_Д5[№],Реестр_Д5[Итоговая сумма скидки],"",0),2)</f>
        <v>0</v>
      </c>
      <c r="AC36" s="235" cm="1">
        <f t="array" ref="AC3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6" s="285">
        <f>IFERROR(Таблица10[[#This Row],[ППС]]-Таблица10[[#This Row],[ДДУС]],)</f>
        <v>0</v>
      </c>
      <c r="AE36" s="611"/>
      <c r="AF36" s="615">
        <f>VLOOKUP(ППД401!A33,Д401[],1,0)</f>
        <v>32</v>
      </c>
      <c r="AG36" s="234" t="str">
        <f>_xlfn.XLOOKUP(Таблица1[[#This Row],[№]],Д401[№],Д401[Статус],"-",0)</f>
        <v>Свободно</v>
      </c>
      <c r="AH36" s="612">
        <f>_xlfn.XLOOKUP(Таблица1[[#This Row],[№]],Д401[№],Д401[Стоимость ОН без отделки со скидкой],"-",0)</f>
        <v>10093750</v>
      </c>
      <c r="AI36" s="612" t="str" cm="1">
        <f t="array" ref="AI36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36" s="235" t="str">
        <f>IFERROR((Таблица1[[#This Row],[ПП]]-Таблица1[[#This Row],[ДДУ]])*1,"")</f>
        <v/>
      </c>
      <c r="AK36" s="235" t="str" cm="1">
        <f t="array" ref="AK36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36" s="235">
        <f>_xlfn.XLOOKUP(Таблица1[[#This Row],[№]],Д401[№],Д401[Стоимость квартиры с отделкой],"-",0)</f>
        <v>10093750</v>
      </c>
      <c r="AM36" s="235" t="str">
        <f>IFERROR(Таблица1[[#This Row],[СО ПП]]-Таблица1[[#This Row],[СО ДДУ]],"")</f>
        <v/>
      </c>
      <c r="AN36" s="233" t="str" cm="1">
        <f t="array" ref="AN36">IFERROR(INDEX(РД[S],MATCH($AF$3&amp;Таблица1[[#This Row],[№]]&amp;"Продажа",РД[Дом]&amp;РД[№ кв]&amp;РД[Состояние],0),1),Таблица1[[#This Row],[Статус]])</f>
        <v>Свободно</v>
      </c>
      <c r="AO36" s="233">
        <f>_xlfn.XLOOKUP(Таблица1[[#This Row],[№]],Д401[№],Д401[Расчетная проектная площадь],"-",0)</f>
        <v>80.75</v>
      </c>
      <c r="AP36" s="235" t="str">
        <f>IFERROR(Таблица1[[#This Row],[S ПП]]-Таблица1[[#This Row],[S ДДУ]],"")</f>
        <v/>
      </c>
      <c r="AQ36" s="235">
        <f>_xlfn.XLOOKUP(Таблица1[[#This Row],[№]],Д401[№],Д401[Итоговая сумма скидки],"-",0)</f>
        <v>0</v>
      </c>
      <c r="AR36" s="235" t="str" cm="1">
        <f t="array" ref="AR36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36" s="285" t="str">
        <f>IFERROR(Таблица1[[#This Row],[ППС]]-Таблица1[[#This Row],[ДДУС]],"")</f>
        <v/>
      </c>
      <c r="AT36" s="611"/>
      <c r="AU36" s="484">
        <f>VLOOKUP(ППД402!A33,Д402[],1,0)</f>
        <v>32</v>
      </c>
      <c r="AV36" s="484" t="str">
        <f>_xlfn.XLOOKUP(Т402[[#This Row],[№]],Д402[№],Д402[Статус],"-",0)</f>
        <v>Стр. Резерв</v>
      </c>
      <c r="AW36" s="613">
        <f>_xlfn.XLOOKUP(Т402[[#This Row],[№]],Д402[№],Д402[Стоимость ОН без отделки со скидкой],"-",0)</f>
        <v>7531800</v>
      </c>
      <c r="AX36" s="614" t="str" cm="1">
        <f t="array" ref="AX3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6" s="485" t="str">
        <f>IFERROR((Т402[[#This Row],[ПП]]-Т402[[#This Row],[ДДУ]])*1,"")</f>
        <v/>
      </c>
      <c r="AZ36" s="486" t="str" cm="1">
        <f t="array" ref="AZ3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6" s="485">
        <f>_xlfn.XLOOKUP(Т402[[#This Row],[№]],Д402[№],Д402[Стоимость квартиры с отделкой],"-",0)</f>
        <v>7531800</v>
      </c>
      <c r="BB36" s="485" t="str">
        <f>IFERROR(Т402[[#This Row],[СО ПП]]-Т402[[#This Row],[СО ДДУ]],"")</f>
        <v/>
      </c>
      <c r="BC36" s="487" t="str" cm="1">
        <f t="array" ref="BC36">IFERROR(INDEX(РД[S],MATCH($AU$3&amp;Т402[[#This Row],[№]]&amp;"Продажа",РД[Дом]&amp;РД[№ кв]&amp;РД[Состояние],0),1),Т402[[#This Row],[Статус]])</f>
        <v>Стр. Резерв</v>
      </c>
      <c r="BD36" s="483">
        <f>_xlfn.XLOOKUP(Т402[[#This Row],[№]],Д402[№],Д402[Расчетная проектная площадь],"-",0)</f>
        <v>60.11</v>
      </c>
      <c r="BE36" s="485" t="str">
        <f>IFERROR(Т402[[#This Row],[S ПП]]-Т402[[#This Row],[S ДДУ]],"")</f>
        <v/>
      </c>
      <c r="BF36" s="485">
        <f>_xlfn.XLOOKUP(Т402[[#This Row],[№]],Д402[№],Д402[Итоговая сумма скидки],"-",0)</f>
        <v>0</v>
      </c>
      <c r="BG36" s="486" t="str" cm="1">
        <f t="array" ref="BG3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6" s="488" t="str">
        <f>IFERROR(Т402[[#This Row],[ППС]]-Т402[[#This Row],[ДДУС]],"")</f>
        <v/>
      </c>
    </row>
    <row r="37" spans="1:60" x14ac:dyDescent="0.2">
      <c r="A37" s="611"/>
      <c r="B37" s="234">
        <f>VLOOKUP(ППД4!A34,Реестр_Д4[№],1,0)</f>
        <v>33</v>
      </c>
      <c r="C37" s="234" t="str">
        <f>VLOOKUP(ППД4!CO34,Реестр_Д4[Статус],1,0)</f>
        <v>Продажа</v>
      </c>
      <c r="D37" s="612">
        <f>VLOOKUP(ППД4!CE34,Реестр_Д4[Стоимость ОН без отделки со скидкой],1,0)</f>
        <v>3212296.05</v>
      </c>
      <c r="E37" s="612" cm="1">
        <f t="array" ref="E37">IFERROR(INDEX(РД[Стоимость без отделки итог],MATCH($B$3&amp;Таблица4[[#This Row],[№]]&amp;"Продажа",РД[Дом]&amp;РД[№ кв]&amp;РД[Состояние],0),1),Таблица4[[#This Row],[Статус]])</f>
        <v>3212296.0499999993</v>
      </c>
      <c r="F37" s="235">
        <f>IFERROR((Таблица4[[#This Row],[ПП]]-Таблица4[[#This Row],[ДДУ]])*1,"")</f>
        <v>4.6566128730773926E-10</v>
      </c>
      <c r="G37" s="235" cm="1">
        <f t="array" ref="G37">IFERROR(INDEX(РД[Стоимость с отделкой итог],MATCH($B$3&amp;Таблица4[[#This Row],[№]]&amp;"Продажа",РД[Дом]&amp;РД[№ кв]&amp;РД[Состояние],0),1),Таблица4[[#This Row],[Статус]])</f>
        <v>3715246.05</v>
      </c>
      <c r="H37" s="235">
        <f>_xlfn.XLOOKUP(Таблица4[[#This Row],[№]],Реестр_Д4[№],Реестр_Д4[Стоимость квартиры с отделкой],"-",0)</f>
        <v>3715246.05</v>
      </c>
      <c r="I37" s="235">
        <f>IFERROR(Таблица4[[#This Row],[СО ПП]]-Таблица4[[#This Row],[СО ДДУ]],"")</f>
        <v>0</v>
      </c>
      <c r="J37" s="233" cm="1">
        <f t="array" ref="J37">IFERROR(INDEX(РД[S],MATCH($B$3&amp;Таблица4[[#This Row],[№]]&amp;"Продажа",РД[Дом]&amp;РД[№ кв]&amp;РД[Состояние],0),1),Таблица4[[#This Row],[Статус]])</f>
        <v>33.53</v>
      </c>
      <c r="K37" s="233">
        <f>VLOOKUP(Таблица4[[#This Row],[№]],Реестр_Д4[],20,0)</f>
        <v>33.53</v>
      </c>
      <c r="L37" s="235">
        <f>IFERROR(Таблица4[[#This Row],[S ПП]]-Таблица4[[#This Row],[S ДДУ]],)</f>
        <v>0</v>
      </c>
      <c r="M37" s="235">
        <f>ROUND(_xlfn.XLOOKUP(Таблица4[[#This Row],[№]],Реестр_Д4[№],Реестр_Д4[Итоговая сумма скидки],"",0),2)</f>
        <v>0</v>
      </c>
      <c r="N37" s="235" cm="1">
        <f t="array" ref="N3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7" s="235">
        <f>IFERROR(Таблица4[[#This Row],[ППС]]-Таблица4[[#This Row],[ДДУС]],)</f>
        <v>0</v>
      </c>
      <c r="P37" s="611"/>
      <c r="Q37" s="234">
        <f>VLOOKUP(ППД5!A34,Реестр_Д5[№],1,0)</f>
        <v>33</v>
      </c>
      <c r="R37" s="234" t="str">
        <f>VLOOKUP(ППД5!CH34,Реестр_Д5[Статус],1,0)</f>
        <v>Продажа</v>
      </c>
      <c r="S37" s="612">
        <f>VLOOKUP(ППД5!BZ34,Реестр_Д5[Стоимость ОН без отделки со скидкой],1,0)</f>
        <v>5565800</v>
      </c>
      <c r="T37" s="612" cm="1">
        <f t="array" ref="T37">IFERROR(INDEX(РД[Стоимость без отделки итог],MATCH($Q$3&amp;Таблица10[[#This Row],[№]]&amp;"Продажа",РД[Дом]&amp;РД[№ кв]&amp;РД[Состояние],0),1),Таблица10[[#This Row],[Статус]])</f>
        <v>5565800</v>
      </c>
      <c r="U37" s="235">
        <f>IFERROR((Таблица10[[#This Row],[ПП]]-Таблица10[[#This Row],[ДДУ]])*1,)</f>
        <v>0</v>
      </c>
      <c r="V37" s="235" cm="1">
        <f t="array" ref="V37">IFERROR(INDEX(РД[Стоимость с отделкой итог],MATCH($Q$3&amp;Таблица10[[#This Row],[№]]&amp;"Продажа",РД[Дом]&amp;РД[№ кв]&amp;РД[Состояние],0),1),Таблица10[[#This Row],[Статус]])</f>
        <v>6729000</v>
      </c>
      <c r="W37" s="235">
        <f>_xlfn.XLOOKUP(Таблица10[[#This Row],[№]],Реестр_Д5[№],Реестр_Д5[Стоимость квартиры с отделкой],"-",0)</f>
        <v>6729000</v>
      </c>
      <c r="X37" s="235">
        <f>IFERROR(Таблица10[[#This Row],[СО ПП]]-Таблица10[[#This Row],[СО ДДУ]],"")</f>
        <v>0</v>
      </c>
      <c r="Y37" s="233" cm="1">
        <f t="array" ref="Y37">IFERROR(INDEX(РД[S],MATCH($Q$3&amp;Таблица10[[#This Row],[№]]&amp;"Продажа",РД[Дом]&amp;РД[№ кв]&amp;РД[Состояние],0),1),Таблица10[[#This Row],[Статус]])</f>
        <v>58.16</v>
      </c>
      <c r="Z37" s="233">
        <f>IF(Таблица10[[#This Row],[№]]&amp;"ДДУ"=ППД5!A34&amp;ППД5!CR34,ППД5!U34,ППД5!V34)</f>
        <v>58.16</v>
      </c>
      <c r="AA37" s="285">
        <f>IFERROR(Таблица10[[#This Row],[S ПП]]-Таблица10[[#This Row],[S ДДУ]],)</f>
        <v>0</v>
      </c>
      <c r="AB37" s="235">
        <f>ROUND(_xlfn.XLOOKUP(Таблица10[[#This Row],[№]],Реестр_Д5[№],Реестр_Д5[Итоговая сумма скидки],"",0),2)</f>
        <v>88000</v>
      </c>
      <c r="AC37" s="235" cm="1">
        <f t="array" ref="AC37">IFERROR(ROUND(_xlfn.XLOOKUP($Q$3&amp;Таблица10[[#This Row],[№]]&amp;"Продажа",РД[Дом]&amp;РД[№ кв]&amp;РД[Состояние],РД[Сумма скидки],"",0,-1),2),Таблица10[[#This Row],[Статус]])</f>
        <v>88000</v>
      </c>
      <c r="AD37" s="285">
        <f>IFERROR(Таблица10[[#This Row],[ППС]]-Таблица10[[#This Row],[ДДУС]],)</f>
        <v>0</v>
      </c>
      <c r="AE37" s="611"/>
      <c r="AF37" s="615">
        <f>VLOOKUP(ППД401!A34,Д401[],1,0)</f>
        <v>33</v>
      </c>
      <c r="AG37" s="234" t="str">
        <f>_xlfn.XLOOKUP(Таблица1[[#This Row],[№]],Д401[№],Д401[Статус],"-",0)</f>
        <v>Стр. Резерв</v>
      </c>
      <c r="AH37" s="612">
        <f>_xlfn.XLOOKUP(Таблица1[[#This Row],[№]],Д401[№],Д401[Стоимость ОН без отделки со скидкой],"-",0)</f>
        <v>7720000</v>
      </c>
      <c r="AI37" s="612" t="str" cm="1">
        <f t="array" ref="AI37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37" s="235" t="str">
        <f>IFERROR((Таблица1[[#This Row],[ПП]]-Таблица1[[#This Row],[ДДУ]])*1,"")</f>
        <v/>
      </c>
      <c r="AK37" s="235" t="str" cm="1">
        <f t="array" ref="AK37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37" s="235">
        <f>_xlfn.XLOOKUP(Таблица1[[#This Row],[№]],Д401[№],Д401[Стоимость квартиры с отделкой],"-",0)</f>
        <v>7720000</v>
      </c>
      <c r="AM37" s="235" t="str">
        <f>IFERROR(Таблица1[[#This Row],[СО ПП]]-Таблица1[[#This Row],[СО ДДУ]],"")</f>
        <v/>
      </c>
      <c r="AN37" s="233" t="str" cm="1">
        <f t="array" ref="AN37">IFERROR(INDEX(РД[S],MATCH($AF$3&amp;Таблица1[[#This Row],[№]]&amp;"Продажа",РД[Дом]&amp;РД[№ кв]&amp;РД[Состояние],0),1),Таблица1[[#This Row],[Статус]])</f>
        <v>Стр. Резерв</v>
      </c>
      <c r="AO37" s="233">
        <f>_xlfn.XLOOKUP(Таблица1[[#This Row],[№]],Д401[№],Д401[Расчетная проектная площадь],"-",0)</f>
        <v>61.76</v>
      </c>
      <c r="AP37" s="235" t="str">
        <f>IFERROR(Таблица1[[#This Row],[S ПП]]-Таблица1[[#This Row],[S ДДУ]],"")</f>
        <v/>
      </c>
      <c r="AQ37" s="235">
        <f>_xlfn.XLOOKUP(Таблица1[[#This Row],[№]],Д401[№],Д401[Итоговая сумма скидки],"-",0)</f>
        <v>0</v>
      </c>
      <c r="AR37" s="235" t="str" cm="1">
        <f t="array" ref="AR37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37" s="285" t="str">
        <f>IFERROR(Таблица1[[#This Row],[ППС]]-Таблица1[[#This Row],[ДДУС]],"")</f>
        <v/>
      </c>
      <c r="AT37" s="611"/>
      <c r="AU37" s="484">
        <f>VLOOKUP(ППД402!A34,Д402[],1,0)</f>
        <v>33</v>
      </c>
      <c r="AV37" s="484" t="str">
        <f>_xlfn.XLOOKUP(Т402[[#This Row],[№]],Д402[№],Д402[Статус],"-",0)</f>
        <v>Свободно</v>
      </c>
      <c r="AW37" s="613">
        <f>_xlfn.XLOOKUP(Т402[[#This Row],[№]],Д402[№],Д402[Стоимость ОН без отделки со скидкой],"-",0)</f>
        <v>6547900</v>
      </c>
      <c r="AX37" s="614" t="str" cm="1">
        <f t="array" ref="AX37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37" s="485" t="str">
        <f>IFERROR((Т402[[#This Row],[ПП]]-Т402[[#This Row],[ДДУ]])*1,"")</f>
        <v/>
      </c>
      <c r="AZ37" s="486" t="str" cm="1">
        <f t="array" ref="AZ37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37" s="485">
        <f>_xlfn.XLOOKUP(Т402[[#This Row],[№]],Д402[№],Д402[Стоимость квартиры с отделкой],"-",0)</f>
        <v>8193399.9999999981</v>
      </c>
      <c r="BB37" s="485" t="str">
        <f>IFERROR(Т402[[#This Row],[СО ПП]]-Т402[[#This Row],[СО ДДУ]],"")</f>
        <v/>
      </c>
      <c r="BC37" s="487" t="str" cm="1">
        <f t="array" ref="BC37">IFERROR(INDEX(РД[S],MATCH($AU$3&amp;Т402[[#This Row],[№]]&amp;"Продажа",РД[Дом]&amp;РД[№ кв]&amp;РД[Состояние],0),1),Т402[[#This Row],[Статус]])</f>
        <v>Свободно</v>
      </c>
      <c r="BD37" s="483">
        <f>_xlfn.XLOOKUP(Т402[[#This Row],[№]],Д402[№],Д402[Расчетная проектная площадь],"-",0)</f>
        <v>54.85</v>
      </c>
      <c r="BE37" s="485" t="str">
        <f>IFERROR(Т402[[#This Row],[S ПП]]-Т402[[#This Row],[S ДДУ]],"")</f>
        <v/>
      </c>
      <c r="BF37" s="485">
        <f>_xlfn.XLOOKUP(Т402[[#This Row],[№]],Д402[№],Д402[Итоговая сумма скидки],"-",0)</f>
        <v>0</v>
      </c>
      <c r="BG37" s="486" t="str" cm="1">
        <f t="array" ref="BG37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37" s="488" t="str">
        <f>IFERROR(Т402[[#This Row],[ППС]]-Т402[[#This Row],[ДДУС]],"")</f>
        <v/>
      </c>
    </row>
    <row r="38" spans="1:60" x14ac:dyDescent="0.2">
      <c r="A38" s="611"/>
      <c r="B38" s="234">
        <f>VLOOKUP(ППД4!A35,Реестр_Д4[№],1,0)</f>
        <v>34</v>
      </c>
      <c r="C38" s="234" t="str">
        <f>VLOOKUP(ППД4!CO35,Реестр_Д4[Статус],1,0)</f>
        <v>Продажа</v>
      </c>
      <c r="D38" s="612">
        <f>VLOOKUP(ППД4!CE35,Реестр_Д4[Стоимость ОН без отделки со скидкой],1,0)</f>
        <v>4534018.32</v>
      </c>
      <c r="E38" s="612" cm="1">
        <f t="array" ref="E38">IFERROR(INDEX(РД[Стоимость без отделки итог],MATCH($B$3&amp;Таблица4[[#This Row],[№]]&amp;"Продажа",РД[Дом]&amp;РД[№ кв]&amp;РД[Состояние],0),1),Таблица4[[#This Row],[Статус]])</f>
        <v>4534018.3199999994</v>
      </c>
      <c r="F38" s="235">
        <f>IFERROR((Таблица4[[#This Row],[ПП]]-Таблица4[[#This Row],[ДДУ]])*1,"")</f>
        <v>9.3132257461547852E-10</v>
      </c>
      <c r="G38" s="235" cm="1">
        <f t="array" ref="G38">IFERROR(INDEX(РД[Стоимость с отделкой итог],MATCH($B$3&amp;Таблица4[[#This Row],[№]]&amp;"Продажа",РД[Дом]&amp;РД[№ кв]&amp;РД[Состояние],0),1),Таблица4[[#This Row],[Статус]])</f>
        <v>5460418.3200000003</v>
      </c>
      <c r="H38" s="235">
        <f>_xlfn.XLOOKUP(Таблица4[[#This Row],[№]],Реестр_Д4[№],Реестр_Д4[Стоимость квартиры с отделкой],"-",0)</f>
        <v>5460418.3200000003</v>
      </c>
      <c r="I38" s="235">
        <f>IFERROR(Таблица4[[#This Row],[СО ПП]]-Таблица4[[#This Row],[СО ДДУ]],"")</f>
        <v>0</v>
      </c>
      <c r="J38" s="233" cm="1">
        <f t="array" ref="J38">IFERROR(INDEX(РД[S],MATCH($B$3&amp;Таблица4[[#This Row],[№]]&amp;"Продажа",РД[Дом]&amp;РД[№ кв]&amp;РД[Состояние],0),1),Таблица4[[#This Row],[Статус]])</f>
        <v>61.76</v>
      </c>
      <c r="K38" s="233">
        <f>VLOOKUP(Таблица4[[#This Row],[№]],Реестр_Д4[],20,0)</f>
        <v>61.76</v>
      </c>
      <c r="L38" s="235">
        <f>IFERROR(Таблица4[[#This Row],[S ПП]]-Таблица4[[#This Row],[S ДДУ]],)</f>
        <v>0</v>
      </c>
      <c r="M38" s="235">
        <f>ROUND(_xlfn.XLOOKUP(Таблица4[[#This Row],[№]],Реестр_Д4[№],Реестр_Д4[Итоговая сумма скидки],"",0),2)</f>
        <v>140227.37</v>
      </c>
      <c r="N38" s="235" cm="1">
        <f t="array" ref="N38">IFERROR(ROUND(_xlfn.XLOOKUP($B$3&amp;Таблица4[[#This Row],[№]]&amp;"Продажа",РД[Дом]&amp;РД[№ кв]&amp;РД[Состояние],РД[Сумма скидки],"",0),2),Таблица4[[#This Row],[Статус]])</f>
        <v>140227.37</v>
      </c>
      <c r="O38" s="235">
        <f>IFERROR(Таблица4[[#This Row],[ППС]]-Таблица4[[#This Row],[ДДУС]],)</f>
        <v>0</v>
      </c>
      <c r="P38" s="611"/>
      <c r="Q38" s="234">
        <f>VLOOKUP(ППД5!A35,Реестр_Д5[№],1,0)</f>
        <v>34</v>
      </c>
      <c r="R38" s="234" t="str">
        <f>VLOOKUP(ППД5!CH35,Реестр_Д5[Статус],1,0)</f>
        <v>Продажа</v>
      </c>
      <c r="S38" s="612">
        <f>VLOOKUP(ППД5!BZ35,Реестр_Д5[Стоимость ОН без отделки со скидкой],1,0)</f>
        <v>4629800</v>
      </c>
      <c r="T38" s="612" cm="1">
        <f t="array" ref="T38">IFERROR(INDEX(РД[Стоимость без отделки итог],MATCH($Q$3&amp;Таблица10[[#This Row],[№]]&amp;"Продажа",РД[Дом]&amp;РД[№ кв]&amp;РД[Состояние],0),1),Таблица10[[#This Row],[Статус]])</f>
        <v>4629800</v>
      </c>
      <c r="U38" s="235">
        <f>IFERROR((Таблица10[[#This Row],[ПП]]-Таблица10[[#This Row],[ДДУ]])*1,)</f>
        <v>0</v>
      </c>
      <c r="V38" s="235" cm="1">
        <f t="array" ref="V38">IFERROR(INDEX(РД[Стоимость с отделкой итог],MATCH($Q$3&amp;Таблица10[[#This Row],[№]]&amp;"Продажа",РД[Дом]&amp;РД[№ кв]&amp;РД[Состояние],0),1),Таблица10[[#This Row],[Статус]])</f>
        <v>4629800</v>
      </c>
      <c r="W38" s="235">
        <f>_xlfn.XLOOKUP(Таблица10[[#This Row],[№]],Реестр_Д5[№],Реестр_Д5[Стоимость квартиры с отделкой],"-",0)</f>
        <v>4629800</v>
      </c>
      <c r="X38" s="235">
        <f>IFERROR(Таблица10[[#This Row],[СО ПП]]-Таблица10[[#This Row],[СО ДДУ]],"")</f>
        <v>0</v>
      </c>
      <c r="Y38" s="233" cm="1">
        <f t="array" ref="Y38">IFERROR(INDEX(РД[S],MATCH($Q$3&amp;Таблица10[[#This Row],[№]]&amp;"Продажа",РД[Дом]&amp;РД[№ кв]&amp;РД[Состояние],0),1),Таблица10[[#This Row],[Статус]])</f>
        <v>42.75</v>
      </c>
      <c r="Z38" s="233">
        <f>IF(Таблица10[[#This Row],[№]]&amp;"ДДУ"=ППД5!A35&amp;ППД5!CR35,ППД5!U35,ППД5!V35)</f>
        <v>42.75</v>
      </c>
      <c r="AA38" s="285">
        <f>IFERROR(Таблица10[[#This Row],[S ПП]]-Таблица10[[#This Row],[S ДДУ]],)</f>
        <v>0</v>
      </c>
      <c r="AB38" s="235">
        <f>ROUND(_xlfn.XLOOKUP(Таблица10[[#This Row],[№]],Реестр_Д5[№],Реестр_Д5[Итоговая сумма скидки],"",0),2)</f>
        <v>0</v>
      </c>
      <c r="AC38" s="235" cm="1">
        <f t="array" ref="AC3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8" s="285">
        <f>IFERROR(Таблица10[[#This Row],[ППС]]-Таблица10[[#This Row],[ДДУС]],)</f>
        <v>0</v>
      </c>
      <c r="AE38" s="611"/>
      <c r="AF38" s="615">
        <f>VLOOKUP(ППД401!A35,Д401[],1,0)</f>
        <v>34</v>
      </c>
      <c r="AG38" s="234" t="str">
        <f>_xlfn.XLOOKUP(Таблица1[[#This Row],[№]],Д401[№],Д401[Статус],"-",0)</f>
        <v>Платная бронь</v>
      </c>
      <c r="AH38" s="612">
        <f>_xlfn.XLOOKUP(Таблица1[[#This Row],[№]],Д401[№],Д401[Стоимость ОН без отделки со скидкой],"-",0)</f>
        <v>4707626</v>
      </c>
      <c r="AI38" s="612" t="str" cm="1">
        <f t="array" ref="AI38">IFERROR(INDEX(РД[Стоимость без отделки итог],MATCH($AF$3&amp;Таблица1[[#This Row],[№]]&amp;"Продажа",РД[Дом]&amp;РД[№ кв]&amp;РД[Состояние],0),1),Таблица1[[#This Row],[Статус]])</f>
        <v>Платная бронь</v>
      </c>
      <c r="AJ38" s="235" t="str">
        <f>IFERROR((Таблица1[[#This Row],[ПП]]-Таблица1[[#This Row],[ДДУ]])*1,"")</f>
        <v/>
      </c>
      <c r="AK38" s="235" t="str" cm="1">
        <f t="array" ref="AK38">IFERROR(INDEX(РД[Стоимость с отделкой итог],MATCH($AF$3&amp;Таблица1[[#This Row],[№]]&amp;"Продажа",РД[Дом]&amp;РД[№ кв]&amp;РД[Состояние],0),1),Таблица1[[#This Row],[Статус]])</f>
        <v>Платная бронь</v>
      </c>
      <c r="AL38" s="235">
        <f>_xlfn.XLOOKUP(Таблица1[[#This Row],[№]],Д401[№],Д401[Стоимость квартиры с отделкой],"-",0)</f>
        <v>5595126</v>
      </c>
      <c r="AM38" s="235" t="str">
        <f>IFERROR(Таблица1[[#This Row],[СО ПП]]-Таблица1[[#This Row],[СО ДДУ]],"")</f>
        <v/>
      </c>
      <c r="AN38" s="233" t="str" cm="1">
        <f t="array" ref="AN38">IFERROR(INDEX(РД[S],MATCH($AF$3&amp;Таблица1[[#This Row],[№]]&amp;"Продажа",РД[Дом]&amp;РД[№ кв]&amp;РД[Состояние],0),1),Таблица1[[#This Row],[Статус]])</f>
        <v>Платная бронь</v>
      </c>
      <c r="AO38" s="233">
        <f>_xlfn.XLOOKUP(Таблица1[[#This Row],[№]],Д401[№],Д401[Расчетная проектная площадь],"-",0)</f>
        <v>35.5</v>
      </c>
      <c r="AP38" s="235" t="str">
        <f>IFERROR(Таблица1[[#This Row],[S ПП]]-Таблица1[[#This Row],[S ДДУ]],"")</f>
        <v/>
      </c>
      <c r="AQ38" s="235">
        <f>_xlfn.XLOOKUP(Таблица1[[#This Row],[№]],Д401[№],Д401[Итоговая сумма скидки],"-",0)</f>
        <v>96074</v>
      </c>
      <c r="AR38" s="235" t="str" cm="1">
        <f t="array" ref="AR38">IFERROR(ROUND(_xlfn.XLOOKUP($AF$3&amp;Таблица1[[#This Row],[№]]&amp;"Продажа",РД[Дом]&amp;РД[№ кв]&amp;РД[Состояние],РД[Сумма скидки],"",0),2),Таблица1[[#This Row],[Статус]])</f>
        <v>Платная бронь</v>
      </c>
      <c r="AS38" s="285" t="str">
        <f>IFERROR(Таблица1[[#This Row],[ППС]]-Таблица1[[#This Row],[ДДУС]],"")</f>
        <v/>
      </c>
      <c r="AT38" s="611"/>
      <c r="AU38" s="484">
        <f>VLOOKUP(ППД402!A35,Д402[],1,0)</f>
        <v>34</v>
      </c>
      <c r="AV38" s="484" t="str">
        <f>_xlfn.XLOOKUP(Т402[[#This Row],[№]],Д402[№],Д402[Статус],"-",0)</f>
        <v>Стр. Резерв</v>
      </c>
      <c r="AW38" s="613">
        <f>_xlfn.XLOOKUP(Т402[[#This Row],[№]],Д402[№],Д402[Стоимость ОН без отделки со скидкой],"-",0)</f>
        <v>6664000</v>
      </c>
      <c r="AX38" s="614" t="str" cm="1">
        <f t="array" ref="AX3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38" s="485" t="str">
        <f>IFERROR((Т402[[#This Row],[ПП]]-Т402[[#This Row],[ДДУ]])*1,"")</f>
        <v/>
      </c>
      <c r="AZ38" s="486" t="str" cm="1">
        <f t="array" ref="AZ3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38" s="485">
        <f>_xlfn.XLOOKUP(Т402[[#This Row],[№]],Д402[№],Д402[Стоимость квартиры с отделкой],"-",0)</f>
        <v>6664000</v>
      </c>
      <c r="BB38" s="485" t="str">
        <f>IFERROR(Т402[[#This Row],[СО ПП]]-Т402[[#This Row],[СО ДДУ]],"")</f>
        <v/>
      </c>
      <c r="BC38" s="487" t="str" cm="1">
        <f t="array" ref="BC38">IFERROR(INDEX(РД[S],MATCH($AU$3&amp;Т402[[#This Row],[№]]&amp;"Продажа",РД[Дом]&amp;РД[№ кв]&amp;РД[Состояние],0),1),Т402[[#This Row],[Статус]])</f>
        <v>Стр. Резерв</v>
      </c>
      <c r="BD38" s="483">
        <f>_xlfn.XLOOKUP(Т402[[#This Row],[№]],Д402[№],Д402[Расчетная проектная площадь],"-",0)</f>
        <v>54.78</v>
      </c>
      <c r="BE38" s="485" t="str">
        <f>IFERROR(Т402[[#This Row],[S ПП]]-Т402[[#This Row],[S ДДУ]],"")</f>
        <v/>
      </c>
      <c r="BF38" s="485">
        <f>_xlfn.XLOOKUP(Т402[[#This Row],[№]],Д402[№],Д402[Итоговая сумма скидки],"-",0)</f>
        <v>0</v>
      </c>
      <c r="BG38" s="486" t="str" cm="1">
        <f t="array" ref="BG3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38" s="488" t="str">
        <f>IFERROR(Т402[[#This Row],[ППС]]-Т402[[#This Row],[ДДУС]],"")</f>
        <v/>
      </c>
    </row>
    <row r="39" spans="1:60" x14ac:dyDescent="0.2">
      <c r="A39" s="611"/>
      <c r="B39" s="234">
        <f>VLOOKUP(ППД4!A36,Реестр_Д4[№],1,0)</f>
        <v>35</v>
      </c>
      <c r="C39" s="234" t="str">
        <f>VLOOKUP(ППД4!CO36,Реестр_Д4[Статус],1,0)</f>
        <v>Продажа</v>
      </c>
      <c r="D39" s="612">
        <f>VLOOKUP(ППД4!CE36,Реестр_Д4[Стоимость ОН без отделки со скидкой],1,0)</f>
        <v>2902644.95</v>
      </c>
      <c r="E39" s="612" cm="1">
        <f t="array" ref="E39">IFERROR(INDEX(РД[Стоимость без отделки итог],MATCH($B$3&amp;Таблица4[[#This Row],[№]]&amp;"Продажа",РД[Дом]&amp;РД[№ кв]&amp;РД[Состояние],0),1),Таблица4[[#This Row],[Статус]])</f>
        <v>2902644.95</v>
      </c>
      <c r="F39" s="235">
        <f>IFERROR((Таблица4[[#This Row],[ПП]]-Таблица4[[#This Row],[ДДУ]])*1,"")</f>
        <v>0</v>
      </c>
      <c r="G39" s="235" cm="1">
        <f t="array" ref="G39">IFERROR(INDEX(РД[Стоимость с отделкой итог],MATCH($B$3&amp;Таблица4[[#This Row],[№]]&amp;"Продажа",РД[Дом]&amp;РД[№ кв]&amp;РД[Состояние],0),1),Таблица4[[#This Row],[Статус]])</f>
        <v>3044804.95</v>
      </c>
      <c r="H39" s="235">
        <f>_xlfn.XLOOKUP(Таблица4[[#This Row],[№]],Реестр_Д4[№],Реестр_Д4[Стоимость квартиры с отделкой],"-",0)</f>
        <v>3044804.95</v>
      </c>
      <c r="I39" s="235">
        <f>IFERROR(Таблица4[[#This Row],[СО ПП]]-Таблица4[[#This Row],[СО ДДУ]],"")</f>
        <v>0</v>
      </c>
      <c r="J39" s="233" cm="1">
        <f t="array" ref="J39">IFERROR(INDEX(РД[S],MATCH($B$3&amp;Таблица4[[#This Row],[№]]&amp;"Продажа",РД[Дом]&amp;РД[№ кв]&amp;РД[Состояние],0),1),Таблица4[[#This Row],[Статус]])</f>
        <v>35.54</v>
      </c>
      <c r="K39" s="233">
        <f>VLOOKUP(Таблица4[[#This Row],[№]],Реестр_Д4[],20,0)</f>
        <v>35.54</v>
      </c>
      <c r="L39" s="235">
        <f>IFERROR(Таблица4[[#This Row],[S ПП]]-Таблица4[[#This Row],[S ДДУ]],)</f>
        <v>0</v>
      </c>
      <c r="M39" s="235">
        <f>ROUND(_xlfn.XLOOKUP(Таблица4[[#This Row],[№]],Реестр_Д4[№],Реестр_Д4[Итоговая сумма скидки],"",0),2)</f>
        <v>152770.79</v>
      </c>
      <c r="N39" s="235" cm="1">
        <f t="array" ref="N39">IFERROR(ROUND(_xlfn.XLOOKUP($B$3&amp;Таблица4[[#This Row],[№]]&amp;"Продажа",РД[Дом]&amp;РД[№ кв]&amp;РД[Состояние],РД[Сумма скидки],"",0),2),Таблица4[[#This Row],[Статус]])</f>
        <v>152770.79</v>
      </c>
      <c r="O39" s="235">
        <f>IFERROR(Таблица4[[#This Row],[ППС]]-Таблица4[[#This Row],[ДДУС]],)</f>
        <v>0</v>
      </c>
      <c r="P39" s="611"/>
      <c r="Q39" s="234">
        <f>VLOOKUP(ППД5!A36,Реестр_Д5[№],1,0)</f>
        <v>35</v>
      </c>
      <c r="R39" s="234" t="str">
        <f>VLOOKUP(ППД5!CH36,Реестр_Д5[Статус],1,0)</f>
        <v>Продажа</v>
      </c>
      <c r="S39" s="612">
        <f>VLOOKUP(ППД5!BZ36,Реестр_Д5[Стоимость ОН без отделки со скидкой],1,0)</f>
        <v>4990160</v>
      </c>
      <c r="T39" s="612" cm="1">
        <f t="array" ref="T39">IFERROR(INDEX(РД[Стоимость без отделки итог],MATCH($Q$3&amp;Таблица10[[#This Row],[№]]&amp;"Продажа",РД[Дом]&amp;РД[№ кв]&amp;РД[Состояние],0),1),Таблица10[[#This Row],[Статус]])</f>
        <v>4990160</v>
      </c>
      <c r="U39" s="235">
        <f>IFERROR((Таблица10[[#This Row],[ПП]]-Таблица10[[#This Row],[ДДУ]])*1,)</f>
        <v>0</v>
      </c>
      <c r="V39" s="235" cm="1">
        <f t="array" ref="V39">IFERROR(INDEX(РД[Стоимость с отделкой итог],MATCH($Q$3&amp;Таблица10[[#This Row],[№]]&amp;"Продажа",РД[Дом]&amp;РД[№ кв]&amp;РД[Состояние],0),1),Таблица10[[#This Row],[Статус]])</f>
        <v>5849910</v>
      </c>
      <c r="W39" s="235">
        <f>_xlfn.XLOOKUP(Таблица10[[#This Row],[№]],Реестр_Д5[№],Реестр_Д5[Стоимость квартиры с отделкой],"-",0)</f>
        <v>5849910</v>
      </c>
      <c r="X39" s="235">
        <f>IFERROR(Таблица10[[#This Row],[СО ПП]]-Таблица10[[#This Row],[СО ДДУ]],"")</f>
        <v>0</v>
      </c>
      <c r="Y39" s="233" cm="1">
        <f t="array" ref="Y39">IFERROR(INDEX(РД[S],MATCH($Q$3&amp;Таблица10[[#This Row],[№]]&amp;"Продажа",РД[Дом]&amp;РД[№ кв]&amp;РД[Состояние],0),1),Таблица10[[#This Row],[Статус]])</f>
        <v>34.39</v>
      </c>
      <c r="Z39" s="233">
        <f>IF(Таблица10[[#This Row],[№]]&amp;"ДДУ"=ППД5!A36&amp;ППД5!CR36,ППД5!U36,ППД5!V36)</f>
        <v>34.39</v>
      </c>
      <c r="AA39" s="285">
        <f>IFERROR(Таблица10[[#This Row],[S ПП]]-Таблица10[[#This Row],[S ДДУ]],)</f>
        <v>0</v>
      </c>
      <c r="AB39" s="235">
        <f>ROUND(_xlfn.XLOOKUP(Таблица10[[#This Row],[№]],Реестр_Д5[№],Реестр_Д5[Итоговая сумма скидки],"",0),2)</f>
        <v>101840</v>
      </c>
      <c r="AC39" s="235" cm="1">
        <f t="array" ref="AC39">IFERROR(ROUND(_xlfn.XLOOKUP($Q$3&amp;Таблица10[[#This Row],[№]]&amp;"Продажа",РД[Дом]&amp;РД[№ кв]&amp;РД[Состояние],РД[Сумма скидки],"",0,-1),2),Таблица10[[#This Row],[Статус]])</f>
        <v>101840</v>
      </c>
      <c r="AD39" s="285">
        <f>IFERROR(Таблица10[[#This Row],[ППС]]-Таблица10[[#This Row],[ДДУС]],)</f>
        <v>0</v>
      </c>
      <c r="AE39" s="611"/>
      <c r="AF39" s="615">
        <f>VLOOKUP(ППД401!A36,Д401[],1,0)</f>
        <v>35</v>
      </c>
      <c r="AG39" s="234" t="str">
        <f>_xlfn.XLOOKUP(Таблица1[[#This Row],[№]],Д401[№],Д401[Статус],"-",0)</f>
        <v>Свободно</v>
      </c>
      <c r="AH39" s="612">
        <f>_xlfn.XLOOKUP(Таблица1[[#This Row],[№]],Д401[№],Д401[Стоимость ОН без отделки со скидкой],"-",0)</f>
        <v>6603352</v>
      </c>
      <c r="AI39" s="612" t="str" cm="1">
        <f t="array" ref="AI39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39" s="235" t="str">
        <f>IFERROR((Таблица1[[#This Row],[ПП]]-Таблица1[[#This Row],[ДДУ]])*1,"")</f>
        <v/>
      </c>
      <c r="AK39" s="235" t="str" cm="1">
        <f t="array" ref="AK39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39" s="235">
        <f>_xlfn.XLOOKUP(Таблица1[[#This Row],[№]],Д401[№],Д401[Стоимость квартиры с отделкой],"-",0)</f>
        <v>6603352</v>
      </c>
      <c r="AM39" s="235" t="str">
        <f>IFERROR(Таблица1[[#This Row],[СО ПП]]-Таблица1[[#This Row],[СО ДДУ]],"")</f>
        <v/>
      </c>
      <c r="AN39" s="233" t="str" cm="1">
        <f t="array" ref="AN39">IFERROR(INDEX(РД[S],MATCH($AF$3&amp;Таблица1[[#This Row],[№]]&amp;"Продажа",РД[Дом]&amp;РД[№ кв]&amp;РД[Состояние],0),1),Таблица1[[#This Row],[Статус]])</f>
        <v>Свободно</v>
      </c>
      <c r="AO39" s="233">
        <f>_xlfn.XLOOKUP(Таблица1[[#This Row],[№]],Д401[№],Д401[Расчетная проектная площадь],"-",0)</f>
        <v>51.75</v>
      </c>
      <c r="AP39" s="235" t="str">
        <f>IFERROR(Таблица1[[#This Row],[S ПП]]-Таблица1[[#This Row],[S ДДУ]],"")</f>
        <v/>
      </c>
      <c r="AQ39" s="235">
        <f>_xlfn.XLOOKUP(Таблица1[[#This Row],[№]],Д401[№],Д401[Итоговая сумма скидки],"-",0)</f>
        <v>0</v>
      </c>
      <c r="AR39" s="235" t="str" cm="1">
        <f t="array" ref="AR39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39" s="285" t="str">
        <f>IFERROR(Таблица1[[#This Row],[ППС]]-Таблица1[[#This Row],[ДДУС]],"")</f>
        <v/>
      </c>
      <c r="AT39" s="611"/>
      <c r="AU39" s="484">
        <f>VLOOKUP(ППД402!A36,Д402[],1,0)</f>
        <v>35</v>
      </c>
      <c r="AV39" s="484" t="str">
        <f>_xlfn.XLOOKUP(Т402[[#This Row],[№]],Д402[№],Д402[Статус],"-",0)</f>
        <v>Продажа</v>
      </c>
      <c r="AW39" s="613">
        <f>_xlfn.XLOOKUP(Т402[[#This Row],[№]],Д402[№],Д402[Стоимость ОН без отделки со скидкой],"-",0)</f>
        <v>4588556</v>
      </c>
      <c r="AX39" s="614" cm="1">
        <f t="array" ref="AX39">IFERROR(INDEX(РД[Стоимость без отделки итог],MATCH($AU$3&amp;Т402[[#This Row],[№]]&amp;"Продажа",РД[Дом]&amp;РД[№ кв]&amp;РД[Состояние],0),1),Т402[[#This Row],[Статус]])</f>
        <v>4588556</v>
      </c>
      <c r="AY39" s="485">
        <f>IFERROR((Т402[[#This Row],[ПП]]-Т402[[#This Row],[ДДУ]])*1,"")</f>
        <v>0</v>
      </c>
      <c r="AZ39" s="486" cm="1">
        <f t="array" ref="AZ39">IFERROR(INDEX(РД[Стоимость с отделкой итог],MATCH($AU$3&amp;Т402[[#This Row],[№]]&amp;"Продажа",РД[Дом]&amp;РД[№ кв]&amp;РД[Состояние],0),1),Т402[[#This Row],[Статус]])</f>
        <v>4588556</v>
      </c>
      <c r="BA39" s="485">
        <f>_xlfn.XLOOKUP(Т402[[#This Row],[№]],Д402[№],Д402[Стоимость квартиры с отделкой],"-",0)</f>
        <v>4588556</v>
      </c>
      <c r="BB39" s="485">
        <f>IFERROR(Т402[[#This Row],[СО ПП]]-Т402[[#This Row],[СО ДДУ]],"")</f>
        <v>0</v>
      </c>
      <c r="BC39" s="487" cm="1">
        <f t="array" ref="BC39">IFERROR(INDEX(РД[S],MATCH($AU$3&amp;Т402[[#This Row],[№]]&amp;"Продажа",РД[Дом]&amp;РД[№ кв]&amp;РД[Состояние],0),1),Т402[[#This Row],[Статус]])</f>
        <v>37.01</v>
      </c>
      <c r="BD39" s="483">
        <f>_xlfn.XLOOKUP(Т402[[#This Row],[№]],Д402[№],Д402[Расчетная проектная площадь],"-",0)</f>
        <v>37.01</v>
      </c>
      <c r="BE39" s="485">
        <f>IFERROR(Т402[[#This Row],[S ПП]]-Т402[[#This Row],[S ДДУ]],"")</f>
        <v>0</v>
      </c>
      <c r="BF39" s="485">
        <f>_xlfn.XLOOKUP(Т402[[#This Row],[№]],Д402[№],Д402[Итоговая сумма скидки],"-",0)</f>
        <v>93644</v>
      </c>
      <c r="BG39" s="486" cm="1">
        <f t="array" ref="BG39">IFERROR(ROUND(_xlfn.XLOOKUP($AU$3&amp;Т402[[#This Row],[№]]&amp;"Продажа",РД[Дом]&amp;РД[№ кв]&amp;РД[Состояние],РД[Сумма скидки],"",0),2),Т402[[#This Row],[Статус]])</f>
        <v>93644</v>
      </c>
      <c r="BH39" s="488">
        <f>IFERROR(Т402[[#This Row],[ППС]]-Т402[[#This Row],[ДДУС]],"")</f>
        <v>0</v>
      </c>
    </row>
    <row r="40" spans="1:60" x14ac:dyDescent="0.2">
      <c r="A40" s="611"/>
      <c r="B40" s="234">
        <f>VLOOKUP(ППД4!A37,Реестр_Д4[№],1,0)</f>
        <v>36</v>
      </c>
      <c r="C40" s="234" t="str">
        <f>VLOOKUP(ППД4!CO37,Реестр_Д4[Статус],1,0)</f>
        <v>Продажа</v>
      </c>
      <c r="D40" s="612">
        <f>VLOOKUP(ППД4!CE37,Реестр_Д4[Стоимость ОН без отделки со скидкой],1,0)</f>
        <v>3989435.09</v>
      </c>
      <c r="E40" s="612" cm="1">
        <f t="array" ref="E40">IFERROR(INDEX(РД[Стоимость без отделки итог],MATCH($B$3&amp;Таблица4[[#This Row],[№]]&amp;"Продажа",РД[Дом]&amp;РД[№ кв]&amp;РД[Состояние],0),1),Таблица4[[#This Row],[Статус]])</f>
        <v>3989435.0900000017</v>
      </c>
      <c r="F40" s="235">
        <f>IFERROR((Таблица4[[#This Row],[ПП]]-Таблица4[[#This Row],[ДДУ]])*1,"")</f>
        <v>-1.862645149230957E-9</v>
      </c>
      <c r="G40" s="235" cm="1">
        <f t="array" ref="G40">IFERROR(INDEX(РД[Стоимость с отделкой итог],MATCH($B$3&amp;Таблица4[[#This Row],[№]]&amp;"Продажа",РД[Дом]&amp;РД[№ кв]&amp;РД[Состояние],0),1),Таблица4[[#This Row],[Статус]])</f>
        <v>4213555.09</v>
      </c>
      <c r="H40" s="235">
        <f>_xlfn.XLOOKUP(Таблица4[[#This Row],[№]],Реестр_Д4[№],Реестр_Д4[Стоимость квартиры с отделкой],"-",0)</f>
        <v>4213555.09</v>
      </c>
      <c r="I40" s="235">
        <f>IFERROR(Таблица4[[#This Row],[СО ПП]]-Таблица4[[#This Row],[СО ДДУ]],"")</f>
        <v>0</v>
      </c>
      <c r="J40" s="233" cm="1">
        <f t="array" ref="J40">IFERROR(INDEX(РД[S],MATCH($B$3&amp;Таблица4[[#This Row],[№]]&amp;"Продажа",РД[Дом]&amp;РД[№ кв]&amp;РД[Состояние],0),1),Таблица4[[#This Row],[Статус]])</f>
        <v>56.03</v>
      </c>
      <c r="K40" s="233">
        <f>VLOOKUP(Таблица4[[#This Row],[№]],Реестр_Д4[],20,0)</f>
        <v>56.03</v>
      </c>
      <c r="L40" s="235">
        <f>IFERROR(Таблица4[[#This Row],[S ПП]]-Таблица4[[#This Row],[S ДДУ]],)</f>
        <v>0</v>
      </c>
      <c r="M40" s="235">
        <f>ROUND(_xlfn.XLOOKUP(Таблица4[[#This Row],[№]],Реестр_Д4[№],Реестр_Д4[Итоговая сумма скидки],"",0),2)</f>
        <v>209970.27</v>
      </c>
      <c r="N40" s="235" cm="1">
        <f t="array" ref="N40">IFERROR(ROUND(_xlfn.XLOOKUP($B$3&amp;Таблица4[[#This Row],[№]]&amp;"Продажа",РД[Дом]&amp;РД[№ кв]&amp;РД[Состояние],РД[Сумма скидки],"",0),2),Таблица4[[#This Row],[Статус]])</f>
        <v>209970.27</v>
      </c>
      <c r="O40" s="235">
        <f>IFERROR(Таблица4[[#This Row],[ППС]]-Таблица4[[#This Row],[ДДУС]],)</f>
        <v>0</v>
      </c>
      <c r="P40" s="611"/>
      <c r="Q40" s="234">
        <f>VLOOKUP(ППД5!A37,Реестр_Д5[№],1,0)</f>
        <v>36</v>
      </c>
      <c r="R40" s="234" t="str">
        <f>VLOOKUP(ППД5!CH37,Реестр_Д5[Статус],1,0)</f>
        <v>Продажа</v>
      </c>
      <c r="S40" s="612">
        <f>VLOOKUP(ППД5!BZ37,Реестр_Д5[Стоимость ОН без отделки со скидкой],1,0)</f>
        <v>6851200</v>
      </c>
      <c r="T40" s="612" cm="1">
        <f t="array" ref="T40">IFERROR(INDEX(РД[Стоимость без отделки итог],MATCH($Q$3&amp;Таблица10[[#This Row],[№]]&amp;"Продажа",РД[Дом]&amp;РД[№ кв]&amp;РД[Состояние],0),1),Таблица10[[#This Row],[Статус]])</f>
        <v>6851200</v>
      </c>
      <c r="U40" s="235">
        <f>IFERROR((Таблица10[[#This Row],[ПП]]-Таблица10[[#This Row],[ДДУ]])*1,)</f>
        <v>0</v>
      </c>
      <c r="V40" s="235" cm="1">
        <f t="array" ref="V40">IFERROR(INDEX(РД[Стоимость с отделкой итог],MATCH($Q$3&amp;Таблица10[[#This Row],[№]]&amp;"Продажа",РД[Дом]&amp;РД[№ кв]&amp;РД[Состояние],0),1),Таблица10[[#This Row],[Статус]])</f>
        <v>7330700</v>
      </c>
      <c r="W40" s="235">
        <f>_xlfn.XLOOKUP(Таблица10[[#This Row],[№]],Реестр_Д5[№],Реестр_Д5[Стоимость квартиры с отделкой],"-",0)</f>
        <v>7330700</v>
      </c>
      <c r="X40" s="235">
        <f>IFERROR(Таблица10[[#This Row],[СО ПП]]-Таблица10[[#This Row],[СО ДДУ]],"")</f>
        <v>0</v>
      </c>
      <c r="Y40" s="233" cm="1">
        <f t="array" ref="Y40">IFERROR(INDEX(РД[S],MATCH($Q$3&amp;Таблица10[[#This Row],[№]]&amp;"Продажа",РД[Дом]&amp;РД[№ кв]&amp;РД[Состояние],0),1),Таблица10[[#This Row],[Статус]])</f>
        <v>68.5</v>
      </c>
      <c r="Z40" s="233">
        <f>IF(Таблица10[[#This Row],[№]]&amp;"ДДУ"=ППД5!A37&amp;ППД5!CR37,ППД5!U37,ППД5!V37)</f>
        <v>68.5</v>
      </c>
      <c r="AA40" s="285">
        <f>IFERROR(Таблица10[[#This Row],[S ПП]]-Таблица10[[#This Row],[S ДДУ]],)</f>
        <v>0</v>
      </c>
      <c r="AB40" s="235">
        <f>ROUND(_xlfn.XLOOKUP(Таблица10[[#This Row],[№]],Реестр_Д5[№],Реестр_Д5[Итоговая сумма скидки],"",0),2)</f>
        <v>0</v>
      </c>
      <c r="AC40" s="235" cm="1">
        <f t="array" ref="AC4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" s="285">
        <f>IFERROR(Таблица10[[#This Row],[ППС]]-Таблица10[[#This Row],[ДДУС]],)</f>
        <v>0</v>
      </c>
      <c r="AE40" s="611"/>
      <c r="AF40" s="615">
        <f>VLOOKUP(ППД401!A37,Д401[],1,0)</f>
        <v>36</v>
      </c>
      <c r="AG40" s="234" t="str">
        <f>_xlfn.XLOOKUP(Таблица1[[#This Row],[№]],Д401[№],Д401[Статус],"-",0)</f>
        <v>Стр. Резерв</v>
      </c>
      <c r="AH40" s="612">
        <f>_xlfn.XLOOKUP(Таблица1[[#This Row],[№]],Д401[№],Д401[Стоимость ОН без отделки со скидкой],"-",0)</f>
        <v>10093750</v>
      </c>
      <c r="AI40" s="612" t="str" cm="1">
        <f t="array" ref="AI4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40" s="235" t="str">
        <f>IFERROR((Таблица1[[#This Row],[ПП]]-Таблица1[[#This Row],[ДДУ]])*1,"")</f>
        <v/>
      </c>
      <c r="AK40" s="235" t="str" cm="1">
        <f t="array" ref="AK4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40" s="235">
        <f>_xlfn.XLOOKUP(Таблица1[[#This Row],[№]],Д401[№],Д401[Стоимость квартиры с отделкой],"-",0)</f>
        <v>10093750</v>
      </c>
      <c r="AM40" s="235" t="str">
        <f>IFERROR(Таблица1[[#This Row],[СО ПП]]-Таблица1[[#This Row],[СО ДДУ]],"")</f>
        <v/>
      </c>
      <c r="AN40" s="233" t="str" cm="1">
        <f t="array" ref="AN40">IFERROR(INDEX(РД[S],MATCH($AF$3&amp;Таблица1[[#This Row],[№]]&amp;"Продажа",РД[Дом]&amp;РД[№ кв]&amp;РД[Состояние],0),1),Таблица1[[#This Row],[Статус]])</f>
        <v>Стр. Резерв</v>
      </c>
      <c r="AO40" s="233">
        <f>_xlfn.XLOOKUP(Таблица1[[#This Row],[№]],Д401[№],Д401[Расчетная проектная площадь],"-",0)</f>
        <v>80.75</v>
      </c>
      <c r="AP40" s="235" t="str">
        <f>IFERROR(Таблица1[[#This Row],[S ПП]]-Таблица1[[#This Row],[S ДДУ]],"")</f>
        <v/>
      </c>
      <c r="AQ40" s="235">
        <f>_xlfn.XLOOKUP(Таблица1[[#This Row],[№]],Д401[№],Д401[Итоговая сумма скидки],"-",0)</f>
        <v>0</v>
      </c>
      <c r="AR40" s="235" t="str" cm="1">
        <f t="array" ref="AR4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40" s="285" t="str">
        <f>IFERROR(Таблица1[[#This Row],[ППС]]-Таблица1[[#This Row],[ДДУС]],"")</f>
        <v/>
      </c>
      <c r="AT40" s="611"/>
      <c r="AU40" s="484">
        <f>VLOOKUP(ППД402!A37,Д402[],1,0)</f>
        <v>36</v>
      </c>
      <c r="AV40" s="484" t="str">
        <f>_xlfn.XLOOKUP(Т402[[#This Row],[№]],Д402[№],Д402[Статус],"-",0)</f>
        <v>Продажа</v>
      </c>
      <c r="AW40" s="613">
        <f>_xlfn.XLOOKUP(Т402[[#This Row],[№]],Д402[№],Д402[Стоимость ОН без отделки со скидкой],"-",0)</f>
        <v>5641860</v>
      </c>
      <c r="AX40" s="614" cm="1">
        <f t="array" ref="AX40">IFERROR(INDEX(РД[Стоимость без отделки итог],MATCH($AU$3&amp;Т402[[#This Row],[№]]&amp;"Продажа",РД[Дом]&amp;РД[№ кв]&amp;РД[Состояние],0),1),Т402[[#This Row],[Статус]])</f>
        <v>5641860</v>
      </c>
      <c r="AY40" s="485">
        <f>IFERROR((Т402[[#This Row],[ПП]]-Т402[[#This Row],[ДДУ]])*1,"")</f>
        <v>0</v>
      </c>
      <c r="AZ40" s="486" cm="1">
        <f t="array" ref="AZ40">IFERROR(INDEX(РД[Стоимость с отделкой итог],MATCH($AU$3&amp;Т402[[#This Row],[№]]&amp;"Продажа",РД[Дом]&amp;РД[№ кв]&amp;РД[Состояние],0),1),Т402[[#This Row],[Статус]])</f>
        <v>6773360</v>
      </c>
      <c r="BA40" s="485">
        <f>_xlfn.XLOOKUP(Т402[[#This Row],[№]],Д402[№],Д402[Стоимость квартиры с отделкой],"-",0)</f>
        <v>6773360</v>
      </c>
      <c r="BB40" s="485">
        <f>IFERROR(Т402[[#This Row],[СО ПП]]-Т402[[#This Row],[СО ДДУ]],"")</f>
        <v>0</v>
      </c>
      <c r="BC40" s="487" cm="1">
        <f t="array" ref="BC40">IFERROR(INDEX(РД[S],MATCH($AU$3&amp;Т402[[#This Row],[№]]&amp;"Продажа",РД[Дом]&amp;РД[№ кв]&amp;РД[Состояние],0),1),Т402[[#This Row],[Статус]])</f>
        <v>45.26</v>
      </c>
      <c r="BD40" s="483">
        <f>_xlfn.XLOOKUP(Т402[[#This Row],[№]],Д402[№],Д402[Расчетная проектная площадь],"-",0)</f>
        <v>45.26</v>
      </c>
      <c r="BE40" s="485">
        <f>IFERROR(Т402[[#This Row],[S ПП]]-Т402[[#This Row],[S ДДУ]],"")</f>
        <v>0</v>
      </c>
      <c r="BF40" s="485">
        <f>_xlfn.XLOOKUP(Т402[[#This Row],[№]],Д402[№],Д402[Итоговая сумма скидки],"-",0)</f>
        <v>115140</v>
      </c>
      <c r="BG40" s="486" cm="1">
        <f t="array" ref="BG40">IFERROR(ROUND(_xlfn.XLOOKUP($AU$3&amp;Т402[[#This Row],[№]]&amp;"Продажа",РД[Дом]&amp;РД[№ кв]&amp;РД[Состояние],РД[Сумма скидки],"",0),2),Т402[[#This Row],[Статус]])</f>
        <v>115140</v>
      </c>
      <c r="BH40" s="488">
        <f>IFERROR(Т402[[#This Row],[ППС]]-Т402[[#This Row],[ДДУС]],"")</f>
        <v>0</v>
      </c>
    </row>
    <row r="41" spans="1:60" x14ac:dyDescent="0.2">
      <c r="A41" s="611"/>
      <c r="B41" s="234">
        <f>VLOOKUP(ППД4!A38,Реестр_Д4[№],1,0)</f>
        <v>37</v>
      </c>
      <c r="C41" s="234" t="str">
        <f>VLOOKUP(ППД4!CO38,Реестр_Д4[Статус],1,0)</f>
        <v>Продажа</v>
      </c>
      <c r="D41" s="612">
        <f>VLOOKUP(ППД4!CE38,Реестр_Д4[Стоимость ОН без отделки со скидкой],1,0)</f>
        <v>3891888.66</v>
      </c>
      <c r="E41" s="612" cm="1">
        <f t="array" ref="E41">IFERROR(INDEX(РД[Стоимость без отделки итог],MATCH($B$3&amp;Таблица4[[#This Row],[№]]&amp;"Продажа",РД[Дом]&amp;РД[№ кв]&amp;РД[Состояние],0),1),Таблица4[[#This Row],[Статус]])</f>
        <v>3891888.66</v>
      </c>
      <c r="F41" s="235">
        <f>IFERROR((Таблица4[[#This Row],[ПП]]-Таблица4[[#This Row],[ДДУ]])*1,"")</f>
        <v>0</v>
      </c>
      <c r="G41" s="235" cm="1">
        <f t="array" ref="G41">IFERROR(INDEX(РД[Стоимость с отделкой итог],MATCH($B$3&amp;Таблица4[[#This Row],[№]]&amp;"Продажа",РД[Дом]&amp;РД[№ кв]&amp;РД[Состояние],0),1),Таблица4[[#This Row],[Статус]])</f>
        <v>4110528.66</v>
      </c>
      <c r="H41" s="235">
        <f>_xlfn.XLOOKUP(Таблица4[[#This Row],[№]],Реестр_Д4[№],Реестр_Д4[Стоимость квартиры с отделкой],"-",0)</f>
        <v>4110528.66</v>
      </c>
      <c r="I41" s="235">
        <f>IFERROR(Таблица4[[#This Row],[СО ПП]]-Таблица4[[#This Row],[СО ДДУ]],"")</f>
        <v>0</v>
      </c>
      <c r="J41" s="233" cm="1">
        <f t="array" ref="J41">IFERROR(INDEX(РД[S],MATCH($B$3&amp;Таблица4[[#This Row],[№]]&amp;"Продажа",РД[Дом]&amp;РД[№ кв]&amp;РД[Состояние],0),1),Таблица4[[#This Row],[Статус]])</f>
        <v>54.66</v>
      </c>
      <c r="K41" s="233">
        <f>VLOOKUP(Таблица4[[#This Row],[№]],Реестр_Д4[],20,0)</f>
        <v>54.66</v>
      </c>
      <c r="L41" s="235">
        <f>IFERROR(Таблица4[[#This Row],[S ПП]]-Таблица4[[#This Row],[S ДДУ]],)</f>
        <v>0</v>
      </c>
      <c r="M41" s="235">
        <f>ROUND(_xlfn.XLOOKUP(Таблица4[[#This Row],[№]],Реестр_Д4[№],Реестр_Д4[Итоговая сумма скидки],"",0),2)</f>
        <v>204836.25</v>
      </c>
      <c r="N41" s="235" cm="1">
        <f t="array" ref="N41">IFERROR(ROUND(_xlfn.XLOOKUP($B$3&amp;Таблица4[[#This Row],[№]]&amp;"Продажа",РД[Дом]&amp;РД[№ кв]&amp;РД[Состояние],РД[Сумма скидки],"",0),2),Таблица4[[#This Row],[Статус]])</f>
        <v>204836.25</v>
      </c>
      <c r="O41" s="235">
        <f>IFERROR(Таблица4[[#This Row],[ППС]]-Таблица4[[#This Row],[ДДУС]],)</f>
        <v>0</v>
      </c>
      <c r="P41" s="611"/>
      <c r="Q41" s="234">
        <f>VLOOKUP(ППД5!A38,Реестр_Д5[№],1,0)</f>
        <v>37</v>
      </c>
      <c r="R41" s="234" t="str">
        <f>VLOOKUP(ППД5!CH38,Реестр_Д5[Статус],1,0)</f>
        <v>Продажа</v>
      </c>
      <c r="S41" s="612">
        <f>VLOOKUP(ППД5!BZ38,Реестр_Д5[Стоимость ОН без отделки со скидкой],1,0)</f>
        <v>3305204.6</v>
      </c>
      <c r="T41" s="612" cm="1">
        <f t="array" ref="T41">IFERROR(INDEX(РД[Стоимость без отделки итог],MATCH($Q$3&amp;Таблица10[[#This Row],[№]]&amp;"Продажа",РД[Дом]&amp;РД[№ кв]&amp;РД[Состояние],0),1),Таблица10[[#This Row],[Статус]])</f>
        <v>3305204.6</v>
      </c>
      <c r="U41" s="235">
        <f>IFERROR((Таблица10[[#This Row],[ПП]]-Таблица10[[#This Row],[ДДУ]])*1,)</f>
        <v>0</v>
      </c>
      <c r="V41" s="235" cm="1">
        <f t="array" ref="V41">IFERROR(INDEX(РД[Стоимость с отделкой итог],MATCH($Q$3&amp;Таблица10[[#This Row],[№]]&amp;"Продажа",РД[Дом]&amp;РД[№ кв]&amp;РД[Состояние],0),1),Таблица10[[#This Row],[Статус]])</f>
        <v>3871154.6</v>
      </c>
      <c r="W41" s="235">
        <f>_xlfn.XLOOKUP(Таблица10[[#This Row],[№]],Реестр_Д5[№],Реестр_Д5[Стоимость квартиры с отделкой],"-",0)</f>
        <v>3871154.6</v>
      </c>
      <c r="X41" s="235">
        <f>IFERROR(Таблица10[[#This Row],[СО ПП]]-Таблица10[[#This Row],[СО ДДУ]],"")</f>
        <v>0</v>
      </c>
      <c r="Y41" s="233" cm="1">
        <f t="array" ref="Y41">IFERROR(INDEX(РД[S],MATCH($Q$3&amp;Таблица10[[#This Row],[№]]&amp;"Продажа",РД[Дом]&amp;РД[№ кв]&amp;РД[Состояние],0),1),Таблица10[[#This Row],[Статус]])</f>
        <v>37.729999999999997</v>
      </c>
      <c r="Z41" s="233">
        <f>IF(Таблица10[[#This Row],[№]]&amp;"ДДУ"=ППД5!A38&amp;ППД5!CR38,ППД5!U38,ППД5!V38)</f>
        <v>37.729999999999997</v>
      </c>
      <c r="AA41" s="285">
        <f>IFERROR(Таблица10[[#This Row],[S ПП]]-Таблица10[[#This Row],[S ДДУ]],)</f>
        <v>0</v>
      </c>
      <c r="AB41" s="235">
        <f>ROUND(_xlfn.XLOOKUP(Таблица10[[#This Row],[№]],Реестр_Д5[№],Реестр_Д5[Итоговая сумма скидки],"",0),2)</f>
        <v>0</v>
      </c>
      <c r="AC41" s="235" cm="1">
        <f t="array" ref="AC4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1" s="285">
        <f>IFERROR(Таблица10[[#This Row],[ППС]]-Таблица10[[#This Row],[ДДУС]],)</f>
        <v>0</v>
      </c>
      <c r="AE41" s="611"/>
      <c r="AF41" s="615">
        <f>VLOOKUP(ППД401!A38,Д401[],1,0)</f>
        <v>37</v>
      </c>
      <c r="AG41" s="234" t="str">
        <f>_xlfn.XLOOKUP(Таблица1[[#This Row],[№]],Д401[№],Д401[Статус],"-",0)</f>
        <v>Продажа</v>
      </c>
      <c r="AH41" s="612">
        <f>_xlfn.XLOOKUP(Таблица1[[#This Row],[№]],Д401[№],Д401[Стоимость ОН без отделки со скидкой],"-",0)</f>
        <v>7584135</v>
      </c>
      <c r="AI41" s="612" cm="1">
        <f t="array" ref="AI41">IFERROR(INDEX(РД[Стоимость без отделки итог],MATCH($AF$3&amp;Таблица1[[#This Row],[№]]&amp;"Продажа",РД[Дом]&amp;РД[№ кв]&amp;РД[Состояние],0),1),Таблица1[[#This Row],[Статус]])</f>
        <v>7584135</v>
      </c>
      <c r="AJ41" s="235">
        <f>IFERROR((Таблица1[[#This Row],[ПП]]-Таблица1[[#This Row],[ДДУ]])*1,"")</f>
        <v>0</v>
      </c>
      <c r="AK41" s="235" cm="1">
        <f t="array" ref="AK41">IFERROR(INDEX(РД[Стоимость с отделкой итог],MATCH($AF$3&amp;Таблица1[[#This Row],[№]]&amp;"Продажа",РД[Дом]&amp;РД[№ кв]&amp;РД[Состояние],0),1),Таблица1[[#This Row],[Статус]])</f>
        <v>7584135</v>
      </c>
      <c r="AL41" s="235">
        <f>_xlfn.XLOOKUP(Таблица1[[#This Row],[№]],Д401[№],Д401[Стоимость квартиры с отделкой],"-",0)</f>
        <v>7584135</v>
      </c>
      <c r="AM41" s="235">
        <f>IFERROR(Таблица1[[#This Row],[СО ПП]]-Таблица1[[#This Row],[СО ДДУ]],"")</f>
        <v>0</v>
      </c>
      <c r="AN41" s="233" cm="1">
        <f t="array" ref="AN41">IFERROR(INDEX(РД[S],MATCH($AF$3&amp;Таблица1[[#This Row],[№]]&amp;"Продажа",РД[Дом]&amp;РД[№ кв]&amp;РД[Состояние],0),1),Таблица1[[#This Row],[Статус]])</f>
        <v>61.41</v>
      </c>
      <c r="AO41" s="233">
        <f>_xlfn.XLOOKUP(Таблица1[[#This Row],[№]],Д401[№],Д401[Расчетная проектная площадь],"-",0)</f>
        <v>61.76</v>
      </c>
      <c r="AP41" s="680">
        <f>IFERROR(Таблица1[[#This Row],[S ПП]]-Таблица1[[#This Row],[S ДДУ]],"")</f>
        <v>0.35000000000000142</v>
      </c>
      <c r="AQ41" s="235">
        <f>_xlfn.XLOOKUP(Таблица1[[#This Row],[№]],Д401[№],Д401[Итоговая сумма скидки],"-",0)</f>
        <v>399165</v>
      </c>
      <c r="AR41" s="235" cm="1">
        <f t="array" ref="AR41">IFERROR(ROUND(_xlfn.XLOOKUP($AF$3&amp;Таблица1[[#This Row],[№]]&amp;"Продажа",РД[Дом]&amp;РД[№ кв]&amp;РД[Состояние],РД[Сумма скидки],"",0),2),Таблица1[[#This Row],[Статус]])</f>
        <v>399165</v>
      </c>
      <c r="AS41" s="285">
        <f>IFERROR(Таблица1[[#This Row],[ППС]]-Таблица1[[#This Row],[ДДУС]],"")</f>
        <v>0</v>
      </c>
      <c r="AT41" s="611"/>
      <c r="AU41" s="484">
        <f>VLOOKUP(ППД402!A38,Д402[],1,0)</f>
        <v>37</v>
      </c>
      <c r="AV41" s="484" t="str">
        <f>_xlfn.XLOOKUP(Т402[[#This Row],[№]],Д402[№],Д402[Статус],"-",0)</f>
        <v>Стр. Резерв</v>
      </c>
      <c r="AW41" s="613">
        <f>_xlfn.XLOOKUP(Т402[[#This Row],[№]],Д402[№],Д402[Стоимость ОН без отделки со скидкой],"-",0)</f>
        <v>4191200</v>
      </c>
      <c r="AX41" s="614" t="str" cm="1">
        <f t="array" ref="AX4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41" s="485" t="str">
        <f>IFERROR((Т402[[#This Row],[ПП]]-Т402[[#This Row],[ДДУ]])*1,"")</f>
        <v/>
      </c>
      <c r="AZ41" s="486" t="str" cm="1">
        <f t="array" ref="AZ4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41" s="485">
        <f>_xlfn.XLOOKUP(Т402[[#This Row],[№]],Д402[№],Д402[Стоимость квартиры с отделкой],"-",0)</f>
        <v>4191200</v>
      </c>
      <c r="BB41" s="485" t="str">
        <f>IFERROR(Т402[[#This Row],[СО ПП]]-Т402[[#This Row],[СО ДДУ]],"")</f>
        <v/>
      </c>
      <c r="BC41" s="487" t="str" cm="1">
        <f t="array" ref="BC41">IFERROR(INDEX(РД[S],MATCH($AU$3&amp;Т402[[#This Row],[№]]&amp;"Продажа",РД[Дом]&amp;РД[№ кв]&amp;РД[Состояние],0),1),Т402[[#This Row],[Статус]])</f>
        <v>Стр. Резерв</v>
      </c>
      <c r="BD41" s="483">
        <f>_xlfn.XLOOKUP(Т402[[#This Row],[№]],Д402[№],Д402[Расчетная проектная площадь],"-",0)</f>
        <v>29.69</v>
      </c>
      <c r="BE41" s="485" t="str">
        <f>IFERROR(Т402[[#This Row],[S ПП]]-Т402[[#This Row],[S ДДУ]],"")</f>
        <v/>
      </c>
      <c r="BF41" s="485">
        <f>_xlfn.XLOOKUP(Т402[[#This Row],[№]],Д402[№],Д402[Итоговая сумма скидки],"-",0)</f>
        <v>0</v>
      </c>
      <c r="BG41" s="486" t="str" cm="1">
        <f t="array" ref="BG4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41" s="488" t="str">
        <f>IFERROR(Т402[[#This Row],[ППС]]-Т402[[#This Row],[ДДУС]],"")</f>
        <v/>
      </c>
    </row>
    <row r="42" spans="1:60" x14ac:dyDescent="0.2">
      <c r="A42" s="611"/>
      <c r="B42" s="234">
        <f>VLOOKUP(ППД4!A39,Реестр_Д4[№],1,0)</f>
        <v>38</v>
      </c>
      <c r="C42" s="234" t="str">
        <f>VLOOKUP(ППД4!CO39,Реестр_Д4[Статус],1,0)</f>
        <v>Продажа</v>
      </c>
      <c r="D42" s="612">
        <f>VLOOKUP(ППД4!CE39,Реестр_Д4[Стоимость ОН без отделки со скидкой],1,0)</f>
        <v>5609370.5700000003</v>
      </c>
      <c r="E42" s="612" cm="1">
        <f t="array" ref="E42">IFERROR(INDEX(РД[Стоимость без отделки итог],MATCH($B$3&amp;Таблица4[[#This Row],[№]]&amp;"Продажа",РД[Дом]&amp;РД[№ кв]&amp;РД[Состояние],0),1),Таблица4[[#This Row],[Статус]])</f>
        <v>5609370.5700000003</v>
      </c>
      <c r="F42" s="235">
        <f>IFERROR((Таблица4[[#This Row],[ПП]]-Таблица4[[#This Row],[ДДУ]])*1,"")</f>
        <v>0</v>
      </c>
      <c r="G42" s="235" cm="1">
        <f t="array" ref="G42">IFERROR(INDEX(РД[Стоимость с отделкой итог],MATCH($B$3&amp;Таблица4[[#This Row],[№]]&amp;"Продажа",РД[Дом]&amp;РД[№ кв]&amp;РД[Состояние],0),1),Таблица4[[#This Row],[Статус]])</f>
        <v>6537355.5700000003</v>
      </c>
      <c r="H42" s="235">
        <f>_xlfn.XLOOKUP(Таблица4[[#This Row],[№]],Реестр_Д4[№],Реестр_Д4[Стоимость квартиры с отделкой],"-",0)</f>
        <v>6537355.5700000003</v>
      </c>
      <c r="I42" s="235">
        <f>IFERROR(Таблица4[[#This Row],[СО ПП]]-Таблица4[[#This Row],[СО ДДУ]],"")</f>
        <v>0</v>
      </c>
      <c r="J42" s="233" cm="1">
        <f t="array" ref="J42">IFERROR(INDEX(РД[S],MATCH($B$3&amp;Таблица4[[#This Row],[№]]&amp;"Продажа",РД[Дом]&amp;РД[№ кв]&amp;РД[Состояние],0),1),Таблица4[[#This Row],[Статус]])</f>
        <v>59.87</v>
      </c>
      <c r="K42" s="233">
        <f>VLOOKUP(Таблица4[[#This Row],[№]],Реестр_Д4[],20,0)</f>
        <v>59.87</v>
      </c>
      <c r="L42" s="235">
        <f>IFERROR(Таблица4[[#This Row],[S ПП]]-Таблица4[[#This Row],[S ДДУ]],)</f>
        <v>0</v>
      </c>
      <c r="M42" s="235">
        <f>ROUND(_xlfn.XLOOKUP(Таблица4[[#This Row],[№]],Реестр_Д4[№],Реестр_Д4[Итоговая сумма скидки],"",0),2)</f>
        <v>0</v>
      </c>
      <c r="N42" s="235" cm="1">
        <f t="array" ref="N4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" s="235">
        <f>IFERROR(Таблица4[[#This Row],[ППС]]-Таблица4[[#This Row],[ДДУС]],)</f>
        <v>0</v>
      </c>
      <c r="P42" s="611"/>
      <c r="Q42" s="234">
        <f>VLOOKUP(ППД5!A39,Реестр_Д5[№],1,0)</f>
        <v>38</v>
      </c>
      <c r="R42" s="234" t="str">
        <f>VLOOKUP(ППД5!CH39,Реестр_Д5[Статус],1,0)</f>
        <v>Продажа</v>
      </c>
      <c r="S42" s="612">
        <f>VLOOKUP(ППД5!BZ39,Реестр_Д5[Стоимость ОН без отделки со скидкой],1,0)</f>
        <v>7088732</v>
      </c>
      <c r="T42" s="612" cm="1">
        <f t="array" ref="T42">IFERROR(INDEX(РД[Стоимость без отделки итог],MATCH($Q$3&amp;Таблица10[[#This Row],[№]]&amp;"Продажа",РД[Дом]&amp;РД[№ кв]&amp;РД[Состояние],0),1),Таблица10[[#This Row],[Статус]])</f>
        <v>7088732</v>
      </c>
      <c r="U42" s="235">
        <f>IFERROR((Таблица10[[#This Row],[ПП]]-Таблица10[[#This Row],[ДДУ]])*1,)</f>
        <v>0</v>
      </c>
      <c r="V42" s="235" cm="1">
        <f t="array" ref="V42">IFERROR(INDEX(РД[Стоимость с отделкой итог],MATCH($Q$3&amp;Таблица10[[#This Row],[№]]&amp;"Продажа",РД[Дом]&amp;РД[№ кв]&amp;РД[Состояние],0),1),Таблица10[[#This Row],[Статус]])</f>
        <v>8565982</v>
      </c>
      <c r="W42" s="235">
        <f>_xlfn.XLOOKUP(Таблица10[[#This Row],[№]],Реестр_Д5[№],Реестр_Д5[Стоимость квартиры с отделкой],"-",0)</f>
        <v>8565982</v>
      </c>
      <c r="X42" s="235">
        <f>IFERROR(Таблица10[[#This Row],[СО ПП]]-Таблица10[[#This Row],[СО ДДУ]],"")</f>
        <v>0</v>
      </c>
      <c r="Y42" s="233" cm="1">
        <f t="array" ref="Y42">IFERROR(INDEX(РД[S],MATCH($Q$3&amp;Таблица10[[#This Row],[№]]&amp;"Продажа",РД[Дом]&amp;РД[№ кв]&amp;РД[Состояние],0),1),Таблица10[[#This Row],[Статус]])</f>
        <v>59.09</v>
      </c>
      <c r="Z42" s="233">
        <f>IF(Таблица10[[#This Row],[№]]&amp;"ДДУ"=ППД5!A39&amp;ППД5!CR39,ППД5!U39,ППД5!V39)</f>
        <v>59.09</v>
      </c>
      <c r="AA42" s="285">
        <f>IFERROR(Таблица10[[#This Row],[S ПП]]-Таблица10[[#This Row],[S ДДУ]],)</f>
        <v>0</v>
      </c>
      <c r="AB42" s="235">
        <f>ROUND(_xlfn.XLOOKUP(Таблица10[[#This Row],[№]],Реестр_Д5[№],Реестр_Д5[Итоговая сумма скидки],"",0),2)</f>
        <v>144668</v>
      </c>
      <c r="AC42" s="235" cm="1">
        <f t="array" ref="AC42">IFERROR(ROUND(_xlfn.XLOOKUP($Q$3&amp;Таблица10[[#This Row],[№]]&amp;"Продажа",РД[Дом]&amp;РД[№ кв]&amp;РД[Состояние],РД[Сумма скидки],"",0,-1),2),Таблица10[[#This Row],[Статус]])</f>
        <v>144668</v>
      </c>
      <c r="AD42" s="285">
        <f>IFERROR(Таблица10[[#This Row],[ППС]]-Таблица10[[#This Row],[ДДУС]],)</f>
        <v>0</v>
      </c>
      <c r="AE42" s="611"/>
      <c r="AF42" s="615">
        <f>VLOOKUP(ППД401!A39,Д401[],1,0)</f>
        <v>38</v>
      </c>
      <c r="AG42" s="234" t="str">
        <f>_xlfn.XLOOKUP(Таблица1[[#This Row],[№]],Д401[№],Д401[Статус],"-",0)</f>
        <v>Продажа</v>
      </c>
      <c r="AH42" s="612">
        <f>_xlfn.XLOOKUP(Таблица1[[#This Row],[№]],Д401[№],Д401[Стоимость ОН без отделки со скидкой],"-",0)</f>
        <v>4798178</v>
      </c>
      <c r="AI42" s="612" cm="1">
        <f t="array" ref="AI42">IFERROR(INDEX(РД[Стоимость без отделки итог],MATCH($AF$3&amp;Таблица1[[#This Row],[№]]&amp;"Продажа",РД[Дом]&amp;РД[№ кв]&amp;РД[Состояние],0),1),Таблица1[[#This Row],[Статус]])</f>
        <v>4798178</v>
      </c>
      <c r="AJ42" s="235">
        <f>IFERROR((Таблица1[[#This Row],[ПП]]-Таблица1[[#This Row],[ДДУ]])*1,"")</f>
        <v>0</v>
      </c>
      <c r="AK42" s="235" cm="1">
        <f t="array" ref="AK42">IFERROR(INDEX(РД[Стоимость с отделкой итог],MATCH($AF$3&amp;Таблица1[[#This Row],[№]]&amp;"Продажа",РД[Дом]&amp;РД[№ кв]&amp;РД[Состояние],0),1),Таблица1[[#This Row],[Статус]])</f>
        <v>5153478</v>
      </c>
      <c r="AL42" s="235">
        <f>_xlfn.XLOOKUP(Таблица1[[#This Row],[№]],Д401[№],Д401[Стоимость квартиры с отделкой],"-",0)</f>
        <v>5153178</v>
      </c>
      <c r="AM42" s="235">
        <f>IFERROR(Таблица1[[#This Row],[СО ПП]]-Таблица1[[#This Row],[СО ДДУ]],"")</f>
        <v>-300</v>
      </c>
      <c r="AN42" s="233" cm="1">
        <f t="array" ref="AN42">IFERROR(INDEX(РД[S],MATCH($AF$3&amp;Таблица1[[#This Row],[№]]&amp;"Продажа",РД[Дом]&amp;РД[№ кв]&amp;РД[Состояние],0),1),Таблица1[[#This Row],[Статус]])</f>
        <v>35.53</v>
      </c>
      <c r="AO42" s="233">
        <f>_xlfn.XLOOKUP(Таблица1[[#This Row],[№]],Д401[№],Д401[Расчетная проектная площадь],"-",0)</f>
        <v>35.5</v>
      </c>
      <c r="AP42" s="680">
        <f>IFERROR(Таблица1[[#This Row],[S ПП]]-Таблица1[[#This Row],[S ДДУ]],"")</f>
        <v>-3.0000000000001137E-2</v>
      </c>
      <c r="AQ42" s="235">
        <f>_xlfn.XLOOKUP(Таблица1[[#This Row],[№]],Д401[№],Д401[Итоговая сумма скидки],"-",0)</f>
        <v>97922</v>
      </c>
      <c r="AR42" s="235" cm="1">
        <f t="array" ref="AR42">IFERROR(ROUND(_xlfn.XLOOKUP($AF$3&amp;Таблица1[[#This Row],[№]]&amp;"Продажа",РД[Дом]&amp;РД[№ кв]&amp;РД[Состояние],РД[Сумма скидки],"",0),2),Таблица1[[#This Row],[Статус]])</f>
        <v>97922</v>
      </c>
      <c r="AS42" s="285">
        <f>IFERROR(Таблица1[[#This Row],[ППС]]-Таблица1[[#This Row],[ДДУС]],"")</f>
        <v>0</v>
      </c>
      <c r="AT42" s="611"/>
      <c r="AU42" s="484">
        <f>VLOOKUP(ППД402!A39,Д402[],1,0)</f>
        <v>38</v>
      </c>
      <c r="AV42" s="484" t="str">
        <f>_xlfn.XLOOKUP(Т402[[#This Row],[№]],Д402[№],Д402[Статус],"-",0)</f>
        <v>Свободно</v>
      </c>
      <c r="AW42" s="613">
        <f>_xlfn.XLOOKUP(Т402[[#This Row],[№]],Д402[№],Д402[Стоимость ОН без отделки со скидкой],"-",0)</f>
        <v>7531800</v>
      </c>
      <c r="AX42" s="614" t="str" cm="1">
        <f t="array" ref="AX42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42" s="485" t="str">
        <f>IFERROR((Т402[[#This Row],[ПП]]-Т402[[#This Row],[ДДУ]])*1,"")</f>
        <v/>
      </c>
      <c r="AZ42" s="486" t="str" cm="1">
        <f t="array" ref="AZ42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42" s="485">
        <f>_xlfn.XLOOKUP(Т402[[#This Row],[№]],Д402[№],Д402[Стоимость квартиры с отделкой],"-",0)</f>
        <v>7531800</v>
      </c>
      <c r="BB42" s="485" t="str">
        <f>IFERROR(Т402[[#This Row],[СО ПП]]-Т402[[#This Row],[СО ДДУ]],"")</f>
        <v/>
      </c>
      <c r="BC42" s="487" t="str" cm="1">
        <f t="array" ref="BC42">IFERROR(INDEX(РД[S],MATCH($AU$3&amp;Т402[[#This Row],[№]]&amp;"Продажа",РД[Дом]&amp;РД[№ кв]&amp;РД[Состояние],0),1),Т402[[#This Row],[Статус]])</f>
        <v>Свободно</v>
      </c>
      <c r="BD42" s="483">
        <f>_xlfn.XLOOKUP(Т402[[#This Row],[№]],Д402[№],Д402[Расчетная проектная площадь],"-",0)</f>
        <v>60.11</v>
      </c>
      <c r="BE42" s="485" t="str">
        <f>IFERROR(Т402[[#This Row],[S ПП]]-Т402[[#This Row],[S ДДУ]],"")</f>
        <v/>
      </c>
      <c r="BF42" s="485">
        <f>_xlfn.XLOOKUP(Т402[[#This Row],[№]],Д402[№],Д402[Итоговая сумма скидки],"-",0)</f>
        <v>0</v>
      </c>
      <c r="BG42" s="486" t="str" cm="1">
        <f t="array" ref="BG42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42" s="488" t="str">
        <f>IFERROR(Т402[[#This Row],[ППС]]-Т402[[#This Row],[ДДУС]],"")</f>
        <v/>
      </c>
    </row>
    <row r="43" spans="1:60" x14ac:dyDescent="0.2">
      <c r="A43" s="611"/>
      <c r="B43" s="234">
        <f>VLOOKUP(ППД4!A40,Реестр_Д4[№],1,0)</f>
        <v>39</v>
      </c>
      <c r="C43" s="234" t="str">
        <f>VLOOKUP(ППД4!CO40,Реестр_Д4[Статус],1,0)</f>
        <v>Продажа</v>
      </c>
      <c r="D43" s="612">
        <f>VLOOKUP(ППД4!CE40,Реестр_Д4[Стоимость ОН без отделки со скидкой],1,0)</f>
        <v>1813063.69</v>
      </c>
      <c r="E43" s="612" cm="1">
        <f t="array" ref="E43">IFERROR(INDEX(РД[Стоимость без отделки итог],MATCH($B$3&amp;Таблица4[[#This Row],[№]]&amp;"Продажа",РД[Дом]&amp;РД[№ кв]&amp;РД[Состояние],0),1),Таблица4[[#This Row],[Статус]])</f>
        <v>1813063.6899999992</v>
      </c>
      <c r="F43" s="235">
        <f>IFERROR((Таблица4[[#This Row],[ПП]]-Таблица4[[#This Row],[ДДУ]])*1,"")</f>
        <v>6.9849193096160889E-10</v>
      </c>
      <c r="G43" s="235" cm="1">
        <f t="array" ref="G43">IFERROR(INDEX(РД[Стоимость с отделкой итог],MATCH($B$3&amp;Таблица4[[#This Row],[№]]&amp;"Продажа",РД[Дом]&amp;РД[№ кв]&amp;РД[Состояние],0),1),Таблица4[[#This Row],[Статус]])</f>
        <v>2139313.69</v>
      </c>
      <c r="H43" s="235">
        <f>_xlfn.XLOOKUP(Таблица4[[#This Row],[№]],Реестр_Д4[№],Реестр_Д4[Стоимость квартиры с отделкой],"-",0)</f>
        <v>2139313.69</v>
      </c>
      <c r="I43" s="235">
        <f>IFERROR(Таблица4[[#This Row],[СО ПП]]-Таблица4[[#This Row],[СО ДДУ]],"")</f>
        <v>0</v>
      </c>
      <c r="J43" s="233" cm="1">
        <f t="array" ref="J43">IFERROR(INDEX(РД[S],MATCH($B$3&amp;Таблица4[[#This Row],[№]]&amp;"Продажа",РД[Дом]&amp;РД[№ кв]&amp;РД[Состояние],0),1),Таблица4[[#This Row],[Статус]])</f>
        <v>21.75</v>
      </c>
      <c r="K43" s="233">
        <f>VLOOKUP(Таблица4[[#This Row],[№]],Реестр_Д4[],20,0)</f>
        <v>21.75</v>
      </c>
      <c r="L43" s="235">
        <f>IFERROR(Таблица4[[#This Row],[S ПП]]-Таблица4[[#This Row],[S ДДУ]],)</f>
        <v>0</v>
      </c>
      <c r="M43" s="235">
        <f>ROUND(_xlfn.XLOOKUP(Таблица4[[#This Row],[№]],Реестр_Д4[№],Реестр_Д4[Итоговая сумма скидки],"",0),2)</f>
        <v>0</v>
      </c>
      <c r="N43" s="235" cm="1">
        <f t="array" ref="N4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3" s="235">
        <f>IFERROR(Таблица4[[#This Row],[ППС]]-Таблица4[[#This Row],[ДДУС]],)</f>
        <v>0</v>
      </c>
      <c r="P43" s="611"/>
      <c r="Q43" s="234">
        <f>VLOOKUP(ППД5!A40,Реестр_Д5[№],1,0)</f>
        <v>39</v>
      </c>
      <c r="R43" s="234" t="str">
        <f>VLOOKUP(ППД5!CH40,Реестр_Д5[Статус],1,0)</f>
        <v>Свободно</v>
      </c>
      <c r="S43" s="612">
        <f>VLOOKUP(ППД5!BZ40,Реестр_Д5[Стоимость ОН без отделки со скидкой],1,0)</f>
        <v>7633800</v>
      </c>
      <c r="T43" s="612" t="str" cm="1">
        <f t="array" ref="T4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3" s="235">
        <f>IFERROR((Таблица10[[#This Row],[ПП]]-Таблица10[[#This Row],[ДДУ]])*1,)</f>
        <v>0</v>
      </c>
      <c r="V43" s="235" t="str" cm="1">
        <f t="array" ref="V4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3" s="235">
        <f>_xlfn.XLOOKUP(Таблица10[[#This Row],[№]],Реестр_Д5[№],Реестр_Д5[Стоимость квартиры с отделкой],"-",0)</f>
        <v>8251299.9999999981</v>
      </c>
      <c r="X43" s="235" t="str">
        <f>IFERROR(Таблица10[[#This Row],[СО ПП]]-Таблица10[[#This Row],[СО ДДУ]],"")</f>
        <v/>
      </c>
      <c r="Y43" s="233" t="str" cm="1">
        <f t="array" ref="Y43">IFERROR(INDEX(РД[S],MATCH($Q$3&amp;Таблица10[[#This Row],[№]]&amp;"Продажа",РД[Дом]&amp;РД[№ кв]&amp;РД[Состояние],0),1),Таблица10[[#This Row],[Статус]])</f>
        <v>Свободно</v>
      </c>
      <c r="Z43" s="233">
        <f>IF(Таблица10[[#This Row],[№]]&amp;"ДДУ"=ППД5!A40&amp;ППД5!CR40,ППД5!U40,ППД5!V40)</f>
        <v>61.749999999999993</v>
      </c>
      <c r="AA43" s="285">
        <f>IFERROR(Таблица10[[#This Row],[S ПП]]-Таблица10[[#This Row],[S ДДУ]],)</f>
        <v>0</v>
      </c>
      <c r="AB43" s="235">
        <f>ROUND(_xlfn.XLOOKUP(Таблица10[[#This Row],[№]],Реестр_Д5[№],Реестр_Д5[Итоговая сумма скидки],"",0),2)</f>
        <v>0</v>
      </c>
      <c r="AC43" s="235" t="str" cm="1">
        <f t="array" ref="AC4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3" s="285">
        <f>IFERROR(Таблица10[[#This Row],[ППС]]-Таблица10[[#This Row],[ДДУС]],)</f>
        <v>0</v>
      </c>
      <c r="AE43" s="611"/>
      <c r="AF43" s="615">
        <f>VLOOKUP(ППД401!A40,Д401[],1,0)</f>
        <v>39</v>
      </c>
      <c r="AG43" s="234" t="str">
        <f>_xlfn.XLOOKUP(Таблица1[[#This Row],[№]],Д401[№],Д401[Статус],"-",0)</f>
        <v>Стр. Резерв</v>
      </c>
      <c r="AH43" s="612">
        <f>_xlfn.XLOOKUP(Таблица1[[#This Row],[№]],Д401[№],Д401[Стоимость ОН без отделки со скидкой],"-",0)</f>
        <v>6603352</v>
      </c>
      <c r="AI43" s="612" t="str" cm="1">
        <f t="array" ref="AI43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43" s="235" t="str">
        <f>IFERROR((Таблица1[[#This Row],[ПП]]-Таблица1[[#This Row],[ДДУ]])*1,"")</f>
        <v/>
      </c>
      <c r="AK43" s="235" t="str" cm="1">
        <f t="array" ref="AK43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43" s="235">
        <f>_xlfn.XLOOKUP(Таблица1[[#This Row],[№]],Д401[№],Д401[Стоимость квартиры с отделкой],"-",0)</f>
        <v>6603352</v>
      </c>
      <c r="AM43" s="235" t="str">
        <f>IFERROR(Таблица1[[#This Row],[СО ПП]]-Таблица1[[#This Row],[СО ДДУ]],"")</f>
        <v/>
      </c>
      <c r="AN43" s="233" t="str" cm="1">
        <f t="array" ref="AN43">IFERROR(INDEX(РД[S],MATCH($AF$3&amp;Таблица1[[#This Row],[№]]&amp;"Продажа",РД[Дом]&amp;РД[№ кв]&amp;РД[Состояние],0),1),Таблица1[[#This Row],[Статус]])</f>
        <v>Стр. Резерв</v>
      </c>
      <c r="AO43" s="233">
        <f>_xlfn.XLOOKUP(Таблица1[[#This Row],[№]],Д401[№],Д401[Расчетная проектная площадь],"-",0)</f>
        <v>51.75</v>
      </c>
      <c r="AP43" s="235" t="str">
        <f>IFERROR(Таблица1[[#This Row],[S ПП]]-Таблица1[[#This Row],[S ДДУ]],"")</f>
        <v/>
      </c>
      <c r="AQ43" s="235">
        <f>_xlfn.XLOOKUP(Таблица1[[#This Row],[№]],Д401[№],Д401[Итоговая сумма скидки],"-",0)</f>
        <v>0</v>
      </c>
      <c r="AR43" s="235" t="str" cm="1">
        <f t="array" ref="AR43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43" s="285" t="str">
        <f>IFERROR(Таблица1[[#This Row],[ППС]]-Таблица1[[#This Row],[ДДУС]],"")</f>
        <v/>
      </c>
      <c r="AT43" s="611"/>
      <c r="AU43" s="484">
        <f>VLOOKUP(ППД402!A40,Д402[],1,0)</f>
        <v>39</v>
      </c>
      <c r="AV43" s="484" t="str">
        <f>_xlfn.XLOOKUP(Т402[[#This Row],[№]],Д402[№],Д402[Статус],"-",0)</f>
        <v>Стр. Резерв</v>
      </c>
      <c r="AW43" s="613">
        <f>_xlfn.XLOOKUP(Т402[[#This Row],[№]],Д402[№],Д402[Стоимость ОН без отделки со скидкой],"-",0)</f>
        <v>6610200</v>
      </c>
      <c r="AX43" s="614" t="str" cm="1">
        <f t="array" ref="AX4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43" s="485" t="str">
        <f>IFERROR((Т402[[#This Row],[ПП]]-Т402[[#This Row],[ДДУ]])*1,"")</f>
        <v/>
      </c>
      <c r="AZ43" s="486" t="str" cm="1">
        <f t="array" ref="AZ4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43" s="485">
        <f>_xlfn.XLOOKUP(Т402[[#This Row],[№]],Д402[№],Д402[Стоимость квартиры с отделкой],"-",0)</f>
        <v>6610200</v>
      </c>
      <c r="BB43" s="485" t="str">
        <f>IFERROR(Т402[[#This Row],[СО ПП]]-Т402[[#This Row],[СО ДДУ]],"")</f>
        <v/>
      </c>
      <c r="BC43" s="487" t="str" cm="1">
        <f t="array" ref="BC43">IFERROR(INDEX(РД[S],MATCH($AU$3&amp;Т402[[#This Row],[№]]&amp;"Продажа",РД[Дом]&amp;РД[№ кв]&amp;РД[Состояние],0),1),Т402[[#This Row],[Статус]])</f>
        <v>Стр. Резерв</v>
      </c>
      <c r="BD43" s="483">
        <f>_xlfn.XLOOKUP(Т402[[#This Row],[№]],Д402[№],Д402[Расчетная проектная площадь],"-",0)</f>
        <v>54.85</v>
      </c>
      <c r="BE43" s="485" t="str">
        <f>IFERROR(Т402[[#This Row],[S ПП]]-Т402[[#This Row],[S ДДУ]],"")</f>
        <v/>
      </c>
      <c r="BF43" s="485">
        <f>_xlfn.XLOOKUP(Т402[[#This Row],[№]],Д402[№],Д402[Итоговая сумма скидки],"-",0)</f>
        <v>0</v>
      </c>
      <c r="BG43" s="486" t="str" cm="1">
        <f t="array" ref="BG4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43" s="488" t="str">
        <f>IFERROR(Т402[[#This Row],[ППС]]-Т402[[#This Row],[ДДУС]],"")</f>
        <v/>
      </c>
    </row>
    <row r="44" spans="1:60" x14ac:dyDescent="0.2">
      <c r="A44" s="611"/>
      <c r="B44" s="234">
        <f>VLOOKUP(ППД4!A41,Реестр_Д4[№],1,0)</f>
        <v>40</v>
      </c>
      <c r="C44" s="234" t="str">
        <f>VLOOKUP(ППД4!CO41,Реестр_Д4[Статус],1,0)</f>
        <v>Продажа</v>
      </c>
      <c r="D44" s="612">
        <f>VLOOKUP(ППД4!CE41,Реестр_Д4[Стоимость ОН без отделки со скидкой],1,0)</f>
        <v>1811396.5</v>
      </c>
      <c r="E44" s="612" cm="1">
        <f t="array" ref="E44">IFERROR(INDEX(РД[Стоимость без отделки итог],MATCH($B$3&amp;Таблица4[[#This Row],[№]]&amp;"Продажа",РД[Дом]&amp;РД[№ кв]&amp;РД[Состояние],0),1),Таблица4[[#This Row],[Статус]])</f>
        <v>1811396.5</v>
      </c>
      <c r="F44" s="235">
        <f>IFERROR((Таблица4[[#This Row],[ПП]]-Таблица4[[#This Row],[ДДУ]])*1,"")</f>
        <v>0</v>
      </c>
      <c r="G44" s="235" cm="1">
        <f t="array" ref="G44">IFERROR(INDEX(РД[Стоимость с отделкой итог],MATCH($B$3&amp;Таблица4[[#This Row],[№]]&amp;"Продажа",РД[Дом]&amp;РД[№ кв]&amp;РД[Состояние],0),1),Таблица4[[#This Row],[Статус]])</f>
        <v>1898316.5</v>
      </c>
      <c r="H44" s="235">
        <f>_xlfn.XLOOKUP(Таблица4[[#This Row],[№]],Реестр_Д4[№],Реестр_Д4[Стоимость квартиры с отделкой],"-",0)</f>
        <v>1898316.5</v>
      </c>
      <c r="I44" s="235">
        <f>IFERROR(Таблица4[[#This Row],[СО ПП]]-Таблица4[[#This Row],[СО ДДУ]],"")</f>
        <v>0</v>
      </c>
      <c r="J44" s="233" cm="1">
        <f t="array" ref="J44">IFERROR(INDEX(РД[S],MATCH($B$3&amp;Таблица4[[#This Row],[№]]&amp;"Продажа",РД[Дом]&amp;РД[№ кв]&amp;РД[Состояние],0),1),Таблица4[[#This Row],[Статус]])</f>
        <v>21.73</v>
      </c>
      <c r="K44" s="233">
        <f>VLOOKUP(Таблица4[[#This Row],[№]],Реестр_Д4[],20,0)</f>
        <v>21.73</v>
      </c>
      <c r="L44" s="235">
        <f>IFERROR(Таблица4[[#This Row],[S ПП]]-Таблица4[[#This Row],[S ДДУ]],)</f>
        <v>0</v>
      </c>
      <c r="M44" s="235">
        <f>ROUND(_xlfn.XLOOKUP(Таблица4[[#This Row],[№]],Реестр_Д4[№],Реестр_Д4[Итоговая сумма скидки],"",0),2)</f>
        <v>0</v>
      </c>
      <c r="N44" s="235" cm="1">
        <f t="array" ref="N4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" s="235">
        <f>IFERROR(Таблица4[[#This Row],[ППС]]-Таблица4[[#This Row],[ДДУС]],)</f>
        <v>0</v>
      </c>
      <c r="P44" s="611"/>
      <c r="Q44" s="234">
        <f>VLOOKUP(ППД5!A41,Реестр_Д5[№],1,0)</f>
        <v>40</v>
      </c>
      <c r="R44" s="234" t="str">
        <f>VLOOKUP(ППД5!CH41,Реестр_Д5[Статус],1,0)</f>
        <v>Продажа</v>
      </c>
      <c r="S44" s="612">
        <f>VLOOKUP(ППД5!BZ41,Реестр_Д5[Стоимость ОН без отделки со скидкой],1,0)</f>
        <v>7111272</v>
      </c>
      <c r="T44" s="612" cm="1">
        <f t="array" ref="T44">IFERROR(INDEX(РД[Стоимость без отделки итог],MATCH($Q$3&amp;Таблица10[[#This Row],[№]]&amp;"Продажа",РД[Дом]&amp;РД[№ кв]&amp;РД[Состояние],0),1),Таблица10[[#This Row],[Статус]])</f>
        <v>7111272</v>
      </c>
      <c r="U44" s="235">
        <f>IFERROR((Таблица10[[#This Row],[ПП]]-Таблица10[[#This Row],[ДДУ]])*1,)</f>
        <v>0</v>
      </c>
      <c r="V44" s="235" cm="1">
        <f t="array" ref="V44">IFERROR(INDEX(РД[Стоимость с отделкой итог],MATCH($Q$3&amp;Таблица10[[#This Row],[№]]&amp;"Продажа",РД[Дом]&amp;РД[№ кв]&amp;РД[Состояние],0),1),Таблица10[[#This Row],[Статус]])</f>
        <v>7576552</v>
      </c>
      <c r="W44" s="235">
        <f>_xlfn.XLOOKUP(Таблица10[[#This Row],[№]],Реестр_Д5[№],Реестр_Д5[Стоимость квартиры с отделкой],"-",0)</f>
        <v>7576552</v>
      </c>
      <c r="X44" s="235">
        <f>IFERROR(Таблица10[[#This Row],[СО ПП]]-Таблица10[[#This Row],[СО ДДУ]],"")</f>
        <v>0</v>
      </c>
      <c r="Y44" s="233" cm="1">
        <f t="array" ref="Y44">IFERROR(INDEX(РД[S],MATCH($Q$3&amp;Таблица10[[#This Row],[№]]&amp;"Продажа",РД[Дом]&amp;РД[№ кв]&amp;РД[Состояние],0),1),Таблица10[[#This Row],[Статус]])</f>
        <v>58.16</v>
      </c>
      <c r="Z44" s="233">
        <f>IF(Таблица10[[#This Row],[№]]&amp;"ДДУ"=ППД5!A41&amp;ППД5!CR41,ППД5!U41,ППД5!V41)</f>
        <v>58.16</v>
      </c>
      <c r="AA44" s="285">
        <f>IFERROR(Таблица10[[#This Row],[S ПП]]-Таблица10[[#This Row],[S ДДУ]],)</f>
        <v>0</v>
      </c>
      <c r="AB44" s="235">
        <f>ROUND(_xlfn.XLOOKUP(Таблица10[[#This Row],[№]],Реестр_Д5[№],Реестр_Д5[Итоговая сумма скидки],"",0),2)</f>
        <v>145128</v>
      </c>
      <c r="AC44" s="235" cm="1">
        <f t="array" ref="AC44">IFERROR(ROUND(_xlfn.XLOOKUP($Q$3&amp;Таблица10[[#This Row],[№]]&amp;"Продажа",РД[Дом]&amp;РД[№ кв]&amp;РД[Состояние],РД[Сумма скидки],"",0,-1),2),Таблица10[[#This Row],[Статус]])</f>
        <v>145128</v>
      </c>
      <c r="AD44" s="285">
        <f>IFERROR(Таблица10[[#This Row],[ППС]]-Таблица10[[#This Row],[ДДУС]],)</f>
        <v>0</v>
      </c>
      <c r="AE44" s="611"/>
      <c r="AF44" s="615">
        <f>VLOOKUP(ППД401!A41,Д401[],1,0)</f>
        <v>40</v>
      </c>
      <c r="AG44" s="234" t="str">
        <f>_xlfn.XLOOKUP(Таблица1[[#This Row],[№]],Д401[№],Д401[Статус],"-",0)</f>
        <v>Стр. Резерв</v>
      </c>
      <c r="AH44" s="612">
        <f>_xlfn.XLOOKUP(Таблица1[[#This Row],[№]],Д401[№],Д401[Стоимость ОН без отделки со скидкой],"-",0)</f>
        <v>10093750</v>
      </c>
      <c r="AI44" s="612" t="str" cm="1">
        <f t="array" ref="AI44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44" s="235" t="str">
        <f>IFERROR((Таблица1[[#This Row],[ПП]]-Таблица1[[#This Row],[ДДУ]])*1,"")</f>
        <v/>
      </c>
      <c r="AK44" s="235" t="str" cm="1">
        <f t="array" ref="AK44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44" s="235">
        <f>_xlfn.XLOOKUP(Таблица1[[#This Row],[№]],Д401[№],Д401[Стоимость квартиры с отделкой],"-",0)</f>
        <v>10093750</v>
      </c>
      <c r="AM44" s="235" t="str">
        <f>IFERROR(Таблица1[[#This Row],[СО ПП]]-Таблица1[[#This Row],[СО ДДУ]],"")</f>
        <v/>
      </c>
      <c r="AN44" s="233" t="str" cm="1">
        <f t="array" ref="AN44">IFERROR(INDEX(РД[S],MATCH($AF$3&amp;Таблица1[[#This Row],[№]]&amp;"Продажа",РД[Дом]&amp;РД[№ кв]&amp;РД[Состояние],0),1),Таблица1[[#This Row],[Статус]])</f>
        <v>Стр. Резерв</v>
      </c>
      <c r="AO44" s="233">
        <f>_xlfn.XLOOKUP(Таблица1[[#This Row],[№]],Д401[№],Д401[Расчетная проектная площадь],"-",0)</f>
        <v>80.75</v>
      </c>
      <c r="AP44" s="235" t="str">
        <f>IFERROR(Таблица1[[#This Row],[S ПП]]-Таблица1[[#This Row],[S ДДУ]],"")</f>
        <v/>
      </c>
      <c r="AQ44" s="235">
        <f>_xlfn.XLOOKUP(Таблица1[[#This Row],[№]],Д401[№],Д401[Итоговая сумма скидки],"-",0)</f>
        <v>0</v>
      </c>
      <c r="AR44" s="235" t="str" cm="1">
        <f t="array" ref="AR44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44" s="285" t="str">
        <f>IFERROR(Таблица1[[#This Row],[ППС]]-Таблица1[[#This Row],[ДДУС]],"")</f>
        <v/>
      </c>
      <c r="AT44" s="611"/>
      <c r="AU44" s="484">
        <f>VLOOKUP(ППД402!A41,Д402[],1,0)</f>
        <v>40</v>
      </c>
      <c r="AV44" s="484" t="str">
        <f>_xlfn.XLOOKUP(Т402[[#This Row],[№]],Д402[№],Д402[Статус],"-",0)</f>
        <v>Стр. Резерв</v>
      </c>
      <c r="AW44" s="613">
        <f>_xlfn.XLOOKUP(Т402[[#This Row],[№]],Д402[№],Д402[Стоимость ОН без отделки со скидкой],"-",0)</f>
        <v>6726200</v>
      </c>
      <c r="AX44" s="614" t="str" cm="1">
        <f t="array" ref="AX4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44" s="485" t="str">
        <f>IFERROR((Т402[[#This Row],[ПП]]-Т402[[#This Row],[ДДУ]])*1,"")</f>
        <v/>
      </c>
      <c r="AZ44" s="486" t="str" cm="1">
        <f t="array" ref="AZ4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44" s="485">
        <f>_xlfn.XLOOKUP(Т402[[#This Row],[№]],Д402[№],Д402[Стоимость квартиры с отделкой],"-",0)</f>
        <v>6726200</v>
      </c>
      <c r="BB44" s="485" t="str">
        <f>IFERROR(Т402[[#This Row],[СО ПП]]-Т402[[#This Row],[СО ДДУ]],"")</f>
        <v/>
      </c>
      <c r="BC44" s="487" t="str" cm="1">
        <f t="array" ref="BC44">IFERROR(INDEX(РД[S],MATCH($AU$3&amp;Т402[[#This Row],[№]]&amp;"Продажа",РД[Дом]&amp;РД[№ кв]&amp;РД[Состояние],0),1),Т402[[#This Row],[Статус]])</f>
        <v>Стр. Резерв</v>
      </c>
      <c r="BD44" s="483">
        <f>_xlfn.XLOOKUP(Т402[[#This Row],[№]],Д402[№],Д402[Расчетная проектная площадь],"-",0)</f>
        <v>54.78</v>
      </c>
      <c r="BE44" s="485" t="str">
        <f>IFERROR(Т402[[#This Row],[S ПП]]-Т402[[#This Row],[S ДДУ]],"")</f>
        <v/>
      </c>
      <c r="BF44" s="485">
        <f>_xlfn.XLOOKUP(Т402[[#This Row],[№]],Д402[№],Д402[Итоговая сумма скидки],"-",0)</f>
        <v>0</v>
      </c>
      <c r="BG44" s="486" t="str" cm="1">
        <f t="array" ref="BG4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44" s="488" t="str">
        <f>IFERROR(Т402[[#This Row],[ППС]]-Т402[[#This Row],[ДДУС]],"")</f>
        <v/>
      </c>
    </row>
    <row r="45" spans="1:60" x14ac:dyDescent="0.2">
      <c r="A45" s="611"/>
      <c r="B45" s="234">
        <f>VLOOKUP(ППД4!A42,Реестр_Д4[№],1,0)</f>
        <v>41</v>
      </c>
      <c r="C45" s="234" t="str">
        <f>VLOOKUP(ППД4!CO42,Реестр_Д4[Статус],1,0)</f>
        <v>Продажа</v>
      </c>
      <c r="D45" s="612">
        <f>VLOOKUP(ППД4!CE42,Реестр_Д4[Стоимость ОН без отделки со скидкой],1,0)</f>
        <v>2459230.35</v>
      </c>
      <c r="E45" s="612" cm="1">
        <f t="array" ref="E45">IFERROR(INDEX(РД[Стоимость без отделки итог],MATCH($B$3&amp;Таблица4[[#This Row],[№]]&amp;"Продажа",РД[Дом]&amp;РД[№ кв]&amp;РД[Состояние],0),1),Таблица4[[#This Row],[Статус]])</f>
        <v>2459230.35</v>
      </c>
      <c r="F45" s="235">
        <f>IFERROR((Таблица4[[#This Row],[ПП]]-Таблица4[[#This Row],[ДДУ]])*1,"")</f>
        <v>0</v>
      </c>
      <c r="G45" s="235" cm="1">
        <f t="array" ref="G45">IFERROR(INDEX(РД[Стоимость с отделкой итог],MATCH($B$3&amp;Таблица4[[#This Row],[№]]&amp;"Продажа",РД[Дом]&amp;РД[№ кв]&amp;РД[Состояние],0),1),Таблица4[[#This Row],[Статус]])</f>
        <v>3196890.35</v>
      </c>
      <c r="H45" s="235">
        <f>_xlfn.XLOOKUP(Таблица4[[#This Row],[№]],Реестр_Д4[№],Реестр_Д4[Стоимость квартиры с отделкой],"-",0)</f>
        <v>3196890.35</v>
      </c>
      <c r="I45" s="235">
        <f>IFERROR(Таблица4[[#This Row],[СО ПП]]-Таблица4[[#This Row],[СО ДДУ]],"")</f>
        <v>0</v>
      </c>
      <c r="J45" s="233" cm="1">
        <f t="array" ref="J45">IFERROR(INDEX(РД[S],MATCH($B$3&amp;Таблица4[[#This Row],[№]]&amp;"Продажа",РД[Дом]&amp;РД[№ кв]&amp;РД[Состояние],0),1),Таблица4[[#This Row],[Статус]])</f>
        <v>33.53</v>
      </c>
      <c r="K45" s="233">
        <f>VLOOKUP(Таблица4[[#This Row],[№]],Реестр_Д4[],20,0)</f>
        <v>33.53</v>
      </c>
      <c r="L45" s="235">
        <f>IFERROR(Таблица4[[#This Row],[S ПП]]-Таблица4[[#This Row],[S ДДУ]],)</f>
        <v>0</v>
      </c>
      <c r="M45" s="235">
        <f>ROUND(_xlfn.XLOOKUP(Таблица4[[#This Row],[№]],Реестр_Д4[№],Реестр_Д4[Итоговая сумма скидки],"",0),2)</f>
        <v>129433.18</v>
      </c>
      <c r="N45" s="235" cm="1">
        <f t="array" ref="N45">IFERROR(ROUND(_xlfn.XLOOKUP($B$3&amp;Таблица4[[#This Row],[№]]&amp;"Продажа",РД[Дом]&amp;РД[№ кв]&amp;РД[Состояние],РД[Сумма скидки],"",0),2),Таблица4[[#This Row],[Статус]])</f>
        <v>129433.18</v>
      </c>
      <c r="O45" s="235">
        <f>IFERROR(Таблица4[[#This Row],[ППС]]-Таблица4[[#This Row],[ДДУС]],)</f>
        <v>0</v>
      </c>
      <c r="P45" s="611"/>
      <c r="Q45" s="234">
        <f>VLOOKUP(ППД5!A42,Реестр_Д5[№],1,0)</f>
        <v>41</v>
      </c>
      <c r="R45" s="234" t="str">
        <f>VLOOKUP(ППД5!CH42,Реестр_Д5[Статус],1,0)</f>
        <v>Продажа</v>
      </c>
      <c r="S45" s="612">
        <f>VLOOKUP(ППД5!BZ42,Реестр_Д5[Стоимость ОН без отделки со скидкой],1,0)</f>
        <v>4629800</v>
      </c>
      <c r="T45" s="612" cm="1">
        <f t="array" ref="T45">IFERROR(INDEX(РД[Стоимость без отделки итог],MATCH($Q$3&amp;Таблица10[[#This Row],[№]]&amp;"Продажа",РД[Дом]&amp;РД[№ кв]&amp;РД[Состояние],0),1),Таблица10[[#This Row],[Статус]])</f>
        <v>4629800</v>
      </c>
      <c r="U45" s="235">
        <f>IFERROR((Таблица10[[#This Row],[ПП]]-Таблица10[[#This Row],[ДДУ]])*1,)</f>
        <v>0</v>
      </c>
      <c r="V45" s="235" cm="1">
        <f t="array" ref="V45">IFERROR(INDEX(РД[Стоимость с отделкой итог],MATCH($Q$3&amp;Таблица10[[#This Row],[№]]&amp;"Продажа",РД[Дом]&amp;РД[№ кв]&amp;РД[Состояние],0),1),Таблица10[[#This Row],[Статус]])</f>
        <v>4929050</v>
      </c>
      <c r="W45" s="235">
        <f>_xlfn.XLOOKUP(Таблица10[[#This Row],[№]],Реестр_Д5[№],Реестр_Д5[Стоимость квартиры с отделкой],"-",0)</f>
        <v>4929050</v>
      </c>
      <c r="X45" s="235">
        <f>IFERROR(Таблица10[[#This Row],[СО ПП]]-Таблица10[[#This Row],[СО ДДУ]],"")</f>
        <v>0</v>
      </c>
      <c r="Y45" s="233" cm="1">
        <f t="array" ref="Y45">IFERROR(INDEX(РД[S],MATCH($Q$3&amp;Таблица10[[#This Row],[№]]&amp;"Продажа",РД[Дом]&amp;РД[№ кв]&amp;РД[Состояние],0),1),Таблица10[[#This Row],[Статус]])</f>
        <v>42.75</v>
      </c>
      <c r="Z45" s="233">
        <f>IF(Таблица10[[#This Row],[№]]&amp;"ДДУ"=ППД5!A42&amp;ППД5!CR42,ППД5!U42,ППД5!V42)</f>
        <v>42.75</v>
      </c>
      <c r="AA45" s="285">
        <f>IFERROR(Таблица10[[#This Row],[S ПП]]-Таблица10[[#This Row],[S ДДУ]],)</f>
        <v>0</v>
      </c>
      <c r="AB45" s="235">
        <f>ROUND(_xlfn.XLOOKUP(Таблица10[[#This Row],[№]],Реестр_Д5[№],Реестр_Д5[Итоговая сумма скидки],"",0),2)</f>
        <v>0</v>
      </c>
      <c r="AC45" s="235" cm="1">
        <f t="array" ref="AC4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" s="285">
        <f>IFERROR(Таблица10[[#This Row],[ППС]]-Таблица10[[#This Row],[ДДУС]],)</f>
        <v>0</v>
      </c>
      <c r="AE45" s="611"/>
      <c r="AF45" s="615">
        <f>VLOOKUP(ППД401!A42,Д401[],1,0)</f>
        <v>41</v>
      </c>
      <c r="AG45" s="234" t="str">
        <f>_xlfn.XLOOKUP(Таблица1[[#This Row],[№]],Д401[№],Д401[Статус],"-",0)</f>
        <v>Продажа</v>
      </c>
      <c r="AH45" s="612">
        <f>_xlfn.XLOOKUP(Таблица1[[#This Row],[№]],Д401[№],Д401[Стоимость ОН без отделки со скидкой],"-",0)</f>
        <v>7983300</v>
      </c>
      <c r="AI45" s="612" cm="1">
        <f t="array" ref="AI45">IFERROR(INDEX(РД[Стоимость без отделки итог],MATCH($AF$3&amp;Таблица1[[#This Row],[№]]&amp;"Продажа",РД[Дом]&amp;РД[№ кв]&amp;РД[Состояние],0),1),Таблица1[[#This Row],[Статус]])</f>
        <v>7983300</v>
      </c>
      <c r="AJ45" s="235">
        <f>IFERROR((Таблица1[[#This Row],[ПП]]-Таблица1[[#This Row],[ДДУ]])*1,"")</f>
        <v>0</v>
      </c>
      <c r="AK45" s="235" cm="1">
        <f t="array" ref="AK45">IFERROR(INDEX(РД[Стоимость с отделкой итог],MATCH($AF$3&amp;Таблица1[[#This Row],[№]]&amp;"Продажа",РД[Дом]&amp;РД[№ кв]&amp;РД[Состояние],0),1),Таблица1[[#This Row],[Статус]])</f>
        <v>7983300</v>
      </c>
      <c r="AL45" s="235">
        <f>_xlfn.XLOOKUP(Таблица1[[#This Row],[№]],Д401[№],Д401[Стоимость квартиры с отделкой],"-",0)</f>
        <v>7983300</v>
      </c>
      <c r="AM45" s="235">
        <f>IFERROR(Таблица1[[#This Row],[СО ПП]]-Таблица1[[#This Row],[СО ДДУ]],"")</f>
        <v>0</v>
      </c>
      <c r="AN45" s="233" cm="1">
        <f t="array" ref="AN45">IFERROR(INDEX(РД[S],MATCH($AF$3&amp;Таблица1[[#This Row],[№]]&amp;"Продажа",РД[Дом]&amp;РД[№ кв]&amp;РД[Состояние],0),1),Таблица1[[#This Row],[Статус]])</f>
        <v>61.41</v>
      </c>
      <c r="AO45" s="233">
        <f>_xlfn.XLOOKUP(Таблица1[[#This Row],[№]],Д401[№],Д401[Расчетная проектная площадь],"-",0)</f>
        <v>61.76</v>
      </c>
      <c r="AP45" s="680">
        <f>IFERROR(Таблица1[[#This Row],[S ПП]]-Таблица1[[#This Row],[S ДДУ]],"")</f>
        <v>0.35000000000000142</v>
      </c>
      <c r="AQ45" s="235">
        <f>_xlfn.XLOOKUP(Таблица1[[#This Row],[№]],Д401[№],Д401[Итоговая сумма скидки],"-",0)</f>
        <v>0</v>
      </c>
      <c r="AR45" s="235" cm="1">
        <f t="array" ref="AR45">IFERROR(ROUND(_xlfn.XLOOKUP($AF$3&amp;Таблица1[[#This Row],[№]]&amp;"Продажа",РД[Дом]&amp;РД[№ кв]&amp;РД[Состояние],РД[Сумма скидки],"",0),2),Таблица1[[#This Row],[Статус]])</f>
        <v>0</v>
      </c>
      <c r="AS45" s="285">
        <f>IFERROR(Таблица1[[#This Row],[ППС]]-Таблица1[[#This Row],[ДДУС]],"")</f>
        <v>0</v>
      </c>
      <c r="AT45" s="611"/>
      <c r="AU45" s="484">
        <f>VLOOKUP(ППД402!A42,Д402[],1,0)</f>
        <v>41</v>
      </c>
      <c r="AV45" s="484" t="str">
        <f>_xlfn.XLOOKUP(Т402[[#This Row],[№]],Д402[№],Д402[Статус],"-",0)</f>
        <v>Продажа</v>
      </c>
      <c r="AW45" s="613">
        <f>_xlfn.XLOOKUP(Т402[[#This Row],[№]],Д402[№],Д402[Стоимость ОН без отделки со скидкой],"-",0)</f>
        <v>4713114</v>
      </c>
      <c r="AX45" s="614" cm="1">
        <f t="array" ref="AX45">IFERROR(INDEX(РД[Стоимость без отделки итог],MATCH($AU$3&amp;Т402[[#This Row],[№]]&amp;"Продажа",РД[Дом]&amp;РД[№ кв]&amp;РД[Состояние],0),1),Т402[[#This Row],[Статус]])</f>
        <v>4713114</v>
      </c>
      <c r="AY45" s="485">
        <f>IFERROR((Т402[[#This Row],[ПП]]-Т402[[#This Row],[ДДУ]])*1,"")</f>
        <v>0</v>
      </c>
      <c r="AZ45" s="486" cm="1">
        <f t="array" ref="AZ45">IFERROR(INDEX(РД[Стоимость с отделкой итог],MATCH($AU$3&amp;Т402[[#This Row],[№]]&amp;"Продажа",РД[Дом]&amp;РД[№ кв]&amp;РД[Состояние],0),1),Т402[[#This Row],[Статус]])</f>
        <v>4713114</v>
      </c>
      <c r="BA45" s="485">
        <f>_xlfn.XLOOKUP(Т402[[#This Row],[№]],Д402[№],Д402[Стоимость квартиры с отделкой],"-",0)</f>
        <v>4713114</v>
      </c>
      <c r="BB45" s="485">
        <f>IFERROR(Т402[[#This Row],[СО ПП]]-Т402[[#This Row],[СО ДДУ]],"")</f>
        <v>0</v>
      </c>
      <c r="BC45" s="487" cm="1">
        <f t="array" ref="BC45">IFERROR(INDEX(РД[S],MATCH($AU$3&amp;Т402[[#This Row],[№]]&amp;"Продажа",РД[Дом]&amp;РД[№ кв]&amp;РД[Состояние],0),1),Т402[[#This Row],[Статус]])</f>
        <v>37.01</v>
      </c>
      <c r="BD45" s="483">
        <f>_xlfn.XLOOKUP(Т402[[#This Row],[№]],Д402[№],Д402[Расчетная проектная площадь],"-",0)</f>
        <v>37.01</v>
      </c>
      <c r="BE45" s="485">
        <f>IFERROR(Т402[[#This Row],[S ПП]]-Т402[[#This Row],[S ДДУ]],"")</f>
        <v>0</v>
      </c>
      <c r="BF45" s="485">
        <f>_xlfn.XLOOKUP(Т402[[#This Row],[№]],Д402[№],Д402[Итоговая сумма скидки],"-",0)</f>
        <v>96186</v>
      </c>
      <c r="BG45" s="486" cm="1">
        <f t="array" ref="BG45">IFERROR(ROUND(_xlfn.XLOOKUP($AU$3&amp;Т402[[#This Row],[№]]&amp;"Продажа",РД[Дом]&amp;РД[№ кв]&amp;РД[Состояние],РД[Сумма скидки],"",0),2),Т402[[#This Row],[Статус]])</f>
        <v>96186</v>
      </c>
      <c r="BH45" s="488">
        <f>IFERROR(Т402[[#This Row],[ППС]]-Т402[[#This Row],[ДДУС]],"")</f>
        <v>0</v>
      </c>
    </row>
    <row r="46" spans="1:60" x14ac:dyDescent="0.2">
      <c r="A46" s="611"/>
      <c r="B46" s="234">
        <f>VLOOKUP(ППД4!A43,Реестр_Д4[№],1,0)</f>
        <v>42</v>
      </c>
      <c r="C46" s="234" t="str">
        <f>VLOOKUP(ППД4!CO43,Реестр_Д4[Статус],1,0)</f>
        <v>Продажа</v>
      </c>
      <c r="D46" s="612">
        <f>VLOOKUP(ППД4!CE43,Реестр_Д4[Стоимость ОН без отделки со скидкой],1,0)</f>
        <v>5469152.2699999996</v>
      </c>
      <c r="E46" s="612" cm="1">
        <f t="array" ref="E46">IFERROR(INDEX(РД[Стоимость без отделки итог],MATCH($B$3&amp;Таблица4[[#This Row],[№]]&amp;"Продажа",РД[Дом]&amp;РД[№ кв]&amp;РД[Состояние],0),1),Таблица4[[#This Row],[Статус]])</f>
        <v>5469152.2699999996</v>
      </c>
      <c r="F46" s="235">
        <f>IFERROR((Таблица4[[#This Row],[ПП]]-Таблица4[[#This Row],[ДДУ]])*1,"")</f>
        <v>0</v>
      </c>
      <c r="G46" s="235" cm="1">
        <f t="array" ref="G46">IFERROR(INDEX(РД[Стоимость с отделкой итог],MATCH($B$3&amp;Таблица4[[#This Row],[№]]&amp;"Продажа",РД[Дом]&amp;РД[№ кв]&amp;РД[Состояние],0),1),Таблица4[[#This Row],[Статус]])</f>
        <v>5469152.2699999996</v>
      </c>
      <c r="H46" s="235">
        <f>_xlfn.XLOOKUP(Таблица4[[#This Row],[№]],Реестр_Д4[№],Реестр_Д4[Стоимость квартиры с отделкой],"-",0)</f>
        <v>5469152.2699999996</v>
      </c>
      <c r="I46" s="235">
        <f>IFERROR(Таблица4[[#This Row],[СО ПП]]-Таблица4[[#This Row],[СО ДДУ]],"")</f>
        <v>0</v>
      </c>
      <c r="J46" s="233" cm="1">
        <f t="array" ref="J46">IFERROR(INDEX(РД[S],MATCH($B$3&amp;Таблица4[[#This Row],[№]]&amp;"Продажа",РД[Дом]&amp;РД[№ кв]&amp;РД[Состояние],0),1),Таблица4[[#This Row],[Статус]])</f>
        <v>61.76</v>
      </c>
      <c r="K46" s="233">
        <f>VLOOKUP(Таблица4[[#This Row],[№]],Реестр_Д4[],20,0)</f>
        <v>61.76</v>
      </c>
      <c r="L46" s="235">
        <f>IFERROR(Таблица4[[#This Row],[S ПП]]-Таблица4[[#This Row],[S ДДУ]],)</f>
        <v>0</v>
      </c>
      <c r="M46" s="235">
        <f>ROUND(_xlfn.XLOOKUP(Таблица4[[#This Row],[№]],Реестр_Д4[№],Реестр_Д4[Итоговая сумма скидки],"",0),2)</f>
        <v>111615.35</v>
      </c>
      <c r="N46" s="235" cm="1">
        <f t="array" ref="N46">IFERROR(ROUND(_xlfn.XLOOKUP($B$3&amp;Таблица4[[#This Row],[№]]&amp;"Продажа",РД[Дом]&amp;РД[№ кв]&amp;РД[Состояние],РД[Сумма скидки],"",0),2),Таблица4[[#This Row],[Статус]])</f>
        <v>111615.35</v>
      </c>
      <c r="O46" s="235">
        <f>IFERROR(Таблица4[[#This Row],[ППС]]-Таблица4[[#This Row],[ДДУС]],)</f>
        <v>0</v>
      </c>
      <c r="P46" s="611"/>
      <c r="Q46" s="234">
        <f>VLOOKUP(ППД5!A43,Реестр_Д5[№],1,0)</f>
        <v>42</v>
      </c>
      <c r="R46" s="234" t="str">
        <f>VLOOKUP(ППД5!CH43,Реестр_Д5[Статус],1,0)</f>
        <v>Продажа</v>
      </c>
      <c r="S46" s="612">
        <f>VLOOKUP(ППД5!BZ43,Реестр_Д5[Стоимость ОН без отделки со скидкой],1,0)</f>
        <v>3789014</v>
      </c>
      <c r="T46" s="612" cm="1">
        <f t="array" ref="T46">IFERROR(INDEX(РД[Стоимость без отделки итог],MATCH($Q$3&amp;Таблица10[[#This Row],[№]]&amp;"Продажа",РД[Дом]&amp;РД[№ кв]&amp;РД[Состояние],0),1),Таблица10[[#This Row],[Статус]])</f>
        <v>3789014</v>
      </c>
      <c r="U46" s="235">
        <f>IFERROR((Таблица10[[#This Row],[ПП]]-Таблица10[[#This Row],[ДДУ]])*1,)</f>
        <v>0</v>
      </c>
      <c r="V46" s="235" cm="1">
        <f t="array" ref="V46">IFERROR(INDEX(РД[Стоимость с отделкой итог],MATCH($Q$3&amp;Таблица10[[#This Row],[№]]&amp;"Продажа",РД[Дом]&amp;РД[№ кв]&amp;РД[Состояние],0),1),Таблица10[[#This Row],[Статус]])</f>
        <v>4476814</v>
      </c>
      <c r="W46" s="235">
        <f>_xlfn.XLOOKUP(Таблица10[[#This Row],[№]],Реестр_Д5[№],Реестр_Д5[Стоимость квартиры с отделкой],"-",0)</f>
        <v>4476814</v>
      </c>
      <c r="X46" s="235">
        <f>IFERROR(Таблица10[[#This Row],[СО ПП]]-Таблица10[[#This Row],[СО ДДУ]],"")</f>
        <v>0</v>
      </c>
      <c r="Y46" s="233" cm="1">
        <f t="array" ref="Y46">IFERROR(INDEX(РД[S],MATCH($Q$3&amp;Таблица10[[#This Row],[№]]&amp;"Продажа",РД[Дом]&amp;РД[№ кв]&amp;РД[Состояние],0),1),Таблица10[[#This Row],[Статус]])</f>
        <v>34.39</v>
      </c>
      <c r="Z46" s="233">
        <f>IF(Таблица10[[#This Row],[№]]&amp;"ДДУ"=ППД5!A43&amp;ППД5!CR43,ППД5!U43,ППД5!V43)</f>
        <v>34.39</v>
      </c>
      <c r="AA46" s="285">
        <f>IFERROR(Таблица10[[#This Row],[S ПП]]-Таблица10[[#This Row],[S ДДУ]],)</f>
        <v>0</v>
      </c>
      <c r="AB46" s="235">
        <f>ROUND(_xlfn.XLOOKUP(Таблица10[[#This Row],[№]],Реестр_Д5[№],Реестр_Д5[Итоговая сумма скидки],"",0),2)</f>
        <v>117186</v>
      </c>
      <c r="AC46" s="235" cm="1">
        <f t="array" ref="AC46">IFERROR(ROUND(_xlfn.XLOOKUP($Q$3&amp;Таблица10[[#This Row],[№]]&amp;"Продажа",РД[Дом]&amp;РД[№ кв]&amp;РД[Состояние],РД[Сумма скидки],"",0,-1),2),Таблица10[[#This Row],[Статус]])</f>
        <v>117186</v>
      </c>
      <c r="AD46" s="285">
        <f>IFERROR(Таблица10[[#This Row],[ППС]]-Таблица10[[#This Row],[ДДУС]],)</f>
        <v>0</v>
      </c>
      <c r="AE46" s="611"/>
      <c r="AF46" s="615">
        <f>VLOOKUP(ППД401!A43,Д401[],1,0)</f>
        <v>42</v>
      </c>
      <c r="AG46" s="234" t="str">
        <f>_xlfn.XLOOKUP(Таблица1[[#This Row],[№]],Д401[№],Д401[Статус],"-",0)</f>
        <v>Стр. Резерв</v>
      </c>
      <c r="AH46" s="612">
        <f>_xlfn.XLOOKUP(Таблица1[[#This Row],[№]],Д401[№],Д401[Стоимость ОН без отделки со скидкой],"-",0)</f>
        <v>4891900</v>
      </c>
      <c r="AI46" s="612" t="str" cm="1">
        <f t="array" ref="AI4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46" s="235" t="str">
        <f>IFERROR((Таблица1[[#This Row],[ПП]]-Таблица1[[#This Row],[ДДУ]])*1,"")</f>
        <v/>
      </c>
      <c r="AK46" s="235" t="str" cm="1">
        <f t="array" ref="AK4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46" s="235">
        <f>_xlfn.XLOOKUP(Таблица1[[#This Row],[№]],Д401[№],Д401[Стоимость квартиры с отделкой],"-",0)</f>
        <v>4891900</v>
      </c>
      <c r="AM46" s="235" t="str">
        <f>IFERROR(Таблица1[[#This Row],[СО ПП]]-Таблица1[[#This Row],[СО ДДУ]],"")</f>
        <v/>
      </c>
      <c r="AN46" s="233" t="str" cm="1">
        <f t="array" ref="AN46">IFERROR(INDEX(РД[S],MATCH($AF$3&amp;Таблица1[[#This Row],[№]]&amp;"Продажа",РД[Дом]&amp;РД[№ кв]&amp;РД[Состояние],0),1),Таблица1[[#This Row],[Статус]])</f>
        <v>Стр. Резерв</v>
      </c>
      <c r="AO46" s="233">
        <f>_xlfn.XLOOKUP(Таблица1[[#This Row],[№]],Д401[№],Д401[Расчетная проектная площадь],"-",0)</f>
        <v>35.5</v>
      </c>
      <c r="AP46" s="235" t="str">
        <f>IFERROR(Таблица1[[#This Row],[S ПП]]-Таблица1[[#This Row],[S ДДУ]],"")</f>
        <v/>
      </c>
      <c r="AQ46" s="235">
        <f>_xlfn.XLOOKUP(Таблица1[[#This Row],[№]],Д401[№],Д401[Итоговая сумма скидки],"-",0)</f>
        <v>0</v>
      </c>
      <c r="AR46" s="235" t="str" cm="1">
        <f t="array" ref="AR4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46" s="285" t="str">
        <f>IFERROR(Таблица1[[#This Row],[ППС]]-Таблица1[[#This Row],[ДДУС]],"")</f>
        <v/>
      </c>
      <c r="AT46" s="611"/>
      <c r="AU46" s="484">
        <f>VLOOKUP(ППД402!A43,Д402[],1,0)</f>
        <v>42</v>
      </c>
      <c r="AV46" s="484" t="str">
        <f>_xlfn.XLOOKUP(Т402[[#This Row],[№]],Д402[№],Д402[Статус],"-",0)</f>
        <v>Свободно</v>
      </c>
      <c r="AW46" s="613">
        <f>_xlfn.XLOOKUP(Т402[[#This Row],[№]],Д402[№],Д402[Стоимость ОН без отделки со скидкой],"-",0)</f>
        <v>5759200</v>
      </c>
      <c r="AX46" s="614" t="str" cm="1">
        <f t="array" ref="AX46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46" s="485" t="str">
        <f>IFERROR((Т402[[#This Row],[ПП]]-Т402[[#This Row],[ДДУ]])*1,"")</f>
        <v/>
      </c>
      <c r="AZ46" s="486" t="str" cm="1">
        <f t="array" ref="AZ46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46" s="485">
        <f>_xlfn.XLOOKUP(Т402[[#This Row],[№]],Д402[№],Д402[Стоимость квартиры с отделкой],"-",0)</f>
        <v>7117000</v>
      </c>
      <c r="BB46" s="485" t="str">
        <f>IFERROR(Т402[[#This Row],[СО ПП]]-Т402[[#This Row],[СО ДДУ]],"")</f>
        <v/>
      </c>
      <c r="BC46" s="487" t="str" cm="1">
        <f t="array" ref="BC46">IFERROR(INDEX(РД[S],MATCH($AU$3&amp;Т402[[#This Row],[№]]&amp;"Продажа",РД[Дом]&amp;РД[№ кв]&amp;РД[Состояние],0),1),Т402[[#This Row],[Статус]])</f>
        <v>Свободно</v>
      </c>
      <c r="BD46" s="483">
        <f>_xlfn.XLOOKUP(Т402[[#This Row],[№]],Д402[№],Д402[Расчетная проектная площадь],"-",0)</f>
        <v>45.26</v>
      </c>
      <c r="BE46" s="485" t="str">
        <f>IFERROR(Т402[[#This Row],[S ПП]]-Т402[[#This Row],[S ДДУ]],"")</f>
        <v/>
      </c>
      <c r="BF46" s="485">
        <f>_xlfn.XLOOKUP(Т402[[#This Row],[№]],Д402[№],Д402[Итоговая сумма скидки],"-",0)</f>
        <v>0</v>
      </c>
      <c r="BG46" s="486" t="str" cm="1">
        <f t="array" ref="BG46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46" s="488" t="str">
        <f>IFERROR(Т402[[#This Row],[ППС]]-Т402[[#This Row],[ДДУС]],"")</f>
        <v/>
      </c>
    </row>
    <row r="47" spans="1:60" x14ac:dyDescent="0.2">
      <c r="A47" s="611"/>
      <c r="B47" s="234">
        <f>VLOOKUP(ППД4!A44,Реестр_Д4[№],1,0)</f>
        <v>43</v>
      </c>
      <c r="C47" s="234" t="str">
        <f>VLOOKUP(ППД4!CO44,Реестр_Д4[Статус],1,0)</f>
        <v>Продажа</v>
      </c>
      <c r="D47" s="612">
        <f>VLOOKUP(ППД4!CE44,Реестр_Д4[Стоимость ОН без отделки со скидкой],1,0)</f>
        <v>3083192.23</v>
      </c>
      <c r="E47" s="612" cm="1">
        <f t="array" ref="E47">IFERROR(INDEX(РД[Стоимость без отделки итог],MATCH($B$3&amp;Таблица4[[#This Row],[№]]&amp;"Продажа",РД[Дом]&amp;РД[№ кв]&amp;РД[Состояние],0),1),Таблица4[[#This Row],[Статус]])</f>
        <v>3083192.23</v>
      </c>
      <c r="F47" s="235">
        <f>IFERROR((Таблица4[[#This Row],[ПП]]-Таблица4[[#This Row],[ДДУ]])*1,"")</f>
        <v>0</v>
      </c>
      <c r="G47" s="235" cm="1">
        <f t="array" ref="G47">IFERROR(INDEX(РД[Стоимость с отделкой итог],MATCH($B$3&amp;Таблица4[[#This Row],[№]]&amp;"Продажа",РД[Дом]&amp;РД[№ кв]&amp;РД[Состояние],0),1),Таблица4[[#This Row],[Статус]])</f>
        <v>3616292.23</v>
      </c>
      <c r="H47" s="235">
        <f>_xlfn.XLOOKUP(Таблица4[[#This Row],[№]],Реестр_Д4[№],Реестр_Д4[Стоимость квартиры с отделкой],"-",0)</f>
        <v>3616292.23</v>
      </c>
      <c r="I47" s="235">
        <f>IFERROR(Таблица4[[#This Row],[СО ПП]]-Таблица4[[#This Row],[СО ДДУ]],"")</f>
        <v>0</v>
      </c>
      <c r="J47" s="233" cm="1">
        <f t="array" ref="J47">IFERROR(INDEX(РД[S],MATCH($B$3&amp;Таблица4[[#This Row],[№]]&amp;"Продажа",РД[Дом]&amp;РД[№ кв]&amp;РД[Состояние],0),1),Таблица4[[#This Row],[Статус]])</f>
        <v>35.54</v>
      </c>
      <c r="K47" s="233">
        <f>VLOOKUP(Таблица4[[#This Row],[№]],Реестр_Д4[],20,0)</f>
        <v>35.54</v>
      </c>
      <c r="L47" s="235">
        <f>IFERROR(Таблица4[[#This Row],[S ПП]]-Таблица4[[#This Row],[S ДДУ]],)</f>
        <v>0</v>
      </c>
      <c r="M47" s="235">
        <f>ROUND(_xlfn.XLOOKUP(Таблица4[[#This Row],[№]],Реестр_Д4[№],Реестр_Д4[Итоговая сумма скидки],"",0),2)</f>
        <v>95356.46</v>
      </c>
      <c r="N47" s="235" cm="1">
        <f t="array" ref="N47">IFERROR(ROUND(_xlfn.XLOOKUP($B$3&amp;Таблица4[[#This Row],[№]]&amp;"Продажа",РД[Дом]&amp;РД[№ кв]&amp;РД[Состояние],РД[Сумма скидки],"",0),2),Таблица4[[#This Row],[Статус]])</f>
        <v>95356.46</v>
      </c>
      <c r="O47" s="235">
        <f>IFERROR(Таблица4[[#This Row],[ППС]]-Таблица4[[#This Row],[ДДУС]],)</f>
        <v>0</v>
      </c>
      <c r="P47" s="611"/>
      <c r="Q47" s="234">
        <f>VLOOKUP(ППД5!A44,Реестр_Д5[№],1,0)</f>
        <v>43</v>
      </c>
      <c r="R47" s="234" t="str">
        <f>VLOOKUP(ППД5!CH44,Реестр_Д5[Статус],1,0)</f>
        <v>Свободно</v>
      </c>
      <c r="S47" s="612">
        <f>VLOOKUP(ППД5!BZ44,Реестр_Д5[Стоимость ОН без отделки со скидкой],1,0)</f>
        <v>8100900</v>
      </c>
      <c r="T47" s="612" t="str" cm="1">
        <f t="array" ref="T4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7" s="235">
        <f>IFERROR((Таблица10[[#This Row],[ПП]]-Таблица10[[#This Row],[ДДУ]])*1,)</f>
        <v>0</v>
      </c>
      <c r="V47" s="235" t="str" cm="1">
        <f t="array" ref="V4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7" s="235">
        <f>_xlfn.XLOOKUP(Таблица10[[#This Row],[№]],Реестр_Д5[№],Реестр_Д5[Стоимость квартиры с отделкой],"-",0)</f>
        <v>8100900</v>
      </c>
      <c r="X47" s="235" t="str">
        <f>IFERROR(Таблица10[[#This Row],[СО ПП]]-Таблица10[[#This Row],[СО ДДУ]],"")</f>
        <v/>
      </c>
      <c r="Y47" s="233" t="str" cm="1">
        <f t="array" ref="Y47">IFERROR(INDEX(РД[S],MATCH($Q$3&amp;Таблица10[[#This Row],[№]]&amp;"Продажа",РД[Дом]&amp;РД[№ кв]&amp;РД[Состояние],0),1),Таблица10[[#This Row],[Статус]])</f>
        <v>Свободно</v>
      </c>
      <c r="Z47" s="233">
        <f>IF(Таблица10[[#This Row],[№]]&amp;"ДДУ"=ППД5!A44&amp;ППД5!CR44,ППД5!U44,ППД5!V44)</f>
        <v>67.600000000000009</v>
      </c>
      <c r="AA47" s="285">
        <f>IFERROR(Таблица10[[#This Row],[S ПП]]-Таблица10[[#This Row],[S ДДУ]],)</f>
        <v>0</v>
      </c>
      <c r="AB47" s="235">
        <f>ROUND(_xlfn.XLOOKUP(Таблица10[[#This Row],[№]],Реестр_Д5[№],Реестр_Д5[Итоговая сумма скидки],"",0),2)</f>
        <v>0</v>
      </c>
      <c r="AC47" s="235" t="str" cm="1">
        <f t="array" ref="AC4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7" s="285">
        <f>IFERROR(Таблица10[[#This Row],[ППС]]-Таблица10[[#This Row],[ДДУС]],)</f>
        <v>0</v>
      </c>
      <c r="AE47" s="611"/>
      <c r="AF47" s="615">
        <f>VLOOKUP(ППД401!A44,Д401[],1,0)</f>
        <v>43</v>
      </c>
      <c r="AG47" s="234" t="str">
        <f>_xlfn.XLOOKUP(Таблица1[[#This Row],[№]],Д401[№],Д401[Статус],"-",0)</f>
        <v>Свободно</v>
      </c>
      <c r="AH47" s="612">
        <f>_xlfn.XLOOKUP(Таблица1[[#This Row],[№]],Д401[№],Д401[Стоимость ОН без отделки со скидкой],"-",0)</f>
        <v>6603352</v>
      </c>
      <c r="AI47" s="612" t="str" cm="1">
        <f t="array" ref="AI47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47" s="235" t="str">
        <f>IFERROR((Таблица1[[#This Row],[ПП]]-Таблица1[[#This Row],[ДДУ]])*1,"")</f>
        <v/>
      </c>
      <c r="AK47" s="235" t="str" cm="1">
        <f t="array" ref="AK47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47" s="235">
        <f>_xlfn.XLOOKUP(Таблица1[[#This Row],[№]],Д401[№],Д401[Стоимость квартиры с отделкой],"-",0)</f>
        <v>6603352</v>
      </c>
      <c r="AM47" s="235" t="str">
        <f>IFERROR(Таблица1[[#This Row],[СО ПП]]-Таблица1[[#This Row],[СО ДДУ]],"")</f>
        <v/>
      </c>
      <c r="AN47" s="233" t="str" cm="1">
        <f t="array" ref="AN47">IFERROR(INDEX(РД[S],MATCH($AF$3&amp;Таблица1[[#This Row],[№]]&amp;"Продажа",РД[Дом]&amp;РД[№ кв]&amp;РД[Состояние],0),1),Таблица1[[#This Row],[Статус]])</f>
        <v>Свободно</v>
      </c>
      <c r="AO47" s="233">
        <f>_xlfn.XLOOKUP(Таблица1[[#This Row],[№]],Д401[№],Д401[Расчетная проектная площадь],"-",0)</f>
        <v>51.75</v>
      </c>
      <c r="AP47" s="235" t="str">
        <f>IFERROR(Таблица1[[#This Row],[S ПП]]-Таблица1[[#This Row],[S ДДУ]],"")</f>
        <v/>
      </c>
      <c r="AQ47" s="235">
        <f>_xlfn.XLOOKUP(Таблица1[[#This Row],[№]],Д401[№],Д401[Итоговая сумма скидки],"-",0)</f>
        <v>0</v>
      </c>
      <c r="AR47" s="235" t="str" cm="1">
        <f t="array" ref="AR47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47" s="285" t="str">
        <f>IFERROR(Таблица1[[#This Row],[ППС]]-Таблица1[[#This Row],[ДДУС]],"")</f>
        <v/>
      </c>
      <c r="AT47" s="611"/>
      <c r="AU47" s="484">
        <f>VLOOKUP(ППД402!A44,Д402[],1,0)</f>
        <v>43</v>
      </c>
      <c r="AV47" s="484" t="str">
        <f>_xlfn.XLOOKUP(Т402[[#This Row],[№]],Д402[№],Д402[Статус],"-",0)</f>
        <v>Свободно</v>
      </c>
      <c r="AW47" s="613">
        <f>_xlfn.XLOOKUP(Т402[[#This Row],[№]],Д402[№],Д402[Стоимость ОН без отделки со скидкой],"-",0)</f>
        <v>4191200</v>
      </c>
      <c r="AX47" s="614" t="str" cm="1">
        <f t="array" ref="AX47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47" s="485" t="str">
        <f>IFERROR((Т402[[#This Row],[ПП]]-Т402[[#This Row],[ДДУ]])*1,"")</f>
        <v/>
      </c>
      <c r="AZ47" s="486" t="str" cm="1">
        <f t="array" ref="AZ47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47" s="485">
        <f>_xlfn.XLOOKUP(Т402[[#This Row],[№]],Д402[№],Д402[Стоимость квартиры с отделкой],"-",0)</f>
        <v>4191200</v>
      </c>
      <c r="BB47" s="485" t="str">
        <f>IFERROR(Т402[[#This Row],[СО ПП]]-Т402[[#This Row],[СО ДДУ]],"")</f>
        <v/>
      </c>
      <c r="BC47" s="487" t="str" cm="1">
        <f t="array" ref="BC47">IFERROR(INDEX(РД[S],MATCH($AU$3&amp;Т402[[#This Row],[№]]&amp;"Продажа",РД[Дом]&amp;РД[№ кв]&amp;РД[Состояние],0),1),Т402[[#This Row],[Статус]])</f>
        <v>Свободно</v>
      </c>
      <c r="BD47" s="483">
        <f>_xlfn.XLOOKUP(Т402[[#This Row],[№]],Д402[№],Д402[Расчетная проектная площадь],"-",0)</f>
        <v>29.69</v>
      </c>
      <c r="BE47" s="485" t="str">
        <f>IFERROR(Т402[[#This Row],[S ПП]]-Т402[[#This Row],[S ДДУ]],"")</f>
        <v/>
      </c>
      <c r="BF47" s="485">
        <f>_xlfn.XLOOKUP(Т402[[#This Row],[№]],Д402[№],Д402[Итоговая сумма скидки],"-",0)</f>
        <v>0</v>
      </c>
      <c r="BG47" s="486" t="str" cm="1">
        <f t="array" ref="BG47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47" s="488" t="str">
        <f>IFERROR(Т402[[#This Row],[ППС]]-Т402[[#This Row],[ДДУС]],"")</f>
        <v/>
      </c>
    </row>
    <row r="48" spans="1:60" x14ac:dyDescent="0.2">
      <c r="A48" s="611"/>
      <c r="B48" s="234">
        <f>VLOOKUP(ППД4!A45,Реестр_Д4[№],1,0)</f>
        <v>44</v>
      </c>
      <c r="C48" s="234" t="str">
        <f>VLOOKUP(ППД4!CO45,Реестр_Д4[Статус],1,0)</f>
        <v>Продажа</v>
      </c>
      <c r="D48" s="612">
        <f>VLOOKUP(ППД4!CE45,Реестр_Д4[Стоимость ОН без отделки со скидкой],1,0)</f>
        <v>4199405.3600000003</v>
      </c>
      <c r="E48" s="612" cm="1">
        <f t="array" ref="E48">IFERROR(INDEX(РД[Стоимость без отделки итог],MATCH($B$3&amp;Таблица4[[#This Row],[№]]&amp;"Продажа",РД[Дом]&amp;РД[№ кв]&amp;РД[Состояние],0),1),Таблица4[[#This Row],[Статус]])</f>
        <v>4199405.3600000003</v>
      </c>
      <c r="F48" s="235">
        <f>IFERROR((Таблица4[[#This Row],[ПП]]-Таблица4[[#This Row],[ДДУ]])*1,"")</f>
        <v>0</v>
      </c>
      <c r="G48" s="235" cm="1">
        <f t="array" ref="G48">IFERROR(INDEX(РД[Стоимость с отделкой итог],MATCH($B$3&amp;Таблица4[[#This Row],[№]]&amp;"Продажа",РД[Дом]&amp;РД[№ кв]&amp;РД[Состояние],0),1),Таблица4[[#This Row],[Статус]])</f>
        <v>5039855.3600000003</v>
      </c>
      <c r="H48" s="235">
        <f>_xlfn.XLOOKUP(Таблица4[[#This Row],[№]],Реестр_Д4[№],Реестр_Д4[Стоимость квартиры с отделкой],"-",0)</f>
        <v>5039855.3600000003</v>
      </c>
      <c r="I48" s="235">
        <f>IFERROR(Таблица4[[#This Row],[СО ПП]]-Таблица4[[#This Row],[СО ДДУ]],"")</f>
        <v>0</v>
      </c>
      <c r="J48" s="233" cm="1">
        <f t="array" ref="J48">IFERROR(INDEX(РД[S],MATCH($B$3&amp;Таблица4[[#This Row],[№]]&amp;"Продажа",РД[Дом]&amp;РД[№ кв]&amp;РД[Состояние],0),1),Таблица4[[#This Row],[Статус]])</f>
        <v>56.03</v>
      </c>
      <c r="K48" s="233">
        <f>VLOOKUP(Таблица4[[#This Row],[№]],Реестр_Д4[],20,0)</f>
        <v>56.03</v>
      </c>
      <c r="L48" s="235">
        <f>IFERROR(Таблица4[[#This Row],[S ПП]]-Таблица4[[#This Row],[S ДДУ]],)</f>
        <v>0</v>
      </c>
      <c r="M48" s="235">
        <f>ROUND(_xlfn.XLOOKUP(Таблица4[[#This Row],[№]],Реестр_Д4[№],Реестр_Д4[Итоговая сумма скидки],"",0),2)</f>
        <v>0</v>
      </c>
      <c r="N48" s="235" cm="1">
        <f t="array" ref="N4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" s="235">
        <f>IFERROR(Таблица4[[#This Row],[ППС]]-Таблица4[[#This Row],[ДДУС]],)</f>
        <v>0</v>
      </c>
      <c r="P48" s="611"/>
      <c r="Q48" s="234">
        <f>VLOOKUP(ППД5!A45,Реестр_Д5[№],1,0)</f>
        <v>44</v>
      </c>
      <c r="R48" s="234" t="str">
        <f>VLOOKUP(ППД5!CH45,Реестр_Д5[Статус],1,0)</f>
        <v>Продажа</v>
      </c>
      <c r="S48" s="612">
        <f>VLOOKUP(ППД5!BZ45,Реестр_Д5[Стоимость ОН без отделки со скидкой],1,0)</f>
        <v>4170212</v>
      </c>
      <c r="T48" s="612" cm="1">
        <f t="array" ref="T48">IFERROR(INDEX(РД[Стоимость без отделки итог],MATCH($Q$3&amp;Таблица10[[#This Row],[№]]&amp;"Продажа",РД[Дом]&amp;РД[№ кв]&amp;РД[Состояние],0),1),Таблица10[[#This Row],[Статус]])</f>
        <v>4170212</v>
      </c>
      <c r="U48" s="235">
        <f>IFERROR((Таблица10[[#This Row],[ПП]]-Таблица10[[#This Row],[ДДУ]])*1,)</f>
        <v>0</v>
      </c>
      <c r="V48" s="235" cm="1">
        <f t="array" ref="V48">IFERROR(INDEX(РД[Стоимость с отделкой итог],MATCH($Q$3&amp;Таблица10[[#This Row],[№]]&amp;"Продажа",РД[Дом]&amp;РД[№ кв]&amp;РД[Состояние],0),1),Таблица10[[#This Row],[Статус]])</f>
        <v>4170212</v>
      </c>
      <c r="W48" s="235">
        <f>_xlfn.XLOOKUP(Таблица10[[#This Row],[№]],Реестр_Д5[№],Реестр_Д5[Стоимость квартиры с отделкой],"-",0)</f>
        <v>4170212</v>
      </c>
      <c r="X48" s="235">
        <f>IFERROR(Таблица10[[#This Row],[СО ПП]]-Таблица10[[#This Row],[СО ДДУ]],"")</f>
        <v>0</v>
      </c>
      <c r="Y48" s="233" cm="1">
        <f t="array" ref="Y48">IFERROR(INDEX(РД[S],MATCH($Q$3&amp;Таблица10[[#This Row],[№]]&amp;"Продажа",РД[Дом]&amp;РД[№ кв]&amp;РД[Состояние],0),1),Таблица10[[#This Row],[Статус]])</f>
        <v>37.729999999999997</v>
      </c>
      <c r="Z48" s="233">
        <f>IF(Таблица10[[#This Row],[№]]&amp;"ДДУ"=ППД5!A45&amp;ППД5!CR45,ППД5!U45,ППД5!V45)</f>
        <v>37.729999999999997</v>
      </c>
      <c r="AA48" s="285">
        <f>IFERROR(Таблица10[[#This Row],[S ПП]]-Таблица10[[#This Row],[S ДДУ]],)</f>
        <v>0</v>
      </c>
      <c r="AB48" s="235">
        <f>ROUND(_xlfn.XLOOKUP(Таблица10[[#This Row],[№]],Реестр_Д5[№],Реестр_Д5[Итоговая сумма скидки],"",0),2)</f>
        <v>88888</v>
      </c>
      <c r="AC48" s="235" cm="1">
        <f t="array" ref="AC48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48" s="285">
        <f>IFERROR(Таблица10[[#This Row],[ППС]]-Таблица10[[#This Row],[ДДУС]],)</f>
        <v>0</v>
      </c>
      <c r="AE48" s="611"/>
      <c r="AF48" s="615">
        <f>VLOOKUP(ППД401!A45,Д401[],1,0)</f>
        <v>44</v>
      </c>
      <c r="AG48" s="234" t="str">
        <f>_xlfn.XLOOKUP(Таблица1[[#This Row],[№]],Д401[№],Д401[Статус],"-",0)</f>
        <v>Свободно</v>
      </c>
      <c r="AH48" s="612">
        <f>_xlfn.XLOOKUP(Таблица1[[#This Row],[№]],Д401[№],Д401[Стоимость ОН без отделки со скидкой],"-",0)</f>
        <v>10093750</v>
      </c>
      <c r="AI48" s="612" t="str" cm="1">
        <f t="array" ref="AI48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48" s="235" t="str">
        <f>IFERROR((Таблица1[[#This Row],[ПП]]-Таблица1[[#This Row],[ДДУ]])*1,"")</f>
        <v/>
      </c>
      <c r="AK48" s="235" t="str" cm="1">
        <f t="array" ref="AK48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48" s="235">
        <f>_xlfn.XLOOKUP(Таблица1[[#This Row],[№]],Д401[№],Д401[Стоимость квартиры с отделкой],"-",0)</f>
        <v>10093750</v>
      </c>
      <c r="AM48" s="235" t="str">
        <f>IFERROR(Таблица1[[#This Row],[СО ПП]]-Таблица1[[#This Row],[СО ДДУ]],"")</f>
        <v/>
      </c>
      <c r="AN48" s="233" t="str" cm="1">
        <f t="array" ref="AN48">IFERROR(INDEX(РД[S],MATCH($AF$3&amp;Таблица1[[#This Row],[№]]&amp;"Продажа",РД[Дом]&amp;РД[№ кв]&amp;РД[Состояние],0),1),Таблица1[[#This Row],[Статус]])</f>
        <v>Свободно</v>
      </c>
      <c r="AO48" s="233">
        <f>_xlfn.XLOOKUP(Таблица1[[#This Row],[№]],Д401[№],Д401[Расчетная проектная площадь],"-",0)</f>
        <v>80.75</v>
      </c>
      <c r="AP48" s="235" t="str">
        <f>IFERROR(Таблица1[[#This Row],[S ПП]]-Таблица1[[#This Row],[S ДДУ]],"")</f>
        <v/>
      </c>
      <c r="AQ48" s="235">
        <f>_xlfn.XLOOKUP(Таблица1[[#This Row],[№]],Д401[№],Д401[Итоговая сумма скидки],"-",0)</f>
        <v>0</v>
      </c>
      <c r="AR48" s="235" t="str" cm="1">
        <f t="array" ref="AR48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48" s="285" t="str">
        <f>IFERROR(Таблица1[[#This Row],[ППС]]-Таблица1[[#This Row],[ДДУС]],"")</f>
        <v/>
      </c>
      <c r="AT48" s="611"/>
      <c r="AU48" s="484">
        <f>VLOOKUP(ППД402!A45,Д402[],1,0)</f>
        <v>44</v>
      </c>
      <c r="AV48" s="484" t="str">
        <f>_xlfn.XLOOKUP(Т402[[#This Row],[№]],Д402[№],Д402[Статус],"-",0)</f>
        <v>Стр. Резерв</v>
      </c>
      <c r="AW48" s="613">
        <f>_xlfn.XLOOKUP(Т402[[#This Row],[№]],Д402[№],Д402[Стоимость ОН без отделки со скидкой],"-",0)</f>
        <v>7531800</v>
      </c>
      <c r="AX48" s="614" t="str" cm="1">
        <f t="array" ref="AX4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48" s="485" t="str">
        <f>IFERROR((Т402[[#This Row],[ПП]]-Т402[[#This Row],[ДДУ]])*1,"")</f>
        <v/>
      </c>
      <c r="AZ48" s="486" t="str" cm="1">
        <f t="array" ref="AZ4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48" s="485">
        <f>_xlfn.XLOOKUP(Т402[[#This Row],[№]],Д402[№],Д402[Стоимость квартиры с отделкой],"-",0)</f>
        <v>7531800</v>
      </c>
      <c r="BB48" s="485" t="str">
        <f>IFERROR(Т402[[#This Row],[СО ПП]]-Т402[[#This Row],[СО ДДУ]],"")</f>
        <v/>
      </c>
      <c r="BC48" s="487" t="str" cm="1">
        <f t="array" ref="BC48">IFERROR(INDEX(РД[S],MATCH($AU$3&amp;Т402[[#This Row],[№]]&amp;"Продажа",РД[Дом]&amp;РД[№ кв]&amp;РД[Состояние],0),1),Т402[[#This Row],[Статус]])</f>
        <v>Стр. Резерв</v>
      </c>
      <c r="BD48" s="483">
        <f>_xlfn.XLOOKUP(Т402[[#This Row],[№]],Д402[№],Д402[Расчетная проектная площадь],"-",0)</f>
        <v>60.11</v>
      </c>
      <c r="BE48" s="485" t="str">
        <f>IFERROR(Т402[[#This Row],[S ПП]]-Т402[[#This Row],[S ДДУ]],"")</f>
        <v/>
      </c>
      <c r="BF48" s="485">
        <f>_xlfn.XLOOKUP(Т402[[#This Row],[№]],Д402[№],Д402[Итоговая сумма скидки],"-",0)</f>
        <v>0</v>
      </c>
      <c r="BG48" s="486" t="str" cm="1">
        <f t="array" ref="BG4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48" s="488" t="str">
        <f>IFERROR(Т402[[#This Row],[ППС]]-Т402[[#This Row],[ДДУС]],"")</f>
        <v/>
      </c>
    </row>
    <row r="49" spans="1:60" x14ac:dyDescent="0.2">
      <c r="A49" s="611"/>
      <c r="B49" s="234">
        <f>VLOOKUP(ППД4!A46,Реестр_Д4[№],1,0)</f>
        <v>45</v>
      </c>
      <c r="C49" s="234" t="str">
        <f>VLOOKUP(ППД4!CO46,Реестр_Д4[Статус],1,0)</f>
        <v>Продажа</v>
      </c>
      <c r="D49" s="612">
        <f>VLOOKUP(ППД4!CE46,Реестр_Д4[Стоимость ОН без отделки со скидкой],1,0)</f>
        <v>4096724.91</v>
      </c>
      <c r="E49" s="612" cm="1">
        <f t="array" ref="E49">IFERROR(INDEX(РД[Стоимость без отделки итог],MATCH($B$3&amp;Таблица4[[#This Row],[№]]&amp;"Продажа",РД[Дом]&amp;РД[№ кв]&amp;РД[Состояние],0),1),Таблица4[[#This Row],[Статус]])</f>
        <v>4096724.9100000025</v>
      </c>
      <c r="F49" s="235">
        <f>IFERROR((Таблица4[[#This Row],[ПП]]-Таблица4[[#This Row],[ДДУ]])*1,"")</f>
        <v>-2.3283064365386963E-9</v>
      </c>
      <c r="G49" s="235" cm="1">
        <f t="array" ref="G49">IFERROR(INDEX(РД[Стоимость с отделкой итог],MATCH($B$3&amp;Таблица4[[#This Row],[№]]&amp;"Продажа",РД[Дом]&amp;РД[№ кв]&amp;РД[Состояние],0),1),Таблица4[[#This Row],[Статус]])</f>
        <v>4315364.91</v>
      </c>
      <c r="H49" s="235">
        <f>_xlfn.XLOOKUP(Таблица4[[#This Row],[№]],Реестр_Д4[№],Реестр_Д4[Стоимость квартиры с отделкой],"-",0)</f>
        <v>4315364.91</v>
      </c>
      <c r="I49" s="235">
        <f>IFERROR(Таблица4[[#This Row],[СО ПП]]-Таблица4[[#This Row],[СО ДДУ]],"")</f>
        <v>0</v>
      </c>
      <c r="J49" s="233" cm="1">
        <f t="array" ref="J49">IFERROR(INDEX(РД[S],MATCH($B$3&amp;Таблица4[[#This Row],[№]]&amp;"Продажа",РД[Дом]&amp;РД[№ кв]&amp;РД[Состояние],0),1),Таблица4[[#This Row],[Статус]])</f>
        <v>54.66</v>
      </c>
      <c r="K49" s="233">
        <f>VLOOKUP(Таблица4[[#This Row],[№]],Реестр_Д4[],20,0)</f>
        <v>54.66</v>
      </c>
      <c r="L49" s="235">
        <f>IFERROR(Таблица4[[#This Row],[S ПП]]-Таблица4[[#This Row],[S ДДУ]],)</f>
        <v>0</v>
      </c>
      <c r="M49" s="235">
        <f>ROUND(_xlfn.XLOOKUP(Таблица4[[#This Row],[№]],Реестр_Д4[№],Реестр_Д4[Итоговая сумма скидки],"",0),2)</f>
        <v>0</v>
      </c>
      <c r="N49" s="235" cm="1">
        <f t="array" ref="N4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" s="235">
        <f>IFERROR(Таблица4[[#This Row],[ППС]]-Таблица4[[#This Row],[ДДУС]],)</f>
        <v>0</v>
      </c>
      <c r="P49" s="611"/>
      <c r="Q49" s="234">
        <f>VLOOKUP(ППД5!A46,Реестр_Д5[№],1,0)</f>
        <v>45</v>
      </c>
      <c r="R49" s="234" t="str">
        <f>VLOOKUP(ППД5!CH46,Реестр_Д5[Статус],1,0)</f>
        <v>Продажа</v>
      </c>
      <c r="S49" s="612">
        <f>VLOOKUP(ППД5!BZ46,Реестр_Д5[Стоимость ОН без отделки со скидкой],1,0)</f>
        <v>5384955</v>
      </c>
      <c r="T49" s="612" cm="1">
        <f t="array" ref="T49">IFERROR(INDEX(РД[Стоимость без отделки итог],MATCH($Q$3&amp;Таблица10[[#This Row],[№]]&amp;"Продажа",РД[Дом]&amp;РД[№ кв]&amp;РД[Состояние],0),1),Таблица10[[#This Row],[Статус]])</f>
        <v>5384955</v>
      </c>
      <c r="U49" s="235">
        <f>IFERROR((Таблица10[[#This Row],[ПП]]-Таблица10[[#This Row],[ДДУ]])*1,)</f>
        <v>0</v>
      </c>
      <c r="V49" s="235" cm="1">
        <f t="array" ref="V49">IFERROR(INDEX(РД[Стоимость с отделкой итог],MATCH($Q$3&amp;Таблица10[[#This Row],[№]]&amp;"Продажа",РД[Дом]&amp;РД[№ кв]&amp;РД[Состояние],0),1),Таблица10[[#This Row],[Статус]])</f>
        <v>5798585</v>
      </c>
      <c r="W49" s="235">
        <f>_xlfn.XLOOKUP(Таблица10[[#This Row],[№]],Реестр_Д5[№],Реестр_Д5[Стоимость квартиры с отделкой],"-",0)</f>
        <v>5798585</v>
      </c>
      <c r="X49" s="235">
        <f>IFERROR(Таблица10[[#This Row],[СО ПП]]-Таблица10[[#This Row],[СО ДДУ]],"")</f>
        <v>0</v>
      </c>
      <c r="Y49" s="233" cm="1">
        <f t="array" ref="Y49">IFERROR(INDEX(РД[S],MATCH($Q$3&amp;Таблица10[[#This Row],[№]]&amp;"Продажа",РД[Дом]&amp;РД[№ кв]&amp;РД[Состояние],0),1),Таблица10[[#This Row],[Статус]])</f>
        <v>59.09</v>
      </c>
      <c r="Z49" s="233">
        <f>IF(Таблица10[[#This Row],[№]]&amp;"ДДУ"=ППД5!A46&amp;ППД5!CR46,ППД5!U46,ППД5!V46)</f>
        <v>59.09</v>
      </c>
      <c r="AA49" s="285">
        <f>IFERROR(Таблица10[[#This Row],[S ПП]]-Таблица10[[#This Row],[S ДДУ]],)</f>
        <v>0</v>
      </c>
      <c r="AB49" s="235">
        <f>ROUND(_xlfn.XLOOKUP(Таблица10[[#This Row],[№]],Реестр_Д5[№],Реестр_Д5[Итоговая сумма скидки],"",0),2)</f>
        <v>166545</v>
      </c>
      <c r="AC49" s="235" cm="1">
        <f t="array" ref="AC49">IFERROR(ROUND(_xlfn.XLOOKUP($Q$3&amp;Таблица10[[#This Row],[№]]&amp;"Продажа",РД[Дом]&amp;РД[№ кв]&amp;РД[Состояние],РД[Сумма скидки],"",0,-1),2),Таблица10[[#This Row],[Статус]])</f>
        <v>166545</v>
      </c>
      <c r="AD49" s="285">
        <f>IFERROR(Таблица10[[#This Row],[ППС]]-Таблица10[[#This Row],[ДДУС]],)</f>
        <v>0</v>
      </c>
      <c r="AE49" s="611"/>
      <c r="AF49" s="615">
        <f>VLOOKUP(ППД401!A46,Д401[],1,0)</f>
        <v>45</v>
      </c>
      <c r="AG49" s="234" t="str">
        <f>_xlfn.XLOOKUP(Таблица1[[#This Row],[№]],Д401[№],Д401[Статус],"-",0)</f>
        <v>Продажа</v>
      </c>
      <c r="AH49" s="612">
        <f>_xlfn.XLOOKUP(Таблица1[[#This Row],[№]],Д401[№],Д401[Стоимость ОН без отделки со скидкой],"-",0)</f>
        <v>7409584</v>
      </c>
      <c r="AI49" s="612" cm="1">
        <f t="array" ref="AI49">IFERROR(INDEX(РД[Стоимость без отделки итог],MATCH($AF$3&amp;Таблица1[[#This Row],[№]]&amp;"Продажа",РД[Дом]&amp;РД[№ кв]&amp;РД[Состояние],0),1),Таблица1[[#This Row],[Статус]])</f>
        <v>7409584</v>
      </c>
      <c r="AJ49" s="235">
        <f>IFERROR((Таблица1[[#This Row],[ПП]]-Таблица1[[#This Row],[ДДУ]])*1,"")</f>
        <v>0</v>
      </c>
      <c r="AK49" s="235" cm="1">
        <f t="array" ref="AK49">IFERROR(INDEX(РД[Стоимость с отделкой итог],MATCH($AF$3&amp;Таблица1[[#This Row],[№]]&amp;"Продажа",РД[Дом]&amp;РД[№ кв]&amp;РД[Состояние],0),1),Таблица1[[#This Row],[Статус]])</f>
        <v>7409584</v>
      </c>
      <c r="AL49" s="235">
        <f>_xlfn.XLOOKUP(Таблица1[[#This Row],[№]],Д401[№],Д401[Стоимость квартиры с отделкой],"-",0)</f>
        <v>7409584</v>
      </c>
      <c r="AM49" s="235">
        <f>IFERROR(Таблица1[[#This Row],[СО ПП]]-Таблица1[[#This Row],[СО ДДУ]],"")</f>
        <v>0</v>
      </c>
      <c r="AN49" s="233" cm="1">
        <f t="array" ref="AN49">IFERROR(INDEX(РД[S],MATCH($AF$3&amp;Таблица1[[#This Row],[№]]&amp;"Продажа",РД[Дом]&amp;РД[№ кв]&amp;РД[Состояние],0),1),Таблица1[[#This Row],[Статус]])</f>
        <v>61.41</v>
      </c>
      <c r="AO49" s="233">
        <f>_xlfn.XLOOKUP(Таблица1[[#This Row],[№]],Д401[№],Д401[Расчетная проектная площадь],"-",0)</f>
        <v>61.76</v>
      </c>
      <c r="AP49" s="680">
        <f>IFERROR(Таблица1[[#This Row],[S ПП]]-Таблица1[[#This Row],[S ДДУ]],"")</f>
        <v>0.35000000000000142</v>
      </c>
      <c r="AQ49" s="235">
        <f>_xlfn.XLOOKUP(Таблица1[[#This Row],[№]],Д401[№],Д401[Итоговая сумма скидки],"-",0)</f>
        <v>151216</v>
      </c>
      <c r="AR49" s="235" cm="1">
        <f t="array" ref="AR49">IFERROR(ROUND(_xlfn.XLOOKUP($AF$3&amp;Таблица1[[#This Row],[№]]&amp;"Продажа",РД[Дом]&amp;РД[№ кв]&amp;РД[Состояние],РД[Сумма скидки],"",0),2),Таблица1[[#This Row],[Статус]])</f>
        <v>151216</v>
      </c>
      <c r="AS49" s="285">
        <f>IFERROR(Таблица1[[#This Row],[ППС]]-Таблица1[[#This Row],[ДДУС]],"")</f>
        <v>0</v>
      </c>
      <c r="AT49" s="611"/>
      <c r="AU49" s="484">
        <f>VLOOKUP(ППД402!A46,Д402[],1,0)</f>
        <v>45</v>
      </c>
      <c r="AV49" s="484" t="str">
        <f>_xlfn.XLOOKUP(Т402[[#This Row],[№]],Д402[№],Д402[Статус],"-",0)</f>
        <v>Стр. Резерв</v>
      </c>
      <c r="AW49" s="613">
        <f>_xlfn.XLOOKUP(Т402[[#This Row],[№]],Д402[№],Д402[Стоимость ОН без отделки со скидкой],"-",0)</f>
        <v>6485600</v>
      </c>
      <c r="AX49" s="614" t="str" cm="1">
        <f t="array" ref="AX4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49" s="485" t="str">
        <f>IFERROR((Т402[[#This Row],[ПП]]-Т402[[#This Row],[ДДУ]])*1,"")</f>
        <v/>
      </c>
      <c r="AZ49" s="486" t="str" cm="1">
        <f t="array" ref="AZ4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49" s="485">
        <f>_xlfn.XLOOKUP(Т402[[#This Row],[№]],Д402[№],Д402[Стоимость квартиры с отделкой],"-",0)</f>
        <v>6485600</v>
      </c>
      <c r="BB49" s="485" t="str">
        <f>IFERROR(Т402[[#This Row],[СО ПП]]-Т402[[#This Row],[СО ДДУ]],"")</f>
        <v/>
      </c>
      <c r="BC49" s="487" t="str" cm="1">
        <f t="array" ref="BC49">IFERROR(INDEX(РД[S],MATCH($AU$3&amp;Т402[[#This Row],[№]]&amp;"Продажа",РД[Дом]&amp;РД[№ кв]&amp;РД[Состояние],0),1),Т402[[#This Row],[Статус]])</f>
        <v>Стр. Резерв</v>
      </c>
      <c r="BD49" s="483">
        <f>_xlfn.XLOOKUP(Т402[[#This Row],[№]],Д402[№],Д402[Расчетная проектная площадь],"-",0)</f>
        <v>54.85</v>
      </c>
      <c r="BE49" s="485" t="str">
        <f>IFERROR(Т402[[#This Row],[S ПП]]-Т402[[#This Row],[S ДДУ]],"")</f>
        <v/>
      </c>
      <c r="BF49" s="485">
        <f>_xlfn.XLOOKUP(Т402[[#This Row],[№]],Д402[№],Д402[Итоговая сумма скидки],"-",0)</f>
        <v>0</v>
      </c>
      <c r="BG49" s="486" t="str" cm="1">
        <f t="array" ref="BG4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49" s="488" t="str">
        <f>IFERROR(Т402[[#This Row],[ППС]]-Т402[[#This Row],[ДДУС]],"")</f>
        <v/>
      </c>
    </row>
    <row r="50" spans="1:60" x14ac:dyDescent="0.2">
      <c r="A50" s="611"/>
      <c r="B50" s="234">
        <f>VLOOKUP(ППД4!A47,Реестр_Д4[№],1,0)</f>
        <v>46</v>
      </c>
      <c r="C50" s="234" t="str">
        <f>VLOOKUP(ППД4!CO47,Реестр_Д4[Статус],1,0)</f>
        <v>Продажа</v>
      </c>
      <c r="D50" s="612">
        <f>VLOOKUP(ППД4!CE47,Реестр_Д4[Стоимость ОН без отделки со скидкой],1,0)</f>
        <v>5206510.7300000004</v>
      </c>
      <c r="E50" s="612" cm="1">
        <f t="array" ref="E50">IFERROR(INDEX(РД[Стоимость без отделки итог],MATCH($B$3&amp;Таблица4[[#This Row],[№]]&amp;"Продажа",РД[Дом]&amp;РД[№ кв]&amp;РД[Состояние],0),1),Таблица4[[#This Row],[Статус]])</f>
        <v>5206510.7300000004</v>
      </c>
      <c r="F50" s="235">
        <f>IFERROR((Таблица4[[#This Row],[ПП]]-Таблица4[[#This Row],[ДДУ]])*1,"")</f>
        <v>0</v>
      </c>
      <c r="G50" s="235" cm="1">
        <f t="array" ref="G50">IFERROR(INDEX(РД[Стоимость с отделкой итог],MATCH($B$3&amp;Таблица4[[#This Row],[№]]&amp;"Продажа",РД[Дом]&amp;РД[№ кв]&amp;РД[Состояние],0),1),Таблица4[[#This Row],[Статус]])</f>
        <v>5445990.7300000004</v>
      </c>
      <c r="H50" s="235">
        <f>_xlfn.XLOOKUP(Таблица4[[#This Row],[№]],Реестр_Д4[№],Реестр_Д4[Стоимость квартиры с отделкой],"-",0)</f>
        <v>5445990.7300000004</v>
      </c>
      <c r="I50" s="235">
        <f>IFERROR(Таблица4[[#This Row],[СО ПП]]-Таблица4[[#This Row],[СО ДДУ]],"")</f>
        <v>0</v>
      </c>
      <c r="J50" s="233" cm="1">
        <f t="array" ref="J50">IFERROR(INDEX(РД[S],MATCH($B$3&amp;Таблица4[[#This Row],[№]]&amp;"Продажа",РД[Дом]&amp;РД[№ кв]&amp;РД[Состояние],0),1),Таблица4[[#This Row],[Статус]])</f>
        <v>59.87</v>
      </c>
      <c r="K50" s="233">
        <f>VLOOKUP(Таблица4[[#This Row],[№]],Реестр_Д4[],20,0)</f>
        <v>59.87</v>
      </c>
      <c r="L50" s="235">
        <f>IFERROR(Таблица4[[#This Row],[S ПП]]-Таблица4[[#This Row],[S ДДУ]],)</f>
        <v>0</v>
      </c>
      <c r="M50" s="235">
        <f>ROUND(_xlfn.XLOOKUP(Таблица4[[#This Row],[№]],Реестр_Д4[№],Реестр_Д4[Итоговая сумма скидки],"",0),2)</f>
        <v>239480</v>
      </c>
      <c r="N50" s="235" cm="1">
        <f t="array" ref="N50">IFERROR(ROUND(_xlfn.XLOOKUP($B$3&amp;Таблица4[[#This Row],[№]]&amp;"Продажа",РД[Дом]&amp;РД[№ кв]&amp;РД[Состояние],РД[Сумма скидки],"",0),2),Таблица4[[#This Row],[Статус]])</f>
        <v>239480</v>
      </c>
      <c r="O50" s="235">
        <f>IFERROR(Таблица4[[#This Row],[ППС]]-Таблица4[[#This Row],[ДДУС]],)</f>
        <v>0</v>
      </c>
      <c r="P50" s="611"/>
      <c r="Q50" s="234">
        <f>VLOOKUP(ППД5!A47,Реестр_Д5[№],1,0)</f>
        <v>46</v>
      </c>
      <c r="R50" s="234" t="str">
        <f>VLOOKUP(ППД5!CH47,Реестр_Д5[Статус],1,0)</f>
        <v>Продажа</v>
      </c>
      <c r="S50" s="612">
        <f>VLOOKUP(ППД5!BZ47,Реестр_Д5[Стоимость ОН без отделки со скидкой],1,0)</f>
        <v>5369700</v>
      </c>
      <c r="T50" s="612" cm="1">
        <f t="array" ref="T50">IFERROR(INDEX(РД[Стоимость без отделки итог],MATCH($Q$3&amp;Таблица10[[#This Row],[№]]&amp;"Продажа",РД[Дом]&amp;РД[№ кв]&amp;РД[Состояние],0),1),Таблица10[[#This Row],[Статус]])</f>
        <v>5369700</v>
      </c>
      <c r="U50" s="235">
        <f>IFERROR((Таблица10[[#This Row],[ПП]]-Таблица10[[#This Row],[ДДУ]])*1,)</f>
        <v>0</v>
      </c>
      <c r="V50" s="235" cm="1">
        <f t="array" ref="V50">IFERROR(INDEX(РД[Стоимость с отделкой итог],MATCH($Q$3&amp;Таблица10[[#This Row],[№]]&amp;"Продажа",РД[Дом]&amp;РД[№ кв]&amp;РД[Состояние],0),1),Таблица10[[#This Row],[Статус]])</f>
        <v>6737440</v>
      </c>
      <c r="W50" s="235">
        <f>_xlfn.XLOOKUP(Таблица10[[#This Row],[№]],Реестр_Д5[№],Реестр_Д5[Стоимость квартиры с отделкой],"-",0)</f>
        <v>6737440</v>
      </c>
      <c r="X50" s="235">
        <f>IFERROR(Таблица10[[#This Row],[СО ПП]]-Таблица10[[#This Row],[СО ДДУ]],"")</f>
        <v>0</v>
      </c>
      <c r="Y50" s="233" cm="1">
        <f t="array" ref="Y50">IFERROR(INDEX(РД[S],MATCH($Q$3&amp;Таблица10[[#This Row],[№]]&amp;"Продажа",РД[Дом]&amp;РД[№ кв]&amp;РД[Состояние],0),1),Таблица10[[#This Row],[Статус]])</f>
        <v>62.17</v>
      </c>
      <c r="Z50" s="233">
        <f>IF(Таблица10[[#This Row],[№]]&amp;"ДДУ"=ППД5!A47&amp;ППД5!CR47,ППД5!U47,ППД5!V47)</f>
        <v>62.17</v>
      </c>
      <c r="AA50" s="285">
        <f>IFERROR(Таблица10[[#This Row],[S ПП]]-Таблица10[[#This Row],[S ДДУ]],)</f>
        <v>0</v>
      </c>
      <c r="AB50" s="235">
        <f>ROUND(_xlfn.XLOOKUP(Таблица10[[#This Row],[№]],Реестр_Д5[№],Реестр_Д5[Итоговая сумма скидки],"",0),2)</f>
        <v>30000</v>
      </c>
      <c r="AC50" s="235" cm="1">
        <f t="array" ref="AC50">IFERROR(ROUND(_xlfn.XLOOKUP($Q$3&amp;Таблица10[[#This Row],[№]]&amp;"Продажа",РД[Дом]&amp;РД[№ кв]&amp;РД[Состояние],РД[Сумма скидки],"",0,-1),2),Таблица10[[#This Row],[Статус]])</f>
        <v>30000</v>
      </c>
      <c r="AD50" s="285">
        <f>IFERROR(Таблица10[[#This Row],[ППС]]-Таблица10[[#This Row],[ДДУС]],)</f>
        <v>0</v>
      </c>
      <c r="AE50" s="611"/>
      <c r="AF50" s="615">
        <f>VLOOKUP(ППД401!A47,Д401[],1,0)</f>
        <v>46</v>
      </c>
      <c r="AG50" s="234" t="str">
        <f>_xlfn.XLOOKUP(Таблица1[[#This Row],[№]],Д401[№],Д401[Статус],"-",0)</f>
        <v>Стр. Резерв</v>
      </c>
      <c r="AH50" s="612">
        <f>_xlfn.XLOOKUP(Таблица1[[#This Row],[№]],Д401[№],Д401[Стоимость ОН без отделки со скидкой],"-",0)</f>
        <v>4891900</v>
      </c>
      <c r="AI50" s="612" t="str" cm="1">
        <f t="array" ref="AI5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50" s="235" t="str">
        <f>IFERROR((Таблица1[[#This Row],[ПП]]-Таблица1[[#This Row],[ДДУ]])*1,"")</f>
        <v/>
      </c>
      <c r="AK50" s="235" t="str" cm="1">
        <f t="array" ref="AK5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50" s="235">
        <f>_xlfn.XLOOKUP(Таблица1[[#This Row],[№]],Д401[№],Д401[Стоимость квартиры с отделкой],"-",0)</f>
        <v>4891900</v>
      </c>
      <c r="AM50" s="235" t="str">
        <f>IFERROR(Таблица1[[#This Row],[СО ПП]]-Таблица1[[#This Row],[СО ДДУ]],"")</f>
        <v/>
      </c>
      <c r="AN50" s="233" t="str" cm="1">
        <f t="array" ref="AN50">IFERROR(INDEX(РД[S],MATCH($AF$3&amp;Таблица1[[#This Row],[№]]&amp;"Продажа",РД[Дом]&amp;РД[№ кв]&amp;РД[Состояние],0),1),Таблица1[[#This Row],[Статус]])</f>
        <v>Стр. Резерв</v>
      </c>
      <c r="AO50" s="233">
        <f>_xlfn.XLOOKUP(Таблица1[[#This Row],[№]],Д401[№],Д401[Расчетная проектная площадь],"-",0)</f>
        <v>35.5</v>
      </c>
      <c r="AP50" s="235" t="str">
        <f>IFERROR(Таблица1[[#This Row],[S ПП]]-Таблица1[[#This Row],[S ДДУ]],"")</f>
        <v/>
      </c>
      <c r="AQ50" s="235">
        <f>_xlfn.XLOOKUP(Таблица1[[#This Row],[№]],Д401[№],Д401[Итоговая сумма скидки],"-",0)</f>
        <v>0</v>
      </c>
      <c r="AR50" s="235" t="str" cm="1">
        <f t="array" ref="AR5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50" s="285" t="str">
        <f>IFERROR(Таблица1[[#This Row],[ППС]]-Таблица1[[#This Row],[ДДУС]],"")</f>
        <v/>
      </c>
      <c r="AT50" s="611"/>
      <c r="AU50" s="484">
        <f>VLOOKUP(ППД402!A47,Д402[],1,0)</f>
        <v>46</v>
      </c>
      <c r="AV50" s="484" t="str">
        <f>_xlfn.XLOOKUP(Т402[[#This Row],[№]],Д402[№],Д402[Статус],"-",0)</f>
        <v>Стр. Резерв</v>
      </c>
      <c r="AW50" s="613">
        <f>_xlfn.XLOOKUP(Т402[[#This Row],[№]],Д402[№],Д402[Стоимость ОН без отделки со скидкой],"-",0)</f>
        <v>6601800</v>
      </c>
      <c r="AX50" s="614" t="str" cm="1">
        <f t="array" ref="AX5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0" s="485" t="str">
        <f>IFERROR((Т402[[#This Row],[ПП]]-Т402[[#This Row],[ДДУ]])*1,"")</f>
        <v/>
      </c>
      <c r="AZ50" s="486" t="str" cm="1">
        <f t="array" ref="AZ5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0" s="485">
        <f>_xlfn.XLOOKUP(Т402[[#This Row],[№]],Д402[№],Д402[Стоимость квартиры с отделкой],"-",0)</f>
        <v>6601800</v>
      </c>
      <c r="BB50" s="485" t="str">
        <f>IFERROR(Т402[[#This Row],[СО ПП]]-Т402[[#This Row],[СО ДДУ]],"")</f>
        <v/>
      </c>
      <c r="BC50" s="487" t="str" cm="1">
        <f t="array" ref="BC50">IFERROR(INDEX(РД[S],MATCH($AU$3&amp;Т402[[#This Row],[№]]&amp;"Продажа",РД[Дом]&amp;РД[№ кв]&amp;РД[Состояние],0),1),Т402[[#This Row],[Статус]])</f>
        <v>Стр. Резерв</v>
      </c>
      <c r="BD50" s="483">
        <f>_xlfn.XLOOKUP(Т402[[#This Row],[№]],Д402[№],Д402[Расчетная проектная площадь],"-",0)</f>
        <v>54.78</v>
      </c>
      <c r="BE50" s="485" t="str">
        <f>IFERROR(Т402[[#This Row],[S ПП]]-Т402[[#This Row],[S ДДУ]],"")</f>
        <v/>
      </c>
      <c r="BF50" s="485">
        <f>_xlfn.XLOOKUP(Т402[[#This Row],[№]],Д402[№],Д402[Итоговая сумма скидки],"-",0)</f>
        <v>0</v>
      </c>
      <c r="BG50" s="486" t="str" cm="1">
        <f t="array" ref="BG5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0" s="488" t="str">
        <f>IFERROR(Т402[[#This Row],[ППС]]-Т402[[#This Row],[ДДУС]],"")</f>
        <v/>
      </c>
    </row>
    <row r="51" spans="1:60" x14ac:dyDescent="0.2">
      <c r="A51" s="611"/>
      <c r="B51" s="234">
        <f>VLOOKUP(ППД4!A48,Реестр_Д4[№],1,0)</f>
        <v>47</v>
      </c>
      <c r="C51" s="234" t="str">
        <f>VLOOKUP(ППД4!CO48,Реестр_Д4[Статус],1,0)</f>
        <v>Продажа</v>
      </c>
      <c r="D51" s="612">
        <f>VLOOKUP(ППД4!CE48,Реестр_Д4[Стоимость ОН без отделки со скидкой],1,0)</f>
        <v>1813063.69</v>
      </c>
      <c r="E51" s="612" cm="1">
        <f t="array" ref="E51">IFERROR(INDEX(РД[Стоимость без отделки итог],MATCH($B$3&amp;Таблица4[[#This Row],[№]]&amp;"Продажа",РД[Дом]&amp;РД[№ кв]&amp;РД[Состояние],0),1),Таблица4[[#This Row],[Статус]])</f>
        <v>1813063.69</v>
      </c>
      <c r="F51" s="235">
        <f>IFERROR((Таблица4[[#This Row],[ПП]]-Таблица4[[#This Row],[ДДУ]])*1,"")</f>
        <v>0</v>
      </c>
      <c r="G51" s="235" cm="1">
        <f t="array" ref="G51">IFERROR(INDEX(РД[Стоимость с отделкой итог],MATCH($B$3&amp;Таблица4[[#This Row],[№]]&amp;"Продажа",РД[Дом]&amp;РД[№ кв]&amp;РД[Состояние],0),1),Таблица4[[#This Row],[Статус]])</f>
        <v>1900063.69</v>
      </c>
      <c r="H51" s="235">
        <f>_xlfn.XLOOKUP(Таблица4[[#This Row],[№]],Реестр_Д4[№],Реестр_Д4[Стоимость квартиры с отделкой],"-",0)</f>
        <v>1900063.69</v>
      </c>
      <c r="I51" s="235">
        <f>IFERROR(Таблица4[[#This Row],[СО ПП]]-Таблица4[[#This Row],[СО ДДУ]],"")</f>
        <v>0</v>
      </c>
      <c r="J51" s="233" cm="1">
        <f t="array" ref="J51">IFERROR(INDEX(РД[S],MATCH($B$3&amp;Таблица4[[#This Row],[№]]&amp;"Продажа",РД[Дом]&amp;РД[№ кв]&amp;РД[Состояние],0),1),Таблица4[[#This Row],[Статус]])</f>
        <v>21.75</v>
      </c>
      <c r="K51" s="233">
        <f>VLOOKUP(Таблица4[[#This Row],[№]],Реестр_Д4[],20,0)</f>
        <v>21.75</v>
      </c>
      <c r="L51" s="235">
        <f>IFERROR(Таблица4[[#This Row],[S ПП]]-Таблица4[[#This Row],[S ДДУ]],)</f>
        <v>0</v>
      </c>
      <c r="M51" s="235">
        <f>ROUND(_xlfn.XLOOKUP(Таблица4[[#This Row],[№]],Реестр_Д4[№],Реестр_Д4[Итоговая сумма скидки],"",0),2)</f>
        <v>0</v>
      </c>
      <c r="N51" s="235" cm="1">
        <f t="array" ref="N5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1" s="235">
        <f>IFERROR(Таблица4[[#This Row],[ППС]]-Таблица4[[#This Row],[ДДУС]],)</f>
        <v>0</v>
      </c>
      <c r="P51" s="611"/>
      <c r="Q51" s="234">
        <f>VLOOKUP(ППД5!A48,Реестр_Д5[№],1,0)</f>
        <v>47</v>
      </c>
      <c r="R51" s="234" t="str">
        <f>VLOOKUP(ППД5!CH48,Реестр_Д5[Статус],1,0)</f>
        <v>Продажа</v>
      </c>
      <c r="S51" s="612">
        <f>VLOOKUP(ППД5!BZ48,Реестр_Д5[Стоимость ОН без отделки со скидкой],1,0)</f>
        <v>5796000</v>
      </c>
      <c r="T51" s="612" cm="1">
        <f t="array" ref="T51">IFERROR(INDEX(РД[Стоимость без отделки итог],MATCH($Q$3&amp;Таблица10[[#This Row],[№]]&amp;"Продажа",РД[Дом]&amp;РД[№ кв]&amp;РД[Состояние],0),1),Таблица10[[#This Row],[Статус]])</f>
        <v>5796000</v>
      </c>
      <c r="U51" s="235">
        <f>IFERROR((Таблица10[[#This Row],[ПП]]-Таблица10[[#This Row],[ДДУ]])*1,)</f>
        <v>0</v>
      </c>
      <c r="V51" s="235" cm="1">
        <f t="array" ref="V51">IFERROR(INDEX(РД[Стоимость с отделкой итог],MATCH($Q$3&amp;Таблица10[[#This Row],[№]]&amp;"Продажа",РД[Дом]&amp;РД[№ кв]&amp;РД[Состояние],0),1),Таблица10[[#This Row],[Статус]])</f>
        <v>6203120</v>
      </c>
      <c r="W51" s="235">
        <f>_xlfn.XLOOKUP(Таблица10[[#This Row],[№]],Реестр_Д5[№],Реестр_Д5[Стоимость квартиры с отделкой],"-",0)</f>
        <v>6203120</v>
      </c>
      <c r="X51" s="235">
        <f>IFERROR(Таблица10[[#This Row],[СО ПП]]-Таблица10[[#This Row],[СО ДДУ]],"")</f>
        <v>0</v>
      </c>
      <c r="Y51" s="233" cm="1">
        <f t="array" ref="Y51">IFERROR(INDEX(РД[S],MATCH($Q$3&amp;Таблица10[[#This Row],[№]]&amp;"Продажа",РД[Дом]&amp;РД[№ кв]&amp;РД[Состояние],0),1),Таблица10[[#This Row],[Статус]])</f>
        <v>58.16</v>
      </c>
      <c r="Z51" s="233">
        <f>IF(Таблица10[[#This Row],[№]]&amp;"ДДУ"=ППД5!A48&amp;ППД5!CR48,ППД5!U48,ППД5!V48)</f>
        <v>58.16</v>
      </c>
      <c r="AA51" s="285">
        <f>IFERROR(Таблица10[[#This Row],[S ПП]]-Таблица10[[#This Row],[S ДДУ]],)</f>
        <v>0</v>
      </c>
      <c r="AB51" s="235">
        <f>ROUND(_xlfn.XLOOKUP(Таблица10[[#This Row],[№]],Реестр_Д5[№],Реестр_Д5[Итоговая сумма скидки],"",0),2)</f>
        <v>0</v>
      </c>
      <c r="AC51" s="235" cm="1">
        <f t="array" ref="AC5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" s="285">
        <f>IFERROR(Таблица10[[#This Row],[ППС]]-Таблица10[[#This Row],[ДДУС]],)</f>
        <v>0</v>
      </c>
      <c r="AE51" s="611"/>
      <c r="AF51" s="615">
        <f>VLOOKUP(ППД401!A48,Д401[],1,0)</f>
        <v>47</v>
      </c>
      <c r="AG51" s="234" t="str">
        <f>_xlfn.XLOOKUP(Таблица1[[#This Row],[№]],Д401[№],Д401[Статус],"-",0)</f>
        <v>Свободно</v>
      </c>
      <c r="AH51" s="612">
        <f>_xlfn.XLOOKUP(Таблица1[[#This Row],[№]],Д401[№],Д401[Стоимость ОН без отделки со скидкой],"-",0)</f>
        <v>6468750</v>
      </c>
      <c r="AI51" s="612" t="str" cm="1">
        <f t="array" ref="AI51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51" s="235" t="str">
        <f>IFERROR((Таблица1[[#This Row],[ПП]]-Таблица1[[#This Row],[ДДУ]])*1,"")</f>
        <v/>
      </c>
      <c r="AK51" s="235" t="str" cm="1">
        <f t="array" ref="AK51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51" s="235">
        <f>_xlfn.XLOOKUP(Таблица1[[#This Row],[№]],Д401[№],Д401[Стоимость квартиры с отделкой],"-",0)</f>
        <v>6468750</v>
      </c>
      <c r="AM51" s="235" t="str">
        <f>IFERROR(Таблица1[[#This Row],[СО ПП]]-Таблица1[[#This Row],[СО ДДУ]],"")</f>
        <v/>
      </c>
      <c r="AN51" s="233" t="str" cm="1">
        <f t="array" ref="AN51">IFERROR(INDEX(РД[S],MATCH($AF$3&amp;Таблица1[[#This Row],[№]]&amp;"Продажа",РД[Дом]&amp;РД[№ кв]&amp;РД[Состояние],0),1),Таблица1[[#This Row],[Статус]])</f>
        <v>Свободно</v>
      </c>
      <c r="AO51" s="233">
        <f>_xlfn.XLOOKUP(Таблица1[[#This Row],[№]],Д401[№],Д401[Расчетная проектная площадь],"-",0)</f>
        <v>51.75</v>
      </c>
      <c r="AP51" s="235" t="str">
        <f>IFERROR(Таблица1[[#This Row],[S ПП]]-Таблица1[[#This Row],[S ДДУ]],"")</f>
        <v/>
      </c>
      <c r="AQ51" s="235">
        <f>_xlfn.XLOOKUP(Таблица1[[#This Row],[№]],Д401[№],Д401[Итоговая сумма скидки],"-",0)</f>
        <v>0</v>
      </c>
      <c r="AR51" s="235" t="str" cm="1">
        <f t="array" ref="AR51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51" s="285" t="str">
        <f>IFERROR(Таблица1[[#This Row],[ППС]]-Таблица1[[#This Row],[ДДУС]],"")</f>
        <v/>
      </c>
      <c r="AT51" s="611"/>
      <c r="AU51" s="484">
        <f>VLOOKUP(ППД402!A48,Д402[],1,0)</f>
        <v>47</v>
      </c>
      <c r="AV51" s="484" t="str">
        <f>_xlfn.XLOOKUP(Т402[[#This Row],[№]],Д402[№],Д402[Статус],"-",0)</f>
        <v>Продажа</v>
      </c>
      <c r="AW51" s="613">
        <f>_xlfn.XLOOKUP(Т402[[#This Row],[№]],Д402[№],Д402[Стоимость ОН без отделки со скидкой],"-",0)</f>
        <v>4624816</v>
      </c>
      <c r="AX51" s="614" cm="1">
        <f t="array" ref="AX51">IFERROR(INDEX(РД[Стоимость без отделки итог],MATCH($AU$3&amp;Т402[[#This Row],[№]]&amp;"Продажа",РД[Дом]&amp;РД[№ кв]&amp;РД[Состояние],0),1),Т402[[#This Row],[Статус]])</f>
        <v>4624816</v>
      </c>
      <c r="AY51" s="485">
        <f>IFERROR((Т402[[#This Row],[ПП]]-Т402[[#This Row],[ДДУ]])*1,"")</f>
        <v>0</v>
      </c>
      <c r="AZ51" s="486" cm="1">
        <f t="array" ref="AZ51">IFERROR(INDEX(РД[Стоимость с отделкой итог],MATCH($AU$3&amp;Т402[[#This Row],[№]]&amp;"Продажа",РД[Дом]&amp;РД[№ кв]&amp;РД[Состояние],0),1),Т402[[#This Row],[Статус]])</f>
        <v>4624816</v>
      </c>
      <c r="BA51" s="485">
        <f>_xlfn.XLOOKUP(Т402[[#This Row],[№]],Д402[№],Д402[Стоимость квартиры с отделкой],"-",0)</f>
        <v>4624816</v>
      </c>
      <c r="BB51" s="485">
        <f>IFERROR(Т402[[#This Row],[СО ПП]]-Т402[[#This Row],[СО ДДУ]],"")</f>
        <v>0</v>
      </c>
      <c r="BC51" s="487" cm="1">
        <f t="array" ref="BC51">IFERROR(INDEX(РД[S],MATCH($AU$3&amp;Т402[[#This Row],[№]]&amp;"Продажа",РД[Дом]&amp;РД[№ кв]&amp;РД[Состояние],0),1),Т402[[#This Row],[Статус]])</f>
        <v>37.01</v>
      </c>
      <c r="BD51" s="483">
        <f>_xlfn.XLOOKUP(Т402[[#This Row],[№]],Д402[№],Д402[Расчетная проектная площадь],"-",0)</f>
        <v>37.01</v>
      </c>
      <c r="BE51" s="485">
        <f>IFERROR(Т402[[#This Row],[S ПП]]-Т402[[#This Row],[S ДДУ]],"")</f>
        <v>0</v>
      </c>
      <c r="BF51" s="485">
        <f>_xlfn.XLOOKUP(Т402[[#This Row],[№]],Д402[№],Д402[Итоговая сумма скидки],"-",0)</f>
        <v>94384</v>
      </c>
      <c r="BG51" s="486" cm="1">
        <f t="array" ref="BG51">IFERROR(ROUND(_xlfn.XLOOKUP($AU$3&amp;Т402[[#This Row],[№]]&amp;"Продажа",РД[Дом]&amp;РД[№ кв]&amp;РД[Состояние],РД[Сумма скидки],"",0),2),Т402[[#This Row],[Статус]])</f>
        <v>94384</v>
      </c>
      <c r="BH51" s="488">
        <f>IFERROR(Т402[[#This Row],[ППС]]-Т402[[#This Row],[ДДУС]],"")</f>
        <v>0</v>
      </c>
    </row>
    <row r="52" spans="1:60" x14ac:dyDescent="0.2">
      <c r="A52" s="611"/>
      <c r="B52" s="234">
        <f>VLOOKUP(ППД4!A49,Реестр_Д4[№],1,0)</f>
        <v>48</v>
      </c>
      <c r="C52" s="234" t="str">
        <f>VLOOKUP(ППД4!CO49,Реестр_Д4[Статус],1,0)</f>
        <v>Продажа</v>
      </c>
      <c r="D52" s="612">
        <f>VLOOKUP(ППД4!CE49,Реестр_Д4[Стоимость ОН без отделки со скидкой],1,0)</f>
        <v>2807437.77</v>
      </c>
      <c r="E52" s="612" cm="1">
        <f t="array" ref="E52">IFERROR(INDEX(РД[Стоимость без отделки итог],MATCH($B$3&amp;Таблица4[[#This Row],[№]]&amp;"Продажа",РД[Дом]&amp;РД[№ кв]&amp;РД[Состояние],0),1),Таблица4[[#This Row],[Статус]])</f>
        <v>2807437.77</v>
      </c>
      <c r="F52" s="235">
        <f>IFERROR((Таблица4[[#This Row],[ПП]]-Таблица4[[#This Row],[ДДУ]])*1,"")</f>
        <v>0</v>
      </c>
      <c r="G52" s="235" cm="1">
        <f t="array" ref="G52">IFERROR(INDEX(РД[Стоимость с отделкой итог],MATCH($B$3&amp;Таблица4[[#This Row],[№]]&amp;"Продажа",РД[Дом]&amp;РД[№ кв]&amp;РД[Состояние],0),1),Таблица4[[#This Row],[Статус]])</f>
        <v>2970412.77</v>
      </c>
      <c r="H52" s="235">
        <f>_xlfn.XLOOKUP(Таблица4[[#This Row],[№]],Реестр_Д4[№],Реестр_Д4[Стоимость квартиры с отделкой],"-",0)</f>
        <v>2970412.77</v>
      </c>
      <c r="I52" s="235">
        <f>IFERROR(Таблица4[[#This Row],[СО ПП]]-Таблица4[[#This Row],[СО ДДУ]],"")</f>
        <v>0</v>
      </c>
      <c r="J52" s="233" cm="1">
        <f t="array" ref="J52">IFERROR(INDEX(РД[S],MATCH($B$3&amp;Таблица4[[#This Row],[№]]&amp;"Продажа",РД[Дом]&amp;РД[№ кв]&amp;РД[Состояние],0),1),Таблица4[[#This Row],[Статус]])</f>
        <v>21.73</v>
      </c>
      <c r="K52" s="233">
        <f>VLOOKUP(Таблица4[[#This Row],[№]],Реестр_Д4[],20,0)</f>
        <v>21.73</v>
      </c>
      <c r="L52" s="235">
        <f>IFERROR(Таблица4[[#This Row],[S ПП]]-Таблица4[[#This Row],[S ДДУ]],)</f>
        <v>0</v>
      </c>
      <c r="M52" s="235">
        <f>ROUND(_xlfn.XLOOKUP(Таблица4[[#This Row],[№]],Реестр_Д4[№],Реестр_Д4[Итоговая сумма скидки],"",0),2)</f>
        <v>0</v>
      </c>
      <c r="N52" s="235" cm="1">
        <f t="array" ref="N5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" s="235">
        <f>IFERROR(Таблица4[[#This Row],[ППС]]-Таблица4[[#This Row],[ДДУС]],)</f>
        <v>0</v>
      </c>
      <c r="P52" s="611"/>
      <c r="Q52" s="234">
        <f>VLOOKUP(ППД5!A49,Реестр_Д5[№],1,0)</f>
        <v>48</v>
      </c>
      <c r="R52" s="234" t="str">
        <f>VLOOKUP(ППД5!CH49,Реестр_Д5[Статус],1,0)</f>
        <v>Продажа</v>
      </c>
      <c r="S52" s="612">
        <f>VLOOKUP(ППД5!BZ49,Реестр_Д5[Стоимость ОН без отделки со скидкой],1,0)</f>
        <v>4628344</v>
      </c>
      <c r="T52" s="612" cm="1">
        <f t="array" ref="T52">IFERROR(INDEX(РД[Стоимость без отделки итог],MATCH($Q$3&amp;Таблица10[[#This Row],[№]]&amp;"Продажа",РД[Дом]&amp;РД[№ кв]&amp;РД[Состояние],0),1),Таблица10[[#This Row],[Статус]])</f>
        <v>4628344</v>
      </c>
      <c r="U52" s="235">
        <f>IFERROR((Таблица10[[#This Row],[ПП]]-Таблица10[[#This Row],[ДДУ]])*1,)</f>
        <v>0</v>
      </c>
      <c r="V52" s="235" cm="1">
        <f t="array" ref="V52">IFERROR(INDEX(РД[Стоимость с отделкой итог],MATCH($Q$3&amp;Таблица10[[#This Row],[№]]&amp;"Продажа",РД[Дом]&amp;РД[№ кв]&amp;РД[Состояние],0),1),Таблица10[[#This Row],[Статус]])</f>
        <v>4628344</v>
      </c>
      <c r="W52" s="235">
        <f>_xlfn.XLOOKUP(Таблица10[[#This Row],[№]],Реестр_Д5[№],Реестр_Д5[Стоимость квартиры с отделкой],"-",0)</f>
        <v>4628344</v>
      </c>
      <c r="X52" s="235">
        <f>IFERROR(Таблица10[[#This Row],[СО ПП]]-Таблица10[[#This Row],[СО ДДУ]],"")</f>
        <v>0</v>
      </c>
      <c r="Y52" s="233" cm="1">
        <f t="array" ref="Y52">IFERROR(INDEX(РД[S],MATCH($Q$3&amp;Таблица10[[#This Row],[№]]&amp;"Продажа",РД[Дом]&amp;РД[№ кв]&amp;РД[Состояние],0),1),Таблица10[[#This Row],[Статус]])</f>
        <v>42.75</v>
      </c>
      <c r="Z52" s="233">
        <f>IF(Таблица10[[#This Row],[№]]&amp;"ДДУ"=ППД5!A49&amp;ППД5!CR49,ППД5!U49,ППД5!V49)</f>
        <v>42.75</v>
      </c>
      <c r="AA52" s="285">
        <f>IFERROR(Таблица10[[#This Row],[S ПП]]-Таблица10[[#This Row],[S ДДУ]],)</f>
        <v>0</v>
      </c>
      <c r="AB52" s="235">
        <f>ROUND(_xlfn.XLOOKUP(Таблица10[[#This Row],[№]],Реестр_Д5[№],Реестр_Д5[Итоговая сумма скидки],"",0),2)</f>
        <v>94456</v>
      </c>
      <c r="AC52" s="235" cm="1">
        <f t="array" ref="AC52">IFERROR(ROUND(_xlfn.XLOOKUP($Q$3&amp;Таблица10[[#This Row],[№]]&amp;"Продажа",РД[Дом]&amp;РД[№ кв]&amp;РД[Состояние],РД[Сумма скидки],"",0,-1),2),Таблица10[[#This Row],[Статус]])</f>
        <v>94456</v>
      </c>
      <c r="AD52" s="285">
        <f>IFERROR(Таблица10[[#This Row],[ППС]]-Таблица10[[#This Row],[ДДУС]],)</f>
        <v>0</v>
      </c>
      <c r="AE52" s="611"/>
      <c r="AF52" s="615">
        <f>VLOOKUP(ППД401!A49,Д401[],1,0)</f>
        <v>48</v>
      </c>
      <c r="AG52" s="234" t="str">
        <f>_xlfn.XLOOKUP(Таблица1[[#This Row],[№]],Д401[№],Д401[Статус],"-",0)</f>
        <v>Стр. Резерв</v>
      </c>
      <c r="AH52" s="612">
        <f>_xlfn.XLOOKUP(Таблица1[[#This Row],[№]],Д401[№],Д401[Стоимость ОН без отделки со скидкой],"-",0)</f>
        <v>10093750</v>
      </c>
      <c r="AI52" s="612" t="str" cm="1">
        <f t="array" ref="AI52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52" s="235" t="str">
        <f>IFERROR((Таблица1[[#This Row],[ПП]]-Таблица1[[#This Row],[ДДУ]])*1,"")</f>
        <v/>
      </c>
      <c r="AK52" s="235" t="str" cm="1">
        <f t="array" ref="AK52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52" s="235">
        <f>_xlfn.XLOOKUP(Таблица1[[#This Row],[№]],Д401[№],Д401[Стоимость квартиры с отделкой],"-",0)</f>
        <v>10093750</v>
      </c>
      <c r="AM52" s="235" t="str">
        <f>IFERROR(Таблица1[[#This Row],[СО ПП]]-Таблица1[[#This Row],[СО ДДУ]],"")</f>
        <v/>
      </c>
      <c r="AN52" s="233" t="str" cm="1">
        <f t="array" ref="AN52">IFERROR(INDEX(РД[S],MATCH($AF$3&amp;Таблица1[[#This Row],[№]]&amp;"Продажа",РД[Дом]&amp;РД[№ кв]&amp;РД[Состояние],0),1),Таблица1[[#This Row],[Статус]])</f>
        <v>Стр. Резерв</v>
      </c>
      <c r="AO52" s="233">
        <f>_xlfn.XLOOKUP(Таблица1[[#This Row],[№]],Д401[№],Д401[Расчетная проектная площадь],"-",0)</f>
        <v>80.75</v>
      </c>
      <c r="AP52" s="235" t="str">
        <f>IFERROR(Таблица1[[#This Row],[S ПП]]-Таблица1[[#This Row],[S ДДУ]],"")</f>
        <v/>
      </c>
      <c r="AQ52" s="235">
        <f>_xlfn.XLOOKUP(Таблица1[[#This Row],[№]],Д401[№],Д401[Итоговая сумма скидки],"-",0)</f>
        <v>0</v>
      </c>
      <c r="AR52" s="235" t="str" cm="1">
        <f t="array" ref="AR52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52" s="285" t="str">
        <f>IFERROR(Таблица1[[#This Row],[ППС]]-Таблица1[[#This Row],[ДДУС]],"")</f>
        <v/>
      </c>
      <c r="AT52" s="611"/>
      <c r="AU52" s="484">
        <f>VLOOKUP(ППД402!A49,Д402[],1,0)</f>
        <v>48</v>
      </c>
      <c r="AV52" s="484" t="str">
        <f>_xlfn.XLOOKUP(Т402[[#This Row],[№]],Д402[№],Д402[Статус],"-",0)</f>
        <v>Стр. Резерв</v>
      </c>
      <c r="AW52" s="613">
        <f>_xlfn.XLOOKUP(Т402[[#This Row],[№]],Д402[№],Д402[Стоимость ОН без отделки со скидкой],"-",0)</f>
        <v>5872100</v>
      </c>
      <c r="AX52" s="614" t="str" cm="1">
        <f t="array" ref="AX5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2" s="485" t="str">
        <f>IFERROR((Т402[[#This Row],[ПП]]-Т402[[#This Row],[ДДУ]])*1,"")</f>
        <v/>
      </c>
      <c r="AZ52" s="486" t="str" cm="1">
        <f t="array" ref="AZ5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2" s="485">
        <f>_xlfn.XLOOKUP(Т402[[#This Row],[№]],Д402[№],Д402[Стоимость квартиры с отделкой],"-",0)</f>
        <v>5872100</v>
      </c>
      <c r="BB52" s="485" t="str">
        <f>IFERROR(Т402[[#This Row],[СО ПП]]-Т402[[#This Row],[СО ДДУ]],"")</f>
        <v/>
      </c>
      <c r="BC52" s="487" t="str" cm="1">
        <f t="array" ref="BC52">IFERROR(INDEX(РД[S],MATCH($AU$3&amp;Т402[[#This Row],[№]]&amp;"Продажа",РД[Дом]&amp;РД[№ кв]&amp;РД[Состояние],0),1),Т402[[#This Row],[Статус]])</f>
        <v>Стр. Резерв</v>
      </c>
      <c r="BD52" s="483">
        <f>_xlfn.XLOOKUP(Т402[[#This Row],[№]],Д402[№],Д402[Расчетная проектная площадь],"-",0)</f>
        <v>45.26</v>
      </c>
      <c r="BE52" s="485" t="str">
        <f>IFERROR(Т402[[#This Row],[S ПП]]-Т402[[#This Row],[S ДДУ]],"")</f>
        <v/>
      </c>
      <c r="BF52" s="485">
        <f>_xlfn.XLOOKUP(Т402[[#This Row],[№]],Д402[№],Д402[Итоговая сумма скидки],"-",0)</f>
        <v>0</v>
      </c>
      <c r="BG52" s="486" t="str" cm="1">
        <f t="array" ref="BG5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2" s="488" t="str">
        <f>IFERROR(Т402[[#This Row],[ППС]]-Т402[[#This Row],[ДДУС]],"")</f>
        <v/>
      </c>
    </row>
    <row r="53" spans="1:60" x14ac:dyDescent="0.2">
      <c r="A53" s="611"/>
      <c r="B53" s="234">
        <f>VLOOKUP(ППД4!A50,Реестр_Д4[№],1,0)</f>
        <v>49</v>
      </c>
      <c r="C53" s="234" t="str">
        <f>VLOOKUP(ППД4!CO50,Реестр_Д4[Статус],1,0)</f>
        <v>Продажа</v>
      </c>
      <c r="D53" s="612">
        <f>VLOOKUP(ППД4!CE50,Реестр_Д4[Стоимость ОН без отделки со скидкой],1,0)</f>
        <v>3308664.96</v>
      </c>
      <c r="E53" s="612" cm="1">
        <f t="array" ref="E53">IFERROR(INDEX(РД[Стоимость без отделки итог],MATCH($B$3&amp;Таблица4[[#This Row],[№]]&amp;"Продажа",РД[Дом]&amp;РД[№ кв]&amp;РД[Состояние],0),1),Таблица4[[#This Row],[Статус]])</f>
        <v>3308664.96</v>
      </c>
      <c r="F53" s="235">
        <f>IFERROR((Таблица4[[#This Row],[ПП]]-Таблица4[[#This Row],[ДДУ]])*1,"")</f>
        <v>0</v>
      </c>
      <c r="G53" s="235" cm="1">
        <f t="array" ref="G53">IFERROR(INDEX(РД[Стоимость с отделкой итог],MATCH($B$3&amp;Таблица4[[#This Row],[№]]&amp;"Продажа",РД[Дом]&amp;РД[№ кв]&amp;РД[Состояние],0),1),Таблица4[[#This Row],[Статус]])</f>
        <v>3459549.96</v>
      </c>
      <c r="H53" s="235">
        <f>_xlfn.XLOOKUP(Таблица4[[#This Row],[№]],Реестр_Д4[№],Реестр_Д4[Стоимость квартиры с отделкой],"-",0)</f>
        <v>3459549.96</v>
      </c>
      <c r="I53" s="235">
        <f>IFERROR(Таблица4[[#This Row],[СО ПП]]-Таблица4[[#This Row],[СО ДДУ]],"")</f>
        <v>0</v>
      </c>
      <c r="J53" s="233" cm="1">
        <f t="array" ref="J53">IFERROR(INDEX(РД[S],MATCH($B$3&amp;Таблица4[[#This Row],[№]]&amp;"Продажа",РД[Дом]&amp;РД[№ кв]&amp;РД[Состояние],0),1),Таблица4[[#This Row],[Статус]])</f>
        <v>33.53</v>
      </c>
      <c r="K53" s="233">
        <f>VLOOKUP(Таблица4[[#This Row],[№]],Реестр_Д4[],20,0)</f>
        <v>33.53</v>
      </c>
      <c r="L53" s="235">
        <f>IFERROR(Таблица4[[#This Row],[S ПП]]-Таблица4[[#This Row],[S ДДУ]],)</f>
        <v>0</v>
      </c>
      <c r="M53" s="235">
        <f>ROUND(_xlfn.XLOOKUP(Таблица4[[#This Row],[№]],Реестр_Д4[№],Реестр_Д4[Итоговая сумма скидки],"",0),2)</f>
        <v>0</v>
      </c>
      <c r="N53" s="235" cm="1">
        <f t="array" ref="N5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3" s="235">
        <f>IFERROR(Таблица4[[#This Row],[ППС]]-Таблица4[[#This Row],[ДДУС]],)</f>
        <v>0</v>
      </c>
      <c r="P53" s="611"/>
      <c r="Q53" s="234">
        <f>VLOOKUP(ППД5!A50,Реестр_Д5[№],1,0)</f>
        <v>49</v>
      </c>
      <c r="R53" s="234" t="str">
        <f>VLOOKUP(ППД5!CH50,Реестр_Д5[Статус],1,0)</f>
        <v>Продажа</v>
      </c>
      <c r="S53" s="612">
        <f>VLOOKUP(ППД5!BZ50,Реестр_Д5[Стоимость ОН без отделки со скидкой],1,0)</f>
        <v>4206500</v>
      </c>
      <c r="T53" s="612" cm="1">
        <f t="array" ref="T53">IFERROR(INDEX(РД[Стоимость без отделки итог],MATCH($Q$3&amp;Таблица10[[#This Row],[№]]&amp;"Продажа",РД[Дом]&amp;РД[№ кв]&amp;РД[Состояние],0),1),Таблица10[[#This Row],[Статус]])</f>
        <v>4206500</v>
      </c>
      <c r="U53" s="235">
        <f>IFERROR((Таблица10[[#This Row],[ПП]]-Таблица10[[#This Row],[ДДУ]])*1,)</f>
        <v>0</v>
      </c>
      <c r="V53" s="235" cm="1">
        <f t="array" ref="V53">IFERROR(INDEX(РД[Стоимость с отделкой итог],MATCH($Q$3&amp;Таблица10[[#This Row],[№]]&amp;"Продажа",РД[Дом]&amp;РД[№ кв]&amp;РД[Состояние],0),1),Таблица10[[#This Row],[Статус]])</f>
        <v>4447230</v>
      </c>
      <c r="W53" s="235">
        <f>_xlfn.XLOOKUP(Таблица10[[#This Row],[№]],Реестр_Д5[№],Реестр_Д5[Стоимость квартиры с отделкой],"-",0)</f>
        <v>4447230</v>
      </c>
      <c r="X53" s="235">
        <f>IFERROR(Таблица10[[#This Row],[СО ПП]]-Таблица10[[#This Row],[СО ДДУ]],"")</f>
        <v>0</v>
      </c>
      <c r="Y53" s="233" cm="1">
        <f t="array" ref="Y53">IFERROR(INDEX(РД[S],MATCH($Q$3&amp;Таблица10[[#This Row],[№]]&amp;"Продажа",РД[Дом]&amp;РД[№ кв]&amp;РД[Состояние],0),1),Таблица10[[#This Row],[Статус]])</f>
        <v>34.39</v>
      </c>
      <c r="Z53" s="233">
        <f>IF(Таблица10[[#This Row],[№]]&amp;"ДДУ"=ППД5!A50&amp;ППД5!CR50,ППД5!U50,ППД5!V50)</f>
        <v>34.39</v>
      </c>
      <c r="AA53" s="285">
        <f>IFERROR(Таблица10[[#This Row],[S ПП]]-Таблица10[[#This Row],[S ДДУ]],)</f>
        <v>0</v>
      </c>
      <c r="AB53" s="235">
        <f>ROUND(_xlfn.XLOOKUP(Таблица10[[#This Row],[№]],Реестр_Д5[№],Реестр_Д5[Итоговая сумма скидки],"",0),2)</f>
        <v>0</v>
      </c>
      <c r="AC53" s="235" cm="1">
        <f t="array" ref="AC5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3" s="285">
        <f>IFERROR(Таблица10[[#This Row],[ППС]]-Таблица10[[#This Row],[ДДУС]],)</f>
        <v>0</v>
      </c>
      <c r="AE53" s="611"/>
      <c r="AF53" s="615">
        <f>VLOOKUP(ППД401!A50,Д401[],1,0)</f>
        <v>49</v>
      </c>
      <c r="AG53" s="234" t="str">
        <f>_xlfn.XLOOKUP(Таблица1[[#This Row],[№]],Д401[№],Д401[Статус],"-",0)</f>
        <v>Гарантированная бронь</v>
      </c>
      <c r="AH53" s="612">
        <f>_xlfn.XLOOKUP(Таблица1[[#This Row],[№]],Д401[№],Д401[Стоимость ОН без отделки со скидкой],"-",0)</f>
        <v>7823634</v>
      </c>
      <c r="AI53" s="612" t="str" cm="1">
        <f t="array" ref="AI53">IFERROR(INDEX(РД[Стоимость без отделки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J53" s="235" t="str">
        <f>IFERROR((Таблица1[[#This Row],[ПП]]-Таблица1[[#This Row],[ДДУ]])*1,"")</f>
        <v/>
      </c>
      <c r="AK53" s="235" t="str" cm="1">
        <f t="array" ref="AK53">IFERROR(INDEX(РД[Стоимость с отделкой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L53" s="235">
        <f>_xlfn.XLOOKUP(Таблица1[[#This Row],[№]],Д401[№],Д401[Стоимость квартиры с отделкой],"-",0)</f>
        <v>7823634</v>
      </c>
      <c r="AM53" s="235" t="str">
        <f>IFERROR(Таблица1[[#This Row],[СО ПП]]-Таблица1[[#This Row],[СО ДДУ]],"")</f>
        <v/>
      </c>
      <c r="AN53" s="233" t="str" cm="1">
        <f t="array" ref="AN53">IFERROR(INDEX(РД[S],MATCH($AF$3&amp;Таблица1[[#This Row],[№]]&amp;"Продажа",РД[Дом]&amp;РД[№ кв]&amp;РД[Состояние],0),1),Таблица1[[#This Row],[Статус]])</f>
        <v>Гарантированная бронь</v>
      </c>
      <c r="AO53" s="233">
        <f>_xlfn.XLOOKUP(Таблица1[[#This Row],[№]],Д401[№],Д401[Расчетная проектная площадь],"-",0)</f>
        <v>61.76</v>
      </c>
      <c r="AP53" s="235" t="str">
        <f>IFERROR(Таблица1[[#This Row],[S ПП]]-Таблица1[[#This Row],[S ДДУ]],"")</f>
        <v/>
      </c>
      <c r="AQ53" s="235">
        <f>_xlfn.XLOOKUP(Таблица1[[#This Row],[№]],Д401[№],Д401[Итоговая сумма скидки],"-",0)</f>
        <v>159666</v>
      </c>
      <c r="AR53" s="235" t="str" cm="1">
        <f t="array" ref="AR53">IFERROR(ROUND(_xlfn.XLOOKUP($AF$3&amp;Таблица1[[#This Row],[№]]&amp;"Продажа",РД[Дом]&amp;РД[№ кв]&amp;РД[Состояние],РД[Сумма скидки],"",0),2),Таблица1[[#This Row],[Статус]])</f>
        <v>Гарантированная бронь</v>
      </c>
      <c r="AS53" s="285" t="str">
        <f>IFERROR(Таблица1[[#This Row],[ППС]]-Таблица1[[#This Row],[ДДУС]],"")</f>
        <v/>
      </c>
      <c r="AT53" s="611"/>
      <c r="AU53" s="484">
        <f>VLOOKUP(ППД402!A50,Д402[],1,0)</f>
        <v>49</v>
      </c>
      <c r="AV53" s="484" t="str">
        <f>_xlfn.XLOOKUP(Т402[[#This Row],[№]],Д402[№],Д402[Статус],"-",0)</f>
        <v>Свободно</v>
      </c>
      <c r="AW53" s="613">
        <f>_xlfn.XLOOKUP(Т402[[#This Row],[№]],Д402[№],Д402[Стоимость ОН без отделки со скидкой],"-",0)</f>
        <v>4181300</v>
      </c>
      <c r="AX53" s="614" t="str" cm="1">
        <f t="array" ref="AX5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53" s="485" t="str">
        <f>IFERROR((Т402[[#This Row],[ПП]]-Т402[[#This Row],[ДДУ]])*1,"")</f>
        <v/>
      </c>
      <c r="AZ53" s="486" t="str" cm="1">
        <f t="array" ref="AZ5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53" s="485">
        <f>_xlfn.XLOOKUP(Т402[[#This Row],[№]],Д402[№],Д402[Стоимость квартиры с отделкой],"-",0)</f>
        <v>4181299.9999999991</v>
      </c>
      <c r="BB53" s="485" t="str">
        <f>IFERROR(Т402[[#This Row],[СО ПП]]-Т402[[#This Row],[СО ДДУ]],"")</f>
        <v/>
      </c>
      <c r="BC53" s="487" t="str" cm="1">
        <f t="array" ref="BC53">IFERROR(INDEX(РД[S],MATCH($AU$3&amp;Т402[[#This Row],[№]]&amp;"Продажа",РД[Дом]&amp;РД[№ кв]&amp;РД[Состояние],0),1),Т402[[#This Row],[Статус]])</f>
        <v>Свободно</v>
      </c>
      <c r="BD53" s="483">
        <f>_xlfn.XLOOKUP(Т402[[#This Row],[№]],Д402[№],Д402[Расчетная проектная площадь],"-",0)</f>
        <v>29.62</v>
      </c>
      <c r="BE53" s="485" t="str">
        <f>IFERROR(Т402[[#This Row],[S ПП]]-Т402[[#This Row],[S ДДУ]],"")</f>
        <v/>
      </c>
      <c r="BF53" s="485">
        <f>_xlfn.XLOOKUP(Т402[[#This Row],[№]],Д402[№],Д402[Итоговая сумма скидки],"-",0)</f>
        <v>0</v>
      </c>
      <c r="BG53" s="486" t="str" cm="1">
        <f t="array" ref="BG5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53" s="488" t="str">
        <f>IFERROR(Т402[[#This Row],[ППС]]-Т402[[#This Row],[ДДУС]],"")</f>
        <v/>
      </c>
    </row>
    <row r="54" spans="1:60" x14ac:dyDescent="0.2">
      <c r="A54" s="611"/>
      <c r="B54" s="234">
        <f>VLOOKUP(ППД4!A51,Реестр_Д4[№],1,0)</f>
        <v>50</v>
      </c>
      <c r="C54" s="234" t="str">
        <f>VLOOKUP(ППД4!CO51,Реестр_Д4[Статус],1,0)</f>
        <v>Продажа</v>
      </c>
      <c r="D54" s="612">
        <f>VLOOKUP(ППД4!CE51,Реестр_Д4[Стоимость ОН без отделки со скидкой],1,0)</f>
        <v>5298220.8600000003</v>
      </c>
      <c r="E54" s="612" cm="1">
        <f t="array" ref="E54">IFERROR(INDEX(РД[Стоимость без отделки итог],MATCH($B$3&amp;Таблица4[[#This Row],[№]]&amp;"Продажа",РД[Дом]&amp;РД[№ кв]&amp;РД[Состояние],0),1),Таблица4[[#This Row],[Статус]])</f>
        <v>5298220.8600000003</v>
      </c>
      <c r="F54" s="235">
        <f>IFERROR((Таблица4[[#This Row],[ПП]]-Таблица4[[#This Row],[ДДУ]])*1,"")</f>
        <v>0</v>
      </c>
      <c r="G54" s="235" cm="1">
        <f t="array" ref="G54">IFERROR(INDEX(РД[Стоимость с отделкой итог],MATCH($B$3&amp;Таблица4[[#This Row],[№]]&amp;"Продажа",РД[Дом]&amp;РД[№ кв]&amp;РД[Состояние],0),1),Таблица4[[#This Row],[Статус]])</f>
        <v>6255500.8600000003</v>
      </c>
      <c r="H54" s="235">
        <f>_xlfn.XLOOKUP(Таблица4[[#This Row],[№]],Реестр_Д4[№],Реестр_Д4[Стоимость квартиры с отделкой],"-",0)</f>
        <v>6255500.8600000003</v>
      </c>
      <c r="I54" s="235">
        <f>IFERROR(Таблица4[[#This Row],[СО ПП]]-Таблица4[[#This Row],[СО ДДУ]],"")</f>
        <v>0</v>
      </c>
      <c r="J54" s="233" cm="1">
        <f t="array" ref="J54">IFERROR(INDEX(РД[S],MATCH($B$3&amp;Таблица4[[#This Row],[№]]&amp;"Продажа",РД[Дом]&amp;РД[№ кв]&amp;РД[Состояние],0),1),Таблица4[[#This Row],[Статус]])</f>
        <v>61.76</v>
      </c>
      <c r="K54" s="233">
        <f>VLOOKUP(Таблица4[[#This Row],[№]],Реестр_Д4[],20,0)</f>
        <v>61.76</v>
      </c>
      <c r="L54" s="235">
        <f>IFERROR(Таблица4[[#This Row],[S ПП]]-Таблица4[[#This Row],[S ДДУ]],)</f>
        <v>0</v>
      </c>
      <c r="M54" s="235">
        <f>ROUND(_xlfn.XLOOKUP(Таблица4[[#This Row],[№]],Реестр_Д4[№],Реестр_Д4[Итоговая сумма скидки],"",0),2)</f>
        <v>120000</v>
      </c>
      <c r="N54" s="235" cm="1">
        <f t="array" ref="N54">IFERROR(ROUND(_xlfn.XLOOKUP($B$3&amp;Таблица4[[#This Row],[№]]&amp;"Продажа",РД[Дом]&amp;РД[№ кв]&amp;РД[Состояние],РД[Сумма скидки],"",0),2),Таблица4[[#This Row],[Статус]])</f>
        <v>120000</v>
      </c>
      <c r="O54" s="235">
        <f>IFERROR(Таблица4[[#This Row],[ППС]]-Таблица4[[#This Row],[ДДУС]],)</f>
        <v>0</v>
      </c>
      <c r="P54" s="611"/>
      <c r="Q54" s="234">
        <f>VLOOKUP(ППД5!A51,Реестр_Д5[№],1,0)</f>
        <v>50</v>
      </c>
      <c r="R54" s="234" t="str">
        <f>VLOOKUP(ППД5!CH51,Реестр_Д5[Статус],1,0)</f>
        <v>Продажа</v>
      </c>
      <c r="S54" s="612">
        <f>VLOOKUP(ППД5!BZ51,Реестр_Д5[Стоимость ОН без отделки со скидкой],1,0)</f>
        <v>6717100</v>
      </c>
      <c r="T54" s="612" cm="1">
        <f t="array" ref="T54">IFERROR(INDEX(РД[Стоимость без отделки итог],MATCH($Q$3&amp;Таблица10[[#This Row],[№]]&amp;"Продажа",РД[Дом]&amp;РД[№ кв]&amp;РД[Состояние],0),1),Таблица10[[#This Row],[Статус]])</f>
        <v>6717100</v>
      </c>
      <c r="U54" s="235">
        <f>IFERROR((Таблица10[[#This Row],[ПП]]-Таблица10[[#This Row],[ДДУ]])*1,)</f>
        <v>0</v>
      </c>
      <c r="V54" s="235" cm="1">
        <f t="array" ref="V54">IFERROR(INDEX(РД[Стоимость с отделкой итог],MATCH($Q$3&amp;Таблица10[[#This Row],[№]]&amp;"Продажа",РД[Дом]&amp;РД[№ кв]&amp;РД[Состояние],0),1),Таблица10[[#This Row],[Статус]])</f>
        <v>6717100</v>
      </c>
      <c r="W54" s="235">
        <f>_xlfn.XLOOKUP(Таблица10[[#This Row],[№]],Реестр_Д5[№],Реестр_Д5[Стоимость квартиры с отделкой],"-",0)</f>
        <v>6717100</v>
      </c>
      <c r="X54" s="235">
        <f>IFERROR(Таблица10[[#This Row],[СО ПП]]-Таблица10[[#This Row],[СО ДДУ]],"")</f>
        <v>0</v>
      </c>
      <c r="Y54" s="233" cm="1">
        <f t="array" ref="Y54">IFERROR(INDEX(РД[S],MATCH($Q$3&amp;Таблица10[[#This Row],[№]]&amp;"Продажа",РД[Дом]&amp;РД[№ кв]&amp;РД[Состояние],0),1),Таблица10[[#This Row],[Статус]])</f>
        <v>68.5</v>
      </c>
      <c r="Z54" s="233">
        <f>IF(Таблица10[[#This Row],[№]]&amp;"ДДУ"=ППД5!A51&amp;ППД5!CR51,ППД5!U51,ППД5!V51)</f>
        <v>68.5</v>
      </c>
      <c r="AA54" s="285">
        <f>IFERROR(Таблица10[[#This Row],[S ПП]]-Таблица10[[#This Row],[S ДДУ]],)</f>
        <v>0</v>
      </c>
      <c r="AB54" s="235">
        <f>ROUND(_xlfn.XLOOKUP(Таблица10[[#This Row],[№]],Реестр_Д5[№],Реестр_Д5[Итоговая сумма скидки],"",0),2)</f>
        <v>100000</v>
      </c>
      <c r="AC54" s="235" cm="1">
        <f t="array" ref="AC54">IFERROR(ROUND(_xlfn.XLOOKUP($Q$3&amp;Таблица10[[#This Row],[№]]&amp;"Продажа",РД[Дом]&amp;РД[№ кв]&amp;РД[Состояние],РД[Сумма скидки],"",0,-1),2),Таблица10[[#This Row],[Статус]])</f>
        <v>100000</v>
      </c>
      <c r="AD54" s="285">
        <f>IFERROR(Таблица10[[#This Row],[ППС]]-Таблица10[[#This Row],[ДДУС]],)</f>
        <v>0</v>
      </c>
      <c r="AE54" s="611"/>
      <c r="AF54" s="615">
        <f>VLOOKUP(ППД401!A51,Д401[],1,0)</f>
        <v>50</v>
      </c>
      <c r="AG54" s="234" t="str">
        <f>_xlfn.XLOOKUP(Таблица1[[#This Row],[№]],Д401[№],Д401[Статус],"-",0)</f>
        <v>Продажа</v>
      </c>
      <c r="AH54" s="612">
        <f>_xlfn.XLOOKUP(Таблица1[[#This Row],[№]],Д401[№],Д401[Стоимость ОН без отделки со скидкой],"-",0)</f>
        <v>5023959</v>
      </c>
      <c r="AI54" s="612" cm="1">
        <f t="array" ref="AI54">IFERROR(INDEX(РД[Стоимость без отделки итог],MATCH($AF$3&amp;Таблица1[[#This Row],[№]]&amp;"Продажа",РД[Дом]&amp;РД[№ кв]&amp;РД[Состояние],0),1),Таблица1[[#This Row],[Статус]])</f>
        <v>5023959</v>
      </c>
      <c r="AJ54" s="235">
        <f>IFERROR((Таблица1[[#This Row],[ПП]]-Таблица1[[#This Row],[ДДУ]])*1,"")</f>
        <v>0</v>
      </c>
      <c r="AK54" s="235" cm="1">
        <f t="array" ref="AK54">IFERROR(INDEX(РД[Стоимость с отделкой итог],MATCH($AF$3&amp;Таблица1[[#This Row],[№]]&amp;"Продажа",РД[Дом]&amp;РД[№ кв]&amp;РД[Состояние],0),1),Таблица1[[#This Row],[Статус]])</f>
        <v>5023959</v>
      </c>
      <c r="AL54" s="235">
        <f>_xlfn.XLOOKUP(Таблица1[[#This Row],[№]],Д401[№],Д401[Стоимость квартиры с отделкой],"-",0)</f>
        <v>5023959</v>
      </c>
      <c r="AM54" s="235">
        <f>IFERROR(Таблица1[[#This Row],[СО ПП]]-Таблица1[[#This Row],[СО ДДУ]],"")</f>
        <v>0</v>
      </c>
      <c r="AN54" s="233" cm="1">
        <f t="array" ref="AN54">IFERROR(INDEX(РД[S],MATCH($AF$3&amp;Таблица1[[#This Row],[№]]&amp;"Продажа",РД[Дом]&amp;РД[№ кв]&amp;РД[Состояние],0),1),Таблица1[[#This Row],[Статус]])</f>
        <v>35.53</v>
      </c>
      <c r="AO54" s="233">
        <f>_xlfn.XLOOKUP(Таблица1[[#This Row],[№]],Д401[№],Д401[Расчетная проектная площадь],"-",0)</f>
        <v>35.5</v>
      </c>
      <c r="AP54" s="680">
        <f>IFERROR(Таблица1[[#This Row],[S ПП]]-Таблица1[[#This Row],[S ДДУ]],"")</f>
        <v>-3.0000000000001137E-2</v>
      </c>
      <c r="AQ54" s="235">
        <f>_xlfn.XLOOKUP(Таблица1[[#This Row],[№]],Д401[№],Д401[Итоговая сумма скидки],"-",0)</f>
        <v>103041</v>
      </c>
      <c r="AR54" s="235" cm="1">
        <f t="array" ref="AR54">IFERROR(ROUND(_xlfn.XLOOKUP($AF$3&amp;Таблица1[[#This Row],[№]]&amp;"Продажа",РД[Дом]&amp;РД[№ кв]&amp;РД[Состояние],РД[Сумма скидки],"",0),2),Таблица1[[#This Row],[Статус]])</f>
        <v>103041</v>
      </c>
      <c r="AS54" s="285">
        <f>IFERROR(Таблица1[[#This Row],[ППС]]-Таблица1[[#This Row],[ДДУС]],"")</f>
        <v>0</v>
      </c>
      <c r="AT54" s="611"/>
      <c r="AU54" s="484">
        <f>VLOOKUP(ППД402!A51,Д402[],1,0)</f>
        <v>50</v>
      </c>
      <c r="AV54" s="484" t="str">
        <f>_xlfn.XLOOKUP(Т402[[#This Row],[№]],Д402[№],Д402[Статус],"-",0)</f>
        <v>Стр. Резерв</v>
      </c>
      <c r="AW54" s="613">
        <f>_xlfn.XLOOKUP(Т402[[#This Row],[№]],Д402[№],Д402[Стоимость ОН без отделки со скидкой],"-",0)</f>
        <v>7520500</v>
      </c>
      <c r="AX54" s="614" t="str" cm="1">
        <f t="array" ref="AX5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4" s="485" t="str">
        <f>IFERROR((Т402[[#This Row],[ПП]]-Т402[[#This Row],[ДДУ]])*1,"")</f>
        <v/>
      </c>
      <c r="AZ54" s="486" t="str" cm="1">
        <f t="array" ref="AZ5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4" s="485">
        <f>_xlfn.XLOOKUP(Т402[[#This Row],[№]],Д402[№],Д402[Стоимость квартиры с отделкой],"-",0)</f>
        <v>9321100</v>
      </c>
      <c r="BB54" s="485" t="str">
        <f>IFERROR(Т402[[#This Row],[СО ПП]]-Т402[[#This Row],[СО ДДУ]],"")</f>
        <v/>
      </c>
      <c r="BC54" s="487" t="str" cm="1">
        <f t="array" ref="BC54">IFERROR(INDEX(РД[S],MATCH($AU$3&amp;Т402[[#This Row],[№]]&amp;"Продажа",РД[Дом]&amp;РД[№ кв]&amp;РД[Состояние],0),1),Т402[[#This Row],[Статус]])</f>
        <v>Стр. Резерв</v>
      </c>
      <c r="BD54" s="483">
        <f>_xlfn.XLOOKUP(Т402[[#This Row],[№]],Д402[№],Д402[Расчетная проектная площадь],"-",0)</f>
        <v>60.02</v>
      </c>
      <c r="BE54" s="485" t="str">
        <f>IFERROR(Т402[[#This Row],[S ПП]]-Т402[[#This Row],[S ДДУ]],"")</f>
        <v/>
      </c>
      <c r="BF54" s="485">
        <f>_xlfn.XLOOKUP(Т402[[#This Row],[№]],Д402[№],Д402[Итоговая сумма скидки],"-",0)</f>
        <v>0</v>
      </c>
      <c r="BG54" s="486" t="str" cm="1">
        <f t="array" ref="BG5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4" s="488" t="str">
        <f>IFERROR(Т402[[#This Row],[ППС]]-Т402[[#This Row],[ДДУС]],"")</f>
        <v/>
      </c>
    </row>
    <row r="55" spans="1:60" x14ac:dyDescent="0.2">
      <c r="A55" s="611"/>
      <c r="B55" s="234">
        <f>VLOOKUP(ППД4!A52,Реестр_Д4[№],1,0)</f>
        <v>51</v>
      </c>
      <c r="C55" s="234" t="str">
        <f>VLOOKUP(ППД4!CO52,Реестр_Д4[Статус],1,0)</f>
        <v>Продажа</v>
      </c>
      <c r="D55" s="612">
        <f>VLOOKUP(ППД4!CE52,Реестр_Д4[Стоимость ОН без отделки со скидкой],1,0)</f>
        <v>3055415.74</v>
      </c>
      <c r="E55" s="612" cm="1">
        <f t="array" ref="E55">IFERROR(INDEX(РД[Стоимость без отделки итог],MATCH($B$3&amp;Таблица4[[#This Row],[№]]&amp;"Продажа",РД[Дом]&amp;РД[№ кв]&amp;РД[Состояние],0),1),Таблица4[[#This Row],[Статус]])</f>
        <v>3055415.74</v>
      </c>
      <c r="F55" s="235">
        <f>IFERROR((Таблица4[[#This Row],[ПП]]-Таблица4[[#This Row],[ДДУ]])*1,"")</f>
        <v>0</v>
      </c>
      <c r="G55" s="235" cm="1">
        <f t="array" ref="G55">IFERROR(INDEX(РД[Стоимость с отделкой итог],MATCH($B$3&amp;Таблица4[[#This Row],[№]]&amp;"Продажа",РД[Дом]&amp;РД[№ кв]&amp;РД[Состояние],0),1),Таблица4[[#This Row],[Статус]])</f>
        <v>3588515.74</v>
      </c>
      <c r="H55" s="235">
        <f>_xlfn.XLOOKUP(Таблица4[[#This Row],[№]],Реестр_Д4[№],Реестр_Д4[Стоимость квартиры с отделкой],"-",0)</f>
        <v>3588515.74</v>
      </c>
      <c r="I55" s="235">
        <f>IFERROR(Таблица4[[#This Row],[СО ПП]]-Таблица4[[#This Row],[СО ДДУ]],"")</f>
        <v>0</v>
      </c>
      <c r="J55" s="233" cm="1">
        <f t="array" ref="J55">IFERROR(INDEX(РД[S],MATCH($B$3&amp;Таблица4[[#This Row],[№]]&amp;"Продажа",РД[Дом]&amp;РД[№ кв]&amp;РД[Состояние],0),1),Таблица4[[#This Row],[Статус]])</f>
        <v>35.54</v>
      </c>
      <c r="K55" s="233">
        <f>VLOOKUP(Таблица4[[#This Row],[№]],Реестр_Д4[],20,0)</f>
        <v>35.54</v>
      </c>
      <c r="L55" s="235">
        <f>IFERROR(Таблица4[[#This Row],[S ПП]]-Таблица4[[#This Row],[S ДДУ]],)</f>
        <v>0</v>
      </c>
      <c r="M55" s="235">
        <f>ROUND(_xlfn.XLOOKUP(Таблица4[[#This Row],[№]],Реестр_Д4[№],Реестр_Д4[Итоговая сумма скидки],"",0),2)</f>
        <v>0</v>
      </c>
      <c r="N55" s="235" cm="1">
        <f t="array" ref="N5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5" s="235">
        <f>IFERROR(Таблица4[[#This Row],[ППС]]-Таблица4[[#This Row],[ДДУС]],)</f>
        <v>0</v>
      </c>
      <c r="P55" s="611"/>
      <c r="Q55" s="234">
        <f>VLOOKUP(ППД5!A52,Реестр_Д5[№],1,0)</f>
        <v>51</v>
      </c>
      <c r="R55" s="234" t="str">
        <f>VLOOKUP(ППД5!CH52,Реестр_Д5[Статус],1,0)</f>
        <v>Продажа</v>
      </c>
      <c r="S55" s="612">
        <f>VLOOKUP(ППД5!BZ52,Реестр_Д5[Стоимость ОН без отделки со скидкой],1,0)</f>
        <v>4386800</v>
      </c>
      <c r="T55" s="612" cm="1">
        <f t="array" ref="T55">IFERROR(INDEX(РД[Стоимость без отделки итог],MATCH($Q$3&amp;Таблица10[[#This Row],[№]]&amp;"Продажа",РД[Дом]&amp;РД[№ кв]&amp;РД[Состояние],0),1),Таблица10[[#This Row],[Статус]])</f>
        <v>4386800</v>
      </c>
      <c r="U55" s="235">
        <f>IFERROR((Таблица10[[#This Row],[ПП]]-Таблица10[[#This Row],[ДДУ]])*1,)</f>
        <v>0</v>
      </c>
      <c r="V55" s="235" cm="1">
        <f t="array" ref="V55">IFERROR(INDEX(РД[Стоимость с отделкой итог],MATCH($Q$3&amp;Таблица10[[#This Row],[№]]&amp;"Продажа",РД[Дом]&amp;РД[№ кв]&amp;РД[Состояние],0),1),Таблица10[[#This Row],[Статус]])</f>
        <v>5141400</v>
      </c>
      <c r="W55" s="235">
        <f>_xlfn.XLOOKUP(Таблица10[[#This Row],[№]],Реестр_Д5[№],Реестр_Д5[Стоимость квартиры с отделкой],"-",0)</f>
        <v>5141400</v>
      </c>
      <c r="X55" s="235">
        <f>IFERROR(Таблица10[[#This Row],[СО ПП]]-Таблица10[[#This Row],[СО ДДУ]],"")</f>
        <v>0</v>
      </c>
      <c r="Y55" s="233" cm="1">
        <f t="array" ref="Y55">IFERROR(INDEX(РД[S],MATCH($Q$3&amp;Таблица10[[#This Row],[№]]&amp;"Продажа",РД[Дом]&amp;РД[№ кв]&amp;РД[Состояние],0),1),Таблица10[[#This Row],[Статус]])</f>
        <v>37.729999999999997</v>
      </c>
      <c r="Z55" s="233">
        <f>IF(Таблица10[[#This Row],[№]]&amp;"ДДУ"=ППД5!A52&amp;ППД5!CR52,ППД5!U52,ППД5!V52)</f>
        <v>37.729999999999997</v>
      </c>
      <c r="AA55" s="285">
        <f>IFERROR(Таблица10[[#This Row],[S ПП]]-Таблица10[[#This Row],[S ДДУ]],)</f>
        <v>0</v>
      </c>
      <c r="AB55" s="235">
        <f>ROUND(_xlfn.XLOOKUP(Таблица10[[#This Row],[№]],Реестр_Д5[№],Реестр_Д5[Итоговая сумма скидки],"",0),2)</f>
        <v>0</v>
      </c>
      <c r="AC55" s="235" cm="1">
        <f t="array" ref="AC5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5" s="285">
        <f>IFERROR(Таблица10[[#This Row],[ППС]]-Таблица10[[#This Row],[ДДУС]],)</f>
        <v>0</v>
      </c>
      <c r="AE55" s="611"/>
      <c r="AF55" s="615">
        <f>VLOOKUP(ППД401!A52,Д401[],1,0)</f>
        <v>51</v>
      </c>
      <c r="AG55" s="234" t="str">
        <f>_xlfn.XLOOKUP(Таблица1[[#This Row],[№]],Д401[№],Д401[Статус],"-",0)</f>
        <v>Продажа</v>
      </c>
      <c r="AH55" s="612">
        <f>_xlfn.XLOOKUP(Таблица1[[#This Row],[№]],Д401[№],Д401[Стоимость ОН без отделки со скидкой],"-",0)</f>
        <v>5673318</v>
      </c>
      <c r="AI55" s="612" cm="1">
        <f t="array" ref="AI55">IFERROR(INDEX(РД[Стоимость без отделки итог],MATCH($AF$3&amp;Таблица1[[#This Row],[№]]&amp;"Продажа",РД[Дом]&amp;РД[№ кв]&amp;РД[Состояние],0),1),Таблица1[[#This Row],[Статус]])</f>
        <v>5673318</v>
      </c>
      <c r="AJ55" s="235">
        <f>IFERROR((Таблица1[[#This Row],[ПП]]-Таблица1[[#This Row],[ДДУ]])*1,"")</f>
        <v>0</v>
      </c>
      <c r="AK55" s="235" cm="1">
        <f t="array" ref="AK55">IFERROR(INDEX(РД[Стоимость с отделкой итог],MATCH($AF$3&amp;Таблица1[[#This Row],[№]]&amp;"Продажа",РД[Дом]&amp;РД[№ кв]&amp;РД[Состояние],0),1),Таблица1[[#This Row],[Статус]])</f>
        <v>5673318</v>
      </c>
      <c r="AL55" s="235">
        <f>_xlfn.XLOOKUP(Таблица1[[#This Row],[№]],Д401[№],Д401[Стоимость квартиры с отделкой],"-",0)</f>
        <v>5673318</v>
      </c>
      <c r="AM55" s="235">
        <f>IFERROR(Таблица1[[#This Row],[СО ПП]]-Таблица1[[#This Row],[СО ДДУ]],"")</f>
        <v>0</v>
      </c>
      <c r="AN55" s="233" cm="1">
        <f t="array" ref="AN55">IFERROR(INDEX(РД[S],MATCH($AF$3&amp;Таблица1[[#This Row],[№]]&amp;"Продажа",РД[Дом]&amp;РД[№ кв]&amp;РД[Состояние],0),1),Таблица1[[#This Row],[Статус]])</f>
        <v>51.79</v>
      </c>
      <c r="AO55" s="233">
        <f>_xlfn.XLOOKUP(Таблица1[[#This Row],[№]],Д401[№],Д401[Расчетная проектная площадь],"-",0)</f>
        <v>51.75</v>
      </c>
      <c r="AP55" s="680">
        <f>IFERROR(Таблица1[[#This Row],[S ПП]]-Таблица1[[#This Row],[S ДДУ]],"")</f>
        <v>-3.9999999999999147E-2</v>
      </c>
      <c r="AQ55" s="235">
        <f>_xlfn.XLOOKUP(Таблица1[[#This Row],[№]],Д401[№],Д401[Итоговая сумма скидки],"-",0)</f>
        <v>115782</v>
      </c>
      <c r="AR55" s="235" cm="1">
        <f t="array" ref="AR55">IFERROR(ROUND(_xlfn.XLOOKUP($AF$3&amp;Таблица1[[#This Row],[№]]&amp;"Продажа",РД[Дом]&amp;РД[№ кв]&amp;РД[Состояние],РД[Сумма скидки],"",0),2),Таблица1[[#This Row],[Статус]])</f>
        <v>115782</v>
      </c>
      <c r="AS55" s="285">
        <f>IFERROR(Таблица1[[#This Row],[ППС]]-Таблица1[[#This Row],[ДДУС]],"")</f>
        <v>0</v>
      </c>
      <c r="AT55" s="611"/>
      <c r="AU55" s="484">
        <f>VLOOKUP(ППД402!A52,Д402[],1,0)</f>
        <v>51</v>
      </c>
      <c r="AV55" s="484" t="str">
        <f>_xlfn.XLOOKUP(Т402[[#This Row],[№]],Д402[№],Д402[Статус],"-",0)</f>
        <v>Стр. Резерв</v>
      </c>
      <c r="AW55" s="613">
        <f>_xlfn.XLOOKUP(Т402[[#This Row],[№]],Д402[№],Д402[Стоимость ОН без отделки со скидкой],"-",0)</f>
        <v>6537200</v>
      </c>
      <c r="AX55" s="614" t="str" cm="1">
        <f t="array" ref="AX5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5" s="485" t="str">
        <f>IFERROR((Т402[[#This Row],[ПП]]-Т402[[#This Row],[ДДУ]])*1,"")</f>
        <v/>
      </c>
      <c r="AZ55" s="486" t="str" cm="1">
        <f t="array" ref="AZ5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5" s="485">
        <f>_xlfn.XLOOKUP(Т402[[#This Row],[№]],Д402[№],Д402[Стоимость квартиры с отделкой],"-",0)</f>
        <v>6537200</v>
      </c>
      <c r="BB55" s="485" t="str">
        <f>IFERROR(Т402[[#This Row],[СО ПП]]-Т402[[#This Row],[СО ДДУ]],"")</f>
        <v/>
      </c>
      <c r="BC55" s="487" t="str" cm="1">
        <f t="array" ref="BC55">IFERROR(INDEX(РД[S],MATCH($AU$3&amp;Т402[[#This Row],[№]]&amp;"Продажа",РД[Дом]&amp;РД[№ кв]&amp;РД[Состояние],0),1),Т402[[#This Row],[Статус]])</f>
        <v>Стр. Резерв</v>
      </c>
      <c r="BD55" s="483">
        <f>_xlfn.XLOOKUP(Т402[[#This Row],[№]],Д402[№],Д402[Расчетная проектная площадь],"-",0)</f>
        <v>54.76</v>
      </c>
      <c r="BE55" s="485" t="str">
        <f>IFERROR(Т402[[#This Row],[S ПП]]-Т402[[#This Row],[S ДДУ]],"")</f>
        <v/>
      </c>
      <c r="BF55" s="485">
        <f>_xlfn.XLOOKUP(Т402[[#This Row],[№]],Д402[№],Д402[Итоговая сумма скидки],"-",0)</f>
        <v>0</v>
      </c>
      <c r="BG55" s="486" t="str" cm="1">
        <f t="array" ref="BG5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5" s="488" t="str">
        <f>IFERROR(Т402[[#This Row],[ППС]]-Т402[[#This Row],[ДДУС]],"")</f>
        <v/>
      </c>
    </row>
    <row r="56" spans="1:60" x14ac:dyDescent="0.2">
      <c r="A56" s="611"/>
      <c r="B56" s="234">
        <f>VLOOKUP(ППД4!A53,Реестр_Д4[№],1,0)</f>
        <v>52</v>
      </c>
      <c r="C56" s="234" t="str">
        <f>VLOOKUP(ППД4!CO53,Реестр_Д4[Статус],1,0)</f>
        <v>Продажа</v>
      </c>
      <c r="D56" s="612">
        <f>VLOOKUP(ППД4!CE53,Реестр_Д4[Стоимость ОН без отделки со скидкой],1,0)</f>
        <v>4283393.21</v>
      </c>
      <c r="E56" s="612" cm="1">
        <f t="array" ref="E56">IFERROR(INDEX(РД[Стоимость без отделки итог],MATCH($B$3&amp;Таблица4[[#This Row],[№]]&amp;"Продажа",РД[Дом]&amp;РД[№ кв]&amp;РД[Состояние],0),1),Таблица4[[#This Row],[Статус]])</f>
        <v>4283393.21</v>
      </c>
      <c r="F56" s="235">
        <f>IFERROR((Таблица4[[#This Row],[ПП]]-Таблица4[[#This Row],[ДДУ]])*1,"")</f>
        <v>0</v>
      </c>
      <c r="G56" s="235" cm="1">
        <f t="array" ref="G56">IFERROR(INDEX(РД[Стоимость с отделкой итог],MATCH($B$3&amp;Таблица4[[#This Row],[№]]&amp;"Продажа",РД[Дом]&amp;РД[№ кв]&amp;РД[Состояние],0),1),Таблица4[[#This Row],[Статус]])</f>
        <v>4507513.21</v>
      </c>
      <c r="H56" s="235">
        <f>_xlfn.XLOOKUP(Таблица4[[#This Row],[№]],Реестр_Д4[№],Реестр_Д4[Стоимость квартиры с отделкой],"-",0)</f>
        <v>4507513.21</v>
      </c>
      <c r="I56" s="235">
        <f>IFERROR(Таблица4[[#This Row],[СО ПП]]-Таблица4[[#This Row],[СО ДДУ]],"")</f>
        <v>0</v>
      </c>
      <c r="J56" s="233" cm="1">
        <f t="array" ref="J56">IFERROR(INDEX(РД[S],MATCH($B$3&amp;Таблица4[[#This Row],[№]]&amp;"Продажа",РД[Дом]&amp;РД[№ кв]&amp;РД[Состояние],0),1),Таблица4[[#This Row],[Статус]])</f>
        <v>56.03</v>
      </c>
      <c r="K56" s="233">
        <f>VLOOKUP(Таблица4[[#This Row],[№]],Реестр_Д4[],20,0)</f>
        <v>56.03</v>
      </c>
      <c r="L56" s="235">
        <f>IFERROR(Таблица4[[#This Row],[S ПП]]-Таблица4[[#This Row],[S ДДУ]],)</f>
        <v>0</v>
      </c>
      <c r="M56" s="235">
        <f>ROUND(_xlfn.XLOOKUP(Таблица4[[#This Row],[№]],Реестр_Д4[№],Реестр_Д4[Итоговая сумма скидки],"",0),2)</f>
        <v>0</v>
      </c>
      <c r="N56" s="235" cm="1">
        <f t="array" ref="N5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6" s="235">
        <f>IFERROR(Таблица4[[#This Row],[ППС]]-Таблица4[[#This Row],[ДДУС]],)</f>
        <v>0</v>
      </c>
      <c r="P56" s="611"/>
      <c r="Q56" s="234">
        <f>VLOOKUP(ППД5!A53,Реестр_Д5[№],1,0)</f>
        <v>52</v>
      </c>
      <c r="R56" s="234" t="str">
        <f>VLOOKUP(ППД5!CH53,Реестр_Д5[Статус],1,0)</f>
        <v>Свободно</v>
      </c>
      <c r="S56" s="612">
        <f>VLOOKUP(ППД5!BZ53,Реестр_Д5[Стоимость ОН без отделки со скидкой],1,0)</f>
        <v>7204000</v>
      </c>
      <c r="T56" s="612" t="str" cm="1">
        <f t="array" ref="T5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" s="235">
        <f>IFERROR((Таблица10[[#This Row],[ПП]]-Таблица10[[#This Row],[ДДУ]])*1,)</f>
        <v>0</v>
      </c>
      <c r="V56" s="235" t="str" cm="1">
        <f t="array" ref="V5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" s="235">
        <f>_xlfn.XLOOKUP(Таблица10[[#This Row],[№]],Реестр_Д5[№],Реестр_Д5[Стоимость квартиры с отделкой],"-",0)</f>
        <v>7204000</v>
      </c>
      <c r="X56" s="235" t="str">
        <f>IFERROR(Таблица10[[#This Row],[СО ПП]]-Таблица10[[#This Row],[СО ДДУ]],"")</f>
        <v/>
      </c>
      <c r="Y56" s="233" t="str" cm="1">
        <f t="array" ref="Y56">IFERROR(INDEX(РД[S],MATCH($Q$3&amp;Таблица10[[#This Row],[№]]&amp;"Продажа",РД[Дом]&amp;РД[№ кв]&amp;РД[Состояние],0),1),Таблица10[[#This Row],[Статус]])</f>
        <v>Свободно</v>
      </c>
      <c r="Z56" s="233">
        <f>IF(Таблица10[[#This Row],[№]]&amp;"ДДУ"=ППД5!A53&amp;ППД5!CR53,ППД5!U53,ППД5!V53)</f>
        <v>58.849999999999994</v>
      </c>
      <c r="AA56" s="285">
        <f>IFERROR(Таблица10[[#This Row],[S ПП]]-Таблица10[[#This Row],[S ДДУ]],)</f>
        <v>0</v>
      </c>
      <c r="AB56" s="235">
        <f>ROUND(_xlfn.XLOOKUP(Таблица10[[#This Row],[№]],Реестр_Д5[№],Реестр_Д5[Итоговая сумма скидки],"",0),2)</f>
        <v>0</v>
      </c>
      <c r="AC56" s="235" t="str" cm="1">
        <f t="array" ref="AC5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" s="285">
        <f>IFERROR(Таблица10[[#This Row],[ППС]]-Таблица10[[#This Row],[ДДУС]],)</f>
        <v>0</v>
      </c>
      <c r="AE56" s="611"/>
      <c r="AF56" s="615">
        <f>VLOOKUP(ППД401!A53,Д401[],1,0)</f>
        <v>52</v>
      </c>
      <c r="AG56" s="234" t="str">
        <f>_xlfn.XLOOKUP(Таблица1[[#This Row],[№]],Д401[№],Д401[Статус],"-",0)</f>
        <v>Свободно</v>
      </c>
      <c r="AH56" s="612">
        <f>_xlfn.XLOOKUP(Таблица1[[#This Row],[№]],Д401[№],Д401[Стоимость ОН без отделки со скидкой],"-",0)</f>
        <v>10093750</v>
      </c>
      <c r="AI56" s="612" t="str" cm="1">
        <f t="array" ref="AI56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56" s="235" t="str">
        <f>IFERROR((Таблица1[[#This Row],[ПП]]-Таблица1[[#This Row],[ДДУ]])*1,"")</f>
        <v/>
      </c>
      <c r="AK56" s="235" t="str" cm="1">
        <f t="array" ref="AK56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56" s="235">
        <f>_xlfn.XLOOKUP(Таблица1[[#This Row],[№]],Д401[№],Д401[Стоимость квартиры с отделкой],"-",0)</f>
        <v>10093750</v>
      </c>
      <c r="AM56" s="235" t="str">
        <f>IFERROR(Таблица1[[#This Row],[СО ПП]]-Таблица1[[#This Row],[СО ДДУ]],"")</f>
        <v/>
      </c>
      <c r="AN56" s="233" t="str" cm="1">
        <f t="array" ref="AN56">IFERROR(INDEX(РД[S],MATCH($AF$3&amp;Таблица1[[#This Row],[№]]&amp;"Продажа",РД[Дом]&amp;РД[№ кв]&amp;РД[Состояние],0),1),Таблица1[[#This Row],[Статус]])</f>
        <v>Свободно</v>
      </c>
      <c r="AO56" s="233">
        <f>_xlfn.XLOOKUP(Таблица1[[#This Row],[№]],Д401[№],Д401[Расчетная проектная площадь],"-",0)</f>
        <v>80.75</v>
      </c>
      <c r="AP56" s="235" t="str">
        <f>IFERROR(Таблица1[[#This Row],[S ПП]]-Таблица1[[#This Row],[S ДДУ]],"")</f>
        <v/>
      </c>
      <c r="AQ56" s="235">
        <f>_xlfn.XLOOKUP(Таблица1[[#This Row],[№]],Д401[№],Д401[Итоговая сумма скидки],"-",0)</f>
        <v>0</v>
      </c>
      <c r="AR56" s="235" t="str" cm="1">
        <f t="array" ref="AR56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56" s="285" t="str">
        <f>IFERROR(Таблица1[[#This Row],[ППС]]-Таблица1[[#This Row],[ДДУС]],"")</f>
        <v/>
      </c>
      <c r="AT56" s="611"/>
      <c r="AU56" s="484">
        <f>VLOOKUP(ППД402!A53,Д402[],1,0)</f>
        <v>52</v>
      </c>
      <c r="AV56" s="484" t="str">
        <f>_xlfn.XLOOKUP(Т402[[#This Row],[№]],Д402[№],Д402[Статус],"-",0)</f>
        <v>Продажа</v>
      </c>
      <c r="AW56" s="613">
        <f>_xlfn.XLOOKUP(Т402[[#This Row],[№]],Д402[№],Д402[Стоимость ОН без отделки со скидкой],"-",0)</f>
        <v>6520038</v>
      </c>
      <c r="AX56" s="614" cm="1">
        <f t="array" ref="AX56">IFERROR(INDEX(РД[Стоимость без отделки итог],MATCH($AU$3&amp;Т402[[#This Row],[№]]&amp;"Продажа",РД[Дом]&amp;РД[№ кв]&amp;РД[Состояние],0),1),Т402[[#This Row],[Статус]])</f>
        <v>6520038</v>
      </c>
      <c r="AY56" s="485">
        <f>IFERROR((Т402[[#This Row],[ПП]]-Т402[[#This Row],[ДДУ]])*1,"")</f>
        <v>0</v>
      </c>
      <c r="AZ56" s="486" cm="1">
        <f t="array" ref="AZ56">IFERROR(INDEX(РД[Стоимость с отделкой итог],MATCH($AU$3&amp;Т402[[#This Row],[№]]&amp;"Продажа",РД[Дом]&amp;РД[№ кв]&amp;РД[Состояние],0),1),Т402[[#This Row],[Статус]])</f>
        <v>6520038</v>
      </c>
      <c r="BA56" s="485">
        <f>_xlfn.XLOOKUP(Т402[[#This Row],[№]],Д402[№],Д402[Стоимость квартиры с отделкой],"-",0)</f>
        <v>6520038</v>
      </c>
      <c r="BB56" s="485">
        <f>IFERROR(Т402[[#This Row],[СО ПП]]-Т402[[#This Row],[СО ДДУ]],"")</f>
        <v>0</v>
      </c>
      <c r="BC56" s="487" cm="1">
        <f t="array" ref="BC56">IFERROR(INDEX(РД[S],MATCH($AU$3&amp;Т402[[#This Row],[№]]&amp;"Продажа",РД[Дом]&amp;РД[№ кв]&amp;РД[Состояние],0),1),Т402[[#This Row],[Статус]])</f>
        <v>54.69</v>
      </c>
      <c r="BD56" s="483">
        <f>_xlfn.XLOOKUP(Т402[[#This Row],[№]],Д402[№],Д402[Расчетная проектная площадь],"-",0)</f>
        <v>54.69</v>
      </c>
      <c r="BE56" s="485">
        <f>IFERROR(Т402[[#This Row],[S ПП]]-Т402[[#This Row],[S ДДУ]],"")</f>
        <v>0</v>
      </c>
      <c r="BF56" s="485">
        <f>_xlfn.XLOOKUP(Т402[[#This Row],[№]],Д402[№],Д402[Итоговая сумма скидки],"-",0)</f>
        <v>133062</v>
      </c>
      <c r="BG56" s="486" cm="1">
        <f t="array" ref="BG56">IFERROR(ROUND(_xlfn.XLOOKUP($AU$3&amp;Т402[[#This Row],[№]]&amp;"Продажа",РД[Дом]&amp;РД[№ кв]&amp;РД[Состояние],РД[Сумма скидки],"",0),2),Т402[[#This Row],[Статус]])</f>
        <v>133062</v>
      </c>
      <c r="BH56" s="488">
        <f>IFERROR(Т402[[#This Row],[ППС]]-Т402[[#This Row],[ДДУС]],"")</f>
        <v>0</v>
      </c>
    </row>
    <row r="57" spans="1:60" x14ac:dyDescent="0.2">
      <c r="A57" s="611"/>
      <c r="B57" s="234">
        <f>VLOOKUP(ППД4!A54,Реестр_Д4[№],1,0)</f>
        <v>53</v>
      </c>
      <c r="C57" s="234" t="str">
        <f>VLOOKUP(ППД4!CO54,Реестр_Д4[Статус],1,0)</f>
        <v>Продажа</v>
      </c>
      <c r="D57" s="612">
        <f>VLOOKUP(ППД4!CE54,Реестр_Д4[Стоимость ОН без отделки со скидкой],1,0)</f>
        <v>3973823.16</v>
      </c>
      <c r="E57" s="612" cm="1">
        <f t="array" ref="E57">IFERROR(INDEX(РД[Стоимость без отделки итог],MATCH($B$3&amp;Таблица4[[#This Row],[№]]&amp;"Продажа",РД[Дом]&amp;РД[№ кв]&amp;РД[Состояние],0),1),Таблица4[[#This Row],[Статус]])</f>
        <v>3973823.1599999992</v>
      </c>
      <c r="F57" s="235">
        <f>IFERROR((Таблица4[[#This Row],[ПП]]-Таблица4[[#This Row],[ДДУ]])*1,"")</f>
        <v>9.3132257461547852E-10</v>
      </c>
      <c r="G57" s="235" cm="1">
        <f t="array" ref="G57">IFERROR(INDEX(РД[Стоимость с отделкой итог],MATCH($B$3&amp;Таблица4[[#This Row],[№]]&amp;"Продажа",РД[Дом]&amp;РД[№ кв]&amp;РД[Состояние],0),1),Таблица4[[#This Row],[Статус]])</f>
        <v>4192463.16</v>
      </c>
      <c r="H57" s="235">
        <f>_xlfn.XLOOKUP(Таблица4[[#This Row],[№]],Реестр_Д4[№],Реестр_Д4[Стоимость квартиры с отделкой],"-",0)</f>
        <v>4192463.16</v>
      </c>
      <c r="I57" s="235">
        <f>IFERROR(Таблица4[[#This Row],[СО ПП]]-Таблица4[[#This Row],[СО ДДУ]],"")</f>
        <v>0</v>
      </c>
      <c r="J57" s="233" cm="1">
        <f t="array" ref="J57">IFERROR(INDEX(РД[S],MATCH($B$3&amp;Таблица4[[#This Row],[№]]&amp;"Продажа",РД[Дом]&amp;РД[№ кв]&amp;РД[Состояние],0),1),Таблица4[[#This Row],[Статус]])</f>
        <v>54.66</v>
      </c>
      <c r="K57" s="233">
        <f>VLOOKUP(Таблица4[[#This Row],[№]],Реестр_Д4[],20,0)</f>
        <v>54.66</v>
      </c>
      <c r="L57" s="235">
        <f>IFERROR(Таблица4[[#This Row],[S ПП]]-Таблица4[[#This Row],[S ДДУ]],)</f>
        <v>0</v>
      </c>
      <c r="M57" s="235">
        <f>ROUND(_xlfn.XLOOKUP(Таблица4[[#This Row],[№]],Реестр_Д4[№],Реестр_Д4[Итоговая сумма скидки],"",0),2)</f>
        <v>122901.75</v>
      </c>
      <c r="N57" s="235" cm="1">
        <f t="array" ref="N57">IFERROR(ROUND(_xlfn.XLOOKUP($B$3&amp;Таблица4[[#This Row],[№]]&amp;"Продажа",РД[Дом]&amp;РД[№ кв]&amp;РД[Состояние],РД[Сумма скидки],"",0),2),Таблица4[[#This Row],[Статус]])</f>
        <v>122901.75</v>
      </c>
      <c r="O57" s="235">
        <f>IFERROR(Таблица4[[#This Row],[ППС]]-Таблица4[[#This Row],[ДДУС]],)</f>
        <v>0</v>
      </c>
      <c r="P57" s="611"/>
      <c r="Q57" s="234">
        <f>VLOOKUP(ППД5!A54,Реестр_Д5[№],1,0)</f>
        <v>53</v>
      </c>
      <c r="R57" s="234" t="str">
        <f>VLOOKUP(ППД5!CH54,Реестр_Д5[Статус],1,0)</f>
        <v>Свободно</v>
      </c>
      <c r="S57" s="612">
        <f>VLOOKUP(ППД5!BZ54,Реестр_Д5[Стоимость ОН без отделки со скидкой],1,0)</f>
        <v>7634700</v>
      </c>
      <c r="T57" s="612" t="str" cm="1">
        <f t="array" ref="T5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7" s="235">
        <f>IFERROR((Таблица10[[#This Row],[ПП]]-Таблица10[[#This Row],[ДДУ]])*1,)</f>
        <v>0</v>
      </c>
      <c r="V57" s="235" t="str" cm="1">
        <f t="array" ref="V5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7" s="235">
        <f>_xlfn.XLOOKUP(Таблица10[[#This Row],[№]],Реестр_Д5[№],Реестр_Д5[Стоимость квартиры с отделкой],"-",0)</f>
        <v>9478200</v>
      </c>
      <c r="X57" s="235" t="str">
        <f>IFERROR(Таблица10[[#This Row],[СО ПП]]-Таблица10[[#This Row],[СО ДДУ]],"")</f>
        <v/>
      </c>
      <c r="Y57" s="233" t="str" cm="1">
        <f t="array" ref="Y57">IFERROR(INDEX(РД[S],MATCH($Q$3&amp;Таблица10[[#This Row],[№]]&amp;"Продажа",РД[Дом]&amp;РД[№ кв]&amp;РД[Состояние],0),1),Таблица10[[#This Row],[Статус]])</f>
        <v>Свободно</v>
      </c>
      <c r="Z57" s="233">
        <f>IF(Таблица10[[#This Row],[№]]&amp;"ДДУ"=ППД5!A54&amp;ППД5!CR54,ППД5!U54,ППД5!V54)</f>
        <v>61.45</v>
      </c>
      <c r="AA57" s="285">
        <f>IFERROR(Таблица10[[#This Row],[S ПП]]-Таблица10[[#This Row],[S ДДУ]],)</f>
        <v>0</v>
      </c>
      <c r="AB57" s="235">
        <f>ROUND(_xlfn.XLOOKUP(Таблица10[[#This Row],[№]],Реестр_Д5[№],Реестр_Д5[Итоговая сумма скидки],"",0),2)</f>
        <v>0</v>
      </c>
      <c r="AC57" s="235" t="str" cm="1">
        <f t="array" ref="AC5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7" s="285">
        <f>IFERROR(Таблица10[[#This Row],[ППС]]-Таблица10[[#This Row],[ДДУС]],)</f>
        <v>0</v>
      </c>
      <c r="AE57" s="611"/>
      <c r="AF57" s="615">
        <f>VLOOKUP(ППД401!A54,Д401[],1,0)</f>
        <v>53</v>
      </c>
      <c r="AG57" s="234" t="str">
        <f>_xlfn.XLOOKUP(Таблица1[[#This Row],[№]],Д401[№],Д401[Статус],"-",0)</f>
        <v>Свободно</v>
      </c>
      <c r="AH57" s="612">
        <f>_xlfn.XLOOKUP(Таблица1[[#This Row],[№]],Д401[№],Д401[Стоимость ОН без отделки со скидкой],"-",0)</f>
        <v>7720000</v>
      </c>
      <c r="AI57" s="612" t="str" cm="1">
        <f t="array" ref="AI57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57" s="235" t="str">
        <f>IFERROR((Таблица1[[#This Row],[ПП]]-Таблица1[[#This Row],[ДДУ]])*1,"")</f>
        <v/>
      </c>
      <c r="AK57" s="235" t="str" cm="1">
        <f t="array" ref="AK57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57" s="235">
        <f>_xlfn.XLOOKUP(Таблица1[[#This Row],[№]],Д401[№],Д401[Стоимость квартиры с отделкой],"-",0)</f>
        <v>7720000</v>
      </c>
      <c r="AM57" s="235" t="str">
        <f>IFERROR(Таблица1[[#This Row],[СО ПП]]-Таблица1[[#This Row],[СО ДДУ]],"")</f>
        <v/>
      </c>
      <c r="AN57" s="233" t="str" cm="1">
        <f t="array" ref="AN57">IFERROR(INDEX(РД[S],MATCH($AF$3&amp;Таблица1[[#This Row],[№]]&amp;"Продажа",РД[Дом]&amp;РД[№ кв]&amp;РД[Состояние],0),1),Таблица1[[#This Row],[Статус]])</f>
        <v>Свободно</v>
      </c>
      <c r="AO57" s="233">
        <f>_xlfn.XLOOKUP(Таблица1[[#This Row],[№]],Д401[№],Д401[Расчетная проектная площадь],"-",0)</f>
        <v>61.76</v>
      </c>
      <c r="AP57" s="235" t="str">
        <f>IFERROR(Таблица1[[#This Row],[S ПП]]-Таблица1[[#This Row],[S ДДУ]],"")</f>
        <v/>
      </c>
      <c r="AQ57" s="235">
        <f>_xlfn.XLOOKUP(Таблица1[[#This Row],[№]],Д401[№],Д401[Итоговая сумма скидки],"-",0)</f>
        <v>0</v>
      </c>
      <c r="AR57" s="235" t="str" cm="1">
        <f t="array" ref="AR57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57" s="285" t="str">
        <f>IFERROR(Таблица1[[#This Row],[ППС]]-Таблица1[[#This Row],[ДДУС]],"")</f>
        <v/>
      </c>
      <c r="AT57" s="611"/>
      <c r="AU57" s="484">
        <f>VLOOKUP(ППД402!A54,Д402[],1,0)</f>
        <v>53</v>
      </c>
      <c r="AV57" s="484" t="str">
        <f>_xlfn.XLOOKUP(Т402[[#This Row],[№]],Д402[№],Д402[Статус],"-",0)</f>
        <v>Продажа</v>
      </c>
      <c r="AW57" s="613">
        <f>_xlfn.XLOOKUP(Т402[[#This Row],[№]],Д402[№],Д402[Стоимость ОН без отделки со скидкой],"-",0)</f>
        <v>4701648</v>
      </c>
      <c r="AX57" s="614" cm="1">
        <f t="array" ref="AX57">IFERROR(INDEX(РД[Стоимость без отделки итог],MATCH($AU$3&amp;Т402[[#This Row],[№]]&amp;"Продажа",РД[Дом]&amp;РД[№ кв]&amp;РД[Состояние],0),1),Т402[[#This Row],[Статус]])</f>
        <v>4701648</v>
      </c>
      <c r="AY57" s="485">
        <f>IFERROR((Т402[[#This Row],[ПП]]-Т402[[#This Row],[ДДУ]])*1,"")</f>
        <v>0</v>
      </c>
      <c r="AZ57" s="486" cm="1">
        <f t="array" ref="AZ57">IFERROR(INDEX(РД[Стоимость с отделкой итог],MATCH($AU$3&amp;Т402[[#This Row],[№]]&amp;"Продажа",РД[Дом]&amp;РД[№ кв]&amp;РД[Состояние],0),1),Т402[[#This Row],[Статус]])</f>
        <v>4701648</v>
      </c>
      <c r="BA57" s="485">
        <f>_xlfn.XLOOKUP(Т402[[#This Row],[№]],Д402[№],Д402[Стоимость квартиры с отделкой],"-",0)</f>
        <v>4701648</v>
      </c>
      <c r="BB57" s="485">
        <f>IFERROR(Т402[[#This Row],[СО ПП]]-Т402[[#This Row],[СО ДДУ]],"")</f>
        <v>0</v>
      </c>
      <c r="BC57" s="487" cm="1">
        <f t="array" ref="BC57">IFERROR(INDEX(РД[S],MATCH($AU$3&amp;Т402[[#This Row],[№]]&amp;"Продажа",РД[Дом]&amp;РД[№ кв]&amp;РД[Состояние],0),1),Т402[[#This Row],[Статус]])</f>
        <v>36.92</v>
      </c>
      <c r="BD57" s="483">
        <f>_xlfn.XLOOKUP(Т402[[#This Row],[№]],Д402[№],Д402[Расчетная проектная площадь],"-",0)</f>
        <v>36.92</v>
      </c>
      <c r="BE57" s="485">
        <f>IFERROR(Т402[[#This Row],[S ПП]]-Т402[[#This Row],[S ДДУ]],"")</f>
        <v>0</v>
      </c>
      <c r="BF57" s="485">
        <f>_xlfn.XLOOKUP(Т402[[#This Row],[№]],Д402[№],Д402[Итоговая сумма скидки],"-",0)</f>
        <v>95952</v>
      </c>
      <c r="BG57" s="486" cm="1">
        <f t="array" ref="BG57">IFERROR(ROUND(_xlfn.XLOOKUP($AU$3&amp;Т402[[#This Row],[№]]&amp;"Продажа",РД[Дом]&amp;РД[№ кв]&amp;РД[Состояние],РД[Сумма скидки],"",0),2),Т402[[#This Row],[Статус]])</f>
        <v>95952</v>
      </c>
      <c r="BH57" s="488">
        <f>IFERROR(Т402[[#This Row],[ППС]]-Т402[[#This Row],[ДДУС]],"")</f>
        <v>0</v>
      </c>
    </row>
    <row r="58" spans="1:60" x14ac:dyDescent="0.2">
      <c r="A58" s="611"/>
      <c r="B58" s="234">
        <f>VLOOKUP(ППД4!A55,Реестр_Д4[№],1,0)</f>
        <v>54</v>
      </c>
      <c r="C58" s="234" t="str">
        <f>VLOOKUP(ППД4!CO55,Реестр_Д4[Статус],1,0)</f>
        <v>Продажа</v>
      </c>
      <c r="D58" s="612">
        <f>VLOOKUP(ППД4!CE55,Реестр_Д4[Стоимость ОН без отделки со скидкой],1,0)</f>
        <v>5497183.1600000001</v>
      </c>
      <c r="E58" s="612" cm="1">
        <f t="array" ref="E58">IFERROR(INDEX(РД[Стоимость без отделки итог],MATCH($B$3&amp;Таблица4[[#This Row],[№]]&amp;"Продажа",РД[Дом]&amp;РД[№ кв]&amp;РД[Состояние],0),1),Таблица4[[#This Row],[Статус]])</f>
        <v>5497183.1600000001</v>
      </c>
      <c r="F58" s="235">
        <f>IFERROR((Таблица4[[#This Row],[ПП]]-Таблица4[[#This Row],[ДДУ]])*1,"")</f>
        <v>0</v>
      </c>
      <c r="G58" s="235" cm="1">
        <f t="array" ref="G58">IFERROR(INDEX(РД[Стоимость с отделкой итог],MATCH($B$3&amp;Таблица4[[#This Row],[№]]&amp;"Продажа",РД[Дом]&amp;РД[№ кв]&amp;РД[Состояние],0),1),Таблица4[[#This Row],[Статус]])</f>
        <v>5946208.1600000001</v>
      </c>
      <c r="H58" s="235">
        <f>_xlfn.XLOOKUP(Таблица4[[#This Row],[№]],Реестр_Д4[№],Реестр_Д4[Стоимость квартиры с отделкой],"-",0)</f>
        <v>5946208.1600000001</v>
      </c>
      <c r="I58" s="235">
        <f>IFERROR(Таблица4[[#This Row],[СО ПП]]-Таблица4[[#This Row],[СО ДДУ]],"")</f>
        <v>0</v>
      </c>
      <c r="J58" s="233" cm="1">
        <f t="array" ref="J58">IFERROR(INDEX(РД[S],MATCH($B$3&amp;Таблица4[[#This Row],[№]]&amp;"Продажа",РД[Дом]&amp;РД[№ кв]&amp;РД[Состояние],0),1),Таблица4[[#This Row],[Статус]])</f>
        <v>59.87</v>
      </c>
      <c r="K58" s="233">
        <f>VLOOKUP(Таблица4[[#This Row],[№]],Реестр_Д4[],20,0)</f>
        <v>59.87</v>
      </c>
      <c r="L58" s="235">
        <f>IFERROR(Таблица4[[#This Row],[S ПП]]-Таблица4[[#This Row],[S ДДУ]],)</f>
        <v>0</v>
      </c>
      <c r="M58" s="235">
        <f>ROUND(_xlfn.XLOOKUP(Таблица4[[#This Row],[№]],Реестр_Д4[№],Реестр_Д4[Итоговая сумма скидки],"",0),2)</f>
        <v>112187.41</v>
      </c>
      <c r="N58" s="235" cm="1">
        <f t="array" ref="N58">IFERROR(ROUND(_xlfn.XLOOKUP($B$3&amp;Таблица4[[#This Row],[№]]&amp;"Продажа",РД[Дом]&amp;РД[№ кв]&amp;РД[Состояние],РД[Сумма скидки],"",0),2),Таблица4[[#This Row],[Статус]])</f>
        <v>112187.41</v>
      </c>
      <c r="O58" s="235">
        <f>IFERROR(Таблица4[[#This Row],[ППС]]-Таблица4[[#This Row],[ДДУС]],)</f>
        <v>0</v>
      </c>
      <c r="P58" s="611"/>
      <c r="Q58" s="234">
        <f>VLOOKUP(ППД5!A55,Реестр_Д5[№],1,0)</f>
        <v>54</v>
      </c>
      <c r="R58" s="234" t="str">
        <f>VLOOKUP(ППД5!CH55,Реестр_Д5[Статус],1,0)</f>
        <v>Продажа</v>
      </c>
      <c r="S58" s="612">
        <f>VLOOKUP(ППД5!BZ55,Реестр_Д5[Стоимость ОН без отделки со скидкой],1,0)</f>
        <v>5021814</v>
      </c>
      <c r="T58" s="612" cm="1">
        <f t="array" ref="T58">IFERROR(INDEX(РД[Стоимость без отделки итог],MATCH($Q$3&amp;Таблица10[[#This Row],[№]]&amp;"Продажа",РД[Дом]&amp;РД[№ кв]&amp;РД[Состояние],0),1),Таблица10[[#This Row],[Статус]])</f>
        <v>5021814</v>
      </c>
      <c r="U58" s="235">
        <f>IFERROR((Таблица10[[#This Row],[ПП]]-Таблица10[[#This Row],[ДДУ]])*1,)</f>
        <v>0</v>
      </c>
      <c r="V58" s="235" cm="1">
        <f t="array" ref="V58">IFERROR(INDEX(РД[Стоимость с отделкой итог],MATCH($Q$3&amp;Таблица10[[#This Row],[№]]&amp;"Продажа",РД[Дом]&amp;РД[№ кв]&amp;РД[Состояние],0),1),Таблица10[[#This Row],[Статус]])</f>
        <v>6301334</v>
      </c>
      <c r="W58" s="235">
        <f>_xlfn.XLOOKUP(Таблица10[[#This Row],[№]],Реестр_Д5[№],Реестр_Д5[Стоимость квартиры с отделкой],"-",0)</f>
        <v>6301333.9999999991</v>
      </c>
      <c r="X58" s="235">
        <f>IFERROR(Таблица10[[#This Row],[СО ПП]]-Таблица10[[#This Row],[СО ДДУ]],"")</f>
        <v>-9.3132257461547852E-10</v>
      </c>
      <c r="Y58" s="233" cm="1">
        <f t="array" ref="Y58">IFERROR(INDEX(РД[S],MATCH($Q$3&amp;Таблица10[[#This Row],[№]]&amp;"Продажа",РД[Дом]&amp;РД[№ кв]&amp;РД[Состояние],0),1),Таблица10[[#This Row],[Статус]])</f>
        <v>58.16</v>
      </c>
      <c r="Z58" s="233">
        <f>IF(Таблица10[[#This Row],[№]]&amp;"ДДУ"=ППД5!A55&amp;ППД5!CR55,ППД5!U55,ППД5!V55)</f>
        <v>58.16</v>
      </c>
      <c r="AA58" s="285">
        <f>IFERROR(Таблица10[[#This Row],[S ПП]]-Таблица10[[#This Row],[S ДДУ]],)</f>
        <v>0</v>
      </c>
      <c r="AB58" s="235">
        <f>ROUND(_xlfn.XLOOKUP(Таблица10[[#This Row],[№]],Реестр_Д5[№],Реестр_Д5[Итоговая сумма скидки],"",0),2)</f>
        <v>102486</v>
      </c>
      <c r="AC58" s="235" cm="1">
        <f t="array" ref="AC58">IFERROR(ROUND(_xlfn.XLOOKUP($Q$3&amp;Таблица10[[#This Row],[№]]&amp;"Продажа",РД[Дом]&amp;РД[№ кв]&amp;РД[Состояние],РД[Сумма скидки],"",0,-1),2),Таблица10[[#This Row],[Статус]])</f>
        <v>102486</v>
      </c>
      <c r="AD58" s="285">
        <f>IFERROR(Таблица10[[#This Row],[ППС]]-Таблица10[[#This Row],[ДДУС]],)</f>
        <v>0</v>
      </c>
      <c r="AE58" s="611"/>
      <c r="AF58" s="615">
        <f>VLOOKUP(ППД401!A55,Д401[],1,0)</f>
        <v>54</v>
      </c>
      <c r="AG58" s="234" t="str">
        <f>_xlfn.XLOOKUP(Таблица1[[#This Row],[№]],Д401[№],Д401[Статус],"-",0)</f>
        <v>Стр. Резерв</v>
      </c>
      <c r="AH58" s="612">
        <f>_xlfn.XLOOKUP(Таблица1[[#This Row],[№]],Д401[№],Д401[Стоимость ОН без отделки со скидкой],"-",0)</f>
        <v>4891900</v>
      </c>
      <c r="AI58" s="612" t="str" cm="1">
        <f t="array" ref="AI5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58" s="235" t="str">
        <f>IFERROR((Таблица1[[#This Row],[ПП]]-Таблица1[[#This Row],[ДДУ]])*1,"")</f>
        <v/>
      </c>
      <c r="AK58" s="235" t="str" cm="1">
        <f t="array" ref="AK5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58" s="235">
        <f>_xlfn.XLOOKUP(Таблица1[[#This Row],[№]],Д401[№],Д401[Стоимость квартиры с отделкой],"-",0)</f>
        <v>4891900</v>
      </c>
      <c r="AM58" s="235" t="str">
        <f>IFERROR(Таблица1[[#This Row],[СО ПП]]-Таблица1[[#This Row],[СО ДДУ]],"")</f>
        <v/>
      </c>
      <c r="AN58" s="233" t="str" cm="1">
        <f t="array" ref="AN58">IFERROR(INDEX(РД[S],MATCH($AF$3&amp;Таблица1[[#This Row],[№]]&amp;"Продажа",РД[Дом]&amp;РД[№ кв]&amp;РД[Состояние],0),1),Таблица1[[#This Row],[Статус]])</f>
        <v>Стр. Резерв</v>
      </c>
      <c r="AO58" s="233">
        <f>_xlfn.XLOOKUP(Таблица1[[#This Row],[№]],Д401[№],Д401[Расчетная проектная площадь],"-",0)</f>
        <v>35.5</v>
      </c>
      <c r="AP58" s="235" t="str">
        <f>IFERROR(Таблица1[[#This Row],[S ПП]]-Таблица1[[#This Row],[S ДДУ]],"")</f>
        <v/>
      </c>
      <c r="AQ58" s="235">
        <f>_xlfn.XLOOKUP(Таблица1[[#This Row],[№]],Д401[№],Д401[Итоговая сумма скидки],"-",0)</f>
        <v>0</v>
      </c>
      <c r="AR58" s="235" t="str" cm="1">
        <f t="array" ref="AR5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58" s="285" t="str">
        <f>IFERROR(Таблица1[[#This Row],[ППС]]-Таблица1[[#This Row],[ДДУС]],"")</f>
        <v/>
      </c>
      <c r="AT58" s="611"/>
      <c r="AU58" s="484">
        <f>VLOOKUP(ППД402!A55,Д402[],1,0)</f>
        <v>54</v>
      </c>
      <c r="AV58" s="484" t="str">
        <f>_xlfn.XLOOKUP(Т402[[#This Row],[№]],Д402[№],Д402[Статус],"-",0)</f>
        <v>Стр. Резерв</v>
      </c>
      <c r="AW58" s="613">
        <f>_xlfn.XLOOKUP(Т402[[#This Row],[№]],Д402[№],Д402[Стоимость ОН без отделки со скидкой],"-",0)</f>
        <v>5861700</v>
      </c>
      <c r="AX58" s="614" t="str" cm="1">
        <f t="array" ref="AX5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58" s="485" t="str">
        <f>IFERROR((Т402[[#This Row],[ПП]]-Т402[[#This Row],[ДДУ]])*1,"")</f>
        <v/>
      </c>
      <c r="AZ58" s="486" t="str" cm="1">
        <f t="array" ref="AZ5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58" s="485">
        <f>_xlfn.XLOOKUP(Т402[[#This Row],[№]],Д402[№],Д402[Стоимость квартиры с отделкой],"-",0)</f>
        <v>5861700</v>
      </c>
      <c r="BB58" s="485" t="str">
        <f>IFERROR(Т402[[#This Row],[СО ПП]]-Т402[[#This Row],[СО ДДУ]],"")</f>
        <v/>
      </c>
      <c r="BC58" s="487" t="str" cm="1">
        <f t="array" ref="BC58">IFERROR(INDEX(РД[S],MATCH($AU$3&amp;Т402[[#This Row],[№]]&amp;"Продажа",РД[Дом]&amp;РД[№ кв]&amp;РД[Состояние],0),1),Т402[[#This Row],[Статус]])</f>
        <v>Стр. Резерв</v>
      </c>
      <c r="BD58" s="483">
        <f>_xlfn.XLOOKUP(Т402[[#This Row],[№]],Д402[№],Д402[Расчетная проектная площадь],"-",0)</f>
        <v>45.18</v>
      </c>
      <c r="BE58" s="485" t="str">
        <f>IFERROR(Т402[[#This Row],[S ПП]]-Т402[[#This Row],[S ДДУ]],"")</f>
        <v/>
      </c>
      <c r="BF58" s="485">
        <f>_xlfn.XLOOKUP(Т402[[#This Row],[№]],Д402[№],Д402[Итоговая сумма скидки],"-",0)</f>
        <v>0</v>
      </c>
      <c r="BG58" s="486" t="str" cm="1">
        <f t="array" ref="BG5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58" s="488" t="str">
        <f>IFERROR(Т402[[#This Row],[ППС]]-Т402[[#This Row],[ДДУС]],"")</f>
        <v/>
      </c>
    </row>
    <row r="59" spans="1:60" x14ac:dyDescent="0.2">
      <c r="A59" s="611"/>
      <c r="B59" s="234">
        <f>VLOOKUP(ППД4!A56,Реестр_Д4[№],1,0)</f>
        <v>55</v>
      </c>
      <c r="C59" s="234" t="str">
        <f>VLOOKUP(ППД4!CO56,Реестр_Д4[Статус],1,0)</f>
        <v>Продажа</v>
      </c>
      <c r="D59" s="612">
        <f>VLOOKUP(ППД4!CE56,Реестр_Д4[Стоимость ОН без отделки со скидкой],1,0)</f>
        <v>3007900</v>
      </c>
      <c r="E59" s="612" cm="1">
        <f t="array" ref="E59">IFERROR(INDEX(РД[Стоимость без отделки итог],MATCH($B$3&amp;Таблица4[[#This Row],[№]]&amp;"Продажа",РД[Дом]&amp;РД[№ кв]&amp;РД[Состояние],0),1),Таблица4[[#This Row],[Статус]])</f>
        <v>3007900</v>
      </c>
      <c r="F59" s="235">
        <f>IFERROR((Таблица4[[#This Row],[ПП]]-Таблица4[[#This Row],[ДДУ]])*1,"")</f>
        <v>0</v>
      </c>
      <c r="G59" s="235" cm="1">
        <f t="array" ref="G59">IFERROR(INDEX(РД[Стоимость с отделкой итог],MATCH($B$3&amp;Таблица4[[#This Row],[№]]&amp;"Продажа",РД[Дом]&amp;РД[№ кв]&amp;РД[Состояние],0),1),Таблица4[[#This Row],[Статус]])</f>
        <v>3171025</v>
      </c>
      <c r="H59" s="235">
        <f>_xlfn.XLOOKUP(Таблица4[[#This Row],[№]],Реестр_Д4[№],Реестр_Д4[Стоимость квартиры с отделкой],"-",0)</f>
        <v>3171025</v>
      </c>
      <c r="I59" s="235">
        <f>IFERROR(Таблица4[[#This Row],[СО ПП]]-Таблица4[[#This Row],[СО ДДУ]],"")</f>
        <v>0</v>
      </c>
      <c r="J59" s="233" cm="1">
        <f t="array" ref="J59">IFERROR(INDEX(РД[S],MATCH($B$3&amp;Таблица4[[#This Row],[№]]&amp;"Продажа",РД[Дом]&amp;РД[№ кв]&amp;РД[Состояние],0),1),Таблица4[[#This Row],[Статус]])</f>
        <v>21.75</v>
      </c>
      <c r="K59" s="233">
        <f>VLOOKUP(Таблица4[[#This Row],[№]],Реестр_Д4[],20,0)</f>
        <v>21.75</v>
      </c>
      <c r="L59" s="235">
        <f>IFERROR(Таблица4[[#This Row],[S ПП]]-Таблица4[[#This Row],[S ДДУ]],)</f>
        <v>0</v>
      </c>
      <c r="M59" s="235">
        <f>ROUND(_xlfn.XLOOKUP(Таблица4[[#This Row],[№]],Реестр_Д4[№],Реестр_Д4[Итоговая сумма скидки],"",0),2)</f>
        <v>0</v>
      </c>
      <c r="N59" s="235" cm="1">
        <f t="array" ref="N5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9" s="235">
        <f>IFERROR(Таблица4[[#This Row],[ППС]]-Таблица4[[#This Row],[ДДУС]],)</f>
        <v>0</v>
      </c>
      <c r="P59" s="611"/>
      <c r="Q59" s="234">
        <f>VLOOKUP(ППД5!A56,Реестр_Д5[№],1,0)</f>
        <v>55</v>
      </c>
      <c r="R59" s="234" t="str">
        <f>VLOOKUP(ППД5!CH56,Реестр_Д5[Статус],1,0)</f>
        <v>Продажа</v>
      </c>
      <c r="S59" s="612">
        <f>VLOOKUP(ППД5!BZ56,Реестр_Д5[Стоимость ОН без отделки со скидкой],1,0)</f>
        <v>5423200</v>
      </c>
      <c r="T59" s="612" cm="1">
        <f t="array" ref="T59">IFERROR(INDEX(РД[Стоимость без отделки итог],MATCH($Q$3&amp;Таблица10[[#This Row],[№]]&amp;"Продажа",РД[Дом]&amp;РД[№ кв]&amp;РД[Состояние],0),1),Таблица10[[#This Row],[Статус]])</f>
        <v>5423200</v>
      </c>
      <c r="U59" s="235">
        <f>IFERROR((Таблица10[[#This Row],[ПП]]-Таблица10[[#This Row],[ДДУ]])*1,)</f>
        <v>0</v>
      </c>
      <c r="V59" s="235" cm="1">
        <f t="array" ref="V59">IFERROR(INDEX(РД[Стоимость с отделкой итог],MATCH($Q$3&amp;Таблица10[[#This Row],[№]]&amp;"Продажа",РД[Дом]&amp;РД[№ кв]&amp;РД[Состояние],0),1),Таблица10[[#This Row],[Статус]])</f>
        <v>5423200</v>
      </c>
      <c r="W59" s="235">
        <f>_xlfn.XLOOKUP(Таблица10[[#This Row],[№]],Реестр_Д5[№],Реестр_Д5[Стоимость квартиры с отделкой],"-",0)</f>
        <v>5423200</v>
      </c>
      <c r="X59" s="235">
        <f>IFERROR(Таблица10[[#This Row],[СО ПП]]-Таблица10[[#This Row],[СО ДДУ]],"")</f>
        <v>0</v>
      </c>
      <c r="Y59" s="233" cm="1">
        <f t="array" ref="Y59">IFERROR(INDEX(РД[S],MATCH($Q$3&amp;Таблица10[[#This Row],[№]]&amp;"Продажа",РД[Дом]&amp;РД[№ кв]&amp;РД[Состояние],0),1),Таблица10[[#This Row],[Статус]])</f>
        <v>42.75</v>
      </c>
      <c r="Z59" s="233">
        <f>IF(Таблица10[[#This Row],[№]]&amp;"ДДУ"=ППД5!A56&amp;ППД5!CR56,ППД5!U56,ППД5!V56)</f>
        <v>42.75</v>
      </c>
      <c r="AA59" s="285">
        <f>IFERROR(Таблица10[[#This Row],[S ПП]]-Таблица10[[#This Row],[S ДДУ]],)</f>
        <v>0</v>
      </c>
      <c r="AB59" s="235">
        <f>ROUND(_xlfn.XLOOKUP(Таблица10[[#This Row],[№]],Реестр_Д5[№],Реестр_Д5[Итоговая сумма скидки],"",0),2)</f>
        <v>342000</v>
      </c>
      <c r="AC59" s="235" cm="1">
        <f t="array" ref="AC59">IFERROR(ROUND(_xlfn.XLOOKUP($Q$3&amp;Таблица10[[#This Row],[№]]&amp;"Продажа",РД[Дом]&amp;РД[№ кв]&amp;РД[Состояние],РД[Сумма скидки],"",0,-1),2),Таблица10[[#This Row],[Статус]])</f>
        <v>342000</v>
      </c>
      <c r="AD59" s="285">
        <f>IFERROR(Таблица10[[#This Row],[ППС]]-Таблица10[[#This Row],[ДДУС]],)</f>
        <v>0</v>
      </c>
      <c r="AE59" s="611"/>
      <c r="AF59" s="615">
        <f>VLOOKUP(ППД401!A56,Д401[],1,0)</f>
        <v>55</v>
      </c>
      <c r="AG59" s="234" t="str">
        <f>_xlfn.XLOOKUP(Таблица1[[#This Row],[№]],Д401[№],Д401[Статус],"-",0)</f>
        <v>Свободно</v>
      </c>
      <c r="AH59" s="612">
        <f>_xlfn.XLOOKUP(Таблица1[[#This Row],[№]],Д401[№],Д401[Стоимость ОН без отделки со скидкой],"-",0)</f>
        <v>6603352</v>
      </c>
      <c r="AI59" s="612" t="str" cm="1">
        <f t="array" ref="AI59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59" s="235" t="str">
        <f>IFERROR((Таблица1[[#This Row],[ПП]]-Таблица1[[#This Row],[ДДУ]])*1,"")</f>
        <v/>
      </c>
      <c r="AK59" s="235" t="str" cm="1">
        <f t="array" ref="AK59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59" s="235">
        <f>_xlfn.XLOOKUP(Таблица1[[#This Row],[№]],Д401[№],Д401[Стоимость квартиры с отделкой],"-",0)</f>
        <v>6603352</v>
      </c>
      <c r="AM59" s="235" t="str">
        <f>IFERROR(Таблица1[[#This Row],[СО ПП]]-Таблица1[[#This Row],[СО ДДУ]],"")</f>
        <v/>
      </c>
      <c r="AN59" s="233" t="str" cm="1">
        <f t="array" ref="AN59">IFERROR(INDEX(РД[S],MATCH($AF$3&amp;Таблица1[[#This Row],[№]]&amp;"Продажа",РД[Дом]&amp;РД[№ кв]&amp;РД[Состояние],0),1),Таблица1[[#This Row],[Статус]])</f>
        <v>Свободно</v>
      </c>
      <c r="AO59" s="233">
        <f>_xlfn.XLOOKUP(Таблица1[[#This Row],[№]],Д401[№],Д401[Расчетная проектная площадь],"-",0)</f>
        <v>51.75</v>
      </c>
      <c r="AP59" s="235" t="str">
        <f>IFERROR(Таблица1[[#This Row],[S ПП]]-Таблица1[[#This Row],[S ДДУ]],"")</f>
        <v/>
      </c>
      <c r="AQ59" s="235">
        <f>_xlfn.XLOOKUP(Таблица1[[#This Row],[№]],Д401[№],Д401[Итоговая сумма скидки],"-",0)</f>
        <v>0</v>
      </c>
      <c r="AR59" s="235" t="str" cm="1">
        <f t="array" ref="AR59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59" s="285" t="str">
        <f>IFERROR(Таблица1[[#This Row],[ППС]]-Таблица1[[#This Row],[ДДУС]],"")</f>
        <v/>
      </c>
      <c r="AT59" s="611"/>
      <c r="AU59" s="484">
        <f>VLOOKUP(ППД402!A56,Д402[],1,0)</f>
        <v>55</v>
      </c>
      <c r="AV59" s="484" t="str">
        <f>_xlfn.XLOOKUP(Т402[[#This Row],[№]],Д402[№],Д402[Статус],"-",0)</f>
        <v>Продажа</v>
      </c>
      <c r="AW59" s="613">
        <f>_xlfn.XLOOKUP(Т402[[#This Row],[№]],Д402[№],Д402[Стоимость ОН без отделки со скидкой],"-",0)</f>
        <v>4174400</v>
      </c>
      <c r="AX59" s="614" cm="1">
        <f t="array" ref="AX59">IFERROR(INDEX(РД[Стоимость без отделки итог],MATCH($AU$3&amp;Т402[[#This Row],[№]]&amp;"Продажа",РД[Дом]&amp;РД[№ кв]&amp;РД[Состояние],0),1),Т402[[#This Row],[Статус]])</f>
        <v>4174400</v>
      </c>
      <c r="AY59" s="485">
        <f>IFERROR((Т402[[#This Row],[ПП]]-Т402[[#This Row],[ДДУ]])*1,"")</f>
        <v>0</v>
      </c>
      <c r="AZ59" s="486" cm="1">
        <f t="array" ref="AZ59">IFERROR(INDEX(РД[Стоимость с отделкой итог],MATCH($AU$3&amp;Т402[[#This Row],[№]]&amp;"Продажа",РД[Дом]&amp;РД[№ кв]&amp;РД[Состояние],0),1),Т402[[#This Row],[Статус]])</f>
        <v>4174400</v>
      </c>
      <c r="BA59" s="485">
        <f>_xlfn.XLOOKUP(Т402[[#This Row],[№]],Д402[№],Д402[Стоимость квартиры с отделкой],"-",0)</f>
        <v>4174400</v>
      </c>
      <c r="BB59" s="485">
        <f>IFERROR(Т402[[#This Row],[СО ПП]]-Т402[[#This Row],[СО ДДУ]],"")</f>
        <v>0</v>
      </c>
      <c r="BC59" s="487" cm="1">
        <f t="array" ref="BC59">IFERROR(INDEX(РД[S],MATCH($AU$3&amp;Т402[[#This Row],[№]]&amp;"Продажа",РД[Дом]&amp;РД[№ кв]&amp;РД[Состояние],0),1),Т402[[#This Row],[Статус]])</f>
        <v>29.62</v>
      </c>
      <c r="BD59" s="483">
        <f>_xlfn.XLOOKUP(Т402[[#This Row],[№]],Д402[№],Д402[Расчетная проектная площадь],"-",0)</f>
        <v>29.62</v>
      </c>
      <c r="BE59" s="485">
        <f>IFERROR(Т402[[#This Row],[S ПП]]-Т402[[#This Row],[S ДДУ]],"")</f>
        <v>0</v>
      </c>
      <c r="BF59" s="485">
        <f>_xlfn.XLOOKUP(Т402[[#This Row],[№]],Д402[№],Д402[Итоговая сумма скидки],"-",0)</f>
        <v>0</v>
      </c>
      <c r="BG59" s="486" cm="1">
        <f t="array" ref="BG59">IFERROR(ROUND(_xlfn.XLOOKUP($AU$3&amp;Т402[[#This Row],[№]]&amp;"Продажа",РД[Дом]&amp;РД[№ кв]&amp;РД[Состояние],РД[Сумма скидки],"",0),2),Т402[[#This Row],[Статус]])</f>
        <v>0</v>
      </c>
      <c r="BH59" s="488">
        <f>IFERROR(Т402[[#This Row],[ППС]]-Т402[[#This Row],[ДДУС]],"")</f>
        <v>0</v>
      </c>
    </row>
    <row r="60" spans="1:60" x14ac:dyDescent="0.2">
      <c r="A60" s="611"/>
      <c r="B60" s="234">
        <f>VLOOKUP(ППД4!A57,Реестр_Д4[№],1,0)</f>
        <v>56</v>
      </c>
      <c r="C60" s="234" t="str">
        <f>VLOOKUP(ППД4!CO57,Реестр_Д4[Статус],1,0)</f>
        <v>Продажа</v>
      </c>
      <c r="D60" s="612">
        <f>VLOOKUP(ППД4!CE57,Реестр_Д4[Стоимость ОН без отделки со скидкой],1,0)</f>
        <v>2241125.0699999998</v>
      </c>
      <c r="E60" s="612" cm="1">
        <f t="array" ref="E60">IFERROR(INDEX(РД[Стоимость без отделки итог],MATCH($B$3&amp;Таблица4[[#This Row],[№]]&amp;"Продажа",РД[Дом]&amp;РД[№ кв]&amp;РД[Состояние],0),1),Таблица4[[#This Row],[Статус]])</f>
        <v>2241125.0699999998</v>
      </c>
      <c r="F60" s="235">
        <f>IFERROR((Таблица4[[#This Row],[ПП]]-Таблица4[[#This Row],[ДДУ]])*1,"")</f>
        <v>0</v>
      </c>
      <c r="G60" s="235" cm="1">
        <f t="array" ref="G60">IFERROR(INDEX(РД[Стоимость с отделкой итог],MATCH($B$3&amp;Таблица4[[#This Row],[№]]&amp;"Продажа",РД[Дом]&amp;РД[№ кв]&amp;РД[Состояние],0),1),Таблица4[[#This Row],[Статус]])</f>
        <v>2567075.0699999998</v>
      </c>
      <c r="H60" s="235">
        <f>_xlfn.XLOOKUP(Таблица4[[#This Row],[№]],Реестр_Д4[№],Реестр_Д4[Стоимость квартиры с отделкой],"-",0)</f>
        <v>2567075.0699999998</v>
      </c>
      <c r="I60" s="235">
        <f>IFERROR(Таблица4[[#This Row],[СО ПП]]-Таблица4[[#This Row],[СО ДДУ]],"")</f>
        <v>0</v>
      </c>
      <c r="J60" s="233" cm="1">
        <f t="array" ref="J60">IFERROR(INDEX(РД[S],MATCH($B$3&amp;Таблица4[[#This Row],[№]]&amp;"Продажа",РД[Дом]&amp;РД[№ кв]&amp;РД[Состояние],0),1),Таблица4[[#This Row],[Статус]])</f>
        <v>21.73</v>
      </c>
      <c r="K60" s="233">
        <f>VLOOKUP(Таблица4[[#This Row],[№]],Реестр_Д4[],20,0)</f>
        <v>21.73</v>
      </c>
      <c r="L60" s="235">
        <f>IFERROR(Таблица4[[#This Row],[S ПП]]-Таблица4[[#This Row],[S ДДУ]],)</f>
        <v>0</v>
      </c>
      <c r="M60" s="235">
        <f>ROUND(_xlfn.XLOOKUP(Таблица4[[#This Row],[№]],Реестр_Д4[№],Реестр_Д4[Итоговая сумма скидки],"",0),2)</f>
        <v>0</v>
      </c>
      <c r="N60" s="235" cm="1">
        <f t="array" ref="N6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0" s="235">
        <f>IFERROR(Таблица4[[#This Row],[ППС]]-Таблица4[[#This Row],[ДДУС]],)</f>
        <v>0</v>
      </c>
      <c r="P60" s="611"/>
      <c r="Q60" s="234">
        <f>VLOOKUP(ППД5!A57,Реестр_Д5[№],1,0)</f>
        <v>56</v>
      </c>
      <c r="R60" s="234" t="str">
        <f>VLOOKUP(ППД5!CH57,Реестр_Д5[Статус],1,0)</f>
        <v>Свободно</v>
      </c>
      <c r="S60" s="612">
        <f>VLOOKUP(ППД5!BZ57,Реестр_Д5[Стоимость ОН без отделки со скидкой],1,0)</f>
        <v>5100900</v>
      </c>
      <c r="T60" s="612" t="str" cm="1">
        <f t="array" ref="T6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60" s="235">
        <f>IFERROR((Таблица10[[#This Row],[ПП]]-Таблица10[[#This Row],[ДДУ]])*1,)</f>
        <v>0</v>
      </c>
      <c r="V60" s="235" t="str" cm="1">
        <f t="array" ref="V6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60" s="235">
        <f>_xlfn.XLOOKUP(Таблица10[[#This Row],[№]],Реестр_Д5[№],Реестр_Д5[Стоимость квартиры с отделкой],"-",0)</f>
        <v>5100900</v>
      </c>
      <c r="X60" s="235" t="str">
        <f>IFERROR(Таблица10[[#This Row],[СО ПП]]-Таблица10[[#This Row],[СО ДДУ]],"")</f>
        <v/>
      </c>
      <c r="Y60" s="233" t="str" cm="1">
        <f t="array" ref="Y60">IFERROR(INDEX(РД[S],MATCH($Q$3&amp;Таблица10[[#This Row],[№]]&amp;"Продажа",РД[Дом]&amp;РД[№ кв]&amp;РД[Состояние],0),1),Таблица10[[#This Row],[Статус]])</f>
        <v>Свободно</v>
      </c>
      <c r="Z60" s="233">
        <f>IF(Таблица10[[#This Row],[№]]&amp;"ДДУ"=ППД5!A57&amp;ППД5!CR57,ППД5!U57,ППД5!V57)</f>
        <v>34.450000000000003</v>
      </c>
      <c r="AA60" s="285">
        <f>IFERROR(Таблица10[[#This Row],[S ПП]]-Таблица10[[#This Row],[S ДДУ]],)</f>
        <v>0</v>
      </c>
      <c r="AB60" s="235">
        <f>ROUND(_xlfn.XLOOKUP(Таблица10[[#This Row],[№]],Реестр_Д5[№],Реестр_Д5[Итоговая сумма скидки],"",0),2)</f>
        <v>0</v>
      </c>
      <c r="AC60" s="235" t="str" cm="1">
        <f t="array" ref="AC6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60" s="285">
        <f>IFERROR(Таблица10[[#This Row],[ППС]]-Таблица10[[#This Row],[ДДУС]],)</f>
        <v>0</v>
      </c>
      <c r="AE60" s="611"/>
      <c r="AF60" s="615">
        <f>VLOOKUP(ППД401!A57,Д401[],1,0)</f>
        <v>56</v>
      </c>
      <c r="AG60" s="234" t="str">
        <f>_xlfn.XLOOKUP(Таблица1[[#This Row],[№]],Д401[№],Д401[Статус],"-",0)</f>
        <v>Стр. Резерв</v>
      </c>
      <c r="AH60" s="612">
        <f>_xlfn.XLOOKUP(Таблица1[[#This Row],[№]],Д401[№],Д401[Стоимость ОН без отделки со скидкой],"-",0)</f>
        <v>10093750</v>
      </c>
      <c r="AI60" s="612" t="str" cm="1">
        <f t="array" ref="AI6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0" s="235" t="str">
        <f>IFERROR((Таблица1[[#This Row],[ПП]]-Таблица1[[#This Row],[ДДУ]])*1,"")</f>
        <v/>
      </c>
      <c r="AK60" s="235" t="str" cm="1">
        <f t="array" ref="AK6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0" s="235">
        <f>_xlfn.XLOOKUP(Таблица1[[#This Row],[№]],Д401[№],Д401[Стоимость квартиры с отделкой],"-",0)</f>
        <v>10093750</v>
      </c>
      <c r="AM60" s="235" t="str">
        <f>IFERROR(Таблица1[[#This Row],[СО ПП]]-Таблица1[[#This Row],[СО ДДУ]],"")</f>
        <v/>
      </c>
      <c r="AN60" s="233" t="str" cm="1">
        <f t="array" ref="AN60">IFERROR(INDEX(РД[S],MATCH($AF$3&amp;Таблица1[[#This Row],[№]]&amp;"Продажа",РД[Дом]&amp;РД[№ кв]&amp;РД[Состояние],0),1),Таблица1[[#This Row],[Статус]])</f>
        <v>Стр. Резерв</v>
      </c>
      <c r="AO60" s="233">
        <f>_xlfn.XLOOKUP(Таблица1[[#This Row],[№]],Д401[№],Д401[Расчетная проектная площадь],"-",0)</f>
        <v>80.75</v>
      </c>
      <c r="AP60" s="235" t="str">
        <f>IFERROR(Таблица1[[#This Row],[S ПП]]-Таблица1[[#This Row],[S ДДУ]],"")</f>
        <v/>
      </c>
      <c r="AQ60" s="235">
        <f>_xlfn.XLOOKUP(Таблица1[[#This Row],[№]],Д401[№],Д401[Итоговая сумма скидки],"-",0)</f>
        <v>0</v>
      </c>
      <c r="AR60" s="235" t="str" cm="1">
        <f t="array" ref="AR6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0" s="285" t="str">
        <f>IFERROR(Таблица1[[#This Row],[ППС]]-Таблица1[[#This Row],[ДДУС]],"")</f>
        <v/>
      </c>
      <c r="AT60" s="611"/>
      <c r="AU60" s="484">
        <f>VLOOKUP(ППД402!A57,Д402[],1,0)</f>
        <v>56</v>
      </c>
      <c r="AV60" s="484" t="str">
        <f>_xlfn.XLOOKUP(Т402[[#This Row],[№]],Д402[№],Д402[Статус],"-",0)</f>
        <v>Свободно</v>
      </c>
      <c r="AW60" s="613">
        <f>_xlfn.XLOOKUP(Т402[[#This Row],[№]],Д402[№],Д402[Стоимость ОН без отделки со скидкой],"-",0)</f>
        <v>7380000</v>
      </c>
      <c r="AX60" s="614" t="str" cm="1">
        <f t="array" ref="AX60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60" s="485" t="str">
        <f>IFERROR((Т402[[#This Row],[ПП]]-Т402[[#This Row],[ДДУ]])*1,"")</f>
        <v/>
      </c>
      <c r="AZ60" s="486" t="str" cm="1">
        <f t="array" ref="AZ60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60" s="485">
        <f>_xlfn.XLOOKUP(Т402[[#This Row],[№]],Д402[№],Д402[Стоимость квартиры с отделкой],"-",0)</f>
        <v>7380000</v>
      </c>
      <c r="BB60" s="485" t="str">
        <f>IFERROR(Т402[[#This Row],[СО ПП]]-Т402[[#This Row],[СО ДДУ]],"")</f>
        <v/>
      </c>
      <c r="BC60" s="487" t="str" cm="1">
        <f t="array" ref="BC60">IFERROR(INDEX(РД[S],MATCH($AU$3&amp;Т402[[#This Row],[№]]&amp;"Продажа",РД[Дом]&amp;РД[№ кв]&amp;РД[Состояние],0),1),Т402[[#This Row],[Статус]])</f>
        <v>Свободно</v>
      </c>
      <c r="BD60" s="483">
        <f>_xlfn.XLOOKUP(Т402[[#This Row],[№]],Д402[№],Д402[Расчетная проектная площадь],"-",0)</f>
        <v>60.02</v>
      </c>
      <c r="BE60" s="485" t="str">
        <f>IFERROR(Т402[[#This Row],[S ПП]]-Т402[[#This Row],[S ДДУ]],"")</f>
        <v/>
      </c>
      <c r="BF60" s="485">
        <f>_xlfn.XLOOKUP(Т402[[#This Row],[№]],Д402[№],Д402[Итоговая сумма скидки],"-",0)</f>
        <v>0</v>
      </c>
      <c r="BG60" s="486" t="str" cm="1">
        <f t="array" ref="BG60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60" s="488" t="str">
        <f>IFERROR(Т402[[#This Row],[ППС]]-Т402[[#This Row],[ДДУС]],"")</f>
        <v/>
      </c>
    </row>
    <row r="61" spans="1:60" x14ac:dyDescent="0.2">
      <c r="A61" s="611"/>
      <c r="B61" s="234">
        <f>VLOOKUP(ППД4!A58,Реестр_Д4[№],1,0)</f>
        <v>57</v>
      </c>
      <c r="C61" s="234" t="str">
        <f>VLOOKUP(ППД4!CO58,Реестр_Д4[Статус],1,0)</f>
        <v>Продажа</v>
      </c>
      <c r="D61" s="612">
        <f>VLOOKUP(ППД4!CE58,Реестр_Д4[Стоимость ОН без отделки со скидкой],1,0)</f>
        <v>2459230.36</v>
      </c>
      <c r="E61" s="612" cm="1">
        <f t="array" ref="E61">IFERROR(INDEX(РД[Стоимость без отделки итог],MATCH($B$3&amp;Таблица4[[#This Row],[№]]&amp;"Продажа",РД[Дом]&amp;РД[№ кв]&amp;РД[Состояние],0),1),Таблица4[[#This Row],[Статус]])</f>
        <v>2459230.36</v>
      </c>
      <c r="F61" s="235">
        <f>IFERROR((Таблица4[[#This Row],[ПП]]-Таблица4[[#This Row],[ДДУ]])*1,"")</f>
        <v>0</v>
      </c>
      <c r="G61" s="235" cm="1">
        <f t="array" ref="G61">IFERROR(INDEX(РД[Стоимость с отделкой итог],MATCH($B$3&amp;Таблица4[[#This Row],[№]]&amp;"Продажа",РД[Дом]&amp;РД[№ кв]&amp;РД[Состояние],0),1),Таблица4[[#This Row],[Статус]])</f>
        <v>2710705.36</v>
      </c>
      <c r="H61" s="235">
        <f>_xlfn.XLOOKUP(Таблица4[[#This Row],[№]],Реестр_Д4[№],Реестр_Д4[Стоимость квартиры с отделкой],"-",0)</f>
        <v>2710705.36</v>
      </c>
      <c r="I61" s="235">
        <f>IFERROR(Таблица4[[#This Row],[СО ПП]]-Таблица4[[#This Row],[СО ДДУ]],"")</f>
        <v>0</v>
      </c>
      <c r="J61" s="233" cm="1">
        <f t="array" ref="J61">IFERROR(INDEX(РД[S],MATCH($B$3&amp;Таблица4[[#This Row],[№]]&amp;"Продажа",РД[Дом]&amp;РД[№ кв]&amp;РД[Состояние],0),1),Таблица4[[#This Row],[Статус]])</f>
        <v>33.53</v>
      </c>
      <c r="K61" s="233">
        <f>VLOOKUP(Таблица4[[#This Row],[№]],Реестр_Д4[],20,0)</f>
        <v>33.53</v>
      </c>
      <c r="L61" s="235">
        <f>IFERROR(Таблица4[[#This Row],[S ПП]]-Таблица4[[#This Row],[S ДДУ]],)</f>
        <v>0</v>
      </c>
      <c r="M61" s="235">
        <f>ROUND(_xlfn.XLOOKUP(Таблица4[[#This Row],[№]],Реестр_Д4[№],Реестр_Д4[Итоговая сумма скидки],"",0),2)</f>
        <v>129433.18</v>
      </c>
      <c r="N61" s="235" cm="1">
        <f t="array" ref="N61">IFERROR(ROUND(_xlfn.XLOOKUP($B$3&amp;Таблица4[[#This Row],[№]]&amp;"Продажа",РД[Дом]&amp;РД[№ кв]&amp;РД[Состояние],РД[Сумма скидки],"",0),2),Таблица4[[#This Row],[Статус]])</f>
        <v>129433.18</v>
      </c>
      <c r="O61" s="235">
        <f>IFERROR(Таблица4[[#This Row],[ППС]]-Таблица4[[#This Row],[ДДУС]],)</f>
        <v>0</v>
      </c>
      <c r="P61" s="611"/>
      <c r="Q61" s="234">
        <f>VLOOKUP(ППД5!A58,Реестр_Д5[№],1,0)</f>
        <v>57</v>
      </c>
      <c r="R61" s="234" t="str">
        <f>VLOOKUP(ППД5!CH58,Реестр_Д5[Статус],1,0)</f>
        <v>Продажа</v>
      </c>
      <c r="S61" s="612">
        <f>VLOOKUP(ППД5!BZ58,Реестр_Д5[Стоимость ОН без отделки со скидкой],1,0)</f>
        <v>6645664</v>
      </c>
      <c r="T61" s="612" cm="1">
        <f t="array" ref="T61">IFERROR(INDEX(РД[Стоимость без отделки итог],MATCH($Q$3&amp;Таблица10[[#This Row],[№]]&amp;"Продажа",РД[Дом]&amp;РД[№ кв]&amp;РД[Состояние],0),1),Таблица10[[#This Row],[Статус]])</f>
        <v>6645664</v>
      </c>
      <c r="U61" s="235">
        <f>IFERROR((Таблица10[[#This Row],[ПП]]-Таблица10[[#This Row],[ДДУ]])*1,)</f>
        <v>0</v>
      </c>
      <c r="V61" s="235" cm="1">
        <f t="array" ref="V61">IFERROR(INDEX(РД[Стоимость с отделкой итог],MATCH($Q$3&amp;Таблица10[[#This Row],[№]]&amp;"Продажа",РД[Дом]&amp;РД[№ кв]&amp;РД[Состояние],0),1),Таблица10[[#This Row],[Статус]])</f>
        <v>7193664</v>
      </c>
      <c r="W61" s="235">
        <f>_xlfn.XLOOKUP(Таблица10[[#This Row],[№]],Реестр_Д5[№],Реестр_Д5[Стоимость квартиры с отделкой],"-",0)</f>
        <v>7193664</v>
      </c>
      <c r="X61" s="235">
        <f>IFERROR(Таблица10[[#This Row],[СО ПП]]-Таблица10[[#This Row],[СО ДДУ]],"")</f>
        <v>0</v>
      </c>
      <c r="Y61" s="233" cm="1">
        <f t="array" ref="Y61">IFERROR(INDEX(РД[S],MATCH($Q$3&amp;Таблица10[[#This Row],[№]]&amp;"Продажа",РД[Дом]&amp;РД[№ кв]&amp;РД[Состояние],0),1),Таблица10[[#This Row],[Статус]])</f>
        <v>68.5</v>
      </c>
      <c r="Z61" s="233">
        <f>IF(Таблица10[[#This Row],[№]]&amp;"ДДУ"=ППД5!A58&amp;ППД5!CR58,ППД5!U58,ППД5!V58)</f>
        <v>68.5</v>
      </c>
      <c r="AA61" s="285">
        <f>IFERROR(Таблица10[[#This Row],[S ПП]]-Таблица10[[#This Row],[S ДДУ]],)</f>
        <v>0</v>
      </c>
      <c r="AB61" s="235">
        <f>ROUND(_xlfn.XLOOKUP(Таблица10[[#This Row],[№]],Реестр_Д5[№],Реестр_Д5[Итоговая сумма скидки],"",0),2)</f>
        <v>205536</v>
      </c>
      <c r="AC61" s="235" cm="1">
        <f t="array" ref="AC61">IFERROR(ROUND(_xlfn.XLOOKUP($Q$3&amp;Таблица10[[#This Row],[№]]&amp;"Продажа",РД[Дом]&amp;РД[№ кв]&amp;РД[Состояние],РД[Сумма скидки],"",0,-1),2),Таблица10[[#This Row],[Статус]])</f>
        <v>205536</v>
      </c>
      <c r="AD61" s="285">
        <f>IFERROR(Таблица10[[#This Row],[ППС]]-Таблица10[[#This Row],[ДДУС]],)</f>
        <v>0</v>
      </c>
      <c r="AE61" s="611"/>
      <c r="AF61" s="615">
        <f>VLOOKUP(ППД401!A58,Д401[],1,0)</f>
        <v>57</v>
      </c>
      <c r="AG61" s="234" t="str">
        <f>_xlfn.XLOOKUP(Таблица1[[#This Row],[№]],Д401[№],Д401[Статус],"-",0)</f>
        <v>Стр. Резерв</v>
      </c>
      <c r="AH61" s="612">
        <f>_xlfn.XLOOKUP(Таблица1[[#This Row],[№]],Д401[№],Д401[Стоимость ОН без отделки со скидкой],"-",0)</f>
        <v>9777500</v>
      </c>
      <c r="AI61" s="612" t="str" cm="1">
        <f t="array" ref="AI61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1" s="235" t="str">
        <f>IFERROR((Таблица1[[#This Row],[ПП]]-Таблица1[[#This Row],[ДДУ]])*1,"")</f>
        <v/>
      </c>
      <c r="AK61" s="235" t="str" cm="1">
        <f t="array" ref="AK61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1" s="235">
        <f>_xlfn.XLOOKUP(Таблица1[[#This Row],[№]],Д401[№],Д401[Стоимость квартиры с отделкой],"-",0)</f>
        <v>9777500</v>
      </c>
      <c r="AM61" s="235" t="str">
        <f>IFERROR(Таблица1[[#This Row],[СО ПП]]-Таблица1[[#This Row],[СО ДДУ]],"")</f>
        <v/>
      </c>
      <c r="AN61" s="233" t="str" cm="1">
        <f t="array" ref="AN61">IFERROR(INDEX(РД[S],MATCH($AF$3&amp;Таблица1[[#This Row],[№]]&amp;"Продажа",РД[Дом]&amp;РД[№ кв]&amp;РД[Состояние],0),1),Таблица1[[#This Row],[Статус]])</f>
        <v>Стр. Резерв</v>
      </c>
      <c r="AO61" s="233">
        <f>_xlfn.XLOOKUP(Таблица1[[#This Row],[№]],Д401[№],Д401[Расчетная проектная площадь],"-",0)</f>
        <v>78.22</v>
      </c>
      <c r="AP61" s="235" t="str">
        <f>IFERROR(Таблица1[[#This Row],[S ПП]]-Таблица1[[#This Row],[S ДДУ]],"")</f>
        <v/>
      </c>
      <c r="AQ61" s="235">
        <f>_xlfn.XLOOKUP(Таблица1[[#This Row],[№]],Д401[№],Д401[Итоговая сумма скидки],"-",0)</f>
        <v>0</v>
      </c>
      <c r="AR61" s="235" t="str" cm="1">
        <f t="array" ref="AR61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1" s="285" t="str">
        <f>IFERROR(Таблица1[[#This Row],[ППС]]-Таблица1[[#This Row],[ДДУС]],"")</f>
        <v/>
      </c>
      <c r="AT61" s="611"/>
      <c r="AU61" s="484">
        <f>VLOOKUP(ППД402!A58,Д402[],1,0)</f>
        <v>57</v>
      </c>
      <c r="AV61" s="484" t="str">
        <f>_xlfn.XLOOKUP(Т402[[#This Row],[№]],Д402[№],Д402[Статус],"-",0)</f>
        <v>Стр. Резерв</v>
      </c>
      <c r="AW61" s="613">
        <f>_xlfn.XLOOKUP(Т402[[#This Row],[№]],Д402[№],Д402[Стоимость ОН без отделки со скидкой],"-",0)</f>
        <v>6537200</v>
      </c>
      <c r="AX61" s="614" t="str" cm="1">
        <f t="array" ref="AX6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1" s="485" t="str">
        <f>IFERROR((Т402[[#This Row],[ПП]]-Т402[[#This Row],[ДДУ]])*1,"")</f>
        <v/>
      </c>
      <c r="AZ61" s="486" t="str" cm="1">
        <f t="array" ref="AZ6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1" s="485">
        <f>_xlfn.XLOOKUP(Т402[[#This Row],[№]],Д402[№],Д402[Стоимость квартиры с отделкой],"-",0)</f>
        <v>6537200</v>
      </c>
      <c r="BB61" s="485" t="str">
        <f>IFERROR(Т402[[#This Row],[СО ПП]]-Т402[[#This Row],[СО ДДУ]],"")</f>
        <v/>
      </c>
      <c r="BC61" s="487" t="str" cm="1">
        <f t="array" ref="BC61">IFERROR(INDEX(РД[S],MATCH($AU$3&amp;Т402[[#This Row],[№]]&amp;"Продажа",РД[Дом]&amp;РД[№ кв]&amp;РД[Состояние],0),1),Т402[[#This Row],[Статус]])</f>
        <v>Стр. Резерв</v>
      </c>
      <c r="BD61" s="483">
        <f>_xlfn.XLOOKUP(Т402[[#This Row],[№]],Д402[№],Д402[Расчетная проектная площадь],"-",0)</f>
        <v>54.76</v>
      </c>
      <c r="BE61" s="485" t="str">
        <f>IFERROR(Т402[[#This Row],[S ПП]]-Т402[[#This Row],[S ДДУ]],"")</f>
        <v/>
      </c>
      <c r="BF61" s="485">
        <f>_xlfn.XLOOKUP(Т402[[#This Row],[№]],Д402[№],Д402[Итоговая сумма скидки],"-",0)</f>
        <v>0</v>
      </c>
      <c r="BG61" s="486" t="str" cm="1">
        <f t="array" ref="BG6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1" s="488" t="str">
        <f>IFERROR(Т402[[#This Row],[ППС]]-Т402[[#This Row],[ДДУС]],"")</f>
        <v/>
      </c>
    </row>
    <row r="62" spans="1:60" x14ac:dyDescent="0.2">
      <c r="A62" s="611"/>
      <c r="B62" s="234">
        <f>VLOOKUP(ППД4!A59,Реестр_Д4[№],1,0)</f>
        <v>58</v>
      </c>
      <c r="C62" s="234" t="str">
        <f>VLOOKUP(ППД4!CO59,Реестр_Д4[Статус],1,0)</f>
        <v>Продажа</v>
      </c>
      <c r="D62" s="612">
        <f>VLOOKUP(ППД4!CE59,Реестр_Д4[Стоимость ОН без отделки со скидкой],1,0)</f>
        <v>5866770</v>
      </c>
      <c r="E62" s="612" cm="1">
        <f t="array" ref="E62">IFERROR(INDEX(РД[Стоимость без отделки итог],MATCH($B$3&amp;Таблица4[[#This Row],[№]]&amp;"Продажа",РД[Дом]&amp;РД[№ кв]&amp;РД[Состояние],0),1),Таблица4[[#This Row],[Статус]])</f>
        <v>5866770</v>
      </c>
      <c r="F62" s="235">
        <f>IFERROR((Таблица4[[#This Row],[ПП]]-Таблица4[[#This Row],[ДДУ]])*1,"")</f>
        <v>0</v>
      </c>
      <c r="G62" s="235" cm="1">
        <f t="array" ref="G62">IFERROR(INDEX(РД[Стоимость с отделкой итог],MATCH($B$3&amp;Таблица4[[#This Row],[№]]&amp;"Продажа",РД[Дом]&amp;РД[№ кв]&amp;РД[Состояние],0),1),Таблица4[[#This Row],[Статус]])</f>
        <v>5866770</v>
      </c>
      <c r="H62" s="235">
        <f>_xlfn.XLOOKUP(Таблица4[[#This Row],[№]],Реестр_Д4[№],Реестр_Д4[Стоимость квартиры с отделкой],"-",0)</f>
        <v>5866770</v>
      </c>
      <c r="I62" s="235">
        <f>IFERROR(Таблица4[[#This Row],[СО ПП]]-Таблица4[[#This Row],[СО ДДУ]],"")</f>
        <v>0</v>
      </c>
      <c r="J62" s="233" cm="1">
        <f t="array" ref="J62">IFERROR(INDEX(РД[S],MATCH($B$3&amp;Таблица4[[#This Row],[№]]&amp;"Продажа",РД[Дом]&amp;РД[№ кв]&amp;РД[Состояние],0),1),Таблица4[[#This Row],[Статус]])</f>
        <v>61.76</v>
      </c>
      <c r="K62" s="233">
        <f>VLOOKUP(Таблица4[[#This Row],[№]],Реестр_Д4[],20,0)</f>
        <v>61.76</v>
      </c>
      <c r="L62" s="235">
        <f>IFERROR(Таблица4[[#This Row],[S ПП]]-Таблица4[[#This Row],[S ДДУ]],)</f>
        <v>0</v>
      </c>
      <c r="M62" s="235">
        <f>ROUND(_xlfn.XLOOKUP(Таблица4[[#This Row],[№]],Реестр_Д4[№],Реестр_Д4[Итоговая сумма скидки],"",0),2)</f>
        <v>119730</v>
      </c>
      <c r="N62" s="235" cm="1">
        <f t="array" ref="N62">IFERROR(ROUND(_xlfn.XLOOKUP($B$3&amp;Таблица4[[#This Row],[№]]&amp;"Продажа",РД[Дом]&amp;РД[№ кв]&amp;РД[Состояние],РД[Сумма скидки],"",0),2),Таблица4[[#This Row],[Статус]])</f>
        <v>119730</v>
      </c>
      <c r="O62" s="235">
        <f>IFERROR(Таблица4[[#This Row],[ППС]]-Таблица4[[#This Row],[ДДУС]],)</f>
        <v>0</v>
      </c>
      <c r="P62" s="611"/>
      <c r="Q62" s="234">
        <f>VLOOKUP(ППД5!A59,Реестр_Д5[№],1,0)</f>
        <v>58</v>
      </c>
      <c r="R62" s="234" t="str">
        <f>VLOOKUP(ППД5!CH59,Реестр_Д5[Статус],1,0)</f>
        <v>Продажа</v>
      </c>
      <c r="S62" s="612">
        <f>VLOOKUP(ППД5!BZ59,Реестр_Д5[Стоимость ОН без отделки со скидкой],1,0)</f>
        <v>4474600</v>
      </c>
      <c r="T62" s="612" cm="1">
        <f t="array" ref="T62">IFERROR(INDEX(РД[Стоимость без отделки итог],MATCH($Q$3&amp;Таблица10[[#This Row],[№]]&amp;"Продажа",РД[Дом]&amp;РД[№ кв]&amp;РД[Состояние],0),1),Таблица10[[#This Row],[Статус]])</f>
        <v>4474600</v>
      </c>
      <c r="U62" s="235">
        <f>IFERROR((Таблица10[[#This Row],[ПП]]-Таблица10[[#This Row],[ДДУ]])*1,)</f>
        <v>0</v>
      </c>
      <c r="V62" s="235" cm="1">
        <f t="array" ref="V62">IFERROR(INDEX(РД[Стоимость с отделкой итог],MATCH($Q$3&amp;Таблица10[[#This Row],[№]]&amp;"Продажа",РД[Дом]&amp;РД[№ кв]&amp;РД[Состояние],0),1),Таблица10[[#This Row],[Статус]])</f>
        <v>5229200</v>
      </c>
      <c r="W62" s="235">
        <f>_xlfn.XLOOKUP(Таблица10[[#This Row],[№]],Реестр_Д5[№],Реестр_Д5[Стоимость квартиры с отделкой],"-",0)</f>
        <v>5229199.9999999991</v>
      </c>
      <c r="X62" s="235">
        <f>IFERROR(Таблица10[[#This Row],[СО ПП]]-Таблица10[[#This Row],[СО ДДУ]],"")</f>
        <v>-9.3132257461547852E-10</v>
      </c>
      <c r="Y62" s="233" cm="1">
        <f t="array" ref="Y62">IFERROR(INDEX(РД[S],MATCH($Q$3&amp;Таблица10[[#This Row],[№]]&amp;"Продажа",РД[Дом]&amp;РД[№ кв]&amp;РД[Состояние],0),1),Таблица10[[#This Row],[Статус]])</f>
        <v>37.729999999999997</v>
      </c>
      <c r="Z62" s="233">
        <f>IF(Таблица10[[#This Row],[№]]&amp;"ДДУ"=ППД5!A59&amp;ППД5!CR59,ППД5!U59,ППД5!V59)</f>
        <v>37.729999999999997</v>
      </c>
      <c r="AA62" s="285">
        <f>IFERROR(Таблица10[[#This Row],[S ПП]]-Таблица10[[#This Row],[S ДДУ]],)</f>
        <v>0</v>
      </c>
      <c r="AB62" s="235">
        <f>ROUND(_xlfn.XLOOKUP(Таблица10[[#This Row],[№]],Реестр_Д5[№],Реестр_Д5[Итоговая сумма скидки],"",0),2)</f>
        <v>0</v>
      </c>
      <c r="AC62" s="235" cm="1">
        <f t="array" ref="AC6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62" s="285">
        <f>IFERROR(Таблица10[[#This Row],[ППС]]-Таблица10[[#This Row],[ДДУС]],)</f>
        <v>0</v>
      </c>
      <c r="AE62" s="611"/>
      <c r="AF62" s="615">
        <f>VLOOKUP(ППД401!A59,Д401[],1,0)</f>
        <v>58</v>
      </c>
      <c r="AG62" s="234" t="str">
        <f>_xlfn.XLOOKUP(Таблица1[[#This Row],[№]],Д401[№],Д401[Статус],"-",0)</f>
        <v>Стр. Резерв</v>
      </c>
      <c r="AH62" s="612">
        <f>_xlfn.XLOOKUP(Таблица1[[#This Row],[№]],Д401[№],Д401[Стоимость ОН без отделки со скидкой],"-",0)</f>
        <v>7191250</v>
      </c>
      <c r="AI62" s="612" t="str" cm="1">
        <f t="array" ref="AI62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2" s="235" t="str">
        <f>IFERROR((Таблица1[[#This Row],[ПП]]-Таблица1[[#This Row],[ДДУ]])*1,"")</f>
        <v/>
      </c>
      <c r="AK62" s="235" t="str" cm="1">
        <f t="array" ref="AK62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2" s="235">
        <f>_xlfn.XLOOKUP(Таблица1[[#This Row],[№]],Д401[№],Д401[Стоимость квартиры с отделкой],"-",0)</f>
        <v>7191250</v>
      </c>
      <c r="AM62" s="235" t="str">
        <f>IFERROR(Таблица1[[#This Row],[СО ПП]]-Таблица1[[#This Row],[СО ДДУ]],"")</f>
        <v/>
      </c>
      <c r="AN62" s="233" t="str" cm="1">
        <f t="array" ref="AN62">IFERROR(INDEX(РД[S],MATCH($AF$3&amp;Таблица1[[#This Row],[№]]&amp;"Продажа",РД[Дом]&amp;РД[№ кв]&amp;РД[Состояние],0),1),Таблица1[[#This Row],[Статус]])</f>
        <v>Стр. Резерв</v>
      </c>
      <c r="AO62" s="233">
        <f>_xlfn.XLOOKUP(Таблица1[[#This Row],[№]],Д401[№],Д401[Расчетная проектная площадь],"-",0)</f>
        <v>57.53</v>
      </c>
      <c r="AP62" s="235" t="str">
        <f>IFERROR(Таблица1[[#This Row],[S ПП]]-Таблица1[[#This Row],[S ДДУ]],"")</f>
        <v/>
      </c>
      <c r="AQ62" s="235">
        <f>_xlfn.XLOOKUP(Таблица1[[#This Row],[№]],Д401[№],Д401[Итоговая сумма скидки],"-",0)</f>
        <v>0</v>
      </c>
      <c r="AR62" s="235" t="str" cm="1">
        <f t="array" ref="AR62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2" s="285" t="str">
        <f>IFERROR(Таблица1[[#This Row],[ППС]]-Таблица1[[#This Row],[ДДУС]],"")</f>
        <v/>
      </c>
      <c r="AT62" s="611"/>
      <c r="AU62" s="484">
        <f>VLOOKUP(ППД402!A59,Д402[],1,0)</f>
        <v>58</v>
      </c>
      <c r="AV62" s="484" t="str">
        <f>_xlfn.XLOOKUP(Т402[[#This Row],[№]],Д402[№],Д402[Статус],"-",0)</f>
        <v>Стр. Резерв</v>
      </c>
      <c r="AW62" s="613">
        <f>_xlfn.XLOOKUP(Т402[[#This Row],[№]],Д402[№],Д402[Стоимость ОН без отделки со скидкой],"-",0)</f>
        <v>6653100</v>
      </c>
      <c r="AX62" s="614" t="str" cm="1">
        <f t="array" ref="AX6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2" s="485" t="str">
        <f>IFERROR((Т402[[#This Row],[ПП]]-Т402[[#This Row],[ДДУ]])*1,"")</f>
        <v/>
      </c>
      <c r="AZ62" s="486" t="str" cm="1">
        <f t="array" ref="AZ6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2" s="485">
        <f>_xlfn.XLOOKUP(Т402[[#This Row],[№]],Д402[№],Д402[Стоимость квартиры с отделкой],"-",0)</f>
        <v>6653100</v>
      </c>
      <c r="BB62" s="485" t="str">
        <f>IFERROR(Т402[[#This Row],[СО ПП]]-Т402[[#This Row],[СО ДДУ]],"")</f>
        <v/>
      </c>
      <c r="BC62" s="487" t="str" cm="1">
        <f t="array" ref="BC62">IFERROR(INDEX(РД[S],MATCH($AU$3&amp;Т402[[#This Row],[№]]&amp;"Продажа",РД[Дом]&amp;РД[№ кв]&amp;РД[Состояние],0),1),Т402[[#This Row],[Статус]])</f>
        <v>Стр. Резерв</v>
      </c>
      <c r="BD62" s="483">
        <f>_xlfn.XLOOKUP(Т402[[#This Row],[№]],Д402[№],Д402[Расчетная проектная площадь],"-",0)</f>
        <v>54.69</v>
      </c>
      <c r="BE62" s="485" t="str">
        <f>IFERROR(Т402[[#This Row],[S ПП]]-Т402[[#This Row],[S ДДУ]],"")</f>
        <v/>
      </c>
      <c r="BF62" s="485">
        <f>_xlfn.XLOOKUP(Т402[[#This Row],[№]],Д402[№],Д402[Итоговая сумма скидки],"-",0)</f>
        <v>0</v>
      </c>
      <c r="BG62" s="486" t="str" cm="1">
        <f t="array" ref="BG6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2" s="488" t="str">
        <f>IFERROR(Т402[[#This Row],[ППС]]-Т402[[#This Row],[ДДУС]],"")</f>
        <v/>
      </c>
    </row>
    <row r="63" spans="1:60" x14ac:dyDescent="0.2">
      <c r="A63" s="611"/>
      <c r="B63" s="234">
        <f>VLOOKUP(ППД4!A60,Реестр_Д4[№],1,0)</f>
        <v>59</v>
      </c>
      <c r="C63" s="234" t="str">
        <f>VLOOKUP(ППД4!CO60,Реестр_Д4[Статус],1,0)</f>
        <v>Продажа</v>
      </c>
      <c r="D63" s="612">
        <f>VLOOKUP(ППД4!CE60,Реестр_Д4[Стоимость ОН без отделки со скидкой],1,0)</f>
        <v>3242119.8</v>
      </c>
      <c r="E63" s="612" cm="1">
        <f t="array" ref="E63">IFERROR(INDEX(РД[Стоимость без отделки итог],MATCH($B$3&amp;Таблица4[[#This Row],[№]]&amp;"Продажа",РД[Дом]&amp;РД[№ кв]&amp;РД[Состояние],0),1),Таблица4[[#This Row],[Статус]])</f>
        <v>3242119.8</v>
      </c>
      <c r="F63" s="235">
        <f>IFERROR((Таблица4[[#This Row],[ПП]]-Таблица4[[#This Row],[ДДУ]])*1,"")</f>
        <v>0</v>
      </c>
      <c r="G63" s="235" cm="1">
        <f t="array" ref="G63">IFERROR(INDEX(РД[Стоимость с отделкой итог],MATCH($B$3&amp;Таблица4[[#This Row],[№]]&amp;"Продажа",РД[Дом]&amp;РД[№ кв]&amp;РД[Состояние],0),1),Таблица4[[#This Row],[Статус]])</f>
        <v>3384279.8</v>
      </c>
      <c r="H63" s="235">
        <f>_xlfn.XLOOKUP(Таблица4[[#This Row],[№]],Реестр_Д4[№],Реестр_Д4[Стоимость квартиры с отделкой],"-",0)</f>
        <v>3384279.8</v>
      </c>
      <c r="I63" s="235">
        <f>IFERROR(Таблица4[[#This Row],[СО ПП]]-Таблица4[[#This Row],[СО ДДУ]],"")</f>
        <v>0</v>
      </c>
      <c r="J63" s="233" cm="1">
        <f t="array" ref="J63">IFERROR(INDEX(РД[S],MATCH($B$3&amp;Таблица4[[#This Row],[№]]&amp;"Продажа",РД[Дом]&amp;РД[№ кв]&amp;РД[Состояние],0),1),Таблица4[[#This Row],[Статус]])</f>
        <v>35.54</v>
      </c>
      <c r="K63" s="233">
        <f>VLOOKUP(Таблица4[[#This Row],[№]],Реестр_Д4[],20,0)</f>
        <v>35.54</v>
      </c>
      <c r="L63" s="235">
        <f>IFERROR(Таблица4[[#This Row],[S ПП]]-Таблица4[[#This Row],[S ДДУ]],)</f>
        <v>0</v>
      </c>
      <c r="M63" s="235">
        <f>ROUND(_xlfn.XLOOKUP(Таблица4[[#This Row],[№]],Реестр_Д4[№],Реестр_Д4[Итоговая сумма скидки],"",0),2)</f>
        <v>0</v>
      </c>
      <c r="N63" s="235" cm="1">
        <f t="array" ref="N6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3" s="235">
        <f>IFERROR(Таблица4[[#This Row],[ППС]]-Таблица4[[#This Row],[ДДУС]],)</f>
        <v>0</v>
      </c>
      <c r="P63" s="611"/>
      <c r="Q63" s="234">
        <f>VLOOKUP(ППД5!A60,Реестр_Д5[№],1,0)</f>
        <v>59</v>
      </c>
      <c r="R63" s="234" t="str">
        <f>VLOOKUP(ППД5!CH60,Реестр_Д5[Статус],1,0)</f>
        <v>Продажа</v>
      </c>
      <c r="S63" s="612">
        <f>VLOOKUP(ППД5!BZ60,Реестр_Д5[Стоимость ОН без отделки со скидкой],1,0)</f>
        <v>5132200</v>
      </c>
      <c r="T63" s="612" cm="1">
        <f t="array" ref="T63">IFERROR(INDEX(РД[Стоимость без отделки итог],MATCH($Q$3&amp;Таблица10[[#This Row],[№]]&amp;"Продажа",РД[Дом]&amp;РД[№ кв]&amp;РД[Состояние],0),1),Таблица10[[#This Row],[Статус]])</f>
        <v>5132200</v>
      </c>
      <c r="U63" s="235">
        <f>IFERROR((Таблица10[[#This Row],[ПП]]-Таблица10[[#This Row],[ДДУ]])*1,)</f>
        <v>0</v>
      </c>
      <c r="V63" s="235" cm="1">
        <f t="array" ref="V63">IFERROR(INDEX(РД[Стоимость с отделкой итог],MATCH($Q$3&amp;Таблица10[[#This Row],[№]]&amp;"Продажа",РД[Дом]&amp;РД[№ кв]&amp;РД[Состояние],0),1),Таблица10[[#This Row],[Статус]])</f>
        <v>5132200</v>
      </c>
      <c r="W63" s="235">
        <f>_xlfn.XLOOKUP(Таблица10[[#This Row],[№]],Реестр_Д5[№],Реестр_Д5[Стоимость квартиры с отделкой],"-",0)</f>
        <v>5132200</v>
      </c>
      <c r="X63" s="235">
        <f>IFERROR(Таблица10[[#This Row],[СО ПП]]-Таблица10[[#This Row],[СО ДДУ]],"")</f>
        <v>0</v>
      </c>
      <c r="Y63" s="233" cm="1">
        <f t="array" ref="Y63">IFERROR(INDEX(РД[S],MATCH($Q$3&amp;Таблица10[[#This Row],[№]]&amp;"Продажа",РД[Дом]&amp;РД[№ кв]&amp;РД[Состояние],0),1),Таблица10[[#This Row],[Статус]])</f>
        <v>59.09</v>
      </c>
      <c r="Z63" s="233">
        <f>IF(Таблица10[[#This Row],[№]]&amp;"ДДУ"=ППД5!A60&amp;ППД5!CR60,ППД5!U60,ППД5!V60)</f>
        <v>59.09</v>
      </c>
      <c r="AA63" s="285">
        <f>IFERROR(Таблица10[[#This Row],[S ПП]]-Таблица10[[#This Row],[S ДДУ]],)</f>
        <v>0</v>
      </c>
      <c r="AB63" s="235">
        <f>ROUND(_xlfn.XLOOKUP(Таблица10[[#This Row],[№]],Реестр_Д5[№],Реестр_Д5[Итоговая сумма скидки],"",0),2)</f>
        <v>0</v>
      </c>
      <c r="AC63" s="235" cm="1">
        <f t="array" ref="AC6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63" s="285">
        <f>IFERROR(Таблица10[[#This Row],[ППС]]-Таблица10[[#This Row],[ДДУС]],)</f>
        <v>0</v>
      </c>
      <c r="AE63" s="611"/>
      <c r="AF63" s="615">
        <f>VLOOKUP(ППД401!A60,Д401[],1,0)</f>
        <v>59</v>
      </c>
      <c r="AG63" s="234" t="str">
        <f>_xlfn.XLOOKUP(Таблица1[[#This Row],[№]],Д401[№],Д401[Статус],"-",0)</f>
        <v>Стр. Резерв</v>
      </c>
      <c r="AH63" s="612">
        <f>_xlfn.XLOOKUP(Таблица1[[#This Row],[№]],Д401[№],Д401[Стоимость ОН без отделки со скидкой],"-",0)</f>
        <v>5316400</v>
      </c>
      <c r="AI63" s="612" t="str" cm="1">
        <f t="array" ref="AI63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3" s="235" t="str">
        <f>IFERROR((Таблица1[[#This Row],[ПП]]-Таблица1[[#This Row],[ДДУ]])*1,"")</f>
        <v/>
      </c>
      <c r="AK63" s="235" t="str" cm="1">
        <f t="array" ref="AK63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3" s="235">
        <f>_xlfn.XLOOKUP(Таблица1[[#This Row],[№]],Д401[№],Д401[Стоимость квартиры с отделкой],"-",0)</f>
        <v>5316400</v>
      </c>
      <c r="AM63" s="235" t="str">
        <f>IFERROR(Таблица1[[#This Row],[СО ПП]]-Таблица1[[#This Row],[СО ДДУ]],"")</f>
        <v/>
      </c>
      <c r="AN63" s="233" t="str" cm="1">
        <f t="array" ref="AN63">IFERROR(INDEX(РД[S],MATCH($AF$3&amp;Таблица1[[#This Row],[№]]&amp;"Продажа",РД[Дом]&amp;РД[№ кв]&amp;РД[Состояние],0),1),Таблица1[[#This Row],[Статус]])</f>
        <v>Стр. Резерв</v>
      </c>
      <c r="AO63" s="233">
        <f>_xlfn.XLOOKUP(Таблица1[[#This Row],[№]],Д401[№],Д401[Расчетная проектная площадь],"-",0)</f>
        <v>38.58</v>
      </c>
      <c r="AP63" s="235" t="str">
        <f>IFERROR(Таблица1[[#This Row],[S ПП]]-Таблица1[[#This Row],[S ДДУ]],"")</f>
        <v/>
      </c>
      <c r="AQ63" s="235">
        <f>_xlfn.XLOOKUP(Таблица1[[#This Row],[№]],Д401[№],Д401[Итоговая сумма скидки],"-",0)</f>
        <v>0</v>
      </c>
      <c r="AR63" s="235" t="str" cm="1">
        <f t="array" ref="AR63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3" s="285" t="str">
        <f>IFERROR(Таблица1[[#This Row],[ППС]]-Таблица1[[#This Row],[ДДУС]],"")</f>
        <v/>
      </c>
      <c r="AT63" s="611"/>
      <c r="AU63" s="484">
        <f>VLOOKUP(ППД402!A60,Д402[],1,0)</f>
        <v>59</v>
      </c>
      <c r="AV63" s="484" t="str">
        <f>_xlfn.XLOOKUP(Т402[[#This Row],[№]],Д402[№],Д402[Статус],"-",0)</f>
        <v>Продажа</v>
      </c>
      <c r="AW63" s="613">
        <f>_xlfn.XLOOKUP(Т402[[#This Row],[№]],Д402[№],Д402[Стоимость ОН без отделки со скидкой],"-",0)</f>
        <v>4797600</v>
      </c>
      <c r="AX63" s="614" cm="1">
        <f t="array" ref="AX63">IFERROR(INDEX(РД[Стоимость без отделки итог],MATCH($AU$3&amp;Т402[[#This Row],[№]]&amp;"Продажа",РД[Дом]&amp;РД[№ кв]&amp;РД[Состояние],0),1),Т402[[#This Row],[Статус]])</f>
        <v>4797600</v>
      </c>
      <c r="AY63" s="485">
        <f>IFERROR((Т402[[#This Row],[ПП]]-Т402[[#This Row],[ДДУ]])*1,"")</f>
        <v>0</v>
      </c>
      <c r="AZ63" s="486" cm="1">
        <f t="array" ref="AZ63">IFERROR(INDEX(РД[Стоимость с отделкой итог],MATCH($AU$3&amp;Т402[[#This Row],[№]]&amp;"Продажа",РД[Дом]&amp;РД[№ кв]&amp;РД[Состояние],0),1),Т402[[#This Row],[Статус]])</f>
        <v>4797600</v>
      </c>
      <c r="BA63" s="485">
        <f>_xlfn.XLOOKUP(Т402[[#This Row],[№]],Д402[№],Д402[Стоимость квартиры с отделкой],"-",0)</f>
        <v>4797600</v>
      </c>
      <c r="BB63" s="485">
        <f>IFERROR(Т402[[#This Row],[СО ПП]]-Т402[[#This Row],[СО ДДУ]],"")</f>
        <v>0</v>
      </c>
      <c r="BC63" s="487" cm="1">
        <f t="array" ref="BC63">IFERROR(INDEX(РД[S],MATCH($AU$3&amp;Т402[[#This Row],[№]]&amp;"Продажа",РД[Дом]&amp;РД[№ кв]&amp;РД[Состояние],0),1),Т402[[#This Row],[Статус]])</f>
        <v>36.92</v>
      </c>
      <c r="BD63" s="483">
        <f>_xlfn.XLOOKUP(Т402[[#This Row],[№]],Д402[№],Д402[Расчетная проектная площадь],"-",0)</f>
        <v>36.92</v>
      </c>
      <c r="BE63" s="485">
        <f>IFERROR(Т402[[#This Row],[S ПП]]-Т402[[#This Row],[S ДДУ]],"")</f>
        <v>0</v>
      </c>
      <c r="BF63" s="485">
        <f>_xlfn.XLOOKUP(Т402[[#This Row],[№]],Д402[№],Д402[Итоговая сумма скидки],"-",0)</f>
        <v>0</v>
      </c>
      <c r="BG63" s="486" cm="1">
        <f t="array" ref="BG63">IFERROR(ROUND(_xlfn.XLOOKUP($AU$3&amp;Т402[[#This Row],[№]]&amp;"Продажа",РД[Дом]&amp;РД[№ кв]&amp;РД[Состояние],РД[Сумма скидки],"",0),2),Т402[[#This Row],[Статус]])</f>
        <v>0</v>
      </c>
      <c r="BH63" s="488">
        <f>IFERROR(Т402[[#This Row],[ППС]]-Т402[[#This Row],[ДДУС]],"")</f>
        <v>0</v>
      </c>
    </row>
    <row r="64" spans="1:60" x14ac:dyDescent="0.2">
      <c r="A64" s="611"/>
      <c r="B64" s="234">
        <f>VLOOKUP(ППД4!A61,Реестр_Д4[№],1,0)</f>
        <v>60</v>
      </c>
      <c r="C64" s="234" t="str">
        <f>VLOOKUP(ППД4!CO61,Реестр_Д4[Статус],1,0)</f>
        <v>Продажа</v>
      </c>
      <c r="D64" s="612">
        <f>VLOOKUP(ППД4!CE61,Реестр_Д4[Стоимость ОН без отделки со скидкой],1,0)</f>
        <v>4326227.58</v>
      </c>
      <c r="E64" s="612" cm="1">
        <f t="array" ref="E64">IFERROR(INDEX(РД[Стоимость без отделки итог],MATCH($B$3&amp;Таблица4[[#This Row],[№]]&amp;"Продажа",РД[Дом]&amp;РД[№ кв]&amp;РД[Состояние],0),1),Таблица4[[#This Row],[Статус]])</f>
        <v>4326227.58</v>
      </c>
      <c r="F64" s="235">
        <f>IFERROR((Таблица4[[#This Row],[ПП]]-Таблица4[[#This Row],[ДДУ]])*1,"")</f>
        <v>0</v>
      </c>
      <c r="G64" s="235" cm="1">
        <f t="array" ref="G64">IFERROR(INDEX(РД[Стоимость с отделкой итог],MATCH($B$3&amp;Таблица4[[#This Row],[№]]&amp;"Продажа",РД[Дом]&amp;РД[№ кв]&amp;РД[Состояние],0),1),Таблица4[[#This Row],[Статус]])</f>
        <v>5166677.58</v>
      </c>
      <c r="H64" s="235">
        <f>_xlfn.XLOOKUP(Таблица4[[#This Row],[№]],Реестр_Д4[№],Реестр_Д4[Стоимость квартиры с отделкой],"-",0)</f>
        <v>5166677.58</v>
      </c>
      <c r="I64" s="235">
        <f>IFERROR(Таблица4[[#This Row],[СО ПП]]-Таблица4[[#This Row],[СО ДДУ]],"")</f>
        <v>0</v>
      </c>
      <c r="J64" s="233" cm="1">
        <f t="array" ref="J64">IFERROR(INDEX(РД[S],MATCH($B$3&amp;Таблица4[[#This Row],[№]]&amp;"Продажа",РД[Дом]&amp;РД[№ кв]&amp;РД[Состояние],0),1),Таблица4[[#This Row],[Статус]])</f>
        <v>56.03</v>
      </c>
      <c r="K64" s="233">
        <f>VLOOKUP(Таблица4[[#This Row],[№]],Реестр_Д4[],20,0)</f>
        <v>56.03</v>
      </c>
      <c r="L64" s="235">
        <f>IFERROR(Таблица4[[#This Row],[S ПП]]-Таблица4[[#This Row],[S ДДУ]],)</f>
        <v>0</v>
      </c>
      <c r="M64" s="235">
        <f>ROUND(_xlfn.XLOOKUP(Таблица4[[#This Row],[№]],Реестр_Д4[№],Реестр_Д4[Итоговая сумма скидки],"",0),2)</f>
        <v>0</v>
      </c>
      <c r="N64" s="235" cm="1">
        <f t="array" ref="N6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4" s="235">
        <f>IFERROR(Таблица4[[#This Row],[ППС]]-Таблица4[[#This Row],[ДДУС]],)</f>
        <v>0</v>
      </c>
      <c r="P64" s="611"/>
      <c r="Q64" s="234">
        <f>VLOOKUP(ППД5!A61,Реестр_Д5[№],1,0)</f>
        <v>60</v>
      </c>
      <c r="R64" s="234" t="str">
        <f>VLOOKUP(ППД5!CH61,Реестр_Д5[Статус],1,0)</f>
        <v>Продажа</v>
      </c>
      <c r="S64" s="612">
        <f>VLOOKUP(ППД5!BZ61,Реестр_Д5[Стоимость ОН без отделки со скидкой],1,0)</f>
        <v>7192474</v>
      </c>
      <c r="T64" s="612" cm="1">
        <f t="array" ref="T64">IFERROR(INDEX(РД[Стоимость без отделки итог],MATCH($Q$3&amp;Таблица10[[#This Row],[№]]&amp;"Продажа",РД[Дом]&amp;РД[№ кв]&amp;РД[Состояние],0),1),Таблица10[[#This Row],[Статус]])</f>
        <v>7192474</v>
      </c>
      <c r="U64" s="235">
        <f>IFERROR((Таблица10[[#This Row],[ПП]]-Таблица10[[#This Row],[ДДУ]])*1,)</f>
        <v>0</v>
      </c>
      <c r="V64" s="235" cm="1">
        <f t="array" ref="V64">IFERROR(INDEX(РД[Стоимость с отделкой итог],MATCH($Q$3&amp;Таблица10[[#This Row],[№]]&amp;"Продажа",РД[Дом]&amp;РД[№ кв]&amp;РД[Состояние],0),1),Таблица10[[#This Row],[Статус]])</f>
        <v>7814174</v>
      </c>
      <c r="W64" s="235">
        <f>_xlfn.XLOOKUP(Таблица10[[#This Row],[№]],Реестр_Д5[№],Реестр_Д5[Стоимость квартиры с отделкой],"-",0)</f>
        <v>7814174</v>
      </c>
      <c r="X64" s="235">
        <f>IFERROR(Таблица10[[#This Row],[СО ПП]]-Таблица10[[#This Row],[СО ДДУ]],"")</f>
        <v>0</v>
      </c>
      <c r="Y64" s="233" cm="1">
        <f t="array" ref="Y64">IFERROR(INDEX(РД[S],MATCH($Q$3&amp;Таблица10[[#This Row],[№]]&amp;"Продажа",РД[Дом]&amp;РД[№ кв]&amp;РД[Состояние],0),1),Таблица10[[#This Row],[Статус]])</f>
        <v>62.17</v>
      </c>
      <c r="Z64" s="233">
        <f>IF(Таблица10[[#This Row],[№]]&amp;"ДДУ"=ППД5!A61&amp;ППД5!CR61,ППД5!U61,ППД5!V61)</f>
        <v>62.17</v>
      </c>
      <c r="AA64" s="285">
        <f>IFERROR(Таблица10[[#This Row],[S ПП]]-Таблица10[[#This Row],[S ДДУ]],)</f>
        <v>0</v>
      </c>
      <c r="AB64" s="235">
        <f>ROUND(_xlfn.XLOOKUP(Таблица10[[#This Row],[№]],Реестр_Д5[№],Реестр_Д5[Итоговая сумма скидки],"",0),2)</f>
        <v>531726</v>
      </c>
      <c r="AC64" s="235" cm="1">
        <f t="array" ref="AC64">IFERROR(ROUND(_xlfn.XLOOKUP($Q$3&amp;Таблица10[[#This Row],[№]]&amp;"Продажа",РД[Дом]&amp;РД[№ кв]&amp;РД[Состояние],РД[Сумма скидки],"",0,-1),2),Таблица10[[#This Row],[Статус]])</f>
        <v>531726</v>
      </c>
      <c r="AD64" s="285">
        <f>IFERROR(Таблица10[[#This Row],[ППС]]-Таблица10[[#This Row],[ДДУС]],)</f>
        <v>0</v>
      </c>
      <c r="AE64" s="611"/>
      <c r="AF64" s="615">
        <f>VLOOKUP(ППД401!A61,Д401[],1,0)</f>
        <v>60</v>
      </c>
      <c r="AG64" s="234" t="str">
        <f>_xlfn.XLOOKUP(Таблица1[[#This Row],[№]],Д401[№],Д401[Статус],"-",0)</f>
        <v>Стр. Резерв</v>
      </c>
      <c r="AH64" s="612">
        <f>_xlfn.XLOOKUP(Таблица1[[#This Row],[№]],Д401[№],Д401[Стоимость ОН без отделки со скидкой],"-",0)</f>
        <v>6362500</v>
      </c>
      <c r="AI64" s="612" t="str" cm="1">
        <f t="array" ref="AI64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4" s="235" t="str">
        <f>IFERROR((Таблица1[[#This Row],[ПП]]-Таблица1[[#This Row],[ДДУ]])*1,"")</f>
        <v/>
      </c>
      <c r="AK64" s="235" t="str" cm="1">
        <f t="array" ref="AK64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4" s="235">
        <f>_xlfn.XLOOKUP(Таблица1[[#This Row],[№]],Д401[№],Д401[Стоимость квартиры с отделкой],"-",0)</f>
        <v>6362500</v>
      </c>
      <c r="AM64" s="235" t="str">
        <f>IFERROR(Таблица1[[#This Row],[СО ПП]]-Таблица1[[#This Row],[СО ДДУ]],"")</f>
        <v/>
      </c>
      <c r="AN64" s="233" t="str" cm="1">
        <f t="array" ref="AN64">IFERROR(INDEX(РД[S],MATCH($AF$3&amp;Таблица1[[#This Row],[№]]&amp;"Продажа",РД[Дом]&amp;РД[№ кв]&amp;РД[Состояние],0),1),Таблица1[[#This Row],[Статус]])</f>
        <v>Стр. Резерв</v>
      </c>
      <c r="AO64" s="233">
        <f>_xlfn.XLOOKUP(Таблица1[[#This Row],[№]],Д401[№],Д401[Расчетная проектная площадь],"-",0)</f>
        <v>45.74</v>
      </c>
      <c r="AP64" s="235" t="str">
        <f>IFERROR(Таблица1[[#This Row],[S ПП]]-Таблица1[[#This Row],[S ДДУ]],"")</f>
        <v/>
      </c>
      <c r="AQ64" s="235">
        <f>_xlfn.XLOOKUP(Таблица1[[#This Row],[№]],Д401[№],Д401[Итоговая сумма скидки],"-",0)</f>
        <v>0</v>
      </c>
      <c r="AR64" s="235" t="str" cm="1">
        <f t="array" ref="AR64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4" s="285" t="str">
        <f>IFERROR(Таблица1[[#This Row],[ППС]]-Таблица1[[#This Row],[ДДУС]],"")</f>
        <v/>
      </c>
      <c r="AT64" s="611"/>
      <c r="AU64" s="484">
        <f>VLOOKUP(ППД402!A61,Д402[],1,0)</f>
        <v>60</v>
      </c>
      <c r="AV64" s="484" t="str">
        <f>_xlfn.XLOOKUP(Т402[[#This Row],[№]],Д402[№],Д402[Статус],"-",0)</f>
        <v>Свободно</v>
      </c>
      <c r="AW64" s="613">
        <f>_xlfn.XLOOKUP(Т402[[#This Row],[№]],Д402[№],Д402[Стоимость ОН без отделки со скидкой],"-",0)</f>
        <v>5861700</v>
      </c>
      <c r="AX64" s="614" t="str" cm="1">
        <f t="array" ref="AX64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64" s="485" t="str">
        <f>IFERROR((Т402[[#This Row],[ПП]]-Т402[[#This Row],[ДДУ]])*1,"")</f>
        <v/>
      </c>
      <c r="AZ64" s="486" t="str" cm="1">
        <f t="array" ref="AZ64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64" s="485">
        <f>_xlfn.XLOOKUP(Т402[[#This Row],[№]],Д402[№],Д402[Стоимость квартиры с отделкой],"-",0)</f>
        <v>5861700</v>
      </c>
      <c r="BB64" s="485" t="str">
        <f>IFERROR(Т402[[#This Row],[СО ПП]]-Т402[[#This Row],[СО ДДУ]],"")</f>
        <v/>
      </c>
      <c r="BC64" s="487" t="str" cm="1">
        <f t="array" ref="BC64">IFERROR(INDEX(РД[S],MATCH($AU$3&amp;Т402[[#This Row],[№]]&amp;"Продажа",РД[Дом]&amp;РД[№ кв]&amp;РД[Состояние],0),1),Т402[[#This Row],[Статус]])</f>
        <v>Свободно</v>
      </c>
      <c r="BD64" s="483">
        <f>_xlfn.XLOOKUP(Т402[[#This Row],[№]],Д402[№],Д402[Расчетная проектная площадь],"-",0)</f>
        <v>45.18</v>
      </c>
      <c r="BE64" s="485" t="str">
        <f>IFERROR(Т402[[#This Row],[S ПП]]-Т402[[#This Row],[S ДДУ]],"")</f>
        <v/>
      </c>
      <c r="BF64" s="485">
        <f>_xlfn.XLOOKUP(Т402[[#This Row],[№]],Д402[№],Д402[Итоговая сумма скидки],"-",0)</f>
        <v>0</v>
      </c>
      <c r="BG64" s="486" t="str" cm="1">
        <f t="array" ref="BG64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64" s="488" t="str">
        <f>IFERROR(Т402[[#This Row],[ППС]]-Т402[[#This Row],[ДДУС]],"")</f>
        <v/>
      </c>
    </row>
    <row r="65" spans="1:60" x14ac:dyDescent="0.2">
      <c r="A65" s="611"/>
      <c r="B65" s="234">
        <f>VLOOKUP(ППД4!A62,Реестр_Д4[№],1,0)</f>
        <v>61</v>
      </c>
      <c r="C65" s="234" t="str">
        <f>VLOOKUP(ППД4!CO62,Реестр_Д4[Статус],1,0)</f>
        <v>Продажа</v>
      </c>
      <c r="D65" s="612">
        <f>VLOOKUP(ППД4!CE62,Реестр_Д4[Стоимость ОН без отделки со скидкой],1,0)</f>
        <v>4096724.91</v>
      </c>
      <c r="E65" s="612" cm="1">
        <f t="array" ref="E65">IFERROR(INDEX(РД[Стоимость без отделки итог],MATCH($B$3&amp;Таблица4[[#This Row],[№]]&amp;"Продажа",РД[Дом]&amp;РД[№ кв]&amp;РД[Состояние],0),1),Таблица4[[#This Row],[Статус]])</f>
        <v>4096724.91</v>
      </c>
      <c r="F65" s="235">
        <f>IFERROR((Таблица4[[#This Row],[ПП]]-Таблица4[[#This Row],[ДДУ]])*1,"")</f>
        <v>0</v>
      </c>
      <c r="G65" s="235" cm="1">
        <f t="array" ref="G65">IFERROR(INDEX(РД[Стоимость с отделкой итог],MATCH($B$3&amp;Таблица4[[#This Row],[№]]&amp;"Продажа",РД[Дом]&amp;РД[№ кв]&amp;РД[Состояние],0),1),Таблица4[[#This Row],[Статус]])</f>
        <v>4916624.91</v>
      </c>
      <c r="H65" s="235">
        <f>_xlfn.XLOOKUP(Таблица4[[#This Row],[№]],Реестр_Д4[№],Реестр_Д4[Стоимость квартиры с отделкой],"-",0)</f>
        <v>4916624.91</v>
      </c>
      <c r="I65" s="235">
        <f>IFERROR(Таблица4[[#This Row],[СО ПП]]-Таблица4[[#This Row],[СО ДДУ]],"")</f>
        <v>0</v>
      </c>
      <c r="J65" s="233" cm="1">
        <f t="array" ref="J65">IFERROR(INDEX(РД[S],MATCH($B$3&amp;Таблица4[[#This Row],[№]]&amp;"Продажа",РД[Дом]&amp;РД[№ кв]&amp;РД[Состояние],0),1),Таблица4[[#This Row],[Статус]])</f>
        <v>54.66</v>
      </c>
      <c r="K65" s="233">
        <f>VLOOKUP(Таблица4[[#This Row],[№]],Реестр_Д4[],20,0)</f>
        <v>54.66</v>
      </c>
      <c r="L65" s="235">
        <f>IFERROR(Таблица4[[#This Row],[S ПП]]-Таблица4[[#This Row],[S ДДУ]],)</f>
        <v>0</v>
      </c>
      <c r="M65" s="235">
        <f>ROUND(_xlfn.XLOOKUP(Таблица4[[#This Row],[№]],Реестр_Д4[№],Реестр_Д4[Итоговая сумма скидки],"",0),2)</f>
        <v>0</v>
      </c>
      <c r="N65" s="235" cm="1">
        <f t="array" ref="N6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5" s="235">
        <f>IFERROR(Таблица4[[#This Row],[ППС]]-Таблица4[[#This Row],[ДДУС]],)</f>
        <v>0</v>
      </c>
      <c r="P65" s="611"/>
      <c r="Q65" s="234">
        <f>VLOOKUP(ППД5!A62,Реестр_Д5[№],1,0)</f>
        <v>61</v>
      </c>
      <c r="R65" s="234" t="str">
        <f>VLOOKUP(ППД5!CH62,Реестр_Д5[Статус],1,0)</f>
        <v>Продажа</v>
      </c>
      <c r="S65" s="612">
        <f>VLOOKUP(ППД5!BZ62,Реестр_Д5[Стоимость ОН без отделки со скидкой],1,0)</f>
        <v>6958400</v>
      </c>
      <c r="T65" s="612" cm="1">
        <f t="array" ref="T65">IFERROR(INDEX(РД[Стоимость без отделки итог],MATCH($Q$3&amp;Таблица10[[#This Row],[№]]&amp;"Продажа",РД[Дом]&amp;РД[№ кв]&amp;РД[Состояние],0),1),Таблица10[[#This Row],[Статус]])</f>
        <v>6958400</v>
      </c>
      <c r="U65" s="235">
        <f>IFERROR((Таблица10[[#This Row],[ПП]]-Таблица10[[#This Row],[ДДУ]])*1,)</f>
        <v>0</v>
      </c>
      <c r="V65" s="235" cm="1">
        <f t="array" ref="V65">IFERROR(INDEX(РД[Стоимость с отделкой итог],MATCH($Q$3&amp;Таблица10[[#This Row],[№]]&amp;"Продажа",РД[Дом]&amp;РД[№ кв]&amp;РД[Состояние],0),1),Таблица10[[#This Row],[Статус]])</f>
        <v>8412400</v>
      </c>
      <c r="W65" s="235">
        <f>_xlfn.XLOOKUP(Таблица10[[#This Row],[№]],Реестр_Д5[№],Реестр_Д5[Стоимость квартиры с отделкой],"-",0)</f>
        <v>8412400</v>
      </c>
      <c r="X65" s="235">
        <f>IFERROR(Таблица10[[#This Row],[СО ПП]]-Таблица10[[#This Row],[СО ДДУ]],"")</f>
        <v>0</v>
      </c>
      <c r="Y65" s="233" cm="1">
        <f t="array" ref="Y65">IFERROR(INDEX(РД[S],MATCH($Q$3&amp;Таблица10[[#This Row],[№]]&amp;"Продажа",РД[Дом]&amp;РД[№ кв]&amp;РД[Состояние],0),1),Таблица10[[#This Row],[Статус]])</f>
        <v>58.16</v>
      </c>
      <c r="Z65" s="233">
        <f>IF(Таблица10[[#This Row],[№]]&amp;"ДДУ"=ППД5!A62&amp;ППД5!CR62,ППД5!U62,ППД5!V62)</f>
        <v>58.16</v>
      </c>
      <c r="AA65" s="285">
        <f>IFERROR(Таблица10[[#This Row],[S ПП]]-Таблица10[[#This Row],[S ДДУ]],)</f>
        <v>0</v>
      </c>
      <c r="AB65" s="235">
        <f>ROUND(_xlfn.XLOOKUP(Таблица10[[#This Row],[№]],Реестр_Д5[№],Реестр_Д5[Итоговая сумма скидки],"",0),2)</f>
        <v>300000</v>
      </c>
      <c r="AC65" s="235" cm="1">
        <f t="array" ref="AC65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65" s="285">
        <f>IFERROR(Таблица10[[#This Row],[ППС]]-Таблица10[[#This Row],[ДДУС]],)</f>
        <v>0</v>
      </c>
      <c r="AE65" s="611"/>
      <c r="AF65" s="615">
        <f>VLOOKUP(ППД401!A62,Д401[],1,0)</f>
        <v>61</v>
      </c>
      <c r="AG65" s="234" t="str">
        <f>_xlfn.XLOOKUP(Таблица1[[#This Row],[№]],Д401[№],Д401[Статус],"-",0)</f>
        <v>Гарантированная бронь</v>
      </c>
      <c r="AH65" s="612">
        <f>_xlfn.XLOOKUP(Таблица1[[#This Row],[№]],Д401[№],Д401[Стоимость ОН без отделки со скидкой],"-",0)</f>
        <v>6032187.5</v>
      </c>
      <c r="AI65" s="612" t="str" cm="1">
        <f t="array" ref="AI65">IFERROR(INDEX(РД[Стоимость без отделки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J65" s="235" t="str">
        <f>IFERROR((Таблица1[[#This Row],[ПП]]-Таблица1[[#This Row],[ДДУ]])*1,"")</f>
        <v/>
      </c>
      <c r="AK65" s="235" t="str" cm="1">
        <f t="array" ref="AK65">IFERROR(INDEX(РД[Стоимость с отделкой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L65" s="235">
        <f>_xlfn.XLOOKUP(Таблица1[[#This Row],[№]],Д401[№],Д401[Стоимость квартиры с отделкой],"-",0)</f>
        <v>6032187.5</v>
      </c>
      <c r="AM65" s="235" t="str">
        <f>IFERROR(Таблица1[[#This Row],[СО ПП]]-Таблица1[[#This Row],[СО ДДУ]],"")</f>
        <v/>
      </c>
      <c r="AN65" s="233" t="str" cm="1">
        <f t="array" ref="AN65">IFERROR(INDEX(РД[S],MATCH($AF$3&amp;Таблица1[[#This Row],[№]]&amp;"Продажа",РД[Дом]&amp;РД[№ кв]&amp;РД[Состояние],0),1),Таблица1[[#This Row],[Статус]])</f>
        <v>Гарантированная бронь</v>
      </c>
      <c r="AO65" s="233">
        <f>_xlfn.XLOOKUP(Таблица1[[#This Row],[№]],Д401[№],Д401[Расчетная проектная площадь],"-",0)</f>
        <v>49.75</v>
      </c>
      <c r="AP65" s="235" t="str">
        <f>IFERROR(Таблица1[[#This Row],[S ПП]]-Таблица1[[#This Row],[S ДДУ]],"")</f>
        <v/>
      </c>
      <c r="AQ65" s="235">
        <f>_xlfn.XLOOKUP(Таблица1[[#This Row],[№]],Д401[№],Д401[Итоговая сумма скидки],"-",0)</f>
        <v>186562.5</v>
      </c>
      <c r="AR65" s="235" t="str" cm="1">
        <f t="array" ref="AR65">IFERROR(ROUND(_xlfn.XLOOKUP($AF$3&amp;Таблица1[[#This Row],[№]]&amp;"Продажа",РД[Дом]&amp;РД[№ кв]&amp;РД[Состояние],РД[Сумма скидки],"",0),2),Таблица1[[#This Row],[Статус]])</f>
        <v>Гарантированная бронь</v>
      </c>
      <c r="AS65" s="285" t="str">
        <f>IFERROR(Таблица1[[#This Row],[ППС]]-Таблица1[[#This Row],[ДДУС]],"")</f>
        <v/>
      </c>
      <c r="AT65" s="611"/>
      <c r="AU65" s="484">
        <f>VLOOKUP(ППД402!A62,Д402[],1,0)</f>
        <v>61</v>
      </c>
      <c r="AV65" s="484" t="str">
        <f>_xlfn.XLOOKUP(Т402[[#This Row],[№]],Д402[№],Д402[Статус],"-",0)</f>
        <v>Стр. Резерв</v>
      </c>
      <c r="AW65" s="613">
        <f>_xlfn.XLOOKUP(Т402[[#This Row],[№]],Д402[№],Д402[Стоимость ОН без отделки со скидкой],"-",0)</f>
        <v>4181300</v>
      </c>
      <c r="AX65" s="614" t="str" cm="1">
        <f t="array" ref="AX6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5" s="485" t="str">
        <f>IFERROR((Т402[[#This Row],[ПП]]-Т402[[#This Row],[ДДУ]])*1,"")</f>
        <v/>
      </c>
      <c r="AZ65" s="486" t="str" cm="1">
        <f t="array" ref="AZ6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5" s="485">
        <f>_xlfn.XLOOKUP(Т402[[#This Row],[№]],Д402[№],Д402[Стоимость квартиры с отделкой],"-",0)</f>
        <v>4181299.9999999991</v>
      </c>
      <c r="BB65" s="485" t="str">
        <f>IFERROR(Т402[[#This Row],[СО ПП]]-Т402[[#This Row],[СО ДДУ]],"")</f>
        <v/>
      </c>
      <c r="BC65" s="487" t="str" cm="1">
        <f t="array" ref="BC65">IFERROR(INDEX(РД[S],MATCH($AU$3&amp;Т402[[#This Row],[№]]&amp;"Продажа",РД[Дом]&amp;РД[№ кв]&amp;РД[Состояние],0),1),Т402[[#This Row],[Статус]])</f>
        <v>Стр. Резерв</v>
      </c>
      <c r="BD65" s="483">
        <f>_xlfn.XLOOKUP(Т402[[#This Row],[№]],Д402[№],Д402[Расчетная проектная площадь],"-",0)</f>
        <v>29.62</v>
      </c>
      <c r="BE65" s="485" t="str">
        <f>IFERROR(Т402[[#This Row],[S ПП]]-Т402[[#This Row],[S ДДУ]],"")</f>
        <v/>
      </c>
      <c r="BF65" s="485">
        <f>_xlfn.XLOOKUP(Т402[[#This Row],[№]],Д402[№],Д402[Итоговая сумма скидки],"-",0)</f>
        <v>0</v>
      </c>
      <c r="BG65" s="486" t="str" cm="1">
        <f t="array" ref="BG6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5" s="488" t="str">
        <f>IFERROR(Т402[[#This Row],[ППС]]-Т402[[#This Row],[ДДУС]],"")</f>
        <v/>
      </c>
    </row>
    <row r="66" spans="1:60" x14ac:dyDescent="0.2">
      <c r="A66" s="611"/>
      <c r="B66" s="234">
        <f>VLOOKUP(ППД4!A63,Реестр_Д4[№],1,0)</f>
        <v>62</v>
      </c>
      <c r="C66" s="234" t="str">
        <f>VLOOKUP(ППД4!CO63,Реестр_Д4[Статус],1,0)</f>
        <v>Продажа</v>
      </c>
      <c r="D66" s="612">
        <f>VLOOKUP(ППД4!CE63,Реестр_Д4[Стоимость ОН без отделки со скидкой],1,0)</f>
        <v>6040093</v>
      </c>
      <c r="E66" s="612" cm="1">
        <f t="array" ref="E66">IFERROR(INDEX(РД[Стоимость без отделки итог],MATCH($B$3&amp;Таблица4[[#This Row],[№]]&amp;"Продажа",РД[Дом]&amp;РД[№ кв]&amp;РД[Состояние],0),1),Таблица4[[#This Row],[Статус]])</f>
        <v>6040093</v>
      </c>
      <c r="F66" s="235">
        <f>IFERROR((Таблица4[[#This Row],[ПП]]-Таблица4[[#This Row],[ДДУ]])*1,"")</f>
        <v>0</v>
      </c>
      <c r="G66" s="235" cm="1">
        <f t="array" ref="G66">IFERROR(INDEX(РД[Стоимость с отделкой итог],MATCH($B$3&amp;Таблица4[[#This Row],[№]]&amp;"Продажа",РД[Дом]&amp;РД[№ кв]&amp;РД[Состояние],0),1),Таблица4[[#This Row],[Статус]])</f>
        <v>6489118</v>
      </c>
      <c r="H66" s="235">
        <f>_xlfn.XLOOKUP(Таблица4[[#This Row],[№]],Реестр_Д4[№],Реестр_Д4[Стоимость квартиры с отделкой],"-",0)</f>
        <v>6489118</v>
      </c>
      <c r="I66" s="235">
        <f>IFERROR(Таблица4[[#This Row],[СО ПП]]-Таблица4[[#This Row],[СО ДДУ]],"")</f>
        <v>0</v>
      </c>
      <c r="J66" s="233" cm="1">
        <f t="array" ref="J66">IFERROR(INDEX(РД[S],MATCH($B$3&amp;Таблица4[[#This Row],[№]]&amp;"Продажа",РД[Дом]&amp;РД[№ кв]&amp;РД[Состояние],0),1),Таблица4[[#This Row],[Статус]])</f>
        <v>59.87</v>
      </c>
      <c r="K66" s="233">
        <f>VLOOKUP(Таблица4[[#This Row],[№]],Реестр_Д4[],20,0)</f>
        <v>59.87</v>
      </c>
      <c r="L66" s="235">
        <f>IFERROR(Таблица4[[#This Row],[S ПП]]-Таблица4[[#This Row],[S ДДУ]],)</f>
        <v>0</v>
      </c>
      <c r="M66" s="235">
        <f>ROUND(_xlfn.XLOOKUP(Таблица4[[#This Row],[№]],Реестр_Д4[№],Реестр_Д4[Итоговая сумма скидки],"",0),2)</f>
        <v>186807</v>
      </c>
      <c r="N66" s="235" cm="1">
        <f t="array" ref="N66">IFERROR(ROUND(_xlfn.XLOOKUP($B$3&amp;Таблица4[[#This Row],[№]]&amp;"Продажа",РД[Дом]&amp;РД[№ кв]&amp;РД[Состояние],РД[Сумма скидки],"",0),2),Таблица4[[#This Row],[Статус]])</f>
        <v>186807</v>
      </c>
      <c r="O66" s="235">
        <f>IFERROR(Таблица4[[#This Row],[ППС]]-Таблица4[[#This Row],[ДДУС]],)</f>
        <v>0</v>
      </c>
      <c r="P66" s="611"/>
      <c r="Q66" s="234">
        <f>VLOOKUP(ППД5!A63,Реестр_Д5[№],1,0)</f>
        <v>62</v>
      </c>
      <c r="R66" s="234" t="str">
        <f>VLOOKUP(ППД5!CH63,Реестр_Д5[Статус],1,0)</f>
        <v>Продажа</v>
      </c>
      <c r="S66" s="612">
        <f>VLOOKUP(ППД5!BZ63,Реестр_Д5[Стоимость ОН без отделки со скидкой],1,0)</f>
        <v>4490906</v>
      </c>
      <c r="T66" s="612" cm="1">
        <f t="array" ref="T66">IFERROR(INDEX(РД[Стоимость без отделки итог],MATCH($Q$3&amp;Таблица10[[#This Row],[№]]&amp;"Продажа",РД[Дом]&amp;РД[№ кв]&amp;РД[Состояние],0),1),Таблица10[[#This Row],[Статус]])</f>
        <v>4490906</v>
      </c>
      <c r="U66" s="235">
        <f>IFERROR((Таблица10[[#This Row],[ПП]]-Таблица10[[#This Row],[ДДУ]])*1,)</f>
        <v>0</v>
      </c>
      <c r="V66" s="235" cm="1">
        <f t="array" ref="V66">IFERROR(INDEX(РД[Стоимость с отделкой итог],MATCH($Q$3&amp;Таблица10[[#This Row],[№]]&amp;"Продажа",РД[Дом]&amp;РД[№ кв]&amp;РД[Состояние],0),1),Таблица10[[#This Row],[Статус]])</f>
        <v>5345906</v>
      </c>
      <c r="W66" s="235">
        <f>_xlfn.XLOOKUP(Таблица10[[#This Row],[№]],Реестр_Д5[№],Реестр_Д5[Стоимость квартиры с отделкой],"-",0)</f>
        <v>5345906</v>
      </c>
      <c r="X66" s="235">
        <f>IFERROR(Таблица10[[#This Row],[СО ПП]]-Таблица10[[#This Row],[СО ДДУ]],"")</f>
        <v>0</v>
      </c>
      <c r="Y66" s="233" cm="1">
        <f t="array" ref="Y66">IFERROR(INDEX(РД[S],MATCH($Q$3&amp;Таблица10[[#This Row],[№]]&amp;"Продажа",РД[Дом]&amp;РД[№ кв]&amp;РД[Состояние],0),1),Таблица10[[#This Row],[Статус]])</f>
        <v>42.75</v>
      </c>
      <c r="Z66" s="233">
        <f>IF(Таблица10[[#This Row],[№]]&amp;"ДДУ"=ППД5!A63&amp;ППД5!CR63,ППД5!U63,ППД5!V63)</f>
        <v>42.75</v>
      </c>
      <c r="AA66" s="285">
        <f>IFERROR(Таблица10[[#This Row],[S ПП]]-Таблица10[[#This Row],[S ДДУ]],)</f>
        <v>0</v>
      </c>
      <c r="AB66" s="235">
        <f>ROUND(_xlfn.XLOOKUP(Таблица10[[#This Row],[№]],Реестр_Д5[№],Реестр_Д5[Итоговая сумма скидки],"",0),2)</f>
        <v>138894</v>
      </c>
      <c r="AC66" s="235" cm="1">
        <f t="array" ref="AC66">IFERROR(ROUND(_xlfn.XLOOKUP($Q$3&amp;Таблица10[[#This Row],[№]]&amp;"Продажа",РД[Дом]&amp;РД[№ кв]&amp;РД[Состояние],РД[Сумма скидки],"",0,-1),2),Таблица10[[#This Row],[Статус]])</f>
        <v>138894</v>
      </c>
      <c r="AD66" s="285">
        <f>IFERROR(Таблица10[[#This Row],[ППС]]-Таблица10[[#This Row],[ДДУС]],)</f>
        <v>0</v>
      </c>
      <c r="AE66" s="611"/>
      <c r="AF66" s="615">
        <f>VLOOKUP(ППД401!A63,Д401[],1,0)</f>
        <v>62</v>
      </c>
      <c r="AG66" s="234" t="str">
        <f>_xlfn.XLOOKUP(Таблица1[[#This Row],[№]],Д401[№],Д401[Статус],"-",0)</f>
        <v>Свободно</v>
      </c>
      <c r="AH66" s="612">
        <f>_xlfn.XLOOKUP(Таблица1[[#This Row],[№]],Д401[№],Д401[Стоимость ОН без отделки со скидкой],"-",0)</f>
        <v>9702500</v>
      </c>
      <c r="AI66" s="612" t="str" cm="1">
        <f t="array" ref="AI66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66" s="235" t="str">
        <f>IFERROR((Таблица1[[#This Row],[ПП]]-Таблица1[[#This Row],[ДДУ]])*1,"")</f>
        <v/>
      </c>
      <c r="AK66" s="235" t="str" cm="1">
        <f t="array" ref="AK66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66" s="235">
        <f>_xlfn.XLOOKUP(Таблица1[[#This Row],[№]],Д401[№],Д401[Стоимость квартиры с отделкой],"-",0)</f>
        <v>9702500</v>
      </c>
      <c r="AM66" s="235" t="str">
        <f>IFERROR(Таблица1[[#This Row],[СО ПП]]-Таблица1[[#This Row],[СО ДДУ]],"")</f>
        <v/>
      </c>
      <c r="AN66" s="233" t="str" cm="1">
        <f t="array" ref="AN66">IFERROR(INDEX(РД[S],MATCH($AF$3&amp;Таблица1[[#This Row],[№]]&amp;"Продажа",РД[Дом]&amp;РД[№ кв]&amp;РД[Состояние],0),1),Таблица1[[#This Row],[Статус]])</f>
        <v>Свободно</v>
      </c>
      <c r="AO66" s="233">
        <f>_xlfn.XLOOKUP(Таблица1[[#This Row],[№]],Д401[№],Д401[Расчетная проектная площадь],"-",0)</f>
        <v>77.62</v>
      </c>
      <c r="AP66" s="235" t="str">
        <f>IFERROR(Таблица1[[#This Row],[S ПП]]-Таблица1[[#This Row],[S ДДУ]],"")</f>
        <v/>
      </c>
      <c r="AQ66" s="235">
        <f>_xlfn.XLOOKUP(Таблица1[[#This Row],[№]],Д401[№],Д401[Итоговая сумма скидки],"-",0)</f>
        <v>0</v>
      </c>
      <c r="AR66" s="235" t="str" cm="1">
        <f t="array" ref="AR66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66" s="285" t="str">
        <f>IFERROR(Таблица1[[#This Row],[ППС]]-Таблица1[[#This Row],[ДДУС]],"")</f>
        <v/>
      </c>
      <c r="AT66" s="611"/>
      <c r="AU66" s="484">
        <f>VLOOKUP(ППД402!A63,Д402[],1,0)</f>
        <v>62</v>
      </c>
      <c r="AV66" s="484" t="str">
        <f>_xlfn.XLOOKUP(Т402[[#This Row],[№]],Д402[№],Д402[Статус],"-",0)</f>
        <v>Стр. Резерв</v>
      </c>
      <c r="AW66" s="613">
        <f>_xlfn.XLOOKUP(Т402[[#This Row],[№]],Д402[№],Д402[Стоимость ОН без отделки со скидкой],"-",0)</f>
        <v>7520500</v>
      </c>
      <c r="AX66" s="614" t="str" cm="1">
        <f t="array" ref="AX6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6" s="485" t="str">
        <f>IFERROR((Т402[[#This Row],[ПП]]-Т402[[#This Row],[ДДУ]])*1,"")</f>
        <v/>
      </c>
      <c r="AZ66" s="486" t="str" cm="1">
        <f t="array" ref="AZ6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6" s="485">
        <f>_xlfn.XLOOKUP(Т402[[#This Row],[№]],Д402[№],Д402[Стоимость квартиры с отделкой],"-",0)</f>
        <v>7520500</v>
      </c>
      <c r="BB66" s="485" t="str">
        <f>IFERROR(Т402[[#This Row],[СО ПП]]-Т402[[#This Row],[СО ДДУ]],"")</f>
        <v/>
      </c>
      <c r="BC66" s="487" t="str" cm="1">
        <f t="array" ref="BC66">IFERROR(INDEX(РД[S],MATCH($AU$3&amp;Т402[[#This Row],[№]]&amp;"Продажа",РД[Дом]&amp;РД[№ кв]&amp;РД[Состояние],0),1),Т402[[#This Row],[Статус]])</f>
        <v>Стр. Резерв</v>
      </c>
      <c r="BD66" s="483">
        <f>_xlfn.XLOOKUP(Т402[[#This Row],[№]],Д402[№],Д402[Расчетная проектная площадь],"-",0)</f>
        <v>60.02</v>
      </c>
      <c r="BE66" s="485" t="str">
        <f>IFERROR(Т402[[#This Row],[S ПП]]-Т402[[#This Row],[S ДДУ]],"")</f>
        <v/>
      </c>
      <c r="BF66" s="485">
        <f>_xlfn.XLOOKUP(Т402[[#This Row],[№]],Д402[№],Д402[Итоговая сумма скидки],"-",0)</f>
        <v>0</v>
      </c>
      <c r="BG66" s="486" t="str" cm="1">
        <f t="array" ref="BG6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6" s="488" t="str">
        <f>IFERROR(Т402[[#This Row],[ППС]]-Т402[[#This Row],[ДДУС]],"")</f>
        <v/>
      </c>
    </row>
    <row r="67" spans="1:60" x14ac:dyDescent="0.2">
      <c r="A67" s="611"/>
      <c r="B67" s="234">
        <f>VLOOKUP(ППД4!A64,Реестр_Д4[№],1,0)</f>
        <v>63</v>
      </c>
      <c r="C67" s="234" t="str">
        <f>VLOOKUP(ППД4!CO64,Реестр_Д4[Статус],1,0)</f>
        <v>Продажа</v>
      </c>
      <c r="D67" s="612">
        <f>VLOOKUP(ППД4!CE64,Реестр_Д4[Стоимость ОН без отделки со скидкой],1,0)</f>
        <v>2310483.36</v>
      </c>
      <c r="E67" s="612" cm="1">
        <f t="array" ref="E67">IFERROR(INDEX(РД[Стоимость без отделки итог],MATCH($B$3&amp;Таблица4[[#This Row],[№]]&amp;"Продажа",РД[Дом]&amp;РД[№ кв]&amp;РД[Состояние],0),1),Таблица4[[#This Row],[Статус]])</f>
        <v>2310483.36</v>
      </c>
      <c r="F67" s="235">
        <f>IFERROR((Таблица4[[#This Row],[ПП]]-Таблица4[[#This Row],[ДДУ]])*1,"")</f>
        <v>0</v>
      </c>
      <c r="G67" s="235" cm="1">
        <f t="array" ref="G67">IFERROR(INDEX(РД[Стоимость с отделкой итог],MATCH($B$3&amp;Таблица4[[#This Row],[№]]&amp;"Продажа",РД[Дом]&amp;РД[№ кв]&amp;РД[Состояние],0),1),Таблица4[[#This Row],[Статус]])</f>
        <v>2408358.36</v>
      </c>
      <c r="H67" s="235">
        <f>_xlfn.XLOOKUP(Таблица4[[#This Row],[№]],Реестр_Д4[№],Реестр_Д4[Стоимость квартиры с отделкой],"-",0)</f>
        <v>2408358.36</v>
      </c>
      <c r="I67" s="235">
        <f>IFERROR(Таблица4[[#This Row],[СО ПП]]-Таблица4[[#This Row],[СО ДДУ]],"")</f>
        <v>0</v>
      </c>
      <c r="J67" s="233" cm="1">
        <f t="array" ref="J67">IFERROR(INDEX(РД[S],MATCH($B$3&amp;Таблица4[[#This Row],[№]]&amp;"Продажа",РД[Дом]&amp;РД[№ кв]&amp;РД[Состояние],0),1),Таблица4[[#This Row],[Статус]])</f>
        <v>21.75</v>
      </c>
      <c r="K67" s="233">
        <f>VLOOKUP(Таблица4[[#This Row],[№]],Реестр_Д4[],20,0)</f>
        <v>21.75</v>
      </c>
      <c r="L67" s="235">
        <f>IFERROR(Таблица4[[#This Row],[S ПП]]-Таблица4[[#This Row],[S ДДУ]],)</f>
        <v>0</v>
      </c>
      <c r="M67" s="235">
        <f>ROUND(_xlfn.XLOOKUP(Таблица4[[#This Row],[№]],Реестр_Д4[№],Реестр_Д4[Итоговая сумма скидки],"",0),2)</f>
        <v>0</v>
      </c>
      <c r="N67" s="235" cm="1">
        <f t="array" ref="N6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7" s="235">
        <f>IFERROR(Таблица4[[#This Row],[ППС]]-Таблица4[[#This Row],[ДДУС]],)</f>
        <v>0</v>
      </c>
      <c r="P67" s="611"/>
      <c r="Q67" s="234">
        <f>VLOOKUP(ППД5!A64,Реестр_Д5[№],1,0)</f>
        <v>63</v>
      </c>
      <c r="R67" s="234" t="str">
        <f>VLOOKUP(ППД5!CH64,Реестр_Д5[Статус],1,0)</f>
        <v>Продажа</v>
      </c>
      <c r="S67" s="612">
        <f>VLOOKUP(ППД5!BZ64,Реестр_Д5[Стоимость ОН без отделки со скидкой],1,0)</f>
        <v>2674533.17</v>
      </c>
      <c r="T67" s="612" cm="1">
        <f t="array" ref="T67">IFERROR(INDEX(РД[Стоимость без отделки итог],MATCH($Q$3&amp;Таблица10[[#This Row],[№]]&amp;"Продажа",РД[Дом]&amp;РД[№ кв]&amp;РД[Состояние],0),1),Таблица10[[#This Row],[Статус]])</f>
        <v>2674533.17</v>
      </c>
      <c r="U67" s="235">
        <f>IFERROR((Таблица10[[#This Row],[ПП]]-Таблица10[[#This Row],[ДДУ]])*1,)</f>
        <v>0</v>
      </c>
      <c r="V67" s="235" cm="1">
        <f t="array" ref="V67">IFERROR(INDEX(РД[Стоимость с отделкой итог],MATCH($Q$3&amp;Таблица10[[#This Row],[№]]&amp;"Продажа",РД[Дом]&amp;РД[№ кв]&amp;РД[Состояние],0),1),Таблица10[[#This Row],[Статус]])</f>
        <v>3207578.17</v>
      </c>
      <c r="W67" s="235">
        <f>_xlfn.XLOOKUP(Таблица10[[#This Row],[№]],Реестр_Д5[№],Реестр_Д5[Стоимость квартиры с отделкой],"-",0)</f>
        <v>3207578.17</v>
      </c>
      <c r="X67" s="235">
        <f>IFERROR(Таблица10[[#This Row],[СО ПП]]-Таблица10[[#This Row],[СО ДДУ]],"")</f>
        <v>0</v>
      </c>
      <c r="Y67" s="233" cm="1">
        <f t="array" ref="Y67">IFERROR(INDEX(РД[S],MATCH($Q$3&amp;Таблица10[[#This Row],[№]]&amp;"Продажа",РД[Дом]&amp;РД[№ кв]&amp;РД[Состояние],0),1),Таблица10[[#This Row],[Статус]])</f>
        <v>34.39</v>
      </c>
      <c r="Z67" s="233">
        <f>IF(Таблица10[[#This Row],[№]]&amp;"ДДУ"=ППД5!A64&amp;ППД5!CR64,ППД5!U64,ППД5!V64)</f>
        <v>34.39</v>
      </c>
      <c r="AA67" s="285">
        <f>IFERROR(Таблица10[[#This Row],[S ПП]]-Таблица10[[#This Row],[S ДДУ]],)</f>
        <v>0</v>
      </c>
      <c r="AB67" s="235">
        <f>ROUND(_xlfn.XLOOKUP(Таблица10[[#This Row],[№]],Реестр_Д5[№],Реестр_Д5[Итоговая сумма скидки],"",0),2)</f>
        <v>170714.88</v>
      </c>
      <c r="AC67" s="235" cm="1">
        <f t="array" ref="AC67">IFERROR(ROUND(_xlfn.XLOOKUP($Q$3&amp;Таблица10[[#This Row],[№]]&amp;"Продажа",РД[Дом]&amp;РД[№ кв]&amp;РД[Состояние],РД[Сумма скидки],"",0,-1),2),Таблица10[[#This Row],[Статус]])</f>
        <v>170714.88</v>
      </c>
      <c r="AD67" s="285">
        <f>IFERROR(Таблица10[[#This Row],[ППС]]-Таблица10[[#This Row],[ДДУС]],)</f>
        <v>0</v>
      </c>
      <c r="AE67" s="611"/>
      <c r="AF67" s="615">
        <f>VLOOKUP(ППД401!A64,Д401[],1,0)</f>
        <v>63</v>
      </c>
      <c r="AG67" s="234" t="str">
        <f>_xlfn.XLOOKUP(Таблица1[[#This Row],[№]],Д401[№],Д401[Статус],"-",0)</f>
        <v>Продажа</v>
      </c>
      <c r="AH67" s="612">
        <f>_xlfn.XLOOKUP(Таблица1[[#This Row],[№]],Д401[№],Д401[Стоимость ОН без отделки со скидкой],"-",0)</f>
        <v>6306800</v>
      </c>
      <c r="AI67" s="612" cm="1">
        <f t="array" ref="AI67">IFERROR(INDEX(РД[Стоимость без отделки итог],MATCH($AF$3&amp;Таблица1[[#This Row],[№]]&amp;"Продажа",РД[Дом]&amp;РД[№ кв]&amp;РД[Состояние],0),1),Таблица1[[#This Row],[Статус]])</f>
        <v>6306800</v>
      </c>
      <c r="AJ67" s="235">
        <f>IFERROR((Таблица1[[#This Row],[ПП]]-Таблица1[[#This Row],[ДДУ]])*1,"")</f>
        <v>0</v>
      </c>
      <c r="AK67" s="235" cm="1">
        <f t="array" ref="AK67">IFERROR(INDEX(РД[Стоимость с отделкой итог],MATCH($AF$3&amp;Таблица1[[#This Row],[№]]&amp;"Продажа",РД[Дом]&amp;РД[№ кв]&amp;РД[Состояние],0),1),Таблица1[[#This Row],[Статус]])</f>
        <v>6847500</v>
      </c>
      <c r="AL67" s="235">
        <f>_xlfn.XLOOKUP(Таблица1[[#This Row],[№]],Д401[№],Д401[Стоимость квартиры с отделкой],"-",0)</f>
        <v>6879100</v>
      </c>
      <c r="AM67" s="235">
        <f>IFERROR(Таблица1[[#This Row],[СО ПП]]-Таблица1[[#This Row],[СО ДДУ]],"")</f>
        <v>31600</v>
      </c>
      <c r="AN67" s="233" cm="1">
        <f t="array" ref="AN67">IFERROR(INDEX(РД[S],MATCH($AF$3&amp;Таблица1[[#This Row],[№]]&amp;"Продажа",РД[Дом]&amp;РД[№ кв]&amp;РД[Состояние],0),1),Таблица1[[#This Row],[Статус]])</f>
        <v>54.07</v>
      </c>
      <c r="AO67" s="233">
        <f>_xlfn.XLOOKUP(Таблица1[[#This Row],[№]],Д401[№],Д401[Расчетная проектная площадь],"-",0)</f>
        <v>57.23</v>
      </c>
      <c r="AP67" s="680">
        <f>IFERROR(Таблица1[[#This Row],[S ПП]]-Таблица1[[#This Row],[S ДДУ]],"")</f>
        <v>3.1599999999999966</v>
      </c>
      <c r="AQ67" s="235">
        <f>_xlfn.XLOOKUP(Таблица1[[#This Row],[№]],Д401[№],Д401[Итоговая сумма скидки],"-",0)</f>
        <v>0</v>
      </c>
      <c r="AR67" s="235" cm="1">
        <f t="array" ref="AR67">IFERROR(ROUND(_xlfn.XLOOKUP($AF$3&amp;Таблица1[[#This Row],[№]]&amp;"Продажа",РД[Дом]&amp;РД[№ кв]&amp;РД[Состояние],РД[Сумма скидки],"",0),2),Таблица1[[#This Row],[Статус]])</f>
        <v>0</v>
      </c>
      <c r="AS67" s="285">
        <f>IFERROR(Таблица1[[#This Row],[ППС]]-Таблица1[[#This Row],[ДДУС]],"")</f>
        <v>0</v>
      </c>
      <c r="AT67" s="611"/>
      <c r="AU67" s="484">
        <f>VLOOKUP(ППД402!A64,Д402[],1,0)</f>
        <v>63</v>
      </c>
      <c r="AV67" s="484" t="str">
        <f>_xlfn.XLOOKUP(Т402[[#This Row],[№]],Д402[№],Д402[Статус],"-",0)</f>
        <v>Стр. Резерв</v>
      </c>
      <c r="AW67" s="613">
        <f>_xlfn.XLOOKUP(Т402[[#This Row],[№]],Д402[№],Д402[Стоимость ОН без отделки со скидкой],"-",0)</f>
        <v>6599400</v>
      </c>
      <c r="AX67" s="614" t="str" cm="1">
        <f t="array" ref="AX6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7" s="485" t="str">
        <f>IFERROR((Т402[[#This Row],[ПП]]-Т402[[#This Row],[ДДУ]])*1,"")</f>
        <v/>
      </c>
      <c r="AZ67" s="486" t="str" cm="1">
        <f t="array" ref="AZ6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7" s="485">
        <f>_xlfn.XLOOKUP(Т402[[#This Row],[№]],Д402[№],Д402[Стоимость квартиры с отделкой],"-",0)</f>
        <v>6599400</v>
      </c>
      <c r="BB67" s="485" t="str">
        <f>IFERROR(Т402[[#This Row],[СО ПП]]-Т402[[#This Row],[СО ДДУ]],"")</f>
        <v/>
      </c>
      <c r="BC67" s="487" t="str" cm="1">
        <f t="array" ref="BC67">IFERROR(INDEX(РД[S],MATCH($AU$3&amp;Т402[[#This Row],[№]]&amp;"Продажа",РД[Дом]&amp;РД[№ кв]&amp;РД[Состояние],0),1),Т402[[#This Row],[Статус]])</f>
        <v>Стр. Резерв</v>
      </c>
      <c r="BD67" s="483">
        <f>_xlfn.XLOOKUP(Т402[[#This Row],[№]],Д402[№],Д402[Расчетная проектная площадь],"-",0)</f>
        <v>54.76</v>
      </c>
      <c r="BE67" s="485" t="str">
        <f>IFERROR(Т402[[#This Row],[S ПП]]-Т402[[#This Row],[S ДДУ]],"")</f>
        <v/>
      </c>
      <c r="BF67" s="485">
        <f>_xlfn.XLOOKUP(Т402[[#This Row],[№]],Д402[№],Д402[Итоговая сумма скидки],"-",0)</f>
        <v>0</v>
      </c>
      <c r="BG67" s="486" t="str" cm="1">
        <f t="array" ref="BG6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7" s="488" t="str">
        <f>IFERROR(Т402[[#This Row],[ППС]]-Т402[[#This Row],[ДДУС]],"")</f>
        <v/>
      </c>
    </row>
    <row r="68" spans="1:60" x14ac:dyDescent="0.2">
      <c r="A68" s="611"/>
      <c r="B68" s="234">
        <f>VLOOKUP(ППД4!A65,Реестр_Д4[№],1,0)</f>
        <v>64</v>
      </c>
      <c r="C68" s="234" t="str">
        <f>VLOOKUP(ППД4!CO65,Реестр_Д4[Статус],1,0)</f>
        <v>Продажа</v>
      </c>
      <c r="D68" s="612">
        <f>VLOOKUP(ППД4!CE65,Реестр_Д4[Стоимость ОН без отделки со скидкой],1,0)</f>
        <v>1811396.5</v>
      </c>
      <c r="E68" s="612" cm="1">
        <f t="array" ref="E68">IFERROR(INDEX(РД[Стоимость без отделки итог],MATCH($B$3&amp;Таблица4[[#This Row],[№]]&amp;"Продажа",РД[Дом]&amp;РД[№ кв]&amp;РД[Состояние],0),1),Таблица4[[#This Row],[Статус]])</f>
        <v>1811396.5000000005</v>
      </c>
      <c r="F68" s="235">
        <f>IFERROR((Таблица4[[#This Row],[ПП]]-Таблица4[[#This Row],[ДДУ]])*1,"")</f>
        <v>-4.6566128730773926E-10</v>
      </c>
      <c r="G68" s="235" cm="1">
        <f t="array" ref="G68">IFERROR(INDEX(РД[Стоимость с отделкой итог],MATCH($B$3&amp;Таблица4[[#This Row],[№]]&amp;"Продажа",РД[Дом]&amp;РД[№ кв]&amp;РД[Состояние],0),1),Таблица4[[#This Row],[Статус]])</f>
        <v>1898316.5</v>
      </c>
      <c r="H68" s="235">
        <f>_xlfn.XLOOKUP(Таблица4[[#This Row],[№]],Реестр_Д4[№],Реестр_Д4[Стоимость квартиры с отделкой],"-",0)</f>
        <v>1898316.5</v>
      </c>
      <c r="I68" s="235">
        <f>IFERROR(Таблица4[[#This Row],[СО ПП]]-Таблица4[[#This Row],[СО ДДУ]],"")</f>
        <v>0</v>
      </c>
      <c r="J68" s="233" cm="1">
        <f t="array" ref="J68">IFERROR(INDEX(РД[S],MATCH($B$3&amp;Таблица4[[#This Row],[№]]&amp;"Продажа",РД[Дом]&amp;РД[№ кв]&amp;РД[Состояние],0),1),Таблица4[[#This Row],[Статус]])</f>
        <v>21.73</v>
      </c>
      <c r="K68" s="233">
        <f>VLOOKUP(Таблица4[[#This Row],[№]],Реестр_Д4[],20,0)</f>
        <v>21.73</v>
      </c>
      <c r="L68" s="235">
        <f>IFERROR(Таблица4[[#This Row],[S ПП]]-Таблица4[[#This Row],[S ДДУ]],)</f>
        <v>0</v>
      </c>
      <c r="M68" s="235">
        <f>ROUND(_xlfn.XLOOKUP(Таблица4[[#This Row],[№]],Реестр_Д4[№],Реестр_Д4[Итоговая сумма скидки],"",0),2)</f>
        <v>0</v>
      </c>
      <c r="N68" s="235" cm="1">
        <f t="array" ref="N6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8" s="235">
        <f>IFERROR(Таблица4[[#This Row],[ППС]]-Таблица4[[#This Row],[ДДУС]],)</f>
        <v>0</v>
      </c>
      <c r="P68" s="611"/>
      <c r="Q68" s="234">
        <f>VLOOKUP(ППД5!A65,Реестр_Д5[№],1,0)</f>
        <v>64</v>
      </c>
      <c r="R68" s="234" t="str">
        <f>VLOOKUP(ППД5!CH65,Реестр_Д5[Статус],1,0)</f>
        <v>Продажа</v>
      </c>
      <c r="S68" s="612">
        <f>VLOOKUP(ППД5!BZ65,Реестр_Д5[Стоимость ОН без отделки со скидкой],1,0)</f>
        <v>6717100</v>
      </c>
      <c r="T68" s="612" cm="1">
        <f t="array" ref="T68">IFERROR(INDEX(РД[Стоимость без отделки итог],MATCH($Q$3&amp;Таблица10[[#This Row],[№]]&amp;"Продажа",РД[Дом]&amp;РД[№ кв]&amp;РД[Состояние],0),1),Таблица10[[#This Row],[Статус]])</f>
        <v>6717100</v>
      </c>
      <c r="U68" s="235">
        <f>IFERROR((Таблица10[[#This Row],[ПП]]-Таблица10[[#This Row],[ДДУ]])*1,)</f>
        <v>0</v>
      </c>
      <c r="V68" s="235" cm="1">
        <f t="array" ref="V68">IFERROR(INDEX(РД[Стоимость с отделкой итог],MATCH($Q$3&amp;Таблица10[[#This Row],[№]]&amp;"Продажа",РД[Дом]&amp;РД[№ кв]&amp;РД[Состояние],0),1),Таблица10[[#This Row],[Статус]])</f>
        <v>7196600</v>
      </c>
      <c r="W68" s="235">
        <f>_xlfn.XLOOKUP(Таблица10[[#This Row],[№]],Реестр_Д5[№],Реестр_Д5[Стоимость квартиры с отделкой],"-",0)</f>
        <v>7196600</v>
      </c>
      <c r="X68" s="235">
        <f>IFERROR(Таблица10[[#This Row],[СО ПП]]-Таблица10[[#This Row],[СО ДДУ]],"")</f>
        <v>0</v>
      </c>
      <c r="Y68" s="233" cm="1">
        <f t="array" ref="Y68">IFERROR(INDEX(РД[S],MATCH($Q$3&amp;Таблица10[[#This Row],[№]]&amp;"Продажа",РД[Дом]&amp;РД[№ кв]&amp;РД[Состояние],0),1),Таблица10[[#This Row],[Статус]])</f>
        <v>68.5</v>
      </c>
      <c r="Z68" s="233">
        <f>IF(Таблица10[[#This Row],[№]]&amp;"ДДУ"=ППД5!A65&amp;ППД5!CR65,ППД5!U65,ППД5!V65)</f>
        <v>68.5</v>
      </c>
      <c r="AA68" s="285">
        <f>IFERROR(Таблица10[[#This Row],[S ПП]]-Таблица10[[#This Row],[S ДДУ]],)</f>
        <v>0</v>
      </c>
      <c r="AB68" s="235">
        <f>ROUND(_xlfn.XLOOKUP(Таблица10[[#This Row],[№]],Реестр_Д5[№],Реестр_Д5[Итоговая сумма скидки],"",0),2)</f>
        <v>100000</v>
      </c>
      <c r="AC68" s="235" cm="1">
        <f t="array" ref="AC68">IFERROR(ROUND(_xlfn.XLOOKUP($Q$3&amp;Таблица10[[#This Row],[№]]&amp;"Продажа",РД[Дом]&amp;РД[№ кв]&amp;РД[Состояние],РД[Сумма скидки],"",0,-1),2),Таблица10[[#This Row],[Статус]])</f>
        <v>100000</v>
      </c>
      <c r="AD68" s="285">
        <f>IFERROR(Таблица10[[#This Row],[ППС]]-Таблица10[[#This Row],[ДДУС]],)</f>
        <v>0</v>
      </c>
      <c r="AE68" s="611"/>
      <c r="AF68" s="615">
        <f>VLOOKUP(ППД401!A65,Д401[],1,0)</f>
        <v>64</v>
      </c>
      <c r="AG68" s="234" t="str">
        <f>_xlfn.XLOOKUP(Таблица1[[#This Row],[№]],Д401[№],Д401[Статус],"-",0)</f>
        <v>Стр. Резерв</v>
      </c>
      <c r="AH68" s="612">
        <f>_xlfn.XLOOKUP(Таблица1[[#This Row],[№]],Д401[№],Д401[Стоимость ОН без отделки со скидкой],"-",0)</f>
        <v>5283300</v>
      </c>
      <c r="AI68" s="612" t="str" cm="1">
        <f t="array" ref="AI6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68" s="235" t="str">
        <f>IFERROR((Таблица1[[#This Row],[ПП]]-Таблица1[[#This Row],[ДДУ]])*1,"")</f>
        <v/>
      </c>
      <c r="AK68" s="235" t="str" cm="1">
        <f t="array" ref="AK6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68" s="235">
        <f>_xlfn.XLOOKUP(Таблица1[[#This Row],[№]],Д401[№],Д401[Стоимость квартиры с отделкой],"-",0)</f>
        <v>5283300</v>
      </c>
      <c r="AM68" s="235" t="str">
        <f>IFERROR(Таблица1[[#This Row],[СО ПП]]-Таблица1[[#This Row],[СО ДДУ]],"")</f>
        <v/>
      </c>
      <c r="AN68" s="233" t="str" cm="1">
        <f t="array" ref="AN68">IFERROR(INDEX(РД[S],MATCH($AF$3&amp;Таблица1[[#This Row],[№]]&amp;"Продажа",РД[Дом]&amp;РД[№ кв]&amp;РД[Состояние],0),1),Таблица1[[#This Row],[Статус]])</f>
        <v>Стр. Резерв</v>
      </c>
      <c r="AO68" s="233">
        <f>_xlfn.XLOOKUP(Таблица1[[#This Row],[№]],Д401[№],Д401[Расчетная проектная площадь],"-",0)</f>
        <v>38.340000000000003</v>
      </c>
      <c r="AP68" s="235" t="str">
        <f>IFERROR(Таблица1[[#This Row],[S ПП]]-Таблица1[[#This Row],[S ДДУ]],"")</f>
        <v/>
      </c>
      <c r="AQ68" s="235">
        <f>_xlfn.XLOOKUP(Таблица1[[#This Row],[№]],Д401[№],Д401[Итоговая сумма скидки],"-",0)</f>
        <v>0</v>
      </c>
      <c r="AR68" s="235" t="str" cm="1">
        <f t="array" ref="AR6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68" s="285" t="str">
        <f>IFERROR(Таблица1[[#This Row],[ППС]]-Таблица1[[#This Row],[ДДУС]],"")</f>
        <v/>
      </c>
      <c r="AT68" s="611"/>
      <c r="AU68" s="484">
        <f>VLOOKUP(ППД402!A65,Д402[],1,0)</f>
        <v>64</v>
      </c>
      <c r="AV68" s="484" t="str">
        <f>_xlfn.XLOOKUP(Т402[[#This Row],[№]],Д402[№],Д402[Статус],"-",0)</f>
        <v>Стр. Резерв</v>
      </c>
      <c r="AW68" s="613">
        <f>_xlfn.XLOOKUP(Т402[[#This Row],[№]],Д402[№],Д402[Стоимость ОН без отделки со скидкой],"-",0)</f>
        <v>6715200</v>
      </c>
      <c r="AX68" s="614" t="str" cm="1">
        <f t="array" ref="AX6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68" s="485" t="str">
        <f>IFERROR((Т402[[#This Row],[ПП]]-Т402[[#This Row],[ДДУ]])*1,"")</f>
        <v/>
      </c>
      <c r="AZ68" s="486" t="str" cm="1">
        <f t="array" ref="AZ6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68" s="485">
        <f>_xlfn.XLOOKUP(Т402[[#This Row],[№]],Д402[№],Д402[Стоимость квартиры с отделкой],"-",0)</f>
        <v>6715200</v>
      </c>
      <c r="BB68" s="485" t="str">
        <f>IFERROR(Т402[[#This Row],[СО ПП]]-Т402[[#This Row],[СО ДДУ]],"")</f>
        <v/>
      </c>
      <c r="BC68" s="487" t="str" cm="1">
        <f t="array" ref="BC68">IFERROR(INDEX(РД[S],MATCH($AU$3&amp;Т402[[#This Row],[№]]&amp;"Продажа",РД[Дом]&amp;РД[№ кв]&amp;РД[Состояние],0),1),Т402[[#This Row],[Статус]])</f>
        <v>Стр. Резерв</v>
      </c>
      <c r="BD68" s="483">
        <f>_xlfn.XLOOKUP(Т402[[#This Row],[№]],Д402[№],Д402[Расчетная проектная площадь],"-",0)</f>
        <v>54.69</v>
      </c>
      <c r="BE68" s="485" t="str">
        <f>IFERROR(Т402[[#This Row],[S ПП]]-Т402[[#This Row],[S ДДУ]],"")</f>
        <v/>
      </c>
      <c r="BF68" s="485">
        <f>_xlfn.XLOOKUP(Т402[[#This Row],[№]],Д402[№],Д402[Итоговая сумма скидки],"-",0)</f>
        <v>0</v>
      </c>
      <c r="BG68" s="486" t="str" cm="1">
        <f t="array" ref="BG6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68" s="488" t="str">
        <f>IFERROR(Т402[[#This Row],[ППС]]-Т402[[#This Row],[ДДУС]],"")</f>
        <v/>
      </c>
    </row>
    <row r="69" spans="1:60" x14ac:dyDescent="0.2">
      <c r="A69" s="611"/>
      <c r="B69" s="234">
        <f>VLOOKUP(ППД4!A66,Реестр_Д4[№],1,0)</f>
        <v>65</v>
      </c>
      <c r="C69" s="234" t="str">
        <f>VLOOKUP(ППД4!CO66,Реестр_Д4[Статус],1,0)</f>
        <v>Продажа</v>
      </c>
      <c r="D69" s="612">
        <f>VLOOKUP(ППД4!CE66,Реестр_Д4[Стоимость ОН без отделки со скидкой],1,0)</f>
        <v>3308664.96</v>
      </c>
      <c r="E69" s="612" cm="1">
        <f t="array" ref="E69">IFERROR(INDEX(РД[Стоимость без отделки итог],MATCH($B$3&amp;Таблица4[[#This Row],[№]]&amp;"Продажа",РД[Дом]&amp;РД[№ кв]&amp;РД[Состояние],0),1),Таблица4[[#This Row],[Статус]])</f>
        <v>3308664.9600000004</v>
      </c>
      <c r="F69" s="235">
        <f>IFERROR((Таблица4[[#This Row],[ПП]]-Таблица4[[#This Row],[ДДУ]])*1,"")</f>
        <v>-4.6566128730773926E-10</v>
      </c>
      <c r="G69" s="235" cm="1">
        <f t="array" ref="G69">IFERROR(INDEX(РД[Стоимость с отделкой итог],MATCH($B$3&amp;Таблица4[[#This Row],[№]]&amp;"Продажа",РД[Дом]&amp;РД[№ кв]&amp;РД[Состояние],0),1),Таблица4[[#This Row],[Статус]])</f>
        <v>3442784.96</v>
      </c>
      <c r="H69" s="235">
        <f>_xlfn.XLOOKUP(Таблица4[[#This Row],[№]],Реестр_Д4[№],Реестр_Д4[Стоимость квартиры с отделкой],"-",0)</f>
        <v>3442784.96</v>
      </c>
      <c r="I69" s="235">
        <f>IFERROR(Таблица4[[#This Row],[СО ПП]]-Таблица4[[#This Row],[СО ДДУ]],"")</f>
        <v>0</v>
      </c>
      <c r="J69" s="233" cm="1">
        <f t="array" ref="J69">IFERROR(INDEX(РД[S],MATCH($B$3&amp;Таблица4[[#This Row],[№]]&amp;"Продажа",РД[Дом]&amp;РД[№ кв]&amp;РД[Состояние],0),1),Таблица4[[#This Row],[Статус]])</f>
        <v>33.53</v>
      </c>
      <c r="K69" s="233">
        <f>VLOOKUP(Таблица4[[#This Row],[№]],Реестр_Д4[],20,0)</f>
        <v>33.53</v>
      </c>
      <c r="L69" s="235">
        <f>IFERROR(Таблица4[[#This Row],[S ПП]]-Таблица4[[#This Row],[S ДДУ]],)</f>
        <v>0</v>
      </c>
      <c r="M69" s="235">
        <f>ROUND(_xlfn.XLOOKUP(Таблица4[[#This Row],[№]],Реестр_Д4[№],Реестр_Д4[Итоговая сумма скидки],"",0),2)</f>
        <v>0</v>
      </c>
      <c r="N69" s="235" cm="1">
        <f t="array" ref="N6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69" s="235">
        <f>IFERROR(Таблица4[[#This Row],[ППС]]-Таблица4[[#This Row],[ДДУС]],)</f>
        <v>0</v>
      </c>
      <c r="P69" s="611"/>
      <c r="Q69" s="234">
        <f>VLOOKUP(ППД5!A66,Реестр_Д5[№],1,0)</f>
        <v>65</v>
      </c>
      <c r="R69" s="234" t="str">
        <f>VLOOKUP(ППД5!CH66,Реестр_Д5[Статус],1,0)</f>
        <v>Свободно</v>
      </c>
      <c r="S69" s="612">
        <f>VLOOKUP(ППД5!BZ66,Реестр_Д5[Стоимость ОН без отделки со скидкой],1,0)</f>
        <v>5563300</v>
      </c>
      <c r="T69" s="612" t="str" cm="1">
        <f t="array" ref="T6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69" s="235">
        <f>IFERROR((Таблица10[[#This Row],[ПП]]-Таблица10[[#This Row],[ДДУ]])*1,)</f>
        <v>0</v>
      </c>
      <c r="V69" s="235" t="str" cm="1">
        <f t="array" ref="V6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69" s="235">
        <f>_xlfn.XLOOKUP(Таблица10[[#This Row],[№]],Реестр_Д5[№],Реестр_Д5[Стоимость квартиры с отделкой],"-",0)</f>
        <v>5939800</v>
      </c>
      <c r="X69" s="235" t="str">
        <f>IFERROR(Таблица10[[#This Row],[СО ПП]]-Таблица10[[#This Row],[СО ДДУ]],"")</f>
        <v/>
      </c>
      <c r="Y69" s="233" t="str" cm="1">
        <f t="array" ref="Y69">IFERROR(INDEX(РД[S],MATCH($Q$3&amp;Таблица10[[#This Row],[№]]&amp;"Продажа",РД[Дом]&amp;РД[№ кв]&amp;РД[Состояние],0),1),Таблица10[[#This Row],[Статус]])</f>
        <v>Свободно</v>
      </c>
      <c r="Z69" s="233">
        <f>IF(Таблица10[[#This Row],[№]]&amp;"ДДУ"=ППД5!A66&amp;ППД5!CR66,ППД5!U66,ППД5!V66)</f>
        <v>37.650000000000006</v>
      </c>
      <c r="AA69" s="285">
        <f>IFERROR(Таблица10[[#This Row],[S ПП]]-Таблица10[[#This Row],[S ДДУ]],)</f>
        <v>0</v>
      </c>
      <c r="AB69" s="235">
        <f>ROUND(_xlfn.XLOOKUP(Таблица10[[#This Row],[№]],Реестр_Д5[№],Реестр_Д5[Итоговая сумма скидки],"",0),2)</f>
        <v>0</v>
      </c>
      <c r="AC69" s="235" t="str" cm="1">
        <f t="array" ref="AC6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69" s="285">
        <f>IFERROR(Таблица10[[#This Row],[ППС]]-Таблица10[[#This Row],[ДДУС]],)</f>
        <v>0</v>
      </c>
      <c r="AE69" s="611"/>
      <c r="AF69" s="615">
        <f>VLOOKUP(ППД401!A66,Д401[],1,0)</f>
        <v>65</v>
      </c>
      <c r="AG69" s="234" t="str">
        <f>_xlfn.XLOOKUP(Таблица1[[#This Row],[№]],Д401[№],Д401[Статус],"-",0)</f>
        <v>Продажа</v>
      </c>
      <c r="AH69" s="612">
        <f>_xlfn.XLOOKUP(Таблица1[[#This Row],[№]],Д401[№],Д401[Стоимость ОН без отделки со скидкой],"-",0)</f>
        <v>5778570</v>
      </c>
      <c r="AI69" s="612" cm="1">
        <f t="array" ref="AI69">IFERROR(INDEX(РД[Стоимость без отделки итог],MATCH($AF$3&amp;Таблица1[[#This Row],[№]]&amp;"Продажа",РД[Дом]&amp;РД[№ кв]&amp;РД[Состояние],0),1),Таблица1[[#This Row],[Статус]])</f>
        <v>5778570</v>
      </c>
      <c r="AJ69" s="235">
        <f>IFERROR((Таблица1[[#This Row],[ПП]]-Таблица1[[#This Row],[ДДУ]])*1,"")</f>
        <v>0</v>
      </c>
      <c r="AK69" s="235" cm="1">
        <f t="array" ref="AK69">IFERROR(INDEX(РД[Стоимость с отделкой итог],MATCH($AF$3&amp;Таблица1[[#This Row],[№]]&amp;"Продажа",РД[Дом]&amp;РД[№ кв]&amp;РД[Состояние],0),1),Таблица1[[#This Row],[Статус]])</f>
        <v>6202470</v>
      </c>
      <c r="AL69" s="235">
        <f>_xlfn.XLOOKUP(Таблица1[[#This Row],[№]],Д401[№],Д401[Стоимость квартиры с отделкой],"-",0)</f>
        <v>6230670</v>
      </c>
      <c r="AM69" s="235">
        <f>IFERROR(Таблица1[[#This Row],[СО ПП]]-Таблица1[[#This Row],[СО ДДУ]],"")</f>
        <v>28200</v>
      </c>
      <c r="AN69" s="233" cm="1">
        <f t="array" ref="AN69">IFERROR(INDEX(РД[S],MATCH($AF$3&amp;Таблица1[[#This Row],[№]]&amp;"Продажа",РД[Дом]&amp;РД[№ кв]&amp;РД[Состояние],0),1),Таблица1[[#This Row],[Статус]])</f>
        <v>42.39</v>
      </c>
      <c r="AO69" s="233">
        <f>_xlfn.XLOOKUP(Таблица1[[#This Row],[№]],Д401[№],Д401[Расчетная проектная площадь],"-",0)</f>
        <v>45.21</v>
      </c>
      <c r="AP69" s="680">
        <f>IFERROR(Таблица1[[#This Row],[S ПП]]-Таблица1[[#This Row],[S ДДУ]],"")</f>
        <v>2.8200000000000003</v>
      </c>
      <c r="AQ69" s="235">
        <f>_xlfn.XLOOKUP(Таблица1[[#This Row],[№]],Д401[№],Д401[Итоговая сумма скидки],"-",0)</f>
        <v>117930</v>
      </c>
      <c r="AR69" s="235" cm="1">
        <f t="array" ref="AR69">IFERROR(ROUND(_xlfn.XLOOKUP($AF$3&amp;Таблица1[[#This Row],[№]]&amp;"Продажа",РД[Дом]&amp;РД[№ кв]&amp;РД[Состояние],РД[Сумма скидки],"",0),2),Таблица1[[#This Row],[Статус]])</f>
        <v>117930</v>
      </c>
      <c r="AS69" s="285">
        <f>IFERROR(Таблица1[[#This Row],[ППС]]-Таблица1[[#This Row],[ДДУС]],"")</f>
        <v>0</v>
      </c>
      <c r="AT69" s="611"/>
      <c r="AU69" s="484">
        <f>VLOOKUP(ППД402!A66,Д402[],1,0)</f>
        <v>65</v>
      </c>
      <c r="AV69" s="484" t="str">
        <f>_xlfn.XLOOKUP(Т402[[#This Row],[№]],Д402[№],Д402[Статус],"-",0)</f>
        <v>Продажа</v>
      </c>
      <c r="AW69" s="613">
        <f>_xlfn.XLOOKUP(Т402[[#This Row],[№]],Д402[№],Д402[Стоимость ОН без отделки со скидкой],"-",0)</f>
        <v>4876774</v>
      </c>
      <c r="AX69" s="614" cm="1">
        <f t="array" ref="AX69">IFERROR(INDEX(РД[Стоимость без отделки итог],MATCH($AU$3&amp;Т402[[#This Row],[№]]&amp;"Продажа",РД[Дом]&amp;РД[№ кв]&amp;РД[Состояние],0),1),Т402[[#This Row],[Статус]])</f>
        <v>4876774</v>
      </c>
      <c r="AY69" s="485">
        <f>IFERROR((Т402[[#This Row],[ПП]]-Т402[[#This Row],[ДДУ]])*1,"")</f>
        <v>0</v>
      </c>
      <c r="AZ69" s="486" cm="1">
        <f t="array" ref="AZ69">IFERROR(INDEX(РД[Стоимость с отделкой итог],MATCH($AU$3&amp;Т402[[#This Row],[№]]&amp;"Продажа",РД[Дом]&amp;РД[№ кв]&amp;РД[Состояние],0),1),Т402[[#This Row],[Статус]])</f>
        <v>4876774</v>
      </c>
      <c r="BA69" s="485">
        <f>_xlfn.XLOOKUP(Т402[[#This Row],[№]],Д402[№],Д402[Стоимость квартиры с отделкой],"-",0)</f>
        <v>4876774</v>
      </c>
      <c r="BB69" s="485">
        <f>IFERROR(Т402[[#This Row],[СО ПП]]-Т402[[#This Row],[СО ДДУ]],"")</f>
        <v>0</v>
      </c>
      <c r="BC69" s="487" cm="1">
        <f t="array" ref="BC69">IFERROR(INDEX(РД[S],MATCH($AU$3&amp;Т402[[#This Row],[№]]&amp;"Продажа",РД[Дом]&amp;РД[№ кв]&amp;РД[Состояние],0),1),Т402[[#This Row],[Статус]])</f>
        <v>36.92</v>
      </c>
      <c r="BD69" s="483">
        <f>_xlfn.XLOOKUP(Т402[[#This Row],[№]],Д402[№],Д402[Расчетная проектная площадь],"-",0)</f>
        <v>36.92</v>
      </c>
      <c r="BE69" s="485">
        <f>IFERROR(Т402[[#This Row],[S ПП]]-Т402[[#This Row],[S ДДУ]],"")</f>
        <v>0</v>
      </c>
      <c r="BF69" s="485">
        <f>_xlfn.XLOOKUP(Т402[[#This Row],[№]],Д402[№],Д402[Итоговая сумма скидки],"-",0)</f>
        <v>99526</v>
      </c>
      <c r="BG69" s="486" cm="1">
        <f t="array" ref="BG69">IFERROR(ROUND(_xlfn.XLOOKUP($AU$3&amp;Т402[[#This Row],[№]]&amp;"Продажа",РД[Дом]&amp;РД[№ кв]&amp;РД[Состояние],РД[Сумма скидки],"",0),2),Т402[[#This Row],[Статус]])</f>
        <v>99526</v>
      </c>
      <c r="BH69" s="488">
        <f>IFERROR(Т402[[#This Row],[ППС]]-Т402[[#This Row],[ДДУС]],"")</f>
        <v>0</v>
      </c>
    </row>
    <row r="70" spans="1:60" x14ac:dyDescent="0.2">
      <c r="A70" s="611"/>
      <c r="B70" s="234">
        <f>VLOOKUP(ППД4!A67,Реестр_Д4[№],1,0)</f>
        <v>66</v>
      </c>
      <c r="C70" s="234" t="str">
        <f>VLOOKUP(ППД4!CO67,Реестр_Д4[Статус],1,0)</f>
        <v>Продажа</v>
      </c>
      <c r="D70" s="612">
        <f>VLOOKUP(ППД4!CE67,Реестр_Д4[Стоимость ОН без отделки со скидкой],1,0)</f>
        <v>4674245.6900000004</v>
      </c>
      <c r="E70" s="612" cm="1">
        <f t="array" ref="E70">IFERROR(INDEX(РД[Стоимость без отделки итог],MATCH($B$3&amp;Таблица4[[#This Row],[№]]&amp;"Продажа",РД[Дом]&amp;РД[№ кв]&amp;РД[Состояние],0),1),Таблица4[[#This Row],[Статус]])</f>
        <v>4674245.6900000004</v>
      </c>
      <c r="F70" s="235">
        <f>IFERROR((Таблица4[[#This Row],[ПП]]-Таблица4[[#This Row],[ДДУ]])*1,"")</f>
        <v>0</v>
      </c>
      <c r="G70" s="235" cm="1">
        <f t="array" ref="G70">IFERROR(INDEX(РД[Стоимость с отделкой итог],MATCH($B$3&amp;Таблица4[[#This Row],[№]]&amp;"Продажа",РД[Дом]&amp;РД[№ кв]&amp;РД[Состояние],0),1),Таблица4[[#This Row],[Статус]])</f>
        <v>5600645.6900000004</v>
      </c>
      <c r="H70" s="235">
        <f>_xlfn.XLOOKUP(Таблица4[[#This Row],[№]],Реестр_Д4[№],Реестр_Д4[Стоимость квартиры с отделкой],"-",0)</f>
        <v>5600645.6900000004</v>
      </c>
      <c r="I70" s="235">
        <f>IFERROR(Таблица4[[#This Row],[СО ПП]]-Таблица4[[#This Row],[СО ДДУ]],"")</f>
        <v>0</v>
      </c>
      <c r="J70" s="233" cm="1">
        <f t="array" ref="J70">IFERROR(INDEX(РД[S],MATCH($B$3&amp;Таблица4[[#This Row],[№]]&amp;"Продажа",РД[Дом]&amp;РД[№ кв]&amp;РД[Состояние],0),1),Таблица4[[#This Row],[Статус]])</f>
        <v>61.76</v>
      </c>
      <c r="K70" s="233">
        <f>VLOOKUP(Таблица4[[#This Row],[№]],Реестр_Д4[],20,0)</f>
        <v>61.76</v>
      </c>
      <c r="L70" s="235">
        <f>IFERROR(Таблица4[[#This Row],[S ПП]]-Таблица4[[#This Row],[S ДДУ]],)</f>
        <v>0</v>
      </c>
      <c r="M70" s="235">
        <f>ROUND(_xlfn.XLOOKUP(Таблица4[[#This Row],[№]],Реестр_Д4[№],Реестр_Д4[Итоговая сумма скидки],"",0),2)</f>
        <v>0</v>
      </c>
      <c r="N70" s="235" cm="1">
        <f t="array" ref="N7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0" s="235">
        <f>IFERROR(Таблица4[[#This Row],[ППС]]-Таблица4[[#This Row],[ДДУС]],)</f>
        <v>0</v>
      </c>
      <c r="P70" s="611"/>
      <c r="Q70" s="234">
        <f>VLOOKUP(ППД5!A67,Реестр_Д5[№],1,0)</f>
        <v>66</v>
      </c>
      <c r="R70" s="234" t="str">
        <f>VLOOKUP(ППД5!CH67,Реестр_Д5[Статус],1,0)</f>
        <v>Продажа</v>
      </c>
      <c r="S70" s="612">
        <f>VLOOKUP(ППД5!BZ67,Реестр_Д5[Стоимость ОН без отделки со скидкой],1,0)</f>
        <v>5688900</v>
      </c>
      <c r="T70" s="612" cm="1">
        <f t="array" ref="T70">IFERROR(INDEX(РД[Стоимость без отделки итог],MATCH($Q$3&amp;Таблица10[[#This Row],[№]]&amp;"Продажа",РД[Дом]&amp;РД[№ кв]&amp;РД[Состояние],0),1),Таблица10[[#This Row],[Статус]])</f>
        <v>5688900</v>
      </c>
      <c r="U70" s="235">
        <f>IFERROR((Таблица10[[#This Row],[ПП]]-Таблица10[[#This Row],[ДДУ]])*1,)</f>
        <v>0</v>
      </c>
      <c r="V70" s="235" cm="1">
        <f t="array" ref="V70">IFERROR(INDEX(РД[Стоимость с отделкой итог],MATCH($Q$3&amp;Таблица10[[#This Row],[№]]&amp;"Продажа",РД[Дом]&amp;РД[№ кв]&amp;РД[Состояние],0),1),Таблица10[[#This Row],[Статус]])</f>
        <v>5688900</v>
      </c>
      <c r="W70" s="235">
        <f>_xlfn.XLOOKUP(Таблица10[[#This Row],[№]],Реестр_Д5[№],Реестр_Д5[Стоимость квартиры с отделкой],"-",0)</f>
        <v>5688900</v>
      </c>
      <c r="X70" s="235">
        <f>IFERROR(Таблица10[[#This Row],[СО ПП]]-Таблица10[[#This Row],[СО ДДУ]],"")</f>
        <v>0</v>
      </c>
      <c r="Y70" s="233" cm="1">
        <f t="array" ref="Y70">IFERROR(INDEX(РД[S],MATCH($Q$3&amp;Таблица10[[#This Row],[№]]&amp;"Продажа",РД[Дом]&amp;РД[№ кв]&amp;РД[Состояние],0),1),Таблица10[[#This Row],[Статус]])</f>
        <v>59.09</v>
      </c>
      <c r="Z70" s="233">
        <f>IF(Таблица10[[#This Row],[№]]&amp;"ДДУ"=ППД5!A67&amp;ППД5!CR67,ППД5!U67,ППД5!V67)</f>
        <v>59.09</v>
      </c>
      <c r="AA70" s="285">
        <f>IFERROR(Таблица10[[#This Row],[S ПП]]-Таблица10[[#This Row],[S ДДУ]],)</f>
        <v>0</v>
      </c>
      <c r="AB70" s="235">
        <f>ROUND(_xlfn.XLOOKUP(Таблица10[[#This Row],[№]],Реестр_Д5[№],Реестр_Д5[Итоговая сумма скидки],"",0),2)</f>
        <v>116100</v>
      </c>
      <c r="AC70" s="235" cm="1">
        <f t="array" ref="AC70">IFERROR(ROUND(_xlfn.XLOOKUP($Q$3&amp;Таблица10[[#This Row],[№]]&amp;"Продажа",РД[Дом]&amp;РД[№ кв]&amp;РД[Состояние],РД[Сумма скидки],"",0,-1),2),Таблица10[[#This Row],[Статус]])</f>
        <v>116100</v>
      </c>
      <c r="AD70" s="285">
        <f>IFERROR(Таблица10[[#This Row],[ППС]]-Таблица10[[#This Row],[ДДУС]],)</f>
        <v>0</v>
      </c>
      <c r="AE70" s="611"/>
      <c r="AF70" s="615">
        <f>VLOOKUP(ППД401!A67,Д401[],1,0)</f>
        <v>66</v>
      </c>
      <c r="AG70" s="234" t="str">
        <f>_xlfn.XLOOKUP(Таблица1[[#This Row],[№]],Д401[№],Д401[Статус],"-",0)</f>
        <v>Продажа</v>
      </c>
      <c r="AH70" s="612">
        <f>_xlfn.XLOOKUP(Таблица1[[#This Row],[№]],Д401[№],Д401[Стоимость ОН без отделки со скидкой],"-",0)</f>
        <v>6268080</v>
      </c>
      <c r="AI70" s="612" cm="1">
        <f t="array" ref="AI70">IFERROR(INDEX(РД[Стоимость без отделки итог],MATCH($AF$3&amp;Таблица1[[#This Row],[№]]&amp;"Продажа",РД[Дом]&amp;РД[№ кв]&amp;РД[Состояние],0),1),Таблица1[[#This Row],[Статус]])</f>
        <v>6268080</v>
      </c>
      <c r="AJ70" s="235">
        <f>IFERROR((Таблица1[[#This Row],[ПП]]-Таблица1[[#This Row],[ДДУ]])*1,"")</f>
        <v>0</v>
      </c>
      <c r="AK70" s="235" cm="1">
        <f t="array" ref="AK70">IFERROR(INDEX(РД[Стоимость с отделкой итог],MATCH($AF$3&amp;Таблица1[[#This Row],[№]]&amp;"Продажа",РД[Дом]&amp;РД[№ кв]&amp;РД[Состояние],0),1),Таблица1[[#This Row],[Статус]])</f>
        <v>6268080</v>
      </c>
      <c r="AL70" s="235">
        <f>_xlfn.XLOOKUP(Таблица1[[#This Row],[№]],Д401[№],Д401[Стоимость квартиры с отделкой],"-",0)</f>
        <v>6268080</v>
      </c>
      <c r="AM70" s="235">
        <f>IFERROR(Таблица1[[#This Row],[СО ПП]]-Таблица1[[#This Row],[СО ДДУ]],"")</f>
        <v>0</v>
      </c>
      <c r="AN70" s="233" cm="1">
        <f t="array" ref="AN70">IFERROR(INDEX(РД[S],MATCH($AF$3&amp;Таблица1[[#This Row],[№]]&amp;"Продажа",РД[Дом]&amp;РД[№ кв]&amp;РД[Состояние],0),1),Таблица1[[#This Row],[Статус]])</f>
        <v>49.2</v>
      </c>
      <c r="AO70" s="233">
        <f>_xlfn.XLOOKUP(Таблица1[[#This Row],[№]],Д401[№],Д401[Расчетная проектная площадь],"-",0)</f>
        <v>49.39</v>
      </c>
      <c r="AP70" s="680">
        <f>IFERROR(Таблица1[[#This Row],[S ПП]]-Таблица1[[#This Row],[S ДДУ]],"")</f>
        <v>0.18999999999999773</v>
      </c>
      <c r="AQ70" s="235">
        <f>_xlfn.XLOOKUP(Таблица1[[#This Row],[№]],Д401[№],Д401[Итоговая сумма скидки],"-",0)</f>
        <v>127920</v>
      </c>
      <c r="AR70" s="235" cm="1">
        <f t="array" ref="AR70">IFERROR(ROUND(_xlfn.XLOOKUP($AF$3&amp;Таблица1[[#This Row],[№]]&amp;"Продажа",РД[Дом]&amp;РД[№ кв]&amp;РД[Состояние],РД[Сумма скидки],"",0),2),Таблица1[[#This Row],[Статус]])</f>
        <v>127920</v>
      </c>
      <c r="AS70" s="285">
        <f>IFERROR(Таблица1[[#This Row],[ППС]]-Таблица1[[#This Row],[ДДУС]],"")</f>
        <v>0</v>
      </c>
      <c r="AT70" s="611"/>
      <c r="AU70" s="484">
        <f>VLOOKUP(ППД402!A67,Д402[],1,0)</f>
        <v>66</v>
      </c>
      <c r="AV70" s="484" t="str">
        <f>_xlfn.XLOOKUP(Т402[[#This Row],[№]],Д402[№],Д402[Статус],"-",0)</f>
        <v>Стр. Резерв</v>
      </c>
      <c r="AW70" s="613">
        <f>_xlfn.XLOOKUP(Т402[[#This Row],[№]],Д402[№],Д402[Стоимость ОН без отделки со скидкой],"-",0)</f>
        <v>5861700</v>
      </c>
      <c r="AX70" s="614" t="str" cm="1">
        <f t="array" ref="AX7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0" s="485" t="str">
        <f>IFERROR((Т402[[#This Row],[ПП]]-Т402[[#This Row],[ДДУ]])*1,"")</f>
        <v/>
      </c>
      <c r="AZ70" s="486" t="str" cm="1">
        <f t="array" ref="AZ7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0" s="485">
        <f>_xlfn.XLOOKUP(Т402[[#This Row],[№]],Д402[№],Д402[Стоимость квартиры с отделкой],"-",0)</f>
        <v>5861700</v>
      </c>
      <c r="BB70" s="485" t="str">
        <f>IFERROR(Т402[[#This Row],[СО ПП]]-Т402[[#This Row],[СО ДДУ]],"")</f>
        <v/>
      </c>
      <c r="BC70" s="487" t="str" cm="1">
        <f t="array" ref="BC70">IFERROR(INDEX(РД[S],MATCH($AU$3&amp;Т402[[#This Row],[№]]&amp;"Продажа",РД[Дом]&amp;РД[№ кв]&amp;РД[Состояние],0),1),Т402[[#This Row],[Статус]])</f>
        <v>Стр. Резерв</v>
      </c>
      <c r="BD70" s="483">
        <f>_xlfn.XLOOKUP(Т402[[#This Row],[№]],Д402[№],Д402[Расчетная проектная площадь],"-",0)</f>
        <v>45.18</v>
      </c>
      <c r="BE70" s="485" t="str">
        <f>IFERROR(Т402[[#This Row],[S ПП]]-Т402[[#This Row],[S ДДУ]],"")</f>
        <v/>
      </c>
      <c r="BF70" s="485">
        <f>_xlfn.XLOOKUP(Т402[[#This Row],[№]],Д402[№],Д402[Итоговая сумма скидки],"-",0)</f>
        <v>0</v>
      </c>
      <c r="BG70" s="486" t="str" cm="1">
        <f t="array" ref="BG7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0" s="488" t="str">
        <f>IFERROR(Т402[[#This Row],[ППС]]-Т402[[#This Row],[ДДУС]],"")</f>
        <v/>
      </c>
    </row>
    <row r="71" spans="1:60" x14ac:dyDescent="0.2">
      <c r="A71" s="611"/>
      <c r="B71" s="234">
        <f>VLOOKUP(ППД4!A68,Реестр_Д4[№],1,0)</f>
        <v>67</v>
      </c>
      <c r="C71" s="234" t="str">
        <f>VLOOKUP(ППД4!CO68,Реестр_Д4[Статус],1,0)</f>
        <v>Продажа</v>
      </c>
      <c r="D71" s="612">
        <f>VLOOKUP(ППД4!CE68,Реестр_Д4[Стоимость ОН без отделки со скидкой],1,0)</f>
        <v>3087078.02</v>
      </c>
      <c r="E71" s="612" cm="1">
        <f t="array" ref="E71">IFERROR(INDEX(РД[Стоимость без отделки итог],MATCH($B$3&amp;Таблица4[[#This Row],[№]]&amp;"Продажа",РД[Дом]&amp;РД[№ кв]&amp;РД[Состояние],0),1),Таблица4[[#This Row],[Статус]])</f>
        <v>3087078.02</v>
      </c>
      <c r="F71" s="235">
        <f>IFERROR((Таблица4[[#This Row],[ПП]]-Таблица4[[#This Row],[ДДУ]])*1,"")</f>
        <v>0</v>
      </c>
      <c r="G71" s="235" cm="1">
        <f t="array" ref="G71">IFERROR(INDEX(РД[Стоимость с отделкой итог],MATCH($B$3&amp;Таблица4[[#This Row],[№]]&amp;"Продажа",РД[Дом]&amp;РД[№ кв]&amp;РД[Состояние],0),1),Таблица4[[#This Row],[Статус]])</f>
        <v>3229238.02</v>
      </c>
      <c r="H71" s="235">
        <f>_xlfn.XLOOKUP(Таблица4[[#This Row],[№]],Реестр_Д4[№],Реестр_Д4[Стоимость квартиры с отделкой],"-",0)</f>
        <v>3229238.02</v>
      </c>
      <c r="I71" s="235">
        <f>IFERROR(Таблица4[[#This Row],[СО ПП]]-Таблица4[[#This Row],[СО ДДУ]],"")</f>
        <v>0</v>
      </c>
      <c r="J71" s="233" cm="1">
        <f t="array" ref="J71">IFERROR(INDEX(РД[S],MATCH($B$3&amp;Таблица4[[#This Row],[№]]&amp;"Продажа",РД[Дом]&amp;РД[№ кв]&amp;РД[Состояние],0),1),Таблица4[[#This Row],[Статус]])</f>
        <v>35.54</v>
      </c>
      <c r="K71" s="233">
        <f>VLOOKUP(Таблица4[[#This Row],[№]],Реестр_Д4[],20,0)</f>
        <v>35.54</v>
      </c>
      <c r="L71" s="235">
        <f>IFERROR(Таблица4[[#This Row],[S ПП]]-Таблица4[[#This Row],[S ДДУ]],)</f>
        <v>0</v>
      </c>
      <c r="M71" s="235">
        <f>ROUND(_xlfn.XLOOKUP(Таблица4[[#This Row],[№]],Реестр_Д4[№],Реестр_Д4[Итоговая сумма скидки],"",0),2)</f>
        <v>60000</v>
      </c>
      <c r="N71" s="235" cm="1">
        <f t="array" ref="N71">IFERROR(ROUND(_xlfn.XLOOKUP($B$3&amp;Таблица4[[#This Row],[№]]&amp;"Продажа",РД[Дом]&amp;РД[№ кв]&amp;РД[Состояние],РД[Сумма скидки],"",0),2),Таблица4[[#This Row],[Статус]])</f>
        <v>60000</v>
      </c>
      <c r="O71" s="235">
        <f>IFERROR(Таблица4[[#This Row],[ППС]]-Таблица4[[#This Row],[ДДУС]],)</f>
        <v>0</v>
      </c>
      <c r="P71" s="611"/>
      <c r="Q71" s="234">
        <f>VLOOKUP(ППД5!A68,Реестр_Д5[№],1,0)</f>
        <v>67</v>
      </c>
      <c r="R71" s="234" t="str">
        <f>VLOOKUP(ППД5!CH68,Реестр_Д5[Статус],1,0)</f>
        <v>Продажа</v>
      </c>
      <c r="S71" s="612">
        <f>VLOOKUP(ППД5!BZ68,Реестр_Д5[Стоимость ОН без отделки со скидкой],1,0)</f>
        <v>6997980</v>
      </c>
      <c r="T71" s="612" cm="1">
        <f t="array" ref="T71">IFERROR(INDEX(РД[Стоимость без отделки итог],MATCH($Q$3&amp;Таблица10[[#This Row],[№]]&amp;"Продажа",РД[Дом]&amp;РД[№ кв]&amp;РД[Состояние],0),1),Таблица10[[#This Row],[Статус]])</f>
        <v>6997980</v>
      </c>
      <c r="U71" s="235">
        <f>IFERROR((Таблица10[[#This Row],[ПП]]-Таблица10[[#This Row],[ДДУ]])*1,)</f>
        <v>0</v>
      </c>
      <c r="V71" s="235" cm="1">
        <f t="array" ref="V71">IFERROR(INDEX(РД[Стоимость с отделкой итог],MATCH($Q$3&amp;Таблица10[[#This Row],[№]]&amp;"Продажа",РД[Дом]&amp;РД[№ кв]&amp;РД[Состояние],0),1),Таблица10[[#This Row],[Статус]])</f>
        <v>6997980</v>
      </c>
      <c r="W71" s="235">
        <f>_xlfn.XLOOKUP(Таблица10[[#This Row],[№]],Реестр_Д5[№],Реестр_Д5[Стоимость квартиры с отделкой],"-",0)</f>
        <v>6997980</v>
      </c>
      <c r="X71" s="235">
        <f>IFERROR(Таблица10[[#This Row],[СО ПП]]-Таблица10[[#This Row],[СО ДДУ]],"")</f>
        <v>0</v>
      </c>
      <c r="Y71" s="233" cm="1">
        <f t="array" ref="Y71">IFERROR(INDEX(РД[S],MATCH($Q$3&amp;Таблица10[[#This Row],[№]]&amp;"Продажа",РД[Дом]&amp;РД[№ кв]&amp;РД[Состояние],0),1),Таблица10[[#This Row],[Статус]])</f>
        <v>61.45</v>
      </c>
      <c r="Z71" s="233">
        <f>IF(Таблица10[[#This Row],[№]]&amp;"ДДУ"=ППД5!A68&amp;ППД5!CR68,ППД5!U68,ППД5!V68)</f>
        <v>61.45</v>
      </c>
      <c r="AA71" s="285">
        <f>IFERROR(Таблица10[[#This Row],[S ПП]]-Таблица10[[#This Row],[S ДДУ]],)</f>
        <v>0</v>
      </c>
      <c r="AB71" s="235">
        <f>ROUND(_xlfn.XLOOKUP(Таблица10[[#This Row],[№]],Реестр_Д5[№],Реестр_Д5[Итоговая сумма скидки],"",0),2)</f>
        <v>636820</v>
      </c>
      <c r="AC71" s="235" cm="1">
        <f t="array" ref="AC71">IFERROR(ROUND(_xlfn.XLOOKUP($Q$3&amp;Таблица10[[#This Row],[№]]&amp;"Продажа",РД[Дом]&amp;РД[№ кв]&amp;РД[Состояние],РД[Сумма скидки],"",0,-1),2),Таблица10[[#This Row],[Статус]])</f>
        <v>636820</v>
      </c>
      <c r="AD71" s="285">
        <f>IFERROR(Таблица10[[#This Row],[ППС]]-Таблица10[[#This Row],[ДДУС]],)</f>
        <v>0</v>
      </c>
      <c r="AE71" s="611"/>
      <c r="AF71" s="615">
        <f>VLOOKUP(ППД401!A68,Д401[],1,0)</f>
        <v>67</v>
      </c>
      <c r="AG71" s="234" t="str">
        <f>_xlfn.XLOOKUP(Таблица1[[#This Row],[№]],Д401[№],Д401[Статус],"-",0)</f>
        <v>Стр. Резерв</v>
      </c>
      <c r="AH71" s="612">
        <f>_xlfn.XLOOKUP(Таблица1[[#This Row],[№]],Д401[№],Д401[Стоимость ОН без отделки со скидкой],"-",0)</f>
        <v>9702500</v>
      </c>
      <c r="AI71" s="612" t="str" cm="1">
        <f t="array" ref="AI71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1" s="235" t="str">
        <f>IFERROR((Таблица1[[#This Row],[ПП]]-Таблица1[[#This Row],[ДДУ]])*1,"")</f>
        <v/>
      </c>
      <c r="AK71" s="235" t="str" cm="1">
        <f t="array" ref="AK71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1" s="235">
        <f>_xlfn.XLOOKUP(Таблица1[[#This Row],[№]],Д401[№],Д401[Стоимость квартиры с отделкой],"-",0)</f>
        <v>9702500</v>
      </c>
      <c r="AM71" s="235" t="str">
        <f>IFERROR(Таблица1[[#This Row],[СО ПП]]-Таблица1[[#This Row],[СО ДДУ]],"")</f>
        <v/>
      </c>
      <c r="AN71" s="233" t="str" cm="1">
        <f t="array" ref="AN71">IFERROR(INDEX(РД[S],MATCH($AF$3&amp;Таблица1[[#This Row],[№]]&amp;"Продажа",РД[Дом]&amp;РД[№ кв]&amp;РД[Состояние],0),1),Таблица1[[#This Row],[Статус]])</f>
        <v>Стр. Резерв</v>
      </c>
      <c r="AO71" s="233">
        <f>_xlfn.XLOOKUP(Таблица1[[#This Row],[№]],Д401[№],Д401[Расчетная проектная площадь],"-",0)</f>
        <v>77.62</v>
      </c>
      <c r="AP71" s="235" t="str">
        <f>IFERROR(Таблица1[[#This Row],[S ПП]]-Таблица1[[#This Row],[S ДДУ]],"")</f>
        <v/>
      </c>
      <c r="AQ71" s="235">
        <f>_xlfn.XLOOKUP(Таблица1[[#This Row],[№]],Д401[№],Д401[Итоговая сумма скидки],"-",0)</f>
        <v>0</v>
      </c>
      <c r="AR71" s="235" t="str" cm="1">
        <f t="array" ref="AR71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1" s="285" t="str">
        <f>IFERROR(Таблица1[[#This Row],[ППС]]-Таблица1[[#This Row],[ДДУС]],"")</f>
        <v/>
      </c>
      <c r="AT71" s="611"/>
      <c r="AU71" s="484">
        <f>VLOOKUP(ППД402!A68,Д402[],1,0)</f>
        <v>67</v>
      </c>
      <c r="AV71" s="484" t="str">
        <f>_xlfn.XLOOKUP(Т402[[#This Row],[№]],Д402[№],Д402[Статус],"-",0)</f>
        <v>Свободно</v>
      </c>
      <c r="AW71" s="613">
        <f>_xlfn.XLOOKUP(Т402[[#This Row],[№]],Д402[№],Д402[Стоимость ОН без отделки со скидкой],"-",0)</f>
        <v>4181300</v>
      </c>
      <c r="AX71" s="614" t="str" cm="1">
        <f t="array" ref="AX7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71" s="485" t="str">
        <f>IFERROR((Т402[[#This Row],[ПП]]-Т402[[#This Row],[ДДУ]])*1,"")</f>
        <v/>
      </c>
      <c r="AZ71" s="486" t="str" cm="1">
        <f t="array" ref="AZ7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71" s="485">
        <f>_xlfn.XLOOKUP(Т402[[#This Row],[№]],Д402[№],Д402[Стоимость квартиры с отделкой],"-",0)</f>
        <v>4181299.9999999991</v>
      </c>
      <c r="BB71" s="485" t="str">
        <f>IFERROR(Т402[[#This Row],[СО ПП]]-Т402[[#This Row],[СО ДДУ]],"")</f>
        <v/>
      </c>
      <c r="BC71" s="487" t="str" cm="1">
        <f t="array" ref="BC71">IFERROR(INDEX(РД[S],MATCH($AU$3&amp;Т402[[#This Row],[№]]&amp;"Продажа",РД[Дом]&amp;РД[№ кв]&amp;РД[Состояние],0),1),Т402[[#This Row],[Статус]])</f>
        <v>Свободно</v>
      </c>
      <c r="BD71" s="483">
        <f>_xlfn.XLOOKUP(Т402[[#This Row],[№]],Д402[№],Д402[Расчетная проектная площадь],"-",0)</f>
        <v>29.62</v>
      </c>
      <c r="BE71" s="485" t="str">
        <f>IFERROR(Т402[[#This Row],[S ПП]]-Т402[[#This Row],[S ДДУ]],"")</f>
        <v/>
      </c>
      <c r="BF71" s="485">
        <f>_xlfn.XLOOKUP(Т402[[#This Row],[№]],Д402[№],Д402[Итоговая сумма скидки],"-",0)</f>
        <v>0</v>
      </c>
      <c r="BG71" s="486" t="str" cm="1">
        <f t="array" ref="BG7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71" s="488" t="str">
        <f>IFERROR(Т402[[#This Row],[ППС]]-Т402[[#This Row],[ДДУС]],"")</f>
        <v/>
      </c>
    </row>
    <row r="72" spans="1:60" x14ac:dyDescent="0.2">
      <c r="A72" s="611"/>
      <c r="B72" s="234">
        <f>VLOOKUP(ППД4!A69,Реестр_Д4[№],1,0)</f>
        <v>68</v>
      </c>
      <c r="C72" s="234" t="str">
        <f>VLOOKUP(ППД4!CO69,Реестр_Д4[Статус],1,0)</f>
        <v>Продажа</v>
      </c>
      <c r="D72" s="612">
        <f>VLOOKUP(ППД4!CE69,Реестр_Д4[Стоимость ОН без отделки со скидкой],1,0)</f>
        <v>5063029.93</v>
      </c>
      <c r="E72" s="612" cm="1">
        <f t="array" ref="E72">IFERROR(INDEX(РД[Стоимость без отделки итог],MATCH($B$3&amp;Таблица4[[#This Row],[№]]&amp;"Продажа",РД[Дом]&amp;РД[№ кв]&amp;РД[Состояние],0),1),Таблица4[[#This Row],[Статус]])</f>
        <v>5063029.93</v>
      </c>
      <c r="F72" s="235">
        <f>IFERROR((Таблица4[[#This Row],[ПП]]-Таблица4[[#This Row],[ДДУ]])*1,"")</f>
        <v>0</v>
      </c>
      <c r="G72" s="235" cm="1">
        <f t="array" ref="G72">IFERROR(INDEX(РД[Стоимость с отделкой итог],MATCH($B$3&amp;Таблица4[[#This Row],[№]]&amp;"Продажа",РД[Дом]&amp;РД[№ кв]&amp;РД[Состояние],0),1),Таблица4[[#This Row],[Статус]])</f>
        <v>5483254.9299999997</v>
      </c>
      <c r="H72" s="235">
        <f>_xlfn.XLOOKUP(Таблица4[[#This Row],[№]],Реестр_Д4[№],Реестр_Д4[Стоимость квартиры с отделкой],"-",0)</f>
        <v>5483254.9299999997</v>
      </c>
      <c r="I72" s="235">
        <f>IFERROR(Таблица4[[#This Row],[СО ПП]]-Таблица4[[#This Row],[СО ДДУ]],"")</f>
        <v>0</v>
      </c>
      <c r="J72" s="233" cm="1">
        <f t="array" ref="J72">IFERROR(INDEX(РД[S],MATCH($B$3&amp;Таблица4[[#This Row],[№]]&amp;"Продажа",РД[Дом]&amp;РД[№ кв]&amp;РД[Состояние],0),1),Таблица4[[#This Row],[Статус]])</f>
        <v>56.03</v>
      </c>
      <c r="K72" s="233">
        <f>VLOOKUP(Таблица4[[#This Row],[№]],Реестр_Д4[],20,0)</f>
        <v>56.03</v>
      </c>
      <c r="L72" s="235">
        <f>IFERROR(Таблица4[[#This Row],[S ПП]]-Таблица4[[#This Row],[S ДДУ]],)</f>
        <v>0</v>
      </c>
      <c r="M72" s="235">
        <f>ROUND(_xlfn.XLOOKUP(Таблица4[[#This Row],[№]],Реестр_Д4[№],Реестр_Д4[Итоговая сумма скидки],"",0),2)</f>
        <v>0</v>
      </c>
      <c r="N72" s="235" cm="1">
        <f t="array" ref="N7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2" s="235">
        <f>IFERROR(Таблица4[[#This Row],[ППС]]-Таблица4[[#This Row],[ДДУС]],)</f>
        <v>0</v>
      </c>
      <c r="P72" s="611"/>
      <c r="Q72" s="234">
        <f>VLOOKUP(ППД5!A69,Реестр_Д5[№],1,0)</f>
        <v>68</v>
      </c>
      <c r="R72" s="234" t="str">
        <f>VLOOKUP(ППД5!CH69,Реестр_Д5[Статус],1,0)</f>
        <v>Продажа</v>
      </c>
      <c r="S72" s="612">
        <f>VLOOKUP(ППД5!BZ69,Реестр_Д5[Стоимость ОН без отделки со скидкой],1,0)</f>
        <v>5653800</v>
      </c>
      <c r="T72" s="612" cm="1">
        <f t="array" ref="T72">IFERROR(INDEX(РД[Стоимость без отделки итог],MATCH($Q$3&amp;Таблица10[[#This Row],[№]]&amp;"Продажа",РД[Дом]&amp;РД[№ кв]&amp;РД[Состояние],0),1),Таблица10[[#This Row],[Статус]])</f>
        <v>5653800</v>
      </c>
      <c r="U72" s="235">
        <f>IFERROR((Таблица10[[#This Row],[ПП]]-Таблица10[[#This Row],[ДДУ]])*1,)</f>
        <v>0</v>
      </c>
      <c r="V72" s="235" cm="1">
        <f t="array" ref="V72">IFERROR(INDEX(РД[Стоимость с отделкой итог],MATCH($Q$3&amp;Таблица10[[#This Row],[№]]&amp;"Продажа",РД[Дом]&amp;РД[№ кв]&amp;РД[Состояние],0),1),Таблица10[[#This Row],[Статус]])</f>
        <v>6817000</v>
      </c>
      <c r="W72" s="235">
        <f>_xlfn.XLOOKUP(Таблица10[[#This Row],[№]],Реестр_Д5[№],Реестр_Д5[Стоимость квартиры с отделкой],"-",0)</f>
        <v>6817000</v>
      </c>
      <c r="X72" s="235">
        <f>IFERROR(Таблица10[[#This Row],[СО ПП]]-Таблица10[[#This Row],[СО ДДУ]],"")</f>
        <v>0</v>
      </c>
      <c r="Y72" s="233" cm="1">
        <f t="array" ref="Y72">IFERROR(INDEX(РД[S],MATCH($Q$3&amp;Таблица10[[#This Row],[№]]&amp;"Продажа",РД[Дом]&amp;РД[№ кв]&amp;РД[Состояние],0),1),Таблица10[[#This Row],[Статус]])</f>
        <v>58.16</v>
      </c>
      <c r="Z72" s="233">
        <f>IF(Таблица10[[#This Row],[№]]&amp;"ДДУ"=ППД5!A69&amp;ППД5!CR69,ППД5!U69,ППД5!V69)</f>
        <v>58.16</v>
      </c>
      <c r="AA72" s="285">
        <f>IFERROR(Таблица10[[#This Row],[S ПП]]-Таблица10[[#This Row],[S ДДУ]],)</f>
        <v>0</v>
      </c>
      <c r="AB72" s="235">
        <f>ROUND(_xlfn.XLOOKUP(Таблица10[[#This Row],[№]],Реестр_Д5[№],Реестр_Д5[Итоговая сумма скидки],"",0),2)</f>
        <v>0</v>
      </c>
      <c r="AC72" s="235" cm="1">
        <f t="array" ref="AC7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72" s="285">
        <f>IFERROR(Таблица10[[#This Row],[ППС]]-Таблица10[[#This Row],[ДДУС]],)</f>
        <v>0</v>
      </c>
      <c r="AE72" s="611"/>
      <c r="AF72" s="615">
        <f>VLOOKUP(ППД401!A69,Д401[],1,0)</f>
        <v>68</v>
      </c>
      <c r="AG72" s="234" t="str">
        <f>_xlfn.XLOOKUP(Таблица1[[#This Row],[№]],Д401[№],Д401[Статус],"-",0)</f>
        <v>Стр. Резерв</v>
      </c>
      <c r="AH72" s="612">
        <f>_xlfn.XLOOKUP(Таблица1[[#This Row],[№]],Д401[№],Д401[Стоимость ОН без отделки со скидкой],"-",0)</f>
        <v>7153750</v>
      </c>
      <c r="AI72" s="612" t="str" cm="1">
        <f t="array" ref="AI72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2" s="235" t="str">
        <f>IFERROR((Таблица1[[#This Row],[ПП]]-Таблица1[[#This Row],[ДДУ]])*1,"")</f>
        <v/>
      </c>
      <c r="AK72" s="235" t="str" cm="1">
        <f t="array" ref="AK72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2" s="235">
        <f>_xlfn.XLOOKUP(Таблица1[[#This Row],[№]],Д401[№],Д401[Стоимость квартиры с отделкой],"-",0)</f>
        <v>7153750</v>
      </c>
      <c r="AM72" s="235" t="str">
        <f>IFERROR(Таблица1[[#This Row],[СО ПП]]-Таблица1[[#This Row],[СО ДДУ]],"")</f>
        <v/>
      </c>
      <c r="AN72" s="233" t="str" cm="1">
        <f t="array" ref="AN72">IFERROR(INDEX(РД[S],MATCH($AF$3&amp;Таблица1[[#This Row],[№]]&amp;"Продажа",РД[Дом]&amp;РД[№ кв]&amp;РД[Состояние],0),1),Таблица1[[#This Row],[Статус]])</f>
        <v>Стр. Резерв</v>
      </c>
      <c r="AO72" s="233">
        <f>_xlfn.XLOOKUP(Таблица1[[#This Row],[№]],Д401[№],Д401[Расчетная проектная площадь],"-",0)</f>
        <v>57.23</v>
      </c>
      <c r="AP72" s="235" t="str">
        <f>IFERROR(Таблица1[[#This Row],[S ПП]]-Таблица1[[#This Row],[S ДДУ]],"")</f>
        <v/>
      </c>
      <c r="AQ72" s="235">
        <f>_xlfn.XLOOKUP(Таблица1[[#This Row],[№]],Д401[№],Д401[Итоговая сумма скидки],"-",0)</f>
        <v>0</v>
      </c>
      <c r="AR72" s="235" t="str" cm="1">
        <f t="array" ref="AR72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2" s="285" t="str">
        <f>IFERROR(Таблица1[[#This Row],[ППС]]-Таблица1[[#This Row],[ДДУС]],"")</f>
        <v/>
      </c>
      <c r="AT72" s="611"/>
      <c r="AU72" s="484">
        <f>VLOOKUP(ППД402!A69,Д402[],1,0)</f>
        <v>68</v>
      </c>
      <c r="AV72" s="484" t="str">
        <f>_xlfn.XLOOKUP(Т402[[#This Row],[№]],Д402[№],Д402[Статус],"-",0)</f>
        <v>Стр. Резерв</v>
      </c>
      <c r="AW72" s="613">
        <f>_xlfn.XLOOKUP(Т402[[#This Row],[№]],Д402[№],Д402[Стоимость ОН без отделки со скидкой],"-",0)</f>
        <v>7520500</v>
      </c>
      <c r="AX72" s="614" t="str" cm="1">
        <f t="array" ref="AX7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2" s="485" t="str">
        <f>IFERROR((Т402[[#This Row],[ПП]]-Т402[[#This Row],[ДДУ]])*1,"")</f>
        <v/>
      </c>
      <c r="AZ72" s="486" t="str" cm="1">
        <f t="array" ref="AZ7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2" s="485">
        <f>_xlfn.XLOOKUP(Т402[[#This Row],[№]],Д402[№],Д402[Стоимость квартиры с отделкой],"-",0)</f>
        <v>7520500</v>
      </c>
      <c r="BB72" s="485" t="str">
        <f>IFERROR(Т402[[#This Row],[СО ПП]]-Т402[[#This Row],[СО ДДУ]],"")</f>
        <v/>
      </c>
      <c r="BC72" s="487" t="str" cm="1">
        <f t="array" ref="BC72">IFERROR(INDEX(РД[S],MATCH($AU$3&amp;Т402[[#This Row],[№]]&amp;"Продажа",РД[Дом]&amp;РД[№ кв]&amp;РД[Состояние],0),1),Т402[[#This Row],[Статус]])</f>
        <v>Стр. Резерв</v>
      </c>
      <c r="BD72" s="483">
        <f>_xlfn.XLOOKUP(Т402[[#This Row],[№]],Д402[№],Д402[Расчетная проектная площадь],"-",0)</f>
        <v>60.02</v>
      </c>
      <c r="BE72" s="485" t="str">
        <f>IFERROR(Т402[[#This Row],[S ПП]]-Т402[[#This Row],[S ДДУ]],"")</f>
        <v/>
      </c>
      <c r="BF72" s="485">
        <f>_xlfn.XLOOKUP(Т402[[#This Row],[№]],Д402[№],Д402[Итоговая сумма скидки],"-",0)</f>
        <v>0</v>
      </c>
      <c r="BG72" s="486" t="str" cm="1">
        <f t="array" ref="BG7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2" s="488" t="str">
        <f>IFERROR(Т402[[#This Row],[ППС]]-Т402[[#This Row],[ДДУС]],"")</f>
        <v/>
      </c>
    </row>
    <row r="73" spans="1:60" x14ac:dyDescent="0.2">
      <c r="A73" s="611"/>
      <c r="B73" s="234">
        <f>VLOOKUP(ППД4!A70,Реестр_Д4[№],1,0)</f>
        <v>69</v>
      </c>
      <c r="C73" s="234" t="str">
        <f>VLOOKUP(ППД4!CO70,Реестр_Д4[Статус],1,0)</f>
        <v>Продажа</v>
      </c>
      <c r="D73" s="612">
        <f>VLOOKUP(ППД4!CE70,Реестр_Д4[Стоимость ОН без отделки со скидкой],1,0)</f>
        <v>3891888.66</v>
      </c>
      <c r="E73" s="612" cm="1">
        <f t="array" ref="E73">IFERROR(INDEX(РД[Стоимость без отделки итог],MATCH($B$3&amp;Таблица4[[#This Row],[№]]&amp;"Продажа",РД[Дом]&amp;РД[№ кв]&amp;РД[Состояние],0),1),Таблица4[[#This Row],[Статус]])</f>
        <v>3891888.6600000011</v>
      </c>
      <c r="F73" s="235">
        <f>IFERROR((Таблица4[[#This Row],[ПП]]-Таблица4[[#This Row],[ДДУ]])*1,"")</f>
        <v>-9.3132257461547852E-10</v>
      </c>
      <c r="G73" s="235" cm="1">
        <f t="array" ref="G73">IFERROR(INDEX(РД[Стоимость с отделкой итог],MATCH($B$3&amp;Таблица4[[#This Row],[№]]&amp;"Продажа",РД[Дом]&amp;РД[№ кв]&amp;РД[Состояние],0),1),Таблица4[[#This Row],[Статус]])</f>
        <v>4110528.66</v>
      </c>
      <c r="H73" s="235">
        <f>_xlfn.XLOOKUP(Таблица4[[#This Row],[№]],Реестр_Д4[№],Реестр_Д4[Стоимость квартиры с отделкой],"-",0)</f>
        <v>4110528.66</v>
      </c>
      <c r="I73" s="235">
        <f>IFERROR(Таблица4[[#This Row],[СО ПП]]-Таблица4[[#This Row],[СО ДДУ]],"")</f>
        <v>0</v>
      </c>
      <c r="J73" s="233" cm="1">
        <f t="array" ref="J73">IFERROR(INDEX(РД[S],MATCH($B$3&amp;Таблица4[[#This Row],[№]]&amp;"Продажа",РД[Дом]&amp;РД[№ кв]&amp;РД[Состояние],0),1),Таблица4[[#This Row],[Статус]])</f>
        <v>54.66</v>
      </c>
      <c r="K73" s="233">
        <f>VLOOKUP(Таблица4[[#This Row],[№]],Реестр_Д4[],20,0)</f>
        <v>54.66</v>
      </c>
      <c r="L73" s="235">
        <f>IFERROR(Таблица4[[#This Row],[S ПП]]-Таблица4[[#This Row],[S ДДУ]],)</f>
        <v>0</v>
      </c>
      <c r="M73" s="235">
        <f>ROUND(_xlfn.XLOOKUP(Таблица4[[#This Row],[№]],Реестр_Д4[№],Реестр_Д4[Итоговая сумма скидки],"",0),2)</f>
        <v>204836.25</v>
      </c>
      <c r="N73" s="235" cm="1">
        <f t="array" ref="N73">IFERROR(ROUND(_xlfn.XLOOKUP($B$3&amp;Таблица4[[#This Row],[№]]&amp;"Продажа",РД[Дом]&amp;РД[№ кв]&amp;РД[Состояние],РД[Сумма скидки],"",0),2),Таблица4[[#This Row],[Статус]])</f>
        <v>204836.25</v>
      </c>
      <c r="O73" s="235">
        <f>IFERROR(Таблица4[[#This Row],[ППС]]-Таблица4[[#This Row],[ДДУС]],)</f>
        <v>0</v>
      </c>
      <c r="P73" s="611"/>
      <c r="Q73" s="234">
        <f>VLOOKUP(ППД5!A70,Реестр_Д5[№],1,0)</f>
        <v>69</v>
      </c>
      <c r="R73" s="234" t="str">
        <f>VLOOKUP(ППД5!CH70,Реестр_Д5[Статус],1,0)</f>
        <v>Продажа</v>
      </c>
      <c r="S73" s="612">
        <f>VLOOKUP(ППД5!BZ70,Реестр_Д5[Стоимость ОН без отделки со скидкой],1,0)</f>
        <v>5423200</v>
      </c>
      <c r="T73" s="612" cm="1">
        <f t="array" ref="T73">IFERROR(INDEX(РД[Стоимость без отделки итог],MATCH($Q$3&amp;Таблица10[[#This Row],[№]]&amp;"Продажа",РД[Дом]&amp;РД[№ кв]&amp;РД[Состояние],0),1),Таблица10[[#This Row],[Статус]])</f>
        <v>5423200</v>
      </c>
      <c r="U73" s="235">
        <f>IFERROR((Таблица10[[#This Row],[ПП]]-Таблица10[[#This Row],[ДДУ]])*1,)</f>
        <v>0</v>
      </c>
      <c r="V73" s="235" cm="1">
        <f t="array" ref="V73">IFERROR(INDEX(РД[Стоимость с отделкой итог],MATCH($Q$3&amp;Таблица10[[#This Row],[№]]&amp;"Продажа",РД[Дом]&amp;РД[№ кв]&amp;РД[Состояние],0),1),Таблица10[[#This Row],[Статус]])</f>
        <v>5423200</v>
      </c>
      <c r="W73" s="235">
        <f>_xlfn.XLOOKUP(Таблица10[[#This Row],[№]],Реестр_Д5[№],Реестр_Д5[Стоимость квартиры с отделкой],"-",0)</f>
        <v>5423200</v>
      </c>
      <c r="X73" s="235">
        <f>IFERROR(Таблица10[[#This Row],[СО ПП]]-Таблица10[[#This Row],[СО ДДУ]],"")</f>
        <v>0</v>
      </c>
      <c r="Y73" s="233" cm="1">
        <f t="array" ref="Y73">IFERROR(INDEX(РД[S],MATCH($Q$3&amp;Таблица10[[#This Row],[№]]&amp;"Продажа",РД[Дом]&amp;РД[№ кв]&amp;РД[Состояние],0),1),Таблица10[[#This Row],[Статус]])</f>
        <v>42.75</v>
      </c>
      <c r="Z73" s="233">
        <f>IF(Таблица10[[#This Row],[№]]&amp;"ДДУ"=ППД5!A70&amp;ППД5!CR70,ППД5!U70,ППД5!V70)</f>
        <v>42.75</v>
      </c>
      <c r="AA73" s="285">
        <f>IFERROR(Таблица10[[#This Row],[S ПП]]-Таблица10[[#This Row],[S ДДУ]],)</f>
        <v>0</v>
      </c>
      <c r="AB73" s="235">
        <f>ROUND(_xlfn.XLOOKUP(Таблица10[[#This Row],[№]],Реестр_Д5[№],Реестр_Д5[Итоговая сумма скидки],"",0),2)</f>
        <v>342000</v>
      </c>
      <c r="AC73" s="235" cm="1">
        <f t="array" ref="AC73">IFERROR(ROUND(_xlfn.XLOOKUP($Q$3&amp;Таблица10[[#This Row],[№]]&amp;"Продажа",РД[Дом]&amp;РД[№ кв]&amp;РД[Состояние],РД[Сумма скидки],"",0,-1),2),Таблица10[[#This Row],[Статус]])</f>
        <v>342000</v>
      </c>
      <c r="AD73" s="285">
        <f>IFERROR(Таблица10[[#This Row],[ППС]]-Таблица10[[#This Row],[ДДУС]],)</f>
        <v>0</v>
      </c>
      <c r="AE73" s="611"/>
      <c r="AF73" s="615">
        <f>VLOOKUP(ППД401!A70,Д401[],1,0)</f>
        <v>69</v>
      </c>
      <c r="AG73" s="234" t="str">
        <f>_xlfn.XLOOKUP(Таблица1[[#This Row],[№]],Д401[№],Д401[Статус],"-",0)</f>
        <v>Стр. Резерв</v>
      </c>
      <c r="AH73" s="612">
        <f>_xlfn.XLOOKUP(Таблица1[[#This Row],[№]],Д401[№],Д401[Стоимость ОН без отделки со скидкой],"-",0)</f>
        <v>5283300</v>
      </c>
      <c r="AI73" s="612" t="str" cm="1">
        <f t="array" ref="AI73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3" s="235" t="str">
        <f>IFERROR((Таблица1[[#This Row],[ПП]]-Таблица1[[#This Row],[ДДУ]])*1,"")</f>
        <v/>
      </c>
      <c r="AK73" s="235" t="str" cm="1">
        <f t="array" ref="AK73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3" s="235">
        <f>_xlfn.XLOOKUP(Таблица1[[#This Row],[№]],Д401[№],Д401[Стоимость квартиры с отделкой],"-",0)</f>
        <v>5283300</v>
      </c>
      <c r="AM73" s="235" t="str">
        <f>IFERROR(Таблица1[[#This Row],[СО ПП]]-Таблица1[[#This Row],[СО ДДУ]],"")</f>
        <v/>
      </c>
      <c r="AN73" s="233" t="str" cm="1">
        <f t="array" ref="AN73">IFERROR(INDEX(РД[S],MATCH($AF$3&amp;Таблица1[[#This Row],[№]]&amp;"Продажа",РД[Дом]&amp;РД[№ кв]&amp;РД[Состояние],0),1),Таблица1[[#This Row],[Статус]])</f>
        <v>Стр. Резерв</v>
      </c>
      <c r="AO73" s="233">
        <f>_xlfn.XLOOKUP(Таблица1[[#This Row],[№]],Д401[№],Д401[Расчетная проектная площадь],"-",0)</f>
        <v>38.340000000000003</v>
      </c>
      <c r="AP73" s="235" t="str">
        <f>IFERROR(Таблица1[[#This Row],[S ПП]]-Таблица1[[#This Row],[S ДДУ]],"")</f>
        <v/>
      </c>
      <c r="AQ73" s="235">
        <f>_xlfn.XLOOKUP(Таблица1[[#This Row],[№]],Д401[№],Д401[Итоговая сумма скидки],"-",0)</f>
        <v>0</v>
      </c>
      <c r="AR73" s="235" t="str" cm="1">
        <f t="array" ref="AR73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3" s="285" t="str">
        <f>IFERROR(Таблица1[[#This Row],[ППС]]-Таблица1[[#This Row],[ДДУС]],"")</f>
        <v/>
      </c>
      <c r="AT73" s="611"/>
      <c r="AU73" s="484">
        <f>VLOOKUP(ППД402!A70,Д402[],1,0)</f>
        <v>69</v>
      </c>
      <c r="AV73" s="484" t="str">
        <f>_xlfn.XLOOKUP(Т402[[#This Row],[№]],Д402[№],Д402[Статус],"-",0)</f>
        <v>Свободно</v>
      </c>
      <c r="AW73" s="613">
        <f>_xlfn.XLOOKUP(Т402[[#This Row],[№]],Д402[№],Д402[Стоимость ОН без отделки со скидкой],"-",0)</f>
        <v>6537200</v>
      </c>
      <c r="AX73" s="614" t="str" cm="1">
        <f t="array" ref="AX7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73" s="485" t="str">
        <f>IFERROR((Т402[[#This Row],[ПП]]-Т402[[#This Row],[ДДУ]])*1,"")</f>
        <v/>
      </c>
      <c r="AZ73" s="486" t="str" cm="1">
        <f t="array" ref="AZ7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73" s="485">
        <f>_xlfn.XLOOKUP(Т402[[#This Row],[№]],Д402[№],Д402[Стоимость квартиры с отделкой],"-",0)</f>
        <v>6537200</v>
      </c>
      <c r="BB73" s="485" t="str">
        <f>IFERROR(Т402[[#This Row],[СО ПП]]-Т402[[#This Row],[СО ДДУ]],"")</f>
        <v/>
      </c>
      <c r="BC73" s="487" t="str" cm="1">
        <f t="array" ref="BC73">IFERROR(INDEX(РД[S],MATCH($AU$3&amp;Т402[[#This Row],[№]]&amp;"Продажа",РД[Дом]&amp;РД[№ кв]&amp;РД[Состояние],0),1),Т402[[#This Row],[Статус]])</f>
        <v>Свободно</v>
      </c>
      <c r="BD73" s="483">
        <f>_xlfn.XLOOKUP(Т402[[#This Row],[№]],Д402[№],Д402[Расчетная проектная площадь],"-",0)</f>
        <v>54.76</v>
      </c>
      <c r="BE73" s="485" t="str">
        <f>IFERROR(Т402[[#This Row],[S ПП]]-Т402[[#This Row],[S ДДУ]],"")</f>
        <v/>
      </c>
      <c r="BF73" s="485">
        <f>_xlfn.XLOOKUP(Т402[[#This Row],[№]],Д402[№],Д402[Итоговая сумма скидки],"-",0)</f>
        <v>0</v>
      </c>
      <c r="BG73" s="486" t="str" cm="1">
        <f t="array" ref="BG7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73" s="488" t="str">
        <f>IFERROR(Т402[[#This Row],[ППС]]-Т402[[#This Row],[ДДУС]],"")</f>
        <v/>
      </c>
    </row>
    <row r="74" spans="1:60" x14ac:dyDescent="0.2">
      <c r="A74" s="611"/>
      <c r="B74" s="234">
        <f>VLOOKUP(ППД4!A71,Реестр_Д4[№],1,0)</f>
        <v>70</v>
      </c>
      <c r="C74" s="234" t="str">
        <f>VLOOKUP(ППД4!CO71,Реестр_Д4[Статус],1,0)</f>
        <v>Продажа</v>
      </c>
      <c r="D74" s="612">
        <f>VLOOKUP(ППД4!CE71,Реестр_Д4[Стоимость ОН без отделки со скидкой],1,0)</f>
        <v>5445990.7300000004</v>
      </c>
      <c r="E74" s="612" cm="1">
        <f t="array" ref="E74">IFERROR(INDEX(РД[Стоимость без отделки итог],MATCH($B$3&amp;Таблица4[[#This Row],[№]]&amp;"Продажа",РД[Дом]&amp;РД[№ кв]&amp;РД[Состояние],0),1),Таблица4[[#This Row],[Статус]])</f>
        <v>5445990.7300000004</v>
      </c>
      <c r="F74" s="235">
        <f>IFERROR((Таблица4[[#This Row],[ПП]]-Таблица4[[#This Row],[ДДУ]])*1,"")</f>
        <v>0</v>
      </c>
      <c r="G74" s="235" cm="1">
        <f t="array" ref="G74">IFERROR(INDEX(РД[Стоимость с отделкой итог],MATCH($B$3&amp;Таблица4[[#This Row],[№]]&amp;"Продажа",РД[Дом]&amp;РД[№ кв]&amp;РД[Состояние],0),1),Таблица4[[#This Row],[Статус]])</f>
        <v>6373975.7300000004</v>
      </c>
      <c r="H74" s="235">
        <f>_xlfn.XLOOKUP(Таблица4[[#This Row],[№]],Реестр_Д4[№],Реестр_Д4[Стоимость квартиры с отделкой],"-",0)</f>
        <v>6373975.7300000004</v>
      </c>
      <c r="I74" s="235">
        <f>IFERROR(Таблица4[[#This Row],[СО ПП]]-Таблица4[[#This Row],[СО ДДУ]],"")</f>
        <v>0</v>
      </c>
      <c r="J74" s="233" cm="1">
        <f t="array" ref="J74">IFERROR(INDEX(РД[S],MATCH($B$3&amp;Таблица4[[#This Row],[№]]&amp;"Продажа",РД[Дом]&amp;РД[№ кв]&amp;РД[Состояние],0),1),Таблица4[[#This Row],[Статус]])</f>
        <v>59.87</v>
      </c>
      <c r="K74" s="233">
        <f>VLOOKUP(Таблица4[[#This Row],[№]],Реестр_Д4[],20,0)</f>
        <v>59.87</v>
      </c>
      <c r="L74" s="235">
        <f>IFERROR(Таблица4[[#This Row],[S ПП]]-Таблица4[[#This Row],[S ДДУ]],)</f>
        <v>0</v>
      </c>
      <c r="M74" s="235">
        <f>ROUND(_xlfn.XLOOKUP(Таблица4[[#This Row],[№]],Реестр_Д4[№],Реестр_Д4[Итоговая сумма скидки],"",0),2)</f>
        <v>0</v>
      </c>
      <c r="N74" s="235" cm="1">
        <f t="array" ref="N7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4" s="235">
        <f>IFERROR(Таблица4[[#This Row],[ППС]]-Таблица4[[#This Row],[ДДУС]],)</f>
        <v>0</v>
      </c>
      <c r="P74" s="611"/>
      <c r="Q74" s="234">
        <f>VLOOKUP(ППД5!A71,Реестр_Д5[№],1,0)</f>
        <v>70</v>
      </c>
      <c r="R74" s="234" t="str">
        <f>VLOOKUP(ППД5!CH71,Реестр_Д5[Статус],1,0)</f>
        <v>Продажа</v>
      </c>
      <c r="S74" s="612">
        <f>VLOOKUP(ППД5!BZ71,Реестр_Д5[Стоимость ОН без отделки со скидкой],1,0)</f>
        <v>3934512</v>
      </c>
      <c r="T74" s="612" cm="1">
        <f t="array" ref="T74">IFERROR(INDEX(РД[Стоимость без отделки итог],MATCH($Q$3&amp;Таблица10[[#This Row],[№]]&amp;"Продажа",РД[Дом]&amp;РД[№ кв]&amp;РД[Состояние],0),1),Таблица10[[#This Row],[Статус]])</f>
        <v>3934512</v>
      </c>
      <c r="U74" s="235">
        <f>IFERROR((Таблица10[[#This Row],[ПП]]-Таблица10[[#This Row],[ДДУ]])*1,)</f>
        <v>0</v>
      </c>
      <c r="V74" s="235" cm="1">
        <f t="array" ref="V74">IFERROR(INDEX(РД[Стоимость с отделкой итог],MATCH($Q$3&amp;Таблица10[[#This Row],[№]]&amp;"Продажа",РД[Дом]&amp;РД[№ кв]&amp;РД[Состояние],0),1),Таблица10[[#This Row],[Статус]])</f>
        <v>4622312</v>
      </c>
      <c r="W74" s="235">
        <f>_xlfn.XLOOKUP(Таблица10[[#This Row],[№]],Реестр_Д5[№],Реестр_Д5[Стоимость квартиры с отделкой],"-",0)</f>
        <v>4622312</v>
      </c>
      <c r="X74" s="235">
        <f>IFERROR(Таблица10[[#This Row],[СО ПП]]-Таблица10[[#This Row],[СО ДДУ]],"")</f>
        <v>0</v>
      </c>
      <c r="Y74" s="233" cm="1">
        <f t="array" ref="Y74">IFERROR(INDEX(РД[S],MATCH($Q$3&amp;Таблица10[[#This Row],[№]]&amp;"Продажа",РД[Дом]&amp;РД[№ кв]&amp;РД[Состояние],0),1),Таблица10[[#This Row],[Статус]])</f>
        <v>34.39</v>
      </c>
      <c r="Z74" s="233">
        <f>IF(Таблица10[[#This Row],[№]]&amp;"ДДУ"=ППД5!A71&amp;ППД5!CR71,ППД5!U71,ППД5!V71)</f>
        <v>34.39</v>
      </c>
      <c r="AA74" s="285">
        <f>IFERROR(Таблица10[[#This Row],[S ПП]]-Таблица10[[#This Row],[S ДДУ]],)</f>
        <v>0</v>
      </c>
      <c r="AB74" s="235">
        <f>ROUND(_xlfn.XLOOKUP(Таблица10[[#This Row],[№]],Реестр_Д5[№],Реестр_Д5[Итоговая сумма скидки],"",0),2)</f>
        <v>88888</v>
      </c>
      <c r="AC74" s="235" cm="1">
        <f t="array" ref="AC74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74" s="285">
        <f>IFERROR(Таблица10[[#This Row],[ППС]]-Таблица10[[#This Row],[ДДУС]],)</f>
        <v>0</v>
      </c>
      <c r="AE74" s="611"/>
      <c r="AF74" s="615">
        <f>VLOOKUP(ППД401!A71,Д401[],1,0)</f>
        <v>70</v>
      </c>
      <c r="AG74" s="234" t="str">
        <f>_xlfn.XLOOKUP(Таблица1[[#This Row],[№]],Д401[№],Д401[Статус],"-",0)</f>
        <v>Свободно</v>
      </c>
      <c r="AH74" s="612">
        <f>_xlfn.XLOOKUP(Таблица1[[#This Row],[№]],Д401[№],Д401[Стоимость ОН без отделки со скидкой],"-",0)</f>
        <v>6288800</v>
      </c>
      <c r="AI74" s="612" t="str" cm="1">
        <f t="array" ref="AI74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74" s="235" t="str">
        <f>IFERROR((Таблица1[[#This Row],[ПП]]-Таблица1[[#This Row],[ДДУ]])*1,"")</f>
        <v/>
      </c>
      <c r="AK74" s="235" t="str" cm="1">
        <f t="array" ref="AK74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74" s="235">
        <f>_xlfn.XLOOKUP(Таблица1[[#This Row],[№]],Д401[№],Д401[Стоимость квартиры с отделкой],"-",0)</f>
        <v>6288800</v>
      </c>
      <c r="AM74" s="235" t="str">
        <f>IFERROR(Таблица1[[#This Row],[СО ПП]]-Таблица1[[#This Row],[СО ДДУ]],"")</f>
        <v/>
      </c>
      <c r="AN74" s="233" t="str" cm="1">
        <f t="array" ref="AN74">IFERROR(INDEX(РД[S],MATCH($AF$3&amp;Таблица1[[#This Row],[№]]&amp;"Продажа",РД[Дом]&amp;РД[№ кв]&amp;РД[Состояние],0),1),Таблица1[[#This Row],[Статус]])</f>
        <v>Свободно</v>
      </c>
      <c r="AO74" s="233">
        <f>_xlfn.XLOOKUP(Таблица1[[#This Row],[№]],Д401[№],Д401[Расчетная проектная площадь],"-",0)</f>
        <v>45.21</v>
      </c>
      <c r="AP74" s="235" t="str">
        <f>IFERROR(Таблица1[[#This Row],[S ПП]]-Таблица1[[#This Row],[S ДДУ]],"")</f>
        <v/>
      </c>
      <c r="AQ74" s="235">
        <f>_xlfn.XLOOKUP(Таблица1[[#This Row],[№]],Д401[№],Д401[Итоговая сумма скидки],"-",0)</f>
        <v>0</v>
      </c>
      <c r="AR74" s="235" t="str" cm="1">
        <f t="array" ref="AR74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74" s="285" t="str">
        <f>IFERROR(Таблица1[[#This Row],[ППС]]-Таблица1[[#This Row],[ДДУС]],"")</f>
        <v/>
      </c>
      <c r="AT74" s="611"/>
      <c r="AU74" s="484">
        <f>VLOOKUP(ППД402!A71,Д402[],1,0)</f>
        <v>70</v>
      </c>
      <c r="AV74" s="484" t="str">
        <f>_xlfn.XLOOKUP(Т402[[#This Row],[№]],Д402[№],Д402[Статус],"-",0)</f>
        <v>Стр. Резерв</v>
      </c>
      <c r="AW74" s="613">
        <f>_xlfn.XLOOKUP(Т402[[#This Row],[№]],Д402[№],Д402[Стоимость ОН без отделки со скидкой],"-",0)</f>
        <v>6653100</v>
      </c>
      <c r="AX74" s="614" t="str" cm="1">
        <f t="array" ref="AX7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4" s="485" t="str">
        <f>IFERROR((Т402[[#This Row],[ПП]]-Т402[[#This Row],[ДДУ]])*1,"")</f>
        <v/>
      </c>
      <c r="AZ74" s="486" t="str" cm="1">
        <f t="array" ref="AZ7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4" s="485">
        <f>_xlfn.XLOOKUP(Т402[[#This Row],[№]],Д402[№],Д402[Стоимость квартиры с отделкой],"-",0)</f>
        <v>8293800</v>
      </c>
      <c r="BB74" s="485" t="str">
        <f>IFERROR(Т402[[#This Row],[СО ПП]]-Т402[[#This Row],[СО ДДУ]],"")</f>
        <v/>
      </c>
      <c r="BC74" s="487" t="str" cm="1">
        <f t="array" ref="BC74">IFERROR(INDEX(РД[S],MATCH($AU$3&amp;Т402[[#This Row],[№]]&amp;"Продажа",РД[Дом]&amp;РД[№ кв]&amp;РД[Состояние],0),1),Т402[[#This Row],[Статус]])</f>
        <v>Стр. Резерв</v>
      </c>
      <c r="BD74" s="483">
        <f>_xlfn.XLOOKUP(Т402[[#This Row],[№]],Д402[№],Д402[Расчетная проектная площадь],"-",0)</f>
        <v>54.69</v>
      </c>
      <c r="BE74" s="485" t="str">
        <f>IFERROR(Т402[[#This Row],[S ПП]]-Т402[[#This Row],[S ДДУ]],"")</f>
        <v/>
      </c>
      <c r="BF74" s="485">
        <f>_xlfn.XLOOKUP(Т402[[#This Row],[№]],Д402[№],Д402[Итоговая сумма скидки],"-",0)</f>
        <v>0</v>
      </c>
      <c r="BG74" s="486" t="str" cm="1">
        <f t="array" ref="BG7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4" s="488" t="str">
        <f>IFERROR(Т402[[#This Row],[ППС]]-Т402[[#This Row],[ДДУС]],"")</f>
        <v/>
      </c>
    </row>
    <row r="75" spans="1:60" x14ac:dyDescent="0.2">
      <c r="A75" s="611"/>
      <c r="B75" s="234">
        <f>VLOOKUP(ППД4!A72,Реестр_Д4[№],1,0)</f>
        <v>71</v>
      </c>
      <c r="C75" s="234" t="str">
        <f>VLOOKUP(ППД4!CO72,Реестр_Д4[Статус],1,0)</f>
        <v>Продажа</v>
      </c>
      <c r="D75" s="612">
        <f>VLOOKUP(ППД4!CE72,Реестр_Д4[Стоимость ОН без отделки со скидкой],1,0)</f>
        <v>2136369.17</v>
      </c>
      <c r="E75" s="612" cm="1">
        <f t="array" ref="E75">IFERROR(INDEX(РД[Стоимость без отделки итог],MATCH($B$3&amp;Таблица4[[#This Row],[№]]&amp;"Продажа",РД[Дом]&amp;РД[№ кв]&amp;РД[Состояние],0),1),Таблица4[[#This Row],[Статус]])</f>
        <v>2136369.17</v>
      </c>
      <c r="F75" s="235">
        <f>IFERROR((Таблица4[[#This Row],[ПП]]-Таблица4[[#This Row],[ДДУ]])*1,"")</f>
        <v>0</v>
      </c>
      <c r="G75" s="235" cm="1">
        <f t="array" ref="G75">IFERROR(INDEX(РД[Стоимость с отделкой итог],MATCH($B$3&amp;Таблица4[[#This Row],[№]]&amp;"Продажа",РД[Дом]&amp;РД[№ кв]&amp;РД[Состояние],0),1),Таблица4[[#This Row],[Статус]])</f>
        <v>2462619.17</v>
      </c>
      <c r="H75" s="235">
        <f>_xlfn.XLOOKUP(Таблица4[[#This Row],[№]],Реестр_Д4[№],Реестр_Д4[Стоимость квартиры с отделкой],"-",0)</f>
        <v>2462619.17</v>
      </c>
      <c r="I75" s="235">
        <f>IFERROR(Таблица4[[#This Row],[СО ПП]]-Таблица4[[#This Row],[СО ДДУ]],"")</f>
        <v>0</v>
      </c>
      <c r="J75" s="233" cm="1">
        <f t="array" ref="J75">IFERROR(INDEX(РД[S],MATCH($B$3&amp;Таблица4[[#This Row],[№]]&amp;"Продажа",РД[Дом]&amp;РД[№ кв]&amp;РД[Состояние],0),1),Таблица4[[#This Row],[Статус]])</f>
        <v>21.75</v>
      </c>
      <c r="K75" s="233">
        <f>VLOOKUP(Таблица4[[#This Row],[№]],Реестр_Д4[],20,0)</f>
        <v>21.75</v>
      </c>
      <c r="L75" s="235">
        <f>IFERROR(Таблица4[[#This Row],[S ПП]]-Таблица4[[#This Row],[S ДДУ]],)</f>
        <v>0</v>
      </c>
      <c r="M75" s="235">
        <f>ROUND(_xlfn.XLOOKUP(Таблица4[[#This Row],[№]],Реестр_Д4[№],Реестр_Д4[Итоговая сумма скидки],"",0),2)</f>
        <v>0</v>
      </c>
      <c r="N75" s="235" cm="1">
        <f t="array" ref="N7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5" s="235">
        <f>IFERROR(Таблица4[[#This Row],[ППС]]-Таблица4[[#This Row],[ДДУС]],)</f>
        <v>0</v>
      </c>
      <c r="P75" s="611"/>
      <c r="Q75" s="234">
        <f>VLOOKUP(ППД5!A72,Реестр_Д5[№],1,0)</f>
        <v>71</v>
      </c>
      <c r="R75" s="234" t="str">
        <f>VLOOKUP(ППД5!CH72,Реестр_Д5[Статус],1,0)</f>
        <v>Свободно</v>
      </c>
      <c r="S75" s="612">
        <f>VLOOKUP(ППД5!BZ72,Реестр_Д5[Стоимость ОН без отделки со скидкой],1,0)</f>
        <v>8172800</v>
      </c>
      <c r="T75" s="612" t="str" cm="1">
        <f t="array" ref="T7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75" s="235">
        <f>IFERROR((Таблица10[[#This Row],[ПП]]-Таблица10[[#This Row],[ДДУ]])*1,)</f>
        <v>0</v>
      </c>
      <c r="V75" s="235" t="str" cm="1">
        <f t="array" ref="V7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75" s="235">
        <f>_xlfn.XLOOKUP(Таблица10[[#This Row],[№]],Реестр_Д5[№],Реестр_Д5[Стоимость квартиры с отделкой],"-",0)</f>
        <v>8172800</v>
      </c>
      <c r="X75" s="235" t="str">
        <f>IFERROR(Таблица10[[#This Row],[СО ПП]]-Таблица10[[#This Row],[СО ДДУ]],"")</f>
        <v/>
      </c>
      <c r="Y75" s="233" t="str" cm="1">
        <f t="array" ref="Y75">IFERROR(INDEX(РД[S],MATCH($Q$3&amp;Таблица10[[#This Row],[№]]&amp;"Продажа",РД[Дом]&amp;РД[№ кв]&amp;РД[Состояние],0),1),Таблица10[[#This Row],[Статус]])</f>
        <v>Свободно</v>
      </c>
      <c r="Z75" s="233">
        <f>IF(Таблица10[[#This Row],[№]]&amp;"ДДУ"=ППД5!A72&amp;ППД5!CR72,ППД5!U72,ППД5!V72)</f>
        <v>68.199999999999989</v>
      </c>
      <c r="AA75" s="285">
        <f>IFERROR(Таблица10[[#This Row],[S ПП]]-Таблица10[[#This Row],[S ДДУ]],)</f>
        <v>0</v>
      </c>
      <c r="AB75" s="235">
        <f>ROUND(_xlfn.XLOOKUP(Таблица10[[#This Row],[№]],Реестр_Д5[№],Реестр_Д5[Итоговая сумма скидки],"",0),2)</f>
        <v>0</v>
      </c>
      <c r="AC75" s="235" t="str" cm="1">
        <f t="array" ref="AC7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75" s="285">
        <f>IFERROR(Таблица10[[#This Row],[ППС]]-Таблица10[[#This Row],[ДДУС]],)</f>
        <v>0</v>
      </c>
      <c r="AE75" s="611"/>
      <c r="AF75" s="615">
        <f>VLOOKUP(ППД401!A72,Д401[],1,0)</f>
        <v>71</v>
      </c>
      <c r="AG75" s="234" t="str">
        <f>_xlfn.XLOOKUP(Таблица1[[#This Row],[№]],Д401[№],Д401[Статус],"-",0)</f>
        <v>Стр. Резерв</v>
      </c>
      <c r="AH75" s="612">
        <f>_xlfn.XLOOKUP(Таблица1[[#This Row],[№]],Д401[№],Д401[Стоимость ОН без отделки со скидкой],"-",0)</f>
        <v>6173750</v>
      </c>
      <c r="AI75" s="612" t="str" cm="1">
        <f t="array" ref="AI75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5" s="235" t="str">
        <f>IFERROR((Таблица1[[#This Row],[ПП]]-Таблица1[[#This Row],[ДДУ]])*1,"")</f>
        <v/>
      </c>
      <c r="AK75" s="235" t="str" cm="1">
        <f t="array" ref="AK75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5" s="235">
        <f>_xlfn.XLOOKUP(Таблица1[[#This Row],[№]],Д401[№],Д401[Стоимость квартиры с отделкой],"-",0)</f>
        <v>6173750</v>
      </c>
      <c r="AM75" s="235" t="str">
        <f>IFERROR(Таблица1[[#This Row],[СО ПП]]-Таблица1[[#This Row],[СО ДДУ]],"")</f>
        <v/>
      </c>
      <c r="AN75" s="233" t="str" cm="1">
        <f t="array" ref="AN75">IFERROR(INDEX(РД[S],MATCH($AF$3&amp;Таблица1[[#This Row],[№]]&amp;"Продажа",РД[Дом]&amp;РД[№ кв]&amp;РД[Состояние],0),1),Таблица1[[#This Row],[Статус]])</f>
        <v>Стр. Резерв</v>
      </c>
      <c r="AO75" s="233">
        <f>_xlfn.XLOOKUP(Таблица1[[#This Row],[№]],Д401[№],Д401[Расчетная проектная площадь],"-",0)</f>
        <v>49.39</v>
      </c>
      <c r="AP75" s="235" t="str">
        <f>IFERROR(Таблица1[[#This Row],[S ПП]]-Таблица1[[#This Row],[S ДДУ]],"")</f>
        <v/>
      </c>
      <c r="AQ75" s="235">
        <f>_xlfn.XLOOKUP(Таблица1[[#This Row],[№]],Д401[№],Д401[Итоговая сумма скидки],"-",0)</f>
        <v>0</v>
      </c>
      <c r="AR75" s="235" t="str" cm="1">
        <f t="array" ref="AR75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5" s="285" t="str">
        <f>IFERROR(Таблица1[[#This Row],[ППС]]-Таблица1[[#This Row],[ДДУС]],"")</f>
        <v/>
      </c>
      <c r="AT75" s="611"/>
      <c r="AU75" s="484">
        <f>VLOOKUP(ППД402!A72,Д402[],1,0)</f>
        <v>71</v>
      </c>
      <c r="AV75" s="484" t="str">
        <f>_xlfn.XLOOKUP(Т402[[#This Row],[№]],Д402[№],Д402[Статус],"-",0)</f>
        <v>Продажа</v>
      </c>
      <c r="AW75" s="613">
        <f>_xlfn.XLOOKUP(Т402[[#This Row],[№]],Д402[№],Д402[Стоимость ОН без отделки со скидкой],"-",0)</f>
        <v>4613644</v>
      </c>
      <c r="AX75" s="614" cm="1">
        <f t="array" ref="AX75">IFERROR(INDEX(РД[Стоимость без отделки итог],MATCH($AU$3&amp;Т402[[#This Row],[№]]&amp;"Продажа",РД[Дом]&amp;РД[№ кв]&amp;РД[Состояние],0),1),Т402[[#This Row],[Статус]])</f>
        <v>4613644</v>
      </c>
      <c r="AY75" s="485">
        <f>IFERROR((Т402[[#This Row],[ПП]]-Т402[[#This Row],[ДДУ]])*1,"")</f>
        <v>0</v>
      </c>
      <c r="AZ75" s="486" cm="1">
        <f t="array" ref="AZ75">IFERROR(INDEX(РД[Стоимость с отделкой итог],MATCH($AU$3&amp;Т402[[#This Row],[№]]&amp;"Продажа",РД[Дом]&amp;РД[№ кв]&amp;РД[Состояние],0),1),Т402[[#This Row],[Статус]])</f>
        <v>4982844</v>
      </c>
      <c r="BA75" s="485">
        <f>_xlfn.XLOOKUP(Т402[[#This Row],[№]],Д402[№],Д402[Стоимость квартиры с отделкой],"-",0)</f>
        <v>4982844.0000000009</v>
      </c>
      <c r="BB75" s="485">
        <f>IFERROR(Т402[[#This Row],[СО ПП]]-Т402[[#This Row],[СО ДДУ]],"")</f>
        <v>9.3132257461547852E-10</v>
      </c>
      <c r="BC75" s="487" cm="1">
        <f t="array" ref="BC75">IFERROR(INDEX(РД[S],MATCH($AU$3&amp;Т402[[#This Row],[№]]&amp;"Продажа",РД[Дом]&amp;РД[№ кв]&amp;РД[Состояние],0),1),Т402[[#This Row],[Статус]])</f>
        <v>36.92</v>
      </c>
      <c r="BD75" s="483">
        <f>_xlfn.XLOOKUP(Т402[[#This Row],[№]],Д402[№],Д402[Расчетная проектная площадь],"-",0)</f>
        <v>36.92</v>
      </c>
      <c r="BE75" s="485">
        <f>IFERROR(Т402[[#This Row],[S ПП]]-Т402[[#This Row],[S ДДУ]],"")</f>
        <v>0</v>
      </c>
      <c r="BF75" s="485">
        <f>_xlfn.XLOOKUP(Т402[[#This Row],[№]],Д402[№],Д402[Итоговая сумма скидки],"-",0)</f>
        <v>94156</v>
      </c>
      <c r="BG75" s="486" cm="1">
        <f t="array" ref="BG75">IFERROR(ROUND(_xlfn.XLOOKUP($AU$3&amp;Т402[[#This Row],[№]]&amp;"Продажа",РД[Дом]&amp;РД[№ кв]&amp;РД[Состояние],РД[Сумма скидки],"",0),2),Т402[[#This Row],[Статус]])</f>
        <v>94156</v>
      </c>
      <c r="BH75" s="488">
        <f>IFERROR(Т402[[#This Row],[ППС]]-Т402[[#This Row],[ДДУС]],"")</f>
        <v>0</v>
      </c>
    </row>
    <row r="76" spans="1:60" x14ac:dyDescent="0.2">
      <c r="A76" s="611"/>
      <c r="B76" s="234">
        <f>VLOOKUP(ППД4!A73,Реестр_Д4[№],1,0)</f>
        <v>72</v>
      </c>
      <c r="C76" s="234" t="str">
        <f>VLOOKUP(ППД4!CO73,Реестр_Д4[Статус],1,0)</f>
        <v>Продажа</v>
      </c>
      <c r="D76" s="612">
        <f>VLOOKUP(ППД4!CE73,Реестр_Д4[Стоимость ОН без отделки со скидкой],1,0)</f>
        <v>2423776.7999999998</v>
      </c>
      <c r="E76" s="612" cm="1">
        <f t="array" ref="E76">IFERROR(INDEX(РД[Стоимость без отделки итог],MATCH($B$3&amp;Таблица4[[#This Row],[№]]&amp;"Продажа",РД[Дом]&amp;РД[№ кв]&amp;РД[Состояние],0),1),Таблица4[[#This Row],[Статус]])</f>
        <v>2423776.7999999998</v>
      </c>
      <c r="F76" s="235">
        <f>IFERROR((Таблица4[[#This Row],[ПП]]-Таблица4[[#This Row],[ДДУ]])*1,"")</f>
        <v>0</v>
      </c>
      <c r="G76" s="235" cm="1">
        <f t="array" ref="G76">IFERROR(INDEX(РД[Стоимость с отделкой итог],MATCH($B$3&amp;Таблица4[[#This Row],[№]]&amp;"Продажа",РД[Дом]&amp;РД[№ кв]&amp;РД[Состояние],0),1),Таблица4[[#This Row],[Статус]])</f>
        <v>2760591.8</v>
      </c>
      <c r="H76" s="235">
        <f>_xlfn.XLOOKUP(Таблица4[[#This Row],[№]],Реестр_Д4[№],Реестр_Д4[Стоимость квартиры с отделкой],"-",0)</f>
        <v>2760591.8</v>
      </c>
      <c r="I76" s="235">
        <f>IFERROR(Таблица4[[#This Row],[СО ПП]]-Таблица4[[#This Row],[СО ДДУ]],"")</f>
        <v>0</v>
      </c>
      <c r="J76" s="233" cm="1">
        <f t="array" ref="J76">IFERROR(INDEX(РД[S],MATCH($B$3&amp;Таблица4[[#This Row],[№]]&amp;"Продажа",РД[Дом]&amp;РД[№ кв]&amp;РД[Состояние],0),1),Таблица4[[#This Row],[Статус]])</f>
        <v>21.73</v>
      </c>
      <c r="K76" s="233">
        <f>VLOOKUP(Таблица4[[#This Row],[№]],Реестр_Д4[],20,0)</f>
        <v>21.73</v>
      </c>
      <c r="L76" s="235">
        <f>IFERROR(Таблица4[[#This Row],[S ПП]]-Таблица4[[#This Row],[S ДДУ]],)</f>
        <v>0</v>
      </c>
      <c r="M76" s="235">
        <f>ROUND(_xlfn.XLOOKUP(Таблица4[[#This Row],[№]],Реестр_Д4[№],Реестр_Д4[Итоговая сумма скидки],"",0),2)</f>
        <v>0</v>
      </c>
      <c r="N76" s="235" cm="1">
        <f t="array" ref="N7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76" s="235">
        <f>IFERROR(Таблица4[[#This Row],[ППС]]-Таблица4[[#This Row],[ДДУС]],)</f>
        <v>0</v>
      </c>
      <c r="P76" s="611"/>
      <c r="Q76" s="234">
        <f>VLOOKUP(ППД5!A73,Реестр_Д5[№],1,0)</f>
        <v>72</v>
      </c>
      <c r="R76" s="234" t="str">
        <f>VLOOKUP(ППД5!CH73,Реестр_Д5[Статус],1,0)</f>
        <v>Продажа</v>
      </c>
      <c r="S76" s="612">
        <f>VLOOKUP(ППД5!BZ73,Реестр_Д5[Стоимость ОН без отделки со скидкой],1,0)</f>
        <v>5408228</v>
      </c>
      <c r="T76" s="612" cm="1">
        <f t="array" ref="T76">IFERROR(INDEX(РД[Стоимость без отделки итог],MATCH($Q$3&amp;Таблица10[[#This Row],[№]]&amp;"Продажа",РД[Дом]&amp;РД[№ кв]&amp;РД[Состояние],0),1),Таблица10[[#This Row],[Статус]])</f>
        <v>5408228</v>
      </c>
      <c r="U76" s="235">
        <f>IFERROR((Таблица10[[#This Row],[ПП]]-Таблица10[[#This Row],[ДДУ]])*1,)</f>
        <v>0</v>
      </c>
      <c r="V76" s="235" cm="1">
        <f t="array" ref="V76">IFERROR(INDEX(РД[Стоимость с отделкой итог],MATCH($Q$3&amp;Таблица10[[#This Row],[№]]&amp;"Продажа",РД[Дом]&amp;РД[№ кв]&amp;РД[Состояние],0),1),Таблица10[[#This Row],[Статус]])</f>
        <v>6351478</v>
      </c>
      <c r="W76" s="235">
        <f>_xlfn.XLOOKUP(Таблица10[[#This Row],[№]],Реестр_Д5[№],Реестр_Д5[Стоимость квартиры с отделкой],"-",0)</f>
        <v>6351478</v>
      </c>
      <c r="X76" s="235">
        <f>IFERROR(Таблица10[[#This Row],[СО ПП]]-Таблица10[[#This Row],[СО ДДУ]],"")</f>
        <v>0</v>
      </c>
      <c r="Y76" s="233" cm="1">
        <f t="array" ref="Y76">IFERROR(INDEX(РД[S],MATCH($Q$3&amp;Таблица10[[#This Row],[№]]&amp;"Продажа",РД[Дом]&amp;РД[№ кв]&amp;РД[Состояние],0),1),Таблица10[[#This Row],[Статус]])</f>
        <v>37.729999999999997</v>
      </c>
      <c r="Z76" s="233">
        <f>IF(Таблица10[[#This Row],[№]]&amp;"ДДУ"=ППД5!A73&amp;ППД5!CR73,ППД5!U73,ППД5!V73)</f>
        <v>37.729999999999997</v>
      </c>
      <c r="AA76" s="285">
        <f>IFERROR(Таблица10[[#This Row],[S ПП]]-Таблица10[[#This Row],[S ДДУ]],)</f>
        <v>0</v>
      </c>
      <c r="AB76" s="235">
        <f>ROUND(_xlfn.XLOOKUP(Таблица10[[#This Row],[№]],Реестр_Д5[№],Реестр_Д5[Итоговая сумма скидки],"",0),2)</f>
        <v>110372</v>
      </c>
      <c r="AC76" s="235" cm="1">
        <f t="array" ref="AC76">IFERROR(ROUND(_xlfn.XLOOKUP($Q$3&amp;Таблица10[[#This Row],[№]]&amp;"Продажа",РД[Дом]&amp;РД[№ кв]&amp;РД[Состояние],РД[Сумма скидки],"",0,-1),2),Таблица10[[#This Row],[Статус]])</f>
        <v>110372</v>
      </c>
      <c r="AD76" s="285">
        <f>IFERROR(Таблица10[[#This Row],[ППС]]-Таблица10[[#This Row],[ДДУС]],)</f>
        <v>0</v>
      </c>
      <c r="AE76" s="611"/>
      <c r="AF76" s="615">
        <f>VLOOKUP(ППД401!A73,Д401[],1,0)</f>
        <v>72</v>
      </c>
      <c r="AG76" s="234" t="str">
        <f>_xlfn.XLOOKUP(Таблица1[[#This Row],[№]],Д401[№],Д401[Статус],"-",0)</f>
        <v>Стр. Резерв</v>
      </c>
      <c r="AH76" s="612">
        <f>_xlfn.XLOOKUP(Таблица1[[#This Row],[№]],Д401[№],Д401[Стоимость ОН без отделки со скидкой],"-",0)</f>
        <v>9702500</v>
      </c>
      <c r="AI76" s="612" t="str" cm="1">
        <f t="array" ref="AI7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6" s="235" t="str">
        <f>IFERROR((Таблица1[[#This Row],[ПП]]-Таблица1[[#This Row],[ДДУ]])*1,"")</f>
        <v/>
      </c>
      <c r="AK76" s="235" t="str" cm="1">
        <f t="array" ref="AK7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6" s="235">
        <f>_xlfn.XLOOKUP(Таблица1[[#This Row],[№]],Д401[№],Д401[Стоимость квартиры с отделкой],"-",0)</f>
        <v>9702500</v>
      </c>
      <c r="AM76" s="235" t="str">
        <f>IFERROR(Таблица1[[#This Row],[СО ПП]]-Таблица1[[#This Row],[СО ДДУ]],"")</f>
        <v/>
      </c>
      <c r="AN76" s="233" t="str" cm="1">
        <f t="array" ref="AN76">IFERROR(INDEX(РД[S],MATCH($AF$3&amp;Таблица1[[#This Row],[№]]&amp;"Продажа",РД[Дом]&amp;РД[№ кв]&amp;РД[Состояние],0),1),Таблица1[[#This Row],[Статус]])</f>
        <v>Стр. Резерв</v>
      </c>
      <c r="AO76" s="233">
        <f>_xlfn.XLOOKUP(Таблица1[[#This Row],[№]],Д401[№],Д401[Расчетная проектная площадь],"-",0)</f>
        <v>77.62</v>
      </c>
      <c r="AP76" s="235" t="str">
        <f>IFERROR(Таблица1[[#This Row],[S ПП]]-Таблица1[[#This Row],[S ДДУ]],"")</f>
        <v/>
      </c>
      <c r="AQ76" s="235">
        <f>_xlfn.XLOOKUP(Таблица1[[#This Row],[№]],Д401[№],Д401[Итоговая сумма скидки],"-",0)</f>
        <v>0</v>
      </c>
      <c r="AR76" s="235" t="str" cm="1">
        <f t="array" ref="AR7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6" s="285" t="str">
        <f>IFERROR(Таблица1[[#This Row],[ППС]]-Таблица1[[#This Row],[ДДУС]],"")</f>
        <v/>
      </c>
      <c r="AT76" s="611"/>
      <c r="AU76" s="484">
        <f>VLOOKUP(ППД402!A73,Д402[],1,0)</f>
        <v>72</v>
      </c>
      <c r="AV76" s="484" t="str">
        <f>_xlfn.XLOOKUP(Т402[[#This Row],[№]],Д402[№],Д402[Статус],"-",0)</f>
        <v>Свободно</v>
      </c>
      <c r="AW76" s="613">
        <f>_xlfn.XLOOKUP(Т402[[#This Row],[№]],Д402[№],Д402[Стоимость ОН без отделки со скидкой],"-",0)</f>
        <v>5861700</v>
      </c>
      <c r="AX76" s="614" t="str" cm="1">
        <f t="array" ref="AX76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76" s="485" t="str">
        <f>IFERROR((Т402[[#This Row],[ПП]]-Т402[[#This Row],[ДДУ]])*1,"")</f>
        <v/>
      </c>
      <c r="AZ76" s="486" t="str" cm="1">
        <f t="array" ref="AZ76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76" s="485">
        <f>_xlfn.XLOOKUP(Т402[[#This Row],[№]],Д402[№],Д402[Стоимость квартиры с отделкой],"-",0)</f>
        <v>5861700</v>
      </c>
      <c r="BB76" s="485" t="str">
        <f>IFERROR(Т402[[#This Row],[СО ПП]]-Т402[[#This Row],[СО ДДУ]],"")</f>
        <v/>
      </c>
      <c r="BC76" s="487" t="str" cm="1">
        <f t="array" ref="BC76">IFERROR(INDEX(РД[S],MATCH($AU$3&amp;Т402[[#This Row],[№]]&amp;"Продажа",РД[Дом]&amp;РД[№ кв]&amp;РД[Состояние],0),1),Т402[[#This Row],[Статус]])</f>
        <v>Свободно</v>
      </c>
      <c r="BD76" s="483">
        <f>_xlfn.XLOOKUP(Т402[[#This Row],[№]],Д402[№],Д402[Расчетная проектная площадь],"-",0)</f>
        <v>45.18</v>
      </c>
      <c r="BE76" s="485" t="str">
        <f>IFERROR(Т402[[#This Row],[S ПП]]-Т402[[#This Row],[S ДДУ]],"")</f>
        <v/>
      </c>
      <c r="BF76" s="485">
        <f>_xlfn.XLOOKUP(Т402[[#This Row],[№]],Д402[№],Д402[Итоговая сумма скидки],"-",0)</f>
        <v>0</v>
      </c>
      <c r="BG76" s="486" t="str" cm="1">
        <f t="array" ref="BG76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76" s="488" t="str">
        <f>IFERROR(Т402[[#This Row],[ППС]]-Т402[[#This Row],[ДДУС]],"")</f>
        <v/>
      </c>
    </row>
    <row r="77" spans="1:60" x14ac:dyDescent="0.2">
      <c r="A77" s="611"/>
      <c r="B77" s="234">
        <f>VLOOKUP(ППД4!A74,Реестр_Д4[№],1,0)</f>
        <v>73</v>
      </c>
      <c r="C77" s="234" t="str">
        <f>VLOOKUP(ППД4!CO74,Реестр_Д4[Статус],1,0)</f>
        <v>Продажа</v>
      </c>
      <c r="D77" s="612">
        <f>VLOOKUP(ППД4!CE74,Реестр_Д4[Стоимость ОН без отделки со скидкой],1,0)</f>
        <v>3019558.29</v>
      </c>
      <c r="E77" s="612" cm="1">
        <f t="array" ref="E77">IFERROR(INDEX(РД[Стоимость без отделки итог],MATCH($B$3&amp;Таблица4[[#This Row],[№]]&amp;"Продажа",РД[Дом]&amp;РД[№ кв]&amp;РД[Состояние],0),1),Таблица4[[#This Row],[Статус]])</f>
        <v>3019558.2900000005</v>
      </c>
      <c r="F77" s="235">
        <f>IFERROR((Таблица4[[#This Row],[ПП]]-Таблица4[[#This Row],[ДДУ]])*1,"")</f>
        <v>-4.6566128730773926E-10</v>
      </c>
      <c r="G77" s="235" cm="1">
        <f t="array" ref="G77">IFERROR(INDEX(РД[Стоимость с отделкой итог],MATCH($B$3&amp;Таблица4[[#This Row],[№]]&amp;"Продажа",РД[Дом]&amp;РД[№ кв]&amp;РД[Состояние],0),1),Таблица4[[#This Row],[Статус]])</f>
        <v>3522508.29</v>
      </c>
      <c r="H77" s="235">
        <f>_xlfn.XLOOKUP(Таблица4[[#This Row],[№]],Реестр_Д4[№],Реестр_Д4[Стоимость квартиры с отделкой],"-",0)</f>
        <v>3522508.29</v>
      </c>
      <c r="I77" s="235">
        <f>IFERROR(Таблица4[[#This Row],[СО ПП]]-Таблица4[[#This Row],[СО ДДУ]],"")</f>
        <v>0</v>
      </c>
      <c r="J77" s="233" cm="1">
        <f t="array" ref="J77">IFERROR(INDEX(РД[S],MATCH($B$3&amp;Таблица4[[#This Row],[№]]&amp;"Продажа",РД[Дом]&amp;РД[№ кв]&amp;РД[Состояние],0),1),Таблица4[[#This Row],[Статус]])</f>
        <v>33.53</v>
      </c>
      <c r="K77" s="233">
        <f>VLOOKUP(Таблица4[[#This Row],[№]],Реестр_Д4[],20,0)</f>
        <v>33.53</v>
      </c>
      <c r="L77" s="235">
        <f>IFERROR(Таблица4[[#This Row],[S ПП]]-Таблица4[[#This Row],[S ДДУ]],)</f>
        <v>0</v>
      </c>
      <c r="M77" s="235">
        <f>ROUND(_xlfn.XLOOKUP(Таблица4[[#This Row],[№]],Реестр_Д4[№],Реестр_Д4[Итоговая сумма скидки],"",0),2)</f>
        <v>192737.76</v>
      </c>
      <c r="N77" s="235" cm="1">
        <f t="array" ref="N77">IFERROR(ROUND(_xlfn.XLOOKUP($B$3&amp;Таблица4[[#This Row],[№]]&amp;"Продажа",РД[Дом]&amp;РД[№ кв]&amp;РД[Состояние],РД[Сумма скидки],"",0),2),Таблица4[[#This Row],[Статус]])</f>
        <v>192737.76</v>
      </c>
      <c r="O77" s="235">
        <f>IFERROR(Таблица4[[#This Row],[ППС]]-Таблица4[[#This Row],[ДДУС]],)</f>
        <v>0</v>
      </c>
      <c r="P77" s="611"/>
      <c r="Q77" s="234">
        <f>VLOOKUP(ППД5!A74,Реестр_Д5[№],1,0)</f>
        <v>73</v>
      </c>
      <c r="R77" s="234" t="str">
        <f>VLOOKUP(ППД5!CH74,Реестр_Д5[Статус],1,0)</f>
        <v>Продажа</v>
      </c>
      <c r="S77" s="612">
        <f>VLOOKUP(ППД5!BZ74,Реестр_Д5[Стоимость ОН без отделки со скидкой],1,0)</f>
        <v>5573712</v>
      </c>
      <c r="T77" s="612" cm="1">
        <f t="array" ref="T77">IFERROR(INDEX(РД[Стоимость без отделки итог],MATCH($Q$3&amp;Таблица10[[#This Row],[№]]&amp;"Продажа",РД[Дом]&amp;РД[№ кв]&amp;РД[Состояние],0),1),Таблица10[[#This Row],[Статус]])</f>
        <v>5573712</v>
      </c>
      <c r="U77" s="235">
        <f>IFERROR((Таблица10[[#This Row],[ПП]]-Таблица10[[#This Row],[ДДУ]])*1,)</f>
        <v>0</v>
      </c>
      <c r="V77" s="235" cm="1">
        <f t="array" ref="V77">IFERROR(INDEX(РД[Стоимость с отделкой итог],MATCH($Q$3&amp;Таблица10[[#This Row],[№]]&amp;"Продажа",РД[Дом]&amp;РД[№ кв]&amp;РД[Состояние],0),1),Таблица10[[#This Row],[Статус]])</f>
        <v>5987342</v>
      </c>
      <c r="W77" s="235">
        <f>_xlfn.XLOOKUP(Таблица10[[#This Row],[№]],Реестр_Д5[№],Реестр_Д5[Стоимость квартиры с отделкой],"-",0)</f>
        <v>5987342</v>
      </c>
      <c r="X77" s="235">
        <f>IFERROR(Таблица10[[#This Row],[СО ПП]]-Таблица10[[#This Row],[СО ДДУ]],"")</f>
        <v>0</v>
      </c>
      <c r="Y77" s="233" cm="1">
        <f t="array" ref="Y77">IFERROR(INDEX(РД[S],MATCH($Q$3&amp;Таблица10[[#This Row],[№]]&amp;"Продажа",РД[Дом]&amp;РД[№ кв]&amp;РД[Состояние],0),1),Таблица10[[#This Row],[Статус]])</f>
        <v>59.09</v>
      </c>
      <c r="Z77" s="233">
        <f>IF(Таблица10[[#This Row],[№]]&amp;"ДДУ"=ППД5!A74&amp;ППД5!CR74,ППД5!U74,ППД5!V74)</f>
        <v>59.09</v>
      </c>
      <c r="AA77" s="285">
        <f>IFERROR(Таблица10[[#This Row],[S ПП]]-Таблица10[[#This Row],[S ДДУ]],)</f>
        <v>0</v>
      </c>
      <c r="AB77" s="235">
        <f>ROUND(_xlfn.XLOOKUP(Таблица10[[#This Row],[№]],Реестр_Д5[№],Реестр_Д5[Итоговая сумма скидки],"",0),2)</f>
        <v>88888</v>
      </c>
      <c r="AC77" s="235" cm="1">
        <f t="array" ref="AC77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77" s="285">
        <f>IFERROR(Таблица10[[#This Row],[ППС]]-Таблица10[[#This Row],[ДДУС]],)</f>
        <v>0</v>
      </c>
      <c r="AE77" s="611"/>
      <c r="AF77" s="615">
        <f>VLOOKUP(ППД401!A74,Д401[],1,0)</f>
        <v>73</v>
      </c>
      <c r="AG77" s="234" t="str">
        <f>_xlfn.XLOOKUP(Таблица1[[#This Row],[№]],Д401[№],Д401[Статус],"-",0)</f>
        <v>Стр. Резерв</v>
      </c>
      <c r="AH77" s="612">
        <f>_xlfn.XLOOKUP(Таблица1[[#This Row],[№]],Д401[№],Д401[Стоимость ОН без отделки со скидкой],"-",0)</f>
        <v>7153750</v>
      </c>
      <c r="AI77" s="612" t="str" cm="1">
        <f t="array" ref="AI77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7" s="235" t="str">
        <f>IFERROR((Таблица1[[#This Row],[ПП]]-Таблица1[[#This Row],[ДДУ]])*1,"")</f>
        <v/>
      </c>
      <c r="AK77" s="235" t="str" cm="1">
        <f t="array" ref="AK77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7" s="235">
        <f>_xlfn.XLOOKUP(Таблица1[[#This Row],[№]],Д401[№],Д401[Стоимость квартиры с отделкой],"-",0)</f>
        <v>7153750</v>
      </c>
      <c r="AM77" s="235" t="str">
        <f>IFERROR(Таблица1[[#This Row],[СО ПП]]-Таблица1[[#This Row],[СО ДДУ]],"")</f>
        <v/>
      </c>
      <c r="AN77" s="233" t="str" cm="1">
        <f t="array" ref="AN77">IFERROR(INDEX(РД[S],MATCH($AF$3&amp;Таблица1[[#This Row],[№]]&amp;"Продажа",РД[Дом]&amp;РД[№ кв]&amp;РД[Состояние],0),1),Таблица1[[#This Row],[Статус]])</f>
        <v>Стр. Резерв</v>
      </c>
      <c r="AO77" s="233">
        <f>_xlfn.XLOOKUP(Таблица1[[#This Row],[№]],Д401[№],Д401[Расчетная проектная площадь],"-",0)</f>
        <v>57.23</v>
      </c>
      <c r="AP77" s="235" t="str">
        <f>IFERROR(Таблица1[[#This Row],[S ПП]]-Таблица1[[#This Row],[S ДДУ]],"")</f>
        <v/>
      </c>
      <c r="AQ77" s="235">
        <f>_xlfn.XLOOKUP(Таблица1[[#This Row],[№]],Д401[№],Д401[Итоговая сумма скидки],"-",0)</f>
        <v>0</v>
      </c>
      <c r="AR77" s="235" t="str" cm="1">
        <f t="array" ref="AR77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7" s="285" t="str">
        <f>IFERROR(Таблица1[[#This Row],[ППС]]-Таблица1[[#This Row],[ДДУС]],"")</f>
        <v/>
      </c>
      <c r="AT77" s="611"/>
      <c r="AU77" s="484">
        <f>VLOOKUP(ППД402!A74,Д402[],1,0)</f>
        <v>73</v>
      </c>
      <c r="AV77" s="484" t="str">
        <f>_xlfn.XLOOKUP(Т402[[#This Row],[№]],Д402[№],Д402[Статус],"-",0)</f>
        <v>Свободно</v>
      </c>
      <c r="AW77" s="613">
        <f>_xlfn.XLOOKUP(Т402[[#This Row],[№]],Д402[№],Д402[Стоимость ОН без отделки со скидкой],"-",0)</f>
        <v>4150200</v>
      </c>
      <c r="AX77" s="614" t="str" cm="1">
        <f t="array" ref="AX77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77" s="485" t="str">
        <f>IFERROR((Т402[[#This Row],[ПП]]-Т402[[#This Row],[ДДУ]])*1,"")</f>
        <v/>
      </c>
      <c r="AZ77" s="486" t="str" cm="1">
        <f t="array" ref="AZ77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77" s="485">
        <f>_xlfn.XLOOKUP(Т402[[#This Row],[№]],Д402[№],Д402[Стоимость квартиры с отделкой],"-",0)</f>
        <v>4150200</v>
      </c>
      <c r="BB77" s="485" t="str">
        <f>IFERROR(Т402[[#This Row],[СО ПП]]-Т402[[#This Row],[СО ДДУ]],"")</f>
        <v/>
      </c>
      <c r="BC77" s="487" t="str" cm="1">
        <f t="array" ref="BC77">IFERROR(INDEX(РД[S],MATCH($AU$3&amp;Т402[[#This Row],[№]]&amp;"Продажа",РД[Дом]&amp;РД[№ кв]&amp;РД[Состояние],0),1),Т402[[#This Row],[Статус]])</f>
        <v>Свободно</v>
      </c>
      <c r="BD77" s="483">
        <f>_xlfn.XLOOKUP(Т402[[#This Row],[№]],Д402[№],Д402[Расчетная проектная площадь],"-",0)</f>
        <v>29.4</v>
      </c>
      <c r="BE77" s="485" t="str">
        <f>IFERROR(Т402[[#This Row],[S ПП]]-Т402[[#This Row],[S ДДУ]],"")</f>
        <v/>
      </c>
      <c r="BF77" s="485">
        <f>_xlfn.XLOOKUP(Т402[[#This Row],[№]],Д402[№],Д402[Итоговая сумма скидки],"-",0)</f>
        <v>0</v>
      </c>
      <c r="BG77" s="486" t="str" cm="1">
        <f t="array" ref="BG77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77" s="488" t="str">
        <f>IFERROR(Т402[[#This Row],[ППС]]-Т402[[#This Row],[ДДУС]],"")</f>
        <v/>
      </c>
    </row>
    <row r="78" spans="1:60" x14ac:dyDescent="0.2">
      <c r="A78" s="611"/>
      <c r="B78" s="234">
        <f>VLOOKUP(ППД4!A75,Реестр_Д4[№],1,0)</f>
        <v>74</v>
      </c>
      <c r="C78" s="234" t="str">
        <f>VLOOKUP(ППД4!CO75,Реестр_Д4[Статус],1,0)</f>
        <v>Продажа</v>
      </c>
      <c r="D78" s="612">
        <f>VLOOKUP(ППД4!CE75,Реестр_Д4[Стоимость ОН без отделки со скидкой],1,0)</f>
        <v>5245921.5599999996</v>
      </c>
      <c r="E78" s="612" cm="1">
        <f t="array" ref="E78">IFERROR(INDEX(РД[Стоимость без отделки итог],MATCH($B$3&amp;Таблица4[[#This Row],[№]]&amp;"Продажа",РД[Дом]&amp;РД[№ кв]&amp;РД[Состояние],0),1),Таблица4[[#This Row],[Статус]])</f>
        <v>5245921.5599999996</v>
      </c>
      <c r="F78" s="235">
        <f>IFERROR((Таблица4[[#This Row],[ПП]]-Таблица4[[#This Row],[ДДУ]])*1,"")</f>
        <v>0</v>
      </c>
      <c r="G78" s="235" cm="1">
        <f t="array" ref="G78">IFERROR(INDEX(РД[Стоимость с отделкой итог],MATCH($B$3&amp;Таблица4[[#This Row],[№]]&amp;"Продажа",РД[Дом]&amp;РД[№ кв]&amp;РД[Состояние],0),1),Таблица4[[#This Row],[Статус]])</f>
        <v>6604641.5599999996</v>
      </c>
      <c r="H78" s="235">
        <f>_xlfn.XLOOKUP(Таблица4[[#This Row],[№]],Реестр_Д4[№],Реестр_Д4[Стоимость квартиры с отделкой],"-",0)</f>
        <v>6604641.5599999996</v>
      </c>
      <c r="I78" s="235">
        <f>IFERROR(Таблица4[[#This Row],[СО ПП]]-Таблица4[[#This Row],[СО ДДУ]],"")</f>
        <v>0</v>
      </c>
      <c r="J78" s="233" cm="1">
        <f t="array" ref="J78">IFERROR(INDEX(РД[S],MATCH($B$3&amp;Таблица4[[#This Row],[№]]&amp;"Продажа",РД[Дом]&amp;РД[№ кв]&amp;РД[Состояние],0),1),Таблица4[[#This Row],[Статус]])</f>
        <v>61.76</v>
      </c>
      <c r="K78" s="233">
        <f>VLOOKUP(Таблица4[[#This Row],[№]],Реестр_Д4[],20,0)</f>
        <v>61.76</v>
      </c>
      <c r="L78" s="235">
        <f>IFERROR(Таблица4[[#This Row],[S ПП]]-Таблица4[[#This Row],[S ДДУ]],)</f>
        <v>0</v>
      </c>
      <c r="M78" s="235">
        <f>ROUND(_xlfn.XLOOKUP(Таблица4[[#This Row],[№]],Реестр_Д4[№],Реестр_Д4[Итоговая сумма скидки],"",0),2)</f>
        <v>334846.06</v>
      </c>
      <c r="N78" s="235" cm="1">
        <f t="array" ref="N78">IFERROR(ROUND(_xlfn.XLOOKUP($B$3&amp;Таблица4[[#This Row],[№]]&amp;"Продажа",РД[Дом]&amp;РД[№ кв]&amp;РД[Состояние],РД[Сумма скидки],"",0),2),Таблица4[[#This Row],[Статус]])</f>
        <v>334846.06</v>
      </c>
      <c r="O78" s="235">
        <f>IFERROR(Таблица4[[#This Row],[ППС]]-Таблица4[[#This Row],[ДДУС]],)</f>
        <v>0</v>
      </c>
      <c r="P78" s="611"/>
      <c r="Q78" s="234">
        <f>VLOOKUP(ППД5!A75,Реестр_Д5[№],1,0)</f>
        <v>74</v>
      </c>
      <c r="R78" s="234" t="str">
        <f>VLOOKUP(ППД5!CH75,Реестр_Д5[Статус],1,0)</f>
        <v>Продажа</v>
      </c>
      <c r="S78" s="612">
        <f>VLOOKUP(ППД5!BZ75,Реестр_Д5[Стоимость ОН без отделки со скидкой],1,0)</f>
        <v>7087380</v>
      </c>
      <c r="T78" s="612" cm="1">
        <f t="array" ref="T78">IFERROR(INDEX(РД[Стоимость без отделки итог],MATCH($Q$3&amp;Таблица10[[#This Row],[№]]&amp;"Продажа",РД[Дом]&amp;РД[№ кв]&amp;РД[Состояние],0),1),Таблица10[[#This Row],[Статус]])</f>
        <v>7087380</v>
      </c>
      <c r="U78" s="235">
        <f>IFERROR((Таблица10[[#This Row],[ПП]]-Таблица10[[#This Row],[ДДУ]])*1,)</f>
        <v>0</v>
      </c>
      <c r="V78" s="235" cm="1">
        <f t="array" ref="V78">IFERROR(INDEX(РД[Стоимость с отделкой итог],MATCH($Q$3&amp;Таблица10[[#This Row],[№]]&amp;"Продажа",РД[Дом]&amp;РД[№ кв]&amp;РД[Состояние],0),1),Таблица10[[#This Row],[Статус]])</f>
        <v>7087380</v>
      </c>
      <c r="W78" s="235">
        <f>_xlfn.XLOOKUP(Таблица10[[#This Row],[№]],Реестр_Д5[№],Реестр_Д5[Стоимость квартиры с отделкой],"-",0)</f>
        <v>7087380</v>
      </c>
      <c r="X78" s="235">
        <f>IFERROR(Таблица10[[#This Row],[СО ПП]]-Таблица10[[#This Row],[СО ДДУ]],"")</f>
        <v>0</v>
      </c>
      <c r="Y78" s="233" cm="1">
        <f t="array" ref="Y78">IFERROR(INDEX(РД[S],MATCH($Q$3&amp;Таблица10[[#This Row],[№]]&amp;"Продажа",РД[Дом]&amp;РД[№ кв]&amp;РД[Состояние],0),1),Таблица10[[#This Row],[Статус]])</f>
        <v>62.17</v>
      </c>
      <c r="Z78" s="233">
        <f>IF(Таблица10[[#This Row],[№]]&amp;"ДДУ"=ППД5!A75&amp;ППД5!CR75,ППД5!U75,ППД5!V75)</f>
        <v>62.17</v>
      </c>
      <c r="AA78" s="285">
        <f>IFERROR(Таблица10[[#This Row],[S ПП]]-Таблица10[[#This Row],[S ДДУ]],)</f>
        <v>0</v>
      </c>
      <c r="AB78" s="235">
        <f>ROUND(_xlfn.XLOOKUP(Таблица10[[#This Row],[№]],Реестр_Д5[№],Реестр_Д5[Итоговая сумма скидки],"",0),2)</f>
        <v>636820</v>
      </c>
      <c r="AC78" s="235" cm="1">
        <f t="array" ref="AC78">IFERROR(ROUND(_xlfn.XLOOKUP($Q$3&amp;Таблица10[[#This Row],[№]]&amp;"Продажа",РД[Дом]&amp;РД[№ кв]&amp;РД[Состояние],РД[Сумма скидки],"",0,-1),2),Таблица10[[#This Row],[Статус]])</f>
        <v>636820</v>
      </c>
      <c r="AD78" s="285">
        <f>IFERROR(Таблица10[[#This Row],[ППС]]-Таблица10[[#This Row],[ДДУС]],)</f>
        <v>0</v>
      </c>
      <c r="AE78" s="611"/>
      <c r="AF78" s="615">
        <f>VLOOKUP(ППД401!A75,Д401[],1,0)</f>
        <v>74</v>
      </c>
      <c r="AG78" s="234" t="str">
        <f>_xlfn.XLOOKUP(Таблица1[[#This Row],[№]],Д401[№],Д401[Статус],"-",0)</f>
        <v>Свободно</v>
      </c>
      <c r="AH78" s="612">
        <f>_xlfn.XLOOKUP(Таблица1[[#This Row],[№]],Д401[№],Д401[Стоимость ОН без отделки со скидкой],"-",0)</f>
        <v>5383000</v>
      </c>
      <c r="AI78" s="612" t="str" cm="1">
        <f t="array" ref="AI78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78" s="235" t="str">
        <f>IFERROR((Таблица1[[#This Row],[ПП]]-Таблица1[[#This Row],[ДДУ]])*1,"")</f>
        <v/>
      </c>
      <c r="AK78" s="235" t="str" cm="1">
        <f t="array" ref="AK78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78" s="235">
        <f>_xlfn.XLOOKUP(Таблица1[[#This Row],[№]],Д401[№],Д401[Стоимость квартиры с отделкой],"-",0)</f>
        <v>5383000</v>
      </c>
      <c r="AM78" s="235" t="str">
        <f>IFERROR(Таблица1[[#This Row],[СО ПП]]-Таблица1[[#This Row],[СО ДДУ]],"")</f>
        <v/>
      </c>
      <c r="AN78" s="233" t="str" cm="1">
        <f t="array" ref="AN78">IFERROR(INDEX(РД[S],MATCH($AF$3&amp;Таблица1[[#This Row],[№]]&amp;"Продажа",РД[Дом]&amp;РД[№ кв]&amp;РД[Состояние],0),1),Таблица1[[#This Row],[Статус]])</f>
        <v>Свободно</v>
      </c>
      <c r="AO78" s="233">
        <f>_xlfn.XLOOKUP(Таблица1[[#This Row],[№]],Д401[№],Д401[Расчетная проектная площадь],"-",0)</f>
        <v>38.340000000000003</v>
      </c>
      <c r="AP78" s="235" t="str">
        <f>IFERROR(Таблица1[[#This Row],[S ПП]]-Таблица1[[#This Row],[S ДДУ]],"")</f>
        <v/>
      </c>
      <c r="AQ78" s="235">
        <f>_xlfn.XLOOKUP(Таблица1[[#This Row],[№]],Д401[№],Д401[Итоговая сумма скидки],"-",0)</f>
        <v>0</v>
      </c>
      <c r="AR78" s="235" t="str" cm="1">
        <f t="array" ref="AR78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78" s="285" t="str">
        <f>IFERROR(Таблица1[[#This Row],[ППС]]-Таблица1[[#This Row],[ДДУС]],"")</f>
        <v/>
      </c>
      <c r="AT78" s="611"/>
      <c r="AU78" s="484">
        <f>VLOOKUP(ППД402!A75,Д402[],1,0)</f>
        <v>74</v>
      </c>
      <c r="AV78" s="484" t="str">
        <f>_xlfn.XLOOKUP(Т402[[#This Row],[№]],Д402[№],Д402[Статус],"-",0)</f>
        <v>Стр. Резерв</v>
      </c>
      <c r="AW78" s="613">
        <f>_xlfn.XLOOKUP(Т402[[#This Row],[№]],Д402[№],Д402[Стоимость ОН без отделки со скидкой],"-",0)</f>
        <v>7344400</v>
      </c>
      <c r="AX78" s="614" t="str" cm="1">
        <f t="array" ref="AX7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8" s="485" t="str">
        <f>IFERROR((Т402[[#This Row],[ПП]]-Т402[[#This Row],[ДДУ]])*1,"")</f>
        <v/>
      </c>
      <c r="AZ78" s="486" t="str" cm="1">
        <f t="array" ref="AZ7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8" s="485">
        <f>_xlfn.XLOOKUP(Т402[[#This Row],[№]],Д402[№],Д402[Стоимость квартиры с отделкой],"-",0)</f>
        <v>7344400</v>
      </c>
      <c r="BB78" s="485" t="str">
        <f>IFERROR(Т402[[#This Row],[СО ПП]]-Т402[[#This Row],[СО ДДУ]],"")</f>
        <v/>
      </c>
      <c r="BC78" s="487" t="str" cm="1">
        <f t="array" ref="BC78">IFERROR(INDEX(РД[S],MATCH($AU$3&amp;Т402[[#This Row],[№]]&amp;"Продажа",РД[Дом]&amp;РД[№ кв]&amp;РД[Состояние],0),1),Т402[[#This Row],[Статус]])</f>
        <v>Стр. Резерв</v>
      </c>
      <c r="BD78" s="483">
        <f>_xlfn.XLOOKUP(Т402[[#This Row],[№]],Д402[№],Д402[Расчетная проектная площадь],"-",0)</f>
        <v>59.73</v>
      </c>
      <c r="BE78" s="485" t="str">
        <f>IFERROR(Т402[[#This Row],[S ПП]]-Т402[[#This Row],[S ДДУ]],"")</f>
        <v/>
      </c>
      <c r="BF78" s="485">
        <f>_xlfn.XLOOKUP(Т402[[#This Row],[№]],Д402[№],Д402[Итоговая сумма скидки],"-",0)</f>
        <v>0</v>
      </c>
      <c r="BG78" s="486" t="str" cm="1">
        <f t="array" ref="BG7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8" s="488" t="str">
        <f>IFERROR(Т402[[#This Row],[ППС]]-Т402[[#This Row],[ДДУС]],"")</f>
        <v/>
      </c>
    </row>
    <row r="79" spans="1:60" x14ac:dyDescent="0.2">
      <c r="A79" s="611"/>
      <c r="B79" s="234">
        <f>VLOOKUP(ППД4!A76,Реестр_Д4[№],1,0)</f>
        <v>75</v>
      </c>
      <c r="C79" s="234" t="str">
        <f>VLOOKUP(ППД4!CO76,Реестр_Д4[Статус],1,0)</f>
        <v>Продажа</v>
      </c>
      <c r="D79" s="612">
        <f>VLOOKUP(ППД4!CE76,Реестр_Д4[Стоимость ОН без отделки со скидкой],1,0)</f>
        <v>3207753.3</v>
      </c>
      <c r="E79" s="612" cm="1">
        <f t="array" ref="E79">IFERROR(INDEX(РД[Стоимость без отделки итог],MATCH($B$3&amp;Таблица4[[#This Row],[№]]&amp;"Продажа",РД[Дом]&amp;РД[№ кв]&amp;РД[Состояние],0),1),Таблица4[[#This Row],[Статус]])</f>
        <v>3207753.3</v>
      </c>
      <c r="F79" s="235">
        <f>IFERROR((Таблица4[[#This Row],[ПП]]-Таблица4[[#This Row],[ДДУ]])*1,"")</f>
        <v>0</v>
      </c>
      <c r="G79" s="235" cm="1">
        <f t="array" ref="G79">IFERROR(INDEX(РД[Стоимость с отделкой итог],MATCH($B$3&amp;Таблица4[[#This Row],[№]]&amp;"Продажа",РД[Дом]&amp;РД[№ кв]&amp;РД[Состояние],0),1),Таблица4[[#This Row],[Статус]])</f>
        <v>3349913.3</v>
      </c>
      <c r="H79" s="235">
        <f>_xlfn.XLOOKUP(Таблица4[[#This Row],[№]],Реестр_Д4[№],Реестр_Д4[Стоимость квартиры с отделкой],"-",0)</f>
        <v>3349913.3</v>
      </c>
      <c r="I79" s="235">
        <f>IFERROR(Таблица4[[#This Row],[СО ПП]]-Таблица4[[#This Row],[СО ДДУ]],"")</f>
        <v>0</v>
      </c>
      <c r="J79" s="233" cm="1">
        <f t="array" ref="J79">IFERROR(INDEX(РД[S],MATCH($B$3&amp;Таблица4[[#This Row],[№]]&amp;"Продажа",РД[Дом]&amp;РД[№ кв]&amp;РД[Состояние],0),1),Таблица4[[#This Row],[Статус]])</f>
        <v>35.54</v>
      </c>
      <c r="K79" s="233">
        <f>VLOOKUP(Таблица4[[#This Row],[№]],Реестр_Д4[],20,0)</f>
        <v>35.54</v>
      </c>
      <c r="L79" s="235">
        <f>IFERROR(Таблица4[[#This Row],[S ПП]]-Таблица4[[#This Row],[S ДДУ]],)</f>
        <v>0</v>
      </c>
      <c r="M79" s="235">
        <f>ROUND(_xlfn.XLOOKUP(Таблица4[[#This Row],[№]],Реестр_Д4[№],Реестр_Д4[Итоговая сумма скидки],"",0),2)</f>
        <v>99208.87</v>
      </c>
      <c r="N79" s="235" cm="1">
        <f t="array" ref="N79">IFERROR(ROUND(_xlfn.XLOOKUP($B$3&amp;Таблица4[[#This Row],[№]]&amp;"Продажа",РД[Дом]&amp;РД[№ кв]&amp;РД[Состояние],РД[Сумма скидки],"",0),2),Таблица4[[#This Row],[Статус]])</f>
        <v>99208.87</v>
      </c>
      <c r="O79" s="235">
        <f>IFERROR(Таблица4[[#This Row],[ППС]]-Таблица4[[#This Row],[ДДУС]],)</f>
        <v>0</v>
      </c>
      <c r="P79" s="611"/>
      <c r="Q79" s="234">
        <f>VLOOKUP(ППД5!A76,Реестр_Д5[№],1,0)</f>
        <v>75</v>
      </c>
      <c r="R79" s="234" t="str">
        <f>VLOOKUP(ППД5!CH76,Реестр_Д5[Статус],1,0)</f>
        <v>Гарантированная бронь</v>
      </c>
      <c r="S79" s="612">
        <f>VLOOKUP(ППД5!BZ76,Реестр_Д5[Стоимость ОН без отделки со скидкой],1,0)</f>
        <v>7238500</v>
      </c>
      <c r="T79" s="612" t="str" cm="1">
        <f t="array" ref="T79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79" s="235">
        <f>IFERROR((Таблица10[[#This Row],[ПП]]-Таблица10[[#This Row],[ДДУ]])*1,)</f>
        <v>0</v>
      </c>
      <c r="V79" s="235" t="str" cm="1">
        <f t="array" ref="V79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79" s="235">
        <f>_xlfn.XLOOKUP(Таблица10[[#This Row],[№]],Реестр_Д5[№],Реестр_Д5[Стоимость квартиры с отделкой],"-",0)</f>
        <v>7238500</v>
      </c>
      <c r="X79" s="235" t="str">
        <f>IFERROR(Таблица10[[#This Row],[СО ПП]]-Таблица10[[#This Row],[СО ДДУ]],"")</f>
        <v/>
      </c>
      <c r="Y79" s="233" t="str" cm="1">
        <f t="array" ref="Y79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79" s="233">
        <f>IF(Таблица10[[#This Row],[№]]&amp;"ДДУ"=ППД5!A76&amp;ППД5!CR76,ППД5!U76,ППД5!V76)</f>
        <v>57.999999999999993</v>
      </c>
      <c r="AA79" s="285">
        <f>IFERROR(Таблица10[[#This Row],[S ПП]]-Таблица10[[#This Row],[S ДДУ]],)</f>
        <v>0</v>
      </c>
      <c r="AB79" s="235">
        <f>ROUND(_xlfn.XLOOKUP(Таблица10[[#This Row],[№]],Реестр_Д5[№],Реестр_Д5[Итоговая сумма скидки],"",0),2)</f>
        <v>0</v>
      </c>
      <c r="AC79" s="235" t="str" cm="1">
        <f t="array" ref="AC79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79" s="285">
        <f>IFERROR(Таблица10[[#This Row],[ППС]]-Таблица10[[#This Row],[ДДУС]],)</f>
        <v>0</v>
      </c>
      <c r="AE79" s="611"/>
      <c r="AF79" s="615">
        <f>VLOOKUP(ППД401!A76,Д401[],1,0)</f>
        <v>75</v>
      </c>
      <c r="AG79" s="234" t="str">
        <f>_xlfn.XLOOKUP(Таблица1[[#This Row],[№]],Д401[№],Д401[Статус],"-",0)</f>
        <v>Стр. Резерв</v>
      </c>
      <c r="AH79" s="612">
        <f>_xlfn.XLOOKUP(Таблица1[[#This Row],[№]],Д401[№],Д401[Стоимость ОН без отделки со скидкой],"-",0)</f>
        <v>6406300</v>
      </c>
      <c r="AI79" s="612" t="str" cm="1">
        <f t="array" ref="AI79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79" s="235" t="str">
        <f>IFERROR((Таблица1[[#This Row],[ПП]]-Таблица1[[#This Row],[ДДУ]])*1,"")</f>
        <v/>
      </c>
      <c r="AK79" s="235" t="str" cm="1">
        <f t="array" ref="AK79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79" s="235">
        <f>_xlfn.XLOOKUP(Таблица1[[#This Row],[№]],Д401[№],Д401[Стоимость квартиры с отделкой],"-",0)</f>
        <v>6406300</v>
      </c>
      <c r="AM79" s="235" t="str">
        <f>IFERROR(Таблица1[[#This Row],[СО ПП]]-Таблица1[[#This Row],[СО ДДУ]],"")</f>
        <v/>
      </c>
      <c r="AN79" s="233" t="str" cm="1">
        <f t="array" ref="AN79">IFERROR(INDEX(РД[S],MATCH($AF$3&amp;Таблица1[[#This Row],[№]]&amp;"Продажа",РД[Дом]&amp;РД[№ кв]&amp;РД[Состояние],0),1),Таблица1[[#This Row],[Статус]])</f>
        <v>Стр. Резерв</v>
      </c>
      <c r="AO79" s="233">
        <f>_xlfn.XLOOKUP(Таблица1[[#This Row],[№]],Д401[№],Д401[Расчетная проектная площадь],"-",0)</f>
        <v>45.21</v>
      </c>
      <c r="AP79" s="235" t="str">
        <f>IFERROR(Таблица1[[#This Row],[S ПП]]-Таблица1[[#This Row],[S ДДУ]],"")</f>
        <v/>
      </c>
      <c r="AQ79" s="235">
        <f>_xlfn.XLOOKUP(Таблица1[[#This Row],[№]],Д401[№],Д401[Итоговая сумма скидки],"-",0)</f>
        <v>0</v>
      </c>
      <c r="AR79" s="235" t="str" cm="1">
        <f t="array" ref="AR79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79" s="285" t="str">
        <f>IFERROR(Таблица1[[#This Row],[ППС]]-Таблица1[[#This Row],[ДДУС]],"")</f>
        <v/>
      </c>
      <c r="AT79" s="611"/>
      <c r="AU79" s="484">
        <f>VLOOKUP(ППД402!A76,Д402[],1,0)</f>
        <v>75</v>
      </c>
      <c r="AV79" s="484" t="str">
        <f>_xlfn.XLOOKUP(Т402[[#This Row],[№]],Д402[№],Д402[Статус],"-",0)</f>
        <v>Стр. Резерв</v>
      </c>
      <c r="AW79" s="613">
        <f>_xlfn.XLOOKUP(Т402[[#This Row],[№]],Д402[№],Д402[Стоимость ОН без отделки со скидкой],"-",0)</f>
        <v>6564400</v>
      </c>
      <c r="AX79" s="614" t="str" cm="1">
        <f t="array" ref="AX7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79" s="485" t="str">
        <f>IFERROR((Т402[[#This Row],[ПП]]-Т402[[#This Row],[ДДУ]])*1,"")</f>
        <v/>
      </c>
      <c r="AZ79" s="486" t="str" cm="1">
        <f t="array" ref="AZ7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79" s="485">
        <f>_xlfn.XLOOKUP(Т402[[#This Row],[№]],Д402[№],Д402[Стоимость квартиры с отделкой],"-",0)</f>
        <v>6564400</v>
      </c>
      <c r="BB79" s="485" t="str">
        <f>IFERROR(Т402[[#This Row],[СО ПП]]-Т402[[#This Row],[СО ДДУ]],"")</f>
        <v/>
      </c>
      <c r="BC79" s="487" t="str" cm="1">
        <f t="array" ref="BC79">IFERROR(INDEX(РД[S],MATCH($AU$3&amp;Т402[[#This Row],[№]]&amp;"Продажа",РД[Дом]&amp;РД[№ кв]&amp;РД[Состояние],0),1),Т402[[#This Row],[Статус]])</f>
        <v>Стр. Резерв</v>
      </c>
      <c r="BD79" s="483">
        <f>_xlfn.XLOOKUP(Т402[[#This Row],[№]],Д402[№],Д402[Расчетная проектная площадь],"-",0)</f>
        <v>54.47</v>
      </c>
      <c r="BE79" s="485" t="str">
        <f>IFERROR(Т402[[#This Row],[S ПП]]-Т402[[#This Row],[S ДДУ]],"")</f>
        <v/>
      </c>
      <c r="BF79" s="485">
        <f>_xlfn.XLOOKUP(Т402[[#This Row],[№]],Д402[№],Д402[Итоговая сумма скидки],"-",0)</f>
        <v>0</v>
      </c>
      <c r="BG79" s="486" t="str" cm="1">
        <f t="array" ref="BG7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79" s="488" t="str">
        <f>IFERROR(Т402[[#This Row],[ППС]]-Т402[[#This Row],[ДДУС]],"")</f>
        <v/>
      </c>
    </row>
    <row r="80" spans="1:60" x14ac:dyDescent="0.2">
      <c r="A80" s="611"/>
      <c r="B80" s="234">
        <f>VLOOKUP(ППД4!A77,Реестр_Д4[№],1,0)</f>
        <v>76</v>
      </c>
      <c r="C80" s="234" t="str">
        <f>VLOOKUP(ППД4!CO77,Реестр_Д4[Статус],1,0)</f>
        <v>Продажа</v>
      </c>
      <c r="D80" s="612">
        <f>VLOOKUP(ППД4!CE77,Реестр_Д4[Стоимость ОН без отделки со скидкой],1,0)</f>
        <v>4066653.93</v>
      </c>
      <c r="E80" s="612" cm="1">
        <f t="array" ref="E80">IFERROR(INDEX(РД[Стоимость без отделки итог],MATCH($B$3&amp;Таблица4[[#This Row],[№]]&amp;"Продажа",РД[Дом]&amp;РД[№ кв]&amp;РД[Состояние],0),1),Таблица4[[#This Row],[Статус]])</f>
        <v>4066653.9299999997</v>
      </c>
      <c r="F80" s="235">
        <f>IFERROR((Таблица4[[#This Row],[ПП]]-Таблица4[[#This Row],[ДДУ]])*1,"")</f>
        <v>4.6566128730773926E-10</v>
      </c>
      <c r="G80" s="235" cm="1">
        <f t="array" ref="G80">IFERROR(INDEX(РД[Стоимость с отделкой итог],MATCH($B$3&amp;Таблица4[[#This Row],[№]]&amp;"Продажа",РД[Дом]&amp;РД[№ кв]&amp;РД[Состояние],0),1),Таблица4[[#This Row],[Статус]])</f>
        <v>4290773.93</v>
      </c>
      <c r="H80" s="235">
        <f>_xlfn.XLOOKUP(Таблица4[[#This Row],[№]],Реестр_Д4[№],Реестр_Д4[Стоимость квартиры с отделкой],"-",0)</f>
        <v>4290773.93</v>
      </c>
      <c r="I80" s="235">
        <f>IFERROR(Таблица4[[#This Row],[СО ПП]]-Таблица4[[#This Row],[СО ДДУ]],"")</f>
        <v>0</v>
      </c>
      <c r="J80" s="233" cm="1">
        <f t="array" ref="J80">IFERROR(INDEX(РД[S],MATCH($B$3&amp;Таблица4[[#This Row],[№]]&amp;"Продажа",РД[Дом]&amp;РД[№ кв]&amp;РД[Состояние],0),1),Таблица4[[#This Row],[Статус]])</f>
        <v>56.03</v>
      </c>
      <c r="K80" s="233">
        <f>VLOOKUP(Таблица4[[#This Row],[№]],Реестр_Д4[],20,0)</f>
        <v>56.03</v>
      </c>
      <c r="L80" s="235">
        <f>IFERROR(Таблица4[[#This Row],[S ПП]]-Таблица4[[#This Row],[S ДДУ]],)</f>
        <v>0</v>
      </c>
      <c r="M80" s="235">
        <f>ROUND(_xlfn.XLOOKUP(Таблица4[[#This Row],[№]],Реестр_Д4[№],Реестр_Д4[Итоговая сумма скидки],"",0),2)</f>
        <v>259573.65</v>
      </c>
      <c r="N80" s="235" cm="1">
        <f t="array" ref="N80">IFERROR(ROUND(_xlfn.XLOOKUP($B$3&amp;Таблица4[[#This Row],[№]]&amp;"Продажа",РД[Дом]&amp;РД[№ кв]&amp;РД[Состояние],РД[Сумма скидки],"",0),2),Таблица4[[#This Row],[Статус]])</f>
        <v>259573.65</v>
      </c>
      <c r="O80" s="235">
        <f>IFERROR(Таблица4[[#This Row],[ППС]]-Таблица4[[#This Row],[ДДУС]],)</f>
        <v>0</v>
      </c>
      <c r="P80" s="611"/>
      <c r="Q80" s="234">
        <f>VLOOKUP(ППД5!A77,Реестр_Д5[№],1,0)</f>
        <v>76</v>
      </c>
      <c r="R80" s="234" t="str">
        <f>VLOOKUP(ППД5!CH77,Реестр_Д5[Статус],1,0)</f>
        <v>Продажа</v>
      </c>
      <c r="S80" s="612">
        <f>VLOOKUP(ППД5!BZ77,Реестр_Д5[Стоимость ОН без отделки со скидкой],1,0)</f>
        <v>3955944.6</v>
      </c>
      <c r="T80" s="612" cm="1">
        <f t="array" ref="T80">IFERROR(INDEX(РД[Стоимость без отделки итог],MATCH($Q$3&amp;Таблица10[[#This Row],[№]]&amp;"Продажа",РД[Дом]&amp;РД[№ кв]&amp;РД[Состояние],0),1),Таблица10[[#This Row],[Статус]])</f>
        <v>3955944.5999999996</v>
      </c>
      <c r="U80" s="235">
        <f>IFERROR((Таблица10[[#This Row],[ПП]]-Таблица10[[#This Row],[ДДУ]])*1,)</f>
        <v>4.6566128730773926E-10</v>
      </c>
      <c r="V80" s="235" cm="1">
        <f t="array" ref="V80">IFERROR(INDEX(РД[Стоимость с отделкой итог],MATCH($Q$3&amp;Таблица10[[#This Row],[№]]&amp;"Продажа",РД[Дом]&amp;РД[№ кв]&amp;РД[Состояние],0),1),Таблица10[[#This Row],[Статус]])</f>
        <v>4276569.5999999996</v>
      </c>
      <c r="W80" s="235">
        <f>_xlfn.XLOOKUP(Таблица10[[#This Row],[№]],Реестр_Д5[№],Реестр_Д5[Стоимость квартиры с отделкой],"-",0)</f>
        <v>4276569.6000000006</v>
      </c>
      <c r="X80" s="235">
        <f>IFERROR(Таблица10[[#This Row],[СО ПП]]-Таблица10[[#This Row],[СО ДДУ]],"")</f>
        <v>9.3132257461547852E-10</v>
      </c>
      <c r="Y80" s="233" cm="1">
        <f t="array" ref="Y80">IFERROR(INDEX(РД[S],MATCH($Q$3&amp;Таблица10[[#This Row],[№]]&amp;"Продажа",РД[Дом]&amp;РД[№ кв]&amp;РД[Состояние],0),1),Таблица10[[#This Row],[Статус]])</f>
        <v>42.75</v>
      </c>
      <c r="Z80" s="233">
        <f>IF(Таблица10[[#This Row],[№]]&amp;"ДДУ"=ППД5!A77&amp;ППД5!CR77,ППД5!U77,ППД5!V77)</f>
        <v>42.75</v>
      </c>
      <c r="AA80" s="285">
        <f>IFERROR(Таблица10[[#This Row],[S ПП]]-Таблица10[[#This Row],[S ДДУ]],)</f>
        <v>0</v>
      </c>
      <c r="AB80" s="235">
        <f>ROUND(_xlfn.XLOOKUP(Таблица10[[#This Row],[№]],Реестр_Д5[№],Реестр_Д5[Итоговая сумма скидки],"",0),2)</f>
        <v>80733.56</v>
      </c>
      <c r="AC80" s="235" cm="1">
        <f t="array" ref="AC80">IFERROR(ROUND(_xlfn.XLOOKUP($Q$3&amp;Таблица10[[#This Row],[№]]&amp;"Продажа",РД[Дом]&amp;РД[№ кв]&amp;РД[Состояние],РД[Сумма скидки],"",0,-1),2),Таблица10[[#This Row],[Статус]])</f>
        <v>80733.56</v>
      </c>
      <c r="AD80" s="285">
        <f>IFERROR(Таблица10[[#This Row],[ППС]]-Таблица10[[#This Row],[ДДУС]],)</f>
        <v>0</v>
      </c>
      <c r="AE80" s="611"/>
      <c r="AF80" s="615">
        <f>VLOOKUP(ППД401!A77,Д401[],1,0)</f>
        <v>76</v>
      </c>
      <c r="AG80" s="234" t="str">
        <f>_xlfn.XLOOKUP(Таблица1[[#This Row],[№]],Д401[№],Д401[Статус],"-",0)</f>
        <v>Стр. Резерв</v>
      </c>
      <c r="AH80" s="612">
        <f>_xlfn.XLOOKUP(Таблица1[[#This Row],[№]],Д401[№],Д401[Стоимость ОН без отделки со скидкой],"-",0)</f>
        <v>6302263</v>
      </c>
      <c r="AI80" s="612" t="str" cm="1">
        <f t="array" ref="AI80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80" s="235" t="str">
        <f>IFERROR((Таблица1[[#This Row],[ПП]]-Таблица1[[#This Row],[ДДУ]])*1,"")</f>
        <v/>
      </c>
      <c r="AK80" s="235" t="str" cm="1">
        <f t="array" ref="AK80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80" s="235">
        <f>_xlfn.XLOOKUP(Таблица1[[#This Row],[№]],Д401[№],Д401[Стоимость квартиры с отделкой],"-",0)</f>
        <v>6302263</v>
      </c>
      <c r="AM80" s="235" t="str">
        <f>IFERROR(Таблица1[[#This Row],[СО ПП]]-Таблица1[[#This Row],[СО ДДУ]],"")</f>
        <v/>
      </c>
      <c r="AN80" s="233" t="str" cm="1">
        <f t="array" ref="AN80">IFERROR(INDEX(РД[S],MATCH($AF$3&amp;Таблица1[[#This Row],[№]]&amp;"Продажа",РД[Дом]&amp;РД[№ кв]&amp;РД[Состояние],0),1),Таблица1[[#This Row],[Статус]])</f>
        <v>Стр. Резерв</v>
      </c>
      <c r="AO80" s="233">
        <f>_xlfn.XLOOKUP(Таблица1[[#This Row],[№]],Д401[№],Д401[Расчетная проектная площадь],"-",0)</f>
        <v>49.39</v>
      </c>
      <c r="AP80" s="235" t="str">
        <f>IFERROR(Таблица1[[#This Row],[S ПП]]-Таблица1[[#This Row],[S ДДУ]],"")</f>
        <v/>
      </c>
      <c r="AQ80" s="235">
        <f>_xlfn.XLOOKUP(Таблица1[[#This Row],[№]],Д401[№],Д401[Итоговая сумма скидки],"-",0)</f>
        <v>0</v>
      </c>
      <c r="AR80" s="235" t="str" cm="1">
        <f t="array" ref="AR80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80" s="285" t="str">
        <f>IFERROR(Таблица1[[#This Row],[ППС]]-Таблица1[[#This Row],[ДДУС]],"")</f>
        <v/>
      </c>
      <c r="AT80" s="611"/>
      <c r="AU80" s="484">
        <f>VLOOKUP(ППД402!A77,Д402[],1,0)</f>
        <v>76</v>
      </c>
      <c r="AV80" s="484" t="str">
        <f>_xlfn.XLOOKUP(Т402[[#This Row],[№]],Д402[№],Д402[Статус],"-",0)</f>
        <v>Свободно</v>
      </c>
      <c r="AW80" s="613">
        <f>_xlfn.XLOOKUP(Т402[[#This Row],[№]],Д402[№],Д402[Стоимость ОН без отделки со скидкой],"-",0)</f>
        <v>6679600</v>
      </c>
      <c r="AX80" s="614" t="str" cm="1">
        <f t="array" ref="AX80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80" s="485" t="str">
        <f>IFERROR((Т402[[#This Row],[ПП]]-Т402[[#This Row],[ДДУ]])*1,"")</f>
        <v/>
      </c>
      <c r="AZ80" s="486" t="str" cm="1">
        <f t="array" ref="AZ80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80" s="485">
        <f>_xlfn.XLOOKUP(Т402[[#This Row],[№]],Д402[№],Д402[Стоимость квартиры с отделкой],"-",0)</f>
        <v>6679600</v>
      </c>
      <c r="BB80" s="485" t="str">
        <f>IFERROR(Т402[[#This Row],[СО ПП]]-Т402[[#This Row],[СО ДДУ]],"")</f>
        <v/>
      </c>
      <c r="BC80" s="487" t="str" cm="1">
        <f t="array" ref="BC80">IFERROR(INDEX(РД[S],MATCH($AU$3&amp;Т402[[#This Row],[№]]&amp;"Продажа",РД[Дом]&amp;РД[№ кв]&amp;РД[Состояние],0),1),Т402[[#This Row],[Статус]])</f>
        <v>Свободно</v>
      </c>
      <c r="BD80" s="483">
        <f>_xlfn.XLOOKUP(Т402[[#This Row],[№]],Д402[№],Д402[Расчетная проектная площадь],"-",0)</f>
        <v>54.4</v>
      </c>
      <c r="BE80" s="485" t="str">
        <f>IFERROR(Т402[[#This Row],[S ПП]]-Т402[[#This Row],[S ДДУ]],"")</f>
        <v/>
      </c>
      <c r="BF80" s="485">
        <f>_xlfn.XLOOKUP(Т402[[#This Row],[№]],Д402[№],Д402[Итоговая сумма скидки],"-",0)</f>
        <v>0</v>
      </c>
      <c r="BG80" s="486" t="str" cm="1">
        <f t="array" ref="BG80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80" s="488" t="str">
        <f>IFERROR(Т402[[#This Row],[ППС]]-Т402[[#This Row],[ДДУС]],"")</f>
        <v/>
      </c>
    </row>
    <row r="81" spans="1:60" x14ac:dyDescent="0.2">
      <c r="A81" s="611"/>
      <c r="B81" s="234">
        <f>VLOOKUP(ППД4!A78,Реестр_Д4[№],1,0)</f>
        <v>77</v>
      </c>
      <c r="C81" s="234" t="str">
        <f>VLOOKUP(ППД4!CO78,Реестр_Д4[Статус],1,0)</f>
        <v>Продажа</v>
      </c>
      <c r="D81" s="612">
        <f>VLOOKUP(ППД4!CE78,Реестр_Д4[Стоимость ОН без отделки со скидкой],1,0)</f>
        <v>3901162.91</v>
      </c>
      <c r="E81" s="612" cm="1">
        <f t="array" ref="E81">IFERROR(INDEX(РД[Стоимость без отделки итог],MATCH($B$3&amp;Таблица4[[#This Row],[№]]&amp;"Продажа",РД[Дом]&amp;РД[№ кв]&amp;РД[Состояние],0),1),Таблица4[[#This Row],[Статус]])</f>
        <v>3901162.91</v>
      </c>
      <c r="F81" s="235">
        <f>IFERROR((Таблица4[[#This Row],[ПП]]-Таблица4[[#This Row],[ДДУ]])*1,"")</f>
        <v>0</v>
      </c>
      <c r="G81" s="235" cm="1">
        <f t="array" ref="G81">IFERROR(INDEX(РД[Стоимость с отделкой итог],MATCH($B$3&amp;Таблица4[[#This Row],[№]]&amp;"Продажа",РД[Дом]&amp;РД[№ кв]&amp;РД[Состояние],0),1),Таблица4[[#This Row],[Статус]])</f>
        <v>4311112.91</v>
      </c>
      <c r="H81" s="235">
        <f>_xlfn.XLOOKUP(Таблица4[[#This Row],[№]],Реестр_Д4[№],Реестр_Д4[Стоимость квартиры с отделкой],"-",0)</f>
        <v>4311112.91</v>
      </c>
      <c r="I81" s="235">
        <f>IFERROR(Таблица4[[#This Row],[СО ПП]]-Таблица4[[#This Row],[СО ДДУ]],"")</f>
        <v>0</v>
      </c>
      <c r="J81" s="233" cm="1">
        <f t="array" ref="J81">IFERROR(INDEX(РД[S],MATCH($B$3&amp;Таблица4[[#This Row],[№]]&amp;"Продажа",РД[Дом]&amp;РД[№ кв]&amp;РД[Состояние],0),1),Таблица4[[#This Row],[Статус]])</f>
        <v>54.66</v>
      </c>
      <c r="K81" s="233">
        <f>VLOOKUP(Таблица4[[#This Row],[№]],Реестр_Д4[],20,0)</f>
        <v>54.66</v>
      </c>
      <c r="L81" s="235">
        <f>IFERROR(Таблица4[[#This Row],[S ПП]]-Таблица4[[#This Row],[S ДДУ]],)</f>
        <v>0</v>
      </c>
      <c r="M81" s="235">
        <f>ROUND(_xlfn.XLOOKUP(Таблица4[[#This Row],[№]],Реестр_Д4[№],Реестр_Д4[Итоговая сумма скидки],"",0),2)</f>
        <v>0</v>
      </c>
      <c r="N81" s="235" cm="1">
        <f t="array" ref="N8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1" s="235">
        <f>IFERROR(Таблица4[[#This Row],[ППС]]-Таблица4[[#This Row],[ДДУС]],)</f>
        <v>0</v>
      </c>
      <c r="P81" s="611"/>
      <c r="Q81" s="234">
        <f>VLOOKUP(ППД5!A78,Реестр_Д5[№],1,0)</f>
        <v>77</v>
      </c>
      <c r="R81" s="234" t="str">
        <f>VLOOKUP(ППД5!CH78,Реестр_Д5[Статус],1,0)</f>
        <v>Продажа</v>
      </c>
      <c r="S81" s="612">
        <f>VLOOKUP(ППД5!BZ78,Реестр_Д5[Стоимость ОН без отделки со скидкой],1,0)</f>
        <v>4204788</v>
      </c>
      <c r="T81" s="612" cm="1">
        <f t="array" ref="T81">IFERROR(INDEX(РД[Стоимость без отделки итог],MATCH($Q$3&amp;Таблица10[[#This Row],[№]]&amp;"Продажа",РД[Дом]&amp;РД[№ кв]&amp;РД[Состояние],0),1),Таблица10[[#This Row],[Статус]])</f>
        <v>4204788</v>
      </c>
      <c r="U81" s="235">
        <f>IFERROR((Таблица10[[#This Row],[ПП]]-Таблица10[[#This Row],[ДДУ]])*1,)</f>
        <v>0</v>
      </c>
      <c r="V81" s="235" cm="1">
        <f t="array" ref="V81">IFERROR(INDEX(РД[Стоимость с отделкой итог],MATCH($Q$3&amp;Таблица10[[#This Row],[№]]&amp;"Продажа",РД[Дом]&amp;РД[№ кв]&amp;РД[Состояние],0),1),Таблица10[[#This Row],[Статус]])</f>
        <v>4479908</v>
      </c>
      <c r="W81" s="235">
        <f>_xlfn.XLOOKUP(Таблица10[[#This Row],[№]],Реестр_Д5[№],Реестр_Д5[Стоимость квартиры с отделкой],"-",0)</f>
        <v>4479908</v>
      </c>
      <c r="X81" s="235">
        <f>IFERROR(Таблица10[[#This Row],[СО ПП]]-Таблица10[[#This Row],[СО ДДУ]],"")</f>
        <v>0</v>
      </c>
      <c r="Y81" s="233" cm="1">
        <f t="array" ref="Y81">IFERROR(INDEX(РД[S],MATCH($Q$3&amp;Таблица10[[#This Row],[№]]&amp;"Продажа",РД[Дом]&amp;РД[№ кв]&amp;РД[Состояние],0),1),Таблица10[[#This Row],[Статус]])</f>
        <v>34.39</v>
      </c>
      <c r="Z81" s="233">
        <f>IF(Таблица10[[#This Row],[№]]&amp;"ДДУ"=ППД5!A78&amp;ППД5!CR78,ППД5!U78,ППД5!V78)</f>
        <v>34.39</v>
      </c>
      <c r="AA81" s="285">
        <f>IFERROR(Таблица10[[#This Row],[S ПП]]-Таблица10[[#This Row],[S ДДУ]],)</f>
        <v>0</v>
      </c>
      <c r="AB81" s="235">
        <f>ROUND(_xlfn.XLOOKUP(Таблица10[[#This Row],[№]],Реестр_Д5[№],Реестр_Д5[Итоговая сумма скидки],"",0),2)</f>
        <v>85812</v>
      </c>
      <c r="AC81" s="235" cm="1">
        <f t="array" ref="AC81">IFERROR(ROUND(_xlfn.XLOOKUP($Q$3&amp;Таблица10[[#This Row],[№]]&amp;"Продажа",РД[Дом]&amp;РД[№ кв]&amp;РД[Состояние],РД[Сумма скидки],"",0,-1),2),Таблица10[[#This Row],[Статус]])</f>
        <v>85812</v>
      </c>
      <c r="AD81" s="285">
        <f>IFERROR(Таблица10[[#This Row],[ППС]]-Таблица10[[#This Row],[ДДУС]],)</f>
        <v>0</v>
      </c>
      <c r="AE81" s="611"/>
      <c r="AF81" s="615">
        <f>VLOOKUP(ППД401!A78,Д401[],1,0)</f>
        <v>77</v>
      </c>
      <c r="AG81" s="234" t="str">
        <f>_xlfn.XLOOKUP(Таблица1[[#This Row],[№]],Д401[№],Д401[Статус],"-",0)</f>
        <v>Свободно</v>
      </c>
      <c r="AH81" s="612">
        <f>_xlfn.XLOOKUP(Таблица1[[#This Row],[№]],Д401[№],Д401[Стоимость ОН без отделки со скидкой],"-",0)</f>
        <v>9350000</v>
      </c>
      <c r="AI81" s="612" t="str" cm="1">
        <f t="array" ref="AI81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81" s="235" t="str">
        <f>IFERROR((Таблица1[[#This Row],[ПП]]-Таблица1[[#This Row],[ДДУ]])*1,"")</f>
        <v/>
      </c>
      <c r="AK81" s="235" t="str" cm="1">
        <f t="array" ref="AK81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81" s="235">
        <f>_xlfn.XLOOKUP(Таблица1[[#This Row],[№]],Д401[№],Д401[Стоимость квартиры с отделкой],"-",0)</f>
        <v>9350000</v>
      </c>
      <c r="AM81" s="235" t="str">
        <f>IFERROR(Таблица1[[#This Row],[СО ПП]]-Таблица1[[#This Row],[СО ДДУ]],"")</f>
        <v/>
      </c>
      <c r="AN81" s="233" t="str" cm="1">
        <f t="array" ref="AN81">IFERROR(INDEX(РД[S],MATCH($AF$3&amp;Таблица1[[#This Row],[№]]&amp;"Продажа",РД[Дом]&amp;РД[№ кв]&amp;РД[Состояние],0),1),Таблица1[[#This Row],[Статус]])</f>
        <v>Свободно</v>
      </c>
      <c r="AO81" s="233">
        <f>_xlfn.XLOOKUP(Таблица1[[#This Row],[№]],Д401[№],Д401[Расчетная проектная площадь],"-",0)</f>
        <v>74.8</v>
      </c>
      <c r="AP81" s="235" t="str">
        <f>IFERROR(Таблица1[[#This Row],[S ПП]]-Таблица1[[#This Row],[S ДДУ]],"")</f>
        <v/>
      </c>
      <c r="AQ81" s="235">
        <f>_xlfn.XLOOKUP(Таблица1[[#This Row],[№]],Д401[№],Д401[Итоговая сумма скидки],"-",0)</f>
        <v>0</v>
      </c>
      <c r="AR81" s="235" t="str" cm="1">
        <f t="array" ref="AR81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81" s="285" t="str">
        <f>IFERROR(Таблица1[[#This Row],[ППС]]-Таблица1[[#This Row],[ДДУС]],"")</f>
        <v/>
      </c>
      <c r="AT81" s="611"/>
      <c r="AU81" s="484">
        <f>VLOOKUP(ППД402!A78,Д402[],1,0)</f>
        <v>77</v>
      </c>
      <c r="AV81" s="484" t="str">
        <f>_xlfn.XLOOKUP(Т402[[#This Row],[№]],Д402[№],Д402[Статус],"-",0)</f>
        <v>Продажа</v>
      </c>
      <c r="AW81" s="613">
        <f>_xlfn.XLOOKUP(Т402[[#This Row],[№]],Д402[№],Д402[Стоимость ОН без отделки со скидкой],"-",0)</f>
        <v>4769700</v>
      </c>
      <c r="AX81" s="614" cm="1">
        <f t="array" ref="AX81">IFERROR(INDEX(РД[Стоимость без отделки итог],MATCH($AU$3&amp;Т402[[#This Row],[№]]&amp;"Продажа",РД[Дом]&amp;РД[№ кв]&amp;РД[Состояние],0),1),Т402[[#This Row],[Статус]])</f>
        <v>4769700</v>
      </c>
      <c r="AY81" s="485">
        <f>IFERROR((Т402[[#This Row],[ПП]]-Т402[[#This Row],[ДДУ]])*1,"")</f>
        <v>0</v>
      </c>
      <c r="AZ81" s="486" cm="1">
        <f t="array" ref="AZ81">IFERROR(INDEX(РД[Стоимость с отделкой итог],MATCH($AU$3&amp;Т402[[#This Row],[№]]&amp;"Продажа",РД[Дом]&amp;РД[№ кв]&amp;РД[Состояние],0),1),Т402[[#This Row],[Статус]])</f>
        <v>4769700</v>
      </c>
      <c r="BA81" s="485">
        <f>_xlfn.XLOOKUP(Т402[[#This Row],[№]],Д402[№],Д402[Стоимость квартиры с отделкой],"-",0)</f>
        <v>4769700</v>
      </c>
      <c r="BB81" s="485">
        <f>IFERROR(Т402[[#This Row],[СО ПП]]-Т402[[#This Row],[СО ДДУ]],"")</f>
        <v>0</v>
      </c>
      <c r="BC81" s="487" cm="1">
        <f t="array" ref="BC81">IFERROR(INDEX(РД[S],MATCH($AU$3&amp;Т402[[#This Row],[№]]&amp;"Продажа",РД[Дом]&amp;РД[№ кв]&amp;РД[Состояние],0),1),Т402[[#This Row],[Статус]])</f>
        <v>36.64</v>
      </c>
      <c r="BD81" s="483">
        <f>_xlfn.XLOOKUP(Т402[[#This Row],[№]],Д402[№],Д402[Расчетная проектная площадь],"-",0)</f>
        <v>36.64</v>
      </c>
      <c r="BE81" s="485">
        <f>IFERROR(Т402[[#This Row],[S ПП]]-Т402[[#This Row],[S ДДУ]],"")</f>
        <v>0</v>
      </c>
      <c r="BF81" s="485">
        <f>_xlfn.XLOOKUP(Т402[[#This Row],[№]],Д402[№],Д402[Итоговая сумма скидки],"-",0)</f>
        <v>0</v>
      </c>
      <c r="BG81" s="486" cm="1">
        <f t="array" ref="BG81">IFERROR(ROUND(_xlfn.XLOOKUP($AU$3&amp;Т402[[#This Row],[№]]&amp;"Продажа",РД[Дом]&amp;РД[№ кв]&amp;РД[Состояние],РД[Сумма скидки],"",0),2),Т402[[#This Row],[Статус]])</f>
        <v>0</v>
      </c>
      <c r="BH81" s="488">
        <f>IFERROR(Т402[[#This Row],[ППС]]-Т402[[#This Row],[ДДУС]],"")</f>
        <v>0</v>
      </c>
    </row>
    <row r="82" spans="1:60" x14ac:dyDescent="0.2">
      <c r="A82" s="611"/>
      <c r="B82" s="234">
        <f>VLOOKUP(ППД4!A79,Реестр_Д4[№],1,0)</f>
        <v>78</v>
      </c>
      <c r="C82" s="234" t="str">
        <f>VLOOKUP(ППД4!CO79,Реестр_Д4[Статус],1,0)</f>
        <v>Продажа</v>
      </c>
      <c r="D82" s="612">
        <f>VLOOKUP(ППД4!CE79,Реестр_Д4[Стоимость ОН без отделки со скидкой],1,0)</f>
        <v>4844529.53</v>
      </c>
      <c r="E82" s="612" cm="1">
        <f t="array" ref="E82">IFERROR(INDEX(РД[Стоимость без отделки итог],MATCH($B$3&amp;Таблица4[[#This Row],[№]]&amp;"Продажа",РД[Дом]&amp;РД[№ кв]&amp;РД[Состояние],0),1),Таблица4[[#This Row],[Статус]])</f>
        <v>4844529.53</v>
      </c>
      <c r="F82" s="235">
        <f>IFERROR((Таблица4[[#This Row],[ПП]]-Таблица4[[#This Row],[ДДУ]])*1,"")</f>
        <v>0</v>
      </c>
      <c r="G82" s="235" cm="1">
        <f t="array" ref="G82">IFERROR(INDEX(РД[Стоимость с отделкой итог],MATCH($B$3&amp;Таблица4[[#This Row],[№]]&amp;"Продажа",РД[Дом]&amp;РД[№ кв]&amp;РД[Состояние],0),1),Таблица4[[#This Row],[Статус]])</f>
        <v>5084009.53</v>
      </c>
      <c r="H82" s="235">
        <f>_xlfn.XLOOKUP(Таблица4[[#This Row],[№]],Реестр_Д4[№],Реестр_Д4[Стоимость квартиры с отделкой],"-",0)</f>
        <v>5084009.53</v>
      </c>
      <c r="I82" s="235">
        <f>IFERROR(Таблица4[[#This Row],[СО ПП]]-Таблица4[[#This Row],[СО ДДУ]],"")</f>
        <v>0</v>
      </c>
      <c r="J82" s="233" cm="1">
        <f t="array" ref="J82">IFERROR(INDEX(РД[S],MATCH($B$3&amp;Таблица4[[#This Row],[№]]&amp;"Продажа",РД[Дом]&amp;РД[№ кв]&amp;РД[Состояние],0),1),Таблица4[[#This Row],[Статус]])</f>
        <v>59.87</v>
      </c>
      <c r="K82" s="233">
        <f>VLOOKUP(Таблица4[[#This Row],[№]],Реестр_Д4[],20,0)</f>
        <v>59.87</v>
      </c>
      <c r="L82" s="235">
        <f>IFERROR(Таблица4[[#This Row],[S ПП]]-Таблица4[[#This Row],[S ДДУ]],)</f>
        <v>0</v>
      </c>
      <c r="M82" s="235">
        <f>ROUND(_xlfn.XLOOKUP(Таблица4[[#This Row],[№]],Реестр_Д4[№],Реестр_Д4[Итоговая сумма скидки],"",0),2)</f>
        <v>239480</v>
      </c>
      <c r="N82" s="235" cm="1">
        <f t="array" ref="N82">IFERROR(ROUND(_xlfn.XLOOKUP($B$3&amp;Таблица4[[#This Row],[№]]&amp;"Продажа",РД[Дом]&amp;РД[№ кв]&amp;РД[Состояние],РД[Сумма скидки],"",0),2),Таблица4[[#This Row],[Статус]])</f>
        <v>239480</v>
      </c>
      <c r="O82" s="235">
        <f>IFERROR(Таблица4[[#This Row],[ППС]]-Таблица4[[#This Row],[ДДУС]],)</f>
        <v>0</v>
      </c>
      <c r="P82" s="611"/>
      <c r="Q82" s="234">
        <f>VLOOKUP(ППД5!A79,Реестр_Д5[№],1,0)</f>
        <v>78</v>
      </c>
      <c r="R82" s="234" t="str">
        <f>VLOOKUP(ППД5!CH79,Реестр_Д5[Статус],1,0)</f>
        <v>Продажа</v>
      </c>
      <c r="S82" s="612">
        <f>VLOOKUP(ППД5!BZ79,Реестр_Д5[Стоимость ОН без отделки со скидкой],1,0)</f>
        <v>7639256</v>
      </c>
      <c r="T82" s="612" cm="1">
        <f t="array" ref="T82">IFERROR(INDEX(РД[Стоимость без отделки итог],MATCH($Q$3&amp;Таблица10[[#This Row],[№]]&amp;"Продажа",РД[Дом]&amp;РД[№ кв]&amp;РД[Состояние],0),1),Таблица10[[#This Row],[Статус]])</f>
        <v>7639256</v>
      </c>
      <c r="U82" s="235">
        <f>IFERROR((Таблица10[[#This Row],[ПП]]-Таблица10[[#This Row],[ДДУ]])*1,)</f>
        <v>0</v>
      </c>
      <c r="V82" s="235" cm="1">
        <f t="array" ref="V82">IFERROR(INDEX(РД[Стоимость с отделкой итог],MATCH($Q$3&amp;Таблица10[[#This Row],[№]]&amp;"Продажа",РД[Дом]&amp;РД[№ кв]&amp;РД[Состояние],0),1),Таблица10[[#This Row],[Статус]])</f>
        <v>7639256</v>
      </c>
      <c r="W82" s="235">
        <f>_xlfn.XLOOKUP(Таблица10[[#This Row],[№]],Реестр_Д5[№],Реестр_Д5[Стоимость квартиры с отделкой],"-",0)</f>
        <v>7639256</v>
      </c>
      <c r="X82" s="235">
        <f>IFERROR(Таблица10[[#This Row],[СО ПП]]-Таблица10[[#This Row],[СО ДДУ]],"")</f>
        <v>0</v>
      </c>
      <c r="Y82" s="233" cm="1">
        <f t="array" ref="Y82">IFERROR(INDEX(РД[S],MATCH($Q$3&amp;Таблица10[[#This Row],[№]]&amp;"Продажа",РД[Дом]&amp;РД[№ кв]&amp;РД[Состояние],0),1),Таблица10[[#This Row],[Статус]])</f>
        <v>68.3</v>
      </c>
      <c r="Z82" s="233">
        <f>IF(Таблица10[[#This Row],[№]]&amp;"ДДУ"=ППД5!A79&amp;ППД5!CR79,ППД5!U79,ППД5!V79)</f>
        <v>68.3</v>
      </c>
      <c r="AA82" s="285">
        <f>IFERROR(Таблица10[[#This Row],[S ПП]]-Таблица10[[#This Row],[S ДДУ]],)</f>
        <v>0</v>
      </c>
      <c r="AB82" s="235">
        <f>ROUND(_xlfn.XLOOKUP(Таблица10[[#This Row],[№]],Реестр_Д5[№],Реестр_Д5[Итоговая сумма скидки],"",0),2)</f>
        <v>545544</v>
      </c>
      <c r="AC82" s="235" cm="1">
        <f t="array" ref="AC82">IFERROR(ROUND(_xlfn.XLOOKUP($Q$3&amp;Таблица10[[#This Row],[№]]&amp;"Продажа",РД[Дом]&amp;РД[№ кв]&amp;РД[Состояние],РД[Сумма скидки],"",0,-1),2),Таблица10[[#This Row],[Статус]])</f>
        <v>545544</v>
      </c>
      <c r="AD82" s="285">
        <f>IFERROR(Таблица10[[#This Row],[ППС]]-Таблица10[[#This Row],[ДДУС]],)</f>
        <v>0</v>
      </c>
      <c r="AE82" s="611"/>
      <c r="AF82" s="615">
        <f>VLOOKUP(ППД401!A79,Д401[],1,0)</f>
        <v>78</v>
      </c>
      <c r="AG82" s="234" t="str">
        <f>_xlfn.XLOOKUP(Таблица1[[#This Row],[№]],Д401[№],Д401[Статус],"-",0)</f>
        <v>Свободно</v>
      </c>
      <c r="AH82" s="612">
        <f>_xlfn.XLOOKUP(Таблица1[[#This Row],[№]],Д401[№],Д401[Стоимость ОН без отделки со скидкой],"-",0)</f>
        <v>6751250</v>
      </c>
      <c r="AI82" s="612" t="str" cm="1">
        <f t="array" ref="AI82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82" s="235" t="str">
        <f>IFERROR((Таблица1[[#This Row],[ПП]]-Таблица1[[#This Row],[ДДУ]])*1,"")</f>
        <v/>
      </c>
      <c r="AK82" s="235" t="str" cm="1">
        <f t="array" ref="AK82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82" s="235">
        <f>_xlfn.XLOOKUP(Таблица1[[#This Row],[№]],Д401[№],Д401[Стоимость квартиры с отделкой],"-",0)</f>
        <v>6751250</v>
      </c>
      <c r="AM82" s="235" t="str">
        <f>IFERROR(Таблица1[[#This Row],[СО ПП]]-Таблица1[[#This Row],[СО ДДУ]],"")</f>
        <v/>
      </c>
      <c r="AN82" s="233" t="str" cm="1">
        <f t="array" ref="AN82">IFERROR(INDEX(РД[S],MATCH($AF$3&amp;Таблица1[[#This Row],[№]]&amp;"Продажа",РД[Дом]&amp;РД[№ кв]&amp;РД[Состояние],0),1),Таблица1[[#This Row],[Статус]])</f>
        <v>Свободно</v>
      </c>
      <c r="AO82" s="233">
        <f>_xlfn.XLOOKUP(Таблица1[[#This Row],[№]],Д401[№],Д401[Расчетная проектная площадь],"-",0)</f>
        <v>54.01</v>
      </c>
      <c r="AP82" s="235" t="str">
        <f>IFERROR(Таблица1[[#This Row],[S ПП]]-Таблица1[[#This Row],[S ДДУ]],"")</f>
        <v/>
      </c>
      <c r="AQ82" s="235">
        <f>_xlfn.XLOOKUP(Таблица1[[#This Row],[№]],Д401[№],Д401[Итоговая сумма скидки],"-",0)</f>
        <v>0</v>
      </c>
      <c r="AR82" s="235" t="str" cm="1">
        <f t="array" ref="AR82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82" s="285" t="str">
        <f>IFERROR(Таблица1[[#This Row],[ППС]]-Таблица1[[#This Row],[ДДУС]],"")</f>
        <v/>
      </c>
      <c r="AT82" s="611"/>
      <c r="AU82" s="484">
        <f>VLOOKUP(ППД402!A79,Д402[],1,0)</f>
        <v>78</v>
      </c>
      <c r="AV82" s="484" t="str">
        <f>_xlfn.XLOOKUP(Т402[[#This Row],[№]],Д402[№],Д402[Статус],"-",0)</f>
        <v>Стр. Резерв</v>
      </c>
      <c r="AW82" s="613">
        <f>_xlfn.XLOOKUP(Т402[[#This Row],[№]],Д402[№],Д402[Стоимость ОН без отделки со скидкой],"-",0)</f>
        <v>5713400</v>
      </c>
      <c r="AX82" s="614" t="str" cm="1">
        <f t="array" ref="AX8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82" s="485" t="str">
        <f>IFERROR((Т402[[#This Row],[ПП]]-Т402[[#This Row],[ДДУ]])*1,"")</f>
        <v/>
      </c>
      <c r="AZ82" s="486" t="str" cm="1">
        <f t="array" ref="AZ8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82" s="485">
        <f>_xlfn.XLOOKUP(Т402[[#This Row],[№]],Д402[№],Д402[Стоимость квартиры с отделкой],"-",0)</f>
        <v>5713400</v>
      </c>
      <c r="BB82" s="485" t="str">
        <f>IFERROR(Т402[[#This Row],[СО ПП]]-Т402[[#This Row],[СО ДДУ]],"")</f>
        <v/>
      </c>
      <c r="BC82" s="487" t="str" cm="1">
        <f t="array" ref="BC82">IFERROR(INDEX(РД[S],MATCH($AU$3&amp;Т402[[#This Row],[№]]&amp;"Продажа",РД[Дом]&amp;РД[№ кв]&amp;РД[Состояние],0),1),Т402[[#This Row],[Статус]])</f>
        <v>Стр. Резерв</v>
      </c>
      <c r="BD82" s="483">
        <f>_xlfn.XLOOKUP(Т402[[#This Row],[№]],Д402[№],Д402[Расчетная проектная площадь],"-",0)</f>
        <v>44.9</v>
      </c>
      <c r="BE82" s="485" t="str">
        <f>IFERROR(Т402[[#This Row],[S ПП]]-Т402[[#This Row],[S ДДУ]],"")</f>
        <v/>
      </c>
      <c r="BF82" s="485">
        <f>_xlfn.XLOOKUP(Т402[[#This Row],[№]],Д402[№],Д402[Итоговая сумма скидки],"-",0)</f>
        <v>0</v>
      </c>
      <c r="BG82" s="486" t="str" cm="1">
        <f t="array" ref="BG8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82" s="488" t="str">
        <f>IFERROR(Т402[[#This Row],[ППС]]-Т402[[#This Row],[ДДУС]],"")</f>
        <v/>
      </c>
    </row>
    <row r="83" spans="1:60" x14ac:dyDescent="0.2">
      <c r="A83" s="611"/>
      <c r="B83" s="234">
        <f>VLOOKUP(ППД4!A80,Реестр_Д4[№],1,0)</f>
        <v>79</v>
      </c>
      <c r="C83" s="234" t="str">
        <f>VLOOKUP(ППД4!CO80,Реестр_Д4[Статус],1,0)</f>
        <v>Продажа</v>
      </c>
      <c r="D83" s="612">
        <f>VLOOKUP(ППД4!CE80,Реестр_Д4[Стоимость ОН без отделки со скидкой],1,0)</f>
        <v>2844700</v>
      </c>
      <c r="E83" s="612" cm="1">
        <f t="array" ref="E83">IFERROR(INDEX(РД[Стоимость без отделки итог],MATCH($B$3&amp;Таблица4[[#This Row],[№]]&amp;"Продажа",РД[Дом]&amp;РД[№ кв]&amp;РД[Состояние],0),1),Таблица4[[#This Row],[Статус]])</f>
        <v>2844700</v>
      </c>
      <c r="F83" s="235">
        <f>IFERROR((Таблица4[[#This Row],[ПП]]-Таблица4[[#This Row],[ДДУ]])*1,"")</f>
        <v>0</v>
      </c>
      <c r="G83" s="235" cm="1">
        <f t="array" ref="G83">IFERROR(INDEX(РД[Стоимость с отделкой итог],MATCH($B$3&amp;Таблица4[[#This Row],[№]]&amp;"Продажа",РД[Дом]&amp;РД[№ кв]&amp;РД[Состояние],0),1),Таблица4[[#This Row],[Статус]])</f>
        <v>3007825</v>
      </c>
      <c r="H83" s="235">
        <f>_xlfn.XLOOKUP(Таблица4[[#This Row],[№]],Реестр_Д4[№],Реестр_Д4[Стоимость квартиры с отделкой],"-",0)</f>
        <v>3007825</v>
      </c>
      <c r="I83" s="235">
        <f>IFERROR(Таблица4[[#This Row],[СО ПП]]-Таблица4[[#This Row],[СО ДДУ]],"")</f>
        <v>0</v>
      </c>
      <c r="J83" s="233" cm="1">
        <f t="array" ref="J83">IFERROR(INDEX(РД[S],MATCH($B$3&amp;Таблица4[[#This Row],[№]]&amp;"Продажа",РД[Дом]&amp;РД[№ кв]&amp;РД[Состояние],0),1),Таблица4[[#This Row],[Статус]])</f>
        <v>21.75</v>
      </c>
      <c r="K83" s="233">
        <f>VLOOKUP(Таблица4[[#This Row],[№]],Реестр_Д4[],20,0)</f>
        <v>21.75</v>
      </c>
      <c r="L83" s="235">
        <f>IFERROR(Таблица4[[#This Row],[S ПП]]-Таблица4[[#This Row],[S ДДУ]],)</f>
        <v>0</v>
      </c>
      <c r="M83" s="235">
        <f>ROUND(_xlfn.XLOOKUP(Таблица4[[#This Row],[№]],Реестр_Д4[№],Реестр_Д4[Итоговая сумма скидки],"",0),2)</f>
        <v>0</v>
      </c>
      <c r="N83" s="235" cm="1">
        <f t="array" ref="N8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3" s="235">
        <f>IFERROR(Таблица4[[#This Row],[ППС]]-Таблица4[[#This Row],[ДДУС]],)</f>
        <v>0</v>
      </c>
      <c r="P83" s="611"/>
      <c r="Q83" s="234">
        <f>VLOOKUP(ППД5!A80,Реестр_Д5[№],1,0)</f>
        <v>79</v>
      </c>
      <c r="R83" s="234" t="str">
        <f>VLOOKUP(ППД5!CH80,Реестр_Д5[Статус],1,0)</f>
        <v>Продажа</v>
      </c>
      <c r="S83" s="612">
        <f>VLOOKUP(ППД5!BZ80,Реестр_Д5[Стоимость ОН без отделки со скидкой],1,0)</f>
        <v>4519300</v>
      </c>
      <c r="T83" s="612" cm="1">
        <f t="array" ref="T83">IFERROR(INDEX(РД[Стоимость без отделки итог],MATCH($Q$3&amp;Таблица10[[#This Row],[№]]&amp;"Продажа",РД[Дом]&amp;РД[№ кв]&amp;РД[Состояние],0),1),Таблица10[[#This Row],[Статус]])</f>
        <v>4519300</v>
      </c>
      <c r="U83" s="235">
        <f>IFERROR((Таблица10[[#This Row],[ПП]]-Таблица10[[#This Row],[ДДУ]])*1,)</f>
        <v>0</v>
      </c>
      <c r="V83" s="235" cm="1">
        <f t="array" ref="V83">IFERROR(INDEX(РД[Стоимость с отделкой итог],MATCH($Q$3&amp;Таблица10[[#This Row],[№]]&amp;"Продажа",РД[Дом]&amp;РД[№ кв]&amp;РД[Состояние],0),1),Таблица10[[#This Row],[Статус]])</f>
        <v>5273900</v>
      </c>
      <c r="W83" s="235">
        <f>_xlfn.XLOOKUP(Таблица10[[#This Row],[№]],Реестр_Д5[№],Реестр_Д5[Стоимость квартиры с отделкой],"-",0)</f>
        <v>5273900</v>
      </c>
      <c r="X83" s="235">
        <f>IFERROR(Таблица10[[#This Row],[СО ПП]]-Таблица10[[#This Row],[СО ДДУ]],"")</f>
        <v>0</v>
      </c>
      <c r="Y83" s="233" cm="1">
        <f t="array" ref="Y83">IFERROR(INDEX(РД[S],MATCH($Q$3&amp;Таблица10[[#This Row],[№]]&amp;"Продажа",РД[Дом]&amp;РД[№ кв]&amp;РД[Состояние],0),1),Таблица10[[#This Row],[Статус]])</f>
        <v>37.729999999999997</v>
      </c>
      <c r="Z83" s="233">
        <f>IF(Таблица10[[#This Row],[№]]&amp;"ДДУ"=ППД5!A80&amp;ППД5!CR80,ППД5!U80,ППД5!V80)</f>
        <v>37.729999999999997</v>
      </c>
      <c r="AA83" s="285">
        <f>IFERROR(Таблица10[[#This Row],[S ПП]]-Таблица10[[#This Row],[S ДДУ]],)</f>
        <v>0</v>
      </c>
      <c r="AB83" s="235">
        <f>ROUND(_xlfn.XLOOKUP(Таблица10[[#This Row],[№]],Реестр_Д5[№],Реестр_Д5[Итоговая сумма скидки],"",0),2)</f>
        <v>0</v>
      </c>
      <c r="AC83" s="235" cm="1">
        <f t="array" ref="AC8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83" s="285">
        <f>IFERROR(Таблица10[[#This Row],[ППС]]-Таблица10[[#This Row],[ДДУС]],)</f>
        <v>0</v>
      </c>
      <c r="AE83" s="611"/>
      <c r="AF83" s="615">
        <f>VLOOKUP(ППД401!A80,Д401[],1,0)</f>
        <v>79</v>
      </c>
      <c r="AG83" s="234" t="str">
        <f>_xlfn.XLOOKUP(Таблица1[[#This Row],[№]],Д401[№],Д401[Статус],"-",0)</f>
        <v>Продажа</v>
      </c>
      <c r="AH83" s="612">
        <f>_xlfn.XLOOKUP(Таблица1[[#This Row],[№]],Д401[№],Д401[Стоимость ОН без отделки со скидкой],"-",0)</f>
        <v>4566207</v>
      </c>
      <c r="AI83" s="612" cm="1">
        <f t="array" ref="AI83">IFERROR(INDEX(РД[Стоимость без отделки итог],MATCH($AF$3&amp;Таблица1[[#This Row],[№]]&amp;"Продажа",РД[Дом]&amp;РД[№ кв]&amp;РД[Состояние],0),1),Таблица1[[#This Row],[Статус]])</f>
        <v>4566207</v>
      </c>
      <c r="AJ83" s="235">
        <f>IFERROR((Таблица1[[#This Row],[ПП]]-Таблица1[[#This Row],[ДДУ]])*1,"")</f>
        <v>0</v>
      </c>
      <c r="AK83" s="235" cm="1">
        <f t="array" ref="AK83">IFERROR(INDEX(РД[Стоимость с отделкой итог],MATCH($AF$3&amp;Таблица1[[#This Row],[№]]&amp;"Продажа",РД[Дом]&amp;РД[№ кв]&amp;РД[Состояние],0),1),Таблица1[[#This Row],[Статус]])</f>
        <v>4922507</v>
      </c>
      <c r="AL83" s="235">
        <f>_xlfn.XLOOKUP(Таблица1[[#This Row],[№]],Д401[№],Д401[Стоимость квартиры с отделкой],"-",0)</f>
        <v>4922107.0000000009</v>
      </c>
      <c r="AM83" s="235">
        <f>IFERROR(Таблица1[[#This Row],[СО ПП]]-Таблица1[[#This Row],[СО ДДУ]],"")</f>
        <v>-399.99999999906868</v>
      </c>
      <c r="AN83" s="233" cm="1">
        <f t="array" ref="AN83">IFERROR(INDEX(РД[S],MATCH($AF$3&amp;Таблица1[[#This Row],[№]]&amp;"Продажа",РД[Дом]&amp;РД[№ кв]&amp;РД[Состояние],0),1),Таблица1[[#This Row],[Статус]])</f>
        <v>35.630000000000003</v>
      </c>
      <c r="AO83" s="233">
        <f>_xlfn.XLOOKUP(Таблица1[[#This Row],[№]],Д401[№],Д401[Расчетная проектная площадь],"-",0)</f>
        <v>35.590000000000003</v>
      </c>
      <c r="AP83" s="680">
        <f>IFERROR(Таблица1[[#This Row],[S ПП]]-Таблица1[[#This Row],[S ДДУ]],"")</f>
        <v>-3.9999999999999147E-2</v>
      </c>
      <c r="AQ83" s="235">
        <f>_xlfn.XLOOKUP(Таблица1[[#This Row],[№]],Д401[№],Д401[Итоговая сумма скидки],"-",0)</f>
        <v>343693.00000000006</v>
      </c>
      <c r="AR83" s="235" cm="1">
        <f t="array" ref="AR83">IFERROR(ROUND(_xlfn.XLOOKUP($AF$3&amp;Таблица1[[#This Row],[№]]&amp;"Продажа",РД[Дом]&amp;РД[№ кв]&amp;РД[Состояние],РД[Сумма скидки],"",0),2),Таблица1[[#This Row],[Статус]])</f>
        <v>343693</v>
      </c>
      <c r="AS83" s="285">
        <f>IFERROR(Таблица1[[#This Row],[ППС]]-Таблица1[[#This Row],[ДДУС]],"")</f>
        <v>5.8207660913467407E-11</v>
      </c>
      <c r="AT83" s="611"/>
      <c r="AU83" s="484">
        <f>VLOOKUP(ППД402!A80,Д402[],1,0)</f>
        <v>79</v>
      </c>
      <c r="AV83" s="484" t="str">
        <f>_xlfn.XLOOKUP(Т402[[#This Row],[№]],Д402[№],Д402[Статус],"-",0)</f>
        <v>Продажа</v>
      </c>
      <c r="AW83" s="613">
        <f>_xlfn.XLOOKUP(Т402[[#This Row],[№]],Д402[№],Д402[Стоимость ОН без отделки со скидкой],"-",0)</f>
        <v>4060532</v>
      </c>
      <c r="AX83" s="614" cm="1">
        <f t="array" ref="AX83">IFERROR(INDEX(РД[Стоимость без отделки итог],MATCH($AU$3&amp;Т402[[#This Row],[№]]&amp;"Продажа",РД[Дом]&amp;РД[№ кв]&amp;РД[Состояние],0),1),Т402[[#This Row],[Статус]])</f>
        <v>4060532</v>
      </c>
      <c r="AY83" s="485">
        <f>IFERROR((Т402[[#This Row],[ПП]]-Т402[[#This Row],[ДДУ]])*1,"")</f>
        <v>0</v>
      </c>
      <c r="AZ83" s="486" cm="1">
        <f t="array" ref="AZ83">IFERROR(INDEX(РД[Стоимость с отделкой итог],MATCH($AU$3&amp;Т402[[#This Row],[№]]&amp;"Продажа",РД[Дом]&amp;РД[№ кв]&amp;РД[Состояние],0),1),Т402[[#This Row],[Статус]])</f>
        <v>4060532</v>
      </c>
      <c r="BA83" s="485">
        <f>_xlfn.XLOOKUP(Т402[[#This Row],[№]],Д402[№],Д402[Стоимость квартиры с отделкой],"-",0)</f>
        <v>4060532</v>
      </c>
      <c r="BB83" s="485">
        <f>IFERROR(Т402[[#This Row],[СО ПП]]-Т402[[#This Row],[СО ДДУ]],"")</f>
        <v>0</v>
      </c>
      <c r="BC83" s="487" cm="1">
        <f t="array" ref="BC83">IFERROR(INDEX(РД[S],MATCH($AU$3&amp;Т402[[#This Row],[№]]&amp;"Продажа",РД[Дом]&amp;РД[№ кв]&amp;РД[Состояние],0),1),Т402[[#This Row],[Статус]])</f>
        <v>29.4</v>
      </c>
      <c r="BD83" s="483">
        <f>_xlfn.XLOOKUP(Т402[[#This Row],[№]],Д402[№],Д402[Расчетная проектная площадь],"-",0)</f>
        <v>29.4</v>
      </c>
      <c r="BE83" s="485">
        <f>IFERROR(Т402[[#This Row],[S ПП]]-Т402[[#This Row],[S ДДУ]],"")</f>
        <v>0</v>
      </c>
      <c r="BF83" s="485">
        <f>_xlfn.XLOOKUP(Т402[[#This Row],[№]],Д402[№],Д402[Итоговая сумма скидки],"-",0)</f>
        <v>82868</v>
      </c>
      <c r="BG83" s="486" cm="1">
        <f t="array" ref="BG83">IFERROR(ROUND(_xlfn.XLOOKUP($AU$3&amp;Т402[[#This Row],[№]]&amp;"Продажа",РД[Дом]&amp;РД[№ кв]&amp;РД[Состояние],РД[Сумма скидки],"",0),2),Т402[[#This Row],[Статус]])</f>
        <v>82868</v>
      </c>
      <c r="BH83" s="488">
        <f>IFERROR(Т402[[#This Row],[ППС]]-Т402[[#This Row],[ДДУС]],"")</f>
        <v>0</v>
      </c>
    </row>
    <row r="84" spans="1:60" x14ac:dyDescent="0.2">
      <c r="A84" s="611"/>
      <c r="B84" s="234">
        <f>VLOOKUP(ППД4!A81,Реестр_Д4[№],1,0)</f>
        <v>80</v>
      </c>
      <c r="C84" s="234" t="str">
        <f>VLOOKUP(ППД4!CO81,Реестр_Д4[Статус],1,0)</f>
        <v>Продажа</v>
      </c>
      <c r="D84" s="612">
        <f>VLOOKUP(ППД4!CE81,Реестр_Д4[Стоимость ОН без отделки со скидкой],1,0)</f>
        <v>1811396.5</v>
      </c>
      <c r="E84" s="612" cm="1">
        <f t="array" ref="E84">IFERROR(INDEX(РД[Стоимость без отделки итог],MATCH($B$3&amp;Таблица4[[#This Row],[№]]&amp;"Продажа",РД[Дом]&amp;РД[№ кв]&amp;РД[Состояние],0),1),Таблица4[[#This Row],[Статус]])</f>
        <v>1811396.5</v>
      </c>
      <c r="F84" s="235">
        <f>IFERROR((Таблица4[[#This Row],[ПП]]-Таблица4[[#This Row],[ДДУ]])*1,"")</f>
        <v>0</v>
      </c>
      <c r="G84" s="235" cm="1">
        <f t="array" ref="G84">IFERROR(INDEX(РД[Стоимость с отделкой итог],MATCH($B$3&amp;Таблица4[[#This Row],[№]]&amp;"Продажа",РД[Дом]&amp;РД[№ кв]&amp;РД[Состояние],0),1),Таблица4[[#This Row],[Статус]])</f>
        <v>1898316.5</v>
      </c>
      <c r="H84" s="235">
        <f>_xlfn.XLOOKUP(Таблица4[[#This Row],[№]],Реестр_Д4[№],Реестр_Д4[Стоимость квартиры с отделкой],"-",0)</f>
        <v>1898316.5</v>
      </c>
      <c r="I84" s="235">
        <f>IFERROR(Таблица4[[#This Row],[СО ПП]]-Таблица4[[#This Row],[СО ДДУ]],"")</f>
        <v>0</v>
      </c>
      <c r="J84" s="233" cm="1">
        <f t="array" ref="J84">IFERROR(INDEX(РД[S],MATCH($B$3&amp;Таблица4[[#This Row],[№]]&amp;"Продажа",РД[Дом]&amp;РД[№ кв]&amp;РД[Состояние],0),1),Таблица4[[#This Row],[Статус]])</f>
        <v>21.73</v>
      </c>
      <c r="K84" s="233">
        <f>VLOOKUP(Таблица4[[#This Row],[№]],Реестр_Д4[],20,0)</f>
        <v>21.73</v>
      </c>
      <c r="L84" s="235">
        <f>IFERROR(Таблица4[[#This Row],[S ПП]]-Таблица4[[#This Row],[S ДДУ]],)</f>
        <v>0</v>
      </c>
      <c r="M84" s="235">
        <f>ROUND(_xlfn.XLOOKUP(Таблица4[[#This Row],[№]],Реестр_Д4[№],Реестр_Д4[Итоговая сумма скидки],"",0),2)</f>
        <v>0</v>
      </c>
      <c r="N84" s="235" cm="1">
        <f t="array" ref="N8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4" s="235">
        <f>IFERROR(Таблица4[[#This Row],[ППС]]-Таблица4[[#This Row],[ДДУС]],)</f>
        <v>0</v>
      </c>
      <c r="P84" s="611"/>
      <c r="Q84" s="234">
        <f>VLOOKUP(ППД5!A81,Реестр_Д5[№],1,0)</f>
        <v>80</v>
      </c>
      <c r="R84" s="234" t="str">
        <f>VLOOKUP(ППД5!CH81,Реестр_Д5[Статус],1,0)</f>
        <v>Продажа</v>
      </c>
      <c r="S84" s="612">
        <f>VLOOKUP(ППД5!BZ81,Реестр_Д5[Стоимость ОН без отделки со скидкой],1,0)</f>
        <v>5032200</v>
      </c>
      <c r="T84" s="612" cm="1">
        <f t="array" ref="T84">IFERROR(INDEX(РД[Стоимость без отделки итог],MATCH($Q$3&amp;Таблица10[[#This Row],[№]]&amp;"Продажа",РД[Дом]&amp;РД[№ кв]&amp;РД[Состояние],0),1),Таблица10[[#This Row],[Статус]])</f>
        <v>5032200</v>
      </c>
      <c r="U84" s="235">
        <f>IFERROR((Таблица10[[#This Row],[ПП]]-Таблица10[[#This Row],[ДДУ]])*1,)</f>
        <v>0</v>
      </c>
      <c r="V84" s="235" cm="1">
        <f t="array" ref="V84">IFERROR(INDEX(РД[Стоимость с отделкой итог],MATCH($Q$3&amp;Таблица10[[#This Row],[№]]&amp;"Продажа",РД[Дом]&amp;РД[№ кв]&amp;РД[Состояние],0),1),Таблица10[[#This Row],[Статус]])</f>
        <v>5475375</v>
      </c>
      <c r="W84" s="235">
        <f>_xlfn.XLOOKUP(Таблица10[[#This Row],[№]],Реестр_Д5[№],Реестр_Д5[Стоимость квартиры с отделкой],"-",0)</f>
        <v>5475375</v>
      </c>
      <c r="X84" s="235">
        <f>IFERROR(Таблица10[[#This Row],[СО ПП]]-Таблица10[[#This Row],[СО ДДУ]],"")</f>
        <v>0</v>
      </c>
      <c r="Y84" s="233" cm="1">
        <f t="array" ref="Y84">IFERROR(INDEX(РД[S],MATCH($Q$3&amp;Таблица10[[#This Row],[№]]&amp;"Продажа",РД[Дом]&amp;РД[№ кв]&amp;РД[Состояние],0),1),Таблица10[[#This Row],[Статус]])</f>
        <v>59.09</v>
      </c>
      <c r="Z84" s="233">
        <f>IF(Таблица10[[#This Row],[№]]&amp;"ДДУ"=ППД5!A81&amp;ППД5!CR81,ППД5!U81,ППД5!V81)</f>
        <v>59.09</v>
      </c>
      <c r="AA84" s="285">
        <f>IFERROR(Таблица10[[#This Row],[S ПП]]-Таблица10[[#This Row],[S ДДУ]],)</f>
        <v>0</v>
      </c>
      <c r="AB84" s="235">
        <f>ROUND(_xlfn.XLOOKUP(Таблица10[[#This Row],[№]],Реестр_Д5[№],Реестр_Д5[Итоговая сумма скидки],"",0),2)</f>
        <v>100000</v>
      </c>
      <c r="AC84" s="235" cm="1">
        <f t="array" ref="AC84">IFERROR(ROUND(_xlfn.XLOOKUP($Q$3&amp;Таблица10[[#This Row],[№]]&amp;"Продажа",РД[Дом]&amp;РД[№ кв]&amp;РД[Состояние],РД[Сумма скидки],"",0,-1),2),Таблица10[[#This Row],[Статус]])</f>
        <v>100000</v>
      </c>
      <c r="AD84" s="285">
        <f>IFERROR(Таблица10[[#This Row],[ППС]]-Таблица10[[#This Row],[ДДУС]],)</f>
        <v>0</v>
      </c>
      <c r="AE84" s="611"/>
      <c r="AF84" s="615">
        <f>VLOOKUP(ППД401!A81,Д401[],1,0)</f>
        <v>80</v>
      </c>
      <c r="AG84" s="234" t="str">
        <f>_xlfn.XLOOKUP(Таблица1[[#This Row],[№]],Д401[№],Д401[Статус],"-",0)</f>
        <v>Стр. Резерв</v>
      </c>
      <c r="AH84" s="612">
        <f>_xlfn.XLOOKUP(Таблица1[[#This Row],[№]],Д401[№],Д401[Стоимость ОН без отделки со скидкой],"-",0)</f>
        <v>5929900</v>
      </c>
      <c r="AI84" s="612" t="str" cm="1">
        <f t="array" ref="AI84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84" s="235" t="str">
        <f>IFERROR((Таблица1[[#This Row],[ПП]]-Таблица1[[#This Row],[ДДУ]])*1,"")</f>
        <v/>
      </c>
      <c r="AK84" s="235" t="str" cm="1">
        <f t="array" ref="AK84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84" s="235">
        <f>_xlfn.XLOOKUP(Таблица1[[#This Row],[№]],Д401[№],Д401[Стоимость квартиры с отделкой],"-",0)</f>
        <v>5929900</v>
      </c>
      <c r="AM84" s="235" t="str">
        <f>IFERROR(Таблица1[[#This Row],[СО ПП]]-Таблица1[[#This Row],[СО ДДУ]],"")</f>
        <v/>
      </c>
      <c r="AN84" s="233" t="str" cm="1">
        <f t="array" ref="AN84">IFERROR(INDEX(РД[S],MATCH($AF$3&amp;Таблица1[[#This Row],[№]]&amp;"Продажа",РД[Дом]&amp;РД[№ кв]&amp;РД[Состояние],0),1),Таблица1[[#This Row],[Статус]])</f>
        <v>Стр. Резерв</v>
      </c>
      <c r="AO84" s="233">
        <f>_xlfn.XLOOKUP(Таблица1[[#This Row],[№]],Д401[№],Д401[Расчетная проектная площадь],"-",0)</f>
        <v>42.63</v>
      </c>
      <c r="AP84" s="235" t="str">
        <f>IFERROR(Таблица1[[#This Row],[S ПП]]-Таблица1[[#This Row],[S ДДУ]],"")</f>
        <v/>
      </c>
      <c r="AQ84" s="235">
        <f>_xlfn.XLOOKUP(Таблица1[[#This Row],[№]],Д401[№],Д401[Итоговая сумма скидки],"-",0)</f>
        <v>0</v>
      </c>
      <c r="AR84" s="235" t="str" cm="1">
        <f t="array" ref="AR84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84" s="285" t="str">
        <f>IFERROR(Таблица1[[#This Row],[ППС]]-Таблица1[[#This Row],[ДДУС]],"")</f>
        <v/>
      </c>
      <c r="AT84" s="611"/>
      <c r="AU84" s="484">
        <f>VLOOKUP(ППД402!A81,Д402[],1,0)</f>
        <v>80</v>
      </c>
      <c r="AV84" s="484" t="str">
        <f>_xlfn.XLOOKUP(Т402[[#This Row],[№]],Д402[№],Д402[Статус],"-",0)</f>
        <v>Свободно</v>
      </c>
      <c r="AW84" s="613">
        <f>_xlfn.XLOOKUP(Т402[[#This Row],[№]],Д402[№],Д402[Стоимость ОН без отделки со скидкой],"-",0)</f>
        <v>7484200</v>
      </c>
      <c r="AX84" s="614" t="str" cm="1">
        <f t="array" ref="AX84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84" s="485" t="str">
        <f>IFERROR((Т402[[#This Row],[ПП]]-Т402[[#This Row],[ДДУ]])*1,"")</f>
        <v/>
      </c>
      <c r="AZ84" s="486" t="str" cm="1">
        <f t="array" ref="AZ84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84" s="485">
        <f>_xlfn.XLOOKUP(Т402[[#This Row],[№]],Д402[№],Д402[Стоимость квартиры с отделкой],"-",0)</f>
        <v>7484200</v>
      </c>
      <c r="BB84" s="485" t="str">
        <f>IFERROR(Т402[[#This Row],[СО ПП]]-Т402[[#This Row],[СО ДДУ]],"")</f>
        <v/>
      </c>
      <c r="BC84" s="487" t="str" cm="1">
        <f t="array" ref="BC84">IFERROR(INDEX(РД[S],MATCH($AU$3&amp;Т402[[#This Row],[№]]&amp;"Продажа",РД[Дом]&amp;РД[№ кв]&amp;РД[Состояние],0),1),Т402[[#This Row],[Статус]])</f>
        <v>Свободно</v>
      </c>
      <c r="BD84" s="483">
        <f>_xlfn.XLOOKUP(Т402[[#This Row],[№]],Д402[№],Д402[Расчетная проектная площадь],"-",0)</f>
        <v>59.73</v>
      </c>
      <c r="BE84" s="485" t="str">
        <f>IFERROR(Т402[[#This Row],[S ПП]]-Т402[[#This Row],[S ДДУ]],"")</f>
        <v/>
      </c>
      <c r="BF84" s="485">
        <f>_xlfn.XLOOKUP(Т402[[#This Row],[№]],Д402[№],Д402[Итоговая сумма скидки],"-",0)</f>
        <v>0</v>
      </c>
      <c r="BG84" s="486" t="str" cm="1">
        <f t="array" ref="BG84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84" s="488" t="str">
        <f>IFERROR(Т402[[#This Row],[ППС]]-Т402[[#This Row],[ДДУС]],"")</f>
        <v/>
      </c>
    </row>
    <row r="85" spans="1:60" x14ac:dyDescent="0.2">
      <c r="A85" s="611"/>
      <c r="B85" s="234">
        <f>VLOOKUP(ППД4!A82,Реестр_Д4[№],1,0)</f>
        <v>81</v>
      </c>
      <c r="C85" s="234" t="str">
        <f>VLOOKUP(ППД4!CO82,Реестр_Д4[Статус],1,0)</f>
        <v>Продажа</v>
      </c>
      <c r="D85" s="612">
        <f>VLOOKUP(ППД4!CE82,Реестр_Д4[Стоимость ОН без отделки со скидкой],1,0)</f>
        <v>3578321.26</v>
      </c>
      <c r="E85" s="612" cm="1">
        <f t="array" ref="E85">IFERROR(INDEX(РД[Стоимость без отделки итог],MATCH($B$3&amp;Таблица4[[#This Row],[№]]&amp;"Продажа",РД[Дом]&amp;РД[№ кв]&amp;РД[Состояние],0),1),Таблица4[[#This Row],[Статус]])</f>
        <v>3578321.26</v>
      </c>
      <c r="F85" s="235">
        <f>IFERROR((Таблица4[[#This Row],[ПП]]-Таблица4[[#This Row],[ДДУ]])*1,"")</f>
        <v>0</v>
      </c>
      <c r="G85" s="235" cm="1">
        <f t="array" ref="G85">IFERROR(INDEX(РД[Стоимость с отделкой итог],MATCH($B$3&amp;Таблица4[[#This Row],[№]]&amp;"Продажа",РД[Дом]&amp;РД[№ кв]&amp;РД[Состояние],0),1),Таблица4[[#This Row],[Статус]])</f>
        <v>4098036.26</v>
      </c>
      <c r="H85" s="235">
        <f>_xlfn.XLOOKUP(Таблица4[[#This Row],[№]],Реестр_Д4[№],Реестр_Д4[Стоимость квартиры с отделкой],"-",0)</f>
        <v>4098036.26</v>
      </c>
      <c r="I85" s="235">
        <f>IFERROR(Таблица4[[#This Row],[СО ПП]]-Таблица4[[#This Row],[СО ДДУ]],"")</f>
        <v>0</v>
      </c>
      <c r="J85" s="233" cm="1">
        <f t="array" ref="J85">IFERROR(INDEX(РД[S],MATCH($B$3&amp;Таблица4[[#This Row],[№]]&amp;"Продажа",РД[Дом]&amp;РД[№ кв]&amp;РД[Состояние],0),1),Таблица4[[#This Row],[Статус]])</f>
        <v>33.53</v>
      </c>
      <c r="K85" s="233">
        <f>VLOOKUP(Таблица4[[#This Row],[№]],Реестр_Д4[],20,0)</f>
        <v>33.53</v>
      </c>
      <c r="L85" s="235">
        <f>IFERROR(Таблица4[[#This Row],[S ПП]]-Таблица4[[#This Row],[S ДДУ]],)</f>
        <v>0</v>
      </c>
      <c r="M85" s="235">
        <f>ROUND(_xlfn.XLOOKUP(Таблица4[[#This Row],[№]],Реестр_Д4[№],Реестр_Д4[Итоговая сумма скидки],"",0),2)</f>
        <v>0</v>
      </c>
      <c r="N85" s="235" cm="1">
        <f t="array" ref="N8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5" s="235">
        <f>IFERROR(Таблица4[[#This Row],[ППС]]-Таблица4[[#This Row],[ДДУС]],)</f>
        <v>0</v>
      </c>
      <c r="P85" s="611"/>
      <c r="Q85" s="234">
        <f>VLOOKUP(ППД5!A82,Реестр_Д5[№],1,0)</f>
        <v>81</v>
      </c>
      <c r="R85" s="234" t="str">
        <f>VLOOKUP(ППД5!CH82,Реестр_Д5[Статус],1,0)</f>
        <v>Свободно</v>
      </c>
      <c r="S85" s="612">
        <f>VLOOKUP(ППД5!BZ82,Реестр_Д5[Стоимость ОН без отделки со скидкой],1,0)</f>
        <v>7597400</v>
      </c>
      <c r="T85" s="612" t="str" cm="1">
        <f t="array" ref="T8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85" s="235">
        <f>IFERROR((Таблица10[[#This Row],[ПП]]-Таблица10[[#This Row],[ДДУ]])*1,)</f>
        <v>0</v>
      </c>
      <c r="V85" s="235" t="str" cm="1">
        <f t="array" ref="V8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85" s="235">
        <f>_xlfn.XLOOKUP(Таблица10[[#This Row],[№]],Реестр_Д5[№],Реестр_Д5[Стоимость квартиры с отделкой],"-",0)</f>
        <v>7597400</v>
      </c>
      <c r="X85" s="235" t="str">
        <f>IFERROR(Таблица10[[#This Row],[СО ПП]]-Таблица10[[#This Row],[СО ДДУ]],"")</f>
        <v/>
      </c>
      <c r="Y85" s="233" t="str" cm="1">
        <f t="array" ref="Y85">IFERROR(INDEX(РД[S],MATCH($Q$3&amp;Таблица10[[#This Row],[№]]&amp;"Продажа",РД[Дом]&amp;РД[№ кв]&amp;РД[Состояние],0),1),Таблица10[[#This Row],[Статус]])</f>
        <v>Свободно</v>
      </c>
      <c r="Z85" s="233">
        <f>IF(Таблица10[[#This Row],[№]]&amp;"ДДУ"=ППД5!A82&amp;ППД5!CR82,ППД5!U82,ППД5!V82)</f>
        <v>61.150000000000006</v>
      </c>
      <c r="AA85" s="285">
        <f>IFERROR(Таблица10[[#This Row],[S ПП]]-Таблица10[[#This Row],[S ДДУ]],)</f>
        <v>0</v>
      </c>
      <c r="AB85" s="235">
        <f>ROUND(_xlfn.XLOOKUP(Таблица10[[#This Row],[№]],Реестр_Д5[№],Реестр_Д5[Итоговая сумма скидки],"",0),2)</f>
        <v>0</v>
      </c>
      <c r="AC85" s="235" t="str" cm="1">
        <f t="array" ref="AC8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85" s="285">
        <f>IFERROR(Таблица10[[#This Row],[ППС]]-Таблица10[[#This Row],[ДДУС]],)</f>
        <v>0</v>
      </c>
      <c r="AE85" s="611"/>
      <c r="AF85" s="615">
        <f>VLOOKUP(ППД401!A82,Д401[],1,0)</f>
        <v>81</v>
      </c>
      <c r="AG85" s="234" t="str">
        <f>_xlfn.XLOOKUP(Таблица1[[#This Row],[№]],Д401[№],Д401[Статус],"-",0)</f>
        <v>Продажа</v>
      </c>
      <c r="AH85" s="612">
        <f>_xlfn.XLOOKUP(Таблица1[[#This Row],[№]],Д401[№],Д401[Стоимость ОН без отделки со скидкой],"-",0)</f>
        <v>6204120</v>
      </c>
      <c r="AI85" s="612" cm="1">
        <f t="array" ref="AI85">IFERROR(INDEX(РД[Стоимость без отделки итог],MATCH($AF$3&amp;Таблица1[[#This Row],[№]]&amp;"Продажа",РД[Дом]&amp;РД[№ кв]&amp;РД[Состояние],0),1),Таблица1[[#This Row],[Статус]])</f>
        <v>6204120</v>
      </c>
      <c r="AJ85" s="235">
        <f>IFERROR((Таблица1[[#This Row],[ПП]]-Таблица1[[#This Row],[ДДУ]])*1,"")</f>
        <v>0</v>
      </c>
      <c r="AK85" s="235" cm="1">
        <f t="array" ref="AK85">IFERROR(INDEX(РД[Стоимость с отделкой итог],MATCH($AF$3&amp;Таблица1[[#This Row],[№]]&amp;"Продажа",РД[Дом]&amp;РД[№ кв]&amp;РД[Состояние],0),1),Таблица1[[#This Row],[Статус]])</f>
        <v>6204120</v>
      </c>
      <c r="AL85" s="235">
        <f>_xlfn.XLOOKUP(Таблица1[[#This Row],[№]],Д401[№],Д401[Стоимость квартиры с отделкой],"-",0)</f>
        <v>6204120</v>
      </c>
      <c r="AM85" s="235">
        <f>IFERROR(Таблица1[[#This Row],[СО ПП]]-Таблица1[[#This Row],[СО ДДУ]],"")</f>
        <v>0</v>
      </c>
      <c r="AN85" s="233" cm="1">
        <f t="array" ref="AN85">IFERROR(INDEX(РД[S],MATCH($AF$3&amp;Таблица1[[#This Row],[№]]&amp;"Продажа",РД[Дом]&amp;РД[№ кв]&amp;РД[Состояние],0),1),Таблица1[[#This Row],[Статус]])</f>
        <v>49.2</v>
      </c>
      <c r="AO85" s="233">
        <f>_xlfn.XLOOKUP(Таблица1[[#This Row],[№]],Д401[№],Д401[Расчетная проектная площадь],"-",0)</f>
        <v>49.39</v>
      </c>
      <c r="AP85" s="680">
        <f>IFERROR(Таблица1[[#This Row],[S ПП]]-Таблица1[[#This Row],[S ДДУ]],"")</f>
        <v>0.18999999999999773</v>
      </c>
      <c r="AQ85" s="235">
        <f>_xlfn.XLOOKUP(Таблица1[[#This Row],[№]],Д401[№],Д401[Итоговая сумма скидки],"-",0)</f>
        <v>191880</v>
      </c>
      <c r="AR85" s="235" cm="1">
        <f t="array" ref="AR85">IFERROR(ROUND(_xlfn.XLOOKUP($AF$3&amp;Таблица1[[#This Row],[№]]&amp;"Продажа",РД[Дом]&amp;РД[№ кв]&amp;РД[Состояние],РД[Сумма скидки],"",0),2),Таблица1[[#This Row],[Статус]])</f>
        <v>191880</v>
      </c>
      <c r="AS85" s="285">
        <f>IFERROR(Таблица1[[#This Row],[ППС]]-Таблица1[[#This Row],[ДДУС]],"")</f>
        <v>0</v>
      </c>
      <c r="AT85" s="611"/>
      <c r="AU85" s="484">
        <f>VLOOKUP(ППД402!A82,Д402[],1,0)</f>
        <v>81</v>
      </c>
      <c r="AV85" s="484" t="str">
        <f>_xlfn.XLOOKUP(Т402[[#This Row],[№]],Д402[№],Д402[Статус],"-",0)</f>
        <v>Стр. Резерв</v>
      </c>
      <c r="AW85" s="613">
        <f>_xlfn.XLOOKUP(Т402[[#This Row],[№]],Д402[№],Д402[Стоимость ОН без отделки со скидкой],"-",0)</f>
        <v>6564400</v>
      </c>
      <c r="AX85" s="614" t="str" cm="1">
        <f t="array" ref="AX8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85" s="485" t="str">
        <f>IFERROR((Т402[[#This Row],[ПП]]-Т402[[#This Row],[ДДУ]])*1,"")</f>
        <v/>
      </c>
      <c r="AZ85" s="486" t="str" cm="1">
        <f t="array" ref="AZ8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85" s="485">
        <f>_xlfn.XLOOKUP(Т402[[#This Row],[№]],Д402[№],Д402[Стоимость квартиры с отделкой],"-",0)</f>
        <v>8198500</v>
      </c>
      <c r="BB85" s="485" t="str">
        <f>IFERROR(Т402[[#This Row],[СО ПП]]-Т402[[#This Row],[СО ДДУ]],"")</f>
        <v/>
      </c>
      <c r="BC85" s="487" t="str" cm="1">
        <f t="array" ref="BC85">IFERROR(INDEX(РД[S],MATCH($AU$3&amp;Т402[[#This Row],[№]]&amp;"Продажа",РД[Дом]&amp;РД[№ кв]&amp;РД[Состояние],0),1),Т402[[#This Row],[Статус]])</f>
        <v>Стр. Резерв</v>
      </c>
      <c r="BD85" s="483">
        <f>_xlfn.XLOOKUP(Т402[[#This Row],[№]],Д402[№],Д402[Расчетная проектная площадь],"-",0)</f>
        <v>54.47</v>
      </c>
      <c r="BE85" s="485" t="str">
        <f>IFERROR(Т402[[#This Row],[S ПП]]-Т402[[#This Row],[S ДДУ]],"")</f>
        <v/>
      </c>
      <c r="BF85" s="485">
        <f>_xlfn.XLOOKUP(Т402[[#This Row],[№]],Д402[№],Д402[Итоговая сумма скидки],"-",0)</f>
        <v>0</v>
      </c>
      <c r="BG85" s="486" t="str" cm="1">
        <f t="array" ref="BG8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85" s="488" t="str">
        <f>IFERROR(Т402[[#This Row],[ППС]]-Т402[[#This Row],[ДДУС]],"")</f>
        <v/>
      </c>
    </row>
    <row r="86" spans="1:60" x14ac:dyDescent="0.2">
      <c r="A86" s="611"/>
      <c r="B86" s="234">
        <f>VLOOKUP(ППД4!A83,Реестр_Д4[№],1,0)</f>
        <v>82</v>
      </c>
      <c r="C86" s="234" t="str">
        <f>VLOOKUP(ППД4!CO83,Реестр_Д4[Статус],1,0)</f>
        <v>Продажа</v>
      </c>
      <c r="D86" s="612">
        <f>VLOOKUP(ППД4!CE83,Реестр_Д4[Стоимость ОН без отделки со скидкой],1,0)</f>
        <v>5897612</v>
      </c>
      <c r="E86" s="612" cm="1">
        <f t="array" ref="E86">IFERROR(INDEX(РД[Стоимость без отделки итог],MATCH($B$3&amp;Таблица4[[#This Row],[№]]&amp;"Продажа",РД[Дом]&amp;РД[№ кв]&amp;РД[Состояние],0),1),Таблица4[[#This Row],[Статус]])</f>
        <v>5897612</v>
      </c>
      <c r="F86" s="235">
        <f>IFERROR((Таблица4[[#This Row],[ПП]]-Таблица4[[#This Row],[ДДУ]])*1,"")</f>
        <v>0</v>
      </c>
      <c r="G86" s="235" cm="1">
        <f t="array" ref="G86">IFERROR(INDEX(РД[Стоимость с отделкой итог],MATCH($B$3&amp;Таблица4[[#This Row],[№]]&amp;"Продажа",РД[Дом]&amp;РД[№ кв]&amp;РД[Состояние],0),1),Таблица4[[#This Row],[Статус]])</f>
        <v>7256332</v>
      </c>
      <c r="H86" s="235">
        <f>_xlfn.XLOOKUP(Таблица4[[#This Row],[№]],Реестр_Д4[№],Реестр_Д4[Стоимость квартиры с отделкой],"-",0)</f>
        <v>7256332</v>
      </c>
      <c r="I86" s="235">
        <f>IFERROR(Таблица4[[#This Row],[СО ПП]]-Таблица4[[#This Row],[СО ДДУ]],"")</f>
        <v>0</v>
      </c>
      <c r="J86" s="233" cm="1">
        <f t="array" ref="J86">IFERROR(INDEX(РД[S],MATCH($B$3&amp;Таблица4[[#This Row],[№]]&amp;"Продажа",РД[Дом]&amp;РД[№ кв]&amp;РД[Состояние],0),1),Таблица4[[#This Row],[Статус]])</f>
        <v>61.76</v>
      </c>
      <c r="K86" s="233">
        <f>VLOOKUP(Таблица4[[#This Row],[№]],Реестр_Д4[],20,0)</f>
        <v>61.76</v>
      </c>
      <c r="L86" s="235">
        <f>IFERROR(Таблица4[[#This Row],[S ПП]]-Таблица4[[#This Row],[S ДДУ]],)</f>
        <v>0</v>
      </c>
      <c r="M86" s="235">
        <f>ROUND(_xlfn.XLOOKUP(Таблица4[[#This Row],[№]],Реестр_Д4[№],Реестр_Д4[Итоговая сумма скидки],"",0),2)</f>
        <v>88888</v>
      </c>
      <c r="N86" s="235" cm="1">
        <f t="array" ref="N86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86" s="235">
        <f>IFERROR(Таблица4[[#This Row],[ППС]]-Таблица4[[#This Row],[ДДУС]],)</f>
        <v>0</v>
      </c>
      <c r="P86" s="611"/>
      <c r="Q86" s="234">
        <f>VLOOKUP(ППД5!A83,Реестр_Д5[№],1,0)</f>
        <v>82</v>
      </c>
      <c r="R86" s="234" t="str">
        <f>VLOOKUP(ППД5!CH83,Реестр_Д5[Статус],1,0)</f>
        <v>Продажа</v>
      </c>
      <c r="S86" s="612">
        <f>VLOOKUP(ППД5!BZ83,Реестр_Д5[Стоимость ОН без отделки со скидкой],1,0)</f>
        <v>5124224.0199999996</v>
      </c>
      <c r="T86" s="612" cm="1">
        <f t="array" ref="T86">IFERROR(INDEX(РД[Стоимость без отделки итог],MATCH($Q$3&amp;Таблица10[[#This Row],[№]]&amp;"Продажа",РД[Дом]&amp;РД[№ кв]&amp;РД[Состояние],0),1),Таблица10[[#This Row],[Статус]])</f>
        <v>5124224.0199999996</v>
      </c>
      <c r="U86" s="235">
        <f>IFERROR((Таблица10[[#This Row],[ПП]]-Таблица10[[#This Row],[ДДУ]])*1,)</f>
        <v>0</v>
      </c>
      <c r="V86" s="235" cm="1">
        <f t="array" ref="V86">IFERROR(INDEX(РД[Стоимость с отделкой итог],MATCH($Q$3&amp;Таблица10[[#This Row],[№]]&amp;"Продажа",РД[Дом]&amp;РД[№ кв]&amp;РД[Состояние],0),1),Таблица10[[#This Row],[Статус]])</f>
        <v>6403744.0199999996</v>
      </c>
      <c r="W86" s="235">
        <f>_xlfn.XLOOKUP(Таблица10[[#This Row],[№]],Реестр_Д5[№],Реестр_Д5[Стоимость квартиры с отделкой],"-",0)</f>
        <v>6403744.0199999996</v>
      </c>
      <c r="X86" s="235">
        <f>IFERROR(Таблица10[[#This Row],[СО ПП]]-Таблица10[[#This Row],[СО ДДУ]],"")</f>
        <v>0</v>
      </c>
      <c r="Y86" s="233" cm="1">
        <f t="array" ref="Y86">IFERROR(INDEX(РД[S],MATCH($Q$3&amp;Таблица10[[#This Row],[№]]&amp;"Продажа",РД[Дом]&amp;РД[№ кв]&amp;РД[Состояние],0),1),Таблица10[[#This Row],[Статус]])</f>
        <v>58.16</v>
      </c>
      <c r="Z86" s="233">
        <f>IF(Таблица10[[#This Row],[№]]&amp;"ДДУ"=ППД5!A83&amp;ППД5!CR83,ППД5!U83,ППД5!V83)</f>
        <v>58.16</v>
      </c>
      <c r="AA86" s="285">
        <f>IFERROR(Таблица10[[#This Row],[S ПП]]-Таблица10[[#This Row],[S ДДУ]],)</f>
        <v>0</v>
      </c>
      <c r="AB86" s="235">
        <f>ROUND(_xlfn.XLOOKUP(Таблица10[[#This Row],[№]],Реестр_Д5[№],Реестр_Д5[Итоговая сумма скидки],"",0),2)</f>
        <v>0</v>
      </c>
      <c r="AC86" s="235" cm="1">
        <f t="array" ref="AC8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86" s="285">
        <f>IFERROR(Таблица10[[#This Row],[ППС]]-Таблица10[[#This Row],[ДДУС]],)</f>
        <v>0</v>
      </c>
      <c r="AE86" s="611"/>
      <c r="AF86" s="615">
        <f>VLOOKUP(ППД401!A83,Д401[],1,0)</f>
        <v>82</v>
      </c>
      <c r="AG86" s="234" t="str">
        <f>_xlfn.XLOOKUP(Таблица1[[#This Row],[№]],Д401[№],Д401[Статус],"-",0)</f>
        <v>Стр. Резерв</v>
      </c>
      <c r="AH86" s="612">
        <f>_xlfn.XLOOKUP(Таблица1[[#This Row],[№]],Д401[№],Д401[Стоимость ОН без отделки со скидкой],"-",0)</f>
        <v>9350000</v>
      </c>
      <c r="AI86" s="612" t="str" cm="1">
        <f t="array" ref="AI8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86" s="235" t="str">
        <f>IFERROR((Таблица1[[#This Row],[ПП]]-Таблица1[[#This Row],[ДДУ]])*1,"")</f>
        <v/>
      </c>
      <c r="AK86" s="235" t="str" cm="1">
        <f t="array" ref="AK8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86" s="235">
        <f>_xlfn.XLOOKUP(Таблица1[[#This Row],[№]],Д401[№],Д401[Стоимость квартиры с отделкой],"-",0)</f>
        <v>9350000</v>
      </c>
      <c r="AM86" s="235" t="str">
        <f>IFERROR(Таблица1[[#This Row],[СО ПП]]-Таблица1[[#This Row],[СО ДДУ]],"")</f>
        <v/>
      </c>
      <c r="AN86" s="233" t="str" cm="1">
        <f t="array" ref="AN86">IFERROR(INDEX(РД[S],MATCH($AF$3&amp;Таблица1[[#This Row],[№]]&amp;"Продажа",РД[Дом]&amp;РД[№ кв]&amp;РД[Состояние],0),1),Таблица1[[#This Row],[Статус]])</f>
        <v>Стр. Резерв</v>
      </c>
      <c r="AO86" s="233">
        <f>_xlfn.XLOOKUP(Таблица1[[#This Row],[№]],Д401[№],Д401[Расчетная проектная площадь],"-",0)</f>
        <v>74.8</v>
      </c>
      <c r="AP86" s="235" t="str">
        <f>IFERROR(Таблица1[[#This Row],[S ПП]]-Таблица1[[#This Row],[S ДДУ]],"")</f>
        <v/>
      </c>
      <c r="AQ86" s="235">
        <f>_xlfn.XLOOKUP(Таблица1[[#This Row],[№]],Д401[№],Д401[Итоговая сумма скидки],"-",0)</f>
        <v>0</v>
      </c>
      <c r="AR86" s="235" t="str" cm="1">
        <f t="array" ref="AR8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86" s="285" t="str">
        <f>IFERROR(Таблица1[[#This Row],[ППС]]-Таблица1[[#This Row],[ДДУС]],"")</f>
        <v/>
      </c>
      <c r="AT86" s="611"/>
      <c r="AU86" s="484">
        <f>VLOOKUP(ППД402!A83,Д402[],1,0)</f>
        <v>82</v>
      </c>
      <c r="AV86" s="484" t="str">
        <f>_xlfn.XLOOKUP(Т402[[#This Row],[№]],Д402[№],Д402[Статус],"-",0)</f>
        <v>Стр. Резерв</v>
      </c>
      <c r="AW86" s="613">
        <f>_xlfn.XLOOKUP(Т402[[#This Row],[№]],Д402[№],Д402[Стоимость ОН без отделки со скидкой],"-",0)</f>
        <v>6679600</v>
      </c>
      <c r="AX86" s="614" t="str" cm="1">
        <f t="array" ref="AX8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86" s="485" t="str">
        <f>IFERROR((Т402[[#This Row],[ПП]]-Т402[[#This Row],[ДДУ]])*1,"")</f>
        <v/>
      </c>
      <c r="AZ86" s="486" t="str" cm="1">
        <f t="array" ref="AZ8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86" s="485">
        <f>_xlfn.XLOOKUP(Т402[[#This Row],[№]],Д402[№],Д402[Стоимость квартиры с отделкой],"-",0)</f>
        <v>6679600</v>
      </c>
      <c r="BB86" s="485" t="str">
        <f>IFERROR(Т402[[#This Row],[СО ПП]]-Т402[[#This Row],[СО ДДУ]],"")</f>
        <v/>
      </c>
      <c r="BC86" s="487" t="str" cm="1">
        <f t="array" ref="BC86">IFERROR(INDEX(РД[S],MATCH($AU$3&amp;Т402[[#This Row],[№]]&amp;"Продажа",РД[Дом]&amp;РД[№ кв]&amp;РД[Состояние],0),1),Т402[[#This Row],[Статус]])</f>
        <v>Стр. Резерв</v>
      </c>
      <c r="BD86" s="483">
        <f>_xlfn.XLOOKUP(Т402[[#This Row],[№]],Д402[№],Д402[Расчетная проектная площадь],"-",0)</f>
        <v>54.4</v>
      </c>
      <c r="BE86" s="485" t="str">
        <f>IFERROR(Т402[[#This Row],[S ПП]]-Т402[[#This Row],[S ДДУ]],"")</f>
        <v/>
      </c>
      <c r="BF86" s="485">
        <f>_xlfn.XLOOKUP(Т402[[#This Row],[№]],Д402[№],Д402[Итоговая сумма скидки],"-",0)</f>
        <v>0</v>
      </c>
      <c r="BG86" s="486" t="str" cm="1">
        <f t="array" ref="BG8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86" s="488" t="str">
        <f>IFERROR(Т402[[#This Row],[ППС]]-Т402[[#This Row],[ДДУС]],"")</f>
        <v/>
      </c>
    </row>
    <row r="87" spans="1:60" x14ac:dyDescent="0.2">
      <c r="A87" s="611"/>
      <c r="B87" s="234">
        <f>VLOOKUP(ППД4!A84,Реестр_Д4[№],1,0)</f>
        <v>83</v>
      </c>
      <c r="C87" s="234" t="str">
        <f>VLOOKUP(ППД4!CO84,Реестр_Д4[Статус],1,0)</f>
        <v>Продажа</v>
      </c>
      <c r="D87" s="612">
        <f>VLOOKUP(ППД4!CE84,Реестр_Д4[Стоимость ОН без отделки со скидкой],1,0)</f>
        <v>3055415.74</v>
      </c>
      <c r="E87" s="612" cm="1">
        <f t="array" ref="E87">IFERROR(INDEX(РД[Стоимость без отделки итог],MATCH($B$3&amp;Таблица4[[#This Row],[№]]&amp;"Продажа",РД[Дом]&amp;РД[№ кв]&amp;РД[Состояние],0),1),Таблица4[[#This Row],[Статус]])</f>
        <v>3055415.74</v>
      </c>
      <c r="F87" s="235">
        <f>IFERROR((Таблица4[[#This Row],[ПП]]-Таблица4[[#This Row],[ДДУ]])*1,"")</f>
        <v>0</v>
      </c>
      <c r="G87" s="235" cm="1">
        <f t="array" ref="G87">IFERROR(INDEX(РД[Стоимость с отделкой итог],MATCH($B$3&amp;Таблица4[[#This Row],[№]]&amp;"Продажа",РД[Дом]&amp;РД[№ кв]&amp;РД[Состояние],0),1),Таблица4[[#This Row],[Статус]])</f>
        <v>3588515.74</v>
      </c>
      <c r="H87" s="235">
        <f>_xlfn.XLOOKUP(Таблица4[[#This Row],[№]],Реестр_Д4[№],Реестр_Д4[Стоимость квартиры с отделкой],"-",0)</f>
        <v>3588515.74</v>
      </c>
      <c r="I87" s="235">
        <f>IFERROR(Таблица4[[#This Row],[СО ПП]]-Таблица4[[#This Row],[СО ДДУ]],"")</f>
        <v>0</v>
      </c>
      <c r="J87" s="233" cm="1">
        <f t="array" ref="J87">IFERROR(INDEX(РД[S],MATCH($B$3&amp;Таблица4[[#This Row],[№]]&amp;"Продажа",РД[Дом]&amp;РД[№ кв]&amp;РД[Состояние],0),1),Таблица4[[#This Row],[Статус]])</f>
        <v>35.54</v>
      </c>
      <c r="K87" s="233">
        <f>VLOOKUP(Таблица4[[#This Row],[№]],Реестр_Д4[],20,0)</f>
        <v>35.54</v>
      </c>
      <c r="L87" s="235">
        <f>IFERROR(Таблица4[[#This Row],[S ПП]]-Таблица4[[#This Row],[S ДДУ]],)</f>
        <v>0</v>
      </c>
      <c r="M87" s="235">
        <f>ROUND(_xlfn.XLOOKUP(Таблица4[[#This Row],[№]],Реестр_Д4[№],Реестр_Д4[Итоговая сумма скидки],"",0),2)</f>
        <v>0</v>
      </c>
      <c r="N87" s="235" cm="1">
        <f t="array" ref="N8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87" s="235">
        <f>IFERROR(Таблица4[[#This Row],[ППС]]-Таблица4[[#This Row],[ДДУС]],)</f>
        <v>0</v>
      </c>
      <c r="P87" s="611"/>
      <c r="Q87" s="234">
        <f>VLOOKUP(ППД5!A84,Реестр_Д5[№],1,0)</f>
        <v>83</v>
      </c>
      <c r="R87" s="234" t="str">
        <f>VLOOKUP(ППД5!CH84,Реестр_Д5[Статус],1,0)</f>
        <v>Продажа</v>
      </c>
      <c r="S87" s="612">
        <f>VLOOKUP(ППД5!BZ84,Реестр_Д5[Стоимость ОН без отделки со скидкой],1,0)</f>
        <v>4672800</v>
      </c>
      <c r="T87" s="612" cm="1">
        <f t="array" ref="T87">IFERROR(INDEX(РД[Стоимость без отделки итог],MATCH($Q$3&amp;Таблица10[[#This Row],[№]]&amp;"Продажа",РД[Дом]&amp;РД[№ кв]&amp;РД[Состояние],0),1),Таблица10[[#This Row],[Статус]])</f>
        <v>4672800</v>
      </c>
      <c r="U87" s="235">
        <f>IFERROR((Таблица10[[#This Row],[ПП]]-Таблица10[[#This Row],[ДДУ]])*1,)</f>
        <v>0</v>
      </c>
      <c r="V87" s="235" cm="1">
        <f t="array" ref="V87">IFERROR(INDEX(РД[Стоимость с отделкой итог],MATCH($Q$3&amp;Таблица10[[#This Row],[№]]&amp;"Продажа",РД[Дом]&amp;РД[№ кв]&amp;РД[Состояние],0),1),Таблица10[[#This Row],[Статус]])</f>
        <v>4972050</v>
      </c>
      <c r="W87" s="235">
        <f>_xlfn.XLOOKUP(Таблица10[[#This Row],[№]],Реестр_Д5[№],Реестр_Д5[Стоимость квартиры с отделкой],"-",0)</f>
        <v>4972050</v>
      </c>
      <c r="X87" s="235">
        <f>IFERROR(Таблица10[[#This Row],[СО ПП]]-Таблица10[[#This Row],[СО ДДУ]],"")</f>
        <v>0</v>
      </c>
      <c r="Y87" s="233" cm="1">
        <f t="array" ref="Y87">IFERROR(INDEX(РД[S],MATCH($Q$3&amp;Таблица10[[#This Row],[№]]&amp;"Продажа",РД[Дом]&amp;РД[№ кв]&amp;РД[Состояние],0),1),Таблица10[[#This Row],[Статус]])</f>
        <v>42.75</v>
      </c>
      <c r="Z87" s="233">
        <f>IF(Таблица10[[#This Row],[№]]&amp;"ДДУ"=ППД5!A84&amp;ППД5!CR84,ППД5!U84,ППД5!V84)</f>
        <v>42.75</v>
      </c>
      <c r="AA87" s="285">
        <f>IFERROR(Таблица10[[#This Row],[S ПП]]-Таблица10[[#This Row],[S ДДУ]],)</f>
        <v>0</v>
      </c>
      <c r="AB87" s="235">
        <f>ROUND(_xlfn.XLOOKUP(Таблица10[[#This Row],[№]],Реестр_Д5[№],Реестр_Д5[Итоговая сумма скидки],"",0),2)</f>
        <v>50000</v>
      </c>
      <c r="AC87" s="235" cm="1">
        <f t="array" ref="AC87">IFERROR(ROUND(_xlfn.XLOOKUP($Q$3&amp;Таблица10[[#This Row],[№]]&amp;"Продажа",РД[Дом]&amp;РД[№ кв]&amp;РД[Состояние],РД[Сумма скидки],"",0,-1),2),Таблица10[[#This Row],[Статус]])</f>
        <v>50000</v>
      </c>
      <c r="AD87" s="285">
        <f>IFERROR(Таблица10[[#This Row],[ППС]]-Таблица10[[#This Row],[ДДУС]],)</f>
        <v>0</v>
      </c>
      <c r="AE87" s="611"/>
      <c r="AF87" s="615">
        <f>VLOOKUP(ППД401!A84,Д401[],1,0)</f>
        <v>83</v>
      </c>
      <c r="AG87" s="234" t="str">
        <f>_xlfn.XLOOKUP(Таблица1[[#This Row],[№]],Д401[№],Д401[Статус],"-",0)</f>
        <v>Продажа</v>
      </c>
      <c r="AH87" s="612">
        <f>_xlfn.XLOOKUP(Таблица1[[#This Row],[№]],Д401[№],Д401[Стоимость ОН без отделки со скидкой],"-",0)</f>
        <v>6237896</v>
      </c>
      <c r="AI87" s="612" cm="1">
        <f t="array" ref="AI87">IFERROR(INDEX(РД[Стоимость без отделки итог],MATCH($AF$3&amp;Таблица1[[#This Row],[№]]&amp;"Продажа",РД[Дом]&amp;РД[№ кв]&amp;РД[Состояние],0),1),Таблица1[[#This Row],[Статус]])</f>
        <v>6237896</v>
      </c>
      <c r="AJ87" s="235">
        <f>IFERROR((Таблица1[[#This Row],[ПП]]-Таблица1[[#This Row],[ДДУ]])*1,"")</f>
        <v>0</v>
      </c>
      <c r="AK87" s="235" cm="1">
        <f t="array" ref="AK87">IFERROR(INDEX(РД[Стоимость с отделкой итог],MATCH($AF$3&amp;Таблица1[[#This Row],[№]]&amp;"Продажа",РД[Дом]&amp;РД[№ кв]&amp;РД[Состояние],0),1),Таблица1[[#This Row],[Статус]])</f>
        <v>6237896</v>
      </c>
      <c r="AL87" s="235">
        <f>_xlfn.XLOOKUP(Таблица1[[#This Row],[№]],Д401[№],Д401[Стоимость квартиры с отделкой],"-",0)</f>
        <v>6237896</v>
      </c>
      <c r="AM87" s="235">
        <f>IFERROR(Таблица1[[#This Row],[СО ПП]]-Таблица1[[#This Row],[СО ДДУ]],"")</f>
        <v>0</v>
      </c>
      <c r="AN87" s="233" cm="1">
        <f t="array" ref="AN87">IFERROR(INDEX(РД[S],MATCH($AF$3&amp;Таблица1[[#This Row],[№]]&amp;"Продажа",РД[Дом]&amp;РД[№ кв]&amp;РД[Состояние],0),1),Таблица1[[#This Row],[Статус]])</f>
        <v>54.07</v>
      </c>
      <c r="AO87" s="233">
        <f>_xlfn.XLOOKUP(Таблица1[[#This Row],[№]],Д401[№],Д401[Расчетная проектная площадь],"-",0)</f>
        <v>54.01</v>
      </c>
      <c r="AP87" s="680">
        <f>IFERROR(Таблица1[[#This Row],[S ПП]]-Таблица1[[#This Row],[S ДДУ]],"")</f>
        <v>-6.0000000000002274E-2</v>
      </c>
      <c r="AQ87" s="235">
        <f>_xlfn.XLOOKUP(Таблица1[[#This Row],[№]],Д401[№],Д401[Итоговая сумма скидки],"-",0)</f>
        <v>127304</v>
      </c>
      <c r="AR87" s="235" cm="1">
        <f t="array" ref="AR87">IFERROR(ROUND(_xlfn.XLOOKUP($AF$3&amp;Таблица1[[#This Row],[№]]&amp;"Продажа",РД[Дом]&amp;РД[№ кв]&amp;РД[Состояние],РД[Сумма скидки],"",0),2),Таблица1[[#This Row],[Статус]])</f>
        <v>127304</v>
      </c>
      <c r="AS87" s="285">
        <f>IFERROR(Таблица1[[#This Row],[ППС]]-Таблица1[[#This Row],[ДДУС]],"")</f>
        <v>0</v>
      </c>
      <c r="AT87" s="611"/>
      <c r="AU87" s="484">
        <f>VLOOKUP(ППД402!A84,Д402[],1,0)</f>
        <v>83</v>
      </c>
      <c r="AV87" s="484" t="str">
        <f>_xlfn.XLOOKUP(Т402[[#This Row],[№]],Д402[№],Д402[Статус],"-",0)</f>
        <v>Продажа</v>
      </c>
      <c r="AW87" s="613">
        <f>_xlfn.XLOOKUP(Т402[[#This Row],[№]],Д402[№],Д402[Стоимость ОН без отделки со скидкой],"-",0)</f>
        <v>4673718</v>
      </c>
      <c r="AX87" s="614" cm="1">
        <f t="array" ref="AX87">IFERROR(INDEX(РД[Стоимость без отделки итог],MATCH($AU$3&amp;Т402[[#This Row],[№]]&amp;"Продажа",РД[Дом]&amp;РД[№ кв]&amp;РД[Состояние],0),1),Т402[[#This Row],[Статус]])</f>
        <v>4673718</v>
      </c>
      <c r="AY87" s="485">
        <f>IFERROR((Т402[[#This Row],[ПП]]-Т402[[#This Row],[ДДУ]])*1,"")</f>
        <v>0</v>
      </c>
      <c r="AZ87" s="486" cm="1">
        <f t="array" ref="AZ87">IFERROR(INDEX(РД[Стоимость с отделкой итог],MATCH($AU$3&amp;Т402[[#This Row],[№]]&amp;"Продажа",РД[Дом]&amp;РД[№ кв]&amp;РД[Состояние],0),1),Т402[[#This Row],[Статус]])</f>
        <v>4673718</v>
      </c>
      <c r="BA87" s="485">
        <f>_xlfn.XLOOKUP(Т402[[#This Row],[№]],Д402[№],Д402[Стоимость квартиры с отделкой],"-",0)</f>
        <v>4673718</v>
      </c>
      <c r="BB87" s="485">
        <f>IFERROR(Т402[[#This Row],[СО ПП]]-Т402[[#This Row],[СО ДДУ]],"")</f>
        <v>0</v>
      </c>
      <c r="BC87" s="487" cm="1">
        <f t="array" ref="BC87">IFERROR(INDEX(РД[S],MATCH($AU$3&amp;Т402[[#This Row],[№]]&amp;"Продажа",РД[Дом]&amp;РД[№ кв]&amp;РД[Состояние],0),1),Т402[[#This Row],[Статус]])</f>
        <v>36.64</v>
      </c>
      <c r="BD87" s="483">
        <f>_xlfn.XLOOKUP(Т402[[#This Row],[№]],Д402[№],Д402[Расчетная проектная площадь],"-",0)</f>
        <v>36.64</v>
      </c>
      <c r="BE87" s="485">
        <f>IFERROR(Т402[[#This Row],[S ПП]]-Т402[[#This Row],[S ДДУ]],"")</f>
        <v>0</v>
      </c>
      <c r="BF87" s="485">
        <f>_xlfn.XLOOKUP(Т402[[#This Row],[№]],Д402[№],Д402[Итоговая сумма скидки],"-",0)</f>
        <v>95382</v>
      </c>
      <c r="BG87" s="486" cm="1">
        <f t="array" ref="BG87">IFERROR(ROUND(_xlfn.XLOOKUP($AU$3&amp;Т402[[#This Row],[№]]&amp;"Продажа",РД[Дом]&amp;РД[№ кв]&amp;РД[Состояние],РД[Сумма скидки],"",0),2),Т402[[#This Row],[Статус]])</f>
        <v>95382</v>
      </c>
      <c r="BH87" s="488">
        <f>IFERROR(Т402[[#This Row],[ППС]]-Т402[[#This Row],[ДДУС]],"")</f>
        <v>0</v>
      </c>
    </row>
    <row r="88" spans="1:60" x14ac:dyDescent="0.2">
      <c r="A88" s="611"/>
      <c r="B88" s="234">
        <f>VLOOKUP(ППД4!A85,Реестр_Д4[№],1,0)</f>
        <v>84</v>
      </c>
      <c r="C88" s="234" t="str">
        <f>VLOOKUP(ППД4!CO85,Реестр_Д4[Статус],1,0)</f>
        <v>Продажа</v>
      </c>
      <c r="D88" s="612">
        <f>VLOOKUP(ППД4!CE85,Реестр_Д4[Стоимость ОН без отделки со скидкой],1,0)</f>
        <v>4961769.33</v>
      </c>
      <c r="E88" s="612" cm="1">
        <f t="array" ref="E88">IFERROR(INDEX(РД[Стоимость без отделки итог],MATCH($B$3&amp;Таблица4[[#This Row],[№]]&amp;"Продажа",РД[Дом]&amp;РД[№ кв]&amp;РД[Состояние],0),1),Таблица4[[#This Row],[Статус]])</f>
        <v>4961769.33</v>
      </c>
      <c r="F88" s="235">
        <f>IFERROR((Таблица4[[#This Row],[ПП]]-Таблица4[[#This Row],[ДДУ]])*1,"")</f>
        <v>0</v>
      </c>
      <c r="G88" s="235" cm="1">
        <f t="array" ref="G88">IFERROR(INDEX(РД[Стоимость с отделкой итог],MATCH($B$3&amp;Таблица4[[#This Row],[№]]&amp;"Продажа",РД[Дом]&amp;РД[№ кв]&amp;РД[Состояние],0),1),Таблица4[[#This Row],[Статус]])</f>
        <v>6194429.3300000001</v>
      </c>
      <c r="H88" s="235">
        <f>_xlfn.XLOOKUP(Таблица4[[#This Row],[№]],Реестр_Д4[№],Реестр_Д4[Стоимость квартиры с отделкой],"-",0)</f>
        <v>6194429.3300000001</v>
      </c>
      <c r="I88" s="235">
        <f>IFERROR(Таблица4[[#This Row],[СО ПП]]-Таблица4[[#This Row],[СО ДДУ]],"")</f>
        <v>0</v>
      </c>
      <c r="J88" s="233" cm="1">
        <f t="array" ref="J88">IFERROR(INDEX(РД[S],MATCH($B$3&amp;Таблица4[[#This Row],[№]]&amp;"Продажа",РД[Дом]&amp;РД[№ кв]&amp;РД[Состояние],0),1),Таблица4[[#This Row],[Статус]])</f>
        <v>56.03</v>
      </c>
      <c r="K88" s="233">
        <f>VLOOKUP(Таблица4[[#This Row],[№]],Реестр_Д4[],20,0)</f>
        <v>56.03</v>
      </c>
      <c r="L88" s="235">
        <f>IFERROR(Таблица4[[#This Row],[S ПП]]-Таблица4[[#This Row],[S ДДУ]],)</f>
        <v>0</v>
      </c>
      <c r="M88" s="235">
        <f>ROUND(_xlfn.XLOOKUP(Таблица4[[#This Row],[№]],Реестр_Д4[№],Реестр_Д4[Итоговая сумма скидки],"",0),2)</f>
        <v>101260.6</v>
      </c>
      <c r="N88" s="235" cm="1">
        <f t="array" ref="N88">IFERROR(ROUND(_xlfn.XLOOKUP($B$3&amp;Таблица4[[#This Row],[№]]&amp;"Продажа",РД[Дом]&amp;РД[№ кв]&amp;РД[Состояние],РД[Сумма скидки],"",0),2),Таблица4[[#This Row],[Статус]])</f>
        <v>101260.6</v>
      </c>
      <c r="O88" s="235">
        <f>IFERROR(Таблица4[[#This Row],[ППС]]-Таблица4[[#This Row],[ДДУС]],)</f>
        <v>0</v>
      </c>
      <c r="P88" s="611"/>
      <c r="Q88" s="234">
        <f>VLOOKUP(ППД5!A85,Реестр_Д5[№],1,0)</f>
        <v>84</v>
      </c>
      <c r="R88" s="234" t="str">
        <f>VLOOKUP(ППД5!CH85,Реестр_Д5[Статус],1,0)</f>
        <v>Продажа</v>
      </c>
      <c r="S88" s="612">
        <f>VLOOKUP(ППД5!BZ85,Реестр_Д5[Стоимость ОН без отделки со скидкой],1,0)</f>
        <v>4023400</v>
      </c>
      <c r="T88" s="612" cm="1">
        <f t="array" ref="T88">IFERROR(INDEX(РД[Стоимость без отделки итог],MATCH($Q$3&amp;Таблица10[[#This Row],[№]]&amp;"Продажа",РД[Дом]&amp;РД[№ кв]&amp;РД[Состояние],0),1),Таблица10[[#This Row],[Статус]])</f>
        <v>4023400</v>
      </c>
      <c r="U88" s="235">
        <f>IFERROR((Таблица10[[#This Row],[ПП]]-Таблица10[[#This Row],[ДДУ]])*1,)</f>
        <v>0</v>
      </c>
      <c r="V88" s="235" cm="1">
        <f t="array" ref="V88">IFERROR(INDEX(РД[Стоимость с отделкой итог],MATCH($Q$3&amp;Таблица10[[#This Row],[№]]&amp;"Продажа",РД[Дом]&amp;РД[№ кв]&amp;РД[Состояние],0),1),Таблица10[[#This Row],[Статус]])</f>
        <v>4023400</v>
      </c>
      <c r="W88" s="235">
        <f>_xlfn.XLOOKUP(Таблица10[[#This Row],[№]],Реестр_Д5[№],Реестр_Д5[Стоимость квартиры с отделкой],"-",0)</f>
        <v>4023400</v>
      </c>
      <c r="X88" s="235">
        <f>IFERROR(Таблица10[[#This Row],[СО ПП]]-Таблица10[[#This Row],[СО ДДУ]],"")</f>
        <v>0</v>
      </c>
      <c r="Y88" s="233" cm="1">
        <f t="array" ref="Y88">IFERROR(INDEX(РД[S],MATCH($Q$3&amp;Таблица10[[#This Row],[№]]&amp;"Продажа",РД[Дом]&amp;РД[№ кв]&amp;РД[Состояние],0),1),Таблица10[[#This Row],[Статус]])</f>
        <v>34.39</v>
      </c>
      <c r="Z88" s="233">
        <f>IF(Таблица10[[#This Row],[№]]&amp;"ДДУ"=ППД5!A85&amp;ППД5!CR85,ППД5!U85,ППД5!V85)</f>
        <v>34.39</v>
      </c>
      <c r="AA88" s="285">
        <f>IFERROR(Таблица10[[#This Row],[S ПП]]-Таблица10[[#This Row],[S ДДУ]],)</f>
        <v>0</v>
      </c>
      <c r="AB88" s="235">
        <f>ROUND(_xlfn.XLOOKUP(Таблица10[[#This Row],[№]],Реестр_Д5[№],Реестр_Д5[Итоговая сумма скидки],"",0),2)</f>
        <v>0</v>
      </c>
      <c r="AC88" s="235" cm="1">
        <f t="array" ref="AC8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88" s="285">
        <f>IFERROR(Таблица10[[#This Row],[ППС]]-Таблица10[[#This Row],[ДДУС]],)</f>
        <v>0</v>
      </c>
      <c r="AE88" s="611"/>
      <c r="AF88" s="615">
        <f>VLOOKUP(ППД401!A85,Д401[],1,0)</f>
        <v>84</v>
      </c>
      <c r="AG88" s="234" t="str">
        <f>_xlfn.XLOOKUP(Таблица1[[#This Row],[№]],Д401[№],Д401[Статус],"-",0)</f>
        <v>Стр. Резерв</v>
      </c>
      <c r="AH88" s="612">
        <f>_xlfn.XLOOKUP(Таблица1[[#This Row],[№]],Д401[№],Д401[Стоимость ОН без отделки со скидкой],"-",0)</f>
        <v>4996900</v>
      </c>
      <c r="AI88" s="612" t="str" cm="1">
        <f t="array" ref="AI8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88" s="235" t="str">
        <f>IFERROR((Таблица1[[#This Row],[ПП]]-Таблица1[[#This Row],[ДДУ]])*1,"")</f>
        <v/>
      </c>
      <c r="AK88" s="235" t="str" cm="1">
        <f t="array" ref="AK8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88" s="235">
        <f>_xlfn.XLOOKUP(Таблица1[[#This Row],[№]],Д401[№],Д401[Стоимость квартиры с отделкой],"-",0)</f>
        <v>4996900</v>
      </c>
      <c r="AM88" s="235" t="str">
        <f>IFERROR(Таблица1[[#This Row],[СО ПП]]-Таблица1[[#This Row],[СО ДДУ]],"")</f>
        <v/>
      </c>
      <c r="AN88" s="233" t="str" cm="1">
        <f t="array" ref="AN88">IFERROR(INDEX(РД[S],MATCH($AF$3&amp;Таблица1[[#This Row],[№]]&amp;"Продажа",РД[Дом]&amp;РД[№ кв]&amp;РД[Состояние],0),1),Таблица1[[#This Row],[Статус]])</f>
        <v>Стр. Резерв</v>
      </c>
      <c r="AO88" s="233">
        <f>_xlfn.XLOOKUP(Таблица1[[#This Row],[№]],Д401[№],Д401[Расчетная проектная площадь],"-",0)</f>
        <v>35.590000000000003</v>
      </c>
      <c r="AP88" s="235" t="str">
        <f>IFERROR(Таблица1[[#This Row],[S ПП]]-Таблица1[[#This Row],[S ДДУ]],"")</f>
        <v/>
      </c>
      <c r="AQ88" s="235">
        <f>_xlfn.XLOOKUP(Таблица1[[#This Row],[№]],Д401[№],Д401[Итоговая сумма скидки],"-",0)</f>
        <v>0</v>
      </c>
      <c r="AR88" s="235" t="str" cm="1">
        <f t="array" ref="AR8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88" s="285" t="str">
        <f>IFERROR(Таблица1[[#This Row],[ППС]]-Таблица1[[#This Row],[ДДУС]],"")</f>
        <v/>
      </c>
      <c r="AT88" s="611"/>
      <c r="AU88" s="484">
        <f>VLOOKUP(ППД402!A85,Д402[],1,0)</f>
        <v>84</v>
      </c>
      <c r="AV88" s="484" t="str">
        <f>_xlfn.XLOOKUP(Т402[[#This Row],[№]],Д402[№],Д402[Статус],"-",0)</f>
        <v>Продажа</v>
      </c>
      <c r="AW88" s="613">
        <f>_xlfn.XLOOKUP(Т402[[#This Row],[№]],Д402[№],Д402[Стоимость ОН без отделки со скидкой],"-",0)</f>
        <v>5596976</v>
      </c>
      <c r="AX88" s="614" cm="1">
        <f t="array" ref="AX88">IFERROR(INDEX(РД[Стоимость без отделки итог],MATCH($AU$3&amp;Т402[[#This Row],[№]]&amp;"Продажа",РД[Дом]&amp;РД[№ кв]&amp;РД[Состояние],0),1),Т402[[#This Row],[Статус]])</f>
        <v>5596976</v>
      </c>
      <c r="AY88" s="485">
        <f>IFERROR((Т402[[#This Row],[ПП]]-Т402[[#This Row],[ДДУ]])*1,"")</f>
        <v>0</v>
      </c>
      <c r="AZ88" s="486" cm="1">
        <f t="array" ref="AZ88">IFERROR(INDEX(РД[Стоимость с отделкой итог],MATCH($AU$3&amp;Т402[[#This Row],[№]]&amp;"Продажа",РД[Дом]&amp;РД[№ кв]&amp;РД[Состояние],0),1),Т402[[#This Row],[Статус]])</f>
        <v>5596976</v>
      </c>
      <c r="BA88" s="485">
        <f>_xlfn.XLOOKUP(Т402[[#This Row],[№]],Д402[№],Д402[Стоимость квартиры с отделкой],"-",0)</f>
        <v>5596976</v>
      </c>
      <c r="BB88" s="485">
        <f>IFERROR(Т402[[#This Row],[СО ПП]]-Т402[[#This Row],[СО ДДУ]],"")</f>
        <v>0</v>
      </c>
      <c r="BC88" s="487" cm="1">
        <f t="array" ref="BC88">IFERROR(INDEX(РД[S],MATCH($AU$3&amp;Т402[[#This Row],[№]]&amp;"Продажа",РД[Дом]&amp;РД[№ кв]&amp;РД[Состояние],0),1),Т402[[#This Row],[Статус]])</f>
        <v>44.9</v>
      </c>
      <c r="BD88" s="483">
        <f>_xlfn.XLOOKUP(Т402[[#This Row],[№]],Д402[№],Д402[Расчетная проектная площадь],"-",0)</f>
        <v>44.9</v>
      </c>
      <c r="BE88" s="485">
        <f>IFERROR(Т402[[#This Row],[S ПП]]-Т402[[#This Row],[S ДДУ]],"")</f>
        <v>0</v>
      </c>
      <c r="BF88" s="485">
        <f>_xlfn.XLOOKUP(Т402[[#This Row],[№]],Д402[№],Д402[Итоговая сумма скидки],"-",0)</f>
        <v>114224</v>
      </c>
      <c r="BG88" s="486" cm="1">
        <f t="array" ref="BG88">IFERROR(ROUND(_xlfn.XLOOKUP($AU$3&amp;Т402[[#This Row],[№]]&amp;"Продажа",РД[Дом]&amp;РД[№ кв]&amp;РД[Состояние],РД[Сумма скидки],"",0),2),Т402[[#This Row],[Статус]])</f>
        <v>114224</v>
      </c>
      <c r="BH88" s="488">
        <f>IFERROR(Т402[[#This Row],[ППС]]-Т402[[#This Row],[ДДУС]],"")</f>
        <v>0</v>
      </c>
    </row>
    <row r="89" spans="1:60" x14ac:dyDescent="0.2">
      <c r="A89" s="611"/>
      <c r="B89" s="234">
        <f>VLOOKUP(ППД4!A86,Реестр_Д4[№],1,0)</f>
        <v>85</v>
      </c>
      <c r="C89" s="234" t="str">
        <f>VLOOKUP(ППД4!CO86,Реестр_Д4[Статус],1,0)</f>
        <v>Продажа</v>
      </c>
      <c r="D89" s="612">
        <f>VLOOKUP(ППД4!CE86,Реестр_Д4[Стоимость ОН без отделки со скидкой],1,0)</f>
        <v>3946724.91</v>
      </c>
      <c r="E89" s="612" cm="1">
        <f t="array" ref="E89">IFERROR(INDEX(РД[Стоимость без отделки итог],MATCH($B$3&amp;Таблица4[[#This Row],[№]]&amp;"Продажа",РД[Дом]&amp;РД[№ кв]&amp;РД[Состояние],0),1),Таблица4[[#This Row],[Статус]])</f>
        <v>3946724.91</v>
      </c>
      <c r="F89" s="235">
        <f>IFERROR((Таблица4[[#This Row],[ПП]]-Таблица4[[#This Row],[ДДУ]])*1,"")</f>
        <v>0</v>
      </c>
      <c r="G89" s="235" cm="1">
        <f t="array" ref="G89">IFERROR(INDEX(РД[Стоимость с отделкой итог],MATCH($B$3&amp;Таблица4[[#This Row],[№]]&amp;"Продажа",РД[Дом]&amp;РД[№ кв]&amp;РД[Состояние],0),1),Таблица4[[#This Row],[Статус]])</f>
        <v>4165364.91</v>
      </c>
      <c r="H89" s="235">
        <f>_xlfn.XLOOKUP(Таблица4[[#This Row],[№]],Реестр_Д4[№],Реестр_Д4[Стоимость квартиры с отделкой],"-",0)</f>
        <v>4165364.91</v>
      </c>
      <c r="I89" s="235">
        <f>IFERROR(Таблица4[[#This Row],[СО ПП]]-Таблица4[[#This Row],[СО ДДУ]],"")</f>
        <v>0</v>
      </c>
      <c r="J89" s="233" cm="1">
        <f t="array" ref="J89">IFERROR(INDEX(РД[S],MATCH($B$3&amp;Таблица4[[#This Row],[№]]&amp;"Продажа",РД[Дом]&amp;РД[№ кв]&amp;РД[Состояние],0),1),Таблица4[[#This Row],[Статус]])</f>
        <v>54.66</v>
      </c>
      <c r="K89" s="233">
        <f>VLOOKUP(Таблица4[[#This Row],[№]],Реестр_Д4[],20,0)</f>
        <v>54.66</v>
      </c>
      <c r="L89" s="235">
        <f>IFERROR(Таблица4[[#This Row],[S ПП]]-Таблица4[[#This Row],[S ДДУ]],)</f>
        <v>0</v>
      </c>
      <c r="M89" s="235">
        <f>ROUND(_xlfn.XLOOKUP(Таблица4[[#This Row],[№]],Реестр_Д4[№],Реестр_Д4[Итоговая сумма скидки],"",0),2)</f>
        <v>150000</v>
      </c>
      <c r="N89" s="235" cm="1">
        <f t="array" ref="N89">IFERROR(ROUND(_xlfn.XLOOKUP($B$3&amp;Таблица4[[#This Row],[№]]&amp;"Продажа",РД[Дом]&amp;РД[№ кв]&amp;РД[Состояние],РД[Сумма скидки],"",0),2),Таблица4[[#This Row],[Статус]])</f>
        <v>150000</v>
      </c>
      <c r="O89" s="235">
        <f>IFERROR(Таблица4[[#This Row],[ППС]]-Таблица4[[#This Row],[ДДУС]],)</f>
        <v>0</v>
      </c>
      <c r="P89" s="611"/>
      <c r="Q89" s="234">
        <f>VLOOKUP(ППД5!A86,Реестр_Д5[№],1,0)</f>
        <v>85</v>
      </c>
      <c r="R89" s="234" t="str">
        <f>VLOOKUP(ППД5!CH86,Реестр_Д5[Статус],1,0)</f>
        <v>Продажа</v>
      </c>
      <c r="S89" s="612">
        <f>VLOOKUP(ППД5!BZ86,Реестр_Д5[Стоимость ОН без отделки со скидкой],1,0)</f>
        <v>7624100</v>
      </c>
      <c r="T89" s="612" cm="1">
        <f t="array" ref="T89">IFERROR(INDEX(РД[Стоимость без отделки итог],MATCH($Q$3&amp;Таблица10[[#This Row],[№]]&amp;"Продажа",РД[Дом]&amp;РД[№ кв]&amp;РД[Состояние],0),1),Таблица10[[#This Row],[Статус]])</f>
        <v>7624100</v>
      </c>
      <c r="U89" s="235">
        <f>IFERROR((Таблица10[[#This Row],[ПП]]-Таблица10[[#This Row],[ДДУ]])*1,)</f>
        <v>0</v>
      </c>
      <c r="V89" s="235" cm="1">
        <f t="array" ref="V89">IFERROR(INDEX(РД[Стоимость с отделкой итог],MATCH($Q$3&amp;Таблица10[[#This Row],[№]]&amp;"Продажа",РД[Дом]&amp;РД[№ кв]&amp;РД[Состояние],0),1),Таблица10[[#This Row],[Статус]])</f>
        <v>7624100</v>
      </c>
      <c r="W89" s="235">
        <f>_xlfn.XLOOKUP(Таблица10[[#This Row],[№]],Реестр_Д5[№],Реестр_Д5[Стоимость квартиры с отделкой],"-",0)</f>
        <v>7624100</v>
      </c>
      <c r="X89" s="235">
        <f>IFERROR(Таблица10[[#This Row],[СО ПП]]-Таблица10[[#This Row],[СО ДДУ]],"")</f>
        <v>0</v>
      </c>
      <c r="Y89" s="233" cm="1">
        <f t="array" ref="Y89">IFERROR(INDEX(РД[S],MATCH($Q$3&amp;Таблица10[[#This Row],[№]]&amp;"Продажа",РД[Дом]&amp;РД[№ кв]&amp;РД[Состояние],0),1),Таблица10[[#This Row],[Статус]])</f>
        <v>68.099999999999994</v>
      </c>
      <c r="Z89" s="233">
        <f>IF(Таблица10[[#This Row],[№]]&amp;"ДДУ"=ППД5!A86&amp;ППД5!CR86,ППД5!U86,ППД5!V86)</f>
        <v>68.100000000000009</v>
      </c>
      <c r="AA89" s="285">
        <f>IFERROR(Таблица10[[#This Row],[S ПП]]-Таблица10[[#This Row],[S ДДУ]],)</f>
        <v>1.4210854715202004E-14</v>
      </c>
      <c r="AB89" s="235">
        <f>ROUND(_xlfn.XLOOKUP(Таблица10[[#This Row],[№]],Реестр_Д5[№],Реестр_Д5[Итоговая сумма скидки],"",0),2)</f>
        <v>536700</v>
      </c>
      <c r="AC89" s="235" cm="1">
        <f t="array" ref="AC89">IFERROR(ROUND(_xlfn.XLOOKUP($Q$3&amp;Таблица10[[#This Row],[№]]&amp;"Продажа",РД[Дом]&amp;РД[№ кв]&amp;РД[Состояние],РД[Сумма скидки],"",0,-1),2),Таблица10[[#This Row],[Статус]])</f>
        <v>536700</v>
      </c>
      <c r="AD89" s="285">
        <f>IFERROR(Таблица10[[#This Row],[ППС]]-Таблица10[[#This Row],[ДДУС]],)</f>
        <v>0</v>
      </c>
      <c r="AE89" s="611"/>
      <c r="AF89" s="615">
        <f>VLOOKUP(ППД401!A86,Д401[],1,0)</f>
        <v>85</v>
      </c>
      <c r="AG89" s="234" t="str">
        <f>_xlfn.XLOOKUP(Таблица1[[#This Row],[№]],Д401[№],Д401[Статус],"-",0)</f>
        <v>Продажа</v>
      </c>
      <c r="AH89" s="612">
        <f>_xlfn.XLOOKUP(Таблица1[[#This Row],[№]],Д401[№],Д401[Стоимость ОН без отделки со скидкой],"-",0)</f>
        <v>5886566</v>
      </c>
      <c r="AI89" s="612" cm="1">
        <f t="array" ref="AI89">IFERROR(INDEX(РД[Стоимость без отделки итог],MATCH($AF$3&amp;Таблица1[[#This Row],[№]]&amp;"Продажа",РД[Дом]&amp;РД[№ кв]&amp;РД[Состояние],0),1),Таблица1[[#This Row],[Статус]])</f>
        <v>5886566</v>
      </c>
      <c r="AJ89" s="235">
        <f>IFERROR((Таблица1[[#This Row],[ПП]]-Таблица1[[#This Row],[ДДУ]])*1,"")</f>
        <v>0</v>
      </c>
      <c r="AK89" s="235" cm="1">
        <f t="array" ref="AK89">IFERROR(INDEX(РД[Стоимость с отделкой итог],MATCH($AF$3&amp;Таблица1[[#This Row],[№]]&amp;"Продажа",РД[Дом]&amp;РД[№ кв]&amp;РД[Состояние],0),1),Таблица1[[#This Row],[Статус]])</f>
        <v>5886566</v>
      </c>
      <c r="AL89" s="235">
        <f>_xlfn.XLOOKUP(Таблица1[[#This Row],[№]],Д401[№],Д401[Стоимость квартиры с отделкой],"-",0)</f>
        <v>5886566</v>
      </c>
      <c r="AM89" s="235">
        <f>IFERROR(Таблица1[[#This Row],[СО ПП]]-Таблица1[[#This Row],[СО ДДУ]],"")</f>
        <v>0</v>
      </c>
      <c r="AN89" s="233" cm="1">
        <f t="array" ref="AN89">IFERROR(INDEX(РД[S],MATCH($AF$3&amp;Таблица1[[#This Row],[№]]&amp;"Продажа",РД[Дом]&amp;РД[№ кв]&amp;РД[Состояние],0),1),Таблица1[[#This Row],[Статус]])</f>
        <v>42.39</v>
      </c>
      <c r="AO89" s="233">
        <f>_xlfn.XLOOKUP(Таблица1[[#This Row],[№]],Д401[№],Д401[Расчетная проектная площадь],"-",0)</f>
        <v>42.63</v>
      </c>
      <c r="AP89" s="680">
        <f>IFERROR(Таблица1[[#This Row],[S ПП]]-Таблица1[[#This Row],[S ДДУ]],"")</f>
        <v>0.24000000000000199</v>
      </c>
      <c r="AQ89" s="235">
        <f>_xlfn.XLOOKUP(Таблица1[[#This Row],[№]],Д401[№],Д401[Итоговая сумма скидки],"-",0)</f>
        <v>120134</v>
      </c>
      <c r="AR89" s="235" cm="1">
        <f t="array" ref="AR89">IFERROR(ROUND(_xlfn.XLOOKUP($AF$3&amp;Таблица1[[#This Row],[№]]&amp;"Продажа",РД[Дом]&amp;РД[№ кв]&amp;РД[Состояние],РД[Сумма скидки],"",0),2),Таблица1[[#This Row],[Статус]])</f>
        <v>120134</v>
      </c>
      <c r="AS89" s="285">
        <f>IFERROR(Таблица1[[#This Row],[ППС]]-Таблица1[[#This Row],[ДДУС]],"")</f>
        <v>0</v>
      </c>
      <c r="AT89" s="611"/>
      <c r="AU89" s="484">
        <f>VLOOKUP(ППД402!A86,Д402[],1,0)</f>
        <v>85</v>
      </c>
      <c r="AV89" s="484" t="str">
        <f>_xlfn.XLOOKUP(Т402[[#This Row],[№]],Д402[№],Д402[Статус],"-",0)</f>
        <v>Свободно</v>
      </c>
      <c r="AW89" s="613">
        <f>_xlfn.XLOOKUP(Т402[[#This Row],[№]],Д402[№],Д402[Стоимость ОН без отделки со скидкой],"-",0)</f>
        <v>4150200</v>
      </c>
      <c r="AX89" s="614" t="str" cm="1">
        <f t="array" ref="AX89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89" s="485" t="str">
        <f>IFERROR((Т402[[#This Row],[ПП]]-Т402[[#This Row],[ДДУ]])*1,"")</f>
        <v/>
      </c>
      <c r="AZ89" s="486" t="str" cm="1">
        <f t="array" ref="AZ89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89" s="485">
        <f>_xlfn.XLOOKUP(Т402[[#This Row],[№]],Д402[№],Д402[Стоимость квартиры с отделкой],"-",0)</f>
        <v>5032200</v>
      </c>
      <c r="BB89" s="485" t="str">
        <f>IFERROR(Т402[[#This Row],[СО ПП]]-Т402[[#This Row],[СО ДДУ]],"")</f>
        <v/>
      </c>
      <c r="BC89" s="487" t="str" cm="1">
        <f t="array" ref="BC89">IFERROR(INDEX(РД[S],MATCH($AU$3&amp;Т402[[#This Row],[№]]&amp;"Продажа",РД[Дом]&amp;РД[№ кв]&amp;РД[Состояние],0),1),Т402[[#This Row],[Статус]])</f>
        <v>Свободно</v>
      </c>
      <c r="BD89" s="483">
        <f>_xlfn.XLOOKUP(Т402[[#This Row],[№]],Д402[№],Д402[Расчетная проектная площадь],"-",0)</f>
        <v>29.4</v>
      </c>
      <c r="BE89" s="485" t="str">
        <f>IFERROR(Т402[[#This Row],[S ПП]]-Т402[[#This Row],[S ДДУ]],"")</f>
        <v/>
      </c>
      <c r="BF89" s="485">
        <f>_xlfn.XLOOKUP(Т402[[#This Row],[№]],Д402[№],Д402[Итоговая сумма скидки],"-",0)</f>
        <v>0</v>
      </c>
      <c r="BG89" s="486" t="str" cm="1">
        <f t="array" ref="BG89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89" s="488" t="str">
        <f>IFERROR(Т402[[#This Row],[ППС]]-Т402[[#This Row],[ДДУС]],"")</f>
        <v/>
      </c>
    </row>
    <row r="90" spans="1:60" x14ac:dyDescent="0.2">
      <c r="A90" s="611"/>
      <c r="B90" s="234">
        <f>VLOOKUP(ППД4!A87,Реестр_Д4[№],1,0)</f>
        <v>86</v>
      </c>
      <c r="C90" s="234" t="str">
        <f>VLOOKUP(ППД4!CO87,Реестр_Д4[Статус],1,0)</f>
        <v>Продажа</v>
      </c>
      <c r="D90" s="612">
        <f>VLOOKUP(ППД4!CE87,Реестр_Д4[Стоимость ОН без отделки со скидкой],1,0)</f>
        <v>5609370.5700000003</v>
      </c>
      <c r="E90" s="612" cm="1">
        <f t="array" ref="E90">IFERROR(INDEX(РД[Стоимость без отделки итог],MATCH($B$3&amp;Таблица4[[#This Row],[№]]&amp;"Продажа",РД[Дом]&amp;РД[№ кв]&amp;РД[Состояние],0),1),Таблица4[[#This Row],[Статус]])</f>
        <v>5609370.5700000003</v>
      </c>
      <c r="F90" s="235">
        <f>IFERROR((Таблица4[[#This Row],[ПП]]-Таблица4[[#This Row],[ДДУ]])*1,"")</f>
        <v>0</v>
      </c>
      <c r="G90" s="235" cm="1">
        <f t="array" ref="G90">IFERROR(INDEX(РД[Стоимость с отделкой итог],MATCH($B$3&amp;Таблица4[[#This Row],[№]]&amp;"Продажа",РД[Дом]&amp;РД[№ кв]&amp;РД[Состояние],0),1),Таблица4[[#This Row],[Статус]])</f>
        <v>6058395.5700000003</v>
      </c>
      <c r="H90" s="235">
        <f>_xlfn.XLOOKUP(Таблица4[[#This Row],[№]],Реестр_Д4[№],Реестр_Д4[Стоимость квартиры с отделкой],"-",0)</f>
        <v>6058395.5700000003</v>
      </c>
      <c r="I90" s="235">
        <f>IFERROR(Таблица4[[#This Row],[СО ПП]]-Таблица4[[#This Row],[СО ДДУ]],"")</f>
        <v>0</v>
      </c>
      <c r="J90" s="233" cm="1">
        <f t="array" ref="J90">IFERROR(INDEX(РД[S],MATCH($B$3&amp;Таблица4[[#This Row],[№]]&amp;"Продажа",РД[Дом]&amp;РД[№ кв]&amp;РД[Состояние],0),1),Таблица4[[#This Row],[Статус]])</f>
        <v>59.87</v>
      </c>
      <c r="K90" s="233">
        <f>VLOOKUP(Таблица4[[#This Row],[№]],Реестр_Д4[],20,0)</f>
        <v>59.87</v>
      </c>
      <c r="L90" s="235">
        <f>IFERROR(Таблица4[[#This Row],[S ПП]]-Таблица4[[#This Row],[S ДДУ]],)</f>
        <v>0</v>
      </c>
      <c r="M90" s="235">
        <f>ROUND(_xlfn.XLOOKUP(Таблица4[[#This Row],[№]],Реестр_Д4[№],Реестр_Д4[Итоговая сумма скидки],"",0),2)</f>
        <v>0</v>
      </c>
      <c r="N90" s="235" cm="1">
        <f t="array" ref="N9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0" s="235">
        <f>IFERROR(Таблица4[[#This Row],[ППС]]-Таблица4[[#This Row],[ДДУС]],)</f>
        <v>0</v>
      </c>
      <c r="P90" s="611"/>
      <c r="Q90" s="234">
        <f>VLOOKUP(ППД5!A87,Реестр_Д5[№],1,0)</f>
        <v>86</v>
      </c>
      <c r="R90" s="234" t="str">
        <f>VLOOKUP(ППД5!CH87,Реестр_Д5[Статус],1,0)</f>
        <v>Продажа</v>
      </c>
      <c r="S90" s="612">
        <f>VLOOKUP(ППД5!BZ87,Реестр_Д5[Стоимость ОН без отделки со скидкой],1,0)</f>
        <v>3824799.14</v>
      </c>
      <c r="T90" s="612" cm="1">
        <f t="array" ref="T90">IFERROR(INDEX(РД[Стоимость без отделки итог],MATCH($Q$3&amp;Таблица10[[#This Row],[№]]&amp;"Продажа",РД[Дом]&amp;РД[№ кв]&amp;РД[Состояние],0),1),Таблица10[[#This Row],[Статус]])</f>
        <v>3824799.14</v>
      </c>
      <c r="U90" s="235">
        <f>IFERROR((Таблица10[[#This Row],[ПП]]-Таблица10[[#This Row],[ДДУ]])*1,)</f>
        <v>0</v>
      </c>
      <c r="V90" s="235" cm="1">
        <f t="array" ref="V90">IFERROR(INDEX(РД[Стоимость с отделкой итог],MATCH($Q$3&amp;Таблица10[[#This Row],[№]]&amp;"Продажа",РД[Дом]&amp;РД[№ кв]&amp;РД[Состояние],0),1),Таблица10[[#This Row],[Статус]])</f>
        <v>3824799.14</v>
      </c>
      <c r="W90" s="235">
        <f>_xlfn.XLOOKUP(Таблица10[[#This Row],[№]],Реестр_Д5[№],Реестр_Д5[Стоимость квартиры с отделкой],"-",0)</f>
        <v>3824799.14</v>
      </c>
      <c r="X90" s="235">
        <f>IFERROR(Таблица10[[#This Row],[СО ПП]]-Таблица10[[#This Row],[СО ДДУ]],"")</f>
        <v>0</v>
      </c>
      <c r="Y90" s="233" cm="1">
        <f t="array" ref="Y90">IFERROR(INDEX(РД[S],MATCH($Q$3&amp;Таблица10[[#This Row],[№]]&amp;"Продажа",РД[Дом]&amp;РД[№ кв]&amp;РД[Состояние],0),1),Таблица10[[#This Row],[Статус]])</f>
        <v>37.729999999999997</v>
      </c>
      <c r="Z90" s="233">
        <f>IF(Таблица10[[#This Row],[№]]&amp;"ДДУ"=ППД5!A87&amp;ППД5!CR87,ППД5!U87,ППД5!V87)</f>
        <v>37.729999999999997</v>
      </c>
      <c r="AA90" s="285">
        <f>IFERROR(Таблица10[[#This Row],[S ПП]]-Таблица10[[#This Row],[S ДДУ]],)</f>
        <v>0</v>
      </c>
      <c r="AB90" s="235">
        <f>ROUND(_xlfn.XLOOKUP(Таблица10[[#This Row],[№]],Реестр_Д5[№],Реестр_Д5[Итоговая сумма скидки],"",0),2)</f>
        <v>0</v>
      </c>
      <c r="AC90" s="235" cm="1">
        <f t="array" ref="AC9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0" s="285">
        <f>IFERROR(Таблица10[[#This Row],[ППС]]-Таблица10[[#This Row],[ДДУС]],)</f>
        <v>0</v>
      </c>
      <c r="AE90" s="611"/>
      <c r="AF90" s="615">
        <f>VLOOKUP(ППД401!A87,Д401[],1,0)</f>
        <v>86</v>
      </c>
      <c r="AG90" s="234" t="str">
        <f>_xlfn.XLOOKUP(Таблица1[[#This Row],[№]],Д401[№],Д401[Статус],"-",0)</f>
        <v>Продажа</v>
      </c>
      <c r="AH90" s="612">
        <f>_xlfn.XLOOKUP(Таблица1[[#This Row],[№]],Д401[№],Д401[Стоимость ОН без отделки со скидкой],"-",0)</f>
        <v>6418216</v>
      </c>
      <c r="AI90" s="612" cm="1">
        <f t="array" ref="AI90">IFERROR(INDEX(РД[Стоимость без отделки итог],MATCH($AF$3&amp;Таблица1[[#This Row],[№]]&amp;"Продажа",РД[Дом]&amp;РД[№ кв]&amp;РД[Состояние],0),1),Таблица1[[#This Row],[Статус]])</f>
        <v>6418216</v>
      </c>
      <c r="AJ90" s="235">
        <f>IFERROR((Таблица1[[#This Row],[ПП]]-Таблица1[[#This Row],[ДДУ]])*1,"")</f>
        <v>0</v>
      </c>
      <c r="AK90" s="235" cm="1">
        <f t="array" ref="AK90">IFERROR(INDEX(РД[Стоимость с отделкой итог],MATCH($AF$3&amp;Таблица1[[#This Row],[№]]&amp;"Продажа",РД[Дом]&amp;РД[№ кв]&amp;РД[Состояние],0),1),Таблица1[[#This Row],[Статус]])</f>
        <v>7899916</v>
      </c>
      <c r="AL90" s="235">
        <f>_xlfn.XLOOKUP(Таблица1[[#This Row],[№]],Д401[№],Д401[Стоимость квартиры с отделкой],"-",0)</f>
        <v>7899916</v>
      </c>
      <c r="AM90" s="235">
        <f>IFERROR(Таблица1[[#This Row],[СО ПП]]-Таблица1[[#This Row],[СО ДДУ]],"")</f>
        <v>0</v>
      </c>
      <c r="AN90" s="233" cm="1">
        <f t="array" ref="AN90">IFERROR(INDEX(РД[S],MATCH($AF$3&amp;Таблица1[[#This Row],[№]]&amp;"Продажа",РД[Дом]&amp;РД[№ кв]&amp;РД[Состояние],0),1),Таблица1[[#This Row],[Статус]])</f>
        <v>49.39</v>
      </c>
      <c r="AO90" s="233">
        <f>_xlfn.XLOOKUP(Таблица1[[#This Row],[№]],Д401[№],Д401[Расчетная проектная площадь],"-",0)</f>
        <v>49.39</v>
      </c>
      <c r="AP90" s="235">
        <f>IFERROR(Таблица1[[#This Row],[S ПП]]-Таблица1[[#This Row],[S ДДУ]],"")</f>
        <v>0</v>
      </c>
      <c r="AQ90" s="235">
        <f>_xlfn.XLOOKUP(Таблица1[[#This Row],[№]],Д401[№],Д401[Итоговая сумма скидки],"-",0)</f>
        <v>130984</v>
      </c>
      <c r="AR90" s="235" cm="1">
        <f t="array" ref="AR90">IFERROR(ROUND(_xlfn.XLOOKUP($AF$3&amp;Таблица1[[#This Row],[№]]&amp;"Продажа",РД[Дом]&amp;РД[№ кв]&amp;РД[Состояние],РД[Сумма скидки],"",0),2),Таблица1[[#This Row],[Статус]])</f>
        <v>130984</v>
      </c>
      <c r="AS90" s="285">
        <f>IFERROR(Таблица1[[#This Row],[ППС]]-Таблица1[[#This Row],[ДДУС]],"")</f>
        <v>0</v>
      </c>
      <c r="AT90" s="611"/>
      <c r="AU90" s="484">
        <f>VLOOKUP(ППД402!A87,Д402[],1,0)</f>
        <v>86</v>
      </c>
      <c r="AV90" s="484" t="str">
        <f>_xlfn.XLOOKUP(Т402[[#This Row],[№]],Д402[№],Д402[Статус],"-",0)</f>
        <v>Стр. Резерв</v>
      </c>
      <c r="AW90" s="613">
        <f>_xlfn.XLOOKUP(Т402[[#This Row],[№]],Д402[№],Д402[Стоимость ОН без отделки со скидкой],"-",0)</f>
        <v>7484200</v>
      </c>
      <c r="AX90" s="614" t="str" cm="1">
        <f t="array" ref="AX9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0" s="485" t="str">
        <f>IFERROR((Т402[[#This Row],[ПП]]-Т402[[#This Row],[ДДУ]])*1,"")</f>
        <v/>
      </c>
      <c r="AZ90" s="486" t="str" cm="1">
        <f t="array" ref="AZ9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0" s="485">
        <f>_xlfn.XLOOKUP(Т402[[#This Row],[№]],Д402[№],Д402[Стоимость квартиры с отделкой],"-",0)</f>
        <v>7484200</v>
      </c>
      <c r="BB90" s="485" t="str">
        <f>IFERROR(Т402[[#This Row],[СО ПП]]-Т402[[#This Row],[СО ДДУ]],"")</f>
        <v/>
      </c>
      <c r="BC90" s="487" t="str" cm="1">
        <f t="array" ref="BC90">IFERROR(INDEX(РД[S],MATCH($AU$3&amp;Т402[[#This Row],[№]]&amp;"Продажа",РД[Дом]&amp;РД[№ кв]&amp;РД[Состояние],0),1),Т402[[#This Row],[Статус]])</f>
        <v>Стр. Резерв</v>
      </c>
      <c r="BD90" s="483">
        <f>_xlfn.XLOOKUP(Т402[[#This Row],[№]],Д402[№],Д402[Расчетная проектная площадь],"-",0)</f>
        <v>59.73</v>
      </c>
      <c r="BE90" s="485" t="str">
        <f>IFERROR(Т402[[#This Row],[S ПП]]-Т402[[#This Row],[S ДДУ]],"")</f>
        <v/>
      </c>
      <c r="BF90" s="485">
        <f>_xlfn.XLOOKUP(Т402[[#This Row],[№]],Д402[№],Д402[Итоговая сумма скидки],"-",0)</f>
        <v>0</v>
      </c>
      <c r="BG90" s="486" t="str" cm="1">
        <f t="array" ref="BG9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0" s="488" t="str">
        <f>IFERROR(Т402[[#This Row],[ППС]]-Т402[[#This Row],[ДДУС]],"")</f>
        <v/>
      </c>
    </row>
    <row r="91" spans="1:60" x14ac:dyDescent="0.2">
      <c r="A91" s="611"/>
      <c r="B91" s="234">
        <f>VLOOKUP(ППД4!A88,Реестр_Д4[№],1,0)</f>
        <v>87</v>
      </c>
      <c r="C91" s="234" t="str">
        <f>VLOOKUP(ППД4!CO88,Реестр_Д4[Статус],1,0)</f>
        <v>Продажа</v>
      </c>
      <c r="D91" s="612">
        <f>VLOOKUP(ППД4!CE88,Реестр_Д4[Стоимость ОН без отделки со скидкой],1,0)</f>
        <v>2243187.77</v>
      </c>
      <c r="E91" s="612" cm="1">
        <f t="array" ref="E91">IFERROR(INDEX(РД[Стоимость без отделки итог],MATCH($B$3&amp;Таблица4[[#This Row],[№]]&amp;"Продажа",РД[Дом]&amp;РД[№ кв]&amp;РД[Состояние],0),1),Таблица4[[#This Row],[Статус]])</f>
        <v>2243187.77</v>
      </c>
      <c r="F91" s="235">
        <f>IFERROR((Таблица4[[#This Row],[ПП]]-Таблица4[[#This Row],[ДДУ]])*1,"")</f>
        <v>0</v>
      </c>
      <c r="G91" s="235" cm="1">
        <f t="array" ref="G91">IFERROR(INDEX(РД[Стоимость с отделкой итог],MATCH($B$3&amp;Таблица4[[#This Row],[№]]&amp;"Продажа",РД[Дом]&amp;РД[№ кв]&amp;РД[Состояние],0),1),Таблица4[[#This Row],[Статус]])</f>
        <v>2330187.77</v>
      </c>
      <c r="H91" s="235">
        <f>_xlfn.XLOOKUP(Таблица4[[#This Row],[№]],Реестр_Д4[№],Реестр_Д4[Стоимость квартиры с отделкой],"-",0)</f>
        <v>2330187.77</v>
      </c>
      <c r="I91" s="235">
        <f>IFERROR(Таблица4[[#This Row],[СО ПП]]-Таблица4[[#This Row],[СО ДДУ]],"")</f>
        <v>0</v>
      </c>
      <c r="J91" s="233" cm="1">
        <f t="array" ref="J91">IFERROR(INDEX(РД[S],MATCH($B$3&amp;Таблица4[[#This Row],[№]]&amp;"Продажа",РД[Дом]&amp;РД[№ кв]&amp;РД[Состояние],0),1),Таблица4[[#This Row],[Статус]])</f>
        <v>21.75</v>
      </c>
      <c r="K91" s="233">
        <f>VLOOKUP(Таблица4[[#This Row],[№]],Реестр_Д4[],20,0)</f>
        <v>21.75</v>
      </c>
      <c r="L91" s="235">
        <f>IFERROR(Таблица4[[#This Row],[S ПП]]-Таблица4[[#This Row],[S ДДУ]],)</f>
        <v>0</v>
      </c>
      <c r="M91" s="235">
        <f>ROUND(_xlfn.XLOOKUP(Таблица4[[#This Row],[№]],Реестр_Д4[№],Реестр_Д4[Итоговая сумма скидки],"",0),2)</f>
        <v>0</v>
      </c>
      <c r="N91" s="235" cm="1">
        <f t="array" ref="N9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1" s="235">
        <f>IFERROR(Таблица4[[#This Row],[ППС]]-Таблица4[[#This Row],[ДДУС]],)</f>
        <v>0</v>
      </c>
      <c r="P91" s="611"/>
      <c r="Q91" s="234">
        <f>VLOOKUP(ППД5!A88,Реестр_Д5[№],1,0)</f>
        <v>87</v>
      </c>
      <c r="R91" s="234" t="str">
        <f>VLOOKUP(ППД5!CH88,Реестр_Д5[Статус],1,0)</f>
        <v>Продажа</v>
      </c>
      <c r="S91" s="612">
        <f>VLOOKUP(ППД5!BZ88,Реестр_Д5[Стоимость ОН без отделки со скидкой],1,0)</f>
        <v>5719200</v>
      </c>
      <c r="T91" s="612" cm="1">
        <f t="array" ref="T91">IFERROR(INDEX(РД[Стоимость без отделки итог],MATCH($Q$3&amp;Таблица10[[#This Row],[№]]&amp;"Продажа",РД[Дом]&amp;РД[№ кв]&amp;РД[Состояние],0),1),Таблица10[[#This Row],[Статус]])</f>
        <v>5719200</v>
      </c>
      <c r="U91" s="235">
        <f>IFERROR((Таблица10[[#This Row],[ПП]]-Таблица10[[#This Row],[ДДУ]])*1,)</f>
        <v>0</v>
      </c>
      <c r="V91" s="235" cm="1">
        <f t="array" ref="V91">IFERROR(INDEX(РД[Стоимость с отделкой итог],MATCH($Q$3&amp;Таблица10[[#This Row],[№]]&amp;"Продажа",РД[Дом]&amp;РД[№ кв]&amp;РД[Состояние],0),1),Таблица10[[#This Row],[Статус]])</f>
        <v>6132830</v>
      </c>
      <c r="W91" s="235">
        <f>_xlfn.XLOOKUP(Таблица10[[#This Row],[№]],Реестр_Д5[№],Реестр_Д5[Стоимость квартиры с отделкой],"-",0)</f>
        <v>6132830</v>
      </c>
      <c r="X91" s="235">
        <f>IFERROR(Таблица10[[#This Row],[СО ПП]]-Таблица10[[#This Row],[СО ДДУ]],"")</f>
        <v>0</v>
      </c>
      <c r="Y91" s="233" cm="1">
        <f t="array" ref="Y91">IFERROR(INDEX(РД[S],MATCH($Q$3&amp;Таблица10[[#This Row],[№]]&amp;"Продажа",РД[Дом]&amp;РД[№ кв]&amp;РД[Состояние],0),1),Таблица10[[#This Row],[Статус]])</f>
        <v>59.09</v>
      </c>
      <c r="Z91" s="233">
        <f>IF(Таблица10[[#This Row],[№]]&amp;"ДДУ"=ППД5!A88&amp;ППД5!CR88,ППД5!U88,ППД5!V88)</f>
        <v>59.09</v>
      </c>
      <c r="AA91" s="285">
        <f>IFERROR(Таблица10[[#This Row],[S ПП]]-Таблица10[[#This Row],[S ДДУ]],)</f>
        <v>0</v>
      </c>
      <c r="AB91" s="235">
        <f>ROUND(_xlfn.XLOOKUP(Таблица10[[#This Row],[№]],Реестр_Д5[№],Реестр_Д5[Итоговая сумма скидки],"",0),2)</f>
        <v>0</v>
      </c>
      <c r="AC91" s="235" cm="1">
        <f t="array" ref="AC9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1" s="285">
        <f>IFERROR(Таблица10[[#This Row],[ППС]]-Таблица10[[#This Row],[ДДУС]],)</f>
        <v>0</v>
      </c>
      <c r="AE91" s="611"/>
      <c r="AF91" s="615">
        <f>VLOOKUP(ППД401!A88,Д401[],1,0)</f>
        <v>87</v>
      </c>
      <c r="AG91" s="234" t="str">
        <f>_xlfn.XLOOKUP(Таблица1[[#This Row],[№]],Д401[№],Д401[Статус],"-",0)</f>
        <v>Свободно</v>
      </c>
      <c r="AH91" s="612">
        <f>_xlfn.XLOOKUP(Таблица1[[#This Row],[№]],Д401[№],Д401[Стоимость ОН без отделки со скидкой],"-",0)</f>
        <v>9350000</v>
      </c>
      <c r="AI91" s="612" t="str" cm="1">
        <f t="array" ref="AI91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1" s="235" t="str">
        <f>IFERROR((Таблица1[[#This Row],[ПП]]-Таблица1[[#This Row],[ДДУ]])*1,"")</f>
        <v/>
      </c>
      <c r="AK91" s="235" t="str" cm="1">
        <f t="array" ref="AK91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1" s="235">
        <f>_xlfn.XLOOKUP(Таблица1[[#This Row],[№]],Д401[№],Д401[Стоимость квартиры с отделкой],"-",0)</f>
        <v>9350000</v>
      </c>
      <c r="AM91" s="235" t="str">
        <f>IFERROR(Таблица1[[#This Row],[СО ПП]]-Таблица1[[#This Row],[СО ДДУ]],"")</f>
        <v/>
      </c>
      <c r="AN91" s="233" t="str" cm="1">
        <f t="array" ref="AN91">IFERROR(INDEX(РД[S],MATCH($AF$3&amp;Таблица1[[#This Row],[№]]&amp;"Продажа",РД[Дом]&amp;РД[№ кв]&amp;РД[Состояние],0),1),Таблица1[[#This Row],[Статус]])</f>
        <v>Свободно</v>
      </c>
      <c r="AO91" s="233">
        <f>_xlfn.XLOOKUP(Таблица1[[#This Row],[№]],Д401[№],Д401[Расчетная проектная площадь],"-",0)</f>
        <v>74.8</v>
      </c>
      <c r="AP91" s="235" t="str">
        <f>IFERROR(Таблица1[[#This Row],[S ПП]]-Таблица1[[#This Row],[S ДДУ]],"")</f>
        <v/>
      </c>
      <c r="AQ91" s="235">
        <f>_xlfn.XLOOKUP(Таблица1[[#This Row],[№]],Д401[№],Д401[Итоговая сумма скидки],"-",0)</f>
        <v>0</v>
      </c>
      <c r="AR91" s="235" t="str" cm="1">
        <f t="array" ref="AR91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1" s="285" t="str">
        <f>IFERROR(Таблица1[[#This Row],[ППС]]-Таблица1[[#This Row],[ДДУС]],"")</f>
        <v/>
      </c>
      <c r="AT91" s="611"/>
      <c r="AU91" s="484">
        <f>VLOOKUP(ППД402!A88,Д402[],1,0)</f>
        <v>87</v>
      </c>
      <c r="AV91" s="484" t="str">
        <f>_xlfn.XLOOKUP(Т402[[#This Row],[№]],Д402[№],Д402[Статус],"-",0)</f>
        <v>Стр. Резерв</v>
      </c>
      <c r="AW91" s="613">
        <f>_xlfn.XLOOKUP(Т402[[#This Row],[№]],Д402[№],Д402[Стоимость ОН без отделки со скидкой],"-",0)</f>
        <v>6440700</v>
      </c>
      <c r="AX91" s="614" t="str" cm="1">
        <f t="array" ref="AX9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1" s="485" t="str">
        <f>IFERROR((Т402[[#This Row],[ПП]]-Т402[[#This Row],[ДДУ]])*1,"")</f>
        <v/>
      </c>
      <c r="AZ91" s="486" t="str" cm="1">
        <f t="array" ref="AZ9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1" s="485">
        <f>_xlfn.XLOOKUP(Т402[[#This Row],[№]],Д402[№],Д402[Стоимость квартиры с отделкой],"-",0)</f>
        <v>6440700</v>
      </c>
      <c r="BB91" s="485" t="str">
        <f>IFERROR(Т402[[#This Row],[СО ПП]]-Т402[[#This Row],[СО ДДУ]],"")</f>
        <v/>
      </c>
      <c r="BC91" s="487" t="str" cm="1">
        <f t="array" ref="BC91">IFERROR(INDEX(РД[S],MATCH($AU$3&amp;Т402[[#This Row],[№]]&amp;"Продажа",РД[Дом]&amp;РД[№ кв]&amp;РД[Состояние],0),1),Т402[[#This Row],[Статус]])</f>
        <v>Стр. Резерв</v>
      </c>
      <c r="BD91" s="483">
        <f>_xlfn.XLOOKUP(Т402[[#This Row],[№]],Д402[№],Д402[Расчетная проектная площадь],"-",0)</f>
        <v>54.47</v>
      </c>
      <c r="BE91" s="485" t="str">
        <f>IFERROR(Т402[[#This Row],[S ПП]]-Т402[[#This Row],[S ДДУ]],"")</f>
        <v/>
      </c>
      <c r="BF91" s="485">
        <f>_xlfn.XLOOKUP(Т402[[#This Row],[№]],Д402[№],Д402[Итоговая сумма скидки],"-",0)</f>
        <v>0</v>
      </c>
      <c r="BG91" s="486" t="str" cm="1">
        <f t="array" ref="BG9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1" s="488" t="str">
        <f>IFERROR(Т402[[#This Row],[ППС]]-Т402[[#This Row],[ДДУС]],"")</f>
        <v/>
      </c>
    </row>
    <row r="92" spans="1:60" x14ac:dyDescent="0.2">
      <c r="A92" s="611"/>
      <c r="B92" s="234">
        <f>VLOOKUP(ППД4!A89,Реестр_Д4[№],1,0)</f>
        <v>88</v>
      </c>
      <c r="C92" s="234" t="str">
        <f>VLOOKUP(ППД4!CO89,Реестр_Д4[Статус],1,0)</f>
        <v>Продажа</v>
      </c>
      <c r="D92" s="612">
        <f>VLOOKUP(ППД4!CE89,Реестр_Д4[Стоимость ОН без отделки со скидкой],1,0)</f>
        <v>1811396.5</v>
      </c>
      <c r="E92" s="612" cm="1">
        <f t="array" ref="E92">IFERROR(INDEX(РД[Стоимость без отделки итог],MATCH($B$3&amp;Таблица4[[#This Row],[№]]&amp;"Продажа",РД[Дом]&amp;РД[№ кв]&amp;РД[Состояние],0),1),Таблица4[[#This Row],[Статус]])</f>
        <v>1811396.5000000005</v>
      </c>
      <c r="F92" s="235">
        <f>IFERROR((Таблица4[[#This Row],[ПП]]-Таблица4[[#This Row],[ДДУ]])*1,"")</f>
        <v>-4.6566128730773926E-10</v>
      </c>
      <c r="G92" s="235" cm="1">
        <f t="array" ref="G92">IFERROR(INDEX(РД[Стоимость с отделкой итог],MATCH($B$3&amp;Таблица4[[#This Row],[№]]&amp;"Продажа",РД[Дом]&amp;РД[№ кв]&amp;РД[Состояние],0),1),Таблица4[[#This Row],[Статус]])</f>
        <v>1898316.5</v>
      </c>
      <c r="H92" s="235">
        <f>_xlfn.XLOOKUP(Таблица4[[#This Row],[№]],Реестр_Д4[№],Реестр_Д4[Стоимость квартиры с отделкой],"-",0)</f>
        <v>1898316.5</v>
      </c>
      <c r="I92" s="235">
        <f>IFERROR(Таблица4[[#This Row],[СО ПП]]-Таблица4[[#This Row],[СО ДДУ]],"")</f>
        <v>0</v>
      </c>
      <c r="J92" s="233" cm="1">
        <f t="array" ref="J92">IFERROR(INDEX(РД[S],MATCH($B$3&amp;Таблица4[[#This Row],[№]]&amp;"Продажа",РД[Дом]&amp;РД[№ кв]&amp;РД[Состояние],0),1),Таблица4[[#This Row],[Статус]])</f>
        <v>21.73</v>
      </c>
      <c r="K92" s="233">
        <f>VLOOKUP(Таблица4[[#This Row],[№]],Реестр_Д4[],20,0)</f>
        <v>21.73</v>
      </c>
      <c r="L92" s="235">
        <f>IFERROR(Таблица4[[#This Row],[S ПП]]-Таблица4[[#This Row],[S ДДУ]],)</f>
        <v>0</v>
      </c>
      <c r="M92" s="235">
        <f>ROUND(_xlfn.XLOOKUP(Таблица4[[#This Row],[№]],Реестр_Д4[№],Реестр_Д4[Итоговая сумма скидки],"",0),2)</f>
        <v>0</v>
      </c>
      <c r="N92" s="235" cm="1">
        <f t="array" ref="N9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2" s="235">
        <f>IFERROR(Таблица4[[#This Row],[ППС]]-Таблица4[[#This Row],[ДДУС]],)</f>
        <v>0</v>
      </c>
      <c r="P92" s="611"/>
      <c r="Q92" s="234">
        <f>VLOOKUP(ППД5!A89,Реестр_Д5[№],1,0)</f>
        <v>88</v>
      </c>
      <c r="R92" s="234" t="str">
        <f>VLOOKUP(ППД5!CH89,Реестр_Д5[Статус],1,0)</f>
        <v>Продажа</v>
      </c>
      <c r="S92" s="612">
        <f>VLOOKUP(ППД5!BZ89,Реестр_Д5[Стоимость ОН без отделки со скидкой],1,0)</f>
        <v>5868812</v>
      </c>
      <c r="T92" s="612" cm="1">
        <f t="array" ref="T92">IFERROR(INDEX(РД[Стоимость без отделки итог],MATCH($Q$3&amp;Таблица10[[#This Row],[№]]&amp;"Продажа",РД[Дом]&amp;РД[№ кв]&amp;РД[Состояние],0),1),Таблица10[[#This Row],[Статус]])</f>
        <v>5868812</v>
      </c>
      <c r="U92" s="235">
        <f>IFERROR((Таблица10[[#This Row],[ПП]]-Таблица10[[#This Row],[ДДУ]])*1,)</f>
        <v>0</v>
      </c>
      <c r="V92" s="235" cm="1">
        <f t="array" ref="V92">IFERROR(INDEX(РД[Стоимость с отделкой итог],MATCH($Q$3&amp;Таблица10[[#This Row],[№]]&amp;"Продажа",РД[Дом]&amp;РД[№ кв]&amp;РД[Состояние],0),1),Таблица10[[#This Row],[Статус]])</f>
        <v>5868812</v>
      </c>
      <c r="W92" s="235">
        <f>_xlfn.XLOOKUP(Таблица10[[#This Row],[№]],Реестр_Д5[№],Реестр_Д5[Стоимость квартиры с отделкой],"-",0)</f>
        <v>5868812</v>
      </c>
      <c r="X92" s="235">
        <f>IFERROR(Таблица10[[#This Row],[СО ПП]]-Таблица10[[#This Row],[СО ДДУ]],"")</f>
        <v>0</v>
      </c>
      <c r="Y92" s="233" cm="1">
        <f t="array" ref="Y92">IFERROR(INDEX(РД[S],MATCH($Q$3&amp;Таблица10[[#This Row],[№]]&amp;"Продажа",РД[Дом]&amp;РД[№ кв]&amp;РД[Состояние],0),1),Таблица10[[#This Row],[Статус]])</f>
        <v>62.17</v>
      </c>
      <c r="Z92" s="233">
        <f>IF(Таблица10[[#This Row],[№]]&amp;"ДДУ"=ППД5!A89&amp;ППД5!CR89,ППД5!U89,ППД5!V89)</f>
        <v>62.17</v>
      </c>
      <c r="AA92" s="285">
        <f>IFERROR(Таблица10[[#This Row],[S ПП]]-Таблица10[[#This Row],[S ДДУ]],)</f>
        <v>0</v>
      </c>
      <c r="AB92" s="235">
        <f>ROUND(_xlfn.XLOOKUP(Таблица10[[#This Row],[№]],Реестр_Д5[№],Реестр_Д5[Итоговая сумма скидки],"",0),2)</f>
        <v>88888</v>
      </c>
      <c r="AC92" s="235" cm="1">
        <f t="array" ref="AC92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92" s="285">
        <f>IFERROR(Таблица10[[#This Row],[ППС]]-Таблица10[[#This Row],[ДДУС]],)</f>
        <v>0</v>
      </c>
      <c r="AE92" s="611"/>
      <c r="AF92" s="615">
        <f>VLOOKUP(ППД401!A89,Д401[],1,0)</f>
        <v>88</v>
      </c>
      <c r="AG92" s="234" t="str">
        <f>_xlfn.XLOOKUP(Таблица1[[#This Row],[№]],Д401[№],Д401[Статус],"-",0)</f>
        <v>Свободно</v>
      </c>
      <c r="AH92" s="612">
        <f>_xlfn.XLOOKUP(Таблица1[[#This Row],[№]],Д401[№],Д401[Стоимость ОН без отделки со скидкой],"-",0)</f>
        <v>6751250</v>
      </c>
      <c r="AI92" s="612" t="str" cm="1">
        <f t="array" ref="AI92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2" s="235" t="str">
        <f>IFERROR((Таблица1[[#This Row],[ПП]]-Таблица1[[#This Row],[ДДУ]])*1,"")</f>
        <v/>
      </c>
      <c r="AK92" s="235" t="str" cm="1">
        <f t="array" ref="AK92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2" s="235">
        <f>_xlfn.XLOOKUP(Таблица1[[#This Row],[№]],Д401[№],Д401[Стоимость квартиры с отделкой],"-",0)</f>
        <v>6751250</v>
      </c>
      <c r="AM92" s="235" t="str">
        <f>IFERROR(Таблица1[[#This Row],[СО ПП]]-Таблица1[[#This Row],[СО ДДУ]],"")</f>
        <v/>
      </c>
      <c r="AN92" s="233" t="str" cm="1">
        <f t="array" ref="AN92">IFERROR(INDEX(РД[S],MATCH($AF$3&amp;Таблица1[[#This Row],[№]]&amp;"Продажа",РД[Дом]&amp;РД[№ кв]&amp;РД[Состояние],0),1),Таблица1[[#This Row],[Статус]])</f>
        <v>Свободно</v>
      </c>
      <c r="AO92" s="233">
        <f>_xlfn.XLOOKUP(Таблица1[[#This Row],[№]],Д401[№],Д401[Расчетная проектная площадь],"-",0)</f>
        <v>54.01</v>
      </c>
      <c r="AP92" s="235" t="str">
        <f>IFERROR(Таблица1[[#This Row],[S ПП]]-Таблица1[[#This Row],[S ДДУ]],"")</f>
        <v/>
      </c>
      <c r="AQ92" s="235">
        <f>_xlfn.XLOOKUP(Таблица1[[#This Row],[№]],Д401[№],Д401[Итоговая сумма скидки],"-",0)</f>
        <v>0</v>
      </c>
      <c r="AR92" s="235" t="str" cm="1">
        <f t="array" ref="AR92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2" s="285" t="str">
        <f>IFERROR(Таблица1[[#This Row],[ППС]]-Таблица1[[#This Row],[ДДУС]],"")</f>
        <v/>
      </c>
      <c r="AT92" s="611"/>
      <c r="AU92" s="484">
        <f>VLOOKUP(ППД402!A89,Д402[],1,0)</f>
        <v>88</v>
      </c>
      <c r="AV92" s="484" t="str">
        <f>_xlfn.XLOOKUP(Т402[[#This Row],[№]],Д402[№],Д402[Статус],"-",0)</f>
        <v>Стр. Резерв</v>
      </c>
      <c r="AW92" s="613">
        <f>_xlfn.XLOOKUP(Т402[[#This Row],[№]],Д402[№],Д402[Стоимость ОН без отделки со скидкой],"-",0)</f>
        <v>6556000</v>
      </c>
      <c r="AX92" s="614" t="str" cm="1">
        <f t="array" ref="AX9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2" s="485" t="str">
        <f>IFERROR((Т402[[#This Row],[ПП]]-Т402[[#This Row],[ДДУ]])*1,"")</f>
        <v/>
      </c>
      <c r="AZ92" s="486" t="str" cm="1">
        <f t="array" ref="AZ9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2" s="485">
        <f>_xlfn.XLOOKUP(Т402[[#This Row],[№]],Д402[№],Д402[Стоимость квартиры с отделкой],"-",0)</f>
        <v>6556000</v>
      </c>
      <c r="BB92" s="485" t="str">
        <f>IFERROR(Т402[[#This Row],[СО ПП]]-Т402[[#This Row],[СО ДДУ]],"")</f>
        <v/>
      </c>
      <c r="BC92" s="487" t="str" cm="1">
        <f t="array" ref="BC92">IFERROR(INDEX(РД[S],MATCH($AU$3&amp;Т402[[#This Row],[№]]&amp;"Продажа",РД[Дом]&amp;РД[№ кв]&amp;РД[Состояние],0),1),Т402[[#This Row],[Статус]])</f>
        <v>Стр. Резерв</v>
      </c>
      <c r="BD92" s="483">
        <f>_xlfn.XLOOKUP(Т402[[#This Row],[№]],Д402[№],Д402[Расчетная проектная площадь],"-",0)</f>
        <v>54.4</v>
      </c>
      <c r="BE92" s="485" t="str">
        <f>IFERROR(Т402[[#This Row],[S ПП]]-Т402[[#This Row],[S ДДУ]],"")</f>
        <v/>
      </c>
      <c r="BF92" s="485">
        <f>_xlfn.XLOOKUP(Т402[[#This Row],[№]],Д402[№],Д402[Итоговая сумма скидки],"-",0)</f>
        <v>0</v>
      </c>
      <c r="BG92" s="486" t="str" cm="1">
        <f t="array" ref="BG9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2" s="488" t="str">
        <f>IFERROR(Т402[[#This Row],[ППС]]-Т402[[#This Row],[ДДУС]],"")</f>
        <v/>
      </c>
    </row>
    <row r="93" spans="1:60" x14ac:dyDescent="0.2">
      <c r="A93" s="611"/>
      <c r="B93" s="234">
        <f>VLOOKUP(ППД4!A90,Реестр_Д4[№],1,0)</f>
        <v>89</v>
      </c>
      <c r="C93" s="234" t="str">
        <f>VLOOKUP(ППД4!CO90,Реестр_Д4[Статус],1,0)</f>
        <v>Продажа</v>
      </c>
      <c r="D93" s="612">
        <f>VLOOKUP(ППД4!CE90,Реестр_Д4[Стоимость ОН без отделки со скидкой],1,0)</f>
        <v>2854352.57</v>
      </c>
      <c r="E93" s="612" cm="1">
        <f t="array" ref="E93">IFERROR(INDEX(РД[Стоимость без отделки итог],MATCH($B$3&amp;Таблица4[[#This Row],[№]]&amp;"Продажа",РД[Дом]&amp;РД[№ кв]&amp;РД[Состояние],0),1),Таблица4[[#This Row],[Статус]])</f>
        <v>2854352.5699999994</v>
      </c>
      <c r="F93" s="235">
        <f>IFERROR((Таблица4[[#This Row],[ПП]]-Таблица4[[#This Row],[ДДУ]])*1,"")</f>
        <v>4.6566128730773926E-10</v>
      </c>
      <c r="G93" s="235" cm="1">
        <f t="array" ref="G93">IFERROR(INDEX(РД[Стоимость с отделкой итог],MATCH($B$3&amp;Таблица4[[#This Row],[№]]&amp;"Продажа",РД[Дом]&amp;РД[№ кв]&amp;РД[Состояние],0),1),Таблица4[[#This Row],[Статус]])</f>
        <v>3357302.57</v>
      </c>
      <c r="H93" s="235">
        <f>_xlfn.XLOOKUP(Таблица4[[#This Row],[№]],Реестр_Д4[№],Реестр_Д4[Стоимость квартиры с отделкой],"-",0)</f>
        <v>3357302.57</v>
      </c>
      <c r="I93" s="235">
        <f>IFERROR(Таблица4[[#This Row],[СО ПП]]-Таблица4[[#This Row],[СО ДДУ]],"")</f>
        <v>0</v>
      </c>
      <c r="J93" s="233" cm="1">
        <f t="array" ref="J93">IFERROR(INDEX(РД[S],MATCH($B$3&amp;Таблица4[[#This Row],[№]]&amp;"Продажа",РД[Дом]&amp;РД[№ кв]&amp;РД[Состояние],0),1),Таблица4[[#This Row],[Статус]])</f>
        <v>33.53</v>
      </c>
      <c r="K93" s="233">
        <f>VLOOKUP(Таблица4[[#This Row],[№]],Реестр_Д4[],20,0)</f>
        <v>33.53</v>
      </c>
      <c r="L93" s="235">
        <f>IFERROR(Таблица4[[#This Row],[S ПП]]-Таблица4[[#This Row],[S ДДУ]],)</f>
        <v>0</v>
      </c>
      <c r="M93" s="235">
        <f>ROUND(_xlfn.XLOOKUP(Таблица4[[#This Row],[№]],Реестр_Д4[№],Реестр_Д4[Итоговая сумма скидки],"",0),2)</f>
        <v>0</v>
      </c>
      <c r="N93" s="235" cm="1">
        <f t="array" ref="N9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3" s="235">
        <f>IFERROR(Таблица4[[#This Row],[ППС]]-Таблица4[[#This Row],[ДДУС]],)</f>
        <v>0</v>
      </c>
      <c r="P93" s="611"/>
      <c r="Q93" s="234">
        <f>VLOOKUP(ППД5!A90,Реестр_Д5[№],1,0)</f>
        <v>89</v>
      </c>
      <c r="R93" s="234" t="str">
        <f>VLOOKUP(ППД5!CH90,Реестр_Д5[Статус],1,0)</f>
        <v>Продажа</v>
      </c>
      <c r="S93" s="612">
        <f>VLOOKUP(ППД5!BZ90,Реестр_Д5[Стоимость ОН без отделки со скидкой],1,0)</f>
        <v>6740648</v>
      </c>
      <c r="T93" s="612" cm="1">
        <f t="array" ref="T93">IFERROR(INDEX(РД[Стоимость без отделки итог],MATCH($Q$3&amp;Таблица10[[#This Row],[№]]&amp;"Продажа",РД[Дом]&amp;РД[№ кв]&amp;РД[Состояние],0),1),Таблица10[[#This Row],[Статус]])</f>
        <v>6740648</v>
      </c>
      <c r="U93" s="235">
        <f>IFERROR((Таблица10[[#This Row],[ПП]]-Таблица10[[#This Row],[ДДУ]])*1,)</f>
        <v>0</v>
      </c>
      <c r="V93" s="235" cm="1">
        <f t="array" ref="V93">IFERROR(INDEX(РД[Стоимость с отделкой итог],MATCH($Q$3&amp;Таблица10[[#This Row],[№]]&amp;"Продажа",РД[Дом]&amp;РД[№ кв]&amp;РД[Состояние],0),1),Таблица10[[#This Row],[Статус]])</f>
        <v>7322248</v>
      </c>
      <c r="W93" s="235">
        <f>_xlfn.XLOOKUP(Таблица10[[#This Row],[№]],Реестр_Д5[№],Реестр_Д5[Стоимость квартиры с отделкой],"-",0)</f>
        <v>7322248</v>
      </c>
      <c r="X93" s="235">
        <f>IFERROR(Таблица10[[#This Row],[СО ПП]]-Таблица10[[#This Row],[СО ДДУ]],"")</f>
        <v>0</v>
      </c>
      <c r="Y93" s="233" cm="1">
        <f t="array" ref="Y93">IFERROR(INDEX(РД[S],MATCH($Q$3&amp;Таблица10[[#This Row],[№]]&amp;"Продажа",РД[Дом]&amp;РД[№ кв]&amp;РД[Состояние],0),1),Таблица10[[#This Row],[Статус]])</f>
        <v>58.16</v>
      </c>
      <c r="Z93" s="233">
        <f>IF(Таблица10[[#This Row],[№]]&amp;"ДДУ"=ППД5!A90&amp;ППД5!CR90,ППД5!U90,ППД5!V90)</f>
        <v>58.16</v>
      </c>
      <c r="AA93" s="285">
        <f>IFERROR(Таблица10[[#This Row],[S ПП]]-Таблица10[[#This Row],[S ДДУ]],)</f>
        <v>0</v>
      </c>
      <c r="AB93" s="235">
        <f>ROUND(_xlfn.XLOOKUP(Таблица10[[#This Row],[№]],Реестр_Д5[№],Реестр_Д5[Итоговая сумма скидки],"",0),2)</f>
        <v>517752</v>
      </c>
      <c r="AC93" s="235" cm="1">
        <f t="array" ref="AC93">IFERROR(ROUND(_xlfn.XLOOKUP($Q$3&amp;Таблица10[[#This Row],[№]]&amp;"Продажа",РД[Дом]&amp;РД[№ кв]&amp;РД[Состояние],РД[Сумма скидки],"",0,-1),2),Таблица10[[#This Row],[Статус]])</f>
        <v>517752</v>
      </c>
      <c r="AD93" s="285">
        <f>IFERROR(Таблица10[[#This Row],[ППС]]-Таблица10[[#This Row],[ДДУС]],)</f>
        <v>0</v>
      </c>
      <c r="AE93" s="611"/>
      <c r="AF93" s="615">
        <f>VLOOKUP(ППД401!A90,Д401[],1,0)</f>
        <v>89</v>
      </c>
      <c r="AG93" s="234" t="str">
        <f>_xlfn.XLOOKUP(Таблица1[[#This Row],[№]],Д401[№],Д401[Статус],"-",0)</f>
        <v>Гарантированная бронь</v>
      </c>
      <c r="AH93" s="612">
        <f>_xlfn.XLOOKUP(Таблица1[[#This Row],[№]],Д401[№],Д401[Стоимость ОН без отделки со скидкой],"-",0)</f>
        <v>4996900</v>
      </c>
      <c r="AI93" s="612" t="str" cm="1">
        <f t="array" ref="AI93">IFERROR(INDEX(РД[Стоимость без отделки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J93" s="235" t="str">
        <f>IFERROR((Таблица1[[#This Row],[ПП]]-Таблица1[[#This Row],[ДДУ]])*1,"")</f>
        <v/>
      </c>
      <c r="AK93" s="235" t="str" cm="1">
        <f t="array" ref="AK93">IFERROR(INDEX(РД[Стоимость с отделкой итог],MATCH($AF$3&amp;Таблица1[[#This Row],[№]]&amp;"Продажа",РД[Дом]&amp;РД[№ кв]&amp;РД[Состояние],0),1),Таблица1[[#This Row],[Статус]])</f>
        <v>Гарантированная бронь</v>
      </c>
      <c r="AL93" s="235">
        <f>_xlfn.XLOOKUP(Таблица1[[#This Row],[№]],Д401[№],Д401[Стоимость квартиры с отделкой],"-",0)</f>
        <v>4996900</v>
      </c>
      <c r="AM93" s="235" t="str">
        <f>IFERROR(Таблица1[[#This Row],[СО ПП]]-Таблица1[[#This Row],[СО ДДУ]],"")</f>
        <v/>
      </c>
      <c r="AN93" s="233" t="str" cm="1">
        <f t="array" ref="AN93">IFERROR(INDEX(РД[S],MATCH($AF$3&amp;Таблица1[[#This Row],[№]]&amp;"Продажа",РД[Дом]&amp;РД[№ кв]&amp;РД[Состояние],0),1),Таблица1[[#This Row],[Статус]])</f>
        <v>Гарантированная бронь</v>
      </c>
      <c r="AO93" s="233">
        <f>_xlfn.XLOOKUP(Таблица1[[#This Row],[№]],Д401[№],Д401[Расчетная проектная площадь],"-",0)</f>
        <v>35.590000000000003</v>
      </c>
      <c r="AP93" s="235" t="str">
        <f>IFERROR(Таблица1[[#This Row],[S ПП]]-Таблица1[[#This Row],[S ДДУ]],"")</f>
        <v/>
      </c>
      <c r="AQ93" s="235">
        <f>_xlfn.XLOOKUP(Таблица1[[#This Row],[№]],Д401[№],Д401[Итоговая сумма скидки],"-",0)</f>
        <v>0</v>
      </c>
      <c r="AR93" s="235" t="str" cm="1">
        <f t="array" ref="AR93">IFERROR(ROUND(_xlfn.XLOOKUP($AF$3&amp;Таблица1[[#This Row],[№]]&amp;"Продажа",РД[Дом]&amp;РД[№ кв]&amp;РД[Состояние],РД[Сумма скидки],"",0),2),Таблица1[[#This Row],[Статус]])</f>
        <v>Гарантированная бронь</v>
      </c>
      <c r="AS93" s="285" t="str">
        <f>IFERROR(Таблица1[[#This Row],[ППС]]-Таблица1[[#This Row],[ДДУС]],"")</f>
        <v/>
      </c>
      <c r="AT93" s="611"/>
      <c r="AU93" s="484">
        <f>VLOOKUP(ППД402!A90,Д402[],1,0)</f>
        <v>89</v>
      </c>
      <c r="AV93" s="484" t="str">
        <f>_xlfn.XLOOKUP(Т402[[#This Row],[№]],Д402[№],Д402[Статус],"-",0)</f>
        <v>Продажа</v>
      </c>
      <c r="AW93" s="613">
        <f>_xlfn.XLOOKUP(Т402[[#This Row],[№]],Д402[№],Д402[Стоимость ОН без отделки со скидкой],"-",0)</f>
        <v>4749374</v>
      </c>
      <c r="AX93" s="614" cm="1">
        <f t="array" ref="AX93">IFERROR(INDEX(РД[Стоимость без отделки итог],MATCH($AU$3&amp;Т402[[#This Row],[№]]&amp;"Продажа",РД[Дом]&amp;РД[№ кв]&amp;РД[Состояние],0),1),Т402[[#This Row],[Статус]])</f>
        <v>4749374</v>
      </c>
      <c r="AY93" s="485">
        <f>IFERROR((Т402[[#This Row],[ПП]]-Т402[[#This Row],[ДДУ]])*1,"")</f>
        <v>0</v>
      </c>
      <c r="AZ93" s="486" cm="1">
        <f t="array" ref="AZ93">IFERROR(INDEX(РД[Стоимость с отделкой итог],MATCH($AU$3&amp;Т402[[#This Row],[№]]&amp;"Продажа",РД[Дом]&amp;РД[№ кв]&amp;РД[Состояние],0),1),Т402[[#This Row],[Статус]])</f>
        <v>4749374</v>
      </c>
      <c r="BA93" s="485">
        <f>_xlfn.XLOOKUP(Т402[[#This Row],[№]],Д402[№],Д402[Стоимость квартиры с отделкой],"-",0)</f>
        <v>4749374</v>
      </c>
      <c r="BB93" s="485">
        <f>IFERROR(Т402[[#This Row],[СО ПП]]-Т402[[#This Row],[СО ДДУ]],"")</f>
        <v>0</v>
      </c>
      <c r="BC93" s="487" cm="1">
        <f t="array" ref="BC93">IFERROR(INDEX(РД[S],MATCH($AU$3&amp;Т402[[#This Row],[№]]&amp;"Продажа",РД[Дом]&amp;РД[№ кв]&amp;РД[Состояние],0),1),Т402[[#This Row],[Статус]])</f>
        <v>36.64</v>
      </c>
      <c r="BD93" s="483">
        <f>_xlfn.XLOOKUP(Т402[[#This Row],[№]],Д402[№],Д402[Расчетная проектная площадь],"-",0)</f>
        <v>36.64</v>
      </c>
      <c r="BE93" s="485">
        <f>IFERROR(Т402[[#This Row],[S ПП]]-Т402[[#This Row],[S ДДУ]],"")</f>
        <v>0</v>
      </c>
      <c r="BF93" s="485">
        <f>_xlfn.XLOOKUP(Т402[[#This Row],[№]],Д402[№],Д402[Итоговая сумма скидки],"-",0)</f>
        <v>96926</v>
      </c>
      <c r="BG93" s="486" cm="1">
        <f t="array" ref="BG93">IFERROR(ROUND(_xlfn.XLOOKUP($AU$3&amp;Т402[[#This Row],[№]]&amp;"Продажа",РД[Дом]&amp;РД[№ кв]&amp;РД[Состояние],РД[Сумма скидки],"",0),2),Т402[[#This Row],[Статус]])</f>
        <v>96926</v>
      </c>
      <c r="BH93" s="488">
        <f>IFERROR(Т402[[#This Row],[ППС]]-Т402[[#This Row],[ДДУС]],"")</f>
        <v>0</v>
      </c>
    </row>
    <row r="94" spans="1:60" x14ac:dyDescent="0.2">
      <c r="A94" s="611"/>
      <c r="B94" s="234">
        <f>VLOOKUP(ППД4!A91,Реестр_Д4[№],1,0)</f>
        <v>90</v>
      </c>
      <c r="C94" s="234" t="str">
        <f>VLOOKUP(ППД4!CO91,Реестр_Д4[Статус],1,0)</f>
        <v>Продажа</v>
      </c>
      <c r="D94" s="612">
        <f>VLOOKUP(ППД4!CE91,Реестр_Д4[Стоимость ОН без отделки со скидкой],1,0)</f>
        <v>4440533.41</v>
      </c>
      <c r="E94" s="612" cm="1">
        <f t="array" ref="E94">IFERROR(INDEX(РД[Стоимость без отделки итог],MATCH($B$3&amp;Таблица4[[#This Row],[№]]&amp;"Продажа",РД[Дом]&amp;РД[№ кв]&amp;РД[Состояние],0),1),Таблица4[[#This Row],[Статус]])</f>
        <v>4440533.41</v>
      </c>
      <c r="F94" s="235">
        <f>IFERROR((Таблица4[[#This Row],[ПП]]-Таблица4[[#This Row],[ДДУ]])*1,"")</f>
        <v>0</v>
      </c>
      <c r="G94" s="235" cm="1">
        <f t="array" ref="G94">IFERROR(INDEX(РД[Стоимость с отделкой итог],MATCH($B$3&amp;Таблица4[[#This Row],[№]]&amp;"Продажа",РД[Дом]&amp;РД[№ кв]&amp;РД[Состояние],0),1),Таблица4[[#This Row],[Статус]])</f>
        <v>4687573.41</v>
      </c>
      <c r="H94" s="235">
        <f>_xlfn.XLOOKUP(Таблица4[[#This Row],[№]],Реестр_Д4[№],Реестр_Д4[Стоимость квартиры с отделкой],"-",0)</f>
        <v>4687573.41</v>
      </c>
      <c r="I94" s="235">
        <f>IFERROR(Таблица4[[#This Row],[СО ПП]]-Таблица4[[#This Row],[СО ДДУ]],"")</f>
        <v>0</v>
      </c>
      <c r="J94" s="233" cm="1">
        <f t="array" ref="J94">IFERROR(INDEX(РД[S],MATCH($B$3&amp;Таблица4[[#This Row],[№]]&amp;"Продажа",РД[Дом]&amp;РД[№ кв]&amp;РД[Состояние],0),1),Таблица4[[#This Row],[Статус]])</f>
        <v>61.76</v>
      </c>
      <c r="K94" s="233">
        <f>VLOOKUP(Таблица4[[#This Row],[№]],Реестр_Д4[],20,0)</f>
        <v>61.76</v>
      </c>
      <c r="L94" s="235">
        <f>IFERROR(Таблица4[[#This Row],[S ПП]]-Таблица4[[#This Row],[S ДДУ]],)</f>
        <v>0</v>
      </c>
      <c r="M94" s="235">
        <f>ROUND(_xlfn.XLOOKUP(Таблица4[[#This Row],[№]],Реестр_Д4[№],Реестр_Д4[Итоговая сумма скидки],"",0),2)</f>
        <v>233712.28</v>
      </c>
      <c r="N94" s="235" cm="1">
        <f t="array" ref="N94">IFERROR(ROUND(_xlfn.XLOOKUP($B$3&amp;Таблица4[[#This Row],[№]]&amp;"Продажа",РД[Дом]&amp;РД[№ кв]&amp;РД[Состояние],РД[Сумма скидки],"",0),2),Таблица4[[#This Row],[Статус]])</f>
        <v>233712.28</v>
      </c>
      <c r="O94" s="235">
        <f>IFERROR(Таблица4[[#This Row],[ППС]]-Таблица4[[#This Row],[ДДУС]],)</f>
        <v>0</v>
      </c>
      <c r="P94" s="611"/>
      <c r="Q94" s="234">
        <f>VLOOKUP(ППД5!A91,Реестр_Д5[№],1,0)</f>
        <v>90</v>
      </c>
      <c r="R94" s="234" t="str">
        <f>VLOOKUP(ППД5!CH91,Реестр_Д5[Статус],1,0)</f>
        <v>Продажа</v>
      </c>
      <c r="S94" s="612">
        <f>VLOOKUP(ППД5!BZ91,Реестр_Д5[Стоимость ОН без отделки со скидкой],1,0)</f>
        <v>4722800</v>
      </c>
      <c r="T94" s="612" cm="1">
        <f t="array" ref="T94">IFERROR(INDEX(РД[Стоимость без отделки итог],MATCH($Q$3&amp;Таблица10[[#This Row],[№]]&amp;"Продажа",РД[Дом]&amp;РД[№ кв]&amp;РД[Состояние],0),1),Таблица10[[#This Row],[Статус]])</f>
        <v>4722800</v>
      </c>
      <c r="U94" s="235">
        <f>IFERROR((Таблица10[[#This Row],[ПП]]-Таблица10[[#This Row],[ДДУ]])*1,)</f>
        <v>0</v>
      </c>
      <c r="V94" s="235" cm="1">
        <f t="array" ref="V94">IFERROR(INDEX(РД[Стоимость с отделкой итог],MATCH($Q$3&amp;Таблица10[[#This Row],[№]]&amp;"Продажа",РД[Дом]&amp;РД[№ кв]&amp;РД[Состояние],0),1),Таблица10[[#This Row],[Статус]])</f>
        <v>5022050</v>
      </c>
      <c r="W94" s="235">
        <f>_xlfn.XLOOKUP(Таблица10[[#This Row],[№]],Реестр_Д5[№],Реестр_Д5[Стоимость квартиры с отделкой],"-",0)</f>
        <v>5022050</v>
      </c>
      <c r="X94" s="235">
        <f>IFERROR(Таблица10[[#This Row],[СО ПП]]-Таблица10[[#This Row],[СО ДДУ]],"")</f>
        <v>0</v>
      </c>
      <c r="Y94" s="233" cm="1">
        <f t="array" ref="Y94">IFERROR(INDEX(РД[S],MATCH($Q$3&amp;Таблица10[[#This Row],[№]]&amp;"Продажа",РД[Дом]&amp;РД[№ кв]&amp;РД[Состояние],0),1),Таблица10[[#This Row],[Статус]])</f>
        <v>42.75</v>
      </c>
      <c r="Z94" s="233">
        <f>IF(Таблица10[[#This Row],[№]]&amp;"ДДУ"=ППД5!A91&amp;ППД5!CR91,ППД5!U91,ППД5!V91)</f>
        <v>42.75</v>
      </c>
      <c r="AA94" s="285">
        <f>IFERROR(Таблица10[[#This Row],[S ПП]]-Таблица10[[#This Row],[S ДДУ]],)</f>
        <v>0</v>
      </c>
      <c r="AB94" s="235">
        <f>ROUND(_xlfn.XLOOKUP(Таблица10[[#This Row],[№]],Реестр_Д5[№],Реестр_Д5[Итоговая сумма скидки],"",0),2)</f>
        <v>0</v>
      </c>
      <c r="AC94" s="235" cm="1">
        <f t="array" ref="AC9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4" s="285">
        <f>IFERROR(Таблица10[[#This Row],[ППС]]-Таблица10[[#This Row],[ДДУС]],)</f>
        <v>0</v>
      </c>
      <c r="AE94" s="611"/>
      <c r="AF94" s="615">
        <f>VLOOKUP(ППД401!A91,Д401[],1,0)</f>
        <v>90</v>
      </c>
      <c r="AG94" s="234" t="str">
        <f>_xlfn.XLOOKUP(Таблица1[[#This Row],[№]],Д401[№],Д401[Статус],"-",0)</f>
        <v>Свободно</v>
      </c>
      <c r="AH94" s="612">
        <f>_xlfn.XLOOKUP(Таблица1[[#This Row],[№]],Д401[№],Д401[Стоимость ОН без отделки со скидкой],"-",0)</f>
        <v>6040700</v>
      </c>
      <c r="AI94" s="612" t="str" cm="1">
        <f t="array" ref="AI94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4" s="235" t="str">
        <f>IFERROR((Таблица1[[#This Row],[ПП]]-Таблица1[[#This Row],[ДДУ]])*1,"")</f>
        <v/>
      </c>
      <c r="AK94" s="235" t="str" cm="1">
        <f t="array" ref="AK94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4" s="235">
        <f>_xlfn.XLOOKUP(Таблица1[[#This Row],[№]],Д401[№],Д401[Стоимость квартиры с отделкой],"-",0)</f>
        <v>6040700.0000000009</v>
      </c>
      <c r="AM94" s="235" t="str">
        <f>IFERROR(Таблица1[[#This Row],[СО ПП]]-Таблица1[[#This Row],[СО ДДУ]],"")</f>
        <v/>
      </c>
      <c r="AN94" s="233" t="str" cm="1">
        <f t="array" ref="AN94">IFERROR(INDEX(РД[S],MATCH($AF$3&amp;Таблица1[[#This Row],[№]]&amp;"Продажа",РД[Дом]&amp;РД[№ кв]&amp;РД[Состояние],0),1),Таблица1[[#This Row],[Статус]])</f>
        <v>Свободно</v>
      </c>
      <c r="AO94" s="233">
        <f>_xlfn.XLOOKUP(Таблица1[[#This Row],[№]],Д401[№],Д401[Расчетная проектная площадь],"-",0)</f>
        <v>42.63</v>
      </c>
      <c r="AP94" s="235" t="str">
        <f>IFERROR(Таблица1[[#This Row],[S ПП]]-Таблица1[[#This Row],[S ДДУ]],"")</f>
        <v/>
      </c>
      <c r="AQ94" s="235">
        <f>_xlfn.XLOOKUP(Таблица1[[#This Row],[№]],Д401[№],Д401[Итоговая сумма скидки],"-",0)</f>
        <v>0</v>
      </c>
      <c r="AR94" s="235" t="str" cm="1">
        <f t="array" ref="AR94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4" s="285" t="str">
        <f>IFERROR(Таблица1[[#This Row],[ППС]]-Таблица1[[#This Row],[ДДУС]],"")</f>
        <v/>
      </c>
      <c r="AT94" s="611"/>
      <c r="AU94" s="484">
        <f>VLOOKUP(ППД402!A91,Д402[],1,0)</f>
        <v>90</v>
      </c>
      <c r="AV94" s="484" t="str">
        <f>_xlfn.XLOOKUP(Т402[[#This Row],[№]],Д402[№],Д402[Статус],"-",0)</f>
        <v>Стр. Резерв</v>
      </c>
      <c r="AW94" s="613">
        <f>_xlfn.XLOOKUP(Т402[[#This Row],[№]],Д402[№],Д402[Стоимость ОН без отделки со скидкой],"-",0)</f>
        <v>5825400</v>
      </c>
      <c r="AX94" s="614" t="str" cm="1">
        <f t="array" ref="AX9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4" s="485" t="str">
        <f>IFERROR((Т402[[#This Row],[ПП]]-Т402[[#This Row],[ДДУ]])*1,"")</f>
        <v/>
      </c>
      <c r="AZ94" s="486" t="str" cm="1">
        <f t="array" ref="AZ9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4" s="485">
        <f>_xlfn.XLOOKUP(Т402[[#This Row],[№]],Д402[№],Д402[Стоимость квартиры с отделкой],"-",0)</f>
        <v>5825400</v>
      </c>
      <c r="BB94" s="485" t="str">
        <f>IFERROR(Т402[[#This Row],[СО ПП]]-Т402[[#This Row],[СО ДДУ]],"")</f>
        <v/>
      </c>
      <c r="BC94" s="487" t="str" cm="1">
        <f t="array" ref="BC94">IFERROR(INDEX(РД[S],MATCH($AU$3&amp;Т402[[#This Row],[№]]&amp;"Продажа",РД[Дом]&amp;РД[№ кв]&amp;РД[Состояние],0),1),Т402[[#This Row],[Статус]])</f>
        <v>Стр. Резерв</v>
      </c>
      <c r="BD94" s="483">
        <f>_xlfn.XLOOKUP(Т402[[#This Row],[№]],Д402[№],Д402[Расчетная проектная площадь],"-",0)</f>
        <v>44.9</v>
      </c>
      <c r="BE94" s="485" t="str">
        <f>IFERROR(Т402[[#This Row],[S ПП]]-Т402[[#This Row],[S ДДУ]],"")</f>
        <v/>
      </c>
      <c r="BF94" s="485">
        <f>_xlfn.XLOOKUP(Т402[[#This Row],[№]],Д402[№],Д402[Итоговая сумма скидки],"-",0)</f>
        <v>0</v>
      </c>
      <c r="BG94" s="486" t="str" cm="1">
        <f t="array" ref="BG9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4" s="488" t="str">
        <f>IFERROR(Т402[[#This Row],[ППС]]-Т402[[#This Row],[ДДУС]],"")</f>
        <v/>
      </c>
    </row>
    <row r="95" spans="1:60" x14ac:dyDescent="0.2">
      <c r="A95" s="611"/>
      <c r="B95" s="234">
        <f>VLOOKUP(ППД4!A92,Реестр_Д4[№],1,0)</f>
        <v>91</v>
      </c>
      <c r="C95" s="234" t="str">
        <f>VLOOKUP(ППД4!CO92,Реестр_Д4[Статус],1,0)</f>
        <v>Продажа</v>
      </c>
      <c r="D95" s="612">
        <f>VLOOKUP(ППД4!CE92,Реестр_Д4[Стоимость ОН без отделки со скидкой],1,0)</f>
        <v>3055415.74</v>
      </c>
      <c r="E95" s="612" cm="1">
        <f t="array" ref="E95">IFERROR(INDEX(РД[Стоимость без отделки итог],MATCH($B$3&amp;Таблица4[[#This Row],[№]]&amp;"Продажа",РД[Дом]&amp;РД[№ кв]&amp;РД[Состояние],0),1),Таблица4[[#This Row],[Статус]])</f>
        <v>3055415.74</v>
      </c>
      <c r="F95" s="235">
        <f>IFERROR((Таблица4[[#This Row],[ПП]]-Таблица4[[#This Row],[ДДУ]])*1,"")</f>
        <v>0</v>
      </c>
      <c r="G95" s="235" cm="1">
        <f t="array" ref="G95">IFERROR(INDEX(РД[Стоимость с отделкой итог],MATCH($B$3&amp;Таблица4[[#This Row],[№]]&amp;"Продажа",РД[Дом]&amp;РД[№ кв]&amp;РД[Состояние],0),1),Таблица4[[#This Row],[Статус]])</f>
        <v>3197575.74</v>
      </c>
      <c r="H95" s="235">
        <f>_xlfn.XLOOKUP(Таблица4[[#This Row],[№]],Реестр_Д4[№],Реестр_Д4[Стоимость квартиры с отделкой],"-",0)</f>
        <v>3197575.74</v>
      </c>
      <c r="I95" s="235">
        <f>IFERROR(Таблица4[[#This Row],[СО ПП]]-Таблица4[[#This Row],[СО ДДУ]],"")</f>
        <v>0</v>
      </c>
      <c r="J95" s="233" cm="1">
        <f t="array" ref="J95">IFERROR(INDEX(РД[S],MATCH($B$3&amp;Таблица4[[#This Row],[№]]&amp;"Продажа",РД[Дом]&amp;РД[№ кв]&amp;РД[Состояние],0),1),Таблица4[[#This Row],[Статус]])</f>
        <v>35.54</v>
      </c>
      <c r="K95" s="233">
        <f>VLOOKUP(Таблица4[[#This Row],[№]],Реестр_Д4[],20,0)</f>
        <v>35.54</v>
      </c>
      <c r="L95" s="235">
        <f>IFERROR(Таблица4[[#This Row],[S ПП]]-Таблица4[[#This Row],[S ДДУ]],)</f>
        <v>0</v>
      </c>
      <c r="M95" s="235">
        <f>ROUND(_xlfn.XLOOKUP(Таблица4[[#This Row],[№]],Реестр_Д4[№],Реестр_Д4[Итоговая сумма скидки],"",0),2)</f>
        <v>0</v>
      </c>
      <c r="N95" s="235" cm="1">
        <f t="array" ref="N9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5" s="235">
        <f>IFERROR(Таблица4[[#This Row],[ППС]]-Таблица4[[#This Row],[ДДУС]],)</f>
        <v>0</v>
      </c>
      <c r="P95" s="611"/>
      <c r="Q95" s="234">
        <f>VLOOKUP(ППД5!A92,Реестр_Д5[№],1,0)</f>
        <v>91</v>
      </c>
      <c r="R95" s="234" t="str">
        <f>VLOOKUP(ППД5!CH92,Реестр_Д5[Статус],1,0)</f>
        <v>Свободно</v>
      </c>
      <c r="S95" s="612">
        <f>VLOOKUP(ППД5!BZ92,Реестр_Д5[Стоимость ОН без отделки со скидкой],1,0)</f>
        <v>5115700</v>
      </c>
      <c r="T95" s="612" t="str" cm="1">
        <f t="array" ref="T9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95" s="235">
        <f>IFERROR((Таблица10[[#This Row],[ПП]]-Таблица10[[#This Row],[ДДУ]])*1,)</f>
        <v>0</v>
      </c>
      <c r="V95" s="235" t="str" cm="1">
        <f t="array" ref="V9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95" s="235">
        <f>_xlfn.XLOOKUP(Таблица10[[#This Row],[№]],Реестр_Д5[№],Реестр_Д5[Стоимость квартиры с отделкой],"-",0)</f>
        <v>5115700</v>
      </c>
      <c r="X95" s="235" t="str">
        <f>IFERROR(Таблица10[[#This Row],[СО ПП]]-Таблица10[[#This Row],[СО ДДУ]],"")</f>
        <v/>
      </c>
      <c r="Y95" s="233" t="str" cm="1">
        <f t="array" ref="Y95">IFERROR(INDEX(РД[S],MATCH($Q$3&amp;Таблица10[[#This Row],[№]]&amp;"Продажа",РД[Дом]&amp;РД[№ кв]&amp;РД[Состояние],0),1),Таблица10[[#This Row],[Статус]])</f>
        <v>Свободно</v>
      </c>
      <c r="Z95" s="233">
        <f>IF(Таблица10[[#This Row],[№]]&amp;"ДДУ"=ППД5!A92&amp;ППД5!CR92,ППД5!U92,ППД5!V92)</f>
        <v>34.550000000000004</v>
      </c>
      <c r="AA95" s="285">
        <f>IFERROR(Таблица10[[#This Row],[S ПП]]-Таблица10[[#This Row],[S ДДУ]],)</f>
        <v>0</v>
      </c>
      <c r="AB95" s="235">
        <f>ROUND(_xlfn.XLOOKUP(Таблица10[[#This Row],[№]],Реестр_Д5[№],Реестр_Д5[Итоговая сумма скидки],"",0),2)</f>
        <v>0</v>
      </c>
      <c r="AC95" s="235" t="str" cm="1">
        <f t="array" ref="AC9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95" s="285">
        <f>IFERROR(Таблица10[[#This Row],[ППС]]-Таблица10[[#This Row],[ДДУС]],)</f>
        <v>0</v>
      </c>
      <c r="AE95" s="611"/>
      <c r="AF95" s="615">
        <f>VLOOKUP(ППД401!A92,Д401[],1,0)</f>
        <v>91</v>
      </c>
      <c r="AG95" s="234" t="str">
        <f>_xlfn.XLOOKUP(Таблица1[[#This Row],[№]],Д401[№],Д401[Статус],"-",0)</f>
        <v>Стр. Резерв</v>
      </c>
      <c r="AH95" s="612">
        <f>_xlfn.XLOOKUP(Таблица1[[#This Row],[№]],Д401[№],Д401[Стоимость ОН без отделки со скидкой],"-",0)</f>
        <v>6302263</v>
      </c>
      <c r="AI95" s="612" t="str" cm="1">
        <f t="array" ref="AI95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95" s="235" t="str">
        <f>IFERROR((Таблица1[[#This Row],[ПП]]-Таблица1[[#This Row],[ДДУ]])*1,"")</f>
        <v/>
      </c>
      <c r="AK95" s="235" t="str" cm="1">
        <f t="array" ref="AK95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95" s="235">
        <f>_xlfn.XLOOKUP(Таблица1[[#This Row],[№]],Д401[№],Д401[Стоимость квартиры с отделкой],"-",0)</f>
        <v>6302263</v>
      </c>
      <c r="AM95" s="235" t="str">
        <f>IFERROR(Таблица1[[#This Row],[СО ПП]]-Таблица1[[#This Row],[СО ДДУ]],"")</f>
        <v/>
      </c>
      <c r="AN95" s="233" t="str" cm="1">
        <f t="array" ref="AN95">IFERROR(INDEX(РД[S],MATCH($AF$3&amp;Таблица1[[#This Row],[№]]&amp;"Продажа",РД[Дом]&amp;РД[№ кв]&amp;РД[Состояние],0),1),Таблица1[[#This Row],[Статус]])</f>
        <v>Стр. Резерв</v>
      </c>
      <c r="AO95" s="233">
        <f>_xlfn.XLOOKUP(Таблица1[[#This Row],[№]],Д401[№],Д401[Расчетная проектная площадь],"-",0)</f>
        <v>49.39</v>
      </c>
      <c r="AP95" s="235" t="str">
        <f>IFERROR(Таблица1[[#This Row],[S ПП]]-Таблица1[[#This Row],[S ДДУ]],"")</f>
        <v/>
      </c>
      <c r="AQ95" s="235">
        <f>_xlfn.XLOOKUP(Таблица1[[#This Row],[№]],Д401[№],Д401[Итоговая сумма скидки],"-",0)</f>
        <v>0</v>
      </c>
      <c r="AR95" s="235" t="str" cm="1">
        <f t="array" ref="AR95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95" s="285" t="str">
        <f>IFERROR(Таблица1[[#This Row],[ППС]]-Таблица1[[#This Row],[ДДУС]],"")</f>
        <v/>
      </c>
      <c r="AT95" s="611"/>
      <c r="AU95" s="484">
        <f>VLOOKUP(ППД402!A92,Д402[],1,0)</f>
        <v>91</v>
      </c>
      <c r="AV95" s="484" t="str">
        <f>_xlfn.XLOOKUP(Т402[[#This Row],[№]],Д402[№],Д402[Статус],"-",0)</f>
        <v>Свободно</v>
      </c>
      <c r="AW95" s="613">
        <f>_xlfn.XLOOKUP(Т402[[#This Row],[№]],Д402[№],Д402[Стоимость ОН без отделки со скидкой],"-",0)</f>
        <v>4150200</v>
      </c>
      <c r="AX95" s="614" t="str" cm="1">
        <f t="array" ref="AX95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95" s="485" t="str">
        <f>IFERROR((Т402[[#This Row],[ПП]]-Т402[[#This Row],[ДДУ]])*1,"")</f>
        <v/>
      </c>
      <c r="AZ95" s="486" t="str" cm="1">
        <f t="array" ref="AZ95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95" s="485">
        <f>_xlfn.XLOOKUP(Т402[[#This Row],[№]],Д402[№],Д402[Стоимость квартиры с отделкой],"-",0)</f>
        <v>4150200</v>
      </c>
      <c r="BB95" s="485" t="str">
        <f>IFERROR(Т402[[#This Row],[СО ПП]]-Т402[[#This Row],[СО ДДУ]],"")</f>
        <v/>
      </c>
      <c r="BC95" s="487" t="str" cm="1">
        <f t="array" ref="BC95">IFERROR(INDEX(РД[S],MATCH($AU$3&amp;Т402[[#This Row],[№]]&amp;"Продажа",РД[Дом]&amp;РД[№ кв]&amp;РД[Состояние],0),1),Т402[[#This Row],[Статус]])</f>
        <v>Свободно</v>
      </c>
      <c r="BD95" s="483">
        <f>_xlfn.XLOOKUP(Т402[[#This Row],[№]],Д402[№],Д402[Расчетная проектная площадь],"-",0)</f>
        <v>29.4</v>
      </c>
      <c r="BE95" s="485" t="str">
        <f>IFERROR(Т402[[#This Row],[S ПП]]-Т402[[#This Row],[S ДДУ]],"")</f>
        <v/>
      </c>
      <c r="BF95" s="485">
        <f>_xlfn.XLOOKUP(Т402[[#This Row],[№]],Д402[№],Д402[Итоговая сумма скидки],"-",0)</f>
        <v>0</v>
      </c>
      <c r="BG95" s="486" t="str" cm="1">
        <f t="array" ref="BG95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95" s="488" t="str">
        <f>IFERROR(Т402[[#This Row],[ППС]]-Т402[[#This Row],[ДДУС]],"")</f>
        <v/>
      </c>
    </row>
    <row r="96" spans="1:60" x14ac:dyDescent="0.2">
      <c r="A96" s="611"/>
      <c r="B96" s="234">
        <f>VLOOKUP(ППД4!A93,Реестр_Д4[№],1,0)</f>
        <v>92</v>
      </c>
      <c r="C96" s="234" t="str">
        <f>VLOOKUP(ППД4!CO93,Реестр_Д4[Статус],1,0)</f>
        <v>Продажа</v>
      </c>
      <c r="D96" s="612">
        <f>VLOOKUP(ППД4!CE93,Реестр_Д4[Стоимость ОН без отделки со скидкой],1,0)</f>
        <v>4283393.21</v>
      </c>
      <c r="E96" s="612" cm="1">
        <f t="array" ref="E96">IFERROR(INDEX(РД[Стоимость без отделки итог],MATCH($B$3&amp;Таблица4[[#This Row],[№]]&amp;"Продажа",РД[Дом]&amp;РД[№ кв]&amp;РД[Состояние],0),1),Таблица4[[#This Row],[Статус]])</f>
        <v>4283393.21</v>
      </c>
      <c r="F96" s="235">
        <f>IFERROR((Таблица4[[#This Row],[ПП]]-Таблица4[[#This Row],[ДДУ]])*1,"")</f>
        <v>0</v>
      </c>
      <c r="G96" s="235" cm="1">
        <f t="array" ref="G96">IFERROR(INDEX(РД[Стоимость с отделкой итог],MATCH($B$3&amp;Таблица4[[#This Row],[№]]&amp;"Продажа",РД[Дом]&amp;РД[№ кв]&amp;РД[Состояние],0),1),Таблица4[[#This Row],[Статус]])</f>
        <v>5123843.21</v>
      </c>
      <c r="H96" s="235">
        <f>_xlfn.XLOOKUP(Таблица4[[#This Row],[№]],Реестр_Д4[№],Реестр_Д4[Стоимость квартиры с отделкой],"-",0)</f>
        <v>5123843.21</v>
      </c>
      <c r="I96" s="235">
        <f>IFERROR(Таблица4[[#This Row],[СО ПП]]-Таблица4[[#This Row],[СО ДДУ]],"")</f>
        <v>0</v>
      </c>
      <c r="J96" s="233" cm="1">
        <f t="array" ref="J96">IFERROR(INDEX(РД[S],MATCH($B$3&amp;Таблица4[[#This Row],[№]]&amp;"Продажа",РД[Дом]&amp;РД[№ кв]&amp;РД[Состояние],0),1),Таблица4[[#This Row],[Статус]])</f>
        <v>56.03</v>
      </c>
      <c r="K96" s="233">
        <f>VLOOKUP(Таблица4[[#This Row],[№]],Реестр_Д4[],20,0)</f>
        <v>56.03</v>
      </c>
      <c r="L96" s="235">
        <f>IFERROR(Таблица4[[#This Row],[S ПП]]-Таблица4[[#This Row],[S ДДУ]],)</f>
        <v>0</v>
      </c>
      <c r="M96" s="235">
        <f>ROUND(_xlfn.XLOOKUP(Таблица4[[#This Row],[№]],Реестр_Д4[№],Реестр_Д4[Итоговая сумма скидки],"",0),2)</f>
        <v>0</v>
      </c>
      <c r="N96" s="235" cm="1">
        <f t="array" ref="N9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6" s="235">
        <f>IFERROR(Таблица4[[#This Row],[ППС]]-Таблица4[[#This Row],[ДДУС]],)</f>
        <v>0</v>
      </c>
      <c r="P96" s="611"/>
      <c r="Q96" s="234">
        <f>VLOOKUP(ППД5!A93,Реестр_Д5[№],1,0)</f>
        <v>92</v>
      </c>
      <c r="R96" s="234" t="str">
        <f>VLOOKUP(ППД5!CH93,Реестр_Д5[Статус],1,0)</f>
        <v>Продажа</v>
      </c>
      <c r="S96" s="612">
        <f>VLOOKUP(ППД5!BZ93,Реестр_Д5[Стоимость ОН без отделки со скидкой],1,0)</f>
        <v>6817100</v>
      </c>
      <c r="T96" s="612" cm="1">
        <f t="array" ref="T96">IFERROR(INDEX(РД[Стоимость без отделки итог],MATCH($Q$3&amp;Таблица10[[#This Row],[№]]&amp;"Продажа",РД[Дом]&amp;РД[№ кв]&amp;РД[Состояние],0),1),Таблица10[[#This Row],[Статус]])</f>
        <v>6817100</v>
      </c>
      <c r="U96" s="235">
        <f>IFERROR((Таблица10[[#This Row],[ПП]]-Таблица10[[#This Row],[ДДУ]])*1,)</f>
        <v>0</v>
      </c>
      <c r="V96" s="235" cm="1">
        <f t="array" ref="V96">IFERROR(INDEX(РД[Стоимость с отделкой итог],MATCH($Q$3&amp;Таблица10[[#This Row],[№]]&amp;"Продажа",РД[Дом]&amp;РД[№ кв]&amp;РД[Состояние],0),1),Таблица10[[#This Row],[Статус]])</f>
        <v>7296600</v>
      </c>
      <c r="W96" s="235">
        <f>_xlfn.XLOOKUP(Таблица10[[#This Row],[№]],Реестр_Д5[№],Реестр_Д5[Стоимость квартиры с отделкой],"-",0)</f>
        <v>7296600</v>
      </c>
      <c r="X96" s="235">
        <f>IFERROR(Таблица10[[#This Row],[СО ПП]]-Таблица10[[#This Row],[СО ДДУ]],"")</f>
        <v>0</v>
      </c>
      <c r="Y96" s="233" cm="1">
        <f t="array" ref="Y96">IFERROR(INDEX(РД[S],MATCH($Q$3&amp;Таблица10[[#This Row],[№]]&amp;"Продажа",РД[Дом]&amp;РД[№ кв]&amp;РД[Состояние],0),1),Таблица10[[#This Row],[Статус]])</f>
        <v>68.5</v>
      </c>
      <c r="Z96" s="233">
        <f>IF(Таблица10[[#This Row],[№]]&amp;"ДДУ"=ППД5!A93&amp;ППД5!CR93,ППД5!U93,ППД5!V93)</f>
        <v>68.5</v>
      </c>
      <c r="AA96" s="285">
        <f>IFERROR(Таблица10[[#This Row],[S ПП]]-Таблица10[[#This Row],[S ДДУ]],)</f>
        <v>0</v>
      </c>
      <c r="AB96" s="235">
        <f>ROUND(_xlfn.XLOOKUP(Таблица10[[#This Row],[№]],Реестр_Д5[№],Реестр_Д5[Итоговая сумма скидки],"",0),2)</f>
        <v>0</v>
      </c>
      <c r="AC96" s="235" cm="1">
        <f t="array" ref="AC9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6" s="285">
        <f>IFERROR(Таблица10[[#This Row],[ППС]]-Таблица10[[#This Row],[ДДУС]],)</f>
        <v>0</v>
      </c>
      <c r="AE96" s="611"/>
      <c r="AF96" s="615">
        <f>VLOOKUP(ППД401!A93,Д401[],1,0)</f>
        <v>92</v>
      </c>
      <c r="AG96" s="234" t="str">
        <f>_xlfn.XLOOKUP(Таблица1[[#This Row],[№]],Д401[№],Д401[Статус],"-",0)</f>
        <v>Стр. Резерв</v>
      </c>
      <c r="AH96" s="612">
        <f>_xlfn.XLOOKUP(Таблица1[[#This Row],[№]],Д401[№],Д401[Стоимость ОН без отделки со скидкой],"-",0)</f>
        <v>9350000</v>
      </c>
      <c r="AI96" s="612" t="str" cm="1">
        <f t="array" ref="AI96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96" s="235" t="str">
        <f>IFERROR((Таблица1[[#This Row],[ПП]]-Таблица1[[#This Row],[ДДУ]])*1,"")</f>
        <v/>
      </c>
      <c r="AK96" s="235" t="str" cm="1">
        <f t="array" ref="AK96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96" s="235">
        <f>_xlfn.XLOOKUP(Таблица1[[#This Row],[№]],Д401[№],Д401[Стоимость квартиры с отделкой],"-",0)</f>
        <v>9350000</v>
      </c>
      <c r="AM96" s="235" t="str">
        <f>IFERROR(Таблица1[[#This Row],[СО ПП]]-Таблица1[[#This Row],[СО ДДУ]],"")</f>
        <v/>
      </c>
      <c r="AN96" s="233" t="str" cm="1">
        <f t="array" ref="AN96">IFERROR(INDEX(РД[S],MATCH($AF$3&amp;Таблица1[[#This Row],[№]]&amp;"Продажа",РД[Дом]&amp;РД[№ кв]&amp;РД[Состояние],0),1),Таблица1[[#This Row],[Статус]])</f>
        <v>Стр. Резерв</v>
      </c>
      <c r="AO96" s="233">
        <f>_xlfn.XLOOKUP(Таблица1[[#This Row],[№]],Д401[№],Д401[Расчетная проектная площадь],"-",0)</f>
        <v>74.8</v>
      </c>
      <c r="AP96" s="235" t="str">
        <f>IFERROR(Таблица1[[#This Row],[S ПП]]-Таблица1[[#This Row],[S ДДУ]],"")</f>
        <v/>
      </c>
      <c r="AQ96" s="235">
        <f>_xlfn.XLOOKUP(Таблица1[[#This Row],[№]],Д401[№],Д401[Итоговая сумма скидки],"-",0)</f>
        <v>0</v>
      </c>
      <c r="AR96" s="235" t="str" cm="1">
        <f t="array" ref="AR96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96" s="285" t="str">
        <f>IFERROR(Таблица1[[#This Row],[ППС]]-Таблица1[[#This Row],[ДДУС]],"")</f>
        <v/>
      </c>
      <c r="AT96" s="611"/>
      <c r="AU96" s="484">
        <f>VLOOKUP(ППД402!A93,Д402[],1,0)</f>
        <v>92</v>
      </c>
      <c r="AV96" s="484" t="str">
        <f>_xlfn.XLOOKUP(Т402[[#This Row],[№]],Д402[№],Д402[Статус],"-",0)</f>
        <v>Свободно</v>
      </c>
      <c r="AW96" s="613">
        <f>_xlfn.XLOOKUP(Т402[[#This Row],[№]],Д402[№],Д402[Стоимость ОН без отделки со скидкой],"-",0)</f>
        <v>7484200</v>
      </c>
      <c r="AX96" s="614" t="str" cm="1">
        <f t="array" ref="AX96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96" s="485" t="str">
        <f>IFERROR((Т402[[#This Row],[ПП]]-Т402[[#This Row],[ДДУ]])*1,"")</f>
        <v/>
      </c>
      <c r="AZ96" s="486" t="str" cm="1">
        <f t="array" ref="AZ96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96" s="485">
        <f>_xlfn.XLOOKUP(Т402[[#This Row],[№]],Д402[№],Д402[Стоимость квартиры с отделкой],"-",0)</f>
        <v>9276100</v>
      </c>
      <c r="BB96" s="485" t="str">
        <f>IFERROR(Т402[[#This Row],[СО ПП]]-Т402[[#This Row],[СО ДДУ]],"")</f>
        <v/>
      </c>
      <c r="BC96" s="487" t="str" cm="1">
        <f t="array" ref="BC96">IFERROR(INDEX(РД[S],MATCH($AU$3&amp;Т402[[#This Row],[№]]&amp;"Продажа",РД[Дом]&amp;РД[№ кв]&amp;РД[Состояние],0),1),Т402[[#This Row],[Статус]])</f>
        <v>Свободно</v>
      </c>
      <c r="BD96" s="483">
        <f>_xlfn.XLOOKUP(Т402[[#This Row],[№]],Д402[№],Д402[Расчетная проектная площадь],"-",0)</f>
        <v>59.73</v>
      </c>
      <c r="BE96" s="485" t="str">
        <f>IFERROR(Т402[[#This Row],[S ПП]]-Т402[[#This Row],[S ДДУ]],"")</f>
        <v/>
      </c>
      <c r="BF96" s="485">
        <f>_xlfn.XLOOKUP(Т402[[#This Row],[№]],Д402[№],Д402[Итоговая сумма скидки],"-",0)</f>
        <v>0</v>
      </c>
      <c r="BG96" s="486" t="str" cm="1">
        <f t="array" ref="BG96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96" s="488" t="str">
        <f>IFERROR(Т402[[#This Row],[ППС]]-Т402[[#This Row],[ДДУС]],"")</f>
        <v/>
      </c>
    </row>
    <row r="97" spans="1:60" x14ac:dyDescent="0.2">
      <c r="A97" s="611"/>
      <c r="B97" s="234">
        <f>VLOOKUP(ППД4!A94,Реестр_Д4[№],1,0)</f>
        <v>93</v>
      </c>
      <c r="C97" s="234" t="str">
        <f>VLOOKUP(ППД4!CO94,Реестр_Д4[Статус],1,0)</f>
        <v>Продажа</v>
      </c>
      <c r="D97" s="612">
        <f>VLOOKUP(ППД4!CE94,Реестр_Д4[Стоимость ОН без отделки со скидкой],1,0)</f>
        <v>4304854.8899999997</v>
      </c>
      <c r="E97" s="612" cm="1">
        <f t="array" ref="E97">IFERROR(INDEX(РД[Стоимость без отделки итог],MATCH($B$3&amp;Таблица4[[#This Row],[№]]&amp;"Продажа",РД[Дом]&amp;РД[№ кв]&amp;РД[Состояние],0),1),Таблица4[[#This Row],[Статус]])</f>
        <v>4304854.8899999997</v>
      </c>
      <c r="F97" s="235">
        <f>IFERROR((Таблица4[[#This Row],[ПП]]-Таблица4[[#This Row],[ДДУ]])*1,"")</f>
        <v>0</v>
      </c>
      <c r="G97" s="235" cm="1">
        <f t="array" ref="G97">IFERROR(INDEX(РД[Стоимость с отделкой итог],MATCH($B$3&amp;Таблица4[[#This Row],[№]]&amp;"Продажа",РД[Дом]&amp;РД[№ кв]&amp;РД[Состояние],0),1),Таблица4[[#This Row],[Статус]])</f>
        <v>4523494.8899999997</v>
      </c>
      <c r="H97" s="235">
        <f>_xlfn.XLOOKUP(Таблица4[[#This Row],[№]],Реестр_Д4[№],Реестр_Д4[Стоимость квартиры с отделкой],"-",0)</f>
        <v>4523494.8899999997</v>
      </c>
      <c r="I97" s="235">
        <f>IFERROR(Таблица4[[#This Row],[СО ПП]]-Таблица4[[#This Row],[СО ДДУ]],"")</f>
        <v>0</v>
      </c>
      <c r="J97" s="233" cm="1">
        <f t="array" ref="J97">IFERROR(INDEX(РД[S],MATCH($B$3&amp;Таблица4[[#This Row],[№]]&amp;"Продажа",РД[Дом]&amp;РД[№ кв]&amp;РД[Состояние],0),1),Таблица4[[#This Row],[Статус]])</f>
        <v>54.66</v>
      </c>
      <c r="K97" s="233">
        <f>VLOOKUP(Таблица4[[#This Row],[№]],Реестр_Д4[],20,0)</f>
        <v>54.66</v>
      </c>
      <c r="L97" s="235">
        <f>IFERROR(Таблица4[[#This Row],[S ПП]]-Таблица4[[#This Row],[S ДДУ]],)</f>
        <v>0</v>
      </c>
      <c r="M97" s="235">
        <f>ROUND(_xlfn.XLOOKUP(Таблица4[[#This Row],[№]],Реестр_Д4[№],Реестр_Д4[Итоговая сумма скидки],"",0),2)</f>
        <v>0</v>
      </c>
      <c r="N97" s="235" cm="1">
        <f t="array" ref="N9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7" s="235">
        <f>IFERROR(Таблица4[[#This Row],[ППС]]-Таблица4[[#This Row],[ДДУС]],)</f>
        <v>0</v>
      </c>
      <c r="P97" s="611"/>
      <c r="Q97" s="234">
        <f>VLOOKUP(ППД5!A94,Реестр_Д5[№],1,0)</f>
        <v>93</v>
      </c>
      <c r="R97" s="234" t="str">
        <f>VLOOKUP(ППД5!CH94,Реестр_Д5[Статус],1,0)</f>
        <v>Продажа</v>
      </c>
      <c r="S97" s="612">
        <f>VLOOKUP(ППД5!BZ94,Реестр_Д5[Стоимость ОН без отделки со скидкой],1,0)</f>
        <v>3305204.6</v>
      </c>
      <c r="T97" s="612" cm="1">
        <f t="array" ref="T97">IFERROR(INDEX(РД[Стоимость без отделки итог],MATCH($Q$3&amp;Таблица10[[#This Row],[№]]&amp;"Продажа",РД[Дом]&amp;РД[№ кв]&amp;РД[Состояние],0),1),Таблица10[[#This Row],[Статус]])</f>
        <v>3305204.6</v>
      </c>
      <c r="U97" s="235">
        <f>IFERROR((Таблица10[[#This Row],[ПП]]-Таблица10[[#This Row],[ДДУ]])*1,)</f>
        <v>0</v>
      </c>
      <c r="V97" s="235" cm="1">
        <f t="array" ref="V97">IFERROR(INDEX(РД[Стоимость с отделкой итог],MATCH($Q$3&amp;Таблица10[[#This Row],[№]]&amp;"Продажа",РД[Дом]&amp;РД[№ кв]&amp;РД[Состояние],0),1),Таблица10[[#This Row],[Статус]])</f>
        <v>3305204.6</v>
      </c>
      <c r="W97" s="235">
        <f>_xlfn.XLOOKUP(Таблица10[[#This Row],[№]],Реестр_Д5[№],Реестр_Д5[Стоимость квартиры с отделкой],"-",0)</f>
        <v>3305204.6</v>
      </c>
      <c r="X97" s="235">
        <f>IFERROR(Таблица10[[#This Row],[СО ПП]]-Таблица10[[#This Row],[СО ДДУ]],"")</f>
        <v>0</v>
      </c>
      <c r="Y97" s="233" cm="1">
        <f t="array" ref="Y97">IFERROR(INDEX(РД[S],MATCH($Q$3&amp;Таблица10[[#This Row],[№]]&amp;"Продажа",РД[Дом]&amp;РД[№ кв]&amp;РД[Состояние],0),1),Таблица10[[#This Row],[Статус]])</f>
        <v>37.729999999999997</v>
      </c>
      <c r="Z97" s="233">
        <f>IF(Таблица10[[#This Row],[№]]&amp;"ДДУ"=ППД5!A94&amp;ППД5!CR94,ППД5!U94,ППД5!V94)</f>
        <v>37.729999999999997</v>
      </c>
      <c r="AA97" s="285">
        <f>IFERROR(Таблица10[[#This Row],[S ПП]]-Таблица10[[#This Row],[S ДДУ]],)</f>
        <v>0</v>
      </c>
      <c r="AB97" s="235">
        <f>ROUND(_xlfn.XLOOKUP(Таблица10[[#This Row],[№]],Реестр_Д5[№],Реестр_Д5[Итоговая сумма скидки],"",0),2)</f>
        <v>0</v>
      </c>
      <c r="AC97" s="235" cm="1">
        <f t="array" ref="AC9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97" s="285">
        <f>IFERROR(Таблица10[[#This Row],[ППС]]-Таблица10[[#This Row],[ДДУС]],)</f>
        <v>0</v>
      </c>
      <c r="AE97" s="611"/>
      <c r="AF97" s="615">
        <f>VLOOKUP(ППД401!A94,Д401[],1,0)</f>
        <v>93</v>
      </c>
      <c r="AG97" s="234" t="str">
        <f>_xlfn.XLOOKUP(Таблица1[[#This Row],[№]],Д401[№],Д401[Статус],"-",0)</f>
        <v>Свободно</v>
      </c>
      <c r="AH97" s="612">
        <f>_xlfn.XLOOKUP(Таблица1[[#This Row],[№]],Д401[№],Д401[Стоимость ОН без отделки со скидкой],"-",0)</f>
        <v>6751250</v>
      </c>
      <c r="AI97" s="612" t="str" cm="1">
        <f t="array" ref="AI97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7" s="235" t="str">
        <f>IFERROR((Таблица1[[#This Row],[ПП]]-Таблица1[[#This Row],[ДДУ]])*1,"")</f>
        <v/>
      </c>
      <c r="AK97" s="235" t="str" cm="1">
        <f t="array" ref="AK97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7" s="235">
        <f>_xlfn.XLOOKUP(Таблица1[[#This Row],[№]],Д401[№],Д401[Стоимость квартиры с отделкой],"-",0)</f>
        <v>6751250</v>
      </c>
      <c r="AM97" s="235" t="str">
        <f>IFERROR(Таблица1[[#This Row],[СО ПП]]-Таблица1[[#This Row],[СО ДДУ]],"")</f>
        <v/>
      </c>
      <c r="AN97" s="233" t="str" cm="1">
        <f t="array" ref="AN97">IFERROR(INDEX(РД[S],MATCH($AF$3&amp;Таблица1[[#This Row],[№]]&amp;"Продажа",РД[Дом]&amp;РД[№ кв]&amp;РД[Состояние],0),1),Таблица1[[#This Row],[Статус]])</f>
        <v>Свободно</v>
      </c>
      <c r="AO97" s="233">
        <f>_xlfn.XLOOKUP(Таблица1[[#This Row],[№]],Д401[№],Д401[Расчетная проектная площадь],"-",0)</f>
        <v>54.01</v>
      </c>
      <c r="AP97" s="235" t="str">
        <f>IFERROR(Таблица1[[#This Row],[S ПП]]-Таблица1[[#This Row],[S ДДУ]],"")</f>
        <v/>
      </c>
      <c r="AQ97" s="235">
        <f>_xlfn.XLOOKUP(Таблица1[[#This Row],[№]],Д401[№],Д401[Итоговая сумма скидки],"-",0)</f>
        <v>0</v>
      </c>
      <c r="AR97" s="235" t="str" cm="1">
        <f t="array" ref="AR97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7" s="285" t="str">
        <f>IFERROR(Таблица1[[#This Row],[ППС]]-Таблица1[[#This Row],[ДДУС]],"")</f>
        <v/>
      </c>
      <c r="AT97" s="611"/>
      <c r="AU97" s="484">
        <f>VLOOKUP(ППД402!A94,Д402[],1,0)</f>
        <v>93</v>
      </c>
      <c r="AV97" s="484" t="str">
        <f>_xlfn.XLOOKUP(Т402[[#This Row],[№]],Д402[№],Д402[Статус],"-",0)</f>
        <v>Стр. Резерв</v>
      </c>
      <c r="AW97" s="613">
        <f>_xlfn.XLOOKUP(Т402[[#This Row],[№]],Д402[№],Д402[Стоимость ОН без отделки со скидкой],"-",0)</f>
        <v>6502500</v>
      </c>
      <c r="AX97" s="614" t="str" cm="1">
        <f t="array" ref="AX9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7" s="485" t="str">
        <f>IFERROR((Т402[[#This Row],[ПП]]-Т402[[#This Row],[ДДУ]])*1,"")</f>
        <v/>
      </c>
      <c r="AZ97" s="486" t="str" cm="1">
        <f t="array" ref="AZ9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7" s="485">
        <f>_xlfn.XLOOKUP(Т402[[#This Row],[№]],Д402[№],Д402[Стоимость квартиры с отделкой],"-",0)</f>
        <v>6502500</v>
      </c>
      <c r="BB97" s="485" t="str">
        <f>IFERROR(Т402[[#This Row],[СО ПП]]-Т402[[#This Row],[СО ДДУ]],"")</f>
        <v/>
      </c>
      <c r="BC97" s="487" t="str" cm="1">
        <f t="array" ref="BC97">IFERROR(INDEX(РД[S],MATCH($AU$3&amp;Т402[[#This Row],[№]]&amp;"Продажа",РД[Дом]&amp;РД[№ кв]&amp;РД[Состояние],0),1),Т402[[#This Row],[Статус]])</f>
        <v>Стр. Резерв</v>
      </c>
      <c r="BD97" s="483">
        <f>_xlfn.XLOOKUP(Т402[[#This Row],[№]],Д402[№],Д402[Расчетная проектная площадь],"-",0)</f>
        <v>54.47</v>
      </c>
      <c r="BE97" s="485" t="str">
        <f>IFERROR(Т402[[#This Row],[S ПП]]-Т402[[#This Row],[S ДДУ]],"")</f>
        <v/>
      </c>
      <c r="BF97" s="485">
        <f>_xlfn.XLOOKUP(Т402[[#This Row],[№]],Д402[№],Д402[Итоговая сумма скидки],"-",0)</f>
        <v>0</v>
      </c>
      <c r="BG97" s="486" t="str" cm="1">
        <f t="array" ref="BG9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7" s="488" t="str">
        <f>IFERROR(Т402[[#This Row],[ППС]]-Т402[[#This Row],[ДДУС]],"")</f>
        <v/>
      </c>
    </row>
    <row r="98" spans="1:60" x14ac:dyDescent="0.2">
      <c r="A98" s="611"/>
      <c r="B98" s="234">
        <f>VLOOKUP(ППД4!A95,Реестр_Д4[№],1,0)</f>
        <v>94</v>
      </c>
      <c r="C98" s="234" t="str">
        <f>VLOOKUP(ППД4!CO95,Реестр_Д4[Статус],1,0)</f>
        <v>Продажа</v>
      </c>
      <c r="D98" s="612">
        <f>VLOOKUP(ППД4!CE95,Реестр_Д4[Стоимость ОН без отделки со скидкой],1,0)</f>
        <v>5609370.5700000003</v>
      </c>
      <c r="E98" s="612" cm="1">
        <f t="array" ref="E98">IFERROR(INDEX(РД[Стоимость без отделки итог],MATCH($B$3&amp;Таблица4[[#This Row],[№]]&amp;"Продажа",РД[Дом]&amp;РД[№ кв]&amp;РД[Состояние],0),1),Таблица4[[#This Row],[Статус]])</f>
        <v>5609370.5700000003</v>
      </c>
      <c r="F98" s="235">
        <f>IFERROR((Таблица4[[#This Row],[ПП]]-Таблица4[[#This Row],[ДДУ]])*1,"")</f>
        <v>0</v>
      </c>
      <c r="G98" s="235" cm="1">
        <f t="array" ref="G98">IFERROR(INDEX(РД[Стоимость с отделкой итог],MATCH($B$3&amp;Таблица4[[#This Row],[№]]&amp;"Продажа",РД[Дом]&amp;РД[№ кв]&amp;РД[Состояние],0),1),Таблица4[[#This Row],[Статус]])</f>
        <v>6058395.5700000003</v>
      </c>
      <c r="H98" s="235">
        <f>_xlfn.XLOOKUP(Таблица4[[#This Row],[№]],Реестр_Д4[№],Реестр_Д4[Стоимость квартиры с отделкой],"-",0)</f>
        <v>6058395.5700000003</v>
      </c>
      <c r="I98" s="235">
        <f>IFERROR(Таблица4[[#This Row],[СО ПП]]-Таблица4[[#This Row],[СО ДДУ]],"")</f>
        <v>0</v>
      </c>
      <c r="J98" s="233" cm="1">
        <f t="array" ref="J98">IFERROR(INDEX(РД[S],MATCH($B$3&amp;Таблица4[[#This Row],[№]]&amp;"Продажа",РД[Дом]&amp;РД[№ кв]&amp;РД[Состояние],0),1),Таблица4[[#This Row],[Статус]])</f>
        <v>59.87</v>
      </c>
      <c r="K98" s="233">
        <f>VLOOKUP(Таблица4[[#This Row],[№]],Реестр_Д4[],20,0)</f>
        <v>59.87</v>
      </c>
      <c r="L98" s="235">
        <f>IFERROR(Таблица4[[#This Row],[S ПП]]-Таблица4[[#This Row],[S ДДУ]],)</f>
        <v>0</v>
      </c>
      <c r="M98" s="235">
        <f>ROUND(_xlfn.XLOOKUP(Таблица4[[#This Row],[№]],Реестр_Д4[№],Реестр_Д4[Итоговая сумма скидки],"",0),2)</f>
        <v>0</v>
      </c>
      <c r="N98" s="235" cm="1">
        <f t="array" ref="N9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8" s="235">
        <f>IFERROR(Таблица4[[#This Row],[ППС]]-Таблица4[[#This Row],[ДДУС]],)</f>
        <v>0</v>
      </c>
      <c r="P98" s="611"/>
      <c r="Q98" s="234">
        <f>VLOOKUP(ППД5!A95,Реестр_Д5[№],1,0)</f>
        <v>94</v>
      </c>
      <c r="R98" s="234" t="str">
        <f>VLOOKUP(ППД5!CH95,Реестр_Д5[Статус],1,0)</f>
        <v>Продажа</v>
      </c>
      <c r="S98" s="612">
        <f>VLOOKUP(ППД5!BZ95,Реестр_Д5[Стоимость ОН без отделки со скидкой],1,0)</f>
        <v>6795350</v>
      </c>
      <c r="T98" s="612" cm="1">
        <f t="array" ref="T98">IFERROR(INDEX(РД[Стоимость без отделки итог],MATCH($Q$3&amp;Таблица10[[#This Row],[№]]&amp;"Продажа",РД[Дом]&amp;РД[№ кв]&amp;РД[Состояние],0),1),Таблица10[[#This Row],[Статус]])</f>
        <v>6795350</v>
      </c>
      <c r="U98" s="235">
        <f>IFERROR((Таблица10[[#This Row],[ПП]]-Таблица10[[#This Row],[ДДУ]])*1,)</f>
        <v>0</v>
      </c>
      <c r="V98" s="235" cm="1">
        <f t="array" ref="V98">IFERROR(INDEX(РД[Стоимость с отделкой итог],MATCH($Q$3&amp;Таблица10[[#This Row],[№]]&amp;"Продажа",РД[Дом]&amp;РД[№ кв]&amp;РД[Состояние],0),1),Таблица10[[#This Row],[Статус]])</f>
        <v>8272600</v>
      </c>
      <c r="W98" s="235">
        <f>_xlfn.XLOOKUP(Таблица10[[#This Row],[№]],Реестр_Д5[№],Реестр_Д5[Стоимость квартиры с отделкой],"-",0)</f>
        <v>8272600.0000000019</v>
      </c>
      <c r="X98" s="235">
        <f>IFERROR(Таблица10[[#This Row],[СО ПП]]-Таблица10[[#This Row],[СО ДДУ]],"")</f>
        <v>1.862645149230957E-9</v>
      </c>
      <c r="Y98" s="233" cm="1">
        <f t="array" ref="Y98">IFERROR(INDEX(РД[S],MATCH($Q$3&amp;Таблица10[[#This Row],[№]]&amp;"Продажа",РД[Дом]&amp;РД[№ кв]&amp;РД[Состояние],0),1),Таблица10[[#This Row],[Статус]])</f>
        <v>59.09</v>
      </c>
      <c r="Z98" s="233">
        <f>IF(Таблица10[[#This Row],[№]]&amp;"ДДУ"=ППД5!A95&amp;ППД5!CR95,ППД5!U95,ППД5!V95)</f>
        <v>59.09</v>
      </c>
      <c r="AA98" s="285">
        <f>IFERROR(Таблица10[[#This Row],[S ПП]]-Таблица10[[#This Row],[S ДДУ]],)</f>
        <v>0</v>
      </c>
      <c r="AB98" s="235">
        <f>ROUND(_xlfn.XLOOKUP(Таблица10[[#This Row],[№]],Реестр_Д5[№],Реестр_Д5[Итоговая сумма скидки],"",0),2)</f>
        <v>438050</v>
      </c>
      <c r="AC98" s="235" cm="1">
        <f t="array" ref="AC98">IFERROR(ROUND(_xlfn.XLOOKUP($Q$3&amp;Таблица10[[#This Row],[№]]&amp;"Продажа",РД[Дом]&amp;РД[№ кв]&amp;РД[Состояние],РД[Сумма скидки],"",0,-1),2),Таблица10[[#This Row],[Статус]])</f>
        <v>438050</v>
      </c>
      <c r="AD98" s="285">
        <f>IFERROR(Таблица10[[#This Row],[ППС]]-Таблица10[[#This Row],[ДДУС]],)</f>
        <v>0</v>
      </c>
      <c r="AE98" s="611"/>
      <c r="AF98" s="615">
        <f>VLOOKUP(ППД401!A95,Д401[],1,0)</f>
        <v>94</v>
      </c>
      <c r="AG98" s="234" t="str">
        <f>_xlfn.XLOOKUP(Таблица1[[#This Row],[№]],Д401[№],Д401[Статус],"-",0)</f>
        <v>Стр. Резерв</v>
      </c>
      <c r="AH98" s="612">
        <f>_xlfn.XLOOKUP(Таблица1[[#This Row],[№]],Д401[№],Д401[Стоимость ОН без отделки со скидкой],"-",0)</f>
        <v>4996900</v>
      </c>
      <c r="AI98" s="612" t="str" cm="1">
        <f t="array" ref="AI98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98" s="235" t="str">
        <f>IFERROR((Таблица1[[#This Row],[ПП]]-Таблица1[[#This Row],[ДДУ]])*1,"")</f>
        <v/>
      </c>
      <c r="AK98" s="235" t="str" cm="1">
        <f t="array" ref="AK98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98" s="235">
        <f>_xlfn.XLOOKUP(Таблица1[[#This Row],[№]],Д401[№],Д401[Стоимость квартиры с отделкой],"-",0)</f>
        <v>4996900</v>
      </c>
      <c r="AM98" s="235" t="str">
        <f>IFERROR(Таблица1[[#This Row],[СО ПП]]-Таблица1[[#This Row],[СО ДДУ]],"")</f>
        <v/>
      </c>
      <c r="AN98" s="233" t="str" cm="1">
        <f t="array" ref="AN98">IFERROR(INDEX(РД[S],MATCH($AF$3&amp;Таблица1[[#This Row],[№]]&amp;"Продажа",РД[Дом]&amp;РД[№ кв]&amp;РД[Состояние],0),1),Таблица1[[#This Row],[Статус]])</f>
        <v>Стр. Резерв</v>
      </c>
      <c r="AO98" s="233">
        <f>_xlfn.XLOOKUP(Таблица1[[#This Row],[№]],Д401[№],Д401[Расчетная проектная площадь],"-",0)</f>
        <v>35.590000000000003</v>
      </c>
      <c r="AP98" s="235" t="str">
        <f>IFERROR(Таблица1[[#This Row],[S ПП]]-Таблица1[[#This Row],[S ДДУ]],"")</f>
        <v/>
      </c>
      <c r="AQ98" s="235">
        <f>_xlfn.XLOOKUP(Таблица1[[#This Row],[№]],Д401[№],Д401[Итоговая сумма скидки],"-",0)</f>
        <v>0</v>
      </c>
      <c r="AR98" s="235" t="str" cm="1">
        <f t="array" ref="AR98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98" s="285" t="str">
        <f>IFERROR(Таблица1[[#This Row],[ППС]]-Таблица1[[#This Row],[ДДУС]],"")</f>
        <v/>
      </c>
      <c r="AT98" s="611"/>
      <c r="AU98" s="484">
        <f>VLOOKUP(ППД402!A95,Д402[],1,0)</f>
        <v>94</v>
      </c>
      <c r="AV98" s="484" t="str">
        <f>_xlfn.XLOOKUP(Т402[[#This Row],[№]],Д402[№],Д402[Статус],"-",0)</f>
        <v>Стр. Резерв</v>
      </c>
      <c r="AW98" s="613">
        <f>_xlfn.XLOOKUP(Т402[[#This Row],[№]],Д402[№],Д402[Стоимость ОН без отделки со скидкой],"-",0)</f>
        <v>6617800</v>
      </c>
      <c r="AX98" s="614" t="str" cm="1">
        <f t="array" ref="AX9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98" s="485" t="str">
        <f>IFERROR((Т402[[#This Row],[ПП]]-Т402[[#This Row],[ДДУ]])*1,"")</f>
        <v/>
      </c>
      <c r="AZ98" s="486" t="str" cm="1">
        <f t="array" ref="AZ9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98" s="485">
        <f>_xlfn.XLOOKUP(Т402[[#This Row],[№]],Д402[№],Д402[Стоимость квартиры с отделкой],"-",0)</f>
        <v>6617800</v>
      </c>
      <c r="BB98" s="485" t="str">
        <f>IFERROR(Т402[[#This Row],[СО ПП]]-Т402[[#This Row],[СО ДДУ]],"")</f>
        <v/>
      </c>
      <c r="BC98" s="487" t="str" cm="1">
        <f t="array" ref="BC98">IFERROR(INDEX(РД[S],MATCH($AU$3&amp;Т402[[#This Row],[№]]&amp;"Продажа",РД[Дом]&amp;РД[№ кв]&amp;РД[Состояние],0),1),Т402[[#This Row],[Статус]])</f>
        <v>Стр. Резерв</v>
      </c>
      <c r="BD98" s="483">
        <f>_xlfn.XLOOKUP(Т402[[#This Row],[№]],Д402[№],Д402[Расчетная проектная площадь],"-",0)</f>
        <v>54.4</v>
      </c>
      <c r="BE98" s="485" t="str">
        <f>IFERROR(Т402[[#This Row],[S ПП]]-Т402[[#This Row],[S ДДУ]],"")</f>
        <v/>
      </c>
      <c r="BF98" s="485">
        <f>_xlfn.XLOOKUP(Т402[[#This Row],[№]],Д402[№],Д402[Итоговая сумма скидки],"-",0)</f>
        <v>0</v>
      </c>
      <c r="BG98" s="486" t="str" cm="1">
        <f t="array" ref="BG9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98" s="488" t="str">
        <f>IFERROR(Т402[[#This Row],[ППС]]-Т402[[#This Row],[ДДУС]],"")</f>
        <v/>
      </c>
    </row>
    <row r="99" spans="1:60" x14ac:dyDescent="0.2">
      <c r="A99" s="611"/>
      <c r="B99" s="234">
        <f>VLOOKUP(ППД4!A96,Реестр_Д4[№],1,0)</f>
        <v>95</v>
      </c>
      <c r="C99" s="234" t="str">
        <f>VLOOKUP(ППД4!CO96,Реестр_Д4[Статус],1,0)</f>
        <v>Продажа</v>
      </c>
      <c r="D99" s="612">
        <f>VLOOKUP(ППД4!CE96,Реестр_Д4[Стоимость ОН без отделки со скидкой],1,0)</f>
        <v>1644300</v>
      </c>
      <c r="E99" s="612" cm="1">
        <f t="array" ref="E99">IFERROR(INDEX(РД[Стоимость без отделки итог],MATCH($B$3&amp;Таблица4[[#This Row],[№]]&amp;"Продажа",РД[Дом]&amp;РД[№ кв]&amp;РД[Состояние],0),1),Таблица4[[#This Row],[Статус]])</f>
        <v>1644300</v>
      </c>
      <c r="F99" s="235">
        <f>IFERROR((Таблица4[[#This Row],[ПП]]-Таблица4[[#This Row],[ДДУ]])*1,"")</f>
        <v>0</v>
      </c>
      <c r="G99" s="235" cm="1">
        <f t="array" ref="G99">IFERROR(INDEX(РД[Стоимость с отделкой итог],MATCH($B$3&amp;Таблица4[[#This Row],[№]]&amp;"Продажа",РД[Дом]&amp;РД[№ кв]&amp;РД[Состояние],0),1),Таблица4[[#This Row],[Статус]])</f>
        <v>1807425</v>
      </c>
      <c r="H99" s="235">
        <f>_xlfn.XLOOKUP(Таблица4[[#This Row],[№]],Реестр_Д4[№],Реестр_Д4[Стоимость квартиры с отделкой],"-",0)</f>
        <v>1807425</v>
      </c>
      <c r="I99" s="235">
        <f>IFERROR(Таблица4[[#This Row],[СО ПП]]-Таблица4[[#This Row],[СО ДДУ]],"")</f>
        <v>0</v>
      </c>
      <c r="J99" s="233" cm="1">
        <f t="array" ref="J99">IFERROR(INDEX(РД[S],MATCH($B$3&amp;Таблица4[[#This Row],[№]]&amp;"Продажа",РД[Дом]&amp;РД[№ кв]&amp;РД[Состояние],0),1),Таблица4[[#This Row],[Статус]])</f>
        <v>21.75</v>
      </c>
      <c r="K99" s="233">
        <f>VLOOKUP(Таблица4[[#This Row],[№]],Реестр_Д4[],20,0)</f>
        <v>21.75</v>
      </c>
      <c r="L99" s="235">
        <f>IFERROR(Таблица4[[#This Row],[S ПП]]-Таблица4[[#This Row],[S ДДУ]],)</f>
        <v>0</v>
      </c>
      <c r="M99" s="235">
        <f>ROUND(_xlfn.XLOOKUP(Таблица4[[#This Row],[№]],Реестр_Д4[№],Реестр_Д4[Итоговая сумма скидки],"",0),2)</f>
        <v>0</v>
      </c>
      <c r="N99" s="235" cm="1">
        <f t="array" ref="N9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99" s="235">
        <f>IFERROR(Таблица4[[#This Row],[ППС]]-Таблица4[[#This Row],[ДДУС]],)</f>
        <v>0</v>
      </c>
      <c r="P99" s="611"/>
      <c r="Q99" s="234">
        <f>VLOOKUP(ППД5!A96,Реестр_Д5[№],1,0)</f>
        <v>95</v>
      </c>
      <c r="R99" s="234" t="str">
        <f>VLOOKUP(ППД5!CH96,Реестр_Д5[Статус],1,0)</f>
        <v>Продажа</v>
      </c>
      <c r="S99" s="612">
        <f>VLOOKUP(ППД5!BZ96,Реестр_Д5[Стоимость ОН без отделки со скидкой],1,0)</f>
        <v>5291654.9400000004</v>
      </c>
      <c r="T99" s="612" cm="1">
        <f t="array" ref="T99">IFERROR(INDEX(РД[Стоимость без отделки итог],MATCH($Q$3&amp;Таблица10[[#This Row],[№]]&amp;"Продажа",РД[Дом]&amp;РД[№ кв]&amp;РД[Состояние],0),1),Таблица10[[#This Row],[Статус]])</f>
        <v>5291654.9400000004</v>
      </c>
      <c r="U99" s="235">
        <f>IFERROR((Таблица10[[#This Row],[ПП]]-Таблица10[[#This Row],[ДДУ]])*1,)</f>
        <v>0</v>
      </c>
      <c r="V99" s="235" cm="1">
        <f t="array" ref="V99">IFERROR(INDEX(РД[Стоимость с отделкой итог],MATCH($Q$3&amp;Таблица10[[#This Row],[№]]&amp;"Продажа",РД[Дом]&amp;РД[№ кв]&amp;РД[Состояние],0),1),Таблица10[[#This Row],[Статус]])</f>
        <v>5757929.9400000004</v>
      </c>
      <c r="W99" s="235">
        <f>_xlfn.XLOOKUP(Таблица10[[#This Row],[№]],Реестр_Д5[№],Реестр_Д5[Стоимость квартиры с отделкой],"-",0)</f>
        <v>5757929.9400000004</v>
      </c>
      <c r="X99" s="235">
        <f>IFERROR(Таблица10[[#This Row],[СО ПП]]-Таблица10[[#This Row],[СО ДДУ]],"")</f>
        <v>0</v>
      </c>
      <c r="Y99" s="233" cm="1">
        <f t="array" ref="Y99">IFERROR(INDEX(РД[S],MATCH($Q$3&amp;Таблица10[[#This Row],[№]]&amp;"Продажа",РД[Дом]&amp;РД[№ кв]&amp;РД[Состояние],0),1),Таблица10[[#This Row],[Статус]])</f>
        <v>62.17</v>
      </c>
      <c r="Z99" s="233">
        <f>IF(Таблица10[[#This Row],[№]]&amp;"ДДУ"=ППД5!A96&amp;ППД5!CR96,ППД5!U96,ППД5!V96)</f>
        <v>62.17</v>
      </c>
      <c r="AA99" s="285">
        <f>IFERROR(Таблица10[[#This Row],[S ПП]]-Таблица10[[#This Row],[S ДДУ]],)</f>
        <v>0</v>
      </c>
      <c r="AB99" s="235">
        <f>ROUND(_xlfn.XLOOKUP(Таблица10[[#This Row],[№]],Реестр_Д5[№],Реестр_Д5[Итоговая сумма скидки],"",0),2)</f>
        <v>107992.96000000001</v>
      </c>
      <c r="AC99" s="235" cm="1">
        <f t="array" ref="AC99">IFERROR(ROUND(_xlfn.XLOOKUP($Q$3&amp;Таблица10[[#This Row],[№]]&amp;"Продажа",РД[Дом]&amp;РД[№ кв]&amp;РД[Состояние],РД[Сумма скидки],"",0,-1),2),Таблица10[[#This Row],[Статус]])</f>
        <v>107992.96000000001</v>
      </c>
      <c r="AD99" s="285">
        <f>IFERROR(Таблица10[[#This Row],[ППС]]-Таблица10[[#This Row],[ДДУС]],)</f>
        <v>0</v>
      </c>
      <c r="AE99" s="611"/>
      <c r="AF99" s="615">
        <f>VLOOKUP(ППД401!A96,Д401[],1,0)</f>
        <v>95</v>
      </c>
      <c r="AG99" s="234" t="str">
        <f>_xlfn.XLOOKUP(Таблица1[[#This Row],[№]],Д401[№],Д401[Статус],"-",0)</f>
        <v>Свободно</v>
      </c>
      <c r="AH99" s="612">
        <f>_xlfn.XLOOKUP(Таблица1[[#This Row],[№]],Д401[№],Д401[Стоимость ОН без отделки со скидкой],"-",0)</f>
        <v>6040700</v>
      </c>
      <c r="AI99" s="612" t="str" cm="1">
        <f t="array" ref="AI99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99" s="235" t="str">
        <f>IFERROR((Таблица1[[#This Row],[ПП]]-Таблица1[[#This Row],[ДДУ]])*1,"")</f>
        <v/>
      </c>
      <c r="AK99" s="235" t="str" cm="1">
        <f t="array" ref="AK99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99" s="235">
        <f>_xlfn.XLOOKUP(Таблица1[[#This Row],[№]],Д401[№],Д401[Стоимость квартиры с отделкой],"-",0)</f>
        <v>6040700.0000000009</v>
      </c>
      <c r="AM99" s="235" t="str">
        <f>IFERROR(Таблица1[[#This Row],[СО ПП]]-Таблица1[[#This Row],[СО ДДУ]],"")</f>
        <v/>
      </c>
      <c r="AN99" s="233" t="str" cm="1">
        <f t="array" ref="AN99">IFERROR(INDEX(РД[S],MATCH($AF$3&amp;Таблица1[[#This Row],[№]]&amp;"Продажа",РД[Дом]&amp;РД[№ кв]&amp;РД[Состояние],0),1),Таблица1[[#This Row],[Статус]])</f>
        <v>Свободно</v>
      </c>
      <c r="AO99" s="233">
        <f>_xlfn.XLOOKUP(Таблица1[[#This Row],[№]],Д401[№],Д401[Расчетная проектная площадь],"-",0)</f>
        <v>42.63</v>
      </c>
      <c r="AP99" s="235" t="str">
        <f>IFERROR(Таблица1[[#This Row],[S ПП]]-Таблица1[[#This Row],[S ДДУ]],"")</f>
        <v/>
      </c>
      <c r="AQ99" s="235">
        <f>_xlfn.XLOOKUP(Таблица1[[#This Row],[№]],Д401[№],Д401[Итоговая сумма скидки],"-",0)</f>
        <v>0</v>
      </c>
      <c r="AR99" s="235" t="str" cm="1">
        <f t="array" ref="AR99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99" s="285" t="str">
        <f>IFERROR(Таблица1[[#This Row],[ППС]]-Таблица1[[#This Row],[ДДУС]],"")</f>
        <v/>
      </c>
      <c r="AT99" s="611"/>
      <c r="AU99" s="484">
        <f>VLOOKUP(ППД402!A96,Д402[],1,0)</f>
        <v>95</v>
      </c>
      <c r="AV99" s="484" t="str">
        <f>_xlfn.XLOOKUP(Т402[[#This Row],[№]],Д402[№],Д402[Статус],"-",0)</f>
        <v>Продажа</v>
      </c>
      <c r="AW99" s="613">
        <f>_xlfn.XLOOKUP(Т402[[#This Row],[№]],Д402[№],Д402[Стоимость ОН без отделки со скидкой],"-",0)</f>
        <v>4674306</v>
      </c>
      <c r="AX99" s="614" cm="1">
        <f t="array" ref="AX99">IFERROR(INDEX(РД[Стоимость без отделки итог],MATCH($AU$3&amp;Т402[[#This Row],[№]]&amp;"Продажа",РД[Дом]&amp;РД[№ кв]&amp;РД[Состояние],0),1),Т402[[#This Row],[Статус]])</f>
        <v>4674306</v>
      </c>
      <c r="AY99" s="485">
        <f>IFERROR((Т402[[#This Row],[ПП]]-Т402[[#This Row],[ДДУ]])*1,"")</f>
        <v>0</v>
      </c>
      <c r="AZ99" s="486" cm="1">
        <f t="array" ref="AZ99">IFERROR(INDEX(РД[Стоимость с отделкой итог],MATCH($AU$3&amp;Т402[[#This Row],[№]]&amp;"Продажа",РД[Дом]&amp;РД[№ кв]&amp;РД[Состояние],0),1),Т402[[#This Row],[Статус]])</f>
        <v>5040706</v>
      </c>
      <c r="BA99" s="485">
        <f>_xlfn.XLOOKUP(Т402[[#This Row],[№]],Д402[№],Д402[Стоимость квартиры с отделкой],"-",0)</f>
        <v>5040706.0000000009</v>
      </c>
      <c r="BB99" s="485">
        <f>IFERROR(Т402[[#This Row],[СО ПП]]-Т402[[#This Row],[СО ДДУ]],"")</f>
        <v>9.3132257461547852E-10</v>
      </c>
      <c r="BC99" s="487" cm="1">
        <f t="array" ref="BC99">IFERROR(INDEX(РД[S],MATCH($AU$3&amp;Т402[[#This Row],[№]]&amp;"Продажа",РД[Дом]&amp;РД[№ кв]&amp;РД[Состояние],0),1),Т402[[#This Row],[Статус]])</f>
        <v>36.64</v>
      </c>
      <c r="BD99" s="483">
        <f>_xlfn.XLOOKUP(Т402[[#This Row],[№]],Д402[№],Д402[Расчетная проектная площадь],"-",0)</f>
        <v>36.64</v>
      </c>
      <c r="BE99" s="485">
        <f>IFERROR(Т402[[#This Row],[S ПП]]-Т402[[#This Row],[S ДДУ]],"")</f>
        <v>0</v>
      </c>
      <c r="BF99" s="485">
        <f>_xlfn.XLOOKUP(Т402[[#This Row],[№]],Д402[№],Д402[Итоговая сумма скидки],"-",0)</f>
        <v>95394</v>
      </c>
      <c r="BG99" s="486" cm="1">
        <f t="array" ref="BG99">IFERROR(ROUND(_xlfn.XLOOKUP($AU$3&amp;Т402[[#This Row],[№]]&amp;"Продажа",РД[Дом]&amp;РД[№ кв]&amp;РД[Состояние],РД[Сумма скидки],"",0),2),Т402[[#This Row],[Статус]])</f>
        <v>95394</v>
      </c>
      <c r="BH99" s="488">
        <f>IFERROR(Т402[[#This Row],[ППС]]-Т402[[#This Row],[ДДУС]],"")</f>
        <v>0</v>
      </c>
    </row>
    <row r="100" spans="1:60" x14ac:dyDescent="0.2">
      <c r="A100" s="611"/>
      <c r="B100" s="234">
        <f>VLOOKUP(ППД4!A97,Реестр_Д4[№],1,0)</f>
        <v>96</v>
      </c>
      <c r="C100" s="234" t="str">
        <f>VLOOKUP(ППД4!CO97,Реестр_Д4[Статус],1,0)</f>
        <v>Продажа</v>
      </c>
      <c r="D100" s="612">
        <f>VLOOKUP(ППД4!CE97,Реестр_Д4[Стоимость ОН без отделки со скидкой],1,0)</f>
        <v>3054800</v>
      </c>
      <c r="E100" s="612" cm="1">
        <f t="array" ref="E100">IFERROR(INDEX(РД[Стоимость без отделки итог],MATCH($B$3&amp;Таблица4[[#This Row],[№]]&amp;"Продажа",РД[Дом]&amp;РД[№ кв]&amp;РД[Состояние],0),1),Таблица4[[#This Row],[Статус]])</f>
        <v>3054800</v>
      </c>
      <c r="F100" s="235">
        <f>IFERROR((Таблица4[[#This Row],[ПП]]-Таблица4[[#This Row],[ДДУ]])*1,"")</f>
        <v>0</v>
      </c>
      <c r="G100" s="235" cm="1">
        <f t="array" ref="G100">IFERROR(INDEX(РД[Стоимость с отделкой итог],MATCH($B$3&amp;Таблица4[[#This Row],[№]]&amp;"Продажа",РД[Дом]&amp;РД[№ кв]&amp;РД[Состояние],0),1),Таблица4[[#This Row],[Статус]])</f>
        <v>3532860</v>
      </c>
      <c r="H100" s="235">
        <f>_xlfn.XLOOKUP(Таблица4[[#This Row],[№]],Реестр_Д4[№],Реестр_Д4[Стоимость квартиры с отделкой],"-",0)</f>
        <v>3532860</v>
      </c>
      <c r="I100" s="235">
        <f>IFERROR(Таблица4[[#This Row],[СО ПП]]-Таблица4[[#This Row],[СО ДДУ]],"")</f>
        <v>0</v>
      </c>
      <c r="J100" s="233" cm="1">
        <f t="array" ref="J100">IFERROR(INDEX(РД[S],MATCH($B$3&amp;Таблица4[[#This Row],[№]]&amp;"Продажа",РД[Дом]&amp;РД[№ кв]&amp;РД[Состояние],0),1),Таблица4[[#This Row],[Статус]])</f>
        <v>21.73</v>
      </c>
      <c r="K100" s="233">
        <f>VLOOKUP(Таблица4[[#This Row],[№]],Реестр_Д4[],20,0)</f>
        <v>21.73</v>
      </c>
      <c r="L100" s="235">
        <f>IFERROR(Таблица4[[#This Row],[S ПП]]-Таблица4[[#This Row],[S ДДУ]],)</f>
        <v>0</v>
      </c>
      <c r="M100" s="235">
        <f>ROUND(_xlfn.XLOOKUP(Таблица4[[#This Row],[№]],Реестр_Д4[№],Реестр_Д4[Итоговая сумма скидки],"",0),2)</f>
        <v>0</v>
      </c>
      <c r="N100" s="235" cm="1">
        <f t="array" ref="N10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0" s="235">
        <f>IFERROR(Таблица4[[#This Row],[ППС]]-Таблица4[[#This Row],[ДДУС]],)</f>
        <v>0</v>
      </c>
      <c r="P100" s="611"/>
      <c r="Q100" s="234">
        <f>VLOOKUP(ППД5!A97,Реестр_Д5[№],1,0)</f>
        <v>96</v>
      </c>
      <c r="R100" s="234" t="str">
        <f>VLOOKUP(ППД5!CH97,Реестр_Д5[Статус],1,0)</f>
        <v>Продажа</v>
      </c>
      <c r="S100" s="612">
        <f>VLOOKUP(ППД5!BZ97,Реестр_Д5[Стоимость ОН без отделки со скидкой],1,0)</f>
        <v>5876357</v>
      </c>
      <c r="T100" s="612" cm="1">
        <f t="array" ref="T100">IFERROR(INDEX(РД[Стоимость без отделки итог],MATCH($Q$3&amp;Таблица10[[#This Row],[№]]&amp;"Продажа",РД[Дом]&amp;РД[№ кв]&amp;РД[Состояние],0),1),Таблица10[[#This Row],[Статус]])</f>
        <v>5876357</v>
      </c>
      <c r="U100" s="235">
        <f>IFERROR((Таблица10[[#This Row],[ПП]]-Таблица10[[#This Row],[ДДУ]])*1,)</f>
        <v>0</v>
      </c>
      <c r="V100" s="235" cm="1">
        <f t="array" ref="V100">IFERROR(INDEX(РД[Стоимость с отделкой итог],MATCH($Q$3&amp;Таблица10[[#This Row],[№]]&amp;"Продажа",РД[Дом]&amp;РД[№ кв]&amp;РД[Состояние],0),1),Таблица10[[#This Row],[Статус]])</f>
        <v>6341637</v>
      </c>
      <c r="W100" s="235">
        <f>_xlfn.XLOOKUP(Таблица10[[#This Row],[№]],Реестр_Д5[№],Реестр_Д5[Стоимость квартиры с отделкой],"-",0)</f>
        <v>6341637</v>
      </c>
      <c r="X100" s="235">
        <f>IFERROR(Таблица10[[#This Row],[СО ПП]]-Таблица10[[#This Row],[СО ДДУ]],"")</f>
        <v>0</v>
      </c>
      <c r="Y100" s="233" cm="1">
        <f t="array" ref="Y100">IFERROR(INDEX(РД[S],MATCH($Q$3&amp;Таблица10[[#This Row],[№]]&amp;"Продажа",РД[Дом]&amp;РД[№ кв]&amp;РД[Состояние],0),1),Таблица10[[#This Row],[Статус]])</f>
        <v>58.16</v>
      </c>
      <c r="Z100" s="233">
        <f>IF(Таблица10[[#This Row],[№]]&amp;"ДДУ"=ППД5!A97&amp;ППД5!CR97,ППД5!U97,ППД5!V97)</f>
        <v>58.16</v>
      </c>
      <c r="AA100" s="285">
        <f>IFERROR(Таблица10[[#This Row],[S ПП]]-Таблица10[[#This Row],[S ДДУ]],)</f>
        <v>0</v>
      </c>
      <c r="AB100" s="235">
        <f>ROUND(_xlfn.XLOOKUP(Таблица10[[#This Row],[№]],Реестр_Д5[№],Реестр_Д5[Итоговая сумма скидки],"",0),2)</f>
        <v>181743</v>
      </c>
      <c r="AC100" s="235" cm="1">
        <f t="array" ref="AC100">IFERROR(ROUND(_xlfn.XLOOKUP($Q$3&amp;Таблица10[[#This Row],[№]]&amp;"Продажа",РД[Дом]&amp;РД[№ кв]&amp;РД[Состояние],РД[Сумма скидки],"",0,-1),2),Таблица10[[#This Row],[Статус]])</f>
        <v>181743</v>
      </c>
      <c r="AD100" s="285">
        <f>IFERROR(Таблица10[[#This Row],[ППС]]-Таблица10[[#This Row],[ДДУС]],)</f>
        <v>0</v>
      </c>
      <c r="AE100" s="611"/>
      <c r="AF100" s="615">
        <f>VLOOKUP(ППД401!A97,Д401[],1,0)</f>
        <v>96</v>
      </c>
      <c r="AG100" s="234" t="str">
        <f>_xlfn.XLOOKUP(Таблица1[[#This Row],[№]],Д401[№],Д401[Статус],"-",0)</f>
        <v>Продажа</v>
      </c>
      <c r="AH100" s="612">
        <f>_xlfn.XLOOKUP(Таблица1[[#This Row],[№]],Д401[№],Д401[Стоимость ОН без отделки со скидкой],"-",0)</f>
        <v>6066592</v>
      </c>
      <c r="AI100" s="612" cm="1">
        <f t="array" ref="AI100">IFERROR(INDEX(РД[Стоимость без отделки итог],MATCH($AF$3&amp;Таблица1[[#This Row],[№]]&amp;"Продажа",РД[Дом]&amp;РД[№ кв]&amp;РД[Состояние],0),1),Таблица1[[#This Row],[Статус]])</f>
        <v>6066592</v>
      </c>
      <c r="AJ100" s="235">
        <f>IFERROR((Таблица1[[#This Row],[ПП]]-Таблица1[[#This Row],[ДДУ]])*1,"")</f>
        <v>0</v>
      </c>
      <c r="AK100" s="235" cm="1">
        <f t="array" ref="AK100">IFERROR(INDEX(РД[Стоимость с отделкой итог],MATCH($AF$3&amp;Таблица1[[#This Row],[№]]&amp;"Продажа",РД[Дом]&amp;РД[№ кв]&amp;РД[Состояние],0),1),Таблица1[[#This Row],[Статус]])</f>
        <v>6066592</v>
      </c>
      <c r="AL100" s="235">
        <f>_xlfn.XLOOKUP(Таблица1[[#This Row],[№]],Д401[№],Д401[Стоимость квартиры с отделкой],"-",0)</f>
        <v>6066592</v>
      </c>
      <c r="AM100" s="235">
        <f>IFERROR(Таблица1[[#This Row],[СО ПП]]-Таблица1[[#This Row],[СО ДДУ]],"")</f>
        <v>0</v>
      </c>
      <c r="AN100" s="233" cm="1">
        <f t="array" ref="AN100">IFERROR(INDEX(РД[S],MATCH($AF$3&amp;Таблица1[[#This Row],[№]]&amp;"Продажа",РД[Дом]&amp;РД[№ кв]&amp;РД[Состояние],0),1),Таблица1[[#This Row],[Статус]])</f>
        <v>49.2</v>
      </c>
      <c r="AO100" s="233">
        <f>_xlfn.XLOOKUP(Таблица1[[#This Row],[№]],Д401[№],Д401[Расчетная проектная площадь],"-",0)</f>
        <v>49.39</v>
      </c>
      <c r="AP100" s="680">
        <f>IFERROR(Таблица1[[#This Row],[S ПП]]-Таблица1[[#This Row],[S ДДУ]],"")</f>
        <v>0.18999999999999773</v>
      </c>
      <c r="AQ100" s="235">
        <f>_xlfn.XLOOKUP(Таблица1[[#This Row],[№]],Д401[№],Д401[Итоговая сумма скидки],"-",0)</f>
        <v>123808</v>
      </c>
      <c r="AR100" s="235" cm="1">
        <f t="array" ref="AR100">IFERROR(ROUND(_xlfn.XLOOKUP($AF$3&amp;Таблица1[[#This Row],[№]]&amp;"Продажа",РД[Дом]&amp;РД[№ кв]&amp;РД[Состояние],РД[Сумма скидки],"",0),2),Таблица1[[#This Row],[Статус]])</f>
        <v>123808</v>
      </c>
      <c r="AS100" s="285">
        <f>IFERROR(Таблица1[[#This Row],[ППС]]-Таблица1[[#This Row],[ДДУС]],"")</f>
        <v>0</v>
      </c>
      <c r="AT100" s="611"/>
      <c r="AU100" s="484">
        <f>VLOOKUP(ППД402!A97,Д402[],1,0)</f>
        <v>96</v>
      </c>
      <c r="AV100" s="484" t="str">
        <f>_xlfn.XLOOKUP(Т402[[#This Row],[№]],Д402[№],Д402[Статус],"-",0)</f>
        <v>Свободно</v>
      </c>
      <c r="AW100" s="613">
        <f>_xlfn.XLOOKUP(Т402[[#This Row],[№]],Д402[№],Д402[Стоимость ОН без отделки со скидкой],"-",0)</f>
        <v>5713400</v>
      </c>
      <c r="AX100" s="614" t="str" cm="1">
        <f t="array" ref="AX100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00" s="485" t="str">
        <f>IFERROR((Т402[[#This Row],[ПП]]-Т402[[#This Row],[ДДУ]])*1,"")</f>
        <v/>
      </c>
      <c r="AZ100" s="486" t="str" cm="1">
        <f t="array" ref="AZ100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00" s="485">
        <f>_xlfn.XLOOKUP(Т402[[#This Row],[№]],Д402[№],Д402[Стоимость квартиры с отделкой],"-",0)</f>
        <v>7060400</v>
      </c>
      <c r="BB100" s="485" t="str">
        <f>IFERROR(Т402[[#This Row],[СО ПП]]-Т402[[#This Row],[СО ДДУ]],"")</f>
        <v/>
      </c>
      <c r="BC100" s="487" t="str" cm="1">
        <f t="array" ref="BC100">IFERROR(INDEX(РД[S],MATCH($AU$3&amp;Т402[[#This Row],[№]]&amp;"Продажа",РД[Дом]&amp;РД[№ кв]&amp;РД[Состояние],0),1),Т402[[#This Row],[Статус]])</f>
        <v>Свободно</v>
      </c>
      <c r="BD100" s="483">
        <f>_xlfn.XLOOKUP(Т402[[#This Row],[№]],Д402[№],Д402[Расчетная проектная площадь],"-",0)</f>
        <v>44.9</v>
      </c>
      <c r="BE100" s="485" t="str">
        <f>IFERROR(Т402[[#This Row],[S ПП]]-Т402[[#This Row],[S ДДУ]],"")</f>
        <v/>
      </c>
      <c r="BF100" s="485">
        <f>_xlfn.XLOOKUP(Т402[[#This Row],[№]],Д402[№],Д402[Итоговая сумма скидки],"-",0)</f>
        <v>0</v>
      </c>
      <c r="BG100" s="486" t="str" cm="1">
        <f t="array" ref="BG100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00" s="488" t="str">
        <f>IFERROR(Т402[[#This Row],[ППС]]-Т402[[#This Row],[ДДУС]],"")</f>
        <v/>
      </c>
    </row>
    <row r="101" spans="1:60" x14ac:dyDescent="0.2">
      <c r="A101" s="611"/>
      <c r="B101" s="234">
        <f>VLOOKUP(ППД4!A98,Реестр_Д4[№],1,0)</f>
        <v>97</v>
      </c>
      <c r="C101" s="234" t="str">
        <f>VLOOKUP(ППД4!CO98,Реестр_Д4[Статус],1,0)</f>
        <v>Продажа</v>
      </c>
      <c r="D101" s="612">
        <f>VLOOKUP(ППД4!CE98,Реестр_Д4[Стоимость ОН без отделки со скидкой],1,0)</f>
        <v>3565439.33</v>
      </c>
      <c r="E101" s="612" cm="1">
        <f t="array" ref="E101">IFERROR(INDEX(РД[Стоимость без отделки итог],MATCH($B$3&amp;Таблица4[[#This Row],[№]]&amp;"Продажа",РД[Дом]&amp;РД[№ кв]&amp;РД[Состояние],0),1),Таблица4[[#This Row],[Статус]])</f>
        <v>3565439.33</v>
      </c>
      <c r="F101" s="235">
        <f>IFERROR((Таблица4[[#This Row],[ПП]]-Таблица4[[#This Row],[ДДУ]])*1,"")</f>
        <v>0</v>
      </c>
      <c r="G101" s="235" cm="1">
        <f t="array" ref="G101">IFERROR(INDEX(РД[Стоимость с отделкой итог],MATCH($B$3&amp;Таблица4[[#This Row],[№]]&amp;"Продажа",РД[Дом]&amp;РД[№ кв]&amp;РД[Состояние],0),1),Таблица4[[#This Row],[Статус]])</f>
        <v>4303099.33</v>
      </c>
      <c r="H101" s="235">
        <f>_xlfn.XLOOKUP(Таблица4[[#This Row],[№]],Реестр_Д4[№],Реестр_Д4[Стоимость квартиры с отделкой],"-",0)</f>
        <v>4303099.33</v>
      </c>
      <c r="I101" s="235">
        <f>IFERROR(Таблица4[[#This Row],[СО ПП]]-Таблица4[[#This Row],[СО ДДУ]],"")</f>
        <v>0</v>
      </c>
      <c r="J101" s="233" cm="1">
        <f t="array" ref="J101">IFERROR(INDEX(РД[S],MATCH($B$3&amp;Таблица4[[#This Row],[№]]&amp;"Продажа",РД[Дом]&amp;РД[№ кв]&amp;РД[Состояние],0),1),Таблица4[[#This Row],[Статус]])</f>
        <v>33.53</v>
      </c>
      <c r="K101" s="233">
        <f>VLOOKUP(Таблица4[[#This Row],[№]],Реестр_Д4[],20,0)</f>
        <v>33.53</v>
      </c>
      <c r="L101" s="235">
        <f>IFERROR(Таблица4[[#This Row],[S ПП]]-Таблица4[[#This Row],[S ДДУ]],)</f>
        <v>0</v>
      </c>
      <c r="M101" s="235">
        <f>ROUND(_xlfn.XLOOKUP(Таблица4[[#This Row],[№]],Реестр_Д4[№],Реестр_Д4[Итоговая сумма скидки],"",0),2)</f>
        <v>227581.23</v>
      </c>
      <c r="N101" s="235" cm="1">
        <f t="array" ref="N101">IFERROR(ROUND(_xlfn.XLOOKUP($B$3&amp;Таблица4[[#This Row],[№]]&amp;"Продажа",РД[Дом]&amp;РД[№ кв]&amp;РД[Состояние],РД[Сумма скидки],"",0),2),Таблица4[[#This Row],[Статус]])</f>
        <v>227581.23</v>
      </c>
      <c r="O101" s="235">
        <f>IFERROR(Таблица4[[#This Row],[ППС]]-Таблица4[[#This Row],[ДДУС]],)</f>
        <v>0</v>
      </c>
      <c r="P101" s="611"/>
      <c r="Q101" s="234">
        <f>VLOOKUP(ППД5!A98,Реестр_Д5[№],1,0)</f>
        <v>97</v>
      </c>
      <c r="R101" s="234" t="str">
        <f>VLOOKUP(ППД5!CH98,Реестр_Д5[Статус],1,0)</f>
        <v>Продажа</v>
      </c>
      <c r="S101" s="612">
        <f>VLOOKUP(ППД5!BZ98,Реестр_Д5[Стоимость ОН без отделки со скидкой],1,0)</f>
        <v>5423200</v>
      </c>
      <c r="T101" s="612" cm="1">
        <f t="array" ref="T101">IFERROR(INDEX(РД[Стоимость без отделки итог],MATCH($Q$3&amp;Таблица10[[#This Row],[№]]&amp;"Продажа",РД[Дом]&amp;РД[№ кв]&amp;РД[Состояние],0),1),Таблица10[[#This Row],[Статус]])</f>
        <v>5423200</v>
      </c>
      <c r="U101" s="235">
        <f>IFERROR((Таблица10[[#This Row],[ПП]]-Таблица10[[#This Row],[ДДУ]])*1,)</f>
        <v>0</v>
      </c>
      <c r="V101" s="235" cm="1">
        <f t="array" ref="V101">IFERROR(INDEX(РД[Стоимость с отделкой итог],MATCH($Q$3&amp;Таблица10[[#This Row],[№]]&amp;"Продажа",РД[Дом]&amp;РД[№ кв]&amp;РД[Состояние],0),1),Таблица10[[#This Row],[Статус]])</f>
        <v>5850700</v>
      </c>
      <c r="W101" s="235">
        <f>_xlfn.XLOOKUP(Таблица10[[#This Row],[№]],Реестр_Д5[№],Реестр_Д5[Стоимость квартиры с отделкой],"-",0)</f>
        <v>5850700</v>
      </c>
      <c r="X101" s="235">
        <f>IFERROR(Таблица10[[#This Row],[СО ПП]]-Таблица10[[#This Row],[СО ДДУ]],"")</f>
        <v>0</v>
      </c>
      <c r="Y101" s="233" cm="1">
        <f t="array" ref="Y101">IFERROR(INDEX(РД[S],MATCH($Q$3&amp;Таблица10[[#This Row],[№]]&amp;"Продажа",РД[Дом]&amp;РД[№ кв]&amp;РД[Состояние],0),1),Таблица10[[#This Row],[Статус]])</f>
        <v>42.75</v>
      </c>
      <c r="Z101" s="233">
        <f>IF(Таблица10[[#This Row],[№]]&amp;"ДДУ"=ППД5!A98&amp;ППД5!CR98,ППД5!U98,ППД5!V98)</f>
        <v>42.75</v>
      </c>
      <c r="AA101" s="285">
        <f>IFERROR(Таблица10[[#This Row],[S ПП]]-Таблица10[[#This Row],[S ДДУ]],)</f>
        <v>0</v>
      </c>
      <c r="AB101" s="235">
        <f>ROUND(_xlfn.XLOOKUP(Таблица10[[#This Row],[№]],Реестр_Д5[№],Реестр_Д5[Итоговая сумма скидки],"",0),2)</f>
        <v>342000</v>
      </c>
      <c r="AC101" s="235" cm="1">
        <f t="array" ref="AC101">IFERROR(ROUND(_xlfn.XLOOKUP($Q$3&amp;Таблица10[[#This Row],[№]]&amp;"Продажа",РД[Дом]&amp;РД[№ кв]&amp;РД[Состояние],РД[Сумма скидки],"",0,-1),2),Таблица10[[#This Row],[Статус]])</f>
        <v>342000</v>
      </c>
      <c r="AD101" s="285">
        <f>IFERROR(Таблица10[[#This Row],[ППС]]-Таблица10[[#This Row],[ДДУС]],)</f>
        <v>0</v>
      </c>
      <c r="AE101" s="611"/>
      <c r="AF101" s="615">
        <f>VLOOKUP(ППД401!A98,Д401[],1,0)</f>
        <v>97</v>
      </c>
      <c r="AG101" s="234" t="str">
        <f>_xlfn.XLOOKUP(Таблица1[[#This Row],[№]],Д401[№],Д401[Статус],"-",0)</f>
        <v>Свободно</v>
      </c>
      <c r="AH101" s="612">
        <f>_xlfn.XLOOKUP(Таблица1[[#This Row],[№]],Д401[№],Д401[Стоимость ОН без отделки со скидкой],"-",0)</f>
        <v>9350000</v>
      </c>
      <c r="AI101" s="612" t="str" cm="1">
        <f t="array" ref="AI101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101" s="235" t="str">
        <f>IFERROR((Таблица1[[#This Row],[ПП]]-Таблица1[[#This Row],[ДДУ]])*1,"")</f>
        <v/>
      </c>
      <c r="AK101" s="235" t="str" cm="1">
        <f t="array" ref="AK101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101" s="235">
        <f>_xlfn.XLOOKUP(Таблица1[[#This Row],[№]],Д401[№],Д401[Стоимость квартиры с отделкой],"-",0)</f>
        <v>9350000</v>
      </c>
      <c r="AM101" s="235" t="str">
        <f>IFERROR(Таблица1[[#This Row],[СО ПП]]-Таблица1[[#This Row],[СО ДДУ]],"")</f>
        <v/>
      </c>
      <c r="AN101" s="233" t="str" cm="1">
        <f t="array" ref="AN101">IFERROR(INDEX(РД[S],MATCH($AF$3&amp;Таблица1[[#This Row],[№]]&amp;"Продажа",РД[Дом]&amp;РД[№ кв]&amp;РД[Состояние],0),1),Таблица1[[#This Row],[Статус]])</f>
        <v>Свободно</v>
      </c>
      <c r="AO101" s="233">
        <f>_xlfn.XLOOKUP(Таблица1[[#This Row],[№]],Д401[№],Д401[Расчетная проектная площадь],"-",0)</f>
        <v>74.8</v>
      </c>
      <c r="AP101" s="235" t="str">
        <f>IFERROR(Таблица1[[#This Row],[S ПП]]-Таблица1[[#This Row],[S ДДУ]],"")</f>
        <v/>
      </c>
      <c r="AQ101" s="235">
        <f>_xlfn.XLOOKUP(Таблица1[[#This Row],[№]],Д401[№],Д401[Итоговая сумма скидки],"-",0)</f>
        <v>0</v>
      </c>
      <c r="AR101" s="235" t="str" cm="1">
        <f t="array" ref="AR101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101" s="285" t="str">
        <f>IFERROR(Таблица1[[#This Row],[ППС]]-Таблица1[[#This Row],[ДДУС]],"")</f>
        <v/>
      </c>
      <c r="AT101" s="611"/>
      <c r="AU101" s="484">
        <f>VLOOKUP(ППД402!A98,Д402[],1,0)</f>
        <v>97</v>
      </c>
      <c r="AV101" s="484" t="str">
        <f>_xlfn.XLOOKUP(Т402[[#This Row],[№]],Д402[№],Д402[Статус],"-",0)</f>
        <v>Свободно</v>
      </c>
      <c r="AW101" s="613">
        <f>_xlfn.XLOOKUP(Т402[[#This Row],[№]],Д402[№],Д402[Стоимость ОН без отделки со скидкой],"-",0)</f>
        <v>4232400</v>
      </c>
      <c r="AX101" s="614" t="str" cm="1">
        <f t="array" ref="AX10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01" s="485" t="str">
        <f>IFERROR((Т402[[#This Row],[ПП]]-Т402[[#This Row],[ДДУ]])*1,"")</f>
        <v/>
      </c>
      <c r="AZ101" s="486" t="str" cm="1">
        <f t="array" ref="AZ10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01" s="485">
        <f>_xlfn.XLOOKUP(Т402[[#This Row],[№]],Д402[№],Д402[Стоимость квартиры с отделкой],"-",0)</f>
        <v>4232400</v>
      </c>
      <c r="BB101" s="485" t="str">
        <f>IFERROR(Т402[[#This Row],[СО ПП]]-Т402[[#This Row],[СО ДДУ]],"")</f>
        <v/>
      </c>
      <c r="BC101" s="487" t="str" cm="1">
        <f t="array" ref="BC101">IFERROR(INDEX(РД[S],MATCH($AU$3&amp;Т402[[#This Row],[№]]&amp;"Продажа",РД[Дом]&amp;РД[№ кв]&amp;РД[Состояние],0),1),Т402[[#This Row],[Статус]])</f>
        <v>Свободно</v>
      </c>
      <c r="BD101" s="483">
        <f>_xlfn.XLOOKUP(Т402[[#This Row],[№]],Д402[№],Д402[Расчетная проектная площадь],"-",0)</f>
        <v>29.4</v>
      </c>
      <c r="BE101" s="485" t="str">
        <f>IFERROR(Т402[[#This Row],[S ПП]]-Т402[[#This Row],[S ДДУ]],"")</f>
        <v/>
      </c>
      <c r="BF101" s="485">
        <f>_xlfn.XLOOKUP(Т402[[#This Row],[№]],Д402[№],Д402[Итоговая сумма скидки],"-",0)</f>
        <v>0</v>
      </c>
      <c r="BG101" s="486" t="str" cm="1">
        <f t="array" ref="BG10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01" s="488" t="str">
        <f>IFERROR(Т402[[#This Row],[ППС]]-Т402[[#This Row],[ДДУС]],"")</f>
        <v/>
      </c>
    </row>
    <row r="102" spans="1:60" x14ac:dyDescent="0.2">
      <c r="A102" s="611"/>
      <c r="B102" s="234">
        <f>VLOOKUP(ППД4!A99,Реестр_Д4[№],1,0)</f>
        <v>98</v>
      </c>
      <c r="C102" s="234" t="str">
        <f>VLOOKUP(ППД4!CO99,Реестр_Д4[Статус],1,0)</f>
        <v>Продажа</v>
      </c>
      <c r="D102" s="612">
        <f>VLOOKUP(ППД4!CE99,Реестр_Д4[Стоимость ОН без отделки со скидкой],1,0)</f>
        <v>5806206</v>
      </c>
      <c r="E102" s="612" cm="1">
        <f t="array" ref="E102">IFERROR(INDEX(РД[Стоимость без отделки итог],MATCH($B$3&amp;Таблица4[[#This Row],[№]]&amp;"Продажа",РД[Дом]&amp;РД[№ кв]&amp;РД[Состояние],0),1),Таблица4[[#This Row],[Статус]])</f>
        <v>5806206</v>
      </c>
      <c r="F102" s="235">
        <f>IFERROR((Таблица4[[#This Row],[ПП]]-Таблица4[[#This Row],[ДДУ]])*1,"")</f>
        <v>0</v>
      </c>
      <c r="G102" s="235" cm="1">
        <f t="array" ref="G102">IFERROR(INDEX(РД[Стоимость с отделкой итог],MATCH($B$3&amp;Таблица4[[#This Row],[№]]&amp;"Продажа",РД[Дом]&amp;РД[№ кв]&amp;РД[Состояние],0),1),Таблица4[[#This Row],[Статус]])</f>
        <v>5806206</v>
      </c>
      <c r="H102" s="235">
        <f>_xlfn.XLOOKUP(Таблица4[[#This Row],[№]],Реестр_Д4[№],Реестр_Д4[Стоимость квартиры с отделкой],"-",0)</f>
        <v>5806206</v>
      </c>
      <c r="I102" s="235">
        <f>IFERROR(Таблица4[[#This Row],[СО ПП]]-Таблица4[[#This Row],[СО ДДУ]],"")</f>
        <v>0</v>
      </c>
      <c r="J102" s="233" cm="1">
        <f t="array" ref="J102">IFERROR(INDEX(РД[S],MATCH($B$3&amp;Таблица4[[#This Row],[№]]&amp;"Продажа",РД[Дом]&amp;РД[№ кв]&amp;РД[Состояние],0),1),Таблица4[[#This Row],[Статус]])</f>
        <v>61.76</v>
      </c>
      <c r="K102" s="233">
        <f>VLOOKUP(Таблица4[[#This Row],[№]],Реестр_Д4[],20,0)</f>
        <v>61.76</v>
      </c>
      <c r="L102" s="235">
        <f>IFERROR(Таблица4[[#This Row],[S ПП]]-Таблица4[[#This Row],[S ДДУ]],)</f>
        <v>0</v>
      </c>
      <c r="M102" s="235">
        <f>ROUND(_xlfn.XLOOKUP(Таблица4[[#This Row],[№]],Реестр_Д4[№],Реестр_Д4[Итоговая сумма скидки],"",0),2)</f>
        <v>118494</v>
      </c>
      <c r="N102" s="235" cm="1">
        <f t="array" ref="N102">IFERROR(ROUND(_xlfn.XLOOKUP($B$3&amp;Таблица4[[#This Row],[№]]&amp;"Продажа",РД[Дом]&amp;РД[№ кв]&amp;РД[Состояние],РД[Сумма скидки],"",0),2),Таблица4[[#This Row],[Статус]])</f>
        <v>118494</v>
      </c>
      <c r="O102" s="235">
        <f>IFERROR(Таблица4[[#This Row],[ППС]]-Таблица4[[#This Row],[ДДУС]],)</f>
        <v>0</v>
      </c>
      <c r="P102" s="611"/>
      <c r="Q102" s="234">
        <f>VLOOKUP(ППД5!A99,Реестр_Д5[№],1,0)</f>
        <v>98</v>
      </c>
      <c r="R102" s="234" t="str">
        <f>VLOOKUP(ППД5!CH99,Реестр_Д5[Статус],1,0)</f>
        <v>Продажа</v>
      </c>
      <c r="S102" s="612">
        <f>VLOOKUP(ППД5!BZ99,Реестр_Д5[Стоимость ОН без отделки со скидкой],1,0)</f>
        <v>4103900</v>
      </c>
      <c r="T102" s="612" cm="1">
        <f t="array" ref="T102">IFERROR(INDEX(РД[Стоимость без отделки итог],MATCH($Q$3&amp;Таблица10[[#This Row],[№]]&amp;"Продажа",РД[Дом]&amp;РД[№ кв]&amp;РД[Состояние],0),1),Таблица10[[#This Row],[Статус]])</f>
        <v>4103900</v>
      </c>
      <c r="U102" s="235">
        <f>IFERROR((Таблица10[[#This Row],[ПП]]-Таблица10[[#This Row],[ДДУ]])*1,)</f>
        <v>0</v>
      </c>
      <c r="V102" s="235" cm="1">
        <f t="array" ref="V102">IFERROR(INDEX(РД[Стоимость с отделкой итог],MATCH($Q$3&amp;Таблица10[[#This Row],[№]]&amp;"Продажа",РД[Дом]&amp;РД[№ кв]&amp;РД[Состояние],0),1),Таблица10[[#This Row],[Статус]])</f>
        <v>4103900</v>
      </c>
      <c r="W102" s="235">
        <f>_xlfn.XLOOKUP(Таблица10[[#This Row],[№]],Реестр_Д5[№],Реестр_Д5[Стоимость квартиры с отделкой],"-",0)</f>
        <v>4103900</v>
      </c>
      <c r="X102" s="235">
        <f>IFERROR(Таблица10[[#This Row],[СО ПП]]-Таблица10[[#This Row],[СО ДДУ]],"")</f>
        <v>0</v>
      </c>
      <c r="Y102" s="233" cm="1">
        <f t="array" ref="Y102">IFERROR(INDEX(РД[S],MATCH($Q$3&amp;Таблица10[[#This Row],[№]]&amp;"Продажа",РД[Дом]&amp;РД[№ кв]&amp;РД[Состояние],0),1),Таблица10[[#This Row],[Статус]])</f>
        <v>34.39</v>
      </c>
      <c r="Z102" s="233">
        <f>IF(Таблица10[[#This Row],[№]]&amp;"ДДУ"=ППД5!A99&amp;ППД5!CR99,ППД5!U99,ППД5!V99)</f>
        <v>34.39</v>
      </c>
      <c r="AA102" s="285">
        <f>IFERROR(Таблица10[[#This Row],[S ПП]]-Таблица10[[#This Row],[S ДДУ]],)</f>
        <v>0</v>
      </c>
      <c r="AB102" s="235">
        <f>ROUND(_xlfn.XLOOKUP(Таблица10[[#This Row],[№]],Реестр_Д5[№],Реестр_Д5[Итоговая сумма скидки],"",0),2)</f>
        <v>0</v>
      </c>
      <c r="AC102" s="235" cm="1">
        <f t="array" ref="AC10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02" s="285">
        <f>IFERROR(Таблица10[[#This Row],[ППС]]-Таблица10[[#This Row],[ДДУС]],)</f>
        <v>0</v>
      </c>
      <c r="AE102" s="611"/>
      <c r="AF102" s="615">
        <f>VLOOKUP(ППД401!A99,Д401[],1,0)</f>
        <v>98</v>
      </c>
      <c r="AG102" s="234" t="str">
        <f>_xlfn.XLOOKUP(Таблица1[[#This Row],[№]],Д401[№],Д401[Статус],"-",0)</f>
        <v>Свободно</v>
      </c>
      <c r="AH102" s="612">
        <f>_xlfn.XLOOKUP(Таблица1[[#This Row],[№]],Д401[№],Д401[Стоимость ОН без отделки со скидкой],"-",0)</f>
        <v>6751250</v>
      </c>
      <c r="AI102" s="612" t="str" cm="1">
        <f t="array" ref="AI102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102" s="235" t="str">
        <f>IFERROR((Таблица1[[#This Row],[ПП]]-Таблица1[[#This Row],[ДДУ]])*1,"")</f>
        <v/>
      </c>
      <c r="AK102" s="235" t="str" cm="1">
        <f t="array" ref="AK102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102" s="235">
        <f>_xlfn.XLOOKUP(Таблица1[[#This Row],[№]],Д401[№],Д401[Стоимость квартиры с отделкой],"-",0)</f>
        <v>6751250</v>
      </c>
      <c r="AM102" s="235" t="str">
        <f>IFERROR(Таблица1[[#This Row],[СО ПП]]-Таблица1[[#This Row],[СО ДДУ]],"")</f>
        <v/>
      </c>
      <c r="AN102" s="233" t="str" cm="1">
        <f t="array" ref="AN102">IFERROR(INDEX(РД[S],MATCH($AF$3&amp;Таблица1[[#This Row],[№]]&amp;"Продажа",РД[Дом]&amp;РД[№ кв]&amp;РД[Состояние],0),1),Таблица1[[#This Row],[Статус]])</f>
        <v>Свободно</v>
      </c>
      <c r="AO102" s="233">
        <f>_xlfn.XLOOKUP(Таблица1[[#This Row],[№]],Д401[№],Д401[Расчетная проектная площадь],"-",0)</f>
        <v>54.01</v>
      </c>
      <c r="AP102" s="235" t="str">
        <f>IFERROR(Таблица1[[#This Row],[S ПП]]-Таблица1[[#This Row],[S ДДУ]],"")</f>
        <v/>
      </c>
      <c r="AQ102" s="235">
        <f>_xlfn.XLOOKUP(Таблица1[[#This Row],[№]],Д401[№],Д401[Итоговая сумма скидки],"-",0)</f>
        <v>0</v>
      </c>
      <c r="AR102" s="235" t="str" cm="1">
        <f t="array" ref="AR102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102" s="285" t="str">
        <f>IFERROR(Таблица1[[#This Row],[ППС]]-Таблица1[[#This Row],[ДДУС]],"")</f>
        <v/>
      </c>
      <c r="AT102" s="611"/>
      <c r="AU102" s="484">
        <f>VLOOKUP(ППД402!A99,Д402[],1,0)</f>
        <v>98</v>
      </c>
      <c r="AV102" s="484" t="str">
        <f>_xlfn.XLOOKUP(Т402[[#This Row],[№]],Д402[№],Д402[Статус],"-",0)</f>
        <v>Стр. Резерв</v>
      </c>
      <c r="AW102" s="613">
        <f>_xlfn.XLOOKUP(Т402[[#This Row],[№]],Д402[№],Д402[Стоимость ОН без отделки со скидкой],"-",0)</f>
        <v>7623900</v>
      </c>
      <c r="AX102" s="614" t="str" cm="1">
        <f t="array" ref="AX10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02" s="485" t="str">
        <f>IFERROR((Т402[[#This Row],[ПП]]-Т402[[#This Row],[ДДУ]])*1,"")</f>
        <v/>
      </c>
      <c r="AZ102" s="486" t="str" cm="1">
        <f t="array" ref="AZ10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02" s="485">
        <f>_xlfn.XLOOKUP(Т402[[#This Row],[№]],Д402[№],Д402[Стоимость квартиры с отделкой],"-",0)</f>
        <v>7623900</v>
      </c>
      <c r="BB102" s="485" t="str">
        <f>IFERROR(Т402[[#This Row],[СО ПП]]-Т402[[#This Row],[СО ДДУ]],"")</f>
        <v/>
      </c>
      <c r="BC102" s="487" t="str" cm="1">
        <f t="array" ref="BC102">IFERROR(INDEX(РД[S],MATCH($AU$3&amp;Т402[[#This Row],[№]]&amp;"Продажа",РД[Дом]&amp;РД[№ кв]&amp;РД[Состояние],0),1),Т402[[#This Row],[Статус]])</f>
        <v>Стр. Резерв</v>
      </c>
      <c r="BD102" s="483">
        <f>_xlfn.XLOOKUP(Т402[[#This Row],[№]],Д402[№],Д402[Расчетная проектная площадь],"-",0)</f>
        <v>59.73</v>
      </c>
      <c r="BE102" s="485" t="str">
        <f>IFERROR(Т402[[#This Row],[S ПП]]-Т402[[#This Row],[S ДДУ]],"")</f>
        <v/>
      </c>
      <c r="BF102" s="485">
        <f>_xlfn.XLOOKUP(Т402[[#This Row],[№]],Д402[№],Д402[Итоговая сумма скидки],"-",0)</f>
        <v>0</v>
      </c>
      <c r="BG102" s="486" t="str" cm="1">
        <f t="array" ref="BG10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02" s="488" t="str">
        <f>IFERROR(Т402[[#This Row],[ППС]]-Т402[[#This Row],[ДДУС]],"")</f>
        <v/>
      </c>
    </row>
    <row r="103" spans="1:60" x14ac:dyDescent="0.2">
      <c r="A103" s="611"/>
      <c r="B103" s="234">
        <f>VLOOKUP(ППД4!A100,Реестр_Д4[№],1,0)</f>
        <v>99</v>
      </c>
      <c r="C103" s="234" t="str">
        <f>VLOOKUP(ППД4!CO100,Реестр_Д4[Статус],1,0)</f>
        <v>Продажа</v>
      </c>
      <c r="D103" s="612">
        <f>VLOOKUP(ППД4!CE100,Реестр_Д4[Стоимость ОН без отделки со скидкой],1,0)</f>
        <v>3406171.01</v>
      </c>
      <c r="E103" s="612" cm="1">
        <f t="array" ref="E103">IFERROR(INDEX(РД[Стоимость без отделки итог],MATCH($B$3&amp;Таблица4[[#This Row],[№]]&amp;"Продажа",РД[Дом]&amp;РД[№ кв]&amp;РД[Состояние],0),1),Таблица4[[#This Row],[Статус]])</f>
        <v>3406171.01</v>
      </c>
      <c r="F103" s="235">
        <f>IFERROR((Таблица4[[#This Row],[ПП]]-Таблица4[[#This Row],[ДДУ]])*1,"")</f>
        <v>0</v>
      </c>
      <c r="G103" s="235" cm="1">
        <f t="array" ref="G103">IFERROR(INDEX(РД[Стоимость с отделкой итог],MATCH($B$3&amp;Таблица4[[#This Row],[№]]&amp;"Продажа",РД[Дом]&amp;РД[№ кв]&amp;РД[Состояние],0),1),Таблица4[[#This Row],[Статус]])</f>
        <v>3566101.01</v>
      </c>
      <c r="H103" s="235">
        <f>_xlfn.XLOOKUP(Таблица4[[#This Row],[№]],Реестр_Д4[№],Реестр_Д4[Стоимость квартиры с отделкой],"-",0)</f>
        <v>3566101.01</v>
      </c>
      <c r="I103" s="235">
        <f>IFERROR(Таблица4[[#This Row],[СО ПП]]-Таблица4[[#This Row],[СО ДДУ]],"")</f>
        <v>0</v>
      </c>
      <c r="J103" s="233" cm="1">
        <f t="array" ref="J103">IFERROR(INDEX(РД[S],MATCH($B$3&amp;Таблица4[[#This Row],[№]]&amp;"Продажа",РД[Дом]&amp;РД[№ кв]&amp;РД[Состояние],0),1),Таблица4[[#This Row],[Статус]])</f>
        <v>35.54</v>
      </c>
      <c r="K103" s="233">
        <f>VLOOKUP(Таблица4[[#This Row],[№]],Реестр_Д4[],20,0)</f>
        <v>35.54</v>
      </c>
      <c r="L103" s="235">
        <f>IFERROR(Таблица4[[#This Row],[S ПП]]-Таблица4[[#This Row],[S ДДУ]],)</f>
        <v>0</v>
      </c>
      <c r="M103" s="235">
        <f>ROUND(_xlfn.XLOOKUP(Таблица4[[#This Row],[№]],Реестр_Д4[№],Реестр_Д4[Итоговая сумма скидки],"",0),2)</f>
        <v>0</v>
      </c>
      <c r="N103" s="235" cm="1">
        <f t="array" ref="N10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3" s="235">
        <f>IFERROR(Таблица4[[#This Row],[ППС]]-Таблица4[[#This Row],[ДДУС]],)</f>
        <v>0</v>
      </c>
      <c r="P103" s="611"/>
      <c r="Q103" s="234">
        <f>VLOOKUP(ППД5!A100,Реестр_Д5[№],1,0)</f>
        <v>99</v>
      </c>
      <c r="R103" s="234" t="str">
        <f>VLOOKUP(ППД5!CH100,Реестр_Д5[Статус],1,0)</f>
        <v>Продажа</v>
      </c>
      <c r="S103" s="612">
        <f>VLOOKUP(ППД5!BZ100,Реестр_Д5[Стоимость ОН без отделки со скидкой],1,0)</f>
        <v>6117100</v>
      </c>
      <c r="T103" s="612" cm="1">
        <f t="array" ref="T103">IFERROR(INDEX(РД[Стоимость без отделки итог],MATCH($Q$3&amp;Таблица10[[#This Row],[№]]&amp;"Продажа",РД[Дом]&amp;РД[№ кв]&amp;РД[Состояние],0),1),Таблица10[[#This Row],[Статус]])</f>
        <v>6117100</v>
      </c>
      <c r="U103" s="235">
        <f>IFERROR((Таблица10[[#This Row],[ПП]]-Таблица10[[#This Row],[ДДУ]])*1,)</f>
        <v>0</v>
      </c>
      <c r="V103" s="235" cm="1">
        <f t="array" ref="V103">IFERROR(INDEX(РД[Стоимость с отделкой итог],MATCH($Q$3&amp;Таблица10[[#This Row],[№]]&amp;"Продажа",РД[Дом]&amp;РД[№ кв]&amp;РД[Состояние],0),1),Таблица10[[#This Row],[Статус]])</f>
        <v>6596600</v>
      </c>
      <c r="W103" s="235">
        <f>_xlfn.XLOOKUP(Таблица10[[#This Row],[№]],Реестр_Д5[№],Реестр_Д5[Стоимость квартиры с отделкой],"-",0)</f>
        <v>6596600</v>
      </c>
      <c r="X103" s="235">
        <f>IFERROR(Таблица10[[#This Row],[СО ПП]]-Таблица10[[#This Row],[СО ДДУ]],"")</f>
        <v>0</v>
      </c>
      <c r="Y103" s="233" cm="1">
        <f t="array" ref="Y103">IFERROR(INDEX(РД[S],MATCH($Q$3&amp;Таблица10[[#This Row],[№]]&amp;"Продажа",РД[Дом]&amp;РД[№ кв]&amp;РД[Состояние],0),1),Таблица10[[#This Row],[Статус]])</f>
        <v>68.5</v>
      </c>
      <c r="Z103" s="233">
        <f>IF(Таблица10[[#This Row],[№]]&amp;"ДДУ"=ППД5!A100&amp;ППД5!CR100,ППД5!U100,ППД5!V100)</f>
        <v>68.5</v>
      </c>
      <c r="AA103" s="285">
        <f>IFERROR(Таблица10[[#This Row],[S ПП]]-Таблица10[[#This Row],[S ДДУ]],)</f>
        <v>0</v>
      </c>
      <c r="AB103" s="235">
        <f>ROUND(_xlfn.XLOOKUP(Таблица10[[#This Row],[№]],Реестр_Д5[№],Реестр_Д5[Итоговая сумма скидки],"",0),2)</f>
        <v>700000</v>
      </c>
      <c r="AC103" s="235" cm="1">
        <f t="array" ref="AC103">IFERROR(ROUND(_xlfn.XLOOKUP($Q$3&amp;Таблица10[[#This Row],[№]]&amp;"Продажа",РД[Дом]&amp;РД[№ кв]&amp;РД[Состояние],РД[Сумма скидки],"",0,-1),2),Таблица10[[#This Row],[Статус]])</f>
        <v>700000</v>
      </c>
      <c r="AD103" s="285">
        <f>IFERROR(Таблица10[[#This Row],[ППС]]-Таблица10[[#This Row],[ДДУС]],)</f>
        <v>0</v>
      </c>
      <c r="AE103" s="611"/>
      <c r="AF103" s="615">
        <f>VLOOKUP(ППД401!A100,Д401[],1,0)</f>
        <v>99</v>
      </c>
      <c r="AG103" s="234" t="str">
        <f>_xlfn.XLOOKUP(Таблица1[[#This Row],[№]],Д401[№],Д401[Статус],"-",0)</f>
        <v>Свободно</v>
      </c>
      <c r="AH103" s="612">
        <f>_xlfn.XLOOKUP(Таблица1[[#This Row],[№]],Д401[№],Д401[Стоимость ОН без отделки со скидкой],"-",0)</f>
        <v>4904400</v>
      </c>
      <c r="AI103" s="612" t="str" cm="1">
        <f t="array" ref="AI103">IFERROR(INDEX(РД[Стоимость без отделки итог],MATCH($AF$3&amp;Таблица1[[#This Row],[№]]&amp;"Продажа",РД[Дом]&amp;РД[№ кв]&amp;РД[Состояние],0),1),Таблица1[[#This Row],[Статус]])</f>
        <v>Свободно</v>
      </c>
      <c r="AJ103" s="235" t="str">
        <f>IFERROR((Таблица1[[#This Row],[ПП]]-Таблица1[[#This Row],[ДДУ]])*1,"")</f>
        <v/>
      </c>
      <c r="AK103" s="235" t="str" cm="1">
        <f t="array" ref="AK103">IFERROR(INDEX(РД[Стоимость с отделкой итог],MATCH($AF$3&amp;Таблица1[[#This Row],[№]]&amp;"Продажа",РД[Дом]&amp;РД[№ кв]&amp;РД[Состояние],0),1),Таблица1[[#This Row],[Статус]])</f>
        <v>Свободно</v>
      </c>
      <c r="AL103" s="235">
        <f>_xlfn.XLOOKUP(Таблица1[[#This Row],[№]],Д401[№],Д401[Стоимость квартиры с отделкой],"-",0)</f>
        <v>4904400</v>
      </c>
      <c r="AM103" s="235" t="str">
        <f>IFERROR(Таблица1[[#This Row],[СО ПП]]-Таблица1[[#This Row],[СО ДДУ]],"")</f>
        <v/>
      </c>
      <c r="AN103" s="233" t="str" cm="1">
        <f t="array" ref="AN103">IFERROR(INDEX(РД[S],MATCH($AF$3&amp;Таблица1[[#This Row],[№]]&amp;"Продажа",РД[Дом]&amp;РД[№ кв]&amp;РД[Состояние],0),1),Таблица1[[#This Row],[Статус]])</f>
        <v>Свободно</v>
      </c>
      <c r="AO103" s="233">
        <f>_xlfn.XLOOKUP(Таблица1[[#This Row],[№]],Д401[№],Д401[Расчетная проектная площадь],"-",0)</f>
        <v>35.590000000000003</v>
      </c>
      <c r="AP103" s="235" t="str">
        <f>IFERROR(Таблица1[[#This Row],[S ПП]]-Таблица1[[#This Row],[S ДДУ]],"")</f>
        <v/>
      </c>
      <c r="AQ103" s="235">
        <f>_xlfn.XLOOKUP(Таблица1[[#This Row],[№]],Д401[№],Д401[Итоговая сумма скидки],"-",0)</f>
        <v>0</v>
      </c>
      <c r="AR103" s="235" t="str" cm="1">
        <f t="array" ref="AR103">IFERROR(ROUND(_xlfn.XLOOKUP($AF$3&amp;Таблица1[[#This Row],[№]]&amp;"Продажа",РД[Дом]&amp;РД[№ кв]&amp;РД[Состояние],РД[Сумма скидки],"",0),2),Таблица1[[#This Row],[Статус]])</f>
        <v>Свободно</v>
      </c>
      <c r="AS103" s="285" t="str">
        <f>IFERROR(Таблица1[[#This Row],[ППС]]-Таблица1[[#This Row],[ДДУС]],"")</f>
        <v/>
      </c>
      <c r="AT103" s="611"/>
      <c r="AU103" s="484">
        <f>VLOOKUP(ППД402!A100,Д402[],1,0)</f>
        <v>99</v>
      </c>
      <c r="AV103" s="484" t="str">
        <f>_xlfn.XLOOKUP(Т402[[#This Row],[№]],Д402[№],Д402[Статус],"-",0)</f>
        <v>Стр. Резерв</v>
      </c>
      <c r="AW103" s="613">
        <f>_xlfn.XLOOKUP(Т402[[#This Row],[№]],Д402[№],Д402[Стоимость ОН без отделки со скидкой],"-",0)</f>
        <v>6688200</v>
      </c>
      <c r="AX103" s="614" t="str" cm="1">
        <f t="array" ref="AX10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03" s="485" t="str">
        <f>IFERROR((Т402[[#This Row],[ПП]]-Т402[[#This Row],[ДДУ]])*1,"")</f>
        <v/>
      </c>
      <c r="AZ103" s="486" t="str" cm="1">
        <f t="array" ref="AZ10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03" s="485">
        <f>_xlfn.XLOOKUP(Т402[[#This Row],[№]],Д402[№],Д402[Стоимость квартиры с отделкой],"-",0)</f>
        <v>6688200</v>
      </c>
      <c r="BB103" s="485" t="str">
        <f>IFERROR(Т402[[#This Row],[СО ПП]]-Т402[[#This Row],[СО ДДУ]],"")</f>
        <v/>
      </c>
      <c r="BC103" s="487" t="str" cm="1">
        <f t="array" ref="BC103">IFERROR(INDEX(РД[S],MATCH($AU$3&amp;Т402[[#This Row],[№]]&amp;"Продажа",РД[Дом]&amp;РД[№ кв]&amp;РД[Состояние],0),1),Т402[[#This Row],[Статус]])</f>
        <v>Стр. Резерв</v>
      </c>
      <c r="BD103" s="483">
        <f>_xlfn.XLOOKUP(Т402[[#This Row],[№]],Д402[№],Д402[Расчетная проектная площадь],"-",0)</f>
        <v>54.47</v>
      </c>
      <c r="BE103" s="485" t="str">
        <f>IFERROR(Т402[[#This Row],[S ПП]]-Т402[[#This Row],[S ДДУ]],"")</f>
        <v/>
      </c>
      <c r="BF103" s="485">
        <f>_xlfn.XLOOKUP(Т402[[#This Row],[№]],Д402[№],Д402[Итоговая сумма скидки],"-",0)</f>
        <v>0</v>
      </c>
      <c r="BG103" s="486" t="str" cm="1">
        <f t="array" ref="BG10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03" s="488" t="str">
        <f>IFERROR(Т402[[#This Row],[ППС]]-Т402[[#This Row],[ДДУС]],"")</f>
        <v/>
      </c>
    </row>
    <row r="104" spans="1:60" x14ac:dyDescent="0.2">
      <c r="A104" s="611"/>
      <c r="B104" s="234">
        <f>VLOOKUP(ППД4!A101,Реестр_Д4[№],1,0)</f>
        <v>100</v>
      </c>
      <c r="C104" s="234" t="str">
        <f>VLOOKUP(ППД4!CO101,Реестр_Д4[Статус],1,0)</f>
        <v>Продажа</v>
      </c>
      <c r="D104" s="612">
        <f>VLOOKUP(ППД4!CE101,Реестр_Д4[Стоимость ОН без отделки со скидкой],1,0)</f>
        <v>4326227.58</v>
      </c>
      <c r="E104" s="612" cm="1">
        <f t="array" ref="E104">IFERROR(INDEX(РД[Стоимость без отделки итог],MATCH($B$3&amp;Таблица4[[#This Row],[№]]&amp;"Продажа",РД[Дом]&amp;РД[№ кв]&amp;РД[Состояние],0),1),Таблица4[[#This Row],[Статус]])</f>
        <v>4326227.58</v>
      </c>
      <c r="F104" s="235">
        <f>IFERROR((Таблица4[[#This Row],[ПП]]-Таблица4[[#This Row],[ДДУ]])*1,"")</f>
        <v>0</v>
      </c>
      <c r="G104" s="235" cm="1">
        <f t="array" ref="G104">IFERROR(INDEX(РД[Стоимость с отделкой итог],MATCH($B$3&amp;Таблица4[[#This Row],[№]]&amp;"Продажа",РД[Дом]&amp;РД[№ кв]&amp;РД[Состояние],0),1),Таблица4[[#This Row],[Статус]])</f>
        <v>4550347.58</v>
      </c>
      <c r="H104" s="235">
        <f>_xlfn.XLOOKUP(Таблица4[[#This Row],[№]],Реестр_Д4[№],Реестр_Д4[Стоимость квартиры с отделкой],"-",0)</f>
        <v>4550347.58</v>
      </c>
      <c r="I104" s="235">
        <f>IFERROR(Таблица4[[#This Row],[СО ПП]]-Таблица4[[#This Row],[СО ДДУ]],"")</f>
        <v>0</v>
      </c>
      <c r="J104" s="233" cm="1">
        <f t="array" ref="J104">IFERROR(INDEX(РД[S],MATCH($B$3&amp;Таблица4[[#This Row],[№]]&amp;"Продажа",РД[Дом]&amp;РД[№ кв]&amp;РД[Состояние],0),1),Таблица4[[#This Row],[Статус]])</f>
        <v>56.03</v>
      </c>
      <c r="K104" s="233">
        <f>VLOOKUP(Таблица4[[#This Row],[№]],Реестр_Д4[],20,0)</f>
        <v>56.03</v>
      </c>
      <c r="L104" s="235">
        <f>IFERROR(Таблица4[[#This Row],[S ПП]]-Таблица4[[#This Row],[S ДДУ]],)</f>
        <v>0</v>
      </c>
      <c r="M104" s="235">
        <f>ROUND(_xlfn.XLOOKUP(Таблица4[[#This Row],[№]],Реестр_Д4[№],Реестр_Д4[Итоговая сумма скидки],"",0),2)</f>
        <v>0</v>
      </c>
      <c r="N104" s="235" cm="1">
        <f t="array" ref="N10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4" s="235">
        <f>IFERROR(Таблица4[[#This Row],[ППС]]-Таблица4[[#This Row],[ДДУС]],)</f>
        <v>0</v>
      </c>
      <c r="P104" s="611"/>
      <c r="Q104" s="234">
        <f>VLOOKUP(ППД5!A101,Реестр_Д5[№],1,0)</f>
        <v>100</v>
      </c>
      <c r="R104" s="234" t="str">
        <f>VLOOKUP(ППД5!CH101,Реестр_Д5[Статус],1,0)</f>
        <v>Продажа</v>
      </c>
      <c r="S104" s="612">
        <f>VLOOKUP(ППД5!BZ101,Реестр_Д5[Стоимость ОН без отделки со скидкой],1,0)</f>
        <v>4386800</v>
      </c>
      <c r="T104" s="612" cm="1">
        <f t="array" ref="T104">IFERROR(INDEX(РД[Стоимость без отделки итог],MATCH($Q$3&amp;Таблица10[[#This Row],[№]]&amp;"Продажа",РД[Дом]&amp;РД[№ кв]&amp;РД[Состояние],0),1),Таблица10[[#This Row],[Статус]])</f>
        <v>4386800</v>
      </c>
      <c r="U104" s="235">
        <f>IFERROR((Таблица10[[#This Row],[ПП]]-Таблица10[[#This Row],[ДДУ]])*1,)</f>
        <v>0</v>
      </c>
      <c r="V104" s="235" cm="1">
        <f t="array" ref="V104">IFERROR(INDEX(РД[Стоимость с отделкой итог],MATCH($Q$3&amp;Таблица10[[#This Row],[№]]&amp;"Продажа",РД[Дом]&amp;РД[№ кв]&amp;РД[Состояние],0),1),Таблица10[[#This Row],[Статус]])</f>
        <v>5141400</v>
      </c>
      <c r="W104" s="235">
        <f>_xlfn.XLOOKUP(Таблица10[[#This Row],[№]],Реестр_Д5[№],Реестр_Д5[Стоимость квартиры с отделкой],"-",0)</f>
        <v>5141400</v>
      </c>
      <c r="X104" s="235">
        <f>IFERROR(Таблица10[[#This Row],[СО ПП]]-Таблица10[[#This Row],[СО ДДУ]],"")</f>
        <v>0</v>
      </c>
      <c r="Y104" s="233" cm="1">
        <f t="array" ref="Y104">IFERROR(INDEX(РД[S],MATCH($Q$3&amp;Таблица10[[#This Row],[№]]&amp;"Продажа",РД[Дом]&amp;РД[№ кв]&amp;РД[Состояние],0),1),Таблица10[[#This Row],[Статус]])</f>
        <v>37.729999999999997</v>
      </c>
      <c r="Z104" s="233">
        <f>IF(Таблица10[[#This Row],[№]]&amp;"ДДУ"=ППД5!A101&amp;ППД5!CR101,ППД5!U101,ППД5!V101)</f>
        <v>37.729999999999997</v>
      </c>
      <c r="AA104" s="285">
        <f>IFERROR(Таблица10[[#This Row],[S ПП]]-Таблица10[[#This Row],[S ДДУ]],)</f>
        <v>0</v>
      </c>
      <c r="AB104" s="235">
        <f>ROUND(_xlfn.XLOOKUP(Таблица10[[#This Row],[№]],Реестр_Д5[№],Реестр_Д5[Итоговая сумма скидки],"",0),2)</f>
        <v>0</v>
      </c>
      <c r="AC104" s="235" cm="1">
        <f t="array" ref="AC10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04" s="285">
        <f>IFERROR(Таблица10[[#This Row],[ППС]]-Таблица10[[#This Row],[ДДУС]],)</f>
        <v>0</v>
      </c>
      <c r="AE104" s="611"/>
      <c r="AF104" s="615">
        <f>VLOOKUP(ППД401!A101,Д401[],1,0)</f>
        <v>100</v>
      </c>
      <c r="AG104" s="234" t="str">
        <f>_xlfn.XLOOKUP(Таблица1[[#This Row],[№]],Д401[№],Д401[Статус],"-",0)</f>
        <v>Стр. Резерв</v>
      </c>
      <c r="AH104" s="612">
        <f>_xlfn.XLOOKUP(Таблица1[[#This Row],[№]],Д401[№],Д401[Стоимость ОН без отделки со скидкой],"-",0)</f>
        <v>5929900</v>
      </c>
      <c r="AI104" s="612" t="str" cm="1">
        <f t="array" ref="AI104">IFERROR(INDEX(РД[Стоимость без отделки итог],MATCH($AF$3&amp;Таблица1[[#This Row],[№]]&amp;"Продажа",РД[Дом]&amp;РД[№ кв]&amp;РД[Состояние],0),1),Таблица1[[#This Row],[Статус]])</f>
        <v>Стр. Резерв</v>
      </c>
      <c r="AJ104" s="235" t="str">
        <f>IFERROR((Таблица1[[#This Row],[ПП]]-Таблица1[[#This Row],[ДДУ]])*1,"")</f>
        <v/>
      </c>
      <c r="AK104" s="235" t="str" cm="1">
        <f t="array" ref="AK104">IFERROR(INDEX(РД[Стоимость с отделкой итог],MATCH($AF$3&amp;Таблица1[[#This Row],[№]]&amp;"Продажа",РД[Дом]&amp;РД[№ кв]&amp;РД[Состояние],0),1),Таблица1[[#This Row],[Статус]])</f>
        <v>Стр. Резерв</v>
      </c>
      <c r="AL104" s="235">
        <f>_xlfn.XLOOKUP(Таблица1[[#This Row],[№]],Д401[№],Д401[Стоимость квартиры с отделкой],"-",0)</f>
        <v>5929900</v>
      </c>
      <c r="AM104" s="235" t="str">
        <f>IFERROR(Таблица1[[#This Row],[СО ПП]]-Таблица1[[#This Row],[СО ДДУ]],"")</f>
        <v/>
      </c>
      <c r="AN104" s="233" t="str" cm="1">
        <f t="array" ref="AN104">IFERROR(INDEX(РД[S],MATCH($AF$3&amp;Таблица1[[#This Row],[№]]&amp;"Продажа",РД[Дом]&amp;РД[№ кв]&amp;РД[Состояние],0),1),Таблица1[[#This Row],[Статус]])</f>
        <v>Стр. Резерв</v>
      </c>
      <c r="AO104" s="233">
        <f>_xlfn.XLOOKUP(Таблица1[[#This Row],[№]],Д401[№],Д401[Расчетная проектная площадь],"-",0)</f>
        <v>42.63</v>
      </c>
      <c r="AP104" s="235" t="str">
        <f>IFERROR(Таблица1[[#This Row],[S ПП]]-Таблица1[[#This Row],[S ДДУ]],"")</f>
        <v/>
      </c>
      <c r="AQ104" s="235">
        <f>_xlfn.XLOOKUP(Таблица1[[#This Row],[№]],Д401[№],Д401[Итоговая сумма скидки],"-",0)</f>
        <v>0</v>
      </c>
      <c r="AR104" s="235" t="str" cm="1">
        <f t="array" ref="AR104">IFERROR(ROUND(_xlfn.XLOOKUP($AF$3&amp;Таблица1[[#This Row],[№]]&amp;"Продажа",РД[Дом]&amp;РД[№ кв]&amp;РД[Состояние],РД[Сумма скидки],"",0),2),Таблица1[[#This Row],[Статус]])</f>
        <v>Стр. Резерв</v>
      </c>
      <c r="AS104" s="285" t="str">
        <f>IFERROR(Таблица1[[#This Row],[ППС]]-Таблица1[[#This Row],[ДДУС]],"")</f>
        <v/>
      </c>
      <c r="AT104" s="611"/>
      <c r="AU104" s="484">
        <f>VLOOKUP(ППД402!A101,Д402[],1,0)</f>
        <v>100</v>
      </c>
      <c r="AV104" s="484" t="str">
        <f>_xlfn.XLOOKUP(Т402[[#This Row],[№]],Д402[№],Д402[Статус],"-",0)</f>
        <v>Свободно</v>
      </c>
      <c r="AW104" s="613">
        <f>_xlfn.XLOOKUP(Т402[[#This Row],[№]],Д402[№],Д402[Стоимость ОН без отделки со скидкой],"-",0)</f>
        <v>6803200</v>
      </c>
      <c r="AX104" s="614" t="str" cm="1">
        <f t="array" ref="AX104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04" s="485" t="str">
        <f>IFERROR((Т402[[#This Row],[ПП]]-Т402[[#This Row],[ДДУ]])*1,"")</f>
        <v/>
      </c>
      <c r="AZ104" s="486" t="str" cm="1">
        <f t="array" ref="AZ104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04" s="485">
        <f>_xlfn.XLOOKUP(Т402[[#This Row],[№]],Д402[№],Д402[Стоимость квартиры с отделкой],"-",0)</f>
        <v>8435199.9999999981</v>
      </c>
      <c r="BB104" s="485" t="str">
        <f>IFERROR(Т402[[#This Row],[СО ПП]]-Т402[[#This Row],[СО ДДУ]],"")</f>
        <v/>
      </c>
      <c r="BC104" s="487" t="str" cm="1">
        <f t="array" ref="BC104">IFERROR(INDEX(РД[S],MATCH($AU$3&amp;Т402[[#This Row],[№]]&amp;"Продажа",РД[Дом]&amp;РД[№ кв]&amp;РД[Состояние],0),1),Т402[[#This Row],[Статус]])</f>
        <v>Свободно</v>
      </c>
      <c r="BD104" s="483">
        <f>_xlfn.XLOOKUP(Т402[[#This Row],[№]],Д402[№],Д402[Расчетная проектная площадь],"-",0)</f>
        <v>54.4</v>
      </c>
      <c r="BE104" s="485" t="str">
        <f>IFERROR(Т402[[#This Row],[S ПП]]-Т402[[#This Row],[S ДДУ]],"")</f>
        <v/>
      </c>
      <c r="BF104" s="485">
        <f>_xlfn.XLOOKUP(Т402[[#This Row],[№]],Д402[№],Д402[Итоговая сумма скидки],"-",0)</f>
        <v>0</v>
      </c>
      <c r="BG104" s="486" t="str" cm="1">
        <f t="array" ref="BG104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04" s="488" t="str">
        <f>IFERROR(Т402[[#This Row],[ППС]]-Т402[[#This Row],[ДДУС]],"")</f>
        <v/>
      </c>
    </row>
    <row r="105" spans="1:60" x14ac:dyDescent="0.2">
      <c r="A105" s="611"/>
      <c r="B105" s="234">
        <f>VLOOKUP(ППД4!A102,Реестр_Д4[№],1,0)</f>
        <v>101</v>
      </c>
      <c r="C105" s="234" t="str">
        <f>VLOOKUP(ППД4!CO102,Реестр_Д4[Статус],1,0)</f>
        <v>Продажа</v>
      </c>
      <c r="D105" s="612">
        <f>VLOOKUP(ППД4!CE102,Реестр_Д4[Стоимость ОН без отделки со скидкой],1,0)</f>
        <v>3891888.66</v>
      </c>
      <c r="E105" s="612" cm="1">
        <f t="array" ref="E105">IFERROR(INDEX(РД[Стоимость без отделки итог],MATCH($B$3&amp;Таблица4[[#This Row],[№]]&amp;"Продажа",РД[Дом]&amp;РД[№ кв]&amp;РД[Состояние],0),1),Таблица4[[#This Row],[Статус]])</f>
        <v>3891888.6600000011</v>
      </c>
      <c r="F105" s="235">
        <f>IFERROR((Таблица4[[#This Row],[ПП]]-Таблица4[[#This Row],[ДДУ]])*1,"")</f>
        <v>-9.3132257461547852E-10</v>
      </c>
      <c r="G105" s="235" cm="1">
        <f t="array" ref="G105">IFERROR(INDEX(РД[Стоимость с отделкой итог],MATCH($B$3&amp;Таблица4[[#This Row],[№]]&amp;"Продажа",РД[Дом]&amp;РД[№ кв]&amp;РД[Состояние],0),1),Таблица4[[#This Row],[Статус]])</f>
        <v>4301838.66</v>
      </c>
      <c r="H105" s="235">
        <f>_xlfn.XLOOKUP(Таблица4[[#This Row],[№]],Реестр_Д4[№],Реестр_Д4[Стоимость квартиры с отделкой],"-",0)</f>
        <v>4301838.66</v>
      </c>
      <c r="I105" s="235">
        <f>IFERROR(Таблица4[[#This Row],[СО ПП]]-Таблица4[[#This Row],[СО ДДУ]],"")</f>
        <v>0</v>
      </c>
      <c r="J105" s="233" cm="1">
        <f t="array" ref="J105">IFERROR(INDEX(РД[S],MATCH($B$3&amp;Таблица4[[#This Row],[№]]&amp;"Продажа",РД[Дом]&amp;РД[№ кв]&amp;РД[Состояние],0),1),Таблица4[[#This Row],[Статус]])</f>
        <v>54.66</v>
      </c>
      <c r="K105" s="233">
        <f>VLOOKUP(Таблица4[[#This Row],[№]],Реестр_Д4[],20,0)</f>
        <v>54.66</v>
      </c>
      <c r="L105" s="235">
        <f>IFERROR(Таблица4[[#This Row],[S ПП]]-Таблица4[[#This Row],[S ДДУ]],)</f>
        <v>0</v>
      </c>
      <c r="M105" s="235">
        <f>ROUND(_xlfn.XLOOKUP(Таблица4[[#This Row],[№]],Реестр_Д4[№],Реестр_Д4[Итоговая сумма скидки],"",0),2)</f>
        <v>204836.25</v>
      </c>
      <c r="N105" s="235" cm="1">
        <f t="array" ref="N105">IFERROR(ROUND(_xlfn.XLOOKUP($B$3&amp;Таблица4[[#This Row],[№]]&amp;"Продажа",РД[Дом]&amp;РД[№ кв]&amp;РД[Состояние],РД[Сумма скидки],"",0),2),Таблица4[[#This Row],[Статус]])</f>
        <v>204836.25</v>
      </c>
      <c r="O105" s="235">
        <f>IFERROR(Таблица4[[#This Row],[ППС]]-Таблица4[[#This Row],[ДДУС]],)</f>
        <v>0</v>
      </c>
      <c r="P105" s="611"/>
      <c r="Q105" s="234">
        <f>VLOOKUP(ППД5!A102,Реестр_Д5[№],1,0)</f>
        <v>101</v>
      </c>
      <c r="R105" s="234" t="str">
        <f>VLOOKUP(ППД5!CH102,Реестр_Д5[Статус],1,0)</f>
        <v>Продажа</v>
      </c>
      <c r="S105" s="612">
        <f>VLOOKUP(ППД5!BZ102,Реестр_Д5[Стоимость ОН без отделки со скидкой],1,0)</f>
        <v>6716398</v>
      </c>
      <c r="T105" s="612" cm="1">
        <f t="array" ref="T105">IFERROR(INDEX(РД[Стоимость без отделки итог],MATCH($Q$3&amp;Таблица10[[#This Row],[№]]&amp;"Продажа",РД[Дом]&amp;РД[№ кв]&amp;РД[Состояние],0),1),Таблица10[[#This Row],[Статус]])</f>
        <v>6716398</v>
      </c>
      <c r="U105" s="235">
        <f>IFERROR((Таблица10[[#This Row],[ПП]]-Таблица10[[#This Row],[ДДУ]])*1,)</f>
        <v>0</v>
      </c>
      <c r="V105" s="235" cm="1">
        <f t="array" ref="V105">IFERROR(INDEX(РД[Стоимость с отделкой итог],MATCH($Q$3&amp;Таблица10[[#This Row],[№]]&amp;"Продажа",РД[Дом]&amp;РД[№ кв]&amp;РД[Состояние],0),1),Таблица10[[#This Row],[Статус]])</f>
        <v>6716398</v>
      </c>
      <c r="W105" s="235">
        <f>_xlfn.XLOOKUP(Таблица10[[#This Row],[№]],Реестр_Д5[№],Реестр_Д5[Стоимость квартиры с отделкой],"-",0)</f>
        <v>6716398</v>
      </c>
      <c r="X105" s="235">
        <f>IFERROR(Таблица10[[#This Row],[СО ПП]]-Таблица10[[#This Row],[СО ДДУ]],"")</f>
        <v>0</v>
      </c>
      <c r="Y105" s="233" cm="1">
        <f t="array" ref="Y105">IFERROR(INDEX(РД[S],MATCH($Q$3&amp;Таблица10[[#This Row],[№]]&amp;"Продажа",РД[Дом]&amp;РД[№ кв]&amp;РД[Состояние],0),1),Таблица10[[#This Row],[Статус]])</f>
        <v>59.09</v>
      </c>
      <c r="Z105" s="233">
        <f>IF(Таблица10[[#This Row],[№]]&amp;"ДДУ"=ППД5!A102&amp;ППД5!CR102,ППД5!U102,ППД5!V102)</f>
        <v>59.09</v>
      </c>
      <c r="AA105" s="285">
        <f>IFERROR(Таблица10[[#This Row],[S ПП]]-Таблица10[[#This Row],[S ДДУ]],)</f>
        <v>0</v>
      </c>
      <c r="AB105" s="235">
        <f>ROUND(_xlfn.XLOOKUP(Таблица10[[#This Row],[№]],Реестр_Д5[№],Реестр_Д5[Итоговая сумма скидки],"",0),2)</f>
        <v>517002</v>
      </c>
      <c r="AC105" s="235" cm="1">
        <f t="array" ref="AC105">IFERROR(ROUND(_xlfn.XLOOKUP($Q$3&amp;Таблица10[[#This Row],[№]]&amp;"Продажа",РД[Дом]&amp;РД[№ кв]&amp;РД[Состояние],РД[Сумма скидки],"",0,-1),2),Таблица10[[#This Row],[Статус]])</f>
        <v>517002</v>
      </c>
      <c r="AD105" s="285">
        <f>IFERROR(Таблица10[[#This Row],[ППС]]-Таблица10[[#This Row],[ДДУС]],)</f>
        <v>0</v>
      </c>
      <c r="AE105" s="611"/>
      <c r="AF105" s="615">
        <f>VLOOKUP(ППД401!A102,Д401[],1,0)</f>
        <v>101</v>
      </c>
      <c r="AG105" s="234" t="str">
        <f>_xlfn.XLOOKUP(Таблица1[[#This Row],[№]],Д401[№],Д401[Статус],"-",0)</f>
        <v>Продажа</v>
      </c>
      <c r="AH105" s="612">
        <f>_xlfn.XLOOKUP(Таблица1[[#This Row],[№]],Д401[№],Д401[Стоимость ОН без отделки со скидкой],"-",0)</f>
        <v>6268080</v>
      </c>
      <c r="AI105" s="612" cm="1">
        <f t="array" ref="AI105">IFERROR(INDEX(РД[Стоимость без отделки итог],MATCH($AF$3&amp;Таблица1[[#This Row],[№]]&amp;"Продажа",РД[Дом]&amp;РД[№ кв]&amp;РД[Состояние],0),1),Таблица1[[#This Row],[Статус]])</f>
        <v>6268080</v>
      </c>
      <c r="AJ105" s="235">
        <f>IFERROR((Таблица1[[#This Row],[ПП]]-Таблица1[[#This Row],[ДДУ]])*1,"")</f>
        <v>0</v>
      </c>
      <c r="AK105" s="235" cm="1">
        <f t="array" ref="AK105">IFERROR(INDEX(РД[Стоимость с отделкой итог],MATCH($AF$3&amp;Таблица1[[#This Row],[№]]&amp;"Продажа",РД[Дом]&amp;РД[№ кв]&amp;РД[Состояние],0),1),Таблица1[[#This Row],[Статус]])</f>
        <v>6268080</v>
      </c>
      <c r="AL105" s="235">
        <f>_xlfn.XLOOKUP(Таблица1[[#This Row],[№]],Д401[№],Д401[Стоимость квартиры с отделкой],"-",0)</f>
        <v>6268080</v>
      </c>
      <c r="AM105" s="235">
        <f>IFERROR(Таблица1[[#This Row],[СО ПП]]-Таблица1[[#This Row],[СО ДДУ]],"")</f>
        <v>0</v>
      </c>
      <c r="AN105" s="233" cm="1">
        <f t="array" ref="AN105">IFERROR(INDEX(РД[S],MATCH($AF$3&amp;Таблица1[[#This Row],[№]]&amp;"Продажа",РД[Дом]&amp;РД[№ кв]&amp;РД[Состояние],0),1),Таблица1[[#This Row],[Статус]])</f>
        <v>49.2</v>
      </c>
      <c r="AO105" s="233">
        <f>_xlfn.XLOOKUP(Таблица1[[#This Row],[№]],Д401[№],Д401[Расчетная проектная площадь],"-",0)</f>
        <v>49.39</v>
      </c>
      <c r="AP105" s="680">
        <f>IFERROR(Таблица1[[#This Row],[S ПП]]-Таблица1[[#This Row],[S ДДУ]],"")</f>
        <v>0.18999999999999773</v>
      </c>
      <c r="AQ105" s="235">
        <f>_xlfn.XLOOKUP(Таблица1[[#This Row],[№]],Д401[№],Д401[Итоговая сумма скидки],"-",0)</f>
        <v>127920</v>
      </c>
      <c r="AR105" s="235" cm="1">
        <f t="array" ref="AR105">IFERROR(ROUND(_xlfn.XLOOKUP($AF$3&amp;Таблица1[[#This Row],[№]]&amp;"Продажа",РД[Дом]&amp;РД[№ кв]&amp;РД[Состояние],РД[Сумма скидки],"",0),2),Таблица1[[#This Row],[Статус]])</f>
        <v>127920</v>
      </c>
      <c r="AS105" s="285">
        <f>IFERROR(Таблица1[[#This Row],[ППС]]-Таблица1[[#This Row],[ДДУС]],"")</f>
        <v>0</v>
      </c>
      <c r="AT105" s="611"/>
      <c r="AU105" s="484">
        <f>VLOOKUP(ППД402!A102,Д402[],1,0)</f>
        <v>101</v>
      </c>
      <c r="AV105" s="484" t="str">
        <f>_xlfn.XLOOKUP(Т402[[#This Row],[№]],Д402[№],Д402[Статус],"-",0)</f>
        <v>Продажа</v>
      </c>
      <c r="AW105" s="613">
        <f>_xlfn.XLOOKUP(Т402[[#This Row],[№]],Д402[№],Д402[Стоимость ОН без отделки со скидкой],"-",0)</f>
        <v>4930282</v>
      </c>
      <c r="AX105" s="614" cm="1">
        <f t="array" ref="AX105">IFERROR(INDEX(РД[Стоимость без отделки итог],MATCH($AU$3&amp;Т402[[#This Row],[№]]&amp;"Продажа",РД[Дом]&amp;РД[№ кв]&amp;РД[Состояние],0),1),Т402[[#This Row],[Статус]])</f>
        <v>4930282</v>
      </c>
      <c r="AY105" s="485">
        <f>IFERROR((Т402[[#This Row],[ПП]]-Т402[[#This Row],[ДДУ]])*1,"")</f>
        <v>0</v>
      </c>
      <c r="AZ105" s="486" cm="1">
        <f t="array" ref="AZ105">IFERROR(INDEX(РД[Стоимость с отделкой итог],MATCH($AU$3&amp;Т402[[#This Row],[№]]&amp;"Продажа",РД[Дом]&amp;РД[№ кв]&amp;РД[Состояние],0),1),Т402[[#This Row],[Статус]])</f>
        <v>4930282</v>
      </c>
      <c r="BA105" s="485">
        <f>_xlfn.XLOOKUP(Т402[[#This Row],[№]],Д402[№],Д402[Стоимость квартиры с отделкой],"-",0)</f>
        <v>4930281.9999999991</v>
      </c>
      <c r="BB105" s="485">
        <f>IFERROR(Т402[[#This Row],[СО ПП]]-Т402[[#This Row],[СО ДДУ]],"")</f>
        <v>-9.3132257461547852E-10</v>
      </c>
      <c r="BC105" s="487" cm="1">
        <f t="array" ref="BC105">IFERROR(INDEX(РД[S],MATCH($AU$3&amp;Т402[[#This Row],[№]]&amp;"Продажа",РД[Дом]&amp;РД[№ кв]&amp;РД[Состояние],0),1),Т402[[#This Row],[Статус]])</f>
        <v>36.64</v>
      </c>
      <c r="BD105" s="483">
        <f>_xlfn.XLOOKUP(Т402[[#This Row],[№]],Д402[№],Д402[Расчетная проектная площадь],"-",0)</f>
        <v>36.64</v>
      </c>
      <c r="BE105" s="485">
        <f>IFERROR(Т402[[#This Row],[S ПП]]-Т402[[#This Row],[S ДДУ]],"")</f>
        <v>0</v>
      </c>
      <c r="BF105" s="485">
        <f>_xlfn.XLOOKUP(Т402[[#This Row],[№]],Д402[№],Д402[Итоговая сумма скидки],"-",0)</f>
        <v>100618</v>
      </c>
      <c r="BG105" s="486" cm="1">
        <f t="array" ref="BG105">IFERROR(ROUND(_xlfn.XLOOKUP($AU$3&amp;Т402[[#This Row],[№]]&amp;"Продажа",РД[Дом]&amp;РД[№ кв]&amp;РД[Состояние],РД[Сумма скидки],"",0),2),Т402[[#This Row],[Статус]])</f>
        <v>100618</v>
      </c>
      <c r="BH105" s="488">
        <f>IFERROR(Т402[[#This Row],[ППС]]-Т402[[#This Row],[ДДУС]],"")</f>
        <v>0</v>
      </c>
    </row>
    <row r="106" spans="1:60" x14ac:dyDescent="0.2">
      <c r="A106" s="611"/>
      <c r="B106" s="234">
        <f>VLOOKUP(ППД4!A103,Реестр_Д4[№],1,0)</f>
        <v>102</v>
      </c>
      <c r="C106" s="234" t="str">
        <f>VLOOKUP(ППД4!CO103,Реестр_Д4[Статус],1,0)</f>
        <v>Продажа</v>
      </c>
      <c r="D106" s="612">
        <f>VLOOKUP(ППД4!CE103,Реестр_Д4[Стоимость ОН без отделки со скидкой],1,0)</f>
        <v>5047889.96</v>
      </c>
      <c r="E106" s="612" cm="1">
        <f t="array" ref="E106">IFERROR(INDEX(РД[Стоимость без отделки итог],MATCH($B$3&amp;Таблица4[[#This Row],[№]]&amp;"Продажа",РД[Дом]&amp;РД[№ кв]&amp;РД[Состояние],0),1),Таблица4[[#This Row],[Статус]])</f>
        <v>5047889.959999999</v>
      </c>
      <c r="F106" s="235">
        <f>IFERROR((Таблица4[[#This Row],[ПП]]-Таблица4[[#This Row],[ДДУ]])*1,"")</f>
        <v>9.3132257461547852E-10</v>
      </c>
      <c r="G106" s="235" cm="1">
        <f t="array" ref="G106">IFERROR(INDEX(РД[Стоимость с отделкой итог],MATCH($B$3&amp;Таблица4[[#This Row],[№]]&amp;"Продажа",РД[Дом]&amp;РД[№ кв]&amp;РД[Состояние],0),1),Таблица4[[#This Row],[Статус]])</f>
        <v>5287369.96</v>
      </c>
      <c r="H106" s="235">
        <f>_xlfn.XLOOKUP(Таблица4[[#This Row],[№]],Реестр_Д4[№],Реестр_Д4[Стоимость квартиры с отделкой],"-",0)</f>
        <v>5287369.96</v>
      </c>
      <c r="I106" s="235">
        <f>IFERROR(Таблица4[[#This Row],[СО ПП]]-Таблица4[[#This Row],[СО ДДУ]],"")</f>
        <v>0</v>
      </c>
      <c r="J106" s="233" cm="1">
        <f t="array" ref="J106">IFERROR(INDEX(РД[S],MATCH($B$3&amp;Таблица4[[#This Row],[№]]&amp;"Продажа",РД[Дом]&amp;РД[№ кв]&amp;РД[Состояние],0),1),Таблица4[[#This Row],[Статус]])</f>
        <v>59.87</v>
      </c>
      <c r="K106" s="233">
        <f>VLOOKUP(Таблица4[[#This Row],[№]],Реестр_Д4[],20,0)</f>
        <v>59.87</v>
      </c>
      <c r="L106" s="235">
        <f>IFERROR(Таблица4[[#This Row],[S ПП]]-Таблица4[[#This Row],[S ДДУ]],)</f>
        <v>0</v>
      </c>
      <c r="M106" s="235">
        <f>ROUND(_xlfn.XLOOKUP(Таблица4[[#This Row],[№]],Реестр_Д4[№],Реестр_Д4[Итоговая сумма скидки],"",0),2)</f>
        <v>239480</v>
      </c>
      <c r="N106" s="235" cm="1">
        <f t="array" ref="N106">IFERROR(ROUND(_xlfn.XLOOKUP($B$3&amp;Таблица4[[#This Row],[№]]&amp;"Продажа",РД[Дом]&amp;РД[№ кв]&amp;РД[Состояние],РД[Сумма скидки],"",0),2),Таблица4[[#This Row],[Статус]])</f>
        <v>239480</v>
      </c>
      <c r="O106" s="235">
        <f>IFERROR(Таблица4[[#This Row],[ППС]]-Таблица4[[#This Row],[ДДУС]],)</f>
        <v>0</v>
      </c>
      <c r="P106" s="611"/>
      <c r="Q106" s="234">
        <f>VLOOKUP(ППД5!A103,Реестр_Д5[№],1,0)</f>
        <v>102</v>
      </c>
      <c r="R106" s="234" t="str">
        <f>VLOOKUP(ППД5!CH103,Реестр_Д5[Статус],1,0)</f>
        <v>Продажа</v>
      </c>
      <c r="S106" s="612">
        <f>VLOOKUP(ППД5!BZ103,Реестр_Д5[Стоимость ОН без отделки со скидкой],1,0)</f>
        <v>6253396</v>
      </c>
      <c r="T106" s="612" cm="1">
        <f t="array" ref="T106">IFERROR(INDEX(РД[Стоимость без отделки итог],MATCH($Q$3&amp;Таблица10[[#This Row],[№]]&amp;"Продажа",РД[Дом]&amp;РД[№ кв]&amp;РД[Состояние],0),1),Таблица10[[#This Row],[Статус]])</f>
        <v>6253396</v>
      </c>
      <c r="U106" s="235">
        <f>IFERROR((Таблица10[[#This Row],[ПП]]-Таблица10[[#This Row],[ДДУ]])*1,)</f>
        <v>0</v>
      </c>
      <c r="V106" s="235" cm="1">
        <f t="array" ref="V106">IFERROR(INDEX(РД[Стоимость с отделкой итог],MATCH($Q$3&amp;Таблица10[[#This Row],[№]]&amp;"Продажа",РД[Дом]&amp;РД[№ кв]&amp;РД[Состояние],0),1),Таблица10[[#This Row],[Статус]])</f>
        <v>6253396</v>
      </c>
      <c r="W106" s="235">
        <f>_xlfn.XLOOKUP(Таблица10[[#This Row],[№]],Реестр_Д5[№],Реестр_Д5[Стоимость квартиры с отделкой],"-",0)</f>
        <v>6253396</v>
      </c>
      <c r="X106" s="235">
        <f>IFERROR(Таблица10[[#This Row],[СО ПП]]-Таблица10[[#This Row],[СО ДДУ]],"")</f>
        <v>0</v>
      </c>
      <c r="Y106" s="233" cm="1">
        <f t="array" ref="Y106">IFERROR(INDEX(РД[S],MATCH($Q$3&amp;Таблица10[[#This Row],[№]]&amp;"Продажа",РД[Дом]&amp;РД[№ кв]&amp;РД[Состояние],0),1),Таблица10[[#This Row],[Статус]])</f>
        <v>62.17</v>
      </c>
      <c r="Z106" s="233">
        <f>IF(Таблица10[[#This Row],[№]]&amp;"ДДУ"=ППД5!A103&amp;ППД5!CR103,ППД5!U103,ППД5!V103)</f>
        <v>62.17</v>
      </c>
      <c r="AA106" s="285">
        <f>IFERROR(Таблица10[[#This Row],[S ПП]]-Таблица10[[#This Row],[S ДДУ]],)</f>
        <v>0</v>
      </c>
      <c r="AB106" s="235">
        <f>ROUND(_xlfn.XLOOKUP(Таблица10[[#This Row],[№]],Реестр_Д5[№],Реестр_Д5[Итоговая сумма скидки],"",0),2)</f>
        <v>193404</v>
      </c>
      <c r="AC106" s="235" cm="1">
        <f t="array" ref="AC106">IFERROR(ROUND(_xlfn.XLOOKUP($Q$3&amp;Таблица10[[#This Row],[№]]&amp;"Продажа",РД[Дом]&amp;РД[№ кв]&amp;РД[Состояние],РД[Сумма скидки],"",0,-1),2),Таблица10[[#This Row],[Статус]])</f>
        <v>193404</v>
      </c>
      <c r="AD106" s="285">
        <f>IFERROR(Таблица10[[#This Row],[ППС]]-Таблица10[[#This Row],[ДДУС]],)</f>
        <v>0</v>
      </c>
      <c r="AE106" s="611"/>
      <c r="AT106" s="611"/>
      <c r="AU106" s="484">
        <f>VLOOKUP(ППД402!A103,Д402[],1,0)</f>
        <v>102</v>
      </c>
      <c r="AV106" s="484" t="str">
        <f>_xlfn.XLOOKUP(Т402[[#This Row],[№]],Д402[№],Д402[Статус],"-",0)</f>
        <v>Стр. Резерв</v>
      </c>
      <c r="AW106" s="613">
        <f>_xlfn.XLOOKUP(Т402[[#This Row],[№]],Д402[№],Д402[Стоимость ОН без отделки со скидкой],"-",0)</f>
        <v>5937400</v>
      </c>
      <c r="AX106" s="614" t="str" cm="1">
        <f t="array" ref="AX10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06" s="485" t="str">
        <f>IFERROR((Т402[[#This Row],[ПП]]-Т402[[#This Row],[ДДУ]])*1,"")</f>
        <v/>
      </c>
      <c r="AZ106" s="486" t="str" cm="1">
        <f t="array" ref="AZ10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06" s="485">
        <f>_xlfn.XLOOKUP(Т402[[#This Row],[№]],Д402[№],Д402[Стоимость квартиры с отделкой],"-",0)</f>
        <v>5937400</v>
      </c>
      <c r="BB106" s="485" t="str">
        <f>IFERROR(Т402[[#This Row],[СО ПП]]-Т402[[#This Row],[СО ДДУ]],"")</f>
        <v/>
      </c>
      <c r="BC106" s="487" t="str" cm="1">
        <f t="array" ref="BC106">IFERROR(INDEX(РД[S],MATCH($AU$3&amp;Т402[[#This Row],[№]]&amp;"Продажа",РД[Дом]&amp;РД[№ кв]&amp;РД[Состояние],0),1),Т402[[#This Row],[Статус]])</f>
        <v>Стр. Резерв</v>
      </c>
      <c r="BD106" s="483">
        <f>_xlfn.XLOOKUP(Т402[[#This Row],[№]],Д402[№],Д402[Расчетная проектная площадь],"-",0)</f>
        <v>44.9</v>
      </c>
      <c r="BE106" s="485" t="str">
        <f>IFERROR(Т402[[#This Row],[S ПП]]-Т402[[#This Row],[S ДДУ]],"")</f>
        <v/>
      </c>
      <c r="BF106" s="485">
        <f>_xlfn.XLOOKUP(Т402[[#This Row],[№]],Д402[№],Д402[Итоговая сумма скидки],"-",0)</f>
        <v>0</v>
      </c>
      <c r="BG106" s="486" t="str" cm="1">
        <f t="array" ref="BG10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06" s="488" t="str">
        <f>IFERROR(Т402[[#This Row],[ППС]]-Т402[[#This Row],[ДДУС]],"")</f>
        <v/>
      </c>
    </row>
    <row r="107" spans="1:60" x14ac:dyDescent="0.2">
      <c r="A107" s="611"/>
      <c r="B107" s="234">
        <f>VLOOKUP(ППД4!A104,Реестр_Д4[№],1,0)</f>
        <v>103</v>
      </c>
      <c r="C107" s="234" t="str">
        <f>VLOOKUP(ППД4!CO104,Реестр_Д4[Статус],1,0)</f>
        <v>Продажа</v>
      </c>
      <c r="D107" s="612">
        <f>VLOOKUP(ППД4!CE104,Реестр_Д4[Стоимость ОН без отделки со скидкой],1,0)</f>
        <v>3057600</v>
      </c>
      <c r="E107" s="612" cm="1">
        <f t="array" ref="E107">IFERROR(INDEX(РД[Стоимость без отделки итог],MATCH($B$3&amp;Таблица4[[#This Row],[№]]&amp;"Продажа",РД[Дом]&amp;РД[№ кв]&amp;РД[Состояние],0),1),Таблица4[[#This Row],[Статус]])</f>
        <v>3057600</v>
      </c>
      <c r="F107" s="235">
        <f>IFERROR((Таблица4[[#This Row],[ПП]]-Таблица4[[#This Row],[ДДУ]])*1,"")</f>
        <v>0</v>
      </c>
      <c r="G107" s="235" cm="1">
        <f t="array" ref="G107">IFERROR(INDEX(РД[Стоимость с отделкой итог],MATCH($B$3&amp;Таблица4[[#This Row],[№]]&amp;"Продажа",РД[Дом]&amp;РД[№ кв]&amp;РД[Состояние],0),1),Таблица4[[#This Row],[Статус]])</f>
        <v>3536100</v>
      </c>
      <c r="H107" s="235">
        <f>_xlfn.XLOOKUP(Таблица4[[#This Row],[№]],Реестр_Д4[№],Реестр_Д4[Стоимость квартиры с отделкой],"-",0)</f>
        <v>3536100</v>
      </c>
      <c r="I107" s="235">
        <f>IFERROR(Таблица4[[#This Row],[СО ПП]]-Таблица4[[#This Row],[СО ДДУ]],"")</f>
        <v>0</v>
      </c>
      <c r="J107" s="233" cm="1">
        <f t="array" ref="J107">IFERROR(INDEX(РД[S],MATCH($B$3&amp;Таблица4[[#This Row],[№]]&amp;"Продажа",РД[Дом]&amp;РД[№ кв]&amp;РД[Состояние],0),1),Таблица4[[#This Row],[Статус]])</f>
        <v>21.75</v>
      </c>
      <c r="K107" s="233">
        <f>VLOOKUP(Таблица4[[#This Row],[№]],Реестр_Д4[],20,0)</f>
        <v>21.75</v>
      </c>
      <c r="L107" s="235">
        <f>IFERROR(Таблица4[[#This Row],[S ПП]]-Таблица4[[#This Row],[S ДДУ]],)</f>
        <v>0</v>
      </c>
      <c r="M107" s="235">
        <f>ROUND(_xlfn.XLOOKUP(Таблица4[[#This Row],[№]],Реестр_Д4[№],Реестр_Д4[Итоговая сумма скидки],"",0),2)</f>
        <v>0</v>
      </c>
      <c r="N107" s="235" cm="1">
        <f t="array" ref="N10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7" s="235">
        <f>IFERROR(Таблица4[[#This Row],[ППС]]-Таблица4[[#This Row],[ДДУС]],)</f>
        <v>0</v>
      </c>
      <c r="P107" s="611"/>
      <c r="Q107" s="234">
        <f>VLOOKUP(ППД5!A104,Реестр_Д5[№],1,0)</f>
        <v>103</v>
      </c>
      <c r="R107" s="234" t="str">
        <f>VLOOKUP(ППД5!CH104,Реестр_Д5[Статус],1,0)</f>
        <v>Продажа</v>
      </c>
      <c r="S107" s="612">
        <f>VLOOKUP(ППД5!BZ104,Реестр_Д5[Стоимость ОН без отделки со скидкой],1,0)</f>
        <v>5021814</v>
      </c>
      <c r="T107" s="612" cm="1">
        <f t="array" ref="T107">IFERROR(INDEX(РД[Стоимость без отделки итог],MATCH($Q$3&amp;Таблица10[[#This Row],[№]]&amp;"Продажа",РД[Дом]&amp;РД[№ кв]&amp;РД[Состояние],0),1),Таблица10[[#This Row],[Статус]])</f>
        <v>5021814</v>
      </c>
      <c r="U107" s="235">
        <f>IFERROR((Таблица10[[#This Row],[ПП]]-Таблица10[[#This Row],[ДДУ]])*1,)</f>
        <v>0</v>
      </c>
      <c r="V107" s="235" cm="1">
        <f t="array" ref="V107">IFERROR(INDEX(РД[Стоимость с отделкой итог],MATCH($Q$3&amp;Таблица10[[#This Row],[№]]&amp;"Продажа",РД[Дом]&amp;РД[№ кв]&amp;РД[Состояние],0),1),Таблица10[[#This Row],[Статус]])</f>
        <v>6301334</v>
      </c>
      <c r="W107" s="235">
        <f>_xlfn.XLOOKUP(Таблица10[[#This Row],[№]],Реестр_Д5[№],Реестр_Д5[Стоимость квартиры с отделкой],"-",0)</f>
        <v>6301333.9999999991</v>
      </c>
      <c r="X107" s="235">
        <f>IFERROR(Таблица10[[#This Row],[СО ПП]]-Таблица10[[#This Row],[СО ДДУ]],"")</f>
        <v>-9.3132257461547852E-10</v>
      </c>
      <c r="Y107" s="233" cm="1">
        <f t="array" ref="Y107">IFERROR(INDEX(РД[S],MATCH($Q$3&amp;Таблица10[[#This Row],[№]]&amp;"Продажа",РД[Дом]&amp;РД[№ кв]&amp;РД[Состояние],0),1),Таблица10[[#This Row],[Статус]])</f>
        <v>58.16</v>
      </c>
      <c r="Z107" s="233">
        <f>IF(Таблица10[[#This Row],[№]]&amp;"ДДУ"=ППД5!A104&amp;ППД5!CR104,ППД5!U104,ППД5!V104)</f>
        <v>58.16</v>
      </c>
      <c r="AA107" s="285">
        <f>IFERROR(Таблица10[[#This Row],[S ПП]]-Таблица10[[#This Row],[S ДДУ]],)</f>
        <v>0</v>
      </c>
      <c r="AB107" s="235">
        <f>ROUND(_xlfn.XLOOKUP(Таблица10[[#This Row],[№]],Реестр_Д5[№],Реестр_Д5[Итоговая сумма скидки],"",0),2)</f>
        <v>102486</v>
      </c>
      <c r="AC107" s="235" cm="1">
        <f t="array" ref="AC107">IFERROR(ROUND(_xlfn.XLOOKUP($Q$3&amp;Таблица10[[#This Row],[№]]&amp;"Продажа",РД[Дом]&amp;РД[№ кв]&amp;РД[Состояние],РД[Сумма скидки],"",0,-1),2),Таблица10[[#This Row],[Статус]])</f>
        <v>102486</v>
      </c>
      <c r="AD107" s="285">
        <f>IFERROR(Таблица10[[#This Row],[ППС]]-Таблица10[[#This Row],[ДДУС]],)</f>
        <v>0</v>
      </c>
      <c r="AE107" s="611"/>
      <c r="AT107" s="611"/>
      <c r="AU107" s="484">
        <f>VLOOKUP(ППД402!A104,Д402[],1,0)</f>
        <v>103</v>
      </c>
      <c r="AV107" s="484" t="str">
        <f>_xlfn.XLOOKUP(Т402[[#This Row],[№]],Д402[№],Д402[Статус],"-",0)</f>
        <v>Гарантированная бронь</v>
      </c>
      <c r="AW107" s="613">
        <f>_xlfn.XLOOKUP(Т402[[#This Row],[№]],Д402[№],Д402[Стоимость ОН без отделки со скидкой],"-",0)</f>
        <v>4232400</v>
      </c>
      <c r="AX107" s="614" t="str" cm="1">
        <f t="array" ref="AX107">IFERROR(INDEX(РД[Стоимость без отделки итог],MATCH($AU$3&amp;Т402[[#This Row],[№]]&amp;"Продажа",РД[Дом]&amp;РД[№ кв]&amp;РД[Состояние],0),1),Т402[[#This Row],[Статус]])</f>
        <v>Гарантированная бронь</v>
      </c>
      <c r="AY107" s="485" t="str">
        <f>IFERROR((Т402[[#This Row],[ПП]]-Т402[[#This Row],[ДДУ]])*1,"")</f>
        <v/>
      </c>
      <c r="AZ107" s="486" t="str" cm="1">
        <f t="array" ref="AZ107">IFERROR(INDEX(РД[Стоимость с отделкой итог],MATCH($AU$3&amp;Т402[[#This Row],[№]]&amp;"Продажа",РД[Дом]&amp;РД[№ кв]&amp;РД[Состояние],0),1),Т402[[#This Row],[Статус]])</f>
        <v>Гарантированная бронь</v>
      </c>
      <c r="BA107" s="485">
        <f>_xlfn.XLOOKUP(Т402[[#This Row],[№]],Д402[№],Д402[Стоимость квартиры с отделкой],"-",0)</f>
        <v>4232400</v>
      </c>
      <c r="BB107" s="485" t="str">
        <f>IFERROR(Т402[[#This Row],[СО ПП]]-Т402[[#This Row],[СО ДДУ]],"")</f>
        <v/>
      </c>
      <c r="BC107" s="487" t="str" cm="1">
        <f t="array" ref="BC107">IFERROR(INDEX(РД[S],MATCH($AU$3&amp;Т402[[#This Row],[№]]&amp;"Продажа",РД[Дом]&amp;РД[№ кв]&amp;РД[Состояние],0),1),Т402[[#This Row],[Статус]])</f>
        <v>Гарантированная бронь</v>
      </c>
      <c r="BD107" s="483">
        <f>_xlfn.XLOOKUP(Т402[[#This Row],[№]],Д402[№],Д402[Расчетная проектная площадь],"-",0)</f>
        <v>29.4</v>
      </c>
      <c r="BE107" s="485" t="str">
        <f>IFERROR(Т402[[#This Row],[S ПП]]-Т402[[#This Row],[S ДДУ]],"")</f>
        <v/>
      </c>
      <c r="BF107" s="485">
        <f>_xlfn.XLOOKUP(Т402[[#This Row],[№]],Д402[№],Д402[Итоговая сумма скидки],"-",0)</f>
        <v>0</v>
      </c>
      <c r="BG107" s="486" t="str" cm="1">
        <f t="array" ref="BG107">IFERROR(ROUND(_xlfn.XLOOKUP($AU$3&amp;Т402[[#This Row],[№]]&amp;"Продажа",РД[Дом]&amp;РД[№ кв]&amp;РД[Состояние],РД[Сумма скидки],"",0),2),Т402[[#This Row],[Статус]])</f>
        <v>Гарантированная бронь</v>
      </c>
      <c r="BH107" s="488" t="str">
        <f>IFERROR(Т402[[#This Row],[ППС]]-Т402[[#This Row],[ДДУС]],"")</f>
        <v/>
      </c>
    </row>
    <row r="108" spans="1:60" x14ac:dyDescent="0.2">
      <c r="A108" s="611"/>
      <c r="B108" s="234">
        <f>VLOOKUP(ППД4!A105,Реестр_Д4[№],1,0)</f>
        <v>104</v>
      </c>
      <c r="C108" s="234" t="str">
        <f>VLOOKUP(ППД4!CO105,Реестр_Д4[Статус],1,0)</f>
        <v>Продажа</v>
      </c>
      <c r="D108" s="612">
        <f>VLOOKUP(ППД4!CE105,Реестр_Д4[Стоимость ОН без отделки со скидкой],1,0)</f>
        <v>2241125.0699999998</v>
      </c>
      <c r="E108" s="612" cm="1">
        <f t="array" ref="E108">IFERROR(INDEX(РД[Стоимость без отделки итог],MATCH($B$3&amp;Таблица4[[#This Row],[№]]&amp;"Продажа",РД[Дом]&amp;РД[№ кв]&amp;РД[Состояние],0),1),Таблица4[[#This Row],[Статус]])</f>
        <v>2241125.0699999998</v>
      </c>
      <c r="F108" s="235">
        <f>IFERROR((Таблица4[[#This Row],[ПП]]-Таблица4[[#This Row],[ДДУ]])*1,"")</f>
        <v>0</v>
      </c>
      <c r="G108" s="235" cm="1">
        <f t="array" ref="G108">IFERROR(INDEX(РД[Стоимость с отделкой итог],MATCH($B$3&amp;Таблица4[[#This Row],[№]]&amp;"Продажа",РД[Дом]&amp;РД[№ кв]&amp;РД[Состояние],0),1),Таблица4[[#This Row],[Статус]])</f>
        <v>2567075.0699999998</v>
      </c>
      <c r="H108" s="235">
        <f>_xlfn.XLOOKUP(Таблица4[[#This Row],[№]],Реестр_Д4[№],Реестр_Д4[Стоимость квартиры с отделкой],"-",0)</f>
        <v>2567075.0699999998</v>
      </c>
      <c r="I108" s="235">
        <f>IFERROR(Таблица4[[#This Row],[СО ПП]]-Таблица4[[#This Row],[СО ДДУ]],"")</f>
        <v>0</v>
      </c>
      <c r="J108" s="233" cm="1">
        <f t="array" ref="J108">IFERROR(INDEX(РД[S],MATCH($B$3&amp;Таблица4[[#This Row],[№]]&amp;"Продажа",РД[Дом]&amp;РД[№ кв]&amp;РД[Состояние],0),1),Таблица4[[#This Row],[Статус]])</f>
        <v>21.73</v>
      </c>
      <c r="K108" s="233">
        <f>VLOOKUP(Таблица4[[#This Row],[№]],Реестр_Д4[],20,0)</f>
        <v>21.73</v>
      </c>
      <c r="L108" s="235">
        <f>IFERROR(Таблица4[[#This Row],[S ПП]]-Таблица4[[#This Row],[S ДДУ]],)</f>
        <v>0</v>
      </c>
      <c r="M108" s="235">
        <f>ROUND(_xlfn.XLOOKUP(Таблица4[[#This Row],[№]],Реестр_Д4[№],Реестр_Д4[Итоговая сумма скидки],"",0),2)</f>
        <v>0</v>
      </c>
      <c r="N108" s="235" cm="1">
        <f t="array" ref="N10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8" s="235">
        <f>IFERROR(Таблица4[[#This Row],[ППС]]-Таблица4[[#This Row],[ДДУС]],)</f>
        <v>0</v>
      </c>
      <c r="P108" s="611"/>
      <c r="Q108" s="234">
        <f>VLOOKUP(ППД5!A105,Реестр_Д5[№],1,0)</f>
        <v>104</v>
      </c>
      <c r="R108" s="234" t="str">
        <f>VLOOKUP(ППД5!CH105,Реестр_Д5[Статус],1,0)</f>
        <v>Продажа</v>
      </c>
      <c r="S108" s="612">
        <f>VLOOKUP(ППД5!BZ105,Реестр_Д5[Стоимость ОН без отделки со скидкой],1,0)</f>
        <v>4036678.16</v>
      </c>
      <c r="T108" s="612" cm="1">
        <f t="array" ref="T108">IFERROR(INDEX(РД[Стоимость без отделки итог],MATCH($Q$3&amp;Таблица10[[#This Row],[№]]&amp;"Продажа",РД[Дом]&amp;РД[№ кв]&amp;РД[Состояние],0),1),Таблица10[[#This Row],[Статус]])</f>
        <v>4036678.16</v>
      </c>
      <c r="U108" s="235">
        <f>IFERROR((Таблица10[[#This Row],[ПП]]-Таблица10[[#This Row],[ДДУ]])*1,)</f>
        <v>0</v>
      </c>
      <c r="V108" s="235" cm="1">
        <f t="array" ref="V108">IFERROR(INDEX(РД[Стоимость с отделкой итог],MATCH($Q$3&amp;Таблица10[[#This Row],[№]]&amp;"Продажа",РД[Дом]&amp;РД[№ кв]&amp;РД[Состояние],0),1),Таблица10[[#This Row],[Статус]])</f>
        <v>4977178.16</v>
      </c>
      <c r="W108" s="235">
        <f>_xlfn.XLOOKUP(Таблица10[[#This Row],[№]],Реестр_Д5[№],Реестр_Д5[Стоимость квартиры с отделкой],"-",0)</f>
        <v>4977178.16</v>
      </c>
      <c r="X108" s="235">
        <f>IFERROR(Таблица10[[#This Row],[СО ПП]]-Таблица10[[#This Row],[СО ДДУ]],"")</f>
        <v>0</v>
      </c>
      <c r="Y108" s="233" cm="1">
        <f t="array" ref="Y108">IFERROR(INDEX(РД[S],MATCH($Q$3&amp;Таблица10[[#This Row],[№]]&amp;"Продажа",РД[Дом]&amp;РД[№ кв]&amp;РД[Состояние],0),1),Таблица10[[#This Row],[Статус]])</f>
        <v>42.75</v>
      </c>
      <c r="Z108" s="233">
        <f>IF(Таблица10[[#This Row],[№]]&amp;"ДДУ"=ППД5!A105&amp;ППД5!CR105,ППД5!U105,ППД5!V105)</f>
        <v>42.75</v>
      </c>
      <c r="AA108" s="285">
        <f>IFERROR(Таблица10[[#This Row],[S ПП]]-Таблица10[[#This Row],[S ДДУ]],)</f>
        <v>0</v>
      </c>
      <c r="AB108" s="235">
        <f>ROUND(_xlfn.XLOOKUP(Таблица10[[#This Row],[№]],Реестр_Д5[№],Реестр_Д5[Итоговая сумма скидки],"",0),2)</f>
        <v>0</v>
      </c>
      <c r="AC108" s="235" cm="1">
        <f t="array" ref="AC10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08" s="285">
        <f>IFERROR(Таблица10[[#This Row],[ППС]]-Таблица10[[#This Row],[ДДУС]],)</f>
        <v>0</v>
      </c>
      <c r="AE108" s="611"/>
      <c r="AT108" s="611"/>
      <c r="AU108" s="484">
        <f>VLOOKUP(ППД402!A105,Д402[],1,0)</f>
        <v>104</v>
      </c>
      <c r="AV108" s="484" t="str">
        <f>_xlfn.XLOOKUP(Т402[[#This Row],[№]],Д402[№],Д402[Статус],"-",0)</f>
        <v>Стр. Резерв</v>
      </c>
      <c r="AW108" s="613">
        <f>_xlfn.XLOOKUP(Т402[[#This Row],[№]],Д402[№],Д402[Стоимость ОН без отделки со скидкой],"-",0)</f>
        <v>7623900</v>
      </c>
      <c r="AX108" s="614" t="str" cm="1">
        <f t="array" ref="AX10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08" s="485" t="str">
        <f>IFERROR((Т402[[#This Row],[ПП]]-Т402[[#This Row],[ДДУ]])*1,"")</f>
        <v/>
      </c>
      <c r="AZ108" s="486" t="str" cm="1">
        <f t="array" ref="AZ10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08" s="485">
        <f>_xlfn.XLOOKUP(Т402[[#This Row],[№]],Д402[№],Д402[Стоимость квартиры с отделкой],"-",0)</f>
        <v>7623900</v>
      </c>
      <c r="BB108" s="485" t="str">
        <f>IFERROR(Т402[[#This Row],[СО ПП]]-Т402[[#This Row],[СО ДДУ]],"")</f>
        <v/>
      </c>
      <c r="BC108" s="487" t="str" cm="1">
        <f t="array" ref="BC108">IFERROR(INDEX(РД[S],MATCH($AU$3&amp;Т402[[#This Row],[№]]&amp;"Продажа",РД[Дом]&amp;РД[№ кв]&amp;РД[Состояние],0),1),Т402[[#This Row],[Статус]])</f>
        <v>Стр. Резерв</v>
      </c>
      <c r="BD108" s="483">
        <f>_xlfn.XLOOKUP(Т402[[#This Row],[№]],Д402[№],Д402[Расчетная проектная площадь],"-",0)</f>
        <v>59.73</v>
      </c>
      <c r="BE108" s="485" t="str">
        <f>IFERROR(Т402[[#This Row],[S ПП]]-Т402[[#This Row],[S ДДУ]],"")</f>
        <v/>
      </c>
      <c r="BF108" s="485">
        <f>_xlfn.XLOOKUP(Т402[[#This Row],[№]],Д402[№],Д402[Итоговая сумма скидки],"-",0)</f>
        <v>0</v>
      </c>
      <c r="BG108" s="486" t="str" cm="1">
        <f t="array" ref="BG10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08" s="488" t="str">
        <f>IFERROR(Т402[[#This Row],[ППС]]-Т402[[#This Row],[ДДУС]],"")</f>
        <v/>
      </c>
    </row>
    <row r="109" spans="1:60" x14ac:dyDescent="0.2">
      <c r="A109" s="611"/>
      <c r="B109" s="234">
        <f>VLOOKUP(ППД4!A106,Реестр_Д4[№],1,0)</f>
        <v>105</v>
      </c>
      <c r="C109" s="234" t="str">
        <f>VLOOKUP(ППД4!CO106,Реестр_Д4[Статус],1,0)</f>
        <v>Продажа</v>
      </c>
      <c r="D109" s="612">
        <f>VLOOKUP(ППД4!CE106,Реестр_Д4[Стоимость ОН без отделки со скидкой],1,0)</f>
        <v>2939983.16</v>
      </c>
      <c r="E109" s="612" cm="1">
        <f t="array" ref="E109">IFERROR(INDEX(РД[Стоимость без отделки итог],MATCH($B$3&amp;Таблица4[[#This Row],[№]]&amp;"Продажа",РД[Дом]&amp;РД[№ кв]&amp;РД[Состояние],0),1),Таблица4[[#This Row],[Статус]])</f>
        <v>2939983.16</v>
      </c>
      <c r="F109" s="235">
        <f>IFERROR((Таблица4[[#This Row],[ПП]]-Таблица4[[#This Row],[ДДУ]])*1,"")</f>
        <v>0</v>
      </c>
      <c r="G109" s="235" cm="1">
        <f t="array" ref="G109">IFERROR(INDEX(РД[Стоимость с отделкой итог],MATCH($B$3&amp;Таблица4[[#This Row],[№]]&amp;"Продажа",РД[Дом]&amp;РД[№ кв]&amp;РД[Состояние],0),1),Таблица4[[#This Row],[Статус]])</f>
        <v>3442933.16</v>
      </c>
      <c r="H109" s="235">
        <f>_xlfn.XLOOKUP(Таблица4[[#This Row],[№]],Реестр_Д4[№],Реестр_Д4[Стоимость квартиры с отделкой],"-",0)</f>
        <v>3442933.16</v>
      </c>
      <c r="I109" s="235">
        <f>IFERROR(Таблица4[[#This Row],[СО ПП]]-Таблица4[[#This Row],[СО ДДУ]],"")</f>
        <v>0</v>
      </c>
      <c r="J109" s="233" cm="1">
        <f t="array" ref="J109">IFERROR(INDEX(РД[S],MATCH($B$3&amp;Таблица4[[#This Row],[№]]&amp;"Продажа",РД[Дом]&amp;РД[№ кв]&amp;РД[Состояние],0),1),Таблица4[[#This Row],[Статус]])</f>
        <v>33.53</v>
      </c>
      <c r="K109" s="233">
        <f>VLOOKUP(Таблица4[[#This Row],[№]],Реестр_Д4[],20,0)</f>
        <v>33.53</v>
      </c>
      <c r="L109" s="235">
        <f>IFERROR(Таблица4[[#This Row],[S ПП]]-Таблица4[[#This Row],[S ДДУ]],)</f>
        <v>0</v>
      </c>
      <c r="M109" s="235">
        <f>ROUND(_xlfn.XLOOKUP(Таблица4[[#This Row],[№]],Реестр_Д4[№],Реестр_Д4[Итоговая сумма скидки],"",0),2)</f>
        <v>0</v>
      </c>
      <c r="N109" s="235" cm="1">
        <f t="array" ref="N10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09" s="235">
        <f>IFERROR(Таблица4[[#This Row],[ППС]]-Таблица4[[#This Row],[ДДУС]],)</f>
        <v>0</v>
      </c>
      <c r="P109" s="611"/>
      <c r="Q109" s="234">
        <f>VLOOKUP(ППД5!A106,Реестр_Д5[№],1,0)</f>
        <v>105</v>
      </c>
      <c r="R109" s="234" t="str">
        <f>VLOOKUP(ППД5!CH106,Реестр_Д5[Статус],1,0)</f>
        <v>Продажа</v>
      </c>
      <c r="S109" s="612">
        <f>VLOOKUP(ППД5!BZ106,Реестр_Д5[Стоимость ОН без отделки со скидкой],1,0)</f>
        <v>4298750</v>
      </c>
      <c r="T109" s="612" cm="1">
        <f t="array" ref="T109">IFERROR(INDEX(РД[Стоимость без отделки итог],MATCH($Q$3&amp;Таблица10[[#This Row],[№]]&amp;"Продажа",РД[Дом]&amp;РД[№ кв]&amp;РД[Состояние],0),1),Таблица10[[#This Row],[Статус]])</f>
        <v>4298750</v>
      </c>
      <c r="U109" s="235">
        <f>IFERROR((Таблица10[[#This Row],[ПП]]-Таблица10[[#This Row],[ДДУ]])*1,)</f>
        <v>0</v>
      </c>
      <c r="V109" s="235" cm="1">
        <f t="array" ref="V109">IFERROR(INDEX(РД[Стоимость с отделкой итог],MATCH($Q$3&amp;Таблица10[[#This Row],[№]]&amp;"Продажа",РД[Дом]&amp;РД[№ кв]&amp;РД[Состояние],0),1),Таблица10[[#This Row],[Статус]])</f>
        <v>5158500</v>
      </c>
      <c r="W109" s="235">
        <f>_xlfn.XLOOKUP(Таблица10[[#This Row],[№]],Реестр_Д5[№],Реестр_Д5[Стоимость квартиры с отделкой],"-",0)</f>
        <v>5158500</v>
      </c>
      <c r="X109" s="235">
        <f>IFERROR(Таблица10[[#This Row],[СО ПП]]-Таблица10[[#This Row],[СО ДДУ]],"")</f>
        <v>0</v>
      </c>
      <c r="Y109" s="233" cm="1">
        <f t="array" ref="Y109">IFERROR(INDEX(РД[S],MATCH($Q$3&amp;Таблица10[[#This Row],[№]]&amp;"Продажа",РД[Дом]&amp;РД[№ кв]&amp;РД[Состояние],0),1),Таблица10[[#This Row],[Статус]])</f>
        <v>34.39</v>
      </c>
      <c r="Z109" s="233">
        <f>IF(Таблица10[[#This Row],[№]]&amp;"ДДУ"=ППД5!A106&amp;ППД5!CR106,ППД5!U106,ППД5!V106)</f>
        <v>34.39</v>
      </c>
      <c r="AA109" s="285">
        <f>IFERROR(Таблица10[[#This Row],[S ПП]]-Таблица10[[#This Row],[S ДДУ]],)</f>
        <v>0</v>
      </c>
      <c r="AB109" s="235">
        <f>ROUND(_xlfn.XLOOKUP(Таблица10[[#This Row],[№]],Реестр_Д5[№],Реестр_Д5[Итоговая сумма скидки],"",0),2)</f>
        <v>793250</v>
      </c>
      <c r="AC109" s="235" cm="1">
        <f t="array" ref="AC109">IFERROR(ROUND(_xlfn.XLOOKUP($Q$3&amp;Таблица10[[#This Row],[№]]&amp;"Продажа",РД[Дом]&amp;РД[№ кв]&amp;РД[Состояние],РД[Сумма скидки],"",0,-1),2),Таблица10[[#This Row],[Статус]])</f>
        <v>793250</v>
      </c>
      <c r="AD109" s="285">
        <f>IFERROR(Таблица10[[#This Row],[ППС]]-Таблица10[[#This Row],[ДДУС]],)</f>
        <v>0</v>
      </c>
      <c r="AE109" s="611"/>
      <c r="AT109" s="611"/>
      <c r="AU109" s="484">
        <f>VLOOKUP(ППД402!A106,Д402[],1,0)</f>
        <v>105</v>
      </c>
      <c r="AV109" s="484" t="str">
        <f>_xlfn.XLOOKUP(Т402[[#This Row],[№]],Д402[№],Д402[Статус],"-",0)</f>
        <v>Свободно</v>
      </c>
      <c r="AW109" s="613">
        <f>_xlfn.XLOOKUP(Т402[[#This Row],[№]],Д402[№],Д402[Стоимость ОН без отделки со скидкой],"-",0)</f>
        <v>6626300</v>
      </c>
      <c r="AX109" s="614" t="str" cm="1">
        <f t="array" ref="AX109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09" s="485" t="str">
        <f>IFERROR((Т402[[#This Row],[ПП]]-Т402[[#This Row],[ДДУ]])*1,"")</f>
        <v/>
      </c>
      <c r="AZ109" s="486" t="str" cm="1">
        <f t="array" ref="AZ109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09" s="485">
        <f>_xlfn.XLOOKUP(Т402[[#This Row],[№]],Д402[№],Д402[Стоимость квартиры с отделкой],"-",0)</f>
        <v>8260399.9999999981</v>
      </c>
      <c r="BB109" s="485" t="str">
        <f>IFERROR(Т402[[#This Row],[СО ПП]]-Т402[[#This Row],[СО ДДУ]],"")</f>
        <v/>
      </c>
      <c r="BC109" s="487" t="str" cm="1">
        <f t="array" ref="BC109">IFERROR(INDEX(РД[S],MATCH($AU$3&amp;Т402[[#This Row],[№]]&amp;"Продажа",РД[Дом]&amp;РД[№ кв]&amp;РД[Состояние],0),1),Т402[[#This Row],[Статус]])</f>
        <v>Свободно</v>
      </c>
      <c r="BD109" s="483">
        <f>_xlfn.XLOOKUP(Т402[[#This Row],[№]],Д402[№],Д402[Расчетная проектная площадь],"-",0)</f>
        <v>54.47</v>
      </c>
      <c r="BE109" s="485" t="str">
        <f>IFERROR(Т402[[#This Row],[S ПП]]-Т402[[#This Row],[S ДДУ]],"")</f>
        <v/>
      </c>
      <c r="BF109" s="485">
        <f>_xlfn.XLOOKUP(Т402[[#This Row],[№]],Д402[№],Д402[Итоговая сумма скидки],"-",0)</f>
        <v>0</v>
      </c>
      <c r="BG109" s="486" t="str" cm="1">
        <f t="array" ref="BG109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09" s="488" t="str">
        <f>IFERROR(Т402[[#This Row],[ППС]]-Т402[[#This Row],[ДДУС]],"")</f>
        <v/>
      </c>
    </row>
    <row r="110" spans="1:60" x14ac:dyDescent="0.2">
      <c r="A110" s="611"/>
      <c r="B110" s="234">
        <f>VLOOKUP(ППД4!A107,Реестр_Д4[№],1,0)</f>
        <v>106</v>
      </c>
      <c r="C110" s="234" t="str">
        <f>VLOOKUP(ППД4!CO107,Реестр_Д4[Статус],1,0)</f>
        <v>Продажа</v>
      </c>
      <c r="D110" s="612">
        <f>VLOOKUP(ППД4!CE107,Реестр_Д4[Стоимость ОН без отделки со скидкой],1,0)</f>
        <v>4958439.2699999996</v>
      </c>
      <c r="E110" s="612" cm="1">
        <f t="array" ref="E110">IFERROR(INDEX(РД[Стоимость без отделки итог],MATCH($B$3&amp;Таблица4[[#This Row],[№]]&amp;"Продажа",РД[Дом]&amp;РД[№ кв]&amp;РД[Состояние],0),1),Таблица4[[#This Row],[Статус]])</f>
        <v>4958439.2699999996</v>
      </c>
      <c r="F110" s="235">
        <f>IFERROR((Таблица4[[#This Row],[ПП]]-Таблица4[[#This Row],[ДДУ]])*1,"")</f>
        <v>0</v>
      </c>
      <c r="G110" s="235" cm="1">
        <f t="array" ref="G110">IFERROR(INDEX(РД[Стоимость с отделкой итог],MATCH($B$3&amp;Таблица4[[#This Row],[№]]&amp;"Продажа",РД[Дом]&amp;РД[№ кв]&amp;РД[Состояние],0),1),Таблица4[[#This Row],[Статус]])</f>
        <v>5205479.2699999996</v>
      </c>
      <c r="H110" s="235">
        <f>_xlfn.XLOOKUP(Таблица4[[#This Row],[№]],Реестр_Д4[№],Реестр_Д4[Стоимость квартиры с отделкой],"-",0)</f>
        <v>5205479.2699999996</v>
      </c>
      <c r="I110" s="235">
        <f>IFERROR(Таблица4[[#This Row],[СО ПП]]-Таблица4[[#This Row],[СО ДДУ]],"")</f>
        <v>0</v>
      </c>
      <c r="J110" s="233" cm="1">
        <f t="array" ref="J110">IFERROR(INDEX(РД[S],MATCH($B$3&amp;Таблица4[[#This Row],[№]]&amp;"Продажа",РД[Дом]&amp;РД[№ кв]&amp;РД[Состояние],0),1),Таблица4[[#This Row],[Статус]])</f>
        <v>61.76</v>
      </c>
      <c r="K110" s="233">
        <f>VLOOKUP(Таблица4[[#This Row],[№]],Реестр_Д4[],20,0)</f>
        <v>61.76</v>
      </c>
      <c r="L110" s="235">
        <f>IFERROR(Таблица4[[#This Row],[S ПП]]-Таблица4[[#This Row],[S ДДУ]],)</f>
        <v>0</v>
      </c>
      <c r="M110" s="235">
        <f>ROUND(_xlfn.XLOOKUP(Таблица4[[#This Row],[№]],Реестр_Д4[№],Реестр_Д4[Итоговая сумма скидки],"",0),2)</f>
        <v>0</v>
      </c>
      <c r="N110" s="235" cm="1">
        <f t="array" ref="N11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0" s="235">
        <f>IFERROR(Таблица4[[#This Row],[ППС]]-Таблица4[[#This Row],[ДДУС]],)</f>
        <v>0</v>
      </c>
      <c r="P110" s="611"/>
      <c r="Q110" s="234">
        <f>VLOOKUP(ППД5!A107,Реестр_Д5[№],1,0)</f>
        <v>106</v>
      </c>
      <c r="R110" s="234" t="str">
        <f>VLOOKUP(ППД5!CH107,Реестр_Д5[Статус],1,0)</f>
        <v>Продажа</v>
      </c>
      <c r="S110" s="612">
        <f>VLOOKUP(ППД5!BZ107,Реестр_Д5[Стоимость ОН без отделки со скидкой],1,0)</f>
        <v>6651200</v>
      </c>
      <c r="T110" s="612" cm="1">
        <f t="array" ref="T110">IFERROR(INDEX(РД[Стоимость без отделки итог],MATCH($Q$3&amp;Таблица10[[#This Row],[№]]&amp;"Продажа",РД[Дом]&amp;РД[№ кв]&amp;РД[Состояние],0),1),Таблица10[[#This Row],[Статус]])</f>
        <v>6651200</v>
      </c>
      <c r="U110" s="235">
        <f>IFERROR((Таблица10[[#This Row],[ПП]]-Таблица10[[#This Row],[ДДУ]])*1,)</f>
        <v>0</v>
      </c>
      <c r="V110" s="235" cm="1">
        <f t="array" ref="V110">IFERROR(INDEX(РД[Стоимость с отделкой итог],MATCH($Q$3&amp;Таблица10[[#This Row],[№]]&amp;"Продажа",РД[Дом]&amp;РД[№ кв]&amp;РД[Состояние],0),1),Таблица10[[#This Row],[Статус]])</f>
        <v>8021200</v>
      </c>
      <c r="W110" s="235">
        <f>_xlfn.XLOOKUP(Таблица10[[#This Row],[№]],Реестр_Д5[№],Реестр_Д5[Стоимость квартиры с отделкой],"-",0)</f>
        <v>8021200</v>
      </c>
      <c r="X110" s="235">
        <f>IFERROR(Таблица10[[#This Row],[СО ПП]]-Таблица10[[#This Row],[СО ДДУ]],"")</f>
        <v>0</v>
      </c>
      <c r="Y110" s="233" cm="1">
        <f t="array" ref="Y110">IFERROR(INDEX(РД[S],MATCH($Q$3&amp;Таблица10[[#This Row],[№]]&amp;"Продажа",РД[Дом]&amp;РД[№ кв]&amp;РД[Состояние],0),1),Таблица10[[#This Row],[Статус]])</f>
        <v>68.5</v>
      </c>
      <c r="Z110" s="233">
        <f>IF(Таблица10[[#This Row],[№]]&amp;"ДДУ"=ППД5!A107&amp;ППД5!CR107,ППД5!U107,ППД5!V107)</f>
        <v>68.5</v>
      </c>
      <c r="AA110" s="285">
        <f>IFERROR(Таблица10[[#This Row],[S ПП]]-Таблица10[[#This Row],[S ДДУ]],)</f>
        <v>0</v>
      </c>
      <c r="AB110" s="235">
        <f>ROUND(_xlfn.XLOOKUP(Таблица10[[#This Row],[№]],Реестр_Д5[№],Реестр_Д5[Итоговая сумма скидки],"",0),2)</f>
        <v>200000</v>
      </c>
      <c r="AC110" s="235" cm="1">
        <f t="array" ref="AC110">IFERROR(ROUND(_xlfn.XLOOKUP($Q$3&amp;Таблица10[[#This Row],[№]]&amp;"Продажа",РД[Дом]&amp;РД[№ кв]&amp;РД[Состояние],РД[Сумма скидки],"",0,-1),2),Таблица10[[#This Row],[Статус]])</f>
        <v>200000</v>
      </c>
      <c r="AD110" s="285">
        <f>IFERROR(Таблица10[[#This Row],[ППС]]-Таблица10[[#This Row],[ДДУС]],)</f>
        <v>0</v>
      </c>
      <c r="AE110" s="611"/>
      <c r="AT110" s="611"/>
      <c r="AU110" s="484">
        <f>VLOOKUP(ППД402!A107,Д402[],1,0)</f>
        <v>106</v>
      </c>
      <c r="AV110" s="484" t="str">
        <f>_xlfn.XLOOKUP(Т402[[#This Row],[№]],Д402[№],Д402[Статус],"-",0)</f>
        <v>Стр. Резерв</v>
      </c>
      <c r="AW110" s="613">
        <f>_xlfn.XLOOKUP(Т402[[#This Row],[№]],Д402[№],Д402[Стоимость ОН без отделки со скидкой],"-",0)</f>
        <v>6741400</v>
      </c>
      <c r="AX110" s="614" t="str" cm="1">
        <f t="array" ref="AX11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0" s="485" t="str">
        <f>IFERROR((Т402[[#This Row],[ПП]]-Т402[[#This Row],[ДДУ]])*1,"")</f>
        <v/>
      </c>
      <c r="AZ110" s="486" t="str" cm="1">
        <f t="array" ref="AZ11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0" s="485">
        <f>_xlfn.XLOOKUP(Т402[[#This Row],[№]],Д402[№],Д402[Стоимость квартиры с отделкой],"-",0)</f>
        <v>6741400</v>
      </c>
      <c r="BB110" s="485" t="str">
        <f>IFERROR(Т402[[#This Row],[СО ПП]]-Т402[[#This Row],[СО ДДУ]],"")</f>
        <v/>
      </c>
      <c r="BC110" s="487" t="str" cm="1">
        <f t="array" ref="BC110">IFERROR(INDEX(РД[S],MATCH($AU$3&amp;Т402[[#This Row],[№]]&amp;"Продажа",РД[Дом]&amp;РД[№ кв]&amp;РД[Состояние],0),1),Т402[[#This Row],[Статус]])</f>
        <v>Стр. Резерв</v>
      </c>
      <c r="BD110" s="483">
        <f>_xlfn.XLOOKUP(Т402[[#This Row],[№]],Д402[№],Д402[Расчетная проектная площадь],"-",0)</f>
        <v>54.4</v>
      </c>
      <c r="BE110" s="485" t="str">
        <f>IFERROR(Т402[[#This Row],[S ПП]]-Т402[[#This Row],[S ДДУ]],"")</f>
        <v/>
      </c>
      <c r="BF110" s="485">
        <f>_xlfn.XLOOKUP(Т402[[#This Row],[№]],Д402[№],Д402[Итоговая сумма скидки],"-",0)</f>
        <v>0</v>
      </c>
      <c r="BG110" s="486" t="str" cm="1">
        <f t="array" ref="BG11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0" s="488" t="str">
        <f>IFERROR(Т402[[#This Row],[ППС]]-Т402[[#This Row],[ДДУС]],"")</f>
        <v/>
      </c>
    </row>
    <row r="111" spans="1:60" x14ac:dyDescent="0.2">
      <c r="A111" s="611"/>
      <c r="B111" s="234">
        <f>VLOOKUP(ППД4!A108,Реестр_Д4[№],1,0)</f>
        <v>107</v>
      </c>
      <c r="C111" s="234" t="str">
        <f>VLOOKUP(ППД4!CO108,Реестр_Д4[Статус],1,0)</f>
        <v>Продажа</v>
      </c>
      <c r="D111" s="612">
        <f>VLOOKUP(ППД4!CE108,Реестр_Д4[Стоимость ОН без отделки со скидкой],1,0)</f>
        <v>3085370.63</v>
      </c>
      <c r="E111" s="612" cm="1">
        <f t="array" ref="E111">IFERROR(INDEX(РД[Стоимость без отделки итог],MATCH($B$3&amp;Таблица4[[#This Row],[№]]&amp;"Продажа",РД[Дом]&amp;РД[№ кв]&amp;РД[Состояние],0),1),Таблица4[[#This Row],[Статус]])</f>
        <v>3085370.6300000004</v>
      </c>
      <c r="F111" s="235">
        <f>IFERROR((Таблица4[[#This Row],[ПП]]-Таблица4[[#This Row],[ДДУ]])*1,"")</f>
        <v>-4.6566128730773926E-10</v>
      </c>
      <c r="G111" s="235" cm="1">
        <f t="array" ref="G111">IFERROR(INDEX(РД[Стоимость с отделкой итог],MATCH($B$3&amp;Таблица4[[#This Row],[№]]&amp;"Продажа",РД[Дом]&amp;РД[№ кв]&amp;РД[Состояние],0),1),Таблица4[[#This Row],[Статус]])</f>
        <v>3618470.63</v>
      </c>
      <c r="H111" s="235">
        <f>_xlfn.XLOOKUP(Таблица4[[#This Row],[№]],Реестр_Д4[№],Реестр_Д4[Стоимость квартиры с отделкой],"-",0)</f>
        <v>3618470.63</v>
      </c>
      <c r="I111" s="235">
        <f>IFERROR(Таблица4[[#This Row],[СО ПП]]-Таблица4[[#This Row],[СО ДДУ]],"")</f>
        <v>0</v>
      </c>
      <c r="J111" s="233" cm="1">
        <f t="array" ref="J111">IFERROR(INDEX(РД[S],MATCH($B$3&amp;Таблица4[[#This Row],[№]]&amp;"Продажа",РД[Дом]&amp;РД[№ кв]&amp;РД[Состояние],0),1),Таблица4[[#This Row],[Статус]])</f>
        <v>35.54</v>
      </c>
      <c r="K111" s="233">
        <f>VLOOKUP(Таблица4[[#This Row],[№]],Реестр_Д4[],20,0)</f>
        <v>35.54</v>
      </c>
      <c r="L111" s="235">
        <f>IFERROR(Таблица4[[#This Row],[S ПП]]-Таблица4[[#This Row],[S ДДУ]],)</f>
        <v>0</v>
      </c>
      <c r="M111" s="235">
        <f>ROUND(_xlfn.XLOOKUP(Таблица4[[#This Row],[№]],Реестр_Д4[№],Реестр_Д4[Итоговая сумма скидки],"",0),2)</f>
        <v>0</v>
      </c>
      <c r="N111" s="235" cm="1">
        <f t="array" ref="N11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1" s="235">
        <f>IFERROR(Таблица4[[#This Row],[ППС]]-Таблица4[[#This Row],[ДДУС]],)</f>
        <v>0</v>
      </c>
      <c r="P111" s="611"/>
      <c r="Q111" s="234">
        <f>VLOOKUP(ППД5!A108,Реестр_Д5[№],1,0)</f>
        <v>107</v>
      </c>
      <c r="R111" s="234" t="str">
        <f>VLOOKUP(ППД5!CH108,Реестр_Д5[Статус],1,0)</f>
        <v>Продажа</v>
      </c>
      <c r="S111" s="612">
        <f>VLOOKUP(ППД5!BZ108,Реестр_Д5[Стоимость ОН без отделки со скидкой],1,0)</f>
        <v>3305204.6</v>
      </c>
      <c r="T111" s="612" cm="1">
        <f t="array" ref="T111">IFERROR(INDEX(РД[Стоимость без отделки итог],MATCH($Q$3&amp;Таблица10[[#This Row],[№]]&amp;"Продажа",РД[Дом]&amp;РД[№ кв]&amp;РД[Состояние],0),1),Таблица10[[#This Row],[Статус]])</f>
        <v>3305204.6</v>
      </c>
      <c r="U111" s="235">
        <f>IFERROR((Таблица10[[#This Row],[ПП]]-Таблица10[[#This Row],[ДДУ]])*1,)</f>
        <v>0</v>
      </c>
      <c r="V111" s="235" cm="1">
        <f t="array" ref="V111">IFERROR(INDEX(РД[Стоимость с отделкой итог],MATCH($Q$3&amp;Таблица10[[#This Row],[№]]&amp;"Продажа",РД[Дом]&amp;РД[№ кв]&amp;РД[Состояние],0),1),Таблица10[[#This Row],[Статус]])</f>
        <v>3456124.6</v>
      </c>
      <c r="W111" s="235">
        <f>_xlfn.XLOOKUP(Таблица10[[#This Row],[№]],Реестр_Д5[№],Реестр_Д5[Стоимость квартиры с отделкой],"-",0)</f>
        <v>3456124.6</v>
      </c>
      <c r="X111" s="235">
        <f>IFERROR(Таблица10[[#This Row],[СО ПП]]-Таблица10[[#This Row],[СО ДДУ]],"")</f>
        <v>0</v>
      </c>
      <c r="Y111" s="233" cm="1">
        <f t="array" ref="Y111">IFERROR(INDEX(РД[S],MATCH($Q$3&amp;Таблица10[[#This Row],[№]]&amp;"Продажа",РД[Дом]&amp;РД[№ кв]&amp;РД[Состояние],0),1),Таблица10[[#This Row],[Статус]])</f>
        <v>37.729999999999997</v>
      </c>
      <c r="Z111" s="233">
        <f>IF(Таблица10[[#This Row],[№]]&amp;"ДДУ"=ППД5!A108&amp;ППД5!CR108,ППД5!U108,ППД5!V108)</f>
        <v>37.729999999999997</v>
      </c>
      <c r="AA111" s="285">
        <f>IFERROR(Таблица10[[#This Row],[S ПП]]-Таблица10[[#This Row],[S ДДУ]],)</f>
        <v>0</v>
      </c>
      <c r="AB111" s="235">
        <f>ROUND(_xlfn.XLOOKUP(Таблица10[[#This Row],[№]],Реестр_Д5[№],Реестр_Д5[Итоговая сумма скидки],"",0),2)</f>
        <v>0</v>
      </c>
      <c r="AC111" s="235" cm="1">
        <f t="array" ref="AC11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11" s="285">
        <f>IFERROR(Таблица10[[#This Row],[ППС]]-Таблица10[[#This Row],[ДДУС]],)</f>
        <v>0</v>
      </c>
      <c r="AE111" s="611"/>
      <c r="AT111" s="611"/>
      <c r="AU111" s="484">
        <f>VLOOKUP(ППД402!A108,Д402[],1,0)</f>
        <v>107</v>
      </c>
      <c r="AV111" s="484" t="str">
        <f>_xlfn.XLOOKUP(Т402[[#This Row],[№]],Д402[№],Д402[Статус],"-",0)</f>
        <v>Свободно</v>
      </c>
      <c r="AW111" s="613">
        <f>_xlfn.XLOOKUP(Т402[[#This Row],[№]],Д402[№],Д402[Стоимость ОН без отделки со скидкой],"-",0)</f>
        <v>5030900</v>
      </c>
      <c r="AX111" s="614" t="str" cm="1">
        <f t="array" ref="AX11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11" s="485" t="str">
        <f>IFERROR((Т402[[#This Row],[ПП]]-Т402[[#This Row],[ДДУ]])*1,"")</f>
        <v/>
      </c>
      <c r="AZ111" s="486" t="str" cm="1">
        <f t="array" ref="AZ11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11" s="485">
        <f>_xlfn.XLOOKUP(Т402[[#This Row],[№]],Д402[№],Д402[Стоимость квартиры с отделкой],"-",0)</f>
        <v>5030900</v>
      </c>
      <c r="BB111" s="485" t="str">
        <f>IFERROR(Т402[[#This Row],[СО ПП]]-Т402[[#This Row],[СО ДДУ]],"")</f>
        <v/>
      </c>
      <c r="BC111" s="487" t="str" cm="1">
        <f t="array" ref="BC111">IFERROR(INDEX(РД[S],MATCH($AU$3&amp;Т402[[#This Row],[№]]&amp;"Продажа",РД[Дом]&amp;РД[№ кв]&amp;РД[Состояние],0),1),Т402[[#This Row],[Статус]])</f>
        <v>Свободно</v>
      </c>
      <c r="BD111" s="483">
        <f>_xlfn.XLOOKUP(Т402[[#This Row],[№]],Д402[№],Д402[Расчетная проектная площадь],"-",0)</f>
        <v>36.64</v>
      </c>
      <c r="BE111" s="485" t="str">
        <f>IFERROR(Т402[[#This Row],[S ПП]]-Т402[[#This Row],[S ДДУ]],"")</f>
        <v/>
      </c>
      <c r="BF111" s="485">
        <f>_xlfn.XLOOKUP(Т402[[#This Row],[№]],Д402[№],Д402[Итоговая сумма скидки],"-",0)</f>
        <v>0</v>
      </c>
      <c r="BG111" s="486" t="str" cm="1">
        <f t="array" ref="BG11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11" s="488" t="str">
        <f>IFERROR(Т402[[#This Row],[ППС]]-Т402[[#This Row],[ДДУС]],"")</f>
        <v/>
      </c>
    </row>
    <row r="112" spans="1:60" x14ac:dyDescent="0.2">
      <c r="A112" s="611"/>
      <c r="B112" s="234">
        <f>VLOOKUP(ППД4!A109,Реестр_Д4[№],1,0)</f>
        <v>108</v>
      </c>
      <c r="C112" s="234" t="str">
        <f>VLOOKUP(ППД4!CO109,Реестр_Д4[Статус],1,0)</f>
        <v>Продажа</v>
      </c>
      <c r="D112" s="612">
        <f>VLOOKUP(ППД4!CE109,Реестр_Д4[Стоимость ОН без отделки со скидкой],1,0)</f>
        <v>4469694.6500000004</v>
      </c>
      <c r="E112" s="612" cm="1">
        <f t="array" ref="E112">IFERROR(INDEX(РД[Стоимость без отделки итог],MATCH($B$3&amp;Таблица4[[#This Row],[№]]&amp;"Продажа",РД[Дом]&amp;РД[№ кв]&amp;РД[Состояние],0),1),Таблица4[[#This Row],[Статус]])</f>
        <v>4469694.6500000004</v>
      </c>
      <c r="F112" s="235">
        <f>IFERROR((Таблица4[[#This Row],[ПП]]-Таблица4[[#This Row],[ДДУ]])*1,"")</f>
        <v>0</v>
      </c>
      <c r="G112" s="235" cm="1">
        <f t="array" ref="G112">IFERROR(INDEX(РД[Стоимость с отделкой итог],MATCH($B$3&amp;Таблица4[[#This Row],[№]]&amp;"Продажа",РД[Дом]&amp;РД[№ кв]&amp;РД[Состояние],0),1),Таблица4[[#This Row],[Статус]])</f>
        <v>4693814.6500000004</v>
      </c>
      <c r="H112" s="235">
        <f>_xlfn.XLOOKUP(Таблица4[[#This Row],[№]],Реестр_Д4[№],Реестр_Д4[Стоимость квартиры с отделкой],"-",0)</f>
        <v>4693814.6500000004</v>
      </c>
      <c r="I112" s="235">
        <f>IFERROR(Таблица4[[#This Row],[СО ПП]]-Таблица4[[#This Row],[СО ДДУ]],"")</f>
        <v>0</v>
      </c>
      <c r="J112" s="233" cm="1">
        <f t="array" ref="J112">IFERROR(INDEX(РД[S],MATCH($B$3&amp;Таблица4[[#This Row],[№]]&amp;"Продажа",РД[Дом]&amp;РД[№ кв]&amp;РД[Состояние],0),1),Таблица4[[#This Row],[Статус]])</f>
        <v>56.03</v>
      </c>
      <c r="K112" s="233">
        <f>VLOOKUP(Таблица4[[#This Row],[№]],Реестр_Д4[],20,0)</f>
        <v>56.03</v>
      </c>
      <c r="L112" s="235">
        <f>IFERROR(Таблица4[[#This Row],[S ПП]]-Таблица4[[#This Row],[S ДДУ]],)</f>
        <v>0</v>
      </c>
      <c r="M112" s="235">
        <f>ROUND(_xlfn.XLOOKUP(Таблица4[[#This Row],[№]],Реестр_Д4[№],Реестр_Д4[Итоговая сумма скидки],"",0),2)</f>
        <v>120000</v>
      </c>
      <c r="N112" s="235" cm="1">
        <f t="array" ref="N112">IFERROR(ROUND(_xlfn.XLOOKUP($B$3&amp;Таблица4[[#This Row],[№]]&amp;"Продажа",РД[Дом]&amp;РД[№ кв]&amp;РД[Состояние],РД[Сумма скидки],"",0),2),Таблица4[[#This Row],[Статус]])</f>
        <v>120000</v>
      </c>
      <c r="O112" s="235">
        <f>IFERROR(Таблица4[[#This Row],[ППС]]-Таблица4[[#This Row],[ДДУС]],)</f>
        <v>0</v>
      </c>
      <c r="P112" s="611"/>
      <c r="Q112" s="234">
        <f>VLOOKUP(ППД5!A109,Реестр_Д5[№],1,0)</f>
        <v>108</v>
      </c>
      <c r="R112" s="234" t="str">
        <f>VLOOKUP(ППД5!CH109,Реестр_Д5[Статус],1,0)</f>
        <v>Продажа</v>
      </c>
      <c r="S112" s="612">
        <f>VLOOKUP(ППД5!BZ109,Реестр_Д5[Стоимость ОН без отделки со скидкой],1,0)</f>
        <v>6666398</v>
      </c>
      <c r="T112" s="612" cm="1">
        <f t="array" ref="T112">IFERROR(INDEX(РД[Стоимость без отделки итог],MATCH($Q$3&amp;Таблица10[[#This Row],[№]]&amp;"Продажа",РД[Дом]&amp;РД[№ кв]&amp;РД[Состояние],0),1),Таблица10[[#This Row],[Статус]])</f>
        <v>6666398</v>
      </c>
      <c r="U112" s="235">
        <f>IFERROR((Таблица10[[#This Row],[ПП]]-Таблица10[[#This Row],[ДДУ]])*1,)</f>
        <v>0</v>
      </c>
      <c r="V112" s="235" cm="1">
        <f t="array" ref="V112">IFERROR(INDEX(РД[Стоимость с отделкой итог],MATCH($Q$3&amp;Таблица10[[#This Row],[№]]&amp;"Продажа",РД[Дом]&amp;РД[№ кв]&amp;РД[Состояние],0),1),Таблица10[[#This Row],[Статус]])</f>
        <v>8143648</v>
      </c>
      <c r="W112" s="235">
        <f>_xlfn.XLOOKUP(Таблица10[[#This Row],[№]],Реестр_Д5[№],Реестр_Д5[Стоимость квартиры с отделкой],"-",0)</f>
        <v>8143648.0000000019</v>
      </c>
      <c r="X112" s="235">
        <f>IFERROR(Таблица10[[#This Row],[СО ПП]]-Таблица10[[#This Row],[СО ДДУ]],"")</f>
        <v>1.862645149230957E-9</v>
      </c>
      <c r="Y112" s="233" cm="1">
        <f t="array" ref="Y112">IFERROR(INDEX(РД[S],MATCH($Q$3&amp;Таблица10[[#This Row],[№]]&amp;"Продажа",РД[Дом]&amp;РД[№ кв]&amp;РД[Состояние],0),1),Таблица10[[#This Row],[Статус]])</f>
        <v>59.09</v>
      </c>
      <c r="Z112" s="233">
        <f>IF(Таблица10[[#This Row],[№]]&amp;"ДДУ"=ППД5!A109&amp;ППД5!CR109,ППД5!U109,ППД5!V109)</f>
        <v>59.09</v>
      </c>
      <c r="AA112" s="285">
        <f>IFERROR(Таблица10[[#This Row],[S ПП]]-Таблица10[[#This Row],[S ДДУ]],)</f>
        <v>0</v>
      </c>
      <c r="AB112" s="235">
        <f>ROUND(_xlfn.XLOOKUP(Таблица10[[#This Row],[№]],Реестр_Д5[№],Реестр_Д5[Итоговая сумма скидки],"",0),2)</f>
        <v>567002</v>
      </c>
      <c r="AC112" s="235" cm="1">
        <f t="array" ref="AC112">IFERROR(ROUND(_xlfn.XLOOKUP($Q$3&amp;Таблица10[[#This Row],[№]]&amp;"Продажа",РД[Дом]&amp;РД[№ кв]&amp;РД[Состояние],РД[Сумма скидки],"",0,-1),2),Таблица10[[#This Row],[Статус]])</f>
        <v>567002</v>
      </c>
      <c r="AD112" s="285">
        <f>IFERROR(Таблица10[[#This Row],[ППС]]-Таблица10[[#This Row],[ДДУС]],)</f>
        <v>0</v>
      </c>
      <c r="AE112" s="611"/>
      <c r="AT112" s="611"/>
      <c r="AU112" s="484">
        <f>VLOOKUP(ППД402!A109,Д402[],1,0)</f>
        <v>108</v>
      </c>
      <c r="AV112" s="484" t="str">
        <f>_xlfn.XLOOKUP(Т402[[#This Row],[№]],Д402[№],Д402[Статус],"-",0)</f>
        <v>Стр. Резерв</v>
      </c>
      <c r="AW112" s="613">
        <f>_xlfn.XLOOKUP(Т402[[#This Row],[№]],Д402[№],Д402[Стоимость ОН без отделки со скидкой],"-",0)</f>
        <v>5937400</v>
      </c>
      <c r="AX112" s="614" t="str" cm="1">
        <f t="array" ref="AX11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2" s="485" t="str">
        <f>IFERROR((Т402[[#This Row],[ПП]]-Т402[[#This Row],[ДДУ]])*1,"")</f>
        <v/>
      </c>
      <c r="AZ112" s="486" t="str" cm="1">
        <f t="array" ref="AZ11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2" s="485">
        <f>_xlfn.XLOOKUP(Т402[[#This Row],[№]],Д402[№],Д402[Стоимость квартиры с отделкой],"-",0)</f>
        <v>5937400</v>
      </c>
      <c r="BB112" s="485" t="str">
        <f>IFERROR(Т402[[#This Row],[СО ПП]]-Т402[[#This Row],[СО ДДУ]],"")</f>
        <v/>
      </c>
      <c r="BC112" s="487" t="str" cm="1">
        <f t="array" ref="BC112">IFERROR(INDEX(РД[S],MATCH($AU$3&amp;Т402[[#This Row],[№]]&amp;"Продажа",РД[Дом]&amp;РД[№ кв]&amp;РД[Состояние],0),1),Т402[[#This Row],[Статус]])</f>
        <v>Стр. Резерв</v>
      </c>
      <c r="BD112" s="483">
        <f>_xlfn.XLOOKUP(Т402[[#This Row],[№]],Д402[№],Д402[Расчетная проектная площадь],"-",0)</f>
        <v>44.9</v>
      </c>
      <c r="BE112" s="485" t="str">
        <f>IFERROR(Т402[[#This Row],[S ПП]]-Т402[[#This Row],[S ДДУ]],"")</f>
        <v/>
      </c>
      <c r="BF112" s="485">
        <f>_xlfn.XLOOKUP(Т402[[#This Row],[№]],Д402[№],Д402[Итоговая сумма скидки],"-",0)</f>
        <v>0</v>
      </c>
      <c r="BG112" s="486" t="str" cm="1">
        <f t="array" ref="BG11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2" s="488" t="str">
        <f>IFERROR(Т402[[#This Row],[ППС]]-Т402[[#This Row],[ДДУС]],"")</f>
        <v/>
      </c>
    </row>
    <row r="113" spans="1:60" x14ac:dyDescent="0.2">
      <c r="A113" s="611"/>
      <c r="B113" s="234">
        <f>VLOOKUP(ППД4!A110,Реестр_Д4[№],1,0)</f>
        <v>109</v>
      </c>
      <c r="C113" s="234" t="str">
        <f>VLOOKUP(ППД4!CO110,Реестр_Д4[Статус],1,0)</f>
        <v>Продажа</v>
      </c>
      <c r="D113" s="612">
        <f>VLOOKUP(ППД4!CE110,Реестр_Д4[Стоимость ОН без отделки со скидкой],1,0)</f>
        <v>4766774</v>
      </c>
      <c r="E113" s="612" cm="1">
        <f t="array" ref="E113">IFERROR(INDEX(РД[Стоимость без отделки итог],MATCH($B$3&amp;Таблица4[[#This Row],[№]]&amp;"Продажа",РД[Дом]&amp;РД[№ кв]&amp;РД[Состояние],0),1),Таблица4[[#This Row],[Статус]])</f>
        <v>4766774</v>
      </c>
      <c r="F113" s="235">
        <f>IFERROR((Таблица4[[#This Row],[ПП]]-Таблица4[[#This Row],[ДДУ]])*1,"")</f>
        <v>0</v>
      </c>
      <c r="G113" s="235" cm="1">
        <f t="array" ref="G113">IFERROR(INDEX(РД[Стоимость с отделкой итог],MATCH($B$3&amp;Таблица4[[#This Row],[№]]&amp;"Продажа",РД[Дом]&amp;РД[№ кв]&amp;РД[Состояние],0),1),Таблица4[[#This Row],[Статус]])</f>
        <v>5176724</v>
      </c>
      <c r="H113" s="235">
        <f>_xlfn.XLOOKUP(Таблица4[[#This Row],[№]],Реестр_Д4[№],Реестр_Д4[Стоимость квартиры с отделкой],"-",0)</f>
        <v>5176724</v>
      </c>
      <c r="I113" s="235">
        <f>IFERROR(Таблица4[[#This Row],[СО ПП]]-Таблица4[[#This Row],[СО ДДУ]],"")</f>
        <v>0</v>
      </c>
      <c r="J113" s="233" cm="1">
        <f t="array" ref="J113">IFERROR(INDEX(РД[S],MATCH($B$3&amp;Таблица4[[#This Row],[№]]&amp;"Продажа",РД[Дом]&amp;РД[№ кв]&amp;РД[Состояние],0),1),Таблица4[[#This Row],[Статус]])</f>
        <v>54.66</v>
      </c>
      <c r="K113" s="233">
        <f>VLOOKUP(Таблица4[[#This Row],[№]],Реестр_Д4[],20,0)</f>
        <v>54.66</v>
      </c>
      <c r="L113" s="235">
        <f>IFERROR(Таблица4[[#This Row],[S ПП]]-Таблица4[[#This Row],[S ДДУ]],)</f>
        <v>0</v>
      </c>
      <c r="M113" s="235">
        <f>ROUND(_xlfn.XLOOKUP(Таблица4[[#This Row],[№]],Реестр_Д4[№],Реестр_Д4[Итоговая сумма скидки],"",0),2)</f>
        <v>147426</v>
      </c>
      <c r="N113" s="235" cm="1">
        <f t="array" ref="N113">IFERROR(ROUND(_xlfn.XLOOKUP($B$3&amp;Таблица4[[#This Row],[№]]&amp;"Продажа",РД[Дом]&amp;РД[№ кв]&amp;РД[Состояние],РД[Сумма скидки],"",0),2),Таблица4[[#This Row],[Статус]])</f>
        <v>147426</v>
      </c>
      <c r="O113" s="235">
        <f>IFERROR(Таблица4[[#This Row],[ППС]]-Таблица4[[#This Row],[ДДУС]],)</f>
        <v>0</v>
      </c>
      <c r="P113" s="611"/>
      <c r="Q113" s="234">
        <f>VLOOKUP(ППД5!A110,Реестр_Д5[№],1,0)</f>
        <v>109</v>
      </c>
      <c r="R113" s="234" t="str">
        <f>VLOOKUP(ППД5!CH110,Реестр_Д5[Статус],1,0)</f>
        <v>Продажа</v>
      </c>
      <c r="S113" s="612">
        <f>VLOOKUP(ППД5!BZ110,Реестр_Д5[Стоимость ОН без отделки со скидкой],1,0)</f>
        <v>6076900</v>
      </c>
      <c r="T113" s="612" cm="1">
        <f t="array" ref="T113">IFERROR(INDEX(РД[Стоимость без отделки итог],MATCH($Q$3&amp;Таблица10[[#This Row],[№]]&amp;"Продажа",РД[Дом]&amp;РД[№ кв]&amp;РД[Состояние],0),1),Таблица10[[#This Row],[Статус]])</f>
        <v>6076900</v>
      </c>
      <c r="U113" s="235">
        <f>IFERROR((Таблица10[[#This Row],[ПП]]-Таблица10[[#This Row],[ДДУ]])*1,)</f>
        <v>0</v>
      </c>
      <c r="V113" s="235" cm="1">
        <f t="array" ref="V113">IFERROR(INDEX(РД[Стоимость с отделкой итог],MATCH($Q$3&amp;Таблица10[[#This Row],[№]]&amp;"Продажа",РД[Дом]&amp;РД[№ кв]&amp;РД[Состояние],0),1),Таблица10[[#This Row],[Статус]])</f>
        <v>6076900</v>
      </c>
      <c r="W113" s="235">
        <f>_xlfn.XLOOKUP(Таблица10[[#This Row],[№]],Реестр_Д5[№],Реестр_Д5[Стоимость квартиры с отделкой],"-",0)</f>
        <v>6076900</v>
      </c>
      <c r="X113" s="235">
        <f>IFERROR(Таблица10[[#This Row],[СО ПП]]-Таблица10[[#This Row],[СО ДДУ]],"")</f>
        <v>0</v>
      </c>
      <c r="Y113" s="233" cm="1">
        <f t="array" ref="Y113">IFERROR(INDEX(РД[S],MATCH($Q$3&amp;Таблица10[[#This Row],[№]]&amp;"Продажа",РД[Дом]&amp;РД[№ кв]&amp;РД[Состояние],0),1),Таблица10[[#This Row],[Статус]])</f>
        <v>62.17</v>
      </c>
      <c r="Z113" s="233">
        <f>IF(Таблица10[[#This Row],[№]]&amp;"ДДУ"=ППД5!A110&amp;ППД5!CR110,ППД5!U110,ППД5!V110)</f>
        <v>62.17</v>
      </c>
      <c r="AA113" s="285">
        <f>IFERROR(Таблица10[[#This Row],[S ПП]]-Таблица10[[#This Row],[S ДДУ]],)</f>
        <v>0</v>
      </c>
      <c r="AB113" s="235">
        <f>ROUND(_xlfn.XLOOKUP(Таблица10[[#This Row],[№]],Реестр_Д5[№],Реестр_Д5[Итоговая сумма скидки],"",0),2)</f>
        <v>0</v>
      </c>
      <c r="AC113" s="235" cm="1">
        <f t="array" ref="AC11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13" s="285">
        <f>IFERROR(Таблица10[[#This Row],[ППС]]-Таблица10[[#This Row],[ДДУС]],)</f>
        <v>0</v>
      </c>
      <c r="AE113" s="611"/>
      <c r="AT113" s="611"/>
      <c r="AU113" s="484">
        <f>VLOOKUP(ППД402!A110,Д402[],1,0)</f>
        <v>109</v>
      </c>
      <c r="AV113" s="484" t="str">
        <f>_xlfn.XLOOKUP(Т402[[#This Row],[№]],Д402[№],Д402[Статус],"-",0)</f>
        <v>Продажа</v>
      </c>
      <c r="AW113" s="613">
        <f>_xlfn.XLOOKUP(Т402[[#This Row],[№]],Д402[№],Д402[Стоимость ОН без отделки со скидкой],"-",0)</f>
        <v>7650370</v>
      </c>
      <c r="AX113" s="614" cm="1">
        <f t="array" ref="AX113">IFERROR(INDEX(РД[Стоимость без отделки итог],MATCH($AU$3&amp;Т402[[#This Row],[№]]&amp;"Продажа",РД[Дом]&amp;РД[№ кв]&amp;РД[Состояние],0),1),Т402[[#This Row],[Статус]])</f>
        <v>7650370</v>
      </c>
      <c r="AY113" s="485">
        <f>IFERROR((Т402[[#This Row],[ПП]]-Т402[[#This Row],[ДДУ]])*1,"")</f>
        <v>0</v>
      </c>
      <c r="AZ113" s="486" cm="1">
        <f t="array" ref="AZ113">IFERROR(INDEX(РД[Стоимость с отделкой итог],MATCH($AU$3&amp;Т402[[#This Row],[№]]&amp;"Продажа",РД[Дом]&amp;РД[№ кв]&amp;РД[Состояние],0),1),Т402[[#This Row],[Статус]])</f>
        <v>7650370</v>
      </c>
      <c r="BA113" s="485">
        <f>_xlfn.XLOOKUP(Т402[[#This Row],[№]],Д402[№],Д402[Стоимость квартиры с отделкой],"-",0)</f>
        <v>7650370</v>
      </c>
      <c r="BB113" s="485">
        <f>IFERROR(Т402[[#This Row],[СО ПП]]-Т402[[#This Row],[СО ДДУ]],"")</f>
        <v>0</v>
      </c>
      <c r="BC113" s="487" cm="1">
        <f t="array" ref="BC113">IFERROR(INDEX(РД[S],MATCH($AU$3&amp;Т402[[#This Row],[№]]&amp;"Продажа",РД[Дом]&amp;РД[№ кв]&amp;РД[Состояние],0),1),Т402[[#This Row],[Статус]])</f>
        <v>65.72</v>
      </c>
      <c r="BD113" s="483">
        <f>_xlfn.XLOOKUP(Т402[[#This Row],[№]],Д402[№],Д402[Расчетная проектная площадь],"-",0)</f>
        <v>65.72</v>
      </c>
      <c r="BE113" s="485">
        <f>IFERROR(Т402[[#This Row],[S ПП]]-Т402[[#This Row],[S ДДУ]],"")</f>
        <v>0</v>
      </c>
      <c r="BF113" s="485">
        <f>_xlfn.XLOOKUP(Т402[[#This Row],[№]],Д402[№],Д402[Итоговая сумма скидки],"-",0)</f>
        <v>156130</v>
      </c>
      <c r="BG113" s="486" cm="1">
        <f t="array" ref="BG113">IFERROR(ROUND(_xlfn.XLOOKUP($AU$3&amp;Т402[[#This Row],[№]]&amp;"Продажа",РД[Дом]&amp;РД[№ кв]&amp;РД[Состояние],РД[Сумма скидки],"",0),2),Т402[[#This Row],[Статус]])</f>
        <v>156130</v>
      </c>
      <c r="BH113" s="488">
        <f>IFERROR(Т402[[#This Row],[ППС]]-Т402[[#This Row],[ДДУС]],"")</f>
        <v>0</v>
      </c>
    </row>
    <row r="114" spans="1:60" x14ac:dyDescent="0.2">
      <c r="A114" s="611"/>
      <c r="B114" s="234">
        <f>VLOOKUP(ППД4!A111,Реестр_Д4[№],1,0)</f>
        <v>110</v>
      </c>
      <c r="C114" s="234" t="str">
        <f>VLOOKUP(ППД4!CO111,Реестр_Д4[Статус],1,0)</f>
        <v>Продажа</v>
      </c>
      <c r="D114" s="612">
        <f>VLOOKUP(ППД4!CE111,Реестр_Д4[Стоимость ОН без отделки со скидкой],1,0)</f>
        <v>5497183.1600000001</v>
      </c>
      <c r="E114" s="612" cm="1">
        <f t="array" ref="E114">IFERROR(INDEX(РД[Стоимость без отделки итог],MATCH($B$3&amp;Таблица4[[#This Row],[№]]&amp;"Продажа",РД[Дом]&amp;РД[№ кв]&amp;РД[Состояние],0),1),Таблица4[[#This Row],[Статус]])</f>
        <v>5497183.1600000001</v>
      </c>
      <c r="F114" s="235">
        <f>IFERROR((Таблица4[[#This Row],[ПП]]-Таблица4[[#This Row],[ДДУ]])*1,"")</f>
        <v>0</v>
      </c>
      <c r="G114" s="235" cm="1">
        <f t="array" ref="G114">IFERROR(INDEX(РД[Стоимость с отделкой итог],MATCH($B$3&amp;Таблица4[[#This Row],[№]]&amp;"Продажа",РД[Дом]&amp;РД[№ кв]&amp;РД[Состояние],0),1),Таблица4[[#This Row],[Статус]])</f>
        <v>5497183.1600000001</v>
      </c>
      <c r="H114" s="235">
        <f>_xlfn.XLOOKUP(Таблица4[[#This Row],[№]],Реестр_Д4[№],Реестр_Д4[Стоимость квартиры с отделкой],"-",0)</f>
        <v>5497183.1600000001</v>
      </c>
      <c r="I114" s="235">
        <f>IFERROR(Таблица4[[#This Row],[СО ПП]]-Таблица4[[#This Row],[СО ДДУ]],"")</f>
        <v>0</v>
      </c>
      <c r="J114" s="233" cm="1">
        <f t="array" ref="J114">IFERROR(INDEX(РД[S],MATCH($B$3&amp;Таблица4[[#This Row],[№]]&amp;"Продажа",РД[Дом]&amp;РД[№ кв]&amp;РД[Состояние],0),1),Таблица4[[#This Row],[Статус]])</f>
        <v>59.87</v>
      </c>
      <c r="K114" s="233">
        <f>VLOOKUP(Таблица4[[#This Row],[№]],Реестр_Д4[],20,0)</f>
        <v>59.87</v>
      </c>
      <c r="L114" s="235">
        <f>IFERROR(Таблица4[[#This Row],[S ПП]]-Таблица4[[#This Row],[S ДДУ]],)</f>
        <v>0</v>
      </c>
      <c r="M114" s="235">
        <f>ROUND(_xlfn.XLOOKUP(Таблица4[[#This Row],[№]],Реестр_Д4[№],Реестр_Д4[Итоговая сумма скидки],"",0),2)</f>
        <v>112187.41</v>
      </c>
      <c r="N114" s="235" cm="1">
        <f t="array" ref="N114">IFERROR(ROUND(_xlfn.XLOOKUP($B$3&amp;Таблица4[[#This Row],[№]]&amp;"Продажа",РД[Дом]&amp;РД[№ кв]&amp;РД[Состояние],РД[Сумма скидки],"",0),2),Таблица4[[#This Row],[Статус]])</f>
        <v>112187.41</v>
      </c>
      <c r="O114" s="235">
        <f>IFERROR(Таблица4[[#This Row],[ППС]]-Таблица4[[#This Row],[ДДУС]],)</f>
        <v>0</v>
      </c>
      <c r="P114" s="611"/>
      <c r="Q114" s="234">
        <f>VLOOKUP(ППД5!A111,Реестр_Д5[№],1,0)</f>
        <v>110</v>
      </c>
      <c r="R114" s="234" t="str">
        <f>VLOOKUP(ППД5!CH111,Реестр_Д5[Статус],1,0)</f>
        <v>Продажа</v>
      </c>
      <c r="S114" s="612">
        <f>VLOOKUP(ППД5!BZ111,Реестр_Д5[Стоимость ОН без отделки со скидкой],1,0)</f>
        <v>6709220</v>
      </c>
      <c r="T114" s="612" cm="1">
        <f t="array" ref="T114">IFERROR(INDEX(РД[Стоимость без отделки итог],MATCH($Q$3&amp;Таблица10[[#This Row],[№]]&amp;"Продажа",РД[Дом]&amp;РД[№ кв]&amp;РД[Состояние],0),1),Таблица10[[#This Row],[Статус]])</f>
        <v>6709220</v>
      </c>
      <c r="U114" s="235">
        <f>IFERROR((Таблица10[[#This Row],[ПП]]-Таблица10[[#This Row],[ДДУ]])*1,)</f>
        <v>0</v>
      </c>
      <c r="V114" s="235" cm="1">
        <f t="array" ref="V114">IFERROR(INDEX(РД[Стоимость с отделкой итог],MATCH($Q$3&amp;Таблица10[[#This Row],[№]]&amp;"Продажа",РД[Дом]&amp;РД[№ кв]&amp;РД[Состояние],0),1),Таблица10[[#This Row],[Статус]])</f>
        <v>6709220</v>
      </c>
      <c r="W114" s="235">
        <f>_xlfn.XLOOKUP(Таблица10[[#This Row],[№]],Реестр_Д5[№],Реестр_Д5[Стоимость квартиры с отделкой],"-",0)</f>
        <v>6709220</v>
      </c>
      <c r="X114" s="235">
        <f>IFERROR(Таблица10[[#This Row],[СО ПП]]-Таблица10[[#This Row],[СО ДДУ]],"")</f>
        <v>0</v>
      </c>
      <c r="Y114" s="233" cm="1">
        <f t="array" ref="Y114">IFERROR(INDEX(РД[S],MATCH($Q$3&amp;Таблица10[[#This Row],[№]]&amp;"Продажа",РД[Дом]&amp;РД[№ кв]&amp;РД[Состояние],0),1),Таблица10[[#This Row],[Статус]])</f>
        <v>57.9</v>
      </c>
      <c r="Z114" s="233">
        <f>IF(Таблица10[[#This Row],[№]]&amp;"ДДУ"=ППД5!A111&amp;ППД5!CR111,ППД5!U111,ППД5!V111)</f>
        <v>57.899999999999991</v>
      </c>
      <c r="AA114" s="285">
        <f>IFERROR(Таблица10[[#This Row],[S ПП]]-Таблица10[[#This Row],[S ДДУ]],)</f>
        <v>-7.1054273576010019E-15</v>
      </c>
      <c r="AB114" s="235">
        <f>ROUND(_xlfn.XLOOKUP(Таблица10[[#This Row],[№]],Реестр_Д5[№],Реестр_Д5[Итоговая сумма скидки],"",0),2)</f>
        <v>516780</v>
      </c>
      <c r="AC114" s="235" cm="1">
        <f t="array" ref="AC114">IFERROR(ROUND(_xlfn.XLOOKUP($Q$3&amp;Таблица10[[#This Row],[№]]&amp;"Продажа",РД[Дом]&amp;РД[№ кв]&amp;РД[Состояние],РД[Сумма скидки],"",0,-1),2),Таблица10[[#This Row],[Статус]])</f>
        <v>516780</v>
      </c>
      <c r="AD114" s="285">
        <f>IFERROR(Таблица10[[#This Row],[ППС]]-Таблица10[[#This Row],[ДДУС]],)</f>
        <v>0</v>
      </c>
      <c r="AE114" s="611"/>
      <c r="AT114" s="611"/>
      <c r="AU114" s="484">
        <f>VLOOKUP(ППД402!A111,Д402[],1,0)</f>
        <v>110</v>
      </c>
      <c r="AV114" s="484" t="str">
        <f>_xlfn.XLOOKUP(Т402[[#This Row],[№]],Д402[№],Д402[Статус],"-",0)</f>
        <v>Стр. Резерв</v>
      </c>
      <c r="AW114" s="613">
        <f>_xlfn.XLOOKUP(Т402[[#This Row],[№]],Д402[№],Д402[Стоимость ОН без отделки со скидкой],"-",0)</f>
        <v>4750900</v>
      </c>
      <c r="AX114" s="614" t="str" cm="1">
        <f t="array" ref="AX11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4" s="485" t="str">
        <f>IFERROR((Т402[[#This Row],[ПП]]-Т402[[#This Row],[ДДУ]])*1,"")</f>
        <v/>
      </c>
      <c r="AZ114" s="486" t="str" cm="1">
        <f t="array" ref="AZ11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4" s="485">
        <f>_xlfn.XLOOKUP(Т402[[#This Row],[№]],Д402[№],Д402[Стоимость квартиры с отделкой],"-",0)</f>
        <v>4750900</v>
      </c>
      <c r="BB114" s="485" t="str">
        <f>IFERROR(Т402[[#This Row],[СО ПП]]-Т402[[#This Row],[СО ДДУ]],"")</f>
        <v/>
      </c>
      <c r="BC114" s="487" t="str" cm="1">
        <f t="array" ref="BC114">IFERROR(INDEX(РД[S],MATCH($AU$3&amp;Т402[[#This Row],[№]]&amp;"Продажа",РД[Дом]&amp;РД[№ кв]&amp;РД[Состояние],0),1),Т402[[#This Row],[Статус]])</f>
        <v>Стр. Резерв</v>
      </c>
      <c r="BD114" s="483">
        <f>_xlfn.XLOOKUP(Т402[[#This Row],[№]],Д402[№],Д402[Расчетная проектная площадь],"-",0)</f>
        <v>36.630000000000003</v>
      </c>
      <c r="BE114" s="485" t="str">
        <f>IFERROR(Т402[[#This Row],[S ПП]]-Т402[[#This Row],[S ДДУ]],"")</f>
        <v/>
      </c>
      <c r="BF114" s="485">
        <f>_xlfn.XLOOKUP(Т402[[#This Row],[№]],Д402[№],Д402[Итоговая сумма скидки],"-",0)</f>
        <v>0</v>
      </c>
      <c r="BG114" s="486" t="str" cm="1">
        <f t="array" ref="BG11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4" s="488" t="str">
        <f>IFERROR(Т402[[#This Row],[ППС]]-Т402[[#This Row],[ДДУС]],"")</f>
        <v/>
      </c>
    </row>
    <row r="115" spans="1:60" x14ac:dyDescent="0.2">
      <c r="A115" s="611"/>
      <c r="B115" s="234">
        <f>VLOOKUP(ППД4!A112,Реестр_Д4[№],1,0)</f>
        <v>111</v>
      </c>
      <c r="C115" s="234" t="str">
        <f>VLOOKUP(ППД4!CO112,Реестр_Д4[Статус],1,0)</f>
        <v>Продажа</v>
      </c>
      <c r="D115" s="612">
        <f>VLOOKUP(ППД4!CE112,Реестр_Д4[Стоимость ОН без отделки со скидкой],1,0)</f>
        <v>1644300</v>
      </c>
      <c r="E115" s="612" cm="1">
        <f t="array" ref="E115">IFERROR(INDEX(РД[Стоимость без отделки итог],MATCH($B$3&amp;Таблица4[[#This Row],[№]]&amp;"Продажа",РД[Дом]&amp;РД[№ кв]&amp;РД[Состояние],0),1),Таблица4[[#This Row],[Статус]])</f>
        <v>1644300</v>
      </c>
      <c r="F115" s="235">
        <f>IFERROR((Таблица4[[#This Row],[ПП]]-Таблица4[[#This Row],[ДДУ]])*1,"")</f>
        <v>0</v>
      </c>
      <c r="G115" s="235" cm="1">
        <f t="array" ref="G115">IFERROR(INDEX(РД[Стоимость с отделкой итог],MATCH($B$3&amp;Таблица4[[#This Row],[№]]&amp;"Продажа",РД[Дом]&amp;РД[№ кв]&amp;РД[Состояние],0),1),Таблица4[[#This Row],[Статус]])</f>
        <v>1807425</v>
      </c>
      <c r="H115" s="235">
        <f>_xlfn.XLOOKUP(Таблица4[[#This Row],[№]],Реестр_Д4[№],Реестр_Д4[Стоимость квартиры с отделкой],"-",0)</f>
        <v>1807425</v>
      </c>
      <c r="I115" s="235">
        <f>IFERROR(Таблица4[[#This Row],[СО ПП]]-Таблица4[[#This Row],[СО ДДУ]],"")</f>
        <v>0</v>
      </c>
      <c r="J115" s="233" cm="1">
        <f t="array" ref="J115">IFERROR(INDEX(РД[S],MATCH($B$3&amp;Таблица4[[#This Row],[№]]&amp;"Продажа",РД[Дом]&amp;РД[№ кв]&amp;РД[Состояние],0),1),Таблица4[[#This Row],[Статус]])</f>
        <v>21.75</v>
      </c>
      <c r="K115" s="233">
        <f>VLOOKUP(Таблица4[[#This Row],[№]],Реестр_Д4[],20,0)</f>
        <v>21.75</v>
      </c>
      <c r="L115" s="235">
        <f>IFERROR(Таблица4[[#This Row],[S ПП]]-Таблица4[[#This Row],[S ДДУ]],)</f>
        <v>0</v>
      </c>
      <c r="M115" s="235">
        <f>ROUND(_xlfn.XLOOKUP(Таблица4[[#This Row],[№]],Реестр_Д4[№],Реестр_Д4[Итоговая сумма скидки],"",0),2)</f>
        <v>0</v>
      </c>
      <c r="N115" s="235" cm="1">
        <f t="array" ref="N11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5" s="235">
        <f>IFERROR(Таблица4[[#This Row],[ППС]]-Таблица4[[#This Row],[ДДУС]],)</f>
        <v>0</v>
      </c>
      <c r="P115" s="611"/>
      <c r="Q115" s="234">
        <f>VLOOKUP(ППД5!A112,Реестр_Д5[№],1,0)</f>
        <v>111</v>
      </c>
      <c r="R115" s="234" t="str">
        <f>VLOOKUP(ППД5!CH112,Реестр_Д5[Статус],1,0)</f>
        <v>Продажа</v>
      </c>
      <c r="S115" s="612">
        <f>VLOOKUP(ППД5!BZ112,Реестр_Д5[Стоимость ОН без отделки со скидкой],1,0)</f>
        <v>4628344</v>
      </c>
      <c r="T115" s="612" cm="1">
        <f t="array" ref="T115">IFERROR(INDEX(РД[Стоимость без отделки итог],MATCH($Q$3&amp;Таблица10[[#This Row],[№]]&amp;"Продажа",РД[Дом]&amp;РД[№ кв]&amp;РД[Состояние],0),1),Таблица10[[#This Row],[Статус]])</f>
        <v>4628344</v>
      </c>
      <c r="U115" s="235">
        <f>IFERROR((Таблица10[[#This Row],[ПП]]-Таблица10[[#This Row],[ДДУ]])*1,)</f>
        <v>0</v>
      </c>
      <c r="V115" s="235" cm="1">
        <f t="array" ref="V115">IFERROR(INDEX(РД[Стоимость с отделкой итог],MATCH($Q$3&amp;Таблица10[[#This Row],[№]]&amp;"Продажа",РД[Дом]&amp;РД[№ кв]&amp;РД[Состояние],0),1),Таблица10[[#This Row],[Статус]])</f>
        <v>4970344</v>
      </c>
      <c r="W115" s="235">
        <f>_xlfn.XLOOKUP(Таблица10[[#This Row],[№]],Реестр_Д5[№],Реестр_Д5[Стоимость квартиры с отделкой],"-",0)</f>
        <v>4970344</v>
      </c>
      <c r="X115" s="235">
        <f>IFERROR(Таблица10[[#This Row],[СО ПП]]-Таблица10[[#This Row],[СО ДДУ]],"")</f>
        <v>0</v>
      </c>
      <c r="Y115" s="233" cm="1">
        <f t="array" ref="Y115">IFERROR(INDEX(РД[S],MATCH($Q$3&amp;Таблица10[[#This Row],[№]]&amp;"Продажа",РД[Дом]&amp;РД[№ кв]&amp;РД[Состояние],0),1),Таблица10[[#This Row],[Статус]])</f>
        <v>42.75</v>
      </c>
      <c r="Z115" s="233">
        <f>IF(Таблица10[[#This Row],[№]]&amp;"ДДУ"=ППД5!A112&amp;ППД5!CR112,ППД5!U112,ППД5!V112)</f>
        <v>42.75</v>
      </c>
      <c r="AA115" s="285">
        <f>IFERROR(Таблица10[[#This Row],[S ПП]]-Таблица10[[#This Row],[S ДДУ]],)</f>
        <v>0</v>
      </c>
      <c r="AB115" s="235">
        <f>ROUND(_xlfn.XLOOKUP(Таблица10[[#This Row],[№]],Реестр_Д5[№],Реестр_Д5[Итоговая сумма скидки],"",0),2)</f>
        <v>94456</v>
      </c>
      <c r="AC115" s="235" cm="1">
        <f t="array" ref="AC115">IFERROR(ROUND(_xlfn.XLOOKUP($Q$3&amp;Таблица10[[#This Row],[№]]&amp;"Продажа",РД[Дом]&amp;РД[№ кв]&amp;РД[Состояние],РД[Сумма скидки],"",0,-1),2),Таблица10[[#This Row],[Статус]])</f>
        <v>94456</v>
      </c>
      <c r="AD115" s="285">
        <f>IFERROR(Таблица10[[#This Row],[ППС]]-Таблица10[[#This Row],[ДДУС]],)</f>
        <v>0</v>
      </c>
      <c r="AE115" s="611"/>
      <c r="AT115" s="611"/>
      <c r="AU115" s="484">
        <f>VLOOKUP(ППД402!A112,Д402[],1,0)</f>
        <v>111</v>
      </c>
      <c r="AV115" s="484" t="str">
        <f>_xlfn.XLOOKUP(Т402[[#This Row],[№]],Д402[№],Д402[Статус],"-",0)</f>
        <v>Стр. Резерв</v>
      </c>
      <c r="AW115" s="613">
        <f>_xlfn.XLOOKUP(Т402[[#This Row],[№]],Д402[№],Д402[Стоимость ОН без отделки со скидкой],"-",0)</f>
        <v>4199700</v>
      </c>
      <c r="AX115" s="614" t="str" cm="1">
        <f t="array" ref="AX11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5" s="485" t="str">
        <f>IFERROR((Т402[[#This Row],[ПП]]-Т402[[#This Row],[ДДУ]])*1,"")</f>
        <v/>
      </c>
      <c r="AZ115" s="486" t="str" cm="1">
        <f t="array" ref="AZ11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5" s="485">
        <f>_xlfn.XLOOKUP(Т402[[#This Row],[№]],Д402[№],Д402[Стоимость квартиры с отделкой],"-",0)</f>
        <v>4199700</v>
      </c>
      <c r="BB115" s="485" t="str">
        <f>IFERROR(Т402[[#This Row],[СО ПП]]-Т402[[#This Row],[СО ДДУ]],"")</f>
        <v/>
      </c>
      <c r="BC115" s="487" t="str" cm="1">
        <f t="array" ref="BC115">IFERROR(INDEX(РД[S],MATCH($AU$3&amp;Т402[[#This Row],[№]]&amp;"Продажа",РД[Дом]&amp;РД[№ кв]&amp;РД[Состояние],0),1),Т402[[#This Row],[Статус]])</f>
        <v>Стр. Резерв</v>
      </c>
      <c r="BD115" s="483">
        <f>_xlfn.XLOOKUP(Т402[[#This Row],[№]],Д402[№],Д402[Расчетная проектная площадь],"-",0)</f>
        <v>29.5</v>
      </c>
      <c r="BE115" s="485" t="str">
        <f>IFERROR(Т402[[#This Row],[S ПП]]-Т402[[#This Row],[S ДДУ]],"")</f>
        <v/>
      </c>
      <c r="BF115" s="485">
        <f>_xlfn.XLOOKUP(Т402[[#This Row],[№]],Д402[№],Д402[Итоговая сумма скидки],"-",0)</f>
        <v>0</v>
      </c>
      <c r="BG115" s="486" t="str" cm="1">
        <f t="array" ref="BG11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5" s="488" t="str">
        <f>IFERROR(Т402[[#This Row],[ППС]]-Т402[[#This Row],[ДДУС]],"")</f>
        <v/>
      </c>
    </row>
    <row r="116" spans="1:60" x14ac:dyDescent="0.2">
      <c r="A116" s="611"/>
      <c r="B116" s="234">
        <f>VLOOKUP(ППД4!A113,Реестр_Д4[№],1,0)</f>
        <v>112</v>
      </c>
      <c r="C116" s="234" t="str">
        <f>VLOOKUP(ППД4!CO113,Реестр_Д4[Статус],1,0)</f>
        <v>Продажа</v>
      </c>
      <c r="D116" s="612">
        <f>VLOOKUP(ППД4!CE113,Реестр_Д4[Стоимость ОН без отделки со скидкой],1,0)</f>
        <v>2963156</v>
      </c>
      <c r="E116" s="612" cm="1">
        <f t="array" ref="E116">IFERROR(INDEX(РД[Стоимость без отделки итог],MATCH($B$3&amp;Таблица4[[#This Row],[№]]&amp;"Продажа",РД[Дом]&amp;РД[№ кв]&amp;РД[Состояние],0),1),Таблица4[[#This Row],[Статус]])</f>
        <v>2963156</v>
      </c>
      <c r="F116" s="235">
        <f>IFERROR((Таблица4[[#This Row],[ПП]]-Таблица4[[#This Row],[ДДУ]])*1,"")</f>
        <v>0</v>
      </c>
      <c r="G116" s="235" cm="1">
        <f t="array" ref="G116">IFERROR(INDEX(РД[Стоимость с отделкой итог],MATCH($B$3&amp;Таблица4[[#This Row],[№]]&amp;"Продажа",РД[Дом]&amp;РД[№ кв]&amp;РД[Состояние],0),1),Таблица4[[#This Row],[Статус]])</f>
        <v>3126131</v>
      </c>
      <c r="H116" s="235">
        <f>_xlfn.XLOOKUP(Таблица4[[#This Row],[№]],Реестр_Д4[№],Реестр_Д4[Стоимость квартиры с отделкой],"-",0)</f>
        <v>3126131</v>
      </c>
      <c r="I116" s="235">
        <f>IFERROR(Таблица4[[#This Row],[СО ПП]]-Таблица4[[#This Row],[СО ДДУ]],"")</f>
        <v>0</v>
      </c>
      <c r="J116" s="233" cm="1">
        <f t="array" ref="J116">IFERROR(INDEX(РД[S],MATCH($B$3&amp;Таблица4[[#This Row],[№]]&amp;"Продажа",РД[Дом]&amp;РД[№ кв]&amp;РД[Состояние],0),1),Таблица4[[#This Row],[Статус]])</f>
        <v>21.73</v>
      </c>
      <c r="K116" s="233">
        <f>VLOOKUP(Таблица4[[#This Row],[№]],Реестр_Д4[],20,0)</f>
        <v>21.73</v>
      </c>
      <c r="L116" s="235">
        <f>IFERROR(Таблица4[[#This Row],[S ПП]]-Таблица4[[#This Row],[S ДДУ]],)</f>
        <v>0</v>
      </c>
      <c r="M116" s="235">
        <f>ROUND(_xlfn.XLOOKUP(Таблица4[[#This Row],[№]],Реестр_Д4[№],Реестр_Д4[Итоговая сумма скидки],"",0),2)</f>
        <v>91644</v>
      </c>
      <c r="N116" s="235" cm="1">
        <f t="array" ref="N116">IFERROR(ROUND(_xlfn.XLOOKUP($B$3&amp;Таблица4[[#This Row],[№]]&amp;"Продажа",РД[Дом]&amp;РД[№ кв]&amp;РД[Состояние],РД[Сумма скидки],"",0),2),Таблица4[[#This Row],[Статус]])</f>
        <v>91644</v>
      </c>
      <c r="O116" s="235">
        <f>IFERROR(Таблица4[[#This Row],[ППС]]-Таблица4[[#This Row],[ДДУС]],)</f>
        <v>0</v>
      </c>
      <c r="P116" s="611"/>
      <c r="Q116" s="234">
        <f>VLOOKUP(ППД5!A113,Реестр_Д5[№],1,0)</f>
        <v>112</v>
      </c>
      <c r="R116" s="234" t="str">
        <f>VLOOKUP(ППД5!CH113,Реестр_Д5[Статус],1,0)</f>
        <v>Свободно</v>
      </c>
      <c r="S116" s="612">
        <f>VLOOKUP(ППД5!BZ113,Реестр_Д5[Стоимость ОН без отделки со скидкой],1,0)</f>
        <v>7927900</v>
      </c>
      <c r="T116" s="612" t="str" cm="1">
        <f t="array" ref="T11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16" s="235">
        <f>IFERROR((Таблица10[[#This Row],[ПП]]-Таблица10[[#This Row],[ДДУ]])*1,)</f>
        <v>0</v>
      </c>
      <c r="V116" s="235" t="str" cm="1">
        <f t="array" ref="V11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16" s="235">
        <f>_xlfn.XLOOKUP(Таблица10[[#This Row],[№]],Реестр_Д5[№],Реестр_Д5[Стоимость квартиры с отделкой],"-",0)</f>
        <v>7927899.9999999981</v>
      </c>
      <c r="X116" s="235" t="str">
        <f>IFERROR(Таблица10[[#This Row],[СО ПП]]-Таблица10[[#This Row],[СО ДДУ]],"")</f>
        <v/>
      </c>
      <c r="Y116" s="233" t="str" cm="1">
        <f t="array" ref="Y116">IFERROR(INDEX(РД[S],MATCH($Q$3&amp;Таблица10[[#This Row],[№]]&amp;"Продажа",РД[Дом]&amp;РД[№ кв]&amp;РД[Состояние],0),1),Таблица10[[#This Row],[Статус]])</f>
        <v>Свободно</v>
      </c>
      <c r="Z116" s="233">
        <f>IF(Таблица10[[#This Row],[№]]&amp;"ДДУ"=ППД5!A113&amp;ППД5!CR113,ППД5!U113,ППД5!V113)</f>
        <v>60.25</v>
      </c>
      <c r="AA116" s="285">
        <f>IFERROR(Таблица10[[#This Row],[S ПП]]-Таблица10[[#This Row],[S ДДУ]],)</f>
        <v>0</v>
      </c>
      <c r="AB116" s="235">
        <f>ROUND(_xlfn.XLOOKUP(Таблица10[[#This Row],[№]],Реестр_Д5[№],Реестр_Д5[Итоговая сумма скидки],"",0),2)</f>
        <v>0</v>
      </c>
      <c r="AC116" s="235" t="str" cm="1">
        <f t="array" ref="AC11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16" s="285">
        <f>IFERROR(Таблица10[[#This Row],[ППС]]-Таблица10[[#This Row],[ДДУС]],)</f>
        <v>0</v>
      </c>
      <c r="AE116" s="611"/>
      <c r="AT116" s="611"/>
      <c r="AU116" s="484">
        <f>VLOOKUP(ППД402!A113,Д402[],1,0)</f>
        <v>112</v>
      </c>
      <c r="AV116" s="484" t="str">
        <f>_xlfn.XLOOKUP(Т402[[#This Row],[№]],Д402[№],Д402[Статус],"-",0)</f>
        <v>Стр. Резерв</v>
      </c>
      <c r="AW116" s="613">
        <f>_xlfn.XLOOKUP(Т402[[#This Row],[№]],Д402[№],Д402[Стоимость ОН без отделки со скидкой],"-",0)</f>
        <v>4023800</v>
      </c>
      <c r="AX116" s="614" t="str" cm="1">
        <f t="array" ref="AX11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6" s="485" t="str">
        <f>IFERROR((Т402[[#This Row],[ПП]]-Т402[[#This Row],[ДДУ]])*1,"")</f>
        <v/>
      </c>
      <c r="AZ116" s="486" t="str" cm="1">
        <f t="array" ref="AZ11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6" s="485">
        <f>_xlfn.XLOOKUP(Т402[[#This Row],[№]],Д402[№],Д402[Стоимость квартиры с отделкой],"-",0)</f>
        <v>4023800.0000000009</v>
      </c>
      <c r="BB116" s="485" t="str">
        <f>IFERROR(Т402[[#This Row],[СО ПП]]-Т402[[#This Row],[СО ДДУ]],"")</f>
        <v/>
      </c>
      <c r="BC116" s="487" t="str" cm="1">
        <f t="array" ref="BC116">IFERROR(INDEX(РД[S],MATCH($AU$3&amp;Т402[[#This Row],[№]]&amp;"Продажа",РД[Дом]&amp;РД[№ кв]&amp;РД[Состояние],0),1),Т402[[#This Row],[Статус]])</f>
        <v>Стр. Резерв</v>
      </c>
      <c r="BD116" s="483">
        <f>_xlfn.XLOOKUP(Т402[[#This Row],[№]],Д402[№],Д402[Расчетная проектная площадь],"-",0)</f>
        <v>27.99</v>
      </c>
      <c r="BE116" s="485" t="str">
        <f>IFERROR(Т402[[#This Row],[S ПП]]-Т402[[#This Row],[S ДДУ]],"")</f>
        <v/>
      </c>
      <c r="BF116" s="485">
        <f>_xlfn.XLOOKUP(Т402[[#This Row],[№]],Д402[№],Д402[Итоговая сумма скидки],"-",0)</f>
        <v>0</v>
      </c>
      <c r="BG116" s="486" t="str" cm="1">
        <f t="array" ref="BG11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6" s="488" t="str">
        <f>IFERROR(Т402[[#This Row],[ППС]]-Т402[[#This Row],[ДДУС]],"")</f>
        <v/>
      </c>
    </row>
    <row r="117" spans="1:60" x14ac:dyDescent="0.2">
      <c r="A117" s="611"/>
      <c r="B117" s="234">
        <f>VLOOKUP(ППД4!A114,Реестр_Д4[№],1,0)</f>
        <v>113</v>
      </c>
      <c r="C117" s="234" t="str">
        <f>VLOOKUP(ППД4!CO114,Реестр_Д4[Статус],1,0)</f>
        <v>Продажа</v>
      </c>
      <c r="D117" s="612">
        <f>VLOOKUP(ППД4!CE114,Реестр_Д4[Стоимость ОН без отделки со скидкой],1,0)</f>
        <v>2588663.5299999998</v>
      </c>
      <c r="E117" s="612" cm="1">
        <f t="array" ref="E117">IFERROR(INDEX(РД[Стоимость без отделки итог],MATCH($B$3&amp;Таблица4[[#This Row],[№]]&amp;"Продажа",РД[Дом]&amp;РД[№ кв]&amp;РД[Состояние],0),1),Таблица4[[#This Row],[Статус]])</f>
        <v>2588663.5299999993</v>
      </c>
      <c r="F117" s="235">
        <f>IFERROR((Таблица4[[#This Row],[ПП]]-Таблица4[[#This Row],[ДДУ]])*1,"")</f>
        <v>4.6566128730773926E-10</v>
      </c>
      <c r="G117" s="235" cm="1">
        <f t="array" ref="G117">IFERROR(INDEX(РД[Стоимость с отделкой итог],MATCH($B$3&amp;Таблица4[[#This Row],[№]]&amp;"Продажа",РД[Дом]&amp;РД[№ кв]&amp;РД[Состояние],0),1),Таблица4[[#This Row],[Статус]])</f>
        <v>2840138.53</v>
      </c>
      <c r="H117" s="235">
        <f>_xlfn.XLOOKUP(Таблица4[[#This Row],[№]],Реестр_Д4[№],Реестр_Д4[Стоимость квартиры с отделкой],"-",0)</f>
        <v>2840138.53</v>
      </c>
      <c r="I117" s="235">
        <f>IFERROR(Таблица4[[#This Row],[СО ПП]]-Таблица4[[#This Row],[СО ДДУ]],"")</f>
        <v>0</v>
      </c>
      <c r="J117" s="233" cm="1">
        <f t="array" ref="J117">IFERROR(INDEX(РД[S],MATCH($B$3&amp;Таблица4[[#This Row],[№]]&amp;"Продажа",РД[Дом]&amp;РД[№ кв]&amp;РД[Состояние],0),1),Таблица4[[#This Row],[Статус]])</f>
        <v>33.53</v>
      </c>
      <c r="K117" s="233">
        <f>VLOOKUP(Таблица4[[#This Row],[№]],Реестр_Д4[],20,0)</f>
        <v>33.53</v>
      </c>
      <c r="L117" s="235">
        <f>IFERROR(Таблица4[[#This Row],[S ПП]]-Таблица4[[#This Row],[S ДДУ]],)</f>
        <v>0</v>
      </c>
      <c r="M117" s="235">
        <f>ROUND(_xlfn.XLOOKUP(Таблица4[[#This Row],[№]],Реестр_Д4[№],Реестр_Д4[Итоговая сумма скидки],"",0),2)</f>
        <v>0</v>
      </c>
      <c r="N117" s="235" cm="1">
        <f t="array" ref="N11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7" s="235">
        <f>IFERROR(Таблица4[[#This Row],[ППС]]-Таблица4[[#This Row],[ДДУС]],)</f>
        <v>0</v>
      </c>
      <c r="P117" s="611"/>
      <c r="Q117" s="234">
        <f>VLOOKUP(ППД5!A114,Реестр_Д5[№],1,0)</f>
        <v>113</v>
      </c>
      <c r="R117" s="234" t="str">
        <f>VLOOKUP(ППД5!CH114,Реестр_Д5[Статус],1,0)</f>
        <v>Продажа</v>
      </c>
      <c r="S117" s="612">
        <f>VLOOKUP(ППД5!BZ114,Реестр_Д5[Стоимость ОН без отделки со скидкой],1,0)</f>
        <v>2523643.29</v>
      </c>
      <c r="T117" s="612" cm="1">
        <f t="array" ref="T117">IFERROR(INDEX(РД[Стоимость без отделки итог],MATCH($Q$3&amp;Таблица10[[#This Row],[№]]&amp;"Продажа",РД[Дом]&amp;РД[№ кв]&amp;РД[Состояние],0),1),Таблица10[[#This Row],[Статус]])</f>
        <v>2523643.29</v>
      </c>
      <c r="U117" s="235">
        <f>IFERROR((Таблица10[[#This Row],[ПП]]-Таблица10[[#This Row],[ДДУ]])*1,)</f>
        <v>0</v>
      </c>
      <c r="V117" s="235" cm="1">
        <f t="array" ref="V117">IFERROR(INDEX(РД[Стоимость с отделкой итог],MATCH($Q$3&amp;Таблица10[[#This Row],[№]]&amp;"Продажа",РД[Дом]&amp;РД[№ кв]&amp;РД[Состояние],0),1),Таблица10[[#This Row],[Статус]])</f>
        <v>2523643.29</v>
      </c>
      <c r="W117" s="235">
        <f>_xlfn.XLOOKUP(Таблица10[[#This Row],[№]],Реестр_Д5[№],Реестр_Д5[Стоимость квартиры с отделкой],"-",0)</f>
        <v>2523643.29</v>
      </c>
      <c r="X117" s="235">
        <f>IFERROR(Таблица10[[#This Row],[СО ПП]]-Таблица10[[#This Row],[СО ДДУ]],"")</f>
        <v>0</v>
      </c>
      <c r="Y117" s="233" cm="1">
        <f t="array" ref="Y117">IFERROR(INDEX(РД[S],MATCH($Q$3&amp;Таблица10[[#This Row],[№]]&amp;"Продажа",РД[Дом]&amp;РД[№ кв]&amp;РД[Состояние],0),1),Таблица10[[#This Row],[Статус]])</f>
        <v>24.28</v>
      </c>
      <c r="Z117" s="233">
        <f>IF(Таблица10[[#This Row],[№]]&amp;"ДДУ"=ППД5!A114&amp;ППД5!CR114,ППД5!U114,ППД5!V114)</f>
        <v>24.28</v>
      </c>
      <c r="AA117" s="285">
        <f>IFERROR(Таблица10[[#This Row],[S ПП]]-Таблица10[[#This Row],[S ДДУ]],)</f>
        <v>0</v>
      </c>
      <c r="AB117" s="235">
        <f>ROUND(_xlfn.XLOOKUP(Таблица10[[#This Row],[№]],Реестр_Д5[№],Реестр_Д5[Итоговая сумма скидки],"",0),2)</f>
        <v>0</v>
      </c>
      <c r="AC117" s="235" cm="1">
        <f t="array" ref="AC11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17" s="285">
        <f>IFERROR(Таблица10[[#This Row],[ППС]]-Таблица10[[#This Row],[ДДУС]],)</f>
        <v>0</v>
      </c>
      <c r="AE117" s="611"/>
      <c r="AT117" s="611"/>
      <c r="AU117" s="484">
        <f>VLOOKUP(ППД402!A114,Д402[],1,0)</f>
        <v>113</v>
      </c>
      <c r="AV117" s="484" t="str">
        <f>_xlfn.XLOOKUP(Т402[[#This Row],[№]],Д402[№],Д402[Статус],"-",0)</f>
        <v>Стр. Резерв</v>
      </c>
      <c r="AW117" s="613">
        <f>_xlfn.XLOOKUP(Т402[[#This Row],[№]],Д402[№],Д402[Стоимость ОН без отделки со скидкой],"-",0)</f>
        <v>7827600</v>
      </c>
      <c r="AX117" s="614" t="str" cm="1">
        <f t="array" ref="AX11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7" s="485" t="str">
        <f>IFERROR((Т402[[#This Row],[ПП]]-Т402[[#This Row],[ДДУ]])*1,"")</f>
        <v/>
      </c>
      <c r="AZ117" s="486" t="str" cm="1">
        <f t="array" ref="AZ11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7" s="485">
        <f>_xlfn.XLOOKUP(Т402[[#This Row],[№]],Д402[№],Д402[Стоимость квартиры с отделкой],"-",0)</f>
        <v>7827600</v>
      </c>
      <c r="BB117" s="485" t="str">
        <f>IFERROR(Т402[[#This Row],[СО ПП]]-Т402[[#This Row],[СО ДДУ]],"")</f>
        <v/>
      </c>
      <c r="BC117" s="487" t="str" cm="1">
        <f t="array" ref="BC117">IFERROR(INDEX(РД[S],MATCH($AU$3&amp;Т402[[#This Row],[№]]&amp;"Продажа",РД[Дом]&amp;РД[№ кв]&amp;РД[Состояние],0),1),Т402[[#This Row],[Статус]])</f>
        <v>Стр. Резерв</v>
      </c>
      <c r="BD117" s="483">
        <f>_xlfn.XLOOKUP(Т402[[#This Row],[№]],Д402[№],Д402[Расчетная проектная площадь],"-",0)</f>
        <v>66.2</v>
      </c>
      <c r="BE117" s="485" t="str">
        <f>IFERROR(Т402[[#This Row],[S ПП]]-Т402[[#This Row],[S ДДУ]],"")</f>
        <v/>
      </c>
      <c r="BF117" s="485">
        <f>_xlfn.XLOOKUP(Т402[[#This Row],[№]],Д402[№],Д402[Итоговая сумма скидки],"-",0)</f>
        <v>0</v>
      </c>
      <c r="BG117" s="486" t="str" cm="1">
        <f t="array" ref="BG11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7" s="488" t="str">
        <f>IFERROR(Т402[[#This Row],[ППС]]-Т402[[#This Row],[ДДУС]],"")</f>
        <v/>
      </c>
    </row>
    <row r="118" spans="1:60" x14ac:dyDescent="0.2">
      <c r="A118" s="611"/>
      <c r="B118" s="234">
        <f>VLOOKUP(ППД4!A115,Реестр_Д4[№],1,0)</f>
        <v>114</v>
      </c>
      <c r="C118" s="234" t="str">
        <f>VLOOKUP(ППД4!CO115,Реестр_Д4[Статус],1,0)</f>
        <v>Продажа</v>
      </c>
      <c r="D118" s="612">
        <f>VLOOKUP(ППД4!CE115,Реестр_Д4[Стоимость ОН без отделки со скидкой],1,0)</f>
        <v>5156777.1900000004</v>
      </c>
      <c r="E118" s="612" cm="1">
        <f t="array" ref="E118">IFERROR(INDEX(РД[Стоимость без отделки итог],MATCH($B$3&amp;Таблица4[[#This Row],[№]]&amp;"Продажа",РД[Дом]&amp;РД[№ кв]&amp;РД[Состояние],0),1),Таблица4[[#This Row],[Статус]])</f>
        <v>5156777.1900000004</v>
      </c>
      <c r="F118" s="235">
        <f>IFERROR((Таблица4[[#This Row],[ПП]]-Таблица4[[#This Row],[ДДУ]])*1,"")</f>
        <v>0</v>
      </c>
      <c r="G118" s="235" cm="1">
        <f t="array" ref="G118">IFERROR(INDEX(РД[Стоимость с отделкой итог],MATCH($B$3&amp;Таблица4[[#This Row],[№]]&amp;"Продажа",РД[Дом]&amp;РД[№ кв]&amp;РД[Состояние],0),1),Таблица4[[#This Row],[Статус]])</f>
        <v>5403817.1900000004</v>
      </c>
      <c r="H118" s="235">
        <f>_xlfn.XLOOKUP(Таблица4[[#This Row],[№]],Реестр_Д4[№],Реестр_Д4[Стоимость квартиры с отделкой],"-",0)</f>
        <v>5403817.1900000004</v>
      </c>
      <c r="I118" s="235">
        <f>IFERROR(Таблица4[[#This Row],[СО ПП]]-Таблица4[[#This Row],[СО ДДУ]],"")</f>
        <v>0</v>
      </c>
      <c r="J118" s="233" cm="1">
        <f t="array" ref="J118">IFERROR(INDEX(РД[S],MATCH($B$3&amp;Таблица4[[#This Row],[№]]&amp;"Продажа",РД[Дом]&amp;РД[№ кв]&amp;РД[Состояние],0),1),Таблица4[[#This Row],[Статус]])</f>
        <v>61.76</v>
      </c>
      <c r="K118" s="233">
        <f>VLOOKUP(Таблица4[[#This Row],[№]],Реестр_Д4[],20,0)</f>
        <v>61.76</v>
      </c>
      <c r="L118" s="235">
        <f>IFERROR(Таблица4[[#This Row],[S ПП]]-Таблица4[[#This Row],[S ДДУ]],)</f>
        <v>0</v>
      </c>
      <c r="M118" s="235">
        <f>ROUND(_xlfn.XLOOKUP(Таблица4[[#This Row],[№]],Реестр_Д4[№],Реестр_Д4[Итоговая сумма скидки],"",0),2)</f>
        <v>0</v>
      </c>
      <c r="N118" s="235" cm="1">
        <f t="array" ref="N11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8" s="235">
        <f>IFERROR(Таблица4[[#This Row],[ППС]]-Таблица4[[#This Row],[ДДУС]],)</f>
        <v>0</v>
      </c>
      <c r="P118" s="611"/>
      <c r="Q118" s="234">
        <f>VLOOKUP(ППД5!A115,Реестр_Д5[№],1,0)</f>
        <v>114</v>
      </c>
      <c r="R118" s="234" t="str">
        <f>VLOOKUP(ППД5!CH115,Реестр_Д5[Статус],1,0)</f>
        <v>Свободно</v>
      </c>
      <c r="S118" s="612">
        <f>VLOOKUP(ППД5!BZ115,Реестр_Д5[Стоимость ОН без отделки со скидкой],1,0)</f>
        <v>7773800</v>
      </c>
      <c r="T118" s="612" t="str" cm="1">
        <f t="array" ref="T11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18" s="235">
        <f>IFERROR((Таблица10[[#This Row],[ПП]]-Таблица10[[#This Row],[ДДУ]])*1,)</f>
        <v>0</v>
      </c>
      <c r="V118" s="235" t="str" cm="1">
        <f t="array" ref="V11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18" s="235">
        <f>_xlfn.XLOOKUP(Таблица10[[#This Row],[№]],Реестр_Д5[№],Реестр_Д5[Стоимость квартиры с отделкой],"-",0)</f>
        <v>7773800</v>
      </c>
      <c r="X118" s="235" t="str">
        <f>IFERROR(Таблица10[[#This Row],[СО ПП]]-Таблица10[[#This Row],[СО ДДУ]],"")</f>
        <v/>
      </c>
      <c r="Y118" s="233" t="str" cm="1">
        <f t="array" ref="Y118">IFERROR(INDEX(РД[S],MATCH($Q$3&amp;Таблица10[[#This Row],[№]]&amp;"Продажа",РД[Дом]&amp;РД[№ кв]&amp;РД[Состояние],0),1),Таблица10[[#This Row],[Статус]])</f>
        <v>Свободно</v>
      </c>
      <c r="Z118" s="233">
        <f>IF(Таблица10[[#This Row],[№]]&amp;"ДДУ"=ППД5!A115&amp;ППД5!CR115,ППД5!U115,ППД5!V115)</f>
        <v>57.35</v>
      </c>
      <c r="AA118" s="285">
        <f>IFERROR(Таблица10[[#This Row],[S ПП]]-Таблица10[[#This Row],[S ДДУ]],)</f>
        <v>0</v>
      </c>
      <c r="AB118" s="235">
        <f>ROUND(_xlfn.XLOOKUP(Таблица10[[#This Row],[№]],Реестр_Д5[№],Реестр_Д5[Итоговая сумма скидки],"",0),2)</f>
        <v>0</v>
      </c>
      <c r="AC118" s="235" t="str" cm="1">
        <f t="array" ref="AC11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18" s="285">
        <f>IFERROR(Таблица10[[#This Row],[ППС]]-Таблица10[[#This Row],[ДДУС]],)</f>
        <v>0</v>
      </c>
      <c r="AE118" s="611"/>
      <c r="AT118" s="611"/>
      <c r="AU118" s="484">
        <f>VLOOKUP(ППД402!A115,Д402[],1,0)</f>
        <v>114</v>
      </c>
      <c r="AV118" s="484" t="str">
        <f>_xlfn.XLOOKUP(Т402[[#This Row],[№]],Д402[№],Д402[Статус],"-",0)</f>
        <v>Стр. Резерв</v>
      </c>
      <c r="AW118" s="613">
        <f>_xlfn.XLOOKUP(Т402[[#This Row],[№]],Д402[№],Д402[Стоимость ОН без отделки со скидкой],"-",0)</f>
        <v>7921000</v>
      </c>
      <c r="AX118" s="614" t="str" cm="1">
        <f t="array" ref="AX11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8" s="485" t="str">
        <f>IFERROR((Т402[[#This Row],[ПП]]-Т402[[#This Row],[ДДУ]])*1,"")</f>
        <v/>
      </c>
      <c r="AZ118" s="486" t="str" cm="1">
        <f t="array" ref="AZ11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8" s="485">
        <f>_xlfn.XLOOKUP(Т402[[#This Row],[№]],Д402[№],Д402[Стоимость квартиры с отделкой],"-",0)</f>
        <v>7921000</v>
      </c>
      <c r="BB118" s="485" t="str">
        <f>IFERROR(Т402[[#This Row],[СО ПП]]-Т402[[#This Row],[СО ДДУ]],"")</f>
        <v/>
      </c>
      <c r="BC118" s="487" t="str" cm="1">
        <f t="array" ref="BC118">IFERROR(INDEX(РД[S],MATCH($AU$3&amp;Т402[[#This Row],[№]]&amp;"Продажа",РД[Дом]&amp;РД[№ кв]&amp;РД[Состояние],0),1),Т402[[#This Row],[Статус]])</f>
        <v>Стр. Резерв</v>
      </c>
      <c r="BD118" s="483">
        <f>_xlfn.XLOOKUP(Т402[[#This Row],[№]],Д402[№],Д402[Расчетная проектная площадь],"-",0)</f>
        <v>60.94</v>
      </c>
      <c r="BE118" s="485" t="str">
        <f>IFERROR(Т402[[#This Row],[S ПП]]-Т402[[#This Row],[S ДДУ]],"")</f>
        <v/>
      </c>
      <c r="BF118" s="485">
        <f>_xlfn.XLOOKUP(Т402[[#This Row],[№]],Д402[№],Д402[Итоговая сумма скидки],"-",0)</f>
        <v>0</v>
      </c>
      <c r="BG118" s="486" t="str" cm="1">
        <f t="array" ref="BG11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8" s="488" t="str">
        <f>IFERROR(Т402[[#This Row],[ППС]]-Т402[[#This Row],[ДДУС]],"")</f>
        <v/>
      </c>
    </row>
    <row r="119" spans="1:60" x14ac:dyDescent="0.2">
      <c r="A119" s="611"/>
      <c r="B119" s="234">
        <f>VLOOKUP(ППД4!A116,Реестр_Д4[№],1,0)</f>
        <v>115</v>
      </c>
      <c r="C119" s="234" t="str">
        <f>VLOOKUP(ППД4!CO116,Реестр_Д4[Статус],1,0)</f>
        <v>Продажа</v>
      </c>
      <c r="D119" s="612">
        <f>VLOOKUP(ППД4!CE116,Реестр_Д4[Стоимость ОН без отделки со скидкой],1,0)</f>
        <v>2798177.93</v>
      </c>
      <c r="E119" s="612" cm="1">
        <f t="array" ref="E119">IFERROR(INDEX(РД[Стоимость без отделки итог],MATCH($B$3&amp;Таблица4[[#This Row],[№]]&amp;"Продажа",РД[Дом]&amp;РД[№ кв]&amp;РД[Состояние],0),1),Таблица4[[#This Row],[Статус]])</f>
        <v>2798177.93</v>
      </c>
      <c r="F119" s="235">
        <f>IFERROR((Таблица4[[#This Row],[ПП]]-Таблица4[[#This Row],[ДДУ]])*1,"")</f>
        <v>0</v>
      </c>
      <c r="G119" s="235" cm="1">
        <f t="array" ref="G119">IFERROR(INDEX(РД[Стоимость с отделкой итог],MATCH($B$3&amp;Таблица4[[#This Row],[№]]&amp;"Продажа",РД[Дом]&amp;РД[№ кв]&amp;РД[Состояние],0),1),Таблица4[[#This Row],[Статус]])</f>
        <v>3064727.93</v>
      </c>
      <c r="H119" s="235">
        <f>_xlfn.XLOOKUP(Таблица4[[#This Row],[№]],Реестр_Д4[№],Реестр_Д4[Стоимость квартиры с отделкой],"-",0)</f>
        <v>3064727.93</v>
      </c>
      <c r="I119" s="235">
        <f>IFERROR(Таблица4[[#This Row],[СО ПП]]-Таблица4[[#This Row],[СО ДДУ]],"")</f>
        <v>0</v>
      </c>
      <c r="J119" s="233" cm="1">
        <f t="array" ref="J119">IFERROR(INDEX(РД[S],MATCH($B$3&amp;Таблица4[[#This Row],[№]]&amp;"Продажа",РД[Дом]&amp;РД[№ кв]&amp;РД[Состояние],0),1),Таблица4[[#This Row],[Статус]])</f>
        <v>35.54</v>
      </c>
      <c r="K119" s="233">
        <f>VLOOKUP(Таблица4[[#This Row],[№]],Реестр_Д4[],20,0)</f>
        <v>35.54</v>
      </c>
      <c r="L119" s="235">
        <f>IFERROR(Таблица4[[#This Row],[S ПП]]-Таблица4[[#This Row],[S ДДУ]],)</f>
        <v>0</v>
      </c>
      <c r="M119" s="235">
        <f>ROUND(_xlfn.XLOOKUP(Таблица4[[#This Row],[№]],Реестр_Д4[№],Реестр_Д4[Итоговая сумма скидки],"",0),2)</f>
        <v>0</v>
      </c>
      <c r="N119" s="235" cm="1">
        <f t="array" ref="N11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19" s="235">
        <f>IFERROR(Таблица4[[#This Row],[ППС]]-Таблица4[[#This Row],[ДДУС]],)</f>
        <v>0</v>
      </c>
      <c r="P119" s="611"/>
      <c r="Q119" s="234">
        <f>VLOOKUP(ППД5!A116,Реестр_Д5[№],1,0)</f>
        <v>115</v>
      </c>
      <c r="R119" s="234" t="str">
        <f>VLOOKUP(ППД5!CH116,Реестр_Д5[Статус],1,0)</f>
        <v>Свободно</v>
      </c>
      <c r="S119" s="612">
        <f>VLOOKUP(ППД5!BZ116,Реестр_Д5[Стоимость ОН без отделки со скидкой],1,0)</f>
        <v>5712600</v>
      </c>
      <c r="T119" s="612" t="str" cm="1">
        <f t="array" ref="T11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19" s="235">
        <f>IFERROR((Таблица10[[#This Row],[ПП]]-Таблица10[[#This Row],[ДДУ]])*1,)</f>
        <v>0</v>
      </c>
      <c r="V119" s="235" t="str" cm="1">
        <f t="array" ref="V11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19" s="235">
        <f>_xlfn.XLOOKUP(Таблица10[[#This Row],[№]],Реестр_Д5[№],Реестр_Д5[Стоимость квартиры с отделкой],"-",0)</f>
        <v>5712600</v>
      </c>
      <c r="X119" s="235" t="str">
        <f>IFERROR(Таблица10[[#This Row],[СО ПП]]-Таблица10[[#This Row],[СО ДДУ]],"")</f>
        <v/>
      </c>
      <c r="Y119" s="233" t="str" cm="1">
        <f t="array" ref="Y119">IFERROR(INDEX(РД[S],MATCH($Q$3&amp;Таблица10[[#This Row],[№]]&amp;"Продажа",РД[Дом]&amp;РД[№ кв]&amp;РД[Состояние],0),1),Таблица10[[#This Row],[Статус]])</f>
        <v>Свободно</v>
      </c>
      <c r="Z119" s="233">
        <f>IF(Таблица10[[#This Row],[№]]&amp;"ДДУ"=ППД5!A116&amp;ППД5!CR116,ППД5!U116,ППД5!V116)</f>
        <v>37.799999999999997</v>
      </c>
      <c r="AA119" s="285">
        <f>IFERROR(Таблица10[[#This Row],[S ПП]]-Таблица10[[#This Row],[S ДДУ]],)</f>
        <v>0</v>
      </c>
      <c r="AB119" s="235">
        <f>ROUND(_xlfn.XLOOKUP(Таблица10[[#This Row],[№]],Реестр_Д5[№],Реестр_Д5[Итоговая сумма скидки],"",0),2)</f>
        <v>0</v>
      </c>
      <c r="AC119" s="235" t="str" cm="1">
        <f t="array" ref="AC11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19" s="285">
        <f>IFERROR(Таблица10[[#This Row],[ППС]]-Таблица10[[#This Row],[ДДУС]],)</f>
        <v>0</v>
      </c>
      <c r="AE119" s="611"/>
      <c r="AT119" s="611"/>
      <c r="AU119" s="484">
        <f>VLOOKUP(ППД402!A116,Д402[],1,0)</f>
        <v>115</v>
      </c>
      <c r="AV119" s="484" t="str">
        <f>_xlfn.XLOOKUP(Т402[[#This Row],[№]],Д402[№],Д402[Статус],"-",0)</f>
        <v>Стр. Резерв</v>
      </c>
      <c r="AW119" s="613">
        <f>_xlfn.XLOOKUP(Т402[[#This Row],[№]],Д402[№],Д402[Стоимость ОН без отделки со скидкой],"-",0)</f>
        <v>7994900</v>
      </c>
      <c r="AX119" s="614" t="str" cm="1">
        <f t="array" ref="AX11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19" s="485" t="str">
        <f>IFERROR((Т402[[#This Row],[ПП]]-Т402[[#This Row],[ДДУ]])*1,"")</f>
        <v/>
      </c>
      <c r="AZ119" s="486" t="str" cm="1">
        <f t="array" ref="AZ11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19" s="485">
        <f>_xlfn.XLOOKUP(Т402[[#This Row],[№]],Д402[№],Д402[Стоимость квартиры с отделкой],"-",0)</f>
        <v>7994900</v>
      </c>
      <c r="BB119" s="485" t="str">
        <f>IFERROR(Т402[[#This Row],[СО ПП]]-Т402[[#This Row],[СО ДДУ]],"")</f>
        <v/>
      </c>
      <c r="BC119" s="487" t="str" cm="1">
        <f t="array" ref="BC119">IFERROR(INDEX(РД[S],MATCH($AU$3&amp;Т402[[#This Row],[№]]&amp;"Продажа",РД[Дом]&amp;РД[№ кв]&amp;РД[Состояние],0),1),Т402[[#This Row],[Статус]])</f>
        <v>Стр. Резерв</v>
      </c>
      <c r="BD119" s="483">
        <f>_xlfn.XLOOKUP(Т402[[#This Row],[№]],Д402[№],Д402[Расчетная проектная площадь],"-",0)</f>
        <v>65.72</v>
      </c>
      <c r="BE119" s="485" t="str">
        <f>IFERROR(Т402[[#This Row],[S ПП]]-Т402[[#This Row],[S ДДУ]],"")</f>
        <v/>
      </c>
      <c r="BF119" s="485">
        <f>_xlfn.XLOOKUP(Т402[[#This Row],[№]],Д402[№],Д402[Итоговая сумма скидки],"-",0)</f>
        <v>0</v>
      </c>
      <c r="BG119" s="486" t="str" cm="1">
        <f t="array" ref="BG11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19" s="488" t="str">
        <f>IFERROR(Т402[[#This Row],[ППС]]-Т402[[#This Row],[ДДУС]],"")</f>
        <v/>
      </c>
    </row>
    <row r="120" spans="1:60" x14ac:dyDescent="0.2">
      <c r="A120" s="611"/>
      <c r="B120" s="234">
        <f>VLOOKUP(ППД4!A117,Реестр_Д4[№],1,0)</f>
        <v>116</v>
      </c>
      <c r="C120" s="234" t="str">
        <f>VLOOKUP(ППД4!CO117,Реестр_Д4[Статус],1,0)</f>
        <v>Продажа</v>
      </c>
      <c r="D120" s="612">
        <f>VLOOKUP(ППД4!CE117,Реестр_Д4[Стоимость ОН без отделки со скидкой],1,0)</f>
        <v>4028051.83</v>
      </c>
      <c r="E120" s="612" cm="1">
        <f t="array" ref="E120">IFERROR(INDEX(РД[Стоимость без отделки итог],MATCH($B$3&amp;Таблица4[[#This Row],[№]]&amp;"Продажа",РД[Дом]&amp;РД[№ кв]&amp;РД[Состояние],0),1),Таблица4[[#This Row],[Статус]])</f>
        <v>4028051.8299999991</v>
      </c>
      <c r="F120" s="235">
        <f>IFERROR((Таблица4[[#This Row],[ПП]]-Таблица4[[#This Row],[ДДУ]])*1,"")</f>
        <v>9.3132257461547852E-10</v>
      </c>
      <c r="G120" s="235" cm="1">
        <f t="array" ref="G120">IFERROR(INDEX(РД[Стоимость с отделкой итог],MATCH($B$3&amp;Таблица4[[#This Row],[№]]&amp;"Продажа",РД[Дом]&amp;РД[№ кв]&amp;РД[Состояние],0),1),Таблица4[[#This Row],[Статус]])</f>
        <v>4448276.83</v>
      </c>
      <c r="H120" s="235">
        <f>_xlfn.XLOOKUP(Таблица4[[#This Row],[№]],Реестр_Д4[№],Реестр_Д4[Стоимость квартиры с отделкой],"-",0)</f>
        <v>4448276.83</v>
      </c>
      <c r="I120" s="235">
        <f>IFERROR(Таблица4[[#This Row],[СО ПП]]-Таблица4[[#This Row],[СО ДДУ]],"")</f>
        <v>0</v>
      </c>
      <c r="J120" s="233" cm="1">
        <f t="array" ref="J120">IFERROR(INDEX(РД[S],MATCH($B$3&amp;Таблица4[[#This Row],[№]]&amp;"Продажа",РД[Дом]&amp;РД[№ кв]&amp;РД[Состояние],0),1),Таблица4[[#This Row],[Статус]])</f>
        <v>56.03</v>
      </c>
      <c r="K120" s="233">
        <f>VLOOKUP(Таблица4[[#This Row],[№]],Реестр_Д4[],20,0)</f>
        <v>56.03</v>
      </c>
      <c r="L120" s="235">
        <f>IFERROR(Таблица4[[#This Row],[S ПП]]-Таблица4[[#This Row],[S ДДУ]],)</f>
        <v>0</v>
      </c>
      <c r="M120" s="235">
        <f>ROUND(_xlfn.XLOOKUP(Таблица4[[#This Row],[№]],Реестр_Д4[№],Реестр_Д4[Итоговая сумма скидки],"",0),2)</f>
        <v>212002.73</v>
      </c>
      <c r="N120" s="235" cm="1">
        <f t="array" ref="N120">IFERROR(ROUND(_xlfn.XLOOKUP($B$3&amp;Таблица4[[#This Row],[№]]&amp;"Продажа",РД[Дом]&amp;РД[№ кв]&amp;РД[Состояние],РД[Сумма скидки],"",0),2),Таблица4[[#This Row],[Статус]])</f>
        <v>212002.73</v>
      </c>
      <c r="O120" s="235">
        <f>IFERROR(Таблица4[[#This Row],[ППС]]-Таблица4[[#This Row],[ДДУС]],)</f>
        <v>0</v>
      </c>
      <c r="P120" s="611"/>
      <c r="Q120" s="234">
        <f>VLOOKUP(ППД5!A117,Реестр_Д5[№],1,0)</f>
        <v>116</v>
      </c>
      <c r="R120" s="234" t="str">
        <f>VLOOKUP(ППД5!CH117,Реестр_Д5[Статус],1,0)</f>
        <v>Продажа</v>
      </c>
      <c r="S120" s="612">
        <f>VLOOKUP(ППД5!BZ117,Реестр_Д5[Стоимость ОН без отделки со скидкой],1,0)</f>
        <v>5403692.9100000001</v>
      </c>
      <c r="T120" s="612" cm="1">
        <f t="array" ref="T120">IFERROR(INDEX(РД[Стоимость без отделки итог],MATCH($Q$3&amp;Таблица10[[#This Row],[№]]&amp;"Продажа",РД[Дом]&amp;РД[№ кв]&amp;РД[Состояние],0),1),Таблица10[[#This Row],[Статус]])</f>
        <v>5403692.9100000001</v>
      </c>
      <c r="U120" s="235">
        <f>IFERROR((Таблица10[[#This Row],[ПП]]-Таблица10[[#This Row],[ДДУ]])*1,)</f>
        <v>0</v>
      </c>
      <c r="V120" s="235" cm="1">
        <f t="array" ref="V120">IFERROR(INDEX(РД[Стоимость с отделкой итог],MATCH($Q$3&amp;Таблица10[[#This Row],[№]]&amp;"Продажа",РД[Дом]&amp;РД[№ кв]&amp;РД[Состояние],0),1),Таблица10[[#This Row],[Статус]])</f>
        <v>5403692.9100000001</v>
      </c>
      <c r="W120" s="235">
        <f>_xlfn.XLOOKUP(Таблица10[[#This Row],[№]],Реестр_Д5[№],Реестр_Д5[Стоимость квартиры с отделкой],"-",0)</f>
        <v>5403692.9100000001</v>
      </c>
      <c r="X120" s="235">
        <f>IFERROR(Таблица10[[#This Row],[СО ПП]]-Таблица10[[#This Row],[СО ДДУ]],"")</f>
        <v>0</v>
      </c>
      <c r="Y120" s="233" cm="1">
        <f t="array" ref="Y120">IFERROR(INDEX(РД[S],MATCH($Q$3&amp;Таблица10[[#This Row],[№]]&amp;"Продажа",РД[Дом]&amp;РД[№ кв]&amp;РД[Состояние],0),1),Таблица10[[#This Row],[Статус]])</f>
        <v>65.05</v>
      </c>
      <c r="Z120" s="233">
        <f>IF(Таблица10[[#This Row],[№]]&amp;"ДДУ"=ППД5!A117&amp;ППД5!CR117,ППД5!U117,ППД5!V117)</f>
        <v>65.05</v>
      </c>
      <c r="AA120" s="285">
        <f>IFERROR(Таблица10[[#This Row],[S ПП]]-Таблица10[[#This Row],[S ДДУ]],)</f>
        <v>0</v>
      </c>
      <c r="AB120" s="235">
        <f>ROUND(_xlfn.XLOOKUP(Таблица10[[#This Row],[№]],Реестр_Д5[№],Реестр_Д5[Итоговая сумма скидки],"",0),2)</f>
        <v>110279.45</v>
      </c>
      <c r="AC120" s="235" cm="1">
        <f t="array" ref="AC120">IFERROR(ROUND(_xlfn.XLOOKUP($Q$3&amp;Таблица10[[#This Row],[№]]&amp;"Продажа",РД[Дом]&amp;РД[№ кв]&amp;РД[Состояние],РД[Сумма скидки],"",0,-1),2),Таблица10[[#This Row],[Статус]])</f>
        <v>110279.45</v>
      </c>
      <c r="AD120" s="285">
        <f>IFERROR(Таблица10[[#This Row],[ППС]]-Таблица10[[#This Row],[ДДУС]],)</f>
        <v>0</v>
      </c>
      <c r="AE120" s="611"/>
      <c r="AT120" s="611"/>
      <c r="AU120" s="484">
        <f>VLOOKUP(ППД402!A117,Д402[],1,0)</f>
        <v>116</v>
      </c>
      <c r="AV120" s="484" t="str">
        <f>_xlfn.XLOOKUP(Т402[[#This Row],[№]],Д402[№],Д402[Статус],"-",0)</f>
        <v>Стр. Резерв</v>
      </c>
      <c r="AW120" s="613">
        <f>_xlfn.XLOOKUP(Т402[[#This Row],[№]],Д402[№],Д402[Стоимость ОН без отделки со скидкой],"-",0)</f>
        <v>4750900</v>
      </c>
      <c r="AX120" s="614" t="str" cm="1">
        <f t="array" ref="AX12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0" s="485" t="str">
        <f>IFERROR((Т402[[#This Row],[ПП]]-Т402[[#This Row],[ДДУ]])*1,"")</f>
        <v/>
      </c>
      <c r="AZ120" s="486" t="str" cm="1">
        <f t="array" ref="AZ12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0" s="485">
        <f>_xlfn.XLOOKUP(Т402[[#This Row],[№]],Д402[№],Д402[Стоимость квартиры с отделкой],"-",0)</f>
        <v>4750900</v>
      </c>
      <c r="BB120" s="485" t="str">
        <f>IFERROR(Т402[[#This Row],[СО ПП]]-Т402[[#This Row],[СО ДДУ]],"")</f>
        <v/>
      </c>
      <c r="BC120" s="487" t="str" cm="1">
        <f t="array" ref="BC120">IFERROR(INDEX(РД[S],MATCH($AU$3&amp;Т402[[#This Row],[№]]&amp;"Продажа",РД[Дом]&amp;РД[№ кв]&amp;РД[Состояние],0),1),Т402[[#This Row],[Статус]])</f>
        <v>Стр. Резерв</v>
      </c>
      <c r="BD120" s="483">
        <f>_xlfn.XLOOKUP(Т402[[#This Row],[№]],Д402[№],Д402[Расчетная проектная площадь],"-",0)</f>
        <v>36.630000000000003</v>
      </c>
      <c r="BE120" s="485" t="str">
        <f>IFERROR(Т402[[#This Row],[S ПП]]-Т402[[#This Row],[S ДДУ]],"")</f>
        <v/>
      </c>
      <c r="BF120" s="485">
        <f>_xlfn.XLOOKUP(Т402[[#This Row],[№]],Д402[№],Д402[Итоговая сумма скидки],"-",0)</f>
        <v>0</v>
      </c>
      <c r="BG120" s="486" t="str" cm="1">
        <f t="array" ref="BG12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0" s="488" t="str">
        <f>IFERROR(Т402[[#This Row],[ППС]]-Т402[[#This Row],[ДДУС]],"")</f>
        <v/>
      </c>
    </row>
    <row r="121" spans="1:60" x14ac:dyDescent="0.2">
      <c r="A121" s="611"/>
      <c r="B121" s="234">
        <f>VLOOKUP(ППД4!A118,Реестр_Д4[№],1,0)</f>
        <v>117</v>
      </c>
      <c r="C121" s="234" t="str">
        <f>VLOOKUP(ППД4!CO118,Реестр_Д4[Статус],1,0)</f>
        <v>Продажа</v>
      </c>
      <c r="D121" s="612">
        <f>VLOOKUP(ППД4!CE118,Реестр_Д4[Стоимость ОН без отделки со скидкой],1,0)</f>
        <v>4006113.35</v>
      </c>
      <c r="E121" s="612" cm="1">
        <f t="array" ref="E121">IFERROR(INDEX(РД[Стоимость без отделки итог],MATCH($B$3&amp;Таблица4[[#This Row],[№]]&amp;"Продажа",РД[Дом]&amp;РД[№ кв]&amp;РД[Состояние],0),1),Таблица4[[#This Row],[Статус]])</f>
        <v>4006113.3499999996</v>
      </c>
      <c r="F121" s="235">
        <f>IFERROR((Таблица4[[#This Row],[ПП]]-Таблица4[[#This Row],[ДДУ]])*1,"")</f>
        <v>4.6566128730773926E-10</v>
      </c>
      <c r="G121" s="235" cm="1">
        <f t="array" ref="G121">IFERROR(INDEX(РД[Стоимость с отделкой итог],MATCH($B$3&amp;Таблица4[[#This Row],[№]]&amp;"Продажа",РД[Дом]&amp;РД[№ кв]&amp;РД[Состояние],0),1),Таблица4[[#This Row],[Статус]])</f>
        <v>4826013.3499999996</v>
      </c>
      <c r="H121" s="235">
        <f>_xlfn.XLOOKUP(Таблица4[[#This Row],[№]],Реестр_Д4[№],Реестр_Д4[Стоимость квартиры с отделкой],"-",0)</f>
        <v>4826013.3499999996</v>
      </c>
      <c r="I121" s="235">
        <f>IFERROR(Таблица4[[#This Row],[СО ПП]]-Таблица4[[#This Row],[СО ДДУ]],"")</f>
        <v>0</v>
      </c>
      <c r="J121" s="233" cm="1">
        <f t="array" ref="J121">IFERROR(INDEX(РД[S],MATCH($B$3&amp;Таблица4[[#This Row],[№]]&amp;"Продажа",РД[Дом]&amp;РД[№ кв]&amp;РД[Состояние],0),1),Таблица4[[#This Row],[Статус]])</f>
        <v>54.66</v>
      </c>
      <c r="K121" s="233">
        <f>VLOOKUP(Таблица4[[#This Row],[№]],Реестр_Д4[],20,0)</f>
        <v>54.66</v>
      </c>
      <c r="L121" s="235">
        <f>IFERROR(Таблица4[[#This Row],[S ПП]]-Таблица4[[#This Row],[S ДДУ]],)</f>
        <v>0</v>
      </c>
      <c r="M121" s="235">
        <f>ROUND(_xlfn.XLOOKUP(Таблица4[[#This Row],[№]],Реестр_Д4[№],Реестр_Д4[Итоговая сумма скидки],"",0),2)</f>
        <v>255709.36</v>
      </c>
      <c r="N121" s="235" cm="1">
        <f t="array" ref="N121">IFERROR(ROUND(_xlfn.XLOOKUP($B$3&amp;Таблица4[[#This Row],[№]]&amp;"Продажа",РД[Дом]&amp;РД[№ кв]&amp;РД[Состояние],РД[Сумма скидки],"",0),2),Таблица4[[#This Row],[Статус]])</f>
        <v>255709.36</v>
      </c>
      <c r="O121" s="235">
        <f>IFERROR(Таблица4[[#This Row],[ППС]]-Таблица4[[#This Row],[ДДУС]],)</f>
        <v>0</v>
      </c>
      <c r="P121" s="611"/>
      <c r="Q121" s="234">
        <f>VLOOKUP(ППД5!A118,Реестр_Д5[№],1,0)</f>
        <v>117</v>
      </c>
      <c r="R121" s="234" t="str">
        <f>VLOOKUP(ППД5!CH118,Реестр_Д5[Статус],1,0)</f>
        <v>Свободно</v>
      </c>
      <c r="S121" s="612">
        <f>VLOOKUP(ППД5!BZ118,Реестр_Д5[Стоимость ОН без отделки со скидкой],1,0)</f>
        <v>8273000</v>
      </c>
      <c r="T121" s="612" t="str" cm="1">
        <f t="array" ref="T12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21" s="235">
        <f>IFERROR((Таблица10[[#This Row],[ПП]]-Таблица10[[#This Row],[ДДУ]])*1,)</f>
        <v>0</v>
      </c>
      <c r="V121" s="235" t="str" cm="1">
        <f t="array" ref="V12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21" s="235">
        <f>_xlfn.XLOOKUP(Таблица10[[#This Row],[№]],Реестр_Д5[№],Реестр_Д5[Стоимость квартиры с отделкой],"-",0)</f>
        <v>8273000</v>
      </c>
      <c r="X121" s="235" t="str">
        <f>IFERROR(Таблица10[[#This Row],[СО ПП]]-Таблица10[[#This Row],[СО ДДУ]],"")</f>
        <v/>
      </c>
      <c r="Y121" s="233" t="str" cm="1">
        <f t="array" ref="Y121">IFERROR(INDEX(РД[S],MATCH($Q$3&amp;Таблица10[[#This Row],[№]]&amp;"Продажа",РД[Дом]&amp;РД[№ кв]&amp;РД[Состояние],0),1),Таблица10[[#This Row],[Статус]])</f>
        <v>Свободно</v>
      </c>
      <c r="Z121" s="233">
        <f>IF(Таблица10[[#This Row],[№]]&amp;"ДДУ"=ППД5!A118&amp;ППД5!CR118,ППД5!U118,ППД5!V118)</f>
        <v>62.25</v>
      </c>
      <c r="AA121" s="285">
        <f>IFERROR(Таблица10[[#This Row],[S ПП]]-Таблица10[[#This Row],[S ДДУ]],)</f>
        <v>0</v>
      </c>
      <c r="AB121" s="235">
        <f>ROUND(_xlfn.XLOOKUP(Таблица10[[#This Row],[№]],Реестр_Д5[№],Реестр_Д5[Итоговая сумма скидки],"",0),2)</f>
        <v>0</v>
      </c>
      <c r="AC121" s="235" t="str" cm="1">
        <f t="array" ref="AC12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21" s="285">
        <f>IFERROR(Таблица10[[#This Row],[ППС]]-Таблица10[[#This Row],[ДДУС]],)</f>
        <v>0</v>
      </c>
      <c r="AE121" s="611"/>
      <c r="AT121" s="611"/>
      <c r="AU121" s="484">
        <f>VLOOKUP(ППД402!A118,Д402[],1,0)</f>
        <v>117</v>
      </c>
      <c r="AV121" s="484" t="str">
        <f>_xlfn.XLOOKUP(Т402[[#This Row],[№]],Д402[№],Д402[Статус],"-",0)</f>
        <v>Стр. Резерв</v>
      </c>
      <c r="AW121" s="613">
        <f>_xlfn.XLOOKUP(Т402[[#This Row],[№]],Д402[№],Д402[Стоимость ОН без отделки со скидкой],"-",0)</f>
        <v>4240900</v>
      </c>
      <c r="AX121" s="614" t="str" cm="1">
        <f t="array" ref="AX12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1" s="485" t="str">
        <f>IFERROR((Т402[[#This Row],[ПП]]-Т402[[#This Row],[ДДУ]])*1,"")</f>
        <v/>
      </c>
      <c r="AZ121" s="486" t="str" cm="1">
        <f t="array" ref="AZ12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1" s="485">
        <f>_xlfn.XLOOKUP(Т402[[#This Row],[№]],Д402[№],Д402[Стоимость квартиры с отделкой],"-",0)</f>
        <v>4240900</v>
      </c>
      <c r="BB121" s="485" t="str">
        <f>IFERROR(Т402[[#This Row],[СО ПП]]-Т402[[#This Row],[СО ДДУ]],"")</f>
        <v/>
      </c>
      <c r="BC121" s="487" t="str" cm="1">
        <f t="array" ref="BC121">IFERROR(INDEX(РД[S],MATCH($AU$3&amp;Т402[[#This Row],[№]]&amp;"Продажа",РД[Дом]&amp;РД[№ кв]&amp;РД[Состояние],0),1),Т402[[#This Row],[Статус]])</f>
        <v>Стр. Резерв</v>
      </c>
      <c r="BD121" s="483">
        <f>_xlfn.XLOOKUP(Т402[[#This Row],[№]],Д402[№],Д402[Расчетная проектная площадь],"-",0)</f>
        <v>29.5</v>
      </c>
      <c r="BE121" s="485" t="str">
        <f>IFERROR(Т402[[#This Row],[S ПП]]-Т402[[#This Row],[S ДДУ]],"")</f>
        <v/>
      </c>
      <c r="BF121" s="485">
        <f>_xlfn.XLOOKUP(Т402[[#This Row],[№]],Д402[№],Д402[Итоговая сумма скидки],"-",0)</f>
        <v>0</v>
      </c>
      <c r="BG121" s="486" t="str" cm="1">
        <f t="array" ref="BG12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1" s="488" t="str">
        <f>IFERROR(Т402[[#This Row],[ППС]]-Т402[[#This Row],[ДДУС]],"")</f>
        <v/>
      </c>
    </row>
    <row r="122" spans="1:60" x14ac:dyDescent="0.2">
      <c r="A122" s="611"/>
      <c r="B122" s="234">
        <f>VLOOKUP(ППД4!A119,Реестр_Д4[№],1,0)</f>
        <v>118</v>
      </c>
      <c r="C122" s="234" t="str">
        <f>VLOOKUP(ППД4!CO119,Реестр_Д4[Статус],1,0)</f>
        <v>Продажа</v>
      </c>
      <c r="D122" s="612">
        <f>VLOOKUP(ППД4!CE119,Реестр_Д4[Стоимость ОН без отделки со скидкой],1,0)</f>
        <v>4377738.7</v>
      </c>
      <c r="E122" s="612" cm="1">
        <f t="array" ref="E122">IFERROR(INDEX(РД[Стоимость без отделки итог],MATCH($B$3&amp;Таблица4[[#This Row],[№]]&amp;"Продажа",РД[Дом]&amp;РД[№ кв]&amp;РД[Состояние],0),1),Таблица4[[#This Row],[Статус]])</f>
        <v>4377738.7</v>
      </c>
      <c r="F122" s="235">
        <f>IFERROR((Таблица4[[#This Row],[ПП]]-Таблица4[[#This Row],[ДДУ]])*1,"")</f>
        <v>0</v>
      </c>
      <c r="G122" s="235" cm="1">
        <f t="array" ref="G122">IFERROR(INDEX(РД[Стоимость с отделкой итог],MATCH($B$3&amp;Таблица4[[#This Row],[№]]&amp;"Продажа",РД[Дом]&amp;РД[№ кв]&amp;РД[Состояние],0),1),Таблица4[[#This Row],[Статус]])</f>
        <v>4826763.7</v>
      </c>
      <c r="H122" s="235">
        <f>_xlfn.XLOOKUP(Таблица4[[#This Row],[№]],Реестр_Д4[№],Реестр_Д4[Стоимость квартиры с отделкой],"-",0)</f>
        <v>4826763.7</v>
      </c>
      <c r="I122" s="235">
        <f>IFERROR(Таблица4[[#This Row],[СО ПП]]-Таблица4[[#This Row],[СО ДДУ]],"")</f>
        <v>0</v>
      </c>
      <c r="J122" s="233" cm="1">
        <f t="array" ref="J122">IFERROR(INDEX(РД[S],MATCH($B$3&amp;Таблица4[[#This Row],[№]]&amp;"Продажа",РД[Дом]&amp;РД[№ кв]&amp;РД[Состояние],0),1),Таблица4[[#This Row],[Статус]])</f>
        <v>59.87</v>
      </c>
      <c r="K122" s="233">
        <f>VLOOKUP(Таблица4[[#This Row],[№]],Реестр_Д4[],20,0)</f>
        <v>59.87</v>
      </c>
      <c r="L122" s="235">
        <f>IFERROR(Таблица4[[#This Row],[S ПП]]-Таблица4[[#This Row],[S ДДУ]],)</f>
        <v>0</v>
      </c>
      <c r="M122" s="235">
        <f>ROUND(_xlfn.XLOOKUP(Таблица4[[#This Row],[№]],Реестр_Д4[№],Реестр_Д4[Итоговая сумма скидки],"",0),2)</f>
        <v>460814.6</v>
      </c>
      <c r="N122" s="235" cm="1">
        <f t="array" ref="N122">IFERROR(ROUND(_xlfn.XLOOKUP($B$3&amp;Таблица4[[#This Row],[№]]&amp;"Продажа",РД[Дом]&amp;РД[№ кв]&amp;РД[Состояние],РД[Сумма скидки],"",0),2),Таблица4[[#This Row],[Статус]])</f>
        <v>460814.6</v>
      </c>
      <c r="O122" s="235">
        <f>IFERROR(Таблица4[[#This Row],[ППС]]-Таблица4[[#This Row],[ДДУС]],)</f>
        <v>0</v>
      </c>
      <c r="P122" s="611"/>
      <c r="Q122" s="234">
        <f>VLOOKUP(ППД5!A119,Реестр_Д5[№],1,0)</f>
        <v>118</v>
      </c>
      <c r="R122" s="234" t="str">
        <f>VLOOKUP(ППД5!CH119,Реестр_Д5[Статус],1,0)</f>
        <v>Свободно</v>
      </c>
      <c r="S122" s="612">
        <f>VLOOKUP(ППД5!BZ119,Реестр_Д5[Стоимость ОН без отделки со скидкой],1,0)</f>
        <v>7378700</v>
      </c>
      <c r="T122" s="612" t="str" cm="1">
        <f t="array" ref="T12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22" s="235">
        <f>IFERROR((Таблица10[[#This Row],[ПП]]-Таблица10[[#This Row],[ДДУ]])*1,)</f>
        <v>0</v>
      </c>
      <c r="V122" s="235" t="str" cm="1">
        <f t="array" ref="V12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22" s="235">
        <f>_xlfn.XLOOKUP(Таблица10[[#This Row],[№]],Реестр_Д5[№],Реестр_Д5[Стоимость квартиры с отделкой],"-",0)</f>
        <v>7981699.9999999981</v>
      </c>
      <c r="X122" s="235" t="str">
        <f>IFERROR(Таблица10[[#This Row],[СО ПП]]-Таблица10[[#This Row],[СО ДДУ]],"")</f>
        <v/>
      </c>
      <c r="Y122" s="233" t="str" cm="1">
        <f t="array" ref="Y122">IFERROR(INDEX(РД[S],MATCH($Q$3&amp;Таблица10[[#This Row],[№]]&amp;"Продажа",РД[Дом]&amp;РД[№ кв]&amp;РД[Состояние],0),1),Таблица10[[#This Row],[Статус]])</f>
        <v>Свободно</v>
      </c>
      <c r="Z122" s="233">
        <f>IF(Таблица10[[#This Row],[№]]&amp;"ДДУ"=ППД5!A119&amp;ППД5!CR119,ППД5!U119,ППД5!V119)</f>
        <v>60.29999999999999</v>
      </c>
      <c r="AA122" s="285">
        <f>IFERROR(Таблица10[[#This Row],[S ПП]]-Таблица10[[#This Row],[S ДДУ]],)</f>
        <v>0</v>
      </c>
      <c r="AB122" s="235">
        <f>ROUND(_xlfn.XLOOKUP(Таблица10[[#This Row],[№]],Реестр_Д5[№],Реестр_Д5[Итоговая сумма скидки],"",0),2)</f>
        <v>0</v>
      </c>
      <c r="AC122" s="235" t="str" cm="1">
        <f t="array" ref="AC12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22" s="285">
        <f>IFERROR(Таблица10[[#This Row],[ППС]]-Таблица10[[#This Row],[ДДУС]],)</f>
        <v>0</v>
      </c>
      <c r="AE122" s="611"/>
      <c r="AT122" s="611"/>
      <c r="AU122" s="484">
        <f>VLOOKUP(ППД402!A119,Д402[],1,0)</f>
        <v>118</v>
      </c>
      <c r="AV122" s="484" t="str">
        <f>_xlfn.XLOOKUP(Т402[[#This Row],[№]],Д402[№],Д402[Статус],"-",0)</f>
        <v>Стр. Резерв</v>
      </c>
      <c r="AW122" s="613">
        <f>_xlfn.XLOOKUP(Т402[[#This Row],[№]],Д402[№],Д402[Стоимость ОН без отделки со скидкой],"-",0)</f>
        <v>4023800</v>
      </c>
      <c r="AX122" s="614" t="str" cm="1">
        <f t="array" ref="AX12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2" s="485" t="str">
        <f>IFERROR((Т402[[#This Row],[ПП]]-Т402[[#This Row],[ДДУ]])*1,"")</f>
        <v/>
      </c>
      <c r="AZ122" s="486" t="str" cm="1">
        <f t="array" ref="AZ12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2" s="485">
        <f>_xlfn.XLOOKUP(Т402[[#This Row],[№]],Д402[№],Д402[Стоимость квартиры с отделкой],"-",0)</f>
        <v>4023800.0000000009</v>
      </c>
      <c r="BB122" s="485" t="str">
        <f>IFERROR(Т402[[#This Row],[СО ПП]]-Т402[[#This Row],[СО ДДУ]],"")</f>
        <v/>
      </c>
      <c r="BC122" s="487" t="str" cm="1">
        <f t="array" ref="BC122">IFERROR(INDEX(РД[S],MATCH($AU$3&amp;Т402[[#This Row],[№]]&amp;"Продажа",РД[Дом]&amp;РД[№ кв]&amp;РД[Состояние],0),1),Т402[[#This Row],[Статус]])</f>
        <v>Стр. Резерв</v>
      </c>
      <c r="BD122" s="483">
        <f>_xlfn.XLOOKUP(Т402[[#This Row],[№]],Д402[№],Д402[Расчетная проектная площадь],"-",0)</f>
        <v>27.99</v>
      </c>
      <c r="BE122" s="485" t="str">
        <f>IFERROR(Т402[[#This Row],[S ПП]]-Т402[[#This Row],[S ДДУ]],"")</f>
        <v/>
      </c>
      <c r="BF122" s="485">
        <f>_xlfn.XLOOKUP(Т402[[#This Row],[№]],Д402[№],Д402[Итоговая сумма скидки],"-",0)</f>
        <v>0</v>
      </c>
      <c r="BG122" s="486" t="str" cm="1">
        <f t="array" ref="BG12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2" s="488" t="str">
        <f>IFERROR(Т402[[#This Row],[ППС]]-Т402[[#This Row],[ДДУС]],"")</f>
        <v/>
      </c>
    </row>
    <row r="123" spans="1:60" x14ac:dyDescent="0.2">
      <c r="A123" s="611"/>
      <c r="B123" s="234">
        <f>VLOOKUP(ППД4!A120,Реестр_Д4[№],1,0)</f>
        <v>119</v>
      </c>
      <c r="C123" s="234" t="str">
        <f>VLOOKUP(ППД4!CO120,Реестр_Д4[Статус],1,0)</f>
        <v>Продажа</v>
      </c>
      <c r="D123" s="612">
        <f>VLOOKUP(ППД4!CE120,Реестр_Д4[Стоимость ОН без отделки со скидкой],1,0)</f>
        <v>2310483.36</v>
      </c>
      <c r="E123" s="612" cm="1">
        <f t="array" ref="E123">IFERROR(INDEX(РД[Стоимость без отделки итог],MATCH($B$3&amp;Таблица4[[#This Row],[№]]&amp;"Продажа",РД[Дом]&amp;РД[№ кв]&amp;РД[Состояние],0),1),Таблица4[[#This Row],[Статус]])</f>
        <v>2310483.36</v>
      </c>
      <c r="F123" s="235">
        <f>IFERROR((Таблица4[[#This Row],[ПП]]-Таблица4[[#This Row],[ДДУ]])*1,"")</f>
        <v>0</v>
      </c>
      <c r="G123" s="235" cm="1">
        <f t="array" ref="G123">IFERROR(INDEX(РД[Стоимость с отделкой итог],MATCH($B$3&amp;Таблица4[[#This Row],[№]]&amp;"Продажа",РД[Дом]&amp;РД[№ кв]&amp;РД[Состояние],0),1),Таблица4[[#This Row],[Статус]])</f>
        <v>2647608.36</v>
      </c>
      <c r="H123" s="235">
        <f>_xlfn.XLOOKUP(Таблица4[[#This Row],[№]],Реестр_Д4[№],Реестр_Д4[Стоимость квартиры с отделкой],"-",0)</f>
        <v>2647608.36</v>
      </c>
      <c r="I123" s="235">
        <f>IFERROR(Таблица4[[#This Row],[СО ПП]]-Таблица4[[#This Row],[СО ДДУ]],"")</f>
        <v>0</v>
      </c>
      <c r="J123" s="233" cm="1">
        <f t="array" ref="J123">IFERROR(INDEX(РД[S],MATCH($B$3&amp;Таблица4[[#This Row],[№]]&amp;"Продажа",РД[Дом]&amp;РД[№ кв]&amp;РД[Состояние],0),1),Таблица4[[#This Row],[Статус]])</f>
        <v>21.75</v>
      </c>
      <c r="K123" s="233">
        <f>VLOOKUP(Таблица4[[#This Row],[№]],Реестр_Д4[],20,0)</f>
        <v>21.75</v>
      </c>
      <c r="L123" s="235">
        <f>IFERROR(Таблица4[[#This Row],[S ПП]]-Таблица4[[#This Row],[S ДДУ]],)</f>
        <v>0</v>
      </c>
      <c r="M123" s="235">
        <f>ROUND(_xlfn.XLOOKUP(Таблица4[[#This Row],[№]],Реестр_Д4[№],Реестр_Д4[Итоговая сумма скидки],"",0),2)</f>
        <v>0</v>
      </c>
      <c r="N123" s="235" cm="1">
        <f t="array" ref="N12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23" s="235">
        <f>IFERROR(Таблица4[[#This Row],[ППС]]-Таблица4[[#This Row],[ДДУС]],)</f>
        <v>0</v>
      </c>
      <c r="P123" s="611"/>
      <c r="Q123" s="234">
        <f>VLOOKUP(ППД5!A120,Реестр_Д5[№],1,0)</f>
        <v>119</v>
      </c>
      <c r="R123" s="234" t="str">
        <f>VLOOKUP(ППД5!CH120,Реестр_Д5[Статус],1,0)</f>
        <v>Продажа</v>
      </c>
      <c r="S123" s="612">
        <f>VLOOKUP(ППД5!BZ120,Реестр_Д5[Стоимость ОН без отделки со скидкой],1,0)</f>
        <v>2212043</v>
      </c>
      <c r="T123" s="612" cm="1">
        <f t="array" ref="T123">IFERROR(INDEX(РД[Стоимость без отделки итог],MATCH($Q$3&amp;Таблица10[[#This Row],[№]]&amp;"Продажа",РД[Дом]&amp;РД[№ кв]&amp;РД[Состояние],0),1),Таблица10[[#This Row],[Статус]])</f>
        <v>2212043</v>
      </c>
      <c r="U123" s="235">
        <f>IFERROR((Таблица10[[#This Row],[ПП]]-Таблица10[[#This Row],[ДДУ]])*1,)</f>
        <v>0</v>
      </c>
      <c r="V123" s="235" cm="1">
        <f t="array" ref="V123">IFERROR(INDEX(РД[Стоимость с отделкой итог],MATCH($Q$3&amp;Таблица10[[#This Row],[№]]&amp;"Продажа",РД[Дом]&amp;РД[№ кв]&amp;РД[Состояние],0),1),Таблица10[[#This Row],[Статус]])</f>
        <v>2588383</v>
      </c>
      <c r="W123" s="235">
        <f>_xlfn.XLOOKUP(Таблица10[[#This Row],[№]],Реестр_Д5[№],Реестр_Д5[Стоимость квартиры с отделкой],"-",0)</f>
        <v>2588383</v>
      </c>
      <c r="X123" s="235">
        <f>IFERROR(Таблица10[[#This Row],[СО ПП]]-Таблица10[[#This Row],[СО ДДУ]],"")</f>
        <v>0</v>
      </c>
      <c r="Y123" s="233" cm="1">
        <f t="array" ref="Y123">IFERROR(INDEX(РД[S],MATCH($Q$3&amp;Таблица10[[#This Row],[№]]&amp;"Продажа",РД[Дом]&amp;РД[№ кв]&amp;РД[Состояние],0),1),Таблица10[[#This Row],[Статус]])</f>
        <v>24.28</v>
      </c>
      <c r="Z123" s="233">
        <f>IF(Таблица10[[#This Row],[№]]&amp;"ДДУ"=ППД5!A120&amp;ППД5!CR120,ППД5!U120,ППД5!V120)</f>
        <v>24.28</v>
      </c>
      <c r="AA123" s="285">
        <f>IFERROR(Таблица10[[#This Row],[S ПП]]-Таблица10[[#This Row],[S ДДУ]],)</f>
        <v>0</v>
      </c>
      <c r="AB123" s="235">
        <f>ROUND(_xlfn.XLOOKUP(Таблица10[[#This Row],[№]],Реестр_Д5[№],Реестр_Д5[Итоговая сумма скидки],"",0),2)</f>
        <v>0</v>
      </c>
      <c r="AC123" s="235" cm="1">
        <f t="array" ref="AC12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23" s="285">
        <f>IFERROR(Таблица10[[#This Row],[ППС]]-Таблица10[[#This Row],[ДДУС]],)</f>
        <v>0</v>
      </c>
      <c r="AE123" s="611"/>
      <c r="AT123" s="611"/>
      <c r="AU123" s="484">
        <f>VLOOKUP(ППД402!A120,Д402[],1,0)</f>
        <v>119</v>
      </c>
      <c r="AV123" s="484" t="str">
        <f>_xlfn.XLOOKUP(Т402[[#This Row],[№]],Д402[№],Д402[Статус],"-",0)</f>
        <v>Свободно</v>
      </c>
      <c r="AW123" s="613">
        <f>_xlfn.XLOOKUP(Т402[[#This Row],[№]],Д402[№],Д402[Стоимость ОН без отделки со скидкой],"-",0)</f>
        <v>7637800</v>
      </c>
      <c r="AX123" s="614" t="str" cm="1">
        <f t="array" ref="AX12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23" s="485" t="str">
        <f>IFERROR((Т402[[#This Row],[ПП]]-Т402[[#This Row],[ДДУ]])*1,"")</f>
        <v/>
      </c>
      <c r="AZ123" s="486" t="str" cm="1">
        <f t="array" ref="AZ12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23" s="485">
        <f>_xlfn.XLOOKUP(Т402[[#This Row],[№]],Д402[№],Д402[Стоимость квартиры с отделкой],"-",0)</f>
        <v>7637800</v>
      </c>
      <c r="BB123" s="485" t="str">
        <f>IFERROR(Т402[[#This Row],[СО ПП]]-Т402[[#This Row],[СО ДДУ]],"")</f>
        <v/>
      </c>
      <c r="BC123" s="487" t="str" cm="1">
        <f t="array" ref="BC123">IFERROR(INDEX(РД[S],MATCH($AU$3&amp;Т402[[#This Row],[№]]&amp;"Продажа",РД[Дом]&amp;РД[№ кв]&amp;РД[Состояние],0),1),Т402[[#This Row],[Статус]])</f>
        <v>Свободно</v>
      </c>
      <c r="BD123" s="483">
        <f>_xlfn.XLOOKUP(Т402[[#This Row],[№]],Д402[№],Д402[Расчетная проектная площадь],"-",0)</f>
        <v>63.44</v>
      </c>
      <c r="BE123" s="485" t="str">
        <f>IFERROR(Т402[[#This Row],[S ПП]]-Т402[[#This Row],[S ДДУ]],"")</f>
        <v/>
      </c>
      <c r="BF123" s="485">
        <f>_xlfn.XLOOKUP(Т402[[#This Row],[№]],Д402[№],Д402[Итоговая сумма скидки],"-",0)</f>
        <v>0</v>
      </c>
      <c r="BG123" s="486" t="str" cm="1">
        <f t="array" ref="BG12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23" s="488" t="str">
        <f>IFERROR(Т402[[#This Row],[ППС]]-Т402[[#This Row],[ДДУС]],"")</f>
        <v/>
      </c>
    </row>
    <row r="124" spans="1:60" x14ac:dyDescent="0.2">
      <c r="A124" s="611"/>
      <c r="B124" s="234">
        <f>VLOOKUP(ППД4!A121,Реестр_Д4[№],1,0)</f>
        <v>120</v>
      </c>
      <c r="C124" s="234" t="str">
        <f>VLOOKUP(ППД4!CO121,Реестр_Д4[Статус],1,0)</f>
        <v>Продажа</v>
      </c>
      <c r="D124" s="612">
        <f>VLOOKUP(ППД4!CE121,Реестр_Д4[Стоимость ОН без отделки со скидкой],1,0)</f>
        <v>1720826.68</v>
      </c>
      <c r="E124" s="612" cm="1">
        <f t="array" ref="E124">IFERROR(INDEX(РД[Стоимость без отделки итог],MATCH($B$3&amp;Таблица4[[#This Row],[№]]&amp;"Продажа",РД[Дом]&amp;РД[№ кв]&amp;РД[Состояние],0),1),Таблица4[[#This Row],[Статус]])</f>
        <v>1720826.68</v>
      </c>
      <c r="F124" s="235">
        <f>IFERROR((Таблица4[[#This Row],[ПП]]-Таблица4[[#This Row],[ДДУ]])*1,"")</f>
        <v>0</v>
      </c>
      <c r="G124" s="235" cm="1">
        <f t="array" ref="G124">IFERROR(INDEX(РД[Стоимость с отделкой итог],MATCH($B$3&amp;Таблица4[[#This Row],[№]]&amp;"Продажа",РД[Дом]&amp;РД[№ кв]&amp;РД[Состояние],0),1),Таблица4[[#This Row],[Статус]])</f>
        <v>2198886.6800000002</v>
      </c>
      <c r="H124" s="235">
        <f>_xlfn.XLOOKUP(Таблица4[[#This Row],[№]],Реестр_Д4[№],Реестр_Д4[Стоимость квартиры с отделкой],"-",0)</f>
        <v>2198886.6800000002</v>
      </c>
      <c r="I124" s="235">
        <f>IFERROR(Таблица4[[#This Row],[СО ПП]]-Таблица4[[#This Row],[СО ДДУ]],"")</f>
        <v>0</v>
      </c>
      <c r="J124" s="233" cm="1">
        <f t="array" ref="J124">IFERROR(INDEX(РД[S],MATCH($B$3&amp;Таблица4[[#This Row],[№]]&amp;"Продажа",РД[Дом]&amp;РД[№ кв]&amp;РД[Состояние],0),1),Таблица4[[#This Row],[Статус]])</f>
        <v>21.73</v>
      </c>
      <c r="K124" s="233">
        <f>VLOOKUP(Таблица4[[#This Row],[№]],Реестр_Д4[],20,0)</f>
        <v>21.73</v>
      </c>
      <c r="L124" s="235">
        <f>IFERROR(Таблица4[[#This Row],[S ПП]]-Таблица4[[#This Row],[S ДДУ]],)</f>
        <v>0</v>
      </c>
      <c r="M124" s="235">
        <f>ROUND(_xlfn.XLOOKUP(Таблица4[[#This Row],[№]],Реестр_Д4[№],Реестр_Д4[Итоговая сумма скидки],"",0),2)</f>
        <v>90569.83</v>
      </c>
      <c r="N124" s="235" cm="1">
        <f t="array" ref="N124">IFERROR(ROUND(_xlfn.XLOOKUP($B$3&amp;Таблица4[[#This Row],[№]]&amp;"Продажа",РД[Дом]&amp;РД[№ кв]&amp;РД[Состояние],РД[Сумма скидки],"",0),2),Таблица4[[#This Row],[Статус]])</f>
        <v>90569.83</v>
      </c>
      <c r="O124" s="235">
        <f>IFERROR(Таблица4[[#This Row],[ППС]]-Таблица4[[#This Row],[ДДУС]],)</f>
        <v>0</v>
      </c>
      <c r="P124" s="611"/>
      <c r="Q124" s="234">
        <f>VLOOKUP(ППД5!A121,Реестр_Д5[№],1,0)</f>
        <v>120</v>
      </c>
      <c r="R124" s="234" t="str">
        <f>VLOOKUP(ППД5!CH121,Реестр_Д5[Статус],1,0)</f>
        <v>Продажа</v>
      </c>
      <c r="S124" s="612">
        <f>VLOOKUP(ППД5!BZ121,Реестр_Д5[Стоимость ОН без отделки со скидкой],1,0)</f>
        <v>6838500</v>
      </c>
      <c r="T124" s="612" cm="1">
        <f t="array" ref="T124">IFERROR(INDEX(РД[Стоимость без отделки итог],MATCH($Q$3&amp;Таблица10[[#This Row],[№]]&amp;"Продажа",РД[Дом]&amp;РД[№ кв]&amp;РД[Состояние],0),1),Таблица10[[#This Row],[Статус]])</f>
        <v>6838500</v>
      </c>
      <c r="U124" s="235">
        <f>IFERROR((Таблица10[[#This Row],[ПП]]-Таблица10[[#This Row],[ДДУ]])*1,)</f>
        <v>0</v>
      </c>
      <c r="V124" s="235" cm="1">
        <f t="array" ref="V124">IFERROR(INDEX(РД[Стоимость с отделкой итог],MATCH($Q$3&amp;Таблица10[[#This Row],[№]]&amp;"Продажа",РД[Дом]&amp;РД[№ кв]&amp;РД[Состояние],0),1),Таблица10[[#This Row],[Статус]])</f>
        <v>7414500</v>
      </c>
      <c r="W124" s="235">
        <f>_xlfn.XLOOKUP(Таблица10[[#This Row],[№]],Реестр_Д5[№],Реестр_Д5[Стоимость квартиры с отделкой],"-",0)</f>
        <v>7414500</v>
      </c>
      <c r="X124" s="235">
        <f>IFERROR(Таблица10[[#This Row],[СО ПП]]-Таблица10[[#This Row],[СО ДДУ]],"")</f>
        <v>0</v>
      </c>
      <c r="Y124" s="233" cm="1">
        <f t="array" ref="Y124">IFERROR(INDEX(РД[S],MATCH($Q$3&amp;Таблица10[[#This Row],[№]]&amp;"Продажа",РД[Дом]&amp;РД[№ кв]&amp;РД[Состояние],0),1),Таблица10[[#This Row],[Статус]])</f>
        <v>57.6</v>
      </c>
      <c r="Z124" s="233">
        <f>IF(Таблица10[[#This Row],[№]]&amp;"ДДУ"=ППД5!A121&amp;ППД5!CR121,ППД5!U121,ППД5!V121)</f>
        <v>57.6</v>
      </c>
      <c r="AA124" s="285">
        <f>IFERROR(Таблица10[[#This Row],[S ПП]]-Таблица10[[#This Row],[S ДДУ]],)</f>
        <v>0</v>
      </c>
      <c r="AB124" s="235">
        <f>ROUND(_xlfn.XLOOKUP(Таблица10[[#This Row],[№]],Реестр_Д5[№],Реестр_Д5[Итоговая сумма скидки],"",0),2)</f>
        <v>211500</v>
      </c>
      <c r="AC124" s="235" cm="1">
        <f t="array" ref="AC124">IFERROR(ROUND(_xlfn.XLOOKUP($Q$3&amp;Таблица10[[#This Row],[№]]&amp;"Продажа",РД[Дом]&amp;РД[№ кв]&amp;РД[Состояние],РД[Сумма скидки],"",0,-1),2),Таблица10[[#This Row],[Статус]])</f>
        <v>211500</v>
      </c>
      <c r="AD124" s="285">
        <f>IFERROR(Таблица10[[#This Row],[ППС]]-Таблица10[[#This Row],[ДДУС]],)</f>
        <v>0</v>
      </c>
      <c r="AE124" s="611"/>
      <c r="AT124" s="611"/>
      <c r="AU124" s="484">
        <f>VLOOKUP(ППД402!A121,Д402[],1,0)</f>
        <v>120</v>
      </c>
      <c r="AV124" s="484" t="str">
        <f>_xlfn.XLOOKUP(Т402[[#This Row],[№]],Д402[№],Д402[Статус],"-",0)</f>
        <v>Стр. Резерв</v>
      </c>
      <c r="AW124" s="613">
        <f>_xlfn.XLOOKUP(Т402[[#This Row],[№]],Д402[№],Д402[Стоимость ОН без отделки со скидкой],"-",0)</f>
        <v>7432800</v>
      </c>
      <c r="AX124" s="614" t="str" cm="1">
        <f t="array" ref="AX12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4" s="485" t="str">
        <f>IFERROR((Т402[[#This Row],[ПП]]-Т402[[#This Row],[ДДУ]])*1,"")</f>
        <v/>
      </c>
      <c r="AZ124" s="486" t="str" cm="1">
        <f t="array" ref="AZ12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4" s="485">
        <f>_xlfn.XLOOKUP(Т402[[#This Row],[№]],Д402[№],Д402[Стоимость квартиры с отделкой],"-",0)</f>
        <v>9261000</v>
      </c>
      <c r="BB124" s="485" t="str">
        <f>IFERROR(Т402[[#This Row],[СО ПП]]-Т402[[#This Row],[СО ДДУ]],"")</f>
        <v/>
      </c>
      <c r="BC124" s="487" t="str" cm="1">
        <f t="array" ref="BC124">IFERROR(INDEX(РД[S],MATCH($AU$3&amp;Т402[[#This Row],[№]]&amp;"Продажа",РД[Дом]&amp;РД[№ кв]&amp;РД[Состояние],0),1),Т402[[#This Row],[Статус]])</f>
        <v>Стр. Резерв</v>
      </c>
      <c r="BD124" s="483">
        <f>_xlfn.XLOOKUP(Т402[[#This Row],[№]],Д402[№],Д402[Расчетная проектная площадь],"-",0)</f>
        <v>60.94</v>
      </c>
      <c r="BE124" s="485" t="str">
        <f>IFERROR(Т402[[#This Row],[S ПП]]-Т402[[#This Row],[S ДДУ]],"")</f>
        <v/>
      </c>
      <c r="BF124" s="485">
        <f>_xlfn.XLOOKUP(Т402[[#This Row],[№]],Д402[№],Д402[Итоговая сумма скидки],"-",0)</f>
        <v>0</v>
      </c>
      <c r="BG124" s="486" t="str" cm="1">
        <f t="array" ref="BG12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4" s="488" t="str">
        <f>IFERROR(Т402[[#This Row],[ППС]]-Т402[[#This Row],[ДДУС]],"")</f>
        <v/>
      </c>
    </row>
    <row r="125" spans="1:60" x14ac:dyDescent="0.2">
      <c r="A125" s="611"/>
      <c r="B125" s="234">
        <f>VLOOKUP(ППД4!A122,Реестр_Д4[№],1,0)</f>
        <v>121</v>
      </c>
      <c r="C125" s="234" t="str">
        <f>VLOOKUP(ППД4!CO122,Реестр_Д4[Статус],1,0)</f>
        <v>Продажа</v>
      </c>
      <c r="D125" s="612">
        <f>VLOOKUP(ППД4!CE122,Реестр_Д4[Стоимость ОН без отделки со скидкой],1,0)</f>
        <v>2414917.4700000002</v>
      </c>
      <c r="E125" s="612" cm="1">
        <f t="array" ref="E125">IFERROR(INDEX(РД[Стоимость без отделки итог],MATCH($B$3&amp;Таблица4[[#This Row],[№]]&amp;"Продажа",РД[Дом]&amp;РД[№ кв]&amp;РД[Состояние],0),1),Таблица4[[#This Row],[Статус]])</f>
        <v>2414917.4700000002</v>
      </c>
      <c r="F125" s="235">
        <f>IFERROR((Таблица4[[#This Row],[ПП]]-Таблица4[[#This Row],[ДДУ]])*1,"")</f>
        <v>0</v>
      </c>
      <c r="G125" s="235" cm="1">
        <f t="array" ref="G125">IFERROR(INDEX(РД[Стоимость с отделкой итог],MATCH($B$3&amp;Таблица4[[#This Row],[№]]&amp;"Продажа",РД[Дом]&amp;РД[№ кв]&amp;РД[Состояние],0),1),Таблица4[[#This Row],[Статус]])</f>
        <v>2849467.47</v>
      </c>
      <c r="H125" s="235">
        <f>_xlfn.XLOOKUP(Таблица4[[#This Row],[№]],Реестр_Д4[№],Реестр_Д4[Стоимость квартиры с отделкой],"-",0)</f>
        <v>2849467.47</v>
      </c>
      <c r="I125" s="235">
        <f>IFERROR(Таблица4[[#This Row],[СО ПП]]-Таблица4[[#This Row],[СО ДДУ]],"")</f>
        <v>0</v>
      </c>
      <c r="J125" s="233" cm="1">
        <f t="array" ref="J125">IFERROR(INDEX(РД[S],MATCH($B$3&amp;Таблица4[[#This Row],[№]]&amp;"Продажа",РД[Дом]&amp;РД[№ кв]&amp;РД[Состояние],0),1),Таблица4[[#This Row],[Статус]])</f>
        <v>28.97</v>
      </c>
      <c r="K125" s="233">
        <f>VLOOKUP(Таблица4[[#This Row],[№]],Реестр_Д4[],20,0)</f>
        <v>28.97</v>
      </c>
      <c r="L125" s="235">
        <f>IFERROR(Таблица4[[#This Row],[S ПП]]-Таблица4[[#This Row],[S ДДУ]],)</f>
        <v>0</v>
      </c>
      <c r="M125" s="235">
        <f>ROUND(_xlfn.XLOOKUP(Таблица4[[#This Row],[№]],Реестр_Д4[№],Реестр_Д4[Итоговая сумма скидки],"",0),2)</f>
        <v>0</v>
      </c>
      <c r="N125" s="235" cm="1">
        <f t="array" ref="N12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25" s="235">
        <f>IFERROR(Таблица4[[#This Row],[ППС]]-Таблица4[[#This Row],[ДДУС]],)</f>
        <v>0</v>
      </c>
      <c r="P125" s="611"/>
      <c r="Q125" s="234">
        <f>VLOOKUP(ППД5!A122,Реестр_Д5[№],1,0)</f>
        <v>121</v>
      </c>
      <c r="R125" s="234" t="str">
        <f>VLOOKUP(ППД5!CH122,Реестр_Д5[Статус],1,0)</f>
        <v>Стр. Резерв</v>
      </c>
      <c r="S125" s="612">
        <f>VLOOKUP(ППД5!BZ122,Реестр_Д5[Стоимость ОН без отделки со скидкой],1,0)</f>
        <v>7265400</v>
      </c>
      <c r="T125" s="612" t="str" cm="1">
        <f t="array" ref="T125">IFERROR(INDEX(РД[Стоимость без отделки итог],MATCH($Q$3&amp;Таблица10[[#This Row],[№]]&amp;"Продажа",РД[Дом]&amp;РД[№ кв]&amp;РД[Состояние],0),1),Таблица10[[#This Row],[Статус]])</f>
        <v>Стр. Резерв</v>
      </c>
      <c r="U125" s="235">
        <f>IFERROR((Таблица10[[#This Row],[ПП]]-Таблица10[[#This Row],[ДДУ]])*1,)</f>
        <v>0</v>
      </c>
      <c r="V125" s="235" t="str" cm="1">
        <f t="array" ref="V125">IFERROR(INDEX(РД[Стоимость с отделкой итог],MATCH($Q$3&amp;Таблица10[[#This Row],[№]]&amp;"Продажа",РД[Дом]&amp;РД[№ кв]&amp;РД[Состояние],0),1),Таблица10[[#This Row],[Статус]])</f>
        <v>Стр. Резерв</v>
      </c>
      <c r="W125" s="235">
        <f>_xlfn.XLOOKUP(Таблица10[[#This Row],[№]],Реестр_Д5[№],Реестр_Д5[Стоимость квартиры с отделкой],"-",0)</f>
        <v>7265400</v>
      </c>
      <c r="X125" s="235" t="str">
        <f>IFERROR(Таблица10[[#This Row],[СО ПП]]-Таблица10[[#This Row],[СО ДДУ]],"")</f>
        <v/>
      </c>
      <c r="Y125" s="233" t="str" cm="1">
        <f t="array" ref="Y125">IFERROR(INDEX(РД[S],MATCH($Q$3&amp;Таблица10[[#This Row],[№]]&amp;"Продажа",РД[Дом]&amp;РД[№ кв]&amp;РД[Состояние],0),1),Таблица10[[#This Row],[Статус]])</f>
        <v>Стр. Резерв</v>
      </c>
      <c r="Z125" s="233">
        <f>IF(Таблица10[[#This Row],[№]]&amp;"ДДУ"=ППД5!A122&amp;ППД5!CR122,ППД5!U122,ППД5!V122)</f>
        <v>58.2</v>
      </c>
      <c r="AA125" s="285">
        <f>IFERROR(Таблица10[[#This Row],[S ПП]]-Таблица10[[#This Row],[S ДДУ]],)</f>
        <v>0</v>
      </c>
      <c r="AB125" s="235">
        <f>ROUND(_xlfn.XLOOKUP(Таблица10[[#This Row],[№]],Реестр_Д5[№],Реестр_Д5[Итоговая сумма скидки],"",0),2)</f>
        <v>0</v>
      </c>
      <c r="AC125" s="235" t="str" cm="1">
        <f t="array" ref="AC125">IFERROR(ROUND(_xlfn.XLOOKUP($Q$3&amp;Таблица10[[#This Row],[№]]&amp;"Продажа",РД[Дом]&amp;РД[№ кв]&amp;РД[Состояние],РД[Сумма скидки],"",0,-1),2),Таблица10[[#This Row],[Статус]])</f>
        <v>Стр. Резерв</v>
      </c>
      <c r="AD125" s="285">
        <f>IFERROR(Таблица10[[#This Row],[ППС]]-Таблица10[[#This Row],[ДДУС]],)</f>
        <v>0</v>
      </c>
      <c r="AE125" s="611"/>
      <c r="AT125" s="611"/>
      <c r="AU125" s="484">
        <f>VLOOKUP(ППД402!A122,Д402[],1,0)</f>
        <v>121</v>
      </c>
      <c r="AV125" s="484" t="str">
        <f>_xlfn.XLOOKUP(Т402[[#This Row],[№]],Д402[№],Д402[Статус],"-",0)</f>
        <v>Стр. Резерв</v>
      </c>
      <c r="AW125" s="613">
        <f>_xlfn.XLOOKUP(Т402[[#This Row],[№]],Д402[№],Д402[Стоимость ОН без отделки со скидкой],"-",0)</f>
        <v>7994900</v>
      </c>
      <c r="AX125" s="614" t="str" cm="1">
        <f t="array" ref="AX12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5" s="485" t="str">
        <f>IFERROR((Т402[[#This Row],[ПП]]-Т402[[#This Row],[ДДУ]])*1,"")</f>
        <v/>
      </c>
      <c r="AZ125" s="486" t="str" cm="1">
        <f t="array" ref="AZ12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5" s="485">
        <f>_xlfn.XLOOKUP(Т402[[#This Row],[№]],Д402[№],Д402[Стоимость квартиры с отделкой],"-",0)</f>
        <v>7994900</v>
      </c>
      <c r="BB125" s="485" t="str">
        <f>IFERROR(Т402[[#This Row],[СО ПП]]-Т402[[#This Row],[СО ДДУ]],"")</f>
        <v/>
      </c>
      <c r="BC125" s="487" t="str" cm="1">
        <f t="array" ref="BC125">IFERROR(INDEX(РД[S],MATCH($AU$3&amp;Т402[[#This Row],[№]]&amp;"Продажа",РД[Дом]&amp;РД[№ кв]&amp;РД[Состояние],0),1),Т402[[#This Row],[Статус]])</f>
        <v>Стр. Резерв</v>
      </c>
      <c r="BD125" s="483">
        <f>_xlfn.XLOOKUP(Т402[[#This Row],[№]],Д402[№],Д402[Расчетная проектная площадь],"-",0)</f>
        <v>65.72</v>
      </c>
      <c r="BE125" s="485" t="str">
        <f>IFERROR(Т402[[#This Row],[S ПП]]-Т402[[#This Row],[S ДДУ]],"")</f>
        <v/>
      </c>
      <c r="BF125" s="485">
        <f>_xlfn.XLOOKUP(Т402[[#This Row],[№]],Д402[№],Д402[Итоговая сумма скидки],"-",0)</f>
        <v>0</v>
      </c>
      <c r="BG125" s="486" t="str" cm="1">
        <f t="array" ref="BG12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5" s="488" t="str">
        <f>IFERROR(Т402[[#This Row],[ППС]]-Т402[[#This Row],[ДДУС]],"")</f>
        <v/>
      </c>
    </row>
    <row r="126" spans="1:60" x14ac:dyDescent="0.2">
      <c r="A126" s="611"/>
      <c r="B126" s="234">
        <f>VLOOKUP(ППД4!A123,Реестр_Д4[№],1,0)</f>
        <v>122</v>
      </c>
      <c r="C126" s="234" t="str">
        <f>VLOOKUP(ППД4!CO123,Реестр_Д4[Статус],1,0)</f>
        <v>Продажа</v>
      </c>
      <c r="D126" s="612">
        <f>VLOOKUP(ППД4!CE123,Реестр_Д4[Стоимость ОН без отделки со скидкой],1,0)</f>
        <v>6017825</v>
      </c>
      <c r="E126" s="612" cm="1">
        <f t="array" ref="E126">IFERROR(INDEX(РД[Стоимость без отделки итог],MATCH($B$3&amp;Таблица4[[#This Row],[№]]&amp;"Продажа",РД[Дом]&amp;РД[№ кв]&amp;РД[Состояние],0),1),Таблица4[[#This Row],[Статус]])</f>
        <v>6017825</v>
      </c>
      <c r="F126" s="235">
        <f>IFERROR((Таблица4[[#This Row],[ПП]]-Таблица4[[#This Row],[ДДУ]])*1,"")</f>
        <v>0</v>
      </c>
      <c r="G126" s="235" cm="1">
        <f t="array" ref="G126">IFERROR(INDEX(РД[Стоимость с отделкой итог],MATCH($B$3&amp;Таблица4[[#This Row],[№]]&amp;"Продажа",РД[Дом]&amp;РД[№ кв]&amp;РД[Состояние],0),1),Таблица4[[#This Row],[Статус]])</f>
        <v>6533450</v>
      </c>
      <c r="H126" s="235">
        <f>_xlfn.XLOOKUP(Таблица4[[#This Row],[№]],Реестр_Д4[№],Реестр_Д4[Стоимость квартиры с отделкой],"-",0)</f>
        <v>6533450</v>
      </c>
      <c r="I126" s="235">
        <f>IFERROR(Таблица4[[#This Row],[СО ПП]]-Таблица4[[#This Row],[СО ДДУ]],"")</f>
        <v>0</v>
      </c>
      <c r="J126" s="233" cm="1">
        <f t="array" ref="J126">IFERROR(INDEX(РД[S],MATCH($B$3&amp;Таблица4[[#This Row],[№]]&amp;"Продажа",РД[Дом]&amp;РД[№ кв]&amp;РД[Состояние],0),1),Таблица4[[#This Row],[Статус]])</f>
        <v>68.75</v>
      </c>
      <c r="K126" s="233">
        <f>VLOOKUP(Таблица4[[#This Row],[№]],Реестр_Д4[],20,0)</f>
        <v>68.75</v>
      </c>
      <c r="L126" s="235">
        <f>IFERROR(Таблица4[[#This Row],[S ПП]]-Таблица4[[#This Row],[S ДДУ]],)</f>
        <v>0</v>
      </c>
      <c r="M126" s="235">
        <f>ROUND(_xlfn.XLOOKUP(Таблица4[[#This Row],[№]],Реестр_Д4[№],Реестр_Д4[Итоговая сумма скидки],"",0),2)</f>
        <v>309375</v>
      </c>
      <c r="N126" s="235" cm="1">
        <f t="array" ref="N126">IFERROR(ROUND(_xlfn.XLOOKUP($B$3&amp;Таблица4[[#This Row],[№]]&amp;"Продажа",РД[Дом]&amp;РД[№ кв]&amp;РД[Состояние],РД[Сумма скидки],"",0),2),Таблица4[[#This Row],[Статус]])</f>
        <v>309375</v>
      </c>
      <c r="O126" s="235">
        <f>IFERROR(Таблица4[[#This Row],[ППС]]-Таблица4[[#This Row],[ДДУС]],)</f>
        <v>0</v>
      </c>
      <c r="P126" s="611"/>
      <c r="Q126" s="234">
        <f>VLOOKUP(ППД5!A123,Реестр_Д5[№],1,0)</f>
        <v>122</v>
      </c>
      <c r="R126" s="234" t="str">
        <f>VLOOKUP(ППД5!CH123,Реестр_Д5[Статус],1,0)</f>
        <v>Продажа</v>
      </c>
      <c r="S126" s="612">
        <f>VLOOKUP(ППД5!BZ123,Реестр_Д5[Стоимость ОН без отделки со скидкой],1,0)</f>
        <v>4424014</v>
      </c>
      <c r="T126" s="612" cm="1">
        <f t="array" ref="T126">IFERROR(INDEX(РД[Стоимость без отделки итог],MATCH($Q$3&amp;Таблица10[[#This Row],[№]]&amp;"Продажа",РД[Дом]&amp;РД[№ кв]&amp;РД[Состояние],0),1),Таблица10[[#This Row],[Статус]])</f>
        <v>4424014</v>
      </c>
      <c r="U126" s="235">
        <f>IFERROR((Таблица10[[#This Row],[ПП]]-Таблица10[[#This Row],[ДДУ]])*1,)</f>
        <v>0</v>
      </c>
      <c r="V126" s="235" cm="1">
        <f t="array" ref="V126">IFERROR(INDEX(РД[Стоимость с отделкой итог],MATCH($Q$3&amp;Таблица10[[#This Row],[№]]&amp;"Продажа",РД[Дом]&amp;РД[№ кв]&amp;РД[Состояние],0),1),Таблица10[[#This Row],[Статус]])</f>
        <v>4726894</v>
      </c>
      <c r="W126" s="235">
        <f>_xlfn.XLOOKUP(Таблица10[[#This Row],[№]],Реестр_Д5[№],Реестр_Д5[Стоимость квартиры с отделкой],"-",0)</f>
        <v>4726894</v>
      </c>
      <c r="X126" s="235">
        <f>IFERROR(Таблица10[[#This Row],[СО ПП]]-Таблица10[[#This Row],[СО ДДУ]],"")</f>
        <v>0</v>
      </c>
      <c r="Y126" s="233" cm="1">
        <f t="array" ref="Y126">IFERROR(INDEX(РД[S],MATCH($Q$3&amp;Таблица10[[#This Row],[№]]&amp;"Продажа",РД[Дом]&amp;РД[№ кв]&amp;РД[Состояние],0),1),Таблица10[[#This Row],[Статус]])</f>
        <v>37.86</v>
      </c>
      <c r="Z126" s="233">
        <f>IF(Таблица10[[#This Row],[№]]&amp;"ДДУ"=ППД5!A123&amp;ППД5!CR123,ППД5!U123,ППД5!V123)</f>
        <v>37.86</v>
      </c>
      <c r="AA126" s="285">
        <f>IFERROR(Таблица10[[#This Row],[S ПП]]-Таблица10[[#This Row],[S ДДУ]],)</f>
        <v>0</v>
      </c>
      <c r="AB126" s="235">
        <f>ROUND(_xlfn.XLOOKUP(Таблица10[[#This Row],[№]],Реестр_Д5[№],Реестр_Д5[Итоговая сумма скидки],"",0),2)</f>
        <v>90286</v>
      </c>
      <c r="AC126" s="235" cm="1">
        <f t="array" ref="AC126">IFERROR(ROUND(_xlfn.XLOOKUP($Q$3&amp;Таблица10[[#This Row],[№]]&amp;"Продажа",РД[Дом]&amp;РД[№ кв]&amp;РД[Состояние],РД[Сумма скидки],"",0,-1),2),Таблица10[[#This Row],[Статус]])</f>
        <v>90286</v>
      </c>
      <c r="AD126" s="285">
        <f>IFERROR(Таблица10[[#This Row],[ППС]]-Таблица10[[#This Row],[ДДУС]],)</f>
        <v>0</v>
      </c>
      <c r="AE126" s="611"/>
      <c r="AT126" s="611"/>
      <c r="AU126" s="484">
        <f>VLOOKUP(ППД402!A123,Д402[],1,0)</f>
        <v>122</v>
      </c>
      <c r="AV126" s="484" t="str">
        <f>_xlfn.XLOOKUP(Т402[[#This Row],[№]],Д402[№],Д402[Статус],"-",0)</f>
        <v>Стр. Резерв</v>
      </c>
      <c r="AW126" s="613">
        <f>_xlfn.XLOOKUP(Т402[[#This Row],[№]],Д402[№],Д402[Стоимость ОН без отделки со скидкой],"-",0)</f>
        <v>4750900</v>
      </c>
      <c r="AX126" s="614" t="str" cm="1">
        <f t="array" ref="AX12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6" s="485" t="str">
        <f>IFERROR((Т402[[#This Row],[ПП]]-Т402[[#This Row],[ДДУ]])*1,"")</f>
        <v/>
      </c>
      <c r="AZ126" s="486" t="str" cm="1">
        <f t="array" ref="AZ12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6" s="485">
        <f>_xlfn.XLOOKUP(Т402[[#This Row],[№]],Д402[№],Д402[Стоимость квартиры с отделкой],"-",0)</f>
        <v>4750900</v>
      </c>
      <c r="BB126" s="485" t="str">
        <f>IFERROR(Т402[[#This Row],[СО ПП]]-Т402[[#This Row],[СО ДДУ]],"")</f>
        <v/>
      </c>
      <c r="BC126" s="487" t="str" cm="1">
        <f t="array" ref="BC126">IFERROR(INDEX(РД[S],MATCH($AU$3&amp;Т402[[#This Row],[№]]&amp;"Продажа",РД[Дом]&amp;РД[№ кв]&amp;РД[Состояние],0),1),Т402[[#This Row],[Статус]])</f>
        <v>Стр. Резерв</v>
      </c>
      <c r="BD126" s="483">
        <f>_xlfn.XLOOKUP(Т402[[#This Row],[№]],Д402[№],Д402[Расчетная проектная площадь],"-",0)</f>
        <v>36.630000000000003</v>
      </c>
      <c r="BE126" s="485" t="str">
        <f>IFERROR(Т402[[#This Row],[S ПП]]-Т402[[#This Row],[S ДДУ]],"")</f>
        <v/>
      </c>
      <c r="BF126" s="485">
        <f>_xlfn.XLOOKUP(Т402[[#This Row],[№]],Д402[№],Д402[Итоговая сумма скидки],"-",0)</f>
        <v>0</v>
      </c>
      <c r="BG126" s="486" t="str" cm="1">
        <f t="array" ref="BG12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6" s="488" t="str">
        <f>IFERROR(Т402[[#This Row],[ППС]]-Т402[[#This Row],[ДДУС]],"")</f>
        <v/>
      </c>
    </row>
    <row r="127" spans="1:60" x14ac:dyDescent="0.2">
      <c r="A127" s="611"/>
      <c r="B127" s="234">
        <f>VLOOKUP(ППД4!A124,Реестр_Д4[№],1,0)</f>
        <v>123</v>
      </c>
      <c r="C127" s="234" t="str">
        <f>VLOOKUP(ППД4!CO124,Реестр_Д4[Статус],1,0)</f>
        <v>Продажа</v>
      </c>
      <c r="D127" s="612">
        <f>VLOOKUP(ППД4!CE124,Реестр_Д4[Стоимость ОН без отделки со скидкой],1,0)</f>
        <v>2944935.37</v>
      </c>
      <c r="E127" s="612" cm="1">
        <f t="array" ref="E127">IFERROR(INDEX(РД[Стоимость без отделки итог],MATCH($B$3&amp;Таблица4[[#This Row],[№]]&amp;"Продажа",РД[Дом]&amp;РД[№ кв]&amp;РД[Состояние],0),1),Таблица4[[#This Row],[Статус]])</f>
        <v>2944935.37</v>
      </c>
      <c r="F127" s="235">
        <f>IFERROR((Таблица4[[#This Row],[ПП]]-Таблица4[[#This Row],[ДДУ]])*1,"")</f>
        <v>0</v>
      </c>
      <c r="G127" s="235" cm="1">
        <f t="array" ref="G127">IFERROR(INDEX(РД[Стоимость с отделкой итог],MATCH($B$3&amp;Таблица4[[#This Row],[№]]&amp;"Продажа",РД[Дом]&amp;РД[№ кв]&amp;РД[Состояние],0),1),Таблица4[[#This Row],[Статус]])</f>
        <v>3086455.37</v>
      </c>
      <c r="H127" s="235">
        <f>_xlfn.XLOOKUP(Таблица4[[#This Row],[№]],Реестр_Д4[№],Реестр_Д4[Стоимость квартиры с отделкой],"-",0)</f>
        <v>3086455.37</v>
      </c>
      <c r="I127" s="235">
        <f>IFERROR(Таблица4[[#This Row],[СО ПП]]-Таблица4[[#This Row],[СО ДДУ]],"")</f>
        <v>0</v>
      </c>
      <c r="J127" s="233" cm="1">
        <f t="array" ref="J127">IFERROR(INDEX(РД[S],MATCH($B$3&amp;Таблица4[[#This Row],[№]]&amp;"Продажа",РД[Дом]&amp;РД[№ кв]&amp;РД[Состояние],0),1),Таблица4[[#This Row],[Статус]])</f>
        <v>35.380000000000003</v>
      </c>
      <c r="K127" s="233">
        <f>VLOOKUP(Таблица4[[#This Row],[№]],Реестр_Д4[],20,0)</f>
        <v>35.380000000000003</v>
      </c>
      <c r="L127" s="235">
        <f>IFERROR(Таблица4[[#This Row],[S ПП]]-Таблица4[[#This Row],[S ДДУ]],)</f>
        <v>0</v>
      </c>
      <c r="M127" s="235">
        <f>ROUND(_xlfn.XLOOKUP(Таблица4[[#This Row],[№]],Реестр_Д4[№],Реестр_Д4[Итоговая сумма скидки],"",0),2)</f>
        <v>187974.6</v>
      </c>
      <c r="N127" s="235" cm="1">
        <f t="array" ref="N127">IFERROR(ROUND(_xlfn.XLOOKUP($B$3&amp;Таблица4[[#This Row],[№]]&amp;"Продажа",РД[Дом]&amp;РД[№ кв]&amp;РД[Состояние],РД[Сумма скидки],"",0),2),Таблица4[[#This Row],[Статус]])</f>
        <v>187974.6</v>
      </c>
      <c r="O127" s="235">
        <f>IFERROR(Таблица4[[#This Row],[ППС]]-Таблица4[[#This Row],[ДДУС]],)</f>
        <v>0</v>
      </c>
      <c r="P127" s="611"/>
      <c r="Q127" s="234">
        <f>VLOOKUP(ППД5!A124,Реестр_Д5[№],1,0)</f>
        <v>123</v>
      </c>
      <c r="R127" s="234" t="str">
        <f>VLOOKUP(ППД5!CH124,Реестр_Д5[Статус],1,0)</f>
        <v>Продажа</v>
      </c>
      <c r="S127" s="612">
        <f>VLOOKUP(ППД5!BZ124,Реестр_Д5[Стоимость ОН без отделки со скидкой],1,0)</f>
        <v>8844294</v>
      </c>
      <c r="T127" s="612" cm="1">
        <f t="array" ref="T127">IFERROR(INDEX(РД[Стоимость без отделки итог],MATCH($Q$3&amp;Таблица10[[#This Row],[№]]&amp;"Продажа",РД[Дом]&amp;РД[№ кв]&amp;РД[Состояние],0),1),Таблица10[[#This Row],[Статус]])</f>
        <v>8844294</v>
      </c>
      <c r="U127" s="235">
        <f>IFERROR((Таблица10[[#This Row],[ПП]]-Таблица10[[#This Row],[ДДУ]])*1,)</f>
        <v>0</v>
      </c>
      <c r="V127" s="235" cm="1">
        <f t="array" ref="V127">IFERROR(INDEX(РД[Стоимость с отделкой итог],MATCH($Q$3&amp;Таблица10[[#This Row],[№]]&amp;"Продажа",РД[Дом]&amp;РД[№ кв]&amp;РД[Состояние],0),1),Таблица10[[#This Row],[Статус]])</f>
        <v>8844294</v>
      </c>
      <c r="W127" s="235">
        <f>_xlfn.XLOOKUP(Таблица10[[#This Row],[№]],Реестр_Д5[№],Реестр_Д5[Стоимость квартиры с отделкой],"-",0)</f>
        <v>8844294</v>
      </c>
      <c r="X127" s="235">
        <f>IFERROR(Таблица10[[#This Row],[СО ПП]]-Таблица10[[#This Row],[СО ДДУ]],"")</f>
        <v>0</v>
      </c>
      <c r="Y127" s="233" cm="1">
        <f t="array" ref="Y127">IFERROR(INDEX(РД[S],MATCH($Q$3&amp;Таблица10[[#This Row],[№]]&amp;"Продажа",РД[Дом]&amp;РД[№ кв]&amp;РД[Состояние],0),1),Таблица10[[#This Row],[Статус]])</f>
        <v>84.99</v>
      </c>
      <c r="Z127" s="233">
        <f>IF(Таблица10[[#This Row],[№]]&amp;"ДДУ"=ППД5!A124&amp;ППД5!CR124,ППД5!U124,ППД5!V124)</f>
        <v>84.99</v>
      </c>
      <c r="AA127" s="285">
        <f>IFERROR(Таблица10[[#This Row],[S ПП]]-Таблица10[[#This Row],[S ДДУ]],)</f>
        <v>0</v>
      </c>
      <c r="AB127" s="235">
        <f>ROUND(_xlfn.XLOOKUP(Таблица10[[#This Row],[№]],Реестр_Д5[№],Реестр_Д5[Итоговая сумма скидки],"",0),2)</f>
        <v>685906</v>
      </c>
      <c r="AC127" s="235" cm="1">
        <f t="array" ref="AC127">IFERROR(ROUND(_xlfn.XLOOKUP($Q$3&amp;Таблица10[[#This Row],[№]]&amp;"Продажа",РД[Дом]&amp;РД[№ кв]&amp;РД[Состояние],РД[Сумма скидки],"",0,-1),2),Таблица10[[#This Row],[Статус]])</f>
        <v>685906</v>
      </c>
      <c r="AD127" s="285">
        <f>IFERROR(Таблица10[[#This Row],[ППС]]-Таблица10[[#This Row],[ДДУС]],)</f>
        <v>0</v>
      </c>
      <c r="AE127" s="611"/>
      <c r="AT127" s="611"/>
      <c r="AU127" s="484">
        <f>VLOOKUP(ППД402!A124,Д402[],1,0)</f>
        <v>123</v>
      </c>
      <c r="AV127" s="484" t="str">
        <f>_xlfn.XLOOKUP(Т402[[#This Row],[№]],Д402[№],Д402[Статус],"-",0)</f>
        <v>Стр. Резерв</v>
      </c>
      <c r="AW127" s="613">
        <f>_xlfn.XLOOKUP(Т402[[#This Row],[№]],Д402[№],Д402[Стоимость ОН без отделки со скидкой],"-",0)</f>
        <v>4323300</v>
      </c>
      <c r="AX127" s="614" t="str" cm="1">
        <f t="array" ref="AX12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7" s="485" t="str">
        <f>IFERROR((Т402[[#This Row],[ПП]]-Т402[[#This Row],[ДДУ]])*1,"")</f>
        <v/>
      </c>
      <c r="AZ127" s="486" t="str" cm="1">
        <f t="array" ref="AZ12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7" s="485">
        <f>_xlfn.XLOOKUP(Т402[[#This Row],[№]],Д402[№],Д402[Стоимость квартиры с отделкой],"-",0)</f>
        <v>4323300</v>
      </c>
      <c r="BB127" s="485" t="str">
        <f>IFERROR(Т402[[#This Row],[СО ПП]]-Т402[[#This Row],[СО ДДУ]],"")</f>
        <v/>
      </c>
      <c r="BC127" s="487" t="str" cm="1">
        <f t="array" ref="BC127">IFERROR(INDEX(РД[S],MATCH($AU$3&amp;Т402[[#This Row],[№]]&amp;"Продажа",РД[Дом]&amp;РД[№ кв]&amp;РД[Состояние],0),1),Т402[[#This Row],[Статус]])</f>
        <v>Стр. Резерв</v>
      </c>
      <c r="BD127" s="483">
        <f>_xlfn.XLOOKUP(Т402[[#This Row],[№]],Д402[№],Д402[Расчетная проектная площадь],"-",0)</f>
        <v>29.5</v>
      </c>
      <c r="BE127" s="485" t="str">
        <f>IFERROR(Т402[[#This Row],[S ПП]]-Т402[[#This Row],[S ДДУ]],"")</f>
        <v/>
      </c>
      <c r="BF127" s="485">
        <f>_xlfn.XLOOKUP(Т402[[#This Row],[№]],Д402[№],Д402[Итоговая сумма скидки],"-",0)</f>
        <v>0</v>
      </c>
      <c r="BG127" s="486" t="str" cm="1">
        <f t="array" ref="BG12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7" s="488" t="str">
        <f>IFERROR(Т402[[#This Row],[ППС]]-Т402[[#This Row],[ДДУС]],"")</f>
        <v/>
      </c>
    </row>
    <row r="128" spans="1:60" x14ac:dyDescent="0.2">
      <c r="A128" s="611"/>
      <c r="B128" s="234">
        <f>VLOOKUP(ППД4!A125,Реестр_Д4[№],1,0)</f>
        <v>124</v>
      </c>
      <c r="C128" s="234" t="str">
        <f>VLOOKUP(ППД4!CO125,Реестр_Д4[Статус],1,0)</f>
        <v>Продажа</v>
      </c>
      <c r="D128" s="612">
        <f>VLOOKUP(ППД4!CE125,Реестр_Д4[Стоимость ОН без отделки со скидкой],1,0)</f>
        <v>3118316.55</v>
      </c>
      <c r="E128" s="612" cm="1">
        <f t="array" ref="E128">IFERROR(INDEX(РД[Стоимость без отделки итог],MATCH($B$3&amp;Таблица4[[#This Row],[№]]&amp;"Продажа",РД[Дом]&amp;РД[№ кв]&amp;РД[Состояние],0),1),Таблица4[[#This Row],[Статус]])</f>
        <v>3118316.55</v>
      </c>
      <c r="F128" s="235">
        <f>IFERROR((Таблица4[[#This Row],[ПП]]-Таблица4[[#This Row],[ДДУ]])*1,"")</f>
        <v>0</v>
      </c>
      <c r="G128" s="235" cm="1">
        <f t="array" ref="G128">IFERROR(INDEX(РД[Стоимость с отделкой итог],MATCH($B$3&amp;Таблица4[[#This Row],[№]]&amp;"Продажа",РД[Дом]&amp;РД[№ кв]&amp;РД[Состояние],0),1),Таблица4[[#This Row],[Статус]])</f>
        <v>3269556.55</v>
      </c>
      <c r="H128" s="235">
        <f>_xlfn.XLOOKUP(Таблица4[[#This Row],[№]],Реестр_Д4[№],Реестр_Д4[Стоимость квартиры с отделкой],"-",0)</f>
        <v>3269556.55</v>
      </c>
      <c r="I128" s="235">
        <f>IFERROR(Таблица4[[#This Row],[СО ПП]]-Таблица4[[#This Row],[СО ДДУ]],"")</f>
        <v>0</v>
      </c>
      <c r="J128" s="233" cm="1">
        <f t="array" ref="J128">IFERROR(INDEX(РД[S],MATCH($B$3&amp;Таблица4[[#This Row],[№]]&amp;"Продажа",РД[Дом]&amp;РД[№ кв]&amp;РД[Состояние],0),1),Таблица4[[#This Row],[Статус]])</f>
        <v>37.81</v>
      </c>
      <c r="K128" s="233">
        <f>VLOOKUP(Таблица4[[#This Row],[№]],Реестр_Д4[],20,0)</f>
        <v>37.81</v>
      </c>
      <c r="L128" s="235">
        <f>IFERROR(Таблица4[[#This Row],[S ПП]]-Таблица4[[#This Row],[S ДДУ]],)</f>
        <v>0</v>
      </c>
      <c r="M128" s="235">
        <f>ROUND(_xlfn.XLOOKUP(Таблица4[[#This Row],[№]],Реестр_Д4[№],Реестр_Д4[Итоговая сумма скидки],"",0),2)</f>
        <v>164121.92000000001</v>
      </c>
      <c r="N128" s="235" cm="1">
        <f t="array" ref="N128">IFERROR(ROUND(_xlfn.XLOOKUP($B$3&amp;Таблица4[[#This Row],[№]]&amp;"Продажа",РД[Дом]&amp;РД[№ кв]&amp;РД[Состояние],РД[Сумма скидки],"",0),2),Таблица4[[#This Row],[Статус]])</f>
        <v>164121.92000000001</v>
      </c>
      <c r="O128" s="235">
        <f>IFERROR(Таблица4[[#This Row],[ППС]]-Таблица4[[#This Row],[ДДУС]],)</f>
        <v>0</v>
      </c>
      <c r="P128" s="611"/>
      <c r="Q128" s="234">
        <f>VLOOKUP(ППД5!A125,Реестр_Д5[№],1,0)</f>
        <v>124</v>
      </c>
      <c r="R128" s="234" t="str">
        <f>VLOOKUP(ППД5!CH125,Реестр_Д5[Статус],1,0)</f>
        <v>Продажа</v>
      </c>
      <c r="S128" s="612">
        <f>VLOOKUP(ППД5!BZ125,Реестр_Д5[Стоимость ОН без отделки со скидкой],1,0)</f>
        <v>3583761.04</v>
      </c>
      <c r="T128" s="612" cm="1">
        <f t="array" ref="T128">IFERROR(INDEX(РД[Стоимость без отделки итог],MATCH($Q$3&amp;Таблица10[[#This Row],[№]]&amp;"Продажа",РД[Дом]&amp;РД[№ кв]&amp;РД[Состояние],0),1),Таблица10[[#This Row],[Статус]])</f>
        <v>3583761.04</v>
      </c>
      <c r="U128" s="235">
        <f>IFERROR((Таблица10[[#This Row],[ПП]]-Таблица10[[#This Row],[ДДУ]])*1,)</f>
        <v>0</v>
      </c>
      <c r="V128" s="235" cm="1">
        <f t="array" ref="V128">IFERROR(INDEX(РД[Стоимость с отделкой итог],MATCH($Q$3&amp;Таблица10[[#This Row],[№]]&amp;"Продажа",РД[Дом]&amp;РД[№ кв]&amp;РД[Состояние],0),1),Таблица10[[#This Row],[Статус]])</f>
        <v>3774021.04</v>
      </c>
      <c r="W128" s="235">
        <f>_xlfn.XLOOKUP(Таблица10[[#This Row],[№]],Реестр_Д5[№],Реестр_Д5[Стоимость квартиры с отделкой],"-",0)</f>
        <v>3774021.04</v>
      </c>
      <c r="X128" s="235">
        <f>IFERROR(Таблица10[[#This Row],[СО ПП]]-Таблица10[[#This Row],[СО ДДУ]],"")</f>
        <v>0</v>
      </c>
      <c r="Y128" s="233" cm="1">
        <f t="array" ref="Y128">IFERROR(INDEX(РД[S],MATCH($Q$3&amp;Таблица10[[#This Row],[№]]&amp;"Продажа",РД[Дом]&amp;РД[№ кв]&amp;РД[Состояние],0),1),Таблица10[[#This Row],[Статус]])</f>
        <v>42.28</v>
      </c>
      <c r="Z128" s="233">
        <f>IF(Таблица10[[#This Row],[№]]&amp;"ДДУ"=ППД5!A125&amp;ППД5!CR125,ППД5!U125,ППД5!V125)</f>
        <v>42.28</v>
      </c>
      <c r="AA128" s="285">
        <f>IFERROR(Таблица10[[#This Row],[S ПП]]-Таблица10[[#This Row],[S ДДУ]],)</f>
        <v>0</v>
      </c>
      <c r="AB128" s="235">
        <f>ROUND(_xlfn.XLOOKUP(Таблица10[[#This Row],[№]],Реестр_Д5[№],Реестр_Д5[Итоговая сумма скидки],"",0),2)</f>
        <v>0</v>
      </c>
      <c r="AC128" s="235" cm="1">
        <f t="array" ref="AC12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28" s="285">
        <f>IFERROR(Таблица10[[#This Row],[ППС]]-Таблица10[[#This Row],[ДДУС]],)</f>
        <v>0</v>
      </c>
      <c r="AE128" s="611"/>
      <c r="AT128" s="611"/>
      <c r="AU128" s="484">
        <f>VLOOKUP(ППД402!A125,Д402[],1,0)</f>
        <v>124</v>
      </c>
      <c r="AV128" s="484" t="str">
        <f>_xlfn.XLOOKUP(Т402[[#This Row],[№]],Д402[№],Д402[Статус],"-",0)</f>
        <v>Стр. Резерв</v>
      </c>
      <c r="AW128" s="613">
        <f>_xlfn.XLOOKUP(Т402[[#This Row],[№]],Д402[№],Д402[Стоимость ОН без отделки со скидкой],"-",0)</f>
        <v>4023800</v>
      </c>
      <c r="AX128" s="614" t="str" cm="1">
        <f t="array" ref="AX12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8" s="485" t="str">
        <f>IFERROR((Т402[[#This Row],[ПП]]-Т402[[#This Row],[ДДУ]])*1,"")</f>
        <v/>
      </c>
      <c r="AZ128" s="486" t="str" cm="1">
        <f t="array" ref="AZ12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8" s="485">
        <f>_xlfn.XLOOKUP(Т402[[#This Row],[№]],Д402[№],Д402[Стоимость квартиры с отделкой],"-",0)</f>
        <v>4023800.0000000009</v>
      </c>
      <c r="BB128" s="485" t="str">
        <f>IFERROR(Т402[[#This Row],[СО ПП]]-Т402[[#This Row],[СО ДДУ]],"")</f>
        <v/>
      </c>
      <c r="BC128" s="487" t="str" cm="1">
        <f t="array" ref="BC128">IFERROR(INDEX(РД[S],MATCH($AU$3&amp;Т402[[#This Row],[№]]&amp;"Продажа",РД[Дом]&amp;РД[№ кв]&amp;РД[Состояние],0),1),Т402[[#This Row],[Статус]])</f>
        <v>Стр. Резерв</v>
      </c>
      <c r="BD128" s="483">
        <f>_xlfn.XLOOKUP(Т402[[#This Row],[№]],Д402[№],Д402[Расчетная проектная площадь],"-",0)</f>
        <v>27.99</v>
      </c>
      <c r="BE128" s="485" t="str">
        <f>IFERROR(Т402[[#This Row],[S ПП]]-Т402[[#This Row],[S ДДУ]],"")</f>
        <v/>
      </c>
      <c r="BF128" s="485">
        <f>_xlfn.XLOOKUP(Т402[[#This Row],[№]],Д402[№],Д402[Итоговая сумма скидки],"-",0)</f>
        <v>0</v>
      </c>
      <c r="BG128" s="486" t="str" cm="1">
        <f t="array" ref="BG12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8" s="488" t="str">
        <f>IFERROR(Т402[[#This Row],[ППС]]-Т402[[#This Row],[ДДУС]],"")</f>
        <v/>
      </c>
    </row>
    <row r="129" spans="1:60" x14ac:dyDescent="0.2">
      <c r="A129" s="611"/>
      <c r="B129" s="234">
        <f>VLOOKUP(ППД4!A126,Реестр_Д4[№],1,0)</f>
        <v>125</v>
      </c>
      <c r="C129" s="234" t="str">
        <f>VLOOKUP(ППД4!CO126,Реестр_Д4[Статус],1,0)</f>
        <v>Продажа</v>
      </c>
      <c r="D129" s="612">
        <f>VLOOKUP(ППД4!CE126,Реестр_Д4[Стоимость ОН без отделки со скидкой],1,0)</f>
        <v>3115605.46</v>
      </c>
      <c r="E129" s="612" cm="1">
        <f t="array" ref="E129">IFERROR(INDEX(РД[Стоимость без отделки итог],MATCH($B$3&amp;Таблица4[[#This Row],[№]]&amp;"Продажа",РД[Дом]&amp;РД[№ кв]&amp;РД[Состояние],0),1),Таблица4[[#This Row],[Статус]])</f>
        <v>3115605.46</v>
      </c>
      <c r="F129" s="235">
        <f>IFERROR((Таблица4[[#This Row],[ПП]]-Таблица4[[#This Row],[ДДУ]])*1,"")</f>
        <v>0</v>
      </c>
      <c r="G129" s="235" cm="1">
        <f t="array" ref="G129">IFERROR(INDEX(РД[Стоимость с отделкой итог],MATCH($B$3&amp;Таблица4[[#This Row],[№]]&amp;"Продажа",РД[Дом]&amp;РД[№ кв]&amp;РД[Состояние],0),1),Таблица4[[#This Row],[Статус]])</f>
        <v>3666105.46</v>
      </c>
      <c r="H129" s="235">
        <f>_xlfn.XLOOKUP(Таблица4[[#This Row],[№]],Реестр_Д4[№],Реестр_Д4[Стоимость квартиры с отделкой],"-",0)</f>
        <v>3666105.46</v>
      </c>
      <c r="I129" s="235">
        <f>IFERROR(Таблица4[[#This Row],[СО ПП]]-Таблица4[[#This Row],[СО ДДУ]],"")</f>
        <v>0</v>
      </c>
      <c r="J129" s="233" cm="1">
        <f t="array" ref="J129">IFERROR(INDEX(РД[S],MATCH($B$3&amp;Таблица4[[#This Row],[№]]&amp;"Продажа",РД[Дом]&amp;РД[№ кв]&amp;РД[Состояние],0),1),Таблица4[[#This Row],[Статус]])</f>
        <v>36.700000000000003</v>
      </c>
      <c r="K129" s="233">
        <f>VLOOKUP(Таблица4[[#This Row],[№]],Реестр_Д4[],20,0)</f>
        <v>36.700000000000003</v>
      </c>
      <c r="L129" s="235">
        <f>IFERROR(Таблица4[[#This Row],[S ПП]]-Таблица4[[#This Row],[S ДДУ]],)</f>
        <v>0</v>
      </c>
      <c r="M129" s="235">
        <f>ROUND(_xlfn.XLOOKUP(Таблица4[[#This Row],[№]],Реестр_Д4[№],Реестр_Д4[Итоговая сумма скидки],"",0),2)</f>
        <v>198868.43</v>
      </c>
      <c r="N129" s="235" cm="1">
        <f t="array" ref="N129">IFERROR(ROUND(_xlfn.XLOOKUP($B$3&amp;Таблица4[[#This Row],[№]]&amp;"Продажа",РД[Дом]&amp;РД[№ кв]&amp;РД[Состояние],РД[Сумма скидки],"",0),2),Таблица4[[#This Row],[Статус]])</f>
        <v>198868.43</v>
      </c>
      <c r="O129" s="235">
        <f>IFERROR(Таблица4[[#This Row],[ППС]]-Таблица4[[#This Row],[ДДУС]],)</f>
        <v>0</v>
      </c>
      <c r="P129" s="611"/>
      <c r="Q129" s="234">
        <f>VLOOKUP(ППД5!A126,Реестр_Д5[№],1,0)</f>
        <v>125</v>
      </c>
      <c r="R129" s="234" t="str">
        <f>VLOOKUP(ППД5!CH126,Реестр_Д5[Статус],1,0)</f>
        <v>Продажа</v>
      </c>
      <c r="S129" s="612">
        <f>VLOOKUP(ППД5!BZ126,Реестр_Д5[Стоимость ОН без отделки со скидкой],1,0)</f>
        <v>7368900</v>
      </c>
      <c r="T129" s="612" cm="1">
        <f t="array" ref="T129">IFERROR(INDEX(РД[Стоимость без отделки итог],MATCH($Q$3&amp;Таблица10[[#This Row],[№]]&amp;"Продажа",РД[Дом]&amp;РД[№ кв]&amp;РД[Состояние],0),1),Таблица10[[#This Row],[Статус]])</f>
        <v>7368900</v>
      </c>
      <c r="U129" s="235">
        <f>IFERROR((Таблица10[[#This Row],[ПП]]-Таблица10[[#This Row],[ДДУ]])*1,)</f>
        <v>0</v>
      </c>
      <c r="V129" s="235" cm="1">
        <f t="array" ref="V129">IFERROR(INDEX(РД[Стоимость с отделкой итог],MATCH($Q$3&amp;Таблица10[[#This Row],[№]]&amp;"Продажа",РД[Дом]&amp;РД[№ кв]&amp;РД[Состояние],0),1),Таблица10[[#This Row],[Статус]])</f>
        <v>7368900</v>
      </c>
      <c r="W129" s="235">
        <f>_xlfn.XLOOKUP(Таблица10[[#This Row],[№]],Реестр_Д5[№],Реестр_Д5[Стоимость квартиры с отделкой],"-",0)</f>
        <v>7368900</v>
      </c>
      <c r="X129" s="235">
        <f>IFERROR(Таблица10[[#This Row],[СО ПП]]-Таблица10[[#This Row],[СО ДДУ]],"")</f>
        <v>0</v>
      </c>
      <c r="Y129" s="233" cm="1">
        <f t="array" ref="Y129">IFERROR(INDEX(РД[S],MATCH($Q$3&amp;Таблица10[[#This Row],[№]]&amp;"Продажа",РД[Дом]&amp;РД[№ кв]&amp;РД[Состояние],0),1),Таблица10[[#This Row],[Статус]])</f>
        <v>60.22</v>
      </c>
      <c r="Z129" s="233">
        <f>IF(Таблица10[[#This Row],[№]]&amp;"ДДУ"=ППД5!A126&amp;ППД5!CR126,ППД5!U126,ППД5!V126)</f>
        <v>60.22</v>
      </c>
      <c r="AA129" s="285">
        <f>IFERROR(Таблица10[[#This Row],[S ПП]]-Таблица10[[#This Row],[S ДДУ]],)</f>
        <v>0</v>
      </c>
      <c r="AB129" s="235">
        <f>ROUND(_xlfn.XLOOKUP(Таблица10[[#This Row],[№]],Реестр_Д5[№],Реестр_Д5[Итоговая сумма скидки],"",0),2)</f>
        <v>0</v>
      </c>
      <c r="AC129" s="235" cm="1">
        <f t="array" ref="AC12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29" s="285">
        <f>IFERROR(Таблица10[[#This Row],[ППС]]-Таблица10[[#This Row],[ДДУС]],)</f>
        <v>0</v>
      </c>
      <c r="AE129" s="611"/>
      <c r="AT129" s="611"/>
      <c r="AU129" s="484">
        <f>VLOOKUP(ППД402!A126,Д402[],1,0)</f>
        <v>125</v>
      </c>
      <c r="AV129" s="484" t="str">
        <f>_xlfn.XLOOKUP(Т402[[#This Row],[№]],Д402[№],Д402[Статус],"-",0)</f>
        <v>Стр. Резерв</v>
      </c>
      <c r="AW129" s="613">
        <f>_xlfn.XLOOKUP(Т402[[#This Row],[№]],Д402[№],Д402[Стоимость ОН без отделки со скидкой],"-",0)</f>
        <v>7637800</v>
      </c>
      <c r="AX129" s="614" t="str" cm="1">
        <f t="array" ref="AX12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29" s="485" t="str">
        <f>IFERROR((Т402[[#This Row],[ПП]]-Т402[[#This Row],[ДДУ]])*1,"")</f>
        <v/>
      </c>
      <c r="AZ129" s="486" t="str" cm="1">
        <f t="array" ref="AZ12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29" s="485">
        <f>_xlfn.XLOOKUP(Т402[[#This Row],[№]],Д402[№],Д402[Стоимость квартиры с отделкой],"-",0)</f>
        <v>7637800</v>
      </c>
      <c r="BB129" s="485" t="str">
        <f>IFERROR(Т402[[#This Row],[СО ПП]]-Т402[[#This Row],[СО ДДУ]],"")</f>
        <v/>
      </c>
      <c r="BC129" s="487" t="str" cm="1">
        <f t="array" ref="BC129">IFERROR(INDEX(РД[S],MATCH($AU$3&amp;Т402[[#This Row],[№]]&amp;"Продажа",РД[Дом]&amp;РД[№ кв]&amp;РД[Состояние],0),1),Т402[[#This Row],[Статус]])</f>
        <v>Стр. Резерв</v>
      </c>
      <c r="BD129" s="483">
        <f>_xlfn.XLOOKUP(Т402[[#This Row],[№]],Д402[№],Д402[Расчетная проектная площадь],"-",0)</f>
        <v>63.44</v>
      </c>
      <c r="BE129" s="485" t="str">
        <f>IFERROR(Т402[[#This Row],[S ПП]]-Т402[[#This Row],[S ДДУ]],"")</f>
        <v/>
      </c>
      <c r="BF129" s="485">
        <f>_xlfn.XLOOKUP(Т402[[#This Row],[№]],Д402[№],Д402[Итоговая сумма скидки],"-",0)</f>
        <v>0</v>
      </c>
      <c r="BG129" s="486" t="str" cm="1">
        <f t="array" ref="BG12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29" s="488" t="str">
        <f>IFERROR(Т402[[#This Row],[ППС]]-Т402[[#This Row],[ДДУС]],"")</f>
        <v/>
      </c>
    </row>
    <row r="130" spans="1:60" x14ac:dyDescent="0.2">
      <c r="A130" s="611"/>
      <c r="B130" s="234">
        <f>VLOOKUP(ППД4!A127,Реестр_Д4[№],1,0)</f>
        <v>126</v>
      </c>
      <c r="C130" s="234" t="str">
        <f>VLOOKUP(ППД4!CO127,Реестр_Д4[Статус],1,0)</f>
        <v>Продажа</v>
      </c>
      <c r="D130" s="612">
        <f>VLOOKUP(ППД4!CE127,Реестр_Д4[Стоимость ОН без отделки со скидкой],1,0)</f>
        <v>3375727.76</v>
      </c>
      <c r="E130" s="612" cm="1">
        <f t="array" ref="E130">IFERROR(INDEX(РД[Стоимость без отделки итог],MATCH($B$3&amp;Таблица4[[#This Row],[№]]&amp;"Продажа",РД[Дом]&amp;РД[№ кв]&amp;РД[Состояние],0),1),Таблица4[[#This Row],[Статус]])</f>
        <v>3375727.76</v>
      </c>
      <c r="F130" s="235">
        <f>IFERROR((Таблица4[[#This Row],[ПП]]-Таблица4[[#This Row],[ДДУ]])*1,"")</f>
        <v>0</v>
      </c>
      <c r="G130" s="235" cm="1">
        <f t="array" ref="G130">IFERROR(INDEX(РД[Стоимость с отделкой итог],MATCH($B$3&amp;Таблица4[[#This Row],[№]]&amp;"Продажа",РД[Дом]&amp;РД[№ кв]&amp;РД[Состояние],0),1),Таблица4[[#This Row],[Статус]])</f>
        <v>3925627.76</v>
      </c>
      <c r="H130" s="235">
        <f>_xlfn.XLOOKUP(Таблица4[[#This Row],[№]],Реестр_Д4[№],Реестр_Д4[Стоимость квартиры с отделкой],"-",0)</f>
        <v>3925627.76</v>
      </c>
      <c r="I130" s="235">
        <f>IFERROR(Таблица4[[#This Row],[СО ПП]]-Таблица4[[#This Row],[СО ДДУ]],"")</f>
        <v>0</v>
      </c>
      <c r="J130" s="233" cm="1">
        <f t="array" ref="J130">IFERROR(INDEX(РД[S],MATCH($B$3&amp;Таблица4[[#This Row],[№]]&amp;"Продажа",РД[Дом]&amp;РД[№ кв]&amp;РД[Состояние],0),1),Таблица4[[#This Row],[Статус]])</f>
        <v>36.659999999999997</v>
      </c>
      <c r="K130" s="233">
        <f>VLOOKUP(Таблица4[[#This Row],[№]],Реестр_Д4[],20,0)</f>
        <v>36.659999999999997</v>
      </c>
      <c r="L130" s="235">
        <f>IFERROR(Таблица4[[#This Row],[S ПП]]-Таблица4[[#This Row],[S ДДУ]],)</f>
        <v>0</v>
      </c>
      <c r="M130" s="235">
        <f>ROUND(_xlfn.XLOOKUP(Таблица4[[#This Row],[№]],Реестр_Д4[№],Реестр_Д4[Итоговая сумма скидки],"",0),2)</f>
        <v>68892.399999999994</v>
      </c>
      <c r="N130" s="235" cm="1">
        <f t="array" ref="N130">IFERROR(ROUND(_xlfn.XLOOKUP($B$3&amp;Таблица4[[#This Row],[№]]&amp;"Продажа",РД[Дом]&amp;РД[№ кв]&amp;РД[Состояние],РД[Сумма скидки],"",0),2),Таблица4[[#This Row],[Статус]])</f>
        <v>68892.399999999994</v>
      </c>
      <c r="O130" s="235">
        <f>IFERROR(Таблица4[[#This Row],[ППС]]-Таблица4[[#This Row],[ДДУС]],)</f>
        <v>0</v>
      </c>
      <c r="P130" s="611"/>
      <c r="Q130" s="234">
        <f>VLOOKUP(ППД5!A127,Реестр_Д5[№],1,0)</f>
        <v>126</v>
      </c>
      <c r="R130" s="234" t="str">
        <f>VLOOKUP(ППД5!CH127,Реестр_Д5[Статус],1,0)</f>
        <v>Продажа</v>
      </c>
      <c r="S130" s="612">
        <f>VLOOKUP(ППД5!BZ127,Реестр_Д5[Стоимость ОН без отделки со скидкой],1,0)</f>
        <v>3060932</v>
      </c>
      <c r="T130" s="612" cm="1">
        <f t="array" ref="T130">IFERROR(INDEX(РД[Стоимость без отделки итог],MATCH($Q$3&amp;Таблица10[[#This Row],[№]]&amp;"Продажа",РД[Дом]&amp;РД[№ кв]&amp;РД[Состояние],0),1),Таблица10[[#This Row],[Статус]])</f>
        <v>3060932</v>
      </c>
      <c r="U130" s="235">
        <f>IFERROR((Таблица10[[#This Row],[ПП]]-Таблица10[[#This Row],[ДДУ]])*1,)</f>
        <v>0</v>
      </c>
      <c r="V130" s="235" cm="1">
        <f t="array" ref="V130">IFERROR(INDEX(РД[Стоимость с отделкой итог],MATCH($Q$3&amp;Таблица10[[#This Row],[№]]&amp;"Продажа",РД[Дом]&amp;РД[№ кв]&amp;РД[Состояние],0),1),Таблица10[[#This Row],[Статус]])</f>
        <v>3643652</v>
      </c>
      <c r="W130" s="235">
        <f>_xlfn.XLOOKUP(Таблица10[[#This Row],[№]],Реестр_Д5[№],Реестр_Д5[Стоимость квартиры с отделкой],"-",0)</f>
        <v>3643652</v>
      </c>
      <c r="X130" s="235">
        <f>IFERROR(Таблица10[[#This Row],[СО ПП]]-Таблица10[[#This Row],[СО ДДУ]],"")</f>
        <v>0</v>
      </c>
      <c r="Y130" s="233" cm="1">
        <f t="array" ref="Y130">IFERROR(INDEX(РД[S],MATCH($Q$3&amp;Таблица10[[#This Row],[№]]&amp;"Продажа",РД[Дом]&amp;РД[№ кв]&amp;РД[Состояние],0),1),Таблица10[[#This Row],[Статус]])</f>
        <v>24.28</v>
      </c>
      <c r="Z130" s="233">
        <f>IF(Таблица10[[#This Row],[№]]&amp;"ДДУ"=ППД5!A127&amp;ППД5!CR127,ППД5!U127,ППД5!V127)</f>
        <v>24.28</v>
      </c>
      <c r="AA130" s="285">
        <f>IFERROR(Таблица10[[#This Row],[S ПП]]-Таблица10[[#This Row],[S ДДУ]],)</f>
        <v>0</v>
      </c>
      <c r="AB130" s="235">
        <f>ROUND(_xlfn.XLOOKUP(Таблица10[[#This Row],[№]],Реестр_Д5[№],Реестр_Д5[Итоговая сумма скидки],"",0),2)</f>
        <v>62468</v>
      </c>
      <c r="AC130" s="235" cm="1">
        <f t="array" ref="AC130">IFERROR(ROUND(_xlfn.XLOOKUP($Q$3&amp;Таблица10[[#This Row],[№]]&amp;"Продажа",РД[Дом]&amp;РД[№ кв]&amp;РД[Состояние],РД[Сумма скидки],"",0,-1),2),Таблица10[[#This Row],[Статус]])</f>
        <v>62468</v>
      </c>
      <c r="AD130" s="285">
        <f>IFERROR(Таблица10[[#This Row],[ППС]]-Таблица10[[#This Row],[ДДУС]],)</f>
        <v>0</v>
      </c>
      <c r="AE130" s="611"/>
      <c r="AT130" s="611"/>
      <c r="AU130" s="484">
        <f>VLOOKUP(ППД402!A127,Д402[],1,0)</f>
        <v>126</v>
      </c>
      <c r="AV130" s="484" t="str">
        <f>_xlfn.XLOOKUP(Т402[[#This Row],[№]],Д402[№],Д402[Статус],"-",0)</f>
        <v>Продажа</v>
      </c>
      <c r="AW130" s="613">
        <f>_xlfn.XLOOKUP(Т402[[#This Row],[№]],Д402[№],Д402[Стоимость ОН без отделки со скидкой],"-",0)</f>
        <v>7071974</v>
      </c>
      <c r="AX130" s="614" cm="1">
        <f t="array" ref="AX130">IFERROR(INDEX(РД[Стоимость без отделки итог],MATCH($AU$3&amp;Т402[[#This Row],[№]]&amp;"Продажа",РД[Дом]&amp;РД[№ кв]&amp;РД[Состояние],0),1),Т402[[#This Row],[Статус]])</f>
        <v>7071974</v>
      </c>
      <c r="AY130" s="485">
        <f>IFERROR((Т402[[#This Row],[ПП]]-Т402[[#This Row],[ДДУ]])*1,"")</f>
        <v>0</v>
      </c>
      <c r="AZ130" s="486" cm="1">
        <f t="array" ref="AZ130">IFERROR(INDEX(РД[Стоимость с отделкой итог],MATCH($AU$3&amp;Т402[[#This Row],[№]]&amp;"Продажа",РД[Дом]&amp;РД[№ кв]&amp;РД[Состояние],0),1),Т402[[#This Row],[Статус]])</f>
        <v>7681374</v>
      </c>
      <c r="BA130" s="485">
        <f>_xlfn.XLOOKUP(Т402[[#This Row],[№]],Д402[№],Д402[Стоимость квартиры с отделкой],"-",0)</f>
        <v>7681374</v>
      </c>
      <c r="BB130" s="485">
        <f>IFERROR(Т402[[#This Row],[СО ПП]]-Т402[[#This Row],[СО ДДУ]],"")</f>
        <v>0</v>
      </c>
      <c r="BC130" s="487" cm="1">
        <f t="array" ref="BC130">IFERROR(INDEX(РД[S],MATCH($AU$3&amp;Т402[[#This Row],[№]]&amp;"Продажа",РД[Дом]&amp;РД[№ кв]&amp;РД[Состояние],0),1),Т402[[#This Row],[Статус]])</f>
        <v>60.94</v>
      </c>
      <c r="BD130" s="483">
        <f>_xlfn.XLOOKUP(Т402[[#This Row],[№]],Д402[№],Д402[Расчетная проектная площадь],"-",0)</f>
        <v>60.94</v>
      </c>
      <c r="BE130" s="485">
        <f>IFERROR(Т402[[#This Row],[S ПП]]-Т402[[#This Row],[S ДДУ]],"")</f>
        <v>0</v>
      </c>
      <c r="BF130" s="485">
        <f>_xlfn.XLOOKUP(Т402[[#This Row],[№]],Д402[№],Д402[Итоговая сумма скидки],"-",0)</f>
        <v>144326</v>
      </c>
      <c r="BG130" s="486" cm="1">
        <f t="array" ref="BG130">IFERROR(ROUND(_xlfn.XLOOKUP($AU$3&amp;Т402[[#This Row],[№]]&amp;"Продажа",РД[Дом]&amp;РД[№ кв]&amp;РД[Состояние],РД[Сумма скидки],"",0),2),Т402[[#This Row],[Статус]])</f>
        <v>144326</v>
      </c>
      <c r="BH130" s="488">
        <f>IFERROR(Т402[[#This Row],[ППС]]-Т402[[#This Row],[ДДУС]],"")</f>
        <v>0</v>
      </c>
    </row>
    <row r="131" spans="1:60" x14ac:dyDescent="0.2">
      <c r="A131" s="611"/>
      <c r="B131" s="234">
        <f>VLOOKUP(ППД4!A128,Реестр_Д4[№],1,0)</f>
        <v>127</v>
      </c>
      <c r="C131" s="234" t="str">
        <f>VLOOKUP(ППД4!CO128,Реестр_Д4[Статус],1,0)</f>
        <v>Продажа</v>
      </c>
      <c r="D131" s="612">
        <f>VLOOKUP(ППД4!CE128,Реестр_Д4[Стоимость ОН без отделки со скидкой],1,0)</f>
        <v>7148372.9699999997</v>
      </c>
      <c r="E131" s="612" cm="1">
        <f t="array" ref="E131">IFERROR(INDEX(РД[Стоимость без отделки итог],MATCH($B$3&amp;Таблица4[[#This Row],[№]]&amp;"Продажа",РД[Дом]&amp;РД[№ кв]&amp;РД[Состояние],0),1),Таблица4[[#This Row],[Статус]])</f>
        <v>7148372.9699999997</v>
      </c>
      <c r="F131" s="235">
        <f>IFERROR((Таблица4[[#This Row],[ПП]]-Таблица4[[#This Row],[ДДУ]])*1,"")</f>
        <v>0</v>
      </c>
      <c r="G131" s="235" cm="1">
        <f t="array" ref="G131">IFERROR(INDEX(РД[Стоимость с отделкой итог],MATCH($B$3&amp;Таблица4[[#This Row],[№]]&amp;"Продажа",РД[Дом]&amp;РД[№ кв]&amp;РД[Состояние],0),1),Таблица4[[#This Row],[Статус]])</f>
        <v>7148372.9699999997</v>
      </c>
      <c r="H131" s="235">
        <f>_xlfn.XLOOKUP(Таблица4[[#This Row],[№]],Реестр_Д4[№],Реестр_Д4[Стоимость квартиры с отделкой],"-",0)</f>
        <v>7148372.9699999997</v>
      </c>
      <c r="I131" s="235">
        <f>IFERROR(Таблица4[[#This Row],[СО ПП]]-Таблица4[[#This Row],[СО ДДУ]],"")</f>
        <v>0</v>
      </c>
      <c r="J131" s="233" cm="1">
        <f t="array" ref="J131">IFERROR(INDEX(РД[S],MATCH($B$3&amp;Таблица4[[#This Row],[№]]&amp;"Продажа",РД[Дом]&amp;РД[№ кв]&amp;РД[Состояние],0),1),Таблица4[[#This Row],[Статус]])</f>
        <v>78.73</v>
      </c>
      <c r="K131" s="233">
        <f>VLOOKUP(Таблица4[[#This Row],[№]],Реестр_Д4[],20,0)</f>
        <v>78.73</v>
      </c>
      <c r="L131" s="235">
        <f>IFERROR(Таблица4[[#This Row],[S ПП]]-Таблица4[[#This Row],[S ДДУ]],)</f>
        <v>0</v>
      </c>
      <c r="M131" s="235">
        <f>ROUND(_xlfn.XLOOKUP(Таблица4[[#This Row],[№]],Реестр_Д4[№],Реестр_Д4[Итоговая сумма скидки],"",0),2)</f>
        <v>145885.16</v>
      </c>
      <c r="N131" s="235" cm="1">
        <f t="array" ref="N131">IFERROR(ROUND(_xlfn.XLOOKUP($B$3&amp;Таблица4[[#This Row],[№]]&amp;"Продажа",РД[Дом]&amp;РД[№ кв]&amp;РД[Состояние],РД[Сумма скидки],"",0),2),Таблица4[[#This Row],[Статус]])</f>
        <v>145885.16</v>
      </c>
      <c r="O131" s="235">
        <f>IFERROR(Таблица4[[#This Row],[ППС]]-Таблица4[[#This Row],[ДДУС]],)</f>
        <v>0</v>
      </c>
      <c r="P131" s="611"/>
      <c r="Q131" s="234">
        <f>VLOOKUP(ППД5!A128,Реестр_Д5[№],1,0)</f>
        <v>127</v>
      </c>
      <c r="R131" s="234" t="str">
        <f>VLOOKUP(ППД5!CH128,Реестр_Д5[Статус],1,0)</f>
        <v>Продажа</v>
      </c>
      <c r="S131" s="612">
        <f>VLOOKUP(ППД5!BZ128,Реестр_Д5[Стоимость ОН без отделки со скидкой],1,0)</f>
        <v>5521400</v>
      </c>
      <c r="T131" s="612" cm="1">
        <f t="array" ref="T131">IFERROR(INDEX(РД[Стоимость без отделки итог],MATCH($Q$3&amp;Таблица10[[#This Row],[№]]&amp;"Продажа",РД[Дом]&amp;РД[№ кв]&amp;РД[Состояние],0),1),Таблица10[[#This Row],[Статус]])</f>
        <v>5521400</v>
      </c>
      <c r="U131" s="235">
        <f>IFERROR((Таблица10[[#This Row],[ПП]]-Таблица10[[#This Row],[ДДУ]])*1,)</f>
        <v>0</v>
      </c>
      <c r="V131" s="235" cm="1">
        <f t="array" ref="V131">IFERROR(INDEX(РД[Стоимость с отделкой итог],MATCH($Q$3&amp;Таблица10[[#This Row],[№]]&amp;"Продажа",РД[Дом]&amp;РД[№ кв]&amp;РД[Состояние],0),1),Таблица10[[#This Row],[Статус]])</f>
        <v>5521400</v>
      </c>
      <c r="W131" s="235">
        <f>_xlfn.XLOOKUP(Таблица10[[#This Row],[№]],Реестр_Д5[№],Реестр_Д5[Стоимость квартиры с отделкой],"-",0)</f>
        <v>5521400</v>
      </c>
      <c r="X131" s="235">
        <f>IFERROR(Таблица10[[#This Row],[СО ПП]]-Таблица10[[#This Row],[СО ДДУ]],"")</f>
        <v>0</v>
      </c>
      <c r="Y131" s="233" cm="1">
        <f t="array" ref="Y131">IFERROR(INDEX(РД[S],MATCH($Q$3&amp;Таблица10[[#This Row],[№]]&amp;"Продажа",РД[Дом]&amp;РД[№ кв]&amp;РД[Состояние],0),1),Таблица10[[#This Row],[Статус]])</f>
        <v>57.6</v>
      </c>
      <c r="Z131" s="233">
        <f>IF(Таблица10[[#This Row],[№]]&amp;"ДДУ"=ППД5!A128&amp;ППД5!CR128,ППД5!U128,ППД5!V128)</f>
        <v>57.6</v>
      </c>
      <c r="AA131" s="285">
        <f>IFERROR(Таблица10[[#This Row],[S ПП]]-Таблица10[[#This Row],[S ДДУ]],)</f>
        <v>0</v>
      </c>
      <c r="AB131" s="235">
        <f>ROUND(_xlfn.XLOOKUP(Таблица10[[#This Row],[№]],Реестр_Д5[№],Реестр_Д5[Итоговая сумма скидки],"",0),2)</f>
        <v>0</v>
      </c>
      <c r="AC131" s="235" cm="1">
        <f t="array" ref="AC13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31" s="285">
        <f>IFERROR(Таблица10[[#This Row],[ППС]]-Таблица10[[#This Row],[ДДУС]],)</f>
        <v>0</v>
      </c>
      <c r="AE131" s="611"/>
      <c r="AT131" s="611"/>
      <c r="AU131" s="484">
        <f>VLOOKUP(ППД402!A128,Д402[],1,0)</f>
        <v>127</v>
      </c>
      <c r="AV131" s="484" t="str">
        <f>_xlfn.XLOOKUP(Т402[[#This Row],[№]],Д402[№],Д402[Статус],"-",0)</f>
        <v>Стр. Резерв</v>
      </c>
      <c r="AW131" s="613">
        <f>_xlfn.XLOOKUP(Т402[[#This Row],[№]],Д402[№],Д402[Стоимость ОН без отделки со скидкой],"-",0)</f>
        <v>7994900</v>
      </c>
      <c r="AX131" s="614" t="str" cm="1">
        <f t="array" ref="AX13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1" s="485" t="str">
        <f>IFERROR((Т402[[#This Row],[ПП]]-Т402[[#This Row],[ДДУ]])*1,"")</f>
        <v/>
      </c>
      <c r="AZ131" s="486" t="str" cm="1">
        <f t="array" ref="AZ13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1" s="485">
        <f>_xlfn.XLOOKUP(Т402[[#This Row],[№]],Д402[№],Д402[Стоимость квартиры с отделкой],"-",0)</f>
        <v>7994900</v>
      </c>
      <c r="BB131" s="485" t="str">
        <f>IFERROR(Т402[[#This Row],[СО ПП]]-Т402[[#This Row],[СО ДДУ]],"")</f>
        <v/>
      </c>
      <c r="BC131" s="487" t="str" cm="1">
        <f t="array" ref="BC131">IFERROR(INDEX(РД[S],MATCH($AU$3&amp;Т402[[#This Row],[№]]&amp;"Продажа",РД[Дом]&amp;РД[№ кв]&amp;РД[Состояние],0),1),Т402[[#This Row],[Статус]])</f>
        <v>Стр. Резерв</v>
      </c>
      <c r="BD131" s="483">
        <f>_xlfn.XLOOKUP(Т402[[#This Row],[№]],Д402[№],Д402[Расчетная проектная площадь],"-",0)</f>
        <v>65.72</v>
      </c>
      <c r="BE131" s="485" t="str">
        <f>IFERROR(Т402[[#This Row],[S ПП]]-Т402[[#This Row],[S ДДУ]],"")</f>
        <v/>
      </c>
      <c r="BF131" s="485">
        <f>_xlfn.XLOOKUP(Т402[[#This Row],[№]],Д402[№],Д402[Итоговая сумма скидки],"-",0)</f>
        <v>0</v>
      </c>
      <c r="BG131" s="486" t="str" cm="1">
        <f t="array" ref="BG13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1" s="488" t="str">
        <f>IFERROR(Т402[[#This Row],[ППС]]-Т402[[#This Row],[ДДУС]],"")</f>
        <v/>
      </c>
    </row>
    <row r="132" spans="1:60" x14ac:dyDescent="0.2">
      <c r="A132" s="611"/>
      <c r="B132" s="234">
        <f>VLOOKUP(ППД4!A129,Реестр_Д4[№],1,0)</f>
        <v>128</v>
      </c>
      <c r="C132" s="234" t="str">
        <f>VLOOKUP(ППД4!CO129,Реестр_Д4[Статус],1,0)</f>
        <v>Продажа</v>
      </c>
      <c r="D132" s="612">
        <f>VLOOKUP(ППД4!CE129,Реестр_Д4[Стоимость ОН без отделки со скидкой],1,0)</f>
        <v>2388953</v>
      </c>
      <c r="E132" s="612" cm="1">
        <f t="array" ref="E132">IFERROR(INDEX(РД[Стоимость без отделки итог],MATCH($B$3&amp;Таблица4[[#This Row],[№]]&amp;"Продажа",РД[Дом]&amp;РД[№ кв]&amp;РД[Состояние],0),1),Таблица4[[#This Row],[Статус]])</f>
        <v>2388953</v>
      </c>
      <c r="F132" s="235">
        <f>IFERROR((Таблица4[[#This Row],[ПП]]-Таблица4[[#This Row],[ДДУ]])*1,"")</f>
        <v>0</v>
      </c>
      <c r="G132" s="235" cm="1">
        <f t="array" ref="G132">IFERROR(INDEX(РД[Стоимость с отделкой итог],MATCH($B$3&amp;Таблица4[[#This Row],[№]]&amp;"Продажа",РД[Дом]&amp;РД[№ кв]&amp;РД[Состояние],0),1),Таблица4[[#This Row],[Статус]])</f>
        <v>2625483</v>
      </c>
      <c r="H132" s="235">
        <f>_xlfn.XLOOKUP(Таблица4[[#This Row],[№]],Реестр_Д4[№],Реестр_Д4[Стоимость квартиры с отделкой],"-",0)</f>
        <v>2625483</v>
      </c>
      <c r="I132" s="235">
        <f>IFERROR(Таблица4[[#This Row],[СО ПП]]-Таблица4[[#This Row],[СО ДДУ]],"")</f>
        <v>0</v>
      </c>
      <c r="J132" s="233" cm="1">
        <f t="array" ref="J132">IFERROR(INDEX(РД[S],MATCH($B$3&amp;Таблица4[[#This Row],[№]]&amp;"Продажа",РД[Дом]&amp;РД[№ кв]&amp;РД[Состояние],0),1),Таблица4[[#This Row],[Статус]])</f>
        <v>33.79</v>
      </c>
      <c r="K132" s="233">
        <f>VLOOKUP(Таблица4[[#This Row],[№]],Реестр_Д4[],20,0)</f>
        <v>33.79</v>
      </c>
      <c r="L132" s="235">
        <f>IFERROR(Таблица4[[#This Row],[S ПП]]-Таблица4[[#This Row],[S ДДУ]],)</f>
        <v>0</v>
      </c>
      <c r="M132" s="235">
        <f>ROUND(_xlfn.XLOOKUP(Таблица4[[#This Row],[№]],Реестр_Д4[№],Реестр_Д4[Итоговая сумма скидки],"",0),2)</f>
        <v>0</v>
      </c>
      <c r="N132" s="235" cm="1">
        <f t="array" ref="N13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2" s="235">
        <f>IFERROR(Таблица4[[#This Row],[ППС]]-Таблица4[[#This Row],[ДДУС]],)</f>
        <v>0</v>
      </c>
      <c r="P132" s="611"/>
      <c r="Q132" s="234">
        <f>VLOOKUP(ППД5!A129,Реестр_Д5[№],1,0)</f>
        <v>128</v>
      </c>
      <c r="R132" s="234" t="str">
        <f>VLOOKUP(ППД5!CH129,Реестр_Д5[Статус],1,0)</f>
        <v>Продажа</v>
      </c>
      <c r="S132" s="612">
        <f>VLOOKUP(ППД5!BZ129,Реестр_Д5[Стоимость ОН без отделки со скидкой],1,0)</f>
        <v>5415712</v>
      </c>
      <c r="T132" s="612" cm="1">
        <f t="array" ref="T132">IFERROR(INDEX(РД[Стоимость без отделки итог],MATCH($Q$3&amp;Таблица10[[#This Row],[№]]&amp;"Продажа",РД[Дом]&amp;РД[№ кв]&amp;РД[Состояние],0),1),Таблица10[[#This Row],[Статус]])</f>
        <v>5415712</v>
      </c>
      <c r="U132" s="235">
        <f>IFERROR((Таблица10[[#This Row],[ПП]]-Таблица10[[#This Row],[ДДУ]])*1,)</f>
        <v>0</v>
      </c>
      <c r="V132" s="235" cm="1">
        <f t="array" ref="V132">IFERROR(INDEX(РД[Стоимость с отделкой итог],MATCH($Q$3&amp;Таблица10[[#This Row],[№]]&amp;"Продажа",РД[Дом]&amp;РД[№ кв]&amp;РД[Состояние],0),1),Таблица10[[#This Row],[Статус]])</f>
        <v>5823882</v>
      </c>
      <c r="W132" s="235">
        <f>_xlfn.XLOOKUP(Таблица10[[#This Row],[№]],Реестр_Д5[№],Реестр_Д5[Стоимость квартиры с отделкой],"-",0)</f>
        <v>5823882</v>
      </c>
      <c r="X132" s="235">
        <f>IFERROR(Таблица10[[#This Row],[СО ПП]]-Таблица10[[#This Row],[СО ДДУ]],"")</f>
        <v>0</v>
      </c>
      <c r="Y132" s="233" cm="1">
        <f t="array" ref="Y132">IFERROR(INDEX(РД[S],MATCH($Q$3&amp;Таблица10[[#This Row],[№]]&amp;"Продажа",РД[Дом]&amp;РД[№ кв]&amp;РД[Состояние],0),1),Таблица10[[#This Row],[Статус]])</f>
        <v>58.31</v>
      </c>
      <c r="Z132" s="233">
        <f>IF(Таблица10[[#This Row],[№]]&amp;"ДДУ"=ППД5!A129&amp;ППД5!CR129,ППД5!U129,ППД5!V129)</f>
        <v>58.31</v>
      </c>
      <c r="AA132" s="285">
        <f>IFERROR(Таблица10[[#This Row],[S ПП]]-Таблица10[[#This Row],[S ДДУ]],)</f>
        <v>0</v>
      </c>
      <c r="AB132" s="235">
        <f>ROUND(_xlfn.XLOOKUP(Таблица10[[#This Row],[№]],Реестр_Д5[№],Реестр_Д5[Итоговая сумма скидки],"",0),2)</f>
        <v>88888</v>
      </c>
      <c r="AC132" s="235" cm="1">
        <f t="array" ref="AC132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132" s="285">
        <f>IFERROR(Таблица10[[#This Row],[ППС]]-Таблица10[[#This Row],[ДДУС]],)</f>
        <v>0</v>
      </c>
      <c r="AE132" s="611"/>
      <c r="AT132" s="611"/>
      <c r="AU132" s="484">
        <f>VLOOKUP(ППД402!A129,Д402[],1,0)</f>
        <v>128</v>
      </c>
      <c r="AV132" s="484" t="str">
        <f>_xlfn.XLOOKUP(Т402[[#This Row],[№]],Д402[№],Д402[Статус],"-",0)</f>
        <v>Стр. Резерв</v>
      </c>
      <c r="AW132" s="613">
        <f>_xlfn.XLOOKUP(Т402[[#This Row],[№]],Д402[№],Д402[Стоимость ОН без отделки со скидкой],"-",0)</f>
        <v>4796100</v>
      </c>
      <c r="AX132" s="614" t="str" cm="1">
        <f t="array" ref="AX13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2" s="485" t="str">
        <f>IFERROR((Т402[[#This Row],[ПП]]-Т402[[#This Row],[ДДУ]])*1,"")</f>
        <v/>
      </c>
      <c r="AZ132" s="486" t="str" cm="1">
        <f t="array" ref="AZ13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2" s="485">
        <f>_xlfn.XLOOKUP(Т402[[#This Row],[№]],Д402[№],Д402[Стоимость квартиры с отделкой],"-",0)</f>
        <v>4796100</v>
      </c>
      <c r="BB132" s="485" t="str">
        <f>IFERROR(Т402[[#This Row],[СО ПП]]-Т402[[#This Row],[СО ДДУ]],"")</f>
        <v/>
      </c>
      <c r="BC132" s="487" t="str" cm="1">
        <f t="array" ref="BC132">IFERROR(INDEX(РД[S],MATCH($AU$3&amp;Т402[[#This Row],[№]]&amp;"Продажа",РД[Дом]&amp;РД[№ кв]&amp;РД[Состояние],0),1),Т402[[#This Row],[Статус]])</f>
        <v>Стр. Резерв</v>
      </c>
      <c r="BD132" s="483">
        <f>_xlfn.XLOOKUP(Т402[[#This Row],[№]],Д402[№],Д402[Расчетная проектная площадь],"-",0)</f>
        <v>36.630000000000003</v>
      </c>
      <c r="BE132" s="485" t="str">
        <f>IFERROR(Т402[[#This Row],[S ПП]]-Т402[[#This Row],[S ДДУ]],"")</f>
        <v/>
      </c>
      <c r="BF132" s="485">
        <f>_xlfn.XLOOKUP(Т402[[#This Row],[№]],Д402[№],Д402[Итоговая сумма скидки],"-",0)</f>
        <v>0</v>
      </c>
      <c r="BG132" s="486" t="str" cm="1">
        <f t="array" ref="BG13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2" s="488" t="str">
        <f>IFERROR(Т402[[#This Row],[ППС]]-Т402[[#This Row],[ДДУС]],"")</f>
        <v/>
      </c>
    </row>
    <row r="133" spans="1:60" x14ac:dyDescent="0.2">
      <c r="A133" s="611"/>
      <c r="B133" s="234">
        <f>VLOOKUP(ППД4!A130,Реестр_Д4[№],1,0)</f>
        <v>129</v>
      </c>
      <c r="C133" s="234" t="str">
        <f>VLOOKUP(ППД4!CO130,Реестр_Д4[Статус],1,0)</f>
        <v>Продажа</v>
      </c>
      <c r="D133" s="612">
        <f>VLOOKUP(ППД4!CE130,Реестр_Д4[Стоимость ОН без отделки со скидкой],1,0)</f>
        <v>2299638.6</v>
      </c>
      <c r="E133" s="612" cm="1">
        <f t="array" ref="E133">IFERROR(INDEX(РД[Стоимость без отделки итог],MATCH($B$3&amp;Таблица4[[#This Row],[№]]&amp;"Продажа",РД[Дом]&amp;РД[№ кв]&amp;РД[Состояние],0),1),Таблица4[[#This Row],[Статус]])</f>
        <v>2299638.6</v>
      </c>
      <c r="F133" s="235">
        <f>IFERROR((Таблица4[[#This Row],[ПП]]-Таблица4[[#This Row],[ДДУ]])*1,"")</f>
        <v>0</v>
      </c>
      <c r="G133" s="235" cm="1">
        <f t="array" ref="G133">IFERROR(INDEX(РД[Стоимость с отделкой итог],MATCH($B$3&amp;Таблица4[[#This Row],[№]]&amp;"Продажа",РД[Дом]&amp;РД[№ кв]&amp;РД[Состояние],0),1),Таблица4[[#This Row],[Статус]])</f>
        <v>2516913.6</v>
      </c>
      <c r="H133" s="235">
        <f>_xlfn.XLOOKUP(Таблица4[[#This Row],[№]],Реестр_Д4[№],Реестр_Д4[Стоимость квартиры с отделкой],"-",0)</f>
        <v>2516913.6</v>
      </c>
      <c r="I133" s="235">
        <f>IFERROR(Таблица4[[#This Row],[СО ПП]]-Таблица4[[#This Row],[СО ДДУ]],"")</f>
        <v>0</v>
      </c>
      <c r="J133" s="233" cm="1">
        <f t="array" ref="J133">IFERROR(INDEX(РД[S],MATCH($B$3&amp;Таблица4[[#This Row],[№]]&amp;"Продажа",РД[Дом]&amp;РД[№ кв]&amp;РД[Состояние],0),1),Таблица4[[#This Row],[Статус]])</f>
        <v>28.97</v>
      </c>
      <c r="K133" s="233">
        <f>VLOOKUP(Таблица4[[#This Row],[№]],Реестр_Д4[],20,0)</f>
        <v>28.97</v>
      </c>
      <c r="L133" s="235">
        <f>IFERROR(Таблица4[[#This Row],[S ПП]]-Таблица4[[#This Row],[S ДДУ]],)</f>
        <v>0</v>
      </c>
      <c r="M133" s="235">
        <f>ROUND(_xlfn.XLOOKUP(Таблица4[[#This Row],[№]],Реестр_Д4[№],Реестр_Д4[Итоговая сумма скидки],"",0),2)</f>
        <v>0</v>
      </c>
      <c r="N133" s="235" cm="1">
        <f t="array" ref="N13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3" s="235">
        <f>IFERROR(Таблица4[[#This Row],[ППС]]-Таблица4[[#This Row],[ДДУС]],)</f>
        <v>0</v>
      </c>
      <c r="P133" s="611"/>
      <c r="Q133" s="234">
        <f>VLOOKUP(ППД5!A130,Реестр_Д5[№],1,0)</f>
        <v>129</v>
      </c>
      <c r="R133" s="234" t="str">
        <f>VLOOKUP(ППД5!CH130,Реестр_Д5[Статус],1,0)</f>
        <v>Продажа</v>
      </c>
      <c r="S133" s="612">
        <f>VLOOKUP(ППД5!BZ130,Реестр_Д5[Стоимость ОН без отделки со скидкой],1,0)</f>
        <v>3146464.04</v>
      </c>
      <c r="T133" s="612" cm="1">
        <f t="array" ref="T133">IFERROR(INDEX(РД[Стоимость без отделки итог],MATCH($Q$3&amp;Таблица10[[#This Row],[№]]&amp;"Продажа",РД[Дом]&amp;РД[№ кв]&amp;РД[Состояние],0),1),Таблица10[[#This Row],[Статус]])</f>
        <v>3146464.04</v>
      </c>
      <c r="U133" s="235">
        <f>IFERROR((Таблица10[[#This Row],[ПП]]-Таблица10[[#This Row],[ДДУ]])*1,)</f>
        <v>0</v>
      </c>
      <c r="V133" s="235" cm="1">
        <f t="array" ref="V133">IFERROR(INDEX(РД[Стоимость с отделкой итог],MATCH($Q$3&amp;Таблица10[[#This Row],[№]]&amp;"Продажа",РД[Дом]&amp;РД[№ кв]&amp;РД[Состояние],0),1),Таблица10[[#This Row],[Статус]])</f>
        <v>3146464.04</v>
      </c>
      <c r="W133" s="235">
        <f>_xlfn.XLOOKUP(Таблица10[[#This Row],[№]],Реестр_Д5[№],Реестр_Д5[Стоимость квартиры с отделкой],"-",0)</f>
        <v>3146464.04</v>
      </c>
      <c r="X133" s="235">
        <f>IFERROR(Таблица10[[#This Row],[СО ПП]]-Таблица10[[#This Row],[СО ДДУ]],"")</f>
        <v>0</v>
      </c>
      <c r="Y133" s="233" cm="1">
        <f t="array" ref="Y133">IFERROR(INDEX(РД[S],MATCH($Q$3&amp;Таблица10[[#This Row],[№]]&amp;"Продажа",РД[Дом]&amp;РД[№ кв]&amp;РД[Состояние],0),1),Таблица10[[#This Row],[Статус]])</f>
        <v>37.86</v>
      </c>
      <c r="Z133" s="233">
        <f>IF(Таблица10[[#This Row],[№]]&amp;"ДДУ"=ППД5!A130&amp;ППД5!CR130,ППД5!U130,ППД5!V130)</f>
        <v>37.86</v>
      </c>
      <c r="AA133" s="285">
        <f>IFERROR(Таблица10[[#This Row],[S ПП]]-Таблица10[[#This Row],[S ДДУ]],)</f>
        <v>0</v>
      </c>
      <c r="AB133" s="235">
        <f>ROUND(_xlfn.XLOOKUP(Таблица10[[#This Row],[№]],Реестр_Д5[№],Реестр_Д5[Итоговая сумма скидки],"",0),2)</f>
        <v>200838.13</v>
      </c>
      <c r="AC133" s="235" cm="1">
        <f t="array" ref="AC133">IFERROR(ROUND(_xlfn.XLOOKUP($Q$3&amp;Таблица10[[#This Row],[№]]&amp;"Продажа",РД[Дом]&amp;РД[№ кв]&amp;РД[Состояние],РД[Сумма скидки],"",0,-1),2),Таблица10[[#This Row],[Статус]])</f>
        <v>200838.13</v>
      </c>
      <c r="AD133" s="285">
        <f>IFERROR(Таблица10[[#This Row],[ППС]]-Таблица10[[#This Row],[ДДУС]],)</f>
        <v>0</v>
      </c>
      <c r="AE133" s="611"/>
      <c r="AT133" s="611"/>
      <c r="AU133" s="484">
        <f>VLOOKUP(ППД402!A130,Д402[],1,0)</f>
        <v>129</v>
      </c>
      <c r="AV133" s="484" t="str">
        <f>_xlfn.XLOOKUP(Т402[[#This Row],[№]],Д402[№],Д402[Статус],"-",0)</f>
        <v>Стр. Резерв</v>
      </c>
      <c r="AW133" s="613">
        <f>_xlfn.XLOOKUP(Т402[[#This Row],[№]],Д402[№],Д402[Стоимость ОН без отделки со скидкой],"-",0)</f>
        <v>4240900</v>
      </c>
      <c r="AX133" s="614" t="str" cm="1">
        <f t="array" ref="AX13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3" s="485" t="str">
        <f>IFERROR((Т402[[#This Row],[ПП]]-Т402[[#This Row],[ДДУ]])*1,"")</f>
        <v/>
      </c>
      <c r="AZ133" s="486" t="str" cm="1">
        <f t="array" ref="AZ13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3" s="485">
        <f>_xlfn.XLOOKUP(Т402[[#This Row],[№]],Д402[№],Д402[Стоимость квартиры с отделкой],"-",0)</f>
        <v>5125900</v>
      </c>
      <c r="BB133" s="485" t="str">
        <f>IFERROR(Т402[[#This Row],[СО ПП]]-Т402[[#This Row],[СО ДДУ]],"")</f>
        <v/>
      </c>
      <c r="BC133" s="487" t="str" cm="1">
        <f t="array" ref="BC133">IFERROR(INDEX(РД[S],MATCH($AU$3&amp;Т402[[#This Row],[№]]&amp;"Продажа",РД[Дом]&amp;РД[№ кв]&amp;РД[Состояние],0),1),Т402[[#This Row],[Статус]])</f>
        <v>Стр. Резерв</v>
      </c>
      <c r="BD133" s="483">
        <f>_xlfn.XLOOKUP(Т402[[#This Row],[№]],Д402[№],Д402[Расчетная проектная площадь],"-",0)</f>
        <v>29.5</v>
      </c>
      <c r="BE133" s="485" t="str">
        <f>IFERROR(Т402[[#This Row],[S ПП]]-Т402[[#This Row],[S ДДУ]],"")</f>
        <v/>
      </c>
      <c r="BF133" s="485">
        <f>_xlfn.XLOOKUP(Т402[[#This Row],[№]],Д402[№],Д402[Итоговая сумма скидки],"-",0)</f>
        <v>0</v>
      </c>
      <c r="BG133" s="486" t="str" cm="1">
        <f t="array" ref="BG13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3" s="488" t="str">
        <f>IFERROR(Т402[[#This Row],[ППС]]-Т402[[#This Row],[ДДУС]],"")</f>
        <v/>
      </c>
    </row>
    <row r="134" spans="1:60" x14ac:dyDescent="0.2">
      <c r="A134" s="611"/>
      <c r="B134" s="234">
        <f>VLOOKUP(ППД4!A131,Реестр_Д4[№],1,0)</f>
        <v>130</v>
      </c>
      <c r="C134" s="234" t="str">
        <f>VLOOKUP(ППД4!CO131,Реестр_Д4[Статус],1,0)</f>
        <v>Продажа</v>
      </c>
      <c r="D134" s="612">
        <f>VLOOKUP(ППД4!CE131,Реестр_Д4[Стоимость ОН без отделки со скидкой],1,0)</f>
        <v>5345630.13</v>
      </c>
      <c r="E134" s="612" cm="1">
        <f t="array" ref="E134">IFERROR(INDEX(РД[Стоимость без отделки итог],MATCH($B$3&amp;Таблица4[[#This Row],[№]]&amp;"Продажа",РД[Дом]&amp;РД[№ кв]&amp;РД[Состояние],0),1),Таблица4[[#This Row],[Статус]])</f>
        <v>5345630.13</v>
      </c>
      <c r="F134" s="235">
        <f>IFERROR((Таблица4[[#This Row],[ПП]]-Таблица4[[#This Row],[ДДУ]])*1,"")</f>
        <v>0</v>
      </c>
      <c r="G134" s="235" cm="1">
        <f t="array" ref="G134">IFERROR(INDEX(РД[Стоимость с отделкой итог],MATCH($B$3&amp;Таблица4[[#This Row],[№]]&amp;"Продажа",РД[Дом]&amp;РД[№ кв]&amp;РД[Состояние],0),1),Таблица4[[#This Row],[Статус]])</f>
        <v>5620630.1299999999</v>
      </c>
      <c r="H134" s="235">
        <f>_xlfn.XLOOKUP(Таблица4[[#This Row],[№]],Реестр_Д4[№],Реестр_Д4[Стоимость квартиры с отделкой],"-",0)</f>
        <v>5620630.1299999999</v>
      </c>
      <c r="I134" s="235">
        <f>IFERROR(Таблица4[[#This Row],[СО ПП]]-Таблица4[[#This Row],[СО ДДУ]],"")</f>
        <v>0</v>
      </c>
      <c r="J134" s="233" cm="1">
        <f t="array" ref="J134">IFERROR(INDEX(РД[S],MATCH($B$3&amp;Таблица4[[#This Row],[№]]&amp;"Продажа",РД[Дом]&amp;РД[№ кв]&amp;РД[Состояние],0),1),Таблица4[[#This Row],[Статус]])</f>
        <v>68.75</v>
      </c>
      <c r="K134" s="233">
        <f>VLOOKUP(Таблица4[[#This Row],[№]],Реестр_Д4[],20,0)</f>
        <v>68.75</v>
      </c>
      <c r="L134" s="235">
        <f>IFERROR(Таблица4[[#This Row],[S ПП]]-Таблица4[[#This Row],[S ДДУ]],)</f>
        <v>0</v>
      </c>
      <c r="M134" s="235">
        <f>ROUND(_xlfn.XLOOKUP(Таблица4[[#This Row],[№]],Реестр_Д4[№],Реестр_Д4[Итоговая сумма скидки],"",0),2)</f>
        <v>275000</v>
      </c>
      <c r="N134" s="235" cm="1">
        <f t="array" ref="N134">IFERROR(ROUND(_xlfn.XLOOKUP($B$3&amp;Таблица4[[#This Row],[№]]&amp;"Продажа",РД[Дом]&amp;РД[№ кв]&amp;РД[Состояние],РД[Сумма скидки],"",0),2),Таблица4[[#This Row],[Статус]])</f>
        <v>275000</v>
      </c>
      <c r="O134" s="235">
        <f>IFERROR(Таблица4[[#This Row],[ППС]]-Таблица4[[#This Row],[ДДУС]],)</f>
        <v>0</v>
      </c>
      <c r="P134" s="611"/>
      <c r="Q134" s="234">
        <f>VLOOKUP(ППД5!A131,Реестр_Д5[№],1,0)</f>
        <v>130</v>
      </c>
      <c r="R134" s="234" t="str">
        <f>VLOOKUP(ППД5!CH131,Реестр_Д5[Статус],1,0)</f>
        <v>Свободно</v>
      </c>
      <c r="S134" s="612">
        <f>VLOOKUP(ППД5!BZ131,Реестр_Д5[Стоимость ОН без отделки со скидкой],1,0)</f>
        <v>9503300</v>
      </c>
      <c r="T134" s="612" t="str" cm="1">
        <f t="array" ref="T13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34" s="235">
        <f>IFERROR((Таблица10[[#This Row],[ПП]]-Таблица10[[#This Row],[ДДУ]])*1,)</f>
        <v>0</v>
      </c>
      <c r="V134" s="235" t="str" cm="1">
        <f t="array" ref="V13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34" s="235">
        <f>_xlfn.XLOOKUP(Таблица10[[#This Row],[№]],Реестр_Д5[№],Реестр_Д5[Стоимость квартиры с отделкой],"-",0)</f>
        <v>10350800</v>
      </c>
      <c r="X134" s="235" t="str">
        <f>IFERROR(Таблица10[[#This Row],[СО ПП]]-Таблица10[[#This Row],[СО ДДУ]],"")</f>
        <v/>
      </c>
      <c r="Y134" s="233" t="str" cm="1">
        <f t="array" ref="Y134">IFERROR(INDEX(РД[S],MATCH($Q$3&amp;Таблица10[[#This Row],[№]]&amp;"Продажа",РД[Дом]&amp;РД[№ кв]&amp;РД[Состояние],0),1),Таблица10[[#This Row],[Статус]])</f>
        <v>Свободно</v>
      </c>
      <c r="Z134" s="233">
        <f>IF(Таблица10[[#This Row],[№]]&amp;"ДДУ"=ППД5!A131&amp;ППД5!CR131,ППД5!U131,ППД5!V131)</f>
        <v>84.75</v>
      </c>
      <c r="AA134" s="285">
        <f>IFERROR(Таблица10[[#This Row],[S ПП]]-Таблица10[[#This Row],[S ДДУ]],)</f>
        <v>0</v>
      </c>
      <c r="AB134" s="235">
        <f>ROUND(_xlfn.XLOOKUP(Таблица10[[#This Row],[№]],Реестр_Д5[№],Реестр_Д5[Итоговая сумма скидки],"",0),2)</f>
        <v>0</v>
      </c>
      <c r="AC134" s="235" t="str" cm="1">
        <f t="array" ref="AC13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34" s="285">
        <f>IFERROR(Таблица10[[#This Row],[ППС]]-Таблица10[[#This Row],[ДДУС]],)</f>
        <v>0</v>
      </c>
      <c r="AE134" s="611"/>
      <c r="AT134" s="611"/>
      <c r="AU134" s="484">
        <f>VLOOKUP(ППД402!A131,Д402[],1,0)</f>
        <v>130</v>
      </c>
      <c r="AV134" s="484" t="str">
        <f>_xlfn.XLOOKUP(Т402[[#This Row],[№]],Д402[№],Д402[Статус],"-",0)</f>
        <v>Стр. Резерв</v>
      </c>
      <c r="AW134" s="613">
        <f>_xlfn.XLOOKUP(Т402[[#This Row],[№]],Д402[№],Д402[Стоимость ОН без отделки со скидкой],"-",0)</f>
        <v>4023800</v>
      </c>
      <c r="AX134" s="614" t="str" cm="1">
        <f t="array" ref="AX13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4" s="485" t="str">
        <f>IFERROR((Т402[[#This Row],[ПП]]-Т402[[#This Row],[ДДУ]])*1,"")</f>
        <v/>
      </c>
      <c r="AZ134" s="486" t="str" cm="1">
        <f t="array" ref="AZ13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4" s="485">
        <f>_xlfn.XLOOKUP(Т402[[#This Row],[№]],Д402[№],Д402[Стоимость квартиры с отделкой],"-",0)</f>
        <v>4023800.0000000009</v>
      </c>
      <c r="BB134" s="485" t="str">
        <f>IFERROR(Т402[[#This Row],[СО ПП]]-Т402[[#This Row],[СО ДДУ]],"")</f>
        <v/>
      </c>
      <c r="BC134" s="487" t="str" cm="1">
        <f t="array" ref="BC134">IFERROR(INDEX(РД[S],MATCH($AU$3&amp;Т402[[#This Row],[№]]&amp;"Продажа",РД[Дом]&amp;РД[№ кв]&amp;РД[Состояние],0),1),Т402[[#This Row],[Статус]])</f>
        <v>Стр. Резерв</v>
      </c>
      <c r="BD134" s="483">
        <f>_xlfn.XLOOKUP(Т402[[#This Row],[№]],Д402[№],Д402[Расчетная проектная площадь],"-",0)</f>
        <v>27.99</v>
      </c>
      <c r="BE134" s="485" t="str">
        <f>IFERROR(Т402[[#This Row],[S ПП]]-Т402[[#This Row],[S ДДУ]],"")</f>
        <v/>
      </c>
      <c r="BF134" s="485">
        <f>_xlfn.XLOOKUP(Т402[[#This Row],[№]],Д402[№],Д402[Итоговая сумма скидки],"-",0)</f>
        <v>0</v>
      </c>
      <c r="BG134" s="486" t="str" cm="1">
        <f t="array" ref="BG13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4" s="488" t="str">
        <f>IFERROR(Т402[[#This Row],[ППС]]-Т402[[#This Row],[ДДУС]],"")</f>
        <v/>
      </c>
    </row>
    <row r="135" spans="1:60" x14ac:dyDescent="0.2">
      <c r="A135" s="611"/>
      <c r="B135" s="234">
        <f>VLOOKUP(ППД4!A132,Реестр_Д4[№],1,0)</f>
        <v>131</v>
      </c>
      <c r="C135" s="234" t="str">
        <f>VLOOKUP(ППД4!CO132,Реестр_Д4[Статус],1,0)</f>
        <v>Продажа</v>
      </c>
      <c r="D135" s="612">
        <f>VLOOKUP(ППД4!CE132,Реестр_Д4[Стоимость ОН без отделки со скидкой],1,0)</f>
        <v>3071480.38</v>
      </c>
      <c r="E135" s="612" cm="1">
        <f t="array" ref="E135">IFERROR(INDEX(РД[Стоимость без отделки итог],MATCH($B$3&amp;Таблица4[[#This Row],[№]]&amp;"Продажа",РД[Дом]&amp;РД[№ кв]&amp;РД[Состояние],0),1),Таблица4[[#This Row],[Статус]])</f>
        <v>3071480.38</v>
      </c>
      <c r="F135" s="235">
        <f>IFERROR((Таблица4[[#This Row],[ПП]]-Таблица4[[#This Row],[ДДУ]])*1,"")</f>
        <v>0</v>
      </c>
      <c r="G135" s="235" cm="1">
        <f t="array" ref="G135">IFERROR(INDEX(РД[Стоимость с отделкой итог],MATCH($B$3&amp;Таблица4[[#This Row],[№]]&amp;"Продажа",РД[Дом]&amp;РД[№ кв]&amp;РД[Состояние],0),1),Таблица4[[#This Row],[Статус]])</f>
        <v>3071480.38</v>
      </c>
      <c r="H135" s="235">
        <f>_xlfn.XLOOKUP(Таблица4[[#This Row],[№]],Реестр_Д4[№],Реестр_Д4[Стоимость квартиры с отделкой],"-",0)</f>
        <v>3071480.38</v>
      </c>
      <c r="I135" s="235">
        <f>IFERROR(Таблица4[[#This Row],[СО ПП]]-Таблица4[[#This Row],[СО ДДУ]],"")</f>
        <v>0</v>
      </c>
      <c r="J135" s="233" cm="1">
        <f t="array" ref="J135">IFERROR(INDEX(РД[S],MATCH($B$3&amp;Таблица4[[#This Row],[№]]&amp;"Продажа",РД[Дом]&amp;РД[№ кв]&amp;РД[Состояние],0),1),Таблица4[[#This Row],[Статус]])</f>
        <v>35.380000000000003</v>
      </c>
      <c r="K135" s="233">
        <f>VLOOKUP(Таблица4[[#This Row],[№]],Реестр_Д4[],20,0)</f>
        <v>35.380000000000003</v>
      </c>
      <c r="L135" s="235">
        <f>IFERROR(Таблица4[[#This Row],[S ПП]]-Таблица4[[#This Row],[S ДДУ]],)</f>
        <v>0</v>
      </c>
      <c r="M135" s="235">
        <f>ROUND(_xlfn.XLOOKUP(Таблица4[[#This Row],[№]],Реестр_Д4[№],Реестр_Д4[Итоговая сумма скидки],"",0),2)</f>
        <v>0</v>
      </c>
      <c r="N135" s="235" cm="1">
        <f t="array" ref="N13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5" s="235">
        <f>IFERROR(Таблица4[[#This Row],[ППС]]-Таблица4[[#This Row],[ДДУС]],)</f>
        <v>0</v>
      </c>
      <c r="P135" s="611"/>
      <c r="Q135" s="234">
        <f>VLOOKUP(ППД5!A132,Реестр_Д5[№],1,0)</f>
        <v>131</v>
      </c>
      <c r="R135" s="234" t="str">
        <f>VLOOKUP(ППД5!CH132,Реестр_Д5[Статус],1,0)</f>
        <v>Продажа</v>
      </c>
      <c r="S135" s="612">
        <f>VLOOKUP(ППД5!BZ132,Реестр_Д5[Стоимость ОН без отделки со скидкой],1,0)</f>
        <v>3583761.04</v>
      </c>
      <c r="T135" s="612" cm="1">
        <f t="array" ref="T135">IFERROR(INDEX(РД[Стоимость без отделки итог],MATCH($Q$3&amp;Таблица10[[#This Row],[№]]&amp;"Продажа",РД[Дом]&amp;РД[№ кв]&amp;РД[Состояние],0),1),Таблица10[[#This Row],[Статус]])</f>
        <v>3583761.04</v>
      </c>
      <c r="U135" s="235">
        <f>IFERROR((Таблица10[[#This Row],[ПП]]-Таблица10[[#This Row],[ДДУ]])*1,)</f>
        <v>0</v>
      </c>
      <c r="V135" s="235" cm="1">
        <f t="array" ref="V135">IFERROR(INDEX(РД[Стоимость с отделкой итог],MATCH($Q$3&amp;Таблица10[[#This Row],[№]]&amp;"Продажа",РД[Дом]&amp;РД[№ кв]&amp;РД[Состояние],0),1),Таблица10[[#This Row],[Статус]])</f>
        <v>3774021.04</v>
      </c>
      <c r="W135" s="235">
        <f>_xlfn.XLOOKUP(Таблица10[[#This Row],[№]],Реестр_Д5[№],Реестр_Д5[Стоимость квартиры с отделкой],"-",0)</f>
        <v>3774021.04</v>
      </c>
      <c r="X135" s="235">
        <f>IFERROR(Таблица10[[#This Row],[СО ПП]]-Таблица10[[#This Row],[СО ДДУ]],"")</f>
        <v>0</v>
      </c>
      <c r="Y135" s="233" cm="1">
        <f t="array" ref="Y135">IFERROR(INDEX(РД[S],MATCH($Q$3&amp;Таблица10[[#This Row],[№]]&amp;"Продажа",РД[Дом]&amp;РД[№ кв]&amp;РД[Состояние],0),1),Таблица10[[#This Row],[Статус]])</f>
        <v>42.28</v>
      </c>
      <c r="Z135" s="233">
        <f>IF(Таблица10[[#This Row],[№]]&amp;"ДДУ"=ППД5!A132&amp;ППД5!CR132,ППД5!U132,ППД5!V132)</f>
        <v>42.28</v>
      </c>
      <c r="AA135" s="285">
        <f>IFERROR(Таблица10[[#This Row],[S ПП]]-Таблица10[[#This Row],[S ДДУ]],)</f>
        <v>0</v>
      </c>
      <c r="AB135" s="235">
        <f>ROUND(_xlfn.XLOOKUP(Таблица10[[#This Row],[№]],Реестр_Д5[№],Реестр_Д5[Итоговая сумма скидки],"",0),2)</f>
        <v>0</v>
      </c>
      <c r="AC135" s="235" cm="1">
        <f t="array" ref="AC13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35" s="285">
        <f>IFERROR(Таблица10[[#This Row],[ППС]]-Таблица10[[#This Row],[ДДУС]],)</f>
        <v>0</v>
      </c>
      <c r="AE135" s="611"/>
      <c r="AT135" s="611"/>
      <c r="AU135" s="484">
        <f>VLOOKUP(ППД402!A132,Д402[],1,0)</f>
        <v>131</v>
      </c>
      <c r="AV135" s="484" t="str">
        <f>_xlfn.XLOOKUP(Т402[[#This Row],[№]],Д402[№],Д402[Статус],"-",0)</f>
        <v>Стр. Резерв</v>
      </c>
      <c r="AW135" s="613">
        <f>_xlfn.XLOOKUP(Т402[[#This Row],[№]],Д402[№],Д402[Стоимость ОН без отделки со скидкой],"-",0)</f>
        <v>7637800</v>
      </c>
      <c r="AX135" s="614" t="str" cm="1">
        <f t="array" ref="AX13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5" s="485" t="str">
        <f>IFERROR((Т402[[#This Row],[ПП]]-Т402[[#This Row],[ДДУ]])*1,"")</f>
        <v/>
      </c>
      <c r="AZ135" s="486" t="str" cm="1">
        <f t="array" ref="AZ13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5" s="485">
        <f>_xlfn.XLOOKUP(Т402[[#This Row],[№]],Д402[№],Д402[Стоимость квартиры с отделкой],"-",0)</f>
        <v>7637800</v>
      </c>
      <c r="BB135" s="485" t="str">
        <f>IFERROR(Т402[[#This Row],[СО ПП]]-Т402[[#This Row],[СО ДДУ]],"")</f>
        <v/>
      </c>
      <c r="BC135" s="487" t="str" cm="1">
        <f t="array" ref="BC135">IFERROR(INDEX(РД[S],MATCH($AU$3&amp;Т402[[#This Row],[№]]&amp;"Продажа",РД[Дом]&amp;РД[№ кв]&amp;РД[Состояние],0),1),Т402[[#This Row],[Статус]])</f>
        <v>Стр. Резерв</v>
      </c>
      <c r="BD135" s="483">
        <f>_xlfn.XLOOKUP(Т402[[#This Row],[№]],Д402[№],Д402[Расчетная проектная площадь],"-",0)</f>
        <v>63.44</v>
      </c>
      <c r="BE135" s="485" t="str">
        <f>IFERROR(Т402[[#This Row],[S ПП]]-Т402[[#This Row],[S ДДУ]],"")</f>
        <v/>
      </c>
      <c r="BF135" s="485">
        <f>_xlfn.XLOOKUP(Т402[[#This Row],[№]],Д402[№],Д402[Итоговая сумма скидки],"-",0)</f>
        <v>0</v>
      </c>
      <c r="BG135" s="486" t="str" cm="1">
        <f t="array" ref="BG13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5" s="488" t="str">
        <f>IFERROR(Т402[[#This Row],[ППС]]-Т402[[#This Row],[ДДУС]],"")</f>
        <v/>
      </c>
    </row>
    <row r="136" spans="1:60" x14ac:dyDescent="0.2">
      <c r="A136" s="611"/>
      <c r="B136" s="234">
        <f>VLOOKUP(ППД4!A133,Реестр_Д4[№],1,0)</f>
        <v>132</v>
      </c>
      <c r="C136" s="234" t="str">
        <f>VLOOKUP(ППД4!CO133,Реестр_Д4[Статус],1,0)</f>
        <v>Продажа</v>
      </c>
      <c r="D136" s="612">
        <f>VLOOKUP(ППД4!CE133,Реестр_Д4[Стоимость ОН без отделки со скидкой],1,0)</f>
        <v>3447873.48</v>
      </c>
      <c r="E136" s="612" cm="1">
        <f t="array" ref="E136">IFERROR(INDEX(РД[Стоимость без отделки итог],MATCH($B$3&amp;Таблица4[[#This Row],[№]]&amp;"Продажа",РД[Дом]&amp;РД[№ кв]&amp;РД[Состояние],0),1),Таблица4[[#This Row],[Статус]])</f>
        <v>3447873.4799999995</v>
      </c>
      <c r="F136" s="235">
        <f>IFERROR((Таблица4[[#This Row],[ПП]]-Таблица4[[#This Row],[ДДУ]])*1,"")</f>
        <v>4.6566128730773926E-10</v>
      </c>
      <c r="G136" s="235" cm="1">
        <f t="array" ref="G136">IFERROR(INDEX(РД[Стоимость с отделкой итог],MATCH($B$3&amp;Таблица4[[#This Row],[№]]&amp;"Продажа",РД[Дом]&amp;РД[№ кв]&amp;РД[Состояние],0),1),Таблица4[[#This Row],[Статус]])</f>
        <v>3599113.48</v>
      </c>
      <c r="H136" s="235">
        <f>_xlfn.XLOOKUP(Таблица4[[#This Row],[№]],Реестр_Д4[№],Реестр_Д4[Стоимость квартиры с отделкой],"-",0)</f>
        <v>3599113.48</v>
      </c>
      <c r="I136" s="235">
        <f>IFERROR(Таблица4[[#This Row],[СО ПП]]-Таблица4[[#This Row],[СО ДДУ]],"")</f>
        <v>0</v>
      </c>
      <c r="J136" s="233" cm="1">
        <f t="array" ref="J136">IFERROR(INDEX(РД[S],MATCH($B$3&amp;Таблица4[[#This Row],[№]]&amp;"Продажа",РД[Дом]&amp;РД[№ кв]&amp;РД[Состояние],0),1),Таблица4[[#This Row],[Статус]])</f>
        <v>37.81</v>
      </c>
      <c r="K136" s="233">
        <f>VLOOKUP(Таблица4[[#This Row],[№]],Реестр_Д4[],20,0)</f>
        <v>37.81</v>
      </c>
      <c r="L136" s="235">
        <f>IFERROR(Таблица4[[#This Row],[S ПП]]-Таблица4[[#This Row],[S ДДУ]],)</f>
        <v>0</v>
      </c>
      <c r="M136" s="235">
        <f>ROUND(_xlfn.XLOOKUP(Таблица4[[#This Row],[№]],Реестр_Д4[№],Реестр_Д4[Итоговая сумма скидки],"",0),2)</f>
        <v>0</v>
      </c>
      <c r="N136" s="235" cm="1">
        <f t="array" ref="N13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6" s="235">
        <f>IFERROR(Таблица4[[#This Row],[ППС]]-Таблица4[[#This Row],[ДДУС]],)</f>
        <v>0</v>
      </c>
      <c r="P136" s="611"/>
      <c r="Q136" s="234">
        <f>VLOOKUP(ППД5!A133,Реестр_Д5[№],1,0)</f>
        <v>132</v>
      </c>
      <c r="R136" s="234" t="str">
        <f>VLOOKUP(ППД5!CH133,Реестр_Д5[Статус],1,0)</f>
        <v>Продажа</v>
      </c>
      <c r="S136" s="612">
        <f>VLOOKUP(ППД5!BZ133,Реестр_Д5[Стоимость ОН без отделки со скидкой],1,0)</f>
        <v>5535596</v>
      </c>
      <c r="T136" s="612" cm="1">
        <f t="array" ref="T136">IFERROR(INDEX(РД[Стоимость без отделки итог],MATCH($Q$3&amp;Таблица10[[#This Row],[№]]&amp;"Продажа",РД[Дом]&amp;РД[№ кв]&amp;РД[Состояние],0),1),Таблица10[[#This Row],[Статус]])</f>
        <v>5535595.9972999999</v>
      </c>
      <c r="U136" s="235">
        <f>IFERROR((Таблица10[[#This Row],[ПП]]-Таблица10[[#This Row],[ДДУ]])*1,)</f>
        <v>2.7000000700354576E-3</v>
      </c>
      <c r="V136" s="235" cm="1">
        <f t="array" ref="V136">IFERROR(INDEX(РД[Стоимость с отделкой итог],MATCH($Q$3&amp;Таблица10[[#This Row],[№]]&amp;"Продажа",РД[Дом]&amp;РД[№ кв]&amp;РД[Состояние],0),1),Таблица10[[#This Row],[Статус]])</f>
        <v>6739995.9972999999</v>
      </c>
      <c r="W136" s="235">
        <f>_xlfn.XLOOKUP(Таблица10[[#This Row],[№]],Реестр_Д5[№],Реестр_Д5[Стоимость квартиры с отделкой],"-",0)</f>
        <v>6739996</v>
      </c>
      <c r="X136" s="235">
        <f>IFERROR(Таблица10[[#This Row],[СО ПП]]-Таблица10[[#This Row],[СО ДДУ]],"")</f>
        <v>2.7000000700354576E-3</v>
      </c>
      <c r="Y136" s="233" cm="1">
        <f t="array" ref="Y136">IFERROR(INDEX(РД[S],MATCH($Q$3&amp;Таблица10[[#This Row],[№]]&amp;"Продажа",РД[Дом]&amp;РД[№ кв]&amp;РД[Состояние],0),1),Таблица10[[#This Row],[Статус]])</f>
        <v>60.22</v>
      </c>
      <c r="Z136" s="233">
        <f>IF(Таблица10[[#This Row],[№]]&amp;"ДДУ"=ППД5!A133&amp;ППД5!CR133,ППД5!U133,ППД5!V133)</f>
        <v>60.22</v>
      </c>
      <c r="AA136" s="285">
        <f>IFERROR(Таблица10[[#This Row],[S ПП]]-Таблица10[[#This Row],[S ДДУ]],)</f>
        <v>0</v>
      </c>
      <c r="AB136" s="235">
        <f>ROUND(_xlfn.XLOOKUP(Таблица10[[#This Row],[№]],Реестр_Д5[№],Реестр_Д5[Итоговая сумма скидки],"",0),2)</f>
        <v>171204</v>
      </c>
      <c r="AC136" s="235" cm="1">
        <f t="array" ref="AC136">IFERROR(ROUND(_xlfn.XLOOKUP($Q$3&amp;Таблица10[[#This Row],[№]]&amp;"Продажа",РД[Дом]&amp;РД[№ кв]&amp;РД[Состояние],РД[Сумма скидки],"",0,-1),2),Таблица10[[#This Row],[Статус]])</f>
        <v>171204</v>
      </c>
      <c r="AD136" s="285">
        <f>IFERROR(Таблица10[[#This Row],[ППС]]-Таблица10[[#This Row],[ДДУС]],)</f>
        <v>0</v>
      </c>
      <c r="AE136" s="611"/>
      <c r="AT136" s="611"/>
      <c r="AU136" s="484">
        <f>VLOOKUP(ППД402!A133,Д402[],1,0)</f>
        <v>132</v>
      </c>
      <c r="AV136" s="484" t="str">
        <f>_xlfn.XLOOKUP(Т402[[#This Row],[№]],Д402[№],Д402[Статус],"-",0)</f>
        <v>Стр. Резерв</v>
      </c>
      <c r="AW136" s="613">
        <f>_xlfn.XLOOKUP(Т402[[#This Row],[№]],Д402[№],Д402[Стоимость ОН без отделки со скидкой],"-",0)</f>
        <v>7432800</v>
      </c>
      <c r="AX136" s="614" t="str" cm="1">
        <f t="array" ref="AX13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6" s="485" t="str">
        <f>IFERROR((Т402[[#This Row],[ПП]]-Т402[[#This Row],[ДДУ]])*1,"")</f>
        <v/>
      </c>
      <c r="AZ136" s="486" t="str" cm="1">
        <f t="array" ref="AZ13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6" s="485">
        <f>_xlfn.XLOOKUP(Т402[[#This Row],[№]],Д402[№],Д402[Стоимость квартиры с отделкой],"-",0)</f>
        <v>7432800</v>
      </c>
      <c r="BB136" s="485" t="str">
        <f>IFERROR(Т402[[#This Row],[СО ПП]]-Т402[[#This Row],[СО ДДУ]],"")</f>
        <v/>
      </c>
      <c r="BC136" s="487" t="str" cm="1">
        <f t="array" ref="BC136">IFERROR(INDEX(РД[S],MATCH($AU$3&amp;Т402[[#This Row],[№]]&amp;"Продажа",РД[Дом]&amp;РД[№ кв]&amp;РД[Состояние],0),1),Т402[[#This Row],[Статус]])</f>
        <v>Стр. Резерв</v>
      </c>
      <c r="BD136" s="483">
        <f>_xlfn.XLOOKUP(Т402[[#This Row],[№]],Д402[№],Д402[Расчетная проектная площадь],"-",0)</f>
        <v>60.94</v>
      </c>
      <c r="BE136" s="485" t="str">
        <f>IFERROR(Т402[[#This Row],[S ПП]]-Т402[[#This Row],[S ДДУ]],"")</f>
        <v/>
      </c>
      <c r="BF136" s="485">
        <f>_xlfn.XLOOKUP(Т402[[#This Row],[№]],Д402[№],Д402[Итоговая сумма скидки],"-",0)</f>
        <v>0</v>
      </c>
      <c r="BG136" s="486" t="str" cm="1">
        <f t="array" ref="BG13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6" s="488" t="str">
        <f>IFERROR(Т402[[#This Row],[ППС]]-Т402[[#This Row],[ДДУС]],"")</f>
        <v/>
      </c>
    </row>
    <row r="137" spans="1:60" x14ac:dyDescent="0.2">
      <c r="A137" s="611"/>
      <c r="B137" s="234">
        <f>VLOOKUP(ППД4!A134,Реестр_Д4[№],1,0)</f>
        <v>133</v>
      </c>
      <c r="C137" s="234" t="str">
        <f>VLOOKUP(ППД4!CO134,Реестр_Д4[Статус],1,0)</f>
        <v>Продажа</v>
      </c>
      <c r="D137" s="612">
        <f>VLOOKUP(ППД4!CE134,Реестр_Д4[Стоимость ОН без отделки со скидкой],1,0)</f>
        <v>3313517.85</v>
      </c>
      <c r="E137" s="612" cm="1">
        <f t="array" ref="E137">IFERROR(INDEX(РД[Стоимость без отделки итог],MATCH($B$3&amp;Таблица4[[#This Row],[№]]&amp;"Продажа",РД[Дом]&amp;РД[№ кв]&amp;РД[Состояние],0),1),Таблица4[[#This Row],[Статус]])</f>
        <v>3313517.8499999992</v>
      </c>
      <c r="F137" s="235">
        <f>IFERROR((Таблица4[[#This Row],[ПП]]-Таблица4[[#This Row],[ДДУ]])*1,"")</f>
        <v>9.3132257461547852E-10</v>
      </c>
      <c r="G137" s="235" cm="1">
        <f t="array" ref="G137">IFERROR(INDEX(РД[Стоимость с отделкой итог],MATCH($B$3&amp;Таблица4[[#This Row],[№]]&amp;"Продажа",РД[Дом]&amp;РД[№ кв]&amp;РД[Состояние],0),1),Таблица4[[#This Row],[Статус]])</f>
        <v>3460317.85</v>
      </c>
      <c r="H137" s="235">
        <f>_xlfn.XLOOKUP(Таблица4[[#This Row],[№]],Реестр_Д4[№],Реестр_Д4[Стоимость квартиры с отделкой],"-",0)</f>
        <v>3460317.85</v>
      </c>
      <c r="I137" s="235">
        <f>IFERROR(Таблица4[[#This Row],[СО ПП]]-Таблица4[[#This Row],[СО ДДУ]],"")</f>
        <v>0</v>
      </c>
      <c r="J137" s="233" cm="1">
        <f t="array" ref="J137">IFERROR(INDEX(РД[S],MATCH($B$3&amp;Таблица4[[#This Row],[№]]&amp;"Продажа",РД[Дом]&amp;РД[№ кв]&amp;РД[Состояние],0),1),Таблица4[[#This Row],[Статус]])</f>
        <v>36.700000000000003</v>
      </c>
      <c r="K137" s="233">
        <f>VLOOKUP(Таблица4[[#This Row],[№]],Реестр_Д4[],20,0)</f>
        <v>36.700000000000003</v>
      </c>
      <c r="L137" s="235">
        <f>IFERROR(Таблица4[[#This Row],[S ПП]]-Таблица4[[#This Row],[S ДДУ]],)</f>
        <v>0</v>
      </c>
      <c r="M137" s="235">
        <f>ROUND(_xlfn.XLOOKUP(Таблица4[[#This Row],[№]],Реестр_Д4[№],Реестр_Д4[Итоговая сумма скидки],"",0),2)</f>
        <v>0</v>
      </c>
      <c r="N137" s="235" cm="1">
        <f t="array" ref="N13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7" s="235">
        <f>IFERROR(Таблица4[[#This Row],[ППС]]-Таблица4[[#This Row],[ДДУС]],)</f>
        <v>0</v>
      </c>
      <c r="P137" s="611"/>
      <c r="Q137" s="234">
        <f>VLOOKUP(ППД5!A134,Реестр_Д5[№],1,0)</f>
        <v>133</v>
      </c>
      <c r="R137" s="234" t="str">
        <f>VLOOKUP(ППД5!CH134,Реестр_Д5[Статус],1,0)</f>
        <v>Продажа</v>
      </c>
      <c r="S137" s="612">
        <f>VLOOKUP(ППД5!BZ134,Реестр_Д5[Стоимость ОН без отделки со скидкой],1,0)</f>
        <v>2254582.29</v>
      </c>
      <c r="T137" s="612" cm="1">
        <f t="array" ref="T137">IFERROR(INDEX(РД[Стоимость без отделки итог],MATCH($Q$3&amp;Таблица10[[#This Row],[№]]&amp;"Продажа",РД[Дом]&amp;РД[№ кв]&amp;РД[Состояние],0),1),Таблица10[[#This Row],[Статус]])</f>
        <v>2254582.29</v>
      </c>
      <c r="U137" s="235">
        <f>IFERROR((Таблица10[[#This Row],[ПП]]-Таблица10[[#This Row],[ДДУ]])*1,)</f>
        <v>0</v>
      </c>
      <c r="V137" s="235" cm="1">
        <f t="array" ref="V137">IFERROR(INDEX(РД[Стоимость с отделкой итог],MATCH($Q$3&amp;Таблица10[[#This Row],[№]]&amp;"Продажа",РД[Дом]&amp;РД[№ кв]&amp;РД[Состояние],0),1),Таблица10[[#This Row],[Статус]])</f>
        <v>2363842.29</v>
      </c>
      <c r="W137" s="235">
        <f>_xlfn.XLOOKUP(Таблица10[[#This Row],[№]],Реестр_Д5[№],Реестр_Д5[Стоимость квартиры с отделкой],"-",0)</f>
        <v>2363842.29</v>
      </c>
      <c r="X137" s="235">
        <f>IFERROR(Таблица10[[#This Row],[СО ПП]]-Таблица10[[#This Row],[СО ДДУ]],"")</f>
        <v>0</v>
      </c>
      <c r="Y137" s="233" cm="1">
        <f t="array" ref="Y137">IFERROR(INDEX(РД[S],MATCH($Q$3&amp;Таблица10[[#This Row],[№]]&amp;"Продажа",РД[Дом]&amp;РД[№ кв]&amp;РД[Состояние],0),1),Таблица10[[#This Row],[Статус]])</f>
        <v>24.28</v>
      </c>
      <c r="Z137" s="233">
        <f>IF(Таблица10[[#This Row],[№]]&amp;"ДДУ"=ППД5!A134&amp;ППД5!CR134,ППД5!U134,ППД5!V134)</f>
        <v>24.28</v>
      </c>
      <c r="AA137" s="285">
        <f>IFERROR(Таблица10[[#This Row],[S ПП]]-Таблица10[[#This Row],[S ДДУ]],)</f>
        <v>0</v>
      </c>
      <c r="AB137" s="235">
        <f>ROUND(_xlfn.XLOOKUP(Таблица10[[#This Row],[№]],Реестр_Д5[№],Реестр_Д5[Итоговая сумма скидки],"",0),2)</f>
        <v>0</v>
      </c>
      <c r="AC137" s="235" cm="1">
        <f t="array" ref="AC13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37" s="285">
        <f>IFERROR(Таблица10[[#This Row],[ППС]]-Таблица10[[#This Row],[ДДУС]],)</f>
        <v>0</v>
      </c>
      <c r="AE137" s="611"/>
      <c r="AT137" s="611"/>
      <c r="AU137" s="484">
        <f>VLOOKUP(ППД402!A134,Д402[],1,0)</f>
        <v>133</v>
      </c>
      <c r="AV137" s="484" t="str">
        <f>_xlfn.XLOOKUP(Т402[[#This Row],[№]],Д402[№],Д402[Статус],"-",0)</f>
        <v>Стр. Резерв</v>
      </c>
      <c r="AW137" s="613">
        <f>_xlfn.XLOOKUP(Т402[[#This Row],[№]],Д402[№],Д402[Стоимость ОН без отделки со скидкой],"-",0)</f>
        <v>7994900</v>
      </c>
      <c r="AX137" s="614" t="str" cm="1">
        <f t="array" ref="AX13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7" s="485" t="str">
        <f>IFERROR((Т402[[#This Row],[ПП]]-Т402[[#This Row],[ДДУ]])*1,"")</f>
        <v/>
      </c>
      <c r="AZ137" s="486" t="str" cm="1">
        <f t="array" ref="AZ13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7" s="485">
        <f>_xlfn.XLOOKUP(Т402[[#This Row],[№]],Д402[№],Д402[Стоимость квартиры с отделкой],"-",0)</f>
        <v>9966500</v>
      </c>
      <c r="BB137" s="485" t="str">
        <f>IFERROR(Т402[[#This Row],[СО ПП]]-Т402[[#This Row],[СО ДДУ]],"")</f>
        <v/>
      </c>
      <c r="BC137" s="487" t="str" cm="1">
        <f t="array" ref="BC137">IFERROR(INDEX(РД[S],MATCH($AU$3&amp;Т402[[#This Row],[№]]&amp;"Продажа",РД[Дом]&amp;РД[№ кв]&amp;РД[Состояние],0),1),Т402[[#This Row],[Статус]])</f>
        <v>Стр. Резерв</v>
      </c>
      <c r="BD137" s="483">
        <f>_xlfn.XLOOKUP(Т402[[#This Row],[№]],Д402[№],Д402[Расчетная проектная площадь],"-",0)</f>
        <v>65.72</v>
      </c>
      <c r="BE137" s="485" t="str">
        <f>IFERROR(Т402[[#This Row],[S ПП]]-Т402[[#This Row],[S ДДУ]],"")</f>
        <v/>
      </c>
      <c r="BF137" s="485">
        <f>_xlfn.XLOOKUP(Т402[[#This Row],[№]],Д402[№],Д402[Итоговая сумма скидки],"-",0)</f>
        <v>0</v>
      </c>
      <c r="BG137" s="486" t="str" cm="1">
        <f t="array" ref="BG13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7" s="488" t="str">
        <f>IFERROR(Т402[[#This Row],[ППС]]-Т402[[#This Row],[ДДУС]],"")</f>
        <v/>
      </c>
    </row>
    <row r="138" spans="1:60" x14ac:dyDescent="0.2">
      <c r="A138" s="611"/>
      <c r="B138" s="234">
        <f>VLOOKUP(ППД4!A135,Реестр_Д4[№],1,0)</f>
        <v>134</v>
      </c>
      <c r="C138" s="234" t="str">
        <f>VLOOKUP(ППД4!CO135,Реестр_Д4[Статус],1,0)</f>
        <v>Продажа</v>
      </c>
      <c r="D138" s="612">
        <f>VLOOKUP(ППД4!CE135,Реестр_Д4[Стоимость ОН без отделки со скидкой],1,0)</f>
        <v>2668848</v>
      </c>
      <c r="E138" s="612" cm="1">
        <f t="array" ref="E138">IFERROR(INDEX(РД[Стоимость без отделки итог],MATCH($B$3&amp;Таблица4[[#This Row],[№]]&amp;"Продажа",РД[Дом]&amp;РД[№ кв]&amp;РД[Состояние],0),1),Таблица4[[#This Row],[Статус]])</f>
        <v>2668848</v>
      </c>
      <c r="F138" s="235">
        <f>IFERROR((Таблица4[[#This Row],[ПП]]-Таблица4[[#This Row],[ДДУ]])*1,"")</f>
        <v>0</v>
      </c>
      <c r="G138" s="235" cm="1">
        <f t="array" ref="G138">IFERROR(INDEX(РД[Стоимость с отделкой итог],MATCH($B$3&amp;Таблица4[[#This Row],[№]]&amp;"Продажа",РД[Дом]&amp;РД[№ кв]&amp;РД[Состояние],0),1),Таблица4[[#This Row],[Статус]])</f>
        <v>2925468</v>
      </c>
      <c r="H138" s="235">
        <f>_xlfn.XLOOKUP(Таблица4[[#This Row],[№]],Реестр_Д4[№],Реестр_Д4[Стоимость квартиры с отделкой],"-",0)</f>
        <v>2925468</v>
      </c>
      <c r="I138" s="235">
        <f>IFERROR(Таблица4[[#This Row],[СО ПП]]-Таблица4[[#This Row],[СО ДДУ]],"")</f>
        <v>0</v>
      </c>
      <c r="J138" s="233" cm="1">
        <f t="array" ref="J138">IFERROR(INDEX(РД[S],MATCH($B$3&amp;Таблица4[[#This Row],[№]]&amp;"Продажа",РД[Дом]&amp;РД[№ кв]&amp;РД[Состояние],0),1),Таблица4[[#This Row],[Статус]])</f>
        <v>36.659999999999997</v>
      </c>
      <c r="K138" s="233">
        <f>VLOOKUP(Таблица4[[#This Row],[№]],Реестр_Д4[],20,0)</f>
        <v>36.659999999999997</v>
      </c>
      <c r="L138" s="235">
        <f>IFERROR(Таблица4[[#This Row],[S ПП]]-Таблица4[[#This Row],[S ДДУ]],)</f>
        <v>0</v>
      </c>
      <c r="M138" s="235">
        <f>ROUND(_xlfn.XLOOKUP(Таблица4[[#This Row],[№]],Реестр_Д4[№],Реестр_Д4[Итоговая сумма скидки],"",0),2)</f>
        <v>0</v>
      </c>
      <c r="N138" s="235" cm="1">
        <f t="array" ref="N13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38" s="235">
        <f>IFERROR(Таблица4[[#This Row],[ППС]]-Таблица4[[#This Row],[ДДУС]],)</f>
        <v>0</v>
      </c>
      <c r="P138" s="611"/>
      <c r="Q138" s="234">
        <f>VLOOKUP(ППД5!A135,Реестр_Д5[№],1,0)</f>
        <v>134</v>
      </c>
      <c r="R138" s="234" t="str">
        <f>VLOOKUP(ППД5!CH135,Реестр_Д5[Статус],1,0)</f>
        <v>Продажа</v>
      </c>
      <c r="S138" s="612">
        <f>VLOOKUP(ППД5!BZ135,Реестр_Д5[Стоимость ОН без отделки со скидкой],1,0)</f>
        <v>5459742</v>
      </c>
      <c r="T138" s="612" cm="1">
        <f t="array" ref="T138">IFERROR(INDEX(РД[Стоимость без отделки итог],MATCH($Q$3&amp;Таблица10[[#This Row],[№]]&amp;"Продажа",РД[Дом]&amp;РД[№ кв]&amp;РД[Состояние],0),1),Таблица10[[#This Row],[Статус]])</f>
        <v>5459742</v>
      </c>
      <c r="U138" s="235">
        <f>IFERROR((Таблица10[[#This Row],[ПП]]-Таблица10[[#This Row],[ДДУ]])*1,)</f>
        <v>0</v>
      </c>
      <c r="V138" s="235" cm="1">
        <f t="array" ref="V138">IFERROR(INDEX(РД[Стоимость с отделкой итог],MATCH($Q$3&amp;Таблица10[[#This Row],[№]]&amp;"Продажа",РД[Дом]&amp;РД[№ кв]&amp;РД[Состояние],0),1),Таблица10[[#This Row],[Статус]])</f>
        <v>6611742</v>
      </c>
      <c r="W138" s="235">
        <f>_xlfn.XLOOKUP(Таблица10[[#This Row],[№]],Реестр_Д5[№],Реестр_Д5[Стоимость квартиры с отделкой],"-",0)</f>
        <v>6611742</v>
      </c>
      <c r="X138" s="235">
        <f>IFERROR(Таблица10[[#This Row],[СО ПП]]-Таблица10[[#This Row],[СО ДДУ]],"")</f>
        <v>0</v>
      </c>
      <c r="Y138" s="233" cm="1">
        <f t="array" ref="Y138">IFERROR(INDEX(РД[S],MATCH($Q$3&amp;Таблица10[[#This Row],[№]]&amp;"Продажа",РД[Дом]&amp;РД[№ кв]&amp;РД[Состояние],0),1),Таблица10[[#This Row],[Статус]])</f>
        <v>57.6</v>
      </c>
      <c r="Z138" s="233">
        <f>IF(Таблица10[[#This Row],[№]]&amp;"ДДУ"=ППД5!A135&amp;ППД5!CR135,ППД5!U135,ППД5!V135)</f>
        <v>57.6</v>
      </c>
      <c r="AA138" s="285">
        <f>IFERROR(Таблица10[[#This Row],[S ПП]]-Таблица10[[#This Row],[S ДДУ]],)</f>
        <v>0</v>
      </c>
      <c r="AB138" s="235">
        <f>ROUND(_xlfn.XLOOKUP(Таблица10[[#This Row],[№]],Реестр_Д5[№],Реестр_Д5[Итоговая сумма скидки],"",0),2)</f>
        <v>168858</v>
      </c>
      <c r="AC138" s="235" cm="1">
        <f t="array" ref="AC138">IFERROR(ROUND(_xlfn.XLOOKUP($Q$3&amp;Таблица10[[#This Row],[№]]&amp;"Продажа",РД[Дом]&amp;РД[№ кв]&amp;РД[Состояние],РД[Сумма скидки],"",0,-1),2),Таблица10[[#This Row],[Статус]])</f>
        <v>168858</v>
      </c>
      <c r="AD138" s="285">
        <f>IFERROR(Таблица10[[#This Row],[ППС]]-Таблица10[[#This Row],[ДДУС]],)</f>
        <v>0</v>
      </c>
      <c r="AE138" s="611"/>
      <c r="AT138" s="611"/>
      <c r="AU138" s="484">
        <f>VLOOKUP(ППД402!A135,Д402[],1,0)</f>
        <v>134</v>
      </c>
      <c r="AV138" s="484" t="str">
        <f>_xlfn.XLOOKUP(Т402[[#This Row],[№]],Д402[№],Д402[Статус],"-",0)</f>
        <v>Гарантированная бронь</v>
      </c>
      <c r="AW138" s="613">
        <f>_xlfn.XLOOKUP(Т402[[#This Row],[№]],Д402[№],Д402[Стоимость ОН без отделки со скидкой],"-",0)</f>
        <v>4700178</v>
      </c>
      <c r="AX138" s="614" t="str" cm="1">
        <f t="array" ref="AX138">IFERROR(INDEX(РД[Стоимость без отделки итог],MATCH($AU$3&amp;Т402[[#This Row],[№]]&amp;"Продажа",РД[Дом]&amp;РД[№ кв]&amp;РД[Состояние],0),1),Т402[[#This Row],[Статус]])</f>
        <v>Гарантированная бронь</v>
      </c>
      <c r="AY138" s="485" t="str">
        <f>IFERROR((Т402[[#This Row],[ПП]]-Т402[[#This Row],[ДДУ]])*1,"")</f>
        <v/>
      </c>
      <c r="AZ138" s="486" t="str" cm="1">
        <f t="array" ref="AZ138">IFERROR(INDEX(РД[Стоимость с отделкой итог],MATCH($AU$3&amp;Т402[[#This Row],[№]]&amp;"Продажа",РД[Дом]&amp;РД[№ кв]&amp;РД[Состояние],0),1),Т402[[#This Row],[Статус]])</f>
        <v>Гарантированная бронь</v>
      </c>
      <c r="BA138" s="485">
        <f>_xlfn.XLOOKUP(Т402[[#This Row],[№]],Д402[№],Д402[Стоимость квартиры с отделкой],"-",0)</f>
        <v>5799078</v>
      </c>
      <c r="BB138" s="485" t="str">
        <f>IFERROR(Т402[[#This Row],[СО ПП]]-Т402[[#This Row],[СО ДДУ]],"")</f>
        <v/>
      </c>
      <c r="BC138" s="487" t="str" cm="1">
        <f t="array" ref="BC138">IFERROR(INDEX(РД[S],MATCH($AU$3&amp;Т402[[#This Row],[№]]&amp;"Продажа",РД[Дом]&amp;РД[№ кв]&amp;РД[Состояние],0),1),Т402[[#This Row],[Статус]])</f>
        <v>Гарантированная бронь</v>
      </c>
      <c r="BD138" s="483">
        <f>_xlfn.XLOOKUP(Т402[[#This Row],[№]],Д402[№],Д402[Расчетная проектная площадь],"-",0)</f>
        <v>36.630000000000003</v>
      </c>
      <c r="BE138" s="485" t="str">
        <f>IFERROR(Т402[[#This Row],[S ПП]]-Т402[[#This Row],[S ДДУ]],"")</f>
        <v/>
      </c>
      <c r="BF138" s="485">
        <f>_xlfn.XLOOKUP(Т402[[#This Row],[№]],Д402[№],Д402[Итоговая сумма скидки],"-",0)</f>
        <v>95922</v>
      </c>
      <c r="BG138" s="486" t="str" cm="1">
        <f t="array" ref="BG138">IFERROR(ROUND(_xlfn.XLOOKUP($AU$3&amp;Т402[[#This Row],[№]]&amp;"Продажа",РД[Дом]&amp;РД[№ кв]&amp;РД[Состояние],РД[Сумма скидки],"",0),2),Т402[[#This Row],[Статус]])</f>
        <v>Гарантированная бронь</v>
      </c>
      <c r="BH138" s="488" t="str">
        <f>IFERROR(Т402[[#This Row],[ППС]]-Т402[[#This Row],[ДДУС]],"")</f>
        <v/>
      </c>
    </row>
    <row r="139" spans="1:60" x14ac:dyDescent="0.2">
      <c r="A139" s="611"/>
      <c r="B139" s="234">
        <f>VLOOKUP(ППД4!A136,Реестр_Д4[№],1,0)</f>
        <v>135</v>
      </c>
      <c r="C139" s="234" t="str">
        <f>VLOOKUP(ППД4!CO136,Реестр_Д4[Статус],1,0)</f>
        <v>Продажа</v>
      </c>
      <c r="D139" s="612">
        <f>VLOOKUP(ППД4!CE136,Реестр_Д4[Стоимость ОН без отделки со скидкой],1,0)</f>
        <v>5689424.2199999997</v>
      </c>
      <c r="E139" s="612" cm="1">
        <f t="array" ref="E139">IFERROR(INDEX(РД[Стоимость без отделки итог],MATCH($B$3&amp;Таблица4[[#This Row],[№]]&amp;"Продажа",РД[Дом]&amp;РД[№ кв]&amp;РД[Состояние],0),1),Таблица4[[#This Row],[Статус]])</f>
        <v>5689424.2199999997</v>
      </c>
      <c r="F139" s="235">
        <f>IFERROR((Таблица4[[#This Row],[ПП]]-Таблица4[[#This Row],[ДДУ]])*1,"")</f>
        <v>0</v>
      </c>
      <c r="G139" s="235" cm="1">
        <f t="array" ref="G139">IFERROR(INDEX(РД[Стоимость с отделкой итог],MATCH($B$3&amp;Таблица4[[#This Row],[№]]&amp;"Продажа",РД[Дом]&amp;РД[№ кв]&amp;РД[Состояние],0),1),Таблица4[[#This Row],[Статус]])</f>
        <v>5689424.2199999997</v>
      </c>
      <c r="H139" s="235">
        <f>_xlfn.XLOOKUP(Таблица4[[#This Row],[№]],Реестр_Д4[№],Реестр_Д4[Стоимость квартиры с отделкой],"-",0)</f>
        <v>5689424.2199999997</v>
      </c>
      <c r="I139" s="235">
        <f>IFERROR(Таблица4[[#This Row],[СО ПП]]-Таблица4[[#This Row],[СО ДДУ]],"")</f>
        <v>0</v>
      </c>
      <c r="J139" s="233" cm="1">
        <f t="array" ref="J139">IFERROR(INDEX(РД[S],MATCH($B$3&amp;Таблица4[[#This Row],[№]]&amp;"Продажа",РД[Дом]&amp;РД[№ кв]&amp;РД[Состояние],0),1),Таблица4[[#This Row],[Статус]])</f>
        <v>78.73</v>
      </c>
      <c r="K139" s="233">
        <f>VLOOKUP(Таблица4[[#This Row],[№]],Реестр_Д4[],20,0)</f>
        <v>78.73</v>
      </c>
      <c r="L139" s="235">
        <f>IFERROR(Таблица4[[#This Row],[S ПП]]-Таблица4[[#This Row],[S ДДУ]],)</f>
        <v>0</v>
      </c>
      <c r="M139" s="235">
        <f>ROUND(_xlfn.XLOOKUP(Таблица4[[#This Row],[№]],Реестр_Д4[№],Реестр_Д4[Итоговая сумма скидки],"",0),2)</f>
        <v>363154.74</v>
      </c>
      <c r="N139" s="235" cm="1">
        <f t="array" ref="N139">IFERROR(ROUND(_xlfn.XLOOKUP($B$3&amp;Таблица4[[#This Row],[№]]&amp;"Продажа",РД[Дом]&amp;РД[№ кв]&amp;РД[Состояние],РД[Сумма скидки],"",0),2),Таблица4[[#This Row],[Статус]])</f>
        <v>363154.74</v>
      </c>
      <c r="O139" s="235">
        <f>IFERROR(Таблица4[[#This Row],[ППС]]-Таблица4[[#This Row],[ДДУС]],)</f>
        <v>0</v>
      </c>
      <c r="P139" s="611"/>
      <c r="Q139" s="234">
        <f>VLOOKUP(ППД5!A136,Реестр_Д5[№],1,0)</f>
        <v>135</v>
      </c>
      <c r="R139" s="234" t="str">
        <f>VLOOKUP(ППД5!CH136,Реестр_Д5[Статус],1,0)</f>
        <v>Продажа</v>
      </c>
      <c r="S139" s="612">
        <f>VLOOKUP(ППД5!BZ136,Реестр_Д5[Стоимость ОН без отделки со скидкой],1,0)</f>
        <v>5082413.57</v>
      </c>
      <c r="T139" s="612" cm="1">
        <f t="array" ref="T139">IFERROR(INDEX(РД[Стоимость без отделки итог],MATCH($Q$3&amp;Таблица10[[#This Row],[№]]&amp;"Продажа",РД[Дом]&amp;РД[№ кв]&amp;РД[Состояние],0),1),Таблица10[[#This Row],[Статус]])</f>
        <v>5082413.57</v>
      </c>
      <c r="U139" s="235">
        <f>IFERROR((Таблица10[[#This Row],[ПП]]-Таблица10[[#This Row],[ДДУ]])*1,)</f>
        <v>0</v>
      </c>
      <c r="V139" s="235" cm="1">
        <f t="array" ref="V139">IFERROR(INDEX(РД[Стоимость с отделкой итог],MATCH($Q$3&amp;Таблица10[[#This Row],[№]]&amp;"Продажа",РД[Дом]&amp;РД[№ кв]&amp;РД[Состояние],0),1),Таблица10[[#This Row],[Статус]])</f>
        <v>6365233.5700000003</v>
      </c>
      <c r="W139" s="235">
        <f>_xlfn.XLOOKUP(Таблица10[[#This Row],[№]],Реестр_Д5[№],Реестр_Д5[Стоимость квартиры с отделкой],"-",0)</f>
        <v>6365233.5700000003</v>
      </c>
      <c r="X139" s="235">
        <f>IFERROR(Таблица10[[#This Row],[СО ПП]]-Таблица10[[#This Row],[СО ДДУ]],"")</f>
        <v>0</v>
      </c>
      <c r="Y139" s="233" cm="1">
        <f t="array" ref="Y139">IFERROR(INDEX(РД[S],MATCH($Q$3&amp;Таблица10[[#This Row],[№]]&amp;"Продажа",РД[Дом]&amp;РД[№ кв]&amp;РД[Состояние],0),1),Таблица10[[#This Row],[Статус]])</f>
        <v>58.31</v>
      </c>
      <c r="Z139" s="233">
        <f>IF(Таблица10[[#This Row],[№]]&amp;"ДДУ"=ППД5!A136&amp;ППД5!CR136,ППД5!U136,ППД5!V136)</f>
        <v>58.31</v>
      </c>
      <c r="AA139" s="285">
        <f>IFERROR(Таблица10[[#This Row],[S ПП]]-Таблица10[[#This Row],[S ДДУ]],)</f>
        <v>0</v>
      </c>
      <c r="AB139" s="235">
        <f>ROUND(_xlfn.XLOOKUP(Таблица10[[#This Row],[№]],Реестр_Д5[№],Реестр_Д5[Итоговая сумма скидки],"",0),2)</f>
        <v>103722.73</v>
      </c>
      <c r="AC139" s="235" cm="1">
        <f t="array" ref="AC139">IFERROR(ROUND(_xlfn.XLOOKUP($Q$3&amp;Таблица10[[#This Row],[№]]&amp;"Продажа",РД[Дом]&amp;РД[№ кв]&amp;РД[Состояние],РД[Сумма скидки],"",0,-1),2),Таблица10[[#This Row],[Статус]])</f>
        <v>103722.73</v>
      </c>
      <c r="AD139" s="285">
        <f>IFERROR(Таблица10[[#This Row],[ППС]]-Таблица10[[#This Row],[ДДУС]],)</f>
        <v>0</v>
      </c>
      <c r="AE139" s="611"/>
      <c r="AT139" s="611"/>
      <c r="AU139" s="484">
        <f>VLOOKUP(ППД402!A136,Д402[],1,0)</f>
        <v>135</v>
      </c>
      <c r="AV139" s="484" t="str">
        <f>_xlfn.XLOOKUP(Т402[[#This Row],[№]],Д402[№],Д402[Статус],"-",0)</f>
        <v>Стр. Резерв</v>
      </c>
      <c r="AW139" s="613">
        <f>_xlfn.XLOOKUP(Т402[[#This Row],[№]],Д402[№],Д402[Стоимость ОН без отделки со скидкой],"-",0)</f>
        <v>4323300</v>
      </c>
      <c r="AX139" s="614" t="str" cm="1">
        <f t="array" ref="AX13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39" s="485" t="str">
        <f>IFERROR((Т402[[#This Row],[ПП]]-Т402[[#This Row],[ДДУ]])*1,"")</f>
        <v/>
      </c>
      <c r="AZ139" s="486" t="str" cm="1">
        <f t="array" ref="AZ13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39" s="485">
        <f>_xlfn.XLOOKUP(Т402[[#This Row],[№]],Д402[№],Д402[Стоимость квартиры с отделкой],"-",0)</f>
        <v>4323300</v>
      </c>
      <c r="BB139" s="485" t="str">
        <f>IFERROR(Т402[[#This Row],[СО ПП]]-Т402[[#This Row],[СО ДДУ]],"")</f>
        <v/>
      </c>
      <c r="BC139" s="487" t="str" cm="1">
        <f t="array" ref="BC139">IFERROR(INDEX(РД[S],MATCH($AU$3&amp;Т402[[#This Row],[№]]&amp;"Продажа",РД[Дом]&amp;РД[№ кв]&amp;РД[Состояние],0),1),Т402[[#This Row],[Статус]])</f>
        <v>Стр. Резерв</v>
      </c>
      <c r="BD139" s="483">
        <f>_xlfn.XLOOKUP(Т402[[#This Row],[№]],Д402[№],Д402[Расчетная проектная площадь],"-",0)</f>
        <v>29.5</v>
      </c>
      <c r="BE139" s="485" t="str">
        <f>IFERROR(Т402[[#This Row],[S ПП]]-Т402[[#This Row],[S ДДУ]],"")</f>
        <v/>
      </c>
      <c r="BF139" s="485">
        <f>_xlfn.XLOOKUP(Т402[[#This Row],[№]],Д402[№],Д402[Итоговая сумма скидки],"-",0)</f>
        <v>0</v>
      </c>
      <c r="BG139" s="486" t="str" cm="1">
        <f t="array" ref="BG13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39" s="488" t="str">
        <f>IFERROR(Т402[[#This Row],[ППС]]-Т402[[#This Row],[ДДУС]],"")</f>
        <v/>
      </c>
    </row>
    <row r="140" spans="1:60" x14ac:dyDescent="0.2">
      <c r="A140" s="611"/>
      <c r="B140" s="234">
        <f>VLOOKUP(ППД4!A137,Реестр_Д4[№],1,0)</f>
        <v>136</v>
      </c>
      <c r="C140" s="234" t="str">
        <f>VLOOKUP(ППД4!CO137,Реестр_Д4[Статус],1,0)</f>
        <v>Продажа</v>
      </c>
      <c r="D140" s="612">
        <f>VLOOKUP(ППД4!CE137,Реестр_Д4[Стоимость ОН без отделки со скидкой],1,0)</f>
        <v>2478299.8400000003</v>
      </c>
      <c r="E140" s="612" cm="1">
        <f t="array" ref="E140">IFERROR(INDEX(РД[Стоимость без отделки итог],MATCH($B$3&amp;Таблица4[[#This Row],[№]]&amp;"Продажа",РД[Дом]&amp;РД[№ кв]&amp;РД[Состояние],0),1),Таблица4[[#This Row],[Статус]])</f>
        <v>2478299.84</v>
      </c>
      <c r="F140" s="235">
        <f>IFERROR((Таблица4[[#This Row],[ПП]]-Таблица4[[#This Row],[ДДУ]])*1,"")</f>
        <v>4.6566128730773926E-10</v>
      </c>
      <c r="G140" s="235" cm="1">
        <f t="array" ref="G140">IFERROR(INDEX(РД[Стоимость с отделкой итог],MATCH($B$3&amp;Таблица4[[#This Row],[№]]&amp;"Продажа",РД[Дом]&amp;РД[№ кв]&amp;РД[Состояние],0),1),Таблица4[[#This Row],[Статус]])</f>
        <v>2731724.84</v>
      </c>
      <c r="H140" s="235">
        <f>_xlfn.XLOOKUP(Таблица4[[#This Row],[№]],Реестр_Д4[№],Реестр_Д4[Стоимость квартиры с отделкой],"-",0)</f>
        <v>2731724.84</v>
      </c>
      <c r="I140" s="235">
        <f>IFERROR(Таблица4[[#This Row],[СО ПП]]-Таблица4[[#This Row],[СО ДДУ]],"")</f>
        <v>0</v>
      </c>
      <c r="J140" s="233" cm="1">
        <f t="array" ref="J140">IFERROR(INDEX(РД[S],MATCH($B$3&amp;Таблица4[[#This Row],[№]]&amp;"Продажа",РД[Дом]&amp;РД[№ кв]&amp;РД[Состояние],0),1),Таблица4[[#This Row],[Статус]])</f>
        <v>33.79</v>
      </c>
      <c r="K140" s="233">
        <f>VLOOKUP(Таблица4[[#This Row],[№]],Реестр_Д4[],20,0)</f>
        <v>33.79</v>
      </c>
      <c r="L140" s="235">
        <f>IFERROR(Таблица4[[#This Row],[S ПП]]-Таблица4[[#This Row],[S ДДУ]],)</f>
        <v>0</v>
      </c>
      <c r="M140" s="235">
        <f>ROUND(_xlfn.XLOOKUP(Таблица4[[#This Row],[№]],Реестр_Д4[№],Реестр_Д4[Итоговая сумма скидки],"",0),2)</f>
        <v>130436.83</v>
      </c>
      <c r="N140" s="235" cm="1">
        <f t="array" ref="N140">IFERROR(ROUND(_xlfn.XLOOKUP($B$3&amp;Таблица4[[#This Row],[№]]&amp;"Продажа",РД[Дом]&amp;РД[№ кв]&amp;РД[Состояние],РД[Сумма скидки],"",0),2),Таблица4[[#This Row],[Статус]])</f>
        <v>130436.83</v>
      </c>
      <c r="O140" s="235">
        <f>IFERROR(Таблица4[[#This Row],[ППС]]-Таблица4[[#This Row],[ДДУС]],)</f>
        <v>0</v>
      </c>
      <c r="P140" s="611"/>
      <c r="Q140" s="234">
        <f>VLOOKUP(ППД5!A137,Реестр_Д5[№],1,0)</f>
        <v>136</v>
      </c>
      <c r="R140" s="234" t="str">
        <f>VLOOKUP(ППД5!CH137,Реестр_Д5[Статус],1,0)</f>
        <v>Продажа</v>
      </c>
      <c r="S140" s="612">
        <f>VLOOKUP(ППД5!BZ137,Реестр_Д5[Стоимость ОН без отделки со скидкой],1,0)</f>
        <v>3507573.3</v>
      </c>
      <c r="T140" s="612" cm="1">
        <f t="array" ref="T140">IFERROR(INDEX(РД[Стоимость без отделки итог],MATCH($Q$3&amp;Таблица10[[#This Row],[№]]&amp;"Продажа",РД[Дом]&amp;РД[№ кв]&amp;РД[Состояние],0),1),Таблица10[[#This Row],[Статус]])</f>
        <v>3507573.3</v>
      </c>
      <c r="U140" s="235">
        <f>IFERROR((Таблица10[[#This Row],[ПП]]-Таблица10[[#This Row],[ДДУ]])*1,)</f>
        <v>0</v>
      </c>
      <c r="V140" s="235" cm="1">
        <f t="array" ref="V140">IFERROR(INDEX(РД[Стоимость с отделкой итог],MATCH($Q$3&amp;Таблица10[[#This Row],[№]]&amp;"Продажа",РД[Дом]&amp;РД[№ кв]&amp;РД[Состояние],0),1),Таблица10[[#This Row],[Статус]])</f>
        <v>3507573.3</v>
      </c>
      <c r="W140" s="235">
        <f>_xlfn.XLOOKUP(Таблица10[[#This Row],[№]],Реестр_Д5[№],Реестр_Д5[Стоимость квартиры с отделкой],"-",0)</f>
        <v>3507573.3</v>
      </c>
      <c r="X140" s="235">
        <f>IFERROR(Таблица10[[#This Row],[СО ПП]]-Таблица10[[#This Row],[СО ДДУ]],"")</f>
        <v>0</v>
      </c>
      <c r="Y140" s="233" cm="1">
        <f t="array" ref="Y140">IFERROR(INDEX(РД[S],MATCH($Q$3&amp;Таблица10[[#This Row],[№]]&amp;"Продажа",РД[Дом]&amp;РД[№ кв]&amp;РД[Состояние],0),1),Таблица10[[#This Row],[Статус]])</f>
        <v>37.86</v>
      </c>
      <c r="Z140" s="233">
        <f>IF(Таблица10[[#This Row],[№]]&amp;"ДДУ"=ППД5!A137&amp;ППД5!CR137,ППД5!U137,ППД5!V137)</f>
        <v>37.86</v>
      </c>
      <c r="AA140" s="285">
        <f>IFERROR(Таблица10[[#This Row],[S ПП]]-Таблица10[[#This Row],[S ДДУ]],)</f>
        <v>0</v>
      </c>
      <c r="AB140" s="235">
        <f>ROUND(_xlfn.XLOOKUP(Таблица10[[#This Row],[№]],Реестр_Д5[№],Реестр_Д5[Итоговая сумма скидки],"",0),2)</f>
        <v>71583.13</v>
      </c>
      <c r="AC140" s="235" cm="1">
        <f t="array" ref="AC140">IFERROR(ROUND(_xlfn.XLOOKUP($Q$3&amp;Таблица10[[#This Row],[№]]&amp;"Продажа",РД[Дом]&amp;РД[№ кв]&amp;РД[Состояние],РД[Сумма скидки],"",0,-1),2),Таблица10[[#This Row],[Статус]])</f>
        <v>71583.13</v>
      </c>
      <c r="AD140" s="285">
        <f>IFERROR(Таблица10[[#This Row],[ППС]]-Таблица10[[#This Row],[ДДУС]],)</f>
        <v>0</v>
      </c>
      <c r="AE140" s="611"/>
      <c r="AT140" s="611"/>
      <c r="AU140" s="484">
        <f>VLOOKUP(ППД402!A137,Д402[],1,0)</f>
        <v>136</v>
      </c>
      <c r="AV140" s="484" t="str">
        <f>_xlfn.XLOOKUP(Т402[[#This Row],[№]],Д402[№],Д402[Статус],"-",0)</f>
        <v>Стр. Резерв</v>
      </c>
      <c r="AW140" s="613">
        <f>_xlfn.XLOOKUP(Т402[[#This Row],[№]],Д402[№],Д402[Стоимость ОН без отделки со скидкой],"-",0)</f>
        <v>4023800</v>
      </c>
      <c r="AX140" s="614" t="str" cm="1">
        <f t="array" ref="AX14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0" s="485" t="str">
        <f>IFERROR((Т402[[#This Row],[ПП]]-Т402[[#This Row],[ДДУ]])*1,"")</f>
        <v/>
      </c>
      <c r="AZ140" s="486" t="str" cm="1">
        <f t="array" ref="AZ14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0" s="485">
        <f>_xlfn.XLOOKUP(Т402[[#This Row],[№]],Д402[№],Д402[Стоимость квартиры с отделкой],"-",0)</f>
        <v>4023800.0000000009</v>
      </c>
      <c r="BB140" s="485" t="str">
        <f>IFERROR(Т402[[#This Row],[СО ПП]]-Т402[[#This Row],[СО ДДУ]],"")</f>
        <v/>
      </c>
      <c r="BC140" s="487" t="str" cm="1">
        <f t="array" ref="BC140">IFERROR(INDEX(РД[S],MATCH($AU$3&amp;Т402[[#This Row],[№]]&amp;"Продажа",РД[Дом]&amp;РД[№ кв]&amp;РД[Состояние],0),1),Т402[[#This Row],[Статус]])</f>
        <v>Стр. Резерв</v>
      </c>
      <c r="BD140" s="483">
        <f>_xlfn.XLOOKUP(Т402[[#This Row],[№]],Д402[№],Д402[Расчетная проектная площадь],"-",0)</f>
        <v>27.99</v>
      </c>
      <c r="BE140" s="485" t="str">
        <f>IFERROR(Т402[[#This Row],[S ПП]]-Т402[[#This Row],[S ДДУ]],"")</f>
        <v/>
      </c>
      <c r="BF140" s="485">
        <f>_xlfn.XLOOKUP(Т402[[#This Row],[№]],Д402[№],Д402[Итоговая сумма скидки],"-",0)</f>
        <v>0</v>
      </c>
      <c r="BG140" s="486" t="str" cm="1">
        <f t="array" ref="BG14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0" s="488" t="str">
        <f>IFERROR(Т402[[#This Row],[ППС]]-Т402[[#This Row],[ДДУС]],"")</f>
        <v/>
      </c>
    </row>
    <row r="141" spans="1:60" x14ac:dyDescent="0.2">
      <c r="A141" s="611"/>
      <c r="B141" s="234">
        <f>VLOOKUP(ППД4!A138,Реестр_Д4[№],1,0)</f>
        <v>137</v>
      </c>
      <c r="C141" s="234" t="str">
        <f>VLOOKUP(ППД4!CO138,Реестр_Д4[Статус],1,0)</f>
        <v>Продажа</v>
      </c>
      <c r="D141" s="612">
        <f>VLOOKUP(ППД4!CE138,Реестр_Д4[Стоимость ОН без отделки со скидкой],1,0)</f>
        <v>2190132</v>
      </c>
      <c r="E141" s="612" cm="1">
        <f t="array" ref="E141">IFERROR(INDEX(РД[Стоимость без отделки итог],MATCH($B$3&amp;Таблица4[[#This Row],[№]]&amp;"Продажа",РД[Дом]&amp;РД[№ кв]&amp;РД[Состояние],0),1),Таблица4[[#This Row],[Статус]])</f>
        <v>2190132</v>
      </c>
      <c r="F141" s="235">
        <f>IFERROR((Таблица4[[#This Row],[ПП]]-Таблица4[[#This Row],[ДДУ]])*1,"")</f>
        <v>0</v>
      </c>
      <c r="G141" s="235" cm="1">
        <f t="array" ref="G141">IFERROR(INDEX(РД[Стоимость с отделкой итог],MATCH($B$3&amp;Таблица4[[#This Row],[№]]&amp;"Продажа",РД[Дом]&amp;РД[№ кв]&amp;РД[Состояние],0),1),Таблица4[[#This Row],[Статус]])</f>
        <v>2190132</v>
      </c>
      <c r="H141" s="235">
        <f>_xlfn.XLOOKUP(Таблица4[[#This Row],[№]],Реестр_Д4[№],Реестр_Д4[Стоимость квартиры с отделкой],"-",0)</f>
        <v>2190132</v>
      </c>
      <c r="I141" s="235">
        <f>IFERROR(Таблица4[[#This Row],[СО ПП]]-Таблица4[[#This Row],[СО ДДУ]],"")</f>
        <v>0</v>
      </c>
      <c r="J141" s="233" cm="1">
        <f t="array" ref="J141">IFERROR(INDEX(РД[S],MATCH($B$3&amp;Таблица4[[#This Row],[№]]&amp;"Продажа",РД[Дом]&amp;РД[№ кв]&amp;РД[Состояние],0),1),Таблица4[[#This Row],[Статус]])</f>
        <v>28.97</v>
      </c>
      <c r="K141" s="233">
        <f>VLOOKUP(Таблица4[[#This Row],[№]],Реестр_Д4[],20,0)</f>
        <v>28.97</v>
      </c>
      <c r="L141" s="235">
        <f>IFERROR(Таблица4[[#This Row],[S ПП]]-Таблица4[[#This Row],[S ДДУ]],)</f>
        <v>0</v>
      </c>
      <c r="M141" s="235">
        <f>ROUND(_xlfn.XLOOKUP(Таблица4[[#This Row],[№]],Реестр_Д4[№],Реестр_Д4[Итоговая сумма скидки],"",0),2)</f>
        <v>0</v>
      </c>
      <c r="N141" s="235" cm="1">
        <f t="array" ref="N14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1" s="235">
        <f>IFERROR(Таблица4[[#This Row],[ППС]]-Таблица4[[#This Row],[ДДУС]],)</f>
        <v>0</v>
      </c>
      <c r="P141" s="611"/>
      <c r="Q141" s="234">
        <f>VLOOKUP(ППД5!A138,Реестр_Д5[№],1,0)</f>
        <v>137</v>
      </c>
      <c r="R141" s="234" t="str">
        <f>VLOOKUP(ППД5!CH138,Реестр_Д5[Статус],1,0)</f>
        <v>Продажа</v>
      </c>
      <c r="S141" s="612">
        <f>VLOOKUP(ППД5!BZ138,Реестр_Д5[Стоимость ОН без отделки со скидкой],1,0)</f>
        <v>6618656.8300000001</v>
      </c>
      <c r="T141" s="612" cm="1">
        <f t="array" ref="T141">IFERROR(INDEX(РД[Стоимость без отделки итог],MATCH($Q$3&amp;Таблица10[[#This Row],[№]]&amp;"Продажа",РД[Дом]&amp;РД[№ кв]&amp;РД[Состояние],0),1),Таблица10[[#This Row],[Статус]])</f>
        <v>6618656.8300000001</v>
      </c>
      <c r="U141" s="235">
        <f>IFERROR((Таблица10[[#This Row],[ПП]]-Таблица10[[#This Row],[ДДУ]])*1,)</f>
        <v>0</v>
      </c>
      <c r="V141" s="235" cm="1">
        <f t="array" ref="V141">IFERROR(INDEX(РД[Стоимость с отделкой итог],MATCH($Q$3&amp;Таблица10[[#This Row],[№]]&amp;"Продажа",РД[Дом]&amp;РД[№ кв]&amp;РД[Состояние],0),1),Таблица10[[#This Row],[Статус]])</f>
        <v>7256081.8300000001</v>
      </c>
      <c r="W141" s="235">
        <f>_xlfn.XLOOKUP(Таблица10[[#This Row],[№]],Реестр_Д5[№],Реестр_Д5[Стоимость квартиры с отделкой],"-",0)</f>
        <v>7256081.8300000001</v>
      </c>
      <c r="X141" s="235">
        <f>IFERROR(Таблица10[[#This Row],[СО ПП]]-Таблица10[[#This Row],[СО ДДУ]],"")</f>
        <v>0</v>
      </c>
      <c r="Y141" s="233" cm="1">
        <f t="array" ref="Y141">IFERROR(INDEX(РД[S],MATCH($Q$3&amp;Таблица10[[#This Row],[№]]&amp;"Продажа",РД[Дом]&amp;РД[№ кв]&amp;РД[Состояние],0),1),Таблица10[[#This Row],[Статус]])</f>
        <v>84.99</v>
      </c>
      <c r="Z141" s="233">
        <f>IF(Таблица10[[#This Row],[№]]&amp;"ДДУ"=ППД5!A138&amp;ППД5!CR138,ППД5!U138,ППД5!V138)</f>
        <v>84.99</v>
      </c>
      <c r="AA141" s="285">
        <f>IFERROR(Таблица10[[#This Row],[S ПП]]-Таблица10[[#This Row],[S ДДУ]],)</f>
        <v>0</v>
      </c>
      <c r="AB141" s="235">
        <f>ROUND(_xlfn.XLOOKUP(Таблица10[[#This Row],[№]],Реестр_Д5[№],Реестр_Д5[Итоговая сумма скидки],"",0),2)</f>
        <v>204700.73</v>
      </c>
      <c r="AC141" s="235" cm="1">
        <f t="array" ref="AC141">IFERROR(ROUND(_xlfn.XLOOKUP($Q$3&amp;Таблица10[[#This Row],[№]]&amp;"Продажа",РД[Дом]&amp;РД[№ кв]&amp;РД[Состояние],РД[Сумма скидки],"",0,-1),2),Таблица10[[#This Row],[Статус]])</f>
        <v>204700.73</v>
      </c>
      <c r="AD141" s="285">
        <f>IFERROR(Таблица10[[#This Row],[ППС]]-Таблица10[[#This Row],[ДДУС]],)</f>
        <v>0</v>
      </c>
      <c r="AE141" s="611"/>
      <c r="AT141" s="611"/>
      <c r="AU141" s="484">
        <f>VLOOKUP(ППД402!A138,Д402[],1,0)</f>
        <v>137</v>
      </c>
      <c r="AV141" s="484" t="str">
        <f>_xlfn.XLOOKUP(Т402[[#This Row],[№]],Д402[№],Д402[Статус],"-",0)</f>
        <v>Стр. Резерв</v>
      </c>
      <c r="AW141" s="613">
        <f>_xlfn.XLOOKUP(Т402[[#This Row],[№]],Д402[№],Д402[Стоимость ОН без отделки со скидкой],"-",0)</f>
        <v>7637800</v>
      </c>
      <c r="AX141" s="614" t="str" cm="1">
        <f t="array" ref="AX14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1" s="485" t="str">
        <f>IFERROR((Т402[[#This Row],[ПП]]-Т402[[#This Row],[ДДУ]])*1,"")</f>
        <v/>
      </c>
      <c r="AZ141" s="486" t="str" cm="1">
        <f t="array" ref="AZ14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1" s="485">
        <f>_xlfn.XLOOKUP(Т402[[#This Row],[№]],Д402[№],Д402[Стоимость квартиры с отделкой],"-",0)</f>
        <v>7637800</v>
      </c>
      <c r="BB141" s="485" t="str">
        <f>IFERROR(Т402[[#This Row],[СО ПП]]-Т402[[#This Row],[СО ДДУ]],"")</f>
        <v/>
      </c>
      <c r="BC141" s="487" t="str" cm="1">
        <f t="array" ref="BC141">IFERROR(INDEX(РД[S],MATCH($AU$3&amp;Т402[[#This Row],[№]]&amp;"Продажа",РД[Дом]&amp;РД[№ кв]&amp;РД[Состояние],0),1),Т402[[#This Row],[Статус]])</f>
        <v>Стр. Резерв</v>
      </c>
      <c r="BD141" s="483">
        <f>_xlfn.XLOOKUP(Т402[[#This Row],[№]],Д402[№],Д402[Расчетная проектная площадь],"-",0)</f>
        <v>63.44</v>
      </c>
      <c r="BE141" s="485" t="str">
        <f>IFERROR(Т402[[#This Row],[S ПП]]-Т402[[#This Row],[S ДДУ]],"")</f>
        <v/>
      </c>
      <c r="BF141" s="485">
        <f>_xlfn.XLOOKUP(Т402[[#This Row],[№]],Д402[№],Д402[Итоговая сумма скидки],"-",0)</f>
        <v>0</v>
      </c>
      <c r="BG141" s="486" t="str" cm="1">
        <f t="array" ref="BG14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1" s="488" t="str">
        <f>IFERROR(Т402[[#This Row],[ППС]]-Т402[[#This Row],[ДДУС]],"")</f>
        <v/>
      </c>
    </row>
    <row r="142" spans="1:60" x14ac:dyDescent="0.2">
      <c r="A142" s="611"/>
      <c r="B142" s="234">
        <f>VLOOKUP(ППД4!A139,Реестр_Д4[№],1,0)</f>
        <v>138</v>
      </c>
      <c r="C142" s="234" t="str">
        <f>VLOOKUP(ППД4!CO139,Реестр_Д4[Статус],1,0)</f>
        <v>Продажа</v>
      </c>
      <c r="D142" s="612">
        <f>VLOOKUP(ППД4!CE139,Реестр_Д4[Стоимость ОН без отделки со скидкой],1,0)</f>
        <v>5905033.75</v>
      </c>
      <c r="E142" s="612" cm="1">
        <f t="array" ref="E142">IFERROR(INDEX(РД[Стоимость без отделки итог],MATCH($B$3&amp;Таблица4[[#This Row],[№]]&amp;"Продажа",РД[Дом]&amp;РД[№ кв]&amp;РД[Состояние],0),1),Таблица4[[#This Row],[Статус]])</f>
        <v>5905033.75</v>
      </c>
      <c r="F142" s="235">
        <f>IFERROR((Таблица4[[#This Row],[ПП]]-Таблица4[[#This Row],[ДДУ]])*1,"")</f>
        <v>0</v>
      </c>
      <c r="G142" s="235" cm="1">
        <f t="array" ref="G142">IFERROR(INDEX(РД[Стоимость с отделкой итог],MATCH($B$3&amp;Таблица4[[#This Row],[№]]&amp;"Продажа",РД[Дом]&amp;РД[№ кв]&amp;РД[Состояние],0),1),Таблица4[[#This Row],[Статус]])</f>
        <v>6214408.75</v>
      </c>
      <c r="H142" s="235">
        <f>_xlfn.XLOOKUP(Таблица4[[#This Row],[№]],Реестр_Д4[№],Реестр_Д4[Стоимость квартиры с отделкой],"-",0)</f>
        <v>6214408.75</v>
      </c>
      <c r="I142" s="235">
        <f>IFERROR(Таблица4[[#This Row],[СО ПП]]-Таблица4[[#This Row],[СО ДДУ]],"")</f>
        <v>0</v>
      </c>
      <c r="J142" s="233" cm="1">
        <f t="array" ref="J142">IFERROR(INDEX(РД[S],MATCH($B$3&amp;Таблица4[[#This Row],[№]]&amp;"Продажа",РД[Дом]&amp;РД[№ кв]&amp;РД[Состояние],0),1),Таблица4[[#This Row],[Статус]])</f>
        <v>68.75</v>
      </c>
      <c r="K142" s="233">
        <f>VLOOKUP(Таблица4[[#This Row],[№]],Реестр_Д4[],20,0)</f>
        <v>68.75</v>
      </c>
      <c r="L142" s="235">
        <f>IFERROR(Таблица4[[#This Row],[S ПП]]-Таблица4[[#This Row],[S ДДУ]],)</f>
        <v>0</v>
      </c>
      <c r="M142" s="235">
        <f>ROUND(_xlfn.XLOOKUP(Таблица4[[#This Row],[№]],Реестр_Д4[№],Реестр_Д4[Итоговая сумма скидки],"",0),2)</f>
        <v>0</v>
      </c>
      <c r="N142" s="235" cm="1">
        <f t="array" ref="N14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2" s="235">
        <f>IFERROR(Таблица4[[#This Row],[ППС]]-Таблица4[[#This Row],[ДДУС]],)</f>
        <v>0</v>
      </c>
      <c r="P142" s="611"/>
      <c r="Q142" s="234">
        <f>VLOOKUP(ППД5!A139,Реестр_Д5[№],1,0)</f>
        <v>138</v>
      </c>
      <c r="R142" s="234" t="str">
        <f>VLOOKUP(ППД5!CH139,Реестр_Д5[Статус],1,0)</f>
        <v>Продажа</v>
      </c>
      <c r="S142" s="612">
        <f>VLOOKUP(ППД5!BZ139,Реестр_Д5[Стоимость ОН без отделки со скидкой],1,0)</f>
        <v>4713000</v>
      </c>
      <c r="T142" s="612" cm="1">
        <f t="array" ref="T142">IFERROR(INDEX(РД[Стоимость без отделки итог],MATCH($Q$3&amp;Таблица10[[#This Row],[№]]&amp;"Продажа",РД[Дом]&amp;РД[№ кв]&amp;РД[Состояние],0),1),Таблица10[[#This Row],[Статус]])</f>
        <v>4713000.0000000009</v>
      </c>
      <c r="U142" s="235">
        <f>IFERROR((Таблица10[[#This Row],[ПП]]-Таблица10[[#This Row],[ДДУ]])*1,)</f>
        <v>-9.3132257461547852E-10</v>
      </c>
      <c r="V142" s="235" cm="1">
        <f t="array" ref="V142">IFERROR(INDEX(РД[Стоимость с отделкой итог],MATCH($Q$3&amp;Таблица10[[#This Row],[№]]&amp;"Продажа",РД[Дом]&amp;РД[№ кв]&amp;РД[Состояние],0),1),Таблица10[[#This Row],[Статус]])</f>
        <v>5558600</v>
      </c>
      <c r="W142" s="235">
        <f>_xlfn.XLOOKUP(Таблица10[[#This Row],[№]],Реестр_Д5[№],Реестр_Д5[Стоимость квартиры с отделкой],"-",0)</f>
        <v>5558599.9999999991</v>
      </c>
      <c r="X142" s="235">
        <f>IFERROR(Таблица10[[#This Row],[СО ПП]]-Таблица10[[#This Row],[СО ДДУ]],"")</f>
        <v>-9.3132257461547852E-10</v>
      </c>
      <c r="Y142" s="233" cm="1">
        <f t="array" ref="Y142">IFERROR(INDEX(РД[S],MATCH($Q$3&amp;Таблица10[[#This Row],[№]]&amp;"Продажа",РД[Дом]&amp;РД[№ кв]&amp;РД[Состояние],0),1),Таблица10[[#This Row],[Статус]])</f>
        <v>42.28</v>
      </c>
      <c r="Z142" s="233">
        <f>IF(Таблица10[[#This Row],[№]]&amp;"ДДУ"=ППД5!A139&amp;ППД5!CR139,ППД5!U139,ППД5!V139)</f>
        <v>42.28</v>
      </c>
      <c r="AA142" s="285">
        <f>IFERROR(Таблица10[[#This Row],[S ПП]]-Таблица10[[#This Row],[S ДДУ]],)</f>
        <v>0</v>
      </c>
      <c r="AB142" s="235">
        <f>ROUND(_xlfn.XLOOKUP(Таблица10[[#This Row],[№]],Реестр_Д5[№],Реестр_Д5[Итоговая сумма скидки],"",0),2)</f>
        <v>0</v>
      </c>
      <c r="AC142" s="235" cm="1">
        <f t="array" ref="AC14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42" s="285">
        <f>IFERROR(Таблица10[[#This Row],[ППС]]-Таблица10[[#This Row],[ДДУС]],)</f>
        <v>0</v>
      </c>
      <c r="AE142" s="611"/>
      <c r="AT142" s="611"/>
      <c r="AU142" s="484">
        <f>VLOOKUP(ППД402!A139,Д402[],1,0)</f>
        <v>138</v>
      </c>
      <c r="AV142" s="484" t="str">
        <f>_xlfn.XLOOKUP(Т402[[#This Row],[№]],Д402[№],Д402[Статус],"-",0)</f>
        <v>Продажа</v>
      </c>
      <c r="AW142" s="613">
        <f>_xlfn.XLOOKUP(Т402[[#This Row],[№]],Д402[№],Д402[Стоимость ОН без отделки со скидкой],"-",0)</f>
        <v>6817548</v>
      </c>
      <c r="AX142" s="614" cm="1">
        <f t="array" ref="AX142">IFERROR(INDEX(РД[Стоимость без отделки итог],MATCH($AU$3&amp;Т402[[#This Row],[№]]&amp;"Продажа",РД[Дом]&amp;РД[№ кв]&amp;РД[Состояние],0),1),Т402[[#This Row],[Статус]])</f>
        <v>6817548</v>
      </c>
      <c r="AY142" s="485">
        <f>IFERROR((Т402[[#This Row],[ПП]]-Т402[[#This Row],[ДДУ]])*1,"")</f>
        <v>0</v>
      </c>
      <c r="AZ142" s="486" cm="1">
        <f t="array" ref="AZ142">IFERROR(INDEX(РД[Стоимость с отделкой итог],MATCH($AU$3&amp;Т402[[#This Row],[№]]&amp;"Продажа",РД[Дом]&amp;РД[№ кв]&amp;РД[Состояние],0),1),Т402[[#This Row],[Статус]])</f>
        <v>6817548</v>
      </c>
      <c r="BA142" s="485">
        <f>_xlfn.XLOOKUP(Т402[[#This Row],[№]],Д402[№],Д402[Стоимость квартиры с отделкой],"-",0)</f>
        <v>6817548</v>
      </c>
      <c r="BB142" s="485">
        <f>IFERROR(Т402[[#This Row],[СО ПП]]-Т402[[#This Row],[СО ДДУ]],"")</f>
        <v>0</v>
      </c>
      <c r="BC142" s="487" cm="1">
        <f t="array" ref="BC142">IFERROR(INDEX(РД[S],MATCH($AU$3&amp;Т402[[#This Row],[№]]&amp;"Продажа",РД[Дом]&amp;РД[№ кв]&amp;РД[Состояние],0),1),Т402[[#This Row],[Статус]])</f>
        <v>60.94</v>
      </c>
      <c r="BD142" s="483">
        <f>_xlfn.XLOOKUP(Т402[[#This Row],[№]],Д402[№],Д402[Расчетная проектная площадь],"-",0)</f>
        <v>60.94</v>
      </c>
      <c r="BE142" s="485">
        <f>IFERROR(Т402[[#This Row],[S ПП]]-Т402[[#This Row],[S ДДУ]],"")</f>
        <v>0</v>
      </c>
      <c r="BF142" s="485">
        <f>_xlfn.XLOOKUP(Т402[[#This Row],[№]],Д402[№],Д402[Итоговая сумма скидки],"-",0)</f>
        <v>210852</v>
      </c>
      <c r="BG142" s="486" cm="1">
        <f t="array" ref="BG142">IFERROR(ROUND(_xlfn.XLOOKUP($AU$3&amp;Т402[[#This Row],[№]]&amp;"Продажа",РД[Дом]&amp;РД[№ кв]&amp;РД[Состояние],РД[Сумма скидки],"",0),2),Т402[[#This Row],[Статус]])</f>
        <v>210852</v>
      </c>
      <c r="BH142" s="488">
        <f>IFERROR(Т402[[#This Row],[ППС]]-Т402[[#This Row],[ДДУС]],"")</f>
        <v>0</v>
      </c>
    </row>
    <row r="143" spans="1:60" x14ac:dyDescent="0.2">
      <c r="A143" s="611"/>
      <c r="B143" s="234">
        <f>VLOOKUP(ППД4!A140,Реестр_Д4[№],1,0)</f>
        <v>139</v>
      </c>
      <c r="C143" s="234" t="str">
        <f>VLOOKUP(ППД4!CO140,Реестр_Д4[Статус],1,0)</f>
        <v>Продажа</v>
      </c>
      <c r="D143" s="612">
        <f>VLOOKUP(ППД4!CE140,Реестр_Д4[Стоимость ОН без отделки со скидкой],1,0)</f>
        <v>3071480.38</v>
      </c>
      <c r="E143" s="612" cm="1">
        <f t="array" ref="E143">IFERROR(INDEX(РД[Стоимость без отделки итог],MATCH($B$3&amp;Таблица4[[#This Row],[№]]&amp;"Продажа",РД[Дом]&amp;РД[№ кв]&amp;РД[Состояние],0),1),Таблица4[[#This Row],[Статус]])</f>
        <v>3071480.38</v>
      </c>
      <c r="F143" s="235">
        <f>IFERROR((Таблица4[[#This Row],[ПП]]-Таблица4[[#This Row],[ДДУ]])*1,"")</f>
        <v>0</v>
      </c>
      <c r="G143" s="235" cm="1">
        <f t="array" ref="G143">IFERROR(INDEX(РД[Стоимость с отделкой итог],MATCH($B$3&amp;Таблица4[[#This Row],[№]]&amp;"Продажа",РД[Дом]&amp;РД[№ кв]&amp;РД[Состояние],0),1),Таблица4[[#This Row],[Статус]])</f>
        <v>3071480.38</v>
      </c>
      <c r="H143" s="235">
        <f>_xlfn.XLOOKUP(Таблица4[[#This Row],[№]],Реестр_Д4[№],Реестр_Д4[Стоимость квартиры с отделкой],"-",0)</f>
        <v>3071480.38</v>
      </c>
      <c r="I143" s="235">
        <f>IFERROR(Таблица4[[#This Row],[СО ПП]]-Таблица4[[#This Row],[СО ДДУ]],"")</f>
        <v>0</v>
      </c>
      <c r="J143" s="233" cm="1">
        <f t="array" ref="J143">IFERROR(INDEX(РД[S],MATCH($B$3&amp;Таблица4[[#This Row],[№]]&amp;"Продажа",РД[Дом]&amp;РД[№ кв]&amp;РД[Состояние],0),1),Таблица4[[#This Row],[Статус]])</f>
        <v>35.380000000000003</v>
      </c>
      <c r="K143" s="233">
        <f>VLOOKUP(Таблица4[[#This Row],[№]],Реестр_Д4[],20,0)</f>
        <v>35.380000000000003</v>
      </c>
      <c r="L143" s="235">
        <f>IFERROR(Таблица4[[#This Row],[S ПП]]-Таблица4[[#This Row],[S ДДУ]],)</f>
        <v>0</v>
      </c>
      <c r="M143" s="235">
        <f>ROUND(_xlfn.XLOOKUP(Таблица4[[#This Row],[№]],Реестр_Д4[№],Реестр_Д4[Итоговая сумма скидки],"",0),2)</f>
        <v>0</v>
      </c>
      <c r="N143" s="235" cm="1">
        <f t="array" ref="N14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3" s="235">
        <f>IFERROR(Таблица4[[#This Row],[ППС]]-Таблица4[[#This Row],[ДДУС]],)</f>
        <v>0</v>
      </c>
      <c r="P143" s="611"/>
      <c r="Q143" s="234">
        <f>VLOOKUP(ППД5!A140,Реестр_Д5[№],1,0)</f>
        <v>139</v>
      </c>
      <c r="R143" s="234" t="str">
        <f>VLOOKUP(ППД5!CH140,Реестр_Д5[Статус],1,0)</f>
        <v>Продажа</v>
      </c>
      <c r="S143" s="612">
        <f>VLOOKUP(ППД5!BZ140,Реестр_Д5[Стоимость ОН без отделки со скидкой],1,0)</f>
        <v>5857400</v>
      </c>
      <c r="T143" s="612" cm="1">
        <f t="array" ref="T143">IFERROR(INDEX(РД[Стоимость без отделки итог],MATCH($Q$3&amp;Таблица10[[#This Row],[№]]&amp;"Продажа",РД[Дом]&amp;РД[№ кв]&amp;РД[Состояние],0),1),Таблица10[[#This Row],[Статус]])</f>
        <v>5857400</v>
      </c>
      <c r="U143" s="235">
        <f>IFERROR((Таблица10[[#This Row],[ПП]]-Таблица10[[#This Row],[ДДУ]])*1,)</f>
        <v>0</v>
      </c>
      <c r="V143" s="235" cm="1">
        <f t="array" ref="V143">IFERROR(INDEX(РД[Стоимость с отделкой итог],MATCH($Q$3&amp;Таблица10[[#This Row],[№]]&amp;"Продажа",РД[Дом]&amp;РД[№ кв]&amp;РД[Состояние],0),1),Таблица10[[#This Row],[Статус]])</f>
        <v>6278940</v>
      </c>
      <c r="W143" s="235">
        <f>_xlfn.XLOOKUP(Таблица10[[#This Row],[№]],Реестр_Д5[№],Реестр_Д5[Стоимость квартиры с отделкой],"-",0)</f>
        <v>6278940</v>
      </c>
      <c r="X143" s="235">
        <f>IFERROR(Таблица10[[#This Row],[СО ПП]]-Таблица10[[#This Row],[СО ДДУ]],"")</f>
        <v>0</v>
      </c>
      <c r="Y143" s="233" cm="1">
        <f t="array" ref="Y143">IFERROR(INDEX(РД[S],MATCH($Q$3&amp;Таблица10[[#This Row],[№]]&amp;"Продажа",РД[Дом]&amp;РД[№ кв]&amp;РД[Состояние],0),1),Таблица10[[#This Row],[Статус]])</f>
        <v>60.22</v>
      </c>
      <c r="Z143" s="233">
        <f>IF(Таблица10[[#This Row],[№]]&amp;"ДДУ"=ППД5!A140&amp;ППД5!CR140,ППД5!U140,ППД5!V140)</f>
        <v>60.22</v>
      </c>
      <c r="AA143" s="285">
        <f>IFERROR(Таблица10[[#This Row],[S ПП]]-Таблица10[[#This Row],[S ДДУ]],)</f>
        <v>0</v>
      </c>
      <c r="AB143" s="235">
        <f>ROUND(_xlfn.XLOOKUP(Таблица10[[#This Row],[№]],Реестр_Д5[№],Реестр_Д5[Итоговая сумма скидки],"",0),2)</f>
        <v>0</v>
      </c>
      <c r="AC143" s="235" cm="1">
        <f t="array" ref="AC14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43" s="285">
        <f>IFERROR(Таблица10[[#This Row],[ППС]]-Таблица10[[#This Row],[ДДУС]],)</f>
        <v>0</v>
      </c>
      <c r="AE143" s="611"/>
      <c r="AT143" s="611"/>
      <c r="AU143" s="484">
        <f>VLOOKUP(ППД402!A140,Д402[],1,0)</f>
        <v>139</v>
      </c>
      <c r="AV143" s="484" t="str">
        <f>_xlfn.XLOOKUP(Т402[[#This Row],[№]],Д402[№],Д402[Статус],"-",0)</f>
        <v>Стр. Резерв</v>
      </c>
      <c r="AW143" s="613">
        <f>_xlfn.XLOOKUP(Т402[[#This Row],[№]],Д402[№],Д402[Стоимость ОН без отделки со скидкой],"-",0)</f>
        <v>7845500</v>
      </c>
      <c r="AX143" s="614" t="str" cm="1">
        <f t="array" ref="AX14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3" s="485" t="str">
        <f>IFERROR((Т402[[#This Row],[ПП]]-Т402[[#This Row],[ДДУ]])*1,"")</f>
        <v/>
      </c>
      <c r="AZ143" s="486" t="str" cm="1">
        <f t="array" ref="AZ14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3" s="485">
        <f>_xlfn.XLOOKUP(Т402[[#This Row],[№]],Д402[№],Д402[Стоимость квартиры с отделкой],"-",0)</f>
        <v>7845500</v>
      </c>
      <c r="BB143" s="485" t="str">
        <f>IFERROR(Т402[[#This Row],[СО ПП]]-Т402[[#This Row],[СО ДДУ]],"")</f>
        <v/>
      </c>
      <c r="BC143" s="487" t="str" cm="1">
        <f t="array" ref="BC143">IFERROR(INDEX(РД[S],MATCH($AU$3&amp;Т402[[#This Row],[№]]&amp;"Продажа",РД[Дом]&amp;РД[№ кв]&amp;РД[Состояние],0),1),Т402[[#This Row],[Статус]])</f>
        <v>Стр. Резерв</v>
      </c>
      <c r="BD143" s="483">
        <f>_xlfn.XLOOKUP(Т402[[#This Row],[№]],Д402[№],Д402[Расчетная проектная площадь],"-",0)</f>
        <v>65.72</v>
      </c>
      <c r="BE143" s="485" t="str">
        <f>IFERROR(Т402[[#This Row],[S ПП]]-Т402[[#This Row],[S ДДУ]],"")</f>
        <v/>
      </c>
      <c r="BF143" s="485">
        <f>_xlfn.XLOOKUP(Т402[[#This Row],[№]],Д402[№],Д402[Итоговая сумма скидки],"-",0)</f>
        <v>0</v>
      </c>
      <c r="BG143" s="486" t="str" cm="1">
        <f t="array" ref="BG14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3" s="488" t="str">
        <f>IFERROR(Т402[[#This Row],[ППС]]-Т402[[#This Row],[ДДУС]],"")</f>
        <v/>
      </c>
    </row>
    <row r="144" spans="1:60" x14ac:dyDescent="0.2">
      <c r="A144" s="611"/>
      <c r="B144" s="234">
        <f>VLOOKUP(ППД4!A141,Реестр_Д4[№],1,0)</f>
        <v>140</v>
      </c>
      <c r="C144" s="234" t="str">
        <f>VLOOKUP(ППД4!CO141,Реестр_Д4[Статус],1,0)</f>
        <v>Продажа</v>
      </c>
      <c r="D144" s="612">
        <f>VLOOKUP(ППД4!CE141,Реестр_Д4[Стоимость ОН без отделки со скидкой],1,0)</f>
        <v>3148591.3</v>
      </c>
      <c r="E144" s="612" cm="1">
        <f t="array" ref="E144">IFERROR(INDEX(РД[Стоимость без отделки итог],MATCH($B$3&amp;Таблица4[[#This Row],[№]]&amp;"Продажа",РД[Дом]&amp;РД[№ кв]&amp;РД[Состояние],0),1),Таблица4[[#This Row],[Статус]])</f>
        <v>3148591.3</v>
      </c>
      <c r="F144" s="235">
        <f>IFERROR((Таблица4[[#This Row],[ПП]]-Таблица4[[#This Row],[ДДУ]])*1,"")</f>
        <v>0</v>
      </c>
      <c r="G144" s="235" cm="1">
        <f t="array" ref="G144">IFERROR(INDEX(РД[Стоимость с отделкой итог],MATCH($B$3&amp;Таблица4[[#This Row],[№]]&amp;"Продажа",РД[Дом]&amp;РД[№ кв]&amp;РД[Состояние],0),1),Таблица4[[#This Row],[Статус]])</f>
        <v>3299831.3</v>
      </c>
      <c r="H144" s="235">
        <f>_xlfn.XLOOKUP(Таблица4[[#This Row],[№]],Реестр_Д4[№],Реестр_Д4[Стоимость квартиры с отделкой],"-",0)</f>
        <v>3299831.3</v>
      </c>
      <c r="I144" s="235">
        <f>IFERROR(Таблица4[[#This Row],[СО ПП]]-Таблица4[[#This Row],[СО ДДУ]],"")</f>
        <v>0</v>
      </c>
      <c r="J144" s="233" cm="1">
        <f t="array" ref="J144">IFERROR(INDEX(РД[S],MATCH($B$3&amp;Таблица4[[#This Row],[№]]&amp;"Продажа",РД[Дом]&amp;РД[№ кв]&amp;РД[Состояние],0),1),Таблица4[[#This Row],[Статус]])</f>
        <v>37.81</v>
      </c>
      <c r="K144" s="233">
        <f>VLOOKUP(Таблица4[[#This Row],[№]],Реестр_Д4[],20,0)</f>
        <v>37.81</v>
      </c>
      <c r="L144" s="235">
        <f>IFERROR(Таблица4[[#This Row],[S ПП]]-Таблица4[[#This Row],[S ДДУ]],)</f>
        <v>0</v>
      </c>
      <c r="M144" s="235">
        <f>ROUND(_xlfn.XLOOKUP(Таблица4[[#This Row],[№]],Реестр_Д4[№],Реестр_Д4[Итоговая сумма скидки],"",0),2)</f>
        <v>165715.32999999999</v>
      </c>
      <c r="N144" s="235" cm="1">
        <f t="array" ref="N144">IFERROR(ROUND(_xlfn.XLOOKUP($B$3&amp;Таблица4[[#This Row],[№]]&amp;"Продажа",РД[Дом]&amp;РД[№ кв]&amp;РД[Состояние],РД[Сумма скидки],"",0),2),Таблица4[[#This Row],[Статус]])</f>
        <v>165715.32999999999</v>
      </c>
      <c r="O144" s="235">
        <f>IFERROR(Таблица4[[#This Row],[ППС]]-Таблица4[[#This Row],[ДДУС]],)</f>
        <v>0</v>
      </c>
      <c r="P144" s="611"/>
      <c r="Q144" s="234">
        <f>VLOOKUP(ППД5!A141,Реестр_Д5[№],1,0)</f>
        <v>140</v>
      </c>
      <c r="R144" s="234" t="str">
        <f>VLOOKUP(ППД5!CH141,Реестр_Д5[Статус],1,0)</f>
        <v>Продажа</v>
      </c>
      <c r="S144" s="612">
        <f>VLOOKUP(ППД5!BZ141,Реестр_Д5[Стоимость ОН без отделки со скидкой],1,0)</f>
        <v>3442060</v>
      </c>
      <c r="T144" s="612" cm="1">
        <f t="array" ref="T144">IFERROR(INDEX(РД[Стоимость без отделки итог],MATCH($Q$3&amp;Таблица10[[#This Row],[№]]&amp;"Продажа",РД[Дом]&amp;РД[№ кв]&amp;РД[Состояние],0),1),Таблица10[[#This Row],[Статус]])</f>
        <v>3442060</v>
      </c>
      <c r="U144" s="235">
        <f>IFERROR((Таблица10[[#This Row],[ПП]]-Таблица10[[#This Row],[ДДУ]])*1,)</f>
        <v>0</v>
      </c>
      <c r="V144" s="235" cm="1">
        <f t="array" ref="V144">IFERROR(INDEX(РД[Стоимость с отделкой итог],MATCH($Q$3&amp;Таблица10[[#This Row],[№]]&amp;"Продажа",РД[Дом]&amp;РД[№ кв]&amp;РД[Состояние],0),1),Таблица10[[#This Row],[Статус]])</f>
        <v>3442060</v>
      </c>
      <c r="W144" s="235">
        <f>_xlfn.XLOOKUP(Таблица10[[#This Row],[№]],Реестр_Д5[№],Реестр_Д5[Стоимость квартиры с отделкой],"-",0)</f>
        <v>3442060</v>
      </c>
      <c r="X144" s="235">
        <f>IFERROR(Таблица10[[#This Row],[СО ПП]]-Таблица10[[#This Row],[СО ДДУ]],"")</f>
        <v>0</v>
      </c>
      <c r="Y144" s="233" cm="1">
        <f t="array" ref="Y144">IFERROR(INDEX(РД[S],MATCH($Q$3&amp;Таблица10[[#This Row],[№]]&amp;"Продажа",РД[Дом]&amp;РД[№ кв]&amp;РД[Состояние],0),1),Таблица10[[#This Row],[Статус]])</f>
        <v>24.28</v>
      </c>
      <c r="Z144" s="233">
        <f>IF(Таблица10[[#This Row],[№]]&amp;"ДДУ"=ППД5!A141&amp;ППД5!CR141,ППД5!U141,ППД5!V141)</f>
        <v>24.28</v>
      </c>
      <c r="AA144" s="285">
        <f>IFERROR(Таблица10[[#This Row],[S ПП]]-Таблица10[[#This Row],[S ДДУ]],)</f>
        <v>0</v>
      </c>
      <c r="AB144" s="235">
        <f>ROUND(_xlfn.XLOOKUP(Таблица10[[#This Row],[№]],Реестр_Д5[№],Реестр_Д5[Итоговая сумма скидки],"",0),2)</f>
        <v>194240</v>
      </c>
      <c r="AC144" s="235" cm="1">
        <f t="array" ref="AC144">IFERROR(ROUND(_xlfn.XLOOKUP($Q$3&amp;Таблица10[[#This Row],[№]]&amp;"Продажа",РД[Дом]&amp;РД[№ кв]&amp;РД[Состояние],РД[Сумма скидки],"",0,-1),2),Таблица10[[#This Row],[Статус]])</f>
        <v>194240</v>
      </c>
      <c r="AD144" s="285">
        <f>IFERROR(Таблица10[[#This Row],[ППС]]-Таблица10[[#This Row],[ДДУС]],)</f>
        <v>0</v>
      </c>
      <c r="AE144" s="611"/>
      <c r="AT144" s="611"/>
      <c r="AU144" s="484">
        <f>VLOOKUP(ППД402!A141,Д402[],1,0)</f>
        <v>140</v>
      </c>
      <c r="AV144" s="484" t="str">
        <f>_xlfn.XLOOKUP(Т402[[#This Row],[№]],Д402[№],Д402[Статус],"-",0)</f>
        <v>Стр. Резерв</v>
      </c>
      <c r="AW144" s="613">
        <f>_xlfn.XLOOKUP(Т402[[#This Row],[№]],Д402[№],Д402[Стоимость ОН без отделки со скидкой],"-",0)</f>
        <v>4796100</v>
      </c>
      <c r="AX144" s="614" t="str" cm="1">
        <f t="array" ref="AX14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4" s="485" t="str">
        <f>IFERROR((Т402[[#This Row],[ПП]]-Т402[[#This Row],[ДДУ]])*1,"")</f>
        <v/>
      </c>
      <c r="AZ144" s="486" t="str" cm="1">
        <f t="array" ref="AZ14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4" s="485">
        <f>_xlfn.XLOOKUP(Т402[[#This Row],[№]],Д402[№],Д402[Стоимость квартиры с отделкой],"-",0)</f>
        <v>4796100</v>
      </c>
      <c r="BB144" s="485" t="str">
        <f>IFERROR(Т402[[#This Row],[СО ПП]]-Т402[[#This Row],[СО ДДУ]],"")</f>
        <v/>
      </c>
      <c r="BC144" s="487" t="str" cm="1">
        <f t="array" ref="BC144">IFERROR(INDEX(РД[S],MATCH($AU$3&amp;Т402[[#This Row],[№]]&amp;"Продажа",РД[Дом]&amp;РД[№ кв]&amp;РД[Состояние],0),1),Т402[[#This Row],[Статус]])</f>
        <v>Стр. Резерв</v>
      </c>
      <c r="BD144" s="483">
        <f>_xlfn.XLOOKUP(Т402[[#This Row],[№]],Д402[№],Д402[Расчетная проектная площадь],"-",0)</f>
        <v>36.630000000000003</v>
      </c>
      <c r="BE144" s="485" t="str">
        <f>IFERROR(Т402[[#This Row],[S ПП]]-Т402[[#This Row],[S ДДУ]],"")</f>
        <v/>
      </c>
      <c r="BF144" s="485">
        <f>_xlfn.XLOOKUP(Т402[[#This Row],[№]],Д402[№],Д402[Итоговая сумма скидки],"-",0)</f>
        <v>0</v>
      </c>
      <c r="BG144" s="486" t="str" cm="1">
        <f t="array" ref="BG14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4" s="488" t="str">
        <f>IFERROR(Т402[[#This Row],[ППС]]-Т402[[#This Row],[ДДУС]],"")</f>
        <v/>
      </c>
    </row>
    <row r="145" spans="1:60" x14ac:dyDescent="0.2">
      <c r="A145" s="611"/>
      <c r="B145" s="234">
        <f>VLOOKUP(ППД4!A142,Реестр_Д4[№],1,0)</f>
        <v>141</v>
      </c>
      <c r="C145" s="234" t="str">
        <f>VLOOKUP(ППД4!CO142,Реестр_Д4[Статус],1,0)</f>
        <v>Продажа</v>
      </c>
      <c r="D145" s="612">
        <f>VLOOKUP(ППД4!CE142,Реестр_Д4[Стоимость ОН без отделки со скидкой],1,0)</f>
        <v>2805348</v>
      </c>
      <c r="E145" s="612" cm="1">
        <f t="array" ref="E145">IFERROR(INDEX(РД[Стоимость без отделки итог],MATCH($B$3&amp;Таблица4[[#This Row],[№]]&amp;"Продажа",РД[Дом]&amp;РД[№ кв]&amp;РД[Состояние],0),1),Таблица4[[#This Row],[Статус]])</f>
        <v>2805348</v>
      </c>
      <c r="F145" s="235">
        <f>IFERROR((Таблица4[[#This Row],[ПП]]-Таблица4[[#This Row],[ДДУ]])*1,"")</f>
        <v>0</v>
      </c>
      <c r="G145" s="235" cm="1">
        <f t="array" ref="G145">IFERROR(INDEX(РД[Стоимость с отделкой итог],MATCH($B$3&amp;Таблица4[[#This Row],[№]]&amp;"Продажа",РД[Дом]&amp;РД[№ кв]&amp;РД[Состояние],0),1),Таблица4[[#This Row],[Статус]])</f>
        <v>2805348</v>
      </c>
      <c r="H145" s="235">
        <f>_xlfn.XLOOKUP(Таблица4[[#This Row],[№]],Реестр_Д4[№],Реестр_Д4[Стоимость квартиры с отделкой],"-",0)</f>
        <v>2805348</v>
      </c>
      <c r="I145" s="235">
        <f>IFERROR(Таблица4[[#This Row],[СО ПП]]-Таблица4[[#This Row],[СО ДДУ]],"")</f>
        <v>0</v>
      </c>
      <c r="J145" s="233" cm="1">
        <f t="array" ref="J145">IFERROR(INDEX(РД[S],MATCH($B$3&amp;Таблица4[[#This Row],[№]]&amp;"Продажа",РД[Дом]&amp;РД[№ кв]&amp;РД[Состояние],0),1),Таблица4[[#This Row],[Статус]])</f>
        <v>36.700000000000003</v>
      </c>
      <c r="K145" s="233">
        <f>VLOOKUP(Таблица4[[#This Row],[№]],Реестр_Д4[],20,0)</f>
        <v>36.700000000000003</v>
      </c>
      <c r="L145" s="235">
        <f>IFERROR(Таблица4[[#This Row],[S ПП]]-Таблица4[[#This Row],[S ДДУ]],)</f>
        <v>0</v>
      </c>
      <c r="M145" s="235">
        <f>ROUND(_xlfn.XLOOKUP(Таблица4[[#This Row],[№]],Реестр_Д4[№],Реестр_Д4[Итоговая сумма скидки],"",0),2)</f>
        <v>0</v>
      </c>
      <c r="N145" s="235" cm="1">
        <f t="array" ref="N14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5" s="235">
        <f>IFERROR(Таблица4[[#This Row],[ППС]]-Таблица4[[#This Row],[ДДУС]],)</f>
        <v>0</v>
      </c>
      <c r="P145" s="611"/>
      <c r="Q145" s="234">
        <f>VLOOKUP(ППД5!A142,Реестр_Д5[№],1,0)</f>
        <v>141</v>
      </c>
      <c r="R145" s="234" t="str">
        <f>VLOOKUP(ППД5!CH142,Реестр_Д5[Статус],1,0)</f>
        <v>Продажа</v>
      </c>
      <c r="S145" s="612">
        <f>VLOOKUP(ППД5!BZ142,Реестр_Д5[Стоимость ОН без отделки со скидкой],1,0)</f>
        <v>4876600</v>
      </c>
      <c r="T145" s="612" cm="1">
        <f t="array" ref="T145">IFERROR(INDEX(РД[Стоимость без отделки итог],MATCH($Q$3&amp;Таблица10[[#This Row],[№]]&amp;"Продажа",РД[Дом]&amp;РД[№ кв]&amp;РД[Состояние],0),1),Таблица10[[#This Row],[Статус]])</f>
        <v>4876600</v>
      </c>
      <c r="U145" s="235">
        <f>IFERROR((Таблица10[[#This Row],[ПП]]-Таблица10[[#This Row],[ДДУ]])*1,)</f>
        <v>0</v>
      </c>
      <c r="V145" s="235" cm="1">
        <f t="array" ref="V145">IFERROR(INDEX(РД[Стоимость с отделкой итог],MATCH($Q$3&amp;Таблица10[[#This Row],[№]]&amp;"Продажа",РД[Дом]&amp;РД[№ кв]&amp;РД[Состояние],0),1),Таблица10[[#This Row],[Статус]])</f>
        <v>4876600</v>
      </c>
      <c r="W145" s="235">
        <f>_xlfn.XLOOKUP(Таблица10[[#This Row],[№]],Реестр_Д5[№],Реестр_Д5[Стоимость квартиры с отделкой],"-",0)</f>
        <v>4876600</v>
      </c>
      <c r="X145" s="235">
        <f>IFERROR(Таблица10[[#This Row],[СО ПП]]-Таблица10[[#This Row],[СО ДДУ]],"")</f>
        <v>0</v>
      </c>
      <c r="Y145" s="233" cm="1">
        <f t="array" ref="Y145">IFERROR(INDEX(РД[S],MATCH($Q$3&amp;Таблица10[[#This Row],[№]]&amp;"Продажа",РД[Дом]&amp;РД[№ кв]&amp;РД[Состояние],0),1),Таблица10[[#This Row],[Статус]])</f>
        <v>57.6</v>
      </c>
      <c r="Z145" s="233">
        <f>IF(Таблица10[[#This Row],[№]]&amp;"ДДУ"=ППД5!A142&amp;ППД5!CR142,ППД5!U142,ППД5!V142)</f>
        <v>57.6</v>
      </c>
      <c r="AA145" s="285">
        <f>IFERROR(Таблица10[[#This Row],[S ПП]]-Таблица10[[#This Row],[S ДДУ]],)</f>
        <v>0</v>
      </c>
      <c r="AB145" s="235">
        <f>ROUND(_xlfn.XLOOKUP(Таблица10[[#This Row],[№]],Реестр_Д5[№],Реестр_Д5[Итоговая сумма скидки],"",0),2)</f>
        <v>30000</v>
      </c>
      <c r="AC145" s="235" cm="1">
        <f t="array" ref="AC145">IFERROR(ROUND(_xlfn.XLOOKUP($Q$3&amp;Таблица10[[#This Row],[№]]&amp;"Продажа",РД[Дом]&amp;РД[№ кв]&amp;РД[Состояние],РД[Сумма скидки],"",0,-1),2),Таблица10[[#This Row],[Статус]])</f>
        <v>30000</v>
      </c>
      <c r="AD145" s="285">
        <f>IFERROR(Таблица10[[#This Row],[ППС]]-Таблица10[[#This Row],[ДДУС]],)</f>
        <v>0</v>
      </c>
      <c r="AE145" s="611"/>
      <c r="AT145" s="611"/>
      <c r="AU145" s="484">
        <f>VLOOKUP(ППД402!A142,Д402[],1,0)</f>
        <v>141</v>
      </c>
      <c r="AV145" s="484" t="str">
        <f>_xlfn.XLOOKUP(Т402[[#This Row],[№]],Д402[№],Д402[Статус],"-",0)</f>
        <v>Стр. Резерв</v>
      </c>
      <c r="AW145" s="613">
        <f>_xlfn.XLOOKUP(Т402[[#This Row],[№]],Д402[№],Д402[Стоимость ОН без отделки со скидкой],"-",0)</f>
        <v>4240900</v>
      </c>
      <c r="AX145" s="614" t="str" cm="1">
        <f t="array" ref="AX14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5" s="485" t="str">
        <f>IFERROR((Т402[[#This Row],[ПП]]-Т402[[#This Row],[ДДУ]])*1,"")</f>
        <v/>
      </c>
      <c r="AZ145" s="486" t="str" cm="1">
        <f t="array" ref="AZ14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5" s="485">
        <f>_xlfn.XLOOKUP(Т402[[#This Row],[№]],Д402[№],Д402[Стоимость квартиры с отделкой],"-",0)</f>
        <v>4240900</v>
      </c>
      <c r="BB145" s="485" t="str">
        <f>IFERROR(Т402[[#This Row],[СО ПП]]-Т402[[#This Row],[СО ДДУ]],"")</f>
        <v/>
      </c>
      <c r="BC145" s="487" t="str" cm="1">
        <f t="array" ref="BC145">IFERROR(INDEX(РД[S],MATCH($AU$3&amp;Т402[[#This Row],[№]]&amp;"Продажа",РД[Дом]&amp;РД[№ кв]&amp;РД[Состояние],0),1),Т402[[#This Row],[Статус]])</f>
        <v>Стр. Резерв</v>
      </c>
      <c r="BD145" s="483">
        <f>_xlfn.XLOOKUP(Т402[[#This Row],[№]],Д402[№],Д402[Расчетная проектная площадь],"-",0)</f>
        <v>29.5</v>
      </c>
      <c r="BE145" s="485" t="str">
        <f>IFERROR(Т402[[#This Row],[S ПП]]-Т402[[#This Row],[S ДДУ]],"")</f>
        <v/>
      </c>
      <c r="BF145" s="485">
        <f>_xlfn.XLOOKUP(Т402[[#This Row],[№]],Д402[№],Д402[Итоговая сумма скидки],"-",0)</f>
        <v>0</v>
      </c>
      <c r="BG145" s="486" t="str" cm="1">
        <f t="array" ref="BG14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5" s="488" t="str">
        <f>IFERROR(Т402[[#This Row],[ППС]]-Т402[[#This Row],[ДДУС]],"")</f>
        <v/>
      </c>
    </row>
    <row r="146" spans="1:60" x14ac:dyDescent="0.2">
      <c r="A146" s="611"/>
      <c r="B146" s="234">
        <f>VLOOKUP(ППД4!A143,Реестр_Д4[№],1,0)</f>
        <v>142</v>
      </c>
      <c r="C146" s="234" t="str">
        <f>VLOOKUP(ППД4!CO143,Реестр_Д4[Статус],1,0)</f>
        <v>Продажа</v>
      </c>
      <c r="D146" s="612">
        <f>VLOOKUP(ППД4!CE143,Реестр_Д4[Стоимость ОН без отделки со скидкой],1,0)</f>
        <v>3478062.88</v>
      </c>
      <c r="E146" s="612" cm="1">
        <f t="array" ref="E146">IFERROR(INDEX(РД[Стоимость без отделки итог],MATCH($B$3&amp;Таблица4[[#This Row],[№]]&amp;"Продажа",РД[Дом]&amp;РД[№ кв]&amp;РД[Состояние],0),1),Таблица4[[#This Row],[Статус]])</f>
        <v>3478062.88</v>
      </c>
      <c r="F146" s="235">
        <f>IFERROR((Таблица4[[#This Row],[ПП]]-Таблица4[[#This Row],[ДДУ]])*1,"")</f>
        <v>0</v>
      </c>
      <c r="G146" s="235" cm="1">
        <f t="array" ref="G146">IFERROR(INDEX(РД[Стоимость с отделкой итог],MATCH($B$3&amp;Таблица4[[#This Row],[№]]&amp;"Продажа",РД[Дом]&amp;РД[№ кв]&amp;РД[Состояние],0),1),Таблица4[[#This Row],[Статус]])</f>
        <v>3478062.88</v>
      </c>
      <c r="H146" s="235">
        <f>_xlfn.XLOOKUP(Таблица4[[#This Row],[№]],Реестр_Д4[№],Реестр_Д4[Стоимость квартиры с отделкой],"-",0)</f>
        <v>3478062.88</v>
      </c>
      <c r="I146" s="235">
        <f>IFERROR(Таблица4[[#This Row],[СО ПП]]-Таблица4[[#This Row],[СО ДДУ]],"")</f>
        <v>0</v>
      </c>
      <c r="J146" s="233" cm="1">
        <f t="array" ref="J146">IFERROR(INDEX(РД[S],MATCH($B$3&amp;Таблица4[[#This Row],[№]]&amp;"Продажа",РД[Дом]&amp;РД[№ кв]&amp;РД[Состояние],0),1),Таблица4[[#This Row],[Статус]])</f>
        <v>36.659999999999997</v>
      </c>
      <c r="K146" s="233">
        <f>VLOOKUP(Таблица4[[#This Row],[№]],Реестр_Д4[],20,0)</f>
        <v>36.659999999999997</v>
      </c>
      <c r="L146" s="235">
        <f>IFERROR(Таблица4[[#This Row],[S ПП]]-Таблица4[[#This Row],[S ДДУ]],)</f>
        <v>0</v>
      </c>
      <c r="M146" s="235">
        <f>ROUND(_xlfn.XLOOKUP(Таблица4[[#This Row],[№]],Реестр_Д4[№],Реестр_Д4[Итоговая сумма скидки],"",0),2)</f>
        <v>0</v>
      </c>
      <c r="N146" s="235" cm="1">
        <f t="array" ref="N14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6" s="235">
        <f>IFERROR(Таблица4[[#This Row],[ППС]]-Таблица4[[#This Row],[ДДУС]],)</f>
        <v>0</v>
      </c>
      <c r="P146" s="611"/>
      <c r="Q146" s="234">
        <f>VLOOKUP(ППД5!A143,Реестр_Д5[№],1,0)</f>
        <v>142</v>
      </c>
      <c r="R146" s="234" t="str">
        <f>VLOOKUP(ППД5!CH143,Реестр_Д5[Статус],1,0)</f>
        <v>Продажа</v>
      </c>
      <c r="S146" s="612">
        <f>VLOOKUP(ППД5!BZ143,Реестр_Д5[Стоимость ОН без отделки со скидкой],1,0)</f>
        <v>6017600</v>
      </c>
      <c r="T146" s="612" cm="1">
        <f t="array" ref="T146">IFERROR(INDEX(РД[Стоимость без отделки итог],MATCH($Q$3&amp;Таблица10[[#This Row],[№]]&amp;"Продажа",РД[Дом]&amp;РД[№ кв]&amp;РД[Состояние],0),1),Таблица10[[#This Row],[Статус]])</f>
        <v>6017600</v>
      </c>
      <c r="U146" s="235">
        <f>IFERROR((Таблица10[[#This Row],[ПП]]-Таблица10[[#This Row],[ДДУ]])*1,)</f>
        <v>0</v>
      </c>
      <c r="V146" s="235" cm="1">
        <f t="array" ref="V146">IFERROR(INDEX(РД[Стоимость с отделкой итог],MATCH($Q$3&amp;Таблица10[[#This Row],[№]]&amp;"Продажа",РД[Дом]&amp;РД[№ кв]&amp;РД[Состояние],0),1),Таблица10[[#This Row],[Статус]])</f>
        <v>6017600</v>
      </c>
      <c r="W146" s="235">
        <f>_xlfn.XLOOKUP(Таблица10[[#This Row],[№]],Реестр_Д5[№],Реестр_Д5[Стоимость квартиры с отделкой],"-",0)</f>
        <v>6017600</v>
      </c>
      <c r="X146" s="235">
        <f>IFERROR(Таблица10[[#This Row],[СО ПП]]-Таблица10[[#This Row],[СО ДДУ]],"")</f>
        <v>0</v>
      </c>
      <c r="Y146" s="233" cm="1">
        <f t="array" ref="Y146">IFERROR(INDEX(РД[S],MATCH($Q$3&amp;Таблица10[[#This Row],[№]]&amp;"Продажа",РД[Дом]&amp;РД[№ кв]&amp;РД[Состояние],0),1),Таблица10[[#This Row],[Статус]])</f>
        <v>58.31</v>
      </c>
      <c r="Z146" s="233">
        <f>IF(Таблица10[[#This Row],[№]]&amp;"ДДУ"=ППД5!A143&amp;ППД5!CR143,ППД5!U143,ППД5!V143)</f>
        <v>58.31</v>
      </c>
      <c r="AA146" s="285">
        <f>IFERROR(Таблица10[[#This Row],[S ПП]]-Таблица10[[#This Row],[S ДДУ]],)</f>
        <v>0</v>
      </c>
      <c r="AB146" s="235">
        <f>ROUND(_xlfn.XLOOKUP(Таблица10[[#This Row],[№]],Реестр_Д5[№],Реестр_Д5[Итоговая сумма скидки],"",0),2)</f>
        <v>0</v>
      </c>
      <c r="AC146" s="235" cm="1">
        <f t="array" ref="AC14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46" s="285">
        <f>IFERROR(Таблица10[[#This Row],[ППС]]-Таблица10[[#This Row],[ДДУС]],)</f>
        <v>0</v>
      </c>
      <c r="AE146" s="611"/>
      <c r="AT146" s="611"/>
      <c r="AU146" s="484">
        <f>VLOOKUP(ППД402!A143,Д402[],1,0)</f>
        <v>142</v>
      </c>
      <c r="AV146" s="484" t="str">
        <f>_xlfn.XLOOKUP(Т402[[#This Row],[№]],Д402[№],Д402[Статус],"-",0)</f>
        <v>Стр. Резерв</v>
      </c>
      <c r="AW146" s="613">
        <f>_xlfn.XLOOKUP(Т402[[#This Row],[№]],Д402[№],Д402[Стоимость ОН без отделки со скидкой],"-",0)</f>
        <v>4023800</v>
      </c>
      <c r="AX146" s="614" t="str" cm="1">
        <f t="array" ref="AX14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6" s="485" t="str">
        <f>IFERROR((Т402[[#This Row],[ПП]]-Т402[[#This Row],[ДДУ]])*1,"")</f>
        <v/>
      </c>
      <c r="AZ146" s="486" t="str" cm="1">
        <f t="array" ref="AZ14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6" s="485">
        <f>_xlfn.XLOOKUP(Т402[[#This Row],[№]],Д402[№],Д402[Стоимость квартиры с отделкой],"-",0)</f>
        <v>4023800.0000000009</v>
      </c>
      <c r="BB146" s="485" t="str">
        <f>IFERROR(Т402[[#This Row],[СО ПП]]-Т402[[#This Row],[СО ДДУ]],"")</f>
        <v/>
      </c>
      <c r="BC146" s="487" t="str" cm="1">
        <f t="array" ref="BC146">IFERROR(INDEX(РД[S],MATCH($AU$3&amp;Т402[[#This Row],[№]]&amp;"Продажа",РД[Дом]&amp;РД[№ кв]&amp;РД[Состояние],0),1),Т402[[#This Row],[Статус]])</f>
        <v>Стр. Резерв</v>
      </c>
      <c r="BD146" s="483">
        <f>_xlfn.XLOOKUP(Т402[[#This Row],[№]],Д402[№],Д402[Расчетная проектная площадь],"-",0)</f>
        <v>27.99</v>
      </c>
      <c r="BE146" s="485" t="str">
        <f>IFERROR(Т402[[#This Row],[S ПП]]-Т402[[#This Row],[S ДДУ]],"")</f>
        <v/>
      </c>
      <c r="BF146" s="485">
        <f>_xlfn.XLOOKUP(Т402[[#This Row],[№]],Д402[№],Д402[Итоговая сумма скидки],"-",0)</f>
        <v>0</v>
      </c>
      <c r="BG146" s="486" t="str" cm="1">
        <f t="array" ref="BG14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6" s="488" t="str">
        <f>IFERROR(Т402[[#This Row],[ППС]]-Т402[[#This Row],[ДДУС]],"")</f>
        <v/>
      </c>
    </row>
    <row r="147" spans="1:60" x14ac:dyDescent="0.2">
      <c r="A147" s="611"/>
      <c r="B147" s="234">
        <f>VLOOKUP(ППД4!A144,Реестр_Д4[№],1,0)</f>
        <v>143</v>
      </c>
      <c r="C147" s="234" t="str">
        <f>VLOOKUP(ППД4!CO144,Реестр_Д4[Статус],1,0)</f>
        <v>Продажа</v>
      </c>
      <c r="D147" s="612">
        <f>VLOOKUP(ППД4!CE144,Реестр_Д4[Стоимость ОН без отделки со скидкой],1,0)</f>
        <v>5418827.2199999997</v>
      </c>
      <c r="E147" s="612" cm="1">
        <f t="array" ref="E147">IFERROR(INDEX(РД[Стоимость без отделки итог],MATCH($B$3&amp;Таблица4[[#This Row],[№]]&amp;"Продажа",РД[Дом]&amp;РД[№ кв]&amp;РД[Состояние],0),1),Таблица4[[#This Row],[Статус]])</f>
        <v>5418827.2199999997</v>
      </c>
      <c r="F147" s="235">
        <f>IFERROR((Таблица4[[#This Row],[ПП]]-Таблица4[[#This Row],[ДДУ]])*1,"")</f>
        <v>0</v>
      </c>
      <c r="G147" s="235" cm="1">
        <f t="array" ref="G147">IFERROR(INDEX(РД[Стоимость с отделкой итог],MATCH($B$3&amp;Таблица4[[#This Row],[№]]&amp;"Продажа",РД[Дом]&amp;РД[№ кв]&amp;РД[Состояние],0),1),Таблица4[[#This Row],[Статус]])</f>
        <v>5418827.2199999997</v>
      </c>
      <c r="H147" s="235">
        <f>_xlfn.XLOOKUP(Таблица4[[#This Row],[№]],Реестр_Д4[№],Реестр_Д4[Стоимость квартиры с отделкой],"-",0)</f>
        <v>5418827.2199999997</v>
      </c>
      <c r="I147" s="235">
        <f>IFERROR(Таблица4[[#This Row],[СО ПП]]-Таблица4[[#This Row],[СО ДДУ]],"")</f>
        <v>0</v>
      </c>
      <c r="J147" s="233" cm="1">
        <f t="array" ref="J147">IFERROR(INDEX(РД[S],MATCH($B$3&amp;Таблица4[[#This Row],[№]]&amp;"Продажа",РД[Дом]&amp;РД[№ кв]&amp;РД[Состояние],0),1),Таблица4[[#This Row],[Статус]])</f>
        <v>78.73</v>
      </c>
      <c r="K147" s="233">
        <f>VLOOKUP(Таблица4[[#This Row],[№]],Реестр_Д4[],20,0)</f>
        <v>78.73</v>
      </c>
      <c r="L147" s="235">
        <f>IFERROR(Таблица4[[#This Row],[S ПП]]-Таблица4[[#This Row],[S ДДУ]],)</f>
        <v>0</v>
      </c>
      <c r="M147" s="235">
        <f>ROUND(_xlfn.XLOOKUP(Таблица4[[#This Row],[№]],Реестр_Д4[№],Реестр_Д4[Итоговая сумма скидки],"",0),2)</f>
        <v>285201.43</v>
      </c>
      <c r="N147" s="235" cm="1">
        <f t="array" ref="N147">IFERROR(ROUND(_xlfn.XLOOKUP($B$3&amp;Таблица4[[#This Row],[№]]&amp;"Продажа",РД[Дом]&amp;РД[№ кв]&amp;РД[Состояние],РД[Сумма скидки],"",0),2),Таблица4[[#This Row],[Статус]])</f>
        <v>285201.43</v>
      </c>
      <c r="O147" s="235">
        <f>IFERROR(Таблица4[[#This Row],[ППС]]-Таблица4[[#This Row],[ДДУС]],)</f>
        <v>0</v>
      </c>
      <c r="P147" s="611"/>
      <c r="Q147" s="234">
        <f>VLOOKUP(ППД5!A144,Реестр_Д5[№],1,0)</f>
        <v>143</v>
      </c>
      <c r="R147" s="234" t="str">
        <f>VLOOKUP(ППД5!CH144,Реестр_Д5[Статус],1,0)</f>
        <v>Свободно</v>
      </c>
      <c r="S147" s="612">
        <f>VLOOKUP(ППД5!BZ144,Реестр_Д5[Стоимость ОН без отделки со скидкой],1,0)</f>
        <v>5286000</v>
      </c>
      <c r="T147" s="612" t="str" cm="1">
        <f t="array" ref="T14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47" s="235">
        <f>IFERROR((Таблица10[[#This Row],[ПП]]-Таблица10[[#This Row],[ДДУ]])*1,)</f>
        <v>0</v>
      </c>
      <c r="V147" s="235" t="str" cm="1">
        <f t="array" ref="V14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47" s="235">
        <f>_xlfn.XLOOKUP(Таблица10[[#This Row],[№]],Реестр_Д5[№],Реестр_Д5[Стоимость квартиры с отделкой],"-",0)</f>
        <v>5663000</v>
      </c>
      <c r="X147" s="235" t="str">
        <f>IFERROR(Таблица10[[#This Row],[СО ПП]]-Таблица10[[#This Row],[СО ДДУ]],"")</f>
        <v/>
      </c>
      <c r="Y147" s="233" t="str" cm="1">
        <f t="array" ref="Y147">IFERROR(INDEX(РД[S],MATCH($Q$3&amp;Таблица10[[#This Row],[№]]&amp;"Продажа",РД[Дом]&amp;РД[№ кв]&amp;РД[Состояние],0),1),Таблица10[[#This Row],[Статус]])</f>
        <v>Свободно</v>
      </c>
      <c r="Z147" s="233">
        <f>IF(Таблица10[[#This Row],[№]]&amp;"ДДУ"=ППД5!A144&amp;ППД5!CR144,ППД5!U144,ППД5!V144)</f>
        <v>37.700000000000003</v>
      </c>
      <c r="AA147" s="285">
        <f>IFERROR(Таблица10[[#This Row],[S ПП]]-Таблица10[[#This Row],[S ДДУ]],)</f>
        <v>0</v>
      </c>
      <c r="AB147" s="235">
        <f>ROUND(_xlfn.XLOOKUP(Таблица10[[#This Row],[№]],Реестр_Д5[№],Реестр_Д5[Итоговая сумма скидки],"",0),2)</f>
        <v>0</v>
      </c>
      <c r="AC147" s="235" t="str" cm="1">
        <f t="array" ref="AC14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47" s="285">
        <f>IFERROR(Таблица10[[#This Row],[ППС]]-Таблица10[[#This Row],[ДДУС]],)</f>
        <v>0</v>
      </c>
      <c r="AE147" s="611"/>
      <c r="AT147" s="611"/>
      <c r="AU147" s="484">
        <f>VLOOKUP(ППД402!A144,Д402[],1,0)</f>
        <v>143</v>
      </c>
      <c r="AV147" s="484" t="str">
        <f>_xlfn.XLOOKUP(Т402[[#This Row],[№]],Д402[№],Д402[Статус],"-",0)</f>
        <v>Свободно</v>
      </c>
      <c r="AW147" s="613">
        <f>_xlfn.XLOOKUP(Т402[[#This Row],[№]],Д402[№],Д402[Стоимость ОН без отделки со скидкой],"-",0)</f>
        <v>7489300</v>
      </c>
      <c r="AX147" s="614" t="str" cm="1">
        <f t="array" ref="AX147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47" s="485" t="str">
        <f>IFERROR((Т402[[#This Row],[ПП]]-Т402[[#This Row],[ДДУ]])*1,"")</f>
        <v/>
      </c>
      <c r="AZ147" s="486" t="str" cm="1">
        <f t="array" ref="AZ147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47" s="485">
        <f>_xlfn.XLOOKUP(Т402[[#This Row],[№]],Д402[№],Д402[Стоимость квартиры с отделкой],"-",0)</f>
        <v>9392500</v>
      </c>
      <c r="BB147" s="485" t="str">
        <f>IFERROR(Т402[[#This Row],[СО ПП]]-Т402[[#This Row],[СО ДДУ]],"")</f>
        <v/>
      </c>
      <c r="BC147" s="487" t="str" cm="1">
        <f t="array" ref="BC147">IFERROR(INDEX(РД[S],MATCH($AU$3&amp;Т402[[#This Row],[№]]&amp;"Продажа",РД[Дом]&amp;РД[№ кв]&amp;РД[Состояние],0),1),Т402[[#This Row],[Статус]])</f>
        <v>Свободно</v>
      </c>
      <c r="BD147" s="483">
        <f>_xlfn.XLOOKUP(Т402[[#This Row],[№]],Д402[№],Д402[Расчетная проектная площадь],"-",0)</f>
        <v>63.44</v>
      </c>
      <c r="BE147" s="485" t="str">
        <f>IFERROR(Т402[[#This Row],[S ПП]]-Т402[[#This Row],[S ДДУ]],"")</f>
        <v/>
      </c>
      <c r="BF147" s="485">
        <f>_xlfn.XLOOKUP(Т402[[#This Row],[№]],Д402[№],Д402[Итоговая сумма скидки],"-",0)</f>
        <v>0</v>
      </c>
      <c r="BG147" s="486" t="str" cm="1">
        <f t="array" ref="BG147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47" s="488" t="str">
        <f>IFERROR(Т402[[#This Row],[ППС]]-Т402[[#This Row],[ДДУС]],"")</f>
        <v/>
      </c>
    </row>
    <row r="148" spans="1:60" x14ac:dyDescent="0.2">
      <c r="A148" s="611"/>
      <c r="B148" s="234">
        <f>VLOOKUP(ППД4!A145,Реестр_Д4[№],1,0)</f>
        <v>144</v>
      </c>
      <c r="C148" s="234" t="str">
        <f>VLOOKUP(ППД4!CO145,Реестр_Д4[Статус],1,0)</f>
        <v>Продажа</v>
      </c>
      <c r="D148" s="612">
        <f>VLOOKUP(ППД4!CE145,Реестр_Д4[Стоимость ОН без отделки со скидкой],1,0)</f>
        <v>2785013.69</v>
      </c>
      <c r="E148" s="612" cm="1">
        <f t="array" ref="E148">IFERROR(INDEX(РД[Стоимость без отделки итог],MATCH($B$3&amp;Таблица4[[#This Row],[№]]&amp;"Продажа",РД[Дом]&amp;РД[№ кв]&amp;РД[Состояние],0),1),Таблица4[[#This Row],[Статус]])</f>
        <v>2785013.69</v>
      </c>
      <c r="F148" s="235">
        <f>IFERROR((Таблица4[[#This Row],[ПП]]-Таблица4[[#This Row],[ДДУ]])*1,"")</f>
        <v>0</v>
      </c>
      <c r="G148" s="235" cm="1">
        <f t="array" ref="G148">IFERROR(INDEX(РД[Стоимость с отделкой итог],MATCH($B$3&amp;Таблица4[[#This Row],[№]]&amp;"Продажа",РД[Дом]&amp;РД[№ кв]&amp;РД[Состояние],0),1),Таблица4[[#This Row],[Статус]])</f>
        <v>2920173.69</v>
      </c>
      <c r="H148" s="235">
        <f>_xlfn.XLOOKUP(Таблица4[[#This Row],[№]],Реестр_Д4[№],Реестр_Д4[Стоимость квартиры с отделкой],"-",0)</f>
        <v>2920173.69</v>
      </c>
      <c r="I148" s="235">
        <f>IFERROR(Таблица4[[#This Row],[СО ПП]]-Таблица4[[#This Row],[СО ДДУ]],"")</f>
        <v>0</v>
      </c>
      <c r="J148" s="233" cm="1">
        <f t="array" ref="J148">IFERROR(INDEX(РД[S],MATCH($B$3&amp;Таблица4[[#This Row],[№]]&amp;"Продажа",РД[Дом]&amp;РД[№ кв]&amp;РД[Состояние],0),1),Таблица4[[#This Row],[Статус]])</f>
        <v>33.79</v>
      </c>
      <c r="K148" s="233">
        <f>VLOOKUP(Таблица4[[#This Row],[№]],Реестр_Д4[],20,0)</f>
        <v>33.79</v>
      </c>
      <c r="L148" s="235">
        <f>IFERROR(Таблица4[[#This Row],[S ПП]]-Таблица4[[#This Row],[S ДДУ]],)</f>
        <v>0</v>
      </c>
      <c r="M148" s="235">
        <f>ROUND(_xlfn.XLOOKUP(Таблица4[[#This Row],[№]],Реестр_Д4[№],Реестр_Д4[Итоговая сумма скидки],"",0),2)</f>
        <v>177766.83</v>
      </c>
      <c r="N148" s="235" cm="1">
        <f t="array" ref="N148">IFERROR(ROUND(_xlfn.XLOOKUP($B$3&amp;Таблица4[[#This Row],[№]]&amp;"Продажа",РД[Дом]&amp;РД[№ кв]&amp;РД[Состояние],РД[Сумма скидки],"",0),2),Таблица4[[#This Row],[Статус]])</f>
        <v>177766.83</v>
      </c>
      <c r="O148" s="235">
        <f>IFERROR(Таблица4[[#This Row],[ППС]]-Таблица4[[#This Row],[ДДУС]],)</f>
        <v>0</v>
      </c>
      <c r="P148" s="611"/>
      <c r="Q148" s="234">
        <f>VLOOKUP(ППД5!A145,Реестр_Д5[№],1,0)</f>
        <v>144</v>
      </c>
      <c r="R148" s="234" t="str">
        <f>VLOOKUP(ППД5!CH145,Реестр_Д5[Статус],1,0)</f>
        <v>Свободно</v>
      </c>
      <c r="S148" s="612">
        <f>VLOOKUP(ППД5!BZ145,Реестр_Д5[Стоимость ОН без отделки со скидкой],1,0)</f>
        <v>9376800</v>
      </c>
      <c r="T148" s="612" t="str" cm="1">
        <f t="array" ref="T14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48" s="235">
        <f>IFERROR((Таблица10[[#This Row],[ПП]]-Таблица10[[#This Row],[ДДУ]])*1,)</f>
        <v>0</v>
      </c>
      <c r="V148" s="235" t="str" cm="1">
        <f t="array" ref="V14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48" s="235">
        <f>_xlfn.XLOOKUP(Таблица10[[#This Row],[№]],Реестр_Д5[№],Реестр_Д5[Стоимость квартиры с отделкой],"-",0)</f>
        <v>9376800</v>
      </c>
      <c r="X148" s="235" t="str">
        <f>IFERROR(Таблица10[[#This Row],[СО ПП]]-Таблица10[[#This Row],[СО ДДУ]],"")</f>
        <v/>
      </c>
      <c r="Y148" s="233" t="str" cm="1">
        <f t="array" ref="Y148">IFERROR(INDEX(РД[S],MATCH($Q$3&amp;Таблица10[[#This Row],[№]]&amp;"Продажа",РД[Дом]&amp;РД[№ кв]&amp;РД[Состояние],0),1),Таблица10[[#This Row],[Статус]])</f>
        <v>Свободно</v>
      </c>
      <c r="Z148" s="233">
        <f>IF(Таблица10[[#This Row],[№]]&amp;"ДДУ"=ППД5!A145&amp;ППД5!CR145,ППД5!U145,ППД5!V145)</f>
        <v>84.45</v>
      </c>
      <c r="AA148" s="285">
        <f>IFERROR(Таблица10[[#This Row],[S ПП]]-Таблица10[[#This Row],[S ДДУ]],)</f>
        <v>0</v>
      </c>
      <c r="AB148" s="235">
        <f>ROUND(_xlfn.XLOOKUP(Таблица10[[#This Row],[№]],Реестр_Д5[№],Реестр_Д5[Итоговая сумма скидки],"",0),2)</f>
        <v>0</v>
      </c>
      <c r="AC148" s="235" t="str" cm="1">
        <f t="array" ref="AC14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48" s="285">
        <f>IFERROR(Таблица10[[#This Row],[ППС]]-Таблица10[[#This Row],[ДДУС]],)</f>
        <v>0</v>
      </c>
      <c r="AE148" s="611"/>
      <c r="AT148" s="611"/>
      <c r="AU148" s="484">
        <f>VLOOKUP(ППД402!A145,Д402[],1,0)</f>
        <v>144</v>
      </c>
      <c r="AV148" s="484" t="str">
        <f>_xlfn.XLOOKUP(Т402[[#This Row],[№]],Д402[№],Д402[Статус],"-",0)</f>
        <v>Стр. Резерв</v>
      </c>
      <c r="AW148" s="613">
        <f>_xlfn.XLOOKUP(Т402[[#This Row],[№]],Д402[№],Д402[Стоимость ОН без отделки со скидкой],"-",0)</f>
        <v>7432800</v>
      </c>
      <c r="AX148" s="614" t="str" cm="1">
        <f t="array" ref="AX14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8" s="485" t="str">
        <f>IFERROR((Т402[[#This Row],[ПП]]-Т402[[#This Row],[ДДУ]])*1,"")</f>
        <v/>
      </c>
      <c r="AZ148" s="486" t="str" cm="1">
        <f t="array" ref="AZ14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8" s="485">
        <f>_xlfn.XLOOKUP(Т402[[#This Row],[№]],Д402[№],Д402[Стоимость квартиры с отделкой],"-",0)</f>
        <v>7432800</v>
      </c>
      <c r="BB148" s="485" t="str">
        <f>IFERROR(Т402[[#This Row],[СО ПП]]-Т402[[#This Row],[СО ДДУ]],"")</f>
        <v/>
      </c>
      <c r="BC148" s="487" t="str" cm="1">
        <f t="array" ref="BC148">IFERROR(INDEX(РД[S],MATCH($AU$3&amp;Т402[[#This Row],[№]]&amp;"Продажа",РД[Дом]&amp;РД[№ кв]&amp;РД[Состояние],0),1),Т402[[#This Row],[Статус]])</f>
        <v>Стр. Резерв</v>
      </c>
      <c r="BD148" s="483">
        <f>_xlfn.XLOOKUP(Т402[[#This Row],[№]],Д402[№],Д402[Расчетная проектная площадь],"-",0)</f>
        <v>60.94</v>
      </c>
      <c r="BE148" s="485" t="str">
        <f>IFERROR(Т402[[#This Row],[S ПП]]-Т402[[#This Row],[S ДДУ]],"")</f>
        <v/>
      </c>
      <c r="BF148" s="485">
        <f>_xlfn.XLOOKUP(Т402[[#This Row],[№]],Д402[№],Д402[Итоговая сумма скидки],"-",0)</f>
        <v>0</v>
      </c>
      <c r="BG148" s="486" t="str" cm="1">
        <f t="array" ref="BG14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8" s="488" t="str">
        <f>IFERROR(Т402[[#This Row],[ППС]]-Т402[[#This Row],[ДДУС]],"")</f>
        <v/>
      </c>
    </row>
    <row r="149" spans="1:60" x14ac:dyDescent="0.2">
      <c r="A149" s="611"/>
      <c r="B149" s="234">
        <f>VLOOKUP(ППД4!A146,Реестр_Д4[№],1,0)</f>
        <v>145</v>
      </c>
      <c r="C149" s="234" t="str">
        <f>VLOOKUP(ППД4!CO146,Реестр_Д4[Статус],1,0)</f>
        <v>Продажа</v>
      </c>
      <c r="D149" s="612">
        <f>VLOOKUP(ППД4!CE146,Реестр_Д4[Стоимость ОН без отделки со скидкой],1,0)</f>
        <v>2299638.6</v>
      </c>
      <c r="E149" s="612" cm="1">
        <f t="array" ref="E149">IFERROR(INDEX(РД[Стоимость без отделки итог],MATCH($B$3&amp;Таблица4[[#This Row],[№]]&amp;"Продажа",РД[Дом]&amp;РД[№ кв]&amp;РД[Состояние],0),1),Таблица4[[#This Row],[Статус]])</f>
        <v>2299638.6</v>
      </c>
      <c r="F149" s="235">
        <f>IFERROR((Таблица4[[#This Row],[ПП]]-Таблица4[[#This Row],[ДДУ]])*1,"")</f>
        <v>0</v>
      </c>
      <c r="G149" s="235" cm="1">
        <f t="array" ref="G149">IFERROR(INDEX(РД[Стоимость с отделкой итог],MATCH($B$3&amp;Таблица4[[#This Row],[№]]&amp;"Продажа",РД[Дом]&amp;РД[№ кв]&amp;РД[Состояние],0),1),Таблица4[[#This Row],[Статус]])</f>
        <v>2516913.6</v>
      </c>
      <c r="H149" s="235">
        <f>_xlfn.XLOOKUP(Таблица4[[#This Row],[№]],Реестр_Д4[№],Реестр_Д4[Стоимость квартиры с отделкой],"-",0)</f>
        <v>2516913.6</v>
      </c>
      <c r="I149" s="235">
        <f>IFERROR(Таблица4[[#This Row],[СО ПП]]-Таблица4[[#This Row],[СО ДДУ]],"")</f>
        <v>0</v>
      </c>
      <c r="J149" s="233" cm="1">
        <f t="array" ref="J149">IFERROR(INDEX(РД[S],MATCH($B$3&amp;Таблица4[[#This Row],[№]]&amp;"Продажа",РД[Дом]&amp;РД[№ кв]&amp;РД[Состояние],0),1),Таблица4[[#This Row],[Статус]])</f>
        <v>28.97</v>
      </c>
      <c r="K149" s="233">
        <f>VLOOKUP(Таблица4[[#This Row],[№]],Реестр_Д4[],20,0)</f>
        <v>28.97</v>
      </c>
      <c r="L149" s="235">
        <f>IFERROR(Таблица4[[#This Row],[S ПП]]-Таблица4[[#This Row],[S ДДУ]],)</f>
        <v>0</v>
      </c>
      <c r="M149" s="235">
        <f>ROUND(_xlfn.XLOOKUP(Таблица4[[#This Row],[№]],Реестр_Д4[№],Реестр_Д4[Итоговая сумма скидки],"",0),2)</f>
        <v>0</v>
      </c>
      <c r="N149" s="235" cm="1">
        <f t="array" ref="N14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49" s="235">
        <f>IFERROR(Таблица4[[#This Row],[ППС]]-Таблица4[[#This Row],[ДДУС]],)</f>
        <v>0</v>
      </c>
      <c r="P149" s="611"/>
      <c r="Q149" s="234">
        <f>VLOOKUP(ППД5!A146,Реестр_Д5[№],1,0)</f>
        <v>145</v>
      </c>
      <c r="R149" s="234" t="str">
        <f>VLOOKUP(ППД5!CH146,Реестр_Д5[Статус],1,0)</f>
        <v>Продажа</v>
      </c>
      <c r="S149" s="612">
        <f>VLOOKUP(ППД5!BZ146,Реестр_Д5[Стоимость ОН без отделки со скидкой],1,0)</f>
        <v>4150000</v>
      </c>
      <c r="T149" s="612" cm="1">
        <f t="array" ref="T149">IFERROR(INDEX(РД[Стоимость без отделки итог],MATCH($Q$3&amp;Таблица10[[#This Row],[№]]&amp;"Продажа",РД[Дом]&amp;РД[№ кв]&amp;РД[Состояние],0),1),Таблица10[[#This Row],[Статус]])</f>
        <v>4150000</v>
      </c>
      <c r="U149" s="235">
        <f>IFERROR((Таблица10[[#This Row],[ПП]]-Таблица10[[#This Row],[ДДУ]])*1,)</f>
        <v>0</v>
      </c>
      <c r="V149" s="235" cm="1">
        <f t="array" ref="V149">IFERROR(INDEX(РД[Стоимость с отделкой итог],MATCH($Q$3&amp;Таблица10[[#This Row],[№]]&amp;"Продажа",РД[Дом]&amp;РД[№ кв]&amp;РД[Состояние],0),1),Таблица10[[#This Row],[Статус]])</f>
        <v>4150000</v>
      </c>
      <c r="W149" s="235">
        <f>_xlfn.XLOOKUP(Таблица10[[#This Row],[№]],Реестр_Д5[№],Реестр_Д5[Стоимость квартиры с отделкой],"-",0)</f>
        <v>4150000</v>
      </c>
      <c r="X149" s="235">
        <f>IFERROR(Таблица10[[#This Row],[СО ПП]]-Таблица10[[#This Row],[СО ДДУ]],"")</f>
        <v>0</v>
      </c>
      <c r="Y149" s="233" cm="1">
        <f t="array" ref="Y149">IFERROR(INDEX(РД[S],MATCH($Q$3&amp;Таблица10[[#This Row],[№]]&amp;"Продажа",РД[Дом]&amp;РД[№ кв]&amp;РД[Состояние],0),1),Таблица10[[#This Row],[Статус]])</f>
        <v>42.28</v>
      </c>
      <c r="Z149" s="233">
        <f>IF(Таблица10[[#This Row],[№]]&amp;"ДДУ"=ППД5!A146&amp;ППД5!CR146,ППД5!U146,ППД5!V146)</f>
        <v>42.28</v>
      </c>
      <c r="AA149" s="285">
        <f>IFERROR(Таблица10[[#This Row],[S ПП]]-Таблица10[[#This Row],[S ДДУ]],)</f>
        <v>0</v>
      </c>
      <c r="AB149" s="235">
        <f>ROUND(_xlfn.XLOOKUP(Таблица10[[#This Row],[№]],Реестр_Д5[№],Реестр_Д5[Итоговая сумма скидки],"",0),2)</f>
        <v>544800</v>
      </c>
      <c r="AC149" s="235" cm="1">
        <f t="array" ref="AC149">IFERROR(ROUND(_xlfn.XLOOKUP($Q$3&amp;Таблица10[[#This Row],[№]]&amp;"Продажа",РД[Дом]&amp;РД[№ кв]&amp;РД[Состояние],РД[Сумма скидки],"",0,-1),2),Таблица10[[#This Row],[Статус]])</f>
        <v>544800</v>
      </c>
      <c r="AD149" s="285">
        <f>IFERROR(Таблица10[[#This Row],[ППС]]-Таблица10[[#This Row],[ДДУС]],)</f>
        <v>0</v>
      </c>
      <c r="AE149" s="611"/>
      <c r="AT149" s="611"/>
      <c r="AU149" s="484">
        <f>VLOOKUP(ППД402!A146,Д402[],1,0)</f>
        <v>145</v>
      </c>
      <c r="AV149" s="484" t="str">
        <f>_xlfn.XLOOKUP(Т402[[#This Row],[№]],Д402[№],Д402[Статус],"-",0)</f>
        <v>Стр. Резерв</v>
      </c>
      <c r="AW149" s="613">
        <f>_xlfn.XLOOKUP(Т402[[#This Row],[№]],Д402[№],Д402[Стоимость ОН без отделки со скидкой],"-",0)</f>
        <v>7994900</v>
      </c>
      <c r="AX149" s="614" t="str" cm="1">
        <f t="array" ref="AX14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49" s="485" t="str">
        <f>IFERROR((Т402[[#This Row],[ПП]]-Т402[[#This Row],[ДДУ]])*1,"")</f>
        <v/>
      </c>
      <c r="AZ149" s="486" t="str" cm="1">
        <f t="array" ref="AZ14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49" s="485">
        <f>_xlfn.XLOOKUP(Т402[[#This Row],[№]],Д402[№],Д402[Стоимость квартиры с отделкой],"-",0)</f>
        <v>7994900</v>
      </c>
      <c r="BB149" s="485" t="str">
        <f>IFERROR(Т402[[#This Row],[СО ПП]]-Т402[[#This Row],[СО ДДУ]],"")</f>
        <v/>
      </c>
      <c r="BC149" s="487" t="str" cm="1">
        <f t="array" ref="BC149">IFERROR(INDEX(РД[S],MATCH($AU$3&amp;Т402[[#This Row],[№]]&amp;"Продажа",РД[Дом]&amp;РД[№ кв]&amp;РД[Состояние],0),1),Т402[[#This Row],[Статус]])</f>
        <v>Стр. Резерв</v>
      </c>
      <c r="BD149" s="483">
        <f>_xlfn.XLOOKUP(Т402[[#This Row],[№]],Д402[№],Д402[Расчетная проектная площадь],"-",0)</f>
        <v>65.72</v>
      </c>
      <c r="BE149" s="485" t="str">
        <f>IFERROR(Т402[[#This Row],[S ПП]]-Т402[[#This Row],[S ДДУ]],"")</f>
        <v/>
      </c>
      <c r="BF149" s="485">
        <f>_xlfn.XLOOKUP(Т402[[#This Row],[№]],Д402[№],Д402[Итоговая сумма скидки],"-",0)</f>
        <v>0</v>
      </c>
      <c r="BG149" s="486" t="str" cm="1">
        <f t="array" ref="BG14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49" s="488" t="str">
        <f>IFERROR(Т402[[#This Row],[ППС]]-Т402[[#This Row],[ДДУС]],"")</f>
        <v/>
      </c>
    </row>
    <row r="150" spans="1:60" x14ac:dyDescent="0.2">
      <c r="A150" s="611"/>
      <c r="B150" s="234">
        <f>VLOOKUP(ППД4!A147,Реестр_Д4[№],1,0)</f>
        <v>146</v>
      </c>
      <c r="C150" s="234" t="str">
        <f>VLOOKUP(ППД4!CO147,Реестр_Д4[Статус],1,0)</f>
        <v>Продажа</v>
      </c>
      <c r="D150" s="612">
        <f>VLOOKUP(ППД4!CE147,Реестр_Д4[Стоимость ОН без отделки со скидкой],1,0)</f>
        <v>6025868.75</v>
      </c>
      <c r="E150" s="612" cm="1">
        <f t="array" ref="E150">IFERROR(INDEX(РД[Стоимость без отделки итог],MATCH($B$3&amp;Таблица4[[#This Row],[№]]&amp;"Продажа",РД[Дом]&amp;РД[№ кв]&amp;РД[Состояние],0),1),Таблица4[[#This Row],[Статус]])</f>
        <v>6025868.75</v>
      </c>
      <c r="F150" s="235">
        <f>IFERROR((Таблица4[[#This Row],[ПП]]-Таблица4[[#This Row],[ДДУ]])*1,"")</f>
        <v>0</v>
      </c>
      <c r="G150" s="235" cm="1">
        <f t="array" ref="G150">IFERROR(INDEX(РД[Стоимость с отделкой итог],MATCH($B$3&amp;Таблица4[[#This Row],[№]]&amp;"Продажа",РД[Дом]&amp;РД[№ кв]&amp;РД[Состояние],0),1),Таблица4[[#This Row],[Статус]])</f>
        <v>6025868.75</v>
      </c>
      <c r="H150" s="235">
        <f>_xlfn.XLOOKUP(Таблица4[[#This Row],[№]],Реестр_Д4[№],Реестр_Д4[Стоимость квартиры с отделкой],"-",0)</f>
        <v>6025868.75</v>
      </c>
      <c r="I150" s="235">
        <f>IFERROR(Таблица4[[#This Row],[СО ПП]]-Таблица4[[#This Row],[СО ДДУ]],"")</f>
        <v>0</v>
      </c>
      <c r="J150" s="233" cm="1">
        <f t="array" ref="J150">IFERROR(INDEX(РД[S],MATCH($B$3&amp;Таблица4[[#This Row],[№]]&amp;"Продажа",РД[Дом]&amp;РД[№ кв]&amp;РД[Состояние],0),1),Таблица4[[#This Row],[Статус]])</f>
        <v>68.75</v>
      </c>
      <c r="K150" s="233">
        <f>VLOOKUP(Таблица4[[#This Row],[№]],Реестр_Д4[],20,0)</f>
        <v>68.75</v>
      </c>
      <c r="L150" s="235">
        <f>IFERROR(Таблица4[[#This Row],[S ПП]]-Таблица4[[#This Row],[S ДДУ]],)</f>
        <v>0</v>
      </c>
      <c r="M150" s="235">
        <f>ROUND(_xlfn.XLOOKUP(Таблица4[[#This Row],[№]],Реестр_Д4[№],Реестр_Д4[Итоговая сумма скидки],"",0),2)</f>
        <v>0</v>
      </c>
      <c r="N150" s="235" cm="1">
        <f t="array" ref="N15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0" s="235">
        <f>IFERROR(Таблица4[[#This Row],[ППС]]-Таблица4[[#This Row],[ДДУС]],)</f>
        <v>0</v>
      </c>
      <c r="P150" s="611"/>
      <c r="Q150" s="234">
        <f>VLOOKUP(ППД5!A147,Реестр_Д5[№],1,0)</f>
        <v>146</v>
      </c>
      <c r="R150" s="234" t="str">
        <f>VLOOKUP(ППД5!CH147,Реестр_Д5[Статус],1,0)</f>
        <v>Свободно</v>
      </c>
      <c r="S150" s="612">
        <f>VLOOKUP(ППД5!BZ147,Реестр_Д5[Стоимость ОН без отделки со скидкой],1,0)</f>
        <v>7387200</v>
      </c>
      <c r="T150" s="612" t="str" cm="1">
        <f t="array" ref="T15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50" s="235">
        <f>IFERROR((Таблица10[[#This Row],[ПП]]-Таблица10[[#This Row],[ДДУ]])*1,)</f>
        <v>0</v>
      </c>
      <c r="V150" s="235" t="str" cm="1">
        <f t="array" ref="V15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50" s="235">
        <f>_xlfn.XLOOKUP(Таблица10[[#This Row],[№]],Реестр_Д5[№],Реестр_Д5[Стоимость квартиры с отделкой],"-",0)</f>
        <v>7387200</v>
      </c>
      <c r="X150" s="235" t="str">
        <f>IFERROR(Таблица10[[#This Row],[СО ПП]]-Таблица10[[#This Row],[СО ДДУ]],"")</f>
        <v/>
      </c>
      <c r="Y150" s="233" t="str" cm="1">
        <f t="array" ref="Y150">IFERROR(INDEX(РД[S],MATCH($Q$3&amp;Таблица10[[#This Row],[№]]&amp;"Продажа",РД[Дом]&amp;РД[№ кв]&amp;РД[Состояние],0),1),Таблица10[[#This Row],[Статус]])</f>
        <v>Свободно</v>
      </c>
      <c r="Z150" s="233">
        <f>IF(Таблица10[[#This Row],[№]]&amp;"ДДУ"=ППД5!A147&amp;ППД5!CR147,ППД5!U147,ППД5!V147)</f>
        <v>59.79999999999999</v>
      </c>
      <c r="AA150" s="285">
        <f>IFERROR(Таблица10[[#This Row],[S ПП]]-Таблица10[[#This Row],[S ДДУ]],)</f>
        <v>0</v>
      </c>
      <c r="AB150" s="235">
        <f>ROUND(_xlfn.XLOOKUP(Таблица10[[#This Row],[№]],Реестр_Д5[№],Реестр_Д5[Итоговая сумма скидки],"",0),2)</f>
        <v>0</v>
      </c>
      <c r="AC150" s="235" t="str" cm="1">
        <f t="array" ref="AC15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50" s="285">
        <f>IFERROR(Таблица10[[#This Row],[ППС]]-Таблица10[[#This Row],[ДДУС]],)</f>
        <v>0</v>
      </c>
      <c r="AE150" s="611"/>
      <c r="AT150" s="611"/>
      <c r="AU150" s="484">
        <f>VLOOKUP(ППД402!A147,Д402[],1,0)</f>
        <v>146</v>
      </c>
      <c r="AV150" s="484" t="str">
        <f>_xlfn.XLOOKUP(Т402[[#This Row],[№]],Д402[№],Д402[Статус],"-",0)</f>
        <v>Продажа</v>
      </c>
      <c r="AW150" s="613">
        <f>_xlfn.XLOOKUP(Т402[[#This Row],[№]],Д402[№],Д402[Стоимость ОН без отделки со скидкой],"-",0)</f>
        <v>4611488</v>
      </c>
      <c r="AX150" s="614" cm="1">
        <f t="array" ref="AX150">IFERROR(INDEX(РД[Стоимость без отделки итог],MATCH($AU$3&amp;Т402[[#This Row],[№]]&amp;"Продажа",РД[Дом]&amp;РД[№ кв]&amp;РД[Состояние],0),1),Т402[[#This Row],[Статус]])</f>
        <v>4611488</v>
      </c>
      <c r="AY150" s="485">
        <f>IFERROR((Т402[[#This Row],[ПП]]-Т402[[#This Row],[ДДУ]])*1,"")</f>
        <v>0</v>
      </c>
      <c r="AZ150" s="486" cm="1">
        <f t="array" ref="AZ150">IFERROR(INDEX(РД[Стоимость с отделкой итог],MATCH($AU$3&amp;Т402[[#This Row],[№]]&amp;"Продажа",РД[Дом]&amp;РД[№ кв]&amp;РД[Состояние],0),1),Т402[[#This Row],[Статус]])</f>
        <v>4611488</v>
      </c>
      <c r="BA150" s="485">
        <f>_xlfn.XLOOKUP(Т402[[#This Row],[№]],Д402[№],Д402[Стоимость квартиры с отделкой],"-",0)</f>
        <v>4611488</v>
      </c>
      <c r="BB150" s="485">
        <f>IFERROR(Т402[[#This Row],[СО ПП]]-Т402[[#This Row],[СО ДДУ]],"")</f>
        <v>0</v>
      </c>
      <c r="BC150" s="487" cm="1">
        <f t="array" ref="BC150">IFERROR(INDEX(РД[S],MATCH($AU$3&amp;Т402[[#This Row],[№]]&amp;"Продажа",РД[Дом]&amp;РД[№ кв]&amp;РД[Состояние],0),1),Т402[[#This Row],[Статус]])</f>
        <v>36.630000000000003</v>
      </c>
      <c r="BD150" s="483">
        <f>_xlfn.XLOOKUP(Т402[[#This Row],[№]],Д402[№],Д402[Расчетная проектная площадь],"-",0)</f>
        <v>36.630000000000003</v>
      </c>
      <c r="BE150" s="485">
        <f>IFERROR(Т402[[#This Row],[S ПП]]-Т402[[#This Row],[S ДДУ]],"")</f>
        <v>0</v>
      </c>
      <c r="BF150" s="485">
        <f>_xlfn.XLOOKUP(Т402[[#This Row],[№]],Д402[№],Д402[Итоговая сумма скидки],"-",0)</f>
        <v>94112</v>
      </c>
      <c r="BG150" s="486" cm="1">
        <f t="array" ref="BG150">IFERROR(ROUND(_xlfn.XLOOKUP($AU$3&amp;Т402[[#This Row],[№]]&amp;"Продажа",РД[Дом]&amp;РД[№ кв]&amp;РД[Состояние],РД[Сумма скидки],"",0),2),Т402[[#This Row],[Статус]])</f>
        <v>94112</v>
      </c>
      <c r="BH150" s="488">
        <f>IFERROR(Т402[[#This Row],[ППС]]-Т402[[#This Row],[ДДУС]],"")</f>
        <v>0</v>
      </c>
    </row>
    <row r="151" spans="1:60" x14ac:dyDescent="0.2">
      <c r="A151" s="611"/>
      <c r="B151" s="234">
        <f>VLOOKUP(ППД4!A148,Реестр_Д4[№],1,0)</f>
        <v>147</v>
      </c>
      <c r="C151" s="234" t="str">
        <f>VLOOKUP(ППД4!CO148,Реестр_Д4[Статус],1,0)</f>
        <v>Продажа</v>
      </c>
      <c r="D151" s="612">
        <f>VLOOKUP(ППД4!CE148,Реестр_Д4[Стоимость ОН без отделки со скидкой],1,0)</f>
        <v>2121950.88</v>
      </c>
      <c r="E151" s="612" cm="1">
        <f t="array" ref="E151">IFERROR(INDEX(РД[Стоимость без отделки итог],MATCH($B$3&amp;Таблица4[[#This Row],[№]]&amp;"Продажа",РД[Дом]&amp;РД[№ кв]&amp;РД[Состояние],0),1),Таблица4[[#This Row],[Статус]])</f>
        <v>2121950.88</v>
      </c>
      <c r="F151" s="235">
        <f>IFERROR((Таблица4[[#This Row],[ПП]]-Таблица4[[#This Row],[ДДУ]])*1,"")</f>
        <v>0</v>
      </c>
      <c r="G151" s="235" cm="1">
        <f t="array" ref="G151">IFERROR(INDEX(РД[Стоимость с отделкой итог],MATCH($B$3&amp;Таблица4[[#This Row],[№]]&amp;"Продажа",РД[Дом]&amp;РД[№ кв]&amp;РД[Состояние],0),1),Таблица4[[#This Row],[Статус]])</f>
        <v>2121950.88</v>
      </c>
      <c r="H151" s="235">
        <f>_xlfn.XLOOKUP(Таблица4[[#This Row],[№]],Реестр_Д4[№],Реестр_Д4[Стоимость квартиры с отделкой],"-",0)</f>
        <v>2121950.88</v>
      </c>
      <c r="I151" s="235">
        <f>IFERROR(Таблица4[[#This Row],[СО ПП]]-Таблица4[[#This Row],[СО ДДУ]],"")</f>
        <v>0</v>
      </c>
      <c r="J151" s="233" cm="1">
        <f t="array" ref="J151">IFERROR(INDEX(РД[S],MATCH($B$3&amp;Таблица4[[#This Row],[№]]&amp;"Продажа",РД[Дом]&amp;РД[№ кв]&amp;РД[Состояние],0),1),Таблица4[[#This Row],[Статус]])</f>
        <v>35.380000000000003</v>
      </c>
      <c r="K151" s="233">
        <f>VLOOKUP(Таблица4[[#This Row],[№]],Реестр_Д4[],20,0)</f>
        <v>35.380000000000003</v>
      </c>
      <c r="L151" s="235">
        <f>IFERROR(Таблица4[[#This Row],[S ПП]]-Таблица4[[#This Row],[S ДДУ]],)</f>
        <v>0</v>
      </c>
      <c r="M151" s="235">
        <f>ROUND(_xlfn.XLOOKUP(Таблица4[[#This Row],[№]],Реестр_Д4[№],Реестр_Д4[Итоговая сумма скидки],"",0),2)</f>
        <v>530487.72</v>
      </c>
      <c r="N151" s="235" cm="1">
        <f t="array" ref="N151">IFERROR(ROUND(_xlfn.XLOOKUP($B$3&amp;Таблица4[[#This Row],[№]]&amp;"Продажа",РД[Дом]&amp;РД[№ кв]&amp;РД[Состояние],РД[Сумма скидки],"",0),2),Таблица4[[#This Row],[Статус]])</f>
        <v>530487.72</v>
      </c>
      <c r="O151" s="235">
        <f>IFERROR(Таблица4[[#This Row],[ППС]]-Таблица4[[#This Row],[ДДУС]],)</f>
        <v>0</v>
      </c>
      <c r="P151" s="611"/>
      <c r="Q151" s="234">
        <f>VLOOKUP(ППД5!A148,Реестр_Д5[№],1,0)</f>
        <v>147</v>
      </c>
      <c r="R151" s="234" t="str">
        <f>VLOOKUP(ППД5!CH148,Реестр_Д5[Статус],1,0)</f>
        <v>Продажа</v>
      </c>
      <c r="S151" s="612">
        <f>VLOOKUP(ППД5!BZ148,Реестр_Д5[Стоимость ОН без отделки со скидкой],1,0)</f>
        <v>2233312.7599999998</v>
      </c>
      <c r="T151" s="612" cm="1">
        <f t="array" ref="T151">IFERROR(INDEX(РД[Стоимость без отделки итог],MATCH($Q$3&amp;Таблица10[[#This Row],[№]]&amp;"Продажа",РД[Дом]&amp;РД[№ кв]&amp;РД[Состояние],0),1),Таблица10[[#This Row],[Статус]])</f>
        <v>2233312.7599999998</v>
      </c>
      <c r="U151" s="235">
        <f>IFERROR((Таблица10[[#This Row],[ПП]]-Таблица10[[#This Row],[ДДУ]])*1,)</f>
        <v>0</v>
      </c>
      <c r="V151" s="235" cm="1">
        <f t="array" ref="V151">IFERROR(INDEX(РД[Стоимость с отделкой итог],MATCH($Q$3&amp;Таблица10[[#This Row],[№]]&amp;"Продажа",РД[Дом]&amp;РД[№ кв]&amp;РД[Состояние],0),1),Таблица10[[#This Row],[Статус]])</f>
        <v>2342572.7599999998</v>
      </c>
      <c r="W151" s="235">
        <f>_xlfn.XLOOKUP(Таблица10[[#This Row],[№]],Реестр_Д5[№],Реестр_Д5[Стоимость квартиры с отделкой],"-",0)</f>
        <v>2342572.7599999998</v>
      </c>
      <c r="X151" s="235">
        <f>IFERROR(Таблица10[[#This Row],[СО ПП]]-Таблица10[[#This Row],[СО ДДУ]],"")</f>
        <v>0</v>
      </c>
      <c r="Y151" s="233" cm="1">
        <f t="array" ref="Y151">IFERROR(INDEX(РД[S],MATCH($Q$3&amp;Таблица10[[#This Row],[№]]&amp;"Продажа",РД[Дом]&amp;РД[№ кв]&amp;РД[Состояние],0),1),Таблица10[[#This Row],[Статус]])</f>
        <v>24.28</v>
      </c>
      <c r="Z151" s="233">
        <f>IF(Таблица10[[#This Row],[№]]&amp;"ДДУ"=ППД5!A148&amp;ППД5!CR148,ППД5!U148,ППД5!V148)</f>
        <v>24.28</v>
      </c>
      <c r="AA151" s="285">
        <f>IFERROR(Таблица10[[#This Row],[S ПП]]-Таблица10[[#This Row],[S ДДУ]],)</f>
        <v>0</v>
      </c>
      <c r="AB151" s="235">
        <f>ROUND(_xlfn.XLOOKUP(Таблица10[[#This Row],[№]],Реестр_Д5[№],Реестр_Д5[Итоговая сумма скидки],"",0),2)</f>
        <v>0</v>
      </c>
      <c r="AC151" s="235" cm="1">
        <f t="array" ref="AC15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51" s="285">
        <f>IFERROR(Таблица10[[#This Row],[ППС]]-Таблица10[[#This Row],[ДДУС]],)</f>
        <v>0</v>
      </c>
      <c r="AE151" s="611"/>
      <c r="AT151" s="611"/>
      <c r="AU151" s="484">
        <f>VLOOKUP(ППД402!A148,Д402[],1,0)</f>
        <v>147</v>
      </c>
      <c r="AV151" s="484" t="str">
        <f>_xlfn.XLOOKUP(Т402[[#This Row],[№]],Д402[№],Д402[Статус],"-",0)</f>
        <v>Стр. Резерв</v>
      </c>
      <c r="AW151" s="613">
        <f>_xlfn.XLOOKUP(Т402[[#This Row],[№]],Д402[№],Д402[Стоимость ОН без отделки со скидкой],"-",0)</f>
        <v>4323300</v>
      </c>
      <c r="AX151" s="614" t="str" cm="1">
        <f t="array" ref="AX15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1" s="485" t="str">
        <f>IFERROR((Т402[[#This Row],[ПП]]-Т402[[#This Row],[ДДУ]])*1,"")</f>
        <v/>
      </c>
      <c r="AZ151" s="486" t="str" cm="1">
        <f t="array" ref="AZ15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1" s="485">
        <f>_xlfn.XLOOKUP(Т402[[#This Row],[№]],Д402[№],Д402[Стоимость квартиры с отделкой],"-",0)</f>
        <v>4323300</v>
      </c>
      <c r="BB151" s="485" t="str">
        <f>IFERROR(Т402[[#This Row],[СО ПП]]-Т402[[#This Row],[СО ДДУ]],"")</f>
        <v/>
      </c>
      <c r="BC151" s="487" t="str" cm="1">
        <f t="array" ref="BC151">IFERROR(INDEX(РД[S],MATCH($AU$3&amp;Т402[[#This Row],[№]]&amp;"Продажа",РД[Дом]&amp;РД[№ кв]&amp;РД[Состояние],0),1),Т402[[#This Row],[Статус]])</f>
        <v>Стр. Резерв</v>
      </c>
      <c r="BD151" s="483">
        <f>_xlfn.XLOOKUP(Т402[[#This Row],[№]],Д402[№],Д402[Расчетная проектная площадь],"-",0)</f>
        <v>29.5</v>
      </c>
      <c r="BE151" s="485" t="str">
        <f>IFERROR(Т402[[#This Row],[S ПП]]-Т402[[#This Row],[S ДДУ]],"")</f>
        <v/>
      </c>
      <c r="BF151" s="485">
        <f>_xlfn.XLOOKUP(Т402[[#This Row],[№]],Д402[№],Д402[Итоговая сумма скидки],"-",0)</f>
        <v>0</v>
      </c>
      <c r="BG151" s="486" t="str" cm="1">
        <f t="array" ref="BG15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1" s="488" t="str">
        <f>IFERROR(Т402[[#This Row],[ППС]]-Т402[[#This Row],[ДДУС]],"")</f>
        <v/>
      </c>
    </row>
    <row r="152" spans="1:60" x14ac:dyDescent="0.2">
      <c r="A152" s="611"/>
      <c r="B152" s="234">
        <f>VLOOKUP(ППД4!A149,Реестр_Д4[№],1,0)</f>
        <v>148</v>
      </c>
      <c r="C152" s="234" t="str">
        <f>VLOOKUP(ППД4!CO149,Реестр_Д4[Статус],1,0)</f>
        <v>Продажа</v>
      </c>
      <c r="D152" s="612">
        <f>VLOOKUP(ППД4!CE149,Реестр_Д4[Стоимость ОН без отделки со скидкой],1,0)</f>
        <v>3995175.5</v>
      </c>
      <c r="E152" s="612" cm="1">
        <f t="array" ref="E152">IFERROR(INDEX(РД[Стоимость без отделки итог],MATCH($B$3&amp;Таблица4[[#This Row],[№]]&amp;"Продажа",РД[Дом]&amp;РД[№ кв]&amp;РД[Состояние],0),1),Таблица4[[#This Row],[Статус]])</f>
        <v>3995175.5</v>
      </c>
      <c r="F152" s="235">
        <f>IFERROR((Таблица4[[#This Row],[ПП]]-Таблица4[[#This Row],[ДДУ]])*1,"")</f>
        <v>0</v>
      </c>
      <c r="G152" s="235" cm="1">
        <f t="array" ref="G152">IFERROR(INDEX(РД[Стоимость с отделкой итог],MATCH($B$3&amp;Таблица4[[#This Row],[№]]&amp;"Продажа",РД[Дом]&amp;РД[№ кв]&amp;РД[Состояние],0),1),Таблица4[[#This Row],[Статус]])</f>
        <v>3995175.5</v>
      </c>
      <c r="H152" s="235">
        <f>_xlfn.XLOOKUP(Таблица4[[#This Row],[№]],Реестр_Д4[№],Реестр_Д4[Стоимость квартиры с отделкой],"-",0)</f>
        <v>3995175.5</v>
      </c>
      <c r="I152" s="235">
        <f>IFERROR(Таблица4[[#This Row],[СО ПП]]-Таблица4[[#This Row],[СО ДДУ]],"")</f>
        <v>0</v>
      </c>
      <c r="J152" s="233" cm="1">
        <f t="array" ref="J152">IFERROR(INDEX(РД[S],MATCH($B$3&amp;Таблица4[[#This Row],[№]]&amp;"Продажа",РД[Дом]&amp;РД[№ кв]&amp;РД[Состояние],0),1),Таблица4[[#This Row],[Статус]])</f>
        <v>37.81</v>
      </c>
      <c r="K152" s="233">
        <f>VLOOKUP(Таблица4[[#This Row],[№]],Реестр_Д4[],20,0)</f>
        <v>37.81</v>
      </c>
      <c r="L152" s="235">
        <f>IFERROR(Таблица4[[#This Row],[S ПП]]-Таблица4[[#This Row],[S ДДУ]],)</f>
        <v>0</v>
      </c>
      <c r="M152" s="235">
        <f>ROUND(_xlfn.XLOOKUP(Таблица4[[#This Row],[№]],Реестр_Д4[№],Реестр_Д4[Итоговая сумма скидки],"",0),2)</f>
        <v>0</v>
      </c>
      <c r="N152" s="235" cm="1">
        <f t="array" ref="N15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2" s="235">
        <f>IFERROR(Таблица4[[#This Row],[ППС]]-Таблица4[[#This Row],[ДДУС]],)</f>
        <v>0</v>
      </c>
      <c r="P152" s="611"/>
      <c r="Q152" s="234">
        <f>VLOOKUP(ППД5!A149,Реестр_Д5[№],1,0)</f>
        <v>148</v>
      </c>
      <c r="R152" s="234" t="str">
        <f>VLOOKUP(ППД5!CH149,Реестр_Д5[Статус],1,0)</f>
        <v>Продажа</v>
      </c>
      <c r="S152" s="612">
        <f>VLOOKUP(ППД5!BZ149,Реестр_Д5[Стоимость ОН без отделки со скидкой],1,0)</f>
        <v>5542968</v>
      </c>
      <c r="T152" s="612" cm="1">
        <f t="array" ref="T152">IFERROR(INDEX(РД[Стоимость без отделки итог],MATCH($Q$3&amp;Таблица10[[#This Row],[№]]&amp;"Продажа",РД[Дом]&amp;РД[№ кв]&amp;РД[Состояние],0),1),Таблица10[[#This Row],[Статус]])</f>
        <v>5542968</v>
      </c>
      <c r="U152" s="235">
        <f>IFERROR((Таблица10[[#This Row],[ПП]]-Таблица10[[#This Row],[ДДУ]])*1,)</f>
        <v>0</v>
      </c>
      <c r="V152" s="235" cm="1">
        <f t="array" ref="V152">IFERROR(INDEX(РД[Стоимость с отделкой итог],MATCH($Q$3&amp;Таблица10[[#This Row],[№]]&amp;"Продажа",РД[Дом]&amp;РД[№ кв]&amp;РД[Состояние],0),1),Таблица10[[#This Row],[Статус]])</f>
        <v>5946168</v>
      </c>
      <c r="W152" s="235">
        <f>_xlfn.XLOOKUP(Таблица10[[#This Row],[№]],Реестр_Д5[№],Реестр_Д5[Стоимость квартиры с отделкой],"-",0)</f>
        <v>5946168</v>
      </c>
      <c r="X152" s="235">
        <f>IFERROR(Таблица10[[#This Row],[СО ПП]]-Таблица10[[#This Row],[СО ДДУ]],"")</f>
        <v>0</v>
      </c>
      <c r="Y152" s="233" cm="1">
        <f t="array" ref="Y152">IFERROR(INDEX(РД[S],MATCH($Q$3&amp;Таблица10[[#This Row],[№]]&amp;"Продажа",РД[Дом]&amp;РД[№ кв]&amp;РД[Состояние],0),1),Таблица10[[#This Row],[Статус]])</f>
        <v>57.6</v>
      </c>
      <c r="Z152" s="233">
        <f>IF(Таблица10[[#This Row],[№]]&amp;"ДДУ"=ППД5!A149&amp;ППД5!CR149,ППД5!U149,ППД5!V149)</f>
        <v>57.6</v>
      </c>
      <c r="AA152" s="285">
        <f>IFERROR(Таблица10[[#This Row],[S ПП]]-Таблица10[[#This Row],[S ДДУ]],)</f>
        <v>0</v>
      </c>
      <c r="AB152" s="235">
        <f>ROUND(_xlfn.XLOOKUP(Таблица10[[#This Row],[№]],Реестр_Д5[№],Реестр_Д5[Итоговая сумма скидки],"",0),2)</f>
        <v>171432</v>
      </c>
      <c r="AC152" s="235" cm="1">
        <f t="array" ref="AC152">IFERROR(ROUND(_xlfn.XLOOKUP($Q$3&amp;Таблица10[[#This Row],[№]]&amp;"Продажа",РД[Дом]&amp;РД[№ кв]&amp;РД[Состояние],РД[Сумма скидки],"",0,-1),2),Таблица10[[#This Row],[Статус]])</f>
        <v>171432</v>
      </c>
      <c r="AD152" s="285">
        <f>IFERROR(Таблица10[[#This Row],[ППС]]-Таблица10[[#This Row],[ДДУС]],)</f>
        <v>0</v>
      </c>
      <c r="AE152" s="611"/>
      <c r="AT152" s="611"/>
      <c r="AU152" s="484">
        <f>VLOOKUP(ППД402!A149,Д402[],1,0)</f>
        <v>148</v>
      </c>
      <c r="AV152" s="484" t="str">
        <f>_xlfn.XLOOKUP(Т402[[#This Row],[№]],Д402[№],Д402[Статус],"-",0)</f>
        <v>Стр. Резерв</v>
      </c>
      <c r="AW152" s="613">
        <f>_xlfn.XLOOKUP(Т402[[#This Row],[№]],Д402[№],Д402[Стоимость ОН без отделки со скидкой],"-",0)</f>
        <v>4023800</v>
      </c>
      <c r="AX152" s="614" t="str" cm="1">
        <f t="array" ref="AX15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2" s="485" t="str">
        <f>IFERROR((Т402[[#This Row],[ПП]]-Т402[[#This Row],[ДДУ]])*1,"")</f>
        <v/>
      </c>
      <c r="AZ152" s="486" t="str" cm="1">
        <f t="array" ref="AZ15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2" s="485">
        <f>_xlfn.XLOOKUP(Т402[[#This Row],[№]],Д402[№],Д402[Стоимость квартиры с отделкой],"-",0)</f>
        <v>4023800.0000000009</v>
      </c>
      <c r="BB152" s="485" t="str">
        <f>IFERROR(Т402[[#This Row],[СО ПП]]-Т402[[#This Row],[СО ДДУ]],"")</f>
        <v/>
      </c>
      <c r="BC152" s="487" t="str" cm="1">
        <f t="array" ref="BC152">IFERROR(INDEX(РД[S],MATCH($AU$3&amp;Т402[[#This Row],[№]]&amp;"Продажа",РД[Дом]&amp;РД[№ кв]&amp;РД[Состояние],0),1),Т402[[#This Row],[Статус]])</f>
        <v>Стр. Резерв</v>
      </c>
      <c r="BD152" s="483">
        <f>_xlfn.XLOOKUP(Т402[[#This Row],[№]],Д402[№],Д402[Расчетная проектная площадь],"-",0)</f>
        <v>27.99</v>
      </c>
      <c r="BE152" s="485" t="str">
        <f>IFERROR(Т402[[#This Row],[S ПП]]-Т402[[#This Row],[S ДДУ]],"")</f>
        <v/>
      </c>
      <c r="BF152" s="485">
        <f>_xlfn.XLOOKUP(Т402[[#This Row],[№]],Д402[№],Д402[Итоговая сумма скидки],"-",0)</f>
        <v>0</v>
      </c>
      <c r="BG152" s="486" t="str" cm="1">
        <f t="array" ref="BG15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2" s="488" t="str">
        <f>IFERROR(Т402[[#This Row],[ППС]]-Т402[[#This Row],[ДДУС]],"")</f>
        <v/>
      </c>
    </row>
    <row r="153" spans="1:60" x14ac:dyDescent="0.2">
      <c r="A153" s="611"/>
      <c r="B153" s="234">
        <f>VLOOKUP(ППД4!A150,Реестр_Д4[№],1,0)</f>
        <v>149</v>
      </c>
      <c r="C153" s="234" t="str">
        <f>VLOOKUP(ППД4!CO150,Реестр_Д4[Статус],1,0)</f>
        <v>Продажа</v>
      </c>
      <c r="D153" s="612">
        <f>VLOOKUP(ППД4!CE150,Реестр_Д4[Стоимость ОН без отделки со скидкой],1,0)</f>
        <v>2889508.44</v>
      </c>
      <c r="E153" s="612" cm="1">
        <f t="array" ref="E153">IFERROR(INDEX(РД[Стоимость без отделки итог],MATCH($B$3&amp;Таблица4[[#This Row],[№]]&amp;"Продажа",РД[Дом]&amp;РД[№ кв]&amp;РД[Состояние],0),1),Таблица4[[#This Row],[Статус]])</f>
        <v>2889508.44</v>
      </c>
      <c r="F153" s="235">
        <f>IFERROR((Таблица4[[#This Row],[ПП]]-Таблица4[[#This Row],[ДДУ]])*1,"")</f>
        <v>0</v>
      </c>
      <c r="G153" s="235" cm="1">
        <f t="array" ref="G153">IFERROR(INDEX(РД[Стоимость с отделкой итог],MATCH($B$3&amp;Таблица4[[#This Row],[№]]&amp;"Продажа",РД[Дом]&amp;РД[№ кв]&amp;РД[Состояние],0),1),Таблица4[[#This Row],[Статус]])</f>
        <v>2889508.44</v>
      </c>
      <c r="H153" s="235">
        <f>_xlfn.XLOOKUP(Таблица4[[#This Row],[№]],Реестр_Д4[№],Реестр_Д4[Стоимость квартиры с отделкой],"-",0)</f>
        <v>2889508.44</v>
      </c>
      <c r="I153" s="235">
        <f>IFERROR(Таблица4[[#This Row],[СО ПП]]-Таблица4[[#This Row],[СО ДДУ]],"")</f>
        <v>0</v>
      </c>
      <c r="J153" s="233" cm="1">
        <f t="array" ref="J153">IFERROR(INDEX(РД[S],MATCH($B$3&amp;Таблица4[[#This Row],[№]]&amp;"Продажа",РД[Дом]&amp;РД[№ кв]&amp;РД[Состояние],0),1),Таблица4[[#This Row],[Статус]])</f>
        <v>36.700000000000003</v>
      </c>
      <c r="K153" s="233">
        <f>VLOOKUP(Таблица4[[#This Row],[№]],Реестр_Д4[],20,0)</f>
        <v>36.700000000000003</v>
      </c>
      <c r="L153" s="235">
        <f>IFERROR(Таблица4[[#This Row],[S ПП]]-Таблица4[[#This Row],[S ДДУ]],)</f>
        <v>0</v>
      </c>
      <c r="M153" s="235">
        <f>ROUND(_xlfn.XLOOKUP(Таблица4[[#This Row],[№]],Реестр_Д4[№],Реестр_Д4[Итоговая сумма скидки],"",0),2)</f>
        <v>0</v>
      </c>
      <c r="N153" s="235" cm="1">
        <f t="array" ref="N15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3" s="235">
        <f>IFERROR(Таблица4[[#This Row],[ППС]]-Таблица4[[#This Row],[ДДУС]],)</f>
        <v>0</v>
      </c>
      <c r="P153" s="611"/>
      <c r="Q153" s="234">
        <f>VLOOKUP(ППД5!A150,Реестр_Д5[№],1,0)</f>
        <v>149</v>
      </c>
      <c r="R153" s="234" t="str">
        <f>VLOOKUP(ППД5!CH150,Реестр_Д5[Статус],1,0)</f>
        <v>Продажа</v>
      </c>
      <c r="S153" s="612">
        <f>VLOOKUP(ППД5!BZ150,Реестр_Д5[Стоимость ОН без отделки со скидкой],1,0)</f>
        <v>6800000</v>
      </c>
      <c r="T153" s="612" cm="1">
        <f t="array" ref="T153">IFERROR(INDEX(РД[Стоимость без отделки итог],MATCH($Q$3&amp;Таблица10[[#This Row],[№]]&amp;"Продажа",РД[Дом]&amp;РД[№ кв]&amp;РД[Состояние],0),1),Таблица10[[#This Row],[Статус]])</f>
        <v>6800000</v>
      </c>
      <c r="U153" s="235">
        <f>IFERROR((Таблица10[[#This Row],[ПП]]-Таблица10[[#This Row],[ДДУ]])*1,)</f>
        <v>0</v>
      </c>
      <c r="V153" s="235" cm="1">
        <f t="array" ref="V153">IFERROR(INDEX(РД[Стоимость с отделкой итог],MATCH($Q$3&amp;Таблица10[[#This Row],[№]]&amp;"Продажа",РД[Дом]&amp;РД[№ кв]&amp;РД[Состояние],0),1),Таблица10[[#This Row],[Статус]])</f>
        <v>6800000</v>
      </c>
      <c r="W153" s="235">
        <f>_xlfn.XLOOKUP(Таблица10[[#This Row],[№]],Реестр_Д5[№],Реестр_Д5[Стоимость квартиры с отделкой],"-",0)</f>
        <v>6800000</v>
      </c>
      <c r="X153" s="235">
        <f>IFERROR(Таблица10[[#This Row],[СО ПП]]-Таблица10[[#This Row],[СО ДДУ]],"")</f>
        <v>0</v>
      </c>
      <c r="Y153" s="233" cm="1">
        <f t="array" ref="Y153">IFERROR(INDEX(РД[S],MATCH($Q$3&amp;Таблица10[[#This Row],[№]]&amp;"Продажа",РД[Дом]&amp;РД[№ кв]&amp;РД[Состояние],0),1),Таблица10[[#This Row],[Статус]])</f>
        <v>58.31</v>
      </c>
      <c r="Z153" s="233">
        <f>IF(Таблица10[[#This Row],[№]]&amp;"ДДУ"=ППД5!A150&amp;ППД5!CR150,ППД5!U150,ППД5!V150)</f>
        <v>58.31</v>
      </c>
      <c r="AA153" s="285">
        <f>IFERROR(Таблица10[[#This Row],[S ПП]]-Таблица10[[#This Row],[S ДДУ]],)</f>
        <v>0</v>
      </c>
      <c r="AB153" s="235">
        <f>ROUND(_xlfn.XLOOKUP(Таблица10[[#This Row],[№]],Реестр_Д5[№],Реестр_Д5[Итоговая сумма скидки],"",0),2)</f>
        <v>548500</v>
      </c>
      <c r="AC153" s="235" cm="1">
        <f t="array" ref="AC153">IFERROR(ROUND(_xlfn.XLOOKUP($Q$3&amp;Таблица10[[#This Row],[№]]&amp;"Продажа",РД[Дом]&amp;РД[№ кв]&amp;РД[Состояние],РД[Сумма скидки],"",0,-1),2),Таблица10[[#This Row],[Статус]])</f>
        <v>548500</v>
      </c>
      <c r="AD153" s="285">
        <f>IFERROR(Таблица10[[#This Row],[ППС]]-Таблица10[[#This Row],[ДДУС]],)</f>
        <v>0</v>
      </c>
      <c r="AE153" s="611"/>
      <c r="AT153" s="611"/>
      <c r="AU153" s="484">
        <f>VLOOKUP(ППД402!A150,Д402[],1,0)</f>
        <v>149</v>
      </c>
      <c r="AV153" s="484" t="str">
        <f>_xlfn.XLOOKUP(Т402[[#This Row],[№]],Д402[№],Д402[Статус],"-",0)</f>
        <v>Стр. Резерв</v>
      </c>
      <c r="AW153" s="613">
        <f>_xlfn.XLOOKUP(Т402[[#This Row],[№]],Д402[№],Д402[Стоимость ОН без отделки со скидкой],"-",0)</f>
        <v>7489300</v>
      </c>
      <c r="AX153" s="614" t="str" cm="1">
        <f t="array" ref="AX15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3" s="485" t="str">
        <f>IFERROR((Т402[[#This Row],[ПП]]-Т402[[#This Row],[ДДУ]])*1,"")</f>
        <v/>
      </c>
      <c r="AZ153" s="486" t="str" cm="1">
        <f t="array" ref="AZ15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3" s="485">
        <f>_xlfn.XLOOKUP(Т402[[#This Row],[№]],Д402[№],Д402[Стоимость квартиры с отделкой],"-",0)</f>
        <v>7489300</v>
      </c>
      <c r="BB153" s="485" t="str">
        <f>IFERROR(Т402[[#This Row],[СО ПП]]-Т402[[#This Row],[СО ДДУ]],"")</f>
        <v/>
      </c>
      <c r="BC153" s="487" t="str" cm="1">
        <f t="array" ref="BC153">IFERROR(INDEX(РД[S],MATCH($AU$3&amp;Т402[[#This Row],[№]]&amp;"Продажа",РД[Дом]&amp;РД[№ кв]&amp;РД[Состояние],0),1),Т402[[#This Row],[Статус]])</f>
        <v>Стр. Резерв</v>
      </c>
      <c r="BD153" s="483">
        <f>_xlfn.XLOOKUP(Т402[[#This Row],[№]],Д402[№],Д402[Расчетная проектная площадь],"-",0)</f>
        <v>63.44</v>
      </c>
      <c r="BE153" s="485" t="str">
        <f>IFERROR(Т402[[#This Row],[S ПП]]-Т402[[#This Row],[S ДДУ]],"")</f>
        <v/>
      </c>
      <c r="BF153" s="485">
        <f>_xlfn.XLOOKUP(Т402[[#This Row],[№]],Д402[№],Д402[Итоговая сумма скидки],"-",0)</f>
        <v>0</v>
      </c>
      <c r="BG153" s="486" t="str" cm="1">
        <f t="array" ref="BG15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3" s="488" t="str">
        <f>IFERROR(Т402[[#This Row],[ППС]]-Т402[[#This Row],[ДДУС]],"")</f>
        <v/>
      </c>
    </row>
    <row r="154" spans="1:60" x14ac:dyDescent="0.2">
      <c r="A154" s="611"/>
      <c r="B154" s="234">
        <f>VLOOKUP(ППД4!A151,Реестр_Д4[№],1,0)</f>
        <v>150</v>
      </c>
      <c r="C154" s="234" t="str">
        <f>VLOOKUP(ППД4!CO151,Реестр_Д4[Статус],1,0)</f>
        <v>Продажа</v>
      </c>
      <c r="D154" s="612">
        <f>VLOOKUP(ППД4!CE151,Реестр_Д4[Стоимость ОН без отделки со скидкой],1,0)</f>
        <v>3547958.47</v>
      </c>
      <c r="E154" s="612" cm="1">
        <f t="array" ref="E154">IFERROR(INDEX(РД[Стоимость без отделки итог],MATCH($B$3&amp;Таблица4[[#This Row],[№]]&amp;"Продажа",РД[Дом]&amp;РД[№ кв]&amp;РД[Состояние],0),1),Таблица4[[#This Row],[Статус]])</f>
        <v>3547958.47</v>
      </c>
      <c r="F154" s="235">
        <f>IFERROR((Таблица4[[#This Row],[ПП]]-Таблица4[[#This Row],[ДДУ]])*1,"")</f>
        <v>0</v>
      </c>
      <c r="G154" s="235" cm="1">
        <f t="array" ref="G154">IFERROR(INDEX(РД[Стоимость с отделкой итог],MATCH($B$3&amp;Таблица4[[#This Row],[№]]&amp;"Продажа",РД[Дом]&amp;РД[№ кв]&amp;РД[Состояние],0),1),Таблица4[[#This Row],[Статус]])</f>
        <v>3547958.47</v>
      </c>
      <c r="H154" s="235">
        <f>_xlfn.XLOOKUP(Таблица4[[#This Row],[№]],Реестр_Д4[№],Реестр_Д4[Стоимость квартиры с отделкой],"-",0)</f>
        <v>3547958.47</v>
      </c>
      <c r="I154" s="235">
        <f>IFERROR(Таблица4[[#This Row],[СО ПП]]-Таблица4[[#This Row],[СО ДДУ]],"")</f>
        <v>0</v>
      </c>
      <c r="J154" s="233" cm="1">
        <f t="array" ref="J154">IFERROR(INDEX(РД[S],MATCH($B$3&amp;Таблица4[[#This Row],[№]]&amp;"Продажа",РД[Дом]&amp;РД[№ кв]&amp;РД[Состояние],0),1),Таблица4[[#This Row],[Статус]])</f>
        <v>36.659999999999997</v>
      </c>
      <c r="K154" s="233">
        <f>VLOOKUP(Таблица4[[#This Row],[№]],Реестр_Д4[],20,0)</f>
        <v>36.659999999999997</v>
      </c>
      <c r="L154" s="235">
        <f>IFERROR(Таблица4[[#This Row],[S ПП]]-Таблица4[[#This Row],[S ДДУ]],)</f>
        <v>0</v>
      </c>
      <c r="M154" s="235">
        <f>ROUND(_xlfn.XLOOKUP(Таблица4[[#This Row],[№]],Реестр_Д4[№],Реестр_Д4[Итоговая сумма скидки],"",0),2)</f>
        <v>0</v>
      </c>
      <c r="N154" s="235" cm="1">
        <f t="array" ref="N15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4" s="235">
        <f>IFERROR(Таблица4[[#This Row],[ППС]]-Таблица4[[#This Row],[ДДУС]],)</f>
        <v>0</v>
      </c>
      <c r="P154" s="611"/>
      <c r="Q154" s="234">
        <f>VLOOKUP(ППД5!A151,Реестр_Д5[№],1,0)</f>
        <v>150</v>
      </c>
      <c r="R154" s="234" t="str">
        <f>VLOOKUP(ППД5!CH151,Реестр_Д5[Статус],1,0)</f>
        <v>Продажа</v>
      </c>
      <c r="S154" s="612">
        <f>VLOOKUP(ППД5!BZ151,Реестр_Д5[Стоимость ОН без отделки со скидкой],1,0)</f>
        <v>4422500</v>
      </c>
      <c r="T154" s="612" cm="1">
        <f t="array" ref="T154">IFERROR(INDEX(РД[Стоимость без отделки итог],MATCH($Q$3&amp;Таблица10[[#This Row],[№]]&amp;"Продажа",РД[Дом]&amp;РД[№ кв]&amp;РД[Состояние],0),1),Таблица10[[#This Row],[Статус]])</f>
        <v>4422500</v>
      </c>
      <c r="U154" s="235">
        <f>IFERROR((Таблица10[[#This Row],[ПП]]-Таблица10[[#This Row],[ДДУ]])*1,)</f>
        <v>0</v>
      </c>
      <c r="V154" s="235" cm="1">
        <f t="array" ref="V154">IFERROR(INDEX(РД[Стоимость с отделкой итог],MATCH($Q$3&amp;Таблица10[[#This Row],[№]]&amp;"Продажа",РД[Дом]&amp;РД[№ кв]&amp;РД[Состояние],0),1),Таблица10[[#This Row],[Статус]])</f>
        <v>4422500</v>
      </c>
      <c r="W154" s="235">
        <f>_xlfn.XLOOKUP(Таблица10[[#This Row],[№]],Реестр_Д5[№],Реестр_Д5[Стоимость квартиры с отделкой],"-",0)</f>
        <v>4422500</v>
      </c>
      <c r="X154" s="235">
        <f>IFERROR(Таблица10[[#This Row],[СО ПП]]-Таблица10[[#This Row],[СО ДДУ]],"")</f>
        <v>0</v>
      </c>
      <c r="Y154" s="233" cm="1">
        <f t="array" ref="Y154">IFERROR(INDEX(РД[S],MATCH($Q$3&amp;Таблица10[[#This Row],[№]]&amp;"Продажа",РД[Дом]&amp;РД[№ кв]&amp;РД[Состояние],0),1),Таблица10[[#This Row],[Статус]])</f>
        <v>37.86</v>
      </c>
      <c r="Z154" s="233">
        <f>IF(Таблица10[[#This Row],[№]]&amp;"ДДУ"=ППД5!A151&amp;ППД5!CR151,ППД5!U151,ППД5!V151)</f>
        <v>37.86</v>
      </c>
      <c r="AA154" s="285">
        <f>IFERROR(Таблица10[[#This Row],[S ПП]]-Таблица10[[#This Row],[S ДДУ]],)</f>
        <v>0</v>
      </c>
      <c r="AB154" s="235">
        <f>ROUND(_xlfn.XLOOKUP(Таблица10[[#This Row],[№]],Реестр_Д5[№],Реестр_Д5[Итоговая сумма скидки],"",0),2)</f>
        <v>0</v>
      </c>
      <c r="AC154" s="235" cm="1">
        <f t="array" ref="AC15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54" s="285">
        <f>IFERROR(Таблица10[[#This Row],[ППС]]-Таблица10[[#This Row],[ДДУС]],)</f>
        <v>0</v>
      </c>
      <c r="AE154" s="611"/>
      <c r="AT154" s="611"/>
      <c r="AU154" s="484">
        <f>VLOOKUP(ППД402!A151,Д402[],1,0)</f>
        <v>150</v>
      </c>
      <c r="AV154" s="484" t="str">
        <f>_xlfn.XLOOKUP(Т402[[#This Row],[№]],Д402[№],Д402[Статус],"-",0)</f>
        <v>Свободно</v>
      </c>
      <c r="AW154" s="613">
        <f>_xlfn.XLOOKUP(Т402[[#This Row],[№]],Д402[№],Д402[Стоимость ОН без отделки со скидкой],"-",0)</f>
        <v>7432800</v>
      </c>
      <c r="AX154" s="614" t="str" cm="1">
        <f t="array" ref="AX154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54" s="485" t="str">
        <f>IFERROR((Т402[[#This Row],[ПП]]-Т402[[#This Row],[ДДУ]])*1,"")</f>
        <v/>
      </c>
      <c r="AZ154" s="486" t="str" cm="1">
        <f t="array" ref="AZ154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54" s="485">
        <f>_xlfn.XLOOKUP(Т402[[#This Row],[№]],Д402[№],Д402[Стоимость квартиры с отделкой],"-",0)</f>
        <v>8042199.9999999981</v>
      </c>
      <c r="BB154" s="485" t="str">
        <f>IFERROR(Т402[[#This Row],[СО ПП]]-Т402[[#This Row],[СО ДДУ]],"")</f>
        <v/>
      </c>
      <c r="BC154" s="487" t="str" cm="1">
        <f t="array" ref="BC154">IFERROR(INDEX(РД[S],MATCH($AU$3&amp;Т402[[#This Row],[№]]&amp;"Продажа",РД[Дом]&amp;РД[№ кв]&amp;РД[Состояние],0),1),Т402[[#This Row],[Статус]])</f>
        <v>Свободно</v>
      </c>
      <c r="BD154" s="483">
        <f>_xlfn.XLOOKUP(Т402[[#This Row],[№]],Д402[№],Д402[Расчетная проектная площадь],"-",0)</f>
        <v>60.94</v>
      </c>
      <c r="BE154" s="485" t="str">
        <f>IFERROR(Т402[[#This Row],[S ПП]]-Т402[[#This Row],[S ДДУ]],"")</f>
        <v/>
      </c>
      <c r="BF154" s="485">
        <f>_xlfn.XLOOKUP(Т402[[#This Row],[№]],Д402[№],Д402[Итоговая сумма скидки],"-",0)</f>
        <v>0</v>
      </c>
      <c r="BG154" s="486" t="str" cm="1">
        <f t="array" ref="BG154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54" s="488" t="str">
        <f>IFERROR(Т402[[#This Row],[ППС]]-Т402[[#This Row],[ДДУС]],"")</f>
        <v/>
      </c>
    </row>
    <row r="155" spans="1:60" x14ac:dyDescent="0.2">
      <c r="A155" s="611"/>
      <c r="B155" s="234">
        <f>VLOOKUP(ППД4!A152,Реестр_Д4[№],1,0)</f>
        <v>151</v>
      </c>
      <c r="C155" s="234" t="str">
        <f>VLOOKUP(ППД4!CO152,Реестр_Д4[Статус],1,0)</f>
        <v>Продажа</v>
      </c>
      <c r="D155" s="612">
        <f>VLOOKUP(ППД4!CE152,Реестр_Д4[Стоимость ОН без отделки со скидкой],1,0)</f>
        <v>5369565.2300000004</v>
      </c>
      <c r="E155" s="612" cm="1">
        <f t="array" ref="E155">IFERROR(INDEX(РД[Стоимость без отделки итог],MATCH($B$3&amp;Таблица4[[#This Row],[№]]&amp;"Продажа",РД[Дом]&amp;РД[№ кв]&amp;РД[Состояние],0),1),Таблица4[[#This Row],[Статус]])</f>
        <v>5369565.2300000004</v>
      </c>
      <c r="F155" s="235">
        <f>IFERROR((Таблица4[[#This Row],[ПП]]-Таблица4[[#This Row],[ДДУ]])*1,"")</f>
        <v>0</v>
      </c>
      <c r="G155" s="235" cm="1">
        <f t="array" ref="G155">IFERROR(INDEX(РД[Стоимость с отделкой итог],MATCH($B$3&amp;Таблица4[[#This Row],[№]]&amp;"Продажа",РД[Дом]&amp;РД[№ кв]&amp;РД[Состояние],0),1),Таблица4[[#This Row],[Статус]])</f>
        <v>5684485.2300000004</v>
      </c>
      <c r="H155" s="235">
        <f>_xlfn.XLOOKUP(Таблица4[[#This Row],[№]],Реестр_Д4[№],Реестр_Д4[Стоимость квартиры с отделкой],"-",0)</f>
        <v>5684485.2300000004</v>
      </c>
      <c r="I155" s="235">
        <f>IFERROR(Таблица4[[#This Row],[СО ПП]]-Таблица4[[#This Row],[СО ДДУ]],"")</f>
        <v>0</v>
      </c>
      <c r="J155" s="233" cm="1">
        <f t="array" ref="J155">IFERROR(INDEX(РД[S],MATCH($B$3&amp;Таблица4[[#This Row],[№]]&amp;"Продажа",РД[Дом]&amp;РД[№ кв]&amp;РД[Состояние],0),1),Таблица4[[#This Row],[Статус]])</f>
        <v>78.73</v>
      </c>
      <c r="K155" s="233">
        <f>VLOOKUP(Таблица4[[#This Row],[№]],Реестр_Д4[],20,0)</f>
        <v>78.73</v>
      </c>
      <c r="L155" s="235">
        <f>IFERROR(Таблица4[[#This Row],[S ПП]]-Таблица4[[#This Row],[S ДДУ]],)</f>
        <v>0</v>
      </c>
      <c r="M155" s="235">
        <f>ROUND(_xlfn.XLOOKUP(Таблица4[[#This Row],[№]],Реестр_Д4[№],Реестр_Д4[Итоговая сумма скидки],"",0),2)</f>
        <v>282608.7</v>
      </c>
      <c r="N155" s="235" cm="1">
        <f t="array" ref="N155">IFERROR(ROUND(_xlfn.XLOOKUP($B$3&amp;Таблица4[[#This Row],[№]]&amp;"Продажа",РД[Дом]&amp;РД[№ кв]&amp;РД[Состояние],РД[Сумма скидки],"",0),2),Таблица4[[#This Row],[Статус]])</f>
        <v>282608.7</v>
      </c>
      <c r="O155" s="235">
        <f>IFERROR(Таблица4[[#This Row],[ППС]]-Таблица4[[#This Row],[ДДУС]],)</f>
        <v>0</v>
      </c>
      <c r="P155" s="611"/>
      <c r="Q155" s="234">
        <f>VLOOKUP(ППД5!A152,Реестр_Д5[№],1,0)</f>
        <v>151</v>
      </c>
      <c r="R155" s="234" t="str">
        <f>VLOOKUP(ППД5!CH152,Реестр_Д5[Статус],1,0)</f>
        <v>Продажа</v>
      </c>
      <c r="S155" s="612">
        <f>VLOOKUP(ППД5!BZ152,Реестр_Д5[Стоимость ОН без отделки со скидкой],1,0)</f>
        <v>6879936</v>
      </c>
      <c r="T155" s="612" cm="1">
        <f t="array" ref="T155">IFERROR(INDEX(РД[Стоимость без отделки итог],MATCH($Q$3&amp;Таблица10[[#This Row],[№]]&amp;"Продажа",РД[Дом]&amp;РД[№ кв]&amp;РД[Состояние],0),1),Таблица10[[#This Row],[Статус]])</f>
        <v>6879936</v>
      </c>
      <c r="U155" s="235">
        <f>IFERROR((Таблица10[[#This Row],[ПП]]-Таблица10[[#This Row],[ДДУ]])*1,)</f>
        <v>0</v>
      </c>
      <c r="V155" s="235" cm="1">
        <f t="array" ref="V155">IFERROR(INDEX(РД[Стоимость с отделкой итог],MATCH($Q$3&amp;Таблица10[[#This Row],[№]]&amp;"Продажа",РД[Дом]&amp;РД[№ кв]&amp;РД[Состояние],0),1),Таблица10[[#This Row],[Статус]])</f>
        <v>7474866</v>
      </c>
      <c r="W155" s="235">
        <f>_xlfn.XLOOKUP(Таблица10[[#This Row],[№]],Реестр_Д5[№],Реестр_Д5[Стоимость квартиры с отделкой],"-",0)</f>
        <v>7474866.0000000019</v>
      </c>
      <c r="X155" s="235">
        <f>IFERROR(Таблица10[[#This Row],[СО ПП]]-Таблица10[[#This Row],[СО ДДУ]],"")</f>
        <v>1.862645149230957E-9</v>
      </c>
      <c r="Y155" s="233" cm="1">
        <f t="array" ref="Y155">IFERROR(INDEX(РД[S],MATCH($Q$3&amp;Таблица10[[#This Row],[№]]&amp;"Продажа",РД[Дом]&amp;РД[№ кв]&amp;РД[Состояние],0),1),Таблица10[[#This Row],[Статус]])</f>
        <v>84.99</v>
      </c>
      <c r="Z155" s="233">
        <f>IF(Таблица10[[#This Row],[№]]&amp;"ДДУ"=ППД5!A152&amp;ППД5!CR152,ППД5!U152,ППД5!V152)</f>
        <v>84.99</v>
      </c>
      <c r="AA155" s="285">
        <f>IFERROR(Таблица10[[#This Row],[S ПП]]-Таблица10[[#This Row],[S ДДУ]],)</f>
        <v>0</v>
      </c>
      <c r="AB155" s="235">
        <f>ROUND(_xlfn.XLOOKUP(Таблица10[[#This Row],[№]],Реестр_Д5[№],Реестр_Д5[Итоговая сумма скидки],"",0),2)</f>
        <v>286664</v>
      </c>
      <c r="AC155" s="235" cm="1">
        <f t="array" ref="AC155">IFERROR(ROUND(_xlfn.XLOOKUP($Q$3&amp;Таблица10[[#This Row],[№]]&amp;"Продажа",РД[Дом]&amp;РД[№ кв]&amp;РД[Состояние],РД[Сумма скидки],"",0,-1),2),Таблица10[[#This Row],[Статус]])</f>
        <v>286664</v>
      </c>
      <c r="AD155" s="285">
        <f>IFERROR(Таблица10[[#This Row],[ППС]]-Таблица10[[#This Row],[ДДУС]],)</f>
        <v>0</v>
      </c>
      <c r="AE155" s="611"/>
      <c r="AT155" s="611"/>
      <c r="AU155" s="484">
        <f>VLOOKUP(ППД402!A152,Д402[],1,0)</f>
        <v>151</v>
      </c>
      <c r="AV155" s="484" t="str">
        <f>_xlfn.XLOOKUP(Т402[[#This Row],[№]],Д402[№],Д402[Статус],"-",0)</f>
        <v>Стр. Резерв</v>
      </c>
      <c r="AW155" s="613">
        <f>_xlfn.XLOOKUP(Т402[[#This Row],[№]],Д402[№],Д402[Стоимость ОН без отделки со скидкой],"-",0)</f>
        <v>7994900</v>
      </c>
      <c r="AX155" s="614" t="str" cm="1">
        <f t="array" ref="AX15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5" s="485" t="str">
        <f>IFERROR((Т402[[#This Row],[ПП]]-Т402[[#This Row],[ДДУ]])*1,"")</f>
        <v/>
      </c>
      <c r="AZ155" s="486" t="str" cm="1">
        <f t="array" ref="AZ15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5" s="485">
        <f>_xlfn.XLOOKUP(Т402[[#This Row],[№]],Д402[№],Д402[Стоимость квартиры с отделкой],"-",0)</f>
        <v>7994900</v>
      </c>
      <c r="BB155" s="485" t="str">
        <f>IFERROR(Т402[[#This Row],[СО ПП]]-Т402[[#This Row],[СО ДДУ]],"")</f>
        <v/>
      </c>
      <c r="BC155" s="487" t="str" cm="1">
        <f t="array" ref="BC155">IFERROR(INDEX(РД[S],MATCH($AU$3&amp;Т402[[#This Row],[№]]&amp;"Продажа",РД[Дом]&amp;РД[№ кв]&amp;РД[Состояние],0),1),Т402[[#This Row],[Статус]])</f>
        <v>Стр. Резерв</v>
      </c>
      <c r="BD155" s="483">
        <f>_xlfn.XLOOKUP(Т402[[#This Row],[№]],Д402[№],Д402[Расчетная проектная площадь],"-",0)</f>
        <v>65.72</v>
      </c>
      <c r="BE155" s="485" t="str">
        <f>IFERROR(Т402[[#This Row],[S ПП]]-Т402[[#This Row],[S ДДУ]],"")</f>
        <v/>
      </c>
      <c r="BF155" s="485">
        <f>_xlfn.XLOOKUP(Т402[[#This Row],[№]],Д402[№],Д402[Итоговая сумма скидки],"-",0)</f>
        <v>0</v>
      </c>
      <c r="BG155" s="486" t="str" cm="1">
        <f t="array" ref="BG15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5" s="488" t="str">
        <f>IFERROR(Т402[[#This Row],[ППС]]-Т402[[#This Row],[ДДУС]],"")</f>
        <v/>
      </c>
    </row>
    <row r="156" spans="1:60" x14ac:dyDescent="0.2">
      <c r="A156" s="611"/>
      <c r="B156" s="234">
        <f>VLOOKUP(ППД4!A153,Реестр_Д4[№],1,0)</f>
        <v>152</v>
      </c>
      <c r="C156" s="234" t="str">
        <f>VLOOKUP(ППД4!CO153,Реестр_Д4[Статус],1,0)</f>
        <v>Продажа</v>
      </c>
      <c r="D156" s="612">
        <f>VLOOKUP(ППД4!CE153,Реестр_Д4[Стоимость ОН без отделки со скидкой],1,0)</f>
        <v>2732661.63</v>
      </c>
      <c r="E156" s="612" cm="1">
        <f t="array" ref="E156">IFERROR(INDEX(РД[Стоимость без отделки итог],MATCH($B$3&amp;Таблица4[[#This Row],[№]]&amp;"Продажа",РД[Дом]&amp;РД[№ кв]&amp;РД[Состояние],0),1),Таблица4[[#This Row],[Статус]])</f>
        <v>2732661.63</v>
      </c>
      <c r="F156" s="235">
        <f>IFERROR((Таблица4[[#This Row],[ПП]]-Таблица4[[#This Row],[ДДУ]])*1,"")</f>
        <v>0</v>
      </c>
      <c r="G156" s="235" cm="1">
        <f t="array" ref="G156">IFERROR(INDEX(РД[Стоимость с отделкой итог],MATCH($B$3&amp;Таблица4[[#This Row],[№]]&amp;"Продажа",РД[Дом]&amp;РД[№ кв]&amp;РД[Состояние],0),1),Таблица4[[#This Row],[Статус]])</f>
        <v>2732661.63</v>
      </c>
      <c r="H156" s="235">
        <f>_xlfn.XLOOKUP(Таблица4[[#This Row],[№]],Реестр_Д4[№],Реестр_Д4[Стоимость квартиры с отделкой],"-",0)</f>
        <v>2732661.63</v>
      </c>
      <c r="I156" s="235">
        <f>IFERROR(Таблица4[[#This Row],[СО ПП]]-Таблица4[[#This Row],[СО ДДУ]],"")</f>
        <v>0</v>
      </c>
      <c r="J156" s="233" cm="1">
        <f t="array" ref="J156">IFERROR(INDEX(РД[S],MATCH($B$3&amp;Таблица4[[#This Row],[№]]&amp;"Продажа",РД[Дом]&amp;РД[№ кв]&amp;РД[Состояние],0),1),Таблица4[[#This Row],[Статус]])</f>
        <v>33.79</v>
      </c>
      <c r="K156" s="233">
        <f>VLOOKUP(Таблица4[[#This Row],[№]],Реестр_Д4[],20,0)</f>
        <v>33.79</v>
      </c>
      <c r="L156" s="235">
        <f>IFERROR(Таблица4[[#This Row],[S ПП]]-Таблица4[[#This Row],[S ДДУ]],)</f>
        <v>0</v>
      </c>
      <c r="M156" s="235">
        <f>ROUND(_xlfn.XLOOKUP(Таблица4[[#This Row],[№]],Реестр_Д4[№],Реестр_Д4[Итоговая сумма скидки],"",0),2)</f>
        <v>143824.29999999999</v>
      </c>
      <c r="N156" s="235" cm="1">
        <f t="array" ref="N156">IFERROR(ROUND(_xlfn.XLOOKUP($B$3&amp;Таблица4[[#This Row],[№]]&amp;"Продажа",РД[Дом]&amp;РД[№ кв]&amp;РД[Состояние],РД[Сумма скидки],"",0),2),Таблица4[[#This Row],[Статус]])</f>
        <v>143824.29999999999</v>
      </c>
      <c r="O156" s="235">
        <f>IFERROR(Таблица4[[#This Row],[ППС]]-Таблица4[[#This Row],[ДДУС]],)</f>
        <v>0</v>
      </c>
      <c r="P156" s="611"/>
      <c r="Q156" s="234">
        <f>VLOOKUP(ППД5!A153,Реестр_Д5[№],1,0)</f>
        <v>152</v>
      </c>
      <c r="R156" s="234" t="str">
        <f>VLOOKUP(ППД5!CH153,Реестр_Д5[Статус],1,0)</f>
        <v>Продажа</v>
      </c>
      <c r="S156" s="612">
        <f>VLOOKUP(ППД5!BZ153,Реестр_Д5[Стоимость ОН без отделки со скидкой],1,0)</f>
        <v>4030314.79</v>
      </c>
      <c r="T156" s="612" cm="1">
        <f t="array" ref="T156">IFERROR(INDEX(РД[Стоимость без отделки итог],MATCH($Q$3&amp;Таблица10[[#This Row],[№]]&amp;"Продажа",РД[Дом]&amp;РД[№ кв]&amp;РД[Состояние],0),1),Таблица10[[#This Row],[Статус]])</f>
        <v>4030314.79</v>
      </c>
      <c r="U156" s="235">
        <f>IFERROR((Таблица10[[#This Row],[ПП]]-Таблица10[[#This Row],[ДДУ]])*1,)</f>
        <v>0</v>
      </c>
      <c r="V156" s="235" cm="1">
        <f t="array" ref="V156">IFERROR(INDEX(РД[Стоимость с отделкой итог],MATCH($Q$3&amp;Таблица10[[#This Row],[№]]&amp;"Продажа",РД[Дом]&amp;РД[№ кв]&amp;РД[Состояние],0),1),Таблица10[[#This Row],[Статус]])</f>
        <v>4030314.79</v>
      </c>
      <c r="W156" s="235">
        <f>_xlfn.XLOOKUP(Таблица10[[#This Row],[№]],Реестр_Д5[№],Реестр_Д5[Стоимость квартиры с отделкой],"-",0)</f>
        <v>4030314.79</v>
      </c>
      <c r="X156" s="235">
        <f>IFERROR(Таблица10[[#This Row],[СО ПП]]-Таблица10[[#This Row],[СО ДДУ]],"")</f>
        <v>0</v>
      </c>
      <c r="Y156" s="233" cm="1">
        <f t="array" ref="Y156">IFERROR(INDEX(РД[S],MATCH($Q$3&amp;Таблица10[[#This Row],[№]]&amp;"Продажа",РД[Дом]&amp;РД[№ кв]&amp;РД[Состояние],0),1),Таблица10[[#This Row],[Статус]])</f>
        <v>42.28</v>
      </c>
      <c r="Z156" s="233">
        <f>IF(Таблица10[[#This Row],[№]]&amp;"ДДУ"=ППД5!A153&amp;ППД5!CR153,ППД5!U153,ППД5!V153)</f>
        <v>42.28</v>
      </c>
      <c r="AA156" s="285">
        <f>IFERROR(Таблица10[[#This Row],[S ПП]]-Таблица10[[#This Row],[S ДДУ]],)</f>
        <v>0</v>
      </c>
      <c r="AB156" s="235">
        <f>ROUND(_xlfn.XLOOKUP(Таблица10[[#This Row],[№]],Реестр_Д5[№],Реестр_Д5[Итоговая сумма скидки],"",0),2)</f>
        <v>0</v>
      </c>
      <c r="AC156" s="235" cm="1">
        <f t="array" ref="AC15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56" s="285">
        <f>IFERROR(Таблица10[[#This Row],[ППС]]-Таблица10[[#This Row],[ДДУС]],)</f>
        <v>0</v>
      </c>
      <c r="AE156" s="611"/>
      <c r="AT156" s="611"/>
      <c r="AU156" s="484">
        <f>VLOOKUP(ППД402!A153,Д402[],1,0)</f>
        <v>152</v>
      </c>
      <c r="AV156" s="484" t="str">
        <f>_xlfn.XLOOKUP(Т402[[#This Row],[№]],Д402[№],Д402[Статус],"-",0)</f>
        <v>Продажа</v>
      </c>
      <c r="AW156" s="613">
        <f>_xlfn.XLOOKUP(Т402[[#This Row],[№]],Д402[№],Д402[Стоимость ОН без отделки со скидкой],"-",0)</f>
        <v>4611488</v>
      </c>
      <c r="AX156" s="614" cm="1">
        <f t="array" ref="AX156">IFERROR(INDEX(РД[Стоимость без отделки итог],MATCH($AU$3&amp;Т402[[#This Row],[№]]&amp;"Продажа",РД[Дом]&amp;РД[№ кв]&amp;РД[Состояние],0),1),Т402[[#This Row],[Статус]])</f>
        <v>4611488</v>
      </c>
      <c r="AY156" s="485">
        <f>IFERROR((Т402[[#This Row],[ПП]]-Т402[[#This Row],[ДДУ]])*1,"")</f>
        <v>0</v>
      </c>
      <c r="AZ156" s="486" cm="1">
        <f t="array" ref="AZ156">IFERROR(INDEX(РД[Стоимость с отделкой итог],MATCH($AU$3&amp;Т402[[#This Row],[№]]&amp;"Продажа",РД[Дом]&amp;РД[№ кв]&amp;РД[Состояние],0),1),Т402[[#This Row],[Статус]])</f>
        <v>5527238</v>
      </c>
      <c r="BA156" s="485">
        <f>_xlfn.XLOOKUP(Т402[[#This Row],[№]],Д402[№],Д402[Стоимость квартиры с отделкой],"-",0)</f>
        <v>5527238.0000000009</v>
      </c>
      <c r="BB156" s="485">
        <f>IFERROR(Т402[[#This Row],[СО ПП]]-Т402[[#This Row],[СО ДДУ]],"")</f>
        <v>9.3132257461547852E-10</v>
      </c>
      <c r="BC156" s="487" cm="1">
        <f t="array" ref="BC156">IFERROR(INDEX(РД[S],MATCH($AU$3&amp;Т402[[#This Row],[№]]&amp;"Продажа",РД[Дом]&amp;РД[№ кв]&amp;РД[Состояние],0),1),Т402[[#This Row],[Статус]])</f>
        <v>36.630000000000003</v>
      </c>
      <c r="BD156" s="483">
        <f>_xlfn.XLOOKUP(Т402[[#This Row],[№]],Д402[№],Д402[Расчетная проектная площадь],"-",0)</f>
        <v>36.630000000000003</v>
      </c>
      <c r="BE156" s="485">
        <f>IFERROR(Т402[[#This Row],[S ПП]]-Т402[[#This Row],[S ДДУ]],"")</f>
        <v>0</v>
      </c>
      <c r="BF156" s="485">
        <f>_xlfn.XLOOKUP(Т402[[#This Row],[№]],Д402[№],Д402[Итоговая сумма скидки],"-",0)</f>
        <v>94112</v>
      </c>
      <c r="BG156" s="486" cm="1">
        <f t="array" ref="BG156">IFERROR(ROUND(_xlfn.XLOOKUP($AU$3&amp;Т402[[#This Row],[№]]&amp;"Продажа",РД[Дом]&amp;РД[№ кв]&amp;РД[Состояние],РД[Сумма скидки],"",0),2),Т402[[#This Row],[Статус]])</f>
        <v>94112</v>
      </c>
      <c r="BH156" s="488">
        <f>IFERROR(Т402[[#This Row],[ППС]]-Т402[[#This Row],[ДДУС]],"")</f>
        <v>0</v>
      </c>
    </row>
    <row r="157" spans="1:60" x14ac:dyDescent="0.2">
      <c r="A157" s="611"/>
      <c r="B157" s="234">
        <f>VLOOKUP(ППД4!A154,Реестр_Д4[№],1,0)</f>
        <v>153</v>
      </c>
      <c r="C157" s="234" t="str">
        <f>VLOOKUP(ППД4!CO154,Реестр_Д4[Статус],1,0)</f>
        <v>Продажа</v>
      </c>
      <c r="D157" s="612">
        <f>VLOOKUP(ППД4!CE154,Реестр_Д4[Стоимость ОН без отделки со скидкой],1,0)</f>
        <v>2414917.4700000002</v>
      </c>
      <c r="E157" s="612" cm="1">
        <f t="array" ref="E157">IFERROR(INDEX(РД[Стоимость без отделки итог],MATCH($B$3&amp;Таблица4[[#This Row],[№]]&amp;"Продажа",РД[Дом]&amp;РД[№ кв]&amp;РД[Состояние],0),1),Таблица4[[#This Row],[Статус]])</f>
        <v>2414917.4700000002</v>
      </c>
      <c r="F157" s="235">
        <f>IFERROR((Таблица4[[#This Row],[ПП]]-Таблица4[[#This Row],[ДДУ]])*1,"")</f>
        <v>0</v>
      </c>
      <c r="G157" s="235" cm="1">
        <f t="array" ref="G157">IFERROR(INDEX(РД[Стоимость с отделкой итог],MATCH($B$3&amp;Таблица4[[#This Row],[№]]&amp;"Продажа",РД[Дом]&amp;РД[№ кв]&amp;РД[Состояние],0),1),Таблица4[[#This Row],[Статус]])</f>
        <v>2414917.4700000002</v>
      </c>
      <c r="H157" s="235">
        <f>_xlfn.XLOOKUP(Таблица4[[#This Row],[№]],Реестр_Д4[№],Реестр_Д4[Стоимость квартиры с отделкой],"-",0)</f>
        <v>2414917.4700000002</v>
      </c>
      <c r="I157" s="235">
        <f>IFERROR(Таблица4[[#This Row],[СО ПП]]-Таблица4[[#This Row],[СО ДДУ]],"")</f>
        <v>0</v>
      </c>
      <c r="J157" s="233" cm="1">
        <f t="array" ref="J157">IFERROR(INDEX(РД[S],MATCH($B$3&amp;Таблица4[[#This Row],[№]]&amp;"Продажа",РД[Дом]&amp;РД[№ кв]&amp;РД[Состояние],0),1),Таблица4[[#This Row],[Статус]])</f>
        <v>28.97</v>
      </c>
      <c r="K157" s="233">
        <f>VLOOKUP(Таблица4[[#This Row],[№]],Реестр_Д4[],20,0)</f>
        <v>28.97</v>
      </c>
      <c r="L157" s="235">
        <f>IFERROR(Таблица4[[#This Row],[S ПП]]-Таблица4[[#This Row],[S ДДУ]],)</f>
        <v>0</v>
      </c>
      <c r="M157" s="235">
        <f>ROUND(_xlfn.XLOOKUP(Таблица4[[#This Row],[№]],Реестр_Д4[№],Реестр_Д4[Итоговая сумма скидки],"",0),2)</f>
        <v>0</v>
      </c>
      <c r="N157" s="235" cm="1">
        <f t="array" ref="N15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7" s="235">
        <f>IFERROR(Таблица4[[#This Row],[ППС]]-Таблица4[[#This Row],[ДДУС]],)</f>
        <v>0</v>
      </c>
      <c r="P157" s="611"/>
      <c r="Q157" s="234">
        <f>VLOOKUP(ППД5!A154,Реестр_Д5[№],1,0)</f>
        <v>153</v>
      </c>
      <c r="R157" s="234" t="str">
        <f>VLOOKUP(ППД5!CH154,Реестр_Д5[Статус],1,0)</f>
        <v>Продажа</v>
      </c>
      <c r="S157" s="612">
        <f>VLOOKUP(ППД5!BZ154,Реестр_Д5[Стоимость ОН без отделки со скидкой],1,0)</f>
        <v>5380396</v>
      </c>
      <c r="T157" s="612" cm="1">
        <f t="array" ref="T157">IFERROR(INDEX(РД[Стоимость без отделки итог],MATCH($Q$3&amp;Таблица10[[#This Row],[№]]&amp;"Продажа",РД[Дом]&amp;РД[№ кв]&amp;РД[Состояние],0),1),Таблица10[[#This Row],[Статус]])</f>
        <v>5380396</v>
      </c>
      <c r="U157" s="235">
        <f>IFERROR((Таблица10[[#This Row],[ПП]]-Таблица10[[#This Row],[ДДУ]])*1,)</f>
        <v>0</v>
      </c>
      <c r="V157" s="235" cm="1">
        <f t="array" ref="V157">IFERROR(INDEX(РД[Стоимость с отделкой итог],MATCH($Q$3&amp;Таблица10[[#This Row],[№]]&amp;"Продажа",РД[Дом]&amp;РД[№ кв]&amp;РД[Состояние],0),1),Таблица10[[#This Row],[Статус]])</f>
        <v>6584796</v>
      </c>
      <c r="W157" s="235">
        <f>_xlfn.XLOOKUP(Таблица10[[#This Row],[№]],Реестр_Д5[№],Реестр_Д5[Стоимость квартиры с отделкой],"-",0)</f>
        <v>6584796</v>
      </c>
      <c r="X157" s="235">
        <f>IFERROR(Таблица10[[#This Row],[СО ПП]]-Таблица10[[#This Row],[СО ДДУ]],"")</f>
        <v>0</v>
      </c>
      <c r="Y157" s="233" cm="1">
        <f t="array" ref="Y157">IFERROR(INDEX(РД[S],MATCH($Q$3&amp;Таблица10[[#This Row],[№]]&amp;"Продажа",РД[Дом]&amp;РД[№ кв]&amp;РД[Состояние],0),1),Таблица10[[#This Row],[Статус]])</f>
        <v>60.22</v>
      </c>
      <c r="Z157" s="233">
        <f>IF(Таблица10[[#This Row],[№]]&amp;"ДДУ"=ППД5!A154&amp;ППД5!CR154,ППД5!U154,ППД5!V154)</f>
        <v>60.22</v>
      </c>
      <c r="AA157" s="285">
        <f>IFERROR(Таблица10[[#This Row],[S ПП]]-Таблица10[[#This Row],[S ДДУ]],)</f>
        <v>0</v>
      </c>
      <c r="AB157" s="235">
        <f>ROUND(_xlfn.XLOOKUP(Таблица10[[#This Row],[№]],Реестр_Д5[№],Реестр_Д5[Итоговая сумма скидки],"",0),2)</f>
        <v>166404</v>
      </c>
      <c r="AC157" s="235" cm="1">
        <f t="array" ref="AC157">IFERROR(ROUND(_xlfn.XLOOKUP($Q$3&amp;Таблица10[[#This Row],[№]]&amp;"Продажа",РД[Дом]&amp;РД[№ кв]&amp;РД[Состояние],РД[Сумма скидки],"",0,-1),2),Таблица10[[#This Row],[Статус]])</f>
        <v>166404</v>
      </c>
      <c r="AD157" s="285">
        <f>IFERROR(Таблица10[[#This Row],[ППС]]-Таблица10[[#This Row],[ДДУС]],)</f>
        <v>0</v>
      </c>
      <c r="AE157" s="611"/>
      <c r="AT157" s="611"/>
      <c r="AU157" s="484">
        <f>VLOOKUP(ППД402!A154,Д402[],1,0)</f>
        <v>153</v>
      </c>
      <c r="AV157" s="484" t="str">
        <f>_xlfn.XLOOKUP(Т402[[#This Row],[№]],Д402[№],Д402[Статус],"-",0)</f>
        <v>Стр. Резерв</v>
      </c>
      <c r="AW157" s="613">
        <f>_xlfn.XLOOKUP(Т402[[#This Row],[№]],Д402[№],Д402[Стоимость ОН без отделки со скидкой],"-",0)</f>
        <v>4323300</v>
      </c>
      <c r="AX157" s="614" t="str" cm="1">
        <f t="array" ref="AX15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7" s="485" t="str">
        <f>IFERROR((Т402[[#This Row],[ПП]]-Т402[[#This Row],[ДДУ]])*1,"")</f>
        <v/>
      </c>
      <c r="AZ157" s="486" t="str" cm="1">
        <f t="array" ref="AZ15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7" s="485">
        <f>_xlfn.XLOOKUP(Т402[[#This Row],[№]],Д402[№],Д402[Стоимость квартиры с отделкой],"-",0)</f>
        <v>4323300</v>
      </c>
      <c r="BB157" s="485" t="str">
        <f>IFERROR(Т402[[#This Row],[СО ПП]]-Т402[[#This Row],[СО ДДУ]],"")</f>
        <v/>
      </c>
      <c r="BC157" s="487" t="str" cm="1">
        <f t="array" ref="BC157">IFERROR(INDEX(РД[S],MATCH($AU$3&amp;Т402[[#This Row],[№]]&amp;"Продажа",РД[Дом]&amp;РД[№ кв]&amp;РД[Состояние],0),1),Т402[[#This Row],[Статус]])</f>
        <v>Стр. Резерв</v>
      </c>
      <c r="BD157" s="483">
        <f>_xlfn.XLOOKUP(Т402[[#This Row],[№]],Д402[№],Д402[Расчетная проектная площадь],"-",0)</f>
        <v>29.5</v>
      </c>
      <c r="BE157" s="485" t="str">
        <f>IFERROR(Т402[[#This Row],[S ПП]]-Т402[[#This Row],[S ДДУ]],"")</f>
        <v/>
      </c>
      <c r="BF157" s="485">
        <f>_xlfn.XLOOKUP(Т402[[#This Row],[№]],Д402[№],Д402[Итоговая сумма скидки],"-",0)</f>
        <v>0</v>
      </c>
      <c r="BG157" s="486" t="str" cm="1">
        <f t="array" ref="BG15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7" s="488" t="str">
        <f>IFERROR(Т402[[#This Row],[ППС]]-Т402[[#This Row],[ДДУС]],"")</f>
        <v/>
      </c>
    </row>
    <row r="158" spans="1:60" x14ac:dyDescent="0.2">
      <c r="A158" s="611"/>
      <c r="B158" s="234">
        <f>VLOOKUP(ППД4!A155,Реестр_Д4[№],1,0)</f>
        <v>154</v>
      </c>
      <c r="C158" s="234" t="str">
        <f>VLOOKUP(ППД4!CO155,Реестр_Д4[Статус],1,0)</f>
        <v>Продажа</v>
      </c>
      <c r="D158" s="612">
        <f>VLOOKUP(ППД4!CE155,Реестр_Д4[Стоимость ОН без отделки со скидкой],1,0)</f>
        <v>6823400</v>
      </c>
      <c r="E158" s="612" cm="1">
        <f t="array" ref="E158">IFERROR(INDEX(РД[Стоимость без отделки итог],MATCH($B$3&amp;Таблица4[[#This Row],[№]]&amp;"Продажа",РД[Дом]&amp;РД[№ кв]&amp;РД[Состояние],0),1),Таблица4[[#This Row],[Статус]])</f>
        <v>6823400</v>
      </c>
      <c r="F158" s="235">
        <f>IFERROR((Таблица4[[#This Row],[ПП]]-Таблица4[[#This Row],[ДДУ]])*1,"")</f>
        <v>0</v>
      </c>
      <c r="G158" s="235" cm="1">
        <f t="array" ref="G158">IFERROR(INDEX(РД[Стоимость с отделкой итог],MATCH($B$3&amp;Таблица4[[#This Row],[№]]&amp;"Продажа",РД[Дом]&amp;РД[№ кв]&amp;РД[Состояние],0),1),Таблица4[[#This Row],[Статус]])</f>
        <v>6823400</v>
      </c>
      <c r="H158" s="235">
        <f>_xlfn.XLOOKUP(Таблица4[[#This Row],[№]],Реестр_Д4[№],Реестр_Д4[Стоимость квартиры с отделкой],"-",0)</f>
        <v>6823400</v>
      </c>
      <c r="I158" s="235">
        <f>IFERROR(Таблица4[[#This Row],[СО ПП]]-Таблица4[[#This Row],[СО ДДУ]],"")</f>
        <v>0</v>
      </c>
      <c r="J158" s="233" cm="1">
        <f t="array" ref="J158">IFERROR(INDEX(РД[S],MATCH($B$3&amp;Таблица4[[#This Row],[№]]&amp;"Продажа",РД[Дом]&amp;РД[№ кв]&amp;РД[Состояние],0),1),Таблица4[[#This Row],[Статус]])</f>
        <v>68.75</v>
      </c>
      <c r="K158" s="233">
        <f>VLOOKUP(Таблица4[[#This Row],[№]],Реестр_Д4[],20,0)</f>
        <v>68.75</v>
      </c>
      <c r="L158" s="235">
        <f>IFERROR(Таблица4[[#This Row],[S ПП]]-Таблица4[[#This Row],[S ДДУ]],)</f>
        <v>0</v>
      </c>
      <c r="M158" s="235">
        <f>ROUND(_xlfn.XLOOKUP(Таблица4[[#This Row],[№]],Реестр_Д4[№],Реестр_Д4[Итоговая сумма скидки],"",0),2)</f>
        <v>90000</v>
      </c>
      <c r="N158" s="235" cm="1">
        <f t="array" ref="N158">IFERROR(ROUND(_xlfn.XLOOKUP($B$3&amp;Таблица4[[#This Row],[№]]&amp;"Продажа",РД[Дом]&amp;РД[№ кв]&amp;РД[Состояние],РД[Сумма скидки],"",0),2),Таблица4[[#This Row],[Статус]])</f>
        <v>90000</v>
      </c>
      <c r="O158" s="235">
        <f>IFERROR(Таблица4[[#This Row],[ППС]]-Таблица4[[#This Row],[ДДУС]],)</f>
        <v>0</v>
      </c>
      <c r="P158" s="611"/>
      <c r="Q158" s="234">
        <f>VLOOKUP(ППД5!A155,Реестр_Д5[№],1,0)</f>
        <v>154</v>
      </c>
      <c r="R158" s="234" t="str">
        <f>VLOOKUP(ППД5!CH155,Реестр_Д5[Статус],1,0)</f>
        <v>Продажа</v>
      </c>
      <c r="S158" s="612">
        <f>VLOOKUP(ППД5!BZ155,Реестр_Д5[Стоимость ОН без отделки со скидкой],1,0)</f>
        <v>2642977.98</v>
      </c>
      <c r="T158" s="612" cm="1">
        <f t="array" ref="T158">IFERROR(INDEX(РД[Стоимость без отделки итог],MATCH($Q$3&amp;Таблица10[[#This Row],[№]]&amp;"Продажа",РД[Дом]&amp;РД[№ кв]&amp;РД[Состояние],0),1),Таблица10[[#This Row],[Статус]])</f>
        <v>2642977.98</v>
      </c>
      <c r="U158" s="235">
        <f>IFERROR((Таблица10[[#This Row],[ПП]]-Таблица10[[#This Row],[ДДУ]])*1,)</f>
        <v>0</v>
      </c>
      <c r="V158" s="235" cm="1">
        <f t="array" ref="V158">IFERROR(INDEX(РД[Стоимость с отделкой итог],MATCH($Q$3&amp;Таблица10[[#This Row],[№]]&amp;"Продажа",РД[Дом]&amp;РД[№ кв]&amp;РД[Состояние],0),1),Таблица10[[#This Row],[Статус]])</f>
        <v>2642977.98</v>
      </c>
      <c r="W158" s="235">
        <f>_xlfn.XLOOKUP(Таблица10[[#This Row],[№]],Реестр_Д5[№],Реестр_Д5[Стоимость квартиры с отделкой],"-",0)</f>
        <v>2642977.98</v>
      </c>
      <c r="X158" s="235">
        <f>IFERROR(Таблица10[[#This Row],[СО ПП]]-Таблица10[[#This Row],[СО ДДУ]],"")</f>
        <v>0</v>
      </c>
      <c r="Y158" s="233" cm="1">
        <f t="array" ref="Y158">IFERROR(INDEX(РД[S],MATCH($Q$3&amp;Таблица10[[#This Row],[№]]&amp;"Продажа",РД[Дом]&amp;РД[№ кв]&amp;РД[Состояние],0),1),Таблица10[[#This Row],[Статус]])</f>
        <v>24.28</v>
      </c>
      <c r="Z158" s="233">
        <f>IF(Таблица10[[#This Row],[№]]&amp;"ДДУ"=ППД5!A155&amp;ППД5!CR155,ППД5!U155,ППД5!V155)</f>
        <v>24.28</v>
      </c>
      <c r="AA158" s="285">
        <f>IFERROR(Таблица10[[#This Row],[S ПП]]-Таблица10[[#This Row],[S ДДУ]],)</f>
        <v>0</v>
      </c>
      <c r="AB158" s="235">
        <f>ROUND(_xlfn.XLOOKUP(Таблица10[[#This Row],[№]],Реестр_Д5[№],Реестр_Д5[Итоговая сумма скидки],"",0),2)</f>
        <v>81741.59</v>
      </c>
      <c r="AC158" s="235" cm="1">
        <f t="array" ref="AC158">IFERROR(ROUND(_xlfn.XLOOKUP($Q$3&amp;Таблица10[[#This Row],[№]]&amp;"Продажа",РД[Дом]&amp;РД[№ кв]&amp;РД[Состояние],РД[Сумма скидки],"",0,-1),2),Таблица10[[#This Row],[Статус]])</f>
        <v>81741.59</v>
      </c>
      <c r="AD158" s="285">
        <f>IFERROR(Таблица10[[#This Row],[ППС]]-Таблица10[[#This Row],[ДДУС]],)</f>
        <v>0</v>
      </c>
      <c r="AE158" s="611"/>
      <c r="AT158" s="611"/>
      <c r="AU158" s="484">
        <f>VLOOKUP(ППД402!A155,Д402[],1,0)</f>
        <v>154</v>
      </c>
      <c r="AV158" s="484" t="str">
        <f>_xlfn.XLOOKUP(Т402[[#This Row],[№]],Д402[№],Д402[Статус],"-",0)</f>
        <v>Стр. Резерв</v>
      </c>
      <c r="AW158" s="613">
        <f>_xlfn.XLOOKUP(Т402[[#This Row],[№]],Д402[№],Д402[Стоимость ОН без отделки со скидкой],"-",0)</f>
        <v>4023800</v>
      </c>
      <c r="AX158" s="614" t="str" cm="1">
        <f t="array" ref="AX15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58" s="485" t="str">
        <f>IFERROR((Т402[[#This Row],[ПП]]-Т402[[#This Row],[ДДУ]])*1,"")</f>
        <v/>
      </c>
      <c r="AZ158" s="486" t="str" cm="1">
        <f t="array" ref="AZ15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58" s="485">
        <f>_xlfn.XLOOKUP(Т402[[#This Row],[№]],Д402[№],Д402[Стоимость квартиры с отделкой],"-",0)</f>
        <v>4863500</v>
      </c>
      <c r="BB158" s="485" t="str">
        <f>IFERROR(Т402[[#This Row],[СО ПП]]-Т402[[#This Row],[СО ДДУ]],"")</f>
        <v/>
      </c>
      <c r="BC158" s="487" t="str" cm="1">
        <f t="array" ref="BC158">IFERROR(INDEX(РД[S],MATCH($AU$3&amp;Т402[[#This Row],[№]]&amp;"Продажа",РД[Дом]&amp;РД[№ кв]&amp;РД[Состояние],0),1),Т402[[#This Row],[Статус]])</f>
        <v>Стр. Резерв</v>
      </c>
      <c r="BD158" s="483">
        <f>_xlfn.XLOOKUP(Т402[[#This Row],[№]],Д402[№],Д402[Расчетная проектная площадь],"-",0)</f>
        <v>27.99</v>
      </c>
      <c r="BE158" s="485" t="str">
        <f>IFERROR(Т402[[#This Row],[S ПП]]-Т402[[#This Row],[S ДДУ]],"")</f>
        <v/>
      </c>
      <c r="BF158" s="485">
        <f>_xlfn.XLOOKUP(Т402[[#This Row],[№]],Д402[№],Д402[Итоговая сумма скидки],"-",0)</f>
        <v>0</v>
      </c>
      <c r="BG158" s="486" t="str" cm="1">
        <f t="array" ref="BG15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58" s="488" t="str">
        <f>IFERROR(Т402[[#This Row],[ППС]]-Т402[[#This Row],[ДДУС]],"")</f>
        <v/>
      </c>
    </row>
    <row r="159" spans="1:60" x14ac:dyDescent="0.2">
      <c r="A159" s="611"/>
      <c r="B159" s="234">
        <f>VLOOKUP(ППД4!A156,Реестр_Д4[№],1,0)</f>
        <v>155</v>
      </c>
      <c r="C159" s="234" t="str">
        <f>VLOOKUP(ППД4!CO156,Реестр_Д4[Статус],1,0)</f>
        <v>Продажа</v>
      </c>
      <c r="D159" s="612">
        <f>VLOOKUP(ППД4!CE156,Реестр_Д4[Стоимость ОН без отделки со скидкой],1,0)</f>
        <v>2678442.9</v>
      </c>
      <c r="E159" s="612" cm="1">
        <f t="array" ref="E159">IFERROR(INDEX(РД[Стоимость без отделки итог],MATCH($B$3&amp;Таблица4[[#This Row],[№]]&amp;"Продажа",РД[Дом]&amp;РД[№ кв]&amp;РД[Состояние],0),1),Таблица4[[#This Row],[Статус]])</f>
        <v>2678442.9</v>
      </c>
      <c r="F159" s="235">
        <f>IFERROR((Таблица4[[#This Row],[ПП]]-Таблица4[[#This Row],[ДДУ]])*1,"")</f>
        <v>0</v>
      </c>
      <c r="G159" s="235" cm="1">
        <f t="array" ref="G159">IFERROR(INDEX(РД[Стоимость с отделкой итог],MATCH($B$3&amp;Таблица4[[#This Row],[№]]&amp;"Продажа",РД[Дом]&amp;РД[№ кв]&amp;РД[Состояние],0),1),Таблица4[[#This Row],[Статус]])</f>
        <v>2678442.9</v>
      </c>
      <c r="H159" s="235">
        <f>_xlfn.XLOOKUP(Таблица4[[#This Row],[№]],Реестр_Д4[№],Реестр_Д4[Стоимость квартиры с отделкой],"-",0)</f>
        <v>2678442.9</v>
      </c>
      <c r="I159" s="235">
        <f>IFERROR(Таблица4[[#This Row],[СО ПП]]-Таблица4[[#This Row],[СО ДДУ]],"")</f>
        <v>0</v>
      </c>
      <c r="J159" s="233" cm="1">
        <f t="array" ref="J159">IFERROR(INDEX(РД[S],MATCH($B$3&amp;Таблица4[[#This Row],[№]]&amp;"Продажа",РД[Дом]&amp;РД[№ кв]&amp;РД[Состояние],0),1),Таблица4[[#This Row],[Статус]])</f>
        <v>35.380000000000003</v>
      </c>
      <c r="K159" s="233">
        <f>VLOOKUP(Таблица4[[#This Row],[№]],Реестр_Д4[],20,0)</f>
        <v>35.380000000000003</v>
      </c>
      <c r="L159" s="235">
        <f>IFERROR(Таблица4[[#This Row],[S ПП]]-Таблица4[[#This Row],[S ДДУ]],)</f>
        <v>0</v>
      </c>
      <c r="M159" s="235">
        <f>ROUND(_xlfn.XLOOKUP(Таблица4[[#This Row],[№]],Реестр_Д4[№],Реестр_Д4[Итоговая сумма скидки],"",0),2)</f>
        <v>0</v>
      </c>
      <c r="N159" s="235" cm="1">
        <f t="array" ref="N15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59" s="235">
        <f>IFERROR(Таблица4[[#This Row],[ППС]]-Таблица4[[#This Row],[ДДУС]],)</f>
        <v>0</v>
      </c>
      <c r="P159" s="611"/>
      <c r="Q159" s="234">
        <f>VLOOKUP(ППД5!A156,Реестр_Д5[№],1,0)</f>
        <v>155</v>
      </c>
      <c r="R159" s="234" t="str">
        <f>VLOOKUP(ППД5!CH156,Реестр_Д5[Статус],1,0)</f>
        <v>Продажа</v>
      </c>
      <c r="S159" s="612">
        <f>VLOOKUP(ППД5!BZ156,Реестр_Д5[Стоимость ОН без отделки со скидкой],1,0)</f>
        <v>4786524.0999999996</v>
      </c>
      <c r="T159" s="612" cm="1">
        <f t="array" ref="T159">IFERROR(INDEX(РД[Стоимость без отделки итог],MATCH($Q$3&amp;Таблица10[[#This Row],[№]]&amp;"Продажа",РД[Дом]&amp;РД[№ кв]&amp;РД[Состояние],0),1),Таблица10[[#This Row],[Статус]])</f>
        <v>4786524.0999999996</v>
      </c>
      <c r="U159" s="235">
        <f>IFERROR((Таблица10[[#This Row],[ПП]]-Таблица10[[#This Row],[ДДУ]])*1,)</f>
        <v>0</v>
      </c>
      <c r="V159" s="235" cm="1">
        <f t="array" ref="V159">IFERROR(INDEX(РД[Стоимость с отделкой итог],MATCH($Q$3&amp;Таблица10[[#This Row],[№]]&amp;"Продажа",РД[Дом]&amp;РД[№ кв]&amp;РД[Состояние],0),1),Таблица10[[#This Row],[Статус]])</f>
        <v>4786524.0999999996</v>
      </c>
      <c r="W159" s="235">
        <f>_xlfn.XLOOKUP(Таблица10[[#This Row],[№]],Реестр_Д5[№],Реестр_Д5[Стоимость квартиры с отделкой],"-",0)</f>
        <v>4786524.0999999996</v>
      </c>
      <c r="X159" s="235">
        <f>IFERROR(Таблица10[[#This Row],[СО ПП]]-Таблица10[[#This Row],[СО ДДУ]],"")</f>
        <v>0</v>
      </c>
      <c r="Y159" s="233" cm="1">
        <f t="array" ref="Y159">IFERROR(INDEX(РД[S],MATCH($Q$3&amp;Таблица10[[#This Row],[№]]&amp;"Продажа",РД[Дом]&amp;РД[№ кв]&amp;РД[Состояние],0),1),Таблица10[[#This Row],[Статус]])</f>
        <v>57.6</v>
      </c>
      <c r="Z159" s="233">
        <f>IF(Таблица10[[#This Row],[№]]&amp;"ДДУ"=ППД5!A156&amp;ППД5!CR156,ППД5!U156,ППД5!V156)</f>
        <v>57.6</v>
      </c>
      <c r="AA159" s="285">
        <f>IFERROR(Таблица10[[#This Row],[S ПП]]-Таблица10[[#This Row],[S ДДУ]],)</f>
        <v>0</v>
      </c>
      <c r="AB159" s="235">
        <f>ROUND(_xlfn.XLOOKUP(Таблица10[[#This Row],[№]],Реестр_Д5[№],Реестр_Д5[Итоговая сумма скидки],"",0),2)</f>
        <v>120000</v>
      </c>
      <c r="AC159" s="235" cm="1">
        <f t="array" ref="AC159">IFERROR(ROUND(_xlfn.XLOOKUP($Q$3&amp;Таблица10[[#This Row],[№]]&amp;"Продажа",РД[Дом]&amp;РД[№ кв]&amp;РД[Состояние],РД[Сумма скидки],"",0,-1),2),Таблица10[[#This Row],[Статус]])</f>
        <v>120000</v>
      </c>
      <c r="AD159" s="285">
        <f>IFERROR(Таблица10[[#This Row],[ППС]]-Таблица10[[#This Row],[ДДУС]],)</f>
        <v>0</v>
      </c>
      <c r="AE159" s="611"/>
      <c r="AT159" s="611"/>
      <c r="AU159" s="484">
        <f>VLOOKUP(ППД402!A156,Д402[],1,0)</f>
        <v>155</v>
      </c>
      <c r="AV159" s="484" t="str">
        <f>_xlfn.XLOOKUP(Т402[[#This Row],[№]],Д402[№],Д402[Статус],"-",0)</f>
        <v>Продажа</v>
      </c>
      <c r="AW159" s="613">
        <f>_xlfn.XLOOKUP(Т402[[#This Row],[№]],Д402[№],Д402[Стоимость ОН без отделки со скидкой],"-",0)</f>
        <v>7125776</v>
      </c>
      <c r="AX159" s="614" cm="1">
        <f t="array" ref="AX159">IFERROR(INDEX(РД[Стоимость без отделки итог],MATCH($AU$3&amp;Т402[[#This Row],[№]]&amp;"Продажа",РД[Дом]&amp;РД[№ кв]&amp;РД[Состояние],0),1),Т402[[#This Row],[Статус]])</f>
        <v>7125776</v>
      </c>
      <c r="AY159" s="485">
        <f>IFERROR((Т402[[#This Row],[ПП]]-Т402[[#This Row],[ДДУ]])*1,"")</f>
        <v>0</v>
      </c>
      <c r="AZ159" s="486" cm="1">
        <f t="array" ref="AZ159">IFERROR(INDEX(РД[Стоимость с отделкой итог],MATCH($AU$3&amp;Т402[[#This Row],[№]]&amp;"Продажа",РД[Дом]&amp;РД[№ кв]&amp;РД[Состояние],0),1),Т402[[#This Row],[Статус]])</f>
        <v>7760176</v>
      </c>
      <c r="BA159" s="485">
        <f>_xlfn.XLOOKUP(Т402[[#This Row],[№]],Д402[№],Д402[Стоимость квартиры с отделкой],"-",0)</f>
        <v>7760176</v>
      </c>
      <c r="BB159" s="485">
        <f>IFERROR(Т402[[#This Row],[СО ПП]]-Т402[[#This Row],[СО ДДУ]],"")</f>
        <v>0</v>
      </c>
      <c r="BC159" s="487" cm="1">
        <f t="array" ref="BC159">IFERROR(INDEX(РД[S],MATCH($AU$3&amp;Т402[[#This Row],[№]]&amp;"Продажа",РД[Дом]&amp;РД[№ кв]&amp;РД[Состояние],0),1),Т402[[#This Row],[Статус]])</f>
        <v>63.44</v>
      </c>
      <c r="BD159" s="483">
        <f>_xlfn.XLOOKUP(Т402[[#This Row],[№]],Д402[№],Д402[Расчетная проектная площадь],"-",0)</f>
        <v>63.44</v>
      </c>
      <c r="BE159" s="485">
        <f>IFERROR(Т402[[#This Row],[S ПП]]-Т402[[#This Row],[S ДДУ]],"")</f>
        <v>0</v>
      </c>
      <c r="BF159" s="485">
        <f>_xlfn.XLOOKUP(Т402[[#This Row],[№]],Д402[№],Д402[Итоговая сумма скидки],"-",0)</f>
        <v>145424</v>
      </c>
      <c r="BG159" s="486" cm="1">
        <f t="array" ref="BG159">IFERROR(ROUND(_xlfn.XLOOKUP($AU$3&amp;Т402[[#This Row],[№]]&amp;"Продажа",РД[Дом]&amp;РД[№ кв]&amp;РД[Состояние],РД[Сумма скидки],"",0),2),Т402[[#This Row],[Статус]])</f>
        <v>145424</v>
      </c>
      <c r="BH159" s="488">
        <f>IFERROR(Т402[[#This Row],[ППС]]-Т402[[#This Row],[ДДУС]],"")</f>
        <v>0</v>
      </c>
    </row>
    <row r="160" spans="1:60" x14ac:dyDescent="0.2">
      <c r="A160" s="611"/>
      <c r="B160" s="234">
        <f>VLOOKUP(ППД4!A157,Реестр_Д4[№],1,0)</f>
        <v>156</v>
      </c>
      <c r="C160" s="234" t="str">
        <f>VLOOKUP(ППД4!CO157,Реестр_Д4[Статус],1,0)</f>
        <v>Продажа</v>
      </c>
      <c r="D160" s="612">
        <f>VLOOKUP(ППД4!CE157,Реестр_Д4[Стоимость ОН без отделки со скидкой],1,0)</f>
        <v>3805626.03</v>
      </c>
      <c r="E160" s="612" cm="1">
        <f t="array" ref="E160">IFERROR(INDEX(РД[Стоимость без отделки итог],MATCH($B$3&amp;Таблица4[[#This Row],[№]]&amp;"Продажа",РД[Дом]&amp;РД[№ кв]&amp;РД[Состояние],0),1),Таблица4[[#This Row],[Статус]])</f>
        <v>3805626.03</v>
      </c>
      <c r="F160" s="235">
        <f>IFERROR((Таблица4[[#This Row],[ПП]]-Таблица4[[#This Row],[ДДУ]])*1,"")</f>
        <v>0</v>
      </c>
      <c r="G160" s="235" cm="1">
        <f t="array" ref="G160">IFERROR(INDEX(РД[Стоимость с отделкой итог],MATCH($B$3&amp;Таблица4[[#This Row],[№]]&amp;"Продажа",РД[Дом]&amp;РД[№ кв]&amp;РД[Состояние],0),1),Таблица4[[#This Row],[Статус]])</f>
        <v>3975771.03</v>
      </c>
      <c r="H160" s="235">
        <f>_xlfn.XLOOKUP(Таблица4[[#This Row],[№]],Реестр_Д4[№],Реестр_Д4[Стоимость квартиры с отделкой],"-",0)</f>
        <v>3975771.03</v>
      </c>
      <c r="I160" s="235">
        <f>IFERROR(Таблица4[[#This Row],[СО ПП]]-Таблица4[[#This Row],[СО ДДУ]],"")</f>
        <v>0</v>
      </c>
      <c r="J160" s="233" cm="1">
        <f t="array" ref="J160">IFERROR(INDEX(РД[S],MATCH($B$3&amp;Таблица4[[#This Row],[№]]&amp;"Продажа",РД[Дом]&amp;РД[№ кв]&amp;РД[Состояние],0),1),Таблица4[[#This Row],[Статус]])</f>
        <v>37.81</v>
      </c>
      <c r="K160" s="233">
        <f>VLOOKUP(Таблица4[[#This Row],[№]],Реестр_Д4[],20,0)</f>
        <v>37.81</v>
      </c>
      <c r="L160" s="235">
        <f>IFERROR(Таблица4[[#This Row],[S ПП]]-Таблица4[[#This Row],[S ДДУ]],)</f>
        <v>0</v>
      </c>
      <c r="M160" s="235">
        <f>ROUND(_xlfn.XLOOKUP(Таблица4[[#This Row],[№]],Реестр_Д4[№],Реестр_Д4[Итоговая сумма скидки],"",0),2)</f>
        <v>0</v>
      </c>
      <c r="N160" s="235" cm="1">
        <f t="array" ref="N16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0" s="235">
        <f>IFERROR(Таблица4[[#This Row],[ППС]]-Таблица4[[#This Row],[ДДУС]],)</f>
        <v>0</v>
      </c>
      <c r="P160" s="611"/>
      <c r="Q160" s="234">
        <f>VLOOKUP(ППД5!A157,Реестр_Д5[№],1,0)</f>
        <v>156</v>
      </c>
      <c r="R160" s="234" t="str">
        <f>VLOOKUP(ППД5!CH157,Реестр_Д5[Статус],1,0)</f>
        <v>Продажа</v>
      </c>
      <c r="S160" s="612">
        <f>VLOOKUP(ППД5!BZ157,Реестр_Д5[Стоимость ОН без отделки со скидкой],1,0)</f>
        <v>5382112</v>
      </c>
      <c r="T160" s="612" cm="1">
        <f t="array" ref="T160">IFERROR(INDEX(РД[Стоимость без отделки итог],MATCH($Q$3&amp;Таблица10[[#This Row],[№]]&amp;"Продажа",РД[Дом]&amp;РД[№ кв]&amp;РД[Состояние],0),1),Таблица10[[#This Row],[Статус]])</f>
        <v>5382112</v>
      </c>
      <c r="U160" s="235">
        <f>IFERROR((Таблица10[[#This Row],[ПП]]-Таблица10[[#This Row],[ДДУ]])*1,)</f>
        <v>0</v>
      </c>
      <c r="V160" s="235" cm="1">
        <f t="array" ref="V160">IFERROR(INDEX(РД[Стоимость с отделкой итог],MATCH($Q$3&amp;Таблица10[[#This Row],[№]]&amp;"Продажа",РД[Дом]&amp;РД[№ кв]&amp;РД[Состояние],0),1),Таблица10[[#This Row],[Статус]])</f>
        <v>5382112</v>
      </c>
      <c r="W160" s="235">
        <f>_xlfn.XLOOKUP(Таблица10[[#This Row],[№]],Реестр_Д5[№],Реестр_Д5[Стоимость квартиры с отделкой],"-",0)</f>
        <v>5382112</v>
      </c>
      <c r="X160" s="235">
        <f>IFERROR(Таблица10[[#This Row],[СО ПП]]-Таблица10[[#This Row],[СО ДДУ]],"")</f>
        <v>0</v>
      </c>
      <c r="Y160" s="233" cm="1">
        <f t="array" ref="Y160">IFERROR(INDEX(РД[S],MATCH($Q$3&amp;Таблица10[[#This Row],[№]]&amp;"Продажа",РД[Дом]&amp;РД[№ кв]&amp;РД[Состояние],0),1),Таблица10[[#This Row],[Статус]])</f>
        <v>58.31</v>
      </c>
      <c r="Z160" s="233">
        <f>IF(Таблица10[[#This Row],[№]]&amp;"ДДУ"=ППД5!A157&amp;ППД5!CR157,ППД5!U157,ППД5!V157)</f>
        <v>58.31</v>
      </c>
      <c r="AA160" s="285">
        <f>IFERROR(Таблица10[[#This Row],[S ПП]]-Таблица10[[#This Row],[S ДДУ]],)</f>
        <v>0</v>
      </c>
      <c r="AB160" s="235">
        <f>ROUND(_xlfn.XLOOKUP(Таблица10[[#This Row],[№]],Реестр_Д5[№],Реестр_Д5[Итоговая сумма скидки],"",0),2)</f>
        <v>178888</v>
      </c>
      <c r="AC160" s="235" cm="1">
        <f t="array" ref="AC160">IFERROR(ROUND(_xlfn.XLOOKUP($Q$3&amp;Таблица10[[#This Row],[№]]&amp;"Продажа",РД[Дом]&amp;РД[№ кв]&amp;РД[Состояние],РД[Сумма скидки],"",0,-1),2),Таблица10[[#This Row],[Статус]])</f>
        <v>178888</v>
      </c>
      <c r="AD160" s="285">
        <f>IFERROR(Таблица10[[#This Row],[ППС]]-Таблица10[[#This Row],[ДДУС]],)</f>
        <v>0</v>
      </c>
      <c r="AE160" s="611"/>
      <c r="AT160" s="611"/>
      <c r="AU160" s="484">
        <f>VLOOKUP(ППД402!A157,Д402[],1,0)</f>
        <v>156</v>
      </c>
      <c r="AV160" s="484" t="str">
        <f>_xlfn.XLOOKUP(Т402[[#This Row],[№]],Д402[№],Д402[Статус],"-",0)</f>
        <v>Стр. Резерв</v>
      </c>
      <c r="AW160" s="613">
        <f>_xlfn.XLOOKUP(Т402[[#This Row],[№]],Д402[№],Д402[Стоимость ОН без отделки со скидкой],"-",0)</f>
        <v>7290200</v>
      </c>
      <c r="AX160" s="614" t="str" cm="1">
        <f t="array" ref="AX16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0" s="485" t="str">
        <f>IFERROR((Т402[[#This Row],[ПП]]-Т402[[#This Row],[ДДУ]])*1,"")</f>
        <v/>
      </c>
      <c r="AZ160" s="486" t="str" cm="1">
        <f t="array" ref="AZ16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0" s="485">
        <f>_xlfn.XLOOKUP(Т402[[#This Row],[№]],Д402[№],Д402[Стоимость квартиры с отделкой],"-",0)</f>
        <v>7290200</v>
      </c>
      <c r="BB160" s="485" t="str">
        <f>IFERROR(Т402[[#This Row],[СО ПП]]-Т402[[#This Row],[СО ДДУ]],"")</f>
        <v/>
      </c>
      <c r="BC160" s="487" t="str" cm="1">
        <f t="array" ref="BC160">IFERROR(INDEX(РД[S],MATCH($AU$3&amp;Т402[[#This Row],[№]]&amp;"Продажа",РД[Дом]&amp;РД[№ кв]&amp;РД[Состояние],0),1),Т402[[#This Row],[Статус]])</f>
        <v>Стр. Резерв</v>
      </c>
      <c r="BD160" s="483">
        <f>_xlfn.XLOOKUP(Т402[[#This Row],[№]],Д402[№],Д402[Расчетная проектная площадь],"-",0)</f>
        <v>60.94</v>
      </c>
      <c r="BE160" s="485" t="str">
        <f>IFERROR(Т402[[#This Row],[S ПП]]-Т402[[#This Row],[S ДДУ]],"")</f>
        <v/>
      </c>
      <c r="BF160" s="485">
        <f>_xlfn.XLOOKUP(Т402[[#This Row],[№]],Д402[№],Д402[Итоговая сумма скидки],"-",0)</f>
        <v>0</v>
      </c>
      <c r="BG160" s="486" t="str" cm="1">
        <f t="array" ref="BG16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0" s="488" t="str">
        <f>IFERROR(Т402[[#This Row],[ППС]]-Т402[[#This Row],[ДДУС]],"")</f>
        <v/>
      </c>
    </row>
    <row r="161" spans="1:60" x14ac:dyDescent="0.2">
      <c r="A161" s="611"/>
      <c r="B161" s="234">
        <f>VLOOKUP(ППД4!A158,Реестр_Д4[№],1,0)</f>
        <v>157</v>
      </c>
      <c r="C161" s="234" t="str">
        <f>VLOOKUP(ППД4!CO158,Реестр_Д4[Статус],1,0)</f>
        <v>Продажа</v>
      </c>
      <c r="D161" s="612">
        <f>VLOOKUP(ППД4!CE158,Реестр_Д4[Стоимость ОН без отделки со скидкой],1,0)</f>
        <v>3586313.72</v>
      </c>
      <c r="E161" s="612" cm="1">
        <f t="array" ref="E161">IFERROR(INDEX(РД[Стоимость без отделки итог],MATCH($B$3&amp;Таблица4[[#This Row],[№]]&amp;"Продажа",РД[Дом]&amp;РД[№ кв]&amp;РД[Состояние],0),1),Таблица4[[#This Row],[Статус]])</f>
        <v>3586313.72</v>
      </c>
      <c r="F161" s="235">
        <f>IFERROR((Таблица4[[#This Row],[ПП]]-Таблица4[[#This Row],[ДДУ]])*1,"")</f>
        <v>0</v>
      </c>
      <c r="G161" s="235" cm="1">
        <f t="array" ref="G161">IFERROR(INDEX(РД[Стоимость с отделкой итог],MATCH($B$3&amp;Таблица4[[#This Row],[№]]&amp;"Продажа",РД[Дом]&amp;РД[№ кв]&amp;РД[Состояние],0),1),Таблица4[[#This Row],[Статус]])</f>
        <v>3751463.72</v>
      </c>
      <c r="H161" s="235">
        <f>_xlfn.XLOOKUP(Таблица4[[#This Row],[№]],Реестр_Д4[№],Реестр_Д4[Стоимость квартиры с отделкой],"-",0)</f>
        <v>3751463.72</v>
      </c>
      <c r="I161" s="235">
        <f>IFERROR(Таблица4[[#This Row],[СО ПП]]-Таблица4[[#This Row],[СО ДДУ]],"")</f>
        <v>0</v>
      </c>
      <c r="J161" s="233" cm="1">
        <f t="array" ref="J161">IFERROR(INDEX(РД[S],MATCH($B$3&amp;Таблица4[[#This Row],[№]]&amp;"Продажа",РД[Дом]&amp;РД[№ кв]&amp;РД[Состояние],0),1),Таблица4[[#This Row],[Статус]])</f>
        <v>36.700000000000003</v>
      </c>
      <c r="K161" s="233">
        <f>VLOOKUP(Таблица4[[#This Row],[№]],Реестр_Д4[],20,0)</f>
        <v>36.700000000000003</v>
      </c>
      <c r="L161" s="235">
        <f>IFERROR(Таблица4[[#This Row],[S ПП]]-Таблица4[[#This Row],[S ДДУ]],)</f>
        <v>0</v>
      </c>
      <c r="M161" s="235">
        <f>ROUND(_xlfn.XLOOKUP(Таблица4[[#This Row],[№]],Реестр_Д4[№],Реестр_Д4[Итоговая сумма скидки],"",0),2)</f>
        <v>0</v>
      </c>
      <c r="N161" s="235" cm="1">
        <f t="array" ref="N16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1" s="235">
        <f>IFERROR(Таблица4[[#This Row],[ППС]]-Таблица4[[#This Row],[ДДУС]],)</f>
        <v>0</v>
      </c>
      <c r="P161" s="611"/>
      <c r="Q161" s="234">
        <f>VLOOKUP(ППД5!A158,Реестр_Д5[№],1,0)</f>
        <v>157</v>
      </c>
      <c r="R161" s="234" t="str">
        <f>VLOOKUP(ППД5!CH158,Реестр_Д5[Статус],1,0)</f>
        <v>Продажа</v>
      </c>
      <c r="S161" s="612">
        <f>VLOOKUP(ППД5!BZ158,Реестр_Д5[Стоимость ОН без отделки со скидкой],1,0)</f>
        <v>3117597.22</v>
      </c>
      <c r="T161" s="612" cm="1">
        <f t="array" ref="T161">IFERROR(INDEX(РД[Стоимость без отделки итог],MATCH($Q$3&amp;Таблица10[[#This Row],[№]]&amp;"Продажа",РД[Дом]&amp;РД[№ кв]&amp;РД[Состояние],0),1),Таблица10[[#This Row],[Статус]])</f>
        <v>3117597.22</v>
      </c>
      <c r="U161" s="235">
        <f>IFERROR((Таблица10[[#This Row],[ПП]]-Таблица10[[#This Row],[ДДУ]])*1,)</f>
        <v>0</v>
      </c>
      <c r="V161" s="235" cm="1">
        <f t="array" ref="V161">IFERROR(INDEX(РД[Стоимость с отделкой итог],MATCH($Q$3&amp;Таблица10[[#This Row],[№]]&amp;"Продажа",РД[Дом]&amp;РД[№ кв]&amp;РД[Состояние],0),1),Таблица10[[#This Row],[Статус]])</f>
        <v>3117597.22</v>
      </c>
      <c r="W161" s="235">
        <f>_xlfn.XLOOKUP(Таблица10[[#This Row],[№]],Реестр_Д5[№],Реестр_Д5[Стоимость квартиры с отделкой],"-",0)</f>
        <v>3117597.22</v>
      </c>
      <c r="X161" s="235">
        <f>IFERROR(Таблица10[[#This Row],[СО ПП]]-Таблица10[[#This Row],[СО ДДУ]],"")</f>
        <v>0</v>
      </c>
      <c r="Y161" s="233" cm="1">
        <f t="array" ref="Y161">IFERROR(INDEX(РД[S],MATCH($Q$3&amp;Таблица10[[#This Row],[№]]&amp;"Продажа",РД[Дом]&amp;РД[№ кв]&amp;РД[Состояние],0),1),Таблица10[[#This Row],[Статус]])</f>
        <v>37.86</v>
      </c>
      <c r="Z161" s="233">
        <f>IF(Таблица10[[#This Row],[№]]&amp;"ДДУ"=ППД5!A158&amp;ППД5!CR158,ППД5!U158,ППД5!V158)</f>
        <v>37.86</v>
      </c>
      <c r="AA161" s="285">
        <f>IFERROR(Таблица10[[#This Row],[S ПП]]-Таблица10[[#This Row],[S ДДУ]],)</f>
        <v>0</v>
      </c>
      <c r="AB161" s="235">
        <f>ROUND(_xlfn.XLOOKUP(Таблица10[[#This Row],[№]],Реестр_Д5[№],Реестр_Д5[Итоговая сумма скидки],"",0),2)</f>
        <v>198995.57</v>
      </c>
      <c r="AC161" s="235" cm="1">
        <f t="array" ref="AC161">IFERROR(ROUND(_xlfn.XLOOKUP($Q$3&amp;Таблица10[[#This Row],[№]]&amp;"Продажа",РД[Дом]&amp;РД[№ кв]&amp;РД[Состояние],РД[Сумма скидки],"",0,-1),2),Таблица10[[#This Row],[Статус]])</f>
        <v>198995.57</v>
      </c>
      <c r="AD161" s="285">
        <f>IFERROR(Таблица10[[#This Row],[ППС]]-Таблица10[[#This Row],[ДДУС]],)</f>
        <v>0</v>
      </c>
      <c r="AE161" s="611"/>
      <c r="AT161" s="611"/>
      <c r="AU161" s="484">
        <f>VLOOKUP(ППД402!A158,Д402[],1,0)</f>
        <v>157</v>
      </c>
      <c r="AV161" s="484" t="str">
        <f>_xlfn.XLOOKUP(Т402[[#This Row],[№]],Д402[№],Д402[Статус],"-",0)</f>
        <v>Продажа</v>
      </c>
      <c r="AW161" s="613">
        <f>_xlfn.XLOOKUP(Т402[[#This Row],[№]],Д402[№],Д402[Стоимость ОН без отделки со скидкой],"-",0)</f>
        <v>7549413</v>
      </c>
      <c r="AX161" s="614" cm="1">
        <f t="array" ref="AX161">IFERROR(INDEX(РД[Стоимость без отделки итог],MATCH($AU$3&amp;Т402[[#This Row],[№]]&amp;"Продажа",РД[Дом]&amp;РД[№ кв]&amp;РД[Состояние],0),1),Т402[[#This Row],[Статус]])</f>
        <v>7549413</v>
      </c>
      <c r="AY161" s="485">
        <f>IFERROR((Т402[[#This Row],[ПП]]-Т402[[#This Row],[ДДУ]])*1,"")</f>
        <v>0</v>
      </c>
      <c r="AZ161" s="486" cm="1">
        <f t="array" ref="AZ161">IFERROR(INDEX(РД[Стоимость с отделкой итог],MATCH($AU$3&amp;Т402[[#This Row],[№]]&amp;"Продажа",РД[Дом]&amp;РД[№ кв]&amp;РД[Состояние],0),1),Т402[[#This Row],[Статус]])</f>
        <v>7549413</v>
      </c>
      <c r="BA161" s="485">
        <f>_xlfn.XLOOKUP(Т402[[#This Row],[№]],Д402[№],Д402[Стоимость квартиры с отделкой],"-",0)</f>
        <v>7549413</v>
      </c>
      <c r="BB161" s="485">
        <f>IFERROR(Т402[[#This Row],[СО ПП]]-Т402[[#This Row],[СО ДДУ]],"")</f>
        <v>0</v>
      </c>
      <c r="BC161" s="487" cm="1">
        <f t="array" ref="BC161">IFERROR(INDEX(РД[S],MATCH($AU$3&amp;Т402[[#This Row],[№]]&amp;"Продажа",РД[Дом]&amp;РД[№ кв]&amp;РД[Состояние],0),1),Т402[[#This Row],[Статус]])</f>
        <v>65.650000000000006</v>
      </c>
      <c r="BD161" s="483">
        <f>_xlfn.XLOOKUP(Т402[[#This Row],[№]],Д402[№],Д402[Расчетная проектная площадь],"-",0)</f>
        <v>65.650000000000006</v>
      </c>
      <c r="BE161" s="485">
        <f>IFERROR(Т402[[#This Row],[S ПП]]-Т402[[#This Row],[S ДДУ]],"")</f>
        <v>0</v>
      </c>
      <c r="BF161" s="485">
        <f>_xlfn.XLOOKUP(Т402[[#This Row],[№]],Д402[№],Д402[Итоговая сумма скидки],"-",0)</f>
        <v>233487</v>
      </c>
      <c r="BG161" s="486" cm="1">
        <f t="array" ref="BG161">IFERROR(ROUND(_xlfn.XLOOKUP($AU$3&amp;Т402[[#This Row],[№]]&amp;"Продажа",РД[Дом]&amp;РД[№ кв]&amp;РД[Состояние],РД[Сумма скидки],"",0),2),Т402[[#This Row],[Статус]])</f>
        <v>233487</v>
      </c>
      <c r="BH161" s="488">
        <f>IFERROR(Т402[[#This Row],[ППС]]-Т402[[#This Row],[ДДУС]],"")</f>
        <v>0</v>
      </c>
    </row>
    <row r="162" spans="1:60" x14ac:dyDescent="0.2">
      <c r="A162" s="611"/>
      <c r="B162" s="234">
        <f>VLOOKUP(ППД4!A159,Реестр_Д4[№],1,0)</f>
        <v>158</v>
      </c>
      <c r="C162" s="234" t="str">
        <f>VLOOKUP(ППД4!CO159,Реестр_Д4[Статус],1,0)</f>
        <v>Продажа</v>
      </c>
      <c r="D162" s="612">
        <f>VLOOKUP(ППД4!CE159,Реестр_Д4[Стоимость ОН без отделки со скидкой],1,0)</f>
        <v>2914382.02</v>
      </c>
      <c r="E162" s="612" cm="1">
        <f t="array" ref="E162">IFERROR(INDEX(РД[Стоимость без отделки итог],MATCH($B$3&amp;Таблица4[[#This Row],[№]]&amp;"Продажа",РД[Дом]&amp;РД[№ кв]&amp;РД[Состояние],0),1),Таблица4[[#This Row],[Статус]])</f>
        <v>2914382.02</v>
      </c>
      <c r="F162" s="235">
        <f>IFERROR((Таблица4[[#This Row],[ПП]]-Таблица4[[#This Row],[ДДУ]])*1,"")</f>
        <v>0</v>
      </c>
      <c r="G162" s="235" cm="1">
        <f t="array" ref="G162">IFERROR(INDEX(РД[Стоимость с отделкой итог],MATCH($B$3&amp;Таблица4[[#This Row],[№]]&amp;"Продажа",РД[Дом]&amp;РД[№ кв]&amp;РД[Состояние],0),1),Таблица4[[#This Row],[Статус]])</f>
        <v>2914382.02</v>
      </c>
      <c r="H162" s="235">
        <f>_xlfn.XLOOKUP(Таблица4[[#This Row],[№]],Реестр_Д4[№],Реестр_Д4[Стоимость квартиры с отделкой],"-",0)</f>
        <v>2914382.02</v>
      </c>
      <c r="I162" s="235">
        <f>IFERROR(Таблица4[[#This Row],[СО ПП]]-Таблица4[[#This Row],[СО ДДУ]],"")</f>
        <v>0</v>
      </c>
      <c r="J162" s="233" cm="1">
        <f t="array" ref="J162">IFERROR(INDEX(РД[S],MATCH($B$3&amp;Таблица4[[#This Row],[№]]&amp;"Продажа",РД[Дом]&amp;РД[№ кв]&amp;РД[Состояние],0),1),Таблица4[[#This Row],[Статус]])</f>
        <v>36.659999999999997</v>
      </c>
      <c r="K162" s="233">
        <f>VLOOKUP(Таблица4[[#This Row],[№]],Реестр_Д4[],20,0)</f>
        <v>36.659999999999997</v>
      </c>
      <c r="L162" s="235">
        <f>IFERROR(Таблица4[[#This Row],[S ПП]]-Таблица4[[#This Row],[S ДДУ]],)</f>
        <v>0</v>
      </c>
      <c r="M162" s="235">
        <f>ROUND(_xlfn.XLOOKUP(Таблица4[[#This Row],[№]],Реестр_Д4[№],Реестр_Д4[Итоговая сумма скидки],"",0),2)</f>
        <v>0</v>
      </c>
      <c r="N162" s="235" cm="1">
        <f t="array" ref="N16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2" s="235">
        <f>IFERROR(Таблица4[[#This Row],[ППС]]-Таблица4[[#This Row],[ДДУС]],)</f>
        <v>0</v>
      </c>
      <c r="P162" s="611"/>
      <c r="Q162" s="234">
        <f>VLOOKUP(ППД5!A159,Реестр_Д5[№],1,0)</f>
        <v>158</v>
      </c>
      <c r="R162" s="234" t="str">
        <f>VLOOKUP(ППД5!CH159,Реестр_Д5[Статус],1,0)</f>
        <v>Свободно</v>
      </c>
      <c r="S162" s="612">
        <f>VLOOKUP(ППД5!BZ159,Реестр_Д5[Стоимость ОН без отделки со скидкой],1,0)</f>
        <v>9388000</v>
      </c>
      <c r="T162" s="612" t="str" cm="1">
        <f t="array" ref="T16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62" s="235">
        <f>IFERROR((Таблица10[[#This Row],[ПП]]-Таблица10[[#This Row],[ДДУ]])*1,)</f>
        <v>0</v>
      </c>
      <c r="V162" s="235" t="str" cm="1">
        <f t="array" ref="V16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62" s="235">
        <f>_xlfn.XLOOKUP(Таблица10[[#This Row],[№]],Реестр_Д5[№],Реестр_Д5[Стоимость квартиры с отделкой],"-",0)</f>
        <v>10233500</v>
      </c>
      <c r="X162" s="235" t="str">
        <f>IFERROR(Таблица10[[#This Row],[СО ПП]]-Таблица10[[#This Row],[СО ДДУ]],"")</f>
        <v/>
      </c>
      <c r="Y162" s="233" t="str" cm="1">
        <f t="array" ref="Y162">IFERROR(INDEX(РД[S],MATCH($Q$3&amp;Таблица10[[#This Row],[№]]&amp;"Продажа",РД[Дом]&amp;РД[№ кв]&amp;РД[Состояние],0),1),Таблица10[[#This Row],[Статус]])</f>
        <v>Свободно</v>
      </c>
      <c r="Z162" s="233">
        <f>IF(Таблица10[[#This Row],[№]]&amp;"ДДУ"=ППД5!A159&amp;ППД5!CR159,ППД5!U159,ППД5!V159)</f>
        <v>84.55</v>
      </c>
      <c r="AA162" s="285">
        <f>IFERROR(Таблица10[[#This Row],[S ПП]]-Таблица10[[#This Row],[S ДДУ]],)</f>
        <v>0</v>
      </c>
      <c r="AB162" s="235">
        <f>ROUND(_xlfn.XLOOKUP(Таблица10[[#This Row],[№]],Реестр_Д5[№],Реестр_Д5[Итоговая сумма скидки],"",0),2)</f>
        <v>0</v>
      </c>
      <c r="AC162" s="235" t="str" cm="1">
        <f t="array" ref="AC16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62" s="285">
        <f>IFERROR(Таблица10[[#This Row],[ППС]]-Таблица10[[#This Row],[ДДУС]],)</f>
        <v>0</v>
      </c>
      <c r="AE162" s="611"/>
      <c r="AT162" s="611"/>
      <c r="AU162" s="484">
        <f>VLOOKUP(ППД402!A159,Д402[],1,0)</f>
        <v>158</v>
      </c>
      <c r="AV162" s="484" t="str">
        <f>_xlfn.XLOOKUP(Т402[[#This Row],[№]],Д402[№],Д402[Статус],"-",0)</f>
        <v>Продажа</v>
      </c>
      <c r="AW162" s="613">
        <f>_xlfn.XLOOKUP(Т402[[#This Row],[№]],Д402[№],Д402[Стоимость ОН без отделки со скидкой],"-",0)</f>
        <v>4391772</v>
      </c>
      <c r="AX162" s="614" cm="1">
        <f t="array" ref="AX162">IFERROR(INDEX(РД[Стоимость без отделки итог],MATCH($AU$3&amp;Т402[[#This Row],[№]]&amp;"Продажа",РД[Дом]&amp;РД[№ кв]&amp;РД[Состояние],0),1),Т402[[#This Row],[Статус]])</f>
        <v>4391772</v>
      </c>
      <c r="AY162" s="485">
        <f>IFERROR((Т402[[#This Row],[ПП]]-Т402[[#This Row],[ДДУ]])*1,"")</f>
        <v>0</v>
      </c>
      <c r="AZ162" s="486" cm="1">
        <f t="array" ref="AZ162">IFERROR(INDEX(РД[Стоимость с отделкой итог],MATCH($AU$3&amp;Т402[[#This Row],[№]]&amp;"Продажа",РД[Дом]&amp;РД[№ кв]&amp;РД[Состояние],0),1),Т402[[#This Row],[Статус]])</f>
        <v>4391772</v>
      </c>
      <c r="BA162" s="485">
        <f>_xlfn.XLOOKUP(Т402[[#This Row],[№]],Д402[№],Д402[Стоимость квартиры с отделкой],"-",0)</f>
        <v>4391772</v>
      </c>
      <c r="BB162" s="485">
        <f>IFERROR(Т402[[#This Row],[СО ПП]]-Т402[[#This Row],[СО ДДУ]],"")</f>
        <v>0</v>
      </c>
      <c r="BC162" s="487" cm="1">
        <f t="array" ref="BC162">IFERROR(INDEX(РД[S],MATCH($AU$3&amp;Т402[[#This Row],[№]]&amp;"Продажа",РД[Дом]&amp;РД[№ кв]&amp;РД[Состояние],0),1),Т402[[#This Row],[Статус]])</f>
        <v>36.56</v>
      </c>
      <c r="BD162" s="483">
        <f>_xlfn.XLOOKUP(Т402[[#This Row],[№]],Д402[№],Д402[Расчетная проектная площадь],"-",0)</f>
        <v>36.56</v>
      </c>
      <c r="BE162" s="485">
        <f>IFERROR(Т402[[#This Row],[S ПП]]-Т402[[#This Row],[S ДДУ]],"")</f>
        <v>0</v>
      </c>
      <c r="BF162" s="485">
        <f>_xlfn.XLOOKUP(Т402[[#This Row],[№]],Д402[№],Д402[Итоговая сумма скидки],"-",0)</f>
        <v>135828</v>
      </c>
      <c r="BG162" s="486" cm="1">
        <f t="array" ref="BG162">IFERROR(ROUND(_xlfn.XLOOKUP($AU$3&amp;Т402[[#This Row],[№]]&amp;"Продажа",РД[Дом]&amp;РД[№ кв]&amp;РД[Состояние],РД[Сумма скидки],"",0),2),Т402[[#This Row],[Статус]])</f>
        <v>135828</v>
      </c>
      <c r="BH162" s="488">
        <f>IFERROR(Т402[[#This Row],[ППС]]-Т402[[#This Row],[ДДУС]],"")</f>
        <v>0</v>
      </c>
    </row>
    <row r="163" spans="1:60" x14ac:dyDescent="0.2">
      <c r="A163" s="611"/>
      <c r="B163" s="234">
        <f>VLOOKUP(ППД4!A160,Реестр_Д4[№],1,0)</f>
        <v>159</v>
      </c>
      <c r="C163" s="234" t="str">
        <f>VLOOKUP(ППД4!CO160,Реестр_Д4[Статус],1,0)</f>
        <v>Продажа</v>
      </c>
      <c r="D163" s="612">
        <f>VLOOKUP(ППД4!CE160,Реестр_Д4[Стоимость ОН без отделки со скидкой],1,0)</f>
        <v>5577867.2800000003</v>
      </c>
      <c r="E163" s="612" cm="1">
        <f t="array" ref="E163">IFERROR(INDEX(РД[Стоимость без отделки итог],MATCH($B$3&amp;Таблица4[[#This Row],[№]]&amp;"Продажа",РД[Дом]&amp;РД[№ кв]&amp;РД[Состояние],0),1),Таблица4[[#This Row],[Статус]])</f>
        <v>5577867.2800000012</v>
      </c>
      <c r="F163" s="235">
        <f>IFERROR((Таблица4[[#This Row],[ПП]]-Таблица4[[#This Row],[ДДУ]])*1,"")</f>
        <v>-9.3132257461547852E-10</v>
      </c>
      <c r="G163" s="235" cm="1">
        <f t="array" ref="G163">IFERROR(INDEX(РД[Стоимость с отделкой итог],MATCH($B$3&amp;Таблица4[[#This Row],[№]]&amp;"Продажа",РД[Дом]&amp;РД[№ кв]&amp;РД[Состояние],0),1),Таблица4[[#This Row],[Статус]])</f>
        <v>6758817.2800000003</v>
      </c>
      <c r="H163" s="235">
        <f>_xlfn.XLOOKUP(Таблица4[[#This Row],[№]],Реестр_Д4[№],Реестр_Д4[Стоимость квартиры с отделкой],"-",0)</f>
        <v>6758817.2800000003</v>
      </c>
      <c r="I163" s="235">
        <f>IFERROR(Таблица4[[#This Row],[СО ПП]]-Таблица4[[#This Row],[СО ДДУ]],"")</f>
        <v>0</v>
      </c>
      <c r="J163" s="233" cm="1">
        <f t="array" ref="J163">IFERROR(INDEX(РД[S],MATCH($B$3&amp;Таблица4[[#This Row],[№]]&amp;"Продажа",РД[Дом]&amp;РД[№ кв]&amp;РД[Состояние],0),1),Таблица4[[#This Row],[Статус]])</f>
        <v>78.73</v>
      </c>
      <c r="K163" s="233">
        <f>VLOOKUP(Таблица4[[#This Row],[№]],Реестр_Д4[],20,0)</f>
        <v>78.73</v>
      </c>
      <c r="L163" s="235">
        <f>IFERROR(Таблица4[[#This Row],[S ПП]]-Таблица4[[#This Row],[S ДДУ]],)</f>
        <v>0</v>
      </c>
      <c r="M163" s="235">
        <f>ROUND(_xlfn.XLOOKUP(Таблица4[[#This Row],[№]],Реестр_Д4[№],Реестр_Д4[Итоговая сумма скидки],"",0),2)</f>
        <v>356034.08</v>
      </c>
      <c r="N163" s="235" cm="1">
        <f t="array" ref="N163">IFERROR(ROUND(_xlfn.XLOOKUP($B$3&amp;Таблица4[[#This Row],[№]]&amp;"Продажа",РД[Дом]&amp;РД[№ кв]&amp;РД[Состояние],РД[Сумма скидки],"",0),2),Таблица4[[#This Row],[Статус]])</f>
        <v>356034.08</v>
      </c>
      <c r="O163" s="235">
        <f>IFERROR(Таблица4[[#This Row],[ППС]]-Таблица4[[#This Row],[ДДУС]],)</f>
        <v>0</v>
      </c>
      <c r="P163" s="611"/>
      <c r="Q163" s="234">
        <f>VLOOKUP(ППД5!A160,Реестр_Д5[№],1,0)</f>
        <v>159</v>
      </c>
      <c r="R163" s="234" t="str">
        <f>VLOOKUP(ППД5!CH160,Реестр_Д5[Статус],1,0)</f>
        <v>Продажа</v>
      </c>
      <c r="S163" s="612">
        <f>VLOOKUP(ППД5!BZ160,Реестр_Д5[Стоимость ОН без отделки со скидкой],1,0)</f>
        <v>4151700</v>
      </c>
      <c r="T163" s="612" cm="1">
        <f t="array" ref="T163">IFERROR(INDEX(РД[Стоимость без отделки итог],MATCH($Q$3&amp;Таблица10[[#This Row],[№]]&amp;"Продажа",РД[Дом]&amp;РД[№ кв]&amp;РД[Состояние],0),1),Таблица10[[#This Row],[Статус]])</f>
        <v>4151700</v>
      </c>
      <c r="U163" s="235">
        <f>IFERROR((Таблица10[[#This Row],[ПП]]-Таблица10[[#This Row],[ДДУ]])*1,)</f>
        <v>0</v>
      </c>
      <c r="V163" s="235" cm="1">
        <f t="array" ref="V163">IFERROR(INDEX(РД[Стоимость с отделкой итог],MATCH($Q$3&amp;Таблица10[[#This Row],[№]]&amp;"Продажа",РД[Дом]&amp;РД[№ кв]&amp;РД[Состояние],0),1),Таблица10[[#This Row],[Статус]])</f>
        <v>4468800</v>
      </c>
      <c r="W163" s="235">
        <f>_xlfn.XLOOKUP(Таблица10[[#This Row],[№]],Реестр_Д5[№],Реестр_Д5[Стоимость квартиры с отделкой],"-",0)</f>
        <v>4468800</v>
      </c>
      <c r="X163" s="235">
        <f>IFERROR(Таблица10[[#This Row],[СО ПП]]-Таблица10[[#This Row],[СО ДДУ]],"")</f>
        <v>0</v>
      </c>
      <c r="Y163" s="233" cm="1">
        <f t="array" ref="Y163">IFERROR(INDEX(РД[S],MATCH($Q$3&amp;Таблица10[[#This Row],[№]]&amp;"Продажа",РД[Дом]&amp;РД[№ кв]&amp;РД[Состояние],0),1),Таблица10[[#This Row],[Статус]])</f>
        <v>42.28</v>
      </c>
      <c r="Z163" s="233">
        <f>IF(Таблица10[[#This Row],[№]]&amp;"ДДУ"=ППД5!A160&amp;ППД5!CR160,ППД5!U160,ППД5!V160)</f>
        <v>42.28</v>
      </c>
      <c r="AA163" s="285">
        <f>IFERROR(Таблица10[[#This Row],[S ПП]]-Таблица10[[#This Row],[S ДДУ]],)</f>
        <v>0</v>
      </c>
      <c r="AB163" s="235">
        <f>ROUND(_xlfn.XLOOKUP(Таблица10[[#This Row],[№]],Реестр_Д5[№],Реестр_Д5[Итоговая сумма скидки],"",0),2)</f>
        <v>0</v>
      </c>
      <c r="AC163" s="235" cm="1">
        <f t="array" ref="AC16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63" s="285">
        <f>IFERROR(Таблица10[[#This Row],[ППС]]-Таблица10[[#This Row],[ДДУС]],)</f>
        <v>0</v>
      </c>
      <c r="AE163" s="611"/>
      <c r="AT163" s="611"/>
      <c r="AU163" s="484">
        <f>VLOOKUP(ППД402!A160,Д402[],1,0)</f>
        <v>159</v>
      </c>
      <c r="AV163" s="484" t="str">
        <f>_xlfn.XLOOKUP(Т402[[#This Row],[№]],Д402[№],Д402[Статус],"-",0)</f>
        <v>Стр. Резерв</v>
      </c>
      <c r="AW163" s="613">
        <f>_xlfn.XLOOKUP(Т402[[#This Row],[№]],Д402[№],Д402[Стоимость ОН без отделки со скидкой],"-",0)</f>
        <v>4230800</v>
      </c>
      <c r="AX163" s="614" t="str" cm="1">
        <f t="array" ref="AX16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3" s="485" t="str">
        <f>IFERROR((Т402[[#This Row],[ПП]]-Т402[[#This Row],[ДДУ]])*1,"")</f>
        <v/>
      </c>
      <c r="AZ163" s="486" t="str" cm="1">
        <f t="array" ref="AZ16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3" s="485">
        <f>_xlfn.XLOOKUP(Т402[[#This Row],[№]],Д402[№],Д402[Стоимость квартиры с отделкой],"-",0)</f>
        <v>4230800</v>
      </c>
      <c r="BB163" s="485" t="str">
        <f>IFERROR(Т402[[#This Row],[СО ПП]]-Т402[[#This Row],[СО ДДУ]],"")</f>
        <v/>
      </c>
      <c r="BC163" s="487" t="str" cm="1">
        <f t="array" ref="BC163">IFERROR(INDEX(РД[S],MATCH($AU$3&amp;Т402[[#This Row],[№]]&amp;"Продажа",РД[Дом]&amp;РД[№ кв]&amp;РД[Состояние],0),1),Т402[[#This Row],[Статус]])</f>
        <v>Стр. Резерв</v>
      </c>
      <c r="BD163" s="483">
        <f>_xlfn.XLOOKUP(Т402[[#This Row],[№]],Д402[№],Д402[Расчетная проектная площадь],"-",0)</f>
        <v>29.43</v>
      </c>
      <c r="BE163" s="485" t="str">
        <f>IFERROR(Т402[[#This Row],[S ПП]]-Т402[[#This Row],[S ДДУ]],"")</f>
        <v/>
      </c>
      <c r="BF163" s="485">
        <f>_xlfn.XLOOKUP(Т402[[#This Row],[№]],Д402[№],Д402[Итоговая сумма скидки],"-",0)</f>
        <v>0</v>
      </c>
      <c r="BG163" s="486" t="str" cm="1">
        <f t="array" ref="BG16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3" s="488" t="str">
        <f>IFERROR(Т402[[#This Row],[ППС]]-Т402[[#This Row],[ДДУС]],"")</f>
        <v/>
      </c>
    </row>
    <row r="164" spans="1:60" x14ac:dyDescent="0.2">
      <c r="A164" s="611"/>
      <c r="B164" s="234">
        <f>VLOOKUP(ППД4!A161,Реестр_Д4[№],1,0)</f>
        <v>160</v>
      </c>
      <c r="C164" s="234" t="str">
        <f>VLOOKUP(ППД4!CO161,Реестр_Д4[Статус],1,0)</f>
        <v>Продажа</v>
      </c>
      <c r="D164" s="612">
        <f>VLOOKUP(ППД4!CE161,Реестр_Д4[Стоимость ОН без отделки со скидкой],1,0)</f>
        <v>3822432.59</v>
      </c>
      <c r="E164" s="612" cm="1">
        <f t="array" ref="E164">IFERROR(INDEX(РД[Стоимость без отделки итог],MATCH($B$3&amp;Таблица4[[#This Row],[№]]&amp;"Продажа",РД[Дом]&amp;РД[№ кв]&amp;РД[Состояние],0),1),Таблица4[[#This Row],[Статус]])</f>
        <v>3822432.59</v>
      </c>
      <c r="F164" s="235">
        <f>IFERROR((Таблица4[[#This Row],[ПП]]-Таблица4[[#This Row],[ДДУ]])*1,"")</f>
        <v>0</v>
      </c>
      <c r="G164" s="235" cm="1">
        <f t="array" ref="G164">IFERROR(INDEX(РД[Стоимость с отделкой итог],MATCH($B$3&amp;Таблица4[[#This Row],[№]]&amp;"Продажа",РД[Дом]&amp;РД[№ кв]&amp;РД[Состояние],0),1),Таблица4[[#This Row],[Статус]])</f>
        <v>4075857.59</v>
      </c>
      <c r="H164" s="235">
        <f>_xlfn.XLOOKUP(Таблица4[[#This Row],[№]],Реестр_Д4[№],Реестр_Д4[Стоимость квартиры с отделкой],"-",0)</f>
        <v>4075857.59</v>
      </c>
      <c r="I164" s="235">
        <f>IFERROR(Таблица4[[#This Row],[СО ПП]]-Таблица4[[#This Row],[СО ДДУ]],"")</f>
        <v>0</v>
      </c>
      <c r="J164" s="233" cm="1">
        <f t="array" ref="J164">IFERROR(INDEX(РД[S],MATCH($B$3&amp;Таблица4[[#This Row],[№]]&amp;"Продажа",РД[Дом]&amp;РД[№ кв]&amp;РД[Состояние],0),1),Таблица4[[#This Row],[Статус]])</f>
        <v>33.79</v>
      </c>
      <c r="K164" s="233">
        <f>VLOOKUP(Таблица4[[#This Row],[№]],Реестр_Д4[],20,0)</f>
        <v>33.79</v>
      </c>
      <c r="L164" s="235">
        <f>IFERROR(Таблица4[[#This Row],[S ПП]]-Таблица4[[#This Row],[S ДДУ]],)</f>
        <v>0</v>
      </c>
      <c r="M164" s="235">
        <f>ROUND(_xlfn.XLOOKUP(Таблица4[[#This Row],[№]],Реестр_Д4[№],Реестр_Д4[Итоговая сумма скидки],"",0),2)</f>
        <v>0</v>
      </c>
      <c r="N164" s="235" cm="1">
        <f t="array" ref="N16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4" s="235">
        <f>IFERROR(Таблица4[[#This Row],[ППС]]-Таблица4[[#This Row],[ДДУС]],)</f>
        <v>0</v>
      </c>
      <c r="P164" s="611"/>
      <c r="Q164" s="234">
        <f>VLOOKUP(ППД5!A161,Реестр_Д5[№],1,0)</f>
        <v>160</v>
      </c>
      <c r="R164" s="234" t="str">
        <f>VLOOKUP(ППД5!CH161,Реестр_Д5[Статус],1,0)</f>
        <v>Продажа</v>
      </c>
      <c r="S164" s="612">
        <f>VLOOKUP(ППД5!BZ161,Реестр_Д5[Стоимость ОН без отделки со скидкой],1,0)</f>
        <v>5870100</v>
      </c>
      <c r="T164" s="612" cm="1">
        <f t="array" ref="T164">IFERROR(INDEX(РД[Стоимость без отделки итог],MATCH($Q$3&amp;Таблица10[[#This Row],[№]]&amp;"Продажа",РД[Дом]&amp;РД[№ кв]&amp;РД[Состояние],0),1),Таблица10[[#This Row],[Статус]])</f>
        <v>5870100</v>
      </c>
      <c r="U164" s="235">
        <f>IFERROR((Таблица10[[#This Row],[ПП]]-Таблица10[[#This Row],[ДДУ]])*1,)</f>
        <v>0</v>
      </c>
      <c r="V164" s="235" cm="1">
        <f t="array" ref="V164">IFERROR(INDEX(РД[Стоимость с отделкой итог],MATCH($Q$3&amp;Таблица10[[#This Row],[№]]&amp;"Продажа",РД[Дом]&amp;РД[№ кв]&amp;РД[Состояние],0),1),Таблица10[[#This Row],[Статус]])</f>
        <v>7074500</v>
      </c>
      <c r="W164" s="235">
        <f>_xlfn.XLOOKUP(Таблица10[[#This Row],[№]],Реестр_Д5[№],Реестр_Д5[Стоимость квартиры с отделкой],"-",0)</f>
        <v>7074500</v>
      </c>
      <c r="X164" s="235">
        <f>IFERROR(Таблица10[[#This Row],[СО ПП]]-Таблица10[[#This Row],[СО ДДУ]],"")</f>
        <v>0</v>
      </c>
      <c r="Y164" s="233" cm="1">
        <f t="array" ref="Y164">IFERROR(INDEX(РД[S],MATCH($Q$3&amp;Таблица10[[#This Row],[№]]&amp;"Продажа",РД[Дом]&amp;РД[№ кв]&amp;РД[Состояние],0),1),Таблица10[[#This Row],[Статус]])</f>
        <v>60.22</v>
      </c>
      <c r="Z164" s="233">
        <f>IF(Таблица10[[#This Row],[№]]&amp;"ДДУ"=ППД5!A161&amp;ППД5!CR161,ППД5!U161,ППД5!V161)</f>
        <v>60.22</v>
      </c>
      <c r="AA164" s="285">
        <f>IFERROR(Таблица10[[#This Row],[S ПП]]-Таблица10[[#This Row],[S ДДУ]],)</f>
        <v>0</v>
      </c>
      <c r="AB164" s="235">
        <f>ROUND(_xlfn.XLOOKUP(Таблица10[[#This Row],[№]],Реестр_Д5[№],Реестр_Д5[Итоговая сумма скидки],"",0),2)</f>
        <v>100000</v>
      </c>
      <c r="AC164" s="235" cm="1">
        <f t="array" ref="AC164">IFERROR(ROUND(_xlfn.XLOOKUP($Q$3&amp;Таблица10[[#This Row],[№]]&amp;"Продажа",РД[Дом]&amp;РД[№ кв]&amp;РД[Состояние],РД[Сумма скидки],"",0,-1),2),Таблица10[[#This Row],[Статус]])</f>
        <v>100000</v>
      </c>
      <c r="AD164" s="285">
        <f>IFERROR(Таблица10[[#This Row],[ППС]]-Таблица10[[#This Row],[ДДУС]],)</f>
        <v>0</v>
      </c>
      <c r="AE164" s="611"/>
      <c r="AT164" s="611"/>
      <c r="AU164" s="484">
        <f>VLOOKUP(ППД402!A161,Д402[],1,0)</f>
        <v>160</v>
      </c>
      <c r="AV164" s="484" t="str">
        <f>_xlfn.XLOOKUP(Т402[[#This Row],[№]],Д402[№],Д402[Статус],"-",0)</f>
        <v>Стр. Резерв</v>
      </c>
      <c r="AW164" s="613">
        <f>_xlfn.XLOOKUP(Т402[[#This Row],[№]],Д402[№],Д402[Стоимость ОН без отделки со скидкой],"-",0)</f>
        <v>4013700</v>
      </c>
      <c r="AX164" s="614" t="str" cm="1">
        <f t="array" ref="AX16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4" s="485" t="str">
        <f>IFERROR((Т402[[#This Row],[ПП]]-Т402[[#This Row],[ДДУ]])*1,"")</f>
        <v/>
      </c>
      <c r="AZ164" s="486" t="str" cm="1">
        <f t="array" ref="AZ16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4" s="485">
        <f>_xlfn.XLOOKUP(Т402[[#This Row],[№]],Д402[№],Д402[Стоимость квартиры с отделкой],"-",0)</f>
        <v>4851300</v>
      </c>
      <c r="BB164" s="485" t="str">
        <f>IFERROR(Т402[[#This Row],[СО ПП]]-Т402[[#This Row],[СО ДДУ]],"")</f>
        <v/>
      </c>
      <c r="BC164" s="487" t="str" cm="1">
        <f t="array" ref="BC164">IFERROR(INDEX(РД[S],MATCH($AU$3&amp;Т402[[#This Row],[№]]&amp;"Продажа",РД[Дом]&amp;РД[№ кв]&amp;РД[Состояние],0),1),Т402[[#This Row],[Статус]])</f>
        <v>Стр. Резерв</v>
      </c>
      <c r="BD164" s="483">
        <f>_xlfn.XLOOKUP(Т402[[#This Row],[№]],Д402[№],Д402[Расчетная проектная площадь],"-",0)</f>
        <v>27.92</v>
      </c>
      <c r="BE164" s="485" t="str">
        <f>IFERROR(Т402[[#This Row],[S ПП]]-Т402[[#This Row],[S ДДУ]],"")</f>
        <v/>
      </c>
      <c r="BF164" s="485">
        <f>_xlfn.XLOOKUP(Т402[[#This Row],[№]],Д402[№],Д402[Итоговая сумма скидки],"-",0)</f>
        <v>0</v>
      </c>
      <c r="BG164" s="486" t="str" cm="1">
        <f t="array" ref="BG16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4" s="488" t="str">
        <f>IFERROR(Т402[[#This Row],[ППС]]-Т402[[#This Row],[ДДУС]],"")</f>
        <v/>
      </c>
    </row>
    <row r="165" spans="1:60" x14ac:dyDescent="0.2">
      <c r="A165" s="611"/>
      <c r="B165" s="234">
        <f>VLOOKUP(ППД4!A162,Реестр_Д4[№],1,0)</f>
        <v>161</v>
      </c>
      <c r="C165" s="234" t="str">
        <f>VLOOKUP(ППД4!CO162,Реестр_Д4[Статус],1,0)</f>
        <v>Продажа</v>
      </c>
      <c r="D165" s="612">
        <f>VLOOKUP(ППД4!CE162,Реестр_Д4[Стоимость ОН без отделки со скидкой],1,0)</f>
        <v>2184925.2799999998</v>
      </c>
      <c r="E165" s="612" cm="1">
        <f t="array" ref="E165">IFERROR(INDEX(РД[Стоимость без отделки итог],MATCH($B$3&amp;Таблица4[[#This Row],[№]]&amp;"Продажа",РД[Дом]&amp;РД[№ кв]&amp;РД[Состояние],0),1),Таблица4[[#This Row],[Статус]])</f>
        <v>2184925.2799999984</v>
      </c>
      <c r="F165" s="235">
        <f>IFERROR((Таблица4[[#This Row],[ПП]]-Таблица4[[#This Row],[ДДУ]])*1,"")</f>
        <v>1.3969838619232178E-9</v>
      </c>
      <c r="G165" s="235" cm="1">
        <f t="array" ref="G165">IFERROR(INDEX(РД[Стоимость с отделкой итог],MATCH($B$3&amp;Таблица4[[#This Row],[№]]&amp;"Продажа",РД[Дом]&amp;РД[№ кв]&amp;РД[Состояние],0),1),Таблица4[[#This Row],[Статус]])</f>
        <v>2402200.2799999998</v>
      </c>
      <c r="H165" s="235">
        <f>_xlfn.XLOOKUP(Таблица4[[#This Row],[№]],Реестр_Д4[№],Реестр_Д4[Стоимость квартиры с отделкой],"-",0)</f>
        <v>2402200.2799999998</v>
      </c>
      <c r="I165" s="235">
        <f>IFERROR(Таблица4[[#This Row],[СО ПП]]-Таблица4[[#This Row],[СО ДДУ]],"")</f>
        <v>0</v>
      </c>
      <c r="J165" s="233" cm="1">
        <f t="array" ref="J165">IFERROR(INDEX(РД[S],MATCH($B$3&amp;Таблица4[[#This Row],[№]]&amp;"Продажа",РД[Дом]&amp;РД[№ кв]&amp;РД[Состояние],0),1),Таблица4[[#This Row],[Статус]])</f>
        <v>28.97</v>
      </c>
      <c r="K165" s="233">
        <f>VLOOKUP(Таблица4[[#This Row],[№]],Реестр_Д4[],20,0)</f>
        <v>28.97</v>
      </c>
      <c r="L165" s="235">
        <f>IFERROR(Таблица4[[#This Row],[S ПП]]-Таблица4[[#This Row],[S ДДУ]],)</f>
        <v>0</v>
      </c>
      <c r="M165" s="235">
        <f>ROUND(_xlfn.XLOOKUP(Таблица4[[#This Row],[№]],Реестр_Д4[№],Реестр_Д4[Итоговая сумма скидки],"",0),2)</f>
        <v>114996.07</v>
      </c>
      <c r="N165" s="235" cm="1">
        <f t="array" ref="N165">IFERROR(ROUND(_xlfn.XLOOKUP($B$3&amp;Таблица4[[#This Row],[№]]&amp;"Продажа",РД[Дом]&amp;РД[№ кв]&amp;РД[Состояние],РД[Сумма скидки],"",0),2),Таблица4[[#This Row],[Статус]])</f>
        <v>114996.07</v>
      </c>
      <c r="O165" s="235">
        <f>IFERROR(Таблица4[[#This Row],[ППС]]-Таблица4[[#This Row],[ДДУС]],)</f>
        <v>0</v>
      </c>
      <c r="P165" s="611"/>
      <c r="Q165" s="234">
        <f>VLOOKUP(ППД5!A162,Реестр_Д5[№],1,0)</f>
        <v>161</v>
      </c>
      <c r="R165" s="234" t="str">
        <f>VLOOKUP(ППД5!CH162,Реестр_Д5[Статус],1,0)</f>
        <v>Свободно</v>
      </c>
      <c r="S165" s="612">
        <f>VLOOKUP(ППД5!BZ162,Реестр_Д5[Стоимость ОН без отделки со скидкой],1,0)</f>
        <v>3709700</v>
      </c>
      <c r="T165" s="612" t="str" cm="1">
        <f t="array" ref="T16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65" s="235">
        <f>IFERROR((Таблица10[[#This Row],[ПП]]-Таблица10[[#This Row],[ДДУ]])*1,)</f>
        <v>0</v>
      </c>
      <c r="V165" s="235" t="str" cm="1">
        <f t="array" ref="V16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65" s="235">
        <f>_xlfn.XLOOKUP(Таблица10[[#This Row],[№]],Реестр_Д5[№],Реестр_Д5[Стоимость квартиры с отделкой],"-",0)</f>
        <v>3952700</v>
      </c>
      <c r="X165" s="235" t="str">
        <f>IFERROR(Таблица10[[#This Row],[СО ПП]]-Таблица10[[#This Row],[СО ДДУ]],"")</f>
        <v/>
      </c>
      <c r="Y165" s="233" t="str" cm="1">
        <f t="array" ref="Y165">IFERROR(INDEX(РД[S],MATCH($Q$3&amp;Таблица10[[#This Row],[№]]&amp;"Продажа",РД[Дом]&amp;РД[№ кв]&amp;РД[Состояние],0),1),Таблица10[[#This Row],[Статус]])</f>
        <v>Свободно</v>
      </c>
      <c r="Z165" s="233">
        <f>IF(Таблица10[[#This Row],[№]]&amp;"ДДУ"=ППД5!A162&amp;ППД5!CR162,ППД5!U162,ППД5!V162)</f>
        <v>24.299999999999997</v>
      </c>
      <c r="AA165" s="285">
        <f>IFERROR(Таблица10[[#This Row],[S ПП]]-Таблица10[[#This Row],[S ДДУ]],)</f>
        <v>0</v>
      </c>
      <c r="AB165" s="235">
        <f>ROUND(_xlfn.XLOOKUP(Таблица10[[#This Row],[№]],Реестр_Д5[№],Реестр_Д5[Итоговая сумма скидки],"",0),2)</f>
        <v>0</v>
      </c>
      <c r="AC165" s="235" t="str" cm="1">
        <f t="array" ref="AC16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65" s="285">
        <f>IFERROR(Таблица10[[#This Row],[ППС]]-Таблица10[[#This Row],[ДДУС]],)</f>
        <v>0</v>
      </c>
      <c r="AE165" s="611"/>
      <c r="AT165" s="611"/>
      <c r="AU165" s="484">
        <f>VLOOKUP(ППД402!A162,Д402[],1,0)</f>
        <v>161</v>
      </c>
      <c r="AV165" s="484" t="str">
        <f>_xlfn.XLOOKUP(Т402[[#This Row],[№]],Д402[№],Д402[Статус],"-",0)</f>
        <v>Стр. Резерв</v>
      </c>
      <c r="AW165" s="613">
        <f>_xlfn.XLOOKUP(Т402[[#This Row],[№]],Д402[№],Д402[Стоимость ОН без отделки со скидкой],"-",0)</f>
        <v>7629400</v>
      </c>
      <c r="AX165" s="614" t="str" cm="1">
        <f t="array" ref="AX16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5" s="485" t="str">
        <f>IFERROR((Т402[[#This Row],[ПП]]-Т402[[#This Row],[ДДУ]])*1,"")</f>
        <v/>
      </c>
      <c r="AZ165" s="486" t="str" cm="1">
        <f t="array" ref="AZ16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5" s="485">
        <f>_xlfn.XLOOKUP(Т402[[#This Row],[№]],Д402[№],Д402[Стоимость квартиры с отделкой],"-",0)</f>
        <v>7629400</v>
      </c>
      <c r="BB165" s="485" t="str">
        <f>IFERROR(Т402[[#This Row],[СО ПП]]-Т402[[#This Row],[СО ДДУ]],"")</f>
        <v/>
      </c>
      <c r="BC165" s="487" t="str" cm="1">
        <f t="array" ref="BC165">IFERROR(INDEX(РД[S],MATCH($AU$3&amp;Т402[[#This Row],[№]]&amp;"Продажа",РД[Дом]&amp;РД[№ кв]&amp;РД[Состояние],0),1),Т402[[#This Row],[Статус]])</f>
        <v>Стр. Резерв</v>
      </c>
      <c r="BD165" s="483">
        <f>_xlfn.XLOOKUP(Т402[[#This Row],[№]],Д402[№],Д402[Расчетная проектная площадь],"-",0)</f>
        <v>63.37</v>
      </c>
      <c r="BE165" s="485" t="str">
        <f>IFERROR(Т402[[#This Row],[S ПП]]-Т402[[#This Row],[S ДДУ]],"")</f>
        <v/>
      </c>
      <c r="BF165" s="485">
        <f>_xlfn.XLOOKUP(Т402[[#This Row],[№]],Д402[№],Д402[Итоговая сумма скидки],"-",0)</f>
        <v>0</v>
      </c>
      <c r="BG165" s="486" t="str" cm="1">
        <f t="array" ref="BG16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5" s="488" t="str">
        <f>IFERROR(Т402[[#This Row],[ППС]]-Т402[[#This Row],[ДДУС]],"")</f>
        <v/>
      </c>
    </row>
    <row r="166" spans="1:60" x14ac:dyDescent="0.2">
      <c r="A166" s="611"/>
      <c r="B166" s="234">
        <f>VLOOKUP(ППД4!A163,Реестр_Д4[№],1,0)</f>
        <v>162</v>
      </c>
      <c r="C166" s="234" t="str">
        <f>VLOOKUP(ППД4!CO163,Реестр_Д4[Статус],1,0)</f>
        <v>Продажа</v>
      </c>
      <c r="D166" s="612">
        <f>VLOOKUP(ППД4!CE163,Реестр_Д4[Стоимость ОН без отделки со скидкой],1,0)</f>
        <v>6947800</v>
      </c>
      <c r="E166" s="612" cm="1">
        <f t="array" ref="E166">IFERROR(INDEX(РД[Стоимость без отделки итог],MATCH($B$3&amp;Таблица4[[#This Row],[№]]&amp;"Продажа",РД[Дом]&amp;РД[№ кв]&amp;РД[Состояние],0),1),Таблица4[[#This Row],[Статус]])</f>
        <v>6947800</v>
      </c>
      <c r="F166" s="235">
        <f>IFERROR((Таблица4[[#This Row],[ПП]]-Таблица4[[#This Row],[ДДУ]])*1,"")</f>
        <v>0</v>
      </c>
      <c r="G166" s="235" cm="1">
        <f t="array" ref="G166">IFERROR(INDEX(РД[Стоимость с отделкой итог],MATCH($B$3&amp;Таблица4[[#This Row],[№]]&amp;"Продажа",РД[Дом]&amp;РД[№ кв]&amp;РД[Состояние],0),1),Таблица4[[#This Row],[Статус]])</f>
        <v>7463425</v>
      </c>
      <c r="H166" s="235">
        <f>_xlfn.XLOOKUP(Таблица4[[#This Row],[№]],Реестр_Д4[№],Реестр_Д4[Стоимость квартиры с отделкой],"-",0)</f>
        <v>7463425</v>
      </c>
      <c r="I166" s="235">
        <f>IFERROR(Таблица4[[#This Row],[СО ПП]]-Таблица4[[#This Row],[СО ДДУ]],"")</f>
        <v>0</v>
      </c>
      <c r="J166" s="233" cm="1">
        <f t="array" ref="J166">IFERROR(INDEX(РД[S],MATCH($B$3&amp;Таблица4[[#This Row],[№]]&amp;"Продажа",РД[Дом]&amp;РД[№ кв]&amp;РД[Состояние],0),1),Таблица4[[#This Row],[Статус]])</f>
        <v>68.75</v>
      </c>
      <c r="K166" s="233">
        <f>VLOOKUP(Таблица4[[#This Row],[№]],Реестр_Д4[],20,0)</f>
        <v>68.75</v>
      </c>
      <c r="L166" s="235">
        <f>IFERROR(Таблица4[[#This Row],[S ПП]]-Таблица4[[#This Row],[S ДДУ]],)</f>
        <v>0</v>
      </c>
      <c r="M166" s="235">
        <f>ROUND(_xlfn.XLOOKUP(Таблица4[[#This Row],[№]],Реестр_Д4[№],Реестр_Д4[Итоговая сумма скидки],"",0),2)</f>
        <v>0</v>
      </c>
      <c r="N166" s="235" cm="1">
        <f t="array" ref="N16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6" s="235">
        <f>IFERROR(Таблица4[[#This Row],[ППС]]-Таблица4[[#This Row],[ДДУС]],)</f>
        <v>0</v>
      </c>
      <c r="P166" s="611"/>
      <c r="Q166" s="234">
        <f>VLOOKUP(ППД5!A163,Реестр_Д5[№],1,0)</f>
        <v>162</v>
      </c>
      <c r="R166" s="234" t="str">
        <f>VLOOKUP(ППД5!CH163,Реестр_Д5[Статус],1,0)</f>
        <v>Продажа</v>
      </c>
      <c r="S166" s="612">
        <f>VLOOKUP(ППД5!BZ163,Реестр_Д5[Стоимость ОН без отделки со скидкой],1,0)</f>
        <v>4902675.32</v>
      </c>
      <c r="T166" s="612" cm="1">
        <f t="array" ref="T166">IFERROR(INDEX(РД[Стоимость без отделки итог],MATCH($Q$3&amp;Таблица10[[#This Row],[№]]&amp;"Продажа",РД[Дом]&amp;РД[№ кв]&amp;РД[Состояние],0),1),Таблица10[[#This Row],[Статус]])</f>
        <v>4902675.32</v>
      </c>
      <c r="U166" s="235">
        <f>IFERROR((Таблица10[[#This Row],[ПП]]-Таблица10[[#This Row],[ДДУ]])*1,)</f>
        <v>0</v>
      </c>
      <c r="V166" s="235" cm="1">
        <f t="array" ref="V166">IFERROR(INDEX(РД[Стоимость с отделкой итог],MATCH($Q$3&amp;Таблица10[[#This Row],[№]]&amp;"Продажа",РД[Дом]&amp;РД[№ кв]&amp;РД[Состояние],0),1),Таблица10[[#This Row],[Статус]])</f>
        <v>5334675.32</v>
      </c>
      <c r="W166" s="235">
        <f>_xlfn.XLOOKUP(Таблица10[[#This Row],[№]],Реестр_Д5[№],Реестр_Д5[Стоимость квартиры с отделкой],"-",0)</f>
        <v>5334675.32</v>
      </c>
      <c r="X166" s="235">
        <f>IFERROR(Таблица10[[#This Row],[СО ПП]]-Таблица10[[#This Row],[СО ДДУ]],"")</f>
        <v>0</v>
      </c>
      <c r="Y166" s="233" cm="1">
        <f t="array" ref="Y166">IFERROR(INDEX(РД[S],MATCH($Q$3&amp;Таблица10[[#This Row],[№]]&amp;"Продажа",РД[Дом]&amp;РД[№ кв]&amp;РД[Состояние],0),1),Таблица10[[#This Row],[Статус]])</f>
        <v>57.6</v>
      </c>
      <c r="Z166" s="233">
        <f>IF(Таблица10[[#This Row],[№]]&amp;"ДДУ"=ППД5!A163&amp;ППД5!CR163,ППД5!U163,ППД5!V163)</f>
        <v>57.6</v>
      </c>
      <c r="AA166" s="285">
        <f>IFERROR(Таблица10[[#This Row],[S ПП]]-Таблица10[[#This Row],[S ДДУ]],)</f>
        <v>0</v>
      </c>
      <c r="AB166" s="235">
        <f>ROUND(_xlfn.XLOOKUP(Таблица10[[#This Row],[№]],Реестр_Д5[№],Реестр_Д5[Итоговая сумма скидки],"",0),2)</f>
        <v>100054.6</v>
      </c>
      <c r="AC166" s="235" cm="1">
        <f t="array" ref="AC166">IFERROR(ROUND(_xlfn.XLOOKUP($Q$3&amp;Таблица10[[#This Row],[№]]&amp;"Продажа",РД[Дом]&amp;РД[№ кв]&amp;РД[Состояние],РД[Сумма скидки],"",0,-1),2),Таблица10[[#This Row],[Статус]])</f>
        <v>100054.6</v>
      </c>
      <c r="AD166" s="285">
        <f>IFERROR(Таблица10[[#This Row],[ППС]]-Таблица10[[#This Row],[ДДУС]],)</f>
        <v>0</v>
      </c>
      <c r="AE166" s="611"/>
      <c r="AT166" s="611"/>
      <c r="AU166" s="484">
        <f>VLOOKUP(ППД402!A163,Д402[],1,0)</f>
        <v>162</v>
      </c>
      <c r="AV166" s="484" t="str">
        <f>_xlfn.XLOOKUP(Т402[[#This Row],[№]],Д402[№],Д402[Статус],"-",0)</f>
        <v>Продажа</v>
      </c>
      <c r="AW166" s="613">
        <f>_xlfn.XLOOKUP(Т402[[#This Row],[№]],Д402[№],Д402[Стоимость ОН без отделки со скидкой],"-",0)</f>
        <v>7063840</v>
      </c>
      <c r="AX166" s="614" cm="1">
        <f t="array" ref="AX166">IFERROR(INDEX(РД[Стоимость без отделки итог],MATCH($AU$3&amp;Т402[[#This Row],[№]]&amp;"Продажа",РД[Дом]&amp;РД[№ кв]&amp;РД[Состояние],0),1),Т402[[#This Row],[Статус]])</f>
        <v>7063840</v>
      </c>
      <c r="AY166" s="485">
        <f>IFERROR((Т402[[#This Row],[ПП]]-Т402[[#This Row],[ДДУ]])*1,"")</f>
        <v>0</v>
      </c>
      <c r="AZ166" s="486" cm="1">
        <f t="array" ref="AZ166">IFERROR(INDEX(РД[Стоимость с отделкой итог],MATCH($AU$3&amp;Т402[[#This Row],[№]]&amp;"Продажа",РД[Дом]&amp;РД[№ кв]&amp;РД[Состояние],0),1),Т402[[#This Row],[Статус]])</f>
        <v>7672540</v>
      </c>
      <c r="BA166" s="485">
        <f>_xlfn.XLOOKUP(Т402[[#This Row],[№]],Д402[№],Д402[Стоимость квартиры с отделкой],"-",0)</f>
        <v>7672540</v>
      </c>
      <c r="BB166" s="485">
        <f>IFERROR(Т402[[#This Row],[СО ПП]]-Т402[[#This Row],[СО ДДУ]],"")</f>
        <v>0</v>
      </c>
      <c r="BC166" s="487" cm="1">
        <f t="array" ref="BC166">IFERROR(INDEX(РД[S],MATCH($AU$3&amp;Т402[[#This Row],[№]]&amp;"Продажа",РД[Дом]&amp;РД[№ кв]&amp;РД[Состояние],0),1),Т402[[#This Row],[Статус]])</f>
        <v>60.87</v>
      </c>
      <c r="BD166" s="483">
        <f>_xlfn.XLOOKUP(Т402[[#This Row],[№]],Д402[№],Д402[Расчетная проектная площадь],"-",0)</f>
        <v>60.87</v>
      </c>
      <c r="BE166" s="485">
        <f>IFERROR(Т402[[#This Row],[S ПП]]-Т402[[#This Row],[S ДДУ]],"")</f>
        <v>0</v>
      </c>
      <c r="BF166" s="485">
        <f>_xlfn.XLOOKUP(Т402[[#This Row],[№]],Д402[№],Д402[Итоговая сумма скидки],"-",0)</f>
        <v>144160</v>
      </c>
      <c r="BG166" s="486" cm="1">
        <f t="array" ref="BG166">IFERROR(ROUND(_xlfn.XLOOKUP($AU$3&amp;Т402[[#This Row],[№]]&amp;"Продажа",РД[Дом]&amp;РД[№ кв]&amp;РД[Состояние],РД[Сумма скидки],"",0),2),Т402[[#This Row],[Статус]])</f>
        <v>144160</v>
      </c>
      <c r="BH166" s="488">
        <f>IFERROR(Т402[[#This Row],[ППС]]-Т402[[#This Row],[ДДУС]],"")</f>
        <v>0</v>
      </c>
    </row>
    <row r="167" spans="1:60" x14ac:dyDescent="0.2">
      <c r="A167" s="611"/>
      <c r="B167" s="234">
        <f>VLOOKUP(ППД4!A164,Реестр_Д4[№],1,0)</f>
        <v>163</v>
      </c>
      <c r="C167" s="234" t="str">
        <f>VLOOKUP(ППД4!CO164,Реестр_Д4[Статус],1,0)</f>
        <v>Продажа</v>
      </c>
      <c r="D167" s="612">
        <f>VLOOKUP(ППД4!CE164,Реестр_Д4[Стоимость ОН без отделки со скидкой],1,0)</f>
        <v>3195261.2</v>
      </c>
      <c r="E167" s="612" cm="1">
        <f t="array" ref="E167">IFERROR(INDEX(РД[Стоимость без отделки итог],MATCH($B$3&amp;Таблица4[[#This Row],[№]]&amp;"Продажа",РД[Дом]&amp;РД[№ кв]&amp;РД[Состояние],0),1),Таблица4[[#This Row],[Статус]])</f>
        <v>3195261.1999999997</v>
      </c>
      <c r="F167" s="235">
        <f>IFERROR((Таблица4[[#This Row],[ПП]]-Таблица4[[#This Row],[ДДУ]])*1,"")</f>
        <v>4.6566128730773926E-10</v>
      </c>
      <c r="G167" s="235" cm="1">
        <f t="array" ref="G167">IFERROR(INDEX(РД[Стоимость с отделкой итог],MATCH($B$3&amp;Таблица4[[#This Row],[№]]&amp;"Продажа",РД[Дом]&amp;РД[№ кв]&amp;РД[Состояние],0),1),Таблица4[[#This Row],[Статус]])</f>
        <v>3336781.2</v>
      </c>
      <c r="H167" s="235">
        <f>_xlfn.XLOOKUP(Таблица4[[#This Row],[№]],Реестр_Д4[№],Реестр_Д4[Стоимость квартиры с отделкой],"-",0)</f>
        <v>3336781.2</v>
      </c>
      <c r="I167" s="235">
        <f>IFERROR(Таблица4[[#This Row],[СО ПП]]-Таблица4[[#This Row],[СО ДДУ]],"")</f>
        <v>0</v>
      </c>
      <c r="J167" s="233" cm="1">
        <f t="array" ref="J167">IFERROR(INDEX(РД[S],MATCH($B$3&amp;Таблица4[[#This Row],[№]]&amp;"Продажа",РД[Дом]&amp;РД[№ кв]&amp;РД[Состояние],0),1),Таблица4[[#This Row],[Статус]])</f>
        <v>35.380000000000003</v>
      </c>
      <c r="K167" s="233">
        <f>VLOOKUP(Таблица4[[#This Row],[№]],Реестр_Д4[],20,0)</f>
        <v>35.380000000000003</v>
      </c>
      <c r="L167" s="235">
        <f>IFERROR(Таблица4[[#This Row],[S ПП]]-Таблица4[[#This Row],[S ДДУ]],)</f>
        <v>0</v>
      </c>
      <c r="M167" s="235">
        <f>ROUND(_xlfn.XLOOKUP(Таблица4[[#This Row],[№]],Реестр_Д4[№],Реестр_Д4[Итоговая сумма скидки],"",0),2)</f>
        <v>0</v>
      </c>
      <c r="N167" s="235" cm="1">
        <f t="array" ref="N16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7" s="235">
        <f>IFERROR(Таблица4[[#This Row],[ППС]]-Таблица4[[#This Row],[ДДУС]],)</f>
        <v>0</v>
      </c>
      <c r="P167" s="611"/>
      <c r="Q167" s="234">
        <f>VLOOKUP(ППД5!A164,Реестр_Д5[№],1,0)</f>
        <v>163</v>
      </c>
      <c r="R167" s="234" t="str">
        <f>VLOOKUP(ППД5!CH164,Реестр_Д5[Статус],1,0)</f>
        <v>Свободно</v>
      </c>
      <c r="S167" s="612">
        <f>VLOOKUP(ППД5!BZ164,Реестр_Д5[Стоимость ОН без отделки со скидкой],1,0)</f>
        <v>7353500</v>
      </c>
      <c r="T167" s="612" t="str" cm="1">
        <f t="array" ref="T16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67" s="235">
        <f>IFERROR((Таблица10[[#This Row],[ПП]]-Таблица10[[#This Row],[ДДУ]])*1,)</f>
        <v>0</v>
      </c>
      <c r="V167" s="235" t="str" cm="1">
        <f t="array" ref="V16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67" s="235">
        <f>_xlfn.XLOOKUP(Таблица10[[#This Row],[№]],Реестр_Д5[№],Реестр_Д5[Стоимость квартиры с отделкой],"-",0)</f>
        <v>7353500</v>
      </c>
      <c r="X167" s="235" t="str">
        <f>IFERROR(Таблица10[[#This Row],[СО ПП]]-Таблица10[[#This Row],[СО ДДУ]],"")</f>
        <v/>
      </c>
      <c r="Y167" s="233" t="str" cm="1">
        <f t="array" ref="Y167">IFERROR(INDEX(РД[S],MATCH($Q$3&amp;Таблица10[[#This Row],[№]]&amp;"Продажа",РД[Дом]&amp;РД[№ кв]&amp;РД[Состояние],0),1),Таблица10[[#This Row],[Статус]])</f>
        <v>Свободно</v>
      </c>
      <c r="Z167" s="233">
        <f>IF(Таблица10[[#This Row],[№]]&amp;"ДДУ"=ППД5!A164&amp;ППД5!CR164,ППД5!U164,ППД5!V164)</f>
        <v>58.349999999999994</v>
      </c>
      <c r="AA167" s="285">
        <f>IFERROR(Таблица10[[#This Row],[S ПП]]-Таблица10[[#This Row],[S ДДУ]],)</f>
        <v>0</v>
      </c>
      <c r="AB167" s="235">
        <f>ROUND(_xlfn.XLOOKUP(Таблица10[[#This Row],[№]],Реестр_Д5[№],Реестр_Д5[Итоговая сумма скидки],"",0),2)</f>
        <v>0</v>
      </c>
      <c r="AC167" s="235" t="str" cm="1">
        <f t="array" ref="AC16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67" s="285">
        <f>IFERROR(Таблица10[[#This Row],[ППС]]-Таблица10[[#This Row],[ДДУС]],)</f>
        <v>0</v>
      </c>
      <c r="AE167" s="611"/>
      <c r="AT167" s="611"/>
      <c r="AU167" s="484">
        <f>VLOOKUP(ППД402!A164,Д402[],1,0)</f>
        <v>163</v>
      </c>
      <c r="AV167" s="484" t="str">
        <f>_xlfn.XLOOKUP(Т402[[#This Row],[№]],Д402[№],Д402[Статус],"-",0)</f>
        <v>Стр. Резерв</v>
      </c>
      <c r="AW167" s="613">
        <f>_xlfn.XLOOKUP(Т402[[#This Row],[№]],Д402[№],Д402[Стоимость ОН без отделки со скидкой],"-",0)</f>
        <v>7986300</v>
      </c>
      <c r="AX167" s="614" t="str" cm="1">
        <f t="array" ref="AX16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7" s="485" t="str">
        <f>IFERROR((Т402[[#This Row],[ПП]]-Т402[[#This Row],[ДДУ]])*1,"")</f>
        <v/>
      </c>
      <c r="AZ167" s="486" t="str" cm="1">
        <f t="array" ref="AZ16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7" s="485">
        <f>_xlfn.XLOOKUP(Т402[[#This Row],[№]],Д402[№],Д402[Стоимость квартиры с отделкой],"-",0)</f>
        <v>7986300</v>
      </c>
      <c r="BB167" s="485" t="str">
        <f>IFERROR(Т402[[#This Row],[СО ПП]]-Т402[[#This Row],[СО ДДУ]],"")</f>
        <v/>
      </c>
      <c r="BC167" s="487" t="str" cm="1">
        <f t="array" ref="BC167">IFERROR(INDEX(РД[S],MATCH($AU$3&amp;Т402[[#This Row],[№]]&amp;"Продажа",РД[Дом]&amp;РД[№ кв]&amp;РД[Состояние],0),1),Т402[[#This Row],[Статус]])</f>
        <v>Стр. Резерв</v>
      </c>
      <c r="BD167" s="483">
        <f>_xlfn.XLOOKUP(Т402[[#This Row],[№]],Д402[№],Д402[Расчетная проектная площадь],"-",0)</f>
        <v>65.650000000000006</v>
      </c>
      <c r="BE167" s="485" t="str">
        <f>IFERROR(Т402[[#This Row],[S ПП]]-Т402[[#This Row],[S ДДУ]],"")</f>
        <v/>
      </c>
      <c r="BF167" s="485">
        <f>_xlfn.XLOOKUP(Т402[[#This Row],[№]],Д402[№],Д402[Итоговая сумма скидки],"-",0)</f>
        <v>0</v>
      </c>
      <c r="BG167" s="486" t="str" cm="1">
        <f t="array" ref="BG16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7" s="488" t="str">
        <f>IFERROR(Т402[[#This Row],[ППС]]-Т402[[#This Row],[ДДУС]],"")</f>
        <v/>
      </c>
    </row>
    <row r="168" spans="1:60" x14ac:dyDescent="0.2">
      <c r="A168" s="611"/>
      <c r="B168" s="234">
        <f>VLOOKUP(ППД4!A165,Реестр_Д4[№],1,0)</f>
        <v>164</v>
      </c>
      <c r="C168" s="234" t="str">
        <f>VLOOKUP(ППД4!CO165,Реестр_Д4[Статус],1,0)</f>
        <v>Продажа</v>
      </c>
      <c r="D168" s="612">
        <f>VLOOKUP(ППД4!CE165,Реестр_Д4[Стоимость ОН без отделки со скидкой],1,0)</f>
        <v>4304939.22</v>
      </c>
      <c r="E168" s="612" cm="1">
        <f t="array" ref="E168">IFERROR(INDEX(РД[Стоимость без отделки итог],MATCH($B$3&amp;Таблица4[[#This Row],[№]]&amp;"Продажа",РД[Дом]&amp;РД[№ кв]&amp;РД[Состояние],0),1),Таблица4[[#This Row],[Статус]])</f>
        <v>4304939.22</v>
      </c>
      <c r="F168" s="235">
        <f>IFERROR((Таблица4[[#This Row],[ПП]]-Таблица4[[#This Row],[ДДУ]])*1,"")</f>
        <v>0</v>
      </c>
      <c r="G168" s="235" cm="1">
        <f t="array" ref="G168">IFERROR(INDEX(РД[Стоимость с отделкой итог],MATCH($B$3&amp;Таблица4[[#This Row],[№]]&amp;"Продажа",РД[Дом]&amp;РД[№ кв]&amp;РД[Состояние],0),1),Таблица4[[#This Row],[Статус]])</f>
        <v>4304939.22</v>
      </c>
      <c r="H168" s="235">
        <f>_xlfn.XLOOKUP(Таблица4[[#This Row],[№]],Реестр_Д4[№],Реестр_Д4[Стоимость квартиры с отделкой],"-",0)</f>
        <v>4304939.22</v>
      </c>
      <c r="I168" s="235">
        <f>IFERROR(Таблица4[[#This Row],[СО ПП]]-Таблица4[[#This Row],[СО ДДУ]],"")</f>
        <v>0</v>
      </c>
      <c r="J168" s="233" cm="1">
        <f t="array" ref="J168">IFERROR(INDEX(РД[S],MATCH($B$3&amp;Таблица4[[#This Row],[№]]&amp;"Продажа",РД[Дом]&amp;РД[№ кв]&amp;РД[Состояние],0),1),Таблица4[[#This Row],[Статус]])</f>
        <v>37.81</v>
      </c>
      <c r="K168" s="233">
        <f>VLOOKUP(Таблица4[[#This Row],[№]],Реестр_Д4[],20,0)</f>
        <v>37.81</v>
      </c>
      <c r="L168" s="235">
        <f>IFERROR(Таблица4[[#This Row],[S ПП]]-Таблица4[[#This Row],[S ДДУ]],)</f>
        <v>0</v>
      </c>
      <c r="M168" s="235">
        <f>ROUND(_xlfn.XLOOKUP(Таблица4[[#This Row],[№]],Реестр_Д4[№],Реестр_Д4[Итоговая сумма скидки],"",0),2)</f>
        <v>0</v>
      </c>
      <c r="N168" s="235" cm="1">
        <f t="array" ref="N16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68" s="235">
        <f>IFERROR(Таблица4[[#This Row],[ППС]]-Таблица4[[#This Row],[ДДУС]],)</f>
        <v>0</v>
      </c>
      <c r="P168" s="611"/>
      <c r="Q168" s="234">
        <f>VLOOKUP(ППД5!A165,Реестр_Д5[№],1,0)</f>
        <v>164</v>
      </c>
      <c r="R168" s="234" t="str">
        <f>VLOOKUP(ППД5!CH165,Реестр_Д5[Статус],1,0)</f>
        <v>Продажа</v>
      </c>
      <c r="S168" s="612">
        <f>VLOOKUP(ППД5!BZ165,Реестр_Д5[Стоимость ОН без отделки со скидкой],1,0)</f>
        <v>4289812</v>
      </c>
      <c r="T168" s="612" cm="1">
        <f t="array" ref="T168">IFERROR(INDEX(РД[Стоимость без отделки итог],MATCH($Q$3&amp;Таблица10[[#This Row],[№]]&amp;"Продажа",РД[Дом]&amp;РД[№ кв]&amp;РД[Состояние],0),1),Таблица10[[#This Row],[Статус]])</f>
        <v>4289812</v>
      </c>
      <c r="U168" s="235">
        <f>IFERROR((Таблица10[[#This Row],[ПП]]-Таблица10[[#This Row],[ДДУ]])*1,)</f>
        <v>0</v>
      </c>
      <c r="V168" s="235" cm="1">
        <f t="array" ref="V168">IFERROR(INDEX(РД[Стоимость с отделкой итог],MATCH($Q$3&amp;Таблица10[[#This Row],[№]]&amp;"Продажа",РД[Дом]&amp;РД[№ кв]&amp;РД[Состояние],0),1),Таблица10[[#This Row],[Статус]])</f>
        <v>5047012</v>
      </c>
      <c r="W168" s="235">
        <f>_xlfn.XLOOKUP(Таблица10[[#This Row],[№]],Реестр_Д5[№],Реестр_Д5[Стоимость квартиры с отделкой],"-",0)</f>
        <v>5047011.9999999991</v>
      </c>
      <c r="X168" s="235">
        <f>IFERROR(Таблица10[[#This Row],[СО ПП]]-Таблица10[[#This Row],[СО ДДУ]],"")</f>
        <v>-9.3132257461547852E-10</v>
      </c>
      <c r="Y168" s="233" cm="1">
        <f t="array" ref="Y168">IFERROR(INDEX(РД[S],MATCH($Q$3&amp;Таблица10[[#This Row],[№]]&amp;"Продажа",РД[Дом]&amp;РД[№ кв]&amp;РД[Состояние],0),1),Таблица10[[#This Row],[Статус]])</f>
        <v>37.86</v>
      </c>
      <c r="Z168" s="233">
        <f>IF(Таблица10[[#This Row],[№]]&amp;"ДДУ"=ППД5!A165&amp;ППД5!CR165,ППД5!U165,ППД5!V165)</f>
        <v>37.86</v>
      </c>
      <c r="AA168" s="285">
        <f>IFERROR(Таблица10[[#This Row],[S ПП]]-Таблица10[[#This Row],[S ДДУ]],)</f>
        <v>0</v>
      </c>
      <c r="AB168" s="235">
        <f>ROUND(_xlfn.XLOOKUP(Таблица10[[#This Row],[№]],Реестр_Д5[№],Реестр_Д5[Итоговая сумма скидки],"",0),2)</f>
        <v>88888</v>
      </c>
      <c r="AC168" s="235" cm="1">
        <f t="array" ref="AC168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168" s="285">
        <f>IFERROR(Таблица10[[#This Row],[ППС]]-Таблица10[[#This Row],[ДДУС]],)</f>
        <v>0</v>
      </c>
      <c r="AE168" s="611"/>
      <c r="AT168" s="611"/>
      <c r="AU168" s="484">
        <f>VLOOKUP(ППД402!A165,Д402[],1,0)</f>
        <v>164</v>
      </c>
      <c r="AV168" s="484" t="str">
        <f>_xlfn.XLOOKUP(Т402[[#This Row],[№]],Д402[№],Д402[Статус],"-",0)</f>
        <v>Стр. Резерв</v>
      </c>
      <c r="AW168" s="613">
        <f>_xlfn.XLOOKUP(Т402[[#This Row],[№]],Д402[№],Д402[Стоимость ОН без отделки со скидкой],"-",0)</f>
        <v>4786900</v>
      </c>
      <c r="AX168" s="614" t="str" cm="1">
        <f t="array" ref="AX16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8" s="485" t="str">
        <f>IFERROR((Т402[[#This Row],[ПП]]-Т402[[#This Row],[ДДУ]])*1,"")</f>
        <v/>
      </c>
      <c r="AZ168" s="486" t="str" cm="1">
        <f t="array" ref="AZ16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8" s="485">
        <f>_xlfn.XLOOKUP(Т402[[#This Row],[№]],Д402[№],Д402[Стоимость квартиры с отделкой],"-",0)</f>
        <v>5883700</v>
      </c>
      <c r="BB168" s="485" t="str">
        <f>IFERROR(Т402[[#This Row],[СО ПП]]-Т402[[#This Row],[СО ДДУ]],"")</f>
        <v/>
      </c>
      <c r="BC168" s="487" t="str" cm="1">
        <f t="array" ref="BC168">IFERROR(INDEX(РД[S],MATCH($AU$3&amp;Т402[[#This Row],[№]]&amp;"Продажа",РД[Дом]&amp;РД[№ кв]&amp;РД[Состояние],0),1),Т402[[#This Row],[Статус]])</f>
        <v>Стр. Резерв</v>
      </c>
      <c r="BD168" s="483">
        <f>_xlfn.XLOOKUP(Т402[[#This Row],[№]],Д402[№],Д402[Расчетная проектная площадь],"-",0)</f>
        <v>36.56</v>
      </c>
      <c r="BE168" s="485" t="str">
        <f>IFERROR(Т402[[#This Row],[S ПП]]-Т402[[#This Row],[S ДДУ]],"")</f>
        <v/>
      </c>
      <c r="BF168" s="485">
        <f>_xlfn.XLOOKUP(Т402[[#This Row],[№]],Д402[№],Д402[Итоговая сумма скидки],"-",0)</f>
        <v>0</v>
      </c>
      <c r="BG168" s="486" t="str" cm="1">
        <f t="array" ref="BG16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8" s="488" t="str">
        <f>IFERROR(Т402[[#This Row],[ППС]]-Т402[[#This Row],[ДДУС]],"")</f>
        <v/>
      </c>
    </row>
    <row r="169" spans="1:60" x14ac:dyDescent="0.2">
      <c r="A169" s="611"/>
      <c r="B169" s="234">
        <f>VLOOKUP(ППД4!A166,Реестр_Д4[№],1,0)</f>
        <v>165</v>
      </c>
      <c r="C169" s="234" t="str">
        <f>VLOOKUP(ППД4!CO166,Реестр_Д4[Статус],1,0)</f>
        <v>Продажа</v>
      </c>
      <c r="D169" s="612">
        <f>VLOOKUP(ППД4!CE166,Реестр_Д4[Стоимость ОН без отделки со скидкой],1,0)</f>
        <v>3145853.99</v>
      </c>
      <c r="E169" s="612" cm="1">
        <f t="array" ref="E169">IFERROR(INDEX(РД[Стоимость без отделки итог],MATCH($B$3&amp;Таблица4[[#This Row],[№]]&amp;"Продажа",РД[Дом]&amp;РД[№ кв]&amp;РД[Состояние],0),1),Таблица4[[#This Row],[Статус]])</f>
        <v>3145853.9899999998</v>
      </c>
      <c r="F169" s="235">
        <f>IFERROR((Таблица4[[#This Row],[ПП]]-Таблица4[[#This Row],[ДДУ]])*1,"")</f>
        <v>4.6566128730773926E-10</v>
      </c>
      <c r="G169" s="235" cm="1">
        <f t="array" ref="G169">IFERROR(INDEX(РД[Стоимость с отделкой итог],MATCH($B$3&amp;Таблица4[[#This Row],[№]]&amp;"Продажа",РД[Дом]&amp;РД[№ кв]&amp;РД[Состояние],0),1),Таблица4[[#This Row],[Статус]])</f>
        <v>3696353.99</v>
      </c>
      <c r="H169" s="235">
        <f>_xlfn.XLOOKUP(Таблица4[[#This Row],[№]],Реестр_Д4[№],Реестр_Д4[Стоимость квартиры с отделкой],"-",0)</f>
        <v>3696353.99</v>
      </c>
      <c r="I169" s="235">
        <f>IFERROR(Таблица4[[#This Row],[СО ПП]]-Таблица4[[#This Row],[СО ДДУ]],"")</f>
        <v>0</v>
      </c>
      <c r="J169" s="233" cm="1">
        <f t="array" ref="J169">IFERROR(INDEX(РД[S],MATCH($B$3&amp;Таблица4[[#This Row],[№]]&amp;"Продажа",РД[Дом]&amp;РД[№ кв]&amp;РД[Состояние],0),1),Таблица4[[#This Row],[Статус]])</f>
        <v>36.700000000000003</v>
      </c>
      <c r="K169" s="233">
        <f>VLOOKUP(Таблица4[[#This Row],[№]],Реестр_Д4[],20,0)</f>
        <v>36.700000000000003</v>
      </c>
      <c r="L169" s="235">
        <f>IFERROR(Таблица4[[#This Row],[S ПП]]-Таблица4[[#This Row],[S ДДУ]],)</f>
        <v>0</v>
      </c>
      <c r="M169" s="235">
        <f>ROUND(_xlfn.XLOOKUP(Таблица4[[#This Row],[№]],Реестр_Д4[№],Реестр_Д4[Итоговая сумма скидки],"",0),2)</f>
        <v>200799.19</v>
      </c>
      <c r="N169" s="235" cm="1">
        <f t="array" ref="N169">IFERROR(ROUND(_xlfn.XLOOKUP($B$3&amp;Таблица4[[#This Row],[№]]&amp;"Продажа",РД[Дом]&amp;РД[№ кв]&amp;РД[Состояние],РД[Сумма скидки],"",0),2),Таблица4[[#This Row],[Статус]])</f>
        <v>200799.19</v>
      </c>
      <c r="O169" s="235">
        <f>IFERROR(Таблица4[[#This Row],[ППС]]-Таблица4[[#This Row],[ДДУС]],)</f>
        <v>0</v>
      </c>
      <c r="P169" s="611"/>
      <c r="Q169" s="234">
        <f>VLOOKUP(ППД5!A166,Реестр_Д5[№],1,0)</f>
        <v>165</v>
      </c>
      <c r="R169" s="234" t="str">
        <f>VLOOKUP(ППД5!CH166,Реестр_Д5[Статус],1,0)</f>
        <v>Продажа</v>
      </c>
      <c r="S169" s="612">
        <f>VLOOKUP(ППД5!BZ166,Реестр_Д5[Стоимость ОН без отделки со скидкой],1,0)</f>
        <v>6757748.6799999997</v>
      </c>
      <c r="T169" s="612" cm="1">
        <f t="array" ref="T169">IFERROR(INDEX(РД[Стоимость без отделки итог],MATCH($Q$3&amp;Таблица10[[#This Row],[№]]&amp;"Продажа",РД[Дом]&amp;РД[№ кв]&amp;РД[Состояние],0),1),Таблица10[[#This Row],[Статус]])</f>
        <v>6757748.6799999997</v>
      </c>
      <c r="U169" s="235">
        <f>IFERROR((Таблица10[[#This Row],[ПП]]-Таблица10[[#This Row],[ДДУ]])*1,)</f>
        <v>0</v>
      </c>
      <c r="V169" s="235" cm="1">
        <f t="array" ref="V169">IFERROR(INDEX(РД[Стоимость с отделкой итог],MATCH($Q$3&amp;Таблица10[[#This Row],[№]]&amp;"Продажа",РД[Дом]&amp;РД[№ кв]&amp;РД[Состояние],0),1),Таблица10[[#This Row],[Статус]])</f>
        <v>7395173.6799999997</v>
      </c>
      <c r="W169" s="235">
        <f>_xlfn.XLOOKUP(Таблица10[[#This Row],[№]],Реестр_Д5[№],Реестр_Д5[Стоимость квартиры с отделкой],"-",0)</f>
        <v>7395173.6799999997</v>
      </c>
      <c r="X169" s="235">
        <f>IFERROR(Таблица10[[#This Row],[СО ПП]]-Таблица10[[#This Row],[СО ДДУ]],"")</f>
        <v>0</v>
      </c>
      <c r="Y169" s="233" cm="1">
        <f t="array" ref="Y169">IFERROR(INDEX(РД[S],MATCH($Q$3&amp;Таблица10[[#This Row],[№]]&amp;"Продажа",РД[Дом]&amp;РД[№ кв]&amp;РД[Состояние],0),1),Таблица10[[#This Row],[Статус]])</f>
        <v>84.99</v>
      </c>
      <c r="Z169" s="233">
        <f>IF(Таблица10[[#This Row],[№]]&amp;"ДДУ"=ППД5!A166&amp;ППД5!CR166,ППД5!U166,ППД5!V166)</f>
        <v>84.99</v>
      </c>
      <c r="AA169" s="285">
        <f>IFERROR(Таблица10[[#This Row],[S ПП]]-Таблица10[[#This Row],[S ДДУ]],)</f>
        <v>0</v>
      </c>
      <c r="AB169" s="235">
        <f>ROUND(_xlfn.XLOOKUP(Таблица10[[#This Row],[№]],Реестр_Д5[№],Реестр_Д5[Итоговая сумма скидки],"",0),2)</f>
        <v>0</v>
      </c>
      <c r="AC169" s="235" cm="1">
        <f t="array" ref="AC16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69" s="285">
        <f>IFERROR(Таблица10[[#This Row],[ППС]]-Таблица10[[#This Row],[ДДУС]],)</f>
        <v>0</v>
      </c>
      <c r="AE169" s="611"/>
      <c r="AT169" s="611"/>
      <c r="AU169" s="484">
        <f>VLOOKUP(ППД402!A166,Д402[],1,0)</f>
        <v>165</v>
      </c>
      <c r="AV169" s="484" t="str">
        <f>_xlfn.XLOOKUP(Т402[[#This Row],[№]],Д402[№],Д402[Статус],"-",0)</f>
        <v>Стр. Резерв</v>
      </c>
      <c r="AW169" s="613">
        <f>_xlfn.XLOOKUP(Т402[[#This Row],[№]],Д402[№],Д402[Стоимость ОН без отделки со скидкой],"-",0)</f>
        <v>4230800</v>
      </c>
      <c r="AX169" s="614" t="str" cm="1">
        <f t="array" ref="AX16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69" s="485" t="str">
        <f>IFERROR((Т402[[#This Row],[ПП]]-Т402[[#This Row],[ДДУ]])*1,"")</f>
        <v/>
      </c>
      <c r="AZ169" s="486" t="str" cm="1">
        <f t="array" ref="AZ16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69" s="485">
        <f>_xlfn.XLOOKUP(Т402[[#This Row],[№]],Д402[№],Д402[Стоимость квартиры с отделкой],"-",0)</f>
        <v>4230800</v>
      </c>
      <c r="BB169" s="485" t="str">
        <f>IFERROR(Т402[[#This Row],[СО ПП]]-Т402[[#This Row],[СО ДДУ]],"")</f>
        <v/>
      </c>
      <c r="BC169" s="487" t="str" cm="1">
        <f t="array" ref="BC169">IFERROR(INDEX(РД[S],MATCH($AU$3&amp;Т402[[#This Row],[№]]&amp;"Продажа",РД[Дом]&amp;РД[№ кв]&amp;РД[Состояние],0),1),Т402[[#This Row],[Статус]])</f>
        <v>Стр. Резерв</v>
      </c>
      <c r="BD169" s="483">
        <f>_xlfn.XLOOKUP(Т402[[#This Row],[№]],Д402[№],Д402[Расчетная проектная площадь],"-",0)</f>
        <v>29.43</v>
      </c>
      <c r="BE169" s="485" t="str">
        <f>IFERROR(Т402[[#This Row],[S ПП]]-Т402[[#This Row],[S ДДУ]],"")</f>
        <v/>
      </c>
      <c r="BF169" s="485">
        <f>_xlfn.XLOOKUP(Т402[[#This Row],[№]],Д402[№],Д402[Итоговая сумма скидки],"-",0)</f>
        <v>0</v>
      </c>
      <c r="BG169" s="486" t="str" cm="1">
        <f t="array" ref="BG16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69" s="488" t="str">
        <f>IFERROR(Т402[[#This Row],[ППС]]-Т402[[#This Row],[ДДУС]],"")</f>
        <v/>
      </c>
    </row>
    <row r="170" spans="1:60" x14ac:dyDescent="0.2">
      <c r="A170" s="611"/>
      <c r="B170" s="234">
        <f>VLOOKUP(ППД4!A167,Реестр_Д4[№],1,0)</f>
        <v>166</v>
      </c>
      <c r="C170" s="234" t="str">
        <f>VLOOKUP(ППД4!CO167,Реестр_Д4[Статус],1,0)</f>
        <v>Продажа</v>
      </c>
      <c r="D170" s="612">
        <f>VLOOKUP(ППД4!CE167,Реестр_Д4[Стоимость ОН без отделки со скидкой],1,0)</f>
        <v>3582404.94</v>
      </c>
      <c r="E170" s="612" cm="1">
        <f t="array" ref="E170">IFERROR(INDEX(РД[Стоимость без отделки итог],MATCH($B$3&amp;Таблица4[[#This Row],[№]]&amp;"Продажа",РД[Дом]&amp;РД[№ кв]&amp;РД[Состояние],0),1),Таблица4[[#This Row],[Статус]])</f>
        <v>3582404.94</v>
      </c>
      <c r="F170" s="235">
        <f>IFERROR((Таблица4[[#This Row],[ПП]]-Таблица4[[#This Row],[ДДУ]])*1,"")</f>
        <v>0</v>
      </c>
      <c r="G170" s="235" cm="1">
        <f t="array" ref="G170">IFERROR(INDEX(РД[Стоимость с отделкой итог],MATCH($B$3&amp;Таблица4[[#This Row],[№]]&amp;"Продажа",РД[Дом]&amp;РД[№ кв]&amp;РД[Состояние],0),1),Таблица4[[#This Row],[Статус]])</f>
        <v>3747374.94</v>
      </c>
      <c r="H170" s="235">
        <f>_xlfn.XLOOKUP(Таблица4[[#This Row],[№]],Реестр_Д4[№],Реестр_Д4[Стоимость квартиры с отделкой],"-",0)</f>
        <v>3747374.94</v>
      </c>
      <c r="I170" s="235">
        <f>IFERROR(Таблица4[[#This Row],[СО ПП]]-Таблица4[[#This Row],[СО ДДУ]],"")</f>
        <v>0</v>
      </c>
      <c r="J170" s="233" cm="1">
        <f t="array" ref="J170">IFERROR(INDEX(РД[S],MATCH($B$3&amp;Таблица4[[#This Row],[№]]&amp;"Продажа",РД[Дом]&amp;РД[№ кв]&amp;РД[Состояние],0),1),Таблица4[[#This Row],[Статус]])</f>
        <v>36.659999999999997</v>
      </c>
      <c r="K170" s="233">
        <f>VLOOKUP(Таблица4[[#This Row],[№]],Реестр_Д4[],20,0)</f>
        <v>36.659999999999997</v>
      </c>
      <c r="L170" s="235">
        <f>IFERROR(Таблица4[[#This Row],[S ПП]]-Таблица4[[#This Row],[S ДДУ]],)</f>
        <v>0</v>
      </c>
      <c r="M170" s="235">
        <f>ROUND(_xlfn.XLOOKUP(Таблица4[[#This Row],[№]],Реестр_Д4[№],Реестр_Д4[Итоговая сумма скидки],"",0),2)</f>
        <v>0</v>
      </c>
      <c r="N170" s="235" cm="1">
        <f t="array" ref="N17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0" s="235">
        <f>IFERROR(Таблица4[[#This Row],[ППС]]-Таблица4[[#This Row],[ДДУС]],)</f>
        <v>0</v>
      </c>
      <c r="P170" s="611"/>
      <c r="Q170" s="234">
        <f>VLOOKUP(ППД5!A167,Реестр_Д5[№],1,0)</f>
        <v>166</v>
      </c>
      <c r="R170" s="234" t="str">
        <f>VLOOKUP(ППД5!CH167,Реестр_Д5[Статус],1,0)</f>
        <v>Продажа</v>
      </c>
      <c r="S170" s="612">
        <f>VLOOKUP(ППД5!BZ167,Реестр_Д5[Стоимость ОН без отделки со скидкой],1,0)</f>
        <v>5503460</v>
      </c>
      <c r="T170" s="612" cm="1">
        <f t="array" ref="T170">IFERROR(INDEX(РД[Стоимость без отделки итог],MATCH($Q$3&amp;Таблица10[[#This Row],[№]]&amp;"Продажа",РД[Дом]&amp;РД[№ кв]&amp;РД[Состояние],0),1),Таблица10[[#This Row],[Статус]])</f>
        <v>5503460</v>
      </c>
      <c r="U170" s="235">
        <f>IFERROR((Таблица10[[#This Row],[ПП]]-Таблица10[[#This Row],[ДДУ]])*1,)</f>
        <v>0</v>
      </c>
      <c r="V170" s="235" cm="1">
        <f t="array" ref="V170">IFERROR(INDEX(РД[Стоимость с отделкой итог],MATCH($Q$3&amp;Таблица10[[#This Row],[№]]&amp;"Продажа",РД[Дом]&amp;РД[№ кв]&amp;РД[Состояние],0),1),Таблица10[[#This Row],[Статус]])</f>
        <v>6560460</v>
      </c>
      <c r="W170" s="235">
        <f>_xlfn.XLOOKUP(Таблица10[[#This Row],[№]],Реестр_Д5[№],Реестр_Д5[Стоимость квартиры с отделкой],"-",0)</f>
        <v>6560460.0000000009</v>
      </c>
      <c r="X170" s="235">
        <f>IFERROR(Таблица10[[#This Row],[СО ПП]]-Таблица10[[#This Row],[СО ДДУ]],"")</f>
        <v>9.3132257461547852E-10</v>
      </c>
      <c r="Y170" s="233" cm="1">
        <f t="array" ref="Y170">IFERROR(INDEX(РД[S],MATCH($Q$3&amp;Таблица10[[#This Row],[№]]&amp;"Продажа",РД[Дом]&amp;РД[№ кв]&amp;РД[Состояние],0),1),Таблица10[[#This Row],[Статус]])</f>
        <v>42.28</v>
      </c>
      <c r="Z170" s="233">
        <f>IF(Таблица10[[#This Row],[№]]&amp;"ДДУ"=ППД5!A167&amp;ППД5!CR167,ППД5!U167,ППД5!V167)</f>
        <v>42.28</v>
      </c>
      <c r="AA170" s="285">
        <f>IFERROR(Таблица10[[#This Row],[S ПП]]-Таблица10[[#This Row],[S ДДУ]],)</f>
        <v>0</v>
      </c>
      <c r="AB170" s="235">
        <f>ROUND(_xlfn.XLOOKUP(Таблица10[[#This Row],[№]],Реестр_Д5[№],Реестр_Д5[Итоговая сумма скидки],"",0),2)</f>
        <v>338240</v>
      </c>
      <c r="AC170" s="235" cm="1">
        <f t="array" ref="AC170">IFERROR(ROUND(_xlfn.XLOOKUP($Q$3&amp;Таблица10[[#This Row],[№]]&amp;"Продажа",РД[Дом]&amp;РД[№ кв]&amp;РД[Состояние],РД[Сумма скидки],"",0,-1),2),Таблица10[[#This Row],[Статус]])</f>
        <v>338240</v>
      </c>
      <c r="AD170" s="285">
        <f>IFERROR(Таблица10[[#This Row],[ППС]]-Таблица10[[#This Row],[ДДУС]],)</f>
        <v>0</v>
      </c>
      <c r="AE170" s="611"/>
      <c r="AT170" s="611"/>
      <c r="AU170" s="484">
        <f>VLOOKUP(ППД402!A167,Д402[],1,0)</f>
        <v>166</v>
      </c>
      <c r="AV170" s="484" t="str">
        <f>_xlfn.XLOOKUP(Т402[[#This Row],[№]],Д402[№],Д402[Статус],"-",0)</f>
        <v>Стр. Резерв</v>
      </c>
      <c r="AW170" s="613">
        <f>_xlfn.XLOOKUP(Т402[[#This Row],[№]],Д402[№],Д402[Стоимость ОН без отделки со скидкой],"-",0)</f>
        <v>4013700</v>
      </c>
      <c r="AX170" s="614" t="str" cm="1">
        <f t="array" ref="AX17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0" s="485" t="str">
        <f>IFERROR((Т402[[#This Row],[ПП]]-Т402[[#This Row],[ДДУ]])*1,"")</f>
        <v/>
      </c>
      <c r="AZ170" s="486" t="str" cm="1">
        <f t="array" ref="AZ17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0" s="485">
        <f>_xlfn.XLOOKUP(Т402[[#This Row],[№]],Д402[№],Д402[Стоимость квартиры с отделкой],"-",0)</f>
        <v>4013700.0000000009</v>
      </c>
      <c r="BB170" s="485" t="str">
        <f>IFERROR(Т402[[#This Row],[СО ПП]]-Т402[[#This Row],[СО ДДУ]],"")</f>
        <v/>
      </c>
      <c r="BC170" s="487" t="str" cm="1">
        <f t="array" ref="BC170">IFERROR(INDEX(РД[S],MATCH($AU$3&amp;Т402[[#This Row],[№]]&amp;"Продажа",РД[Дом]&amp;РД[№ кв]&amp;РД[Состояние],0),1),Т402[[#This Row],[Статус]])</f>
        <v>Стр. Резерв</v>
      </c>
      <c r="BD170" s="483">
        <f>_xlfn.XLOOKUP(Т402[[#This Row],[№]],Д402[№],Д402[Расчетная проектная площадь],"-",0)</f>
        <v>27.92</v>
      </c>
      <c r="BE170" s="485" t="str">
        <f>IFERROR(Т402[[#This Row],[S ПП]]-Т402[[#This Row],[S ДДУ]],"")</f>
        <v/>
      </c>
      <c r="BF170" s="485">
        <f>_xlfn.XLOOKUP(Т402[[#This Row],[№]],Д402[№],Д402[Итоговая сумма скидки],"-",0)</f>
        <v>0</v>
      </c>
      <c r="BG170" s="486" t="str" cm="1">
        <f t="array" ref="BG17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0" s="488" t="str">
        <f>IFERROR(Т402[[#This Row],[ППС]]-Т402[[#This Row],[ДДУС]],"")</f>
        <v/>
      </c>
    </row>
    <row r="171" spans="1:60" x14ac:dyDescent="0.2">
      <c r="A171" s="611"/>
      <c r="B171" s="234">
        <f>VLOOKUP(ППД4!A168,Реестр_Д4[№],1,0)</f>
        <v>167</v>
      </c>
      <c r="C171" s="234" t="str">
        <f>VLOOKUP(ППД4!CO168,Реестр_Д4[Статус],1,0)</f>
        <v>Продажа</v>
      </c>
      <c r="D171" s="612">
        <f>VLOOKUP(ППД4!CE168,Реестр_Д4[Стоимость ОН без отделки со скидкой],1,0)</f>
        <v>5704028.6500000004</v>
      </c>
      <c r="E171" s="612" cm="1">
        <f t="array" ref="E171">IFERROR(INDEX(РД[Стоимость без отделки итог],MATCH($B$3&amp;Таблица4[[#This Row],[№]]&amp;"Продажа",РД[Дом]&amp;РД[№ кв]&amp;РД[Состояние],0),1),Таблица4[[#This Row],[Статус]])</f>
        <v>5704028.6500000004</v>
      </c>
      <c r="F171" s="235">
        <f>IFERROR((Таблица4[[#This Row],[ПП]]-Таблица4[[#This Row],[ДДУ]])*1,"")</f>
        <v>0</v>
      </c>
      <c r="G171" s="235" cm="1">
        <f t="array" ref="G171">IFERROR(INDEX(РД[Стоимость с отделкой итог],MATCH($B$3&amp;Таблица4[[#This Row],[№]]&amp;"Продажа",РД[Дом]&amp;РД[№ кв]&amp;РД[Состояние],0),1),Таблица4[[#This Row],[Статус]])</f>
        <v>6018948.6500000004</v>
      </c>
      <c r="H171" s="235">
        <f>_xlfn.XLOOKUP(Таблица4[[#This Row],[№]],Реестр_Д4[№],Реестр_Д4[Стоимость квартиры с отделкой],"-",0)</f>
        <v>6018948.6500000004</v>
      </c>
      <c r="I171" s="235">
        <f>IFERROR(Таблица4[[#This Row],[СО ПП]]-Таблица4[[#This Row],[СО ДДУ]],"")</f>
        <v>0</v>
      </c>
      <c r="J171" s="233" cm="1">
        <f t="array" ref="J171">IFERROR(INDEX(РД[S],MATCH($B$3&amp;Таблица4[[#This Row],[№]]&amp;"Продажа",РД[Дом]&amp;РД[№ кв]&amp;РД[Состояние],0),1),Таблица4[[#This Row],[Статус]])</f>
        <v>78.73</v>
      </c>
      <c r="K171" s="233">
        <f>VLOOKUP(Таблица4[[#This Row],[№]],Реестр_Д4[],20,0)</f>
        <v>78.73</v>
      </c>
      <c r="L171" s="235">
        <f>IFERROR(Таблица4[[#This Row],[S ПП]]-Таблица4[[#This Row],[S ДДУ]],)</f>
        <v>0</v>
      </c>
      <c r="M171" s="235">
        <f>ROUND(_xlfn.XLOOKUP(Таблица4[[#This Row],[№]],Реестр_Д4[№],Реестр_Д4[Итоговая сумма скидки],"",0),2)</f>
        <v>0</v>
      </c>
      <c r="N171" s="235" cm="1">
        <f t="array" ref="N17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1" s="235">
        <f>IFERROR(Таблица4[[#This Row],[ППС]]-Таблица4[[#This Row],[ДДУС]],)</f>
        <v>0</v>
      </c>
      <c r="P171" s="611"/>
      <c r="Q171" s="234">
        <f>VLOOKUP(ППД5!A168,Реестр_Д5[№],1,0)</f>
        <v>167</v>
      </c>
      <c r="R171" s="234" t="str">
        <f>VLOOKUP(ППД5!CH168,Реестр_Д5[Статус],1,0)</f>
        <v>Гарантированная бронь</v>
      </c>
      <c r="S171" s="612">
        <f>VLOOKUP(ППД5!BZ168,Реестр_Д5[Стоимость ОН без отделки со скидкой],1,0)</f>
        <v>6753937</v>
      </c>
      <c r="T171" s="612" t="str" cm="1">
        <f t="array" ref="T171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171" s="235">
        <f>IFERROR((Таблица10[[#This Row],[ПП]]-Таблица10[[#This Row],[ДДУ]])*1,)</f>
        <v>0</v>
      </c>
      <c r="V171" s="235" t="str" cm="1">
        <f t="array" ref="V171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171" s="235">
        <f>_xlfn.XLOOKUP(Таблица10[[#This Row],[№]],Реестр_Д5[№],Реестр_Д5[Стоимость квартиры с отделкой],"-",0)</f>
        <v>6753937</v>
      </c>
      <c r="X171" s="235" t="str">
        <f>IFERROR(Таблица10[[#This Row],[СО ПП]]-Таблица10[[#This Row],[СО ДДУ]],"")</f>
        <v/>
      </c>
      <c r="Y171" s="233" t="str" cm="1">
        <f t="array" ref="Y171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171" s="233">
        <f>IF(Таблица10[[#This Row],[№]]&amp;"ДДУ"=ППД5!A168&amp;ППД5!CR168,ППД5!U168,ППД5!V168)</f>
        <v>59.999999999999993</v>
      </c>
      <c r="AA171" s="285">
        <f>IFERROR(Таблица10[[#This Row],[S ПП]]-Таблица10[[#This Row],[S ДДУ]],)</f>
        <v>0</v>
      </c>
      <c r="AB171" s="235">
        <f>ROUND(_xlfn.XLOOKUP(Таблица10[[#This Row],[№]],Реестр_Д5[№],Реестр_Д5[Итоговая сумма скидки],"",0),2)</f>
        <v>518163</v>
      </c>
      <c r="AC171" s="235" t="str" cm="1">
        <f t="array" ref="AC171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171" s="285">
        <f>IFERROR(Таблица10[[#This Row],[ППС]]-Таблица10[[#This Row],[ДДУС]],)</f>
        <v>0</v>
      </c>
      <c r="AE171" s="611"/>
      <c r="AT171" s="611"/>
      <c r="AU171" s="484">
        <f>VLOOKUP(ППД402!A168,Д402[],1,0)</f>
        <v>167</v>
      </c>
      <c r="AV171" s="484" t="str">
        <f>_xlfn.XLOOKUP(Т402[[#This Row],[№]],Д402[№],Д402[Статус],"-",0)</f>
        <v>Свободно</v>
      </c>
      <c r="AW171" s="613">
        <f>_xlfn.XLOOKUP(Т402[[#This Row],[№]],Д402[№],Д402[Стоимость ОН без отделки со скидкой],"-",0)</f>
        <v>7629400</v>
      </c>
      <c r="AX171" s="614" t="str" cm="1">
        <f t="array" ref="AX17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71" s="485" t="str">
        <f>IFERROR((Т402[[#This Row],[ПП]]-Т402[[#This Row],[ДДУ]])*1,"")</f>
        <v/>
      </c>
      <c r="AZ171" s="486" t="str" cm="1">
        <f t="array" ref="AZ17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71" s="485">
        <f>_xlfn.XLOOKUP(Т402[[#This Row],[№]],Д402[№],Д402[Стоимость квартиры с отделкой],"-",0)</f>
        <v>9530500</v>
      </c>
      <c r="BB171" s="485" t="str">
        <f>IFERROR(Т402[[#This Row],[СО ПП]]-Т402[[#This Row],[СО ДДУ]],"")</f>
        <v/>
      </c>
      <c r="BC171" s="487" t="str" cm="1">
        <f t="array" ref="BC171">IFERROR(INDEX(РД[S],MATCH($AU$3&amp;Т402[[#This Row],[№]]&amp;"Продажа",РД[Дом]&amp;РД[№ кв]&amp;РД[Состояние],0),1),Т402[[#This Row],[Статус]])</f>
        <v>Свободно</v>
      </c>
      <c r="BD171" s="483">
        <f>_xlfn.XLOOKUP(Т402[[#This Row],[№]],Д402[№],Д402[Расчетная проектная площадь],"-",0)</f>
        <v>63.37</v>
      </c>
      <c r="BE171" s="485" t="str">
        <f>IFERROR(Т402[[#This Row],[S ПП]]-Т402[[#This Row],[S ДДУ]],"")</f>
        <v/>
      </c>
      <c r="BF171" s="485">
        <f>_xlfn.XLOOKUP(Т402[[#This Row],[№]],Д402[№],Д402[Итоговая сумма скидки],"-",0)</f>
        <v>0</v>
      </c>
      <c r="BG171" s="486" t="str" cm="1">
        <f t="array" ref="BG17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71" s="488" t="str">
        <f>IFERROR(Т402[[#This Row],[ППС]]-Т402[[#This Row],[ДДУС]],"")</f>
        <v/>
      </c>
    </row>
    <row r="172" spans="1:60" x14ac:dyDescent="0.2">
      <c r="A172" s="611"/>
      <c r="B172" s="234">
        <f>VLOOKUP(ППД4!A169,Реестр_Д4[№],1,0)</f>
        <v>168</v>
      </c>
      <c r="C172" s="234" t="str">
        <f>VLOOKUP(ППД4!CO169,Реестр_Д4[Статус],1,0)</f>
        <v>Продажа</v>
      </c>
      <c r="D172" s="612">
        <f>VLOOKUP(ППД4!CE169,Реестр_Д4[Стоимость ОН без отделки со скидкой],1,0)</f>
        <v>2530474.64</v>
      </c>
      <c r="E172" s="612" cm="1">
        <f t="array" ref="E172">IFERROR(INDEX(РД[Стоимость без отделки итог],MATCH($B$3&amp;Таблица4[[#This Row],[№]]&amp;"Продажа",РД[Дом]&amp;РД[№ кв]&amp;РД[Состояние],0),1),Таблица4[[#This Row],[Статус]])</f>
        <v>2530474.64</v>
      </c>
      <c r="F172" s="235">
        <f>IFERROR((Таблица4[[#This Row],[ПП]]-Таблица4[[#This Row],[ДДУ]])*1,"")</f>
        <v>0</v>
      </c>
      <c r="G172" s="235" cm="1">
        <f t="array" ref="G172">IFERROR(INDEX(РД[Стоимость с отделкой итог],MATCH($B$3&amp;Таблица4[[#This Row],[№]]&amp;"Продажа",РД[Дом]&amp;РД[№ кв]&amp;РД[Состояние],0),1),Таблица4[[#This Row],[Статус]])</f>
        <v>3273854.64</v>
      </c>
      <c r="H172" s="235">
        <f>_xlfn.XLOOKUP(Таблица4[[#This Row],[№]],Реестр_Д4[№],Реестр_Д4[Стоимость квартиры с отделкой],"-",0)</f>
        <v>3273854.64</v>
      </c>
      <c r="I172" s="235">
        <f>IFERROR(Таблица4[[#This Row],[СО ПП]]-Таблица4[[#This Row],[СО ДДУ]],"")</f>
        <v>0</v>
      </c>
      <c r="J172" s="233" cm="1">
        <f t="array" ref="J172">IFERROR(INDEX(РД[S],MATCH($B$3&amp;Таблица4[[#This Row],[№]]&amp;"Продажа",РД[Дом]&amp;РД[№ кв]&amp;РД[Состояние],0),1),Таблица4[[#This Row],[Статус]])</f>
        <v>33.79</v>
      </c>
      <c r="K172" s="233">
        <f>VLOOKUP(Таблица4[[#This Row],[№]],Реестр_Д4[],20,0)</f>
        <v>33.79</v>
      </c>
      <c r="L172" s="235">
        <f>IFERROR(Таблица4[[#This Row],[S ПП]]-Таблица4[[#This Row],[S ДДУ]],)</f>
        <v>0</v>
      </c>
      <c r="M172" s="235">
        <f>ROUND(_xlfn.XLOOKUP(Таблица4[[#This Row],[№]],Реестр_Д4[№],Реестр_Д4[Итоговая сумма скидки],"",0),2)</f>
        <v>78262.100000000006</v>
      </c>
      <c r="N172" s="235" cm="1">
        <f t="array" ref="N172">IFERROR(ROUND(_xlfn.XLOOKUP($B$3&amp;Таблица4[[#This Row],[№]]&amp;"Продажа",РД[Дом]&amp;РД[№ кв]&amp;РД[Состояние],РД[Сумма скидки],"",0),2),Таблица4[[#This Row],[Статус]])</f>
        <v>78262.100000000006</v>
      </c>
      <c r="O172" s="235">
        <f>IFERROR(Таблица4[[#This Row],[ППС]]-Таблица4[[#This Row],[ДДУС]],)</f>
        <v>0</v>
      </c>
      <c r="P172" s="611"/>
      <c r="Q172" s="234">
        <f>VLOOKUP(ППД5!A169,Реестр_Д5[№],1,0)</f>
        <v>168</v>
      </c>
      <c r="R172" s="234" t="str">
        <f>VLOOKUP(ППД5!CH169,Реестр_Д5[Статус],1,0)</f>
        <v>Свободно</v>
      </c>
      <c r="S172" s="612">
        <f>VLOOKUP(ППД5!BZ169,Реестр_Д5[Стоимость ОН без отделки со скидкой],1,0)</f>
        <v>3631800</v>
      </c>
      <c r="T172" s="612" t="str" cm="1">
        <f t="array" ref="T17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72" s="235">
        <f>IFERROR((Таблица10[[#This Row],[ПП]]-Таблица10[[#This Row],[ДДУ]])*1,)</f>
        <v>0</v>
      </c>
      <c r="V172" s="235" t="str" cm="1">
        <f t="array" ref="V17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72" s="235">
        <f>_xlfn.XLOOKUP(Таблица10[[#This Row],[№]],Реестр_Д5[№],Реестр_Д5[Стоимость квартиры с отделкой],"-",0)</f>
        <v>3631800.0000000009</v>
      </c>
      <c r="X172" s="235" t="str">
        <f>IFERROR(Таблица10[[#This Row],[СО ПП]]-Таблица10[[#This Row],[СО ДДУ]],"")</f>
        <v/>
      </c>
      <c r="Y172" s="233" t="str" cm="1">
        <f t="array" ref="Y172">IFERROR(INDEX(РД[S],MATCH($Q$3&amp;Таблица10[[#This Row],[№]]&amp;"Продажа",РД[Дом]&amp;РД[№ кв]&amp;РД[Состояние],0),1),Таблица10[[#This Row],[Статус]])</f>
        <v>Свободно</v>
      </c>
      <c r="Z172" s="233">
        <f>IF(Таблица10[[#This Row],[№]]&amp;"ДДУ"=ППД5!A169&amp;ППД5!CR169,ППД5!U169,ППД5!V169)</f>
        <v>24.25</v>
      </c>
      <c r="AA172" s="285">
        <f>IFERROR(Таблица10[[#This Row],[S ПП]]-Таблица10[[#This Row],[S ДДУ]],)</f>
        <v>0</v>
      </c>
      <c r="AB172" s="235">
        <f>ROUND(_xlfn.XLOOKUP(Таблица10[[#This Row],[№]],Реестр_Д5[№],Реестр_Д5[Итоговая сумма скидки],"",0),2)</f>
        <v>0</v>
      </c>
      <c r="AC172" s="235" t="str" cm="1">
        <f t="array" ref="AC17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72" s="285">
        <f>IFERROR(Таблица10[[#This Row],[ППС]]-Таблица10[[#This Row],[ДДУС]],)</f>
        <v>0</v>
      </c>
      <c r="AE172" s="611"/>
      <c r="AT172" s="611"/>
      <c r="AU172" s="484">
        <f>VLOOKUP(ППД402!A169,Д402[],1,0)</f>
        <v>168</v>
      </c>
      <c r="AV172" s="484" t="str">
        <f>_xlfn.XLOOKUP(Т402[[#This Row],[№]],Д402[№],Д402[Статус],"-",0)</f>
        <v>Стр. Резерв</v>
      </c>
      <c r="AW172" s="613">
        <f>_xlfn.XLOOKUP(Т402[[#This Row],[№]],Д402[№],Д402[Стоимость ОН без отделки со скидкой],"-",0)</f>
        <v>7424200</v>
      </c>
      <c r="AX172" s="614" t="str" cm="1">
        <f t="array" ref="AX17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2" s="485" t="str">
        <f>IFERROR((Т402[[#This Row],[ПП]]-Т402[[#This Row],[ДДУ]])*1,"")</f>
        <v/>
      </c>
      <c r="AZ172" s="486" t="str" cm="1">
        <f t="array" ref="AZ17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2" s="485">
        <f>_xlfn.XLOOKUP(Т402[[#This Row],[№]],Д402[№],Д402[Стоимость квартиры с отделкой],"-",0)</f>
        <v>7424200</v>
      </c>
      <c r="BB172" s="485" t="str">
        <f>IFERROR(Т402[[#This Row],[СО ПП]]-Т402[[#This Row],[СО ДДУ]],"")</f>
        <v/>
      </c>
      <c r="BC172" s="487" t="str" cm="1">
        <f t="array" ref="BC172">IFERROR(INDEX(РД[S],MATCH($AU$3&amp;Т402[[#This Row],[№]]&amp;"Продажа",РД[Дом]&amp;РД[№ кв]&amp;РД[Состояние],0),1),Т402[[#This Row],[Статус]])</f>
        <v>Стр. Резерв</v>
      </c>
      <c r="BD172" s="483">
        <f>_xlfn.XLOOKUP(Т402[[#This Row],[№]],Д402[№],Д402[Расчетная проектная площадь],"-",0)</f>
        <v>60.87</v>
      </c>
      <c r="BE172" s="485" t="str">
        <f>IFERROR(Т402[[#This Row],[S ПП]]-Т402[[#This Row],[S ДДУ]],"")</f>
        <v/>
      </c>
      <c r="BF172" s="485">
        <f>_xlfn.XLOOKUP(Т402[[#This Row],[№]],Д402[№],Д402[Итоговая сумма скидки],"-",0)</f>
        <v>0</v>
      </c>
      <c r="BG172" s="486" t="str" cm="1">
        <f t="array" ref="BG17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2" s="488" t="str">
        <f>IFERROR(Т402[[#This Row],[ППС]]-Т402[[#This Row],[ДДУС]],"")</f>
        <v/>
      </c>
    </row>
    <row r="173" spans="1:60" x14ac:dyDescent="0.2">
      <c r="A173" s="611"/>
      <c r="B173" s="234">
        <f>VLOOKUP(ППД4!A170,Реестр_Д4[№],1,0)</f>
        <v>169</v>
      </c>
      <c r="C173" s="234" t="str">
        <f>VLOOKUP(ППД4!CO170,Реестр_Д4[Статус],1,0)</f>
        <v>Продажа</v>
      </c>
      <c r="D173" s="612">
        <f>VLOOKUP(ППД4!CE170,Реестр_Д4[Стоимость ОН без отделки со скидкой],1,0)</f>
        <v>2414917.4700000002</v>
      </c>
      <c r="E173" s="612" cm="1">
        <f t="array" ref="E173">IFERROR(INDEX(РД[Стоимость без отделки итог],MATCH($B$3&amp;Таблица4[[#This Row],[№]]&amp;"Продажа",РД[Дом]&amp;РД[№ кв]&amp;РД[Состояние],0),1),Таблица4[[#This Row],[Статус]])</f>
        <v>2414917.4700000002</v>
      </c>
      <c r="F173" s="235">
        <f>IFERROR((Таблица4[[#This Row],[ПП]]-Таблица4[[#This Row],[ДДУ]])*1,"")</f>
        <v>0</v>
      </c>
      <c r="G173" s="235" cm="1">
        <f t="array" ref="G173">IFERROR(INDEX(РД[Стоимость с отделкой итог],MATCH($B$3&amp;Таблица4[[#This Row],[№]]&amp;"Продажа",РД[Дом]&amp;РД[№ кв]&amp;РД[Состояние],0),1),Таблица4[[#This Row],[Статус]])</f>
        <v>2414917.4700000002</v>
      </c>
      <c r="H173" s="235">
        <f>_xlfn.XLOOKUP(Таблица4[[#This Row],[№]],Реестр_Д4[№],Реестр_Д4[Стоимость квартиры с отделкой],"-",0)</f>
        <v>2414917.4700000002</v>
      </c>
      <c r="I173" s="235">
        <f>IFERROR(Таблица4[[#This Row],[СО ПП]]-Таблица4[[#This Row],[СО ДДУ]],"")</f>
        <v>0</v>
      </c>
      <c r="J173" s="233" cm="1">
        <f t="array" ref="J173">IFERROR(INDEX(РД[S],MATCH($B$3&amp;Таблица4[[#This Row],[№]]&amp;"Продажа",РД[Дом]&amp;РД[№ кв]&amp;РД[Состояние],0),1),Таблица4[[#This Row],[Статус]])</f>
        <v>28.97</v>
      </c>
      <c r="K173" s="233">
        <f>VLOOKUP(Таблица4[[#This Row],[№]],Реестр_Д4[],20,0)</f>
        <v>28.97</v>
      </c>
      <c r="L173" s="235">
        <f>IFERROR(Таблица4[[#This Row],[S ПП]]-Таблица4[[#This Row],[S ДДУ]],)</f>
        <v>0</v>
      </c>
      <c r="M173" s="235">
        <f>ROUND(_xlfn.XLOOKUP(Таблица4[[#This Row],[№]],Реестр_Д4[№],Реестр_Д4[Итоговая сумма скидки],"",0),2)</f>
        <v>0</v>
      </c>
      <c r="N173" s="235" cm="1">
        <f t="array" ref="N17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3" s="235">
        <f>IFERROR(Таблица4[[#This Row],[ППС]]-Таблица4[[#This Row],[ДДУС]],)</f>
        <v>0</v>
      </c>
      <c r="P173" s="611"/>
      <c r="Q173" s="234">
        <f>VLOOKUP(ППД5!A170,Реестр_Д5[№],1,0)</f>
        <v>169</v>
      </c>
      <c r="R173" s="234" t="str">
        <f>VLOOKUP(ППД5!CH170,Реестр_Д5[Статус],1,0)</f>
        <v>Продажа</v>
      </c>
      <c r="S173" s="612">
        <f>VLOOKUP(ППД5!BZ170,Реестр_Д5[Стоимость ОН без отделки со скидкой],1,0)</f>
        <v>5047298</v>
      </c>
      <c r="T173" s="612" cm="1">
        <f t="array" ref="T173">IFERROR(INDEX(РД[Стоимость без отделки итог],MATCH($Q$3&amp;Таблица10[[#This Row],[№]]&amp;"Продажа",РД[Дом]&amp;РД[№ кв]&amp;РД[Состояние],0),1),Таблица10[[#This Row],[Статус]])</f>
        <v>5047298</v>
      </c>
      <c r="U173" s="235">
        <f>IFERROR((Таблица10[[#This Row],[ПП]]-Таблица10[[#This Row],[ДДУ]])*1,)</f>
        <v>0</v>
      </c>
      <c r="V173" s="235" cm="1">
        <f t="array" ref="V173">IFERROR(INDEX(РД[Стоимость с отделкой итог],MATCH($Q$3&amp;Таблица10[[#This Row],[№]]&amp;"Продажа",РД[Дом]&amp;РД[№ кв]&amp;РД[Состояние],0),1),Таблица10[[#This Row],[Статус]])</f>
        <v>5450498</v>
      </c>
      <c r="W173" s="235">
        <f>_xlfn.XLOOKUP(Таблица10[[#This Row],[№]],Реестр_Д5[№],Реестр_Д5[Стоимость квартиры с отделкой],"-",0)</f>
        <v>5450498</v>
      </c>
      <c r="X173" s="235">
        <f>IFERROR(Таблица10[[#This Row],[СО ПП]]-Таблица10[[#This Row],[СО ДДУ]],"")</f>
        <v>0</v>
      </c>
      <c r="Y173" s="233" cm="1">
        <f t="array" ref="Y173">IFERROR(INDEX(РД[S],MATCH($Q$3&amp;Таблица10[[#This Row],[№]]&amp;"Продажа",РД[Дом]&amp;РД[№ кв]&amp;РД[Состояние],0),1),Таблица10[[#This Row],[Статус]])</f>
        <v>57.6</v>
      </c>
      <c r="Z173" s="233">
        <f>IF(Таблица10[[#This Row],[№]]&amp;"ДДУ"=ППД5!A170&amp;ППД5!CR170,ППД5!U170,ППД5!V170)</f>
        <v>57.6</v>
      </c>
      <c r="AA173" s="285">
        <f>IFERROR(Таблица10[[#This Row],[S ПП]]-Таблица10[[#This Row],[S ДДУ]],)</f>
        <v>0</v>
      </c>
      <c r="AB173" s="235">
        <f>ROUND(_xlfn.XLOOKUP(Таблица10[[#This Row],[№]],Реестр_Д5[№],Реестр_Д5[Итоговая сумма скидки],"",0),2)</f>
        <v>156102</v>
      </c>
      <c r="AC173" s="235" cm="1">
        <f t="array" ref="AC173">IFERROR(ROUND(_xlfn.XLOOKUP($Q$3&amp;Таблица10[[#This Row],[№]]&amp;"Продажа",РД[Дом]&amp;РД[№ кв]&amp;РД[Состояние],РД[Сумма скидки],"",0,-1),2),Таблица10[[#This Row],[Статус]])</f>
        <v>156102</v>
      </c>
      <c r="AD173" s="285">
        <f>IFERROR(Таблица10[[#This Row],[ППС]]-Таблица10[[#This Row],[ДДУС]],)</f>
        <v>0</v>
      </c>
      <c r="AE173" s="611"/>
      <c r="AT173" s="611"/>
      <c r="AU173" s="484">
        <f>VLOOKUP(ППД402!A170,Д402[],1,0)</f>
        <v>169</v>
      </c>
      <c r="AV173" s="484" t="str">
        <f>_xlfn.XLOOKUP(Т402[[#This Row],[№]],Д402[№],Д402[Статус],"-",0)</f>
        <v>Стр. Резерв</v>
      </c>
      <c r="AW173" s="613">
        <f>_xlfn.XLOOKUP(Т402[[#This Row],[№]],Д402[№],Д402[Стоимость ОН без отделки со скидкой],"-",0)</f>
        <v>7986300</v>
      </c>
      <c r="AX173" s="614" t="str" cm="1">
        <f t="array" ref="AX17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3" s="485" t="str">
        <f>IFERROR((Т402[[#This Row],[ПП]]-Т402[[#This Row],[ДДУ]])*1,"")</f>
        <v/>
      </c>
      <c r="AZ173" s="486" t="str" cm="1">
        <f t="array" ref="AZ17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3" s="485">
        <f>_xlfn.XLOOKUP(Т402[[#This Row],[№]],Д402[№],Д402[Стоимость квартиры с отделкой],"-",0)</f>
        <v>9955800</v>
      </c>
      <c r="BB173" s="485" t="str">
        <f>IFERROR(Т402[[#This Row],[СО ПП]]-Т402[[#This Row],[СО ДДУ]],"")</f>
        <v/>
      </c>
      <c r="BC173" s="487" t="str" cm="1">
        <f t="array" ref="BC173">IFERROR(INDEX(РД[S],MATCH($AU$3&amp;Т402[[#This Row],[№]]&amp;"Продажа",РД[Дом]&amp;РД[№ кв]&amp;РД[Состояние],0),1),Т402[[#This Row],[Статус]])</f>
        <v>Стр. Резерв</v>
      </c>
      <c r="BD173" s="483">
        <f>_xlfn.XLOOKUP(Т402[[#This Row],[№]],Д402[№],Д402[Расчетная проектная площадь],"-",0)</f>
        <v>65.650000000000006</v>
      </c>
      <c r="BE173" s="485" t="str">
        <f>IFERROR(Т402[[#This Row],[S ПП]]-Т402[[#This Row],[S ДДУ]],"")</f>
        <v/>
      </c>
      <c r="BF173" s="485">
        <f>_xlfn.XLOOKUP(Т402[[#This Row],[№]],Д402[№],Д402[Итоговая сумма скидки],"-",0)</f>
        <v>0</v>
      </c>
      <c r="BG173" s="486" t="str" cm="1">
        <f t="array" ref="BG17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3" s="488" t="str">
        <f>IFERROR(Т402[[#This Row],[ППС]]-Т402[[#This Row],[ДДУС]],"")</f>
        <v/>
      </c>
    </row>
    <row r="174" spans="1:60" x14ac:dyDescent="0.2">
      <c r="A174" s="611"/>
      <c r="B174" s="234">
        <f>VLOOKUP(ППД4!A171,Реестр_Д4[№],1,0)</f>
        <v>170</v>
      </c>
      <c r="C174" s="234" t="str">
        <f>VLOOKUP(ППД4!CO171,Реестр_Д4[Статус],1,0)</f>
        <v>Продажа</v>
      </c>
      <c r="D174" s="612">
        <f>VLOOKUP(ППД4!CE171,Реестр_Д4[Стоимость ОН без отделки со скидкой],1,0)</f>
        <v>5575357.5599999996</v>
      </c>
      <c r="E174" s="612" cm="1">
        <f t="array" ref="E174">IFERROR(INDEX(РД[Стоимость без отделки итог],MATCH($B$3&amp;Таблица4[[#This Row],[№]]&amp;"Продажа",РД[Дом]&amp;РД[№ кв]&amp;РД[Состояние],0),1),Таблица4[[#This Row],[Статус]])</f>
        <v>5575357.5599999996</v>
      </c>
      <c r="F174" s="235">
        <f>IFERROR((Таблица4[[#This Row],[ПП]]-Таблица4[[#This Row],[ДДУ]])*1,"")</f>
        <v>0</v>
      </c>
      <c r="G174" s="235" cm="1">
        <f t="array" ref="G174">IFERROR(INDEX(РД[Стоимость с отделкой итог],MATCH($B$3&amp;Таблица4[[#This Row],[№]]&amp;"Продажа",РД[Дом]&amp;РД[№ кв]&amp;РД[Состояние],0),1),Таблица4[[#This Row],[Статус]])</f>
        <v>5850357.5599999996</v>
      </c>
      <c r="H174" s="235">
        <f>_xlfn.XLOOKUP(Таблица4[[#This Row],[№]],Реестр_Д4[№],Реестр_Д4[Стоимость квартиры с отделкой],"-",0)</f>
        <v>5850357.5599999996</v>
      </c>
      <c r="I174" s="235">
        <f>IFERROR(Таблица4[[#This Row],[СО ПП]]-Таблица4[[#This Row],[СО ДДУ]],"")</f>
        <v>0</v>
      </c>
      <c r="J174" s="233" cm="1">
        <f t="array" ref="J174">IFERROR(INDEX(РД[S],MATCH($B$3&amp;Таблица4[[#This Row],[№]]&amp;"Продажа",РД[Дом]&amp;РД[№ кв]&amp;РД[Состояние],0),1),Таблица4[[#This Row],[Статус]])</f>
        <v>68.75</v>
      </c>
      <c r="K174" s="233">
        <f>VLOOKUP(Таблица4[[#This Row],[№]],Реестр_Д4[],20,0)</f>
        <v>68.75</v>
      </c>
      <c r="L174" s="235">
        <f>IFERROR(Таблица4[[#This Row],[S ПП]]-Таблица4[[#This Row],[S ДДУ]],)</f>
        <v>0</v>
      </c>
      <c r="M174" s="235">
        <f>ROUND(_xlfn.XLOOKUP(Таблица4[[#This Row],[№]],Реестр_Д4[№],Реестр_Д4[Итоговая сумма скидки],"",0),2)</f>
        <v>275000</v>
      </c>
      <c r="N174" s="235" cm="1">
        <f t="array" ref="N174">IFERROR(ROUND(_xlfn.XLOOKUP($B$3&amp;Таблица4[[#This Row],[№]]&amp;"Продажа",РД[Дом]&amp;РД[№ кв]&amp;РД[Состояние],РД[Сумма скидки],"",0),2),Таблица4[[#This Row],[Статус]])</f>
        <v>275000</v>
      </c>
      <c r="O174" s="235">
        <f>IFERROR(Таблица4[[#This Row],[ППС]]-Таблица4[[#This Row],[ДДУС]],)</f>
        <v>0</v>
      </c>
      <c r="P174" s="611"/>
      <c r="Q174" s="234">
        <f>VLOOKUP(ППД5!A171,Реестр_Д5[№],1,0)</f>
        <v>170</v>
      </c>
      <c r="R174" s="234" t="str">
        <f>VLOOKUP(ППД5!CH171,Реестр_Д5[Статус],1,0)</f>
        <v>Продажа</v>
      </c>
      <c r="S174" s="612">
        <f>VLOOKUP(ППД5!BZ171,Реестр_Д5[Стоимость ОН без отделки со скидкой],1,0)</f>
        <v>4939246.6399999997</v>
      </c>
      <c r="T174" s="612" cm="1">
        <f t="array" ref="T174">IFERROR(INDEX(РД[Стоимость без отделки итог],MATCH($Q$3&amp;Таблица10[[#This Row],[№]]&amp;"Продажа",РД[Дом]&amp;РД[№ кв]&amp;РД[Состояние],0),1),Таблица10[[#This Row],[Статус]])</f>
        <v>4939246.6399999997</v>
      </c>
      <c r="U174" s="235">
        <f>IFERROR((Таблица10[[#This Row],[ПП]]-Таблица10[[#This Row],[ДДУ]])*1,)</f>
        <v>0</v>
      </c>
      <c r="V174" s="235" cm="1">
        <f t="array" ref="V174">IFERROR(INDEX(РД[Стоимость с отделкой итог],MATCH($Q$3&amp;Таблица10[[#This Row],[№]]&amp;"Продажа",РД[Дом]&amp;РД[№ кв]&amp;РД[Состояние],0),1),Таблица10[[#This Row],[Статус]])</f>
        <v>5376571.6399999997</v>
      </c>
      <c r="W174" s="235">
        <f>_xlfn.XLOOKUP(Таблица10[[#This Row],[№]],Реестр_Д5[№],Реестр_Д5[Стоимость квартиры с отделкой],"-",0)</f>
        <v>5376571.6399999997</v>
      </c>
      <c r="X174" s="235">
        <f>IFERROR(Таблица10[[#This Row],[СО ПП]]-Таблица10[[#This Row],[СО ДДУ]],"")</f>
        <v>0</v>
      </c>
      <c r="Y174" s="233" cm="1">
        <f t="array" ref="Y174">IFERROR(INDEX(РД[S],MATCH($Q$3&amp;Таблица10[[#This Row],[№]]&amp;"Продажа",РД[Дом]&amp;РД[№ кв]&amp;РД[Состояние],0),1),Таблица10[[#This Row],[Статус]])</f>
        <v>58.31</v>
      </c>
      <c r="Z174" s="233">
        <f>IF(Таблица10[[#This Row],[№]]&amp;"ДДУ"=ППД5!A171&amp;ППД5!CR171,ППД5!U171,ППД5!V171)</f>
        <v>58.31</v>
      </c>
      <c r="AA174" s="285">
        <f>IFERROR(Таблица10[[#This Row],[S ПП]]-Таблица10[[#This Row],[S ДДУ]],)</f>
        <v>0</v>
      </c>
      <c r="AB174" s="235">
        <f>ROUND(_xlfn.XLOOKUP(Таблица10[[#This Row],[№]],Реестр_Д5[№],Реестр_Д5[Итоговая сумма скидки],"",0),2)</f>
        <v>100800.95</v>
      </c>
      <c r="AC174" s="235" cm="1">
        <f t="array" ref="AC174">IFERROR(ROUND(_xlfn.XLOOKUP($Q$3&amp;Таблица10[[#This Row],[№]]&amp;"Продажа",РД[Дом]&amp;РД[№ кв]&amp;РД[Состояние],РД[Сумма скидки],"",0,-1),2),Таблица10[[#This Row],[Статус]])</f>
        <v>100800.95</v>
      </c>
      <c r="AD174" s="285">
        <f>IFERROR(Таблица10[[#This Row],[ППС]]-Таблица10[[#This Row],[ДДУС]],)</f>
        <v>0</v>
      </c>
      <c r="AE174" s="611"/>
      <c r="AT174" s="611"/>
      <c r="AU174" s="484">
        <f>VLOOKUP(ППД402!A171,Д402[],1,0)</f>
        <v>170</v>
      </c>
      <c r="AV174" s="484" t="str">
        <f>_xlfn.XLOOKUP(Т402[[#This Row],[№]],Д402[№],Д402[Статус],"-",0)</f>
        <v>Стр. Резерв</v>
      </c>
      <c r="AW174" s="613">
        <f>_xlfn.XLOOKUP(Т402[[#This Row],[№]],Д402[№],Д402[Стоимость ОН без отделки со скидкой],"-",0)</f>
        <v>4786900</v>
      </c>
      <c r="AX174" s="614" t="str" cm="1">
        <f t="array" ref="AX17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4" s="485" t="str">
        <f>IFERROR((Т402[[#This Row],[ПП]]-Т402[[#This Row],[ДДУ]])*1,"")</f>
        <v/>
      </c>
      <c r="AZ174" s="486" t="str" cm="1">
        <f t="array" ref="AZ17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4" s="485">
        <f>_xlfn.XLOOKUP(Т402[[#This Row],[№]],Д402[№],Д402[Стоимость квартиры с отделкой],"-",0)</f>
        <v>4786900</v>
      </c>
      <c r="BB174" s="485" t="str">
        <f>IFERROR(Т402[[#This Row],[СО ПП]]-Т402[[#This Row],[СО ДДУ]],"")</f>
        <v/>
      </c>
      <c r="BC174" s="487" t="str" cm="1">
        <f t="array" ref="BC174">IFERROR(INDEX(РД[S],MATCH($AU$3&amp;Т402[[#This Row],[№]]&amp;"Продажа",РД[Дом]&amp;РД[№ кв]&amp;РД[Состояние],0),1),Т402[[#This Row],[Статус]])</f>
        <v>Стр. Резерв</v>
      </c>
      <c r="BD174" s="483">
        <f>_xlfn.XLOOKUP(Т402[[#This Row],[№]],Д402[№],Д402[Расчетная проектная площадь],"-",0)</f>
        <v>36.56</v>
      </c>
      <c r="BE174" s="485" t="str">
        <f>IFERROR(Т402[[#This Row],[S ПП]]-Т402[[#This Row],[S ДДУ]],"")</f>
        <v/>
      </c>
      <c r="BF174" s="485">
        <f>_xlfn.XLOOKUP(Т402[[#This Row],[№]],Д402[№],Д402[Итоговая сумма скидки],"-",0)</f>
        <v>0</v>
      </c>
      <c r="BG174" s="486" t="str" cm="1">
        <f t="array" ref="BG17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4" s="488" t="str">
        <f>IFERROR(Т402[[#This Row],[ППС]]-Т402[[#This Row],[ДДУС]],"")</f>
        <v/>
      </c>
    </row>
    <row r="175" spans="1:60" x14ac:dyDescent="0.2">
      <c r="A175" s="611"/>
      <c r="B175" s="234">
        <f>VLOOKUP(ППД4!A172,Реестр_Д4[№],1,0)</f>
        <v>171</v>
      </c>
      <c r="C175" s="234" t="str">
        <f>VLOOKUP(ППД4!CO172,Реестр_Д4[Статус],1,0)</f>
        <v>Продажа</v>
      </c>
      <c r="D175" s="612">
        <f>VLOOKUP(ППД4!CE172,Реестр_Д4[Стоимость ОН без отделки со скидкой],1,0)</f>
        <v>2758536.14</v>
      </c>
      <c r="E175" s="612" cm="1">
        <f t="array" ref="E175">IFERROR(INDEX(РД[Стоимость без отделки итог],MATCH($B$3&amp;Таблица4[[#This Row],[№]]&amp;"Продажа",РД[Дом]&amp;РД[№ кв]&amp;РД[Состояние],0),1),Таблица4[[#This Row],[Статус]])</f>
        <v>2758536.14</v>
      </c>
      <c r="F175" s="235">
        <f>IFERROR((Таблица4[[#This Row],[ПП]]-Таблица4[[#This Row],[ДДУ]])*1,"")</f>
        <v>0</v>
      </c>
      <c r="G175" s="235" cm="1">
        <f t="array" ref="G175">IFERROR(INDEX(РД[Стоимость с отделкой итог],MATCH($B$3&amp;Таблица4[[#This Row],[№]]&amp;"Продажа",РД[Дом]&amp;РД[№ кв]&amp;РД[Состояние],0),1),Таблица4[[#This Row],[Статус]])</f>
        <v>2758536.14</v>
      </c>
      <c r="H175" s="235">
        <f>_xlfn.XLOOKUP(Таблица4[[#This Row],[№]],Реестр_Д4[№],Реестр_Д4[Стоимость квартиры с отделкой],"-",0)</f>
        <v>2758536.14</v>
      </c>
      <c r="I175" s="235">
        <f>IFERROR(Таблица4[[#This Row],[СО ПП]]-Таблица4[[#This Row],[СО ДДУ]],"")</f>
        <v>0</v>
      </c>
      <c r="J175" s="233" cm="1">
        <f t="array" ref="J175">IFERROR(INDEX(РД[S],MATCH($B$3&amp;Таблица4[[#This Row],[№]]&amp;"Продажа",РД[Дом]&amp;РД[№ кв]&amp;РД[Состояние],0),1),Таблица4[[#This Row],[Статус]])</f>
        <v>35.380000000000003</v>
      </c>
      <c r="K175" s="233">
        <f>VLOOKUP(Таблица4[[#This Row],[№]],Реестр_Д4[],20,0)</f>
        <v>35.380000000000003</v>
      </c>
      <c r="L175" s="235">
        <f>IFERROR(Таблица4[[#This Row],[S ПП]]-Таблица4[[#This Row],[S ДДУ]],)</f>
        <v>0</v>
      </c>
      <c r="M175" s="235">
        <f>ROUND(_xlfn.XLOOKUP(Таблица4[[#This Row],[№]],Реестр_Д4[№],Реестр_Д4[Итоговая сумма скидки],"",0),2)</f>
        <v>0</v>
      </c>
      <c r="N175" s="235" cm="1">
        <f t="array" ref="N17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5" s="235">
        <f>IFERROR(Таблица4[[#This Row],[ППС]]-Таблица4[[#This Row],[ДДУС]],)</f>
        <v>0</v>
      </c>
      <c r="P175" s="611"/>
      <c r="Q175" s="234">
        <f>VLOOKUP(ППД5!A172,Реестр_Д5[№],1,0)</f>
        <v>171</v>
      </c>
      <c r="R175" s="234" t="str">
        <f>VLOOKUP(ППД5!CH172,Реестр_Д5[Статус],1,0)</f>
        <v>Продажа</v>
      </c>
      <c r="S175" s="612">
        <f>VLOOKUP(ППД5!BZ172,Реестр_Д5[Стоимость ОН без отделки со скидкой],1,0)</f>
        <v>4338713</v>
      </c>
      <c r="T175" s="612" cm="1">
        <f t="array" ref="T175">IFERROR(INDEX(РД[Стоимость без отделки итог],MATCH($Q$3&amp;Таблица10[[#This Row],[№]]&amp;"Продажа",РД[Дом]&amp;РД[№ кв]&amp;РД[Состояние],0),1),Таблица10[[#This Row],[Статус]])</f>
        <v>4338713</v>
      </c>
      <c r="U175" s="235">
        <f>IFERROR((Таблица10[[#This Row],[ПП]]-Таблица10[[#This Row],[ДДУ]])*1,)</f>
        <v>0</v>
      </c>
      <c r="V175" s="235" cm="1">
        <f t="array" ref="V175">IFERROR(INDEX(РД[Стоимость с отделкой итог],MATCH($Q$3&amp;Таблица10[[#This Row],[№]]&amp;"Продажа",РД[Дом]&amp;РД[№ кв]&amp;РД[Состояние],0),1),Таблица10[[#This Row],[Статус]])</f>
        <v>5247353</v>
      </c>
      <c r="W175" s="235">
        <f>_xlfn.XLOOKUP(Таблица10[[#This Row],[№]],Реестр_Д5[№],Реестр_Д5[Стоимость квартиры с отделкой],"-",0)</f>
        <v>5247353</v>
      </c>
      <c r="X175" s="235">
        <f>IFERROR(Таблица10[[#This Row],[СО ПП]]-Таблица10[[#This Row],[СО ДДУ]],"")</f>
        <v>0</v>
      </c>
      <c r="Y175" s="233" cm="1">
        <f t="array" ref="Y175">IFERROR(INDEX(РД[S],MATCH($Q$3&amp;Таблица10[[#This Row],[№]]&amp;"Продажа",РД[Дом]&amp;РД[№ кв]&amp;РД[Состояние],0),1),Таблица10[[#This Row],[Статус]])</f>
        <v>37.86</v>
      </c>
      <c r="Z175" s="233">
        <f>IF(Таблица10[[#This Row],[№]]&amp;"ДДУ"=ППД5!A172&amp;ППД5!CR172,ППД5!U172,ППД5!V172)</f>
        <v>37.86</v>
      </c>
      <c r="AA175" s="285">
        <f>IFERROR(Таблица10[[#This Row],[S ПП]]-Таблица10[[#This Row],[S ДДУ]],)</f>
        <v>0</v>
      </c>
      <c r="AB175" s="235">
        <f>ROUND(_xlfn.XLOOKUP(Таблица10[[#This Row],[№]],Реестр_Д5[№],Реестр_Д5[Итоговая сумма скидки],"",0),2)</f>
        <v>134187</v>
      </c>
      <c r="AC175" s="235" cm="1">
        <f t="array" ref="AC175">IFERROR(ROUND(_xlfn.XLOOKUP($Q$3&amp;Таблица10[[#This Row],[№]]&amp;"Продажа",РД[Дом]&amp;РД[№ кв]&amp;РД[Состояние],РД[Сумма скидки],"",0,-1),2),Таблица10[[#This Row],[Статус]])</f>
        <v>134187</v>
      </c>
      <c r="AD175" s="285">
        <f>IFERROR(Таблица10[[#This Row],[ППС]]-Таблица10[[#This Row],[ДДУС]],)</f>
        <v>0</v>
      </c>
      <c r="AE175" s="611"/>
      <c r="AT175" s="611"/>
      <c r="AU175" s="484">
        <f>VLOOKUP(ППД402!A172,Д402[],1,0)</f>
        <v>171</v>
      </c>
      <c r="AV175" s="484" t="str">
        <f>_xlfn.XLOOKUP(Т402[[#This Row],[№]],Д402[№],Д402[Статус],"-",0)</f>
        <v>Стр. Резерв</v>
      </c>
      <c r="AW175" s="613">
        <f>_xlfn.XLOOKUP(Т402[[#This Row],[№]],Д402[№],Д402[Стоимость ОН без отделки со скидкой],"-",0)</f>
        <v>4313100</v>
      </c>
      <c r="AX175" s="614" t="str" cm="1">
        <f t="array" ref="AX17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5" s="485" t="str">
        <f>IFERROR((Т402[[#This Row],[ПП]]-Т402[[#This Row],[ДДУ]])*1,"")</f>
        <v/>
      </c>
      <c r="AZ175" s="486" t="str" cm="1">
        <f t="array" ref="AZ17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5" s="485">
        <f>_xlfn.XLOOKUP(Т402[[#This Row],[№]],Д402[№],Д402[Стоимость квартиры с отделкой],"-",0)</f>
        <v>5196000</v>
      </c>
      <c r="BB175" s="485" t="str">
        <f>IFERROR(Т402[[#This Row],[СО ПП]]-Т402[[#This Row],[СО ДДУ]],"")</f>
        <v/>
      </c>
      <c r="BC175" s="487" t="str" cm="1">
        <f t="array" ref="BC175">IFERROR(INDEX(РД[S],MATCH($AU$3&amp;Т402[[#This Row],[№]]&amp;"Продажа",РД[Дом]&amp;РД[№ кв]&amp;РД[Состояние],0),1),Т402[[#This Row],[Статус]])</f>
        <v>Стр. Резерв</v>
      </c>
      <c r="BD175" s="483">
        <f>_xlfn.XLOOKUP(Т402[[#This Row],[№]],Д402[№],Д402[Расчетная проектная площадь],"-",0)</f>
        <v>29.43</v>
      </c>
      <c r="BE175" s="485" t="str">
        <f>IFERROR(Т402[[#This Row],[S ПП]]-Т402[[#This Row],[S ДДУ]],"")</f>
        <v/>
      </c>
      <c r="BF175" s="485">
        <f>_xlfn.XLOOKUP(Т402[[#This Row],[№]],Д402[№],Д402[Итоговая сумма скидки],"-",0)</f>
        <v>0</v>
      </c>
      <c r="BG175" s="486" t="str" cm="1">
        <f t="array" ref="BG17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5" s="488" t="str">
        <f>IFERROR(Т402[[#This Row],[ППС]]-Т402[[#This Row],[ДДУС]],"")</f>
        <v/>
      </c>
    </row>
    <row r="176" spans="1:60" x14ac:dyDescent="0.2">
      <c r="A176" s="611"/>
      <c r="B176" s="234">
        <f>VLOOKUP(ППД4!A173,Реестр_Д4[№],1,0)</f>
        <v>172</v>
      </c>
      <c r="C176" s="234" t="str">
        <f>VLOOKUP(ППД4!CO173,Реестр_Д4[Статус],1,0)</f>
        <v>Продажа</v>
      </c>
      <c r="D176" s="612">
        <f>VLOOKUP(ППД4!CE173,Реестр_Д4[Стоимость ОН без отделки со скидкой],1,0)</f>
        <v>2969825.33</v>
      </c>
      <c r="E176" s="612" cm="1">
        <f t="array" ref="E176">IFERROR(INDEX(РД[Стоимость без отделки итог],MATCH($B$3&amp;Таблица4[[#This Row],[№]]&amp;"Продажа",РД[Дом]&amp;РД[№ кв]&amp;РД[Состояние],0),1),Таблица4[[#This Row],[Статус]])</f>
        <v>2969825.3300000005</v>
      </c>
      <c r="F176" s="235">
        <f>IFERROR((Таблица4[[#This Row],[ПП]]-Таблица4[[#This Row],[ДДУ]])*1,"")</f>
        <v>-4.6566128730773926E-10</v>
      </c>
      <c r="G176" s="235" cm="1">
        <f t="array" ref="G176">IFERROR(INDEX(РД[Стоимость с отделкой итог],MATCH($B$3&amp;Таблица4[[#This Row],[№]]&amp;"Продажа",РД[Дом]&amp;РД[№ кв]&amp;РД[Состояние],0),1),Таблица4[[#This Row],[Статус]])</f>
        <v>3253400.33</v>
      </c>
      <c r="H176" s="235">
        <f>_xlfn.XLOOKUP(Таблица4[[#This Row],[№]],Реестр_Д4[№],Реестр_Д4[Стоимость квартиры с отделкой],"-",0)</f>
        <v>3253400.33</v>
      </c>
      <c r="I176" s="235">
        <f>IFERROR(Таблица4[[#This Row],[СО ПП]]-Таблица4[[#This Row],[СО ДДУ]],"")</f>
        <v>0</v>
      </c>
      <c r="J176" s="233" cm="1">
        <f t="array" ref="J176">IFERROR(INDEX(РД[S],MATCH($B$3&amp;Таблица4[[#This Row],[№]]&amp;"Продажа",РД[Дом]&amp;РД[№ кв]&amp;РД[Состояние],0),1),Таблица4[[#This Row],[Статус]])</f>
        <v>37.81</v>
      </c>
      <c r="K176" s="233">
        <f>VLOOKUP(Таблица4[[#This Row],[№]],Реестр_Д4[],20,0)</f>
        <v>37.81</v>
      </c>
      <c r="L176" s="235">
        <f>IFERROR(Таблица4[[#This Row],[S ПП]]-Таблица4[[#This Row],[S ДДУ]],)</f>
        <v>0</v>
      </c>
      <c r="M176" s="235">
        <f>ROUND(_xlfn.XLOOKUP(Таблица4[[#This Row],[№]],Реестр_Д4[№],Реестр_Д4[Итоговая сумма скидки],"",0),2)</f>
        <v>156306.6</v>
      </c>
      <c r="N176" s="235" cm="1">
        <f t="array" ref="N176">IFERROR(ROUND(_xlfn.XLOOKUP($B$3&amp;Таблица4[[#This Row],[№]]&amp;"Продажа",РД[Дом]&amp;РД[№ кв]&amp;РД[Состояние],РД[Сумма скидки],"",0),2),Таблица4[[#This Row],[Статус]])</f>
        <v>156306.6</v>
      </c>
      <c r="O176" s="235">
        <f>IFERROR(Таблица4[[#This Row],[ППС]]-Таблица4[[#This Row],[ДДУС]],)</f>
        <v>0</v>
      </c>
      <c r="P176" s="611"/>
      <c r="Q176" s="234">
        <f>VLOOKUP(ППД5!A173,Реестр_Д5[№],1,0)</f>
        <v>172</v>
      </c>
      <c r="R176" s="234" t="str">
        <f>VLOOKUP(ППД5!CH173,Реестр_Д5[Статус],1,0)</f>
        <v>Продажа</v>
      </c>
      <c r="S176" s="612">
        <f>VLOOKUP(ППД5!BZ173,Реестр_Д5[Стоимость ОН без отделки со скидкой],1,0)</f>
        <v>8753696</v>
      </c>
      <c r="T176" s="612" cm="1">
        <f t="array" ref="T176">IFERROR(INDEX(РД[Стоимость без отделки итог],MATCH($Q$3&amp;Таблица10[[#This Row],[№]]&amp;"Продажа",РД[Дом]&amp;РД[№ кв]&amp;РД[Состояние],0),1),Таблица10[[#This Row],[Статус]])</f>
        <v>8753696</v>
      </c>
      <c r="U176" s="235">
        <f>IFERROR((Таблица10[[#This Row],[ПП]]-Таблица10[[#This Row],[ДДУ]])*1,)</f>
        <v>0</v>
      </c>
      <c r="V176" s="235" cm="1">
        <f t="array" ref="V176">IFERROR(INDEX(РД[Стоимость с отделкой итог],MATCH($Q$3&amp;Таблица10[[#This Row],[№]]&amp;"Продажа",РД[Дом]&amp;РД[№ кв]&amp;РД[Состояние],0),1),Таблица10[[#This Row],[Статус]])</f>
        <v>8753696</v>
      </c>
      <c r="W176" s="235">
        <f>_xlfn.XLOOKUP(Таблица10[[#This Row],[№]],Реестр_Д5[№],Реестр_Д5[Стоимость квартиры с отделкой],"-",0)</f>
        <v>8753696</v>
      </c>
      <c r="X176" s="235">
        <f>IFERROR(Таблица10[[#This Row],[СО ПП]]-Таблица10[[#This Row],[СО ДДУ]],"")</f>
        <v>0</v>
      </c>
      <c r="Y176" s="233" cm="1">
        <f t="array" ref="Y176">IFERROR(INDEX(РД[S],MATCH($Q$3&amp;Таблица10[[#This Row],[№]]&amp;"Продажа",РД[Дом]&amp;РД[№ кв]&amp;РД[Состояние],0),1),Таблица10[[#This Row],[Статус]])</f>
        <v>84.99</v>
      </c>
      <c r="Z176" s="233">
        <f>IF(Таблица10[[#This Row],[№]]&amp;"ДДУ"=ППД5!A173&amp;ППД5!CR173,ППД5!U173,ППД5!V173)</f>
        <v>84.99</v>
      </c>
      <c r="AA176" s="285">
        <f>IFERROR(Таблица10[[#This Row],[S ПП]]-Таблица10[[#This Row],[S ДДУ]],)</f>
        <v>0</v>
      </c>
      <c r="AB176" s="235">
        <f>ROUND(_xlfn.XLOOKUP(Таблица10[[#This Row],[№]],Реестр_Д5[№],Реестр_Д5[Итоговая сумма скидки],"",0),2)</f>
        <v>683104</v>
      </c>
      <c r="AC176" s="235" cm="1">
        <f t="array" ref="AC176">IFERROR(ROUND(_xlfn.XLOOKUP($Q$3&amp;Таблица10[[#This Row],[№]]&amp;"Продажа",РД[Дом]&amp;РД[№ кв]&amp;РД[Состояние],РД[Сумма скидки],"",0,-1),2),Таблица10[[#This Row],[Статус]])</f>
        <v>683104</v>
      </c>
      <c r="AD176" s="285">
        <f>IFERROR(Таблица10[[#This Row],[ППС]]-Таблица10[[#This Row],[ДДУС]],)</f>
        <v>0</v>
      </c>
      <c r="AE176" s="611"/>
      <c r="AT176" s="611"/>
      <c r="AU176" s="484">
        <f>VLOOKUP(ППД402!A173,Д402[],1,0)</f>
        <v>172</v>
      </c>
      <c r="AV176" s="484" t="str">
        <f>_xlfn.XLOOKUP(Т402[[#This Row],[№]],Д402[№],Д402[Статус],"-",0)</f>
        <v>Стр. Резерв</v>
      </c>
      <c r="AW176" s="613">
        <f>_xlfn.XLOOKUP(Т402[[#This Row],[№]],Д402[№],Д402[Стоимость ОН без отделки со скидкой],"-",0)</f>
        <v>4013700</v>
      </c>
      <c r="AX176" s="614" t="str" cm="1">
        <f t="array" ref="AX17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6" s="485" t="str">
        <f>IFERROR((Т402[[#This Row],[ПП]]-Т402[[#This Row],[ДДУ]])*1,"")</f>
        <v/>
      </c>
      <c r="AZ176" s="486" t="str" cm="1">
        <f t="array" ref="AZ17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6" s="485">
        <f>_xlfn.XLOOKUP(Т402[[#This Row],[№]],Д402[№],Д402[Стоимость квартиры с отделкой],"-",0)</f>
        <v>4013700.0000000009</v>
      </c>
      <c r="BB176" s="485" t="str">
        <f>IFERROR(Т402[[#This Row],[СО ПП]]-Т402[[#This Row],[СО ДДУ]],"")</f>
        <v/>
      </c>
      <c r="BC176" s="487" t="str" cm="1">
        <f t="array" ref="BC176">IFERROR(INDEX(РД[S],MATCH($AU$3&amp;Т402[[#This Row],[№]]&amp;"Продажа",РД[Дом]&amp;РД[№ кв]&amp;РД[Состояние],0),1),Т402[[#This Row],[Статус]])</f>
        <v>Стр. Резерв</v>
      </c>
      <c r="BD176" s="483">
        <f>_xlfn.XLOOKUP(Т402[[#This Row],[№]],Д402[№],Д402[Расчетная проектная площадь],"-",0)</f>
        <v>27.92</v>
      </c>
      <c r="BE176" s="485" t="str">
        <f>IFERROR(Т402[[#This Row],[S ПП]]-Т402[[#This Row],[S ДДУ]],"")</f>
        <v/>
      </c>
      <c r="BF176" s="485">
        <f>_xlfn.XLOOKUP(Т402[[#This Row],[№]],Д402[№],Д402[Итоговая сумма скидки],"-",0)</f>
        <v>0</v>
      </c>
      <c r="BG176" s="486" t="str" cm="1">
        <f t="array" ref="BG17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6" s="488" t="str">
        <f>IFERROR(Т402[[#This Row],[ППС]]-Т402[[#This Row],[ДДУС]],"")</f>
        <v/>
      </c>
    </row>
    <row r="177" spans="1:60" x14ac:dyDescent="0.2">
      <c r="A177" s="611"/>
      <c r="B177" s="234">
        <f>VLOOKUP(ППД4!A174,Реестр_Д4[№],1,0)</f>
        <v>173</v>
      </c>
      <c r="C177" s="234" t="str">
        <f>VLOOKUP(ППД4!CO174,Реестр_Д4[Статус],1,0)</f>
        <v>Продажа</v>
      </c>
      <c r="D177" s="612">
        <f>VLOOKUP(ППД4!CE174,Реестр_Д4[Стоимость ОН без отделки со скидкой],1,0)</f>
        <v>3551829.67</v>
      </c>
      <c r="E177" s="612" cm="1">
        <f t="array" ref="E177">IFERROR(INDEX(РД[Стоимость без отделки итог],MATCH($B$3&amp;Таблица4[[#This Row],[№]]&amp;"Продажа",РД[Дом]&amp;РД[№ кв]&amp;РД[Состояние],0),1),Таблица4[[#This Row],[Статус]])</f>
        <v>3551829.67</v>
      </c>
      <c r="F177" s="235">
        <f>IFERROR((Таблица4[[#This Row],[ПП]]-Таблица4[[#This Row],[ДДУ]])*1,"")</f>
        <v>0</v>
      </c>
      <c r="G177" s="235" cm="1">
        <f t="array" ref="G177">IFERROR(INDEX(РД[Стоимость с отделкой итог],MATCH($B$3&amp;Таблица4[[#This Row],[№]]&amp;"Продажа",РД[Дом]&amp;РД[№ кв]&amp;РД[Состояние],0),1),Таблица4[[#This Row],[Статус]])</f>
        <v>3551829.67</v>
      </c>
      <c r="H177" s="235">
        <f>_xlfn.XLOOKUP(Таблица4[[#This Row],[№]],Реестр_Д4[№],Реестр_Д4[Стоимость квартиры с отделкой],"-",0)</f>
        <v>3551829.67</v>
      </c>
      <c r="I177" s="235">
        <f>IFERROR(Таблица4[[#This Row],[СО ПП]]-Таблица4[[#This Row],[СО ДДУ]],"")</f>
        <v>0</v>
      </c>
      <c r="J177" s="233" cm="1">
        <f t="array" ref="J177">IFERROR(INDEX(РД[S],MATCH($B$3&amp;Таблица4[[#This Row],[№]]&amp;"Продажа",РД[Дом]&amp;РД[№ кв]&amp;РД[Состояние],0),1),Таблица4[[#This Row],[Статус]])</f>
        <v>36.700000000000003</v>
      </c>
      <c r="K177" s="233">
        <f>VLOOKUP(Таблица4[[#This Row],[№]],Реестр_Д4[],20,0)</f>
        <v>36.700000000000003</v>
      </c>
      <c r="L177" s="235">
        <f>IFERROR(Таблица4[[#This Row],[S ПП]]-Таблица4[[#This Row],[S ДДУ]],)</f>
        <v>0</v>
      </c>
      <c r="M177" s="235">
        <f>ROUND(_xlfn.XLOOKUP(Таблица4[[#This Row],[№]],Реестр_Д4[№],Реестр_Д4[Итоговая сумма скидки],"",0),2)</f>
        <v>0</v>
      </c>
      <c r="N177" s="235" cm="1">
        <f t="array" ref="N17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7" s="235">
        <f>IFERROR(Таблица4[[#This Row],[ППС]]-Таблица4[[#This Row],[ДДУС]],)</f>
        <v>0</v>
      </c>
      <c r="P177" s="611"/>
      <c r="Q177" s="234">
        <f>VLOOKUP(ППД5!A174,Реестр_Д5[№],1,0)</f>
        <v>173</v>
      </c>
      <c r="R177" s="234" t="str">
        <f>VLOOKUP(ППД5!CH174,Реестр_Д5[Статус],1,0)</f>
        <v>Продажа</v>
      </c>
      <c r="S177" s="612">
        <f>VLOOKUP(ППД5!BZ174,Реестр_Д5[Стоимость ОН без отделки со скидкой],1,0)</f>
        <v>4580300</v>
      </c>
      <c r="T177" s="612" cm="1">
        <f t="array" ref="T177">IFERROR(INDEX(РД[Стоимость без отделки итог],MATCH($Q$3&amp;Таблица10[[#This Row],[№]]&amp;"Продажа",РД[Дом]&amp;РД[№ кв]&amp;РД[Состояние],0),1),Таблица10[[#This Row],[Статус]])</f>
        <v>4580300</v>
      </c>
      <c r="U177" s="235">
        <f>IFERROR((Таблица10[[#This Row],[ПП]]-Таблица10[[#This Row],[ДДУ]])*1,)</f>
        <v>0</v>
      </c>
      <c r="V177" s="235" cm="1">
        <f t="array" ref="V177">IFERROR(INDEX(РД[Стоимость с отделкой итог],MATCH($Q$3&amp;Таблица10[[#This Row],[№]]&amp;"Продажа",РД[Дом]&amp;РД[№ кв]&amp;РД[Состояние],0),1),Таблица10[[#This Row],[Статус]])</f>
        <v>4876260</v>
      </c>
      <c r="W177" s="235">
        <f>_xlfn.XLOOKUP(Таблица10[[#This Row],[№]],Реестр_Д5[№],Реестр_Д5[Стоимость квартиры с отделкой],"-",0)</f>
        <v>4876260</v>
      </c>
      <c r="X177" s="235">
        <f>IFERROR(Таблица10[[#This Row],[СО ПП]]-Таблица10[[#This Row],[СО ДДУ]],"")</f>
        <v>0</v>
      </c>
      <c r="Y177" s="233" cm="1">
        <f t="array" ref="Y177">IFERROR(INDEX(РД[S],MATCH($Q$3&amp;Таблица10[[#This Row],[№]]&amp;"Продажа",РД[Дом]&amp;РД[№ кв]&amp;РД[Состояние],0),1),Таблица10[[#This Row],[Статус]])</f>
        <v>42.28</v>
      </c>
      <c r="Z177" s="233">
        <f>IF(Таблица10[[#This Row],[№]]&amp;"ДДУ"=ППД5!A174&amp;ППД5!CR174,ППД5!U174,ППД5!V174)</f>
        <v>42.28</v>
      </c>
      <c r="AA177" s="285">
        <f>IFERROR(Таблица10[[#This Row],[S ПП]]-Таблица10[[#This Row],[S ДДУ]],)</f>
        <v>0</v>
      </c>
      <c r="AB177" s="235">
        <f>ROUND(_xlfn.XLOOKUP(Таблица10[[#This Row],[№]],Реестр_Д5[№],Реестр_Д5[Итоговая сумма скидки],"",0),2)</f>
        <v>0</v>
      </c>
      <c r="AC177" s="235" cm="1">
        <f t="array" ref="AC17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77" s="285">
        <f>IFERROR(Таблица10[[#This Row],[ППС]]-Таблица10[[#This Row],[ДДУС]],)</f>
        <v>0</v>
      </c>
      <c r="AE177" s="611"/>
      <c r="AT177" s="611"/>
      <c r="AU177" s="484">
        <f>VLOOKUP(ППД402!A174,Д402[],1,0)</f>
        <v>173</v>
      </c>
      <c r="AV177" s="484" t="str">
        <f>_xlfn.XLOOKUP(Т402[[#This Row],[№]],Д402[№],Д402[Статус],"-",0)</f>
        <v>Стр. Резерв</v>
      </c>
      <c r="AW177" s="613">
        <f>_xlfn.XLOOKUP(Т402[[#This Row],[№]],Д402[№],Д402[Стоимость ОН без отделки со скидкой],"-",0)</f>
        <v>7629400</v>
      </c>
      <c r="AX177" s="614" t="str" cm="1">
        <f t="array" ref="AX17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7" s="485" t="str">
        <f>IFERROR((Т402[[#This Row],[ПП]]-Т402[[#This Row],[ДДУ]])*1,"")</f>
        <v/>
      </c>
      <c r="AZ177" s="486" t="str" cm="1">
        <f t="array" ref="AZ17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7" s="485">
        <f>_xlfn.XLOOKUP(Т402[[#This Row],[№]],Д402[№],Д402[Стоимость квартиры с отделкой],"-",0)</f>
        <v>7629400</v>
      </c>
      <c r="BB177" s="485" t="str">
        <f>IFERROR(Т402[[#This Row],[СО ПП]]-Т402[[#This Row],[СО ДДУ]],"")</f>
        <v/>
      </c>
      <c r="BC177" s="487" t="str" cm="1">
        <f t="array" ref="BC177">IFERROR(INDEX(РД[S],MATCH($AU$3&amp;Т402[[#This Row],[№]]&amp;"Продажа",РД[Дом]&amp;РД[№ кв]&amp;РД[Состояние],0),1),Т402[[#This Row],[Статус]])</f>
        <v>Стр. Резерв</v>
      </c>
      <c r="BD177" s="483">
        <f>_xlfn.XLOOKUP(Т402[[#This Row],[№]],Д402[№],Д402[Расчетная проектная площадь],"-",0)</f>
        <v>63.37</v>
      </c>
      <c r="BE177" s="485" t="str">
        <f>IFERROR(Т402[[#This Row],[S ПП]]-Т402[[#This Row],[S ДДУ]],"")</f>
        <v/>
      </c>
      <c r="BF177" s="485">
        <f>_xlfn.XLOOKUP(Т402[[#This Row],[№]],Д402[№],Д402[Итоговая сумма скидки],"-",0)</f>
        <v>0</v>
      </c>
      <c r="BG177" s="486" t="str" cm="1">
        <f t="array" ref="BG17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7" s="488" t="str">
        <f>IFERROR(Т402[[#This Row],[ППС]]-Т402[[#This Row],[ДДУС]],"")</f>
        <v/>
      </c>
    </row>
    <row r="178" spans="1:60" x14ac:dyDescent="0.2">
      <c r="A178" s="611"/>
      <c r="B178" s="234">
        <f>VLOOKUP(ППД4!A175,Реестр_Д4[№],1,0)</f>
        <v>174</v>
      </c>
      <c r="C178" s="234" t="str">
        <f>VLOOKUP(ППД4!CO175,Реестр_Д4[Статус],1,0)</f>
        <v>Продажа</v>
      </c>
      <c r="D178" s="612">
        <f>VLOOKUP(ППД4!CE175,Реестр_Д4[Стоимость ОН без отделки со скидкой],1,0)</f>
        <v>3444620.16</v>
      </c>
      <c r="E178" s="612" cm="1">
        <f t="array" ref="E178">IFERROR(INDEX(РД[Стоимость без отделки итог],MATCH($B$3&amp;Таблица4[[#This Row],[№]]&amp;"Продажа",РД[Дом]&amp;РД[№ кв]&amp;РД[Состояние],0),1),Таблица4[[#This Row],[Статус]])</f>
        <v>3444620.16</v>
      </c>
      <c r="F178" s="235">
        <f>IFERROR((Таблица4[[#This Row],[ПП]]-Таблица4[[#This Row],[ДДУ]])*1,"")</f>
        <v>0</v>
      </c>
      <c r="G178" s="235" cm="1">
        <f t="array" ref="G178">IFERROR(INDEX(РД[Стоимость с отделкой итог],MATCH($B$3&amp;Таблица4[[#This Row],[№]]&amp;"Продажа",РД[Дом]&amp;РД[№ кв]&amp;РД[Состояние],0),1),Таблица4[[#This Row],[Статус]])</f>
        <v>3591260.1600000001</v>
      </c>
      <c r="H178" s="235">
        <f>_xlfn.XLOOKUP(Таблица4[[#This Row],[№]],Реестр_Д4[№],Реестр_Д4[Стоимость квартиры с отделкой],"-",0)</f>
        <v>3591260.1600000001</v>
      </c>
      <c r="I178" s="235">
        <f>IFERROR(Таблица4[[#This Row],[СО ПП]]-Таблица4[[#This Row],[СО ДДУ]],"")</f>
        <v>0</v>
      </c>
      <c r="J178" s="233" cm="1">
        <f t="array" ref="J178">IFERROR(INDEX(РД[S],MATCH($B$3&amp;Таблица4[[#This Row],[№]]&amp;"Продажа",РД[Дом]&amp;РД[№ кв]&amp;РД[Состояние],0),1),Таблица4[[#This Row],[Статус]])</f>
        <v>36.659999999999997</v>
      </c>
      <c r="K178" s="233">
        <f>VLOOKUP(Таблица4[[#This Row],[№]],Реестр_Д4[],20,0)</f>
        <v>36.659999999999997</v>
      </c>
      <c r="L178" s="235">
        <f>IFERROR(Таблица4[[#This Row],[S ПП]]-Таблица4[[#This Row],[S ДДУ]],)</f>
        <v>0</v>
      </c>
      <c r="M178" s="235">
        <f>ROUND(_xlfn.XLOOKUP(Таблица4[[#This Row],[№]],Реестр_Д4[№],Реестр_Д4[Итоговая сумма скидки],"",0),2)</f>
        <v>0</v>
      </c>
      <c r="N178" s="235" cm="1">
        <f t="array" ref="N17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8" s="235">
        <f>IFERROR(Таблица4[[#This Row],[ППС]]-Таблица4[[#This Row],[ДДУС]],)</f>
        <v>0</v>
      </c>
      <c r="P178" s="611"/>
      <c r="Q178" s="234">
        <f>VLOOKUP(ППД5!A175,Реестр_Д5[№],1,0)</f>
        <v>174</v>
      </c>
      <c r="R178" s="234" t="str">
        <f>VLOOKUP(ППД5!CH175,Реестр_Д5[Статус],1,0)</f>
        <v>Продажа</v>
      </c>
      <c r="S178" s="612">
        <f>VLOOKUP(ППД5!BZ175,Реестр_Д5[Стоимость ОН без отделки со скидкой],1,0)</f>
        <v>5653400</v>
      </c>
      <c r="T178" s="612" cm="1">
        <f t="array" ref="T178">IFERROR(INDEX(РД[Стоимость без отделки итог],MATCH($Q$3&amp;Таблица10[[#This Row],[№]]&amp;"Продажа",РД[Дом]&amp;РД[№ кв]&amp;РД[Состояние],0),1),Таблица10[[#This Row],[Статус]])</f>
        <v>5653400</v>
      </c>
      <c r="U178" s="235">
        <f>IFERROR((Таблица10[[#This Row],[ПП]]-Таблица10[[#This Row],[ДДУ]])*1,)</f>
        <v>0</v>
      </c>
      <c r="V178" s="235" cm="1">
        <f t="array" ref="V178">IFERROR(INDEX(РД[Стоимость с отделкой итог],MATCH($Q$3&amp;Таблица10[[#This Row],[№]]&amp;"Продажа",РД[Дом]&amp;РД[№ кв]&amp;РД[Состояние],0),1),Таблица10[[#This Row],[Статус]])</f>
        <v>5653400</v>
      </c>
      <c r="W178" s="235">
        <f>_xlfn.XLOOKUP(Таблица10[[#This Row],[№]],Реестр_Д5[№],Реестр_Д5[Стоимость квартиры с отделкой],"-",0)</f>
        <v>5653400</v>
      </c>
      <c r="X178" s="235">
        <f>IFERROR(Таблица10[[#This Row],[СО ПП]]-Таблица10[[#This Row],[СО ДДУ]],"")</f>
        <v>0</v>
      </c>
      <c r="Y178" s="233" cm="1">
        <f t="array" ref="Y178">IFERROR(INDEX(РД[S],MATCH($Q$3&amp;Таблица10[[#This Row],[№]]&amp;"Продажа",РД[Дом]&amp;РД[№ кв]&amp;РД[Состояние],0),1),Таблица10[[#This Row],[Статус]])</f>
        <v>60.22</v>
      </c>
      <c r="Z178" s="233">
        <f>IF(Таблица10[[#This Row],[№]]&amp;"ДДУ"=ППД5!A175&amp;ППД5!CR175,ППД5!U175,ППД5!V175)</f>
        <v>60.22</v>
      </c>
      <c r="AA178" s="285">
        <f>IFERROR(Таблица10[[#This Row],[S ПП]]-Таблица10[[#This Row],[S ДДУ]],)</f>
        <v>0</v>
      </c>
      <c r="AB178" s="235">
        <f>ROUND(_xlfn.XLOOKUP(Таблица10[[#This Row],[№]],Реестр_Д5[№],Реестр_Д5[Итоговая сумма скидки],"",0),2)</f>
        <v>0</v>
      </c>
      <c r="AC178" s="235" cm="1">
        <f t="array" ref="AC17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78" s="285">
        <f>IFERROR(Таблица10[[#This Row],[ППС]]-Таблица10[[#This Row],[ДДУС]],)</f>
        <v>0</v>
      </c>
      <c r="AE178" s="611"/>
      <c r="AT178" s="611"/>
      <c r="AU178" s="484">
        <f>VLOOKUP(ППД402!A175,Д402[],1,0)</f>
        <v>174</v>
      </c>
      <c r="AV178" s="484" t="str">
        <f>_xlfn.XLOOKUP(Т402[[#This Row],[№]],Д402[№],Д402[Статус],"-",0)</f>
        <v>Продажа</v>
      </c>
      <c r="AW178" s="613">
        <f>_xlfn.XLOOKUP(Т402[[#This Row],[№]],Д402[№],Д402[Стоимость ОН без отделки со скидкой],"-",0)</f>
        <v>6991760</v>
      </c>
      <c r="AX178" s="614" cm="1">
        <f t="array" ref="AX178">IFERROR(INDEX(РД[Стоимость без отделки итог],MATCH($AU$3&amp;Т402[[#This Row],[№]]&amp;"Продажа",РД[Дом]&amp;РД[№ кв]&amp;РД[Состояние],0),1),Т402[[#This Row],[Статус]])</f>
        <v>6991760</v>
      </c>
      <c r="AY178" s="485">
        <f>IFERROR((Т402[[#This Row],[ПП]]-Т402[[#This Row],[ДДУ]])*1,"")</f>
        <v>0</v>
      </c>
      <c r="AZ178" s="486" cm="1">
        <f t="array" ref="AZ178">IFERROR(INDEX(РД[Стоимость с отделкой итог],MATCH($AU$3&amp;Т402[[#This Row],[№]]&amp;"Продажа",РД[Дом]&amp;РД[№ кв]&amp;РД[Состояние],0),1),Т402[[#This Row],[Статус]])</f>
        <v>6991760</v>
      </c>
      <c r="BA178" s="485">
        <f>_xlfn.XLOOKUP(Т402[[#This Row],[№]],Д402[№],Д402[Стоимость квартиры с отделкой],"-",0)</f>
        <v>6991760</v>
      </c>
      <c r="BB178" s="485">
        <f>IFERROR(Т402[[#This Row],[СО ПП]]-Т402[[#This Row],[СО ДДУ]],"")</f>
        <v>0</v>
      </c>
      <c r="BC178" s="487" cm="1">
        <f t="array" ref="BC178">IFERROR(INDEX(РД[S],MATCH($AU$3&amp;Т402[[#This Row],[№]]&amp;"Продажа",РД[Дом]&amp;РД[№ кв]&amp;РД[Состояние],0),1),Т402[[#This Row],[Статус]])</f>
        <v>60.87</v>
      </c>
      <c r="BD178" s="483">
        <f>_xlfn.XLOOKUP(Т402[[#This Row],[№]],Д402[№],Д402[Расчетная проектная площадь],"-",0)</f>
        <v>60.87</v>
      </c>
      <c r="BE178" s="485">
        <f>IFERROR(Т402[[#This Row],[S ПП]]-Т402[[#This Row],[S ДДУ]],"")</f>
        <v>0</v>
      </c>
      <c r="BF178" s="485">
        <f>_xlfn.XLOOKUP(Т402[[#This Row],[№]],Д402[№],Д402[Итоговая сумма скидки],"-",0)</f>
        <v>216240</v>
      </c>
      <c r="BG178" s="486" cm="1">
        <f t="array" ref="BG178">IFERROR(ROUND(_xlfn.XLOOKUP($AU$3&amp;Т402[[#This Row],[№]]&amp;"Продажа",РД[Дом]&amp;РД[№ кв]&amp;РД[Состояние],РД[Сумма скидки],"",0),2),Т402[[#This Row],[Статус]])</f>
        <v>216240</v>
      </c>
      <c r="BH178" s="488">
        <f>IFERROR(Т402[[#This Row],[ППС]]-Т402[[#This Row],[ДДУС]],"")</f>
        <v>0</v>
      </c>
    </row>
    <row r="179" spans="1:60" x14ac:dyDescent="0.2">
      <c r="A179" s="611"/>
      <c r="B179" s="234">
        <f>VLOOKUP(ППД4!A176,Реестр_Д4[№],1,0)</f>
        <v>175</v>
      </c>
      <c r="C179" s="234" t="str">
        <f>VLOOKUP(ППД4!CO176,Реестр_Д4[Статус],1,0)</f>
        <v>Продажа</v>
      </c>
      <c r="D179" s="612">
        <f>VLOOKUP(ППД4!CE176,Реестр_Д4[Стоимость ОН без отделки со скидкой],1,0)</f>
        <v>5879956.3499999996</v>
      </c>
      <c r="E179" s="612" cm="1">
        <f t="array" ref="E179">IFERROR(INDEX(РД[Стоимость без отделки итог],MATCH($B$3&amp;Таблица4[[#This Row],[№]]&amp;"Продажа",РД[Дом]&amp;РД[№ кв]&amp;РД[Состояние],0),1),Таблица4[[#This Row],[Статус]])</f>
        <v>5879956.3499999987</v>
      </c>
      <c r="F179" s="235">
        <f>IFERROR((Таблица4[[#This Row],[ПП]]-Таблица4[[#This Row],[ДДУ]])*1,"")</f>
        <v>9.3132257461547852E-10</v>
      </c>
      <c r="G179" s="235" cm="1">
        <f t="array" ref="G179">IFERROR(INDEX(РД[Стоимость с отделкой итог],MATCH($B$3&amp;Таблица4[[#This Row],[№]]&amp;"Продажа",РД[Дом]&amp;РД[№ кв]&amp;РД[Состояние],0),1),Таблица4[[#This Row],[Статус]])</f>
        <v>7060906.3499999996</v>
      </c>
      <c r="H179" s="235">
        <f>_xlfn.XLOOKUP(Таблица4[[#This Row],[№]],Реестр_Д4[№],Реестр_Д4[Стоимость квартиры с отделкой],"-",0)</f>
        <v>7060906.3499999996</v>
      </c>
      <c r="I179" s="235">
        <f>IFERROR(Таблица4[[#This Row],[СО ПП]]-Таблица4[[#This Row],[СО ДДУ]],"")</f>
        <v>0</v>
      </c>
      <c r="J179" s="233" cm="1">
        <f t="array" ref="J179">IFERROR(INDEX(РД[S],MATCH($B$3&amp;Таблица4[[#This Row],[№]]&amp;"Продажа",РД[Дом]&amp;РД[№ кв]&amp;РД[Состояние],0),1),Таблица4[[#This Row],[Статус]])</f>
        <v>78.73</v>
      </c>
      <c r="K179" s="233">
        <f>VLOOKUP(Таблица4[[#This Row],[№]],Реестр_Д4[],20,0)</f>
        <v>78.73</v>
      </c>
      <c r="L179" s="235">
        <f>IFERROR(Таблица4[[#This Row],[S ПП]]-Таблица4[[#This Row],[S ДДУ]],)</f>
        <v>0</v>
      </c>
      <c r="M179" s="235">
        <f>ROUND(_xlfn.XLOOKUP(Таблица4[[#This Row],[№]],Реестр_Д4[№],Реестр_Д4[Итоговая сумма скидки],"",0),2)</f>
        <v>0</v>
      </c>
      <c r="N179" s="235" cm="1">
        <f t="array" ref="N17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79" s="235">
        <f>IFERROR(Таблица4[[#This Row],[ППС]]-Таблица4[[#This Row],[ДДУС]],)</f>
        <v>0</v>
      </c>
      <c r="P179" s="611"/>
      <c r="Q179" s="234">
        <f>VLOOKUP(ППД5!A176,Реестр_Д5[№],1,0)</f>
        <v>175</v>
      </c>
      <c r="R179" s="234" t="str">
        <f>VLOOKUP(ППД5!CH176,Реестр_Д5[Статус],1,0)</f>
        <v>Продажа</v>
      </c>
      <c r="S179" s="612">
        <f>VLOOKUP(ППД5!BZ176,Реестр_Д5[Стоимость ОН без отделки со скидкой],1,0)</f>
        <v>3103300</v>
      </c>
      <c r="T179" s="612" cm="1">
        <f t="array" ref="T179">IFERROR(INDEX(РД[Стоимость без отделки итог],MATCH($Q$3&amp;Таблица10[[#This Row],[№]]&amp;"Продажа",РД[Дом]&amp;РД[№ кв]&amp;РД[Состояние],0),1),Таблица10[[#This Row],[Статус]])</f>
        <v>3103300</v>
      </c>
      <c r="U179" s="235">
        <f>IFERROR((Таблица10[[#This Row],[ПП]]-Таблица10[[#This Row],[ДДУ]])*1,)</f>
        <v>0</v>
      </c>
      <c r="V179" s="235" cm="1">
        <f t="array" ref="V179">IFERROR(INDEX(РД[Стоимость с отделкой итог],MATCH($Q$3&amp;Таблица10[[#This Row],[№]]&amp;"Продажа",РД[Дом]&amp;РД[№ кв]&amp;РД[Состояние],0),1),Таблица10[[#This Row],[Статус]])</f>
        <v>3686020</v>
      </c>
      <c r="W179" s="235">
        <f>_xlfn.XLOOKUP(Таблица10[[#This Row],[№]],Реестр_Д5[№],Реестр_Д5[Стоимость квартиры с отделкой],"-",0)</f>
        <v>3686020</v>
      </c>
      <c r="X179" s="235">
        <f>IFERROR(Таблица10[[#This Row],[СО ПП]]-Таблица10[[#This Row],[СО ДДУ]],"")</f>
        <v>0</v>
      </c>
      <c r="Y179" s="233" cm="1">
        <f t="array" ref="Y179">IFERROR(INDEX(РД[S],MATCH($Q$3&amp;Таблица10[[#This Row],[№]]&amp;"Продажа",РД[Дом]&amp;РД[№ кв]&amp;РД[Состояние],0),1),Таблица10[[#This Row],[Статус]])</f>
        <v>24.28</v>
      </c>
      <c r="Z179" s="233">
        <f>IF(Таблица10[[#This Row],[№]]&amp;"ДДУ"=ППД5!A176&amp;ППД5!CR176,ППД5!U176,ППД5!V176)</f>
        <v>24.28</v>
      </c>
      <c r="AA179" s="285">
        <f>IFERROR(Таблица10[[#This Row],[S ПП]]-Таблица10[[#This Row],[S ДДУ]],)</f>
        <v>0</v>
      </c>
      <c r="AB179" s="235">
        <f>ROUND(_xlfn.XLOOKUP(Таблица10[[#This Row],[№]],Реестр_Д5[№],Реестр_Д5[Итоговая сумма скидки],"",0),2)</f>
        <v>50000</v>
      </c>
      <c r="AC179" s="235" cm="1">
        <f t="array" ref="AC179">IFERROR(ROUND(_xlfn.XLOOKUP($Q$3&amp;Таблица10[[#This Row],[№]]&amp;"Продажа",РД[Дом]&amp;РД[№ кв]&amp;РД[Состояние],РД[Сумма скидки],"",0,-1),2),Таблица10[[#This Row],[Статус]])</f>
        <v>50000</v>
      </c>
      <c r="AD179" s="285">
        <f>IFERROR(Таблица10[[#This Row],[ППС]]-Таблица10[[#This Row],[ДДУС]],)</f>
        <v>0</v>
      </c>
      <c r="AE179" s="611"/>
      <c r="AT179" s="611"/>
      <c r="AU179" s="484">
        <f>VLOOKUP(ППД402!A176,Д402[],1,0)</f>
        <v>175</v>
      </c>
      <c r="AV179" s="484" t="str">
        <f>_xlfn.XLOOKUP(Т402[[#This Row],[№]],Д402[№],Д402[Статус],"-",0)</f>
        <v>Стр. Резерв</v>
      </c>
      <c r="AW179" s="613">
        <f>_xlfn.XLOOKUP(Т402[[#This Row],[№]],Д402[№],Д402[Стоимость ОН без отделки со скидкой],"-",0)</f>
        <v>7986300</v>
      </c>
      <c r="AX179" s="614" t="str" cm="1">
        <f t="array" ref="AX17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79" s="485" t="str">
        <f>IFERROR((Т402[[#This Row],[ПП]]-Т402[[#This Row],[ДДУ]])*1,"")</f>
        <v/>
      </c>
      <c r="AZ179" s="486" t="str" cm="1">
        <f t="array" ref="AZ17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79" s="485">
        <f>_xlfn.XLOOKUP(Т402[[#This Row],[№]],Д402[№],Д402[Стоимость квартиры с отделкой],"-",0)</f>
        <v>7986300</v>
      </c>
      <c r="BB179" s="485" t="str">
        <f>IFERROR(Т402[[#This Row],[СО ПП]]-Т402[[#This Row],[СО ДДУ]],"")</f>
        <v/>
      </c>
      <c r="BC179" s="487" t="str" cm="1">
        <f t="array" ref="BC179">IFERROR(INDEX(РД[S],MATCH($AU$3&amp;Т402[[#This Row],[№]]&amp;"Продажа",РД[Дом]&amp;РД[№ кв]&amp;РД[Состояние],0),1),Т402[[#This Row],[Статус]])</f>
        <v>Стр. Резерв</v>
      </c>
      <c r="BD179" s="483">
        <f>_xlfn.XLOOKUP(Т402[[#This Row],[№]],Д402[№],Д402[Расчетная проектная площадь],"-",0)</f>
        <v>65.650000000000006</v>
      </c>
      <c r="BE179" s="485" t="str">
        <f>IFERROR(Т402[[#This Row],[S ПП]]-Т402[[#This Row],[S ДДУ]],"")</f>
        <v/>
      </c>
      <c r="BF179" s="485">
        <f>_xlfn.XLOOKUP(Т402[[#This Row],[№]],Д402[№],Д402[Итоговая сумма скидки],"-",0)</f>
        <v>0</v>
      </c>
      <c r="BG179" s="486" t="str" cm="1">
        <f t="array" ref="BG17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79" s="488" t="str">
        <f>IFERROR(Т402[[#This Row],[ППС]]-Т402[[#This Row],[ДДУС]],"")</f>
        <v/>
      </c>
    </row>
    <row r="180" spans="1:60" x14ac:dyDescent="0.2">
      <c r="A180" s="611"/>
      <c r="B180" s="234">
        <f>VLOOKUP(ППД4!A177,Реестр_Д4[№],1,0)</f>
        <v>176</v>
      </c>
      <c r="C180" s="234" t="str">
        <f>VLOOKUP(ППД4!CO177,Реестр_Д4[Статус],1,0)</f>
        <v>Продажа</v>
      </c>
      <c r="D180" s="612">
        <f>VLOOKUP(ППД4!CE177,Реестр_Д4[Стоимость ОН без отделки со скидкой],1,0)</f>
        <v>2732661.63</v>
      </c>
      <c r="E180" s="612" cm="1">
        <f t="array" ref="E180">IFERROR(INDEX(РД[Стоимость без отделки итог],MATCH($B$3&amp;Таблица4[[#This Row],[№]]&amp;"Продажа",РД[Дом]&amp;РД[№ кв]&amp;РД[Состояние],0),1),Таблица4[[#This Row],[Статус]])</f>
        <v>2732661.63</v>
      </c>
      <c r="F180" s="235">
        <f>IFERROR((Таблица4[[#This Row],[ПП]]-Таблица4[[#This Row],[ДДУ]])*1,"")</f>
        <v>0</v>
      </c>
      <c r="G180" s="235" cm="1">
        <f t="array" ref="G180">IFERROR(INDEX(РД[Стоимость с отделкой итог],MATCH($B$3&amp;Таблица4[[#This Row],[№]]&amp;"Продажа",РД[Дом]&amp;РД[№ кв]&amp;РД[Состояние],0),1),Таблица4[[#This Row],[Статус]])</f>
        <v>2732661.63</v>
      </c>
      <c r="H180" s="235">
        <f>_xlfn.XLOOKUP(Таблица4[[#This Row],[№]],Реестр_Д4[№],Реестр_Д4[Стоимость квартиры с отделкой],"-",0)</f>
        <v>2732661.63</v>
      </c>
      <c r="I180" s="235">
        <f>IFERROR(Таблица4[[#This Row],[СО ПП]]-Таблица4[[#This Row],[СО ДДУ]],"")</f>
        <v>0</v>
      </c>
      <c r="J180" s="233" cm="1">
        <f t="array" ref="J180">IFERROR(INDEX(РД[S],MATCH($B$3&amp;Таблица4[[#This Row],[№]]&amp;"Продажа",РД[Дом]&amp;РД[№ кв]&amp;РД[Состояние],0),1),Таблица4[[#This Row],[Статус]])</f>
        <v>33.79</v>
      </c>
      <c r="K180" s="233">
        <f>VLOOKUP(Таблица4[[#This Row],[№]],Реестр_Д4[],20,0)</f>
        <v>33.79</v>
      </c>
      <c r="L180" s="235">
        <f>IFERROR(Таблица4[[#This Row],[S ПП]]-Таблица4[[#This Row],[S ДДУ]],)</f>
        <v>0</v>
      </c>
      <c r="M180" s="235">
        <f>ROUND(_xlfn.XLOOKUP(Таблица4[[#This Row],[№]],Реестр_Д4[№],Реестр_Д4[Итоговая сумма скидки],"",0),2)</f>
        <v>143824.29999999999</v>
      </c>
      <c r="N180" s="235" cm="1">
        <f t="array" ref="N180">IFERROR(ROUND(_xlfn.XLOOKUP($B$3&amp;Таблица4[[#This Row],[№]]&amp;"Продажа",РД[Дом]&amp;РД[№ кв]&amp;РД[Состояние],РД[Сумма скидки],"",0),2),Таблица4[[#This Row],[Статус]])</f>
        <v>143824.29999999999</v>
      </c>
      <c r="O180" s="235">
        <f>IFERROR(Таблица4[[#This Row],[ППС]]-Таблица4[[#This Row],[ДДУС]],)</f>
        <v>0</v>
      </c>
      <c r="P180" s="611"/>
      <c r="Q180" s="234">
        <f>VLOOKUP(ППД5!A177,Реестр_Д5[№],1,0)</f>
        <v>176</v>
      </c>
      <c r="R180" s="234" t="str">
        <f>VLOOKUP(ППД5!CH177,Реестр_Д5[Статус],1,0)</f>
        <v>Продажа</v>
      </c>
      <c r="S180" s="612">
        <f>VLOOKUP(ППД5!BZ177,Реестр_Д5[Стоимость ОН без отделки со скидкой],1,0)</f>
        <v>4625732.74</v>
      </c>
      <c r="T180" s="612" cm="1">
        <f t="array" ref="T180">IFERROR(INDEX(РД[Стоимость без отделки итог],MATCH($Q$3&amp;Таблица10[[#This Row],[№]]&amp;"Продажа",РД[Дом]&amp;РД[№ кв]&amp;РД[Состояние],0),1),Таблица10[[#This Row],[Статус]])</f>
        <v>4625732.74</v>
      </c>
      <c r="U180" s="235">
        <f>IFERROR((Таблица10[[#This Row],[ПП]]-Таблица10[[#This Row],[ДДУ]])*1,)</f>
        <v>0</v>
      </c>
      <c r="V180" s="235" cm="1">
        <f t="array" ref="V180">IFERROR(INDEX(РД[Стоимость с отделкой итог],MATCH($Q$3&amp;Таблица10[[#This Row],[№]]&amp;"Продажа",РД[Дом]&amp;РД[№ кв]&amp;РД[Состояние],0),1),Таблица10[[#This Row],[Статус]])</f>
        <v>5518532.7400000002</v>
      </c>
      <c r="W180" s="235">
        <f>_xlfn.XLOOKUP(Таблица10[[#This Row],[№]],Реестр_Д5[№],Реестр_Д5[Стоимость квартиры с отделкой],"-",0)</f>
        <v>5518532.7400000002</v>
      </c>
      <c r="X180" s="235">
        <f>IFERROR(Таблица10[[#This Row],[СО ПП]]-Таблица10[[#This Row],[СО ДДУ]],"")</f>
        <v>0</v>
      </c>
      <c r="Y180" s="233" cm="1">
        <f t="array" ref="Y180">IFERROR(INDEX(РД[S],MATCH($Q$3&amp;Таблица10[[#This Row],[№]]&amp;"Продажа",РД[Дом]&amp;РД[№ кв]&amp;РД[Состояние],0),1),Таблица10[[#This Row],[Статус]])</f>
        <v>57.6</v>
      </c>
      <c r="Z180" s="233">
        <f>IF(Таблица10[[#This Row],[№]]&amp;"ДДУ"=ППД5!A177&amp;ППД5!CR177,ППД5!U177,ППД5!V177)</f>
        <v>57.6</v>
      </c>
      <c r="AA180" s="285">
        <f>IFERROR(Таблица10[[#This Row],[S ПП]]-Таблица10[[#This Row],[S ДДУ]],)</f>
        <v>0</v>
      </c>
      <c r="AB180" s="235">
        <f>ROUND(_xlfn.XLOOKUP(Таблица10[[#This Row],[№]],Реестр_Д5[№],Реестр_Д5[Итоговая сумма скидки],"",0),2)</f>
        <v>0</v>
      </c>
      <c r="AC180" s="235" cm="1">
        <f t="array" ref="AC18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0" s="285">
        <f>IFERROR(Таблица10[[#This Row],[ППС]]-Таблица10[[#This Row],[ДДУС]],)</f>
        <v>0</v>
      </c>
      <c r="AE180" s="611"/>
      <c r="AT180" s="611"/>
      <c r="AU180" s="484">
        <f>VLOOKUP(ППД402!A177,Д402[],1,0)</f>
        <v>176</v>
      </c>
      <c r="AV180" s="484" t="str">
        <f>_xlfn.XLOOKUP(Т402[[#This Row],[№]],Д402[№],Д402[Статус],"-",0)</f>
        <v>Свободно</v>
      </c>
      <c r="AW180" s="613">
        <f>_xlfn.XLOOKUP(Т402[[#This Row],[№]],Д402[№],Д402[Стоимость ОН без отделки со скидкой],"-",0)</f>
        <v>4786900</v>
      </c>
      <c r="AX180" s="614" t="str" cm="1">
        <f t="array" ref="AX180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80" s="485" t="str">
        <f>IFERROR((Т402[[#This Row],[ПП]]-Т402[[#This Row],[ДДУ]])*1,"")</f>
        <v/>
      </c>
      <c r="AZ180" s="486" t="str" cm="1">
        <f t="array" ref="AZ180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80" s="485">
        <f>_xlfn.XLOOKUP(Т402[[#This Row],[№]],Д402[№],Д402[Стоимость квартиры с отделкой],"-",0)</f>
        <v>4786900</v>
      </c>
      <c r="BB180" s="485" t="str">
        <f>IFERROR(Т402[[#This Row],[СО ПП]]-Т402[[#This Row],[СО ДДУ]],"")</f>
        <v/>
      </c>
      <c r="BC180" s="487" t="str" cm="1">
        <f t="array" ref="BC180">IFERROR(INDEX(РД[S],MATCH($AU$3&amp;Т402[[#This Row],[№]]&amp;"Продажа",РД[Дом]&amp;РД[№ кв]&amp;РД[Состояние],0),1),Т402[[#This Row],[Статус]])</f>
        <v>Свободно</v>
      </c>
      <c r="BD180" s="483">
        <f>_xlfn.XLOOKUP(Т402[[#This Row],[№]],Д402[№],Д402[Расчетная проектная площадь],"-",0)</f>
        <v>36.56</v>
      </c>
      <c r="BE180" s="485" t="str">
        <f>IFERROR(Т402[[#This Row],[S ПП]]-Т402[[#This Row],[S ДДУ]],"")</f>
        <v/>
      </c>
      <c r="BF180" s="485">
        <f>_xlfn.XLOOKUP(Т402[[#This Row],[№]],Д402[№],Д402[Итоговая сумма скидки],"-",0)</f>
        <v>0</v>
      </c>
      <c r="BG180" s="486" t="str" cm="1">
        <f t="array" ref="BG180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80" s="488" t="str">
        <f>IFERROR(Т402[[#This Row],[ППС]]-Т402[[#This Row],[ДДУС]],"")</f>
        <v/>
      </c>
    </row>
    <row r="181" spans="1:60" x14ac:dyDescent="0.2">
      <c r="A181" s="611"/>
      <c r="B181" s="234">
        <f>VLOOKUP(ППД4!A178,Реестр_Д4[№],1,0)</f>
        <v>177</v>
      </c>
      <c r="C181" s="234" t="str">
        <f>VLOOKUP(ППД4!CO178,Реестр_Д4[Статус],1,0)</f>
        <v>Продажа</v>
      </c>
      <c r="D181" s="612">
        <f>VLOOKUP(ППД4!CE178,Реестр_Д4[Стоимость ОН без отделки со скидкой],1,0)</f>
        <v>2414917.4700000002</v>
      </c>
      <c r="E181" s="612" cm="1">
        <f t="array" ref="E181">IFERROR(INDEX(РД[Стоимость без отделки итог],MATCH($B$3&amp;Таблица4[[#This Row],[№]]&amp;"Продажа",РД[Дом]&amp;РД[№ кв]&amp;РД[Состояние],0),1),Таблица4[[#This Row],[Статус]])</f>
        <v>2414917.4700000002</v>
      </c>
      <c r="F181" s="235">
        <f>IFERROR((Таблица4[[#This Row],[ПП]]-Таблица4[[#This Row],[ДДУ]])*1,"")</f>
        <v>0</v>
      </c>
      <c r="G181" s="235" cm="1">
        <f t="array" ref="G181">IFERROR(INDEX(РД[Стоимость с отделкой итог],MATCH($B$3&amp;Таблица4[[#This Row],[№]]&amp;"Продажа",РД[Дом]&amp;РД[№ кв]&amp;РД[Состояние],0),1),Таблица4[[#This Row],[Статус]])</f>
        <v>2530797.4700000002</v>
      </c>
      <c r="H181" s="235">
        <f>_xlfn.XLOOKUP(Таблица4[[#This Row],[№]],Реестр_Д4[№],Реестр_Д4[Стоимость квартиры с отделкой],"-",0)</f>
        <v>2530797.4700000002</v>
      </c>
      <c r="I181" s="235">
        <f>IFERROR(Таблица4[[#This Row],[СО ПП]]-Таблица4[[#This Row],[СО ДДУ]],"")</f>
        <v>0</v>
      </c>
      <c r="J181" s="233" cm="1">
        <f t="array" ref="J181">IFERROR(INDEX(РД[S],MATCH($B$3&amp;Таблица4[[#This Row],[№]]&amp;"Продажа",РД[Дом]&amp;РД[№ кв]&amp;РД[Состояние],0),1),Таблица4[[#This Row],[Статус]])</f>
        <v>28.97</v>
      </c>
      <c r="K181" s="233">
        <f>VLOOKUP(Таблица4[[#This Row],[№]],Реестр_Д4[],20,0)</f>
        <v>28.97</v>
      </c>
      <c r="L181" s="235">
        <f>IFERROR(Таблица4[[#This Row],[S ПП]]-Таблица4[[#This Row],[S ДДУ]],)</f>
        <v>0</v>
      </c>
      <c r="M181" s="235">
        <f>ROUND(_xlfn.XLOOKUP(Таблица4[[#This Row],[№]],Реестр_Д4[№],Реестр_Д4[Итоговая сумма скидки],"",0),2)</f>
        <v>0</v>
      </c>
      <c r="N181" s="235" cm="1">
        <f t="array" ref="N18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1" s="235">
        <f>IFERROR(Таблица4[[#This Row],[ППС]]-Таблица4[[#This Row],[ДДУС]],)</f>
        <v>0</v>
      </c>
      <c r="P181" s="611"/>
      <c r="Q181" s="234">
        <f>VLOOKUP(ППД5!A178,Реестр_Д5[№],1,0)</f>
        <v>177</v>
      </c>
      <c r="R181" s="234" t="str">
        <f>VLOOKUP(ППД5!CH178,Реестр_Д5[Статус],1,0)</f>
        <v>Продажа</v>
      </c>
      <c r="S181" s="612">
        <f>VLOOKUP(ППД5!BZ178,Реестр_Д5[Стоимость ОН без отделки со скидкой],1,0)</f>
        <v>5448300</v>
      </c>
      <c r="T181" s="612" cm="1">
        <f t="array" ref="T181">IFERROR(INDEX(РД[Стоимость без отделки итог],MATCH($Q$3&amp;Таблица10[[#This Row],[№]]&amp;"Продажа",РД[Дом]&amp;РД[№ кв]&amp;РД[Состояние],0),1),Таблица10[[#This Row],[Статус]])</f>
        <v>5448300</v>
      </c>
      <c r="U181" s="235">
        <f>IFERROR((Таблица10[[#This Row],[ПП]]-Таблица10[[#This Row],[ДДУ]])*1,)</f>
        <v>0</v>
      </c>
      <c r="V181" s="235" cm="1">
        <f t="array" ref="V181">IFERROR(INDEX(РД[Стоимость с отделкой итог],MATCH($Q$3&amp;Таблица10[[#This Row],[№]]&amp;"Продажа",РД[Дом]&amp;РД[№ кв]&amp;РД[Состояние],0),1),Таблица10[[#This Row],[Статус]])</f>
        <v>6614500</v>
      </c>
      <c r="W181" s="235">
        <f>_xlfn.XLOOKUP(Таблица10[[#This Row],[№]],Реестр_Д5[№],Реестр_Д5[Стоимость квартиры с отделкой],"-",0)</f>
        <v>6614500</v>
      </c>
      <c r="X181" s="235">
        <f>IFERROR(Таблица10[[#This Row],[СО ПП]]-Таблица10[[#This Row],[СО ДДУ]],"")</f>
        <v>0</v>
      </c>
      <c r="Y181" s="233" cm="1">
        <f t="array" ref="Y181">IFERROR(INDEX(РД[S],MATCH($Q$3&amp;Таблица10[[#This Row],[№]]&amp;"Продажа",РД[Дом]&amp;РД[№ кв]&amp;РД[Состояние],0),1),Таблица10[[#This Row],[Статус]])</f>
        <v>58.31</v>
      </c>
      <c r="Z181" s="233">
        <f>IF(Таблица10[[#This Row],[№]]&amp;"ДДУ"=ППД5!A178&amp;ППД5!CR178,ППД5!U178,ППД5!V178)</f>
        <v>58.31</v>
      </c>
      <c r="AA181" s="285">
        <f>IFERROR(Таблица10[[#This Row],[S ПП]]-Таблица10[[#This Row],[S ДДУ]],)</f>
        <v>0</v>
      </c>
      <c r="AB181" s="235">
        <f>ROUND(_xlfn.XLOOKUP(Таблица10[[#This Row],[№]],Реестр_Д5[№],Реестр_Д5[Итоговая сумма скидки],"",0),2)</f>
        <v>0</v>
      </c>
      <c r="AC181" s="235" cm="1">
        <f t="array" ref="AC18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1" s="285">
        <f>IFERROR(Таблица10[[#This Row],[ППС]]-Таблица10[[#This Row],[ДДУС]],)</f>
        <v>0</v>
      </c>
      <c r="AE181" s="611"/>
      <c r="AT181" s="611"/>
      <c r="AU181" s="484">
        <f>VLOOKUP(ППД402!A178,Д402[],1,0)</f>
        <v>177</v>
      </c>
      <c r="AV181" s="484" t="str">
        <f>_xlfn.XLOOKUP(Т402[[#This Row],[№]],Д402[№],Д402[Статус],"-",0)</f>
        <v>Стр. Резерв</v>
      </c>
      <c r="AW181" s="613">
        <f>_xlfn.XLOOKUP(Т402[[#This Row],[№]],Д402[№],Д402[Стоимость ОН без отделки со скидкой],"-",0)</f>
        <v>4313100</v>
      </c>
      <c r="AX181" s="614" t="str" cm="1">
        <f t="array" ref="AX18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1" s="485" t="str">
        <f>IFERROR((Т402[[#This Row],[ПП]]-Т402[[#This Row],[ДДУ]])*1,"")</f>
        <v/>
      </c>
      <c r="AZ181" s="486" t="str" cm="1">
        <f t="array" ref="AZ18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1" s="485">
        <f>_xlfn.XLOOKUP(Т402[[#This Row],[№]],Д402[№],Д402[Стоимость квартиры с отделкой],"-",0)</f>
        <v>4313100</v>
      </c>
      <c r="BB181" s="485" t="str">
        <f>IFERROR(Т402[[#This Row],[СО ПП]]-Т402[[#This Row],[СО ДДУ]],"")</f>
        <v/>
      </c>
      <c r="BC181" s="487" t="str" cm="1">
        <f t="array" ref="BC181">IFERROR(INDEX(РД[S],MATCH($AU$3&amp;Т402[[#This Row],[№]]&amp;"Продажа",РД[Дом]&amp;РД[№ кв]&amp;РД[Состояние],0),1),Т402[[#This Row],[Статус]])</f>
        <v>Стр. Резерв</v>
      </c>
      <c r="BD181" s="483">
        <f>_xlfn.XLOOKUP(Т402[[#This Row],[№]],Д402[№],Д402[Расчетная проектная площадь],"-",0)</f>
        <v>29.43</v>
      </c>
      <c r="BE181" s="485" t="str">
        <f>IFERROR(Т402[[#This Row],[S ПП]]-Т402[[#This Row],[S ДДУ]],"")</f>
        <v/>
      </c>
      <c r="BF181" s="485">
        <f>_xlfn.XLOOKUP(Т402[[#This Row],[№]],Д402[№],Д402[Итоговая сумма скидки],"-",0)</f>
        <v>0</v>
      </c>
      <c r="BG181" s="486" t="str" cm="1">
        <f t="array" ref="BG18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1" s="488" t="str">
        <f>IFERROR(Т402[[#This Row],[ППС]]-Т402[[#This Row],[ДДУС]],"")</f>
        <v/>
      </c>
    </row>
    <row r="182" spans="1:60" x14ac:dyDescent="0.2">
      <c r="A182" s="611"/>
      <c r="B182" s="234">
        <f>VLOOKUP(ППД4!A179,Реестр_Д4[№],1,0)</f>
        <v>178</v>
      </c>
      <c r="C182" s="234" t="str">
        <f>VLOOKUP(ППД4!CO179,Реестр_Д4[Статус],1,0)</f>
        <v>Продажа</v>
      </c>
      <c r="D182" s="612">
        <f>VLOOKUP(ППД4!CE179,Реестр_Д4[Стоимость ОН без отделки со скидкой],1,0)</f>
        <v>6258574</v>
      </c>
      <c r="E182" s="612" cm="1">
        <f t="array" ref="E182">IFERROR(INDEX(РД[Стоимость без отделки итог],MATCH($B$3&amp;Таблица4[[#This Row],[№]]&amp;"Продажа",РД[Дом]&amp;РД[№ кв]&amp;РД[Состояние],0),1),Таблица4[[#This Row],[Статус]])</f>
        <v>6258574</v>
      </c>
      <c r="F182" s="235">
        <f>IFERROR((Таблица4[[#This Row],[ПП]]-Таблица4[[#This Row],[ДДУ]])*1,"")</f>
        <v>0</v>
      </c>
      <c r="G182" s="235" cm="1">
        <f t="array" ref="G182">IFERROR(INDEX(РД[Стоимость с отделкой итог],MATCH($B$3&amp;Таблица4[[#This Row],[№]]&amp;"Продажа",РД[Дом]&amp;РД[№ кв]&amp;РД[Состояние],0),1),Таблица4[[#This Row],[Статус]])</f>
        <v>6258574</v>
      </c>
      <c r="H182" s="235">
        <f>_xlfn.XLOOKUP(Таблица4[[#This Row],[№]],Реестр_Д4[№],Реестр_Д4[Стоимость квартиры с отделкой],"-",0)</f>
        <v>6258574</v>
      </c>
      <c r="I182" s="235">
        <f>IFERROR(Таблица4[[#This Row],[СО ПП]]-Таблица4[[#This Row],[СО ДДУ]],"")</f>
        <v>0</v>
      </c>
      <c r="J182" s="233" cm="1">
        <f t="array" ref="J182">IFERROR(INDEX(РД[S],MATCH($B$3&amp;Таблица4[[#This Row],[№]]&amp;"Продажа",РД[Дом]&amp;РД[№ кв]&amp;РД[Состояние],0),1),Таблица4[[#This Row],[Статус]])</f>
        <v>68.75</v>
      </c>
      <c r="K182" s="233">
        <f>VLOOKUP(Таблица4[[#This Row],[№]],Реестр_Д4[],20,0)</f>
        <v>68.75</v>
      </c>
      <c r="L182" s="235">
        <f>IFERROR(Таблица4[[#This Row],[S ПП]]-Таблица4[[#This Row],[S ДДУ]],)</f>
        <v>0</v>
      </c>
      <c r="M182" s="235">
        <f>ROUND(_xlfn.XLOOKUP(Таблица4[[#This Row],[№]],Реестр_Д4[№],Реестр_Д4[Итоговая сумма скидки],"",0),2)</f>
        <v>127726</v>
      </c>
      <c r="N182" s="235" cm="1">
        <f t="array" ref="N182">IFERROR(ROUND(_xlfn.XLOOKUP($B$3&amp;Таблица4[[#This Row],[№]]&amp;"Продажа",РД[Дом]&amp;РД[№ кв]&amp;РД[Состояние],РД[Сумма скидки],"",0),2),Таблица4[[#This Row],[Статус]])</f>
        <v>127726</v>
      </c>
      <c r="O182" s="235">
        <f>IFERROR(Таблица4[[#This Row],[ППС]]-Таблица4[[#This Row],[ДДУС]],)</f>
        <v>0</v>
      </c>
      <c r="P182" s="611"/>
      <c r="Q182" s="234">
        <f>VLOOKUP(ППД5!A179,Реестр_Д5[№],1,0)</f>
        <v>178</v>
      </c>
      <c r="R182" s="234" t="str">
        <f>VLOOKUP(ППД5!CH179,Реестр_Д5[Статус],1,0)</f>
        <v>Продажа</v>
      </c>
      <c r="S182" s="612">
        <f>VLOOKUP(ППД5!BZ179,Реестр_Д5[Стоимость ОН без отделки со скидкой],1,0)</f>
        <v>3378011.18</v>
      </c>
      <c r="T182" s="612" cm="1">
        <f t="array" ref="T182">IFERROR(INDEX(РД[Стоимость без отделки итог],MATCH($Q$3&amp;Таблица10[[#This Row],[№]]&amp;"Продажа",РД[Дом]&amp;РД[№ кв]&amp;РД[Состояние],0),1),Таблица10[[#This Row],[Статус]])</f>
        <v>3378011.18</v>
      </c>
      <c r="U182" s="235">
        <f>IFERROR((Таблица10[[#This Row],[ПП]]-Таблица10[[#This Row],[ДДУ]])*1,)</f>
        <v>0</v>
      </c>
      <c r="V182" s="235" cm="1">
        <f t="array" ref="V182">IFERROR(INDEX(РД[Стоимость с отделкой итог],MATCH($Q$3&amp;Таблица10[[#This Row],[№]]&amp;"Продажа",РД[Дом]&amp;РД[№ кв]&amp;РД[Состояние],0),1),Таблица10[[#This Row],[Статус]])</f>
        <v>3548381.18</v>
      </c>
      <c r="W182" s="235">
        <f>_xlfn.XLOOKUP(Таблица10[[#This Row],[№]],Реестр_Д5[№],Реестр_Д5[Стоимость квартиры с отделкой],"-",0)</f>
        <v>3548381.18</v>
      </c>
      <c r="X182" s="235">
        <f>IFERROR(Таблица10[[#This Row],[СО ПП]]-Таблица10[[#This Row],[СО ДДУ]],"")</f>
        <v>0</v>
      </c>
      <c r="Y182" s="233" cm="1">
        <f t="array" ref="Y182">IFERROR(INDEX(РД[S],MATCH($Q$3&amp;Таблица10[[#This Row],[№]]&amp;"Продажа",РД[Дом]&amp;РД[№ кв]&amp;РД[Состояние],0),1),Таблица10[[#This Row],[Статус]])</f>
        <v>37.86</v>
      </c>
      <c r="Z182" s="233">
        <f>IF(Таблица10[[#This Row],[№]]&amp;"ДДУ"=ППД5!A179&amp;ППД5!CR179,ППД5!U179,ППД5!V179)</f>
        <v>37.86</v>
      </c>
      <c r="AA182" s="285">
        <f>IFERROR(Таблица10[[#This Row],[S ПП]]-Таблица10[[#This Row],[S ДДУ]],)</f>
        <v>0</v>
      </c>
      <c r="AB182" s="235">
        <f>ROUND(_xlfn.XLOOKUP(Таблица10[[#This Row],[№]],Реестр_Д5[№],Реестр_Д5[Итоговая сумма скидки],"",0),2)</f>
        <v>0</v>
      </c>
      <c r="AC182" s="235" cm="1">
        <f t="array" ref="AC18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2" s="285">
        <f>IFERROR(Таблица10[[#This Row],[ППС]]-Таблица10[[#This Row],[ДДУС]],)</f>
        <v>0</v>
      </c>
      <c r="AE182" s="611"/>
      <c r="AT182" s="611"/>
      <c r="AU182" s="484">
        <f>VLOOKUP(ППД402!A179,Д402[],1,0)</f>
        <v>178</v>
      </c>
      <c r="AV182" s="484" t="str">
        <f>_xlfn.XLOOKUP(Т402[[#This Row],[№]],Д402[№],Д402[Статус],"-",0)</f>
        <v>Стр. Резерв</v>
      </c>
      <c r="AW182" s="613">
        <f>_xlfn.XLOOKUP(Т402[[#This Row],[№]],Д402[№],Д402[Стоимость ОН без отделки со скидкой],"-",0)</f>
        <v>4091800</v>
      </c>
      <c r="AX182" s="614" t="str" cm="1">
        <f t="array" ref="AX18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2" s="485" t="str">
        <f>IFERROR((Т402[[#This Row],[ПП]]-Т402[[#This Row],[ДДУ]])*1,"")</f>
        <v/>
      </c>
      <c r="AZ182" s="486" t="str" cm="1">
        <f t="array" ref="AZ18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2" s="485">
        <f>_xlfn.XLOOKUP(Т402[[#This Row],[№]],Д402[№],Д402[Стоимость квартиры с отделкой],"-",0)</f>
        <v>4091799.9999999991</v>
      </c>
      <c r="BB182" s="485" t="str">
        <f>IFERROR(Т402[[#This Row],[СО ПП]]-Т402[[#This Row],[СО ДДУ]],"")</f>
        <v/>
      </c>
      <c r="BC182" s="487" t="str" cm="1">
        <f t="array" ref="BC182">IFERROR(INDEX(РД[S],MATCH($AU$3&amp;Т402[[#This Row],[№]]&amp;"Продажа",РД[Дом]&amp;РД[№ кв]&amp;РД[Состояние],0),1),Т402[[#This Row],[Статус]])</f>
        <v>Стр. Резерв</v>
      </c>
      <c r="BD182" s="483">
        <f>_xlfn.XLOOKUP(Т402[[#This Row],[№]],Д402[№],Д402[Расчетная проектная площадь],"-",0)</f>
        <v>27.92</v>
      </c>
      <c r="BE182" s="485" t="str">
        <f>IFERROR(Т402[[#This Row],[S ПП]]-Т402[[#This Row],[S ДДУ]],"")</f>
        <v/>
      </c>
      <c r="BF182" s="485">
        <f>_xlfn.XLOOKUP(Т402[[#This Row],[№]],Д402[№],Д402[Итоговая сумма скидки],"-",0)</f>
        <v>0</v>
      </c>
      <c r="BG182" s="486" t="str" cm="1">
        <f t="array" ref="BG18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2" s="488" t="str">
        <f>IFERROR(Т402[[#This Row],[ППС]]-Т402[[#This Row],[ДДУС]],"")</f>
        <v/>
      </c>
    </row>
    <row r="183" spans="1:60" x14ac:dyDescent="0.2">
      <c r="A183" s="611"/>
      <c r="B183" s="234">
        <f>VLOOKUP(ППД4!A180,Реестр_Д4[№],1,0)</f>
        <v>179</v>
      </c>
      <c r="C183" s="234" t="str">
        <f>VLOOKUP(ППД4!CO180,Реестр_Д4[Статус],1,0)</f>
        <v>Продажа</v>
      </c>
      <c r="D183" s="612">
        <f>VLOOKUP(ППД4!CE180,Реестр_Д4[Стоимость ОН без отделки со скидкой],1,0)</f>
        <v>4121600</v>
      </c>
      <c r="E183" s="612" cm="1">
        <f t="array" ref="E183">IFERROR(INDEX(РД[Стоимость без отделки итог],MATCH($B$3&amp;Таблица4[[#This Row],[№]]&amp;"Продажа",РД[Дом]&amp;РД[№ кв]&amp;РД[Состояние],0),1),Таблица4[[#This Row],[Статус]])</f>
        <v>4121600</v>
      </c>
      <c r="F183" s="235">
        <f>IFERROR((Таблица4[[#This Row],[ПП]]-Таблица4[[#This Row],[ДДУ]])*1,"")</f>
        <v>0</v>
      </c>
      <c r="G183" s="235" cm="1">
        <f t="array" ref="G183">IFERROR(INDEX(РД[Стоимость с отделкой итог],MATCH($B$3&amp;Таблица4[[#This Row],[№]]&amp;"Продажа",РД[Дом]&amp;РД[№ кв]&amp;РД[Состояние],0),1),Таблица4[[#This Row],[Статус]])</f>
        <v>4386950</v>
      </c>
      <c r="H183" s="235">
        <f>_xlfn.XLOOKUP(Таблица4[[#This Row],[№]],Реестр_Д4[№],Реестр_Д4[Стоимость квартиры с отделкой],"-",0)</f>
        <v>4386950</v>
      </c>
      <c r="I183" s="235">
        <f>IFERROR(Таблица4[[#This Row],[СО ПП]]-Таблица4[[#This Row],[СО ДДУ]],"")</f>
        <v>0</v>
      </c>
      <c r="J183" s="233" cm="1">
        <f t="array" ref="J183">IFERROR(INDEX(РД[S],MATCH($B$3&amp;Таблица4[[#This Row],[№]]&amp;"Продажа",РД[Дом]&amp;РД[№ кв]&amp;РД[Состояние],0),1),Таблица4[[#This Row],[Статус]])</f>
        <v>35.380000000000003</v>
      </c>
      <c r="K183" s="233">
        <f>VLOOKUP(Таблица4[[#This Row],[№]],Реестр_Д4[],20,0)</f>
        <v>35.380000000000003</v>
      </c>
      <c r="L183" s="235">
        <f>IFERROR(Таблица4[[#This Row],[S ПП]]-Таблица4[[#This Row],[S ДДУ]],)</f>
        <v>0</v>
      </c>
      <c r="M183" s="235">
        <f>ROUND(_xlfn.XLOOKUP(Таблица4[[#This Row],[№]],Реестр_Д4[№],Реестр_Д4[Итоговая сумма скидки],"",0),2)</f>
        <v>0</v>
      </c>
      <c r="N183" s="235" cm="1">
        <f t="array" ref="N18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3" s="235">
        <f>IFERROR(Таблица4[[#This Row],[ППС]]-Таблица4[[#This Row],[ДДУС]],)</f>
        <v>0</v>
      </c>
      <c r="P183" s="611"/>
      <c r="Q183" s="234">
        <f>VLOOKUP(ППД5!A180,Реестр_Д5[№],1,0)</f>
        <v>179</v>
      </c>
      <c r="R183" s="234" t="str">
        <f>VLOOKUP(ППД5!CH180,Реестр_Д5[Статус],1,0)</f>
        <v>Продажа</v>
      </c>
      <c r="S183" s="612">
        <f>VLOOKUP(ППД5!BZ180,Реестр_Д5[Стоимость ОН без отделки со скидкой],1,0)</f>
        <v>7366200</v>
      </c>
      <c r="T183" s="612" cm="1">
        <f t="array" ref="T183">IFERROR(INDEX(РД[Стоимость без отделки итог],MATCH($Q$3&amp;Таблица10[[#This Row],[№]]&amp;"Продажа",РД[Дом]&amp;РД[№ кв]&amp;РД[Состояние],0),1),Таблица10[[#This Row],[Статус]])</f>
        <v>7366200</v>
      </c>
      <c r="U183" s="235">
        <f>IFERROR((Таблица10[[#This Row],[ПП]]-Таблица10[[#This Row],[ДДУ]])*1,)</f>
        <v>0</v>
      </c>
      <c r="V183" s="235" cm="1">
        <f t="array" ref="V183">IFERROR(INDEX(РД[Стоимость с отделкой итог],MATCH($Q$3&amp;Таблица10[[#This Row],[№]]&amp;"Продажа",РД[Дом]&amp;РД[№ кв]&amp;РД[Состояние],0),1),Таблица10[[#This Row],[Статус]])</f>
        <v>7366200</v>
      </c>
      <c r="W183" s="235">
        <f>_xlfn.XLOOKUP(Таблица10[[#This Row],[№]],Реестр_Д5[№],Реестр_Д5[Стоимость квартиры с отделкой],"-",0)</f>
        <v>7366200</v>
      </c>
      <c r="X183" s="235">
        <f>IFERROR(Таблица10[[#This Row],[СО ПП]]-Таблица10[[#This Row],[СО ДДУ]],"")</f>
        <v>0</v>
      </c>
      <c r="Y183" s="233" cm="1">
        <f t="array" ref="Y183">IFERROR(INDEX(РД[S],MATCH($Q$3&amp;Таблица10[[#This Row],[№]]&amp;"Продажа",РД[Дом]&amp;РД[№ кв]&amp;РД[Состояние],0),1),Таблица10[[#This Row],[Статус]])</f>
        <v>84.99</v>
      </c>
      <c r="Z183" s="233">
        <f>IF(Таблица10[[#This Row],[№]]&amp;"ДДУ"=ППД5!A180&amp;ППД5!CR180,ППД5!U180,ППД5!V180)</f>
        <v>84.99</v>
      </c>
      <c r="AA183" s="285">
        <f>IFERROR(Таблица10[[#This Row],[S ПП]]-Таблица10[[#This Row],[S ДДУ]],)</f>
        <v>0</v>
      </c>
      <c r="AB183" s="235">
        <f>ROUND(_xlfn.XLOOKUP(Таблица10[[#This Row],[№]],Реестр_Д5[№],Реестр_Д5[Итоговая сумма скидки],"",0),2)</f>
        <v>90000</v>
      </c>
      <c r="AC183" s="235" cm="1">
        <f t="array" ref="AC183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183" s="285">
        <f>IFERROR(Таблица10[[#This Row],[ППС]]-Таблица10[[#This Row],[ДДУС]],)</f>
        <v>0</v>
      </c>
      <c r="AE183" s="611"/>
      <c r="AT183" s="611"/>
      <c r="AU183" s="484">
        <f>VLOOKUP(ППД402!A180,Д402[],1,0)</f>
        <v>179</v>
      </c>
      <c r="AV183" s="484" t="str">
        <f>_xlfn.XLOOKUP(Т402[[#This Row],[№]],Д402[№],Д402[Статус],"-",0)</f>
        <v>Свободно</v>
      </c>
      <c r="AW183" s="613">
        <f>_xlfn.XLOOKUP(Т402[[#This Row],[№]],Д402[№],Д402[Стоимость ОН без отделки со скидкой],"-",0)</f>
        <v>7629400</v>
      </c>
      <c r="AX183" s="614" t="str" cm="1">
        <f t="array" ref="AX18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83" s="485" t="str">
        <f>IFERROR((Т402[[#This Row],[ПП]]-Т402[[#This Row],[ДДУ]])*1,"")</f>
        <v/>
      </c>
      <c r="AZ183" s="486" t="str" cm="1">
        <f t="array" ref="AZ18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83" s="485">
        <f>_xlfn.XLOOKUP(Т402[[#This Row],[№]],Д402[№],Д402[Стоимость квартиры с отделкой],"-",0)</f>
        <v>7629400</v>
      </c>
      <c r="BB183" s="485" t="str">
        <f>IFERROR(Т402[[#This Row],[СО ПП]]-Т402[[#This Row],[СО ДДУ]],"")</f>
        <v/>
      </c>
      <c r="BC183" s="487" t="str" cm="1">
        <f t="array" ref="BC183">IFERROR(INDEX(РД[S],MATCH($AU$3&amp;Т402[[#This Row],[№]]&amp;"Продажа",РД[Дом]&amp;РД[№ кв]&amp;РД[Состояние],0),1),Т402[[#This Row],[Статус]])</f>
        <v>Свободно</v>
      </c>
      <c r="BD183" s="483">
        <f>_xlfn.XLOOKUP(Т402[[#This Row],[№]],Д402[№],Д402[Расчетная проектная площадь],"-",0)</f>
        <v>63.37</v>
      </c>
      <c r="BE183" s="485" t="str">
        <f>IFERROR(Т402[[#This Row],[S ПП]]-Т402[[#This Row],[S ДДУ]],"")</f>
        <v/>
      </c>
      <c r="BF183" s="485">
        <f>_xlfn.XLOOKUP(Т402[[#This Row],[№]],Д402[№],Д402[Итоговая сумма скидки],"-",0)</f>
        <v>0</v>
      </c>
      <c r="BG183" s="486" t="str" cm="1">
        <f t="array" ref="BG18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83" s="488" t="str">
        <f>IFERROR(Т402[[#This Row],[ППС]]-Т402[[#This Row],[ДДУС]],"")</f>
        <v/>
      </c>
    </row>
    <row r="184" spans="1:60" x14ac:dyDescent="0.2">
      <c r="A184" s="611"/>
      <c r="B184" s="234">
        <f>VLOOKUP(ППД4!A181,Реестр_Д4[№],1,0)</f>
        <v>180</v>
      </c>
      <c r="C184" s="234" t="str">
        <f>VLOOKUP(ППД4!CO181,Реестр_Д4[Статус],1,0)</f>
        <v>Продажа</v>
      </c>
      <c r="D184" s="612">
        <f>VLOOKUP(ППД4!CE181,Реестр_Д4[Стоимость ОН без отделки со скидкой],1,0)</f>
        <v>4305000</v>
      </c>
      <c r="E184" s="612" cm="1">
        <f t="array" ref="E184">IFERROR(INDEX(РД[Стоимость без отделки итог],MATCH($B$3&amp;Таблица4[[#This Row],[№]]&amp;"Продажа",РД[Дом]&amp;РД[№ кв]&amp;РД[Состояние],0),1),Таблица4[[#This Row],[Статус]])</f>
        <v>4305000</v>
      </c>
      <c r="F184" s="235">
        <f>IFERROR((Таблица4[[#This Row],[ПП]]-Таблица4[[#This Row],[ДДУ]])*1,"")</f>
        <v>0</v>
      </c>
      <c r="G184" s="235" cm="1">
        <f t="array" ref="G184">IFERROR(INDEX(РД[Стоимость с отделкой итог],MATCH($B$3&amp;Таблица4[[#This Row],[№]]&amp;"Продажа",РД[Дом]&amp;РД[№ кв]&amp;РД[Состояние],0),1),Таблица4[[#This Row],[Статус]])</f>
        <v>5136820</v>
      </c>
      <c r="H184" s="235">
        <f>_xlfn.XLOOKUP(Таблица4[[#This Row],[№]],Реестр_Д4[№],Реестр_Д4[Стоимость квартиры с отделкой],"-",0)</f>
        <v>5136820</v>
      </c>
      <c r="I184" s="235">
        <f>IFERROR(Таблица4[[#This Row],[СО ПП]]-Таблица4[[#This Row],[СО ДДУ]],"")</f>
        <v>0</v>
      </c>
      <c r="J184" s="233" cm="1">
        <f t="array" ref="J184">IFERROR(INDEX(РД[S],MATCH($B$3&amp;Таблица4[[#This Row],[№]]&amp;"Продажа",РД[Дом]&amp;РД[№ кв]&amp;РД[Состояние],0),1),Таблица4[[#This Row],[Статус]])</f>
        <v>37.81</v>
      </c>
      <c r="K184" s="233">
        <f>VLOOKUP(Таблица4[[#This Row],[№]],Реестр_Д4[],20,0)</f>
        <v>37.81</v>
      </c>
      <c r="L184" s="235">
        <f>IFERROR(Таблица4[[#This Row],[S ПП]]-Таблица4[[#This Row],[S ДДУ]],)</f>
        <v>0</v>
      </c>
      <c r="M184" s="235">
        <f>ROUND(_xlfn.XLOOKUP(Таблица4[[#This Row],[№]],Реестр_Д4[№],Реестр_Д4[Итоговая сумма скидки],"",0),2)</f>
        <v>0</v>
      </c>
      <c r="N184" s="235" cm="1">
        <f t="array" ref="N18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4" s="235">
        <f>IFERROR(Таблица4[[#This Row],[ППС]]-Таблица4[[#This Row],[ДДУС]],)</f>
        <v>0</v>
      </c>
      <c r="P184" s="611"/>
      <c r="Q184" s="234">
        <f>VLOOKUP(ППД5!A181,Реестр_Д5[№],1,0)</f>
        <v>180</v>
      </c>
      <c r="R184" s="234" t="str">
        <f>VLOOKUP(ППД5!CH181,Реестр_Д5[Статус],1,0)</f>
        <v>Устная бронь</v>
      </c>
      <c r="S184" s="612">
        <f>VLOOKUP(ППД5!BZ181,Реестр_Д5[Стоимость ОН без отделки со скидкой],1,0)</f>
        <v>5480000</v>
      </c>
      <c r="T184" s="612" t="str" cm="1">
        <f t="array" ref="T184">IFERROR(INDEX(РД[Стоимость без отделки итог],MATCH($Q$3&amp;Таблица10[[#This Row],[№]]&amp;"Продажа",РД[Дом]&amp;РД[№ кв]&amp;РД[Состояние],0),1),Таблица10[[#This Row],[Статус]])</f>
        <v>Устная бронь</v>
      </c>
      <c r="U184" s="235">
        <f>IFERROR((Таблица10[[#This Row],[ПП]]-Таблица10[[#This Row],[ДДУ]])*1,)</f>
        <v>0</v>
      </c>
      <c r="V184" s="235" t="str" cm="1">
        <f t="array" ref="V184">IFERROR(INDEX(РД[Стоимость с отделкой итог],MATCH($Q$3&amp;Таблица10[[#This Row],[№]]&amp;"Продажа",РД[Дом]&amp;РД[№ кв]&amp;РД[Состояние],0),1),Таблица10[[#This Row],[Статус]])</f>
        <v>Устная бронь</v>
      </c>
      <c r="W184" s="235">
        <f>_xlfn.XLOOKUP(Таблица10[[#This Row],[№]],Реестр_Д5[№],Реестр_Д5[Стоимость квартиры с отделкой],"-",0)</f>
        <v>5480000</v>
      </c>
      <c r="X184" s="235" t="str">
        <f>IFERROR(Таблица10[[#This Row],[СО ПП]]-Таблица10[[#This Row],[СО ДДУ]],"")</f>
        <v/>
      </c>
      <c r="Y184" s="233" t="str" cm="1">
        <f t="array" ref="Y184">IFERROR(INDEX(РД[S],MATCH($Q$3&amp;Таблица10[[#This Row],[№]]&amp;"Продажа",РД[Дом]&amp;РД[№ кв]&amp;РД[Состояние],0),1),Таблица10[[#This Row],[Статус]])</f>
        <v>Устная бронь</v>
      </c>
      <c r="Z184" s="233">
        <f>IF(Таблица10[[#This Row],[№]]&amp;"ДДУ"=ППД5!A181&amp;ППД5!CR181,ППД5!U181,ППД5!V181)</f>
        <v>42.1</v>
      </c>
      <c r="AA184" s="285">
        <f>IFERROR(Таблица10[[#This Row],[S ПП]]-Таблица10[[#This Row],[S ДДУ]],)</f>
        <v>0</v>
      </c>
      <c r="AB184" s="235">
        <f>ROUND(_xlfn.XLOOKUP(Таблица10[[#This Row],[№]],Реестр_Д5[№],Реестр_Д5[Итоговая сумма скидки],"",0),2)</f>
        <v>336800</v>
      </c>
      <c r="AC184" s="235" t="str" cm="1">
        <f t="array" ref="AC184">IFERROR(ROUND(_xlfn.XLOOKUP($Q$3&amp;Таблица10[[#This Row],[№]]&amp;"Продажа",РД[Дом]&amp;РД[№ кв]&amp;РД[Состояние],РД[Сумма скидки],"",0,-1),2),Таблица10[[#This Row],[Статус]])</f>
        <v>Устная бронь</v>
      </c>
      <c r="AD184" s="285">
        <f>IFERROR(Таблица10[[#This Row],[ППС]]-Таблица10[[#This Row],[ДДУС]],)</f>
        <v>0</v>
      </c>
      <c r="AE184" s="611"/>
      <c r="AT184" s="611"/>
      <c r="AU184" s="484">
        <f>VLOOKUP(ППД402!A181,Д402[],1,0)</f>
        <v>180</v>
      </c>
      <c r="AV184" s="484" t="str">
        <f>_xlfn.XLOOKUP(Т402[[#This Row],[№]],Д402[№],Д402[Статус],"-",0)</f>
        <v>Стр. Резерв</v>
      </c>
      <c r="AW184" s="613">
        <f>_xlfn.XLOOKUP(Т402[[#This Row],[№]],Д402[№],Д402[Стоимость ОН без отделки со скидкой],"-",0)</f>
        <v>7424200</v>
      </c>
      <c r="AX184" s="614" t="str" cm="1">
        <f t="array" ref="AX18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4" s="485" t="str">
        <f>IFERROR((Т402[[#This Row],[ПП]]-Т402[[#This Row],[ДДУ]])*1,"")</f>
        <v/>
      </c>
      <c r="AZ184" s="486" t="str" cm="1">
        <f t="array" ref="AZ18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4" s="485">
        <f>_xlfn.XLOOKUP(Т402[[#This Row],[№]],Д402[№],Д402[Стоимость квартиры с отделкой],"-",0)</f>
        <v>9250300</v>
      </c>
      <c r="BB184" s="485" t="str">
        <f>IFERROR(Т402[[#This Row],[СО ПП]]-Т402[[#This Row],[СО ДДУ]],"")</f>
        <v/>
      </c>
      <c r="BC184" s="487" t="str" cm="1">
        <f t="array" ref="BC184">IFERROR(INDEX(РД[S],MATCH($AU$3&amp;Т402[[#This Row],[№]]&amp;"Продажа",РД[Дом]&amp;РД[№ кв]&amp;РД[Состояние],0),1),Т402[[#This Row],[Статус]])</f>
        <v>Стр. Резерв</v>
      </c>
      <c r="BD184" s="483">
        <f>_xlfn.XLOOKUP(Т402[[#This Row],[№]],Д402[№],Д402[Расчетная проектная площадь],"-",0)</f>
        <v>60.87</v>
      </c>
      <c r="BE184" s="485" t="str">
        <f>IFERROR(Т402[[#This Row],[S ПП]]-Т402[[#This Row],[S ДДУ]],"")</f>
        <v/>
      </c>
      <c r="BF184" s="485">
        <f>_xlfn.XLOOKUP(Т402[[#This Row],[№]],Д402[№],Д402[Итоговая сумма скидки],"-",0)</f>
        <v>0</v>
      </c>
      <c r="BG184" s="486" t="str" cm="1">
        <f t="array" ref="BG18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4" s="488" t="str">
        <f>IFERROR(Т402[[#This Row],[ППС]]-Т402[[#This Row],[ДДУС]],"")</f>
        <v/>
      </c>
    </row>
    <row r="185" spans="1:60" x14ac:dyDescent="0.2">
      <c r="A185" s="611"/>
      <c r="B185" s="234">
        <f>VLOOKUP(ППД4!A182,Реестр_Д4[№],1,0)</f>
        <v>181</v>
      </c>
      <c r="C185" s="234" t="str">
        <f>VLOOKUP(ППД4!CO182,Реестр_Д4[Статус],1,0)</f>
        <v>Продажа</v>
      </c>
      <c r="D185" s="612">
        <f>VLOOKUP(ППД4!CE182,Реестр_Д4[Стоимость ОН без отделки со скидкой],1,0)</f>
        <v>3313517.85</v>
      </c>
      <c r="E185" s="612" cm="1">
        <f t="array" ref="E185">IFERROR(INDEX(РД[Стоимость без отделки итог],MATCH($B$3&amp;Таблица4[[#This Row],[№]]&amp;"Продажа",РД[Дом]&amp;РД[№ кв]&amp;РД[Состояние],0),1),Таблица4[[#This Row],[Статус]])</f>
        <v>3313517.85</v>
      </c>
      <c r="F185" s="235">
        <f>IFERROR((Таблица4[[#This Row],[ПП]]-Таблица4[[#This Row],[ДДУ]])*1,"")</f>
        <v>0</v>
      </c>
      <c r="G185" s="235" cm="1">
        <f t="array" ref="G185">IFERROR(INDEX(РД[Стоимость с отделкой итог],MATCH($B$3&amp;Таблица4[[#This Row],[№]]&amp;"Продажа",РД[Дом]&amp;РД[№ кв]&amp;РД[Состояние],0),1),Таблица4[[#This Row],[Статус]])</f>
        <v>3460317.85</v>
      </c>
      <c r="H185" s="235">
        <f>_xlfn.XLOOKUP(Таблица4[[#This Row],[№]],Реестр_Д4[№],Реестр_Д4[Стоимость квартиры с отделкой],"-",0)</f>
        <v>3460317.85</v>
      </c>
      <c r="I185" s="235">
        <f>IFERROR(Таблица4[[#This Row],[СО ПП]]-Таблица4[[#This Row],[СО ДДУ]],"")</f>
        <v>0</v>
      </c>
      <c r="J185" s="233" cm="1">
        <f t="array" ref="J185">IFERROR(INDEX(РД[S],MATCH($B$3&amp;Таблица4[[#This Row],[№]]&amp;"Продажа",РД[Дом]&amp;РД[№ кв]&amp;РД[Состояние],0),1),Таблица4[[#This Row],[Статус]])</f>
        <v>36.700000000000003</v>
      </c>
      <c r="K185" s="233">
        <f>VLOOKUP(Таблица4[[#This Row],[№]],Реестр_Д4[],20,0)</f>
        <v>36.700000000000003</v>
      </c>
      <c r="L185" s="235">
        <f>IFERROR(Таблица4[[#This Row],[S ПП]]-Таблица4[[#This Row],[S ДДУ]],)</f>
        <v>0</v>
      </c>
      <c r="M185" s="235">
        <f>ROUND(_xlfn.XLOOKUP(Таблица4[[#This Row],[№]],Реестр_Д4[№],Реестр_Д4[Итоговая сумма скидки],"",0),2)</f>
        <v>0</v>
      </c>
      <c r="N185" s="235" cm="1">
        <f t="array" ref="N18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5" s="235">
        <f>IFERROR(Таблица4[[#This Row],[ППС]]-Таблица4[[#This Row],[ДДУС]],)</f>
        <v>0</v>
      </c>
      <c r="P185" s="611"/>
      <c r="Q185" s="234">
        <f>VLOOKUP(ППД5!A182,Реестр_Д5[№],1,0)</f>
        <v>181</v>
      </c>
      <c r="R185" s="234" t="str">
        <f>VLOOKUP(ППД5!CH182,Реестр_Д5[Статус],1,0)</f>
        <v>Продажа</v>
      </c>
      <c r="S185" s="612">
        <f>VLOOKUP(ППД5!BZ182,Реестр_Д5[Стоимость ОН без отделки со скидкой],1,0)</f>
        <v>6884200</v>
      </c>
      <c r="T185" s="612" cm="1">
        <f t="array" ref="T185">IFERROR(INDEX(РД[Стоимость без отделки итог],MATCH($Q$3&amp;Таблица10[[#This Row],[№]]&amp;"Продажа",РД[Дом]&amp;РД[№ кв]&amp;РД[Состояние],0),1),Таблица10[[#This Row],[Статус]])</f>
        <v>6884200</v>
      </c>
      <c r="U185" s="235">
        <f>IFERROR((Таблица10[[#This Row],[ПП]]-Таблица10[[#This Row],[ДДУ]])*1,)</f>
        <v>0</v>
      </c>
      <c r="V185" s="235" cm="1">
        <f t="array" ref="V185">IFERROR(INDEX(РД[Стоимость с отделкой итог],MATCH($Q$3&amp;Таблица10[[#This Row],[№]]&amp;"Продажа",РД[Дом]&amp;РД[№ кв]&amp;РД[Состояние],0),1),Таблица10[[#This Row],[Статус]])</f>
        <v>6884200</v>
      </c>
      <c r="W185" s="235">
        <f>_xlfn.XLOOKUP(Таблица10[[#This Row],[№]],Реестр_Д5[№],Реестр_Д5[Стоимость квартиры с отделкой],"-",0)</f>
        <v>6884200</v>
      </c>
      <c r="X185" s="235">
        <f>IFERROR(Таблица10[[#This Row],[СО ПП]]-Таблица10[[#This Row],[СО ДДУ]],"")</f>
        <v>0</v>
      </c>
      <c r="Y185" s="233" cm="1">
        <f t="array" ref="Y185">IFERROR(INDEX(РД[S],MATCH($Q$3&amp;Таблица10[[#This Row],[№]]&amp;"Продажа",РД[Дом]&amp;РД[№ кв]&amp;РД[Состояние],0),1),Таблица10[[#This Row],[Статус]])</f>
        <v>60.1</v>
      </c>
      <c r="Z185" s="233">
        <f>IF(Таблица10[[#This Row],[№]]&amp;"ДДУ"=ППД5!A182&amp;ППД5!CR182,ППД5!U182,ППД5!V182)</f>
        <v>60.099999999999987</v>
      </c>
      <c r="AA185" s="285">
        <f>IFERROR(Таблица10[[#This Row],[S ПП]]-Таблица10[[#This Row],[S ДДУ]],)</f>
        <v>-1.4210854715202004E-14</v>
      </c>
      <c r="AB185" s="235">
        <f>ROUND(_xlfn.XLOOKUP(Таблица10[[#This Row],[№]],Реестр_Д5[№],Реестр_Д5[Итоговая сумма скидки],"",0),2)</f>
        <v>400000</v>
      </c>
      <c r="AC185" s="235" cm="1">
        <f t="array" ref="AC185">IFERROR(ROUND(_xlfn.XLOOKUP($Q$3&amp;Таблица10[[#This Row],[№]]&amp;"Продажа",РД[Дом]&amp;РД[№ кв]&amp;РД[Состояние],РД[Сумма скидки],"",0,-1),2),Таблица10[[#This Row],[Статус]])</f>
        <v>400000</v>
      </c>
      <c r="AD185" s="285">
        <f>IFERROR(Таблица10[[#This Row],[ППС]]-Таблица10[[#This Row],[ДДУС]],)</f>
        <v>0</v>
      </c>
      <c r="AE185" s="611"/>
      <c r="AT185" s="611"/>
      <c r="AU185" s="484">
        <f>VLOOKUP(ППД402!A182,Д402[],1,0)</f>
        <v>181</v>
      </c>
      <c r="AV185" s="484" t="str">
        <f>_xlfn.XLOOKUP(Т402[[#This Row],[№]],Д402[№],Д402[Статус],"-",0)</f>
        <v>Стр. Резерв</v>
      </c>
      <c r="AW185" s="613">
        <f>_xlfn.XLOOKUP(Т402[[#This Row],[№]],Д402[№],Д402[Стоимость ОН без отделки со скидкой],"-",0)</f>
        <v>5685900</v>
      </c>
      <c r="AX185" s="614" t="str" cm="1">
        <f t="array" ref="AX18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5" s="485" t="str">
        <f>IFERROR((Т402[[#This Row],[ПП]]-Т402[[#This Row],[ДДУ]])*1,"")</f>
        <v/>
      </c>
      <c r="AZ185" s="486" t="str" cm="1">
        <f t="array" ref="AZ18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5" s="485">
        <f>_xlfn.XLOOKUP(Т402[[#This Row],[№]],Д402[№],Д402[Стоимость квартиры с отделкой],"-",0)</f>
        <v>5685900</v>
      </c>
      <c r="BB185" s="485" t="str">
        <f>IFERROR(Т402[[#This Row],[СО ПП]]-Т402[[#This Row],[СО ДДУ]],"")</f>
        <v/>
      </c>
      <c r="BC185" s="487" t="str" cm="1">
        <f t="array" ref="BC185">IFERROR(INDEX(РД[S],MATCH($AU$3&amp;Т402[[#This Row],[№]]&amp;"Продажа",РД[Дом]&amp;РД[№ кв]&amp;РД[Состояние],0),1),Т402[[#This Row],[Статус]])</f>
        <v>Стр. Резерв</v>
      </c>
      <c r="BD185" s="483">
        <f>_xlfn.XLOOKUP(Т402[[#This Row],[№]],Д402[№],Д402[Расчетная проектная площадь],"-",0)</f>
        <v>44.25</v>
      </c>
      <c r="BE185" s="485" t="str">
        <f>IFERROR(Т402[[#This Row],[S ПП]]-Т402[[#This Row],[S ДДУ]],"")</f>
        <v/>
      </c>
      <c r="BF185" s="485">
        <f>_xlfn.XLOOKUP(Т402[[#This Row],[№]],Д402[№],Д402[Итоговая сумма скидки],"-",0)</f>
        <v>0</v>
      </c>
      <c r="BG185" s="486" t="str" cm="1">
        <f t="array" ref="BG18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5" s="488" t="str">
        <f>IFERROR(Т402[[#This Row],[ППС]]-Т402[[#This Row],[ДДУС]],"")</f>
        <v/>
      </c>
    </row>
    <row r="186" spans="1:60" x14ac:dyDescent="0.2">
      <c r="A186" s="611"/>
      <c r="B186" s="234">
        <f>VLOOKUP(ППД4!A183,Реестр_Д4[№],1,0)</f>
        <v>182</v>
      </c>
      <c r="C186" s="234" t="str">
        <f>VLOOKUP(ППД4!CO183,Реестр_Д4[Статус],1,0)</f>
        <v>Продажа</v>
      </c>
      <c r="D186" s="612">
        <f>VLOOKUP(ППД4!CE183,Реестр_Д4[Стоимость ОН без отделки со скидкой],1,0)</f>
        <v>4312200</v>
      </c>
      <c r="E186" s="612" cm="1">
        <f t="array" ref="E186">IFERROR(INDEX(РД[Стоимость без отделки итог],MATCH($B$3&amp;Таблица4[[#This Row],[№]]&amp;"Продажа",РД[Дом]&amp;РД[№ кв]&amp;РД[Состояние],0),1),Таблица4[[#This Row],[Статус]])</f>
        <v>4312200</v>
      </c>
      <c r="F186" s="235">
        <f>IFERROR((Таблица4[[#This Row],[ПП]]-Таблица4[[#This Row],[ДДУ]])*1,"")</f>
        <v>0</v>
      </c>
      <c r="G186" s="235" cm="1">
        <f t="array" ref="G186">IFERROR(INDEX(РД[Стоимость с отделкой итог],MATCH($B$3&amp;Таблица4[[#This Row],[№]]&amp;"Продажа",РД[Дом]&amp;РД[№ кв]&amp;РД[Состояние],0),1),Таблица4[[#This Row],[Статус]])</f>
        <v>5118720</v>
      </c>
      <c r="H186" s="235">
        <f>_xlfn.XLOOKUP(Таблица4[[#This Row],[№]],Реестр_Д4[№],Реестр_Д4[Стоимость квартиры с отделкой],"-",0)</f>
        <v>5118720</v>
      </c>
      <c r="I186" s="235">
        <f>IFERROR(Таблица4[[#This Row],[СО ПП]]-Таблица4[[#This Row],[СО ДДУ]],"")</f>
        <v>0</v>
      </c>
      <c r="J186" s="233" cm="1">
        <f t="array" ref="J186">IFERROR(INDEX(РД[S],MATCH($B$3&amp;Таблица4[[#This Row],[№]]&amp;"Продажа",РД[Дом]&amp;РД[№ кв]&amp;РД[Состояние],0),1),Таблица4[[#This Row],[Статус]])</f>
        <v>36.659999999999997</v>
      </c>
      <c r="K186" s="233">
        <f>VLOOKUP(Таблица4[[#This Row],[№]],Реестр_Д4[],20,0)</f>
        <v>36.659999999999997</v>
      </c>
      <c r="L186" s="235">
        <f>IFERROR(Таблица4[[#This Row],[S ПП]]-Таблица4[[#This Row],[S ДДУ]],)</f>
        <v>0</v>
      </c>
      <c r="M186" s="235">
        <f>ROUND(_xlfn.XLOOKUP(Таблица4[[#This Row],[№]],Реестр_Д4[№],Реестр_Д4[Итоговая сумма скидки],"",0),2)</f>
        <v>0</v>
      </c>
      <c r="N186" s="235" cm="1">
        <f t="array" ref="N18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6" s="235">
        <f>IFERROR(Таблица4[[#This Row],[ППС]]-Таблица4[[#This Row],[ДДУС]],)</f>
        <v>0</v>
      </c>
      <c r="P186" s="611"/>
      <c r="Q186" s="234">
        <f>VLOOKUP(ППД5!A183,Реестр_Д5[№],1,0)</f>
        <v>182</v>
      </c>
      <c r="R186" s="234" t="str">
        <f>VLOOKUP(ППД5!CH183,Реестр_Д5[Статус],1,0)</f>
        <v>Продажа</v>
      </c>
      <c r="S186" s="612">
        <f>VLOOKUP(ППД5!BZ183,Реестр_Д5[Стоимость ОН без отделки со скидкой],1,0)</f>
        <v>2944726</v>
      </c>
      <c r="T186" s="612" cm="1">
        <f t="array" ref="T186">IFERROR(INDEX(РД[Стоимость без отделки итог],MATCH($Q$3&amp;Таблица10[[#This Row],[№]]&amp;"Продажа",РД[Дом]&amp;РД[№ кв]&amp;РД[Состояние],0),1),Таблица10[[#This Row],[Статус]])</f>
        <v>2944726</v>
      </c>
      <c r="U186" s="235">
        <f>IFERROR((Таблица10[[#This Row],[ПП]]-Таблица10[[#This Row],[ДДУ]])*1,)</f>
        <v>0</v>
      </c>
      <c r="V186" s="235" cm="1">
        <f t="array" ref="V186">IFERROR(INDEX(РД[Стоимость с отделкой итог],MATCH($Q$3&amp;Таблица10[[#This Row],[№]]&amp;"Продажа",РД[Дом]&amp;РД[№ кв]&amp;РД[Состояние],0),1),Таблица10[[#This Row],[Статус]])</f>
        <v>3430326</v>
      </c>
      <c r="W186" s="235">
        <f>_xlfn.XLOOKUP(Таблица10[[#This Row],[№]],Реестр_Д5[№],Реестр_Д5[Стоимость квартиры с отделкой],"-",0)</f>
        <v>3430326.0000000005</v>
      </c>
      <c r="X186" s="235">
        <f>IFERROR(Таблица10[[#This Row],[СО ПП]]-Таблица10[[#This Row],[СО ДДУ]],"")</f>
        <v>4.6566128730773926E-10</v>
      </c>
      <c r="Y186" s="233" cm="1">
        <f t="array" ref="Y186">IFERROR(INDEX(РД[S],MATCH($Q$3&amp;Таблица10[[#This Row],[№]]&amp;"Продажа",РД[Дом]&amp;РД[№ кв]&amp;РД[Состояние],0),1),Таблица10[[#This Row],[Статус]])</f>
        <v>24.28</v>
      </c>
      <c r="Z186" s="233">
        <f>IF(Таблица10[[#This Row],[№]]&amp;"ДДУ"=ППД5!A183&amp;ППД5!CR183,ППД5!U183,ППД5!V183)</f>
        <v>24.28</v>
      </c>
      <c r="AA186" s="285">
        <f>IFERROR(Таблица10[[#This Row],[S ПП]]-Таблица10[[#This Row],[S ДДУ]],)</f>
        <v>0</v>
      </c>
      <c r="AB186" s="235">
        <f>ROUND(_xlfn.XLOOKUP(Таблица10[[#This Row],[№]],Реестр_Д5[№],Реестр_Д5[Итоговая сумма скидки],"",0),2)</f>
        <v>91074</v>
      </c>
      <c r="AC186" s="235" cm="1">
        <f t="array" ref="AC186">IFERROR(ROUND(_xlfn.XLOOKUP($Q$3&amp;Таблица10[[#This Row],[№]]&amp;"Продажа",РД[Дом]&amp;РД[№ кв]&amp;РД[Состояние],РД[Сумма скидки],"",0,-1),2),Таблица10[[#This Row],[Статус]])</f>
        <v>91074</v>
      </c>
      <c r="AD186" s="285">
        <f>IFERROR(Таблица10[[#This Row],[ППС]]-Таблица10[[#This Row],[ДДУС]],)</f>
        <v>0</v>
      </c>
      <c r="AE186" s="611"/>
      <c r="AT186" s="611"/>
      <c r="AU186" s="484">
        <f>VLOOKUP(ППД402!A183,Д402[],1,0)</f>
        <v>182</v>
      </c>
      <c r="AV186" s="484" t="str">
        <f>_xlfn.XLOOKUP(Т402[[#This Row],[№]],Д402[№],Д402[Статус],"-",0)</f>
        <v>Стр. Резерв</v>
      </c>
      <c r="AW186" s="613">
        <f>_xlfn.XLOOKUP(Т402[[#This Row],[№]],Д402[№],Д402[Стоимость ОН без отделки со скидкой],"-",0)</f>
        <v>4797400</v>
      </c>
      <c r="AX186" s="614" t="str" cm="1">
        <f t="array" ref="AX18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6" s="485" t="str">
        <f>IFERROR((Т402[[#This Row],[ПП]]-Т402[[#This Row],[ДДУ]])*1,"")</f>
        <v/>
      </c>
      <c r="AZ186" s="486" t="str" cm="1">
        <f t="array" ref="AZ18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6" s="485">
        <f>_xlfn.XLOOKUP(Т402[[#This Row],[№]],Д402[№],Д402[Стоимость квартиры с отделкой],"-",0)</f>
        <v>4797400</v>
      </c>
      <c r="BB186" s="485" t="str">
        <f>IFERROR(Т402[[#This Row],[СО ПП]]-Т402[[#This Row],[СО ДДУ]],"")</f>
        <v/>
      </c>
      <c r="BC186" s="487" t="str" cm="1">
        <f t="array" ref="BC186">IFERROR(INDEX(РД[S],MATCH($AU$3&amp;Т402[[#This Row],[№]]&amp;"Продажа",РД[Дом]&amp;РД[№ кв]&amp;РД[Состояние],0),1),Т402[[#This Row],[Статус]])</f>
        <v>Стр. Резерв</v>
      </c>
      <c r="BD186" s="483">
        <f>_xlfn.XLOOKUP(Т402[[#This Row],[№]],Д402[№],Д402[Расчетная проектная площадь],"-",0)</f>
        <v>36.64</v>
      </c>
      <c r="BE186" s="485" t="str">
        <f>IFERROR(Т402[[#This Row],[S ПП]]-Т402[[#This Row],[S ДДУ]],"")</f>
        <v/>
      </c>
      <c r="BF186" s="485">
        <f>_xlfn.XLOOKUP(Т402[[#This Row],[№]],Д402[№],Д402[Итоговая сумма скидки],"-",0)</f>
        <v>0</v>
      </c>
      <c r="BG186" s="486" t="str" cm="1">
        <f t="array" ref="BG18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6" s="488" t="str">
        <f>IFERROR(Т402[[#This Row],[ППС]]-Т402[[#This Row],[ДДУС]],"")</f>
        <v/>
      </c>
    </row>
    <row r="187" spans="1:60" x14ac:dyDescent="0.2">
      <c r="A187" s="611"/>
      <c r="B187" s="234">
        <f>VLOOKUP(ППД4!A184,Реестр_Д4[№],1,0)</f>
        <v>183</v>
      </c>
      <c r="C187" s="234" t="str">
        <f>VLOOKUP(ППД4!CO184,Реестр_Д4[Статус],1,0)</f>
        <v>Продажа</v>
      </c>
      <c r="D187" s="612">
        <f>VLOOKUP(ППД4!CE184,Реестр_Д4[Стоимость ОН без отделки со скидкой],1,0)</f>
        <v>5418827.2199999997</v>
      </c>
      <c r="E187" s="612" cm="1">
        <f t="array" ref="E187">IFERROR(INDEX(РД[Стоимость без отделки итог],MATCH($B$3&amp;Таблица4[[#This Row],[№]]&amp;"Продажа",РД[Дом]&amp;РД[№ кв]&amp;РД[Состояние],0),1),Таблица4[[#This Row],[Статус]])</f>
        <v>5418827.2199999997</v>
      </c>
      <c r="F187" s="235">
        <f>IFERROR((Таблица4[[#This Row],[ПП]]-Таблица4[[#This Row],[ДДУ]])*1,"")</f>
        <v>0</v>
      </c>
      <c r="G187" s="235" cm="1">
        <f t="array" ref="G187">IFERROR(INDEX(РД[Стоимость с отделкой итог],MATCH($B$3&amp;Таблица4[[#This Row],[№]]&amp;"Продажа",РД[Дом]&amp;РД[№ кв]&amp;РД[Состояние],0),1),Таблица4[[#This Row],[Статус]])</f>
        <v>5418827.2199999997</v>
      </c>
      <c r="H187" s="235">
        <f>_xlfn.XLOOKUP(Таблица4[[#This Row],[№]],Реестр_Д4[№],Реестр_Д4[Стоимость квартиры с отделкой],"-",0)</f>
        <v>5418827.2199999997</v>
      </c>
      <c r="I187" s="235">
        <f>IFERROR(Таблица4[[#This Row],[СО ПП]]-Таблица4[[#This Row],[СО ДДУ]],"")</f>
        <v>0</v>
      </c>
      <c r="J187" s="233" cm="1">
        <f t="array" ref="J187">IFERROR(INDEX(РД[S],MATCH($B$3&amp;Таблица4[[#This Row],[№]]&amp;"Продажа",РД[Дом]&amp;РД[№ кв]&amp;РД[Состояние],0),1),Таблица4[[#This Row],[Статус]])</f>
        <v>78.73</v>
      </c>
      <c r="K187" s="233">
        <f>VLOOKUP(Таблица4[[#This Row],[№]],Реестр_Д4[],20,0)</f>
        <v>78.73</v>
      </c>
      <c r="L187" s="235">
        <f>IFERROR(Таблица4[[#This Row],[S ПП]]-Таблица4[[#This Row],[S ДДУ]],)</f>
        <v>0</v>
      </c>
      <c r="M187" s="235">
        <f>ROUND(_xlfn.XLOOKUP(Таблица4[[#This Row],[№]],Реестр_Д4[№],Реестр_Д4[Итоговая сумма скидки],"",0),2)</f>
        <v>285201.43</v>
      </c>
      <c r="N187" s="235" cm="1">
        <f t="array" ref="N187">IFERROR(ROUND(_xlfn.XLOOKUP($B$3&amp;Таблица4[[#This Row],[№]]&amp;"Продажа",РД[Дом]&amp;РД[№ кв]&amp;РД[Состояние],РД[Сумма скидки],"",0),2),Таблица4[[#This Row],[Статус]])</f>
        <v>285201.43</v>
      </c>
      <c r="O187" s="235">
        <f>IFERROR(Таблица4[[#This Row],[ППС]]-Таблица4[[#This Row],[ДДУС]],)</f>
        <v>0</v>
      </c>
      <c r="P187" s="611"/>
      <c r="Q187" s="234">
        <f>VLOOKUP(ППД5!A184,Реестр_Д5[№],1,0)</f>
        <v>183</v>
      </c>
      <c r="R187" s="234" t="str">
        <f>VLOOKUP(ППД5!CH184,Реестр_Д5[Статус],1,0)</f>
        <v>Продажа</v>
      </c>
      <c r="S187" s="612">
        <f>VLOOKUP(ППД5!BZ184,Реестр_Д5[Стоимость ОН без отделки со скидкой],1,0)</f>
        <v>5467800</v>
      </c>
      <c r="T187" s="612" cm="1">
        <f t="array" ref="T187">IFERROR(INDEX(РД[Стоимость без отделки итог],MATCH($Q$3&amp;Таблица10[[#This Row],[№]]&amp;"Продажа",РД[Дом]&amp;РД[№ кв]&amp;РД[Состояние],0),1),Таблица10[[#This Row],[Статус]])</f>
        <v>5467800</v>
      </c>
      <c r="U187" s="235">
        <f>IFERROR((Таблица10[[#This Row],[ПП]]-Таблица10[[#This Row],[ДДУ]])*1,)</f>
        <v>0</v>
      </c>
      <c r="V187" s="235" cm="1">
        <f t="array" ref="V187">IFERROR(INDEX(РД[Стоимость с отделкой итог],MATCH($Q$3&amp;Таблица10[[#This Row],[№]]&amp;"Продажа",РД[Дом]&amp;РД[№ кв]&amp;РД[Состояние],0),1),Таблица10[[#This Row],[Статус]])</f>
        <v>6619800</v>
      </c>
      <c r="W187" s="235">
        <f>_xlfn.XLOOKUP(Таблица10[[#This Row],[№]],Реестр_Д5[№],Реестр_Д5[Стоимость квартиры с отделкой],"-",0)</f>
        <v>6619800</v>
      </c>
      <c r="X187" s="235">
        <f>IFERROR(Таблица10[[#This Row],[СО ПП]]-Таблица10[[#This Row],[СО ДДУ]],"")</f>
        <v>0</v>
      </c>
      <c r="Y187" s="233" cm="1">
        <f t="array" ref="Y187">IFERROR(INDEX(РД[S],MATCH($Q$3&amp;Таблица10[[#This Row],[№]]&amp;"Продажа",РД[Дом]&amp;РД[№ кв]&amp;РД[Состояние],0),1),Таблица10[[#This Row],[Статус]])</f>
        <v>57.6</v>
      </c>
      <c r="Z187" s="233">
        <f>IF(Таблица10[[#This Row],[№]]&amp;"ДДУ"=ППД5!A184&amp;ППД5!CR184,ППД5!U184,ППД5!V184)</f>
        <v>57.6</v>
      </c>
      <c r="AA187" s="285">
        <f>IFERROR(Таблица10[[#This Row],[S ПП]]-Таблица10[[#This Row],[S ДДУ]],)</f>
        <v>0</v>
      </c>
      <c r="AB187" s="235">
        <f>ROUND(_xlfn.XLOOKUP(Таблица10[[#This Row],[№]],Реестр_Д5[№],Реестр_Д5[Итоговая сумма скидки],"",0),2)</f>
        <v>0</v>
      </c>
      <c r="AC187" s="235" cm="1">
        <f t="array" ref="AC18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7" s="285">
        <f>IFERROR(Таблица10[[#This Row],[ППС]]-Таблица10[[#This Row],[ДДУС]],)</f>
        <v>0</v>
      </c>
      <c r="AE187" s="611"/>
      <c r="AT187" s="611"/>
      <c r="AU187" s="484">
        <f>VLOOKUP(ППД402!A184,Д402[],1,0)</f>
        <v>183</v>
      </c>
      <c r="AV187" s="484" t="str">
        <f>_xlfn.XLOOKUP(Т402[[#This Row],[№]],Д402[№],Д402[Статус],"-",0)</f>
        <v>Стр. Резерв</v>
      </c>
      <c r="AW187" s="613">
        <f>_xlfn.XLOOKUP(Т402[[#This Row],[№]],Д402[№],Д402[Стоимость ОН без отделки со скидкой],"-",0)</f>
        <v>6873400</v>
      </c>
      <c r="AX187" s="614" t="str" cm="1">
        <f t="array" ref="AX18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7" s="485" t="str">
        <f>IFERROR((Т402[[#This Row],[ПП]]-Т402[[#This Row],[ДДУ]])*1,"")</f>
        <v/>
      </c>
      <c r="AZ187" s="486" t="str" cm="1">
        <f t="array" ref="AZ18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7" s="485">
        <f>_xlfn.XLOOKUP(Т402[[#This Row],[№]],Д402[№],Д402[Стоимость квартиры с отделкой],"-",0)</f>
        <v>6873400</v>
      </c>
      <c r="BB187" s="485" t="str">
        <f>IFERROR(Т402[[#This Row],[СО ПП]]-Т402[[#This Row],[СО ДДУ]],"")</f>
        <v/>
      </c>
      <c r="BC187" s="487" t="str" cm="1">
        <f t="array" ref="BC187">IFERROR(INDEX(РД[S],MATCH($AU$3&amp;Т402[[#This Row],[№]]&amp;"Продажа",РД[Дом]&amp;РД[№ кв]&amp;РД[Состояние],0),1),Т402[[#This Row],[Статус]])</f>
        <v>Стр. Резерв</v>
      </c>
      <c r="BD187" s="483">
        <f>_xlfn.XLOOKUP(Т402[[#This Row],[№]],Д402[№],Д402[Расчетная проектная площадь],"-",0)</f>
        <v>56.99</v>
      </c>
      <c r="BE187" s="485" t="str">
        <f>IFERROR(Т402[[#This Row],[S ПП]]-Т402[[#This Row],[S ДДУ]],"")</f>
        <v/>
      </c>
      <c r="BF187" s="485">
        <f>_xlfn.XLOOKUP(Т402[[#This Row],[№]],Д402[№],Д402[Итоговая сумма скидки],"-",0)</f>
        <v>0</v>
      </c>
      <c r="BG187" s="486" t="str" cm="1">
        <f t="array" ref="BG18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7" s="488" t="str">
        <f>IFERROR(Т402[[#This Row],[ППС]]-Т402[[#This Row],[ДДУС]],"")</f>
        <v/>
      </c>
    </row>
    <row r="188" spans="1:60" x14ac:dyDescent="0.2">
      <c r="A188" s="611"/>
      <c r="B188" s="234">
        <f>VLOOKUP(ППД4!A185,Реестр_Д4[№],1,0)</f>
        <v>184</v>
      </c>
      <c r="C188" s="234" t="str">
        <f>VLOOKUP(ППД4!CO185,Реестр_Д4[Статус],1,0)</f>
        <v>Продажа</v>
      </c>
      <c r="D188" s="612">
        <f>VLOOKUP(ППД4!CE185,Реестр_Д4[Стоимость ОН без отделки со скидкой],1,0)</f>
        <v>2478299.85</v>
      </c>
      <c r="E188" s="612" cm="1">
        <f t="array" ref="E188">IFERROR(INDEX(РД[Стоимость без отделки итог],MATCH($B$3&amp;Таблица4[[#This Row],[№]]&amp;"Продажа",РД[Дом]&amp;РД[№ кв]&amp;РД[Состояние],0),1),Таблица4[[#This Row],[Статус]])</f>
        <v>2478299.85</v>
      </c>
      <c r="F188" s="235">
        <f>IFERROR((Таблица4[[#This Row],[ПП]]-Таблица4[[#This Row],[ДДУ]])*1,"")</f>
        <v>0</v>
      </c>
      <c r="G188" s="235" cm="1">
        <f t="array" ref="G188">IFERROR(INDEX(РД[Стоимость с отделкой итог],MATCH($B$3&amp;Таблица4[[#This Row],[№]]&amp;"Продажа",РД[Дом]&amp;РД[№ кв]&amp;РД[Состояние],0),1),Таблица4[[#This Row],[Статус]])</f>
        <v>2731724.85</v>
      </c>
      <c r="H188" s="235">
        <f>_xlfn.XLOOKUP(Таблица4[[#This Row],[№]],Реестр_Д4[№],Реестр_Д4[Стоимость квартиры с отделкой],"-",0)</f>
        <v>2731724.85</v>
      </c>
      <c r="I188" s="235">
        <f>IFERROR(Таблица4[[#This Row],[СО ПП]]-Таблица4[[#This Row],[СО ДДУ]],"")</f>
        <v>0</v>
      </c>
      <c r="J188" s="233" cm="1">
        <f t="array" ref="J188">IFERROR(INDEX(РД[S],MATCH($B$3&amp;Таблица4[[#This Row],[№]]&amp;"Продажа",РД[Дом]&amp;РД[№ кв]&amp;РД[Состояние],0),1),Таблица4[[#This Row],[Статус]])</f>
        <v>33.79</v>
      </c>
      <c r="K188" s="233">
        <f>VLOOKUP(Таблица4[[#This Row],[№]],Реестр_Д4[],20,0)</f>
        <v>33.79</v>
      </c>
      <c r="L188" s="235">
        <f>IFERROR(Таблица4[[#This Row],[S ПП]]-Таблица4[[#This Row],[S ДДУ]],)</f>
        <v>0</v>
      </c>
      <c r="M188" s="235">
        <f>ROUND(_xlfn.XLOOKUP(Таблица4[[#This Row],[№]],Реестр_Д4[№],Реестр_Д4[Итоговая сумма скидки],"",0),2)</f>
        <v>130436.83</v>
      </c>
      <c r="N188" s="235" cm="1">
        <f t="array" ref="N188">IFERROR(ROUND(_xlfn.XLOOKUP($B$3&amp;Таблица4[[#This Row],[№]]&amp;"Продажа",РД[Дом]&amp;РД[№ кв]&amp;РД[Состояние],РД[Сумма скидки],"",0),2),Таблица4[[#This Row],[Статус]])</f>
        <v>130436.83</v>
      </c>
      <c r="O188" s="235">
        <f>IFERROR(Таблица4[[#This Row],[ППС]]-Таблица4[[#This Row],[ДДУС]],)</f>
        <v>0</v>
      </c>
      <c r="P188" s="611"/>
      <c r="Q188" s="234">
        <f>VLOOKUP(ППД5!A185,Реестр_Д5[№],1,0)</f>
        <v>184</v>
      </c>
      <c r="R188" s="234" t="str">
        <f>VLOOKUP(ППД5!CH185,Реестр_Д5[Статус],1,0)</f>
        <v>Продажа</v>
      </c>
      <c r="S188" s="612">
        <f>VLOOKUP(ППД5!BZ185,Реестр_Д5[Стоимость ОН без отделки со скидкой],1,0)</f>
        <v>7063644</v>
      </c>
      <c r="T188" s="612" cm="1">
        <f t="array" ref="T188">IFERROR(INDEX(РД[Стоимость без отделки итог],MATCH($Q$3&amp;Таблица10[[#This Row],[№]]&amp;"Продажа",РД[Дом]&amp;РД[№ кв]&amp;РД[Состояние],0),1),Таблица10[[#This Row],[Статус]])</f>
        <v>7063644</v>
      </c>
      <c r="U188" s="235">
        <f>IFERROR((Таблица10[[#This Row],[ПП]]-Таблица10[[#This Row],[ДДУ]])*1,)</f>
        <v>0</v>
      </c>
      <c r="V188" s="235" cm="1">
        <f t="array" ref="V188">IFERROR(INDEX(РД[Стоимость с отделкой итог],MATCH($Q$3&amp;Таблица10[[#This Row],[№]]&amp;"Продажа",РД[Дом]&amp;РД[№ кв]&amp;РД[Состояние],0),1),Таблица10[[#This Row],[Статус]])</f>
        <v>7530124</v>
      </c>
      <c r="W188" s="235">
        <f>_xlfn.XLOOKUP(Таблица10[[#This Row],[№]],Реестр_Д5[№],Реестр_Д5[Стоимость квартиры с отделкой],"-",0)</f>
        <v>7530124</v>
      </c>
      <c r="X188" s="235">
        <f>IFERROR(Таблица10[[#This Row],[СО ПП]]-Таблица10[[#This Row],[СО ДДУ]],"")</f>
        <v>0</v>
      </c>
      <c r="Y188" s="233" cm="1">
        <f t="array" ref="Y188">IFERROR(INDEX(РД[S],MATCH($Q$3&amp;Таблица10[[#This Row],[№]]&amp;"Продажа",РД[Дом]&amp;РД[№ кв]&amp;РД[Состояние],0),1),Таблица10[[#This Row],[Статус]])</f>
        <v>58.31</v>
      </c>
      <c r="Z188" s="233">
        <f>IF(Таблица10[[#This Row],[№]]&amp;"ДДУ"=ППД5!A185&amp;ППД5!CR185,ППД5!U185,ППД5!V185)</f>
        <v>58.31</v>
      </c>
      <c r="AA188" s="285">
        <f>IFERROR(Таблица10[[#This Row],[S ПП]]-Таблица10[[#This Row],[S ДДУ]],)</f>
        <v>0</v>
      </c>
      <c r="AB188" s="235">
        <f>ROUND(_xlfn.XLOOKUP(Таблица10[[#This Row],[№]],Реестр_Д5[№],Реестр_Д5[Итоговая сумма скидки],"",0),2)</f>
        <v>144156</v>
      </c>
      <c r="AC188" s="235" cm="1">
        <f t="array" ref="AC188">IFERROR(ROUND(_xlfn.XLOOKUP($Q$3&amp;Таблица10[[#This Row],[№]]&amp;"Продажа",РД[Дом]&amp;РД[№ кв]&amp;РД[Состояние],РД[Сумма скидки],"",0,-1),2),Таблица10[[#This Row],[Статус]])</f>
        <v>144156</v>
      </c>
      <c r="AD188" s="285">
        <f>IFERROR(Таблица10[[#This Row],[ППС]]-Таблица10[[#This Row],[ДДУС]],)</f>
        <v>0</v>
      </c>
      <c r="AE188" s="611"/>
      <c r="AT188" s="611"/>
      <c r="AU188" s="484">
        <f>VLOOKUP(ППД402!A185,Д402[],1,0)</f>
        <v>184</v>
      </c>
      <c r="AV188" s="484" t="str">
        <f>_xlfn.XLOOKUP(Т402[[#This Row],[№]],Д402[№],Д402[Статус],"-",0)</f>
        <v>Стр. Резерв</v>
      </c>
      <c r="AW188" s="613">
        <f>_xlfn.XLOOKUP(Т402[[#This Row],[№]],Д402[№],Д402[Стоимость ОН без отделки со скидкой],"-",0)</f>
        <v>4719700</v>
      </c>
      <c r="AX188" s="614" t="str" cm="1">
        <f t="array" ref="AX18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88" s="485" t="str">
        <f>IFERROR((Т402[[#This Row],[ПП]]-Т402[[#This Row],[ДДУ]])*1,"")</f>
        <v/>
      </c>
      <c r="AZ188" s="486" t="str" cm="1">
        <f t="array" ref="AZ18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88" s="485">
        <f>_xlfn.XLOOKUP(Т402[[#This Row],[№]],Д402[№],Д402[Стоимость квартиры с отделкой],"-",0)</f>
        <v>4719700</v>
      </c>
      <c r="BB188" s="485" t="str">
        <f>IFERROR(Т402[[#This Row],[СО ПП]]-Т402[[#This Row],[СО ДДУ]],"")</f>
        <v/>
      </c>
      <c r="BC188" s="487" t="str" cm="1">
        <f t="array" ref="BC188">IFERROR(INDEX(РД[S],MATCH($AU$3&amp;Т402[[#This Row],[№]]&amp;"Продажа",РД[Дом]&amp;РД[№ кв]&amp;РД[Состояние],0),1),Т402[[#This Row],[Статус]])</f>
        <v>Стр. Резерв</v>
      </c>
      <c r="BD188" s="483">
        <f>_xlfn.XLOOKUP(Т402[[#This Row],[№]],Д402[№],Д402[Расчетная проектная площадь],"-",0)</f>
        <v>36.39</v>
      </c>
      <c r="BE188" s="485" t="str">
        <f>IFERROR(Т402[[#This Row],[S ПП]]-Т402[[#This Row],[S ДДУ]],"")</f>
        <v/>
      </c>
      <c r="BF188" s="485">
        <f>_xlfn.XLOOKUP(Т402[[#This Row],[№]],Д402[№],Д402[Итоговая сумма скидки],"-",0)</f>
        <v>0</v>
      </c>
      <c r="BG188" s="486" t="str" cm="1">
        <f t="array" ref="BG18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88" s="488" t="str">
        <f>IFERROR(Т402[[#This Row],[ППС]]-Т402[[#This Row],[ДДУС]],"")</f>
        <v/>
      </c>
    </row>
    <row r="189" spans="1:60" x14ac:dyDescent="0.2">
      <c r="A189" s="611"/>
      <c r="B189" s="234">
        <f>VLOOKUP(ППД4!A186,Реестр_Д4[№],1,0)</f>
        <v>185</v>
      </c>
      <c r="C189" s="234" t="str">
        <f>VLOOKUP(ППД4!CO186,Реестр_Д4[Статус],1,0)</f>
        <v>Продажа</v>
      </c>
      <c r="D189" s="612">
        <f>VLOOKUP(ППД4!CE186,Реестр_Д4[Стоимость ОН без отделки со скидкой],1,0)</f>
        <v>2487848</v>
      </c>
      <c r="E189" s="612" cm="1">
        <f t="array" ref="E189">IFERROR(INDEX(РД[Стоимость без отделки итог],MATCH($B$3&amp;Таблица4[[#This Row],[№]]&amp;"Продажа",РД[Дом]&amp;РД[№ кв]&amp;РД[Состояние],0),1),Таблица4[[#This Row],[Статус]])</f>
        <v>2487848.0000000005</v>
      </c>
      <c r="F189" s="235">
        <f>IFERROR((Таблица4[[#This Row],[ПП]]-Таблица4[[#This Row],[ДДУ]])*1,"")</f>
        <v>-4.6566128730773926E-10</v>
      </c>
      <c r="G189" s="235" cm="1">
        <f t="array" ref="G189">IFERROR(INDEX(РД[Стоимость с отделкой итог],MATCH($B$3&amp;Таблица4[[#This Row],[№]]&amp;"Продажа",РД[Дом]&amp;РД[№ кв]&amp;РД[Состояние],0),1),Таблица4[[#This Row],[Статус]])</f>
        <v>2603728</v>
      </c>
      <c r="H189" s="235">
        <f>_xlfn.XLOOKUP(Таблица4[[#This Row],[№]],Реестр_Д4[№],Реестр_Д4[Стоимость квартиры с отделкой],"-",0)</f>
        <v>2603728</v>
      </c>
      <c r="I189" s="235">
        <f>IFERROR(Таблица4[[#This Row],[СО ПП]]-Таблица4[[#This Row],[СО ДДУ]],"")</f>
        <v>0</v>
      </c>
      <c r="J189" s="233" cm="1">
        <f t="array" ref="J189">IFERROR(INDEX(РД[S],MATCH($B$3&amp;Таблица4[[#This Row],[№]]&amp;"Продажа",РД[Дом]&amp;РД[№ кв]&amp;РД[Состояние],0),1),Таблица4[[#This Row],[Статус]])</f>
        <v>28.97</v>
      </c>
      <c r="K189" s="233">
        <f>VLOOKUP(Таблица4[[#This Row],[№]],Реестр_Д4[],20,0)</f>
        <v>28.97</v>
      </c>
      <c r="L189" s="235">
        <f>IFERROR(Таблица4[[#This Row],[S ПП]]-Таблица4[[#This Row],[S ДДУ]],)</f>
        <v>0</v>
      </c>
      <c r="M189" s="235">
        <f>ROUND(_xlfn.XLOOKUP(Таблица4[[#This Row],[№]],Реестр_Д4[№],Реестр_Д4[Итоговая сумма скидки],"",0),2)</f>
        <v>0</v>
      </c>
      <c r="N189" s="235" cm="1">
        <f t="array" ref="N18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89" s="235">
        <f>IFERROR(Таблица4[[#This Row],[ППС]]-Таблица4[[#This Row],[ДДУС]],)</f>
        <v>0</v>
      </c>
      <c r="P189" s="611"/>
      <c r="Q189" s="234">
        <f>VLOOKUP(ППД5!A186,Реестр_Д5[№],1,0)</f>
        <v>185</v>
      </c>
      <c r="R189" s="234" t="str">
        <f>VLOOKUP(ППД5!CH186,Реестр_Д5[Статус],1,0)</f>
        <v>Продажа</v>
      </c>
      <c r="S189" s="612">
        <f>VLOOKUP(ППД5!BZ186,Реестр_Д5[Стоимость ОН без отделки со скидкой],1,0)</f>
        <v>3935800</v>
      </c>
      <c r="T189" s="612" cm="1">
        <f t="array" ref="T189">IFERROR(INDEX(РД[Стоимость без отделки итог],MATCH($Q$3&amp;Таблица10[[#This Row],[№]]&amp;"Продажа",РД[Дом]&amp;РД[№ кв]&amp;РД[Состояние],0),1),Таблица10[[#This Row],[Статус]])</f>
        <v>3935800</v>
      </c>
      <c r="U189" s="235">
        <f>IFERROR((Таблица10[[#This Row],[ПП]]-Таблица10[[#This Row],[ДДУ]])*1,)</f>
        <v>0</v>
      </c>
      <c r="V189" s="235" cm="1">
        <f t="array" ref="V189">IFERROR(INDEX(РД[Стоимость с отделкой итог],MATCH($Q$3&amp;Таблица10[[#This Row],[№]]&amp;"Продажа",РД[Дом]&amp;РД[№ кв]&amp;РД[Состояние],0),1),Таблица10[[#This Row],[Статус]])</f>
        <v>4768720</v>
      </c>
      <c r="W189" s="235">
        <f>_xlfn.XLOOKUP(Таблица10[[#This Row],[№]],Реестр_Д5[№],Реестр_Д5[Стоимость квартиры с отделкой],"-",0)</f>
        <v>4768720</v>
      </c>
      <c r="X189" s="235">
        <f>IFERROR(Таблица10[[#This Row],[СО ПП]]-Таблица10[[#This Row],[СО ДДУ]],"")</f>
        <v>0</v>
      </c>
      <c r="Y189" s="233" cm="1">
        <f t="array" ref="Y189">IFERROR(INDEX(РД[S],MATCH($Q$3&amp;Таблица10[[#This Row],[№]]&amp;"Продажа",РД[Дом]&amp;РД[№ кв]&amp;РД[Состояние],0),1),Таблица10[[#This Row],[Статус]])</f>
        <v>37.86</v>
      </c>
      <c r="Z189" s="233">
        <f>IF(Таблица10[[#This Row],[№]]&amp;"ДДУ"=ППД5!A186&amp;ППД5!CR186,ППД5!U186,ППД5!V186)</f>
        <v>37.86</v>
      </c>
      <c r="AA189" s="285">
        <f>IFERROR(Таблица10[[#This Row],[S ПП]]-Таблица10[[#This Row],[S ДДУ]],)</f>
        <v>0</v>
      </c>
      <c r="AB189" s="235">
        <f>ROUND(_xlfn.XLOOKUP(Таблица10[[#This Row],[№]],Реестр_Д5[№],Реестр_Д5[Итоговая сумма скидки],"",0),2)</f>
        <v>0</v>
      </c>
      <c r="AC189" s="235" cm="1">
        <f t="array" ref="AC18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89" s="285">
        <f>IFERROR(Таблица10[[#This Row],[ППС]]-Таблица10[[#This Row],[ДДУС]],)</f>
        <v>0</v>
      </c>
      <c r="AE189" s="611"/>
      <c r="AT189" s="611"/>
      <c r="AU189" s="484">
        <f>VLOOKUP(ППД402!A186,Д402[],1,0)</f>
        <v>185</v>
      </c>
      <c r="AV189" s="484" t="str">
        <f>_xlfn.XLOOKUP(Т402[[#This Row],[№]],Д402[№],Д402[Статус],"-",0)</f>
        <v>Свободно</v>
      </c>
      <c r="AW189" s="613">
        <f>_xlfn.XLOOKUP(Т402[[#This Row],[№]],Д402[№],Д402[Стоимость ОН без отделки со скидкой],"-",0)</f>
        <v>8649800</v>
      </c>
      <c r="AX189" s="614" t="str" cm="1">
        <f t="array" ref="AX189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189" s="485" t="str">
        <f>IFERROR((Т402[[#This Row],[ПП]]-Т402[[#This Row],[ДДУ]])*1,"")</f>
        <v/>
      </c>
      <c r="AZ189" s="486" t="str" cm="1">
        <f t="array" ref="AZ189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189" s="485">
        <f>_xlfn.XLOOKUP(Т402[[#This Row],[№]],Д402[№],Д402[Стоимость квартиры с отделкой],"-",0)</f>
        <v>8649800</v>
      </c>
      <c r="BB189" s="485" t="str">
        <f>IFERROR(Т402[[#This Row],[СО ПП]]-Т402[[#This Row],[СО ДДУ]],"")</f>
        <v/>
      </c>
      <c r="BC189" s="487" t="str" cm="1">
        <f t="array" ref="BC189">IFERROR(INDEX(РД[S],MATCH($AU$3&amp;Т402[[#This Row],[№]]&amp;"Продажа",РД[Дом]&amp;РД[№ кв]&amp;РД[Состояние],0),1),Т402[[#This Row],[Статус]])</f>
        <v>Свободно</v>
      </c>
      <c r="BD189" s="483">
        <f>_xlfn.XLOOKUP(Т402[[#This Row],[№]],Д402[№],Д402[Расчетная проектная площадь],"-",0)</f>
        <v>78.16</v>
      </c>
      <c r="BE189" s="485" t="str">
        <f>IFERROR(Т402[[#This Row],[S ПП]]-Т402[[#This Row],[S ДДУ]],"")</f>
        <v/>
      </c>
      <c r="BF189" s="485">
        <f>_xlfn.XLOOKUP(Т402[[#This Row],[№]],Д402[№],Д402[Итоговая сумма скидки],"-",0)</f>
        <v>0</v>
      </c>
      <c r="BG189" s="486" t="str" cm="1">
        <f t="array" ref="BG189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189" s="488" t="str">
        <f>IFERROR(Т402[[#This Row],[ППС]]-Т402[[#This Row],[ДДУС]],"")</f>
        <v/>
      </c>
    </row>
    <row r="190" spans="1:60" x14ac:dyDescent="0.2">
      <c r="A190" s="611"/>
      <c r="B190" s="234">
        <f>VLOOKUP(ППД4!A187,Реестр_Д4[№],1,0)</f>
        <v>186</v>
      </c>
      <c r="C190" s="234" t="str">
        <f>VLOOKUP(ППД4!CO187,Реестр_Д4[Статус],1,0)</f>
        <v>Продажа</v>
      </c>
      <c r="D190" s="612">
        <f>VLOOKUP(ППД4!CE187,Реестр_Д4[Стоимость ОН без отделки со скидкой],1,0)</f>
        <v>5564980.4400000004</v>
      </c>
      <c r="E190" s="612" cm="1">
        <f t="array" ref="E190">IFERROR(INDEX(РД[Стоимость без отделки итог],MATCH($B$3&amp;Таблица4[[#This Row],[№]]&amp;"Продажа",РД[Дом]&amp;РД[№ кв]&amp;РД[Состояние],0),1),Таблица4[[#This Row],[Статус]])</f>
        <v>5564980.4400000004</v>
      </c>
      <c r="F190" s="235">
        <f>IFERROR((Таблица4[[#This Row],[ПП]]-Таблица4[[#This Row],[ДДУ]])*1,"")</f>
        <v>0</v>
      </c>
      <c r="G190" s="235" cm="1">
        <f t="array" ref="G190">IFERROR(INDEX(РД[Стоимость с отделкой итог],MATCH($B$3&amp;Таблица4[[#This Row],[№]]&amp;"Продажа",РД[Дом]&amp;РД[№ кв]&amp;РД[Состояние],0),1),Таблица4[[#This Row],[Статус]])</f>
        <v>5839980.4400000004</v>
      </c>
      <c r="H190" s="235">
        <f>_xlfn.XLOOKUP(Таблица4[[#This Row],[№]],Реестр_Д4[№],Реестр_Д4[Стоимость квартиры с отделкой],"-",0)</f>
        <v>5839980.4400000004</v>
      </c>
      <c r="I190" s="235">
        <f>IFERROR(Таблица4[[#This Row],[СО ПП]]-Таблица4[[#This Row],[СО ДДУ]],"")</f>
        <v>0</v>
      </c>
      <c r="J190" s="233" cm="1">
        <f t="array" ref="J190">IFERROR(INDEX(РД[S],MATCH($B$3&amp;Таблица4[[#This Row],[№]]&amp;"Продажа",РД[Дом]&amp;РД[№ кв]&amp;РД[Состояние],0),1),Таблица4[[#This Row],[Статус]])</f>
        <v>68.75</v>
      </c>
      <c r="K190" s="233">
        <f>VLOOKUP(Таблица4[[#This Row],[№]],Реестр_Д4[],20,0)</f>
        <v>68.75</v>
      </c>
      <c r="L190" s="235">
        <f>IFERROR(Таблица4[[#This Row],[S ПП]]-Таблица4[[#This Row],[S ДДУ]],)</f>
        <v>0</v>
      </c>
      <c r="M190" s="235">
        <f>ROUND(_xlfn.XLOOKUP(Таблица4[[#This Row],[№]],Реестр_Д4[№],Реестр_Д4[Итоговая сумма скидки],"",0),2)</f>
        <v>0</v>
      </c>
      <c r="N190" s="235" cm="1">
        <f t="array" ref="N19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0" s="235">
        <f>IFERROR(Таблица4[[#This Row],[ППС]]-Таблица4[[#This Row],[ДДУС]],)</f>
        <v>0</v>
      </c>
      <c r="P190" s="611"/>
      <c r="Q190" s="234">
        <f>VLOOKUP(ППД5!A187,Реестр_Д5[№],1,0)</f>
        <v>186</v>
      </c>
      <c r="R190" s="234" t="str">
        <f>VLOOKUP(ППД5!CH187,Реестр_Д5[Статус],1,0)</f>
        <v>Продажа</v>
      </c>
      <c r="S190" s="612">
        <f>VLOOKUP(ППД5!BZ187,Реестр_Д5[Стоимость ОН без отделки со скидкой],1,0)</f>
        <v>8500000</v>
      </c>
      <c r="T190" s="612" cm="1">
        <f t="array" ref="T190">IFERROR(INDEX(РД[Стоимость без отделки итог],MATCH($Q$3&amp;Таблица10[[#This Row],[№]]&amp;"Продажа",РД[Дом]&amp;РД[№ кв]&amp;РД[Состояние],0),1),Таблица10[[#This Row],[Статус]])</f>
        <v>8500000</v>
      </c>
      <c r="U190" s="235">
        <f>IFERROR((Таблица10[[#This Row],[ПП]]-Таблица10[[#This Row],[ДДУ]])*1,)</f>
        <v>0</v>
      </c>
      <c r="V190" s="235" cm="1">
        <f t="array" ref="V190">IFERROR(INDEX(РД[Стоимость с отделкой итог],MATCH($Q$3&amp;Таблица10[[#This Row],[№]]&amp;"Продажа",РД[Дом]&amp;РД[№ кв]&amp;РД[Состояние],0),1),Таблица10[[#This Row],[Статус]])</f>
        <v>8500000</v>
      </c>
      <c r="W190" s="235">
        <f>_xlfn.XLOOKUP(Таблица10[[#This Row],[№]],Реестр_Д5[№],Реестр_Д5[Стоимость квартиры с отделкой],"-",0)</f>
        <v>8500000</v>
      </c>
      <c r="X190" s="235">
        <f>IFERROR(Таблица10[[#This Row],[СО ПП]]-Таблица10[[#This Row],[СО ДДУ]],"")</f>
        <v>0</v>
      </c>
      <c r="Y190" s="233" cm="1">
        <f t="array" ref="Y190">IFERROR(INDEX(РД[S],MATCH($Q$3&amp;Таблица10[[#This Row],[№]]&amp;"Продажа",РД[Дом]&amp;РД[№ кв]&amp;РД[Состояние],0),1),Таблица10[[#This Row],[Статус]])</f>
        <v>84.99</v>
      </c>
      <c r="Z190" s="233">
        <f>IF(Таблица10[[#This Row],[№]]&amp;"ДДУ"=ППД5!A187&amp;ППД5!CR187,ППД5!U187,ППД5!V187)</f>
        <v>84.99</v>
      </c>
      <c r="AA190" s="285">
        <f>IFERROR(Таблица10[[#This Row],[S ПП]]-Таблица10[[#This Row],[S ДДУ]],)</f>
        <v>0</v>
      </c>
      <c r="AB190" s="235">
        <f>ROUND(_xlfn.XLOOKUP(Таблица10[[#This Row],[№]],Реестр_Д5[№],Реестр_Д5[Итоговая сумма скидки],"",0),2)</f>
        <v>936800</v>
      </c>
      <c r="AC190" s="235" cm="1">
        <f t="array" ref="AC190">IFERROR(ROUND(_xlfn.XLOOKUP($Q$3&amp;Таблица10[[#This Row],[№]]&amp;"Продажа",РД[Дом]&amp;РД[№ кв]&amp;РД[Состояние],РД[Сумма скидки],"",0,-1),2),Таблица10[[#This Row],[Статус]])</f>
        <v>936800</v>
      </c>
      <c r="AD190" s="285">
        <f>IFERROR(Таблица10[[#This Row],[ППС]]-Таблица10[[#This Row],[ДДУС]],)</f>
        <v>0</v>
      </c>
      <c r="AE190" s="611"/>
      <c r="AT190" s="611"/>
      <c r="AU190" s="484">
        <f>VLOOKUP(ППД402!A187,Д402[],1,0)</f>
        <v>186</v>
      </c>
      <c r="AV190" s="484" t="str">
        <f>_xlfn.XLOOKUP(Т402[[#This Row],[№]],Д402[№],Д402[Статус],"-",0)</f>
        <v>Стр. Резерв</v>
      </c>
      <c r="AW190" s="613">
        <f>_xlfn.XLOOKUP(Т402[[#This Row],[№]],Д402[№],Д402[Стоимость ОН без отделки со скидкой],"-",0)</f>
        <v>4190900</v>
      </c>
      <c r="AX190" s="614" t="str" cm="1">
        <f t="array" ref="AX19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0" s="485" t="str">
        <f>IFERROR((Т402[[#This Row],[ПП]]-Т402[[#This Row],[ДДУ]])*1,"")</f>
        <v/>
      </c>
      <c r="AZ190" s="486" t="str" cm="1">
        <f t="array" ref="AZ19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0" s="485">
        <f>_xlfn.XLOOKUP(Т402[[#This Row],[№]],Д402[№],Д402[Стоимость квартиры с отделкой],"-",0)</f>
        <v>4190900</v>
      </c>
      <c r="BB190" s="485" t="str">
        <f>IFERROR(Т402[[#This Row],[СО ПП]]-Т402[[#This Row],[СО ДДУ]],"")</f>
        <v/>
      </c>
      <c r="BC190" s="487" t="str" cm="1">
        <f t="array" ref="BC190">IFERROR(INDEX(РД[S],MATCH($AU$3&amp;Т402[[#This Row],[№]]&amp;"Продажа",РД[Дом]&amp;РД[№ кв]&amp;РД[Состояние],0),1),Т402[[#This Row],[Статус]])</f>
        <v>Стр. Резерв</v>
      </c>
      <c r="BD190" s="483">
        <f>_xlfn.XLOOKUP(Т402[[#This Row],[№]],Д402[№],Д402[Расчетная проектная площадь],"-",0)</f>
        <v>29.73</v>
      </c>
      <c r="BE190" s="485" t="str">
        <f>IFERROR(Т402[[#This Row],[S ПП]]-Т402[[#This Row],[S ДДУ]],"")</f>
        <v/>
      </c>
      <c r="BF190" s="485">
        <f>_xlfn.XLOOKUP(Т402[[#This Row],[№]],Д402[№],Д402[Итоговая сумма скидки],"-",0)</f>
        <v>0</v>
      </c>
      <c r="BG190" s="486" t="str" cm="1">
        <f t="array" ref="BG19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0" s="488" t="str">
        <f>IFERROR(Т402[[#This Row],[ППС]]-Т402[[#This Row],[ДДУС]],"")</f>
        <v/>
      </c>
    </row>
    <row r="191" spans="1:60" x14ac:dyDescent="0.2">
      <c r="A191" s="611"/>
      <c r="B191" s="234">
        <f>VLOOKUP(ППД4!A188,Реестр_Д4[№],1,0)</f>
        <v>187</v>
      </c>
      <c r="C191" s="234" t="str">
        <f>VLOOKUP(ППД4!CO188,Реестр_Д4[Статус],1,0)</f>
        <v>Продажа</v>
      </c>
      <c r="D191" s="612">
        <f>VLOOKUP(ППД4!CE188,Реестр_Д4[Стоимость ОН без отделки со скидкой],1,0)</f>
        <v>3071480.38</v>
      </c>
      <c r="E191" s="612" cm="1">
        <f t="array" ref="E191">IFERROR(INDEX(РД[Стоимость без отделки итог],MATCH($B$3&amp;Таблица4[[#This Row],[№]]&amp;"Продажа",РД[Дом]&amp;РД[№ кв]&amp;РД[Состояние],0),1),Таблица4[[#This Row],[Статус]])</f>
        <v>3071480.38</v>
      </c>
      <c r="F191" s="235">
        <f>IFERROR((Таблица4[[#This Row],[ПП]]-Таблица4[[#This Row],[ДДУ]])*1,"")</f>
        <v>0</v>
      </c>
      <c r="G191" s="235" cm="1">
        <f t="array" ref="G191">IFERROR(INDEX(РД[Стоимость с отделкой итог],MATCH($B$3&amp;Таблица4[[#This Row],[№]]&amp;"Продажа",РД[Дом]&amp;РД[№ кв]&amp;РД[Состояние],0),1),Таблица4[[#This Row],[Статус]])</f>
        <v>3213000.38</v>
      </c>
      <c r="H191" s="235">
        <f>_xlfn.XLOOKUP(Таблица4[[#This Row],[№]],Реестр_Д4[№],Реестр_Д4[Стоимость квартиры с отделкой],"-",0)</f>
        <v>3213000.38</v>
      </c>
      <c r="I191" s="235">
        <f>IFERROR(Таблица4[[#This Row],[СО ПП]]-Таблица4[[#This Row],[СО ДДУ]],"")</f>
        <v>0</v>
      </c>
      <c r="J191" s="233" cm="1">
        <f t="array" ref="J191">IFERROR(INDEX(РД[S],MATCH($B$3&amp;Таблица4[[#This Row],[№]]&amp;"Продажа",РД[Дом]&amp;РД[№ кв]&amp;РД[Состояние],0),1),Таблица4[[#This Row],[Статус]])</f>
        <v>35.380000000000003</v>
      </c>
      <c r="K191" s="233">
        <f>VLOOKUP(Таблица4[[#This Row],[№]],Реестр_Д4[],20,0)</f>
        <v>35.380000000000003</v>
      </c>
      <c r="L191" s="235">
        <f>IFERROR(Таблица4[[#This Row],[S ПП]]-Таблица4[[#This Row],[S ДДУ]],)</f>
        <v>0</v>
      </c>
      <c r="M191" s="235">
        <f>ROUND(_xlfn.XLOOKUP(Таблица4[[#This Row],[№]],Реестр_Д4[№],Реестр_Д4[Итоговая сумма скидки],"",0),2)</f>
        <v>0</v>
      </c>
      <c r="N191" s="235" cm="1">
        <f t="array" ref="N19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1" s="235">
        <f>IFERROR(Таблица4[[#This Row],[ППС]]-Таблица4[[#This Row],[ДДУС]],)</f>
        <v>0</v>
      </c>
      <c r="P191" s="611"/>
      <c r="Q191" s="234">
        <f>VLOOKUP(ППД5!A188,Реестр_Д5[№],1,0)</f>
        <v>187</v>
      </c>
      <c r="R191" s="234" t="str">
        <f>VLOOKUP(ППД5!CH188,Реестр_Д5[Статус],1,0)</f>
        <v>Продажа</v>
      </c>
      <c r="S191" s="612">
        <f>VLOOKUP(ППД5!BZ188,Реестр_Д5[Стоимость ОН без отделки со скидкой],1,0)</f>
        <v>3953910.6</v>
      </c>
      <c r="T191" s="612" cm="1">
        <f t="array" ref="T191">IFERROR(INDEX(РД[Стоимость без отделки итог],MATCH($Q$3&amp;Таблица10[[#This Row],[№]]&amp;"Продажа",РД[Дом]&amp;РД[№ кв]&amp;РД[Состояние],0),1),Таблица10[[#This Row],[Статус]])</f>
        <v>3953910.6</v>
      </c>
      <c r="U191" s="235">
        <f>IFERROR((Таблица10[[#This Row],[ПП]]-Таблица10[[#This Row],[ДДУ]])*1,)</f>
        <v>0</v>
      </c>
      <c r="V191" s="235" cm="1">
        <f t="array" ref="V191">IFERROR(INDEX(РД[Стоимость с отделкой итог],MATCH($Q$3&amp;Таблица10[[#This Row],[№]]&amp;"Продажа",РД[Дом]&amp;РД[№ кв]&amp;РД[Состояние],0),1),Таблица10[[#This Row],[Статус]])</f>
        <v>3953910.6</v>
      </c>
      <c r="W191" s="235">
        <f>_xlfn.XLOOKUP(Таблица10[[#This Row],[№]],Реестр_Д5[№],Реестр_Д5[Стоимость квартиры с отделкой],"-",0)</f>
        <v>3953910.6</v>
      </c>
      <c r="X191" s="235">
        <f>IFERROR(Таблица10[[#This Row],[СО ПП]]-Таблица10[[#This Row],[СО ДДУ]],"")</f>
        <v>0</v>
      </c>
      <c r="Y191" s="233" cm="1">
        <f t="array" ref="Y191">IFERROR(INDEX(РД[S],MATCH($Q$3&amp;Таблица10[[#This Row],[№]]&amp;"Продажа",РД[Дом]&amp;РД[№ кв]&amp;РД[Состояние],0),1),Таблица10[[#This Row],[Статус]])</f>
        <v>42.28</v>
      </c>
      <c r="Z191" s="233">
        <f>IF(Таблица10[[#This Row],[№]]&amp;"ДДУ"=ППД5!A188&amp;ППД5!CR188,ППД5!U188,ППД5!V188)</f>
        <v>42.28</v>
      </c>
      <c r="AA191" s="285">
        <f>IFERROR(Таблица10[[#This Row],[S ПП]]-Таблица10[[#This Row],[S ДДУ]],)</f>
        <v>0</v>
      </c>
      <c r="AB191" s="235">
        <f>ROUND(_xlfn.XLOOKUP(Таблица10[[#This Row],[№]],Реестр_Д5[№],Реестр_Д5[Итоговая сумма скидки],"",0),2)</f>
        <v>0</v>
      </c>
      <c r="AC191" s="235" cm="1">
        <f t="array" ref="AC19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91" s="285">
        <f>IFERROR(Таблица10[[#This Row],[ППС]]-Таблица10[[#This Row],[ДДУС]],)</f>
        <v>0</v>
      </c>
      <c r="AE191" s="611"/>
      <c r="AT191" s="611"/>
      <c r="AU191" s="484">
        <f>VLOOKUP(ППД402!A188,Д402[],1,0)</f>
        <v>187</v>
      </c>
      <c r="AV191" s="484" t="str">
        <f>_xlfn.XLOOKUP(Т402[[#This Row],[№]],Д402[№],Д402[Статус],"-",0)</f>
        <v>Продажа</v>
      </c>
      <c r="AW191" s="613">
        <f>_xlfn.XLOOKUP(Т402[[#This Row],[№]],Д402[№],Д402[Стоимость ОН без отделки со скидкой],"-",0)</f>
        <v>5434100</v>
      </c>
      <c r="AX191" s="614" cm="1">
        <f t="array" ref="AX191">IFERROR(INDEX(РД[Стоимость без отделки итог],MATCH($AU$3&amp;Т402[[#This Row],[№]]&amp;"Продажа",РД[Дом]&amp;РД[№ кв]&amp;РД[Состояние],0),1),Т402[[#This Row],[Статус]])</f>
        <v>5434100</v>
      </c>
      <c r="AY191" s="485">
        <f>IFERROR((Т402[[#This Row],[ПП]]-Т402[[#This Row],[ДДУ]])*1,"")</f>
        <v>0</v>
      </c>
      <c r="AZ191" s="486" cm="1">
        <f t="array" ref="AZ191">IFERROR(INDEX(РД[Стоимость с отделкой итог],MATCH($AU$3&amp;Т402[[#This Row],[№]]&amp;"Продажа",РД[Дом]&amp;РД[№ кв]&amp;РД[Состояние],0),1),Т402[[#This Row],[Статус]])</f>
        <v>5434100</v>
      </c>
      <c r="BA191" s="485">
        <f>_xlfn.XLOOKUP(Т402[[#This Row],[№]],Д402[№],Д402[Стоимость квартиры с отделкой],"-",0)</f>
        <v>5434100</v>
      </c>
      <c r="BB191" s="485">
        <f>IFERROR(Т402[[#This Row],[СО ПП]]-Т402[[#This Row],[СО ДДУ]],"")</f>
        <v>0</v>
      </c>
      <c r="BC191" s="487" cm="1">
        <f t="array" ref="BC191">IFERROR(INDEX(РД[S],MATCH($AU$3&amp;Т402[[#This Row],[№]]&amp;"Продажа",РД[Дом]&amp;РД[№ кв]&amp;РД[Состояние],0),1),Т402[[#This Row],[Статус]])</f>
        <v>44.25</v>
      </c>
      <c r="BD191" s="483">
        <f>_xlfn.XLOOKUP(Т402[[#This Row],[№]],Д402[№],Д402[Расчетная проектная площадь],"-",0)</f>
        <v>44.25</v>
      </c>
      <c r="BE191" s="485">
        <f>IFERROR(Т402[[#This Row],[S ПП]]-Т402[[#This Row],[S ДДУ]],"")</f>
        <v>0</v>
      </c>
      <c r="BF191" s="485">
        <f>_xlfn.XLOOKUP(Т402[[#This Row],[№]],Д402[№],Д402[Итоговая сумма скидки],"-",0)</f>
        <v>110900</v>
      </c>
      <c r="BG191" s="486" cm="1">
        <f t="array" ref="BG191">IFERROR(ROUND(_xlfn.XLOOKUP($AU$3&amp;Т402[[#This Row],[№]]&amp;"Продажа",РД[Дом]&amp;РД[№ кв]&amp;РД[Состояние],РД[Сумма скидки],"",0),2),Т402[[#This Row],[Статус]])</f>
        <v>110900</v>
      </c>
      <c r="BH191" s="488">
        <f>IFERROR(Т402[[#This Row],[ППС]]-Т402[[#This Row],[ДДУС]],"")</f>
        <v>0</v>
      </c>
    </row>
    <row r="192" spans="1:60" x14ac:dyDescent="0.2">
      <c r="A192" s="611"/>
      <c r="B192" s="234">
        <f>VLOOKUP(ППД4!A189,Реестр_Д4[№],1,0)</f>
        <v>188</v>
      </c>
      <c r="C192" s="234" t="str">
        <f>VLOOKUP(ППД4!CO189,Реестр_Д4[Статус],1,0)</f>
        <v>Продажа</v>
      </c>
      <c r="D192" s="612">
        <f>VLOOKUP(ППД4!CE189,Реестр_Д4[Стоимость ОН без отделки со скидкой],1,0)</f>
        <v>3413735.97</v>
      </c>
      <c r="E192" s="612" cm="1">
        <f t="array" ref="E192">IFERROR(INDEX(РД[Стоимость без отделки итог],MATCH($B$3&amp;Таблица4[[#This Row],[№]]&amp;"Продажа",РД[Дом]&amp;РД[№ кв]&amp;РД[Состояние],0),1),Таблица4[[#This Row],[Статус]])</f>
        <v>3413735.97</v>
      </c>
      <c r="F192" s="235">
        <f>IFERROR((Таблица4[[#This Row],[ПП]]-Таблица4[[#This Row],[ДДУ]])*1,"")</f>
        <v>0</v>
      </c>
      <c r="G192" s="235" cm="1">
        <f t="array" ref="G192">IFERROR(INDEX(РД[Стоимость с отделкой итог],MATCH($B$3&amp;Таблица4[[#This Row],[№]]&amp;"Продажа",РД[Дом]&amp;РД[№ кв]&amp;РД[Состояние],0),1),Таблица4[[#This Row],[Статус]])</f>
        <v>3564975.97</v>
      </c>
      <c r="H192" s="235">
        <f>_xlfn.XLOOKUP(Таблица4[[#This Row],[№]],Реестр_Д4[№],Реестр_Д4[Стоимость квартиры с отделкой],"-",0)</f>
        <v>3564975.97</v>
      </c>
      <c r="I192" s="235">
        <f>IFERROR(Таблица4[[#This Row],[СО ПП]]-Таблица4[[#This Row],[СО ДДУ]],"")</f>
        <v>0</v>
      </c>
      <c r="J192" s="233" cm="1">
        <f t="array" ref="J192">IFERROR(INDEX(РД[S],MATCH($B$3&amp;Таблица4[[#This Row],[№]]&amp;"Продажа",РД[Дом]&amp;РД[№ кв]&amp;РД[Состояние],0),1),Таблица4[[#This Row],[Статус]])</f>
        <v>37.81</v>
      </c>
      <c r="K192" s="233">
        <f>VLOOKUP(Таблица4[[#This Row],[№]],Реестр_Д4[],20,0)</f>
        <v>37.81</v>
      </c>
      <c r="L192" s="235">
        <f>IFERROR(Таблица4[[#This Row],[S ПП]]-Таблица4[[#This Row],[S ДДУ]],)</f>
        <v>0</v>
      </c>
      <c r="M192" s="235">
        <f>ROUND(_xlfn.XLOOKUP(Таблица4[[#This Row],[№]],Реестр_Д4[№],Реестр_Д4[Итоговая сумма скидки],"",0),2)</f>
        <v>0</v>
      </c>
      <c r="N192" s="235" cm="1">
        <f t="array" ref="N19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2" s="235">
        <f>IFERROR(Таблица4[[#This Row],[ППС]]-Таблица4[[#This Row],[ДДУС]],)</f>
        <v>0</v>
      </c>
      <c r="P192" s="611"/>
      <c r="Q192" s="234">
        <f>VLOOKUP(ППД5!A189,Реестр_Д5[№],1,0)</f>
        <v>188</v>
      </c>
      <c r="R192" s="234" t="str">
        <f>VLOOKUP(ППД5!CH189,Реестр_Д5[Статус],1,0)</f>
        <v>Продажа</v>
      </c>
      <c r="S192" s="612">
        <f>VLOOKUP(ППД5!BZ189,Реестр_Д5[Стоимость ОН без отделки со скидкой],1,0)</f>
        <v>5881800</v>
      </c>
      <c r="T192" s="612" cm="1">
        <f t="array" ref="T192">IFERROR(INDEX(РД[Стоимость без отделки итог],MATCH($Q$3&amp;Таблица10[[#This Row],[№]]&amp;"Продажа",РД[Дом]&amp;РД[№ кв]&amp;РД[Состояние],0),1),Таблица10[[#This Row],[Статус]])</f>
        <v>5881800</v>
      </c>
      <c r="U192" s="235">
        <f>IFERROR((Таблица10[[#This Row],[ПП]]-Таблица10[[#This Row],[ДДУ]])*1,)</f>
        <v>0</v>
      </c>
      <c r="V192" s="235" cm="1">
        <f t="array" ref="V192">IFERROR(INDEX(РД[Стоимость с отделкой итог],MATCH($Q$3&amp;Таблица10[[#This Row],[№]]&amp;"Продажа",РД[Дом]&amp;РД[№ кв]&amp;РД[Состояние],0),1),Таблица10[[#This Row],[Статус]])</f>
        <v>6303340</v>
      </c>
      <c r="W192" s="235">
        <f>_xlfn.XLOOKUP(Таблица10[[#This Row],[№]],Реестр_Д5[№],Реестр_Д5[Стоимость квартиры с отделкой],"-",0)</f>
        <v>6303340</v>
      </c>
      <c r="X192" s="235">
        <f>IFERROR(Таблица10[[#This Row],[СО ПП]]-Таблица10[[#This Row],[СО ДДУ]],"")</f>
        <v>0</v>
      </c>
      <c r="Y192" s="233" cm="1">
        <f t="array" ref="Y192">IFERROR(INDEX(РД[S],MATCH($Q$3&amp;Таблица10[[#This Row],[№]]&amp;"Продажа",РД[Дом]&amp;РД[№ кв]&amp;РД[Состояние],0),1),Таблица10[[#This Row],[Статус]])</f>
        <v>60.22</v>
      </c>
      <c r="Z192" s="233">
        <f>IF(Таблица10[[#This Row],[№]]&amp;"ДДУ"=ППД5!A189&amp;ППД5!CR189,ППД5!U189,ППД5!V189)</f>
        <v>60.22</v>
      </c>
      <c r="AA192" s="285">
        <f>IFERROR(Таблица10[[#This Row],[S ПП]]-Таблица10[[#This Row],[S ДДУ]],)</f>
        <v>0</v>
      </c>
      <c r="AB192" s="235">
        <f>ROUND(_xlfn.XLOOKUP(Таблица10[[#This Row],[№]],Реестр_Д5[№],Реестр_Д5[Итоговая сумма скидки],"",0),2)</f>
        <v>0</v>
      </c>
      <c r="AC192" s="235" cm="1">
        <f t="array" ref="AC19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92" s="285">
        <f>IFERROR(Таблица10[[#This Row],[ППС]]-Таблица10[[#This Row],[ДДУС]],)</f>
        <v>0</v>
      </c>
      <c r="AE192" s="611"/>
      <c r="AT192" s="611"/>
      <c r="AU192" s="484">
        <f>VLOOKUP(ППД402!A189,Д402[],1,0)</f>
        <v>188</v>
      </c>
      <c r="AV192" s="484" t="str">
        <f>_xlfn.XLOOKUP(Т402[[#This Row],[№]],Д402[№],Д402[Статус],"-",0)</f>
        <v>Стр. Резерв</v>
      </c>
      <c r="AW192" s="613">
        <f>_xlfn.XLOOKUP(Т402[[#This Row],[№]],Д402[№],Д402[Стоимость ОН без отделки со скидкой],"-",0)</f>
        <v>4892400</v>
      </c>
      <c r="AX192" s="614" t="str" cm="1">
        <f t="array" ref="AX19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2" s="485" t="str">
        <f>IFERROR((Т402[[#This Row],[ПП]]-Т402[[#This Row],[ДДУ]])*1,"")</f>
        <v/>
      </c>
      <c r="AZ192" s="486" t="str" cm="1">
        <f t="array" ref="AZ19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2" s="485">
        <f>_xlfn.XLOOKUP(Т402[[#This Row],[№]],Д402[№],Д402[Стоимость квартиры с отделкой],"-",0)</f>
        <v>4892400</v>
      </c>
      <c r="BB192" s="485" t="str">
        <f>IFERROR(Т402[[#This Row],[СО ПП]]-Т402[[#This Row],[СО ДДУ]],"")</f>
        <v/>
      </c>
      <c r="BC192" s="487" t="str" cm="1">
        <f t="array" ref="BC192">IFERROR(INDEX(РД[S],MATCH($AU$3&amp;Т402[[#This Row],[№]]&amp;"Продажа",РД[Дом]&amp;РД[№ кв]&amp;РД[Состояние],0),1),Т402[[#This Row],[Статус]])</f>
        <v>Стр. Резерв</v>
      </c>
      <c r="BD192" s="483">
        <f>_xlfn.XLOOKUP(Т402[[#This Row],[№]],Д402[№],Д402[Расчетная проектная площадь],"-",0)</f>
        <v>36.64</v>
      </c>
      <c r="BE192" s="485" t="str">
        <f>IFERROR(Т402[[#This Row],[S ПП]]-Т402[[#This Row],[S ДДУ]],"")</f>
        <v/>
      </c>
      <c r="BF192" s="485">
        <f>_xlfn.XLOOKUP(Т402[[#This Row],[№]],Д402[№],Д402[Итоговая сумма скидки],"-",0)</f>
        <v>0</v>
      </c>
      <c r="BG192" s="486" t="str" cm="1">
        <f t="array" ref="BG19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2" s="488" t="str">
        <f>IFERROR(Т402[[#This Row],[ППС]]-Т402[[#This Row],[ДДУС]],"")</f>
        <v/>
      </c>
    </row>
    <row r="193" spans="1:60" x14ac:dyDescent="0.2">
      <c r="A193" s="611"/>
      <c r="B193" s="234">
        <f>VLOOKUP(ППД4!A190,Реестр_Д4[№],1,0)</f>
        <v>189</v>
      </c>
      <c r="C193" s="234" t="str">
        <f>VLOOKUP(ППД4!CO190,Реестр_Д4[Статус],1,0)</f>
        <v>Продажа</v>
      </c>
      <c r="D193" s="612">
        <f>VLOOKUP(ППД4!CE190,Реестр_Д4[Стоимость ОН без отделки со скидкой],1,0)</f>
        <v>4333112</v>
      </c>
      <c r="E193" s="612" cm="1">
        <f t="array" ref="E193">IFERROR(INDEX(РД[Стоимость без отделки итог],MATCH($B$3&amp;Таблица4[[#This Row],[№]]&amp;"Продажа",РД[Дом]&amp;РД[№ кв]&amp;РД[Состояние],0),1),Таблица4[[#This Row],[Статус]])</f>
        <v>4333112</v>
      </c>
      <c r="F193" s="235">
        <f>IFERROR((Таблица4[[#This Row],[ПП]]-Таблица4[[#This Row],[ДДУ]])*1,"")</f>
        <v>0</v>
      </c>
      <c r="G193" s="235" cm="1">
        <f t="array" ref="G193">IFERROR(INDEX(РД[Стоимость с отделкой итог],MATCH($B$3&amp;Таблица4[[#This Row],[№]]&amp;"Продажа",РД[Дом]&amp;РД[№ кв]&amp;РД[Состояние],0),1),Таблица4[[#This Row],[Статус]])</f>
        <v>5140512</v>
      </c>
      <c r="H193" s="235">
        <f>_xlfn.XLOOKUP(Таблица4[[#This Row],[№]],Реестр_Д4[№],Реестр_Д4[Стоимость квартиры с отделкой],"-",0)</f>
        <v>5140512</v>
      </c>
      <c r="I193" s="235">
        <f>IFERROR(Таблица4[[#This Row],[СО ПП]]-Таблица4[[#This Row],[СО ДДУ]],"")</f>
        <v>0</v>
      </c>
      <c r="J193" s="233" cm="1">
        <f t="array" ref="J193">IFERROR(INDEX(РД[S],MATCH($B$3&amp;Таблица4[[#This Row],[№]]&amp;"Продажа",РД[Дом]&amp;РД[№ кв]&amp;РД[Состояние],0),1),Таблица4[[#This Row],[Статус]])</f>
        <v>36.700000000000003</v>
      </c>
      <c r="K193" s="233">
        <f>VLOOKUP(Таблица4[[#This Row],[№]],Реестр_Д4[],20,0)</f>
        <v>36.700000000000003</v>
      </c>
      <c r="L193" s="235">
        <f>IFERROR(Таблица4[[#This Row],[S ПП]]-Таблица4[[#This Row],[S ДДУ]],)</f>
        <v>0</v>
      </c>
      <c r="M193" s="235">
        <f>ROUND(_xlfn.XLOOKUP(Таблица4[[#This Row],[№]],Реестр_Д4[№],Реестр_Д4[Итоговая сумма скидки],"",0),2)</f>
        <v>88888</v>
      </c>
      <c r="N193" s="235" cm="1">
        <f t="array" ref="N193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193" s="235">
        <f>IFERROR(Таблица4[[#This Row],[ППС]]-Таблица4[[#This Row],[ДДУС]],)</f>
        <v>0</v>
      </c>
      <c r="P193" s="611"/>
      <c r="Q193" s="234">
        <f>VLOOKUP(ППД5!A190,Реестр_Д5[№],1,0)</f>
        <v>189</v>
      </c>
      <c r="R193" s="234" t="str">
        <f>VLOOKUP(ППД5!CH190,Реестр_Д5[Статус],1,0)</f>
        <v>Продажа</v>
      </c>
      <c r="S193" s="612">
        <f>VLOOKUP(ППД5!BZ190,Реестр_Д5[Стоимость ОН без отделки со скидкой],1,0)</f>
        <v>2233312.7599999998</v>
      </c>
      <c r="T193" s="612" cm="1">
        <f t="array" ref="T193">IFERROR(INDEX(РД[Стоимость без отделки итог],MATCH($Q$3&amp;Таблица10[[#This Row],[№]]&amp;"Продажа",РД[Дом]&amp;РД[№ кв]&amp;РД[Состояние],0),1),Таблица10[[#This Row],[Статус]])</f>
        <v>2233312.7599999998</v>
      </c>
      <c r="U193" s="235">
        <f>IFERROR((Таблица10[[#This Row],[ПП]]-Таблица10[[#This Row],[ДДУ]])*1,)</f>
        <v>0</v>
      </c>
      <c r="V193" s="235" cm="1">
        <f t="array" ref="V193">IFERROR(INDEX(РД[Стоимость с отделкой итог],MATCH($Q$3&amp;Таблица10[[#This Row],[№]]&amp;"Продажа",РД[Дом]&amp;РД[№ кв]&amp;РД[Состояние],0),1),Таблица10[[#This Row],[Статус]])</f>
        <v>2233312.7599999998</v>
      </c>
      <c r="W193" s="235">
        <f>_xlfn.XLOOKUP(Таблица10[[#This Row],[№]],Реестр_Д5[№],Реестр_Д5[Стоимость квартиры с отделкой],"-",0)</f>
        <v>2233312.7599999998</v>
      </c>
      <c r="X193" s="235">
        <f>IFERROR(Таблица10[[#This Row],[СО ПП]]-Таблица10[[#This Row],[СО ДДУ]],"")</f>
        <v>0</v>
      </c>
      <c r="Y193" s="233" cm="1">
        <f t="array" ref="Y193">IFERROR(INDEX(РД[S],MATCH($Q$3&amp;Таблица10[[#This Row],[№]]&amp;"Продажа",РД[Дом]&amp;РД[№ кв]&amp;РД[Состояние],0),1),Таблица10[[#This Row],[Статус]])</f>
        <v>24.28</v>
      </c>
      <c r="Z193" s="233">
        <f>IF(Таблица10[[#This Row],[№]]&amp;"ДДУ"=ППД5!A190&amp;ППД5!CR190,ППД5!U190,ППД5!V190)</f>
        <v>24.28</v>
      </c>
      <c r="AA193" s="285">
        <f>IFERROR(Таблица10[[#This Row],[S ПП]]-Таблица10[[#This Row],[S ДДУ]],)</f>
        <v>0</v>
      </c>
      <c r="AB193" s="235">
        <f>ROUND(_xlfn.XLOOKUP(Таблица10[[#This Row],[№]],Реестр_Д5[№],Реестр_Д5[Итоговая сумма скидки],"",0),2)</f>
        <v>0</v>
      </c>
      <c r="AC193" s="235" cm="1">
        <f t="array" ref="AC19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93" s="285">
        <f>IFERROR(Таблица10[[#This Row],[ППС]]-Таблица10[[#This Row],[ДДУС]],)</f>
        <v>0</v>
      </c>
      <c r="AE193" s="611"/>
      <c r="AT193" s="611"/>
      <c r="AU193" s="484">
        <f>VLOOKUP(ППД402!A190,Д402[],1,0)</f>
        <v>189</v>
      </c>
      <c r="AV193" s="484" t="str">
        <f>_xlfn.XLOOKUP(Т402[[#This Row],[№]],Д402[№],Д402[Статус],"-",0)</f>
        <v>Стр. Резерв</v>
      </c>
      <c r="AW193" s="613">
        <f>_xlfn.XLOOKUP(Т402[[#This Row],[№]],Д402[№],Д402[Стоимость ОН без отделки со скидкой],"-",0)</f>
        <v>6760300</v>
      </c>
      <c r="AX193" s="614" t="str" cm="1">
        <f t="array" ref="AX19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3" s="485" t="str">
        <f>IFERROR((Т402[[#This Row],[ПП]]-Т402[[#This Row],[ДДУ]])*1,"")</f>
        <v/>
      </c>
      <c r="AZ193" s="486" t="str" cm="1">
        <f t="array" ref="AZ19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3" s="485">
        <f>_xlfn.XLOOKUP(Т402[[#This Row],[№]],Д402[№],Д402[Стоимость квартиры с отделкой],"-",0)</f>
        <v>6760300</v>
      </c>
      <c r="BB193" s="485" t="str">
        <f>IFERROR(Т402[[#This Row],[СО ПП]]-Т402[[#This Row],[СО ДДУ]],"")</f>
        <v/>
      </c>
      <c r="BC193" s="487" t="str" cm="1">
        <f t="array" ref="BC193">IFERROR(INDEX(РД[S],MATCH($AU$3&amp;Т402[[#This Row],[№]]&amp;"Продажа",РД[Дом]&amp;РД[№ кв]&amp;РД[Состояние],0),1),Т402[[#This Row],[Статус]])</f>
        <v>Стр. Резерв</v>
      </c>
      <c r="BD193" s="483">
        <f>_xlfn.XLOOKUP(Т402[[#This Row],[№]],Д402[№],Д402[Расчетная проектная площадь],"-",0)</f>
        <v>54.44</v>
      </c>
      <c r="BE193" s="485" t="str">
        <f>IFERROR(Т402[[#This Row],[S ПП]]-Т402[[#This Row],[S ДДУ]],"")</f>
        <v/>
      </c>
      <c r="BF193" s="485">
        <f>_xlfn.XLOOKUP(Т402[[#This Row],[№]],Д402[№],Д402[Итоговая сумма скидки],"-",0)</f>
        <v>0</v>
      </c>
      <c r="BG193" s="486" t="str" cm="1">
        <f t="array" ref="BG19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3" s="488" t="str">
        <f>IFERROR(Т402[[#This Row],[ППС]]-Т402[[#This Row],[ДДУС]],"")</f>
        <v/>
      </c>
    </row>
    <row r="194" spans="1:60" x14ac:dyDescent="0.2">
      <c r="A194" s="611"/>
      <c r="B194" s="234">
        <f>VLOOKUP(ППД4!A191,Реестр_Д4[№],1,0)</f>
        <v>190</v>
      </c>
      <c r="C194" s="234" t="str">
        <f>VLOOKUP(ППД4!CO191,Реестр_Д4[Статус],1,0)</f>
        <v>Продажа</v>
      </c>
      <c r="D194" s="612">
        <f>VLOOKUP(ППД4!CE191,Реестр_Д4[Стоимость ОН без отделки со скидкой],1,0)</f>
        <v>3343005.6</v>
      </c>
      <c r="E194" s="612" cm="1">
        <f t="array" ref="E194">IFERROR(INDEX(РД[Стоимость без отделки итог],MATCH($B$3&amp;Таблица4[[#This Row],[№]]&amp;"Продажа",РД[Дом]&amp;РД[№ кв]&amp;РД[Состояние],0),1),Таблица4[[#This Row],[Статус]])</f>
        <v>3343005.6</v>
      </c>
      <c r="F194" s="235">
        <f>IFERROR((Таблица4[[#This Row],[ПП]]-Таблица4[[#This Row],[ДДУ]])*1,"")</f>
        <v>0</v>
      </c>
      <c r="G194" s="235" cm="1">
        <f t="array" ref="G194">IFERROR(INDEX(РД[Стоимость с отделкой итог],MATCH($B$3&amp;Таблица4[[#This Row],[№]]&amp;"Продажа",РД[Дом]&amp;РД[№ кв]&amp;РД[Состояние],0),1),Таблица4[[#This Row],[Статус]])</f>
        <v>3489645.6</v>
      </c>
      <c r="H194" s="235">
        <f>_xlfn.XLOOKUP(Таблица4[[#This Row],[№]],Реестр_Д4[№],Реестр_Д4[Стоимость квартиры с отделкой],"-",0)</f>
        <v>3489645.6</v>
      </c>
      <c r="I194" s="235">
        <f>IFERROR(Таблица4[[#This Row],[СО ПП]]-Таблица4[[#This Row],[СО ДДУ]],"")</f>
        <v>0</v>
      </c>
      <c r="J194" s="233" cm="1">
        <f t="array" ref="J194">IFERROR(INDEX(РД[S],MATCH($B$3&amp;Таблица4[[#This Row],[№]]&amp;"Продажа",РД[Дом]&amp;РД[№ кв]&amp;РД[Состояние],0),1),Таблица4[[#This Row],[Статус]])</f>
        <v>36.659999999999997</v>
      </c>
      <c r="K194" s="233">
        <f>VLOOKUP(Таблица4[[#This Row],[№]],Реестр_Д4[],20,0)</f>
        <v>36.659999999999997</v>
      </c>
      <c r="L194" s="235">
        <f>IFERROR(Таблица4[[#This Row],[S ПП]]-Таблица4[[#This Row],[S ДДУ]],)</f>
        <v>0</v>
      </c>
      <c r="M194" s="235">
        <f>ROUND(_xlfn.XLOOKUP(Таблица4[[#This Row],[№]],Реестр_Д4[№],Реестр_Д4[Итоговая сумма скидки],"",0),2)</f>
        <v>0</v>
      </c>
      <c r="N194" s="235" cm="1">
        <f t="array" ref="N19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4" s="235">
        <f>IFERROR(Таблица4[[#This Row],[ППС]]-Таблица4[[#This Row],[ДДУС]],)</f>
        <v>0</v>
      </c>
      <c r="P194" s="611"/>
      <c r="Q194" s="234">
        <f>VLOOKUP(ППД5!A191,Реестр_Д5[№],1,0)</f>
        <v>190</v>
      </c>
      <c r="R194" s="234" t="str">
        <f>VLOOKUP(ППД5!CH191,Реестр_Д5[Статус],1,0)</f>
        <v>Гарантированная бронь</v>
      </c>
      <c r="S194" s="612">
        <f>VLOOKUP(ППД5!BZ191,Реестр_Д5[Стоимость ОН без отделки со скидкой],1,0)</f>
        <v>7235300</v>
      </c>
      <c r="T194" s="612" t="str" cm="1">
        <f t="array" ref="T194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194" s="235">
        <f>IFERROR((Таблица10[[#This Row],[ПП]]-Таблица10[[#This Row],[ДДУ]])*1,)</f>
        <v>0</v>
      </c>
      <c r="V194" s="235" t="str" cm="1">
        <f t="array" ref="V194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194" s="235">
        <f>_xlfn.XLOOKUP(Таблица10[[#This Row],[№]],Реестр_Д5[№],Реестр_Д5[Стоимость квартиры с отделкой],"-",0)</f>
        <v>7235300</v>
      </c>
      <c r="X194" s="235" t="str">
        <f>IFERROR(Таблица10[[#This Row],[СО ПП]]-Таблица10[[#This Row],[СО ДДУ]],"")</f>
        <v/>
      </c>
      <c r="Y194" s="233" t="str" cm="1">
        <f t="array" ref="Y194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194" s="233">
        <f>IF(Таблица10[[#This Row],[№]]&amp;"ДДУ"=ППД5!A191&amp;ППД5!CR191,ППД5!U191,ППД5!V191)</f>
        <v>57.95</v>
      </c>
      <c r="AA194" s="285">
        <f>IFERROR(Таблица10[[#This Row],[S ПП]]-Таблица10[[#This Row],[S ДДУ]],)</f>
        <v>0</v>
      </c>
      <c r="AB194" s="235">
        <f>ROUND(_xlfn.XLOOKUP(Таблица10[[#This Row],[№]],Реестр_Д5[№],Реестр_Д5[Итоговая сумма скидки],"",0),2)</f>
        <v>0</v>
      </c>
      <c r="AC194" s="235" t="str" cm="1">
        <f t="array" ref="AC194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194" s="285">
        <f>IFERROR(Таблица10[[#This Row],[ППС]]-Таблица10[[#This Row],[ДДУС]],)</f>
        <v>0</v>
      </c>
      <c r="AE194" s="611"/>
      <c r="AT194" s="611"/>
      <c r="AU194" s="484">
        <f>VLOOKUP(ППД402!A191,Д402[],1,0)</f>
        <v>190</v>
      </c>
      <c r="AV194" s="484" t="str">
        <f>_xlfn.XLOOKUP(Т402[[#This Row],[№]],Д402[№],Д402[Статус],"-",0)</f>
        <v>Стр. Резерв</v>
      </c>
      <c r="AW194" s="613">
        <f>_xlfn.XLOOKUP(Т402[[#This Row],[№]],Д402[№],Д402[Стоимость ОН без отделки со скидкой],"-",0)</f>
        <v>4719700</v>
      </c>
      <c r="AX194" s="614" t="str" cm="1">
        <f t="array" ref="AX19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4" s="485" t="str">
        <f>IFERROR((Т402[[#This Row],[ПП]]-Т402[[#This Row],[ДДУ]])*1,"")</f>
        <v/>
      </c>
      <c r="AZ194" s="486" t="str" cm="1">
        <f t="array" ref="AZ19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4" s="485">
        <f>_xlfn.XLOOKUP(Т402[[#This Row],[№]],Д402[№],Д402[Стоимость квартиры с отделкой],"-",0)</f>
        <v>4719700</v>
      </c>
      <c r="BB194" s="485" t="str">
        <f>IFERROR(Т402[[#This Row],[СО ПП]]-Т402[[#This Row],[СО ДДУ]],"")</f>
        <v/>
      </c>
      <c r="BC194" s="487" t="str" cm="1">
        <f t="array" ref="BC194">IFERROR(INDEX(РД[S],MATCH($AU$3&amp;Т402[[#This Row],[№]]&amp;"Продажа",РД[Дом]&amp;РД[№ кв]&amp;РД[Состояние],0),1),Т402[[#This Row],[Статус]])</f>
        <v>Стр. Резерв</v>
      </c>
      <c r="BD194" s="483">
        <f>_xlfn.XLOOKUP(Т402[[#This Row],[№]],Д402[№],Д402[Расчетная проектная площадь],"-",0)</f>
        <v>36.39</v>
      </c>
      <c r="BE194" s="485" t="str">
        <f>IFERROR(Т402[[#This Row],[S ПП]]-Т402[[#This Row],[S ДДУ]],"")</f>
        <v/>
      </c>
      <c r="BF194" s="485">
        <f>_xlfn.XLOOKUP(Т402[[#This Row],[№]],Д402[№],Д402[Итоговая сумма скидки],"-",0)</f>
        <v>0</v>
      </c>
      <c r="BG194" s="486" t="str" cm="1">
        <f t="array" ref="BG19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4" s="488" t="str">
        <f>IFERROR(Т402[[#This Row],[ППС]]-Т402[[#This Row],[ДДУС]],"")</f>
        <v/>
      </c>
    </row>
    <row r="195" spans="1:60" x14ac:dyDescent="0.2">
      <c r="A195" s="611"/>
      <c r="B195" s="234">
        <f>VLOOKUP(ППД4!A192,Реестр_Д4[№],1,0)</f>
        <v>191</v>
      </c>
      <c r="C195" s="234" t="str">
        <f>VLOOKUP(ППД4!CO192,Реестр_Д4[Статус],1,0)</f>
        <v>Продажа</v>
      </c>
      <c r="D195" s="612">
        <f>VLOOKUP(ППД4!CE192,Реестр_Д4[Стоимость ОН без отделки со скидкой],1,0)</f>
        <v>5933901.3600000003</v>
      </c>
      <c r="E195" s="612" cm="1">
        <f t="array" ref="E195">IFERROR(INDEX(РД[Стоимость без отделки итог],MATCH($B$3&amp;Таблица4[[#This Row],[№]]&amp;"Продажа",РД[Дом]&amp;РД[№ кв]&amp;РД[Состояние],0),1),Таблица4[[#This Row],[Статус]])</f>
        <v>5933901.3600000003</v>
      </c>
      <c r="F195" s="235">
        <f>IFERROR((Таблица4[[#This Row],[ПП]]-Таблица4[[#This Row],[ДДУ]])*1,"")</f>
        <v>0</v>
      </c>
      <c r="G195" s="235" cm="1">
        <f t="array" ref="G195">IFERROR(INDEX(РД[Стоимость с отделкой итог],MATCH($B$3&amp;Таблица4[[#This Row],[№]]&amp;"Продажа",РД[Дом]&amp;РД[№ кв]&amp;РД[Состояние],0),1),Таблица4[[#This Row],[Статус]])</f>
        <v>6248821.3600000003</v>
      </c>
      <c r="H195" s="235">
        <f>_xlfn.XLOOKUP(Таблица4[[#This Row],[№]],Реестр_Д4[№],Реестр_Д4[Стоимость квартиры с отделкой],"-",0)</f>
        <v>6248821.3600000003</v>
      </c>
      <c r="I195" s="235">
        <f>IFERROR(Таблица4[[#This Row],[СО ПП]]-Таблица4[[#This Row],[СО ДДУ]],"")</f>
        <v>0</v>
      </c>
      <c r="J195" s="233" cm="1">
        <f t="array" ref="J195">IFERROR(INDEX(РД[S],MATCH($B$3&amp;Таблица4[[#This Row],[№]]&amp;"Продажа",РД[Дом]&amp;РД[№ кв]&amp;РД[Состояние],0),1),Таблица4[[#This Row],[Статус]])</f>
        <v>78.73</v>
      </c>
      <c r="K195" s="233">
        <f>VLOOKUP(Таблица4[[#This Row],[№]],Реестр_Д4[],20,0)</f>
        <v>78.73</v>
      </c>
      <c r="L195" s="235">
        <f>IFERROR(Таблица4[[#This Row],[S ПП]]-Таблица4[[#This Row],[S ДДУ]],)</f>
        <v>0</v>
      </c>
      <c r="M195" s="235">
        <f>ROUND(_xlfn.XLOOKUP(Таблица4[[#This Row],[№]],Реестр_Д4[№],Реестр_Д4[Итоговая сумма скидки],"",0),2)</f>
        <v>0</v>
      </c>
      <c r="N195" s="235" cm="1">
        <f t="array" ref="N19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5" s="235">
        <f>IFERROR(Таблица4[[#This Row],[ППС]]-Таблица4[[#This Row],[ДДУС]],)</f>
        <v>0</v>
      </c>
      <c r="P195" s="611"/>
      <c r="Q195" s="234">
        <f>VLOOKUP(ППД5!A192,Реестр_Д5[№],1,0)</f>
        <v>191</v>
      </c>
      <c r="R195" s="234" t="str">
        <f>VLOOKUP(ППД5!CH192,Реестр_Д5[Статус],1,0)</f>
        <v>Свободно</v>
      </c>
      <c r="S195" s="612">
        <f>VLOOKUP(ППД5!BZ192,Реестр_Д5[Стоимость ОН без отделки со скидкой],1,0)</f>
        <v>7353500</v>
      </c>
      <c r="T195" s="612" t="str" cm="1">
        <f t="array" ref="T19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95" s="235">
        <f>IFERROR((Таблица10[[#This Row],[ПП]]-Таблица10[[#This Row],[ДДУ]])*1,)</f>
        <v>0</v>
      </c>
      <c r="V195" s="235" t="str" cm="1">
        <f t="array" ref="V19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95" s="235">
        <f>_xlfn.XLOOKUP(Таблица10[[#This Row],[№]],Реестр_Д5[№],Реестр_Д5[Стоимость квартиры с отделкой],"-",0)</f>
        <v>9104000</v>
      </c>
      <c r="X195" s="235" t="str">
        <f>IFERROR(Таблица10[[#This Row],[СО ПП]]-Таблица10[[#This Row],[СО ДДУ]],"")</f>
        <v/>
      </c>
      <c r="Y195" s="233" t="str" cm="1">
        <f t="array" ref="Y195">IFERROR(INDEX(РД[S],MATCH($Q$3&amp;Таблица10[[#This Row],[№]]&amp;"Продажа",РД[Дом]&amp;РД[№ кв]&amp;РД[Состояние],0),1),Таблица10[[#This Row],[Статус]])</f>
        <v>Свободно</v>
      </c>
      <c r="Z195" s="233">
        <f>IF(Таблица10[[#This Row],[№]]&amp;"ДДУ"=ППД5!A192&amp;ППД5!CR192,ППД5!U192,ППД5!V192)</f>
        <v>58.349999999999994</v>
      </c>
      <c r="AA195" s="285">
        <f>IFERROR(Таблица10[[#This Row],[S ПП]]-Таблица10[[#This Row],[S ДДУ]],)</f>
        <v>0</v>
      </c>
      <c r="AB195" s="235">
        <f>ROUND(_xlfn.XLOOKUP(Таблица10[[#This Row],[№]],Реестр_Д5[№],Реестр_Д5[Итоговая сумма скидки],"",0),2)</f>
        <v>0</v>
      </c>
      <c r="AC195" s="235" t="str" cm="1">
        <f t="array" ref="AC19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95" s="285">
        <f>IFERROR(Таблица10[[#This Row],[ППС]]-Таблица10[[#This Row],[ДДУС]],)</f>
        <v>0</v>
      </c>
      <c r="AE195" s="611"/>
      <c r="AT195" s="611"/>
      <c r="AU195" s="484">
        <f>VLOOKUP(ППД402!A192,Д402[],1,0)</f>
        <v>191</v>
      </c>
      <c r="AV195" s="484" t="str">
        <f>_xlfn.XLOOKUP(Т402[[#This Row],[№]],Д402[№],Д402[Статус],"-",0)</f>
        <v>Стр. Резерв</v>
      </c>
      <c r="AW195" s="613">
        <f>_xlfn.XLOOKUP(Т402[[#This Row],[№]],Д402[№],Д402[Стоимость ОН без отделки со скидкой],"-",0)</f>
        <v>8822800</v>
      </c>
      <c r="AX195" s="614" t="str" cm="1">
        <f t="array" ref="AX19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5" s="485" t="str">
        <f>IFERROR((Т402[[#This Row],[ПП]]-Т402[[#This Row],[ДДУ]])*1,"")</f>
        <v/>
      </c>
      <c r="AZ195" s="486" t="str" cm="1">
        <f t="array" ref="AZ19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5" s="485">
        <f>_xlfn.XLOOKUP(Т402[[#This Row],[№]],Д402[№],Д402[Стоимость квартиры с отделкой],"-",0)</f>
        <v>8822800</v>
      </c>
      <c r="BB195" s="485" t="str">
        <f>IFERROR(Т402[[#This Row],[СО ПП]]-Т402[[#This Row],[СО ДДУ]],"")</f>
        <v/>
      </c>
      <c r="BC195" s="487" t="str" cm="1">
        <f t="array" ref="BC195">IFERROR(INDEX(РД[S],MATCH($AU$3&amp;Т402[[#This Row],[№]]&amp;"Продажа",РД[Дом]&amp;РД[№ кв]&amp;РД[Состояние],0),1),Т402[[#This Row],[Статус]])</f>
        <v>Стр. Резерв</v>
      </c>
      <c r="BD195" s="483">
        <f>_xlfn.XLOOKUP(Т402[[#This Row],[№]],Д402[№],Д402[Расчетная проектная площадь],"-",0)</f>
        <v>78.16</v>
      </c>
      <c r="BE195" s="485" t="str">
        <f>IFERROR(Т402[[#This Row],[S ПП]]-Т402[[#This Row],[S ДДУ]],"")</f>
        <v/>
      </c>
      <c r="BF195" s="485">
        <f>_xlfn.XLOOKUP(Т402[[#This Row],[№]],Д402[№],Д402[Итоговая сумма скидки],"-",0)</f>
        <v>0</v>
      </c>
      <c r="BG195" s="486" t="str" cm="1">
        <f t="array" ref="BG19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5" s="488" t="str">
        <f>IFERROR(Т402[[#This Row],[ППС]]-Т402[[#This Row],[ДДУС]],"")</f>
        <v/>
      </c>
    </row>
    <row r="196" spans="1:60" x14ac:dyDescent="0.2">
      <c r="A196" s="611"/>
      <c r="B196" s="234">
        <f>VLOOKUP(ППД4!A193,Реестр_Д4[№],1,0)</f>
        <v>192</v>
      </c>
      <c r="C196" s="234" t="str">
        <f>VLOOKUP(ППД4!CO193,Реестр_Д4[Статус],1,0)</f>
        <v>Продажа</v>
      </c>
      <c r="D196" s="612">
        <f>VLOOKUP(ППД4!CE193,Реестр_Д4[Стоимость ОН без отделки со скидкой],1,0)</f>
        <v>3334321.17</v>
      </c>
      <c r="E196" s="612" cm="1">
        <f t="array" ref="E196">IFERROR(INDEX(РД[Стоимость без отделки итог],MATCH($B$3&amp;Таблица4[[#This Row],[№]]&amp;"Продажа",РД[Дом]&amp;РД[№ кв]&amp;РД[Состояние],0),1),Таблица4[[#This Row],[Статус]])</f>
        <v>3334321.1699999995</v>
      </c>
      <c r="F196" s="235">
        <f>IFERROR((Таблица4[[#This Row],[ПП]]-Таблица4[[#This Row],[ДДУ]])*1,"")</f>
        <v>4.6566128730773926E-10</v>
      </c>
      <c r="G196" s="235" cm="1">
        <f t="array" ref="G196">IFERROR(INDEX(РД[Стоимость с отделкой итог],MATCH($B$3&amp;Таблица4[[#This Row],[№]]&amp;"Продажа",РД[Дом]&amp;РД[№ кв]&amp;РД[Состояние],0),1),Таблица4[[#This Row],[Статус]])</f>
        <v>3469481.17</v>
      </c>
      <c r="H196" s="235">
        <f>_xlfn.XLOOKUP(Таблица4[[#This Row],[№]],Реестр_Д4[№],Реестр_Д4[Стоимость квартиры с отделкой],"-",0)</f>
        <v>3469481.17</v>
      </c>
      <c r="I196" s="235">
        <f>IFERROR(Таблица4[[#This Row],[СО ПП]]-Таблица4[[#This Row],[СО ДДУ]],"")</f>
        <v>0</v>
      </c>
      <c r="J196" s="233" cm="1">
        <f t="array" ref="J196">IFERROR(INDEX(РД[S],MATCH($B$3&amp;Таблица4[[#This Row],[№]]&amp;"Продажа",РД[Дом]&amp;РД[№ кв]&amp;РД[Состояние],0),1),Таблица4[[#This Row],[Статус]])</f>
        <v>33.79</v>
      </c>
      <c r="K196" s="233">
        <f>VLOOKUP(Таблица4[[#This Row],[№]],Реестр_Д4[],20,0)</f>
        <v>33.79</v>
      </c>
      <c r="L196" s="235">
        <f>IFERROR(Таблица4[[#This Row],[S ПП]]-Таблица4[[#This Row],[S ДДУ]],)</f>
        <v>0</v>
      </c>
      <c r="M196" s="235">
        <f>ROUND(_xlfn.XLOOKUP(Таблица4[[#This Row],[№]],Реестр_Д4[№],Реестр_Д4[Итоговая сумма скидки],"",0),2)</f>
        <v>0</v>
      </c>
      <c r="N196" s="235" cm="1">
        <f t="array" ref="N19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196" s="235">
        <f>IFERROR(Таблица4[[#This Row],[ППС]]-Таблица4[[#This Row],[ДДУС]],)</f>
        <v>0</v>
      </c>
      <c r="P196" s="611"/>
      <c r="Q196" s="234">
        <f>VLOOKUP(ППД5!A193,Реестр_Д5[№],1,0)</f>
        <v>192</v>
      </c>
      <c r="R196" s="234" t="str">
        <f>VLOOKUP(ППД5!CH193,Реестр_Д5[Статус],1,0)</f>
        <v>Свободно</v>
      </c>
      <c r="S196" s="612">
        <f>VLOOKUP(ППД5!BZ193,Реестр_Д5[Стоимость ОН без отделки со скидкой],1,0)</f>
        <v>5362400</v>
      </c>
      <c r="T196" s="612" t="str" cm="1">
        <f t="array" ref="T19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196" s="235">
        <f>IFERROR((Таблица10[[#This Row],[ПП]]-Таблица10[[#This Row],[ДДУ]])*1,)</f>
        <v>0</v>
      </c>
      <c r="V196" s="235" t="str" cm="1">
        <f t="array" ref="V19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196" s="235">
        <f>_xlfn.XLOOKUP(Таблица10[[#This Row],[№]],Реестр_Д5[№],Реестр_Д5[Стоимость квартиры с отделкой],"-",0)</f>
        <v>5362400</v>
      </c>
      <c r="X196" s="235" t="str">
        <f>IFERROR(Таблица10[[#This Row],[СО ПП]]-Таблица10[[#This Row],[СО ДДУ]],"")</f>
        <v/>
      </c>
      <c r="Y196" s="233" t="str" cm="1">
        <f t="array" ref="Y196">IFERROR(INDEX(РД[S],MATCH($Q$3&amp;Таблица10[[#This Row],[№]]&amp;"Продажа",РД[Дом]&amp;РД[№ кв]&amp;РД[Состояние],0),1),Таблица10[[#This Row],[Статус]])</f>
        <v>Свободно</v>
      </c>
      <c r="Z196" s="233">
        <f>IF(Таблица10[[#This Row],[№]]&amp;"ДДУ"=ППД5!A193&amp;ППД5!CR193,ППД5!U193,ППД5!V193)</f>
        <v>37.549999999999997</v>
      </c>
      <c r="AA196" s="285">
        <f>IFERROR(Таблица10[[#This Row],[S ПП]]-Таблица10[[#This Row],[S ДДУ]],)</f>
        <v>0</v>
      </c>
      <c r="AB196" s="235">
        <f>ROUND(_xlfn.XLOOKUP(Таблица10[[#This Row],[№]],Реестр_Д5[№],Реестр_Д5[Итоговая сумма скидки],"",0),2)</f>
        <v>0</v>
      </c>
      <c r="AC196" s="235" t="str" cm="1">
        <f t="array" ref="AC19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196" s="285">
        <f>IFERROR(Таблица10[[#This Row],[ППС]]-Таблица10[[#This Row],[ДДУС]],)</f>
        <v>0</v>
      </c>
      <c r="AE196" s="611"/>
      <c r="AT196" s="611"/>
      <c r="AU196" s="484">
        <f>VLOOKUP(ППД402!A193,Д402[],1,0)</f>
        <v>192</v>
      </c>
      <c r="AV196" s="484" t="str">
        <f>_xlfn.XLOOKUP(Т402[[#This Row],[№]],Д402[№],Д402[Статус],"-",0)</f>
        <v>Стр. Резерв</v>
      </c>
      <c r="AW196" s="613">
        <f>_xlfn.XLOOKUP(Т402[[#This Row],[№]],Д402[№],Д402[Стоимость ОН без отделки со скидкой],"-",0)</f>
        <v>4149300</v>
      </c>
      <c r="AX196" s="614" t="str" cm="1">
        <f t="array" ref="AX19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6" s="485" t="str">
        <f>IFERROR((Т402[[#This Row],[ПП]]-Т402[[#This Row],[ДДУ]])*1,"")</f>
        <v/>
      </c>
      <c r="AZ196" s="486" t="str" cm="1">
        <f t="array" ref="AZ19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6" s="485">
        <f>_xlfn.XLOOKUP(Т402[[#This Row],[№]],Д402[№],Д402[Стоимость квартиры с отделкой],"-",0)</f>
        <v>4149300</v>
      </c>
      <c r="BB196" s="485" t="str">
        <f>IFERROR(Т402[[#This Row],[СО ПП]]-Т402[[#This Row],[СО ДДУ]],"")</f>
        <v/>
      </c>
      <c r="BC196" s="487" t="str" cm="1">
        <f t="array" ref="BC196">IFERROR(INDEX(РД[S],MATCH($AU$3&amp;Т402[[#This Row],[№]]&amp;"Продажа",РД[Дом]&amp;РД[№ кв]&amp;РД[Состояние],0),1),Т402[[#This Row],[Статус]])</f>
        <v>Стр. Резерв</v>
      </c>
      <c r="BD196" s="483">
        <f>_xlfn.XLOOKUP(Т402[[#This Row],[№]],Д402[№],Д402[Расчетная проектная площадь],"-",0)</f>
        <v>29.73</v>
      </c>
      <c r="BE196" s="485" t="str">
        <f>IFERROR(Т402[[#This Row],[S ПП]]-Т402[[#This Row],[S ДДУ]],"")</f>
        <v/>
      </c>
      <c r="BF196" s="485">
        <f>_xlfn.XLOOKUP(Т402[[#This Row],[№]],Д402[№],Д402[Итоговая сумма скидки],"-",0)</f>
        <v>0</v>
      </c>
      <c r="BG196" s="486" t="str" cm="1">
        <f t="array" ref="BG19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6" s="488" t="str">
        <f>IFERROR(Т402[[#This Row],[ППС]]-Т402[[#This Row],[ДДУС]],"")</f>
        <v/>
      </c>
    </row>
    <row r="197" spans="1:60" x14ac:dyDescent="0.2">
      <c r="A197" s="611"/>
      <c r="B197" s="234">
        <f>VLOOKUP(ППД4!A194,Реестр_Д4[№],1,0)</f>
        <v>193</v>
      </c>
      <c r="C197" s="234" t="str">
        <f>VLOOKUP(ППД4!CO194,Реестр_Д4[Статус],1,0)</f>
        <v>Продажа</v>
      </c>
      <c r="D197" s="612">
        <f>VLOOKUP(ППД4!CE194,Реестр_Д4[Стоимость ОН без отделки со скидкой],1,0)</f>
        <v>2294171.6</v>
      </c>
      <c r="E197" s="612" cm="1">
        <f t="array" ref="E197">IFERROR(INDEX(РД[Стоимость без отделки итог],MATCH($B$3&amp;Таблица4[[#This Row],[№]]&amp;"Продажа",РД[Дом]&amp;РД[№ кв]&amp;РД[Состояние],0),1),Таблица4[[#This Row],[Статус]])</f>
        <v>2294171.6</v>
      </c>
      <c r="F197" s="235">
        <f>IFERROR((Таблица4[[#This Row],[ПП]]-Таблица4[[#This Row],[ДДУ]])*1,"")</f>
        <v>0</v>
      </c>
      <c r="G197" s="235" cm="1">
        <f t="array" ref="G197">IFERROR(INDEX(РД[Стоимость с отделкой итог],MATCH($B$3&amp;Таблица4[[#This Row],[№]]&amp;"Продажа",РД[Дом]&amp;РД[№ кв]&amp;РД[Состояние],0),1),Таблица4[[#This Row],[Статус]])</f>
        <v>2294171.6</v>
      </c>
      <c r="H197" s="235">
        <f>_xlfn.XLOOKUP(Таблица4[[#This Row],[№]],Реестр_Д4[№],Реестр_Д4[Стоимость квартиры с отделкой],"-",0)</f>
        <v>2294171.6</v>
      </c>
      <c r="I197" s="235">
        <f>IFERROR(Таблица4[[#This Row],[СО ПП]]-Таблица4[[#This Row],[СО ДДУ]],"")</f>
        <v>0</v>
      </c>
      <c r="J197" s="233" cm="1">
        <f t="array" ref="J197">IFERROR(INDEX(РД[S],MATCH($B$3&amp;Таблица4[[#This Row],[№]]&amp;"Продажа",РД[Дом]&amp;РД[№ кв]&amp;РД[Состояние],0),1),Таблица4[[#This Row],[Статус]])</f>
        <v>28.97</v>
      </c>
      <c r="K197" s="233">
        <f>VLOOKUP(Таблица4[[#This Row],[№]],Реестр_Д4[],20,0)</f>
        <v>28.97</v>
      </c>
      <c r="L197" s="235">
        <f>IFERROR(Таблица4[[#This Row],[S ПП]]-Таблица4[[#This Row],[S ДДУ]],)</f>
        <v>0</v>
      </c>
      <c r="M197" s="235">
        <f>ROUND(_xlfn.XLOOKUP(Таблица4[[#This Row],[№]],Реестр_Д4[№],Реестр_Д4[Итоговая сумма скидки],"",0),2)</f>
        <v>120745.87</v>
      </c>
      <c r="N197" s="235" cm="1">
        <f t="array" ref="N197">IFERROR(ROUND(_xlfn.XLOOKUP($B$3&amp;Таблица4[[#This Row],[№]]&amp;"Продажа",РД[Дом]&amp;РД[№ кв]&amp;РД[Состояние],РД[Сумма скидки],"",0),2),Таблица4[[#This Row],[Статус]])</f>
        <v>120745.87</v>
      </c>
      <c r="O197" s="235">
        <f>IFERROR(Таблица4[[#This Row],[ППС]]-Таблица4[[#This Row],[ДДУС]],)</f>
        <v>0</v>
      </c>
      <c r="P197" s="611"/>
      <c r="Q197" s="234">
        <f>VLOOKUP(ППД5!A194,Реестр_Д5[№],1,0)</f>
        <v>193</v>
      </c>
      <c r="R197" s="234" t="str">
        <f>VLOOKUP(ППД5!CH194,Реестр_Д5[Статус],1,0)</f>
        <v>Продажа</v>
      </c>
      <c r="S197" s="612">
        <f>VLOOKUP(ППД5!BZ194,Реестр_Д5[Стоимость ОН без отделки со скидкой],1,0)</f>
        <v>6419910</v>
      </c>
      <c r="T197" s="612" cm="1">
        <f t="array" ref="T197">IFERROR(INDEX(РД[Стоимость без отделки итог],MATCH($Q$3&amp;Таблица10[[#This Row],[№]]&amp;"Продажа",РД[Дом]&amp;РД[№ кв]&amp;РД[Состояние],0),1),Таблица10[[#This Row],[Статус]])</f>
        <v>6419910</v>
      </c>
      <c r="U197" s="235">
        <f>IFERROR((Таблица10[[#This Row],[ПП]]-Таблица10[[#This Row],[ДДУ]])*1,)</f>
        <v>0</v>
      </c>
      <c r="V197" s="235" cm="1">
        <f t="array" ref="V197">IFERROR(INDEX(РД[Стоимость с отделкой итог],MATCH($Q$3&amp;Таблица10[[#This Row],[№]]&amp;"Продажа",РД[Дом]&amp;РД[№ кв]&amp;РД[Состояние],0),1),Таблица10[[#This Row],[Статус]])</f>
        <v>6419910</v>
      </c>
      <c r="W197" s="235">
        <f>_xlfn.XLOOKUP(Таблица10[[#This Row],[№]],Реестр_Д5[№],Реестр_Д5[Стоимость квартиры с отделкой],"-",0)</f>
        <v>6419910</v>
      </c>
      <c r="X197" s="235">
        <f>IFERROR(Таблица10[[#This Row],[СО ПП]]-Таблица10[[#This Row],[СО ДДУ]],"")</f>
        <v>0</v>
      </c>
      <c r="Y197" s="233" cm="1">
        <f t="array" ref="Y197">IFERROR(INDEX(РД[S],MATCH($Q$3&amp;Таблица10[[#This Row],[№]]&amp;"Продажа",РД[Дом]&amp;РД[№ кв]&amp;РД[Состояние],0),1),Таблица10[[#This Row],[Статус]])</f>
        <v>84.99</v>
      </c>
      <c r="Z197" s="233">
        <f>IF(Таблица10[[#This Row],[№]]&amp;"ДДУ"=ППД5!A194&amp;ППД5!CR194,ППД5!U194,ППД5!V194)</f>
        <v>84.99</v>
      </c>
      <c r="AA197" s="285">
        <f>IFERROR(Таблица10[[#This Row],[S ПП]]-Таблица10[[#This Row],[S ДДУ]],)</f>
        <v>0</v>
      </c>
      <c r="AB197" s="235">
        <f>ROUND(_xlfn.XLOOKUP(Таблица10[[#This Row],[№]],Реестр_Д5[№],Реестр_Д5[Итоговая сумма скидки],"",0),2)</f>
        <v>337890</v>
      </c>
      <c r="AC197" s="235" cm="1">
        <f t="array" ref="AC197">IFERROR(ROUND(_xlfn.XLOOKUP($Q$3&amp;Таблица10[[#This Row],[№]]&amp;"Продажа",РД[Дом]&amp;РД[№ кв]&amp;РД[Состояние],РД[Сумма скидки],"",0,-1),2),Таблица10[[#This Row],[Статус]])</f>
        <v>337890</v>
      </c>
      <c r="AD197" s="285">
        <f>IFERROR(Таблица10[[#This Row],[ППС]]-Таблица10[[#This Row],[ДДУС]],)</f>
        <v>0</v>
      </c>
      <c r="AE197" s="611"/>
      <c r="AT197" s="611"/>
      <c r="AU197" s="484">
        <f>VLOOKUP(ППД402!A194,Д402[],1,0)</f>
        <v>193</v>
      </c>
      <c r="AV197" s="484" t="str">
        <f>_xlfn.XLOOKUP(Т402[[#This Row],[№]],Д402[№],Д402[Статус],"-",0)</f>
        <v>Продажа</v>
      </c>
      <c r="AW197" s="613">
        <f>_xlfn.XLOOKUP(Т402[[#This Row],[№]],Д402[№],Д402[Стоимость ОН без отделки со скидкой],"-",0)</f>
        <v>5515930</v>
      </c>
      <c r="AX197" s="614" cm="1">
        <f t="array" ref="AX197">IFERROR(INDEX(РД[Стоимость без отделки итог],MATCH($AU$3&amp;Т402[[#This Row],[№]]&amp;"Продажа",РД[Дом]&amp;РД[№ кв]&amp;РД[Состояние],0),1),Т402[[#This Row],[Статус]])</f>
        <v>5515930</v>
      </c>
      <c r="AY197" s="485">
        <f>IFERROR((Т402[[#This Row],[ПП]]-Т402[[#This Row],[ДДУ]])*1,"")</f>
        <v>0</v>
      </c>
      <c r="AZ197" s="486" cm="1">
        <f t="array" ref="AZ197">IFERROR(INDEX(РД[Стоимость с отделкой итог],MATCH($AU$3&amp;Т402[[#This Row],[№]]&amp;"Продажа",РД[Дом]&amp;РД[№ кв]&amp;РД[Состояние],0),1),Т402[[#This Row],[Статус]])</f>
        <v>5958430</v>
      </c>
      <c r="BA197" s="485">
        <f>_xlfn.XLOOKUP(Т402[[#This Row],[№]],Д402[№],Д402[Стоимость квартиры с отделкой],"-",0)</f>
        <v>5958430</v>
      </c>
      <c r="BB197" s="485">
        <f>IFERROR(Т402[[#This Row],[СО ПП]]-Т402[[#This Row],[СО ДДУ]],"")</f>
        <v>0</v>
      </c>
      <c r="BC197" s="487" cm="1">
        <f t="array" ref="BC197">IFERROR(INDEX(РД[S],MATCH($AU$3&amp;Т402[[#This Row],[№]]&amp;"Продажа",РД[Дом]&amp;РД[№ кв]&amp;РД[Состояние],0),1),Т402[[#This Row],[Статус]])</f>
        <v>44.25</v>
      </c>
      <c r="BD197" s="483">
        <f>_xlfn.XLOOKUP(Т402[[#This Row],[№]],Д402[№],Д402[Расчетная проектная площадь],"-",0)</f>
        <v>44.25</v>
      </c>
      <c r="BE197" s="485">
        <f>IFERROR(Т402[[#This Row],[S ПП]]-Т402[[#This Row],[S ДДУ]],"")</f>
        <v>0</v>
      </c>
      <c r="BF197" s="485">
        <f>_xlfn.XLOOKUP(Т402[[#This Row],[№]],Д402[№],Д402[Итоговая сумма скидки],"-",0)</f>
        <v>112570</v>
      </c>
      <c r="BG197" s="486" cm="1">
        <f t="array" ref="BG197">IFERROR(ROUND(_xlfn.XLOOKUP($AU$3&amp;Т402[[#This Row],[№]]&amp;"Продажа",РД[Дом]&amp;РД[№ кв]&amp;РД[Состояние],РД[Сумма скидки],"",0),2),Т402[[#This Row],[Статус]])</f>
        <v>112570</v>
      </c>
      <c r="BH197" s="488">
        <f>IFERROR(Т402[[#This Row],[ППС]]-Т402[[#This Row],[ДДУС]],"")</f>
        <v>0</v>
      </c>
    </row>
    <row r="198" spans="1:60" x14ac:dyDescent="0.2">
      <c r="A198" s="611"/>
      <c r="B198" s="234">
        <f>VLOOKUP(ППД4!A195,Реестр_Д4[№],1,0)</f>
        <v>194</v>
      </c>
      <c r="C198" s="234" t="str">
        <f>VLOOKUP(ППД4!CO195,Реестр_Д4[Статус],1,0)</f>
        <v>Продажа</v>
      </c>
      <c r="D198" s="612">
        <f>VLOOKUP(ППД4!CE195,Реестр_Д4[Стоимость ОН без отделки со скидкой],1,0)</f>
        <v>5905382</v>
      </c>
      <c r="E198" s="612" cm="1">
        <f t="array" ref="E198">IFERROR(INDEX(РД[Стоимость без отделки итог],MATCH($B$3&amp;Таблица4[[#This Row],[№]]&amp;"Продажа",РД[Дом]&amp;РД[№ кв]&amp;РД[Состояние],0),1),Таблица4[[#This Row],[Статус]])</f>
        <v>5905382</v>
      </c>
      <c r="F198" s="235">
        <f>IFERROR((Таблица4[[#This Row],[ПП]]-Таблица4[[#This Row],[ДДУ]])*1,"")</f>
        <v>0</v>
      </c>
      <c r="G198" s="235" cm="1">
        <f t="array" ref="G198">IFERROR(INDEX(РД[Стоимость с отделкой итог],MATCH($B$3&amp;Таблица4[[#This Row],[№]]&amp;"Продажа",РД[Дом]&amp;РД[№ кв]&amp;РД[Состояние],0),1),Таблица4[[#This Row],[Статус]])</f>
        <v>5905382</v>
      </c>
      <c r="H198" s="235">
        <f>_xlfn.XLOOKUP(Таблица4[[#This Row],[№]],Реестр_Д4[№],Реестр_Д4[Стоимость квартиры с отделкой],"-",0)</f>
        <v>5905382</v>
      </c>
      <c r="I198" s="235">
        <f>IFERROR(Таблица4[[#This Row],[СО ПП]]-Таблица4[[#This Row],[СО ДДУ]],"")</f>
        <v>0</v>
      </c>
      <c r="J198" s="233" cm="1">
        <f t="array" ref="J198">IFERROR(INDEX(РД[S],MATCH($B$3&amp;Таблица4[[#This Row],[№]]&amp;"Продажа",РД[Дом]&amp;РД[№ кв]&amp;РД[Состояние],0),1),Таблица4[[#This Row],[Статус]])</f>
        <v>68.75</v>
      </c>
      <c r="K198" s="233">
        <f>VLOOKUP(Таблица4[[#This Row],[№]],Реестр_Д4[],20,0)</f>
        <v>68.75</v>
      </c>
      <c r="L198" s="235">
        <f>IFERROR(Таблица4[[#This Row],[S ПП]]-Таблица4[[#This Row],[S ДДУ]],)</f>
        <v>0</v>
      </c>
      <c r="M198" s="235">
        <f>ROUND(_xlfn.XLOOKUP(Таблица4[[#This Row],[№]],Реестр_Д4[№],Реестр_Д4[Итоговая сумма скидки],"",0),2)</f>
        <v>120518</v>
      </c>
      <c r="N198" s="235" cm="1">
        <f t="array" ref="N198">IFERROR(ROUND(_xlfn.XLOOKUP($B$3&amp;Таблица4[[#This Row],[№]]&amp;"Продажа",РД[Дом]&amp;РД[№ кв]&amp;РД[Состояние],РД[Сумма скидки],"",0),2),Таблица4[[#This Row],[Статус]])</f>
        <v>120518</v>
      </c>
      <c r="O198" s="235">
        <f>IFERROR(Таблица4[[#This Row],[ППС]]-Таблица4[[#This Row],[ДДУС]],)</f>
        <v>0</v>
      </c>
      <c r="P198" s="611"/>
      <c r="Q198" s="234">
        <f>VLOOKUP(ППД5!A195,Реестр_Д5[№],1,0)</f>
        <v>194</v>
      </c>
      <c r="R198" s="234" t="str">
        <f>VLOOKUP(ППД5!CH195,Реестр_Д5[Статус],1,0)</f>
        <v>Продажа</v>
      </c>
      <c r="S198" s="612">
        <f>VLOOKUP(ППД5!BZ195,Реестр_Д5[Стоимость ОН без отделки со скидкой],1,0)</f>
        <v>4668800</v>
      </c>
      <c r="T198" s="612" cm="1">
        <f t="array" ref="T198">IFERROR(INDEX(РД[Стоимость без отделки итог],MATCH($Q$3&amp;Таблица10[[#This Row],[№]]&amp;"Продажа",РД[Дом]&amp;РД[№ кв]&amp;РД[Состояние],0),1),Таблица10[[#This Row],[Статус]])</f>
        <v>4668800</v>
      </c>
      <c r="U198" s="235">
        <f>IFERROR((Таблица10[[#This Row],[ПП]]-Таблица10[[#This Row],[ДДУ]])*1,)</f>
        <v>0</v>
      </c>
      <c r="V198" s="235" cm="1">
        <f t="array" ref="V198">IFERROR(INDEX(РД[Стоимость с отделкой итог],MATCH($Q$3&amp;Таблица10[[#This Row],[№]]&amp;"Продажа",РД[Дом]&amp;РД[№ кв]&amp;РД[Состояние],0),1),Таблица10[[#This Row],[Статус]])</f>
        <v>4964760</v>
      </c>
      <c r="W198" s="235">
        <f>_xlfn.XLOOKUP(Таблица10[[#This Row],[№]],Реестр_Д5[№],Реестр_Д5[Стоимость квартиры с отделкой],"-",0)</f>
        <v>4964760</v>
      </c>
      <c r="X198" s="235">
        <f>IFERROR(Таблица10[[#This Row],[СО ПП]]-Таблица10[[#This Row],[СО ДДУ]],"")</f>
        <v>0</v>
      </c>
      <c r="Y198" s="233" cm="1">
        <f t="array" ref="Y198">IFERROR(INDEX(РД[S],MATCH($Q$3&amp;Таблица10[[#This Row],[№]]&amp;"Продажа",РД[Дом]&amp;РД[№ кв]&amp;РД[Состояние],0),1),Таблица10[[#This Row],[Статус]])</f>
        <v>42.28</v>
      </c>
      <c r="Z198" s="233">
        <f>IF(Таблица10[[#This Row],[№]]&amp;"ДДУ"=ППД5!A195&amp;ППД5!CR195,ППД5!U195,ППД5!V195)</f>
        <v>42.28</v>
      </c>
      <c r="AA198" s="285">
        <f>IFERROR(Таблица10[[#This Row],[S ПП]]-Таблица10[[#This Row],[S ДДУ]],)</f>
        <v>0</v>
      </c>
      <c r="AB198" s="235">
        <f>ROUND(_xlfn.XLOOKUP(Таблица10[[#This Row],[№]],Реестр_Д5[№],Реестр_Д5[Итоговая сумма скидки],"",0),2)</f>
        <v>0</v>
      </c>
      <c r="AC198" s="235" cm="1">
        <f t="array" ref="AC19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98" s="285">
        <f>IFERROR(Таблица10[[#This Row],[ППС]]-Таблица10[[#This Row],[ДДУС]],)</f>
        <v>0</v>
      </c>
      <c r="AE198" s="611"/>
      <c r="AT198" s="611"/>
      <c r="AU198" s="484">
        <f>VLOOKUP(ППД402!A195,Д402[],1,0)</f>
        <v>194</v>
      </c>
      <c r="AV198" s="484" t="str">
        <f>_xlfn.XLOOKUP(Т402[[#This Row],[№]],Д402[№],Д402[Статус],"-",0)</f>
        <v>Продажа</v>
      </c>
      <c r="AW198" s="613">
        <f>_xlfn.XLOOKUP(Т402[[#This Row],[№]],Д402[№],Д402[Стоимость ОН без отделки со скидкой],"-",0)</f>
        <v>4622268</v>
      </c>
      <c r="AX198" s="614" cm="1">
        <f t="array" ref="AX198">IFERROR(INDEX(РД[Стоимость без отделки итог],MATCH($AU$3&amp;Т402[[#This Row],[№]]&amp;"Продажа",РД[Дом]&amp;РД[№ кв]&amp;РД[Состояние],0),1),Т402[[#This Row],[Статус]])</f>
        <v>4622268</v>
      </c>
      <c r="AY198" s="485">
        <f>IFERROR((Т402[[#This Row],[ПП]]-Т402[[#This Row],[ДДУ]])*1,"")</f>
        <v>0</v>
      </c>
      <c r="AZ198" s="486" cm="1">
        <f t="array" ref="AZ198">IFERROR(INDEX(РД[Стоимость с отделкой итог],MATCH($AU$3&amp;Т402[[#This Row],[№]]&amp;"Продажа",РД[Дом]&amp;РД[№ кв]&amp;РД[Состояние],0),1),Т402[[#This Row],[Статус]])</f>
        <v>4622268</v>
      </c>
      <c r="BA198" s="485">
        <f>_xlfn.XLOOKUP(Т402[[#This Row],[№]],Д402[№],Д402[Стоимость квартиры с отделкой],"-",0)</f>
        <v>4622268</v>
      </c>
      <c r="BB198" s="485">
        <f>IFERROR(Т402[[#This Row],[СО ПП]]-Т402[[#This Row],[СО ДДУ]],"")</f>
        <v>0</v>
      </c>
      <c r="BC198" s="487" cm="1">
        <f t="array" ref="BC198">IFERROR(INDEX(РД[S],MATCH($AU$3&amp;Т402[[#This Row],[№]]&amp;"Продажа",РД[Дом]&amp;РД[№ кв]&amp;РД[Состояние],0),1),Т402[[#This Row],[Статус]])</f>
        <v>36.64</v>
      </c>
      <c r="BD198" s="483">
        <f>_xlfn.XLOOKUP(Т402[[#This Row],[№]],Д402[№],Д402[Расчетная проектная площадь],"-",0)</f>
        <v>36.64</v>
      </c>
      <c r="BE198" s="485">
        <f>IFERROR(Т402[[#This Row],[S ПП]]-Т402[[#This Row],[S ДДУ]],"")</f>
        <v>0</v>
      </c>
      <c r="BF198" s="485">
        <f>_xlfn.XLOOKUP(Т402[[#This Row],[№]],Д402[№],Д402[Итоговая сумма скидки],"-",0)</f>
        <v>94332</v>
      </c>
      <c r="BG198" s="486" cm="1">
        <f t="array" ref="BG198">IFERROR(ROUND(_xlfn.XLOOKUP($AU$3&amp;Т402[[#This Row],[№]]&amp;"Продажа",РД[Дом]&amp;РД[№ кв]&amp;РД[Состояние],РД[Сумма скидки],"",0),2),Т402[[#This Row],[Статус]])</f>
        <v>94332</v>
      </c>
      <c r="BH198" s="488">
        <f>IFERROR(Т402[[#This Row],[ППС]]-Т402[[#This Row],[ДДУС]],"")</f>
        <v>0</v>
      </c>
    </row>
    <row r="199" spans="1:60" x14ac:dyDescent="0.2">
      <c r="A199" s="611"/>
      <c r="B199" s="234">
        <f>VLOOKUP(ППД4!A196,Реестр_Д4[№],1,0)</f>
        <v>195</v>
      </c>
      <c r="C199" s="234" t="str">
        <f>VLOOKUP(ППД4!CO196,Реестр_Д4[Статус],1,0)</f>
        <v>Продажа</v>
      </c>
      <c r="D199" s="612">
        <f>VLOOKUP(ППД4!CE196,Реестр_Д4[Стоимость ОН без отделки со скидкой],1,0)</f>
        <v>2020905.6</v>
      </c>
      <c r="E199" s="612" cm="1">
        <f t="array" ref="E199">IFERROR(INDEX(РД[Стоимость без отделки итог],MATCH($B$3&amp;Таблица4[[#This Row],[№]]&amp;"Продажа",РД[Дом]&amp;РД[№ кв]&amp;РД[Состояние],0),1),Таблица4[[#This Row],[Статус]])</f>
        <v>2020905.6</v>
      </c>
      <c r="F199" s="235">
        <f>IFERROR((Таблица4[[#This Row],[ПП]]-Таблица4[[#This Row],[ДДУ]])*1,"")</f>
        <v>0</v>
      </c>
      <c r="G199" s="235" cm="1">
        <f t="array" ref="G199">IFERROR(INDEX(РД[Стоимость с отделкой итог],MATCH($B$3&amp;Таблица4[[#This Row],[№]]&amp;"Продажа",РД[Дом]&amp;РД[№ кв]&amp;РД[Состояние],0),1),Таблица4[[#This Row],[Статус]])</f>
        <v>2020905.6</v>
      </c>
      <c r="H199" s="235">
        <f>_xlfn.XLOOKUP(Таблица4[[#This Row],[№]],Реестр_Д4[№],Реестр_Д4[Стоимость квартиры с отделкой],"-",0)</f>
        <v>2020905.6</v>
      </c>
      <c r="I199" s="235">
        <f>IFERROR(Таблица4[[#This Row],[СО ПП]]-Таблица4[[#This Row],[СО ДДУ]],"")</f>
        <v>0</v>
      </c>
      <c r="J199" s="233" cm="1">
        <f t="array" ref="J199">IFERROR(INDEX(РД[S],MATCH($B$3&amp;Таблица4[[#This Row],[№]]&amp;"Продажа",РД[Дом]&amp;РД[№ кв]&amp;РД[Состояние],0),1),Таблица4[[#This Row],[Статус]])</f>
        <v>35.380000000000003</v>
      </c>
      <c r="K199" s="233">
        <f>VLOOKUP(Таблица4[[#This Row],[№]],Реестр_Д4[],20,0)</f>
        <v>35.380000000000003</v>
      </c>
      <c r="L199" s="235">
        <f>IFERROR(Таблица4[[#This Row],[S ПП]]-Таблица4[[#This Row],[S ДДУ]],)</f>
        <v>0</v>
      </c>
      <c r="M199" s="235">
        <f>ROUND(_xlfn.XLOOKUP(Таблица4[[#This Row],[№]],Реестр_Д4[№],Реестр_Д4[Итоговая сумма скидки],"",0),2)</f>
        <v>505226.4</v>
      </c>
      <c r="N199" s="235" cm="1">
        <f t="array" ref="N199">IFERROR(ROUND(_xlfn.XLOOKUP($B$3&amp;Таблица4[[#This Row],[№]]&amp;"Продажа",РД[Дом]&amp;РД[№ кв]&amp;РД[Состояние],РД[Сумма скидки],"",0),2),Таблица4[[#This Row],[Статус]])</f>
        <v>505226.4</v>
      </c>
      <c r="O199" s="235">
        <f>IFERROR(Таблица4[[#This Row],[ППС]]-Таблица4[[#This Row],[ДДУС]],)</f>
        <v>0</v>
      </c>
      <c r="P199" s="611"/>
      <c r="Q199" s="234">
        <f>VLOOKUP(ППД5!A196,Реестр_Д5[№],1,0)</f>
        <v>195</v>
      </c>
      <c r="R199" s="234" t="str">
        <f>VLOOKUP(ППД5!CH196,Реестр_Д5[Статус],1,0)</f>
        <v>Продажа</v>
      </c>
      <c r="S199" s="612">
        <f>VLOOKUP(ППД5!BZ196,Реестр_Д5[Стоимость ОН без отделки со скидкой],1,0)</f>
        <v>5546800</v>
      </c>
      <c r="T199" s="612" cm="1">
        <f t="array" ref="T199">IFERROR(INDEX(РД[Стоимость без отделки итог],MATCH($Q$3&amp;Таблица10[[#This Row],[№]]&amp;"Продажа",РД[Дом]&amp;РД[№ кв]&amp;РД[Состояние],0),1),Таблица10[[#This Row],[Статус]])</f>
        <v>5546800</v>
      </c>
      <c r="U199" s="235">
        <f>IFERROR((Таблица10[[#This Row],[ПП]]-Таблица10[[#This Row],[ДДУ]])*1,)</f>
        <v>0</v>
      </c>
      <c r="V199" s="235" cm="1">
        <f t="array" ref="V199">IFERROR(INDEX(РД[Стоимость с отделкой итог],MATCH($Q$3&amp;Таблица10[[#This Row],[№]]&amp;"Продажа",РД[Дом]&amp;РД[№ кв]&amp;РД[Состояние],0),1),Таблица10[[#This Row],[Статус]])</f>
        <v>5546800</v>
      </c>
      <c r="W199" s="235">
        <f>_xlfn.XLOOKUP(Таблица10[[#This Row],[№]],Реестр_Д5[№],Реестр_Д5[Стоимость квартиры с отделкой],"-",0)</f>
        <v>5546800</v>
      </c>
      <c r="X199" s="235">
        <f>IFERROR(Таблица10[[#This Row],[СО ПП]]-Таблица10[[#This Row],[СО ДДУ]],"")</f>
        <v>0</v>
      </c>
      <c r="Y199" s="233" cm="1">
        <f t="array" ref="Y199">IFERROR(INDEX(РД[S],MATCH($Q$3&amp;Таблица10[[#This Row],[№]]&amp;"Продажа",РД[Дом]&amp;РД[№ кв]&amp;РД[Состояние],0),1),Таблица10[[#This Row],[Статус]])</f>
        <v>60.22</v>
      </c>
      <c r="Z199" s="233">
        <f>IF(Таблица10[[#This Row],[№]]&amp;"ДДУ"=ППД5!A196&amp;ППД5!CR196,ППД5!U196,ППД5!V196)</f>
        <v>60.22</v>
      </c>
      <c r="AA199" s="285">
        <f>IFERROR(Таблица10[[#This Row],[S ПП]]-Таблица10[[#This Row],[S ДДУ]],)</f>
        <v>0</v>
      </c>
      <c r="AB199" s="235">
        <f>ROUND(_xlfn.XLOOKUP(Таблица10[[#This Row],[№]],Реестр_Д5[№],Реестр_Д5[Итоговая сумма скидки],"",0),2)</f>
        <v>0</v>
      </c>
      <c r="AC199" s="235" cm="1">
        <f t="array" ref="AC19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199" s="285">
        <f>IFERROR(Таблица10[[#This Row],[ППС]]-Таблица10[[#This Row],[ДДУС]],)</f>
        <v>0</v>
      </c>
      <c r="AE199" s="611"/>
      <c r="AT199" s="611"/>
      <c r="AU199" s="484">
        <f>VLOOKUP(ППД402!A196,Д402[],1,0)</f>
        <v>195</v>
      </c>
      <c r="AV199" s="484" t="str">
        <f>_xlfn.XLOOKUP(Т402[[#This Row],[№]],Д402[№],Д402[Статус],"-",0)</f>
        <v>Стр. Резерв</v>
      </c>
      <c r="AW199" s="613">
        <f>_xlfn.XLOOKUP(Т402[[#This Row],[№]],Д402[№],Д402[Стоимость ОН без отделки со скидкой],"-",0)</f>
        <v>6760300</v>
      </c>
      <c r="AX199" s="614" t="str" cm="1">
        <f t="array" ref="AX19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199" s="485" t="str">
        <f>IFERROR((Т402[[#This Row],[ПП]]-Т402[[#This Row],[ДДУ]])*1,"")</f>
        <v/>
      </c>
      <c r="AZ199" s="486" t="str" cm="1">
        <f t="array" ref="AZ19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199" s="485">
        <f>_xlfn.XLOOKUP(Т402[[#This Row],[№]],Д402[№],Д402[Стоимость квартиры с отделкой],"-",0)</f>
        <v>6760300</v>
      </c>
      <c r="BB199" s="485" t="str">
        <f>IFERROR(Т402[[#This Row],[СО ПП]]-Т402[[#This Row],[СО ДДУ]],"")</f>
        <v/>
      </c>
      <c r="BC199" s="487" t="str" cm="1">
        <f t="array" ref="BC199">IFERROR(INDEX(РД[S],MATCH($AU$3&amp;Т402[[#This Row],[№]]&amp;"Продажа",РД[Дом]&amp;РД[№ кв]&amp;РД[Состояние],0),1),Т402[[#This Row],[Статус]])</f>
        <v>Стр. Резерв</v>
      </c>
      <c r="BD199" s="483">
        <f>_xlfn.XLOOKUP(Т402[[#This Row],[№]],Д402[№],Д402[Расчетная проектная площадь],"-",0)</f>
        <v>54.44</v>
      </c>
      <c r="BE199" s="485" t="str">
        <f>IFERROR(Т402[[#This Row],[S ПП]]-Т402[[#This Row],[S ДДУ]],"")</f>
        <v/>
      </c>
      <c r="BF199" s="485">
        <f>_xlfn.XLOOKUP(Т402[[#This Row],[№]],Д402[№],Д402[Итоговая сумма скидки],"-",0)</f>
        <v>0</v>
      </c>
      <c r="BG199" s="486" t="str" cm="1">
        <f t="array" ref="BG19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199" s="488" t="str">
        <f>IFERROR(Т402[[#This Row],[ППС]]-Т402[[#This Row],[ДДУС]],"")</f>
        <v/>
      </c>
    </row>
    <row r="200" spans="1:60" x14ac:dyDescent="0.2">
      <c r="A200" s="611"/>
      <c r="B200" s="234">
        <f>VLOOKUP(ППД4!A197,Реестр_Д4[№],1,0)</f>
        <v>196</v>
      </c>
      <c r="C200" s="234" t="str">
        <f>VLOOKUP(ППД4!CO197,Реестр_Д4[Статус],1,0)</f>
        <v>Продажа</v>
      </c>
      <c r="D200" s="612">
        <f>VLOOKUP(ППД4!CE197,Реестр_Д4[Стоимость ОН без отделки со скидкой],1,0)</f>
        <v>3995200</v>
      </c>
      <c r="E200" s="612" cm="1">
        <f t="array" ref="E200">IFERROR(INDEX(РД[Стоимость без отделки итог],MATCH($B$3&amp;Таблица4[[#This Row],[№]]&amp;"Продажа",РД[Дом]&amp;РД[№ кв]&amp;РД[Состояние],0),1),Таблица4[[#This Row],[Статус]])</f>
        <v>3995200</v>
      </c>
      <c r="F200" s="235">
        <f>IFERROR((Таблица4[[#This Row],[ПП]]-Таблица4[[#This Row],[ДДУ]])*1,"")</f>
        <v>0</v>
      </c>
      <c r="G200" s="235" cm="1">
        <f t="array" ref="G200">IFERROR(INDEX(РД[Стоимость с отделкой итог],MATCH($B$3&amp;Таблица4[[#This Row],[№]]&amp;"Продажа",РД[Дом]&amp;РД[№ кв]&amp;РД[Состояние],0),1),Таблица4[[#This Row],[Статус]])</f>
        <v>4278775</v>
      </c>
      <c r="H200" s="235">
        <f>_xlfn.XLOOKUP(Таблица4[[#This Row],[№]],Реестр_Д4[№],Реестр_Д4[Стоимость квартиры с отделкой],"-",0)</f>
        <v>4278775</v>
      </c>
      <c r="I200" s="235">
        <f>IFERROR(Таблица4[[#This Row],[СО ПП]]-Таблица4[[#This Row],[СО ДДУ]],"")</f>
        <v>0</v>
      </c>
      <c r="J200" s="233" cm="1">
        <f t="array" ref="J200">IFERROR(INDEX(РД[S],MATCH($B$3&amp;Таблица4[[#This Row],[№]]&amp;"Продажа",РД[Дом]&amp;РД[№ кв]&amp;РД[Состояние],0),1),Таблица4[[#This Row],[Статус]])</f>
        <v>37.81</v>
      </c>
      <c r="K200" s="233">
        <f>VLOOKUP(Таблица4[[#This Row],[№]],Реестр_Д4[],20,0)</f>
        <v>37.81</v>
      </c>
      <c r="L200" s="235">
        <f>IFERROR(Таблица4[[#This Row],[S ПП]]-Таблица4[[#This Row],[S ДДУ]],)</f>
        <v>0</v>
      </c>
      <c r="M200" s="235">
        <f>ROUND(_xlfn.XLOOKUP(Таблица4[[#This Row],[№]],Реестр_Д4[№],Реестр_Д4[Итоговая сумма скидки],"",0),2)</f>
        <v>0</v>
      </c>
      <c r="N200" s="235" cm="1">
        <f t="array" ref="N20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0" s="235">
        <f>IFERROR(Таблица4[[#This Row],[ППС]]-Таблица4[[#This Row],[ДДУС]],)</f>
        <v>0</v>
      </c>
      <c r="P200" s="611"/>
      <c r="Q200" s="234">
        <f>VLOOKUP(ППД5!A197,Реестр_Д5[№],1,0)</f>
        <v>196</v>
      </c>
      <c r="R200" s="234" t="str">
        <f>VLOOKUP(ППД5!CH197,Реестр_Д5[Статус],1,0)</f>
        <v>Свободно</v>
      </c>
      <c r="S200" s="612">
        <f>VLOOKUP(ППД5!BZ197,Реестр_Д5[Стоимость ОН без отделки со скидкой],1,0)</f>
        <v>3601900</v>
      </c>
      <c r="T200" s="612" t="str" cm="1">
        <f t="array" ref="T20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00" s="235">
        <f>IFERROR((Таблица10[[#This Row],[ПП]]-Таблица10[[#This Row],[ДДУ]])*1,)</f>
        <v>0</v>
      </c>
      <c r="V200" s="235" t="str" cm="1">
        <f t="array" ref="V20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00" s="235">
        <f>_xlfn.XLOOKUP(Таблица10[[#This Row],[№]],Реестр_Д5[№],Реестр_Д5[Стоимость квартиры с отделкой],"-",0)</f>
        <v>3601899.9999999995</v>
      </c>
      <c r="X200" s="235" t="str">
        <f>IFERROR(Таблица10[[#This Row],[СО ПП]]-Таблица10[[#This Row],[СО ДДУ]],"")</f>
        <v/>
      </c>
      <c r="Y200" s="233" t="str" cm="1">
        <f t="array" ref="Y200">IFERROR(INDEX(РД[S],MATCH($Q$3&amp;Таблица10[[#This Row],[№]]&amp;"Продажа",РД[Дом]&amp;РД[№ кв]&amp;РД[Состояние],0),1),Таблица10[[#This Row],[Статус]])</f>
        <v>Свободно</v>
      </c>
      <c r="Z200" s="233">
        <f>IF(Таблица10[[#This Row],[№]]&amp;"ДДУ"=ППД5!A197&amp;ППД5!CR197,ППД5!U197,ППД5!V197)</f>
        <v>24.05</v>
      </c>
      <c r="AA200" s="285">
        <f>IFERROR(Таблица10[[#This Row],[S ПП]]-Таблица10[[#This Row],[S ДДУ]],)</f>
        <v>0</v>
      </c>
      <c r="AB200" s="235">
        <f>ROUND(_xlfn.XLOOKUP(Таблица10[[#This Row],[№]],Реестр_Д5[№],Реестр_Д5[Итоговая сумма скидки],"",0),2)</f>
        <v>0</v>
      </c>
      <c r="AC200" s="235" t="str" cm="1">
        <f t="array" ref="AC20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00" s="285">
        <f>IFERROR(Таблица10[[#This Row],[ППС]]-Таблица10[[#This Row],[ДДУС]],)</f>
        <v>0</v>
      </c>
      <c r="AE200" s="611"/>
      <c r="AT200" s="611"/>
      <c r="AU200" s="484">
        <f>VLOOKUP(ППД402!A197,Д402[],1,0)</f>
        <v>196</v>
      </c>
      <c r="AV200" s="484" t="str">
        <f>_xlfn.XLOOKUP(Т402[[#This Row],[№]],Д402[№],Д402[Статус],"-",0)</f>
        <v>Стр. Резерв</v>
      </c>
      <c r="AW200" s="613">
        <f>_xlfn.XLOOKUP(Т402[[#This Row],[№]],Д402[№],Д402[Стоимость ОН без отделки со скидкой],"-",0)</f>
        <v>4719700</v>
      </c>
      <c r="AX200" s="614" t="str" cm="1">
        <f t="array" ref="AX20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0" s="485" t="str">
        <f>IFERROR((Т402[[#This Row],[ПП]]-Т402[[#This Row],[ДДУ]])*1,"")</f>
        <v/>
      </c>
      <c r="AZ200" s="486" t="str" cm="1">
        <f t="array" ref="AZ20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0" s="485">
        <f>_xlfn.XLOOKUP(Т402[[#This Row],[№]],Д402[№],Д402[Стоимость квартиры с отделкой],"-",0)</f>
        <v>5811399.9999999991</v>
      </c>
      <c r="BB200" s="485" t="str">
        <f>IFERROR(Т402[[#This Row],[СО ПП]]-Т402[[#This Row],[СО ДДУ]],"")</f>
        <v/>
      </c>
      <c r="BC200" s="487" t="str" cm="1">
        <f t="array" ref="BC200">IFERROR(INDEX(РД[S],MATCH($AU$3&amp;Т402[[#This Row],[№]]&amp;"Продажа",РД[Дом]&amp;РД[№ кв]&amp;РД[Состояние],0),1),Т402[[#This Row],[Статус]])</f>
        <v>Стр. Резерв</v>
      </c>
      <c r="BD200" s="483">
        <f>_xlfn.XLOOKUP(Т402[[#This Row],[№]],Д402[№],Д402[Расчетная проектная площадь],"-",0)</f>
        <v>36.39</v>
      </c>
      <c r="BE200" s="485" t="str">
        <f>IFERROR(Т402[[#This Row],[S ПП]]-Т402[[#This Row],[S ДДУ]],"")</f>
        <v/>
      </c>
      <c r="BF200" s="485">
        <f>_xlfn.XLOOKUP(Т402[[#This Row],[№]],Д402[№],Д402[Итоговая сумма скидки],"-",0)</f>
        <v>0</v>
      </c>
      <c r="BG200" s="486" t="str" cm="1">
        <f t="array" ref="BG20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0" s="488" t="str">
        <f>IFERROR(Т402[[#This Row],[ППС]]-Т402[[#This Row],[ДДУС]],"")</f>
        <v/>
      </c>
    </row>
    <row r="201" spans="1:60" x14ac:dyDescent="0.2">
      <c r="A201" s="611"/>
      <c r="B201" s="234">
        <f>VLOOKUP(ППД4!A198,Реестр_Д4[№],1,0)</f>
        <v>197</v>
      </c>
      <c r="C201" s="234" t="str">
        <f>VLOOKUP(ППД4!CO198,Реестр_Д4[Статус],1,0)</f>
        <v>Продажа</v>
      </c>
      <c r="D201" s="612">
        <f>VLOOKUP(ППД4!CE198,Реестр_Д4[Стоимость ОН без отделки со скидкой],1,0)</f>
        <v>3380763.26</v>
      </c>
      <c r="E201" s="612" cm="1">
        <f t="array" ref="E201">IFERROR(INDEX(РД[Стоимость без отделки итог],MATCH($B$3&amp;Таблица4[[#This Row],[№]]&amp;"Продажа",РД[Дом]&amp;РД[№ кв]&amp;РД[Состояние],0),1),Таблица4[[#This Row],[Статус]])</f>
        <v>3380763.26</v>
      </c>
      <c r="F201" s="235">
        <f>IFERROR((Таблица4[[#This Row],[ПП]]-Таблица4[[#This Row],[ДДУ]])*1,"")</f>
        <v>0</v>
      </c>
      <c r="G201" s="235" cm="1">
        <f t="array" ref="G201">IFERROR(INDEX(РД[Стоимость с отделкой итог],MATCH($B$3&amp;Таблица4[[#This Row],[№]]&amp;"Продажа",РД[Дом]&amp;РД[№ кв]&amp;РД[Состояние],0),1),Таблица4[[#This Row],[Статус]])</f>
        <v>3380763.26</v>
      </c>
      <c r="H201" s="235">
        <f>_xlfn.XLOOKUP(Таблица4[[#This Row],[№]],Реестр_Д4[№],Реестр_Д4[Стоимость квартиры с отделкой],"-",0)</f>
        <v>3380763.26</v>
      </c>
      <c r="I201" s="235">
        <f>IFERROR(Таблица4[[#This Row],[СО ПП]]-Таблица4[[#This Row],[СО ДДУ]],"")</f>
        <v>0</v>
      </c>
      <c r="J201" s="233" cm="1">
        <f t="array" ref="J201">IFERROR(INDEX(РД[S],MATCH($B$3&amp;Таблица4[[#This Row],[№]]&amp;"Продажа",РД[Дом]&amp;РД[№ кв]&amp;РД[Состояние],0),1),Таблица4[[#This Row],[Статус]])</f>
        <v>36.700000000000003</v>
      </c>
      <c r="K201" s="233">
        <f>VLOOKUP(Таблица4[[#This Row],[№]],Реестр_Д4[],20,0)</f>
        <v>36.700000000000003</v>
      </c>
      <c r="L201" s="235">
        <f>IFERROR(Таблица4[[#This Row],[S ПП]]-Таблица4[[#This Row],[S ДДУ]],)</f>
        <v>0</v>
      </c>
      <c r="M201" s="235">
        <f>ROUND(_xlfn.XLOOKUP(Таблица4[[#This Row],[№]],Реестр_Д4[№],Реестр_Д4[Итоговая сумма скидки],"",0),2)</f>
        <v>0</v>
      </c>
      <c r="N201" s="235" cm="1">
        <f t="array" ref="N20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1" s="235">
        <f>IFERROR(Таблица4[[#This Row],[ППС]]-Таблица4[[#This Row],[ДДУС]],)</f>
        <v>0</v>
      </c>
      <c r="P201" s="611"/>
      <c r="Q201" s="234">
        <f>VLOOKUP(ППД5!A198,Реестр_Д5[№],1,0)</f>
        <v>197</v>
      </c>
      <c r="R201" s="234" t="str">
        <f>VLOOKUP(ППД5!CH198,Реестр_Д5[Статус],1,0)</f>
        <v>Продажа</v>
      </c>
      <c r="S201" s="612">
        <f>VLOOKUP(ППД5!BZ198,Реестр_Д5[Стоимость ОН без отделки со скидкой],1,0)</f>
        <v>6753400</v>
      </c>
      <c r="T201" s="612" cm="1">
        <f t="array" ref="T201">IFERROR(INDEX(РД[Стоимость без отделки итог],MATCH($Q$3&amp;Таблица10[[#This Row],[№]]&amp;"Продажа",РД[Дом]&amp;РД[№ кв]&amp;РД[Состояние],0),1),Таблица10[[#This Row],[Статус]])</f>
        <v>6753400</v>
      </c>
      <c r="U201" s="235">
        <f>IFERROR((Таблица10[[#This Row],[ПП]]-Таблица10[[#This Row],[ДДУ]])*1,)</f>
        <v>0</v>
      </c>
      <c r="V201" s="235" cm="1">
        <f t="array" ref="V201">IFERROR(INDEX(РД[Стоимость с отделкой итог],MATCH($Q$3&amp;Таблица10[[#This Row],[№]]&amp;"Продажа",РД[Дом]&amp;РД[№ кв]&amp;РД[Состояние],0),1),Таблица10[[#This Row],[Статус]])</f>
        <v>8193400</v>
      </c>
      <c r="W201" s="235">
        <f>_xlfn.XLOOKUP(Таблица10[[#This Row],[№]],Реестр_Д5[№],Реестр_Д5[Стоимость квартиры с отделкой],"-",0)</f>
        <v>8193400</v>
      </c>
      <c r="X201" s="235">
        <f>IFERROR(Таблица10[[#This Row],[СО ПП]]-Таблица10[[#This Row],[СО ДДУ]],"")</f>
        <v>0</v>
      </c>
      <c r="Y201" s="233" cm="1">
        <f t="array" ref="Y201">IFERROR(INDEX(РД[S],MATCH($Q$3&amp;Таблица10[[#This Row],[№]]&amp;"Продажа",РД[Дом]&amp;РД[№ кв]&amp;РД[Состояние],0),1),Таблица10[[#This Row],[Статус]])</f>
        <v>57.6</v>
      </c>
      <c r="Z201" s="233">
        <f>IF(Таблица10[[#This Row],[№]]&amp;"ДДУ"=ППД5!A198&amp;ППД5!CR198,ППД5!U198,ППД5!V198)</f>
        <v>57.6</v>
      </c>
      <c r="AA201" s="285">
        <f>IFERROR(Таблица10[[#This Row],[S ПП]]-Таблица10[[#This Row],[S ДДУ]],)</f>
        <v>0</v>
      </c>
      <c r="AB201" s="235">
        <f>ROUND(_xlfn.XLOOKUP(Таблица10[[#This Row],[№]],Реестр_Д5[№],Реестр_Д5[Итоговая сумма скидки],"",0),2)</f>
        <v>300000</v>
      </c>
      <c r="AC201" s="235" cm="1">
        <f t="array" ref="AC201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201" s="285">
        <f>IFERROR(Таблица10[[#This Row],[ППС]]-Таблица10[[#This Row],[ДДУС]],)</f>
        <v>0</v>
      </c>
      <c r="AE201" s="611"/>
      <c r="AT201" s="611"/>
      <c r="AU201" s="484">
        <f>VLOOKUP(ППД402!A198,Д402[],1,0)</f>
        <v>197</v>
      </c>
      <c r="AV201" s="484" t="str">
        <f>_xlfn.XLOOKUP(Т402[[#This Row],[№]],Д402[№],Д402[Статус],"-",0)</f>
        <v>Стр. Резерв</v>
      </c>
      <c r="AW201" s="613">
        <f>_xlfn.XLOOKUP(Т402[[#This Row],[№]],Д402[№],Д402[Стоимость ОН без отделки со скидкой],"-",0)</f>
        <v>8822800</v>
      </c>
      <c r="AX201" s="614" t="str" cm="1">
        <f t="array" ref="AX20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1" s="485" t="str">
        <f>IFERROR((Т402[[#This Row],[ПП]]-Т402[[#This Row],[ДДУ]])*1,"")</f>
        <v/>
      </c>
      <c r="AZ201" s="486" t="str" cm="1">
        <f t="array" ref="AZ20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1" s="485">
        <f>_xlfn.XLOOKUP(Т402[[#This Row],[№]],Д402[№],Д402[Стоимость квартиры с отделкой],"-",0)</f>
        <v>8822800</v>
      </c>
      <c r="BB201" s="485" t="str">
        <f>IFERROR(Т402[[#This Row],[СО ПП]]-Т402[[#This Row],[СО ДДУ]],"")</f>
        <v/>
      </c>
      <c r="BC201" s="487" t="str" cm="1">
        <f t="array" ref="BC201">IFERROR(INDEX(РД[S],MATCH($AU$3&amp;Т402[[#This Row],[№]]&amp;"Продажа",РД[Дом]&amp;РД[№ кв]&amp;РД[Состояние],0),1),Т402[[#This Row],[Статус]])</f>
        <v>Стр. Резерв</v>
      </c>
      <c r="BD201" s="483">
        <f>_xlfn.XLOOKUP(Т402[[#This Row],[№]],Д402[№],Д402[Расчетная проектная площадь],"-",0)</f>
        <v>78.16</v>
      </c>
      <c r="BE201" s="485" t="str">
        <f>IFERROR(Т402[[#This Row],[S ПП]]-Т402[[#This Row],[S ДДУ]],"")</f>
        <v/>
      </c>
      <c r="BF201" s="485">
        <f>_xlfn.XLOOKUP(Т402[[#This Row],[№]],Д402[№],Д402[Итоговая сумма скидки],"-",0)</f>
        <v>0</v>
      </c>
      <c r="BG201" s="486" t="str" cm="1">
        <f t="array" ref="BG20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1" s="488" t="str">
        <f>IFERROR(Т402[[#This Row],[ППС]]-Т402[[#This Row],[ДДУС]],"")</f>
        <v/>
      </c>
    </row>
    <row r="202" spans="1:60" x14ac:dyDescent="0.2">
      <c r="A202" s="611"/>
      <c r="B202" s="234">
        <f>VLOOKUP(ППД4!A199,Реестр_Д4[№],1,0)</f>
        <v>198</v>
      </c>
      <c r="C202" s="234" t="str">
        <f>VLOOKUP(ППД4!CO199,Реестр_Д4[Статус],1,0)</f>
        <v>Продажа</v>
      </c>
      <c r="D202" s="612">
        <f>VLOOKUP(ППД4!CE199,Реестр_Д4[Стоимость ОН без отделки со скидкой],1,0)</f>
        <v>3182602.34</v>
      </c>
      <c r="E202" s="612" cm="1">
        <f t="array" ref="E202">IFERROR(INDEX(РД[Стоимость без отделки итог],MATCH($B$3&amp;Таблица4[[#This Row],[№]]&amp;"Продажа",РД[Дом]&amp;РД[№ кв]&amp;РД[Состояние],0),1),Таблица4[[#This Row],[Статус]])</f>
        <v>3182602.34</v>
      </c>
      <c r="F202" s="235">
        <f>IFERROR((Таблица4[[#This Row],[ПП]]-Таблица4[[#This Row],[ДДУ]])*1,"")</f>
        <v>0</v>
      </c>
      <c r="G202" s="235" cm="1">
        <f t="array" ref="G202">IFERROR(INDEX(РД[Стоимость с отделкой итог],MATCH($B$3&amp;Таблица4[[#This Row],[№]]&amp;"Продажа",РД[Дом]&amp;РД[№ кв]&amp;РД[Состояние],0),1),Таблица4[[#This Row],[Статус]])</f>
        <v>3182602.34</v>
      </c>
      <c r="H202" s="235">
        <f>_xlfn.XLOOKUP(Таблица4[[#This Row],[№]],Реестр_Д4[№],Реестр_Д4[Стоимость квартиры с отделкой],"-",0)</f>
        <v>3182602.34</v>
      </c>
      <c r="I202" s="235">
        <f>IFERROR(Таблица4[[#This Row],[СО ПП]]-Таблица4[[#This Row],[СО ДДУ]],"")</f>
        <v>0</v>
      </c>
      <c r="J202" s="233" cm="1">
        <f t="array" ref="J202">IFERROR(INDEX(РД[S],MATCH($B$3&amp;Таблица4[[#This Row],[№]]&amp;"Продажа",РД[Дом]&amp;РД[№ кв]&amp;РД[Состояние],0),1),Таблица4[[#This Row],[Статус]])</f>
        <v>36.659999999999997</v>
      </c>
      <c r="K202" s="233">
        <f>VLOOKUP(Таблица4[[#This Row],[№]],Реестр_Д4[],20,0)</f>
        <v>36.659999999999997</v>
      </c>
      <c r="L202" s="235">
        <f>IFERROR(Таблица4[[#This Row],[S ПП]]-Таблица4[[#This Row],[S ДДУ]],)</f>
        <v>0</v>
      </c>
      <c r="M202" s="235">
        <f>ROUND(_xlfn.XLOOKUP(Таблица4[[#This Row],[№]],Реестр_Д4[№],Реестр_Д4[Итоговая сумма скидки],"",0),2)</f>
        <v>0</v>
      </c>
      <c r="N202" s="235" cm="1">
        <f t="array" ref="N20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2" s="235">
        <f>IFERROR(Таблица4[[#This Row],[ППС]]-Таблица4[[#This Row],[ДДУС]],)</f>
        <v>0</v>
      </c>
      <c r="P202" s="611"/>
      <c r="Q202" s="234">
        <f>VLOOKUP(ППД5!A199,Реестр_Д5[№],1,0)</f>
        <v>198</v>
      </c>
      <c r="R202" s="234" t="str">
        <f>VLOOKUP(ППД5!CH199,Реестр_Д5[Статус],1,0)</f>
        <v>Продажа</v>
      </c>
      <c r="S202" s="612">
        <f>VLOOKUP(ППД5!BZ199,Реестр_Д5[Стоимость ОН без отделки со скидкой],1,0)</f>
        <v>5394170</v>
      </c>
      <c r="T202" s="612" cm="1">
        <f t="array" ref="T202">IFERROR(INDEX(РД[Стоимость без отделки итог],MATCH($Q$3&amp;Таблица10[[#This Row],[№]]&amp;"Продажа",РД[Дом]&amp;РД[№ кв]&amp;РД[Состояние],0),1),Таблица10[[#This Row],[Статус]])</f>
        <v>5394170</v>
      </c>
      <c r="U202" s="235">
        <f>IFERROR((Таблица10[[#This Row],[ПП]]-Таблица10[[#This Row],[ДДУ]])*1,)</f>
        <v>0</v>
      </c>
      <c r="V202" s="235" cm="1">
        <f t="array" ref="V202">IFERROR(INDEX(РД[Стоимость с отделкой итог],MATCH($Q$3&amp;Таблица10[[#This Row],[№]]&amp;"Продажа",РД[Дом]&amp;РД[№ кв]&amp;РД[Состояние],0),1),Таблица10[[#This Row],[Статус]])</f>
        <v>6560370</v>
      </c>
      <c r="W202" s="235">
        <f>_xlfn.XLOOKUP(Таблица10[[#This Row],[№]],Реестр_Д5[№],Реестр_Д5[Стоимость квартиры с отделкой],"-",0)</f>
        <v>6560370</v>
      </c>
      <c r="X202" s="235">
        <f>IFERROR(Таблица10[[#This Row],[СО ПП]]-Таблица10[[#This Row],[СО ДДУ]],"")</f>
        <v>0</v>
      </c>
      <c r="Y202" s="233" cm="1">
        <f t="array" ref="Y202">IFERROR(INDEX(РД[S],MATCH($Q$3&amp;Таблица10[[#This Row],[№]]&amp;"Продажа",РД[Дом]&amp;РД[№ кв]&amp;РД[Состояние],0),1),Таблица10[[#This Row],[Статус]])</f>
        <v>58.31</v>
      </c>
      <c r="Z202" s="233">
        <f>IF(Таблица10[[#This Row],[№]]&amp;"ДДУ"=ППД5!A199&amp;ППД5!CR199,ППД5!U199,ППД5!V199)</f>
        <v>58.31</v>
      </c>
      <c r="AA202" s="285">
        <f>IFERROR(Таблица10[[#This Row],[S ПП]]-Таблица10[[#This Row],[S ДДУ]],)</f>
        <v>0</v>
      </c>
      <c r="AB202" s="235">
        <f>ROUND(_xlfn.XLOOKUP(Таблица10[[#This Row],[№]],Реестр_Д5[№],Реестр_Д5[Итоговая сумма скидки],"",0),2)</f>
        <v>166830</v>
      </c>
      <c r="AC202" s="235" cm="1">
        <f t="array" ref="AC202">IFERROR(ROUND(_xlfn.XLOOKUP($Q$3&amp;Таблица10[[#This Row],[№]]&amp;"Продажа",РД[Дом]&amp;РД[№ кв]&amp;РД[Состояние],РД[Сумма скидки],"",0,-1),2),Таблица10[[#This Row],[Статус]])</f>
        <v>166830</v>
      </c>
      <c r="AD202" s="285">
        <f>IFERROR(Таблица10[[#This Row],[ППС]]-Таблица10[[#This Row],[ДДУС]],)</f>
        <v>0</v>
      </c>
      <c r="AE202" s="611"/>
      <c r="AT202" s="611"/>
      <c r="AU202" s="484">
        <f>VLOOKUP(ППД402!A199,Д402[],1,0)</f>
        <v>198</v>
      </c>
      <c r="AV202" s="484" t="str">
        <f>_xlfn.XLOOKUP(Т402[[#This Row],[№]],Д402[№],Д402[Статус],"-",0)</f>
        <v>Стр. Резерв</v>
      </c>
      <c r="AW202" s="613">
        <f>_xlfn.XLOOKUP(Т402[[#This Row],[№]],Д402[№],Д402[Стоимость ОН без отделки со скидкой],"-",0)</f>
        <v>4190900</v>
      </c>
      <c r="AX202" s="614" t="str" cm="1">
        <f t="array" ref="AX20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2" s="485" t="str">
        <f>IFERROR((Т402[[#This Row],[ПП]]-Т402[[#This Row],[ДДУ]])*1,"")</f>
        <v/>
      </c>
      <c r="AZ202" s="486" t="str" cm="1">
        <f t="array" ref="AZ20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2" s="485">
        <f>_xlfn.XLOOKUP(Т402[[#This Row],[№]],Д402[№],Д402[Стоимость квартиры с отделкой],"-",0)</f>
        <v>4190900</v>
      </c>
      <c r="BB202" s="485" t="str">
        <f>IFERROR(Т402[[#This Row],[СО ПП]]-Т402[[#This Row],[СО ДДУ]],"")</f>
        <v/>
      </c>
      <c r="BC202" s="487" t="str" cm="1">
        <f t="array" ref="BC202">IFERROR(INDEX(РД[S],MATCH($AU$3&amp;Т402[[#This Row],[№]]&amp;"Продажа",РД[Дом]&amp;РД[№ кв]&amp;РД[Состояние],0),1),Т402[[#This Row],[Статус]])</f>
        <v>Стр. Резерв</v>
      </c>
      <c r="BD202" s="483">
        <f>_xlfn.XLOOKUP(Т402[[#This Row],[№]],Д402[№],Д402[Расчетная проектная площадь],"-",0)</f>
        <v>29.73</v>
      </c>
      <c r="BE202" s="485" t="str">
        <f>IFERROR(Т402[[#This Row],[S ПП]]-Т402[[#This Row],[S ДДУ]],"")</f>
        <v/>
      </c>
      <c r="BF202" s="485">
        <f>_xlfn.XLOOKUP(Т402[[#This Row],[№]],Д402[№],Д402[Итоговая сумма скидки],"-",0)</f>
        <v>0</v>
      </c>
      <c r="BG202" s="486" t="str" cm="1">
        <f t="array" ref="BG20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2" s="488" t="str">
        <f>IFERROR(Т402[[#This Row],[ППС]]-Т402[[#This Row],[ДДУС]],"")</f>
        <v/>
      </c>
    </row>
    <row r="203" spans="1:60" x14ac:dyDescent="0.2">
      <c r="A203" s="611"/>
      <c r="B203" s="234">
        <f>VLOOKUP(ППД4!A200,Реестр_Д4[№],1,0)</f>
        <v>199</v>
      </c>
      <c r="C203" s="234" t="str">
        <f>VLOOKUP(ППД4!CO200,Реестр_Д4[Статус],1,0)</f>
        <v>Продажа</v>
      </c>
      <c r="D203" s="612">
        <f>VLOOKUP(ППД4!CE200,Реестр_Д4[Стоимость ОН без отделки со скидкой],1,0)</f>
        <v>6362806.6500000004</v>
      </c>
      <c r="E203" s="612" cm="1">
        <f t="array" ref="E203">IFERROR(INDEX(РД[Стоимость без отделки итог],MATCH($B$3&amp;Таблица4[[#This Row],[№]]&amp;"Продажа",РД[Дом]&amp;РД[№ кв]&amp;РД[Состояние],0),1),Таблица4[[#This Row],[Статус]])</f>
        <v>6362806.6500000004</v>
      </c>
      <c r="F203" s="235">
        <f>IFERROR((Таблица4[[#This Row],[ПП]]-Таблица4[[#This Row],[ДДУ]])*1,"")</f>
        <v>0</v>
      </c>
      <c r="G203" s="235" cm="1">
        <f t="array" ref="G203">IFERROR(INDEX(РД[Стоимость с отделкой итог],MATCH($B$3&amp;Таблица4[[#This Row],[№]]&amp;"Продажа",РД[Дом]&amp;РД[№ кв]&amp;РД[Состояние],0),1),Таблица4[[#This Row],[Статус]])</f>
        <v>7583121.6500000004</v>
      </c>
      <c r="H203" s="235">
        <f>_xlfn.XLOOKUP(Таблица4[[#This Row],[№]],Реестр_Д4[№],Реестр_Д4[Стоимость квартиры с отделкой],"-",0)</f>
        <v>7583121.6500000004</v>
      </c>
      <c r="I203" s="235">
        <f>IFERROR(Таблица4[[#This Row],[СО ПП]]-Таблица4[[#This Row],[СО ДДУ]],"")</f>
        <v>0</v>
      </c>
      <c r="J203" s="233" cm="1">
        <f t="array" ref="J203">IFERROR(INDEX(РД[S],MATCH($B$3&amp;Таблица4[[#This Row],[№]]&amp;"Продажа",РД[Дом]&amp;РД[№ кв]&amp;РД[Состояние],0),1),Таблица4[[#This Row],[Статус]])</f>
        <v>78.73</v>
      </c>
      <c r="K203" s="233">
        <f>VLOOKUP(Таблица4[[#This Row],[№]],Реестр_Д4[],20,0)</f>
        <v>78.73</v>
      </c>
      <c r="L203" s="235">
        <f>IFERROR(Таблица4[[#This Row],[S ПП]]-Таблица4[[#This Row],[S ДДУ]],)</f>
        <v>0</v>
      </c>
      <c r="M203" s="235">
        <f>ROUND(_xlfn.XLOOKUP(Таблица4[[#This Row],[№]],Реестр_Д4[№],Реестр_Д4[Итоговая сумма скидки],"",0),2)</f>
        <v>0</v>
      </c>
      <c r="N203" s="235" cm="1">
        <f t="array" ref="N20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3" s="235">
        <f>IFERROR(Таблица4[[#This Row],[ППС]]-Таблица4[[#This Row],[ДДУС]],)</f>
        <v>0</v>
      </c>
      <c r="P203" s="611"/>
      <c r="Q203" s="234">
        <f>VLOOKUP(ППД5!A200,Реестр_Д5[№],1,0)</f>
        <v>199</v>
      </c>
      <c r="R203" s="234" t="str">
        <f>VLOOKUP(ППД5!CH200,Реестр_Д5[Статус],1,0)</f>
        <v>Продажа</v>
      </c>
      <c r="S203" s="612">
        <f>VLOOKUP(ППД5!BZ200,Реестр_Д5[Стоимость ОН без отделки со скидкой],1,0)</f>
        <v>5005520</v>
      </c>
      <c r="T203" s="612" cm="1">
        <f t="array" ref="T203">IFERROR(INDEX(РД[Стоимость без отделки итог],MATCH($Q$3&amp;Таблица10[[#This Row],[№]]&amp;"Продажа",РД[Дом]&amp;РД[№ кв]&amp;РД[Состояние],0),1),Таблица10[[#This Row],[Статус]])</f>
        <v>5005520</v>
      </c>
      <c r="U203" s="235">
        <f>IFERROR((Таблица10[[#This Row],[ПП]]-Таблица10[[#This Row],[ДДУ]])*1,)</f>
        <v>0</v>
      </c>
      <c r="V203" s="235" cm="1">
        <f t="array" ref="V203">IFERROR(INDEX(РД[Стоимость с отделкой итог],MATCH($Q$3&amp;Таблица10[[#This Row],[№]]&amp;"Продажа",РД[Дом]&amp;РД[№ кв]&amp;РД[Состояние],0),1),Таблица10[[#This Row],[Статус]])</f>
        <v>5952020</v>
      </c>
      <c r="W203" s="235">
        <f>_xlfn.XLOOKUP(Таблица10[[#This Row],[№]],Реестр_Д5[№],Реестр_Д5[Стоимость квартиры с отделкой],"-",0)</f>
        <v>5952019.9999999991</v>
      </c>
      <c r="X203" s="235">
        <f>IFERROR(Таблица10[[#This Row],[СО ПП]]-Таблица10[[#This Row],[СО ДДУ]],"")</f>
        <v>-9.3132257461547852E-10</v>
      </c>
      <c r="Y203" s="233" cm="1">
        <f t="array" ref="Y203">IFERROR(INDEX(РД[S],MATCH($Q$3&amp;Таблица10[[#This Row],[№]]&amp;"Продажа",РД[Дом]&amp;РД[№ кв]&amp;РД[Состояние],0),1),Таблица10[[#This Row],[Статус]])</f>
        <v>37.86</v>
      </c>
      <c r="Z203" s="233">
        <f>IF(Таблица10[[#This Row],[№]]&amp;"ДДУ"=ППД5!A200&amp;ППД5!CR200,ППД5!U200,ППД5!V200)</f>
        <v>37.86</v>
      </c>
      <c r="AA203" s="285">
        <f>IFERROR(Таблица10[[#This Row],[S ПП]]-Таблица10[[#This Row],[S ДДУ]],)</f>
        <v>0</v>
      </c>
      <c r="AB203" s="235">
        <f>ROUND(_xlfn.XLOOKUP(Таблица10[[#This Row],[№]],Реестр_Д5[№],Реестр_Д5[Итоговая сумма скидки],"",0),2)</f>
        <v>302880</v>
      </c>
      <c r="AC203" s="235" cm="1">
        <f t="array" ref="AC203">IFERROR(ROUND(_xlfn.XLOOKUP($Q$3&amp;Таблица10[[#This Row],[№]]&amp;"Продажа",РД[Дом]&amp;РД[№ кв]&amp;РД[Состояние],РД[Сумма скидки],"",0,-1),2),Таблица10[[#This Row],[Статус]])</f>
        <v>302880</v>
      </c>
      <c r="AD203" s="285">
        <f>IFERROR(Таблица10[[#This Row],[ППС]]-Таблица10[[#This Row],[ДДУС]],)</f>
        <v>0</v>
      </c>
      <c r="AE203" s="611"/>
      <c r="AT203" s="611"/>
      <c r="AU203" s="484">
        <f>VLOOKUP(ППД402!A200,Д402[],1,0)</f>
        <v>199</v>
      </c>
      <c r="AV203" s="484" t="str">
        <f>_xlfn.XLOOKUP(Т402[[#This Row],[№]],Д402[№],Д402[Статус],"-",0)</f>
        <v>Продажа</v>
      </c>
      <c r="AW203" s="613">
        <f>_xlfn.XLOOKUP(Т402[[#This Row],[№]],Д402[№],Д402[Стоимость ОН без отделки со скидкой],"-",0)</f>
        <v>5486138</v>
      </c>
      <c r="AX203" s="614" cm="1">
        <f t="array" ref="AX203">IFERROR(INDEX(РД[Стоимость без отделки итог],MATCH($AU$3&amp;Т402[[#This Row],[№]]&amp;"Продажа",РД[Дом]&amp;РД[№ кв]&amp;РД[Состояние],0),1),Т402[[#This Row],[Статус]])</f>
        <v>5486138</v>
      </c>
      <c r="AY203" s="485">
        <f>IFERROR((Т402[[#This Row],[ПП]]-Т402[[#This Row],[ДДУ]])*1,"")</f>
        <v>0</v>
      </c>
      <c r="AZ203" s="486" cm="1">
        <f t="array" ref="AZ203">IFERROR(INDEX(РД[Стоимость с отделкой итог],MATCH($AU$3&amp;Т402[[#This Row],[№]]&amp;"Продажа",РД[Дом]&amp;РД[№ кв]&amp;РД[Состояние],0),1),Т402[[#This Row],[Статус]])</f>
        <v>5928638</v>
      </c>
      <c r="BA203" s="485">
        <f>_xlfn.XLOOKUP(Т402[[#This Row],[№]],Д402[№],Д402[Стоимость квартиры с отделкой],"-",0)</f>
        <v>5928637.9999999991</v>
      </c>
      <c r="BB203" s="485">
        <f>IFERROR(Т402[[#This Row],[СО ПП]]-Т402[[#This Row],[СО ДДУ]],"")</f>
        <v>-9.3132257461547852E-10</v>
      </c>
      <c r="BC203" s="487" cm="1">
        <f t="array" ref="BC203">IFERROR(INDEX(РД[S],MATCH($AU$3&amp;Т402[[#This Row],[№]]&amp;"Продажа",РД[Дом]&amp;РД[№ кв]&amp;РД[Состояние],0),1),Т402[[#This Row],[Статус]])</f>
        <v>44.25</v>
      </c>
      <c r="BD203" s="483">
        <f>_xlfn.XLOOKUP(Т402[[#This Row],[№]],Д402[№],Д402[Расчетная проектная площадь],"-",0)</f>
        <v>44.25</v>
      </c>
      <c r="BE203" s="485">
        <f>IFERROR(Т402[[#This Row],[S ПП]]-Т402[[#This Row],[S ДДУ]],"")</f>
        <v>0</v>
      </c>
      <c r="BF203" s="485">
        <f>_xlfn.XLOOKUP(Т402[[#This Row],[№]],Д402[№],Д402[Итоговая сумма скидки],"-",0)</f>
        <v>111962</v>
      </c>
      <c r="BG203" s="486" cm="1">
        <f t="array" ref="BG203">IFERROR(ROUND(_xlfn.XLOOKUP($AU$3&amp;Т402[[#This Row],[№]]&amp;"Продажа",РД[Дом]&amp;РД[№ кв]&amp;РД[Состояние],РД[Сумма скидки],"",0),2),Т402[[#This Row],[Статус]])</f>
        <v>111962</v>
      </c>
      <c r="BH203" s="488">
        <f>IFERROR(Т402[[#This Row],[ППС]]-Т402[[#This Row],[ДДУС]],"")</f>
        <v>0</v>
      </c>
    </row>
    <row r="204" spans="1:60" x14ac:dyDescent="0.2">
      <c r="A204" s="611"/>
      <c r="B204" s="234">
        <f>VLOOKUP(ППД4!A201,Реестр_Д4[№],1,0)</f>
        <v>200</v>
      </c>
      <c r="C204" s="234" t="str">
        <f>VLOOKUP(ППД4!CO201,Реестр_Д4[Статус],1,0)</f>
        <v>Продажа</v>
      </c>
      <c r="D204" s="612">
        <f>VLOOKUP(ППД4!CE201,Реестр_Д4[Стоимость ОН без отделки со скидкой],1,0)</f>
        <v>3334321.17</v>
      </c>
      <c r="E204" s="612" cm="1">
        <f t="array" ref="E204">IFERROR(INDEX(РД[Стоимость без отделки итог],MATCH($B$3&amp;Таблица4[[#This Row],[№]]&amp;"Продажа",РД[Дом]&amp;РД[№ кв]&amp;РД[Состояние],0),1),Таблица4[[#This Row],[Статус]])</f>
        <v>3334321.17</v>
      </c>
      <c r="F204" s="235">
        <f>IFERROR((Таблица4[[#This Row],[ПП]]-Таблица4[[#This Row],[ДДУ]])*1,"")</f>
        <v>0</v>
      </c>
      <c r="G204" s="235" cm="1">
        <f t="array" ref="G204">IFERROR(INDEX(РД[Стоимость с отделкой итог],MATCH($B$3&amp;Таблица4[[#This Row],[№]]&amp;"Продажа",РД[Дом]&amp;РД[№ кв]&amp;РД[Состояние],0),1),Таблица4[[#This Row],[Статус]])</f>
        <v>3858066.17</v>
      </c>
      <c r="H204" s="235">
        <f>_xlfn.XLOOKUP(Таблица4[[#This Row],[№]],Реестр_Д4[№],Реестр_Д4[Стоимость квартиры с отделкой],"-",0)</f>
        <v>3858066.17</v>
      </c>
      <c r="I204" s="235">
        <f>IFERROR(Таблица4[[#This Row],[СО ПП]]-Таблица4[[#This Row],[СО ДДУ]],"")</f>
        <v>0</v>
      </c>
      <c r="J204" s="233" cm="1">
        <f t="array" ref="J204">IFERROR(INDEX(РД[S],MATCH($B$3&amp;Таблица4[[#This Row],[№]]&amp;"Продажа",РД[Дом]&amp;РД[№ кв]&amp;РД[Состояние],0),1),Таблица4[[#This Row],[Статус]])</f>
        <v>33.79</v>
      </c>
      <c r="K204" s="233">
        <f>VLOOKUP(Таблица4[[#This Row],[№]],Реестр_Д4[],20,0)</f>
        <v>33.79</v>
      </c>
      <c r="L204" s="235">
        <f>IFERROR(Таблица4[[#This Row],[S ПП]]-Таблица4[[#This Row],[S ДДУ]],)</f>
        <v>0</v>
      </c>
      <c r="M204" s="235">
        <f>ROUND(_xlfn.XLOOKUP(Таблица4[[#This Row],[№]],Реестр_Д4[№],Реестр_Д4[Итоговая сумма скидки],"",0),2)</f>
        <v>0</v>
      </c>
      <c r="N204" s="235" cm="1">
        <f t="array" ref="N20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4" s="235">
        <f>IFERROR(Таблица4[[#This Row],[ППС]]-Таблица4[[#This Row],[ДДУС]],)</f>
        <v>0</v>
      </c>
      <c r="P204" s="611"/>
      <c r="Q204" s="234">
        <f>VLOOKUP(ППД5!A201,Реестр_Д5[№],1,0)</f>
        <v>200</v>
      </c>
      <c r="R204" s="234" t="str">
        <f>VLOOKUP(ППД5!CH201,Реестр_Д5[Статус],1,0)</f>
        <v>Продажа</v>
      </c>
      <c r="S204" s="612">
        <f>VLOOKUP(ППД5!BZ201,Реестр_Д5[Стоимость ОН без отделки со скидкой],1,0)</f>
        <v>9036800</v>
      </c>
      <c r="T204" s="612" cm="1">
        <f t="array" ref="T204">IFERROR(INDEX(РД[Стоимость без отделки итог],MATCH($Q$3&amp;Таблица10[[#This Row],[№]]&amp;"Продажа",РД[Дом]&amp;РД[№ кв]&amp;РД[Состояние],0),1),Таблица10[[#This Row],[Статус]])</f>
        <v>9036800</v>
      </c>
      <c r="U204" s="235">
        <f>IFERROR((Таблица10[[#This Row],[ПП]]-Таблица10[[#This Row],[ДДУ]])*1,)</f>
        <v>0</v>
      </c>
      <c r="V204" s="235" cm="1">
        <f t="array" ref="V204">IFERROR(INDEX(РД[Стоимость с отделкой итог],MATCH($Q$3&amp;Таблица10[[#This Row],[№]]&amp;"Продажа",РД[Дом]&amp;РД[№ кв]&amp;РД[Состояние],0),1),Таблица10[[#This Row],[Статус]])</f>
        <v>9036800</v>
      </c>
      <c r="W204" s="235">
        <f>_xlfn.XLOOKUP(Таблица10[[#This Row],[№]],Реестр_Д5[№],Реестр_Д5[Стоимость квартиры с отделкой],"-",0)</f>
        <v>9036800</v>
      </c>
      <c r="X204" s="235">
        <f>IFERROR(Таблица10[[#This Row],[СО ПП]]-Таблица10[[#This Row],[СО ДДУ]],"")</f>
        <v>0</v>
      </c>
      <c r="Y204" s="233" cm="1">
        <f t="array" ref="Y204">IFERROR(INDEX(РД[S],MATCH($Q$3&amp;Таблица10[[#This Row],[№]]&amp;"Продажа",РД[Дом]&amp;РД[№ кв]&amp;РД[Состояние],0),1),Таблица10[[#This Row],[Статус]])</f>
        <v>84.99</v>
      </c>
      <c r="Z204" s="233">
        <f>IF(Таблица10[[#This Row],[№]]&amp;"ДДУ"=ППД5!A201&amp;ППД5!CR201,ППД5!U201,ППД5!V201)</f>
        <v>84.99</v>
      </c>
      <c r="AA204" s="285">
        <f>IFERROR(Таблица10[[#This Row],[S ПП]]-Таблица10[[#This Row],[S ДДУ]],)</f>
        <v>0</v>
      </c>
      <c r="AB204" s="235">
        <f>ROUND(_xlfn.XLOOKUP(Таблица10[[#This Row],[№]],Реестр_Д5[№],Реестр_Д5[Итоговая сумма скидки],"",0),2)</f>
        <v>400000</v>
      </c>
      <c r="AC204" s="235" cm="1">
        <f t="array" ref="AC204">IFERROR(ROUND(_xlfn.XLOOKUP($Q$3&amp;Таблица10[[#This Row],[№]]&amp;"Продажа",РД[Дом]&amp;РД[№ кв]&amp;РД[Состояние],РД[Сумма скидки],"",0,-1),2),Таблица10[[#This Row],[Статус]])</f>
        <v>400000</v>
      </c>
      <c r="AD204" s="285">
        <f>IFERROR(Таблица10[[#This Row],[ППС]]-Таблица10[[#This Row],[ДДУС]],)</f>
        <v>0</v>
      </c>
      <c r="AE204" s="611"/>
      <c r="AT204" s="611"/>
      <c r="AU204" s="484">
        <f>VLOOKUP(ППД402!A201,Д402[],1,0)</f>
        <v>200</v>
      </c>
      <c r="AV204" s="484" t="str">
        <f>_xlfn.XLOOKUP(Т402[[#This Row],[№]],Д402[№],Д402[Статус],"-",0)</f>
        <v>Стр. Резерв</v>
      </c>
      <c r="AW204" s="613">
        <f>_xlfn.XLOOKUP(Т402[[#This Row],[№]],Д402[№],Д402[Стоимость ОН без отделки со скидкой],"-",0)</f>
        <v>4938600</v>
      </c>
      <c r="AX204" s="614" t="str" cm="1">
        <f t="array" ref="AX20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4" s="485" t="str">
        <f>IFERROR((Т402[[#This Row],[ПП]]-Т402[[#This Row],[ДДУ]])*1,"")</f>
        <v/>
      </c>
      <c r="AZ204" s="486" t="str" cm="1">
        <f t="array" ref="AZ20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4" s="485">
        <f>_xlfn.XLOOKUP(Т402[[#This Row],[№]],Д402[№],Д402[Стоимость квартиры с отделкой],"-",0)</f>
        <v>4938600</v>
      </c>
      <c r="BB204" s="485" t="str">
        <f>IFERROR(Т402[[#This Row],[СО ПП]]-Т402[[#This Row],[СО ДДУ]],"")</f>
        <v/>
      </c>
      <c r="BC204" s="487" t="str" cm="1">
        <f t="array" ref="BC204">IFERROR(INDEX(РД[S],MATCH($AU$3&amp;Т402[[#This Row],[№]]&amp;"Продажа",РД[Дом]&amp;РД[№ кв]&amp;РД[Состояние],0),1),Т402[[#This Row],[Статус]])</f>
        <v>Стр. Резерв</v>
      </c>
      <c r="BD204" s="483">
        <f>_xlfn.XLOOKUP(Т402[[#This Row],[№]],Д402[№],Д402[Расчетная проектная площадь],"-",0)</f>
        <v>36.64</v>
      </c>
      <c r="BE204" s="485" t="str">
        <f>IFERROR(Т402[[#This Row],[S ПП]]-Т402[[#This Row],[S ДДУ]],"")</f>
        <v/>
      </c>
      <c r="BF204" s="485">
        <f>_xlfn.XLOOKUP(Т402[[#This Row],[№]],Д402[№],Д402[Итоговая сумма скидки],"-",0)</f>
        <v>0</v>
      </c>
      <c r="BG204" s="486" t="str" cm="1">
        <f t="array" ref="BG20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4" s="488" t="str">
        <f>IFERROR(Т402[[#This Row],[ППС]]-Т402[[#This Row],[ДДУС]],"")</f>
        <v/>
      </c>
    </row>
    <row r="205" spans="1:60" x14ac:dyDescent="0.2">
      <c r="A205" s="611"/>
      <c r="B205" s="234">
        <f>VLOOKUP(ППД4!A202,Реестр_Д4[№],1,0)</f>
        <v>201</v>
      </c>
      <c r="C205" s="234" t="str">
        <f>VLOOKUP(ППД4!CO202,Реестр_Д4[Статус],1,0)</f>
        <v>Продажа</v>
      </c>
      <c r="D205" s="612">
        <f>VLOOKUP(ППД4!CE202,Реестр_Д4[Стоимость ОН без отделки со скидкой],1,0)</f>
        <v>2612240.54</v>
      </c>
      <c r="E205" s="612" cm="1">
        <f t="array" ref="E205">IFERROR(INDEX(РД[Стоимость без отделки итог],MATCH($B$3&amp;Таблица4[[#This Row],[№]]&amp;"Продажа",РД[Дом]&amp;РД[№ кв]&amp;РД[Состояние],0),1),Таблица4[[#This Row],[Статус]])</f>
        <v>2612240.5399999991</v>
      </c>
      <c r="F205" s="235">
        <f>IFERROR((Таблица4[[#This Row],[ПП]]-Таблица4[[#This Row],[ДДУ]])*1,"")</f>
        <v>9.3132257461547852E-10</v>
      </c>
      <c r="G205" s="235" cm="1">
        <f t="array" ref="G205">IFERROR(INDEX(РД[Стоимость с отделкой итог],MATCH($B$3&amp;Таблица4[[#This Row],[№]]&amp;"Продажа",РД[Дом]&amp;РД[№ кв]&amp;РД[Состояние],0),1),Таблица4[[#This Row],[Статус]])</f>
        <v>2728120.54</v>
      </c>
      <c r="H205" s="235">
        <f>_xlfn.XLOOKUP(Таблица4[[#This Row],[№]],Реестр_Д4[№],Реестр_Д4[Стоимость квартиры с отделкой],"-",0)</f>
        <v>2728120.54</v>
      </c>
      <c r="I205" s="235">
        <f>IFERROR(Таблица4[[#This Row],[СО ПП]]-Таблица4[[#This Row],[СО ДДУ]],"")</f>
        <v>0</v>
      </c>
      <c r="J205" s="233" cm="1">
        <f t="array" ref="J205">IFERROR(INDEX(РД[S],MATCH($B$3&amp;Таблица4[[#This Row],[№]]&amp;"Продажа",РД[Дом]&amp;РД[№ кв]&amp;РД[Состояние],0),1),Таблица4[[#This Row],[Статус]])</f>
        <v>28.97</v>
      </c>
      <c r="K205" s="233">
        <f>VLOOKUP(Таблица4[[#This Row],[№]],Реестр_Д4[],20,0)</f>
        <v>28.97</v>
      </c>
      <c r="L205" s="235">
        <f>IFERROR(Таблица4[[#This Row],[S ПП]]-Таблица4[[#This Row],[S ДДУ]],)</f>
        <v>0</v>
      </c>
      <c r="M205" s="235">
        <f>ROUND(_xlfn.XLOOKUP(Таблица4[[#This Row],[№]],Реестр_Д4[№],Реестр_Д4[Итоговая сумма скидки],"",0),2)</f>
        <v>0</v>
      </c>
      <c r="N205" s="235" cm="1">
        <f t="array" ref="N20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5" s="235">
        <f>IFERROR(Таблица4[[#This Row],[ППС]]-Таблица4[[#This Row],[ДДУС]],)</f>
        <v>0</v>
      </c>
      <c r="P205" s="611"/>
      <c r="Q205" s="234">
        <f>VLOOKUP(ППД5!A202,Реестр_Д5[№],1,0)</f>
        <v>201</v>
      </c>
      <c r="R205" s="234" t="str">
        <f>VLOOKUP(ППД5!CH202,Реестр_Д5[Статус],1,0)</f>
        <v>Гарантированная бронь</v>
      </c>
      <c r="S205" s="612">
        <f>VLOOKUP(ППД5!BZ202,Реестр_Д5[Стоимость ОН без отделки со скидкой],1,0)</f>
        <v>5740400</v>
      </c>
      <c r="T205" s="612" t="str" cm="1">
        <f t="array" ref="T205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205" s="235">
        <f>IFERROR((Таблица10[[#This Row],[ПП]]-Таблица10[[#This Row],[ДДУ]])*1,)</f>
        <v>0</v>
      </c>
      <c r="V205" s="235" t="str" cm="1">
        <f t="array" ref="V205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205" s="235">
        <f>_xlfn.XLOOKUP(Таблица10[[#This Row],[№]],Реестр_Д5[№],Реестр_Д5[Стоимость квартиры с отделкой],"-",0)</f>
        <v>7010900</v>
      </c>
      <c r="X205" s="235" t="str">
        <f>IFERROR(Таблица10[[#This Row],[СО ПП]]-Таблица10[[#This Row],[СО ДДУ]],"")</f>
        <v/>
      </c>
      <c r="Y205" s="233" t="str" cm="1">
        <f t="array" ref="Y205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205" s="233">
        <f>IF(Таблица10[[#This Row],[№]]&amp;"ДДУ"=ППД5!A202&amp;ППД5!CR202,ППД5!U202,ППД5!V202)</f>
        <v>42.35</v>
      </c>
      <c r="AA205" s="285">
        <f>IFERROR(Таблица10[[#This Row],[S ПП]]-Таблица10[[#This Row],[S ДДУ]],)</f>
        <v>0</v>
      </c>
      <c r="AB205" s="235">
        <f>ROUND(_xlfn.XLOOKUP(Таблица10[[#This Row],[№]],Реестр_Д5[№],Реестр_Д5[Итоговая сумма скидки],"",0),2)</f>
        <v>0</v>
      </c>
      <c r="AC205" s="235" t="str" cm="1">
        <f t="array" ref="AC205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205" s="285">
        <f>IFERROR(Таблица10[[#This Row],[ППС]]-Таблица10[[#This Row],[ДДУС]],)</f>
        <v>0</v>
      </c>
      <c r="AE205" s="611"/>
      <c r="AT205" s="611"/>
      <c r="AU205" s="484">
        <f>VLOOKUP(ППД402!A202,Д402[],1,0)</f>
        <v>201</v>
      </c>
      <c r="AV205" s="484" t="str">
        <f>_xlfn.XLOOKUP(Т402[[#This Row],[№]],Д402[№],Д402[Статус],"-",0)</f>
        <v>Стр. Резерв</v>
      </c>
      <c r="AW205" s="613">
        <f>_xlfn.XLOOKUP(Т402[[#This Row],[№]],Д402[№],Д402[Стоимость ОН без отделки со скидкой],"-",0)</f>
        <v>6760300</v>
      </c>
      <c r="AX205" s="614" t="str" cm="1">
        <f t="array" ref="AX20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5" s="485" t="str">
        <f>IFERROR((Т402[[#This Row],[ПП]]-Т402[[#This Row],[ДДУ]])*1,"")</f>
        <v/>
      </c>
      <c r="AZ205" s="486" t="str" cm="1">
        <f t="array" ref="AZ20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5" s="485">
        <f>_xlfn.XLOOKUP(Т402[[#This Row],[№]],Д402[№],Д402[Стоимость квартиры с отделкой],"-",0)</f>
        <v>6760300</v>
      </c>
      <c r="BB205" s="485" t="str">
        <f>IFERROR(Т402[[#This Row],[СО ПП]]-Т402[[#This Row],[СО ДДУ]],"")</f>
        <v/>
      </c>
      <c r="BC205" s="487" t="str" cm="1">
        <f t="array" ref="BC205">IFERROR(INDEX(РД[S],MATCH($AU$3&amp;Т402[[#This Row],[№]]&amp;"Продажа",РД[Дом]&amp;РД[№ кв]&amp;РД[Состояние],0),1),Т402[[#This Row],[Статус]])</f>
        <v>Стр. Резерв</v>
      </c>
      <c r="BD205" s="483">
        <f>_xlfn.XLOOKUP(Т402[[#This Row],[№]],Д402[№],Д402[Расчетная проектная площадь],"-",0)</f>
        <v>54.44</v>
      </c>
      <c r="BE205" s="485" t="str">
        <f>IFERROR(Т402[[#This Row],[S ПП]]-Т402[[#This Row],[S ДДУ]],"")</f>
        <v/>
      </c>
      <c r="BF205" s="485">
        <f>_xlfn.XLOOKUP(Т402[[#This Row],[№]],Д402[№],Д402[Итоговая сумма скидки],"-",0)</f>
        <v>0</v>
      </c>
      <c r="BG205" s="486" t="str" cm="1">
        <f t="array" ref="BG20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5" s="488" t="str">
        <f>IFERROR(Т402[[#This Row],[ППС]]-Т402[[#This Row],[ДДУС]],"")</f>
        <v/>
      </c>
    </row>
    <row r="206" spans="1:60" x14ac:dyDescent="0.2">
      <c r="A206" s="611"/>
      <c r="B206" s="234">
        <f>VLOOKUP(ППД4!A203,Реестр_Д4[№],1,0)</f>
        <v>202</v>
      </c>
      <c r="C206" s="234" t="str">
        <f>VLOOKUP(ППД4!CO203,Реестр_Д4[Статус],1,0)</f>
        <v>Продажа</v>
      </c>
      <c r="D206" s="612">
        <f>VLOOKUP(ППД4!CE203,Реестр_Д4[Стоимость ОН без отделки со скидкой],1,0)</f>
        <v>5778076.04</v>
      </c>
      <c r="E206" s="612" cm="1">
        <f t="array" ref="E206">IFERROR(INDEX(РД[Стоимость без отделки итог],MATCH($B$3&amp;Таблица4[[#This Row],[№]]&amp;"Продажа",РД[Дом]&amp;РД[№ кв]&amp;РД[Состояние],0),1),Таблица4[[#This Row],[Статус]])</f>
        <v>5778076.04</v>
      </c>
      <c r="F206" s="235">
        <f>IFERROR((Таблица4[[#This Row],[ПП]]-Таблица4[[#This Row],[ДДУ]])*1,"")</f>
        <v>0</v>
      </c>
      <c r="G206" s="235" cm="1">
        <f t="array" ref="G206">IFERROR(INDEX(РД[Стоимость с отделкой итог],MATCH($B$3&amp;Таблица4[[#This Row],[№]]&amp;"Продажа",РД[Дом]&amp;РД[№ кв]&amp;РД[Состояние],0),1),Таблица4[[#This Row],[Статус]])</f>
        <v>6293701.04</v>
      </c>
      <c r="H206" s="235">
        <f>_xlfn.XLOOKUP(Таблица4[[#This Row],[№]],Реестр_Д4[№],Реестр_Д4[Стоимость квартиры с отделкой],"-",0)</f>
        <v>6293701.04</v>
      </c>
      <c r="I206" s="235">
        <f>IFERROR(Таблица4[[#This Row],[СО ПП]]-Таблица4[[#This Row],[СО ДДУ]],"")</f>
        <v>0</v>
      </c>
      <c r="J206" s="233" cm="1">
        <f t="array" ref="J206">IFERROR(INDEX(РД[S],MATCH($B$3&amp;Таблица4[[#This Row],[№]]&amp;"Продажа",РД[Дом]&amp;РД[№ кв]&amp;РД[Состояние],0),1),Таблица4[[#This Row],[Статус]])</f>
        <v>68.75</v>
      </c>
      <c r="K206" s="233">
        <f>VLOOKUP(Таблица4[[#This Row],[№]],Реестр_Д4[],20,0)</f>
        <v>68.75</v>
      </c>
      <c r="L206" s="235">
        <f>IFERROR(Таблица4[[#This Row],[S ПП]]-Таблица4[[#This Row],[S ДДУ]],)</f>
        <v>0</v>
      </c>
      <c r="M206" s="235">
        <f>ROUND(_xlfn.XLOOKUP(Таблица4[[#This Row],[№]],Реестр_Д4[№],Реестр_Д4[Итоговая сумма скидки],"",0),2)</f>
        <v>304109.27</v>
      </c>
      <c r="N206" s="235" cm="1">
        <f t="array" ref="N206">IFERROR(ROUND(_xlfn.XLOOKUP($B$3&amp;Таблица4[[#This Row],[№]]&amp;"Продажа",РД[Дом]&amp;РД[№ кв]&amp;РД[Состояние],РД[Сумма скидки],"",0),2),Таблица4[[#This Row],[Статус]])</f>
        <v>304109.27</v>
      </c>
      <c r="O206" s="235">
        <f>IFERROR(Таблица4[[#This Row],[ППС]]-Таблица4[[#This Row],[ДДУС]],)</f>
        <v>0</v>
      </c>
      <c r="P206" s="611"/>
      <c r="Q206" s="234">
        <f>VLOOKUP(ППД5!A203,Реестр_Д5[№],1,0)</f>
        <v>202</v>
      </c>
      <c r="R206" s="234" t="str">
        <f>VLOOKUP(ППД5!CH203,Реестр_Д5[Статус],1,0)</f>
        <v>Продажа</v>
      </c>
      <c r="S206" s="612">
        <f>VLOOKUP(ППД5!BZ203,Реестр_Д5[Стоимость ОН без отделки со скидкой],1,0)</f>
        <v>7213890</v>
      </c>
      <c r="T206" s="612" cm="1">
        <f t="array" ref="T206">IFERROR(INDEX(РД[Стоимость без отделки итог],MATCH($Q$3&amp;Таблица10[[#This Row],[№]]&amp;"Продажа",РД[Дом]&amp;РД[№ кв]&amp;РД[Состояние],0),1),Таблица10[[#This Row],[Статус]])</f>
        <v>7213890</v>
      </c>
      <c r="U206" s="235">
        <f>IFERROR((Таблица10[[#This Row],[ПП]]-Таблица10[[#This Row],[ДДУ]])*1,)</f>
        <v>0</v>
      </c>
      <c r="V206" s="235" cm="1">
        <f t="array" ref="V206">IFERROR(INDEX(РД[Стоимость с отделкой итог],MATCH($Q$3&amp;Таблица10[[#This Row],[№]]&amp;"Продажа",РД[Дом]&amp;РД[№ кв]&amp;РД[Состояние],0),1),Таблица10[[#This Row],[Статус]])</f>
        <v>7816090</v>
      </c>
      <c r="W206" s="235">
        <f>_xlfn.XLOOKUP(Таблица10[[#This Row],[№]],Реестр_Д5[№],Реестр_Д5[Стоимость квартиры с отделкой],"-",0)</f>
        <v>7816090</v>
      </c>
      <c r="X206" s="235">
        <f>IFERROR(Таблица10[[#This Row],[СО ПП]]-Таблица10[[#This Row],[СО ДДУ]],"")</f>
        <v>0</v>
      </c>
      <c r="Y206" s="233" cm="1">
        <f t="array" ref="Y206">IFERROR(INDEX(РД[S],MATCH($Q$3&amp;Таблица10[[#This Row],[№]]&amp;"Продажа",РД[Дом]&amp;РД[№ кв]&amp;РД[Состояние],0),1),Таблица10[[#This Row],[Статус]])</f>
        <v>60.22</v>
      </c>
      <c r="Z206" s="233">
        <f>IF(Таблица10[[#This Row],[№]]&amp;"ДДУ"=ППД5!A203&amp;ППД5!CR203,ППД5!U203,ППД5!V203)</f>
        <v>60.22</v>
      </c>
      <c r="AA206" s="285">
        <f>IFERROR(Таблица10[[#This Row],[S ПП]]-Таблица10[[#This Row],[S ДДУ]],)</f>
        <v>0</v>
      </c>
      <c r="AB206" s="235">
        <f>ROUND(_xlfn.XLOOKUP(Таблица10[[#This Row],[№]],Реестр_Д5[№],Реестр_Д5[Итоговая сумма скидки],"",0),2)</f>
        <v>223110</v>
      </c>
      <c r="AC206" s="235" cm="1">
        <f t="array" ref="AC206">IFERROR(ROUND(_xlfn.XLOOKUP($Q$3&amp;Таблица10[[#This Row],[№]]&amp;"Продажа",РД[Дом]&amp;РД[№ кв]&amp;РД[Состояние],РД[Сумма скидки],"",0,-1),2),Таблица10[[#This Row],[Статус]])</f>
        <v>223110</v>
      </c>
      <c r="AD206" s="285">
        <f>IFERROR(Таблица10[[#This Row],[ППС]]-Таблица10[[#This Row],[ДДУС]],)</f>
        <v>0</v>
      </c>
      <c r="AE206" s="611"/>
      <c r="AT206" s="611"/>
      <c r="AU206" s="484">
        <f>VLOOKUP(ППД402!A203,Д402[],1,0)</f>
        <v>202</v>
      </c>
      <c r="AV206" s="484" t="str">
        <f>_xlfn.XLOOKUP(Т402[[#This Row],[№]],Д402[№],Д402[Статус],"-",0)</f>
        <v>Стр. Резерв</v>
      </c>
      <c r="AW206" s="613">
        <f>_xlfn.XLOOKUP(Т402[[#This Row],[№]],Д402[№],Д402[Стоимость ОН без отделки со скидкой],"-",0)</f>
        <v>4764700</v>
      </c>
      <c r="AX206" s="614" t="str" cm="1">
        <f t="array" ref="AX20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6" s="485" t="str">
        <f>IFERROR((Т402[[#This Row],[ПП]]-Т402[[#This Row],[ДДУ]])*1,"")</f>
        <v/>
      </c>
      <c r="AZ206" s="486" t="str" cm="1">
        <f t="array" ref="AZ20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6" s="485">
        <f>_xlfn.XLOOKUP(Т402[[#This Row],[№]],Д402[№],Д402[Стоимость квартиры с отделкой],"-",0)</f>
        <v>4764700</v>
      </c>
      <c r="BB206" s="485" t="str">
        <f>IFERROR(Т402[[#This Row],[СО ПП]]-Т402[[#This Row],[СО ДДУ]],"")</f>
        <v/>
      </c>
      <c r="BC206" s="487" t="str" cm="1">
        <f t="array" ref="BC206">IFERROR(INDEX(РД[S],MATCH($AU$3&amp;Т402[[#This Row],[№]]&amp;"Продажа",РД[Дом]&amp;РД[№ кв]&amp;РД[Состояние],0),1),Т402[[#This Row],[Статус]])</f>
        <v>Стр. Резерв</v>
      </c>
      <c r="BD206" s="483">
        <f>_xlfn.XLOOKUP(Т402[[#This Row],[№]],Д402[№],Д402[Расчетная проектная площадь],"-",0)</f>
        <v>36.39</v>
      </c>
      <c r="BE206" s="485" t="str">
        <f>IFERROR(Т402[[#This Row],[S ПП]]-Т402[[#This Row],[S ДДУ]],"")</f>
        <v/>
      </c>
      <c r="BF206" s="485">
        <f>_xlfn.XLOOKUP(Т402[[#This Row],[№]],Д402[№],Д402[Итоговая сумма скидки],"-",0)</f>
        <v>0</v>
      </c>
      <c r="BG206" s="486" t="str" cm="1">
        <f t="array" ref="BG20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6" s="488" t="str">
        <f>IFERROR(Т402[[#This Row],[ППС]]-Т402[[#This Row],[ДДУС]],"")</f>
        <v/>
      </c>
    </row>
    <row r="207" spans="1:60" x14ac:dyDescent="0.2">
      <c r="A207" s="611"/>
      <c r="B207" s="234">
        <f>VLOOKUP(ППД4!A204,Реестр_Д4[№],1,0)</f>
        <v>203</v>
      </c>
      <c r="C207" s="234" t="str">
        <f>VLOOKUP(ППД4!CO204,Реестр_Д4[Статус],1,0)</f>
        <v>Продажа</v>
      </c>
      <c r="D207" s="612">
        <f>VLOOKUP(ППД4!CE204,Реестр_Д4[Стоимость ОН без отделки со скидкой],1,0)</f>
        <v>2785580.62</v>
      </c>
      <c r="E207" s="612" cm="1">
        <f t="array" ref="E207">IFERROR(INDEX(РД[Стоимость без отделки итог],MATCH($B$3&amp;Таблица4[[#This Row],[№]]&amp;"Продажа",РД[Дом]&amp;РД[№ кв]&amp;РД[Состояние],0),1),Таблица4[[#This Row],[Статус]])</f>
        <v>2785580.62</v>
      </c>
      <c r="F207" s="235">
        <f>IFERROR((Таблица4[[#This Row],[ПП]]-Таблица4[[#This Row],[ДДУ]])*1,"")</f>
        <v>0</v>
      </c>
      <c r="G207" s="235" cm="1">
        <f t="array" ref="G207">IFERROR(INDEX(РД[Стоимость с отделкой итог],MATCH($B$3&amp;Таблица4[[#This Row],[№]]&amp;"Продажа",РД[Дом]&amp;РД[№ кв]&amp;РД[Состояние],0),1),Таблица4[[#This Row],[Статус]])</f>
        <v>2785580.62</v>
      </c>
      <c r="H207" s="235">
        <f>_xlfn.XLOOKUP(Таблица4[[#This Row],[№]],Реестр_Д4[№],Реестр_Д4[Стоимость квартиры с отделкой],"-",0)</f>
        <v>2785580.62</v>
      </c>
      <c r="I207" s="235">
        <f>IFERROR(Таблица4[[#This Row],[СО ПП]]-Таблица4[[#This Row],[СО ДДУ]],"")</f>
        <v>0</v>
      </c>
      <c r="J207" s="233" cm="1">
        <f t="array" ref="J207">IFERROR(INDEX(РД[S],MATCH($B$3&amp;Таблица4[[#This Row],[№]]&amp;"Продажа",РД[Дом]&amp;РД[№ кв]&amp;РД[Состояние],0),1),Таблица4[[#This Row],[Статус]])</f>
        <v>35.380000000000003</v>
      </c>
      <c r="K207" s="233">
        <f>VLOOKUP(Таблица4[[#This Row],[№]],Реестр_Д4[],20,0)</f>
        <v>35.380000000000003</v>
      </c>
      <c r="L207" s="235">
        <f>IFERROR(Таблица4[[#This Row],[S ПП]]-Таблица4[[#This Row],[S ДДУ]],)</f>
        <v>0</v>
      </c>
      <c r="M207" s="235">
        <f>ROUND(_xlfn.XLOOKUP(Таблица4[[#This Row],[№]],Реестр_Д4[№],Реестр_Д4[Итоговая сумма скидки],"",0),2)</f>
        <v>0</v>
      </c>
      <c r="N207" s="235" cm="1">
        <f t="array" ref="N20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7" s="235">
        <f>IFERROR(Таблица4[[#This Row],[ППС]]-Таблица4[[#This Row],[ДДУС]],)</f>
        <v>0</v>
      </c>
      <c r="P207" s="611"/>
      <c r="Q207" s="234">
        <f>VLOOKUP(ППД5!A204,Реестр_Д5[№],1,0)</f>
        <v>203</v>
      </c>
      <c r="R207" s="234" t="str">
        <f>VLOOKUP(ППД5!CH204,Реестр_Д5[Статус],1,0)</f>
        <v>Продажа</v>
      </c>
      <c r="S207" s="612">
        <f>VLOOKUP(ППД5!BZ204,Реестр_Д5[Стоимость ОН без отделки со скидкой],1,0)</f>
        <v>3706600</v>
      </c>
      <c r="T207" s="612" cm="1">
        <f t="array" ref="T207">IFERROR(INDEX(РД[Стоимость без отделки итог],MATCH($Q$3&amp;Таблица10[[#This Row],[№]]&amp;"Продажа",РД[Дом]&amp;РД[№ кв]&amp;РД[Состояние],0),1),Таблица10[[#This Row],[Статус]])</f>
        <v>3706600</v>
      </c>
      <c r="U207" s="235">
        <f>IFERROR((Таблица10[[#This Row],[ПП]]-Таблица10[[#This Row],[ДДУ]])*1,)</f>
        <v>0</v>
      </c>
      <c r="V207" s="235" cm="1">
        <f t="array" ref="V207">IFERROR(INDEX(РД[Стоимость с отделкой итог],MATCH($Q$3&amp;Таблица10[[#This Row],[№]]&amp;"Продажа",РД[Дом]&amp;РД[№ кв]&amp;РД[Состояние],0),1),Таблица10[[#This Row],[Статус]])</f>
        <v>4313600</v>
      </c>
      <c r="W207" s="235">
        <f>_xlfn.XLOOKUP(Таблица10[[#This Row],[№]],Реестр_Д5[№],Реестр_Д5[Стоимость квартиры с отделкой],"-",0)</f>
        <v>4313600</v>
      </c>
      <c r="X207" s="235">
        <f>IFERROR(Таблица10[[#This Row],[СО ПП]]-Таблица10[[#This Row],[СО ДДУ]],"")</f>
        <v>0</v>
      </c>
      <c r="Y207" s="233" cm="1">
        <f t="array" ref="Y207">IFERROR(INDEX(РД[S],MATCH($Q$3&amp;Таблица10[[#This Row],[№]]&amp;"Продажа",РД[Дом]&amp;РД[№ кв]&amp;РД[Состояние],0),1),Таблица10[[#This Row],[Статус]])</f>
        <v>24.28</v>
      </c>
      <c r="Z207" s="233">
        <f>IF(Таблица10[[#This Row],[№]]&amp;"ДДУ"=ППД5!A204&amp;ППД5!CR204,ППД5!U204,ППД5!V204)</f>
        <v>24.28</v>
      </c>
      <c r="AA207" s="285">
        <f>IFERROR(Таблица10[[#This Row],[S ПП]]-Таблица10[[#This Row],[S ДДУ]],)</f>
        <v>0</v>
      </c>
      <c r="AB207" s="235">
        <f>ROUND(_xlfn.XLOOKUP(Таблица10[[#This Row],[№]],Реестр_Д5[№],Реестр_Д5[Итоговая сумма скидки],"",0),2)</f>
        <v>0</v>
      </c>
      <c r="AC207" s="235" cm="1">
        <f t="array" ref="AC20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07" s="285">
        <f>IFERROR(Таблица10[[#This Row],[ППС]]-Таблица10[[#This Row],[ДДУС]],)</f>
        <v>0</v>
      </c>
      <c r="AE207" s="611"/>
      <c r="AT207" s="611"/>
      <c r="AU207" s="484">
        <f>VLOOKUP(ППД402!A204,Д402[],1,0)</f>
        <v>203</v>
      </c>
      <c r="AV207" s="484" t="str">
        <f>_xlfn.XLOOKUP(Т402[[#This Row],[№]],Д402[№],Д402[Статус],"-",0)</f>
        <v>Стр. Резерв</v>
      </c>
      <c r="AW207" s="613">
        <f>_xlfn.XLOOKUP(Т402[[#This Row],[№]],Д402[№],Д402[Стоимость ОН без отделки со скидкой],"-",0)</f>
        <v>8740500</v>
      </c>
      <c r="AX207" s="614" t="str" cm="1">
        <f t="array" ref="AX20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7" s="485" t="str">
        <f>IFERROR((Т402[[#This Row],[ПП]]-Т402[[#This Row],[ДДУ]])*1,"")</f>
        <v/>
      </c>
      <c r="AZ207" s="486" t="str" cm="1">
        <f t="array" ref="AZ20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7" s="485">
        <f>_xlfn.XLOOKUP(Т402[[#This Row],[№]],Д402[№],Д402[Стоимость квартиры с отделкой],"-",0)</f>
        <v>8740500</v>
      </c>
      <c r="BB207" s="485" t="str">
        <f>IFERROR(Т402[[#This Row],[СО ПП]]-Т402[[#This Row],[СО ДДУ]],"")</f>
        <v/>
      </c>
      <c r="BC207" s="487" t="str" cm="1">
        <f t="array" ref="BC207">IFERROR(INDEX(РД[S],MATCH($AU$3&amp;Т402[[#This Row],[№]]&amp;"Продажа",РД[Дом]&amp;РД[№ кв]&amp;РД[Состояние],0),1),Т402[[#This Row],[Статус]])</f>
        <v>Стр. Резерв</v>
      </c>
      <c r="BD207" s="483">
        <f>_xlfn.XLOOKUP(Т402[[#This Row],[№]],Д402[№],Д402[Расчетная проектная площадь],"-",0)</f>
        <v>78.16</v>
      </c>
      <c r="BE207" s="485" t="str">
        <f>IFERROR(Т402[[#This Row],[S ПП]]-Т402[[#This Row],[S ДДУ]],"")</f>
        <v/>
      </c>
      <c r="BF207" s="485">
        <f>_xlfn.XLOOKUP(Т402[[#This Row],[№]],Д402[№],Д402[Итоговая сумма скидки],"-",0)</f>
        <v>0</v>
      </c>
      <c r="BG207" s="486" t="str" cm="1">
        <f t="array" ref="BG20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7" s="488" t="str">
        <f>IFERROR(Т402[[#This Row],[ППС]]-Т402[[#This Row],[ДДУС]],"")</f>
        <v/>
      </c>
    </row>
    <row r="208" spans="1:60" x14ac:dyDescent="0.2">
      <c r="A208" s="611"/>
      <c r="B208" s="234">
        <f>VLOOKUP(ППД4!A205,Реестр_Д4[№],1,0)</f>
        <v>204</v>
      </c>
      <c r="C208" s="234" t="str">
        <f>VLOOKUP(ППД4!CO205,Реестр_Д4[Статус],1,0)</f>
        <v>Продажа</v>
      </c>
      <c r="D208" s="612">
        <f>VLOOKUP(ППД4!CE205,Реестр_Д4[Стоимость ОН без отделки со скидкой],1,0)</f>
        <v>4305000</v>
      </c>
      <c r="E208" s="612" cm="1">
        <f t="array" ref="E208">IFERROR(INDEX(РД[Стоимость без отделки итог],MATCH($B$3&amp;Таблица4[[#This Row],[№]]&amp;"Продажа",РД[Дом]&amp;РД[№ кв]&amp;РД[Состояние],0),1),Таблица4[[#This Row],[Статус]])</f>
        <v>4305000</v>
      </c>
      <c r="F208" s="235">
        <f>IFERROR((Таблица4[[#This Row],[ПП]]-Таблица4[[#This Row],[ДДУ]])*1,"")</f>
        <v>0</v>
      </c>
      <c r="G208" s="235" cm="1">
        <f t="array" ref="G208">IFERROR(INDEX(РД[Стоимость с отделкой итог],MATCH($B$3&amp;Таблица4[[#This Row],[№]]&amp;"Продажа",РД[Дом]&amp;РД[№ кв]&amp;РД[Состояние],0),1),Таблица4[[#This Row],[Статус]])</f>
        <v>4588575</v>
      </c>
      <c r="H208" s="235">
        <f>_xlfn.XLOOKUP(Таблица4[[#This Row],[№]],Реестр_Д4[№],Реестр_Д4[Стоимость квартиры с отделкой],"-",0)</f>
        <v>4588575</v>
      </c>
      <c r="I208" s="235">
        <f>IFERROR(Таблица4[[#This Row],[СО ПП]]-Таблица4[[#This Row],[СО ДДУ]],"")</f>
        <v>0</v>
      </c>
      <c r="J208" s="233" cm="1">
        <f t="array" ref="J208">IFERROR(INDEX(РД[S],MATCH($B$3&amp;Таблица4[[#This Row],[№]]&amp;"Продажа",РД[Дом]&amp;РД[№ кв]&amp;РД[Состояние],0),1),Таблица4[[#This Row],[Статус]])</f>
        <v>37.81</v>
      </c>
      <c r="K208" s="233">
        <f>VLOOKUP(Таблица4[[#This Row],[№]],Реестр_Д4[],20,0)</f>
        <v>37.81</v>
      </c>
      <c r="L208" s="235">
        <f>IFERROR(Таблица4[[#This Row],[S ПП]]-Таблица4[[#This Row],[S ДДУ]],)</f>
        <v>0</v>
      </c>
      <c r="M208" s="235">
        <f>ROUND(_xlfn.XLOOKUP(Таблица4[[#This Row],[№]],Реестр_Д4[№],Реестр_Д4[Итоговая сумма скидки],"",0),2)</f>
        <v>0</v>
      </c>
      <c r="N208" s="235" cm="1">
        <f t="array" ref="N20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8" s="235">
        <f>IFERROR(Таблица4[[#This Row],[ППС]]-Таблица4[[#This Row],[ДДУС]],)</f>
        <v>0</v>
      </c>
      <c r="P208" s="611"/>
      <c r="Q208" s="234">
        <f>VLOOKUP(ППД5!A205,Реестр_Д5[№],1,0)</f>
        <v>204</v>
      </c>
      <c r="R208" s="234" t="str">
        <f>VLOOKUP(ППД5!CH205,Реестр_Д5[Статус],1,0)</f>
        <v>Продажа</v>
      </c>
      <c r="S208" s="612">
        <f>VLOOKUP(ППД5!BZ205,Реестр_Д5[Стоимость ОН без отделки со скидкой],1,0)</f>
        <v>4857019.78</v>
      </c>
      <c r="T208" s="612" cm="1">
        <f t="array" ref="T208">IFERROR(INDEX(РД[Стоимость без отделки итог],MATCH($Q$3&amp;Таблица10[[#This Row],[№]]&amp;"Продажа",РД[Дом]&amp;РД[№ кв]&amp;РД[Состояние],0),1),Таблица10[[#This Row],[Статус]])</f>
        <v>4857019.78</v>
      </c>
      <c r="U208" s="235">
        <f>IFERROR((Таблица10[[#This Row],[ПП]]-Таблица10[[#This Row],[ДДУ]])*1,)</f>
        <v>0</v>
      </c>
      <c r="V208" s="235" cm="1">
        <f t="array" ref="V208">IFERROR(INDEX(РД[Стоимость с отделкой итог],MATCH($Q$3&amp;Таблица10[[#This Row],[№]]&amp;"Продажа",РД[Дом]&amp;РД[№ кв]&amp;РД[Состояние],0),1),Таблица10[[#This Row],[Статус]])</f>
        <v>5778619.7800000003</v>
      </c>
      <c r="W208" s="235">
        <f>_xlfn.XLOOKUP(Таблица10[[#This Row],[№]],Реестр_Д5[№],Реестр_Д5[Стоимость квартиры с отделкой],"-",0)</f>
        <v>5778619.7800000003</v>
      </c>
      <c r="X208" s="235">
        <f>IFERROR(Таблица10[[#This Row],[СО ПП]]-Таблица10[[#This Row],[СО ДДУ]],"")</f>
        <v>0</v>
      </c>
      <c r="Y208" s="233" cm="1">
        <f t="array" ref="Y208">IFERROR(INDEX(РД[S],MATCH($Q$3&amp;Таблица10[[#This Row],[№]]&amp;"Продажа",РД[Дом]&amp;РД[№ кв]&amp;РД[Состояние],0),1),Таблица10[[#This Row],[Статус]])</f>
        <v>57.6</v>
      </c>
      <c r="Z208" s="233">
        <f>IF(Таблица10[[#This Row],[№]]&amp;"ДДУ"=ППД5!A205&amp;ППД5!CR205,ППД5!U205,ППД5!V205)</f>
        <v>57.6</v>
      </c>
      <c r="AA208" s="285">
        <f>IFERROR(Таблица10[[#This Row],[S ПП]]-Таблица10[[#This Row],[S ДДУ]],)</f>
        <v>0</v>
      </c>
      <c r="AB208" s="235">
        <f>ROUND(_xlfn.XLOOKUP(Таблица10[[#This Row],[№]],Реестр_Д5[№],Реестр_Д5[Итоговая сумма скидки],"",0),2)</f>
        <v>0</v>
      </c>
      <c r="AC208" s="235" cm="1">
        <f t="array" ref="AC20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08" s="285">
        <f>IFERROR(Таблица10[[#This Row],[ППС]]-Таблица10[[#This Row],[ДДУС]],)</f>
        <v>0</v>
      </c>
      <c r="AE208" s="611"/>
      <c r="AT208" s="611"/>
      <c r="AU208" s="484">
        <f>VLOOKUP(ППД402!A205,Д402[],1,0)</f>
        <v>204</v>
      </c>
      <c r="AV208" s="484" t="str">
        <f>_xlfn.XLOOKUP(Т402[[#This Row],[№]],Д402[№],Д402[Статус],"-",0)</f>
        <v>Стр. Резерв</v>
      </c>
      <c r="AW208" s="613">
        <f>_xlfn.XLOOKUP(Т402[[#This Row],[№]],Д402[№],Д402[Стоимость ОН без отделки со скидкой],"-",0)</f>
        <v>4149300</v>
      </c>
      <c r="AX208" s="614" t="str" cm="1">
        <f t="array" ref="AX20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08" s="485" t="str">
        <f>IFERROR((Т402[[#This Row],[ПП]]-Т402[[#This Row],[ДДУ]])*1,"")</f>
        <v/>
      </c>
      <c r="AZ208" s="486" t="str" cm="1">
        <f t="array" ref="AZ20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08" s="485">
        <f>_xlfn.XLOOKUP(Т402[[#This Row],[№]],Д402[№],Д402[Стоимость квартиры с отделкой],"-",0)</f>
        <v>4149300</v>
      </c>
      <c r="BB208" s="485" t="str">
        <f>IFERROR(Т402[[#This Row],[СО ПП]]-Т402[[#This Row],[СО ДДУ]],"")</f>
        <v/>
      </c>
      <c r="BC208" s="487" t="str" cm="1">
        <f t="array" ref="BC208">IFERROR(INDEX(РД[S],MATCH($AU$3&amp;Т402[[#This Row],[№]]&amp;"Продажа",РД[Дом]&amp;РД[№ кв]&amp;РД[Состояние],0),1),Т402[[#This Row],[Статус]])</f>
        <v>Стр. Резерв</v>
      </c>
      <c r="BD208" s="483">
        <f>_xlfn.XLOOKUP(Т402[[#This Row],[№]],Д402[№],Д402[Расчетная проектная площадь],"-",0)</f>
        <v>29.73</v>
      </c>
      <c r="BE208" s="485" t="str">
        <f>IFERROR(Т402[[#This Row],[S ПП]]-Т402[[#This Row],[S ДДУ]],"")</f>
        <v/>
      </c>
      <c r="BF208" s="485">
        <f>_xlfn.XLOOKUP(Т402[[#This Row],[№]],Д402[№],Д402[Итоговая сумма скидки],"-",0)</f>
        <v>0</v>
      </c>
      <c r="BG208" s="486" t="str" cm="1">
        <f t="array" ref="BG20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08" s="488" t="str">
        <f>IFERROR(Т402[[#This Row],[ППС]]-Т402[[#This Row],[ДДУС]],"")</f>
        <v/>
      </c>
    </row>
    <row r="209" spans="1:60" x14ac:dyDescent="0.2">
      <c r="A209" s="611"/>
      <c r="B209" s="234">
        <f>VLOOKUP(ППД4!A206,Реестр_Д4[№],1,0)</f>
        <v>205</v>
      </c>
      <c r="C209" s="234" t="str">
        <f>VLOOKUP(ППД4!CO206,Реестр_Д4[Статус],1,0)</f>
        <v>Продажа</v>
      </c>
      <c r="D209" s="612">
        <f>VLOOKUP(ППД4!CE206,Реестр_Д4[Стоимость ОН без отделки со скидкой],1,0)</f>
        <v>3313517.85</v>
      </c>
      <c r="E209" s="612" cm="1">
        <f t="array" ref="E209">IFERROR(INDEX(РД[Стоимость без отделки итог],MATCH($B$3&amp;Таблица4[[#This Row],[№]]&amp;"Продажа",РД[Дом]&amp;РД[№ кв]&amp;РД[Состояние],0),1),Таблица4[[#This Row],[Статус]])</f>
        <v>3313517.85</v>
      </c>
      <c r="F209" s="235">
        <f>IFERROR((Таблица4[[#This Row],[ПП]]-Таблица4[[#This Row],[ДДУ]])*1,"")</f>
        <v>0</v>
      </c>
      <c r="G209" s="235" cm="1">
        <f t="array" ref="G209">IFERROR(INDEX(РД[Стоимость с отделкой итог],MATCH($B$3&amp;Таблица4[[#This Row],[№]]&amp;"Продажа",РД[Дом]&amp;РД[№ кв]&amp;РД[Состояние],0),1),Таблица4[[#This Row],[Статус]])</f>
        <v>3460317.85</v>
      </c>
      <c r="H209" s="235">
        <f>_xlfn.XLOOKUP(Таблица4[[#This Row],[№]],Реестр_Д4[№],Реестр_Д4[Стоимость квартиры с отделкой],"-",0)</f>
        <v>3460317.85</v>
      </c>
      <c r="I209" s="235">
        <f>IFERROR(Таблица4[[#This Row],[СО ПП]]-Таблица4[[#This Row],[СО ДДУ]],"")</f>
        <v>0</v>
      </c>
      <c r="J209" s="233" cm="1">
        <f t="array" ref="J209">IFERROR(INDEX(РД[S],MATCH($B$3&amp;Таблица4[[#This Row],[№]]&amp;"Продажа",РД[Дом]&amp;РД[№ кв]&amp;РД[Состояние],0),1),Таблица4[[#This Row],[Статус]])</f>
        <v>36.700000000000003</v>
      </c>
      <c r="K209" s="233">
        <f>VLOOKUP(Таблица4[[#This Row],[№]],Реестр_Д4[],20,0)</f>
        <v>36.700000000000003</v>
      </c>
      <c r="L209" s="235">
        <f>IFERROR(Таблица4[[#This Row],[S ПП]]-Таблица4[[#This Row],[S ДДУ]],)</f>
        <v>0</v>
      </c>
      <c r="M209" s="235">
        <f>ROUND(_xlfn.XLOOKUP(Таблица4[[#This Row],[№]],Реестр_Д4[№],Реестр_Д4[Итоговая сумма скидки],"",0),2)</f>
        <v>0</v>
      </c>
      <c r="N209" s="235" cm="1">
        <f t="array" ref="N20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09" s="235">
        <f>IFERROR(Таблица4[[#This Row],[ППС]]-Таблица4[[#This Row],[ДДУС]],)</f>
        <v>0</v>
      </c>
      <c r="P209" s="611"/>
      <c r="Q209" s="234">
        <f>VLOOKUP(ППД5!A206,Реестр_Д5[№],1,0)</f>
        <v>205</v>
      </c>
      <c r="R209" s="234" t="str">
        <f>VLOOKUP(ППД5!CH206,Реестр_Д5[Статус],1,0)</f>
        <v>Продажа</v>
      </c>
      <c r="S209" s="612">
        <f>VLOOKUP(ППД5!BZ206,Реестр_Д5[Стоимость ОН без отделки со скидкой],1,0)</f>
        <v>4880625</v>
      </c>
      <c r="T209" s="612" cm="1">
        <f t="array" ref="T209">IFERROR(INDEX(РД[Стоимость без отделки итог],MATCH($Q$3&amp;Таблица10[[#This Row],[№]]&amp;"Продажа",РД[Дом]&amp;РД[№ кв]&amp;РД[Состояние],0),1),Таблица10[[#This Row],[Статус]])</f>
        <v>4880625</v>
      </c>
      <c r="U209" s="235">
        <f>IFERROR((Таблица10[[#This Row],[ПП]]-Таблица10[[#This Row],[ДДУ]])*1,)</f>
        <v>0</v>
      </c>
      <c r="V209" s="235" cm="1">
        <f t="array" ref="V209">IFERROR(INDEX(РД[Стоимость с отделкой итог],MATCH($Q$3&amp;Таблица10[[#This Row],[№]]&amp;"Продажа",РД[Дом]&amp;РД[№ кв]&amp;РД[Состояние],0),1),Таблица10[[#This Row],[Статус]])</f>
        <v>5317950</v>
      </c>
      <c r="W209" s="235">
        <f>_xlfn.XLOOKUP(Таблица10[[#This Row],[№]],Реестр_Д5[№],Реестр_Д5[Стоимость квартиры с отделкой],"-",0)</f>
        <v>5317950</v>
      </c>
      <c r="X209" s="235">
        <f>IFERROR(Таблица10[[#This Row],[СО ПП]]-Таблица10[[#This Row],[СО ДДУ]],"")</f>
        <v>0</v>
      </c>
      <c r="Y209" s="233" cm="1">
        <f t="array" ref="Y209">IFERROR(INDEX(РД[S],MATCH($Q$3&amp;Таблица10[[#This Row],[№]]&amp;"Продажа",РД[Дом]&amp;РД[№ кв]&amp;РД[Состояние],0),1),Таблица10[[#This Row],[Статус]])</f>
        <v>58.31</v>
      </c>
      <c r="Z209" s="233">
        <f>IF(Таблица10[[#This Row],[№]]&amp;"ДДУ"=ППД5!A206&amp;ППД5!CR206,ППД5!U206,ППД5!V206)</f>
        <v>58.31</v>
      </c>
      <c r="AA209" s="285">
        <f>IFERROR(Таблица10[[#This Row],[S ПП]]-Таблица10[[#This Row],[S ДДУ]],)</f>
        <v>0</v>
      </c>
      <c r="AB209" s="235">
        <f>ROUND(_xlfn.XLOOKUP(Таблица10[[#This Row],[№]],Реестр_Д5[№],Реестр_Д5[Итоговая сумма скидки],"",0),2)</f>
        <v>256875</v>
      </c>
      <c r="AC209" s="235" cm="1">
        <f t="array" ref="AC209">IFERROR(ROUND(_xlfn.XLOOKUP($Q$3&amp;Таблица10[[#This Row],[№]]&amp;"Продажа",РД[Дом]&amp;РД[№ кв]&amp;РД[Состояние],РД[Сумма скидки],"",0,-1),2),Таблица10[[#This Row],[Статус]])</f>
        <v>256875</v>
      </c>
      <c r="AD209" s="285">
        <f>IFERROR(Таблица10[[#This Row],[ППС]]-Таблица10[[#This Row],[ДДУС]],)</f>
        <v>0</v>
      </c>
      <c r="AE209" s="611"/>
      <c r="AT209" s="611"/>
      <c r="AU209" s="484">
        <f>VLOOKUP(ППД402!A206,Д402[],1,0)</f>
        <v>205</v>
      </c>
      <c r="AV209" s="484" t="str">
        <f>_xlfn.XLOOKUP(Т402[[#This Row],[№]],Д402[№],Д402[Статус],"-",0)</f>
        <v>Продажа</v>
      </c>
      <c r="AW209" s="613">
        <f>_xlfn.XLOOKUP(Т402[[#This Row],[№]],Д402[№],Д402[Стоимость ОН без отделки со скидкой],"-",0)</f>
        <v>5625200</v>
      </c>
      <c r="AX209" s="614" cm="1">
        <f t="array" ref="AX209">IFERROR(INDEX(РД[Стоимость без отделки итог],MATCH($AU$3&amp;Т402[[#This Row],[№]]&amp;"Продажа",РД[Дом]&amp;РД[№ кв]&amp;РД[Состояние],0),1),Т402[[#This Row],[Статус]])</f>
        <v>5625200</v>
      </c>
      <c r="AY209" s="485">
        <f>IFERROR((Т402[[#This Row],[ПП]]-Т402[[#This Row],[ДДУ]])*1,"")</f>
        <v>0</v>
      </c>
      <c r="AZ209" s="486" cm="1">
        <f t="array" ref="AZ209">IFERROR(INDEX(РД[Стоимость с отделкой итог],MATCH($AU$3&amp;Т402[[#This Row],[№]]&amp;"Продажа",РД[Дом]&amp;РД[№ кв]&amp;РД[Состояние],0),1),Т402[[#This Row],[Статус]])</f>
        <v>5625200</v>
      </c>
      <c r="BA209" s="485">
        <f>_xlfn.XLOOKUP(Т402[[#This Row],[№]],Д402[№],Д402[Стоимость квартиры с отделкой],"-",0)</f>
        <v>5625200</v>
      </c>
      <c r="BB209" s="485">
        <f>IFERROR(Т402[[#This Row],[СО ПП]]-Т402[[#This Row],[СО ДДУ]],"")</f>
        <v>0</v>
      </c>
      <c r="BC209" s="487" cm="1">
        <f t="array" ref="BC209">IFERROR(INDEX(РД[S],MATCH($AU$3&amp;Т402[[#This Row],[№]]&amp;"Продажа",РД[Дом]&amp;РД[№ кв]&amp;РД[Состояние],0),1),Т402[[#This Row],[Статус]])</f>
        <v>44.25</v>
      </c>
      <c r="BD209" s="483">
        <f>_xlfn.XLOOKUP(Т402[[#This Row],[№]],Д402[№],Д402[Расчетная проектная площадь],"-",0)</f>
        <v>44.25</v>
      </c>
      <c r="BE209" s="485">
        <f>IFERROR(Т402[[#This Row],[S ПП]]-Т402[[#This Row],[S ДДУ]],"")</f>
        <v>0</v>
      </c>
      <c r="BF209" s="485">
        <f>_xlfn.XLOOKUP(Т402[[#This Row],[№]],Д402[№],Д402[Итоговая сумма скидки],"-",0)</f>
        <v>114800</v>
      </c>
      <c r="BG209" s="486" cm="1">
        <f t="array" ref="BG209">IFERROR(ROUND(_xlfn.XLOOKUP($AU$3&amp;Т402[[#This Row],[№]]&amp;"Продажа",РД[Дом]&amp;РД[№ кв]&amp;РД[Состояние],РД[Сумма скидки],"",0),2),Т402[[#This Row],[Статус]])</f>
        <v>114800</v>
      </c>
      <c r="BH209" s="488">
        <f>IFERROR(Т402[[#This Row],[ППС]]-Т402[[#This Row],[ДДУС]],"")</f>
        <v>0</v>
      </c>
    </row>
    <row r="210" spans="1:60" x14ac:dyDescent="0.2">
      <c r="A210" s="611"/>
      <c r="B210" s="234">
        <f>VLOOKUP(ППД4!A207,Реестр_Д4[№],1,0)</f>
        <v>206</v>
      </c>
      <c r="C210" s="234" t="str">
        <f>VLOOKUP(ППД4!CO207,Реестр_Д4[Статус],1,0)</f>
        <v>Продажа</v>
      </c>
      <c r="D210" s="612">
        <f>VLOOKUP(ППД4!CE207,Реестр_Д4[Стоимость ОН без отделки со скидкой],1,0)</f>
        <v>4106833.2</v>
      </c>
      <c r="E210" s="612" cm="1">
        <f t="array" ref="E210">IFERROR(INDEX(РД[Стоимость без отделки итог],MATCH($B$3&amp;Таблица4[[#This Row],[№]]&amp;"Продажа",РД[Дом]&amp;РД[№ кв]&amp;РД[Состояние],0),1),Таблица4[[#This Row],[Статус]])</f>
        <v>4106833.2</v>
      </c>
      <c r="F210" s="235">
        <f>IFERROR((Таблица4[[#This Row],[ПП]]-Таблица4[[#This Row],[ДДУ]])*1,"")</f>
        <v>0</v>
      </c>
      <c r="G210" s="235" cm="1">
        <f t="array" ref="G210">IFERROR(INDEX(РД[Стоимость с отделкой итог],MATCH($B$3&amp;Таблица4[[#This Row],[№]]&amp;"Продажа",РД[Дом]&amp;РД[№ кв]&amp;РД[Состояние],0),1),Таблица4[[#This Row],[Статус]])</f>
        <v>4106833.2</v>
      </c>
      <c r="H210" s="235">
        <f>_xlfn.XLOOKUP(Таблица4[[#This Row],[№]],Реестр_Д4[№],Реестр_Д4[Стоимость квартиры с отделкой],"-",0)</f>
        <v>4106833.2</v>
      </c>
      <c r="I210" s="235">
        <f>IFERROR(Таблица4[[#This Row],[СО ПП]]-Таблица4[[#This Row],[СО ДДУ]],"")</f>
        <v>0</v>
      </c>
      <c r="J210" s="233" cm="1">
        <f t="array" ref="J210">IFERROR(INDEX(РД[S],MATCH($B$3&amp;Таблица4[[#This Row],[№]]&amp;"Продажа",РД[Дом]&amp;РД[№ кв]&amp;РД[Состояние],0),1),Таблица4[[#This Row],[Статус]])</f>
        <v>36.659999999999997</v>
      </c>
      <c r="K210" s="233">
        <f>VLOOKUP(Таблица4[[#This Row],[№]],Реестр_Д4[],20,0)</f>
        <v>36.659999999999997</v>
      </c>
      <c r="L210" s="235">
        <f>IFERROR(Таблица4[[#This Row],[S ПП]]-Таблица4[[#This Row],[S ДДУ]],)</f>
        <v>0</v>
      </c>
      <c r="M210" s="235">
        <f>ROUND(_xlfn.XLOOKUP(Таблица4[[#This Row],[№]],Реестр_Д4[№],Реестр_Д4[Итоговая сумма скидки],"",0),2)</f>
        <v>0</v>
      </c>
      <c r="N210" s="235" cm="1">
        <f t="array" ref="N21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0" s="235">
        <f>IFERROR(Таблица4[[#This Row],[ППС]]-Таблица4[[#This Row],[ДДУС]],)</f>
        <v>0</v>
      </c>
      <c r="P210" s="611"/>
      <c r="Q210" s="234">
        <f>VLOOKUP(ППД5!A207,Реестр_Д5[№],1,0)</f>
        <v>206</v>
      </c>
      <c r="R210" s="234" t="str">
        <f>VLOOKUP(ППД5!CH207,Реестр_Д5[Статус],1,0)</f>
        <v>Продажа</v>
      </c>
      <c r="S210" s="612">
        <f>VLOOKUP(ППД5!BZ207,Реестр_Д5[Стоимость ОН без отделки со скидкой],1,0)</f>
        <v>3378011.18</v>
      </c>
      <c r="T210" s="612" cm="1">
        <f t="array" ref="T210">IFERROR(INDEX(РД[Стоимость без отделки итог],MATCH($Q$3&amp;Таблица10[[#This Row],[№]]&amp;"Продажа",РД[Дом]&amp;РД[№ кв]&amp;РД[Состояние],0),1),Таблица10[[#This Row],[Статус]])</f>
        <v>3378011.18</v>
      </c>
      <c r="U210" s="235">
        <f>IFERROR((Таблица10[[#This Row],[ПП]]-Таблица10[[#This Row],[ДДУ]])*1,)</f>
        <v>0</v>
      </c>
      <c r="V210" s="235" cm="1">
        <f t="array" ref="V210">IFERROR(INDEX(РД[Стоимость с отделкой итог],MATCH($Q$3&amp;Таблица10[[#This Row],[№]]&amp;"Продажа",РД[Дом]&amp;РД[№ кв]&amp;РД[Состояние],0),1),Таблица10[[#This Row],[Статус]])</f>
        <v>3548381.18</v>
      </c>
      <c r="W210" s="235">
        <f>_xlfn.XLOOKUP(Таблица10[[#This Row],[№]],Реестр_Д5[№],Реестр_Д5[Стоимость квартиры с отделкой],"-",0)</f>
        <v>3548381.18</v>
      </c>
      <c r="X210" s="235">
        <f>IFERROR(Таблица10[[#This Row],[СО ПП]]-Таблица10[[#This Row],[СО ДДУ]],"")</f>
        <v>0</v>
      </c>
      <c r="Y210" s="233" cm="1">
        <f t="array" ref="Y210">IFERROR(INDEX(РД[S],MATCH($Q$3&amp;Таблица10[[#This Row],[№]]&amp;"Продажа",РД[Дом]&amp;РД[№ кв]&amp;РД[Состояние],0),1),Таблица10[[#This Row],[Статус]])</f>
        <v>37.86</v>
      </c>
      <c r="Z210" s="233">
        <f>IF(Таблица10[[#This Row],[№]]&amp;"ДДУ"=ППД5!A207&amp;ППД5!CR207,ППД5!U207,ППД5!V207)</f>
        <v>37.86</v>
      </c>
      <c r="AA210" s="285">
        <f>IFERROR(Таблица10[[#This Row],[S ПП]]-Таблица10[[#This Row],[S ДДУ]],)</f>
        <v>0</v>
      </c>
      <c r="AB210" s="235">
        <f>ROUND(_xlfn.XLOOKUP(Таблица10[[#This Row],[№]],Реестр_Д5[№],Реестр_Д5[Итоговая сумма скидки],"",0),2)</f>
        <v>0</v>
      </c>
      <c r="AC210" s="235" cm="1">
        <f t="array" ref="AC21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10" s="285">
        <f>IFERROR(Таблица10[[#This Row],[ППС]]-Таблица10[[#This Row],[ДДУС]],)</f>
        <v>0</v>
      </c>
      <c r="AE210" s="611"/>
      <c r="AT210" s="611"/>
      <c r="AU210" s="484">
        <f>VLOOKUP(ППД402!A207,Д402[],1,0)</f>
        <v>206</v>
      </c>
      <c r="AV210" s="484" t="str">
        <f>_xlfn.XLOOKUP(Т402[[#This Row],[№]],Д402[№],Д402[Статус],"-",0)</f>
        <v>Продажа</v>
      </c>
      <c r="AW210" s="613">
        <f>_xlfn.XLOOKUP(Т402[[#This Row],[№]],Д402[№],Д402[Стоимость ОН без отделки со скидкой],"-",0)</f>
        <v>4665976</v>
      </c>
      <c r="AX210" s="614" cm="1">
        <f t="array" ref="AX210">IFERROR(INDEX(РД[Стоимость без отделки итог],MATCH($AU$3&amp;Т402[[#This Row],[№]]&amp;"Продажа",РД[Дом]&amp;РД[№ кв]&amp;РД[Состояние],0),1),Т402[[#This Row],[Статус]])</f>
        <v>4665976</v>
      </c>
      <c r="AY210" s="485">
        <f>IFERROR((Т402[[#This Row],[ПП]]-Т402[[#This Row],[ДДУ]])*1,"")</f>
        <v>0</v>
      </c>
      <c r="AZ210" s="486" cm="1">
        <f t="array" ref="AZ210">IFERROR(INDEX(РД[Стоимость с отделкой итог],MATCH($AU$3&amp;Т402[[#This Row],[№]]&amp;"Продажа",РД[Дом]&amp;РД[№ кв]&amp;РД[Состояние],0),1),Т402[[#This Row],[Статус]])</f>
        <v>4665976</v>
      </c>
      <c r="BA210" s="485">
        <f>_xlfn.XLOOKUP(Т402[[#This Row],[№]],Д402[№],Д402[Стоимость квартиры с отделкой],"-",0)</f>
        <v>4665976</v>
      </c>
      <c r="BB210" s="485">
        <f>IFERROR(Т402[[#This Row],[СО ПП]]-Т402[[#This Row],[СО ДДУ]],"")</f>
        <v>0</v>
      </c>
      <c r="BC210" s="487" cm="1">
        <f t="array" ref="BC210">IFERROR(INDEX(РД[S],MATCH($AU$3&amp;Т402[[#This Row],[№]]&amp;"Продажа",РД[Дом]&amp;РД[№ кв]&amp;РД[Состояние],0),1),Т402[[#This Row],[Статус]])</f>
        <v>36.64</v>
      </c>
      <c r="BD210" s="483">
        <f>_xlfn.XLOOKUP(Т402[[#This Row],[№]],Д402[№],Д402[Расчетная проектная площадь],"-",0)</f>
        <v>36.64</v>
      </c>
      <c r="BE210" s="485">
        <f>IFERROR(Т402[[#This Row],[S ПП]]-Т402[[#This Row],[S ДДУ]],"")</f>
        <v>0</v>
      </c>
      <c r="BF210" s="485">
        <f>_xlfn.XLOOKUP(Т402[[#This Row],[№]],Д402[№],Д402[Итоговая сумма скидки],"-",0)</f>
        <v>95224</v>
      </c>
      <c r="BG210" s="486" cm="1">
        <f t="array" ref="BG210">IFERROR(ROUND(_xlfn.XLOOKUP($AU$3&amp;Т402[[#This Row],[№]]&amp;"Продажа",РД[Дом]&amp;РД[№ кв]&amp;РД[Состояние],РД[Сумма скидки],"",0),2),Т402[[#This Row],[Статус]])</f>
        <v>95224</v>
      </c>
      <c r="BH210" s="488">
        <f>IFERROR(Т402[[#This Row],[ППС]]-Т402[[#This Row],[ДДУС]],"")</f>
        <v>0</v>
      </c>
    </row>
    <row r="211" spans="1:60" x14ac:dyDescent="0.2">
      <c r="A211" s="611"/>
      <c r="B211" s="234">
        <f>VLOOKUP(ППД4!A208,Реестр_Д4[№],1,0)</f>
        <v>207</v>
      </c>
      <c r="C211" s="234" t="str">
        <f>VLOOKUP(ППД4!CO208,Реестр_Д4[Статус],1,0)</f>
        <v>Продажа</v>
      </c>
      <c r="D211" s="612">
        <f>VLOOKUP(ППД4!CE208,Реестр_Д4[Стоимость ОН без отделки со скидкой],1,0)</f>
        <v>5704028.6500000004</v>
      </c>
      <c r="E211" s="612" cm="1">
        <f t="array" ref="E211">IFERROR(INDEX(РД[Стоимость без отделки итог],MATCH($B$3&amp;Таблица4[[#This Row],[№]]&amp;"Продажа",РД[Дом]&amp;РД[№ кв]&amp;РД[Состояние],0),1),Таблица4[[#This Row],[Статус]])</f>
        <v>5704028.6499999976</v>
      </c>
      <c r="F211" s="235">
        <f>IFERROR((Таблица4[[#This Row],[ПП]]-Таблица4[[#This Row],[ДДУ]])*1,"")</f>
        <v>2.7939677238464355E-9</v>
      </c>
      <c r="G211" s="235" cm="1">
        <f t="array" ref="G211">IFERROR(INDEX(РД[Стоимость с отделкой итог],MATCH($B$3&amp;Таблица4[[#This Row],[№]]&amp;"Продажа",РД[Дом]&amp;РД[№ кв]&amp;РД[Состояние],0),1),Таблица4[[#This Row],[Статус]])</f>
        <v>6018948.6500000004</v>
      </c>
      <c r="H211" s="235">
        <f>_xlfn.XLOOKUP(Таблица4[[#This Row],[№]],Реестр_Д4[№],Реестр_Д4[Стоимость квартиры с отделкой],"-",0)</f>
        <v>6018948.6500000004</v>
      </c>
      <c r="I211" s="235">
        <f>IFERROR(Таблица4[[#This Row],[СО ПП]]-Таблица4[[#This Row],[СО ДДУ]],"")</f>
        <v>0</v>
      </c>
      <c r="J211" s="233" cm="1">
        <f t="array" ref="J211">IFERROR(INDEX(РД[S],MATCH($B$3&amp;Таблица4[[#This Row],[№]]&amp;"Продажа",РД[Дом]&amp;РД[№ кв]&amp;РД[Состояние],0),1),Таблица4[[#This Row],[Статус]])</f>
        <v>78.73</v>
      </c>
      <c r="K211" s="233">
        <f>VLOOKUP(Таблица4[[#This Row],[№]],Реестр_Д4[],20,0)</f>
        <v>78.73</v>
      </c>
      <c r="L211" s="235">
        <f>IFERROR(Таблица4[[#This Row],[S ПП]]-Таблица4[[#This Row],[S ДДУ]],)</f>
        <v>0</v>
      </c>
      <c r="M211" s="235">
        <f>ROUND(_xlfn.XLOOKUP(Таблица4[[#This Row],[№]],Реестр_Д4[№],Реестр_Д4[Итоговая сумма скидки],"",0),2)</f>
        <v>0</v>
      </c>
      <c r="N211" s="235" cm="1">
        <f t="array" ref="N21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1" s="235">
        <f>IFERROR(Таблица4[[#This Row],[ППС]]-Таблица4[[#This Row],[ДДУС]],)</f>
        <v>0</v>
      </c>
      <c r="P211" s="611"/>
      <c r="Q211" s="234">
        <f>VLOOKUP(ППД5!A208,Реестр_Д5[№],1,0)</f>
        <v>207</v>
      </c>
      <c r="R211" s="234" t="str">
        <f>VLOOKUP(ППД5!CH208,Реестр_Д5[Статус],1,0)</f>
        <v>Продажа</v>
      </c>
      <c r="S211" s="612">
        <f>VLOOKUP(ППД5!BZ208,Реестр_Д5[Стоимость ОН без отделки со скидкой],1,0)</f>
        <v>7450861</v>
      </c>
      <c r="T211" s="612" cm="1">
        <f t="array" ref="T211">IFERROR(INDEX(РД[Стоимость без отделки итог],MATCH($Q$3&amp;Таблица10[[#This Row],[№]]&amp;"Продажа",РД[Дом]&amp;РД[№ кв]&amp;РД[Состояние],0),1),Таблица10[[#This Row],[Статус]])</f>
        <v>7450861</v>
      </c>
      <c r="U211" s="235">
        <f>IFERROR((Таблица10[[#This Row],[ПП]]-Таблица10[[#This Row],[ДДУ]])*1,)</f>
        <v>0</v>
      </c>
      <c r="V211" s="235" cm="1">
        <f t="array" ref="V211">IFERROR(INDEX(РД[Стоимость с отделкой итог],MATCH($Q$3&amp;Таблица10[[#This Row],[№]]&amp;"Продажа",РД[Дом]&amp;РД[№ кв]&amp;РД[Состояние],0),1),Таблица10[[#This Row],[Статус]])</f>
        <v>7450861</v>
      </c>
      <c r="W211" s="235">
        <f>_xlfn.XLOOKUP(Таблица10[[#This Row],[№]],Реестр_Д5[№],Реестр_Д5[Стоимость квартиры с отделкой],"-",0)</f>
        <v>7450861</v>
      </c>
      <c r="X211" s="235">
        <f>IFERROR(Таблица10[[#This Row],[СО ПП]]-Таблица10[[#This Row],[СО ДДУ]],"")</f>
        <v>0</v>
      </c>
      <c r="Y211" s="233" cm="1">
        <f t="array" ref="Y211">IFERROR(INDEX(РД[S],MATCH($Q$3&amp;Таблица10[[#This Row],[№]]&amp;"Продажа",РД[Дом]&amp;РД[№ кв]&amp;РД[Состояние],0),1),Таблица10[[#This Row],[Статус]])</f>
        <v>84.99</v>
      </c>
      <c r="Z211" s="233">
        <f>IF(Таблица10[[#This Row],[№]]&amp;"ДДУ"=ППД5!A208&amp;ППД5!CR208,ППД5!U208,ППД5!V208)</f>
        <v>84.99</v>
      </c>
      <c r="AA211" s="285">
        <f>IFERROR(Таблица10[[#This Row],[S ПП]]-Таблица10[[#This Row],[S ДДУ]],)</f>
        <v>0</v>
      </c>
      <c r="AB211" s="235">
        <f>ROUND(_xlfn.XLOOKUP(Таблица10[[#This Row],[№]],Реестр_Д5[№],Реестр_Д5[Итоговая сумма скидки],"",0),2)</f>
        <v>230439</v>
      </c>
      <c r="AC211" s="235" cm="1">
        <f t="array" ref="AC211">IFERROR(ROUND(_xlfn.XLOOKUP($Q$3&amp;Таблица10[[#This Row],[№]]&amp;"Продажа",РД[Дом]&amp;РД[№ кв]&amp;РД[Состояние],РД[Сумма скидки],"",0,-1),2),Таблица10[[#This Row],[Статус]])</f>
        <v>230439</v>
      </c>
      <c r="AD211" s="285">
        <f>IFERROR(Таблица10[[#This Row],[ППС]]-Таблица10[[#This Row],[ДДУС]],)</f>
        <v>0</v>
      </c>
      <c r="AE211" s="611"/>
      <c r="AT211" s="611"/>
      <c r="AU211" s="484">
        <f>VLOOKUP(ППД402!A208,Д402[],1,0)</f>
        <v>207</v>
      </c>
      <c r="AV211" s="484" t="str">
        <f>_xlfn.XLOOKUP(Т402[[#This Row],[№]],Д402[№],Д402[Статус],"-",0)</f>
        <v>Продажа</v>
      </c>
      <c r="AW211" s="613">
        <f>_xlfn.XLOOKUP(Т402[[#This Row],[№]],Д402[№],Д402[Стоимость ОН без отделки со скидкой],"-",0)</f>
        <v>6625094</v>
      </c>
      <c r="AX211" s="614" cm="1">
        <f t="array" ref="AX211">IFERROR(INDEX(РД[Стоимость без отделки итог],MATCH($AU$3&amp;Т402[[#This Row],[№]]&amp;"Продажа",РД[Дом]&amp;РД[№ кв]&amp;РД[Состояние],0),1),Т402[[#This Row],[Статус]])</f>
        <v>6625094</v>
      </c>
      <c r="AY211" s="485">
        <f>IFERROR((Т402[[#This Row],[ПП]]-Т402[[#This Row],[ДДУ]])*1,"")</f>
        <v>0</v>
      </c>
      <c r="AZ211" s="486" cm="1">
        <f t="array" ref="AZ211">IFERROR(INDEX(РД[Стоимость с отделкой итог],MATCH($AU$3&amp;Т402[[#This Row],[№]]&amp;"Продажа",РД[Дом]&amp;РД[№ кв]&amp;РД[Состояние],0),1),Т402[[#This Row],[Статус]])</f>
        <v>7169494</v>
      </c>
      <c r="BA211" s="485">
        <f>_xlfn.XLOOKUP(Т402[[#This Row],[№]],Д402[№],Д402[Стоимость квартиры с отделкой],"-",0)</f>
        <v>7169494</v>
      </c>
      <c r="BB211" s="485">
        <f>IFERROR(Т402[[#This Row],[СО ПП]]-Т402[[#This Row],[СО ДДУ]],"")</f>
        <v>0</v>
      </c>
      <c r="BC211" s="487" cm="1">
        <f t="array" ref="BC211">IFERROR(INDEX(РД[S],MATCH($AU$3&amp;Т402[[#This Row],[№]]&amp;"Продажа",РД[Дом]&amp;РД[№ кв]&amp;РД[Состояние],0),1),Т402[[#This Row],[Статус]])</f>
        <v>54.44</v>
      </c>
      <c r="BD211" s="483">
        <f>_xlfn.XLOOKUP(Т402[[#This Row],[№]],Д402[№],Д402[Расчетная проектная площадь],"-",0)</f>
        <v>54.44</v>
      </c>
      <c r="BE211" s="485">
        <f>IFERROR(Т402[[#This Row],[S ПП]]-Т402[[#This Row],[S ДДУ]],"")</f>
        <v>0</v>
      </c>
      <c r="BF211" s="485">
        <f>_xlfn.XLOOKUP(Т402[[#This Row],[№]],Д402[№],Д402[Итоговая сумма скидки],"-",0)</f>
        <v>135206</v>
      </c>
      <c r="BG211" s="486" cm="1">
        <f t="array" ref="BG211">IFERROR(ROUND(_xlfn.XLOOKUP($AU$3&amp;Т402[[#This Row],[№]]&amp;"Продажа",РД[Дом]&amp;РД[№ кв]&amp;РД[Состояние],РД[Сумма скидки],"",0),2),Т402[[#This Row],[Статус]])</f>
        <v>135206</v>
      </c>
      <c r="BH211" s="488">
        <f>IFERROR(Т402[[#This Row],[ППС]]-Т402[[#This Row],[ДДУС]],"")</f>
        <v>0</v>
      </c>
    </row>
    <row r="212" spans="1:60" x14ac:dyDescent="0.2">
      <c r="A212" s="611"/>
      <c r="B212" s="234">
        <f>VLOOKUP(ППД4!A209,Реестр_Д4[№],1,0)</f>
        <v>208</v>
      </c>
      <c r="C212" s="234" t="str">
        <f>VLOOKUP(ППД4!CO209,Реестр_Д4[Статус],1,0)</f>
        <v>Продажа</v>
      </c>
      <c r="D212" s="612">
        <f>VLOOKUP(ППД4!CE209,Реестр_Д4[Стоимость ОН без отделки со скидкой],1,0)</f>
        <v>2732661.63</v>
      </c>
      <c r="E212" s="612" cm="1">
        <f t="array" ref="E212">IFERROR(INDEX(РД[Стоимость без отделки итог],MATCH($B$3&amp;Таблица4[[#This Row],[№]]&amp;"Продажа",РД[Дом]&amp;РД[№ кв]&amp;РД[Состояние],0),1),Таблица4[[#This Row],[Статус]])</f>
        <v>2732661.6299999985</v>
      </c>
      <c r="F212" s="235">
        <f>IFERROR((Таблица4[[#This Row],[ПП]]-Таблица4[[#This Row],[ДДУ]])*1,"")</f>
        <v>1.3969838619232178E-9</v>
      </c>
      <c r="G212" s="235" cm="1">
        <f t="array" ref="G212">IFERROR(INDEX(РД[Стоимость с отделкой итог],MATCH($B$3&amp;Таблица4[[#This Row],[№]]&amp;"Продажа",РД[Дом]&amp;РД[№ кв]&amp;РД[Состояние],0),1),Таблица4[[#This Row],[Статус]])</f>
        <v>2867821.63</v>
      </c>
      <c r="H212" s="235">
        <f>_xlfn.XLOOKUP(Таблица4[[#This Row],[№]],Реестр_Д4[№],Реестр_Д4[Стоимость квартиры с отделкой],"-",0)</f>
        <v>2867821.63</v>
      </c>
      <c r="I212" s="235">
        <f>IFERROR(Таблица4[[#This Row],[СО ПП]]-Таблица4[[#This Row],[СО ДДУ]],"")</f>
        <v>0</v>
      </c>
      <c r="J212" s="233" cm="1">
        <f t="array" ref="J212">IFERROR(INDEX(РД[S],MATCH($B$3&amp;Таблица4[[#This Row],[№]]&amp;"Продажа",РД[Дом]&amp;РД[№ кв]&amp;РД[Состояние],0),1),Таблица4[[#This Row],[Статус]])</f>
        <v>33.79</v>
      </c>
      <c r="K212" s="233">
        <f>VLOOKUP(Таблица4[[#This Row],[№]],Реестр_Д4[],20,0)</f>
        <v>33.79</v>
      </c>
      <c r="L212" s="235">
        <f>IFERROR(Таблица4[[#This Row],[S ПП]]-Таблица4[[#This Row],[S ДДУ]],)</f>
        <v>0</v>
      </c>
      <c r="M212" s="235">
        <f>ROUND(_xlfn.XLOOKUP(Таблица4[[#This Row],[№]],Реестр_Д4[№],Реестр_Д4[Итоговая сумма скидки],"",0),2)</f>
        <v>143824.29999999999</v>
      </c>
      <c r="N212" s="235" cm="1">
        <f t="array" ref="N212">IFERROR(ROUND(_xlfn.XLOOKUP($B$3&amp;Таблица4[[#This Row],[№]]&amp;"Продажа",РД[Дом]&amp;РД[№ кв]&amp;РД[Состояние],РД[Сумма скидки],"",0),2),Таблица4[[#This Row],[Статус]])</f>
        <v>143824.29999999999</v>
      </c>
      <c r="O212" s="235">
        <f>IFERROR(Таблица4[[#This Row],[ППС]]-Таблица4[[#This Row],[ДДУС]],)</f>
        <v>0</v>
      </c>
      <c r="P212" s="611"/>
      <c r="Q212" s="234">
        <f>VLOOKUP(ППД5!A209,Реестр_Д5[№],1,0)</f>
        <v>208</v>
      </c>
      <c r="R212" s="234" t="str">
        <f>VLOOKUP(ППД5!CH209,Реестр_Д5[Статус],1,0)</f>
        <v>Продажа</v>
      </c>
      <c r="S212" s="612">
        <f>VLOOKUP(ППД5!BZ209,Реестр_Д5[Стоимость ОН без отделки со скидкой],1,0)</f>
        <v>3788495.9</v>
      </c>
      <c r="T212" s="612" cm="1">
        <f t="array" ref="T212">IFERROR(INDEX(РД[Стоимость без отделки итог],MATCH($Q$3&amp;Таблица10[[#This Row],[№]]&amp;"Продажа",РД[Дом]&amp;РД[№ кв]&amp;РД[Состояние],0),1),Таблица10[[#This Row],[Статус]])</f>
        <v>3788495.9</v>
      </c>
      <c r="U212" s="235">
        <f>IFERROR((Таблица10[[#This Row],[ПП]]-Таблица10[[#This Row],[ДДУ]])*1,)</f>
        <v>0</v>
      </c>
      <c r="V212" s="235" cm="1">
        <f t="array" ref="V212">IFERROR(INDEX(РД[Стоимость с отделкой итог],MATCH($Q$3&amp;Таблица10[[#This Row],[№]]&amp;"Продажа",РД[Дом]&amp;РД[№ кв]&amp;РД[Состояние],0),1),Таблица10[[#This Row],[Статус]])</f>
        <v>3788495.9</v>
      </c>
      <c r="W212" s="235">
        <f>_xlfn.XLOOKUP(Таблица10[[#This Row],[№]],Реестр_Д5[№],Реестр_Д5[Стоимость квартиры с отделкой],"-",0)</f>
        <v>3788495.899999999</v>
      </c>
      <c r="X212" s="235">
        <f>IFERROR(Таблица10[[#This Row],[СО ПП]]-Таблица10[[#This Row],[СО ДДУ]],"")</f>
        <v>-9.3132257461547852E-10</v>
      </c>
      <c r="Y212" s="233" cm="1">
        <f t="array" ref="Y212">IFERROR(INDEX(РД[S],MATCH($Q$3&amp;Таблица10[[#This Row],[№]]&amp;"Продажа",РД[Дом]&amp;РД[№ кв]&amp;РД[Состояние],0),1),Таблица10[[#This Row],[Статус]])</f>
        <v>42.28</v>
      </c>
      <c r="Z212" s="233">
        <f>IF(Таблица10[[#This Row],[№]]&amp;"ДДУ"=ППД5!A209&amp;ППД5!CR209,ППД5!U209,ППД5!V209)</f>
        <v>42.28</v>
      </c>
      <c r="AA212" s="285">
        <f>IFERROR(Таблица10[[#This Row],[S ПП]]-Таблица10[[#This Row],[S ДДУ]],)</f>
        <v>0</v>
      </c>
      <c r="AB212" s="235">
        <f>ROUND(_xlfn.XLOOKUP(Таблица10[[#This Row],[№]],Реестр_Д5[№],Реестр_Д5[Итоговая сумма скидки],"",0),2)</f>
        <v>241818.89</v>
      </c>
      <c r="AC212" s="235" cm="1">
        <f t="array" ref="AC212">IFERROR(ROUND(_xlfn.XLOOKUP($Q$3&amp;Таблица10[[#This Row],[№]]&amp;"Продажа",РД[Дом]&amp;РД[№ кв]&amp;РД[Состояние],РД[Сумма скидки],"",0,-1),2),Таблица10[[#This Row],[Статус]])</f>
        <v>241818.89</v>
      </c>
      <c r="AD212" s="285">
        <f>IFERROR(Таблица10[[#This Row],[ППС]]-Таблица10[[#This Row],[ДДУС]],)</f>
        <v>0</v>
      </c>
      <c r="AE212" s="611"/>
      <c r="AT212" s="611"/>
      <c r="AU212" s="484">
        <f>VLOOKUP(ППД402!A209,Д402[],1,0)</f>
        <v>208</v>
      </c>
      <c r="AV212" s="484" t="str">
        <f>_xlfn.XLOOKUP(Т402[[#This Row],[№]],Д402[№],Д402[Статус],"-",0)</f>
        <v>Стр. Резерв</v>
      </c>
      <c r="AW212" s="613">
        <f>_xlfn.XLOOKUP(Т402[[#This Row],[№]],Д402[№],Д402[Стоимость ОН без отделки со скидкой],"-",0)</f>
        <v>4764700</v>
      </c>
      <c r="AX212" s="614" t="str" cm="1">
        <f t="array" ref="AX21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12" s="485" t="str">
        <f>IFERROR((Т402[[#This Row],[ПП]]-Т402[[#This Row],[ДДУ]])*1,"")</f>
        <v/>
      </c>
      <c r="AZ212" s="486" t="str" cm="1">
        <f t="array" ref="AZ21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12" s="485">
        <f>_xlfn.XLOOKUP(Т402[[#This Row],[№]],Д402[№],Д402[Стоимость квартиры с отделкой],"-",0)</f>
        <v>5856400.0000000009</v>
      </c>
      <c r="BB212" s="485" t="str">
        <f>IFERROR(Т402[[#This Row],[СО ПП]]-Т402[[#This Row],[СО ДДУ]],"")</f>
        <v/>
      </c>
      <c r="BC212" s="487" t="str" cm="1">
        <f t="array" ref="BC212">IFERROR(INDEX(РД[S],MATCH($AU$3&amp;Т402[[#This Row],[№]]&amp;"Продажа",РД[Дом]&amp;РД[№ кв]&amp;РД[Состояние],0),1),Т402[[#This Row],[Статус]])</f>
        <v>Стр. Резерв</v>
      </c>
      <c r="BD212" s="483">
        <f>_xlfn.XLOOKUP(Т402[[#This Row],[№]],Д402[№],Д402[Расчетная проектная площадь],"-",0)</f>
        <v>36.39</v>
      </c>
      <c r="BE212" s="485" t="str">
        <f>IFERROR(Т402[[#This Row],[S ПП]]-Т402[[#This Row],[S ДДУ]],"")</f>
        <v/>
      </c>
      <c r="BF212" s="485">
        <f>_xlfn.XLOOKUP(Т402[[#This Row],[№]],Д402[№],Д402[Итоговая сумма скидки],"-",0)</f>
        <v>0</v>
      </c>
      <c r="BG212" s="486" t="str" cm="1">
        <f t="array" ref="BG21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12" s="488" t="str">
        <f>IFERROR(Т402[[#This Row],[ППС]]-Т402[[#This Row],[ДДУС]],"")</f>
        <v/>
      </c>
    </row>
    <row r="213" spans="1:60" x14ac:dyDescent="0.2">
      <c r="A213" s="611"/>
      <c r="B213" s="234">
        <f>VLOOKUP(ППД4!A210,Реестр_Д4[№],1,0)</f>
        <v>209</v>
      </c>
      <c r="C213" s="234" t="str">
        <f>VLOOKUP(ППД4!CO210,Реестр_Д4[Статус],1,0)</f>
        <v>Продажа</v>
      </c>
      <c r="D213" s="612">
        <f>VLOOKUP(ППД4!CE210,Реестр_Д4[Стоимость ОН без отделки со скидкой],1,0)</f>
        <v>2184656.67</v>
      </c>
      <c r="E213" s="612" cm="1">
        <f t="array" ref="E213">IFERROR(INDEX(РД[Стоимость без отделки итог],MATCH($B$3&amp;Таблица4[[#This Row],[№]]&amp;"Продажа",РД[Дом]&amp;РД[№ кв]&amp;РД[Состояние],0),1),Таблица4[[#This Row],[Статус]])</f>
        <v>2184656.67</v>
      </c>
      <c r="F213" s="235">
        <f>IFERROR((Таблица4[[#This Row],[ПП]]-Таблица4[[#This Row],[ДДУ]])*1,"")</f>
        <v>0</v>
      </c>
      <c r="G213" s="235" cm="1">
        <f t="array" ref="G213">IFERROR(INDEX(РД[Стоимость с отделкой итог],MATCH($B$3&amp;Таблица4[[#This Row],[№]]&amp;"Продажа",РД[Дом]&amp;РД[№ кв]&amp;РД[Состояние],0),1),Таблица4[[#This Row],[Статус]])</f>
        <v>2184656.67</v>
      </c>
      <c r="H213" s="235">
        <f>_xlfn.XLOOKUP(Таблица4[[#This Row],[№]],Реестр_Д4[№],Реестр_Д4[Стоимость квартиры с отделкой],"-",0)</f>
        <v>2184656.67</v>
      </c>
      <c r="I213" s="235">
        <f>IFERROR(Таблица4[[#This Row],[СО ПП]]-Таблица4[[#This Row],[СО ДДУ]],"")</f>
        <v>0</v>
      </c>
      <c r="J213" s="233" cm="1">
        <f t="array" ref="J213">IFERROR(INDEX(РД[S],MATCH($B$3&amp;Таблица4[[#This Row],[№]]&amp;"Продажа",РД[Дом]&amp;РД[№ кв]&amp;РД[Состояние],0),1),Таблица4[[#This Row],[Статус]])</f>
        <v>28.97</v>
      </c>
      <c r="K213" s="233">
        <f>VLOOKUP(Таблица4[[#This Row],[№]],Реестр_Д4[],20,0)</f>
        <v>28.97</v>
      </c>
      <c r="L213" s="235">
        <f>IFERROR(Таблица4[[#This Row],[S ПП]]-Таблица4[[#This Row],[S ДДУ]],)</f>
        <v>0</v>
      </c>
      <c r="M213" s="235">
        <f>ROUND(_xlfn.XLOOKUP(Таблица4[[#This Row],[№]],Реестр_Д4[№],Реестр_Д4[Итоговая сумма скидки],"",0),2)</f>
        <v>114981.93</v>
      </c>
      <c r="N213" s="235" cm="1">
        <f t="array" ref="N213">IFERROR(ROUND(_xlfn.XLOOKUP($B$3&amp;Таблица4[[#This Row],[№]]&amp;"Продажа",РД[Дом]&amp;РД[№ кв]&amp;РД[Состояние],РД[Сумма скидки],"",0),2),Таблица4[[#This Row],[Статус]])</f>
        <v>114981.93</v>
      </c>
      <c r="O213" s="235">
        <f>IFERROR(Таблица4[[#This Row],[ППС]]-Таблица4[[#This Row],[ДДУС]],)</f>
        <v>0</v>
      </c>
      <c r="P213" s="611"/>
      <c r="Q213" s="234">
        <f>VLOOKUP(ППД5!A210,Реестр_Д5[№],1,0)</f>
        <v>209</v>
      </c>
      <c r="R213" s="234" t="str">
        <f>VLOOKUP(ППД5!CH210,Реестр_Д5[Статус],1,0)</f>
        <v>Продажа</v>
      </c>
      <c r="S213" s="612">
        <f>VLOOKUP(ППД5!BZ210,Реестр_Д5[Стоимость ОН без отделки со скидкой],1,0)</f>
        <v>5770900</v>
      </c>
      <c r="T213" s="612" cm="1">
        <f t="array" ref="T213">IFERROR(INDEX(РД[Стоимость без отделки итог],MATCH($Q$3&amp;Таблица10[[#This Row],[№]]&amp;"Продажа",РД[Дом]&amp;РД[№ кв]&amp;РД[Состояние],0),1),Таблица10[[#This Row],[Статус]])</f>
        <v>5770900</v>
      </c>
      <c r="U213" s="235">
        <f>IFERROR((Таблица10[[#This Row],[ПП]]-Таблица10[[#This Row],[ДДУ]])*1,)</f>
        <v>0</v>
      </c>
      <c r="V213" s="235" cm="1">
        <f t="array" ref="V213">IFERROR(INDEX(РД[Стоимость с отделкой итог],MATCH($Q$3&amp;Таблица10[[#This Row],[№]]&amp;"Продажа",РД[Дом]&amp;РД[№ кв]&amp;РД[Состояние],0),1),Таблица10[[#This Row],[Статус]])</f>
        <v>5770900</v>
      </c>
      <c r="W213" s="235">
        <f>_xlfn.XLOOKUP(Таблица10[[#This Row],[№]],Реестр_Д5[№],Реестр_Д5[Стоимость квартиры с отделкой],"-",0)</f>
        <v>5770900</v>
      </c>
      <c r="X213" s="235">
        <f>IFERROR(Таблица10[[#This Row],[СО ПП]]-Таблица10[[#This Row],[СО ДДУ]],"")</f>
        <v>0</v>
      </c>
      <c r="Y213" s="233" cm="1">
        <f t="array" ref="Y213">IFERROR(INDEX(РД[S],MATCH($Q$3&amp;Таблица10[[#This Row],[№]]&amp;"Продажа",РД[Дом]&amp;РД[№ кв]&amp;РД[Состояние],0),1),Таблица10[[#This Row],[Статус]])</f>
        <v>60.22</v>
      </c>
      <c r="Z213" s="233">
        <f>IF(Таблица10[[#This Row],[№]]&amp;"ДДУ"=ППД5!A210&amp;ППД5!CR210,ППД5!U210,ППД5!V210)</f>
        <v>60.22</v>
      </c>
      <c r="AA213" s="285">
        <f>IFERROR(Таблица10[[#This Row],[S ПП]]-Таблица10[[#This Row],[S ДДУ]],)</f>
        <v>0</v>
      </c>
      <c r="AB213" s="235">
        <f>ROUND(_xlfn.XLOOKUP(Таблица10[[#This Row],[№]],Реестр_Д5[№],Реестр_Д5[Итоговая сумма скидки],"",0),2)</f>
        <v>0</v>
      </c>
      <c r="AC213" s="235" cm="1">
        <f t="array" ref="AC21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13" s="285">
        <f>IFERROR(Таблица10[[#This Row],[ППС]]-Таблица10[[#This Row],[ДДУС]],)</f>
        <v>0</v>
      </c>
      <c r="AE213" s="611"/>
      <c r="AT213" s="611"/>
      <c r="AU213" s="484">
        <f>VLOOKUP(ППД402!A210,Д402[],1,0)</f>
        <v>209</v>
      </c>
      <c r="AV213" s="484" t="str">
        <f>_xlfn.XLOOKUP(Т402[[#This Row],[№]],Д402[№],Д402[Статус],"-",0)</f>
        <v>Свободно</v>
      </c>
      <c r="AW213" s="613">
        <f>_xlfn.XLOOKUP(Т402[[#This Row],[№]],Д402[№],Д402[Стоимость ОН без отделки со скидкой],"-",0)</f>
        <v>8740500</v>
      </c>
      <c r="AX213" s="614" t="str" cm="1">
        <f t="array" ref="AX21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13" s="485" t="str">
        <f>IFERROR((Т402[[#This Row],[ПП]]-Т402[[#This Row],[ДДУ]])*1,"")</f>
        <v/>
      </c>
      <c r="AZ213" s="486" t="str" cm="1">
        <f t="array" ref="AZ21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13" s="485">
        <f>_xlfn.XLOOKUP(Т402[[#This Row],[№]],Д402[№],Д402[Стоимость квартиры с отделкой],"-",0)</f>
        <v>8740500</v>
      </c>
      <c r="BB213" s="485" t="str">
        <f>IFERROR(Т402[[#This Row],[СО ПП]]-Т402[[#This Row],[СО ДДУ]],"")</f>
        <v/>
      </c>
      <c r="BC213" s="487" t="str" cm="1">
        <f t="array" ref="BC213">IFERROR(INDEX(РД[S],MATCH($AU$3&amp;Т402[[#This Row],[№]]&amp;"Продажа",РД[Дом]&amp;РД[№ кв]&amp;РД[Состояние],0),1),Т402[[#This Row],[Статус]])</f>
        <v>Свободно</v>
      </c>
      <c r="BD213" s="483">
        <f>_xlfn.XLOOKUP(Т402[[#This Row],[№]],Д402[№],Д402[Расчетная проектная площадь],"-",0)</f>
        <v>78.16</v>
      </c>
      <c r="BE213" s="485" t="str">
        <f>IFERROR(Т402[[#This Row],[S ПП]]-Т402[[#This Row],[S ДДУ]],"")</f>
        <v/>
      </c>
      <c r="BF213" s="485">
        <f>_xlfn.XLOOKUP(Т402[[#This Row],[№]],Д402[№],Д402[Итоговая сумма скидки],"-",0)</f>
        <v>0</v>
      </c>
      <c r="BG213" s="486" t="str" cm="1">
        <f t="array" ref="BG21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13" s="488" t="str">
        <f>IFERROR(Т402[[#This Row],[ППС]]-Т402[[#This Row],[ДДУС]],"")</f>
        <v/>
      </c>
    </row>
    <row r="214" spans="1:60" x14ac:dyDescent="0.2">
      <c r="A214" s="611"/>
      <c r="B214" s="234">
        <f>VLOOKUP(ППД4!A211,Реестр_Д4[№],1,0)</f>
        <v>210</v>
      </c>
      <c r="C214" s="234" t="str">
        <f>VLOOKUP(ППД4!CO211,Реестр_Д4[Статус],1,0)</f>
        <v>Продажа</v>
      </c>
      <c r="D214" s="612">
        <f>VLOOKUP(ППД4!CE211,Реестр_Д4[Стоимость ОН без отделки со скидкой],1,0)</f>
        <v>6261447</v>
      </c>
      <c r="E214" s="612" cm="1">
        <f t="array" ref="E214">IFERROR(INDEX(РД[Стоимость без отделки итог],MATCH($B$3&amp;Таблица4[[#This Row],[№]]&amp;"Продажа",РД[Дом]&amp;РД[№ кв]&amp;РД[Состояние],0),1),Таблица4[[#This Row],[Статус]])</f>
        <v>6261447</v>
      </c>
      <c r="F214" s="235">
        <f>IFERROR((Таблица4[[#This Row],[ПП]]-Таблица4[[#This Row],[ДДУ]])*1,"")</f>
        <v>0</v>
      </c>
      <c r="G214" s="235" cm="1">
        <f t="array" ref="G214">IFERROR(INDEX(РД[Стоимость с отделкой итог],MATCH($B$3&amp;Таблица4[[#This Row],[№]]&amp;"Продажа",РД[Дом]&amp;РД[№ кв]&amp;РД[Состояние],0),1),Таблица4[[#This Row],[Статус]])</f>
        <v>6261447</v>
      </c>
      <c r="H214" s="235">
        <f>_xlfn.XLOOKUP(Таблица4[[#This Row],[№]],Реестр_Д4[№],Реестр_Д4[Стоимость квартиры с отделкой],"-",0)</f>
        <v>6261447</v>
      </c>
      <c r="I214" s="235">
        <f>IFERROR(Таблица4[[#This Row],[СО ПП]]-Таблица4[[#This Row],[СО ДДУ]],"")</f>
        <v>0</v>
      </c>
      <c r="J214" s="233" cm="1">
        <f t="array" ref="J214">IFERROR(INDEX(РД[S],MATCH($B$3&amp;Таблица4[[#This Row],[№]]&amp;"Продажа",РД[Дом]&amp;РД[№ кв]&amp;РД[Состояние],0),1),Таблица4[[#This Row],[Статус]])</f>
        <v>68.75</v>
      </c>
      <c r="K214" s="233">
        <f>VLOOKUP(Таблица4[[#This Row],[№]],Реестр_Д4[],20,0)</f>
        <v>68.75</v>
      </c>
      <c r="L214" s="235">
        <f>IFERROR(Таблица4[[#This Row],[S ПП]]-Таблица4[[#This Row],[S ДДУ]],)</f>
        <v>0</v>
      </c>
      <c r="M214" s="235">
        <f>ROUND(_xlfn.XLOOKUP(Таблица4[[#This Row],[№]],Реестр_Д4[№],Реестр_Д4[Итоговая сумма скидки],"",0),2)</f>
        <v>193653</v>
      </c>
      <c r="N214" s="235" cm="1">
        <f t="array" ref="N214">IFERROR(ROUND(_xlfn.XLOOKUP($B$3&amp;Таблица4[[#This Row],[№]]&amp;"Продажа",РД[Дом]&amp;РД[№ кв]&amp;РД[Состояние],РД[Сумма скидки],"",0),2),Таблица4[[#This Row],[Статус]])</f>
        <v>193653</v>
      </c>
      <c r="O214" s="235">
        <f>IFERROR(Таблица4[[#This Row],[ППС]]-Таблица4[[#This Row],[ДДУС]],)</f>
        <v>0</v>
      </c>
      <c r="P214" s="611"/>
      <c r="Q214" s="234">
        <f>VLOOKUP(ППД5!A211,Реестр_Д5[№],1,0)</f>
        <v>210</v>
      </c>
      <c r="R214" s="234" t="str">
        <f>VLOOKUP(ППД5!CH211,Реестр_Д5[Статус],1,0)</f>
        <v>Продажа</v>
      </c>
      <c r="S214" s="612">
        <f>VLOOKUP(ППД5!BZ211,Реестр_Д5[Стоимость ОН без отделки со скидкой],1,0)</f>
        <v>3081400</v>
      </c>
      <c r="T214" s="612" cm="1">
        <f t="array" ref="T214">IFERROR(INDEX(РД[Стоимость без отделки итог],MATCH($Q$3&amp;Таблица10[[#This Row],[№]]&amp;"Продажа",РД[Дом]&amp;РД[№ кв]&amp;РД[Состояние],0),1),Таблица10[[#This Row],[Статус]])</f>
        <v>3081400</v>
      </c>
      <c r="U214" s="235">
        <f>IFERROR((Таблица10[[#This Row],[ПП]]-Таблица10[[#This Row],[ДДУ]])*1,)</f>
        <v>0</v>
      </c>
      <c r="V214" s="235" cm="1">
        <f t="array" ref="V214">IFERROR(INDEX(РД[Стоимость с отделкой итог],MATCH($Q$3&amp;Таблица10[[#This Row],[№]]&amp;"Продажа",РД[Дом]&amp;РД[№ кв]&amp;РД[Состояние],0),1),Таблица10[[#This Row],[Статус]])</f>
        <v>3567000</v>
      </c>
      <c r="W214" s="235">
        <f>_xlfn.XLOOKUP(Таблица10[[#This Row],[№]],Реестр_Д5[№],Реестр_Д5[Стоимость квартиры с отделкой],"-",0)</f>
        <v>3567000</v>
      </c>
      <c r="X214" s="235">
        <f>IFERROR(Таблица10[[#This Row],[СО ПП]]-Таблица10[[#This Row],[СО ДДУ]],"")</f>
        <v>0</v>
      </c>
      <c r="Y214" s="233" cm="1">
        <f t="array" ref="Y214">IFERROR(INDEX(РД[S],MATCH($Q$3&amp;Таблица10[[#This Row],[№]]&amp;"Продажа",РД[Дом]&amp;РД[№ кв]&amp;РД[Состояние],0),1),Таблица10[[#This Row],[Статус]])</f>
        <v>24.28</v>
      </c>
      <c r="Z214" s="233">
        <f>IF(Таблица10[[#This Row],[№]]&amp;"ДДУ"=ППД5!A211&amp;ППД5!CR211,ППД5!U211,ППД5!V211)</f>
        <v>24.28</v>
      </c>
      <c r="AA214" s="285">
        <f>IFERROR(Таблица10[[#This Row],[S ПП]]-Таблица10[[#This Row],[S ДДУ]],)</f>
        <v>0</v>
      </c>
      <c r="AB214" s="235">
        <f>ROUND(_xlfn.XLOOKUP(Таблица10[[#This Row],[№]],Реестр_Д5[№],Реестр_Д5[Итоговая сумма скидки],"",0),2)</f>
        <v>0</v>
      </c>
      <c r="AC214" s="235" cm="1">
        <f t="array" ref="AC21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14" s="285">
        <f>IFERROR(Таблица10[[#This Row],[ППС]]-Таблица10[[#This Row],[ДДУС]],)</f>
        <v>0</v>
      </c>
      <c r="AE214" s="611"/>
      <c r="AT214" s="611"/>
      <c r="AU214" s="484">
        <f>VLOOKUP(ППД402!A211,Д402[],1,0)</f>
        <v>210</v>
      </c>
      <c r="AV214" s="484" t="str">
        <f>_xlfn.XLOOKUP(Т402[[#This Row],[№]],Д402[№],Д402[Статус],"-",0)</f>
        <v>Стр. Резерв</v>
      </c>
      <c r="AW214" s="613">
        <f>_xlfn.XLOOKUP(Т402[[#This Row],[№]],Д402[№],Д402[Стоимость ОН без отделки со скидкой],"-",0)</f>
        <v>4149300</v>
      </c>
      <c r="AX214" s="614" t="str" cm="1">
        <f t="array" ref="AX21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14" s="485" t="str">
        <f>IFERROR((Т402[[#This Row],[ПП]]-Т402[[#This Row],[ДДУ]])*1,"")</f>
        <v/>
      </c>
      <c r="AZ214" s="486" t="str" cm="1">
        <f t="array" ref="AZ21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14" s="485">
        <f>_xlfn.XLOOKUP(Т402[[#This Row],[№]],Д402[№],Д402[Стоимость квартиры с отделкой],"-",0)</f>
        <v>4149300</v>
      </c>
      <c r="BB214" s="485" t="str">
        <f>IFERROR(Т402[[#This Row],[СО ПП]]-Т402[[#This Row],[СО ДДУ]],"")</f>
        <v/>
      </c>
      <c r="BC214" s="487" t="str" cm="1">
        <f t="array" ref="BC214">IFERROR(INDEX(РД[S],MATCH($AU$3&amp;Т402[[#This Row],[№]]&amp;"Продажа",РД[Дом]&amp;РД[№ кв]&amp;РД[Состояние],0),1),Т402[[#This Row],[Статус]])</f>
        <v>Стр. Резерв</v>
      </c>
      <c r="BD214" s="483">
        <f>_xlfn.XLOOKUP(Т402[[#This Row],[№]],Д402[№],Д402[Расчетная проектная площадь],"-",0)</f>
        <v>29.73</v>
      </c>
      <c r="BE214" s="485" t="str">
        <f>IFERROR(Т402[[#This Row],[S ПП]]-Т402[[#This Row],[S ДДУ]],"")</f>
        <v/>
      </c>
      <c r="BF214" s="485">
        <f>_xlfn.XLOOKUP(Т402[[#This Row],[№]],Д402[№],Д402[Итоговая сумма скидки],"-",0)</f>
        <v>0</v>
      </c>
      <c r="BG214" s="486" t="str" cm="1">
        <f t="array" ref="BG21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14" s="488" t="str">
        <f>IFERROR(Т402[[#This Row],[ППС]]-Т402[[#This Row],[ДДУС]],"")</f>
        <v/>
      </c>
    </row>
    <row r="215" spans="1:60" x14ac:dyDescent="0.2">
      <c r="A215" s="611"/>
      <c r="B215" s="234">
        <f>VLOOKUP(ППД4!A212,Реестр_Д4[№],1,0)</f>
        <v>211</v>
      </c>
      <c r="C215" s="234" t="str">
        <f>VLOOKUP(ППД4!CO212,Реестр_Д4[Статус],1,0)</f>
        <v>Продажа</v>
      </c>
      <c r="D215" s="612">
        <f>VLOOKUP(ППД4!CE212,Реестр_Д4[Стоимость ОН без отделки со скидкой],1,0)</f>
        <v>3071480.38</v>
      </c>
      <c r="E215" s="612" cm="1">
        <f t="array" ref="E215">IFERROR(INDEX(РД[Стоимость без отделки итог],MATCH($B$3&amp;Таблица4[[#This Row],[№]]&amp;"Продажа",РД[Дом]&amp;РД[№ кв]&amp;РД[Состояние],0),1),Таблица4[[#This Row],[Статус]])</f>
        <v>3071480.3799999994</v>
      </c>
      <c r="F215" s="235">
        <f>IFERROR((Таблица4[[#This Row],[ПП]]-Таблица4[[#This Row],[ДДУ]])*1,"")</f>
        <v>4.6566128730773926E-10</v>
      </c>
      <c r="G215" s="235" cm="1">
        <f t="array" ref="G215">IFERROR(INDEX(РД[Стоимость с отделкой итог],MATCH($B$3&amp;Таблица4[[#This Row],[№]]&amp;"Продажа",РД[Дом]&amp;РД[№ кв]&amp;РД[Состояние],0),1),Таблица4[[#This Row],[Статус]])</f>
        <v>3213000.38</v>
      </c>
      <c r="H215" s="235">
        <f>_xlfn.XLOOKUP(Таблица4[[#This Row],[№]],Реестр_Д4[№],Реестр_Д4[Стоимость квартиры с отделкой],"-",0)</f>
        <v>3213000.38</v>
      </c>
      <c r="I215" s="235">
        <f>IFERROR(Таблица4[[#This Row],[СО ПП]]-Таблица4[[#This Row],[СО ДДУ]],"")</f>
        <v>0</v>
      </c>
      <c r="J215" s="233" cm="1">
        <f t="array" ref="J215">IFERROR(INDEX(РД[S],MATCH($B$3&amp;Таблица4[[#This Row],[№]]&amp;"Продажа",РД[Дом]&amp;РД[№ кв]&amp;РД[Состояние],0),1),Таблица4[[#This Row],[Статус]])</f>
        <v>35.380000000000003</v>
      </c>
      <c r="K215" s="233">
        <f>VLOOKUP(Таблица4[[#This Row],[№]],Реестр_Д4[],20,0)</f>
        <v>35.380000000000003</v>
      </c>
      <c r="L215" s="235">
        <f>IFERROR(Таблица4[[#This Row],[S ПП]]-Таблица4[[#This Row],[S ДДУ]],)</f>
        <v>0</v>
      </c>
      <c r="M215" s="235">
        <f>ROUND(_xlfn.XLOOKUP(Таблица4[[#This Row],[№]],Реестр_Д4[№],Реестр_Д4[Итоговая сумма скидки],"",0),2)</f>
        <v>0</v>
      </c>
      <c r="N215" s="235" cm="1">
        <f t="array" ref="N21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5" s="235">
        <f>IFERROR(Таблица4[[#This Row],[ППС]]-Таблица4[[#This Row],[ДДУС]],)</f>
        <v>0</v>
      </c>
      <c r="P215" s="611"/>
      <c r="Q215" s="234">
        <f>VLOOKUP(ППД5!A212,Реестр_Д5[№],1,0)</f>
        <v>211</v>
      </c>
      <c r="R215" s="234" t="str">
        <f>VLOOKUP(ППД5!CH212,Реестр_Д5[Статус],1,0)</f>
        <v>Продажа</v>
      </c>
      <c r="S215" s="612">
        <f>VLOOKUP(ППД5!BZ212,Реестр_Д5[Стоимость ОН без отделки со скидкой],1,0)</f>
        <v>5467800</v>
      </c>
      <c r="T215" s="612" cm="1">
        <f t="array" ref="T215">IFERROR(INDEX(РД[Стоимость без отделки итог],MATCH($Q$3&amp;Таблица10[[#This Row],[№]]&amp;"Продажа",РД[Дом]&amp;РД[№ кв]&amp;РД[Состояние],0),1),Таблица10[[#This Row],[Статус]])</f>
        <v>5467800</v>
      </c>
      <c r="U215" s="235">
        <f>IFERROR((Таблица10[[#This Row],[ПП]]-Таблица10[[#This Row],[ДДУ]])*1,)</f>
        <v>0</v>
      </c>
      <c r="V215" s="235" cm="1">
        <f t="array" ref="V215">IFERROR(INDEX(РД[Стоимость с отделкой итог],MATCH($Q$3&amp;Таблица10[[#This Row],[№]]&amp;"Продажа",РД[Дом]&amp;РД[№ кв]&amp;РД[Состояние],0),1),Таблица10[[#This Row],[Статус]])</f>
        <v>6619800</v>
      </c>
      <c r="W215" s="235">
        <f>_xlfn.XLOOKUP(Таблица10[[#This Row],[№]],Реестр_Д5[№],Реестр_Д5[Стоимость квартиры с отделкой],"-",0)</f>
        <v>6619800</v>
      </c>
      <c r="X215" s="235">
        <f>IFERROR(Таблица10[[#This Row],[СО ПП]]-Таблица10[[#This Row],[СО ДДУ]],"")</f>
        <v>0</v>
      </c>
      <c r="Y215" s="233" cm="1">
        <f t="array" ref="Y215">IFERROR(INDEX(РД[S],MATCH($Q$3&amp;Таблица10[[#This Row],[№]]&amp;"Продажа",РД[Дом]&amp;РД[№ кв]&amp;РД[Состояние],0),1),Таблица10[[#This Row],[Статус]])</f>
        <v>57.6</v>
      </c>
      <c r="Z215" s="233">
        <f>IF(Таблица10[[#This Row],[№]]&amp;"ДДУ"=ППД5!A212&amp;ППД5!CR212,ППД5!U212,ППД5!V212)</f>
        <v>57.6</v>
      </c>
      <c r="AA215" s="285">
        <f>IFERROR(Таблица10[[#This Row],[S ПП]]-Таблица10[[#This Row],[S ДДУ]],)</f>
        <v>0</v>
      </c>
      <c r="AB215" s="235">
        <f>ROUND(_xlfn.XLOOKUP(Таблица10[[#This Row],[№]],Реестр_Д5[№],Реестр_Д5[Итоговая сумма скидки],"",0),2)</f>
        <v>0</v>
      </c>
      <c r="AC215" s="235" cm="1">
        <f t="array" ref="AC21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15" s="285">
        <f>IFERROR(Таблица10[[#This Row],[ППС]]-Таблица10[[#This Row],[ДДУС]],)</f>
        <v>0</v>
      </c>
      <c r="AE215" s="611"/>
      <c r="AT215" s="611"/>
      <c r="AU215" s="484">
        <f>VLOOKUP(ППД402!A212,Д402[],1,0)</f>
        <v>211</v>
      </c>
      <c r="AV215" s="484" t="str">
        <f>_xlfn.XLOOKUP(Т402[[#This Row],[№]],Д402[№],Д402[Статус],"-",0)</f>
        <v>Продажа</v>
      </c>
      <c r="AW215" s="613">
        <f>_xlfn.XLOOKUP(Т402[[#This Row],[№]],Д402[№],Д402[Стоимость ОН без отделки со скидкой],"-",0)</f>
        <v>5480900</v>
      </c>
      <c r="AX215" s="614" cm="1">
        <f t="array" ref="AX215">IFERROR(INDEX(РД[Стоимость без отделки итог],MATCH($AU$3&amp;Т402[[#This Row],[№]]&amp;"Продажа",РД[Дом]&amp;РД[№ кв]&amp;РД[Состояние],0),1),Т402[[#This Row],[Статус]])</f>
        <v>5480900</v>
      </c>
      <c r="AY215" s="485">
        <f>IFERROR((Т402[[#This Row],[ПП]]-Т402[[#This Row],[ДДУ]])*1,"")</f>
        <v>0</v>
      </c>
      <c r="AZ215" s="486" cm="1">
        <f t="array" ref="AZ215">IFERROR(INDEX(РД[Стоимость с отделкой итог],MATCH($AU$3&amp;Т402[[#This Row],[№]]&amp;"Продажа",РД[Дом]&amp;РД[№ кв]&amp;РД[Состояние],0),1),Т402[[#This Row],[Статус]])</f>
        <v>5480900</v>
      </c>
      <c r="BA215" s="485">
        <f>_xlfn.XLOOKUP(Т402[[#This Row],[№]],Д402[№],Д402[Стоимость квартиры с отделкой],"-",0)</f>
        <v>5480900</v>
      </c>
      <c r="BB215" s="485">
        <f>IFERROR(Т402[[#This Row],[СО ПП]]-Т402[[#This Row],[СО ДДУ]],"")</f>
        <v>0</v>
      </c>
      <c r="BC215" s="487" cm="1">
        <f t="array" ref="BC215">IFERROR(INDEX(РД[S],MATCH($AU$3&amp;Т402[[#This Row],[№]]&amp;"Продажа",РД[Дом]&amp;РД[№ кв]&amp;РД[Состояние],0),1),Т402[[#This Row],[Статус]])</f>
        <v>44.25</v>
      </c>
      <c r="BD215" s="483">
        <f>_xlfn.XLOOKUP(Т402[[#This Row],[№]],Д402[№],Д402[Расчетная проектная площадь],"-",0)</f>
        <v>44.25</v>
      </c>
      <c r="BE215" s="485">
        <f>IFERROR(Т402[[#This Row],[S ПП]]-Т402[[#This Row],[S ДДУ]],"")</f>
        <v>0</v>
      </c>
      <c r="BF215" s="485">
        <f>_xlfn.XLOOKUP(Т402[[#This Row],[№]],Д402[№],Д402[Итоговая сумма скидки],"-",0)</f>
        <v>0</v>
      </c>
      <c r="BG215" s="486" cm="1">
        <f t="array" ref="BG215">IFERROR(ROUND(_xlfn.XLOOKUP($AU$3&amp;Т402[[#This Row],[№]]&amp;"Продажа",РД[Дом]&amp;РД[№ кв]&amp;РД[Состояние],РД[Сумма скидки],"",0),2),Т402[[#This Row],[Статус]])</f>
        <v>0</v>
      </c>
      <c r="BH215" s="488">
        <f>IFERROR(Т402[[#This Row],[ППС]]-Т402[[#This Row],[ДДУС]],"")</f>
        <v>0</v>
      </c>
    </row>
    <row r="216" spans="1:60" x14ac:dyDescent="0.2">
      <c r="A216" s="611"/>
      <c r="B216" s="234">
        <f>VLOOKUP(ППД4!A213,Реестр_Д4[№],1,0)</f>
        <v>212</v>
      </c>
      <c r="C216" s="234" t="str">
        <f>VLOOKUP(ППД4!CO213,Реестр_Д4[Статус],1,0)</f>
        <v>Продажа</v>
      </c>
      <c r="D216" s="612">
        <f>VLOOKUP(ППД4!CE213,Реестр_Д4[Стоимость ОН без отделки со скидкой],1,0)</f>
        <v>3694782.61</v>
      </c>
      <c r="E216" s="612" cm="1">
        <f t="array" ref="E216">IFERROR(INDEX(РД[Стоимость без отделки итог],MATCH($B$3&amp;Таблица4[[#This Row],[№]]&amp;"Продажа",РД[Дом]&amp;РД[№ кв]&amp;РД[Состояние],0),1),Таблица4[[#This Row],[Статус]])</f>
        <v>3694782.61</v>
      </c>
      <c r="F216" s="235">
        <f>IFERROR((Таблица4[[#This Row],[ПП]]-Таблица4[[#This Row],[ДДУ]])*1,"")</f>
        <v>0</v>
      </c>
      <c r="G216" s="235" cm="1">
        <f t="array" ref="G216">IFERROR(INDEX(РД[Стоимость с отделкой итог],MATCH($B$3&amp;Таблица4[[#This Row],[№]]&amp;"Продажа",РД[Дом]&amp;РД[№ кв]&amp;РД[Состояние],0),1),Таблица4[[#This Row],[Статус]])</f>
        <v>3864927.61</v>
      </c>
      <c r="H216" s="235">
        <f>_xlfn.XLOOKUP(Таблица4[[#This Row],[№]],Реестр_Д4[№],Реестр_Д4[Стоимость квартиры с отделкой],"-",0)</f>
        <v>3864927.61</v>
      </c>
      <c r="I216" s="235">
        <f>IFERROR(Таблица4[[#This Row],[СО ПП]]-Таблица4[[#This Row],[СО ДДУ]],"")</f>
        <v>0</v>
      </c>
      <c r="J216" s="233" cm="1">
        <f t="array" ref="J216">IFERROR(INDEX(РД[S],MATCH($B$3&amp;Таблица4[[#This Row],[№]]&amp;"Продажа",РД[Дом]&amp;РД[№ кв]&amp;РД[Состояние],0),1),Таблица4[[#This Row],[Статус]])</f>
        <v>37.81</v>
      </c>
      <c r="K216" s="233">
        <f>VLOOKUP(Таблица4[[#This Row],[№]],Реестр_Д4[],20,0)</f>
        <v>37.81</v>
      </c>
      <c r="L216" s="235">
        <f>IFERROR(Таблица4[[#This Row],[S ПП]]-Таблица4[[#This Row],[S ДДУ]],)</f>
        <v>0</v>
      </c>
      <c r="M216" s="235">
        <f>ROUND(_xlfn.XLOOKUP(Таблица4[[#This Row],[№]],Реестр_Д4[№],Реестр_Д4[Итоговая сумма скидки],"",0),2)</f>
        <v>0</v>
      </c>
      <c r="N216" s="235" cm="1">
        <f t="array" ref="N21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6" s="235">
        <f>IFERROR(Таблица4[[#This Row],[ППС]]-Таблица4[[#This Row],[ДДУС]],)</f>
        <v>0</v>
      </c>
      <c r="P216" s="611"/>
      <c r="Q216" s="234">
        <f>VLOOKUP(ППД5!A213,Реестр_Д5[№],1,0)</f>
        <v>212</v>
      </c>
      <c r="R216" s="234" t="str">
        <f>VLOOKUP(ППД5!CH213,Реестр_Д5[Статус],1,0)</f>
        <v>Продажа</v>
      </c>
      <c r="S216" s="612">
        <f>VLOOKUP(ППД5!BZ213,Реестр_Д5[Стоимость ОН без отделки со скидкой],1,0)</f>
        <v>4920047.59</v>
      </c>
      <c r="T216" s="612" cm="1">
        <f t="array" ref="T216">IFERROR(INDEX(РД[Стоимость без отделки итог],MATCH($Q$3&amp;Таблица10[[#This Row],[№]]&amp;"Продажа",РД[Дом]&amp;РД[№ кв]&amp;РД[Состояние],0),1),Таблица10[[#This Row],[Статус]])</f>
        <v>4920047.59</v>
      </c>
      <c r="U216" s="235">
        <f>IFERROR((Таблица10[[#This Row],[ПП]]-Таблица10[[#This Row],[ДДУ]])*1,)</f>
        <v>0</v>
      </c>
      <c r="V216" s="235" cm="1">
        <f t="array" ref="V216">IFERROR(INDEX(РД[Стоимость с отделкой итог],MATCH($Q$3&amp;Таблица10[[#This Row],[№]]&amp;"Продажа",РД[Дом]&amp;РД[№ кв]&amp;РД[Состояние],0),1),Таблица10[[#This Row],[Статус]])</f>
        <v>4920047.59</v>
      </c>
      <c r="W216" s="235">
        <f>_xlfn.XLOOKUP(Таблица10[[#This Row],[№]],Реестр_Д5[№],Реестр_Д5[Стоимость квартиры с отделкой],"-",0)</f>
        <v>4920047.59</v>
      </c>
      <c r="X216" s="235">
        <f>IFERROR(Таблица10[[#This Row],[СО ПП]]-Таблица10[[#This Row],[СО ДДУ]],"")</f>
        <v>0</v>
      </c>
      <c r="Y216" s="233" cm="1">
        <f t="array" ref="Y216">IFERROR(INDEX(РД[S],MATCH($Q$3&amp;Таблица10[[#This Row],[№]]&amp;"Продажа",РД[Дом]&amp;РД[№ кв]&amp;РД[Состояние],0),1),Таблица10[[#This Row],[Статус]])</f>
        <v>58.31</v>
      </c>
      <c r="Z216" s="233">
        <f>IF(Таблица10[[#This Row],[№]]&amp;"ДДУ"=ППД5!A213&amp;ППД5!CR213,ППД5!U213,ППД5!V213)</f>
        <v>58.31</v>
      </c>
      <c r="AA216" s="285">
        <f>IFERROR(Таблица10[[#This Row],[S ПП]]-Таблица10[[#This Row],[S ДДУ]],)</f>
        <v>0</v>
      </c>
      <c r="AB216" s="235">
        <f>ROUND(_xlfn.XLOOKUP(Таблица10[[#This Row],[№]],Реестр_Д5[№],Реестр_Д5[Итоговая сумма скидки],"",0),2)</f>
        <v>120000</v>
      </c>
      <c r="AC216" s="235" cm="1">
        <f t="array" ref="AC216">IFERROR(ROUND(_xlfn.XLOOKUP($Q$3&amp;Таблица10[[#This Row],[№]]&amp;"Продажа",РД[Дом]&amp;РД[№ кв]&amp;РД[Состояние],РД[Сумма скидки],"",0,-1),2),Таблица10[[#This Row],[Статус]])</f>
        <v>120000</v>
      </c>
      <c r="AD216" s="285">
        <f>IFERROR(Таблица10[[#This Row],[ППС]]-Таблица10[[#This Row],[ДДУС]],)</f>
        <v>0</v>
      </c>
      <c r="AE216" s="611"/>
      <c r="AT216" s="611"/>
      <c r="AU216" s="484">
        <f>VLOOKUP(ППД402!A213,Д402[],1,0)</f>
        <v>212</v>
      </c>
      <c r="AV216" s="484" t="str">
        <f>_xlfn.XLOOKUP(Т402[[#This Row],[№]],Д402[№],Д402[Статус],"-",0)</f>
        <v>Продажа</v>
      </c>
      <c r="AW216" s="613">
        <f>_xlfn.XLOOKUP(Т402[[#This Row],[№]],Д402[№],Д402[Стоимость ОН без отделки со скидкой],"-",0)</f>
        <v>4889700</v>
      </c>
      <c r="AX216" s="614" cm="1">
        <f t="array" ref="AX216">IFERROR(INDEX(РД[Стоимость без отделки итог],MATCH($AU$3&amp;Т402[[#This Row],[№]]&amp;"Продажа",РД[Дом]&amp;РД[№ кв]&amp;РД[Состояние],0),1),Т402[[#This Row],[Статус]])</f>
        <v>4889700</v>
      </c>
      <c r="AY216" s="485">
        <f>IFERROR((Т402[[#This Row],[ПП]]-Т402[[#This Row],[ДДУ]])*1,"")</f>
        <v>0</v>
      </c>
      <c r="AZ216" s="486" cm="1">
        <f t="array" ref="AZ216">IFERROR(INDEX(РД[Стоимость с отделкой итог],MATCH($AU$3&amp;Т402[[#This Row],[№]]&amp;"Продажа",РД[Дом]&amp;РД[№ кв]&amp;РД[Состояние],0),1),Т402[[#This Row],[Статус]])</f>
        <v>4889700</v>
      </c>
      <c r="BA216" s="485">
        <f>_xlfn.XLOOKUP(Т402[[#This Row],[№]],Д402[№],Д402[Стоимость квартиры с отделкой],"-",0)</f>
        <v>4889700</v>
      </c>
      <c r="BB216" s="485">
        <f>IFERROR(Т402[[#This Row],[СО ПП]]-Т402[[#This Row],[СО ДДУ]],"")</f>
        <v>0</v>
      </c>
      <c r="BC216" s="487" cm="1">
        <f t="array" ref="BC216">IFERROR(INDEX(РД[S],MATCH($AU$3&amp;Т402[[#This Row],[№]]&amp;"Продажа",РД[Дом]&amp;РД[№ кв]&amp;РД[Состояние],0),1),Т402[[#This Row],[Статус]])</f>
        <v>36.64</v>
      </c>
      <c r="BD216" s="483">
        <f>_xlfn.XLOOKUP(Т402[[#This Row],[№]],Д402[№],Д402[Расчетная проектная площадь],"-",0)</f>
        <v>36.64</v>
      </c>
      <c r="BE216" s="485">
        <f>IFERROR(Т402[[#This Row],[S ПП]]-Т402[[#This Row],[S ДДУ]],"")</f>
        <v>0</v>
      </c>
      <c r="BF216" s="485">
        <f>_xlfn.XLOOKUP(Т402[[#This Row],[№]],Д402[№],Д402[Итоговая сумма скидки],"-",0)</f>
        <v>0</v>
      </c>
      <c r="BG216" s="486" cm="1">
        <f t="array" ref="BG216">IFERROR(ROUND(_xlfn.XLOOKUP($AU$3&amp;Т402[[#This Row],[№]]&amp;"Продажа",РД[Дом]&amp;РД[№ кв]&amp;РД[Состояние],РД[Сумма скидки],"",0),2),Т402[[#This Row],[Статус]])</f>
        <v>0</v>
      </c>
      <c r="BH216" s="488">
        <f>IFERROR(Т402[[#This Row],[ППС]]-Т402[[#This Row],[ДДУС]],"")</f>
        <v>0</v>
      </c>
    </row>
    <row r="217" spans="1:60" x14ac:dyDescent="0.2">
      <c r="A217" s="611"/>
      <c r="B217" s="234">
        <f>VLOOKUP(ППД4!A214,Реестр_Д4[№],1,0)</f>
        <v>213</v>
      </c>
      <c r="C217" s="234" t="str">
        <f>VLOOKUP(ППД4!CO214,Реестр_Д4[Статус],1,0)</f>
        <v>Продажа</v>
      </c>
      <c r="D217" s="612">
        <f>VLOOKUP(ППД4!CE214,Реестр_Д4[Стоимость ОН без отделки со скидкой],1,0)</f>
        <v>4521558</v>
      </c>
      <c r="E217" s="612" cm="1">
        <f t="array" ref="E217">IFERROR(INDEX(РД[Стоимость без отделки итог],MATCH($B$3&amp;Таблица4[[#This Row],[№]]&amp;"Продажа",РД[Дом]&amp;РД[№ кв]&amp;РД[Состояние],0),1),Таблица4[[#This Row],[Статус]])</f>
        <v>4521558</v>
      </c>
      <c r="F217" s="235">
        <f>IFERROR((Таблица4[[#This Row],[ПП]]-Таблица4[[#This Row],[ДДУ]])*1,"")</f>
        <v>0</v>
      </c>
      <c r="G217" s="235" cm="1">
        <f t="array" ref="G217">IFERROR(INDEX(РД[Стоимость с отделкой итог],MATCH($B$3&amp;Таблица4[[#This Row],[№]]&amp;"Продажа",РД[Дом]&amp;РД[№ кв]&amp;РД[Состояние],0),1),Таблица4[[#This Row],[Статус]])</f>
        <v>5328958</v>
      </c>
      <c r="H217" s="235">
        <f>_xlfn.XLOOKUP(Таблица4[[#This Row],[№]],Реестр_Д4[№],Реестр_Д4[Стоимость квартиры с отделкой],"-",0)</f>
        <v>5328958</v>
      </c>
      <c r="I217" s="235">
        <f>IFERROR(Таблица4[[#This Row],[СО ПП]]-Таблица4[[#This Row],[СО ДДУ]],"")</f>
        <v>0</v>
      </c>
      <c r="J217" s="233" cm="1">
        <f t="array" ref="J217">IFERROR(INDEX(РД[S],MATCH($B$3&amp;Таблица4[[#This Row],[№]]&amp;"Продажа",РД[Дом]&amp;РД[№ кв]&amp;РД[Состояние],0),1),Таблица4[[#This Row],[Статус]])</f>
        <v>36.700000000000003</v>
      </c>
      <c r="K217" s="233">
        <f>VLOOKUP(Таблица4[[#This Row],[№]],Реестр_Д4[],20,0)</f>
        <v>36.700000000000003</v>
      </c>
      <c r="L217" s="235">
        <f>IFERROR(Таблица4[[#This Row],[S ПП]]-Таблица4[[#This Row],[S ДДУ]],)</f>
        <v>0</v>
      </c>
      <c r="M217" s="235">
        <f>ROUND(_xlfn.XLOOKUP(Таблица4[[#This Row],[№]],Реестр_Д4[№],Реестр_Д4[Итоговая сумма скидки],"",0),2)</f>
        <v>139842</v>
      </c>
      <c r="N217" s="235" cm="1">
        <f t="array" ref="N217">IFERROR(ROUND(_xlfn.XLOOKUP($B$3&amp;Таблица4[[#This Row],[№]]&amp;"Продажа",РД[Дом]&amp;РД[№ кв]&amp;РД[Состояние],РД[Сумма скидки],"",0),2),Таблица4[[#This Row],[Статус]])</f>
        <v>139842</v>
      </c>
      <c r="O217" s="235">
        <f>IFERROR(Таблица4[[#This Row],[ППС]]-Таблица4[[#This Row],[ДДУС]],)</f>
        <v>0</v>
      </c>
      <c r="P217" s="611"/>
      <c r="Q217" s="234">
        <f>VLOOKUP(ППД5!A214,Реестр_Д5[№],1,0)</f>
        <v>213</v>
      </c>
      <c r="R217" s="234" t="str">
        <f>VLOOKUP(ППД5!CH214,Реестр_Д5[Статус],1,0)</f>
        <v>Свободно</v>
      </c>
      <c r="S217" s="612">
        <f>VLOOKUP(ППД5!BZ214,Реестр_Д5[Стоимость ОН без отделки со скидкой],1,0)</f>
        <v>5321000</v>
      </c>
      <c r="T217" s="612" t="str" cm="1">
        <f t="array" ref="T21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17" s="235">
        <f>IFERROR((Таблица10[[#This Row],[ПП]]-Таблица10[[#This Row],[ДДУ]])*1,)</f>
        <v>0</v>
      </c>
      <c r="V217" s="235" t="str" cm="1">
        <f t="array" ref="V21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17" s="235">
        <f>_xlfn.XLOOKUP(Таблица10[[#This Row],[№]],Реестр_Д5[№],Реестр_Д5[Стоимость квартиры с отделкой],"-",0)</f>
        <v>6459500</v>
      </c>
      <c r="X217" s="235" t="str">
        <f>IFERROR(Таблица10[[#This Row],[СО ПП]]-Таблица10[[#This Row],[СО ДДУ]],"")</f>
        <v/>
      </c>
      <c r="Y217" s="233" t="str" cm="1">
        <f t="array" ref="Y217">IFERROR(INDEX(РД[S],MATCH($Q$3&amp;Таблица10[[#This Row],[№]]&amp;"Продажа",РД[Дом]&amp;РД[№ кв]&amp;РД[Состояние],0),1),Таблица10[[#This Row],[Статус]])</f>
        <v>Свободно</v>
      </c>
      <c r="Z217" s="233">
        <f>IF(Таблица10[[#This Row],[№]]&amp;"ДДУ"=ППД5!A214&amp;ППД5!CR214,ППД5!U214,ППД5!V214)</f>
        <v>37.950000000000003</v>
      </c>
      <c r="AA217" s="285">
        <f>IFERROR(Таблица10[[#This Row],[S ПП]]-Таблица10[[#This Row],[S ДДУ]],)</f>
        <v>0</v>
      </c>
      <c r="AB217" s="235">
        <f>ROUND(_xlfn.XLOOKUP(Таблица10[[#This Row],[№]],Реестр_Д5[№],Реестр_Д5[Итоговая сумма скидки],"",0),2)</f>
        <v>0</v>
      </c>
      <c r="AC217" s="235" t="str" cm="1">
        <f t="array" ref="AC21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17" s="285">
        <f>IFERROR(Таблица10[[#This Row],[ППС]]-Таблица10[[#This Row],[ДДУС]],)</f>
        <v>0</v>
      </c>
      <c r="AE217" s="611"/>
      <c r="AT217" s="611"/>
      <c r="AU217" s="484">
        <f>VLOOKUP(ППД402!A214,Д402[],1,0)</f>
        <v>213</v>
      </c>
      <c r="AV217" s="484" t="str">
        <f>_xlfn.XLOOKUP(Т402[[#This Row],[№]],Д402[№],Д402[Статус],"-",0)</f>
        <v>Продажа</v>
      </c>
      <c r="AW217" s="613">
        <f>_xlfn.XLOOKUP(Т402[[#This Row],[№]],Д402[№],Д402[Стоимость ОН без отделки со скидкой],"-",0)</f>
        <v>6390748</v>
      </c>
      <c r="AX217" s="614" cm="1">
        <f t="array" ref="AX217">IFERROR(INDEX(РД[Стоимость без отделки итог],MATCH($AU$3&amp;Т402[[#This Row],[№]]&amp;"Продажа",РД[Дом]&amp;РД[№ кв]&amp;РД[Состояние],0),1),Т402[[#This Row],[Статус]])</f>
        <v>6390748</v>
      </c>
      <c r="AY217" s="485">
        <f>IFERROR((Т402[[#This Row],[ПП]]-Т402[[#This Row],[ДДУ]])*1,"")</f>
        <v>0</v>
      </c>
      <c r="AZ217" s="486" cm="1">
        <f t="array" ref="AZ217">IFERROR(INDEX(РД[Стоимость с отделкой итог],MATCH($AU$3&amp;Т402[[#This Row],[№]]&amp;"Продажа",РД[Дом]&amp;РД[№ кв]&amp;РД[Состояние],0),1),Т402[[#This Row],[Статус]])</f>
        <v>6390748</v>
      </c>
      <c r="BA217" s="485">
        <f>_xlfn.XLOOKUP(Т402[[#This Row],[№]],Д402[№],Д402[Стоимость квартиры с отделкой],"-",0)</f>
        <v>6390748</v>
      </c>
      <c r="BB217" s="485">
        <f>IFERROR(Т402[[#This Row],[СО ПП]]-Т402[[#This Row],[СО ДДУ]],"")</f>
        <v>0</v>
      </c>
      <c r="BC217" s="487" cm="1">
        <f t="array" ref="BC217">IFERROR(INDEX(РД[S],MATCH($AU$3&amp;Т402[[#This Row],[№]]&amp;"Продажа",РД[Дом]&amp;РД[№ кв]&amp;РД[Состояние],0),1),Т402[[#This Row],[Статус]])</f>
        <v>54.44</v>
      </c>
      <c r="BD217" s="483">
        <f>_xlfn.XLOOKUP(Т402[[#This Row],[№]],Д402[№],Д402[Расчетная проектная площадь],"-",0)</f>
        <v>54.44</v>
      </c>
      <c r="BE217" s="485">
        <f>IFERROR(Т402[[#This Row],[S ПП]]-Т402[[#This Row],[S ДДУ]],"")</f>
        <v>0</v>
      </c>
      <c r="BF217" s="485">
        <f>_xlfn.XLOOKUP(Т402[[#This Row],[№]],Д402[№],Д402[Итоговая сумма скидки],"-",0)</f>
        <v>197652</v>
      </c>
      <c r="BG217" s="486" cm="1">
        <f t="array" ref="BG217">IFERROR(ROUND(_xlfn.XLOOKUP($AU$3&amp;Т402[[#This Row],[№]]&amp;"Продажа",РД[Дом]&amp;РД[№ кв]&amp;РД[Состояние],РД[Сумма скидки],"",0),2),Т402[[#This Row],[Статус]])</f>
        <v>197652</v>
      </c>
      <c r="BH217" s="488">
        <f>IFERROR(Т402[[#This Row],[ППС]]-Т402[[#This Row],[ДДУС]],"")</f>
        <v>0</v>
      </c>
    </row>
    <row r="218" spans="1:60" x14ac:dyDescent="0.2">
      <c r="A218" s="611"/>
      <c r="B218" s="234">
        <f>VLOOKUP(ППД4!A215,Реестр_Д4[№],1,0)</f>
        <v>214</v>
      </c>
      <c r="C218" s="234" t="str">
        <f>VLOOKUP(ППД4!CO215,Реестр_Д4[Статус],1,0)</f>
        <v>Продажа</v>
      </c>
      <c r="D218" s="612">
        <f>VLOOKUP(ППД4!CE215,Реестр_Д4[Стоимость ОН без отделки со скидкой],1,0)</f>
        <v>3582404.94</v>
      </c>
      <c r="E218" s="612" cm="1">
        <f t="array" ref="E218">IFERROR(INDEX(РД[Стоимость без отделки итог],MATCH($B$3&amp;Таблица4[[#This Row],[№]]&amp;"Продажа",РД[Дом]&amp;РД[№ кв]&amp;РД[Состояние],0),1),Таблица4[[#This Row],[Статус]])</f>
        <v>3582404.94</v>
      </c>
      <c r="F218" s="235">
        <f>IFERROR((Таблица4[[#This Row],[ПП]]-Таблица4[[#This Row],[ДДУ]])*1,"")</f>
        <v>0</v>
      </c>
      <c r="G218" s="235" cm="1">
        <f t="array" ref="G218">IFERROR(INDEX(РД[Стоимость с отделкой итог],MATCH($B$3&amp;Таблица4[[#This Row],[№]]&amp;"Продажа",РД[Дом]&amp;РД[№ кв]&amp;РД[Состояние],0),1),Таблица4[[#This Row],[Статус]])</f>
        <v>3747374.94</v>
      </c>
      <c r="H218" s="235">
        <f>_xlfn.XLOOKUP(Таблица4[[#This Row],[№]],Реестр_Д4[№],Реестр_Д4[Стоимость квартиры с отделкой],"-",0)</f>
        <v>3747374.94</v>
      </c>
      <c r="I218" s="235">
        <f>IFERROR(Таблица4[[#This Row],[СО ПП]]-Таблица4[[#This Row],[СО ДДУ]],"")</f>
        <v>0</v>
      </c>
      <c r="J218" s="233" cm="1">
        <f t="array" ref="J218">IFERROR(INDEX(РД[S],MATCH($B$3&amp;Таблица4[[#This Row],[№]]&amp;"Продажа",РД[Дом]&amp;РД[№ кв]&amp;РД[Состояние],0),1),Таблица4[[#This Row],[Статус]])</f>
        <v>36.659999999999997</v>
      </c>
      <c r="K218" s="233">
        <f>VLOOKUP(Таблица4[[#This Row],[№]],Реестр_Д4[],20,0)</f>
        <v>36.659999999999997</v>
      </c>
      <c r="L218" s="235">
        <f>IFERROR(Таблица4[[#This Row],[S ПП]]-Таблица4[[#This Row],[S ДДУ]],)</f>
        <v>0</v>
      </c>
      <c r="M218" s="235">
        <f>ROUND(_xlfn.XLOOKUP(Таблица4[[#This Row],[№]],Реестр_Д4[№],Реестр_Д4[Итоговая сумма скидки],"",0),2)</f>
        <v>0</v>
      </c>
      <c r="N218" s="235" cm="1">
        <f t="array" ref="N21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8" s="235">
        <f>IFERROR(Таблица4[[#This Row],[ППС]]-Таблица4[[#This Row],[ДДУС]],)</f>
        <v>0</v>
      </c>
      <c r="P218" s="611"/>
      <c r="Q218" s="234">
        <f>VLOOKUP(ППД5!A215,Реестр_Д5[№],1,0)</f>
        <v>214</v>
      </c>
      <c r="R218" s="234" t="str">
        <f>VLOOKUP(ППД5!CH215,Реестр_Д5[Статус],1,0)</f>
        <v>Продажа</v>
      </c>
      <c r="S218" s="612">
        <f>VLOOKUP(ППД5!BZ215,Реестр_Д5[Стоимость ОН без отделки со скидкой],1,0)</f>
        <v>7027500</v>
      </c>
      <c r="T218" s="612" cm="1">
        <f t="array" ref="T218">IFERROR(INDEX(РД[Стоимость без отделки итог],MATCH($Q$3&amp;Таблица10[[#This Row],[№]]&amp;"Продажа",РД[Дом]&amp;РД[№ кв]&amp;РД[Состояние],0),1),Таблица10[[#This Row],[Статус]])</f>
        <v>7027500</v>
      </c>
      <c r="U218" s="235">
        <f>IFERROR((Таблица10[[#This Row],[ПП]]-Таблица10[[#This Row],[ДДУ]])*1,)</f>
        <v>0</v>
      </c>
      <c r="V218" s="235" cm="1">
        <f t="array" ref="V218">IFERROR(INDEX(РД[Стоимость с отделкой итог],MATCH($Q$3&amp;Таблица10[[#This Row],[№]]&amp;"Продажа",РД[Дом]&amp;РД[№ кв]&amp;РД[Состояние],0),1),Таблица10[[#This Row],[Статус]])</f>
        <v>8727300</v>
      </c>
      <c r="W218" s="235">
        <f>_xlfn.XLOOKUP(Таблица10[[#This Row],[№]],Реестр_Д5[№],Реестр_Д5[Стоимость квартиры с отделкой],"-",0)</f>
        <v>8727300</v>
      </c>
      <c r="X218" s="235">
        <f>IFERROR(Таблица10[[#This Row],[СО ПП]]-Таблица10[[#This Row],[СО ДДУ]],"")</f>
        <v>0</v>
      </c>
      <c r="Y218" s="233" cm="1">
        <f t="array" ref="Y218">IFERROR(INDEX(РД[S],MATCH($Q$3&amp;Таблица10[[#This Row],[№]]&amp;"Продажа",РД[Дом]&amp;РД[№ кв]&amp;РД[Состояние],0),1),Таблица10[[#This Row],[Статус]])</f>
        <v>84.99</v>
      </c>
      <c r="Z218" s="233">
        <f>IF(Таблица10[[#This Row],[№]]&amp;"ДДУ"=ППД5!A215&amp;ППД5!CR215,ППД5!U215,ППД5!V215)</f>
        <v>84.99</v>
      </c>
      <c r="AA218" s="285">
        <f>IFERROR(Таблица10[[#This Row],[S ПП]]-Таблица10[[#This Row],[S ДДУ]],)</f>
        <v>0</v>
      </c>
      <c r="AB218" s="235">
        <f>ROUND(_xlfn.XLOOKUP(Таблица10[[#This Row],[№]],Реестр_Д5[№],Реестр_Д5[Итоговая сумма скидки],"",0),2)</f>
        <v>0</v>
      </c>
      <c r="AC218" s="235" cm="1">
        <f t="array" ref="AC21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18" s="285">
        <f>IFERROR(Таблица10[[#This Row],[ППС]]-Таблица10[[#This Row],[ДДУС]],)</f>
        <v>0</v>
      </c>
      <c r="AE218" s="611"/>
      <c r="AT218" s="611"/>
      <c r="AU218" s="484">
        <f>VLOOKUP(ППД402!A215,Д402[],1,0)</f>
        <v>214</v>
      </c>
      <c r="AV218" s="484" t="str">
        <f>_xlfn.XLOOKUP(Т402[[#This Row],[№]],Д402[№],Д402[Статус],"-",0)</f>
        <v>Продажа</v>
      </c>
      <c r="AW218" s="613">
        <f>_xlfn.XLOOKUP(Т402[[#This Row],[№]],Д402[№],Д402[Стоимость ОН без отделки со скидкой],"-",0)</f>
        <v>4534556</v>
      </c>
      <c r="AX218" s="614" cm="1">
        <f t="array" ref="AX218">IFERROR(INDEX(РД[Стоимость без отделки итог],MATCH($AU$3&amp;Т402[[#This Row],[№]]&amp;"Продажа",РД[Дом]&amp;РД[№ кв]&amp;РД[Состояние],0),1),Т402[[#This Row],[Статус]])</f>
        <v>4534556</v>
      </c>
      <c r="AY218" s="485">
        <f>IFERROR((Т402[[#This Row],[ПП]]-Т402[[#This Row],[ДДУ]])*1,"")</f>
        <v>0</v>
      </c>
      <c r="AZ218" s="486" cm="1">
        <f t="array" ref="AZ218">IFERROR(INDEX(РД[Стоимость с отделкой итог],MATCH($AU$3&amp;Т402[[#This Row],[№]]&amp;"Продажа",РД[Дом]&amp;РД[№ кв]&amp;РД[Состояние],0),1),Т402[[#This Row],[Статус]])</f>
        <v>4534556</v>
      </c>
      <c r="BA218" s="485">
        <f>_xlfn.XLOOKUP(Т402[[#This Row],[№]],Д402[№],Д402[Стоимость квартиры с отделкой],"-",0)</f>
        <v>4534556</v>
      </c>
      <c r="BB218" s="485">
        <f>IFERROR(Т402[[#This Row],[СО ПП]]-Т402[[#This Row],[СО ДДУ]],"")</f>
        <v>0</v>
      </c>
      <c r="BC218" s="487" cm="1">
        <f t="array" ref="BC218">IFERROR(INDEX(РД[S],MATCH($AU$3&amp;Т402[[#This Row],[№]]&amp;"Продажа",РД[Дом]&amp;РД[№ кв]&amp;РД[Состояние],0),1),Т402[[#This Row],[Статус]])</f>
        <v>36.39</v>
      </c>
      <c r="BD218" s="483">
        <f>_xlfn.XLOOKUP(Т402[[#This Row],[№]],Д402[№],Д402[Расчетная проектная площадь],"-",0)</f>
        <v>36.39</v>
      </c>
      <c r="BE218" s="485">
        <f>IFERROR(Т402[[#This Row],[S ПП]]-Т402[[#This Row],[S ДДУ]],"")</f>
        <v>0</v>
      </c>
      <c r="BF218" s="485">
        <f>_xlfn.XLOOKUP(Т402[[#This Row],[№]],Д402[№],Д402[Итоговая сумма скидки],"-",0)</f>
        <v>140244</v>
      </c>
      <c r="BG218" s="486" cm="1">
        <f t="array" ref="BG218">IFERROR(ROUND(_xlfn.XLOOKUP($AU$3&amp;Т402[[#This Row],[№]]&amp;"Продажа",РД[Дом]&amp;РД[№ кв]&amp;РД[Состояние],РД[Сумма скидки],"",0),2),Т402[[#This Row],[Статус]])</f>
        <v>140244</v>
      </c>
      <c r="BH218" s="488">
        <f>IFERROR(Т402[[#This Row],[ППС]]-Т402[[#This Row],[ДДУС]],"")</f>
        <v>0</v>
      </c>
    </row>
    <row r="219" spans="1:60" x14ac:dyDescent="0.2">
      <c r="A219" s="611"/>
      <c r="B219" s="234">
        <f>VLOOKUP(ППД4!A216,Реестр_Д4[№],1,0)</f>
        <v>215</v>
      </c>
      <c r="C219" s="234" t="str">
        <f>VLOOKUP(ППД4!CO216,Реестр_Д4[Статус],1,0)</f>
        <v>Продажа</v>
      </c>
      <c r="D219" s="612">
        <f>VLOOKUP(ППД4!CE216,Реестр_Д4[Стоимость ОН без отделки со скидкой],1,0)</f>
        <v>5703327.1699999999</v>
      </c>
      <c r="E219" s="612" cm="1">
        <f t="array" ref="E219">IFERROR(INDEX(РД[Стоимость без отделки итог],MATCH($B$3&amp;Таблица4[[#This Row],[№]]&amp;"Продажа",РД[Дом]&amp;РД[№ кв]&amp;РД[Состояние],0),1),Таблица4[[#This Row],[Статус]])</f>
        <v>5703327.1699999999</v>
      </c>
      <c r="F219" s="235">
        <f>IFERROR((Таблица4[[#This Row],[ПП]]-Таблица4[[#This Row],[ДДУ]])*1,"")</f>
        <v>0</v>
      </c>
      <c r="G219" s="235" cm="1">
        <f t="array" ref="G219">IFERROR(INDEX(РД[Стоимость с отделкой итог],MATCH($B$3&amp;Таблица4[[#This Row],[№]]&amp;"Продажа",РД[Дом]&amp;РД[№ кв]&amp;РД[Состояние],0),1),Таблица4[[#This Row],[Статус]])</f>
        <v>5703327.1699999999</v>
      </c>
      <c r="H219" s="235">
        <f>_xlfn.XLOOKUP(Таблица4[[#This Row],[№]],Реестр_Д4[№],Реестр_Д4[Стоимость квартиры с отделкой],"-",0)</f>
        <v>5703327.1699999999</v>
      </c>
      <c r="I219" s="235">
        <f>IFERROR(Таблица4[[#This Row],[СО ПП]]-Таблица4[[#This Row],[СО ДДУ]],"")</f>
        <v>0</v>
      </c>
      <c r="J219" s="233" cm="1">
        <f t="array" ref="J219">IFERROR(INDEX(РД[S],MATCH($B$3&amp;Таблица4[[#This Row],[№]]&amp;"Продажа",РД[Дом]&amp;РД[№ кв]&amp;РД[Состояние],0),1),Таблица4[[#This Row],[Статус]])</f>
        <v>78.73</v>
      </c>
      <c r="K219" s="233">
        <f>VLOOKUP(Таблица4[[#This Row],[№]],Реестр_Д4[],20,0)</f>
        <v>78.73</v>
      </c>
      <c r="L219" s="235">
        <f>IFERROR(Таблица4[[#This Row],[S ПП]]-Таблица4[[#This Row],[S ДДУ]],)</f>
        <v>0</v>
      </c>
      <c r="M219" s="235">
        <f>ROUND(_xlfn.XLOOKUP(Таблица4[[#This Row],[№]],Реестр_Д4[№],Реестр_Д4[Итоговая сумма скидки],"",0),2)</f>
        <v>0</v>
      </c>
      <c r="N219" s="235" cm="1">
        <f t="array" ref="N21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19" s="235">
        <f>IFERROR(Таблица4[[#This Row],[ППС]]-Таблица4[[#This Row],[ДДУС]],)</f>
        <v>0</v>
      </c>
      <c r="P219" s="611"/>
      <c r="Q219" s="234">
        <f>VLOOKUP(ППД5!A216,Реестр_Д5[№],1,0)</f>
        <v>215</v>
      </c>
      <c r="R219" s="234" t="str">
        <f>VLOOKUP(ППД5!CH216,Реестр_Д5[Статус],1,0)</f>
        <v>Продажа</v>
      </c>
      <c r="S219" s="612">
        <f>VLOOKUP(ППД5!BZ216,Реестр_Д5[Стоимость ОН без отделки со скидкой],1,0)</f>
        <v>5280400</v>
      </c>
      <c r="T219" s="612" cm="1">
        <f t="array" ref="T219">IFERROR(INDEX(РД[Стоимость без отделки итог],MATCH($Q$3&amp;Таблица10[[#This Row],[№]]&amp;"Продажа",РД[Дом]&amp;РД[№ кв]&amp;РД[Состояние],0),1),Таблица10[[#This Row],[Статус]])</f>
        <v>5280400</v>
      </c>
      <c r="U219" s="235">
        <f>IFERROR((Таблица10[[#This Row],[ПП]]-Таблица10[[#This Row],[ДДУ]])*1,)</f>
        <v>0</v>
      </c>
      <c r="V219" s="235" cm="1">
        <f t="array" ref="V219">IFERROR(INDEX(РД[Стоимость с отделкой итог],MATCH($Q$3&amp;Таблица10[[#This Row],[№]]&amp;"Продажа",РД[Дом]&amp;РД[№ кв]&amp;РД[Состояние],0),1),Таблица10[[#This Row],[Статус]])</f>
        <v>5280400</v>
      </c>
      <c r="W219" s="235">
        <f>_xlfn.XLOOKUP(Таблица10[[#This Row],[№]],Реестр_Д5[№],Реестр_Д5[Стоимость квартиры с отделкой],"-",0)</f>
        <v>5280400</v>
      </c>
      <c r="X219" s="235">
        <f>IFERROR(Таблица10[[#This Row],[СО ПП]]-Таблица10[[#This Row],[СО ДДУ]],"")</f>
        <v>0</v>
      </c>
      <c r="Y219" s="233" cm="1">
        <f t="array" ref="Y219">IFERROR(INDEX(РД[S],MATCH($Q$3&amp;Таблица10[[#This Row],[№]]&amp;"Продажа",РД[Дом]&amp;РД[№ кв]&amp;РД[Состояние],0),1),Таблица10[[#This Row],[Статус]])</f>
        <v>42.35</v>
      </c>
      <c r="Z219" s="233">
        <f>IF(Таблица10[[#This Row],[№]]&amp;"ДДУ"=ППД5!A216&amp;ППД5!CR216,ППД5!U216,ППД5!V216)</f>
        <v>42.35</v>
      </c>
      <c r="AA219" s="285">
        <f>IFERROR(Таблица10[[#This Row],[S ПП]]-Таблица10[[#This Row],[S ДДУ]],)</f>
        <v>0</v>
      </c>
      <c r="AB219" s="235">
        <f>ROUND(_xlfn.XLOOKUP(Таблица10[[#This Row],[№]],Реестр_Д5[№],Реестр_Д5[Итоговая сумма скидки],"",0),2)</f>
        <v>460000</v>
      </c>
      <c r="AC219" s="235" cm="1">
        <f t="array" ref="AC219">IFERROR(ROUND(_xlfn.XLOOKUP($Q$3&amp;Таблица10[[#This Row],[№]]&amp;"Продажа",РД[Дом]&amp;РД[№ кв]&amp;РД[Состояние],РД[Сумма скидки],"",0,-1),2),Таблица10[[#This Row],[Статус]])</f>
        <v>460000</v>
      </c>
      <c r="AD219" s="285">
        <f>IFERROR(Таблица10[[#This Row],[ППС]]-Таблица10[[#This Row],[ДДУС]],)</f>
        <v>0</v>
      </c>
      <c r="AE219" s="611"/>
      <c r="AT219" s="611"/>
      <c r="AU219" s="484">
        <f>VLOOKUP(ППД402!A216,Д402[],1,0)</f>
        <v>215</v>
      </c>
      <c r="AV219" s="484" t="str">
        <f>_xlfn.XLOOKUP(Т402[[#This Row],[№]],Д402[№],Д402[Статус],"-",0)</f>
        <v>Свободно</v>
      </c>
      <c r="AW219" s="613">
        <f>_xlfn.XLOOKUP(Т402[[#This Row],[№]],Д402[№],Д402[Стоимость ОН без отделки со скидкой],"-",0)</f>
        <v>8740500</v>
      </c>
      <c r="AX219" s="614" t="str" cm="1">
        <f t="array" ref="AX219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19" s="485" t="str">
        <f>IFERROR((Т402[[#This Row],[ПП]]-Т402[[#This Row],[ДДУ]])*1,"")</f>
        <v/>
      </c>
      <c r="AZ219" s="486" t="str" cm="1">
        <f t="array" ref="AZ219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19" s="485">
        <f>_xlfn.XLOOKUP(Т402[[#This Row],[№]],Д402[№],Д402[Стоимость квартиры с отделкой],"-",0)</f>
        <v>8740500</v>
      </c>
      <c r="BB219" s="485" t="str">
        <f>IFERROR(Т402[[#This Row],[СО ПП]]-Т402[[#This Row],[СО ДДУ]],"")</f>
        <v/>
      </c>
      <c r="BC219" s="487" t="str" cm="1">
        <f t="array" ref="BC219">IFERROR(INDEX(РД[S],MATCH($AU$3&amp;Т402[[#This Row],[№]]&amp;"Продажа",РД[Дом]&amp;РД[№ кв]&amp;РД[Состояние],0),1),Т402[[#This Row],[Статус]])</f>
        <v>Свободно</v>
      </c>
      <c r="BD219" s="483">
        <f>_xlfn.XLOOKUP(Т402[[#This Row],[№]],Д402[№],Д402[Расчетная проектная площадь],"-",0)</f>
        <v>78.16</v>
      </c>
      <c r="BE219" s="485" t="str">
        <f>IFERROR(Т402[[#This Row],[S ПП]]-Т402[[#This Row],[S ДДУ]],"")</f>
        <v/>
      </c>
      <c r="BF219" s="485">
        <f>_xlfn.XLOOKUP(Т402[[#This Row],[№]],Д402[№],Д402[Итоговая сумма скидки],"-",0)</f>
        <v>0</v>
      </c>
      <c r="BG219" s="486" t="str" cm="1">
        <f t="array" ref="BG219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19" s="488" t="str">
        <f>IFERROR(Т402[[#This Row],[ППС]]-Т402[[#This Row],[ДДУС]],"")</f>
        <v/>
      </c>
    </row>
    <row r="220" spans="1:60" x14ac:dyDescent="0.2">
      <c r="A220" s="611"/>
      <c r="B220" s="234">
        <f>VLOOKUP(ППД4!A217,Реестр_Д4[№],1,0)</f>
        <v>216</v>
      </c>
      <c r="C220" s="234" t="str">
        <f>VLOOKUP(ППД4!CO217,Реестр_Д4[Статус],1,0)</f>
        <v>Продажа</v>
      </c>
      <c r="D220" s="612">
        <f>VLOOKUP(ППД4!CE217,Реестр_Д4[Стоимость ОН без отделки со скидкой],1,0)</f>
        <v>3941612</v>
      </c>
      <c r="E220" s="612" cm="1">
        <f t="array" ref="E220">IFERROR(INDEX(РД[Стоимость без отделки итог],MATCH($B$3&amp;Таблица4[[#This Row],[№]]&amp;"Продажа",РД[Дом]&amp;РД[№ кв]&amp;РД[Состояние],0),1),Таблица4[[#This Row],[Статус]])</f>
        <v>3941612.0000000005</v>
      </c>
      <c r="F220" s="235">
        <f>IFERROR((Таблица4[[#This Row],[ПП]]-Таблица4[[#This Row],[ДДУ]])*1,"")</f>
        <v>-4.6566128730773926E-10</v>
      </c>
      <c r="G220" s="235" cm="1">
        <f t="array" ref="G220">IFERROR(INDEX(РД[Стоимость с отделкой итог],MATCH($B$3&amp;Таблица4[[#This Row],[№]]&amp;"Продажа",РД[Дом]&amp;РД[№ кв]&amp;РД[Состояние],0),1),Таблица4[[#This Row],[Статус]])</f>
        <v>4684992</v>
      </c>
      <c r="H220" s="235">
        <f>_xlfn.XLOOKUP(Таблица4[[#This Row],[№]],Реестр_Д4[№],Реестр_Д4[Стоимость квартиры с отделкой],"-",0)</f>
        <v>4684992</v>
      </c>
      <c r="I220" s="235">
        <f>IFERROR(Таблица4[[#This Row],[СО ПП]]-Таблица4[[#This Row],[СО ДДУ]],"")</f>
        <v>0</v>
      </c>
      <c r="J220" s="233" cm="1">
        <f t="array" ref="J220">IFERROR(INDEX(РД[S],MATCH($B$3&amp;Таблица4[[#This Row],[№]]&amp;"Продажа",РД[Дом]&amp;РД[№ кв]&amp;РД[Состояние],0),1),Таблица4[[#This Row],[Статус]])</f>
        <v>33.79</v>
      </c>
      <c r="K220" s="233">
        <f>VLOOKUP(Таблица4[[#This Row],[№]],Реестр_Д4[],20,0)</f>
        <v>33.79</v>
      </c>
      <c r="L220" s="235">
        <f>IFERROR(Таблица4[[#This Row],[S ПП]]-Таблица4[[#This Row],[S ДДУ]],)</f>
        <v>0</v>
      </c>
      <c r="M220" s="235">
        <f>ROUND(_xlfn.XLOOKUP(Таблица4[[#This Row],[№]],Реестр_Д4[№],Реестр_Д4[Итоговая сумма скидки],"",0),2)</f>
        <v>88888</v>
      </c>
      <c r="N220" s="235" cm="1">
        <f t="array" ref="N220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220" s="235">
        <f>IFERROR(Таблица4[[#This Row],[ППС]]-Таблица4[[#This Row],[ДДУС]],)</f>
        <v>0</v>
      </c>
      <c r="P220" s="611"/>
      <c r="Q220" s="234">
        <f>VLOOKUP(ППД5!A217,Реестр_Д5[№],1,0)</f>
        <v>216</v>
      </c>
      <c r="R220" s="234" t="str">
        <f>VLOOKUP(ППД5!CH217,Реестр_Д5[Статус],1,0)</f>
        <v>Продажа</v>
      </c>
      <c r="S220" s="612">
        <f>VLOOKUP(ППД5!BZ217,Реестр_Д5[Стоимость ОН без отделки со скидкой],1,0)</f>
        <v>5653400</v>
      </c>
      <c r="T220" s="612" cm="1">
        <f t="array" ref="T220">IFERROR(INDEX(РД[Стоимость без отделки итог],MATCH($Q$3&amp;Таблица10[[#This Row],[№]]&amp;"Продажа",РД[Дом]&amp;РД[№ кв]&amp;РД[Состояние],0),1),Таблица10[[#This Row],[Статус]])</f>
        <v>5653400</v>
      </c>
      <c r="U220" s="235">
        <f>IFERROR((Таблица10[[#This Row],[ПП]]-Таблица10[[#This Row],[ДДУ]])*1,)</f>
        <v>0</v>
      </c>
      <c r="V220" s="235" cm="1">
        <f t="array" ref="V220">IFERROR(INDEX(РД[Стоимость с отделкой итог],MATCH($Q$3&amp;Таблица10[[#This Row],[№]]&amp;"Продажа",РД[Дом]&amp;РД[№ кв]&amp;РД[Состояние],0),1),Таблица10[[#This Row],[Статус]])</f>
        <v>5653400</v>
      </c>
      <c r="W220" s="235">
        <f>_xlfn.XLOOKUP(Таблица10[[#This Row],[№]],Реестр_Д5[№],Реестр_Д5[Стоимость квартиры с отделкой],"-",0)</f>
        <v>5653400</v>
      </c>
      <c r="X220" s="235">
        <f>IFERROR(Таблица10[[#This Row],[СО ПП]]-Таблица10[[#This Row],[СО ДДУ]],"")</f>
        <v>0</v>
      </c>
      <c r="Y220" s="233" cm="1">
        <f t="array" ref="Y220">IFERROR(INDEX(РД[S],MATCH($Q$3&amp;Таблица10[[#This Row],[№]]&amp;"Продажа",РД[Дом]&amp;РД[№ кв]&amp;РД[Состояние],0),1),Таблица10[[#This Row],[Статус]])</f>
        <v>60.22</v>
      </c>
      <c r="Z220" s="233">
        <f>IF(Таблица10[[#This Row],[№]]&amp;"ДДУ"=ППД5!A217&amp;ППД5!CR217,ППД5!U217,ППД5!V217)</f>
        <v>60.22</v>
      </c>
      <c r="AA220" s="285">
        <f>IFERROR(Таблица10[[#This Row],[S ПП]]-Таблица10[[#This Row],[S ДДУ]],)</f>
        <v>0</v>
      </c>
      <c r="AB220" s="235">
        <f>ROUND(_xlfn.XLOOKUP(Таблица10[[#This Row],[№]],Реестр_Д5[№],Реестр_Д5[Итоговая сумма скидки],"",0),2)</f>
        <v>0</v>
      </c>
      <c r="AC220" s="235" cm="1">
        <f t="array" ref="AC22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20" s="285">
        <f>IFERROR(Таблица10[[#This Row],[ППС]]-Таблица10[[#This Row],[ДДУС]],)</f>
        <v>0</v>
      </c>
      <c r="AE220" s="611"/>
      <c r="AT220" s="611"/>
      <c r="AU220" s="484">
        <f>VLOOKUP(ППД402!A217,Д402[],1,0)</f>
        <v>216</v>
      </c>
      <c r="AV220" s="484" t="str">
        <f>_xlfn.XLOOKUP(Т402[[#This Row],[№]],Д402[№],Д402[Статус],"-",0)</f>
        <v>Стр. Резерв</v>
      </c>
      <c r="AW220" s="613">
        <f>_xlfn.XLOOKUP(Т402[[#This Row],[№]],Д402[№],Д402[Стоимость ОН без отделки со скидкой],"-",0)</f>
        <v>4190900</v>
      </c>
      <c r="AX220" s="614" t="str" cm="1">
        <f t="array" ref="AX22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20" s="485" t="str">
        <f>IFERROR((Т402[[#This Row],[ПП]]-Т402[[#This Row],[ДДУ]])*1,"")</f>
        <v/>
      </c>
      <c r="AZ220" s="486" t="str" cm="1">
        <f t="array" ref="AZ22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20" s="485">
        <f>_xlfn.XLOOKUP(Т402[[#This Row],[№]],Д402[№],Д402[Стоимость квартиры с отделкой],"-",0)</f>
        <v>5082800</v>
      </c>
      <c r="BB220" s="485" t="str">
        <f>IFERROR(Т402[[#This Row],[СО ПП]]-Т402[[#This Row],[СО ДДУ]],"")</f>
        <v/>
      </c>
      <c r="BC220" s="487" t="str" cm="1">
        <f t="array" ref="BC220">IFERROR(INDEX(РД[S],MATCH($AU$3&amp;Т402[[#This Row],[№]]&amp;"Продажа",РД[Дом]&amp;РД[№ кв]&amp;РД[Состояние],0),1),Т402[[#This Row],[Статус]])</f>
        <v>Стр. Резерв</v>
      </c>
      <c r="BD220" s="483">
        <f>_xlfn.XLOOKUP(Т402[[#This Row],[№]],Д402[№],Д402[Расчетная проектная площадь],"-",0)</f>
        <v>29.73</v>
      </c>
      <c r="BE220" s="485" t="str">
        <f>IFERROR(Т402[[#This Row],[S ПП]]-Т402[[#This Row],[S ДДУ]],"")</f>
        <v/>
      </c>
      <c r="BF220" s="485">
        <f>_xlfn.XLOOKUP(Т402[[#This Row],[№]],Д402[№],Д402[Итоговая сумма скидки],"-",0)</f>
        <v>0</v>
      </c>
      <c r="BG220" s="486" t="str" cm="1">
        <f t="array" ref="BG22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20" s="488" t="str">
        <f>IFERROR(Т402[[#This Row],[ППС]]-Т402[[#This Row],[ДДУС]],"")</f>
        <v/>
      </c>
    </row>
    <row r="221" spans="1:60" x14ac:dyDescent="0.2">
      <c r="A221" s="611"/>
      <c r="B221" s="234">
        <f>VLOOKUP(ППД4!A218,Реестр_Д4[№],1,0)</f>
        <v>217</v>
      </c>
      <c r="C221" s="234" t="str">
        <f>VLOOKUP(ППД4!CO218,Реестр_Д4[Статус],1,0)</f>
        <v>Продажа</v>
      </c>
      <c r="D221" s="612">
        <f>VLOOKUP(ППД4!CE218,Реестр_Д4[Стоимость ОН без отделки со скидкой],1,0)</f>
        <v>2419066.5699999998</v>
      </c>
      <c r="E221" s="612" cm="1">
        <f t="array" ref="E221">IFERROR(INDEX(РД[Стоимость без отделки итог],MATCH($B$3&amp;Таблица4[[#This Row],[№]]&amp;"Продажа",РД[Дом]&amp;РД[№ кв]&amp;РД[Состояние],0),1),Таблица4[[#This Row],[Статус]])</f>
        <v>2419066.5699999998</v>
      </c>
      <c r="F221" s="235">
        <f>IFERROR((Таблица4[[#This Row],[ПП]]-Таблица4[[#This Row],[ДДУ]])*1,"")</f>
        <v>0</v>
      </c>
      <c r="G221" s="235" cm="1">
        <f t="array" ref="G221">IFERROR(INDEX(РД[Стоимость с отделкой итог],MATCH($B$3&amp;Таблица4[[#This Row],[№]]&amp;"Продажа",РД[Дом]&amp;РД[№ кв]&amp;РД[Состояние],0),1),Таблица4[[#This Row],[Статус]])</f>
        <v>2419066.5699999998</v>
      </c>
      <c r="H221" s="235">
        <f>_xlfn.XLOOKUP(Таблица4[[#This Row],[№]],Реестр_Д4[№],Реестр_Д4[Стоимость квартиры с отделкой],"-",0)</f>
        <v>2419066.5699999998</v>
      </c>
      <c r="I221" s="235">
        <f>IFERROR(Таблица4[[#This Row],[СО ПП]]-Таблица4[[#This Row],[СО ДДУ]],"")</f>
        <v>0</v>
      </c>
      <c r="J221" s="233" cm="1">
        <f t="array" ref="J221">IFERROR(INDEX(РД[S],MATCH($B$3&amp;Таблица4[[#This Row],[№]]&amp;"Продажа",РД[Дом]&amp;РД[№ кв]&amp;РД[Состояние],0),1),Таблица4[[#This Row],[Статус]])</f>
        <v>28.97</v>
      </c>
      <c r="K221" s="233">
        <f>VLOOKUP(Таблица4[[#This Row],[№]],Реестр_Д4[],20,0)</f>
        <v>28.97</v>
      </c>
      <c r="L221" s="235">
        <f>IFERROR(Таблица4[[#This Row],[S ПП]]-Таблица4[[#This Row],[S ДДУ]],)</f>
        <v>0</v>
      </c>
      <c r="M221" s="235">
        <f>ROUND(_xlfn.XLOOKUP(Таблица4[[#This Row],[№]],Реестр_Д4[№],Реестр_Д4[Итоговая сумма скидки],"",0),2)</f>
        <v>20000</v>
      </c>
      <c r="N221" s="235" cm="1">
        <f t="array" ref="N221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221" s="235">
        <f>IFERROR(Таблица4[[#This Row],[ППС]]-Таблица4[[#This Row],[ДДУС]],)</f>
        <v>0</v>
      </c>
      <c r="P221" s="611"/>
      <c r="Q221" s="234">
        <f>VLOOKUP(ППД5!A218,Реестр_Д5[№],1,0)</f>
        <v>217</v>
      </c>
      <c r="R221" s="234" t="str">
        <f>VLOOKUP(ППД5!CH218,Реестр_Д5[Статус],1,0)</f>
        <v>Продажа</v>
      </c>
      <c r="S221" s="612">
        <f>VLOOKUP(ППД5!BZ218,Реестр_Д5[Стоимость ОН без отделки со скидкой],1,0)</f>
        <v>3631684</v>
      </c>
      <c r="T221" s="612" cm="1">
        <f t="array" ref="T221">IFERROR(INDEX(РД[Стоимость без отделки итог],MATCH($Q$3&amp;Таблица10[[#This Row],[№]]&amp;"Продажа",РД[Дом]&amp;РД[№ кв]&amp;РД[Состояние],0),1),Таблица10[[#This Row],[Статус]])</f>
        <v>3631684</v>
      </c>
      <c r="U221" s="235">
        <f>IFERROR((Таблица10[[#This Row],[ПП]]-Таблица10[[#This Row],[ДДУ]])*1,)</f>
        <v>0</v>
      </c>
      <c r="V221" s="235" cm="1">
        <f t="array" ref="V221">IFERROR(INDEX(РД[Стоимость с отделкой итог],MATCH($Q$3&amp;Таблица10[[#This Row],[№]]&amp;"Продажа",РД[Дом]&amp;РД[№ кв]&amp;РД[Состояние],0),1),Таблица10[[#This Row],[Статус]])</f>
        <v>3631684</v>
      </c>
      <c r="W221" s="235">
        <f>_xlfn.XLOOKUP(Таблица10[[#This Row],[№]],Реестр_Д5[№],Реестр_Д5[Стоимость квартиры с отделкой],"-",0)</f>
        <v>3631684</v>
      </c>
      <c r="X221" s="235">
        <f>IFERROR(Таблица10[[#This Row],[СО ПП]]-Таблица10[[#This Row],[СО ДДУ]],"")</f>
        <v>0</v>
      </c>
      <c r="Y221" s="233" cm="1">
        <f t="array" ref="Y221">IFERROR(INDEX(РД[S],MATCH($Q$3&amp;Таблица10[[#This Row],[№]]&amp;"Продажа",РД[Дом]&amp;РД[№ кв]&amp;РД[Состояние],0),1),Таблица10[[#This Row],[Статус]])</f>
        <v>24.28</v>
      </c>
      <c r="Z221" s="233">
        <f>IF(Таблица10[[#This Row],[№]]&amp;"ДДУ"=ППД5!A218&amp;ППД5!CR218,ППД5!U218,ППД5!V218)</f>
        <v>24.28</v>
      </c>
      <c r="AA221" s="285">
        <f>IFERROR(Таблица10[[#This Row],[S ПП]]-Таблица10[[#This Row],[S ДДУ]],)</f>
        <v>0</v>
      </c>
      <c r="AB221" s="235">
        <f>ROUND(_xlfn.XLOOKUP(Таблица10[[#This Row],[№]],Реестр_Д5[№],Реестр_Д5[Итоговая сумма скидки],"",0),2)</f>
        <v>74116</v>
      </c>
      <c r="AC221" s="235" cm="1">
        <f t="array" ref="AC221">IFERROR(ROUND(_xlfn.XLOOKUP($Q$3&amp;Таблица10[[#This Row],[№]]&amp;"Продажа",РД[Дом]&amp;РД[№ кв]&amp;РД[Состояние],РД[Сумма скидки],"",0,-1),2),Таблица10[[#This Row],[Статус]])</f>
        <v>74116</v>
      </c>
      <c r="AD221" s="285">
        <f>IFERROR(Таблица10[[#This Row],[ППС]]-Таблица10[[#This Row],[ДДУС]],)</f>
        <v>0</v>
      </c>
      <c r="AE221" s="611"/>
      <c r="AT221" s="611"/>
      <c r="AU221" s="484">
        <f>VLOOKUP(ППД402!A218,Д402[],1,0)</f>
        <v>217</v>
      </c>
      <c r="AV221" s="484" t="str">
        <f>_xlfn.XLOOKUP(Т402[[#This Row],[№]],Д402[№],Д402[Статус],"-",0)</f>
        <v>Продажа</v>
      </c>
      <c r="AW221" s="613">
        <f>_xlfn.XLOOKUP(Т402[[#This Row],[№]],Д402[№],Д402[Стоимость ОН без отделки со скидкой],"-",0)</f>
        <v>5625200</v>
      </c>
      <c r="AX221" s="614" cm="1">
        <f t="array" ref="AX221">IFERROR(INDEX(РД[Стоимость без отделки итог],MATCH($AU$3&amp;Т402[[#This Row],[№]]&amp;"Продажа",РД[Дом]&amp;РД[№ кв]&amp;РД[Состояние],0),1),Т402[[#This Row],[Статус]])</f>
        <v>5625200</v>
      </c>
      <c r="AY221" s="485">
        <f>IFERROR((Т402[[#This Row],[ПП]]-Т402[[#This Row],[ДДУ]])*1,"")</f>
        <v>0</v>
      </c>
      <c r="AZ221" s="486" cm="1">
        <f t="array" ref="AZ221">IFERROR(INDEX(РД[Стоимость с отделкой итог],MATCH($AU$3&amp;Т402[[#This Row],[№]]&amp;"Продажа",РД[Дом]&amp;РД[№ кв]&amp;РД[Состояние],0),1),Т402[[#This Row],[Статус]])</f>
        <v>5625200</v>
      </c>
      <c r="BA221" s="485">
        <f>_xlfn.XLOOKUP(Т402[[#This Row],[№]],Д402[№],Д402[Стоимость квартиры с отделкой],"-",0)</f>
        <v>5625200</v>
      </c>
      <c r="BB221" s="485">
        <f>IFERROR(Т402[[#This Row],[СО ПП]]-Т402[[#This Row],[СО ДДУ]],"")</f>
        <v>0</v>
      </c>
      <c r="BC221" s="487" cm="1">
        <f t="array" ref="BC221">IFERROR(INDEX(РД[S],MATCH($AU$3&amp;Т402[[#This Row],[№]]&amp;"Продажа",РД[Дом]&amp;РД[№ кв]&amp;РД[Состояние],0),1),Т402[[#This Row],[Статус]])</f>
        <v>44.25</v>
      </c>
      <c r="BD221" s="483">
        <f>_xlfn.XLOOKUP(Т402[[#This Row],[№]],Д402[№],Д402[Расчетная проектная площадь],"-",0)</f>
        <v>44.25</v>
      </c>
      <c r="BE221" s="485">
        <f>IFERROR(Т402[[#This Row],[S ПП]]-Т402[[#This Row],[S ДДУ]],"")</f>
        <v>0</v>
      </c>
      <c r="BF221" s="485">
        <f>_xlfn.XLOOKUP(Т402[[#This Row],[№]],Д402[№],Д402[Итоговая сумма скидки],"-",0)</f>
        <v>114800</v>
      </c>
      <c r="BG221" s="486" cm="1">
        <f t="array" ref="BG221">IFERROR(ROUND(_xlfn.XLOOKUP($AU$3&amp;Т402[[#This Row],[№]]&amp;"Продажа",РД[Дом]&amp;РД[№ кв]&amp;РД[Состояние],РД[Сумма скидки],"",0),2),Т402[[#This Row],[Статус]])</f>
        <v>114800</v>
      </c>
      <c r="BH221" s="488">
        <f>IFERROR(Т402[[#This Row],[ППС]]-Т402[[#This Row],[ДДУС]],"")</f>
        <v>0</v>
      </c>
    </row>
    <row r="222" spans="1:60" x14ac:dyDescent="0.2">
      <c r="A222" s="611"/>
      <c r="B222" s="234">
        <f>VLOOKUP(ППД4!A219,Реестр_Д4[№],1,0)</f>
        <v>218</v>
      </c>
      <c r="C222" s="234" t="str">
        <f>VLOOKUP(ППД4!CO219,Реестр_Д4[Статус],1,0)</f>
        <v>Продажа</v>
      </c>
      <c r="D222" s="612">
        <f>VLOOKUP(ППД4!CE219,Реестр_Д4[Стоимость ОН без отделки со скидкой],1,0)</f>
        <v>6025868.75</v>
      </c>
      <c r="E222" s="612" cm="1">
        <f t="array" ref="E222">IFERROR(INDEX(РД[Стоимость без отделки итог],MATCH($B$3&amp;Таблица4[[#This Row],[№]]&amp;"Продажа",РД[Дом]&amp;РД[№ кв]&amp;РД[Состояние],0),1),Таблица4[[#This Row],[Статус]])</f>
        <v>6025868.75</v>
      </c>
      <c r="F222" s="235">
        <f>IFERROR((Таблица4[[#This Row],[ПП]]-Таблица4[[#This Row],[ДДУ]])*1,"")</f>
        <v>0</v>
      </c>
      <c r="G222" s="235" cm="1">
        <f t="array" ref="G222">IFERROR(INDEX(РД[Стоимость с отделкой итог],MATCH($B$3&amp;Таблица4[[#This Row],[№]]&amp;"Продажа",РД[Дом]&amp;РД[№ кв]&amp;РД[Состояние],0),1),Таблица4[[#This Row],[Статус]])</f>
        <v>6025868.75</v>
      </c>
      <c r="H222" s="235">
        <f>_xlfn.XLOOKUP(Таблица4[[#This Row],[№]],Реестр_Д4[№],Реестр_Д4[Стоимость квартиры с отделкой],"-",0)</f>
        <v>6025868.75</v>
      </c>
      <c r="I222" s="235">
        <f>IFERROR(Таблица4[[#This Row],[СО ПП]]-Таблица4[[#This Row],[СО ДДУ]],"")</f>
        <v>0</v>
      </c>
      <c r="J222" s="233" cm="1">
        <f t="array" ref="J222">IFERROR(INDEX(РД[S],MATCH($B$3&amp;Таблица4[[#This Row],[№]]&amp;"Продажа",РД[Дом]&amp;РД[№ кв]&amp;РД[Состояние],0),1),Таблица4[[#This Row],[Статус]])</f>
        <v>68.75</v>
      </c>
      <c r="K222" s="233">
        <f>VLOOKUP(Таблица4[[#This Row],[№]],Реестр_Д4[],20,0)</f>
        <v>68.75</v>
      </c>
      <c r="L222" s="235">
        <f>IFERROR(Таблица4[[#This Row],[S ПП]]-Таблица4[[#This Row],[S ДДУ]],)</f>
        <v>0</v>
      </c>
      <c r="M222" s="235">
        <f>ROUND(_xlfn.XLOOKUP(Таблица4[[#This Row],[№]],Реестр_Д4[№],Реестр_Д4[Итоговая сумма скидки],"",0),2)</f>
        <v>0</v>
      </c>
      <c r="N222" s="235" cm="1">
        <f t="array" ref="N22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22" s="235">
        <f>IFERROR(Таблица4[[#This Row],[ППС]]-Таблица4[[#This Row],[ДДУС]],)</f>
        <v>0</v>
      </c>
      <c r="P222" s="611"/>
      <c r="Q222" s="234">
        <f>VLOOKUP(ППД5!A219,Реестр_Д5[№],1,0)</f>
        <v>218</v>
      </c>
      <c r="R222" s="234" t="str">
        <f>VLOOKUP(ППД5!CH219,Реестр_Д5[Статус],1,0)</f>
        <v>Продажа</v>
      </c>
      <c r="S222" s="612">
        <f>VLOOKUP(ППД5!BZ219,Реестр_Д5[Стоимость ОН без отделки со скидкой],1,0)</f>
        <v>5575000</v>
      </c>
      <c r="T222" s="612" cm="1">
        <f t="array" ref="T222">IFERROR(INDEX(РД[Стоимость без отделки итог],MATCH($Q$3&amp;Таблица10[[#This Row],[№]]&amp;"Продажа",РД[Дом]&amp;РД[№ кв]&amp;РД[Состояние],0),1),Таблица10[[#This Row],[Статус]])</f>
        <v>5575000</v>
      </c>
      <c r="U222" s="235">
        <f>IFERROR((Таблица10[[#This Row],[ПП]]-Таблица10[[#This Row],[ДДУ]])*1,)</f>
        <v>0</v>
      </c>
      <c r="V222" s="235" cm="1">
        <f t="array" ref="V222">IFERROR(INDEX(РД[Стоимость с отделкой итог],MATCH($Q$3&amp;Таблица10[[#This Row],[№]]&amp;"Продажа",РД[Дом]&amp;РД[№ кв]&amp;РД[Состояние],0),1),Таблица10[[#This Row],[Статус]])</f>
        <v>5978200</v>
      </c>
      <c r="W222" s="235">
        <f>_xlfn.XLOOKUP(Таблица10[[#This Row],[№]],Реестр_Д5[№],Реестр_Д5[Стоимость квартиры с отделкой],"-",0)</f>
        <v>5978200</v>
      </c>
      <c r="X222" s="235">
        <f>IFERROR(Таблица10[[#This Row],[СО ПП]]-Таблица10[[#This Row],[СО ДДУ]],"")</f>
        <v>0</v>
      </c>
      <c r="Y222" s="233" cm="1">
        <f t="array" ref="Y222">IFERROR(INDEX(РД[S],MATCH($Q$3&amp;Таблица10[[#This Row],[№]]&amp;"Продажа",РД[Дом]&amp;РД[№ кв]&amp;РД[Состояние],0),1),Таблица10[[#This Row],[Статус]])</f>
        <v>57.6</v>
      </c>
      <c r="Z222" s="233">
        <f>IF(Таблица10[[#This Row],[№]]&amp;"ДДУ"=ППД5!A219&amp;ППД5!CR219,ППД5!U219,ППД5!V219)</f>
        <v>57.6</v>
      </c>
      <c r="AA222" s="285">
        <f>IFERROR(Таблица10[[#This Row],[S ПП]]-Таблица10[[#This Row],[S ДДУ]],)</f>
        <v>0</v>
      </c>
      <c r="AB222" s="235">
        <f>ROUND(_xlfn.XLOOKUP(Таблица10[[#This Row],[№]],Реестр_Д5[№],Реестр_Д5[Итоговая сумма скидки],"",0),2)</f>
        <v>0</v>
      </c>
      <c r="AC222" s="235" cm="1">
        <f t="array" ref="AC22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22" s="285">
        <f>IFERROR(Таблица10[[#This Row],[ППС]]-Таблица10[[#This Row],[ДДУС]],)</f>
        <v>0</v>
      </c>
      <c r="AE222" s="611"/>
      <c r="AT222" s="611"/>
      <c r="AU222" s="484">
        <f>VLOOKUP(ППД402!A219,Д402[],1,0)</f>
        <v>218</v>
      </c>
      <c r="AV222" s="484" t="str">
        <f>_xlfn.XLOOKUP(Т402[[#This Row],[№]],Д402[№],Д402[Статус],"-",0)</f>
        <v>Продажа</v>
      </c>
      <c r="AW222" s="613">
        <f>_xlfn.XLOOKUP(Т402[[#This Row],[№]],Д402[№],Д402[Стоимость ОН без отделки со скидкой],"-",0)</f>
        <v>4744376</v>
      </c>
      <c r="AX222" s="614" cm="1">
        <f t="array" ref="AX222">IFERROR(INDEX(РД[Стоимость без отделки итог],MATCH($AU$3&amp;Т402[[#This Row],[№]]&amp;"Продажа",РД[Дом]&amp;РД[№ кв]&amp;РД[Состояние],0),1),Т402[[#This Row],[Статус]])</f>
        <v>4744376</v>
      </c>
      <c r="AY222" s="485">
        <f>IFERROR((Т402[[#This Row],[ПП]]-Т402[[#This Row],[ДДУ]])*1,"")</f>
        <v>0</v>
      </c>
      <c r="AZ222" s="486" cm="1">
        <f t="array" ref="AZ222">IFERROR(INDEX(РД[Стоимость с отделкой итог],MATCH($AU$3&amp;Т402[[#This Row],[№]]&amp;"Продажа",РД[Дом]&amp;РД[№ кв]&amp;РД[Состояние],0),1),Т402[[#This Row],[Статус]])</f>
        <v>5110776</v>
      </c>
      <c r="BA222" s="485">
        <f>_xlfn.XLOOKUP(Т402[[#This Row],[№]],Д402[№],Д402[Стоимость квартиры с отделкой],"-",0)</f>
        <v>5110776</v>
      </c>
      <c r="BB222" s="485">
        <f>IFERROR(Т402[[#This Row],[СО ПП]]-Т402[[#This Row],[СО ДДУ]],"")</f>
        <v>0</v>
      </c>
      <c r="BC222" s="487" cm="1">
        <f t="array" ref="BC222">IFERROR(INDEX(РД[S],MATCH($AU$3&amp;Т402[[#This Row],[№]]&amp;"Продажа",РД[Дом]&amp;РД[№ кв]&amp;РД[Состояние],0),1),Т402[[#This Row],[Статус]])</f>
        <v>36.64</v>
      </c>
      <c r="BD222" s="483">
        <f>_xlfn.XLOOKUP(Т402[[#This Row],[№]],Д402[№],Д402[Расчетная проектная площадь],"-",0)</f>
        <v>36.64</v>
      </c>
      <c r="BE222" s="485">
        <f>IFERROR(Т402[[#This Row],[S ПП]]-Т402[[#This Row],[S ДДУ]],"")</f>
        <v>0</v>
      </c>
      <c r="BF222" s="485">
        <f>_xlfn.XLOOKUP(Т402[[#This Row],[№]],Д402[№],Д402[Итоговая сумма скидки],"-",0)</f>
        <v>96824</v>
      </c>
      <c r="BG222" s="486" cm="1">
        <f t="array" ref="BG222">IFERROR(ROUND(_xlfn.XLOOKUP($AU$3&amp;Т402[[#This Row],[№]]&amp;"Продажа",РД[Дом]&amp;РД[№ кв]&amp;РД[Состояние],РД[Сумма скидки],"",0),2),Т402[[#This Row],[Статус]])</f>
        <v>96824</v>
      </c>
      <c r="BH222" s="488">
        <f>IFERROR(Т402[[#This Row],[ППС]]-Т402[[#This Row],[ДДУС]],"")</f>
        <v>0</v>
      </c>
    </row>
    <row r="223" spans="1:60" x14ac:dyDescent="0.2">
      <c r="A223" s="611"/>
      <c r="B223" s="234">
        <f>VLOOKUP(ППД4!A220,Реестр_Д4[№],1,0)</f>
        <v>219</v>
      </c>
      <c r="C223" s="234" t="str">
        <f>VLOOKUP(ППД4!CO220,Реестр_Д4[Статус],1,0)</f>
        <v>Продажа</v>
      </c>
      <c r="D223" s="612">
        <f>VLOOKUP(ППД4!CE220,Реестр_Д4[Стоимость ОН без отделки со скидкой],1,0)</f>
        <v>2758536.14</v>
      </c>
      <c r="E223" s="612" cm="1">
        <f t="array" ref="E223">IFERROR(INDEX(РД[Стоимость без отделки итог],MATCH($B$3&amp;Таблица4[[#This Row],[№]]&amp;"Продажа",РД[Дом]&amp;РД[№ кв]&amp;РД[Состояние],0),1),Таблица4[[#This Row],[Статус]])</f>
        <v>2758536.14</v>
      </c>
      <c r="F223" s="235">
        <f>IFERROR((Таблица4[[#This Row],[ПП]]-Таблица4[[#This Row],[ДДУ]])*1,"")</f>
        <v>0</v>
      </c>
      <c r="G223" s="235" cm="1">
        <f t="array" ref="G223">IFERROR(INDEX(РД[Стоимость с отделкой итог],MATCH($B$3&amp;Таблица4[[#This Row],[№]]&amp;"Продажа",РД[Дом]&amp;РД[№ кв]&amp;РД[Состояние],0),1),Таблица4[[#This Row],[Статус]])</f>
        <v>3023886.14</v>
      </c>
      <c r="H223" s="235">
        <f>_xlfn.XLOOKUP(Таблица4[[#This Row],[№]],Реестр_Д4[№],Реестр_Д4[Стоимость квартиры с отделкой],"-",0)</f>
        <v>3023886.14</v>
      </c>
      <c r="I223" s="235">
        <f>IFERROR(Таблица4[[#This Row],[СО ПП]]-Таблица4[[#This Row],[СО ДДУ]],"")</f>
        <v>0</v>
      </c>
      <c r="J223" s="233" cm="1">
        <f t="array" ref="J223">IFERROR(INDEX(РД[S],MATCH($B$3&amp;Таблица4[[#This Row],[№]]&amp;"Продажа",РД[Дом]&amp;РД[№ кв]&amp;РД[Состояние],0),1),Таблица4[[#This Row],[Статус]])</f>
        <v>35.380000000000003</v>
      </c>
      <c r="K223" s="233">
        <f>VLOOKUP(Таблица4[[#This Row],[№]],Реестр_Д4[],20,0)</f>
        <v>35.380000000000003</v>
      </c>
      <c r="L223" s="235">
        <f>IFERROR(Таблица4[[#This Row],[S ПП]]-Таблица4[[#This Row],[S ДДУ]],)</f>
        <v>0</v>
      </c>
      <c r="M223" s="235">
        <f>ROUND(_xlfn.XLOOKUP(Таблица4[[#This Row],[№]],Реестр_Д4[№],Реестр_Д4[Итоговая сумма скидки],"",0),2)</f>
        <v>0</v>
      </c>
      <c r="N223" s="235" cm="1">
        <f t="array" ref="N22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23" s="235">
        <f>IFERROR(Таблица4[[#This Row],[ППС]]-Таблица4[[#This Row],[ДДУС]],)</f>
        <v>0</v>
      </c>
      <c r="P223" s="611"/>
      <c r="Q223" s="234">
        <f>VLOOKUP(ППД5!A220,Реестр_Д5[№],1,0)</f>
        <v>219</v>
      </c>
      <c r="R223" s="234" t="str">
        <f>VLOOKUP(ППД5!CH220,Реестр_Д5[Статус],1,0)</f>
        <v>Свободно</v>
      </c>
      <c r="S223" s="612">
        <f>VLOOKUP(ППД5!BZ220,Реестр_Д5[Стоимость ОН без отделки со скидкой],1,0)</f>
        <v>7340900</v>
      </c>
      <c r="T223" s="612" t="str" cm="1">
        <f t="array" ref="T22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23" s="235">
        <f>IFERROR((Таблица10[[#This Row],[ПП]]-Таблица10[[#This Row],[ДДУ]])*1,)</f>
        <v>0</v>
      </c>
      <c r="V223" s="235" t="str" cm="1">
        <f t="array" ref="V22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23" s="235">
        <f>_xlfn.XLOOKUP(Таблица10[[#This Row],[№]],Реестр_Д5[№],Реестр_Д5[Стоимость квартиры с отделкой],"-",0)</f>
        <v>7340900</v>
      </c>
      <c r="X223" s="235" t="str">
        <f>IFERROR(Таблица10[[#This Row],[СО ПП]]-Таблица10[[#This Row],[СО ДДУ]],"")</f>
        <v/>
      </c>
      <c r="Y223" s="233" t="str" cm="1">
        <f t="array" ref="Y223">IFERROR(INDEX(РД[S],MATCH($Q$3&amp;Таблица10[[#This Row],[№]]&amp;"Продажа",РД[Дом]&amp;РД[№ кв]&amp;РД[Состояние],0),1),Таблица10[[#This Row],[Статус]])</f>
        <v>Свободно</v>
      </c>
      <c r="Z223" s="233">
        <f>IF(Таблица10[[#This Row],[№]]&amp;"ДДУ"=ППД5!A220&amp;ППД5!CR220,ППД5!U220,ППД5!V220)</f>
        <v>58.25</v>
      </c>
      <c r="AA223" s="285">
        <f>IFERROR(Таблица10[[#This Row],[S ПП]]-Таблица10[[#This Row],[S ДДУ]],)</f>
        <v>0</v>
      </c>
      <c r="AB223" s="235">
        <f>ROUND(_xlfn.XLOOKUP(Таблица10[[#This Row],[№]],Реестр_Д5[№],Реестр_Д5[Итоговая сумма скидки],"",0),2)</f>
        <v>0</v>
      </c>
      <c r="AC223" s="235" t="str" cm="1">
        <f t="array" ref="AC22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23" s="285">
        <f>IFERROR(Таблица10[[#This Row],[ППС]]-Таблица10[[#This Row],[ДДУС]],)</f>
        <v>0</v>
      </c>
      <c r="AE223" s="611"/>
      <c r="AT223" s="611"/>
      <c r="AU223" s="484">
        <f>VLOOKUP(ППД402!A220,Д402[],1,0)</f>
        <v>219</v>
      </c>
      <c r="AV223" s="484" t="str">
        <f>_xlfn.XLOOKUP(Т402[[#This Row],[№]],Д402[№],Д402[Статус],"-",0)</f>
        <v>Продажа</v>
      </c>
      <c r="AW223" s="613">
        <f>_xlfn.XLOOKUP(Т402[[#This Row],[№]],Д402[№],Д402[Стоимость ОН без отделки со скидкой],"-",0)</f>
        <v>6625094</v>
      </c>
      <c r="AX223" s="614" cm="1">
        <f t="array" ref="AX223">IFERROR(INDEX(РД[Стоимость без отделки итог],MATCH($AU$3&amp;Т402[[#This Row],[№]]&amp;"Продажа",РД[Дом]&amp;РД[№ кв]&amp;РД[Состояние],0),1),Т402[[#This Row],[Статус]])</f>
        <v>6625094</v>
      </c>
      <c r="AY223" s="485">
        <f>IFERROR((Т402[[#This Row],[ПП]]-Т402[[#This Row],[ДДУ]])*1,"")</f>
        <v>0</v>
      </c>
      <c r="AZ223" s="486" cm="1">
        <f t="array" ref="AZ223">IFERROR(INDEX(РД[Стоимость с отделкой итог],MATCH($AU$3&amp;Т402[[#This Row],[№]]&amp;"Продажа",РД[Дом]&amp;РД[№ кв]&amp;РД[Состояние],0),1),Т402[[#This Row],[Статус]])</f>
        <v>6625094</v>
      </c>
      <c r="BA223" s="485">
        <f>_xlfn.XLOOKUP(Т402[[#This Row],[№]],Д402[№],Д402[Стоимость квартиры с отделкой],"-",0)</f>
        <v>6625094</v>
      </c>
      <c r="BB223" s="485">
        <f>IFERROR(Т402[[#This Row],[СО ПП]]-Т402[[#This Row],[СО ДДУ]],"")</f>
        <v>0</v>
      </c>
      <c r="BC223" s="487" cm="1">
        <f t="array" ref="BC223">IFERROR(INDEX(РД[S],MATCH($AU$3&amp;Т402[[#This Row],[№]]&amp;"Продажа",РД[Дом]&amp;РД[№ кв]&amp;РД[Состояние],0),1),Т402[[#This Row],[Статус]])</f>
        <v>54.44</v>
      </c>
      <c r="BD223" s="483">
        <f>_xlfn.XLOOKUP(Т402[[#This Row],[№]],Д402[№],Д402[Расчетная проектная площадь],"-",0)</f>
        <v>54.44</v>
      </c>
      <c r="BE223" s="485">
        <f>IFERROR(Т402[[#This Row],[S ПП]]-Т402[[#This Row],[S ДДУ]],"")</f>
        <v>0</v>
      </c>
      <c r="BF223" s="485">
        <f>_xlfn.XLOOKUP(Т402[[#This Row],[№]],Д402[№],Д402[Итоговая сумма скидки],"-",0)</f>
        <v>135206</v>
      </c>
      <c r="BG223" s="486" cm="1">
        <f t="array" ref="BG223">IFERROR(ROUND(_xlfn.XLOOKUP($AU$3&amp;Т402[[#This Row],[№]]&amp;"Продажа",РД[Дом]&amp;РД[№ кв]&amp;РД[Состояние],РД[Сумма скидки],"",0),2),Т402[[#This Row],[Статус]])</f>
        <v>135206</v>
      </c>
      <c r="BH223" s="488">
        <f>IFERROR(Т402[[#This Row],[ППС]]-Т402[[#This Row],[ДДУС]],"")</f>
        <v>0</v>
      </c>
    </row>
    <row r="224" spans="1:60" x14ac:dyDescent="0.2">
      <c r="A224" s="611"/>
      <c r="B224" s="234">
        <f>VLOOKUP(ППД4!A221,Реестр_Д4[№],1,0)</f>
        <v>220</v>
      </c>
      <c r="C224" s="234" t="str">
        <f>VLOOKUP(ППД4!CO221,Реестр_Д4[Статус],1,0)</f>
        <v>Продажа</v>
      </c>
      <c r="D224" s="612">
        <f>VLOOKUP(ППД4!CE221,Реестр_Д4[Стоимость ОН без отделки со скидкой],1,0)</f>
        <v>4061200</v>
      </c>
      <c r="E224" s="612" cm="1">
        <f t="array" ref="E224">IFERROR(INDEX(РД[Стоимость без отделки итог],MATCH($B$3&amp;Таблица4[[#This Row],[№]]&amp;"Продажа",РД[Дом]&amp;РД[№ кв]&amp;РД[Состояние],0),1),Таблица4[[#This Row],[Статус]])</f>
        <v>4061200</v>
      </c>
      <c r="F224" s="235">
        <f>IFERROR((Таблица4[[#This Row],[ПП]]-Таблица4[[#This Row],[ДДУ]])*1,"")</f>
        <v>0</v>
      </c>
      <c r="G224" s="235" cm="1">
        <f t="array" ref="G224">IFERROR(INDEX(РД[Стоимость с отделкой итог],MATCH($B$3&amp;Таблица4[[#This Row],[№]]&amp;"Продажа",РД[Дом]&amp;РД[№ кв]&amp;РД[Состояние],0),1),Таблица4[[#This Row],[Статус]])</f>
        <v>4344775</v>
      </c>
      <c r="H224" s="235">
        <f>_xlfn.XLOOKUP(Таблица4[[#This Row],[№]],Реестр_Д4[№],Реестр_Д4[Стоимость квартиры с отделкой],"-",0)</f>
        <v>4344775</v>
      </c>
      <c r="I224" s="235">
        <f>IFERROR(Таблица4[[#This Row],[СО ПП]]-Таблица4[[#This Row],[СО ДДУ]],"")</f>
        <v>0</v>
      </c>
      <c r="J224" s="233" cm="1">
        <f t="array" ref="J224">IFERROR(INDEX(РД[S],MATCH($B$3&amp;Таблица4[[#This Row],[№]]&amp;"Продажа",РД[Дом]&amp;РД[№ кв]&amp;РД[Состояние],0),1),Таблица4[[#This Row],[Статус]])</f>
        <v>37.81</v>
      </c>
      <c r="K224" s="233">
        <f>VLOOKUP(Таблица4[[#This Row],[№]],Реестр_Д4[],20,0)</f>
        <v>37.81</v>
      </c>
      <c r="L224" s="235">
        <f>IFERROR(Таблица4[[#This Row],[S ПП]]-Таблица4[[#This Row],[S ДДУ]],)</f>
        <v>0</v>
      </c>
      <c r="M224" s="235">
        <f>ROUND(_xlfn.XLOOKUP(Таблица4[[#This Row],[№]],Реестр_Д4[№],Реестр_Д4[Итоговая сумма скидки],"",0),2)</f>
        <v>0</v>
      </c>
      <c r="N224" s="235" cm="1">
        <f t="array" ref="N22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24" s="235">
        <f>IFERROR(Таблица4[[#This Row],[ППС]]-Таблица4[[#This Row],[ДДУС]],)</f>
        <v>0</v>
      </c>
      <c r="P224" s="611"/>
      <c r="Q224" s="234">
        <f>VLOOKUP(ППД5!A221,Реестр_Д5[№],1,0)</f>
        <v>220</v>
      </c>
      <c r="R224" s="234" t="str">
        <f>VLOOKUP(ППД5!CH221,Реестр_Д5[Статус],1,0)</f>
        <v>Свободно</v>
      </c>
      <c r="S224" s="612">
        <f>VLOOKUP(ППД5!BZ221,Реестр_Д5[Стоимость ОН без отделки со скидкой],1,0)</f>
        <v>5376700</v>
      </c>
      <c r="T224" s="612" t="str" cm="1">
        <f t="array" ref="T22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24" s="235">
        <f>IFERROR((Таблица10[[#This Row],[ПП]]-Таблица10[[#This Row],[ДДУ]])*1,)</f>
        <v>0</v>
      </c>
      <c r="V224" s="235" t="str" cm="1">
        <f t="array" ref="V22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24" s="235">
        <f>_xlfn.XLOOKUP(Таблица10[[#This Row],[№]],Реестр_Д5[№],Реестр_Д5[Стоимость квартиры с отделкой],"-",0)</f>
        <v>5376700</v>
      </c>
      <c r="X224" s="235" t="str">
        <f>IFERROR(Таблица10[[#This Row],[СО ПП]]-Таблица10[[#This Row],[СО ДДУ]],"")</f>
        <v/>
      </c>
      <c r="Y224" s="233" t="str" cm="1">
        <f t="array" ref="Y224">IFERROR(INDEX(РД[S],MATCH($Q$3&amp;Таблица10[[#This Row],[№]]&amp;"Продажа",РД[Дом]&amp;РД[№ кв]&amp;РД[Состояние],0),1),Таблица10[[#This Row],[Статус]])</f>
        <v>Свободно</v>
      </c>
      <c r="Z224" s="233">
        <f>IF(Таблица10[[#This Row],[№]]&amp;"ДДУ"=ППД5!A221&amp;ППД5!CR221,ППД5!U221,ППД5!V221)</f>
        <v>37.650000000000006</v>
      </c>
      <c r="AA224" s="285">
        <f>IFERROR(Таблица10[[#This Row],[S ПП]]-Таблица10[[#This Row],[S ДДУ]],)</f>
        <v>0</v>
      </c>
      <c r="AB224" s="235">
        <f>ROUND(_xlfn.XLOOKUP(Таблица10[[#This Row],[№]],Реестр_Д5[№],Реестр_Д5[Итоговая сумма скидки],"",0),2)</f>
        <v>0</v>
      </c>
      <c r="AC224" s="235" t="str" cm="1">
        <f t="array" ref="AC22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24" s="285">
        <f>IFERROR(Таблица10[[#This Row],[ППС]]-Таблица10[[#This Row],[ДДУС]],)</f>
        <v>0</v>
      </c>
      <c r="AE224" s="611"/>
      <c r="AT224" s="611"/>
      <c r="AU224" s="484">
        <f>VLOOKUP(ППД402!A221,Д402[],1,0)</f>
        <v>220</v>
      </c>
      <c r="AV224" s="484" t="str">
        <f>_xlfn.XLOOKUP(Т402[[#This Row],[№]],Д402[№],Д402[Статус],"-",0)</f>
        <v>Стр. Резерв</v>
      </c>
      <c r="AW224" s="613">
        <f>_xlfn.XLOOKUP(Т402[[#This Row],[№]],Д402[№],Д402[Стоимость ОН без отделки со скидкой],"-",0)</f>
        <v>4764700</v>
      </c>
      <c r="AX224" s="614" t="str" cm="1">
        <f t="array" ref="AX22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24" s="485" t="str">
        <f>IFERROR((Т402[[#This Row],[ПП]]-Т402[[#This Row],[ДДУ]])*1,"")</f>
        <v/>
      </c>
      <c r="AZ224" s="486" t="str" cm="1">
        <f t="array" ref="AZ22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24" s="485">
        <f>_xlfn.XLOOKUP(Т402[[#This Row],[№]],Д402[№],Д402[Стоимость квартиры с отделкой],"-",0)</f>
        <v>4764700</v>
      </c>
      <c r="BB224" s="485" t="str">
        <f>IFERROR(Т402[[#This Row],[СО ПП]]-Т402[[#This Row],[СО ДДУ]],"")</f>
        <v/>
      </c>
      <c r="BC224" s="487" t="str" cm="1">
        <f t="array" ref="BC224">IFERROR(INDEX(РД[S],MATCH($AU$3&amp;Т402[[#This Row],[№]]&amp;"Продажа",РД[Дом]&amp;РД[№ кв]&amp;РД[Состояние],0),1),Т402[[#This Row],[Статус]])</f>
        <v>Стр. Резерв</v>
      </c>
      <c r="BD224" s="483">
        <f>_xlfn.XLOOKUP(Т402[[#This Row],[№]],Д402[№],Д402[Расчетная проектная площадь],"-",0)</f>
        <v>36.39</v>
      </c>
      <c r="BE224" s="485" t="str">
        <f>IFERROR(Т402[[#This Row],[S ПП]]-Т402[[#This Row],[S ДДУ]],"")</f>
        <v/>
      </c>
      <c r="BF224" s="485">
        <f>_xlfn.XLOOKUP(Т402[[#This Row],[№]],Д402[№],Д402[Итоговая сумма скидки],"-",0)</f>
        <v>0</v>
      </c>
      <c r="BG224" s="486" t="str" cm="1">
        <f t="array" ref="BG22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24" s="488" t="str">
        <f>IFERROR(Т402[[#This Row],[ППС]]-Т402[[#This Row],[ДДУС]],"")</f>
        <v/>
      </c>
    </row>
    <row r="225" spans="1:60" x14ac:dyDescent="0.2">
      <c r="A225" s="611"/>
      <c r="B225" s="234">
        <f>VLOOKUP(ППД4!A222,Реестр_Д4[№],1,0)</f>
        <v>221</v>
      </c>
      <c r="C225" s="234" t="str">
        <f>VLOOKUP(ППД4!CO222,Реестр_Д4[Статус],1,0)</f>
        <v>Продажа</v>
      </c>
      <c r="D225" s="612">
        <f>VLOOKUP(ППД4!CE222,Реестр_Д4[Стоимость ОН без отделки со скидкой],1,0)</f>
        <v>3448378.61</v>
      </c>
      <c r="E225" s="612" cm="1">
        <f t="array" ref="E225">IFERROR(INDEX(РД[Стоимость без отделки итог],MATCH($B$3&amp;Таблица4[[#This Row],[№]]&amp;"Продажа",РД[Дом]&amp;РД[№ кв]&amp;РД[Состояние],0),1),Таблица4[[#This Row],[Статус]])</f>
        <v>3448378.61</v>
      </c>
      <c r="F225" s="235">
        <f>IFERROR((Таблица4[[#This Row],[ПП]]-Таблица4[[#This Row],[ДДУ]])*1,"")</f>
        <v>0</v>
      </c>
      <c r="G225" s="235" cm="1">
        <f t="array" ref="G225">IFERROR(INDEX(РД[Стоимость с отделкой итог],MATCH($B$3&amp;Таблица4[[#This Row],[№]]&amp;"Продажа",РД[Дом]&amp;РД[№ кв]&amp;РД[Состояние],0),1),Таблица4[[#This Row],[Статус]])</f>
        <v>3998878.61</v>
      </c>
      <c r="H225" s="235">
        <f>_xlfn.XLOOKUP(Таблица4[[#This Row],[№]],Реестр_Д4[№],Реестр_Д4[Стоимость квартиры с отделкой],"-",0)</f>
        <v>3998878.61</v>
      </c>
      <c r="I225" s="235">
        <f>IFERROR(Таблица4[[#This Row],[СО ПП]]-Таблица4[[#This Row],[СО ДДУ]],"")</f>
        <v>0</v>
      </c>
      <c r="J225" s="233" cm="1">
        <f t="array" ref="J225">IFERROR(INDEX(РД[S],MATCH($B$3&amp;Таблица4[[#This Row],[№]]&amp;"Продажа",РД[Дом]&amp;РД[№ кв]&amp;РД[Состояние],0),1),Таблица4[[#This Row],[Статус]])</f>
        <v>36.700000000000003</v>
      </c>
      <c r="K225" s="233">
        <f>VLOOKUP(Таблица4[[#This Row],[№]],Реестр_Д4[],20,0)</f>
        <v>36.700000000000003</v>
      </c>
      <c r="L225" s="235">
        <f>IFERROR(Таблица4[[#This Row],[S ПП]]-Таблица4[[#This Row],[S ДДУ]],)</f>
        <v>0</v>
      </c>
      <c r="M225" s="235">
        <f>ROUND(_xlfn.XLOOKUP(Таблица4[[#This Row],[№]],Реестр_Д4[№],Реестр_Д4[Итоговая сумма скидки],"",0),2)</f>
        <v>0</v>
      </c>
      <c r="N225" s="235" cm="1">
        <f t="array" ref="N22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25" s="235">
        <f>IFERROR(Таблица4[[#This Row],[ППС]]-Таблица4[[#This Row],[ДДУС]],)</f>
        <v>0</v>
      </c>
      <c r="P225" s="611"/>
      <c r="Q225" s="234">
        <f>VLOOKUP(ППД5!A222,Реестр_Д5[№],1,0)</f>
        <v>221</v>
      </c>
      <c r="R225" s="234" t="str">
        <f>VLOOKUP(ППД5!CH222,Реестр_Д5[Статус],1,0)</f>
        <v>Свободно</v>
      </c>
      <c r="S225" s="612">
        <f>VLOOKUP(ППД5!BZ222,Реестр_Д5[Стоимость ОН без отделки со скидкой],1,0)</f>
        <v>9621600</v>
      </c>
      <c r="T225" s="612" t="str" cm="1">
        <f t="array" ref="T22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25" s="235">
        <f>IFERROR((Таблица10[[#This Row],[ПП]]-Таблица10[[#This Row],[ДДУ]])*1,)</f>
        <v>0</v>
      </c>
      <c r="V225" s="235" t="str" cm="1">
        <f t="array" ref="V22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25" s="235">
        <f>_xlfn.XLOOKUP(Таблица10[[#This Row],[№]],Реестр_Д5[№],Реестр_Д5[Стоимость квартиры с отделкой],"-",0)</f>
        <v>9621600</v>
      </c>
      <c r="X225" s="235" t="str">
        <f>IFERROR(Таблица10[[#This Row],[СО ПП]]-Таблица10[[#This Row],[СО ДДУ]],"")</f>
        <v/>
      </c>
      <c r="Y225" s="233" t="str" cm="1">
        <f t="array" ref="Y225">IFERROR(INDEX(РД[S],MATCH($Q$3&amp;Таблица10[[#This Row],[№]]&amp;"Продажа",РД[Дом]&amp;РД[№ кв]&amp;РД[Состояние],0),1),Таблица10[[#This Row],[Статус]])</f>
        <v>Свободно</v>
      </c>
      <c r="Z225" s="233">
        <f>IF(Таблица10[[#This Row],[№]]&amp;"ДДУ"=ППД5!A222&amp;ППД5!CR222,ППД5!U222,ППД5!V222)</f>
        <v>84.55</v>
      </c>
      <c r="AA225" s="285">
        <f>IFERROR(Таблица10[[#This Row],[S ПП]]-Таблица10[[#This Row],[S ДДУ]],)</f>
        <v>0</v>
      </c>
      <c r="AB225" s="235">
        <f>ROUND(_xlfn.XLOOKUP(Таблица10[[#This Row],[№]],Реестр_Д5[№],Реестр_Д5[Итоговая сумма скидки],"",0),2)</f>
        <v>0</v>
      </c>
      <c r="AC225" s="235" t="str" cm="1">
        <f t="array" ref="AC22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25" s="285">
        <f>IFERROR(Таблица10[[#This Row],[ППС]]-Таблица10[[#This Row],[ДДУС]],)</f>
        <v>0</v>
      </c>
      <c r="AE225" s="611"/>
      <c r="AT225" s="611"/>
      <c r="AU225" s="484">
        <f>VLOOKUP(ППД402!A222,Д402[],1,0)</f>
        <v>221</v>
      </c>
      <c r="AV225" s="484" t="str">
        <f>_xlfn.XLOOKUP(Т402[[#This Row],[№]],Д402[№],Д402[Статус],"-",0)</f>
        <v>Свободно</v>
      </c>
      <c r="AW225" s="613">
        <f>_xlfn.XLOOKUP(Т402[[#This Row],[№]],Д402[№],Д402[Стоимость ОН без отделки со скидкой],"-",0)</f>
        <v>8740500</v>
      </c>
      <c r="AX225" s="614" t="str" cm="1">
        <f t="array" ref="AX225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25" s="485" t="str">
        <f>IFERROR((Т402[[#This Row],[ПП]]-Т402[[#This Row],[ДДУ]])*1,"")</f>
        <v/>
      </c>
      <c r="AZ225" s="486" t="str" cm="1">
        <f t="array" ref="AZ225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25" s="485">
        <f>_xlfn.XLOOKUP(Т402[[#This Row],[№]],Д402[№],Д402[Стоимость квартиры с отделкой],"-",0)</f>
        <v>8740500</v>
      </c>
      <c r="BB225" s="485" t="str">
        <f>IFERROR(Т402[[#This Row],[СО ПП]]-Т402[[#This Row],[СО ДДУ]],"")</f>
        <v/>
      </c>
      <c r="BC225" s="487" t="str" cm="1">
        <f t="array" ref="BC225">IFERROR(INDEX(РД[S],MATCH($AU$3&amp;Т402[[#This Row],[№]]&amp;"Продажа",РД[Дом]&amp;РД[№ кв]&amp;РД[Состояние],0),1),Т402[[#This Row],[Статус]])</f>
        <v>Свободно</v>
      </c>
      <c r="BD225" s="483">
        <f>_xlfn.XLOOKUP(Т402[[#This Row],[№]],Д402[№],Д402[Расчетная проектная площадь],"-",0)</f>
        <v>78.16</v>
      </c>
      <c r="BE225" s="485" t="str">
        <f>IFERROR(Т402[[#This Row],[S ПП]]-Т402[[#This Row],[S ДДУ]],"")</f>
        <v/>
      </c>
      <c r="BF225" s="485">
        <f>_xlfn.XLOOKUP(Т402[[#This Row],[№]],Д402[№],Д402[Итоговая сумма скидки],"-",0)</f>
        <v>0</v>
      </c>
      <c r="BG225" s="486" t="str" cm="1">
        <f t="array" ref="BG225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25" s="488" t="str">
        <f>IFERROR(Т402[[#This Row],[ППС]]-Т402[[#This Row],[ДДУС]],"")</f>
        <v/>
      </c>
    </row>
    <row r="226" spans="1:60" x14ac:dyDescent="0.2">
      <c r="A226" s="611"/>
      <c r="B226" s="234">
        <f>VLOOKUP(ППД4!A223,Реестр_Д4[№],1,0)</f>
        <v>222</v>
      </c>
      <c r="C226" s="234" t="str">
        <f>VLOOKUP(ППД4!CO223,Реестр_Д4[Статус],1,0)</f>
        <v>Продажа</v>
      </c>
      <c r="D226" s="612">
        <f>VLOOKUP(ППД4!CE223,Реестр_Д4[Стоимость ОН без отделки со скидкой],1,0)</f>
        <v>4286012</v>
      </c>
      <c r="E226" s="612" cm="1">
        <f t="array" ref="E226">IFERROR(INDEX(РД[Стоимость без отделки итог],MATCH($B$3&amp;Таблица4[[#This Row],[№]]&amp;"Продажа",РД[Дом]&amp;РД[№ кв]&amp;РД[Состояние],0),1),Таблица4[[#This Row],[Статус]])</f>
        <v>4286012</v>
      </c>
      <c r="F226" s="235">
        <f>IFERROR((Таблица4[[#This Row],[ПП]]-Таблица4[[#This Row],[ДДУ]])*1,"")</f>
        <v>0</v>
      </c>
      <c r="G226" s="235" cm="1">
        <f t="array" ref="G226">IFERROR(INDEX(РД[Стоимость с отделкой итог],MATCH($B$3&amp;Таблица4[[#This Row],[№]]&amp;"Продажа",РД[Дом]&amp;РД[№ кв]&amp;РД[Состояние],0),1),Таблица4[[#This Row],[Статус]])</f>
        <v>5092532</v>
      </c>
      <c r="H226" s="235">
        <f>_xlfn.XLOOKUP(Таблица4[[#This Row],[№]],Реестр_Д4[№],Реестр_Д4[Стоимость квартиры с отделкой],"-",0)</f>
        <v>5092532</v>
      </c>
      <c r="I226" s="235">
        <f>IFERROR(Таблица4[[#This Row],[СО ПП]]-Таблица4[[#This Row],[СО ДДУ]],"")</f>
        <v>0</v>
      </c>
      <c r="J226" s="233" cm="1">
        <f t="array" ref="J226">IFERROR(INDEX(РД[S],MATCH($B$3&amp;Таблица4[[#This Row],[№]]&amp;"Продажа",РД[Дом]&amp;РД[№ кв]&amp;РД[Состояние],0),1),Таблица4[[#This Row],[Статус]])</f>
        <v>36.659999999999997</v>
      </c>
      <c r="K226" s="233">
        <f>VLOOKUP(Таблица4[[#This Row],[№]],Реестр_Д4[],20,0)</f>
        <v>36.659999999999997</v>
      </c>
      <c r="L226" s="235">
        <f>IFERROR(Таблица4[[#This Row],[S ПП]]-Таблица4[[#This Row],[S ДДУ]],)</f>
        <v>0</v>
      </c>
      <c r="M226" s="235">
        <f>ROUND(_xlfn.XLOOKUP(Таблица4[[#This Row],[№]],Реестр_Д4[№],Реестр_Д4[Итоговая сумма скидки],"",0),2)</f>
        <v>88888</v>
      </c>
      <c r="N226" s="235" cm="1">
        <f t="array" ref="N226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226" s="235">
        <f>IFERROR(Таблица4[[#This Row],[ППС]]-Таблица4[[#This Row],[ДДУС]],)</f>
        <v>0</v>
      </c>
      <c r="P226" s="611"/>
      <c r="Q226" s="234">
        <f>VLOOKUP(ППД5!A223,Реестр_Д5[№],1,0)</f>
        <v>222</v>
      </c>
      <c r="R226" s="234" t="str">
        <f>VLOOKUP(ППД5!CH223,Реестр_Д5[Статус],1,0)</f>
        <v>Продажа</v>
      </c>
      <c r="S226" s="612">
        <f>VLOOKUP(ППД5!BZ223,Реестр_Д5[Стоимость ОН без отделки со скидкой],1,0)</f>
        <v>4668800</v>
      </c>
      <c r="T226" s="612" cm="1">
        <f t="array" ref="T226">IFERROR(INDEX(РД[Стоимость без отделки итог],MATCH($Q$3&amp;Таблица10[[#This Row],[№]]&amp;"Продажа",РД[Дом]&amp;РД[№ кв]&amp;РД[Состояние],0),1),Таблица10[[#This Row],[Статус]])</f>
        <v>4668800</v>
      </c>
      <c r="U226" s="235">
        <f>IFERROR((Таблица10[[#This Row],[ПП]]-Таблица10[[#This Row],[ДДУ]])*1,)</f>
        <v>0</v>
      </c>
      <c r="V226" s="235" cm="1">
        <f t="array" ref="V226">IFERROR(INDEX(РД[Стоимость с отделкой итог],MATCH($Q$3&amp;Таблица10[[#This Row],[№]]&amp;"Продажа",РД[Дом]&amp;РД[№ кв]&amp;РД[Состояние],0),1),Таблица10[[#This Row],[Статус]])</f>
        <v>5514400</v>
      </c>
      <c r="W226" s="235">
        <f>_xlfn.XLOOKUP(Таблица10[[#This Row],[№]],Реестр_Д5[№],Реестр_Д5[Стоимость квартиры с отделкой],"-",0)</f>
        <v>5514400</v>
      </c>
      <c r="X226" s="235">
        <f>IFERROR(Таблица10[[#This Row],[СО ПП]]-Таблица10[[#This Row],[СО ДДУ]],"")</f>
        <v>0</v>
      </c>
      <c r="Y226" s="233" cm="1">
        <f t="array" ref="Y226">IFERROR(INDEX(РД[S],MATCH($Q$3&amp;Таблица10[[#This Row],[№]]&amp;"Продажа",РД[Дом]&amp;РД[№ кв]&amp;РД[Состояние],0),1),Таблица10[[#This Row],[Статус]])</f>
        <v>42.28</v>
      </c>
      <c r="Z226" s="233">
        <f>IF(Таблица10[[#This Row],[№]]&amp;"ДДУ"=ППД5!A223&amp;ППД5!CR223,ППД5!U223,ППД5!V223)</f>
        <v>42.28</v>
      </c>
      <c r="AA226" s="285">
        <f>IFERROR(Таблица10[[#This Row],[S ПП]]-Таблица10[[#This Row],[S ДДУ]],)</f>
        <v>0</v>
      </c>
      <c r="AB226" s="235">
        <f>ROUND(_xlfn.XLOOKUP(Таблица10[[#This Row],[№]],Реестр_Д5[№],Реестр_Д5[Итоговая сумма скидки],"",0),2)</f>
        <v>0</v>
      </c>
      <c r="AC226" s="235" cm="1">
        <f t="array" ref="AC22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26" s="285">
        <f>IFERROR(Таблица10[[#This Row],[ППС]]-Таблица10[[#This Row],[ДДУС]],)</f>
        <v>0</v>
      </c>
      <c r="AE226" s="611"/>
      <c r="AT226" s="611"/>
      <c r="AU226" s="484">
        <f>VLOOKUP(ППД402!A223,Д402[],1,0)</f>
        <v>222</v>
      </c>
      <c r="AV226" s="484" t="str">
        <f>_xlfn.XLOOKUP(Т402[[#This Row],[№]],Д402[№],Д402[Статус],"-",0)</f>
        <v>Стр. Резерв</v>
      </c>
      <c r="AW226" s="613">
        <f>_xlfn.XLOOKUP(Т402[[#This Row],[№]],Д402[№],Д402[Стоимость ОН без отделки со скидкой],"-",0)</f>
        <v>4149300</v>
      </c>
      <c r="AX226" s="614" t="str" cm="1">
        <f t="array" ref="AX22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26" s="485" t="str">
        <f>IFERROR((Т402[[#This Row],[ПП]]-Т402[[#This Row],[ДДУ]])*1,"")</f>
        <v/>
      </c>
      <c r="AZ226" s="486" t="str" cm="1">
        <f t="array" ref="AZ22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26" s="485">
        <f>_xlfn.XLOOKUP(Т402[[#This Row],[№]],Д402[№],Д402[Стоимость квартиры с отделкой],"-",0)</f>
        <v>4149300</v>
      </c>
      <c r="BB226" s="485" t="str">
        <f>IFERROR(Т402[[#This Row],[СО ПП]]-Т402[[#This Row],[СО ДДУ]],"")</f>
        <v/>
      </c>
      <c r="BC226" s="487" t="str" cm="1">
        <f t="array" ref="BC226">IFERROR(INDEX(РД[S],MATCH($AU$3&amp;Т402[[#This Row],[№]]&amp;"Продажа",РД[Дом]&amp;РД[№ кв]&amp;РД[Состояние],0),1),Т402[[#This Row],[Статус]])</f>
        <v>Стр. Резерв</v>
      </c>
      <c r="BD226" s="483">
        <f>_xlfn.XLOOKUP(Т402[[#This Row],[№]],Д402[№],Д402[Расчетная проектная площадь],"-",0)</f>
        <v>29.73</v>
      </c>
      <c r="BE226" s="485" t="str">
        <f>IFERROR(Т402[[#This Row],[S ПП]]-Т402[[#This Row],[S ДДУ]],"")</f>
        <v/>
      </c>
      <c r="BF226" s="485">
        <f>_xlfn.XLOOKUP(Т402[[#This Row],[№]],Д402[№],Д402[Итоговая сумма скидки],"-",0)</f>
        <v>0</v>
      </c>
      <c r="BG226" s="486" t="str" cm="1">
        <f t="array" ref="BG22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26" s="488" t="str">
        <f>IFERROR(Т402[[#This Row],[ППС]]-Т402[[#This Row],[ДДУС]],"")</f>
        <v/>
      </c>
    </row>
    <row r="227" spans="1:60" x14ac:dyDescent="0.2">
      <c r="A227" s="611"/>
      <c r="B227" s="234">
        <f>VLOOKUP(ППД4!A224,Реестр_Д4[№],1,0)</f>
        <v>223</v>
      </c>
      <c r="C227" s="234" t="str">
        <f>VLOOKUP(ППД4!CO224,Реестр_Д4[Статус],1,0)</f>
        <v>Продажа</v>
      </c>
      <c r="D227" s="612">
        <f>VLOOKUP(ППД4!CE224,Реестр_Д4[Стоимость ОН без отделки со скидкой],1,0)</f>
        <v>5817628.6900000004</v>
      </c>
      <c r="E227" s="612" cm="1">
        <f t="array" ref="E227">IFERROR(INDEX(РД[Стоимость без отделки итог],MATCH($B$3&amp;Таблица4[[#This Row],[№]]&amp;"Продажа",РД[Дом]&amp;РД[№ кв]&amp;РД[Состояние],0),1),Таблица4[[#This Row],[Статус]])</f>
        <v>5817628.6900000004</v>
      </c>
      <c r="F227" s="235">
        <f>IFERROR((Таблица4[[#This Row],[ПП]]-Таблица4[[#This Row],[ДДУ]])*1,"")</f>
        <v>0</v>
      </c>
      <c r="G227" s="235" cm="1">
        <f t="array" ref="G227">IFERROR(INDEX(РД[Стоимость с отделкой итог],MATCH($B$3&amp;Таблица4[[#This Row],[№]]&amp;"Продажа",РД[Дом]&amp;РД[№ кв]&amp;РД[Состояние],0),1),Таблица4[[#This Row],[Статус]])</f>
        <v>5817628.6900000004</v>
      </c>
      <c r="H227" s="235">
        <f>_xlfn.XLOOKUP(Таблица4[[#This Row],[№]],Реестр_Д4[№],Реестр_Д4[Стоимость квартиры с отделкой],"-",0)</f>
        <v>5817628.6900000004</v>
      </c>
      <c r="I227" s="235">
        <f>IFERROR(Таблица4[[#This Row],[СО ПП]]-Таблица4[[#This Row],[СО ДДУ]],"")</f>
        <v>0</v>
      </c>
      <c r="J227" s="233" cm="1">
        <f t="array" ref="J227">IFERROR(INDEX(РД[S],MATCH($B$3&amp;Таблица4[[#This Row],[№]]&amp;"Продажа",РД[Дом]&amp;РД[№ кв]&amp;РД[Состояние],0),1),Таблица4[[#This Row],[Статус]])</f>
        <v>78.73</v>
      </c>
      <c r="K227" s="233">
        <f>VLOOKUP(Таблица4[[#This Row],[№]],Реестр_Д4[],20,0)</f>
        <v>78.73</v>
      </c>
      <c r="L227" s="235">
        <f>IFERROR(Таблица4[[#This Row],[S ПП]]-Таблица4[[#This Row],[S ДДУ]],)</f>
        <v>0</v>
      </c>
      <c r="M227" s="235">
        <f>ROUND(_xlfn.XLOOKUP(Таблица4[[#This Row],[№]],Реестр_Д4[№],Реестр_Д4[Итоговая сумма скидки],"",0),2)</f>
        <v>179926.66</v>
      </c>
      <c r="N227" s="235" cm="1">
        <f t="array" ref="N227">IFERROR(ROUND(_xlfn.XLOOKUP($B$3&amp;Таблица4[[#This Row],[№]]&amp;"Продажа",РД[Дом]&amp;РД[№ кв]&amp;РД[Состояние],РД[Сумма скидки],"",0),2),Таблица4[[#This Row],[Статус]])</f>
        <v>179926.66</v>
      </c>
      <c r="O227" s="235">
        <f>IFERROR(Таблица4[[#This Row],[ППС]]-Таблица4[[#This Row],[ДДУС]],)</f>
        <v>0</v>
      </c>
      <c r="P227" s="611"/>
      <c r="Q227" s="234">
        <f>VLOOKUP(ППД5!A224,Реестр_Д5[№],1,0)</f>
        <v>223</v>
      </c>
      <c r="R227" s="234" t="str">
        <f>VLOOKUP(ППД5!CH224,Реестр_Д5[Статус],1,0)</f>
        <v>Свободно</v>
      </c>
      <c r="S227" s="612">
        <f>VLOOKUP(ППД5!BZ224,Реестр_Д5[Стоимость ОН без отделки со скидкой],1,0)</f>
        <v>9099900</v>
      </c>
      <c r="T227" s="612" t="str" cm="1">
        <f t="array" ref="T22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27" s="235">
        <f>IFERROR((Таблица10[[#This Row],[ПП]]-Таблица10[[#This Row],[ДДУ]])*1,)</f>
        <v>0</v>
      </c>
      <c r="V227" s="235" t="str" cm="1">
        <f t="array" ref="V22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27" s="235">
        <f>_xlfn.XLOOKUP(Таблица10[[#This Row],[№]],Реестр_Д5[№],Реестр_Д5[Стоимость квартиры с отделкой],"-",0)</f>
        <v>9099900</v>
      </c>
      <c r="X227" s="235" t="str">
        <f>IFERROR(Таблица10[[#This Row],[СО ПП]]-Таблица10[[#This Row],[СО ДДУ]],"")</f>
        <v/>
      </c>
      <c r="Y227" s="233" t="str" cm="1">
        <f t="array" ref="Y227">IFERROR(INDEX(РД[S],MATCH($Q$3&amp;Таблица10[[#This Row],[№]]&amp;"Продажа",РД[Дом]&amp;РД[№ кв]&amp;РД[Состояние],0),1),Таблица10[[#This Row],[Статус]])</f>
        <v>Свободно</v>
      </c>
      <c r="Z227" s="233">
        <f>IF(Таблица10[[#This Row],[№]]&amp;"ДДУ"=ППД5!A224&amp;ППД5!CR224,ППД5!U224,ППД5!V224)</f>
        <v>71.249999999999986</v>
      </c>
      <c r="AA227" s="285">
        <f>IFERROR(Таблица10[[#This Row],[S ПП]]-Таблица10[[#This Row],[S ДДУ]],)</f>
        <v>0</v>
      </c>
      <c r="AB227" s="235">
        <f>ROUND(_xlfn.XLOOKUP(Таблица10[[#This Row],[№]],Реестр_Д5[№],Реестр_Д5[Итоговая сумма скидки],"",0),2)</f>
        <v>0</v>
      </c>
      <c r="AC227" s="235" t="str" cm="1">
        <f t="array" ref="AC22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27" s="285">
        <f>IFERROR(Таблица10[[#This Row],[ППС]]-Таблица10[[#This Row],[ДДУС]],)</f>
        <v>0</v>
      </c>
      <c r="AE227" s="611"/>
      <c r="AT227" s="611"/>
      <c r="AU227" s="484">
        <f>VLOOKUP(ППД402!A224,Д402[],1,0)</f>
        <v>223</v>
      </c>
      <c r="AV227" s="484" t="str">
        <f>_xlfn.XLOOKUP(Т402[[#This Row],[№]],Д402[№],Д402[Статус],"-",0)</f>
        <v>Продажа</v>
      </c>
      <c r="AW227" s="613">
        <f>_xlfn.XLOOKUP(Т402[[#This Row],[№]],Д402[№],Д402[Стоимость ОН без отделки со скидкой],"-",0)</f>
        <v>5588600</v>
      </c>
      <c r="AX227" s="614" cm="1">
        <f t="array" ref="AX227">IFERROR(INDEX(РД[Стоимость без отделки итог],MATCH($AU$3&amp;Т402[[#This Row],[№]]&amp;"Продажа",РД[Дом]&amp;РД[№ кв]&amp;РД[Состояние],0),1),Т402[[#This Row],[Статус]])</f>
        <v>5588600</v>
      </c>
      <c r="AY227" s="485">
        <f>IFERROR((Т402[[#This Row],[ПП]]-Т402[[#This Row],[ДДУ]])*1,"")</f>
        <v>0</v>
      </c>
      <c r="AZ227" s="486" cm="1">
        <f t="array" ref="AZ227">IFERROR(INDEX(РД[Стоимость с отделкой итог],MATCH($AU$3&amp;Т402[[#This Row],[№]]&amp;"Продажа",РД[Дом]&amp;РД[№ кв]&amp;РД[Состояние],0),1),Т402[[#This Row],[Статус]])</f>
        <v>5588600</v>
      </c>
      <c r="BA227" s="485">
        <f>_xlfn.XLOOKUP(Т402[[#This Row],[№]],Д402[№],Д402[Стоимость квартиры с отделкой],"-",0)</f>
        <v>5588600</v>
      </c>
      <c r="BB227" s="485">
        <f>IFERROR(Т402[[#This Row],[СО ПП]]-Т402[[#This Row],[СО ДДУ]],"")</f>
        <v>0</v>
      </c>
      <c r="BC227" s="487" cm="1">
        <f t="array" ref="BC227">IFERROR(INDEX(РД[S],MATCH($AU$3&amp;Т402[[#This Row],[№]]&amp;"Продажа",РД[Дом]&amp;РД[№ кв]&amp;РД[Состояние],0),1),Т402[[#This Row],[Статус]])</f>
        <v>44.25</v>
      </c>
      <c r="BD227" s="483">
        <f>_xlfn.XLOOKUP(Т402[[#This Row],[№]],Д402[№],Д402[Расчетная проектная площадь],"-",0)</f>
        <v>44.25</v>
      </c>
      <c r="BE227" s="485">
        <f>IFERROR(Т402[[#This Row],[S ПП]]-Т402[[#This Row],[S ДДУ]],"")</f>
        <v>0</v>
      </c>
      <c r="BF227" s="485">
        <f>_xlfn.XLOOKUP(Т402[[#This Row],[№]],Д402[№],Д402[Итоговая сумма скидки],"-",0)</f>
        <v>0</v>
      </c>
      <c r="BG227" s="486" cm="1">
        <f t="array" ref="BG227">IFERROR(ROUND(_xlfn.XLOOKUP($AU$3&amp;Т402[[#This Row],[№]]&amp;"Продажа",РД[Дом]&amp;РД[№ кв]&amp;РД[Состояние],РД[Сумма скидки],"",0),2),Т402[[#This Row],[Статус]])</f>
        <v>0</v>
      </c>
      <c r="BH227" s="488">
        <f>IFERROR(Т402[[#This Row],[ППС]]-Т402[[#This Row],[ДДУС]],"")</f>
        <v>0</v>
      </c>
    </row>
    <row r="228" spans="1:60" x14ac:dyDescent="0.2">
      <c r="A228" s="611"/>
      <c r="B228" s="234">
        <f>VLOOKUP(ППД4!A225,Реестр_Д4[№],1,0)</f>
        <v>224</v>
      </c>
      <c r="C228" s="234" t="str">
        <f>VLOOKUP(ППД4!CO225,Реестр_Д4[Статус],1,0)</f>
        <v>Продажа</v>
      </c>
      <c r="D228" s="612">
        <f>VLOOKUP(ППД4!CE225,Реестр_Д4[Стоимость ОН без отделки со скидкой],1,0)</f>
        <v>3267634.75</v>
      </c>
      <c r="E228" s="612" cm="1">
        <f t="array" ref="E228">IFERROR(INDEX(РД[Стоимость без отделки итог],MATCH($B$3&amp;Таблица4[[#This Row],[№]]&amp;"Продажа",РД[Дом]&amp;РД[№ кв]&amp;РД[Состояние],0),1),Таблица4[[#This Row],[Статус]])</f>
        <v>3267634.75</v>
      </c>
      <c r="F228" s="235">
        <f>IFERROR((Таблица4[[#This Row],[ПП]]-Таблица4[[#This Row],[ДДУ]])*1,"")</f>
        <v>0</v>
      </c>
      <c r="G228" s="235" cm="1">
        <f t="array" ref="G228">IFERROR(INDEX(РД[Стоимость с отделкой итог],MATCH($B$3&amp;Таблица4[[#This Row],[№]]&amp;"Продажа",РД[Дом]&amp;РД[№ кв]&amp;РД[Состояние],0),1),Таблица4[[#This Row],[Статус]])</f>
        <v>3791379.75</v>
      </c>
      <c r="H228" s="235">
        <f>_xlfn.XLOOKUP(Таблица4[[#This Row],[№]],Реестр_Д4[№],Реестр_Д4[Стоимость квартиры с отделкой],"-",0)</f>
        <v>3791379.75</v>
      </c>
      <c r="I228" s="235">
        <f>IFERROR(Таблица4[[#This Row],[СО ПП]]-Таблица4[[#This Row],[СО ДДУ]],"")</f>
        <v>0</v>
      </c>
      <c r="J228" s="233" cm="1">
        <f t="array" ref="J228">IFERROR(INDEX(РД[S],MATCH($B$3&amp;Таблица4[[#This Row],[№]]&amp;"Продажа",РД[Дом]&amp;РД[№ кв]&amp;РД[Состояние],0),1),Таблица4[[#This Row],[Статус]])</f>
        <v>33.79</v>
      </c>
      <c r="K228" s="233">
        <f>VLOOKUP(Таблица4[[#This Row],[№]],Реестр_Д4[],20,0)</f>
        <v>33.79</v>
      </c>
      <c r="L228" s="235">
        <f>IFERROR(Таблица4[[#This Row],[S ПП]]-Таблица4[[#This Row],[S ДДУ]],)</f>
        <v>0</v>
      </c>
      <c r="M228" s="235">
        <f>ROUND(_xlfn.XLOOKUP(Таблица4[[#This Row],[№]],Реестр_Д4[№],Реестр_Д4[Итоговая сумма скидки],"",0),2)</f>
        <v>66686.42</v>
      </c>
      <c r="N228" s="235" cm="1">
        <f t="array" ref="N228">IFERROR(ROUND(_xlfn.XLOOKUP($B$3&amp;Таблица4[[#This Row],[№]]&amp;"Продажа",РД[Дом]&amp;РД[№ кв]&amp;РД[Состояние],РД[Сумма скидки],"",0),2),Таблица4[[#This Row],[Статус]])</f>
        <v>66686.42</v>
      </c>
      <c r="O228" s="235">
        <f>IFERROR(Таблица4[[#This Row],[ППС]]-Таблица4[[#This Row],[ДДУС]],)</f>
        <v>0</v>
      </c>
      <c r="P228" s="611"/>
      <c r="Q228" s="234">
        <f>VLOOKUP(ППД5!A225,Реестр_Д5[№],1,0)</f>
        <v>224</v>
      </c>
      <c r="R228" s="234" t="str">
        <f>VLOOKUP(ППД5!CH225,Реестр_Д5[Статус],1,0)</f>
        <v>Продажа</v>
      </c>
      <c r="S228" s="612">
        <f>VLOOKUP(ППД5!BZ225,Реестр_Д5[Стоимость ОН без отделки со скидкой],1,0)</f>
        <v>2572191.27</v>
      </c>
      <c r="T228" s="612" cm="1">
        <f t="array" ref="T228">IFERROR(INDEX(РД[Стоимость без отделки итог],MATCH($Q$3&amp;Таблица10[[#This Row],[№]]&amp;"Продажа",РД[Дом]&amp;РД[№ кв]&amp;РД[Состояние],0),1),Таблица10[[#This Row],[Статус]])</f>
        <v>2572191.27</v>
      </c>
      <c r="U228" s="235">
        <f>IFERROR((Таблица10[[#This Row],[ПП]]-Таблица10[[#This Row],[ДДУ]])*1,)</f>
        <v>0</v>
      </c>
      <c r="V228" s="235" cm="1">
        <f t="array" ref="V228">IFERROR(INDEX(РД[Стоимость с отделкой итог],MATCH($Q$3&amp;Таблица10[[#This Row],[№]]&amp;"Продажа",РД[Дом]&amp;РД[№ кв]&amp;РД[Состояние],0),1),Таблица10[[#This Row],[Статус]])</f>
        <v>2572191.27</v>
      </c>
      <c r="W228" s="235">
        <f>_xlfn.XLOOKUP(Таблица10[[#This Row],[№]],Реестр_Д5[№],Реестр_Д5[Стоимость квартиры с отделкой],"-",0)</f>
        <v>2572191.27</v>
      </c>
      <c r="X228" s="235">
        <f>IFERROR(Таблица10[[#This Row],[СО ПП]]-Таблица10[[#This Row],[СО ДДУ]],"")</f>
        <v>0</v>
      </c>
      <c r="Y228" s="233" cm="1">
        <f t="array" ref="Y228">IFERROR(INDEX(РД[S],MATCH($Q$3&amp;Таблица10[[#This Row],[№]]&amp;"Продажа",РД[Дом]&amp;РД[№ кв]&amp;РД[Состояние],0),1),Таблица10[[#This Row],[Статус]])</f>
        <v>24.53</v>
      </c>
      <c r="Z228" s="233">
        <f>IF(Таблица10[[#This Row],[№]]&amp;"ДДУ"=ППД5!A225&amp;ППД5!CR225,ППД5!U225,ППД5!V225)</f>
        <v>24.53</v>
      </c>
      <c r="AA228" s="285">
        <f>IFERROR(Таблица10[[#This Row],[S ПП]]-Таблица10[[#This Row],[S ДДУ]],)</f>
        <v>0</v>
      </c>
      <c r="AB228" s="235">
        <f>ROUND(_xlfn.XLOOKUP(Таблица10[[#This Row],[№]],Реестр_Д5[№],Реестр_Д5[Итоговая сумма скидки],"",0),2)</f>
        <v>0</v>
      </c>
      <c r="AC228" s="235" cm="1">
        <f t="array" ref="AC22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28" s="285">
        <f>IFERROR(Таблица10[[#This Row],[ППС]]-Таблица10[[#This Row],[ДДУС]],)</f>
        <v>0</v>
      </c>
      <c r="AE228" s="611"/>
      <c r="AT228" s="611"/>
      <c r="AU228" s="484">
        <f>VLOOKUP(ППД402!A225,Д402[],1,0)</f>
        <v>224</v>
      </c>
      <c r="AV228" s="484" t="str">
        <f>_xlfn.XLOOKUP(Т402[[#This Row],[№]],Д402[№],Д402[Статус],"-",0)</f>
        <v>Продажа</v>
      </c>
      <c r="AW228" s="613">
        <f>_xlfn.XLOOKUP(Т402[[#This Row],[№]],Д402[№],Д402[Стоимость ОН без отделки со скидкой],"-",0)</f>
        <v>4839828</v>
      </c>
      <c r="AX228" s="614" cm="1">
        <f t="array" ref="AX228">IFERROR(INDEX(РД[Стоимость без отделки итог],MATCH($AU$3&amp;Т402[[#This Row],[№]]&amp;"Продажа",РД[Дом]&amp;РД[№ кв]&amp;РД[Состояние],0),1),Т402[[#This Row],[Статус]])</f>
        <v>4839828</v>
      </c>
      <c r="AY228" s="485">
        <f>IFERROR((Т402[[#This Row],[ПП]]-Т402[[#This Row],[ДДУ]])*1,"")</f>
        <v>0</v>
      </c>
      <c r="AZ228" s="486" cm="1">
        <f t="array" ref="AZ228">IFERROR(INDEX(РД[Стоимость с отделкой итог],MATCH($AU$3&amp;Т402[[#This Row],[№]]&amp;"Продажа",РД[Дом]&amp;РД[№ кв]&amp;РД[Состояние],0),1),Т402[[#This Row],[Статус]])</f>
        <v>5206228</v>
      </c>
      <c r="BA228" s="485">
        <f>_xlfn.XLOOKUP(Т402[[#This Row],[№]],Д402[№],Д402[Стоимость квартиры с отделкой],"-",0)</f>
        <v>5206228</v>
      </c>
      <c r="BB228" s="485">
        <f>IFERROR(Т402[[#This Row],[СО ПП]]-Т402[[#This Row],[СО ДДУ]],"")</f>
        <v>0</v>
      </c>
      <c r="BC228" s="487" cm="1">
        <f t="array" ref="BC228">IFERROR(INDEX(РД[S],MATCH($AU$3&amp;Т402[[#This Row],[№]]&amp;"Продажа",РД[Дом]&amp;РД[№ кв]&amp;РД[Состояние],0),1),Т402[[#This Row],[Статус]])</f>
        <v>36.64</v>
      </c>
      <c r="BD228" s="483">
        <f>_xlfn.XLOOKUP(Т402[[#This Row],[№]],Д402[№],Д402[Расчетная проектная площадь],"-",0)</f>
        <v>36.64</v>
      </c>
      <c r="BE228" s="485">
        <f>IFERROR(Т402[[#This Row],[S ПП]]-Т402[[#This Row],[S ДДУ]],"")</f>
        <v>0</v>
      </c>
      <c r="BF228" s="485">
        <f>_xlfn.XLOOKUP(Т402[[#This Row],[№]],Д402[№],Д402[Итоговая сумма скидки],"-",0)</f>
        <v>98772</v>
      </c>
      <c r="BG228" s="486" cm="1">
        <f t="array" ref="BG228">IFERROR(ROUND(_xlfn.XLOOKUP($AU$3&amp;Т402[[#This Row],[№]]&amp;"Продажа",РД[Дом]&amp;РД[№ кв]&amp;РД[Состояние],РД[Сумма скидки],"",0),2),Т402[[#This Row],[Статус]])</f>
        <v>98772</v>
      </c>
      <c r="BH228" s="488">
        <f>IFERROR(Т402[[#This Row],[ППС]]-Т402[[#This Row],[ДДУС]],"")</f>
        <v>0</v>
      </c>
    </row>
    <row r="229" spans="1:60" x14ac:dyDescent="0.2">
      <c r="A229" s="611"/>
      <c r="B229" s="234">
        <f>VLOOKUP(ППД4!A226,Реестр_Д4[№],1,0)</f>
        <v>225</v>
      </c>
      <c r="C229" s="234" t="str">
        <f>VLOOKUP(ППД4!CO226,Реестр_Д4[Статус],1,0)</f>
        <v>Продажа</v>
      </c>
      <c r="D229" s="612">
        <f>VLOOKUP(ППД4!CE226,Реестр_Д4[Стоимость ОН без отделки со скидкой],1,0)</f>
        <v>2184656.67</v>
      </c>
      <c r="E229" s="612" cm="1">
        <f t="array" ref="E229">IFERROR(INDEX(РД[Стоимость без отделки итог],MATCH($B$3&amp;Таблица4[[#This Row],[№]]&amp;"Продажа",РД[Дом]&amp;РД[№ кв]&amp;РД[Состояние],0),1),Таблица4[[#This Row],[Статус]])</f>
        <v>2184656.67</v>
      </c>
      <c r="F229" s="235">
        <f>IFERROR((Таблица4[[#This Row],[ПП]]-Таблица4[[#This Row],[ДДУ]])*1,"")</f>
        <v>0</v>
      </c>
      <c r="G229" s="235" cm="1">
        <f t="array" ref="G229">IFERROR(INDEX(РД[Стоимость с отделкой итог],MATCH($B$3&amp;Таблица4[[#This Row],[№]]&amp;"Продажа",РД[Дом]&amp;РД[№ кв]&amp;РД[Состояние],0),1),Таблица4[[#This Row],[Статус]])</f>
        <v>2184656.67</v>
      </c>
      <c r="H229" s="235">
        <f>_xlfn.XLOOKUP(Таблица4[[#This Row],[№]],Реестр_Д4[№],Реестр_Д4[Стоимость квартиры с отделкой],"-",0)</f>
        <v>2184656.67</v>
      </c>
      <c r="I229" s="235">
        <f>IFERROR(Таблица4[[#This Row],[СО ПП]]-Таблица4[[#This Row],[СО ДДУ]],"")</f>
        <v>0</v>
      </c>
      <c r="J229" s="233" cm="1">
        <f t="array" ref="J229">IFERROR(INDEX(РД[S],MATCH($B$3&amp;Таблица4[[#This Row],[№]]&amp;"Продажа",РД[Дом]&amp;РД[№ кв]&amp;РД[Состояние],0),1),Таблица4[[#This Row],[Статус]])</f>
        <v>28.97</v>
      </c>
      <c r="K229" s="233">
        <f>VLOOKUP(Таблица4[[#This Row],[№]],Реестр_Д4[],20,0)</f>
        <v>28.97</v>
      </c>
      <c r="L229" s="235">
        <f>IFERROR(Таблица4[[#This Row],[S ПП]]-Таблица4[[#This Row],[S ДДУ]],)</f>
        <v>0</v>
      </c>
      <c r="M229" s="235">
        <f>ROUND(_xlfn.XLOOKUP(Таблица4[[#This Row],[№]],Реестр_Д4[№],Реестр_Д4[Итоговая сумма скидки],"",0),2)</f>
        <v>114981.93</v>
      </c>
      <c r="N229" s="235" cm="1">
        <f t="array" ref="N229">IFERROR(ROUND(_xlfn.XLOOKUP($B$3&amp;Таблица4[[#This Row],[№]]&amp;"Продажа",РД[Дом]&amp;РД[№ кв]&amp;РД[Состояние],РД[Сумма скидки],"",0),2),Таблица4[[#This Row],[Статус]])</f>
        <v>114981.93</v>
      </c>
      <c r="O229" s="235">
        <f>IFERROR(Таблица4[[#This Row],[ППС]]-Таблица4[[#This Row],[ДДУС]],)</f>
        <v>0</v>
      </c>
      <c r="P229" s="611"/>
      <c r="Q229" s="234">
        <f>VLOOKUP(ППД5!A226,Реестр_Д5[№],1,0)</f>
        <v>225</v>
      </c>
      <c r="R229" s="234" t="str">
        <f>VLOOKUP(ППД5!CH226,Реестр_Д5[Статус],1,0)</f>
        <v>Свободно</v>
      </c>
      <c r="S229" s="612">
        <f>VLOOKUP(ППД5!BZ226,Реестр_Д5[Стоимость ОН без отделки со скидкой],1,0)</f>
        <v>7718800</v>
      </c>
      <c r="T229" s="612" t="str" cm="1">
        <f t="array" ref="T22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29" s="235">
        <f>IFERROR((Таблица10[[#This Row],[ПП]]-Таблица10[[#This Row],[ДДУ]])*1,)</f>
        <v>0</v>
      </c>
      <c r="V229" s="235" t="str" cm="1">
        <f t="array" ref="V22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29" s="235">
        <f>_xlfn.XLOOKUP(Таблица10[[#This Row],[№]],Реестр_Д5[№],Реестр_Д5[Стоимость квартиры с отделкой],"-",0)</f>
        <v>7718799.9999999981</v>
      </c>
      <c r="X229" s="235" t="str">
        <f>IFERROR(Таблица10[[#This Row],[СО ПП]]-Таблица10[[#This Row],[СО ДДУ]],"")</f>
        <v/>
      </c>
      <c r="Y229" s="233" t="str" cm="1">
        <f t="array" ref="Y229">IFERROR(INDEX(РД[S],MATCH($Q$3&amp;Таблица10[[#This Row],[№]]&amp;"Продажа",РД[Дом]&amp;РД[№ кв]&amp;РД[Состояние],0),1),Таблица10[[#This Row],[Статус]])</f>
        <v>Свободно</v>
      </c>
      <c r="Z229" s="233">
        <f>IF(Таблица10[[#This Row],[№]]&amp;"ДДУ"=ППД5!A226&amp;ППД5!CR226,ППД5!U226,ППД5!V226)</f>
        <v>56.6</v>
      </c>
      <c r="AA229" s="285">
        <f>IFERROR(Таблица10[[#This Row],[S ПП]]-Таблица10[[#This Row],[S ДДУ]],)</f>
        <v>0</v>
      </c>
      <c r="AB229" s="235">
        <f>ROUND(_xlfn.XLOOKUP(Таблица10[[#This Row],[№]],Реестр_Д5[№],Реестр_Д5[Итоговая сумма скидки],"",0),2)</f>
        <v>0</v>
      </c>
      <c r="AC229" s="235" t="str" cm="1">
        <f t="array" ref="AC22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29" s="285">
        <f>IFERROR(Таблица10[[#This Row],[ППС]]-Таблица10[[#This Row],[ДДУС]],)</f>
        <v>0</v>
      </c>
      <c r="AE229" s="611"/>
      <c r="AT229" s="611"/>
      <c r="AU229" s="484">
        <f>VLOOKUP(ППД402!A226,Д402[],1,0)</f>
        <v>225</v>
      </c>
      <c r="AV229" s="484" t="str">
        <f>_xlfn.XLOOKUP(Т402[[#This Row],[№]],Д402[№],Д402[Статус],"-",0)</f>
        <v>Продажа</v>
      </c>
      <c r="AW229" s="613">
        <f>_xlfn.XLOOKUP(Т402[[#This Row],[№]],Д402[№],Д402[Стоимость ОН без отделки со скидкой],"-",0)</f>
        <v>6760300</v>
      </c>
      <c r="AX229" s="614" cm="1">
        <f t="array" ref="AX229">IFERROR(INDEX(РД[Стоимость без отделки итог],MATCH($AU$3&amp;Т402[[#This Row],[№]]&amp;"Продажа",РД[Дом]&amp;РД[№ кв]&amp;РД[Состояние],0),1),Т402[[#This Row],[Статус]])</f>
        <v>6760300</v>
      </c>
      <c r="AY229" s="485">
        <f>IFERROR((Т402[[#This Row],[ПП]]-Т402[[#This Row],[ДДУ]])*1,"")</f>
        <v>0</v>
      </c>
      <c r="AZ229" s="486" cm="1">
        <f t="array" ref="AZ229">IFERROR(INDEX(РД[Стоимость с отделкой итог],MATCH($AU$3&amp;Т402[[#This Row],[№]]&amp;"Продажа",РД[Дом]&amp;РД[№ кв]&amp;РД[Состояние],0),1),Т402[[#This Row],[Статус]])</f>
        <v>7304700</v>
      </c>
      <c r="BA229" s="485">
        <f>_xlfn.XLOOKUP(Т402[[#This Row],[№]],Д402[№],Д402[Стоимость квартиры с отделкой],"-",0)</f>
        <v>7304700.0000000019</v>
      </c>
      <c r="BB229" s="485">
        <f>IFERROR(Т402[[#This Row],[СО ПП]]-Т402[[#This Row],[СО ДДУ]],"")</f>
        <v>1.862645149230957E-9</v>
      </c>
      <c r="BC229" s="487" cm="1">
        <f t="array" ref="BC229">IFERROR(INDEX(РД[S],MATCH($AU$3&amp;Т402[[#This Row],[№]]&amp;"Продажа",РД[Дом]&amp;РД[№ кв]&amp;РД[Состояние],0),1),Т402[[#This Row],[Статус]])</f>
        <v>54.44</v>
      </c>
      <c r="BD229" s="483">
        <f>_xlfn.XLOOKUP(Т402[[#This Row],[№]],Д402[№],Д402[Расчетная проектная площадь],"-",0)</f>
        <v>54.44</v>
      </c>
      <c r="BE229" s="485">
        <f>IFERROR(Т402[[#This Row],[S ПП]]-Т402[[#This Row],[S ДДУ]],"")</f>
        <v>0</v>
      </c>
      <c r="BF229" s="485">
        <f>_xlfn.XLOOKUP(Т402[[#This Row],[№]],Д402[№],Д402[Итоговая сумма скидки],"-",0)</f>
        <v>0</v>
      </c>
      <c r="BG229" s="486" cm="1">
        <f t="array" ref="BG229">IFERROR(ROUND(_xlfn.XLOOKUP($AU$3&amp;Т402[[#This Row],[№]]&amp;"Продажа",РД[Дом]&amp;РД[№ кв]&amp;РД[Состояние],РД[Сумма скидки],"",0),2),Т402[[#This Row],[Статус]])</f>
        <v>0</v>
      </c>
      <c r="BH229" s="488">
        <f>IFERROR(Т402[[#This Row],[ППС]]-Т402[[#This Row],[ДДУС]],"")</f>
        <v>0</v>
      </c>
    </row>
    <row r="230" spans="1:60" x14ac:dyDescent="0.2">
      <c r="A230" s="611"/>
      <c r="B230" s="234">
        <f>VLOOKUP(ППД4!A227,Реестр_Д4[№],1,0)</f>
        <v>226</v>
      </c>
      <c r="C230" s="234" t="str">
        <f>VLOOKUP(ППД4!CO227,Реестр_Д4[Статус],1,0)</f>
        <v>Продажа</v>
      </c>
      <c r="D230" s="612">
        <f>VLOOKUP(ППД4!CE227,Реестр_Д4[Стоимость ОН без отделки со скидкой],1,0)</f>
        <v>6947800</v>
      </c>
      <c r="E230" s="612" cm="1">
        <f t="array" ref="E230">IFERROR(INDEX(РД[Стоимость без отделки итог],MATCH($B$3&amp;Таблица4[[#This Row],[№]]&amp;"Продажа",РД[Дом]&amp;РД[№ кв]&amp;РД[Состояние],0),1),Таблица4[[#This Row],[Статус]])</f>
        <v>6947800</v>
      </c>
      <c r="F230" s="235">
        <f>IFERROR((Таблица4[[#This Row],[ПП]]-Таблица4[[#This Row],[ДДУ]])*1,"")</f>
        <v>0</v>
      </c>
      <c r="G230" s="235" cm="1">
        <f t="array" ref="G230">IFERROR(INDEX(РД[Стоимость с отделкой итог],MATCH($B$3&amp;Таблица4[[#This Row],[№]]&amp;"Продажа",РД[Дом]&amp;РД[№ кв]&amp;РД[Состояние],0),1),Таблица4[[#This Row],[Статус]])</f>
        <v>7463425</v>
      </c>
      <c r="H230" s="235">
        <f>_xlfn.XLOOKUP(Таблица4[[#This Row],[№]],Реестр_Д4[№],Реестр_Д4[Стоимость квартиры с отделкой],"-",0)</f>
        <v>7463425</v>
      </c>
      <c r="I230" s="235">
        <f>IFERROR(Таблица4[[#This Row],[СО ПП]]-Таблица4[[#This Row],[СО ДДУ]],"")</f>
        <v>0</v>
      </c>
      <c r="J230" s="233" cm="1">
        <f t="array" ref="J230">IFERROR(INDEX(РД[S],MATCH($B$3&amp;Таблица4[[#This Row],[№]]&amp;"Продажа",РД[Дом]&amp;РД[№ кв]&amp;РД[Состояние],0),1),Таблица4[[#This Row],[Статус]])</f>
        <v>68.75</v>
      </c>
      <c r="K230" s="233">
        <f>VLOOKUP(Таблица4[[#This Row],[№]],Реестр_Д4[],20,0)</f>
        <v>68.75</v>
      </c>
      <c r="L230" s="235">
        <f>IFERROR(Таблица4[[#This Row],[S ПП]]-Таблица4[[#This Row],[S ДДУ]],)</f>
        <v>0</v>
      </c>
      <c r="M230" s="235">
        <f>ROUND(_xlfn.XLOOKUP(Таблица4[[#This Row],[№]],Реестр_Д4[№],Реестр_Д4[Итоговая сумма скидки],"",0),2)</f>
        <v>0</v>
      </c>
      <c r="N230" s="235" cm="1">
        <f t="array" ref="N23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0" s="235">
        <f>IFERROR(Таблица4[[#This Row],[ППС]]-Таблица4[[#This Row],[ДДУС]],)</f>
        <v>0</v>
      </c>
      <c r="P230" s="611"/>
      <c r="Q230" s="234">
        <f>VLOOKUP(ППД5!A227,Реестр_Д5[№],1,0)</f>
        <v>226</v>
      </c>
      <c r="R230" s="234" t="str">
        <f>VLOOKUP(ППД5!CH227,Реестр_Д5[Статус],1,0)</f>
        <v>Продажа</v>
      </c>
      <c r="S230" s="612">
        <f>VLOOKUP(ППД5!BZ227,Реестр_Д5[Стоимость ОН без отделки со скидкой],1,0)</f>
        <v>5299692</v>
      </c>
      <c r="T230" s="612" cm="1">
        <f t="array" ref="T230">IFERROR(INDEX(РД[Стоимость без отделки итог],MATCH($Q$3&amp;Таблица10[[#This Row],[№]]&amp;"Продажа",РД[Дом]&amp;РД[№ кв]&amp;РД[Состояние],0),1),Таблица10[[#This Row],[Статус]])</f>
        <v>5299692</v>
      </c>
      <c r="U230" s="235">
        <f>IFERROR((Таблица10[[#This Row],[ПП]]-Таблица10[[#This Row],[ДДУ]])*1,)</f>
        <v>0</v>
      </c>
      <c r="V230" s="235" cm="1">
        <f t="array" ref="V230">IFERROR(INDEX(РД[Стоимость с отделкой итог],MATCH($Q$3&amp;Таблица10[[#This Row],[№]]&amp;"Продажа",РД[Дом]&amp;РД[№ кв]&amp;РД[Состояние],0),1),Таблица10[[#This Row],[Статус]])</f>
        <v>5299692</v>
      </c>
      <c r="W230" s="235">
        <f>_xlfn.XLOOKUP(Таблица10[[#This Row],[№]],Реестр_Д5[№],Реестр_Д5[Стоимость квартиры с отделкой],"-",0)</f>
        <v>5299692</v>
      </c>
      <c r="X230" s="235">
        <f>IFERROR(Таблица10[[#This Row],[СО ПП]]-Таблица10[[#This Row],[СО ДДУ]],"")</f>
        <v>0</v>
      </c>
      <c r="Y230" s="233" cm="1">
        <f t="array" ref="Y230">IFERROR(INDEX(РД[S],MATCH($Q$3&amp;Таблица10[[#This Row],[№]]&amp;"Продажа",РД[Дом]&amp;РД[№ кв]&amp;РД[Состояние],0),1),Таблица10[[#This Row],[Статус]])</f>
        <v>47.74</v>
      </c>
      <c r="Z230" s="233">
        <f>IF(Таблица10[[#This Row],[№]]&amp;"ДДУ"=ППД5!A227&amp;ППД5!CR227,ППД5!U227,ППД5!V227)</f>
        <v>47.74</v>
      </c>
      <c r="AA230" s="285">
        <f>IFERROR(Таблица10[[#This Row],[S ПП]]-Таблица10[[#This Row],[S ДДУ]],)</f>
        <v>0</v>
      </c>
      <c r="AB230" s="235">
        <f>ROUND(_xlfn.XLOOKUP(Таблица10[[#This Row],[№]],Реестр_Д5[№],Реестр_Д5[Итоговая сумма скидки],"",0),2)</f>
        <v>163908</v>
      </c>
      <c r="AC230" s="235" cm="1">
        <f t="array" ref="AC230">IFERROR(ROUND(_xlfn.XLOOKUP($Q$3&amp;Таблица10[[#This Row],[№]]&amp;"Продажа",РД[Дом]&amp;РД[№ кв]&amp;РД[Состояние],РД[Сумма скидки],"",0,-1),2),Таблица10[[#This Row],[Статус]])</f>
        <v>163908</v>
      </c>
      <c r="AD230" s="285">
        <f>IFERROR(Таблица10[[#This Row],[ППС]]-Таблица10[[#This Row],[ДДУС]],)</f>
        <v>0</v>
      </c>
      <c r="AE230" s="611"/>
      <c r="AT230" s="611"/>
      <c r="AU230" s="484">
        <f>VLOOKUP(ППД402!A227,Д402[],1,0)</f>
        <v>226</v>
      </c>
      <c r="AV230" s="484" t="str">
        <f>_xlfn.XLOOKUP(Т402[[#This Row],[№]],Д402[№],Д402[Статус],"-",0)</f>
        <v>Гарантированная бронь</v>
      </c>
      <c r="AW230" s="613">
        <f>_xlfn.XLOOKUP(Т402[[#This Row],[№]],Д402[№],Д402[Стоимость ОН без отделки со скидкой],"-",0)</f>
        <v>4764700</v>
      </c>
      <c r="AX230" s="614" t="str" cm="1">
        <f t="array" ref="AX230">IFERROR(INDEX(РД[Стоимость без отделки итог],MATCH($AU$3&amp;Т402[[#This Row],[№]]&amp;"Продажа",РД[Дом]&amp;РД[№ кв]&amp;РД[Состояние],0),1),Т402[[#This Row],[Статус]])</f>
        <v>Гарантированная бронь</v>
      </c>
      <c r="AY230" s="485" t="str">
        <f>IFERROR((Т402[[#This Row],[ПП]]-Т402[[#This Row],[ДДУ]])*1,"")</f>
        <v/>
      </c>
      <c r="AZ230" s="486" t="str" cm="1">
        <f t="array" ref="AZ230">IFERROR(INDEX(РД[Стоимость с отделкой итог],MATCH($AU$3&amp;Т402[[#This Row],[№]]&amp;"Продажа",РД[Дом]&amp;РД[№ кв]&amp;РД[Состояние],0),1),Т402[[#This Row],[Статус]])</f>
        <v>Гарантированная бронь</v>
      </c>
      <c r="BA230" s="485">
        <f>_xlfn.XLOOKUP(Т402[[#This Row],[№]],Д402[№],Д402[Стоимость квартиры с отделкой],"-",0)</f>
        <v>4764700</v>
      </c>
      <c r="BB230" s="485" t="str">
        <f>IFERROR(Т402[[#This Row],[СО ПП]]-Т402[[#This Row],[СО ДДУ]],"")</f>
        <v/>
      </c>
      <c r="BC230" s="487" t="str" cm="1">
        <f t="array" ref="BC230">IFERROR(INDEX(РД[S],MATCH($AU$3&amp;Т402[[#This Row],[№]]&amp;"Продажа",РД[Дом]&amp;РД[№ кв]&amp;РД[Состояние],0),1),Т402[[#This Row],[Статус]])</f>
        <v>Гарантированная бронь</v>
      </c>
      <c r="BD230" s="483">
        <f>_xlfn.XLOOKUP(Т402[[#This Row],[№]],Д402[№],Д402[Расчетная проектная площадь],"-",0)</f>
        <v>36.39</v>
      </c>
      <c r="BE230" s="485" t="str">
        <f>IFERROR(Т402[[#This Row],[S ПП]]-Т402[[#This Row],[S ДДУ]],"")</f>
        <v/>
      </c>
      <c r="BF230" s="485">
        <f>_xlfn.XLOOKUP(Т402[[#This Row],[№]],Д402[№],Д402[Итоговая сумма скидки],"-",0)</f>
        <v>0</v>
      </c>
      <c r="BG230" s="486" t="str" cm="1">
        <f t="array" ref="BG230">IFERROR(ROUND(_xlfn.XLOOKUP($AU$3&amp;Т402[[#This Row],[№]]&amp;"Продажа",РД[Дом]&amp;РД[№ кв]&amp;РД[Состояние],РД[Сумма скидки],"",0),2),Т402[[#This Row],[Статус]])</f>
        <v>Гарантированная бронь</v>
      </c>
      <c r="BH230" s="488" t="str">
        <f>IFERROR(Т402[[#This Row],[ППС]]-Т402[[#This Row],[ДДУС]],"")</f>
        <v/>
      </c>
    </row>
    <row r="231" spans="1:60" x14ac:dyDescent="0.2">
      <c r="A231" s="611"/>
      <c r="B231" s="234">
        <f>VLOOKUP(ППД4!A228,Реестр_Д4[№],1,0)</f>
        <v>227</v>
      </c>
      <c r="C231" s="234" t="str">
        <f>VLOOKUP(ППД4!CO228,Реестр_Д4[Статус],1,0)</f>
        <v>Продажа</v>
      </c>
      <c r="D231" s="612">
        <f>VLOOKUP(ППД4!CE228,Реестр_Д4[Стоимость ОН без отделки со скидкой],1,0)</f>
        <v>3905331.04</v>
      </c>
      <c r="E231" s="612" cm="1">
        <f t="array" ref="E231">IFERROR(INDEX(РД[Стоимость без отделки итог],MATCH($B$3&amp;Таблица4[[#This Row],[№]]&amp;"Продажа",РД[Дом]&amp;РД[№ кв]&amp;РД[Состояние],0),1),Таблица4[[#This Row],[Статус]])</f>
        <v>3905331.0399999996</v>
      </c>
      <c r="F231" s="235">
        <f>IFERROR((Таблица4[[#This Row],[ПП]]-Таблица4[[#This Row],[ДДУ]])*1,"")</f>
        <v>4.6566128730773926E-10</v>
      </c>
      <c r="G231" s="235" cm="1">
        <f t="array" ref="G231">IFERROR(INDEX(РД[Стоимость с отделкой итог],MATCH($B$3&amp;Таблица4[[#This Row],[№]]&amp;"Продажа",РД[Дом]&amp;РД[№ кв]&amp;РД[Состояние],0),1),Таблица4[[#This Row],[Статус]])</f>
        <v>4683691.04</v>
      </c>
      <c r="H231" s="235">
        <f>_xlfn.XLOOKUP(Таблица4[[#This Row],[№]],Реестр_Д4[№],Реестр_Д4[Стоимость квартиры с отделкой],"-",0)</f>
        <v>4683691.04</v>
      </c>
      <c r="I231" s="235">
        <f>IFERROR(Таблица4[[#This Row],[СО ПП]]-Таблица4[[#This Row],[СО ДДУ]],"")</f>
        <v>0</v>
      </c>
      <c r="J231" s="233" cm="1">
        <f t="array" ref="J231">IFERROR(INDEX(РД[S],MATCH($B$3&amp;Таблица4[[#This Row],[№]]&amp;"Продажа",РД[Дом]&amp;РД[№ кв]&amp;РД[Состояние],0),1),Таблица4[[#This Row],[Статус]])</f>
        <v>35.380000000000003</v>
      </c>
      <c r="K231" s="233">
        <f>VLOOKUP(Таблица4[[#This Row],[№]],Реестр_Д4[],20,0)</f>
        <v>35.380000000000003</v>
      </c>
      <c r="L231" s="235">
        <f>IFERROR(Таблица4[[#This Row],[S ПП]]-Таблица4[[#This Row],[S ДДУ]],)</f>
        <v>0</v>
      </c>
      <c r="M231" s="235">
        <f>ROUND(_xlfn.XLOOKUP(Таблица4[[#This Row],[№]],Реестр_Д4[№],Реестр_Д4[Итоговая сумма скидки],"",0),2)</f>
        <v>20000</v>
      </c>
      <c r="N231" s="235" cm="1">
        <f t="array" ref="N231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231" s="235">
        <f>IFERROR(Таблица4[[#This Row],[ППС]]-Таблица4[[#This Row],[ДДУС]],)</f>
        <v>0</v>
      </c>
      <c r="P231" s="611"/>
      <c r="Q231" s="234">
        <f>VLOOKUP(ППД5!A228,Реестр_Д5[№],1,0)</f>
        <v>227</v>
      </c>
      <c r="R231" s="234" t="str">
        <f>VLOOKUP(ППД5!CH228,Реестр_Д5[Статус],1,0)</f>
        <v>Продажа</v>
      </c>
      <c r="S231" s="612">
        <f>VLOOKUP(ППД5!BZ228,Реестр_Д5[Стоимость ОН без отделки со скидкой],1,0)</f>
        <v>7491800</v>
      </c>
      <c r="T231" s="612" cm="1">
        <f t="array" ref="T231">IFERROR(INDEX(РД[Стоимость без отделки итог],MATCH($Q$3&amp;Таблица10[[#This Row],[№]]&amp;"Продажа",РД[Дом]&amp;РД[№ кв]&amp;РД[Состояние],0),1),Таблица10[[#This Row],[Статус]])</f>
        <v>7491800</v>
      </c>
      <c r="U231" s="235">
        <f>IFERROR((Таблица10[[#This Row],[ПП]]-Таблица10[[#This Row],[ДДУ]])*1,)</f>
        <v>0</v>
      </c>
      <c r="V231" s="235" cm="1">
        <f t="array" ref="V231">IFERROR(INDEX(РД[Стоимость с отделкой итог],MATCH($Q$3&amp;Таблица10[[#This Row],[№]]&amp;"Продажа",РД[Дом]&amp;РД[№ кв]&amp;РД[Состояние],0),1),Таблица10[[#This Row],[Статус]])</f>
        <v>7491800</v>
      </c>
      <c r="W231" s="235">
        <f>_xlfn.XLOOKUP(Таблица10[[#This Row],[№]],Реестр_Д5[№],Реестр_Д5[Стоимость квартиры с отделкой],"-",0)</f>
        <v>7491800</v>
      </c>
      <c r="X231" s="235">
        <f>IFERROR(Таблица10[[#This Row],[СО ПП]]-Таблица10[[#This Row],[СО ДДУ]],"")</f>
        <v>0</v>
      </c>
      <c r="Y231" s="233" cm="1">
        <f t="array" ref="Y231">IFERROR(INDEX(РД[S],MATCH($Q$3&amp;Таблица10[[#This Row],[№]]&amp;"Продажа",РД[Дом]&amp;РД[№ кв]&amp;РД[Состояние],0),1),Таблица10[[#This Row],[Статус]])</f>
        <v>80.97</v>
      </c>
      <c r="Z231" s="233">
        <f>IF(Таблица10[[#This Row],[№]]&amp;"ДДУ"=ППД5!A228&amp;ППД5!CR228,ППД5!U228,ППД5!V228)</f>
        <v>80.97</v>
      </c>
      <c r="AA231" s="285">
        <f>IFERROR(Таблица10[[#This Row],[S ПП]]-Таблица10[[#This Row],[S ДДУ]],)</f>
        <v>0</v>
      </c>
      <c r="AB231" s="235">
        <f>ROUND(_xlfn.XLOOKUP(Таблица10[[#This Row],[№]],Реестр_Д5[№],Реестр_Д5[Итоговая сумма скидки],"",0),2)</f>
        <v>90000</v>
      </c>
      <c r="AC231" s="235" cm="1">
        <f t="array" ref="AC231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231" s="285">
        <f>IFERROR(Таблица10[[#This Row],[ППС]]-Таблица10[[#This Row],[ДДУС]],)</f>
        <v>0</v>
      </c>
      <c r="AE231" s="611"/>
      <c r="AT231" s="611"/>
      <c r="AU231" s="484">
        <f>VLOOKUP(ППД402!A228,Д402[],1,0)</f>
        <v>227</v>
      </c>
      <c r="AV231" s="484" t="str">
        <f>_xlfn.XLOOKUP(Т402[[#This Row],[№]],Д402[№],Д402[Статус],"-",0)</f>
        <v>Свободно</v>
      </c>
      <c r="AW231" s="613">
        <f>_xlfn.XLOOKUP(Т402[[#This Row],[№]],Д402[№],Д402[Стоимость ОН без отделки со скидкой],"-",0)</f>
        <v>8740500</v>
      </c>
      <c r="AX231" s="614" t="str" cm="1">
        <f t="array" ref="AX23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31" s="485" t="str">
        <f>IFERROR((Т402[[#This Row],[ПП]]-Т402[[#This Row],[ДДУ]])*1,"")</f>
        <v/>
      </c>
      <c r="AZ231" s="486" t="str" cm="1">
        <f t="array" ref="AZ23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31" s="485">
        <f>_xlfn.XLOOKUP(Т402[[#This Row],[№]],Д402[№],Д402[Стоимость квартиры с отделкой],"-",0)</f>
        <v>8740500</v>
      </c>
      <c r="BB231" s="485" t="str">
        <f>IFERROR(Т402[[#This Row],[СО ПП]]-Т402[[#This Row],[СО ДДУ]],"")</f>
        <v/>
      </c>
      <c r="BC231" s="487" t="str" cm="1">
        <f t="array" ref="BC231">IFERROR(INDEX(РД[S],MATCH($AU$3&amp;Т402[[#This Row],[№]]&amp;"Продажа",РД[Дом]&amp;РД[№ кв]&amp;РД[Состояние],0),1),Т402[[#This Row],[Статус]])</f>
        <v>Свободно</v>
      </c>
      <c r="BD231" s="483">
        <f>_xlfn.XLOOKUP(Т402[[#This Row],[№]],Д402[№],Д402[Расчетная проектная площадь],"-",0)</f>
        <v>78.16</v>
      </c>
      <c r="BE231" s="485" t="str">
        <f>IFERROR(Т402[[#This Row],[S ПП]]-Т402[[#This Row],[S ДДУ]],"")</f>
        <v/>
      </c>
      <c r="BF231" s="485">
        <f>_xlfn.XLOOKUP(Т402[[#This Row],[№]],Д402[№],Д402[Итоговая сумма скидки],"-",0)</f>
        <v>0</v>
      </c>
      <c r="BG231" s="486" t="str" cm="1">
        <f t="array" ref="BG23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31" s="488" t="str">
        <f>IFERROR(Т402[[#This Row],[ППС]]-Т402[[#This Row],[ДДУС]],"")</f>
        <v/>
      </c>
    </row>
    <row r="232" spans="1:60" x14ac:dyDescent="0.2">
      <c r="A232" s="611"/>
      <c r="B232" s="234">
        <f>VLOOKUP(ППД4!A229,Реестр_Д4[№],1,0)</f>
        <v>228</v>
      </c>
      <c r="C232" s="234" t="str">
        <f>VLOOKUP(ППД4!CO229,Реестр_Д4[Статус],1,0)</f>
        <v>Продажа</v>
      </c>
      <c r="D232" s="612">
        <f>VLOOKUP(ППД4!CE229,Реестр_Д4[Стоимость ОН без отделки со скидкой],1,0)</f>
        <v>3447873.48</v>
      </c>
      <c r="E232" s="612" cm="1">
        <f t="array" ref="E232">IFERROR(INDEX(РД[Стоимость без отделки итог],MATCH($B$3&amp;Таблица4[[#This Row],[№]]&amp;"Продажа",РД[Дом]&amp;РД[№ кв]&amp;РД[Состояние],0),1),Таблица4[[#This Row],[Статус]])</f>
        <v>3447873.4799999995</v>
      </c>
      <c r="F232" s="235">
        <f>IFERROR((Таблица4[[#This Row],[ПП]]-Таблица4[[#This Row],[ДДУ]])*1,"")</f>
        <v>4.6566128730773926E-10</v>
      </c>
      <c r="G232" s="235" cm="1">
        <f t="array" ref="G232">IFERROR(INDEX(РД[Стоимость с отделкой итог],MATCH($B$3&amp;Таблица4[[#This Row],[№]]&amp;"Продажа",РД[Дом]&amp;РД[№ кв]&amp;РД[Состояние],0),1),Таблица4[[#This Row],[Статус]])</f>
        <v>4015023.48</v>
      </c>
      <c r="H232" s="235">
        <f>_xlfn.XLOOKUP(Таблица4[[#This Row],[№]],Реестр_Д4[№],Реестр_Д4[Стоимость квартиры с отделкой],"-",0)</f>
        <v>4015023.48</v>
      </c>
      <c r="I232" s="235">
        <f>IFERROR(Таблица4[[#This Row],[СО ПП]]-Таблица4[[#This Row],[СО ДДУ]],"")</f>
        <v>0</v>
      </c>
      <c r="J232" s="233" cm="1">
        <f t="array" ref="J232">IFERROR(INDEX(РД[S],MATCH($B$3&amp;Таблица4[[#This Row],[№]]&amp;"Продажа",РД[Дом]&amp;РД[№ кв]&amp;РД[Состояние],0),1),Таблица4[[#This Row],[Статус]])</f>
        <v>37.81</v>
      </c>
      <c r="K232" s="233">
        <f>VLOOKUP(Таблица4[[#This Row],[№]],Реестр_Д4[],20,0)</f>
        <v>37.81</v>
      </c>
      <c r="L232" s="235">
        <f>IFERROR(Таблица4[[#This Row],[S ПП]]-Таблица4[[#This Row],[S ДДУ]],)</f>
        <v>0</v>
      </c>
      <c r="M232" s="235">
        <f>ROUND(_xlfn.XLOOKUP(Таблица4[[#This Row],[№]],Реестр_Д4[№],Реестр_Д4[Итоговая сумма скидки],"",0),2)</f>
        <v>0</v>
      </c>
      <c r="N232" s="235" cm="1">
        <f t="array" ref="N23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2" s="235">
        <f>IFERROR(Таблица4[[#This Row],[ППС]]-Таблица4[[#This Row],[ДДУС]],)</f>
        <v>0</v>
      </c>
      <c r="P232" s="611"/>
      <c r="Q232" s="234">
        <f>VLOOKUP(ППД5!A229,Реестр_Д5[№],1,0)</f>
        <v>228</v>
      </c>
      <c r="R232" s="234" t="str">
        <f>VLOOKUP(ППД5!CH229,Реестр_Д5[Статус],1,0)</f>
        <v>Продажа</v>
      </c>
      <c r="S232" s="612">
        <f>VLOOKUP(ППД5!BZ229,Реестр_Д5[Стоимость ОН без отделки со скидкой],1,0)</f>
        <v>2997942.9</v>
      </c>
      <c r="T232" s="612" cm="1">
        <f t="array" ref="T232">IFERROR(INDEX(РД[Стоимость без отделки итог],MATCH($Q$3&amp;Таблица10[[#This Row],[№]]&amp;"Продажа",РД[Дом]&amp;РД[№ кв]&amp;РД[Состояние],0),1),Таблица10[[#This Row],[Статус]])</f>
        <v>2997942.9</v>
      </c>
      <c r="U232" s="235">
        <f>IFERROR((Таблица10[[#This Row],[ПП]]-Таблица10[[#This Row],[ДДУ]])*1,)</f>
        <v>0</v>
      </c>
      <c r="V232" s="235" cm="1">
        <f t="array" ref="V232">IFERROR(INDEX(РД[Стоимость с отделкой итог],MATCH($Q$3&amp;Таблица10[[#This Row],[№]]&amp;"Продажа",РД[Дом]&amp;РД[№ кв]&amp;РД[Состояние],0),1),Таблица10[[#This Row],[Статус]])</f>
        <v>3536722.9</v>
      </c>
      <c r="W232" s="235">
        <f>_xlfn.XLOOKUP(Таблица10[[#This Row],[№]],Реестр_Д5[№],Реестр_Д5[Стоимость квартиры с отделкой],"-",0)</f>
        <v>3536722.9</v>
      </c>
      <c r="X232" s="235">
        <f>IFERROR(Таблица10[[#This Row],[СО ПП]]-Таблица10[[#This Row],[СО ДДУ]],"")</f>
        <v>0</v>
      </c>
      <c r="Y232" s="233" cm="1">
        <f t="array" ref="Y232">IFERROR(INDEX(РД[S],MATCH($Q$3&amp;Таблица10[[#This Row],[№]]&amp;"Продажа",РД[Дом]&amp;РД[№ кв]&amp;РД[Состояние],0),1),Таблица10[[#This Row],[Статус]])</f>
        <v>34.76</v>
      </c>
      <c r="Z232" s="233">
        <f>IF(Таблица10[[#This Row],[№]]&amp;"ДДУ"=ППД5!A229&amp;ППД5!CR229,ППД5!U229,ППД5!V229)</f>
        <v>34.76</v>
      </c>
      <c r="AA232" s="285">
        <f>IFERROR(Таблица10[[#This Row],[S ПП]]-Таблица10[[#This Row],[S ДДУ]],)</f>
        <v>0</v>
      </c>
      <c r="AB232" s="235">
        <f>ROUND(_xlfn.XLOOKUP(Таблица10[[#This Row],[№]],Реестр_Д5[№],Реестр_Д5[Итоговая сумма скидки],"",0),2)</f>
        <v>61182.51</v>
      </c>
      <c r="AC232" s="235" cm="1">
        <f t="array" ref="AC232">IFERROR(ROUND(_xlfn.XLOOKUP($Q$3&amp;Таблица10[[#This Row],[№]]&amp;"Продажа",РД[Дом]&amp;РД[№ кв]&amp;РД[Состояние],РД[Сумма скидки],"",0,-1),2),Таблица10[[#This Row],[Статус]])</f>
        <v>61182.51</v>
      </c>
      <c r="AD232" s="285">
        <f>IFERROR(Таблица10[[#This Row],[ППС]]-Таблица10[[#This Row],[ДДУС]],)</f>
        <v>0</v>
      </c>
      <c r="AE232" s="611"/>
      <c r="AT232" s="611"/>
      <c r="AU232" s="484">
        <f>VLOOKUP(ППД402!A229,Д402[],1,0)</f>
        <v>228</v>
      </c>
      <c r="AV232" s="484" t="str">
        <f>_xlfn.XLOOKUP(Т402[[#This Row],[№]],Д402[№],Д402[Статус],"-",0)</f>
        <v>Стр. Резерв</v>
      </c>
      <c r="AW232" s="613">
        <f>_xlfn.XLOOKUP(Т402[[#This Row],[№]],Д402[№],Д402[Стоимость ОН без отделки со скидкой],"-",0)</f>
        <v>4190900</v>
      </c>
      <c r="AX232" s="614" t="str" cm="1">
        <f t="array" ref="AX23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32" s="485" t="str">
        <f>IFERROR((Т402[[#This Row],[ПП]]-Т402[[#This Row],[ДДУ]])*1,"")</f>
        <v/>
      </c>
      <c r="AZ232" s="486" t="str" cm="1">
        <f t="array" ref="AZ23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32" s="485">
        <f>_xlfn.XLOOKUP(Т402[[#This Row],[№]],Д402[№],Д402[Стоимость квартиры с отделкой],"-",0)</f>
        <v>4190900</v>
      </c>
      <c r="BB232" s="485" t="str">
        <f>IFERROR(Т402[[#This Row],[СО ПП]]-Т402[[#This Row],[СО ДДУ]],"")</f>
        <v/>
      </c>
      <c r="BC232" s="487" t="str" cm="1">
        <f t="array" ref="BC232">IFERROR(INDEX(РД[S],MATCH($AU$3&amp;Т402[[#This Row],[№]]&amp;"Продажа",РД[Дом]&amp;РД[№ кв]&amp;РД[Состояние],0),1),Т402[[#This Row],[Статус]])</f>
        <v>Стр. Резерв</v>
      </c>
      <c r="BD232" s="483">
        <f>_xlfn.XLOOKUP(Т402[[#This Row],[№]],Д402[№],Д402[Расчетная проектная площадь],"-",0)</f>
        <v>29.73</v>
      </c>
      <c r="BE232" s="485" t="str">
        <f>IFERROR(Т402[[#This Row],[S ПП]]-Т402[[#This Row],[S ДДУ]],"")</f>
        <v/>
      </c>
      <c r="BF232" s="485">
        <f>_xlfn.XLOOKUP(Т402[[#This Row],[№]],Д402[№],Д402[Итоговая сумма скидки],"-",0)</f>
        <v>0</v>
      </c>
      <c r="BG232" s="486" t="str" cm="1">
        <f t="array" ref="BG23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32" s="488" t="str">
        <f>IFERROR(Т402[[#This Row],[ППС]]-Т402[[#This Row],[ДДУС]],"")</f>
        <v/>
      </c>
    </row>
    <row r="233" spans="1:60" x14ac:dyDescent="0.2">
      <c r="A233" s="611"/>
      <c r="B233" s="234">
        <f>VLOOKUP(ППД4!A230,Реестр_Д4[№],1,0)</f>
        <v>229</v>
      </c>
      <c r="C233" s="234" t="str">
        <f>VLOOKUP(ППД4!CO230,Реестр_Д4[Статус],1,0)</f>
        <v>Продажа</v>
      </c>
      <c r="D233" s="612">
        <f>VLOOKUP(ППД4!CE230,Реестр_Д4[Стоимость ОН без отделки со скидкой],1,0)</f>
        <v>3346653.18</v>
      </c>
      <c r="E233" s="612" cm="1">
        <f t="array" ref="E233">IFERROR(INDEX(РД[Стоимость без отделки итог],MATCH($B$3&amp;Таблица4[[#This Row],[№]]&amp;"Продажа",РД[Дом]&amp;РД[№ кв]&amp;РД[Состояние],0),1),Таблица4[[#This Row],[Статус]])</f>
        <v>3346653.1800000006</v>
      </c>
      <c r="F233" s="235">
        <f>IFERROR((Таблица4[[#This Row],[ПП]]-Таблица4[[#This Row],[ДДУ]])*1,"")</f>
        <v>-4.6566128730773926E-10</v>
      </c>
      <c r="G233" s="235" cm="1">
        <f t="array" ref="G233">IFERROR(INDEX(РД[Стоимость с отделкой итог],MATCH($B$3&amp;Таблица4[[#This Row],[№]]&amp;"Продажа",РД[Дом]&amp;РД[№ кв]&amp;РД[Состояние],0),1),Таблица4[[#This Row],[Статус]])</f>
        <v>3493453.18</v>
      </c>
      <c r="H233" s="235">
        <f>_xlfn.XLOOKUP(Таблица4[[#This Row],[№]],Реестр_Д4[№],Реестр_Д4[Стоимость квартиры с отделкой],"-",0)</f>
        <v>3493453.18</v>
      </c>
      <c r="I233" s="235">
        <f>IFERROR(Таблица4[[#This Row],[СО ПП]]-Таблица4[[#This Row],[СО ДДУ]],"")</f>
        <v>0</v>
      </c>
      <c r="J233" s="233" cm="1">
        <f t="array" ref="J233">IFERROR(INDEX(РД[S],MATCH($B$3&amp;Таблица4[[#This Row],[№]]&amp;"Продажа",РД[Дом]&amp;РД[№ кв]&amp;РД[Состояние],0),1),Таблица4[[#This Row],[Статус]])</f>
        <v>36.700000000000003</v>
      </c>
      <c r="K233" s="233">
        <f>VLOOKUP(Таблица4[[#This Row],[№]],Реестр_Д4[],20,0)</f>
        <v>36.700000000000003</v>
      </c>
      <c r="L233" s="235">
        <f>IFERROR(Таблица4[[#This Row],[S ПП]]-Таблица4[[#This Row],[S ДДУ]],)</f>
        <v>0</v>
      </c>
      <c r="M233" s="235">
        <f>ROUND(_xlfn.XLOOKUP(Таблица4[[#This Row],[№]],Реестр_Д4[№],Реестр_Д4[Итоговая сумма скидки],"",0),2)</f>
        <v>0</v>
      </c>
      <c r="N233" s="235" cm="1">
        <f t="array" ref="N23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3" s="235">
        <f>IFERROR(Таблица4[[#This Row],[ППС]]-Таблица4[[#This Row],[ДДУС]],)</f>
        <v>0</v>
      </c>
      <c r="P233" s="611"/>
      <c r="Q233" s="234">
        <f>VLOOKUP(ППД5!A230,Реестр_Д5[№],1,0)</f>
        <v>229</v>
      </c>
      <c r="R233" s="234" t="str">
        <f>VLOOKUP(ППД5!CH230,Реестр_Д5[Статус],1,0)</f>
        <v>Свободно</v>
      </c>
      <c r="S233" s="612">
        <f>VLOOKUP(ППД5!BZ230,Реестр_Д5[Стоимость ОН без отделки со скидкой],1,0)</f>
        <v>8552500</v>
      </c>
      <c r="T233" s="612" t="str" cm="1">
        <f t="array" ref="T23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33" s="235">
        <f>IFERROR((Таблица10[[#This Row],[ПП]]-Таблица10[[#This Row],[ДДУ]])*1,)</f>
        <v>0</v>
      </c>
      <c r="V233" s="235" t="str" cm="1">
        <f t="array" ref="V23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33" s="235">
        <f>_xlfn.XLOOKUP(Таблица10[[#This Row],[№]],Реестр_Д5[№],Реестр_Д5[Стоимость квартиры с отделкой],"-",0)</f>
        <v>9287000</v>
      </c>
      <c r="X233" s="235" t="str">
        <f>IFERROR(Таблица10[[#This Row],[СО ПП]]-Таблица10[[#This Row],[СО ДДУ]],"")</f>
        <v/>
      </c>
      <c r="Y233" s="233" t="str" cm="1">
        <f t="array" ref="Y233">IFERROR(INDEX(РД[S],MATCH($Q$3&amp;Таблица10[[#This Row],[№]]&amp;"Продажа",РД[Дом]&amp;РД[№ кв]&amp;РД[Состояние],0),1),Таблица10[[#This Row],[Статус]])</f>
        <v>Свободно</v>
      </c>
      <c r="Z233" s="233">
        <f>IF(Таблица10[[#This Row],[№]]&amp;"ДДУ"=ППД5!A230&amp;ППД5!CR230,ППД5!U230,ППД5!V230)</f>
        <v>73.449999999999989</v>
      </c>
      <c r="AA233" s="285">
        <f>IFERROR(Таблица10[[#This Row],[S ПП]]-Таблица10[[#This Row],[S ДДУ]],)</f>
        <v>0</v>
      </c>
      <c r="AB233" s="235">
        <f>ROUND(_xlfn.XLOOKUP(Таблица10[[#This Row],[№]],Реестр_Д5[№],Реестр_Д5[Итоговая сумма скидки],"",0),2)</f>
        <v>0</v>
      </c>
      <c r="AC233" s="235" t="str" cm="1">
        <f t="array" ref="AC23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33" s="285">
        <f>IFERROR(Таблица10[[#This Row],[ППС]]-Таблица10[[#This Row],[ДДУС]],)</f>
        <v>0</v>
      </c>
      <c r="AE233" s="611"/>
      <c r="AT233" s="611"/>
      <c r="AU233" s="484">
        <f>VLOOKUP(ППД402!A230,Д402[],1,0)</f>
        <v>229</v>
      </c>
      <c r="AV233" s="484" t="str">
        <f>_xlfn.XLOOKUP(Т402[[#This Row],[№]],Д402[№],Д402[Статус],"-",0)</f>
        <v>Продажа</v>
      </c>
      <c r="AW233" s="613">
        <f>_xlfn.XLOOKUP(Т402[[#This Row],[№]],Д402[№],Д402[Стоимость ОН без отделки со скидкой],"-",0)</f>
        <v>5503092</v>
      </c>
      <c r="AX233" s="614" cm="1">
        <f t="array" ref="AX233">IFERROR(INDEX(РД[Стоимость без отделки итог],MATCH($AU$3&amp;Т402[[#This Row],[№]]&amp;"Продажа",РД[Дом]&amp;РД[№ кв]&amp;РД[Состояние],0),1),Т402[[#This Row],[Статус]])</f>
        <v>5503092</v>
      </c>
      <c r="AY233" s="485">
        <f>IFERROR((Т402[[#This Row],[ПП]]-Т402[[#This Row],[ДДУ]])*1,"")</f>
        <v>0</v>
      </c>
      <c r="AZ233" s="486" cm="1">
        <f t="array" ref="AZ233">IFERROR(INDEX(РД[Стоимость с отделкой итог],MATCH($AU$3&amp;Т402[[#This Row],[№]]&amp;"Продажа",РД[Дом]&amp;РД[№ кв]&amp;РД[Состояние],0),1),Т402[[#This Row],[Статус]])</f>
        <v>5944692</v>
      </c>
      <c r="BA233" s="485">
        <f>_xlfn.XLOOKUP(Т402[[#This Row],[№]],Д402[№],Д402[Стоимость квартиры с отделкой],"-",0)</f>
        <v>5944692</v>
      </c>
      <c r="BB233" s="485">
        <f>IFERROR(Т402[[#This Row],[СО ПП]]-Т402[[#This Row],[СО ДДУ]],"")</f>
        <v>0</v>
      </c>
      <c r="BC233" s="487" cm="1">
        <f t="array" ref="BC233">IFERROR(INDEX(РД[S],MATCH($AU$3&amp;Т402[[#This Row],[№]]&amp;"Продажа",РД[Дом]&amp;РД[№ кв]&amp;РД[Состояние],0),1),Т402[[#This Row],[Статус]])</f>
        <v>44.16</v>
      </c>
      <c r="BD233" s="483">
        <f>_xlfn.XLOOKUP(Т402[[#This Row],[№]],Д402[№],Д402[Расчетная проектная площадь],"-",0)</f>
        <v>44.16</v>
      </c>
      <c r="BE233" s="485">
        <f>IFERROR(Т402[[#This Row],[S ПП]]-Т402[[#This Row],[S ДДУ]],"")</f>
        <v>0</v>
      </c>
      <c r="BF233" s="485">
        <f>_xlfn.XLOOKUP(Т402[[#This Row],[№]],Д402[№],Д402[Итоговая сумма скидки],"-",0)</f>
        <v>112308</v>
      </c>
      <c r="BG233" s="486" cm="1">
        <f t="array" ref="BG233">IFERROR(ROUND(_xlfn.XLOOKUP($AU$3&amp;Т402[[#This Row],[№]]&amp;"Продажа",РД[Дом]&amp;РД[№ кв]&amp;РД[Состояние],РД[Сумма скидки],"",0),2),Т402[[#This Row],[Статус]])</f>
        <v>112308</v>
      </c>
      <c r="BH233" s="488">
        <f>IFERROR(Т402[[#This Row],[ППС]]-Т402[[#This Row],[ДДУС]],"")</f>
        <v>0</v>
      </c>
    </row>
    <row r="234" spans="1:60" x14ac:dyDescent="0.2">
      <c r="A234" s="611"/>
      <c r="B234" s="234">
        <f>VLOOKUP(ППД4!A231,Реестр_Д4[№],1,0)</f>
        <v>230</v>
      </c>
      <c r="C234" s="234" t="str">
        <f>VLOOKUP(ППД4!CO231,Реестр_Д4[Статус],1,0)</f>
        <v>Продажа</v>
      </c>
      <c r="D234" s="612">
        <f>VLOOKUP(ППД4!CE231,Реестр_Д4[Стоимость ОН без отделки со скидкой],1,0)</f>
        <v>3343005.6</v>
      </c>
      <c r="E234" s="612" cm="1">
        <f t="array" ref="E234">IFERROR(INDEX(РД[Стоимость без отделки итог],MATCH($B$3&amp;Таблица4[[#This Row],[№]]&amp;"Продажа",РД[Дом]&amp;РД[№ кв]&amp;РД[Состояние],0),1),Таблица4[[#This Row],[Статус]])</f>
        <v>3343005.6</v>
      </c>
      <c r="F234" s="235">
        <f>IFERROR((Таблица4[[#This Row],[ПП]]-Таблица4[[#This Row],[ДДУ]])*1,"")</f>
        <v>0</v>
      </c>
      <c r="G234" s="235" cm="1">
        <f t="array" ref="G234">IFERROR(INDEX(РД[Стоимость с отделкой итог],MATCH($B$3&amp;Таблица4[[#This Row],[№]]&amp;"Продажа",РД[Дом]&amp;РД[№ кв]&amp;РД[Состояние],0),1),Таблица4[[#This Row],[Статус]])</f>
        <v>3489645.6</v>
      </c>
      <c r="H234" s="235">
        <f>_xlfn.XLOOKUP(Таблица4[[#This Row],[№]],Реестр_Д4[№],Реестр_Д4[Стоимость квартиры с отделкой],"-",0)</f>
        <v>3489645.6</v>
      </c>
      <c r="I234" s="235">
        <f>IFERROR(Таблица4[[#This Row],[СО ПП]]-Таблица4[[#This Row],[СО ДДУ]],"")</f>
        <v>0</v>
      </c>
      <c r="J234" s="233" cm="1">
        <f t="array" ref="J234">IFERROR(INDEX(РД[S],MATCH($B$3&amp;Таблица4[[#This Row],[№]]&amp;"Продажа",РД[Дом]&amp;РД[№ кв]&amp;РД[Состояние],0),1),Таблица4[[#This Row],[Статус]])</f>
        <v>36.659999999999997</v>
      </c>
      <c r="K234" s="233">
        <f>VLOOKUP(Таблица4[[#This Row],[№]],Реестр_Д4[],20,0)</f>
        <v>36.659999999999997</v>
      </c>
      <c r="L234" s="235">
        <f>IFERROR(Таблица4[[#This Row],[S ПП]]-Таблица4[[#This Row],[S ДДУ]],)</f>
        <v>0</v>
      </c>
      <c r="M234" s="235">
        <f>ROUND(_xlfn.XLOOKUP(Таблица4[[#This Row],[№]],Реестр_Д4[№],Реестр_Д4[Итоговая сумма скидки],"",0),2)</f>
        <v>0</v>
      </c>
      <c r="N234" s="235" cm="1">
        <f t="array" ref="N23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4" s="235">
        <f>IFERROR(Таблица4[[#This Row],[ППС]]-Таблица4[[#This Row],[ДДУС]],)</f>
        <v>0</v>
      </c>
      <c r="P234" s="611"/>
      <c r="Q234" s="234">
        <f>VLOOKUP(ППД5!A231,Реестр_Д5[№],1,0)</f>
        <v>230</v>
      </c>
      <c r="R234" s="234" t="str">
        <f>VLOOKUP(ППД5!CH231,Реестр_Д5[Статус],1,0)</f>
        <v>Продажа</v>
      </c>
      <c r="S234" s="612">
        <f>VLOOKUP(ППД5!BZ231,Реестр_Д5[Стоимость ОН без отделки со скидкой],1,0)</f>
        <v>2256308.16</v>
      </c>
      <c r="T234" s="612" cm="1">
        <f t="array" ref="T234">IFERROR(INDEX(РД[Стоимость без отделки итог],MATCH($Q$3&amp;Таблица10[[#This Row],[№]]&amp;"Продажа",РД[Дом]&amp;РД[№ кв]&amp;РД[Состояние],0),1),Таблица10[[#This Row],[Статус]])</f>
        <v>2256308.16</v>
      </c>
      <c r="U234" s="235">
        <f>IFERROR((Таблица10[[#This Row],[ПП]]-Таблица10[[#This Row],[ДДУ]])*1,)</f>
        <v>0</v>
      </c>
      <c r="V234" s="235" cm="1">
        <f t="array" ref="V234">IFERROR(INDEX(РД[Стоимость с отделкой итог],MATCH($Q$3&amp;Таблица10[[#This Row],[№]]&amp;"Продажа",РД[Дом]&amp;РД[№ кв]&amp;РД[Состояние],0),1),Таблица10[[#This Row],[Статус]])</f>
        <v>2636523.16</v>
      </c>
      <c r="W234" s="235">
        <f>_xlfn.XLOOKUP(Таблица10[[#This Row],[№]],Реестр_Д5[№],Реестр_Д5[Стоимость квартиры с отделкой],"-",0)</f>
        <v>2636523.16</v>
      </c>
      <c r="X234" s="235">
        <f>IFERROR(Таблица10[[#This Row],[СО ПП]]-Таблица10[[#This Row],[СО ДДУ]],"")</f>
        <v>0</v>
      </c>
      <c r="Y234" s="233" cm="1">
        <f t="array" ref="Y234">IFERROR(INDEX(РД[S],MATCH($Q$3&amp;Таблица10[[#This Row],[№]]&amp;"Продажа",РД[Дом]&amp;РД[№ кв]&amp;РД[Состояние],0),1),Таблица10[[#This Row],[Статус]])</f>
        <v>24.53</v>
      </c>
      <c r="Z234" s="233">
        <f>IF(Таблица10[[#This Row],[№]]&amp;"ДДУ"=ППД5!A231&amp;ППД5!CR231,ППД5!U231,ППД5!V231)</f>
        <v>24.53</v>
      </c>
      <c r="AA234" s="285">
        <f>IFERROR(Таблица10[[#This Row],[S ПП]]-Таблица10[[#This Row],[S ДДУ]],)</f>
        <v>0</v>
      </c>
      <c r="AB234" s="235">
        <f>ROUND(_xlfn.XLOOKUP(Таблица10[[#This Row],[№]],Реестр_Д5[№],Реестр_Д5[Итоговая сумма скидки],"",0),2)</f>
        <v>0</v>
      </c>
      <c r="AC234" s="235" cm="1">
        <f t="array" ref="AC23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34" s="285">
        <f>IFERROR(Таблица10[[#This Row],[ППС]]-Таблица10[[#This Row],[ДДУС]],)</f>
        <v>0</v>
      </c>
      <c r="AE234" s="611"/>
      <c r="AT234" s="611"/>
      <c r="AU234" s="484">
        <f>VLOOKUP(ППД402!A231,Д402[],1,0)</f>
        <v>230</v>
      </c>
      <c r="AV234" s="484" t="str">
        <f>_xlfn.XLOOKUP(Т402[[#This Row],[№]],Д402[№],Д402[Статус],"-",0)</f>
        <v>Продажа</v>
      </c>
      <c r="AW234" s="613">
        <f>_xlfn.XLOOKUP(Т402[[#This Row],[№]],Д402[№],Д402[Стоимость ОН без отделки со скидкой],"-",0)</f>
        <v>4531520</v>
      </c>
      <c r="AX234" s="614" cm="1">
        <f t="array" ref="AX234">IFERROR(INDEX(РД[Стоимость без отделки итог],MATCH($AU$3&amp;Т402[[#This Row],[№]]&amp;"Продажа",РД[Дом]&amp;РД[№ кв]&amp;РД[Состояние],0),1),Т402[[#This Row],[Статус]])</f>
        <v>4531520</v>
      </c>
      <c r="AY234" s="485">
        <f>IFERROR((Т402[[#This Row],[ПП]]-Т402[[#This Row],[ДДУ]])*1,"")</f>
        <v>0</v>
      </c>
      <c r="AZ234" s="486" cm="1">
        <f t="array" ref="AZ234">IFERROR(INDEX(РД[Стоимость с отделкой итог],MATCH($AU$3&amp;Т402[[#This Row],[№]]&amp;"Продажа",РД[Дом]&amp;РД[№ кв]&amp;РД[Состояние],0),1),Т402[[#This Row],[Статус]])</f>
        <v>4531520</v>
      </c>
      <c r="BA234" s="485">
        <f>_xlfn.XLOOKUP(Т402[[#This Row],[№]],Д402[№],Д402[Стоимость квартиры с отделкой],"-",0)</f>
        <v>4531520</v>
      </c>
      <c r="BB234" s="485">
        <f>IFERROR(Т402[[#This Row],[СО ПП]]-Т402[[#This Row],[СО ДДУ]],"")</f>
        <v>0</v>
      </c>
      <c r="BC234" s="487" cm="1">
        <f t="array" ref="BC234">IFERROR(INDEX(РД[S],MATCH($AU$3&amp;Т402[[#This Row],[№]]&amp;"Продажа",РД[Дом]&amp;РД[№ кв]&amp;РД[Состояние],0),1),Т402[[#This Row],[Статус]])</f>
        <v>36.549999999999997</v>
      </c>
      <c r="BD234" s="483">
        <f>_xlfn.XLOOKUP(Т402[[#This Row],[№]],Д402[№],Д402[Расчетная проектная площадь],"-",0)</f>
        <v>36.549999999999997</v>
      </c>
      <c r="BE234" s="485">
        <f>IFERROR(Т402[[#This Row],[S ПП]]-Т402[[#This Row],[S ДДУ]],"")</f>
        <v>0</v>
      </c>
      <c r="BF234" s="485">
        <f>_xlfn.XLOOKUP(Т402[[#This Row],[№]],Д402[№],Д402[Итоговая сумма скидки],"-",0)</f>
        <v>92480</v>
      </c>
      <c r="BG234" s="486" cm="1">
        <f t="array" ref="BG234">IFERROR(ROUND(_xlfn.XLOOKUP($AU$3&amp;Т402[[#This Row],[№]]&amp;"Продажа",РД[Дом]&amp;РД[№ кв]&amp;РД[Состояние],РД[Сумма скидки],"",0),2),Т402[[#This Row],[Статус]])</f>
        <v>92480</v>
      </c>
      <c r="BH234" s="488">
        <f>IFERROR(Т402[[#This Row],[ППС]]-Т402[[#This Row],[ДДУС]],"")</f>
        <v>0</v>
      </c>
    </row>
    <row r="235" spans="1:60" x14ac:dyDescent="0.2">
      <c r="A235" s="611"/>
      <c r="B235" s="234">
        <f>VLOOKUP(ППД4!A232,Реестр_Д4[№],1,0)</f>
        <v>231</v>
      </c>
      <c r="C235" s="234" t="str">
        <f>VLOOKUP(ППД4!CO232,Реестр_Д4[Статус],1,0)</f>
        <v>Продажа</v>
      </c>
      <c r="D235" s="612">
        <f>VLOOKUP(ППД4!CE232,Реестр_Д4[Стоимость ОН без отделки со скидкой],1,0)</f>
        <v>5689424.2199999997</v>
      </c>
      <c r="E235" s="612" cm="1">
        <f t="array" ref="E235">IFERROR(INDEX(РД[Стоимость без отделки итог],MATCH($B$3&amp;Таблица4[[#This Row],[№]]&amp;"Продажа",РД[Дом]&amp;РД[№ кв]&amp;РД[Состояние],0),1),Таблица4[[#This Row],[Статус]])</f>
        <v>5689424.2199999997</v>
      </c>
      <c r="F235" s="235">
        <f>IFERROR((Таблица4[[#This Row],[ПП]]-Таблица4[[#This Row],[ДДУ]])*1,"")</f>
        <v>0</v>
      </c>
      <c r="G235" s="235" cm="1">
        <f t="array" ref="G235">IFERROR(INDEX(РД[Стоимость с отделкой итог],MATCH($B$3&amp;Таблица4[[#This Row],[№]]&amp;"Продажа",РД[Дом]&amp;РД[№ кв]&amp;РД[Состояние],0),1),Таблица4[[#This Row],[Статус]])</f>
        <v>5689424.2199999997</v>
      </c>
      <c r="H235" s="235">
        <f>_xlfn.XLOOKUP(Таблица4[[#This Row],[№]],Реестр_Д4[№],Реестр_Д4[Стоимость квартиры с отделкой],"-",0)</f>
        <v>5689424.2199999997</v>
      </c>
      <c r="I235" s="235">
        <f>IFERROR(Таблица4[[#This Row],[СО ПП]]-Таблица4[[#This Row],[СО ДДУ]],"")</f>
        <v>0</v>
      </c>
      <c r="J235" s="233" cm="1">
        <f t="array" ref="J235">IFERROR(INDEX(РД[S],MATCH($B$3&amp;Таблица4[[#This Row],[№]]&amp;"Продажа",РД[Дом]&amp;РД[№ кв]&amp;РД[Состояние],0),1),Таблица4[[#This Row],[Статус]])</f>
        <v>78.73</v>
      </c>
      <c r="K235" s="233">
        <f>VLOOKUP(Таблица4[[#This Row],[№]],Реестр_Д4[],20,0)</f>
        <v>78.73</v>
      </c>
      <c r="L235" s="235">
        <f>IFERROR(Таблица4[[#This Row],[S ПП]]-Таблица4[[#This Row],[S ДДУ]],)</f>
        <v>0</v>
      </c>
      <c r="M235" s="235">
        <f>ROUND(_xlfn.XLOOKUP(Таблица4[[#This Row],[№]],Реестр_Д4[№],Реестр_Д4[Итоговая сумма скидки],"",0),2)</f>
        <v>363154.74</v>
      </c>
      <c r="N235" s="235" cm="1">
        <f t="array" ref="N235">IFERROR(ROUND(_xlfn.XLOOKUP($B$3&amp;Таблица4[[#This Row],[№]]&amp;"Продажа",РД[Дом]&amp;РД[№ кв]&amp;РД[Состояние],РД[Сумма скидки],"",0),2),Таблица4[[#This Row],[Статус]])</f>
        <v>363154.74</v>
      </c>
      <c r="O235" s="235">
        <f>IFERROR(Таблица4[[#This Row],[ППС]]-Таблица4[[#This Row],[ДДУС]],)</f>
        <v>0</v>
      </c>
      <c r="P235" s="611"/>
      <c r="Q235" s="234">
        <f>VLOOKUP(ППД5!A232,Реестр_Д5[№],1,0)</f>
        <v>231</v>
      </c>
      <c r="R235" s="234" t="str">
        <f>VLOOKUP(ППД5!CH232,Реестр_Д5[Статус],1,0)</f>
        <v>Гарантированная бронь</v>
      </c>
      <c r="S235" s="612">
        <f>VLOOKUP(ППД5!BZ232,Реестр_Д5[Стоимость ОН без отделки со скидкой],1,0)</f>
        <v>6697300</v>
      </c>
      <c r="T235" s="612" t="str" cm="1">
        <f t="array" ref="T235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235" s="235">
        <f>IFERROR((Таблица10[[#This Row],[ПП]]-Таблица10[[#This Row],[ДДУ]])*1,)</f>
        <v>0</v>
      </c>
      <c r="V235" s="235" t="str" cm="1">
        <f t="array" ref="V235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235" s="235">
        <f>_xlfn.XLOOKUP(Таблица10[[#This Row],[№]],Реестр_Д5[№],Реестр_Д5[Стоимость квартиры с отделкой],"-",0)</f>
        <v>6697300</v>
      </c>
      <c r="X235" s="235" t="str">
        <f>IFERROR(Таблица10[[#This Row],[СО ПП]]-Таблица10[[#This Row],[СО ДДУ]],"")</f>
        <v/>
      </c>
      <c r="Y235" s="233" t="str" cm="1">
        <f t="array" ref="Y235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235" s="233">
        <f>IF(Таблица10[[#This Row],[№]]&amp;"ДДУ"=ППД5!A232&amp;ППД5!CR232,ППД5!U232,ППД5!V232)</f>
        <v>56.4</v>
      </c>
      <c r="AA235" s="285">
        <f>IFERROR(Таблица10[[#This Row],[S ПП]]-Таблица10[[#This Row],[S ДДУ]],)</f>
        <v>0</v>
      </c>
      <c r="AB235" s="235">
        <f>ROUND(_xlfn.XLOOKUP(Таблица10[[#This Row],[№]],Реестр_Д5[№],Реестр_Д5[Итоговая сумма скидки],"",0),2)</f>
        <v>391000</v>
      </c>
      <c r="AC235" s="235" t="str" cm="1">
        <f t="array" ref="AC235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235" s="285">
        <f>IFERROR(Таблица10[[#This Row],[ППС]]-Таблица10[[#This Row],[ДДУС]],)</f>
        <v>0</v>
      </c>
      <c r="AE235" s="611"/>
      <c r="AT235" s="611"/>
      <c r="AU235" s="484">
        <f>VLOOKUP(ППД402!A232,Д402[],1,0)</f>
        <v>231</v>
      </c>
      <c r="AV235" s="484" t="str">
        <f>_xlfn.XLOOKUP(Т402[[#This Row],[№]],Д402[№],Д402[Статус],"-",0)</f>
        <v>Стр. Резерв</v>
      </c>
      <c r="AW235" s="613">
        <f>_xlfn.XLOOKUP(Т402[[#This Row],[№]],Д402[№],Д402[Стоимость ОН без отделки со скидкой],"-",0)</f>
        <v>6623100</v>
      </c>
      <c r="AX235" s="614" t="str" cm="1">
        <f t="array" ref="AX23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35" s="485" t="str">
        <f>IFERROR((Т402[[#This Row],[ПП]]-Т402[[#This Row],[ДДУ]])*1,"")</f>
        <v/>
      </c>
      <c r="AZ235" s="486" t="str" cm="1">
        <f t="array" ref="AZ23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35" s="485">
        <f>_xlfn.XLOOKUP(Т402[[#This Row],[№]],Д402[№],Д402[Стоимость квартиры с отделкой],"-",0)</f>
        <v>6623100</v>
      </c>
      <c r="BB235" s="485" t="str">
        <f>IFERROR(Т402[[#This Row],[СО ПП]]-Т402[[#This Row],[СО ДДУ]],"")</f>
        <v/>
      </c>
      <c r="BC235" s="487" t="str" cm="1">
        <f t="array" ref="BC235">IFERROR(INDEX(РД[S],MATCH($AU$3&amp;Т402[[#This Row],[№]]&amp;"Продажа",РД[Дом]&amp;РД[№ кв]&amp;РД[Состояние],0),1),Т402[[#This Row],[Статус]])</f>
        <v>Стр. Резерв</v>
      </c>
      <c r="BD235" s="483">
        <f>_xlfn.XLOOKUP(Т402[[#This Row],[№]],Д402[№],Д402[Расчетная проектная площадь],"-",0)</f>
        <v>54.35</v>
      </c>
      <c r="BE235" s="485" t="str">
        <f>IFERROR(Т402[[#This Row],[S ПП]]-Т402[[#This Row],[S ДДУ]],"")</f>
        <v/>
      </c>
      <c r="BF235" s="485">
        <f>_xlfn.XLOOKUP(Т402[[#This Row],[№]],Д402[№],Д402[Итоговая сумма скидки],"-",0)</f>
        <v>0</v>
      </c>
      <c r="BG235" s="486" t="str" cm="1">
        <f t="array" ref="BG23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35" s="488" t="str">
        <f>IFERROR(Т402[[#This Row],[ППС]]-Т402[[#This Row],[ДДУС]],"")</f>
        <v/>
      </c>
    </row>
    <row r="236" spans="1:60" x14ac:dyDescent="0.2">
      <c r="A236" s="611"/>
      <c r="B236" s="234">
        <f>VLOOKUP(ППД4!A233,Реестр_Д4[№],1,0)</f>
        <v>232</v>
      </c>
      <c r="C236" s="234" t="str">
        <f>VLOOKUP(ППД4!CO233,Реестр_Д4[Статус],1,0)</f>
        <v>Продажа</v>
      </c>
      <c r="D236" s="612">
        <f>VLOOKUP(ППД4!CE233,Реестр_Д4[Стоимость ОН без отделки со скидкой],1,0)</f>
        <v>3640411.94</v>
      </c>
      <c r="E236" s="612" cm="1">
        <f t="array" ref="E236">IFERROR(INDEX(РД[Стоимость без отделки итог],MATCH($B$3&amp;Таблица4[[#This Row],[№]]&amp;"Продажа",РД[Дом]&amp;РД[№ кв]&amp;РД[Состояние],0),1),Таблица4[[#This Row],[Статус]])</f>
        <v>3640411.94</v>
      </c>
      <c r="F236" s="235">
        <f>IFERROR((Таблица4[[#This Row],[ПП]]-Таблица4[[#This Row],[ДДУ]])*1,"")</f>
        <v>0</v>
      </c>
      <c r="G236" s="235" cm="1">
        <f t="array" ref="G236">IFERROR(INDEX(РД[Стоимость с отделкой итог],MATCH($B$3&amp;Таблица4[[#This Row],[№]]&amp;"Продажа",РД[Дом]&amp;РД[№ кв]&amp;РД[Состояние],0),1),Таблица4[[#This Row],[Статус]])</f>
        <v>3792466.94</v>
      </c>
      <c r="H236" s="235">
        <f>_xlfn.XLOOKUP(Таблица4[[#This Row],[№]],Реестр_Д4[№],Реестр_Д4[Стоимость квартиры с отделкой],"-",0)</f>
        <v>3792466.94</v>
      </c>
      <c r="I236" s="235">
        <f>IFERROR(Таблица4[[#This Row],[СО ПП]]-Таблица4[[#This Row],[СО ДДУ]],"")</f>
        <v>0</v>
      </c>
      <c r="J236" s="233" cm="1">
        <f t="array" ref="J236">IFERROR(INDEX(РД[S],MATCH($B$3&amp;Таблица4[[#This Row],[№]]&amp;"Продажа",РД[Дом]&amp;РД[№ кв]&amp;РД[Состояние],0),1),Таблица4[[#This Row],[Статус]])</f>
        <v>33.79</v>
      </c>
      <c r="K236" s="233">
        <f>VLOOKUP(Таблица4[[#This Row],[№]],Реестр_Д4[],20,0)</f>
        <v>33.79</v>
      </c>
      <c r="L236" s="235">
        <f>IFERROR(Таблица4[[#This Row],[S ПП]]-Таблица4[[#This Row],[S ДДУ]],)</f>
        <v>0</v>
      </c>
      <c r="M236" s="235">
        <f>ROUND(_xlfn.XLOOKUP(Таблица4[[#This Row],[№]],Реестр_Д4[№],Реестр_Д4[Итоговая сумма скидки],"",0),2)</f>
        <v>0</v>
      </c>
      <c r="N236" s="235" cm="1">
        <f t="array" ref="N23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6" s="235">
        <f>IFERROR(Таблица4[[#This Row],[ППС]]-Таблица4[[#This Row],[ДДУС]],)</f>
        <v>0</v>
      </c>
      <c r="P236" s="611"/>
      <c r="Q236" s="234">
        <f>VLOOKUP(ППД5!A233,Реестр_Д5[№],1,0)</f>
        <v>232</v>
      </c>
      <c r="R236" s="234" t="str">
        <f>VLOOKUP(ППД5!CH233,Реестр_Д5[Статус],1,0)</f>
        <v>Продажа</v>
      </c>
      <c r="S236" s="612">
        <f>VLOOKUP(ППД5!BZ233,Реестр_Д5[Стоимость ОН без отделки со скидкой],1,0)</f>
        <v>5076164.76</v>
      </c>
      <c r="T236" s="612" cm="1">
        <f t="array" ref="T236">IFERROR(INDEX(РД[Стоимость без отделки итог],MATCH($Q$3&amp;Таблица10[[#This Row],[№]]&amp;"Продажа",РД[Дом]&amp;РД[№ кв]&amp;РД[Состояние],0),1),Таблица10[[#This Row],[Статус]])</f>
        <v>5076164.76</v>
      </c>
      <c r="U236" s="235">
        <f>IFERROR((Таблица10[[#This Row],[ПП]]-Таблица10[[#This Row],[ДДУ]])*1,)</f>
        <v>0</v>
      </c>
      <c r="V236" s="235" cm="1">
        <f t="array" ref="V236">IFERROR(INDEX(РД[Стоимость с отделкой итог],MATCH($Q$3&amp;Таблица10[[#This Row],[№]]&amp;"Продажа",РД[Дом]&amp;РД[№ кв]&amp;РД[Состояние],0),1),Таблица10[[#This Row],[Статус]])</f>
        <v>5076164.76</v>
      </c>
      <c r="W236" s="235">
        <f>_xlfn.XLOOKUP(Таблица10[[#This Row],[№]],Реестр_Д5[№],Реестр_Д5[Стоимость квартиры с отделкой],"-",0)</f>
        <v>5076164.76</v>
      </c>
      <c r="X236" s="235">
        <f>IFERROR(Таблица10[[#This Row],[СО ПП]]-Таблица10[[#This Row],[СО ДДУ]],"")</f>
        <v>0</v>
      </c>
      <c r="Y236" s="233" cm="1">
        <f t="array" ref="Y236">IFERROR(INDEX(РД[S],MATCH($Q$3&amp;Таблица10[[#This Row],[№]]&amp;"Продажа",РД[Дом]&amp;РД[№ кв]&amp;РД[Состояние],0),1),Таблица10[[#This Row],[Статус]])</f>
        <v>59.68</v>
      </c>
      <c r="Z236" s="233">
        <f>IF(Таблица10[[#This Row],[№]]&amp;"ДДУ"=ППД5!A233&amp;ППД5!CR233,ППД5!U233,ППД5!V233)</f>
        <v>59.68</v>
      </c>
      <c r="AA236" s="285">
        <f>IFERROR(Таблица10[[#This Row],[S ПП]]-Таблица10[[#This Row],[S ДДУ]],)</f>
        <v>0</v>
      </c>
      <c r="AB236" s="235">
        <f>ROUND(_xlfn.XLOOKUP(Таблица10[[#This Row],[№]],Реестр_Д5[№],Реестр_Д5[Итоговая сумма скидки],"",0),2)</f>
        <v>0</v>
      </c>
      <c r="AC236" s="235" cm="1">
        <f t="array" ref="AC23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36" s="285">
        <f>IFERROR(Таблица10[[#This Row],[ППС]]-Таблица10[[#This Row],[ДДУС]],)</f>
        <v>0</v>
      </c>
      <c r="AE236" s="611"/>
      <c r="AT236" s="611"/>
      <c r="AU236" s="484">
        <f>VLOOKUP(ППД402!A233,Д402[],1,0)</f>
        <v>232</v>
      </c>
      <c r="AV236" s="484" t="str">
        <f>_xlfn.XLOOKUP(Т402[[#This Row],[№]],Д402[№],Д402[Статус],"-",0)</f>
        <v>Свободно</v>
      </c>
      <c r="AW236" s="613">
        <f>_xlfn.XLOOKUP(Т402[[#This Row],[№]],Д402[№],Д402[Стоимость ОН без отделки со скидкой],"-",0)</f>
        <v>6953900</v>
      </c>
      <c r="AX236" s="614" t="str" cm="1">
        <f t="array" ref="AX236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36" s="485" t="str">
        <f>IFERROR((Т402[[#This Row],[ПП]]-Т402[[#This Row],[ДДУ]])*1,"")</f>
        <v/>
      </c>
      <c r="AZ236" s="486" t="str" cm="1">
        <f t="array" ref="AZ236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36" s="485">
        <f>_xlfn.XLOOKUP(Т402[[#This Row],[№]],Д402[№],Д402[Стоимость квартиры с отделкой],"-",0)</f>
        <v>6953900</v>
      </c>
      <c r="BB236" s="485" t="str">
        <f>IFERROR(Т402[[#This Row],[СО ПП]]-Т402[[#This Row],[СО ДДУ]],"")</f>
        <v/>
      </c>
      <c r="BC236" s="487" t="str" cm="1">
        <f t="array" ref="BC236">IFERROR(INDEX(РД[S],MATCH($AU$3&amp;Т402[[#This Row],[№]]&amp;"Продажа",РД[Дом]&amp;РД[№ кв]&amp;РД[Состояние],0),1),Т402[[#This Row],[Статус]])</f>
        <v>Свободно</v>
      </c>
      <c r="BD236" s="483">
        <f>_xlfn.XLOOKUP(Т402[[#This Row],[№]],Д402[№],Д402[Расчетная проектная площадь],"-",0)</f>
        <v>56</v>
      </c>
      <c r="BE236" s="485" t="str">
        <f>IFERROR(Т402[[#This Row],[S ПП]]-Т402[[#This Row],[S ДДУ]],"")</f>
        <v/>
      </c>
      <c r="BF236" s="485">
        <f>_xlfn.XLOOKUP(Т402[[#This Row],[№]],Д402[№],Д402[Итоговая сумма скидки],"-",0)</f>
        <v>0</v>
      </c>
      <c r="BG236" s="486" t="str" cm="1">
        <f t="array" ref="BG236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36" s="488" t="str">
        <f>IFERROR(Т402[[#This Row],[ППС]]-Т402[[#This Row],[ДДУС]],"")</f>
        <v/>
      </c>
    </row>
    <row r="237" spans="1:60" x14ac:dyDescent="0.2">
      <c r="A237" s="611"/>
      <c r="B237" s="234">
        <f>VLOOKUP(ППД4!A234,Реестр_Д4[№],1,0)</f>
        <v>233</v>
      </c>
      <c r="C237" s="234" t="str">
        <f>VLOOKUP(ППД4!CO234,Реестр_Д4[Статус],1,0)</f>
        <v>Продажа</v>
      </c>
      <c r="D237" s="612">
        <f>VLOOKUP(ППД4!CE234,Реестр_Д4[Стоимость ОН без отделки со скидкой],1,0)</f>
        <v>2299638.6</v>
      </c>
      <c r="E237" s="612" cm="1">
        <f t="array" ref="E237">IFERROR(INDEX(РД[Стоимость без отделки итог],MATCH($B$3&amp;Таблица4[[#This Row],[№]]&amp;"Продажа",РД[Дом]&amp;РД[№ кв]&amp;РД[Состояние],0),1),Таблица4[[#This Row],[Статус]])</f>
        <v>2299638.6</v>
      </c>
      <c r="F237" s="235">
        <f>IFERROR((Таблица4[[#This Row],[ПП]]-Таблица4[[#This Row],[ДДУ]])*1,"")</f>
        <v>0</v>
      </c>
      <c r="G237" s="235" cm="1">
        <f t="array" ref="G237">IFERROR(INDEX(РД[Стоимость с отделкой итог],MATCH($B$3&amp;Таблица4[[#This Row],[№]]&amp;"Продажа",РД[Дом]&amp;РД[№ кв]&amp;РД[Состояние],0),1),Таблица4[[#This Row],[Статус]])</f>
        <v>2299638.6</v>
      </c>
      <c r="H237" s="235">
        <f>_xlfn.XLOOKUP(Таблица4[[#This Row],[№]],Реестр_Д4[№],Реестр_Д4[Стоимость квартиры с отделкой],"-",0)</f>
        <v>2299638.6</v>
      </c>
      <c r="I237" s="235">
        <f>IFERROR(Таблица4[[#This Row],[СО ПП]]-Таблица4[[#This Row],[СО ДДУ]],"")</f>
        <v>0</v>
      </c>
      <c r="J237" s="233" cm="1">
        <f t="array" ref="J237">IFERROR(INDEX(РД[S],MATCH($B$3&amp;Таблица4[[#This Row],[№]]&amp;"Продажа",РД[Дом]&amp;РД[№ кв]&amp;РД[Состояние],0),1),Таблица4[[#This Row],[Статус]])</f>
        <v>28.97</v>
      </c>
      <c r="K237" s="233">
        <f>VLOOKUP(Таблица4[[#This Row],[№]],Реестр_Д4[],20,0)</f>
        <v>28.97</v>
      </c>
      <c r="L237" s="235">
        <f>IFERROR(Таблица4[[#This Row],[S ПП]]-Таблица4[[#This Row],[S ДДУ]],)</f>
        <v>0</v>
      </c>
      <c r="M237" s="235">
        <f>ROUND(_xlfn.XLOOKUP(Таблица4[[#This Row],[№]],Реестр_Д4[№],Реестр_Д4[Итоговая сумма скидки],"",0),2)</f>
        <v>0</v>
      </c>
      <c r="N237" s="235" cm="1">
        <f t="array" ref="N23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7" s="235">
        <f>IFERROR(Таблица4[[#This Row],[ППС]]-Таблица4[[#This Row],[ДДУС]],)</f>
        <v>0</v>
      </c>
      <c r="P237" s="611"/>
      <c r="Q237" s="234">
        <f>VLOOKUP(ППД5!A234,Реестр_Д5[№],1,0)</f>
        <v>233</v>
      </c>
      <c r="R237" s="234" t="str">
        <f>VLOOKUP(ППД5!CH234,Реестр_Д5[Статус],1,0)</f>
        <v>Продажа</v>
      </c>
      <c r="S237" s="612">
        <f>VLOOKUP(ППД5!BZ234,Реестр_Д5[Стоимость ОН без отделки со скидкой],1,0)</f>
        <v>4390800</v>
      </c>
      <c r="T237" s="612" cm="1">
        <f t="array" ref="T237">IFERROR(INDEX(РД[Стоимость без отделки итог],MATCH($Q$3&amp;Таблица10[[#This Row],[№]]&amp;"Продажа",РД[Дом]&amp;РД[№ кв]&amp;РД[Состояние],0),1),Таблица10[[#This Row],[Статус]])</f>
        <v>4390800</v>
      </c>
      <c r="U237" s="235">
        <f>IFERROR((Таблица10[[#This Row],[ПП]]-Таблица10[[#This Row],[ДДУ]])*1,)</f>
        <v>0</v>
      </c>
      <c r="V237" s="235" cm="1">
        <f t="array" ref="V237">IFERROR(INDEX(РД[Стоимость с отделкой итог],MATCH($Q$3&amp;Таблица10[[#This Row],[№]]&amp;"Продажа",РД[Дом]&amp;РД[№ кв]&amp;РД[Состояние],0),1),Таблица10[[#This Row],[Статус]])</f>
        <v>4655470</v>
      </c>
      <c r="W237" s="235">
        <f>_xlfn.XLOOKUP(Таблица10[[#This Row],[№]],Реестр_Д5[№],Реестр_Д5[Стоимость квартиры с отделкой],"-",0)</f>
        <v>4655470</v>
      </c>
      <c r="X237" s="235">
        <f>IFERROR(Таблица10[[#This Row],[СО ПП]]-Таблица10[[#This Row],[СО ДДУ]],"")</f>
        <v>0</v>
      </c>
      <c r="Y237" s="233" cm="1">
        <f t="array" ref="Y237">IFERROR(INDEX(РД[S],MATCH($Q$3&amp;Таблица10[[#This Row],[№]]&amp;"Продажа",РД[Дом]&amp;РД[№ кв]&amp;РД[Состояние],0),1),Таблица10[[#This Row],[Статус]])</f>
        <v>37.81</v>
      </c>
      <c r="Z237" s="233">
        <f>IF(Таблица10[[#This Row],[№]]&amp;"ДДУ"=ППД5!A234&amp;ППД5!CR234,ППД5!U234,ППД5!V234)</f>
        <v>37.81</v>
      </c>
      <c r="AA237" s="285">
        <f>IFERROR(Таблица10[[#This Row],[S ПП]]-Таблица10[[#This Row],[S ДДУ]],)</f>
        <v>0</v>
      </c>
      <c r="AB237" s="235">
        <f>ROUND(_xlfn.XLOOKUP(Таблица10[[#This Row],[№]],Реестр_Д5[№],Реестр_Д5[Итоговая сумма скидки],"",0),2)</f>
        <v>0</v>
      </c>
      <c r="AC237" s="235" cm="1">
        <f t="array" ref="AC23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37" s="285">
        <f>IFERROR(Таблица10[[#This Row],[ППС]]-Таблица10[[#This Row],[ДДУС]],)</f>
        <v>0</v>
      </c>
      <c r="AE237" s="611"/>
      <c r="AT237" s="611"/>
      <c r="AU237" s="484">
        <f>VLOOKUP(ППД402!A234,Д402[],1,0)</f>
        <v>233</v>
      </c>
      <c r="AV237" s="484" t="str">
        <f>_xlfn.XLOOKUP(Т402[[#This Row],[№]],Д402[№],Д402[Статус],"-",0)</f>
        <v>Стр. Резерв</v>
      </c>
      <c r="AW237" s="613">
        <f>_xlfn.XLOOKUP(Т402[[#This Row],[№]],Д402[№],Д402[Стоимость ОН без отделки со скидкой],"-",0)</f>
        <v>7344800</v>
      </c>
      <c r="AX237" s="614" t="str" cm="1">
        <f t="array" ref="AX23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37" s="485" t="str">
        <f>IFERROR((Т402[[#This Row],[ПП]]-Т402[[#This Row],[ДДУ]])*1,"")</f>
        <v/>
      </c>
      <c r="AZ237" s="486" t="str" cm="1">
        <f t="array" ref="AZ23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37" s="485">
        <f>_xlfn.XLOOKUP(Т402[[#This Row],[№]],Д402[№],Д402[Стоимость квартиры с отделкой],"-",0)</f>
        <v>7344800</v>
      </c>
      <c r="BB237" s="485" t="str">
        <f>IFERROR(Т402[[#This Row],[СО ПП]]-Т402[[#This Row],[СО ДДУ]],"")</f>
        <v/>
      </c>
      <c r="BC237" s="487" t="str" cm="1">
        <f t="array" ref="BC237">IFERROR(INDEX(РД[S],MATCH($AU$3&amp;Т402[[#This Row],[№]]&amp;"Продажа",РД[Дом]&amp;РД[№ кв]&amp;РД[Состояние],0),1),Т402[[#This Row],[Статус]])</f>
        <v>Стр. Резерв</v>
      </c>
      <c r="BD237" s="483">
        <f>_xlfn.XLOOKUP(Т402[[#This Row],[№]],Д402[№],Д402[Расчетная проектная площадь],"-",0)</f>
        <v>59.17</v>
      </c>
      <c r="BE237" s="485" t="str">
        <f>IFERROR(Т402[[#This Row],[S ПП]]-Т402[[#This Row],[S ДДУ]],"")</f>
        <v/>
      </c>
      <c r="BF237" s="485">
        <f>_xlfn.XLOOKUP(Т402[[#This Row],[№]],Д402[№],Д402[Итоговая сумма скидки],"-",0)</f>
        <v>0</v>
      </c>
      <c r="BG237" s="486" t="str" cm="1">
        <f t="array" ref="BG23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37" s="488" t="str">
        <f>IFERROR(Т402[[#This Row],[ППС]]-Т402[[#This Row],[ДДУС]],"")</f>
        <v/>
      </c>
    </row>
    <row r="238" spans="1:60" x14ac:dyDescent="0.2">
      <c r="A238" s="611"/>
      <c r="B238" s="234">
        <f>VLOOKUP(ППД4!A235,Реестр_Д4[№],1,0)</f>
        <v>234</v>
      </c>
      <c r="C238" s="234" t="str">
        <f>VLOOKUP(ППД4!CO235,Реестр_Д4[Статус],1,0)</f>
        <v>Продажа</v>
      </c>
      <c r="D238" s="612">
        <f>VLOOKUP(ППД4!CE235,Реестр_Д4[Стоимость ОН без отделки со скидкой],1,0)</f>
        <v>5960541.5999999996</v>
      </c>
      <c r="E238" s="612" cm="1">
        <f t="array" ref="E238">IFERROR(INDEX(РД[Стоимость без отделки итог],MATCH($B$3&amp;Таблица4[[#This Row],[№]]&amp;"Продажа",РД[Дом]&amp;РД[№ кв]&amp;РД[Состояние],0),1),Таблица4[[#This Row],[Статус]])</f>
        <v>5960541.5999999996</v>
      </c>
      <c r="F238" s="235">
        <f>IFERROR((Таблица4[[#This Row],[ПП]]-Таблица4[[#This Row],[ДДУ]])*1,"")</f>
        <v>0</v>
      </c>
      <c r="G238" s="235" cm="1">
        <f t="array" ref="G238">IFERROR(INDEX(РД[Стоимость с отделкой итог],MATCH($B$3&amp;Таблица4[[#This Row],[№]]&amp;"Продажа",РД[Дом]&amp;РД[№ кв]&amp;РД[Состояние],0),1),Таблица4[[#This Row],[Статус]])</f>
        <v>6476166.5999999996</v>
      </c>
      <c r="H238" s="235">
        <f>_xlfn.XLOOKUP(Таблица4[[#This Row],[№]],Реестр_Д4[№],Реестр_Д4[Стоимость квартиры с отделкой],"-",0)</f>
        <v>6476166.5999999996</v>
      </c>
      <c r="I238" s="235">
        <f>IFERROR(Таблица4[[#This Row],[СО ПП]]-Таблица4[[#This Row],[СО ДДУ]],"")</f>
        <v>0</v>
      </c>
      <c r="J238" s="233" cm="1">
        <f t="array" ref="J238">IFERROR(INDEX(РД[S],MATCH($B$3&amp;Таблица4[[#This Row],[№]]&amp;"Продажа",РД[Дом]&amp;РД[№ кв]&amp;РД[Состояние],0),1),Таблица4[[#This Row],[Статус]])</f>
        <v>68.75</v>
      </c>
      <c r="K238" s="233">
        <f>VLOOKUP(Таблица4[[#This Row],[№]],Реестр_Д4[],20,0)</f>
        <v>68.75</v>
      </c>
      <c r="L238" s="235">
        <f>IFERROR(Таблица4[[#This Row],[S ПП]]-Таблица4[[#This Row],[S ДДУ]],)</f>
        <v>0</v>
      </c>
      <c r="M238" s="235">
        <f>ROUND(_xlfn.XLOOKUP(Таблица4[[#This Row],[№]],Реестр_Д4[№],Реестр_Д4[Итоговая сумма скидки],"",0),2)</f>
        <v>121643.71</v>
      </c>
      <c r="N238" s="235" cm="1">
        <f t="array" ref="N238">IFERROR(ROUND(_xlfn.XLOOKUP($B$3&amp;Таблица4[[#This Row],[№]]&amp;"Продажа",РД[Дом]&amp;РД[№ кв]&amp;РД[Состояние],РД[Сумма скидки],"",0),2),Таблица4[[#This Row],[Статус]])</f>
        <v>121643.71</v>
      </c>
      <c r="O238" s="235">
        <f>IFERROR(Таблица4[[#This Row],[ППС]]-Таблица4[[#This Row],[ДДУС]],)</f>
        <v>0</v>
      </c>
      <c r="P238" s="611"/>
      <c r="Q238" s="234">
        <f>VLOOKUP(ППД5!A235,Реестр_Д5[№],1,0)</f>
        <v>234</v>
      </c>
      <c r="R238" s="234" t="str">
        <f>VLOOKUP(ППД5!CH235,Реестр_Д5[Статус],1,0)</f>
        <v>Продажа</v>
      </c>
      <c r="S238" s="612">
        <f>VLOOKUP(ППД5!BZ235,Реестр_Д5[Стоимость ОН без отделки со скидкой],1,0)</f>
        <v>7240953</v>
      </c>
      <c r="T238" s="612" cm="1">
        <f t="array" ref="T238">IFERROR(INDEX(РД[Стоимость без отделки итог],MATCH($Q$3&amp;Таблица10[[#This Row],[№]]&amp;"Продажа",РД[Дом]&amp;РД[№ кв]&amp;РД[Состояние],0),1),Таблица10[[#This Row],[Статус]])</f>
        <v>7240953</v>
      </c>
      <c r="U238" s="235">
        <f>IFERROR((Таблица10[[#This Row],[ПП]]-Таблица10[[#This Row],[ДДУ]])*1,)</f>
        <v>0</v>
      </c>
      <c r="V238" s="235" cm="1">
        <f t="array" ref="V238">IFERROR(INDEX(РД[Стоимость с отделкой итог],MATCH($Q$3&amp;Таблица10[[#This Row],[№]]&amp;"Продажа",РД[Дом]&amp;РД[№ кв]&amp;РД[Состояние],0),1),Таблица10[[#This Row],[Статус]])</f>
        <v>7807743</v>
      </c>
      <c r="W238" s="235">
        <f>_xlfn.XLOOKUP(Таблица10[[#This Row],[№]],Реестр_Д5[№],Реестр_Д5[Стоимость квартиры с отделкой],"-",0)</f>
        <v>7807743</v>
      </c>
      <c r="X238" s="235">
        <f>IFERROR(Таблица10[[#This Row],[СО ПП]]-Таблица10[[#This Row],[СО ДДУ]],"")</f>
        <v>0</v>
      </c>
      <c r="Y238" s="233" cm="1">
        <f t="array" ref="Y238">IFERROR(INDEX(РД[S],MATCH($Q$3&amp;Таблица10[[#This Row],[№]]&amp;"Продажа",РД[Дом]&amp;РД[№ кв]&amp;РД[Состояние],0),1),Таблица10[[#This Row],[Статус]])</f>
        <v>80.97</v>
      </c>
      <c r="Z238" s="233">
        <f>IF(Таблица10[[#This Row],[№]]&amp;"ДДУ"=ППД5!A235&amp;ППД5!CR235,ППД5!U235,ППД5!V235)</f>
        <v>80.97</v>
      </c>
      <c r="AA238" s="285">
        <f>IFERROR(Таблица10[[#This Row],[S ПП]]-Таблица10[[#This Row],[S ДДУ]],)</f>
        <v>0</v>
      </c>
      <c r="AB238" s="235">
        <f>ROUND(_xlfn.XLOOKUP(Таблица10[[#This Row],[№]],Реестр_Д5[№],Реестр_Д5[Итоговая сумма скидки],"",0),2)</f>
        <v>223947</v>
      </c>
      <c r="AC238" s="235" cm="1">
        <f t="array" ref="AC238">IFERROR(ROUND(_xlfn.XLOOKUP($Q$3&amp;Таблица10[[#This Row],[№]]&amp;"Продажа",РД[Дом]&amp;РД[№ кв]&amp;РД[Состояние],РД[Сумма скидки],"",0,-1),2),Таблица10[[#This Row],[Статус]])</f>
        <v>223947</v>
      </c>
      <c r="AD238" s="285">
        <f>IFERROR(Таблица10[[#This Row],[ППС]]-Таблица10[[#This Row],[ДДУС]],)</f>
        <v>0</v>
      </c>
      <c r="AE238" s="611"/>
      <c r="AT238" s="611"/>
      <c r="AU238" s="484">
        <f>VLOOKUP(ППД402!A235,Д402[],1,0)</f>
        <v>234</v>
      </c>
      <c r="AV238" s="484" t="str">
        <f>_xlfn.XLOOKUP(Т402[[#This Row],[№]],Д402[№],Д402[Статус],"-",0)</f>
        <v>Стр. Резерв</v>
      </c>
      <c r="AW238" s="613">
        <f>_xlfn.XLOOKUP(Т402[[#This Row],[№]],Д402[№],Д402[Стоимость ОН без отделки со скидкой],"-",0)</f>
        <v>4139600</v>
      </c>
      <c r="AX238" s="614" t="str" cm="1">
        <f t="array" ref="AX23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38" s="485" t="str">
        <f>IFERROR((Т402[[#This Row],[ПП]]-Т402[[#This Row],[ДДУ]])*1,"")</f>
        <v/>
      </c>
      <c r="AZ238" s="486" t="str" cm="1">
        <f t="array" ref="AZ23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38" s="485">
        <f>_xlfn.XLOOKUP(Т402[[#This Row],[№]],Д402[№],Д402[Стоимость квартиры с отделкой],"-",0)</f>
        <v>4139600</v>
      </c>
      <c r="BB238" s="485" t="str">
        <f>IFERROR(Т402[[#This Row],[СО ПП]]-Т402[[#This Row],[СО ДДУ]],"")</f>
        <v/>
      </c>
      <c r="BC238" s="487" t="str" cm="1">
        <f t="array" ref="BC238">IFERROR(INDEX(РД[S],MATCH($AU$3&amp;Т402[[#This Row],[№]]&amp;"Продажа",РД[Дом]&amp;РД[№ кв]&amp;РД[Состояние],0),1),Т402[[#This Row],[Статус]])</f>
        <v>Стр. Резерв</v>
      </c>
      <c r="BD238" s="483">
        <f>_xlfn.XLOOKUP(Т402[[#This Row],[№]],Д402[№],Д402[Расчетная проектная площадь],"-",0)</f>
        <v>29.66</v>
      </c>
      <c r="BE238" s="485" t="str">
        <f>IFERROR(Т402[[#This Row],[S ПП]]-Т402[[#This Row],[S ДДУ]],"")</f>
        <v/>
      </c>
      <c r="BF238" s="485">
        <f>_xlfn.XLOOKUP(Т402[[#This Row],[№]],Д402[№],Д402[Итоговая сумма скидки],"-",0)</f>
        <v>0</v>
      </c>
      <c r="BG238" s="486" t="str" cm="1">
        <f t="array" ref="BG23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38" s="488" t="str">
        <f>IFERROR(Т402[[#This Row],[ППС]]-Т402[[#This Row],[ДДУС]],"")</f>
        <v/>
      </c>
    </row>
    <row r="239" spans="1:60" x14ac:dyDescent="0.2">
      <c r="A239" s="611"/>
      <c r="B239" s="234">
        <f>VLOOKUP(ППД4!A236,Реестр_Д4[№],1,0)</f>
        <v>235</v>
      </c>
      <c r="C239" s="234" t="str">
        <f>VLOOKUP(ППД4!CO236,Реестр_Д4[Статус],1,0)</f>
        <v>Продажа</v>
      </c>
      <c r="D239" s="612">
        <f>VLOOKUP(ППД4!CE236,Реестр_Д4[Стоимость ОН без отделки со скидкой],1,0)</f>
        <v>3163624.76</v>
      </c>
      <c r="E239" s="612" cm="1">
        <f t="array" ref="E239">IFERROR(INDEX(РД[Стоимость без отделки итог],MATCH($B$3&amp;Таблица4[[#This Row],[№]]&amp;"Продажа",РД[Дом]&amp;РД[№ кв]&amp;РД[Состояние],0),1),Таблица4[[#This Row],[Статус]])</f>
        <v>3163624.7599999988</v>
      </c>
      <c r="F239" s="235">
        <f>IFERROR((Таблица4[[#This Row],[ПП]]-Таблица4[[#This Row],[ДДУ]])*1,"")</f>
        <v>9.3132257461547852E-10</v>
      </c>
      <c r="G239" s="235" cm="1">
        <f t="array" ref="G239">IFERROR(INDEX(РД[Стоимость с отделкой итог],MATCH($B$3&amp;Таблица4[[#This Row],[№]]&amp;"Продажа",РД[Дом]&amp;РД[№ кв]&amp;РД[Состояние],0),1),Таблица4[[#This Row],[Статус]])</f>
        <v>3305144.76</v>
      </c>
      <c r="H239" s="235">
        <f>_xlfn.XLOOKUP(Таблица4[[#This Row],[№]],Реестр_Д4[№],Реестр_Д4[Стоимость квартиры с отделкой],"-",0)</f>
        <v>3305144.76</v>
      </c>
      <c r="I239" s="235">
        <f>IFERROR(Таблица4[[#This Row],[СО ПП]]-Таблица4[[#This Row],[СО ДДУ]],"")</f>
        <v>0</v>
      </c>
      <c r="J239" s="233" cm="1">
        <f t="array" ref="J239">IFERROR(INDEX(РД[S],MATCH($B$3&amp;Таблица4[[#This Row],[№]]&amp;"Продажа",РД[Дом]&amp;РД[№ кв]&amp;РД[Состояние],0),1),Таблица4[[#This Row],[Статус]])</f>
        <v>35.380000000000003</v>
      </c>
      <c r="K239" s="233">
        <f>VLOOKUP(Таблица4[[#This Row],[№]],Реестр_Д4[],20,0)</f>
        <v>35.380000000000003</v>
      </c>
      <c r="L239" s="235">
        <f>IFERROR(Таблица4[[#This Row],[S ПП]]-Таблица4[[#This Row],[S ДДУ]],)</f>
        <v>0</v>
      </c>
      <c r="M239" s="235">
        <f>ROUND(_xlfn.XLOOKUP(Таблица4[[#This Row],[№]],Реестр_Д4[№],Реестр_Д4[Итоговая сумма скидки],"",0),2)</f>
        <v>0</v>
      </c>
      <c r="N239" s="235" cm="1">
        <f t="array" ref="N23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39" s="235">
        <f>IFERROR(Таблица4[[#This Row],[ППС]]-Таблица4[[#This Row],[ДДУС]],)</f>
        <v>0</v>
      </c>
      <c r="P239" s="611"/>
      <c r="Q239" s="234">
        <f>VLOOKUP(ППД5!A236,Реестр_Д5[№],1,0)</f>
        <v>235</v>
      </c>
      <c r="R239" s="234" t="str">
        <f>VLOOKUP(ППД5!CH236,Реестр_Д5[Статус],1,0)</f>
        <v>Продажа</v>
      </c>
      <c r="S239" s="612">
        <f>VLOOKUP(ППД5!BZ236,Реестр_Д5[Стоимость ОН без отделки со скидкой],1,0)</f>
        <v>3637805.47</v>
      </c>
      <c r="T239" s="612" cm="1">
        <f t="array" ref="T239">IFERROR(INDEX(РД[Стоимость без отделки итог],MATCH($Q$3&amp;Таблица10[[#This Row],[№]]&amp;"Продажа",РД[Дом]&amp;РД[№ кв]&amp;РД[Состояние],0),1),Таблица10[[#This Row],[Статус]])</f>
        <v>3637805.47</v>
      </c>
      <c r="U239" s="235">
        <f>IFERROR((Таблица10[[#This Row],[ПП]]-Таблица10[[#This Row],[ДДУ]])*1,)</f>
        <v>0</v>
      </c>
      <c r="V239" s="235" cm="1">
        <f t="array" ref="V239">IFERROR(INDEX(РД[Стоимость с отделкой итог],MATCH($Q$3&amp;Таблица10[[#This Row],[№]]&amp;"Продажа",РД[Дом]&amp;РД[№ кв]&amp;РД[Состояние],0),1),Таблица10[[#This Row],[Статус]])</f>
        <v>3637805.47</v>
      </c>
      <c r="W239" s="235">
        <f>_xlfn.XLOOKUP(Таблица10[[#This Row],[№]],Реестр_Д5[№],Реестр_Д5[Стоимость квартиры с отделкой],"-",0)</f>
        <v>3637805.47</v>
      </c>
      <c r="X239" s="235">
        <f>IFERROR(Таблица10[[#This Row],[СО ПП]]-Таблица10[[#This Row],[СО ДДУ]],"")</f>
        <v>0</v>
      </c>
      <c r="Y239" s="233" cm="1">
        <f t="array" ref="Y239">IFERROR(INDEX(РД[S],MATCH($Q$3&amp;Таблица10[[#This Row],[№]]&amp;"Продажа",РД[Дом]&amp;РД[№ кв]&amp;РД[Состояние],0),1),Таблица10[[#This Row],[Статус]])</f>
        <v>34.81</v>
      </c>
      <c r="Z239" s="233">
        <f>IF(Таблица10[[#This Row],[№]]&amp;"ДДУ"=ППД5!A236&amp;ППД5!CR236,ППД5!U236,ППД5!V236)</f>
        <v>34.81</v>
      </c>
      <c r="AA239" s="285">
        <f>IFERROR(Таблица10[[#This Row],[S ПП]]-Таблица10[[#This Row],[S ДДУ]],)</f>
        <v>0</v>
      </c>
      <c r="AB239" s="235">
        <f>ROUND(_xlfn.XLOOKUP(Таблица10[[#This Row],[№]],Реестр_Д5[№],Реестр_Д5[Итоговая сумма скидки],"",0),2)</f>
        <v>0</v>
      </c>
      <c r="AC239" s="235" cm="1">
        <f t="array" ref="AC23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39" s="285">
        <f>IFERROR(Таблица10[[#This Row],[ППС]]-Таблица10[[#This Row],[ДДУС]],)</f>
        <v>0</v>
      </c>
      <c r="AE239" s="611"/>
      <c r="AT239" s="611"/>
      <c r="AU239" s="484">
        <f>VLOOKUP(ППД402!A236,Д402[],1,0)</f>
        <v>235</v>
      </c>
      <c r="AV239" s="484" t="str">
        <f>_xlfn.XLOOKUP(Т402[[#This Row],[№]],Д402[№],Д402[Статус],"-",0)</f>
        <v>Продажа</v>
      </c>
      <c r="AW239" s="613">
        <f>_xlfn.XLOOKUP(Т402[[#This Row],[№]],Д402[№],Д402[Стоимость ОН без отделки со скидкой],"-",0)</f>
        <v>5465656</v>
      </c>
      <c r="AX239" s="614" cm="1">
        <f t="array" ref="AX239">IFERROR(INDEX(РД[Стоимость без отделки итог],MATCH($AU$3&amp;Т402[[#This Row],[№]]&amp;"Продажа",РД[Дом]&amp;РД[№ кв]&amp;РД[Состояние],0),1),Т402[[#This Row],[Статус]])</f>
        <v>5465656</v>
      </c>
      <c r="AY239" s="485">
        <f>IFERROR((Т402[[#This Row],[ПП]]-Т402[[#This Row],[ДДУ]])*1,"")</f>
        <v>0</v>
      </c>
      <c r="AZ239" s="486" cm="1">
        <f t="array" ref="AZ239">IFERROR(INDEX(РД[Стоимость с отделкой итог],MATCH($AU$3&amp;Т402[[#This Row],[№]]&amp;"Продажа",РД[Дом]&amp;РД[№ кв]&amp;РД[Состояние],0),1),Т402[[#This Row],[Статус]])</f>
        <v>5465656</v>
      </c>
      <c r="BA239" s="485">
        <f>_xlfn.XLOOKUP(Т402[[#This Row],[№]],Д402[№],Д402[Стоимость квартиры с отделкой],"-",0)</f>
        <v>5465656</v>
      </c>
      <c r="BB239" s="485">
        <f>IFERROR(Т402[[#This Row],[СО ПП]]-Т402[[#This Row],[СО ДДУ]],"")</f>
        <v>0</v>
      </c>
      <c r="BC239" s="487" cm="1">
        <f t="array" ref="BC239">IFERROR(INDEX(РД[S],MATCH($AU$3&amp;Т402[[#This Row],[№]]&amp;"Продажа",РД[Дом]&amp;РД[№ кв]&amp;РД[Состояние],0),1),Т402[[#This Row],[Статус]])</f>
        <v>44.16</v>
      </c>
      <c r="BD239" s="483">
        <f>_xlfn.XLOOKUP(Т402[[#This Row],[№]],Д402[№],Д402[Расчетная проектная площадь],"-",0)</f>
        <v>44.16</v>
      </c>
      <c r="BE239" s="485">
        <f>IFERROR(Т402[[#This Row],[S ПП]]-Т402[[#This Row],[S ДДУ]],"")</f>
        <v>0</v>
      </c>
      <c r="BF239" s="485">
        <f>_xlfn.XLOOKUP(Т402[[#This Row],[№]],Д402[№],Д402[Итоговая сумма скидки],"-",0)</f>
        <v>111544</v>
      </c>
      <c r="BG239" s="486" cm="1">
        <f t="array" ref="BG239">IFERROR(ROUND(_xlfn.XLOOKUP($AU$3&amp;Т402[[#This Row],[№]]&amp;"Продажа",РД[Дом]&amp;РД[№ кв]&amp;РД[Состояние],РД[Сумма скидки],"",0),2),Т402[[#This Row],[Статус]])</f>
        <v>111544</v>
      </c>
      <c r="BH239" s="488">
        <f>IFERROR(Т402[[#This Row],[ППС]]-Т402[[#This Row],[ДДУС]],"")</f>
        <v>0</v>
      </c>
    </row>
    <row r="240" spans="1:60" x14ac:dyDescent="0.2">
      <c r="A240" s="611"/>
      <c r="B240" s="234">
        <f>VLOOKUP(ППД4!A237,Реестр_Д4[№],1,0)</f>
        <v>236</v>
      </c>
      <c r="C240" s="234" t="str">
        <f>VLOOKUP(ППД4!CO237,Реестр_Д4[Статус],1,0)</f>
        <v>Продажа</v>
      </c>
      <c r="D240" s="612">
        <f>VLOOKUP(ППД4!CE237,Реестр_Д4[Стоимость ОН без отделки со скидкой],1,0)</f>
        <v>2855514.05</v>
      </c>
      <c r="E240" s="612" cm="1">
        <f t="array" ref="E240">IFERROR(INDEX(РД[Стоимость без отделки итог],MATCH($B$3&amp;Таблица4[[#This Row],[№]]&amp;"Продажа",РД[Дом]&amp;РД[№ кв]&amp;РД[Состояние],0),1),Таблица4[[#This Row],[Статус]])</f>
        <v>2855514.05</v>
      </c>
      <c r="F240" s="235">
        <f>IFERROR((Таблица4[[#This Row],[ПП]]-Таблица4[[#This Row],[ДДУ]])*1,"")</f>
        <v>0</v>
      </c>
      <c r="G240" s="235" cm="1">
        <f t="array" ref="G240">IFERROR(INDEX(РД[Стоимость с отделкой итог],MATCH($B$3&amp;Таблица4[[#This Row],[№]]&amp;"Продажа",РД[Дом]&amp;РД[№ кв]&amp;РД[Состояние],0),1),Таблица4[[#This Row],[Статус]])</f>
        <v>2855514.05</v>
      </c>
      <c r="H240" s="235">
        <f>_xlfn.XLOOKUP(Таблица4[[#This Row],[№]],Реестр_Д4[№],Реестр_Д4[Стоимость квартиры с отделкой],"-",0)</f>
        <v>2855514.05</v>
      </c>
      <c r="I240" s="235">
        <f>IFERROR(Таблица4[[#This Row],[СО ПП]]-Таблица4[[#This Row],[СО ДДУ]],"")</f>
        <v>0</v>
      </c>
      <c r="J240" s="233" cm="1">
        <f t="array" ref="J240">IFERROR(INDEX(РД[S],MATCH($B$3&amp;Таблица4[[#This Row],[№]]&amp;"Продажа",РД[Дом]&amp;РД[№ кв]&amp;РД[Состояние],0),1),Таблица4[[#This Row],[Статус]])</f>
        <v>37.81</v>
      </c>
      <c r="K240" s="233">
        <f>VLOOKUP(Таблица4[[#This Row],[№]],Реестр_Д4[],20,0)</f>
        <v>37.81</v>
      </c>
      <c r="L240" s="235">
        <f>IFERROR(Таблица4[[#This Row],[S ПП]]-Таблица4[[#This Row],[S ДДУ]],)</f>
        <v>0</v>
      </c>
      <c r="M240" s="235">
        <f>ROUND(_xlfn.XLOOKUP(Таблица4[[#This Row],[№]],Реестр_Д4[№],Реестр_Д4[Итоговая сумма скидки],"",0),2)</f>
        <v>150290.21</v>
      </c>
      <c r="N240" s="235" cm="1">
        <f t="array" ref="N240">IFERROR(ROUND(_xlfn.XLOOKUP($B$3&amp;Таблица4[[#This Row],[№]]&amp;"Продажа",РД[Дом]&amp;РД[№ кв]&amp;РД[Состояние],РД[Сумма скидки],"",0),2),Таблица4[[#This Row],[Статус]])</f>
        <v>150290.21</v>
      </c>
      <c r="O240" s="235">
        <f>IFERROR(Таблица4[[#This Row],[ППС]]-Таблица4[[#This Row],[ДДУС]],)</f>
        <v>0</v>
      </c>
      <c r="P240" s="611"/>
      <c r="Q240" s="234">
        <f>VLOOKUP(ППД5!A237,Реестр_Д5[№],1,0)</f>
        <v>236</v>
      </c>
      <c r="R240" s="234" t="str">
        <f>VLOOKUP(ППД5!CH237,Реестр_Д5[Статус],1,0)</f>
        <v>Свободно</v>
      </c>
      <c r="S240" s="612">
        <f>VLOOKUP(ППД5!BZ237,Реестр_Д5[Стоимость ОН без отделки со скидкой],1,0)</f>
        <v>8535000</v>
      </c>
      <c r="T240" s="612" t="str" cm="1">
        <f t="array" ref="T24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40" s="235">
        <f>IFERROR((Таблица10[[#This Row],[ПП]]-Таблица10[[#This Row],[ДДУ]])*1,)</f>
        <v>0</v>
      </c>
      <c r="V240" s="235" t="str" cm="1">
        <f t="array" ref="V24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40" s="235">
        <f>_xlfn.XLOOKUP(Таблица10[[#This Row],[№]],Реестр_Д5[№],Реестр_Д5[Стоимость квартиры с отделкой],"-",0)</f>
        <v>8535000</v>
      </c>
      <c r="X240" s="235" t="str">
        <f>IFERROR(Таблица10[[#This Row],[СО ПП]]-Таблица10[[#This Row],[СО ДДУ]],"")</f>
        <v/>
      </c>
      <c r="Y240" s="233" t="str" cm="1">
        <f t="array" ref="Y240">IFERROR(INDEX(РД[S],MATCH($Q$3&amp;Таблица10[[#This Row],[№]]&amp;"Продажа",РД[Дом]&amp;РД[№ кв]&amp;РД[Состояние],0),1),Таблица10[[#This Row],[Статус]])</f>
        <v>Свободно</v>
      </c>
      <c r="Z240" s="233">
        <f>IF(Таблица10[[#This Row],[№]]&amp;"ДДУ"=ППД5!A237&amp;ППД5!CR237,ППД5!U237,ППД5!V237)</f>
        <v>73.3</v>
      </c>
      <c r="AA240" s="285">
        <f>IFERROR(Таблица10[[#This Row],[S ПП]]-Таблица10[[#This Row],[S ДДУ]],)</f>
        <v>0</v>
      </c>
      <c r="AB240" s="235">
        <f>ROUND(_xlfn.XLOOKUP(Таблица10[[#This Row],[№]],Реестр_Д5[№],Реестр_Д5[Итоговая сумма скидки],"",0),2)</f>
        <v>0</v>
      </c>
      <c r="AC240" s="235" t="str" cm="1">
        <f t="array" ref="AC24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40" s="285">
        <f>IFERROR(Таблица10[[#This Row],[ППС]]-Таблица10[[#This Row],[ДДУС]],)</f>
        <v>0</v>
      </c>
      <c r="AE240" s="611"/>
      <c r="AT240" s="611"/>
      <c r="AU240" s="484">
        <f>VLOOKUP(ППД402!A237,Д402[],1,0)</f>
        <v>236</v>
      </c>
      <c r="AV240" s="484" t="str">
        <f>_xlfn.XLOOKUP(Т402[[#This Row],[№]],Д402[№],Д402[Статус],"-",0)</f>
        <v>Продажа</v>
      </c>
      <c r="AW240" s="613">
        <f>_xlfn.XLOOKUP(Т402[[#This Row],[№]],Д402[№],Д402[Стоимость ОН без отделки со скидкой],"-",0)</f>
        <v>4732812</v>
      </c>
      <c r="AX240" s="614" cm="1">
        <f t="array" ref="AX240">IFERROR(INDEX(РД[Стоимость без отделки итог],MATCH($AU$3&amp;Т402[[#This Row],[№]]&amp;"Продажа",РД[Дом]&amp;РД[№ кв]&amp;РД[Состояние],0),1),Т402[[#This Row],[Статус]])</f>
        <v>4732812</v>
      </c>
      <c r="AY240" s="485">
        <f>IFERROR((Т402[[#This Row],[ПП]]-Т402[[#This Row],[ДДУ]])*1,"")</f>
        <v>0</v>
      </c>
      <c r="AZ240" s="486" cm="1">
        <f t="array" ref="AZ240">IFERROR(INDEX(РД[Стоимость с отделкой итог],MATCH($AU$3&amp;Т402[[#This Row],[№]]&amp;"Продажа",РД[Дом]&amp;РД[№ кв]&amp;РД[Состояние],0),1),Т402[[#This Row],[Статус]])</f>
        <v>5098312</v>
      </c>
      <c r="BA240" s="485">
        <f>_xlfn.XLOOKUP(Т402[[#This Row],[№]],Д402[№],Д402[Стоимость квартиры с отделкой],"-",0)</f>
        <v>5098312</v>
      </c>
      <c r="BB240" s="485">
        <f>IFERROR(Т402[[#This Row],[СО ПП]]-Т402[[#This Row],[СО ДДУ]],"")</f>
        <v>0</v>
      </c>
      <c r="BC240" s="487" cm="1">
        <f t="array" ref="BC240">IFERROR(INDEX(РД[S],MATCH($AU$3&amp;Т402[[#This Row],[№]]&amp;"Продажа",РД[Дом]&amp;РД[№ кв]&amp;РД[Состояние],0),1),Т402[[#This Row],[Статус]])</f>
        <v>36.549999999999997</v>
      </c>
      <c r="BD240" s="483">
        <f>_xlfn.XLOOKUP(Т402[[#This Row],[№]],Д402[№],Д402[Расчетная проектная площадь],"-",0)</f>
        <v>36.549999999999997</v>
      </c>
      <c r="BE240" s="485">
        <f>IFERROR(Т402[[#This Row],[S ПП]]-Т402[[#This Row],[S ДДУ]],"")</f>
        <v>0</v>
      </c>
      <c r="BF240" s="485">
        <f>_xlfn.XLOOKUP(Т402[[#This Row],[№]],Д402[№],Д402[Итоговая сумма скидки],"-",0)</f>
        <v>96588</v>
      </c>
      <c r="BG240" s="486" cm="1">
        <f t="array" ref="BG240">IFERROR(ROUND(_xlfn.XLOOKUP($AU$3&amp;Т402[[#This Row],[№]]&amp;"Продажа",РД[Дом]&amp;РД[№ кв]&amp;РД[Состояние],РД[Сумма скидки],"",0),2),Т402[[#This Row],[Статус]])</f>
        <v>96588</v>
      </c>
      <c r="BH240" s="488">
        <f>IFERROR(Т402[[#This Row],[ППС]]-Т402[[#This Row],[ДДУС]],"")</f>
        <v>0</v>
      </c>
    </row>
    <row r="241" spans="1:60" x14ac:dyDescent="0.2">
      <c r="A241" s="611"/>
      <c r="B241" s="234">
        <f>VLOOKUP(ППД4!A238,Реестр_Д4[№],1,0)</f>
        <v>237</v>
      </c>
      <c r="C241" s="234" t="str">
        <f>VLOOKUP(ППД4!CO238,Реестр_Д4[Статус],1,0)</f>
        <v>Продажа</v>
      </c>
      <c r="D241" s="612">
        <f>VLOOKUP(ППД4!CE238,Реестр_Д4[Стоимость ОН без отделки со скидкой],1,0)</f>
        <v>3217007.5</v>
      </c>
      <c r="E241" s="612" cm="1">
        <f t="array" ref="E241">IFERROR(INDEX(РД[Стоимость без отделки итог],MATCH($B$3&amp;Таблица4[[#This Row],[№]]&amp;"Продажа",РД[Дом]&amp;РД[№ кв]&amp;РД[Состояние],0),1),Таблица4[[#This Row],[Статус]])</f>
        <v>3217007.5</v>
      </c>
      <c r="F241" s="235">
        <f>IFERROR((Таблица4[[#This Row],[ПП]]-Таблица4[[#This Row],[ДДУ]])*1,"")</f>
        <v>0</v>
      </c>
      <c r="G241" s="235" cm="1">
        <f t="array" ref="G241">IFERROR(INDEX(РД[Стоимость с отделкой итог],MATCH($B$3&amp;Таблица4[[#This Row],[№]]&amp;"Продажа",РД[Дом]&amp;РД[№ кв]&amp;РД[Состояние],0),1),Таблица4[[#This Row],[Статус]])</f>
        <v>3217007.5</v>
      </c>
      <c r="H241" s="235">
        <f>_xlfn.XLOOKUP(Таблица4[[#This Row],[№]],Реестр_Д4[№],Реестр_Д4[Стоимость квартиры с отделкой],"-",0)</f>
        <v>3217007.5</v>
      </c>
      <c r="I241" s="235">
        <f>IFERROR(Таблица4[[#This Row],[СО ПП]]-Таблица4[[#This Row],[СО ДДУ]],"")</f>
        <v>0</v>
      </c>
      <c r="J241" s="233" cm="1">
        <f t="array" ref="J241">IFERROR(INDEX(РД[S],MATCH($B$3&amp;Таблица4[[#This Row],[№]]&amp;"Продажа",РД[Дом]&amp;РД[№ кв]&amp;РД[Состояние],0),1),Таблица4[[#This Row],[Статус]])</f>
        <v>36.700000000000003</v>
      </c>
      <c r="K241" s="233">
        <f>VLOOKUP(Таблица4[[#This Row],[№]],Реестр_Д4[],20,0)</f>
        <v>36.700000000000003</v>
      </c>
      <c r="L241" s="235">
        <f>IFERROR(Таблица4[[#This Row],[S ПП]]-Таблица4[[#This Row],[S ДДУ]],)</f>
        <v>0</v>
      </c>
      <c r="M241" s="235">
        <f>ROUND(_xlfn.XLOOKUP(Таблица4[[#This Row],[№]],Реестр_Д4[№],Реестр_Д4[Итоговая сумма скидки],"",0),2)</f>
        <v>0</v>
      </c>
      <c r="N241" s="235" cm="1">
        <f t="array" ref="N24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1" s="235">
        <f>IFERROR(Таблица4[[#This Row],[ППС]]-Таблица4[[#This Row],[ДДУС]],)</f>
        <v>0</v>
      </c>
      <c r="P241" s="611"/>
      <c r="Q241" s="234">
        <f>VLOOKUP(ППД5!A238,Реестр_Д5[№],1,0)</f>
        <v>237</v>
      </c>
      <c r="R241" s="234" t="str">
        <f>VLOOKUP(ППД5!CH238,Реестр_Д5[Статус],1,0)</f>
        <v>Продажа</v>
      </c>
      <c r="S241" s="612">
        <f>VLOOKUP(ППД5!BZ238,Реестр_Д5[Стоимость ОН без отделки со скидкой],1,0)</f>
        <v>2369123.34</v>
      </c>
      <c r="T241" s="612" cm="1">
        <f t="array" ref="T241">IFERROR(INDEX(РД[Стоимость без отделки итог],MATCH($Q$3&amp;Таблица10[[#This Row],[№]]&amp;"Продажа",РД[Дом]&amp;РД[№ кв]&amp;РД[Состояние],0),1),Таблица10[[#This Row],[Статус]])</f>
        <v>2369123.34</v>
      </c>
      <c r="U241" s="235">
        <f>IFERROR((Таблица10[[#This Row],[ПП]]-Таблица10[[#This Row],[ДДУ]])*1,)</f>
        <v>0</v>
      </c>
      <c r="V241" s="235" cm="1">
        <f t="array" ref="V241">IFERROR(INDEX(РД[Стоимость с отделкой итог],MATCH($Q$3&amp;Таблица10[[#This Row],[№]]&amp;"Продажа",РД[Дом]&amp;РД[№ кв]&amp;РД[Состояние],0),1),Таблица10[[#This Row],[Статус]])</f>
        <v>2369123.34</v>
      </c>
      <c r="W241" s="235">
        <f>_xlfn.XLOOKUP(Таблица10[[#This Row],[№]],Реестр_Д5[№],Реестр_Д5[Стоимость квартиры с отделкой],"-",0)</f>
        <v>2369123.34</v>
      </c>
      <c r="X241" s="235">
        <f>IFERROR(Таблица10[[#This Row],[СО ПП]]-Таблица10[[#This Row],[СО ДДУ]],"")</f>
        <v>0</v>
      </c>
      <c r="Y241" s="233" cm="1">
        <f t="array" ref="Y241">IFERROR(INDEX(РД[S],MATCH($Q$3&amp;Таблица10[[#This Row],[№]]&amp;"Продажа",РД[Дом]&amp;РД[№ кв]&amp;РД[Состояние],0),1),Таблица10[[#This Row],[Статус]])</f>
        <v>24.53</v>
      </c>
      <c r="Z241" s="233">
        <f>IF(Таблица10[[#This Row],[№]]&amp;"ДДУ"=ППД5!A238&amp;ППД5!CR238,ППД5!U238,ППД5!V238)</f>
        <v>24.53</v>
      </c>
      <c r="AA241" s="285">
        <f>IFERROR(Таблица10[[#This Row],[S ПП]]-Таблица10[[#This Row],[S ДДУ]],)</f>
        <v>0</v>
      </c>
      <c r="AB241" s="235">
        <f>ROUND(_xlfn.XLOOKUP(Таблица10[[#This Row],[№]],Реестр_Д5[№],Реестр_Д5[Итоговая сумма скидки],"",0),2)</f>
        <v>0</v>
      </c>
      <c r="AC241" s="235" cm="1">
        <f t="array" ref="AC24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41" s="285">
        <f>IFERROR(Таблица10[[#This Row],[ППС]]-Таблица10[[#This Row],[ДДУС]],)</f>
        <v>0</v>
      </c>
      <c r="AE241" s="611"/>
      <c r="AT241" s="611"/>
      <c r="AU241" s="484">
        <f>VLOOKUP(ППД402!A238,Д402[],1,0)</f>
        <v>237</v>
      </c>
      <c r="AV241" s="484" t="str">
        <f>_xlfn.XLOOKUP(Т402[[#This Row],[№]],Д402[№],Д402[Статус],"-",0)</f>
        <v>Продажа</v>
      </c>
      <c r="AW241" s="613">
        <f>_xlfn.XLOOKUP(Т402[[#This Row],[№]],Д402[№],Д402[Стоимость ОН без отделки со скидкой],"-",0)</f>
        <v>6581288</v>
      </c>
      <c r="AX241" s="614" cm="1">
        <f t="array" ref="AX241">IFERROR(INDEX(РД[Стоимость без отделки итог],MATCH($AU$3&amp;Т402[[#This Row],[№]]&amp;"Продажа",РД[Дом]&amp;РД[№ кв]&amp;РД[Состояние],0),1),Т402[[#This Row],[Статус]])</f>
        <v>6581288</v>
      </c>
      <c r="AY241" s="485">
        <f>IFERROR((Т402[[#This Row],[ПП]]-Т402[[#This Row],[ДДУ]])*1,"")</f>
        <v>0</v>
      </c>
      <c r="AZ241" s="486" cm="1">
        <f t="array" ref="AZ241">IFERROR(INDEX(РД[Стоимость с отделкой итог],MATCH($AU$3&amp;Т402[[#This Row],[№]]&amp;"Продажа",РД[Дом]&amp;РД[№ кв]&amp;РД[Состояние],0),1),Т402[[#This Row],[Статус]])</f>
        <v>6581288</v>
      </c>
      <c r="BA241" s="485">
        <f>_xlfn.XLOOKUP(Т402[[#This Row],[№]],Д402[№],Д402[Стоимость квартиры с отделкой],"-",0)</f>
        <v>6581288</v>
      </c>
      <c r="BB241" s="485">
        <f>IFERROR(Т402[[#This Row],[СО ПП]]-Т402[[#This Row],[СО ДДУ]],"")</f>
        <v>0</v>
      </c>
      <c r="BC241" s="487" cm="1">
        <f t="array" ref="BC241">IFERROR(INDEX(РД[S],MATCH($AU$3&amp;Т402[[#This Row],[№]]&amp;"Продажа",РД[Дом]&amp;РД[№ кв]&amp;РД[Состояние],0),1),Т402[[#This Row],[Статус]])</f>
        <v>54.35</v>
      </c>
      <c r="BD241" s="483">
        <f>_xlfn.XLOOKUP(Т402[[#This Row],[№]],Д402[№],Д402[Расчетная проектная площадь],"-",0)</f>
        <v>54.35</v>
      </c>
      <c r="BE241" s="485">
        <f>IFERROR(Т402[[#This Row],[S ПП]]-Т402[[#This Row],[S ДДУ]],"")</f>
        <v>0</v>
      </c>
      <c r="BF241" s="485">
        <f>_xlfn.XLOOKUP(Т402[[#This Row],[№]],Д402[№],Д402[Итоговая сумма скидки],"-",0)</f>
        <v>134312</v>
      </c>
      <c r="BG241" s="486" cm="1">
        <f t="array" ref="BG241">IFERROR(ROUND(_xlfn.XLOOKUP($AU$3&amp;Т402[[#This Row],[№]]&amp;"Продажа",РД[Дом]&amp;РД[№ кв]&amp;РД[Состояние],РД[Сумма скидки],"",0),2),Т402[[#This Row],[Статус]])</f>
        <v>134312</v>
      </c>
      <c r="BH241" s="488">
        <f>IFERROR(Т402[[#This Row],[ППС]]-Т402[[#This Row],[ДДУС]],"")</f>
        <v>0</v>
      </c>
    </row>
    <row r="242" spans="1:60" x14ac:dyDescent="0.2">
      <c r="A242" s="611"/>
      <c r="B242" s="234">
        <f>VLOOKUP(ППД4!A239,Реестр_Д4[№],1,0)</f>
        <v>238</v>
      </c>
      <c r="C242" s="234" t="str">
        <f>VLOOKUP(ППД4!CO239,Реестр_Д4[Статус],1,0)</f>
        <v>Продажа</v>
      </c>
      <c r="D242" s="612">
        <f>VLOOKUP(ППД4!CE239,Реестр_Д4[Стоимость ОН без отделки со скидкой],1,0)</f>
        <v>3213501.22</v>
      </c>
      <c r="E242" s="612" cm="1">
        <f t="array" ref="E242">IFERROR(INDEX(РД[Стоимость без отделки итог],MATCH($B$3&amp;Таблица4[[#This Row],[№]]&amp;"Продажа",РД[Дом]&amp;РД[№ кв]&amp;РД[Состояние],0),1),Таблица4[[#This Row],[Статус]])</f>
        <v>3213501.2200000011</v>
      </c>
      <c r="F242" s="235">
        <f>IFERROR((Таблица4[[#This Row],[ПП]]-Таблица4[[#This Row],[ДДУ]])*1,"")</f>
        <v>-9.3132257461547852E-10</v>
      </c>
      <c r="G242" s="235" cm="1">
        <f t="array" ref="G242">IFERROR(INDEX(РД[Стоимость с отделкой итог],MATCH($B$3&amp;Таблица4[[#This Row],[№]]&amp;"Продажа",РД[Дом]&amp;РД[№ кв]&amp;РД[Состояние],0),1),Таблица4[[#This Row],[Статус]])</f>
        <v>3360141.22</v>
      </c>
      <c r="H242" s="235">
        <f>_xlfn.XLOOKUP(Таблица4[[#This Row],[№]],Реестр_Д4[№],Реестр_Д4[Стоимость квартиры с отделкой],"-",0)</f>
        <v>3360141.22</v>
      </c>
      <c r="I242" s="235">
        <f>IFERROR(Таблица4[[#This Row],[СО ПП]]-Таблица4[[#This Row],[СО ДДУ]],"")</f>
        <v>0</v>
      </c>
      <c r="J242" s="233" cm="1">
        <f t="array" ref="J242">IFERROR(INDEX(РД[S],MATCH($B$3&amp;Таблица4[[#This Row],[№]]&amp;"Продажа",РД[Дом]&amp;РД[№ кв]&amp;РД[Состояние],0),1),Таблица4[[#This Row],[Статус]])</f>
        <v>36.659999999999997</v>
      </c>
      <c r="K242" s="233">
        <f>VLOOKUP(Таблица4[[#This Row],[№]],Реестр_Д4[],20,0)</f>
        <v>36.659999999999997</v>
      </c>
      <c r="L242" s="235">
        <f>IFERROR(Таблица4[[#This Row],[S ПП]]-Таблица4[[#This Row],[S ДДУ]],)</f>
        <v>0</v>
      </c>
      <c r="M242" s="235">
        <f>ROUND(_xlfn.XLOOKUP(Таблица4[[#This Row],[№]],Реестр_Д4[№],Реестр_Д4[Итоговая сумма скидки],"",0),2)</f>
        <v>0</v>
      </c>
      <c r="N242" s="235" cm="1">
        <f t="array" ref="N24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2" s="235">
        <f>IFERROR(Таблица4[[#This Row],[ППС]]-Таблица4[[#This Row],[ДДУС]],)</f>
        <v>0</v>
      </c>
      <c r="P242" s="611"/>
      <c r="Q242" s="234">
        <f>VLOOKUP(ППД5!A239,Реестр_Д5[№],1,0)</f>
        <v>238</v>
      </c>
      <c r="R242" s="234" t="str">
        <f>VLOOKUP(ППД5!CH239,Реестр_Д5[Статус],1,0)</f>
        <v>Продажа</v>
      </c>
      <c r="S242" s="612">
        <f>VLOOKUP(ППД5!BZ239,Реестр_Д5[Стоимость ОН без отделки со скидкой],1,0)</f>
        <v>4914139.91</v>
      </c>
      <c r="T242" s="612" cm="1">
        <f t="array" ref="T242">IFERROR(INDEX(РД[Стоимость без отделки итог],MATCH($Q$3&amp;Таблица10[[#This Row],[№]]&amp;"Продажа",РД[Дом]&amp;РД[№ кв]&amp;РД[Состояние],0),1),Таблица10[[#This Row],[Статус]])</f>
        <v>4914139.91</v>
      </c>
      <c r="U242" s="235">
        <f>IFERROR((Таблица10[[#This Row],[ПП]]-Таблица10[[#This Row],[ДДУ]])*1,)</f>
        <v>0</v>
      </c>
      <c r="V242" s="235" cm="1">
        <f t="array" ref="V242">IFERROR(INDEX(РД[Стоимость с отделкой итог],MATCH($Q$3&amp;Таблица10[[#This Row],[№]]&amp;"Продажа",РД[Дом]&amp;РД[№ кв]&amp;РД[Состояние],0),1),Таблица10[[#This Row],[Статус]])</f>
        <v>5338489.91</v>
      </c>
      <c r="W242" s="235">
        <f>_xlfn.XLOOKUP(Таблица10[[#This Row],[№]],Реестр_Д5[№],Реестр_Д5[Стоимость квартиры с отделкой],"-",0)</f>
        <v>5338489.91</v>
      </c>
      <c r="X242" s="235">
        <f>IFERROR(Таблица10[[#This Row],[СО ПП]]-Таблица10[[#This Row],[СО ДДУ]],"")</f>
        <v>0</v>
      </c>
      <c r="Y242" s="233" cm="1">
        <f t="array" ref="Y242">IFERROR(INDEX(РД[S],MATCH($Q$3&amp;Таблица10[[#This Row],[№]]&amp;"Продажа",РД[Дом]&amp;РД[№ кв]&amp;РД[Состояние],0),1),Таблица10[[#This Row],[Статус]])</f>
        <v>56.58</v>
      </c>
      <c r="Z242" s="233">
        <f>IF(Таблица10[[#This Row],[№]]&amp;"ДДУ"=ППД5!A239&amp;ППД5!CR239,ППД5!U239,ППД5!V239)</f>
        <v>56.58</v>
      </c>
      <c r="AA242" s="285">
        <f>IFERROR(Таблица10[[#This Row],[S ПП]]-Таблица10[[#This Row],[S ДДУ]],)</f>
        <v>0</v>
      </c>
      <c r="AB242" s="235">
        <f>ROUND(_xlfn.XLOOKUP(Таблица10[[#This Row],[№]],Реестр_Д5[№],Реестр_Д5[Итоговая сумма скидки],"",0),2)</f>
        <v>0</v>
      </c>
      <c r="AC242" s="235" cm="1">
        <f t="array" ref="AC24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42" s="285">
        <f>IFERROR(Таблица10[[#This Row],[ППС]]-Таблица10[[#This Row],[ДДУС]],)</f>
        <v>0</v>
      </c>
      <c r="AE242" s="611"/>
      <c r="AT242" s="611"/>
      <c r="AU242" s="484">
        <f>VLOOKUP(ППД402!A239,Д402[],1,0)</f>
        <v>238</v>
      </c>
      <c r="AV242" s="484" t="str">
        <f>_xlfn.XLOOKUP(Т402[[#This Row],[№]],Д402[№],Д402[Статус],"-",0)</f>
        <v>Стр. Резерв</v>
      </c>
      <c r="AW242" s="613">
        <f>_xlfn.XLOOKUP(Т402[[#This Row],[№]],Д402[№],Д402[Стоимость ОН без отделки со скидкой],"-",0)</f>
        <v>7086200</v>
      </c>
      <c r="AX242" s="614" t="str" cm="1">
        <f t="array" ref="AX24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2" s="485" t="str">
        <f>IFERROR((Т402[[#This Row],[ПП]]-Т402[[#This Row],[ДДУ]])*1,"")</f>
        <v/>
      </c>
      <c r="AZ242" s="486" t="str" cm="1">
        <f t="array" ref="AZ24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2" s="485">
        <f>_xlfn.XLOOKUP(Т402[[#This Row],[№]],Д402[№],Д402[Стоимость квартиры с отделкой],"-",0)</f>
        <v>7086200</v>
      </c>
      <c r="BB242" s="485" t="str">
        <f>IFERROR(Т402[[#This Row],[СО ПП]]-Т402[[#This Row],[СО ДДУ]],"")</f>
        <v/>
      </c>
      <c r="BC242" s="487" t="str" cm="1">
        <f t="array" ref="BC242">IFERROR(INDEX(РД[S],MATCH($AU$3&amp;Т402[[#This Row],[№]]&amp;"Продажа",РД[Дом]&amp;РД[№ кв]&amp;РД[Состояние],0),1),Т402[[#This Row],[Статус]])</f>
        <v>Стр. Резерв</v>
      </c>
      <c r="BD242" s="483">
        <f>_xlfn.XLOOKUP(Т402[[#This Row],[№]],Д402[№],Д402[Расчетная проектная площадь],"-",0)</f>
        <v>56</v>
      </c>
      <c r="BE242" s="485" t="str">
        <f>IFERROR(Т402[[#This Row],[S ПП]]-Т402[[#This Row],[S ДДУ]],"")</f>
        <v/>
      </c>
      <c r="BF242" s="485">
        <f>_xlfn.XLOOKUP(Т402[[#This Row],[№]],Д402[№],Д402[Итоговая сумма скидки],"-",0)</f>
        <v>0</v>
      </c>
      <c r="BG242" s="486" t="str" cm="1">
        <f t="array" ref="BG24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2" s="488" t="str">
        <f>IFERROR(Т402[[#This Row],[ППС]]-Т402[[#This Row],[ДДУС]],"")</f>
        <v/>
      </c>
    </row>
    <row r="243" spans="1:60" x14ac:dyDescent="0.2">
      <c r="A243" s="611"/>
      <c r="B243" s="234">
        <f>VLOOKUP(ППД4!A240,Реестр_Д4[№],1,0)</f>
        <v>239</v>
      </c>
      <c r="C243" s="234" t="str">
        <f>VLOOKUP(ППД4!CO240,Реестр_Д4[Статус],1,0)</f>
        <v>Продажа</v>
      </c>
      <c r="D243" s="612">
        <f>VLOOKUP(ППД4!CE240,Реестр_Д4[Стоимость ОН без отделки со скидкой],1,0)</f>
        <v>7374061.5</v>
      </c>
      <c r="E243" s="612" cm="1">
        <f t="array" ref="E243">IFERROR(INDEX(РД[Стоимость без отделки итог],MATCH($B$3&amp;Таблица4[[#This Row],[№]]&amp;"Продажа",РД[Дом]&amp;РД[№ кв]&amp;РД[Состояние],0),1),Таблица4[[#This Row],[Статус]])</f>
        <v>7374061.5</v>
      </c>
      <c r="F243" s="235">
        <f>IFERROR((Таблица4[[#This Row],[ПП]]-Таблица4[[#This Row],[ДДУ]])*1,"")</f>
        <v>0</v>
      </c>
      <c r="G243" s="235" cm="1">
        <f t="array" ref="G243">IFERROR(INDEX(РД[Стоимость с отделкой итог],MATCH($B$3&amp;Таблица4[[#This Row],[№]]&amp;"Продажа",РД[Дом]&amp;РД[№ кв]&amp;РД[Состояние],0),1),Таблица4[[#This Row],[Статус]])</f>
        <v>7374061.5</v>
      </c>
      <c r="H243" s="235">
        <f>_xlfn.XLOOKUP(Таблица4[[#This Row],[№]],Реестр_Д4[№],Реестр_Д4[Стоимость квартиры с отделкой],"-",0)</f>
        <v>7374061.5</v>
      </c>
      <c r="I243" s="235">
        <f>IFERROR(Таблица4[[#This Row],[СО ПП]]-Таблица4[[#This Row],[СО ДДУ]],"")</f>
        <v>0</v>
      </c>
      <c r="J243" s="233" cm="1">
        <f t="array" ref="J243">IFERROR(INDEX(РД[S],MATCH($B$3&amp;Таблица4[[#This Row],[№]]&amp;"Продажа",РД[Дом]&amp;РД[№ кв]&amp;РД[Состояние],0),1),Таблица4[[#This Row],[Статус]])</f>
        <v>78.73</v>
      </c>
      <c r="K243" s="233">
        <f>VLOOKUP(Таблица4[[#This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     <f>ROUND(_xlfn.XLOOKUP(Таблица4[[#This Row],[№]],Реестр_Д4[№],Реестр_Д4[Итоговая сумма скидки],"",0),2)</f>
        <v>587138.5</v>
      </c>
      <c r="N243" s="235" cm="1">
        <f t="array" ref="N243">IFERROR(ROUND(_xlfn.XLOOKUP($B$3&amp;Таблица4[[#This Row],[№]]&amp;"Продажа",РД[Дом]&amp;РД[№ кв]&amp;РД[Состояние],РД[Сумма скидки],"",0),2),Таблица4[[#This Row],[Статус]])</f>
        <v>587138.5</v>
      </c>
      <c r="O243" s="235">
        <f>IFERROR(Таблица4[[#This Row],[ППС]]-Таблица4[[#This Row],[ДДУС]],)</f>
        <v>0</v>
      </c>
      <c r="P243" s="611"/>
      <c r="Q243" s="234">
        <f>VLOOKUP(ППД5!A240,Реестр_Д5[№],1,0)</f>
        <v>239</v>
      </c>
      <c r="R243" s="234" t="str">
        <f>VLOOKUP(ППД5!CH240,Реестр_Д5[Статус],1,0)</f>
        <v>Продажа</v>
      </c>
      <c r="S243" s="612">
        <f>VLOOKUP(ППД5!BZ240,Реестр_Д5[Стоимость ОН без отделки со скидкой],1,0)</f>
        <v>7103000</v>
      </c>
      <c r="T243" s="612" cm="1">
        <f t="array" ref="T243">IFERROR(INDEX(РД[Стоимость без отделки итог],MATCH($Q$3&amp;Таблица10[[#This Row],[№]]&amp;"Продажа",РД[Дом]&amp;РД[№ кв]&amp;РД[Состояние],0),1),Таблица10[[#This Row],[Статус]])</f>
        <v>7103000</v>
      </c>
      <c r="U243" s="235">
        <f>IFERROR((Таблица10[[#This Row],[ПП]]-Таблица10[[#This Row],[ДДУ]])*1,)</f>
        <v>0</v>
      </c>
      <c r="V243" s="235" cm="1">
        <f t="array" ref="V243">IFERROR(INDEX(РД[Стоимость с отделкой итог],MATCH($Q$3&amp;Таблица10[[#This Row],[№]]&amp;"Продажа",РД[Дом]&amp;РД[№ кв]&amp;РД[Состояние],0),1),Таблица10[[#This Row],[Статус]])</f>
        <v>7103000</v>
      </c>
      <c r="W243" s="235">
        <f>_xlfn.XLOOKUP(Таблица10[[#This Row],[№]],Реестр_Д5[№],Реестр_Д5[Стоимость квартиры с отделкой],"-",0)</f>
        <v>7103000</v>
      </c>
      <c r="X243" s="235">
        <f>IFERROR(Таблица10[[#This Row],[СО ПП]]-Таблица10[[#This Row],[СО ДДУ]],"")</f>
        <v>0</v>
      </c>
      <c r="Y243" s="233" cm="1">
        <f t="array" ref="Y243">IFERROR(INDEX(РД[S],MATCH($Q$3&amp;Таблица10[[#This Row],[№]]&amp;"Продажа",РД[Дом]&amp;РД[№ кв]&amp;РД[Состояние],0),1),Таблица10[[#This Row],[Статус]])</f>
        <v>60.24</v>
      </c>
      <c r="Z243" s="233">
        <f>IF(Таблица10[[#This Row],[№]]&amp;"ДДУ"=ППД5!A240&amp;ППД5!CR240,ППД5!U240,ППД5!V240)</f>
        <v>60.24</v>
      </c>
      <c r="AA243" s="285">
        <f>IFERROR(Таблица10[[#This Row],[S ПП]]-Таблица10[[#This Row],[S ДДУ]],)</f>
        <v>0</v>
      </c>
      <c r="AB243" s="235">
        <f>ROUND(_xlfn.XLOOKUP(Таблица10[[#This Row],[№]],Реестр_Д5[№],Реестр_Д5[Итоговая сумма скидки],"",0),2)</f>
        <v>300000</v>
      </c>
      <c r="AC243" s="235" cm="1">
        <f t="array" ref="AC243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243" s="285">
        <f>IFERROR(Таблица10[[#This Row],[ППС]]-Таблица10[[#This Row],[ДДУС]],)</f>
        <v>0</v>
      </c>
      <c r="AE243" s="611"/>
      <c r="AT243" s="611"/>
      <c r="AU243" s="484">
        <f>VLOOKUP(ППД402!A240,Д402[],1,0)</f>
        <v>239</v>
      </c>
      <c r="AV243" s="484" t="str">
        <f>_xlfn.XLOOKUP(Т402[[#This Row],[№]],Д402[№],Д402[Статус],"-",0)</f>
        <v>Свободно</v>
      </c>
      <c r="AW243" s="613">
        <f>_xlfn.XLOOKUP(Т402[[#This Row],[№]],Д402[№],Д402[Стоимость ОН без отделки со скидкой],"-",0)</f>
        <v>7344800</v>
      </c>
      <c r="AX243" s="614" t="str" cm="1">
        <f t="array" ref="AX243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43" s="485" t="str">
        <f>IFERROR((Т402[[#This Row],[ПП]]-Т402[[#This Row],[ДДУ]])*1,"")</f>
        <v/>
      </c>
      <c r="AZ243" s="486" t="str" cm="1">
        <f t="array" ref="AZ243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43" s="485">
        <f>_xlfn.XLOOKUP(Т402[[#This Row],[№]],Д402[№],Д402[Стоимость квартиры с отделкой],"-",0)</f>
        <v>9119900</v>
      </c>
      <c r="BB243" s="485" t="str">
        <f>IFERROR(Т402[[#This Row],[СО ПП]]-Т402[[#This Row],[СО ДДУ]],"")</f>
        <v/>
      </c>
      <c r="BC243" s="487" t="str" cm="1">
        <f t="array" ref="BC243">IFERROR(INDEX(РД[S],MATCH($AU$3&amp;Т402[[#This Row],[№]]&amp;"Продажа",РД[Дом]&amp;РД[№ кв]&amp;РД[Состояние],0),1),Т402[[#This Row],[Статус]])</f>
        <v>Свободно</v>
      </c>
      <c r="BD243" s="483">
        <f>_xlfn.XLOOKUP(Т402[[#This Row],[№]],Д402[№],Д402[Расчетная проектная площадь],"-",0)</f>
        <v>59.17</v>
      </c>
      <c r="BE243" s="485" t="str">
        <f>IFERROR(Т402[[#This Row],[S ПП]]-Т402[[#This Row],[S ДДУ]],"")</f>
        <v/>
      </c>
      <c r="BF243" s="485">
        <f>_xlfn.XLOOKUP(Т402[[#This Row],[№]],Д402[№],Д402[Итоговая сумма скидки],"-",0)</f>
        <v>0</v>
      </c>
      <c r="BG243" s="486" t="str" cm="1">
        <f t="array" ref="BG243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43" s="488" t="str">
        <f>IFERROR(Т402[[#This Row],[ППС]]-Т402[[#This Row],[ДДУС]],"")</f>
        <v/>
      </c>
    </row>
    <row r="244" spans="1:60" x14ac:dyDescent="0.2">
      <c r="A244" s="611"/>
      <c r="B244" s="234">
        <f>VLOOKUP(ППД4!A241,Реестр_Д4[№],1,0)</f>
        <v>240</v>
      </c>
      <c r="C244" s="234" t="str">
        <f>VLOOKUP(ППД4!CO241,Реестр_Д4[Статус],1,0)</f>
        <v>Продажа</v>
      </c>
      <c r="D244" s="612">
        <f>VLOOKUP(ППД4!CE241,Реестр_Д4[Стоимость ОН без отделки со скидкой],1,0)</f>
        <v>2602214.83</v>
      </c>
      <c r="E244" s="612" cm="1">
        <f t="array" ref="E244">IFERROR(INDEX(РД[Стоимость без отделки итог],MATCH($B$3&amp;Таблица4[[#This Row],[№]]&amp;"Продажа",РД[Дом]&amp;РД[№ кв]&amp;РД[Состояние],0),1),Таблица4[[#This Row],[Статус]])</f>
        <v>2602214.83</v>
      </c>
      <c r="F244" s="235">
        <f>IFERROR((Таблица4[[#This Row],[ПП]]-Таблица4[[#This Row],[ДДУ]])*1,"")</f>
        <v>0</v>
      </c>
      <c r="G244" s="235" cm="1">
        <f t="array" ref="G244">IFERROR(INDEX(РД[Стоимость с отделкой итог],MATCH($B$3&amp;Таблица4[[#This Row],[№]]&amp;"Продажа",РД[Дом]&amp;РД[№ кв]&amp;РД[Состояние],0),1),Таблица4[[#This Row],[Статус]])</f>
        <v>2602214.83</v>
      </c>
      <c r="H244" s="235">
        <f>_xlfn.XLOOKUP(Таблица4[[#This Row],[№]],Реестр_Д4[№],Реестр_Д4[Стоимость квартиры с отделкой],"-",0)</f>
        <v>2602214.83</v>
      </c>
      <c r="I244" s="235">
        <f>IFERROR(Таблица4[[#This Row],[СО ПП]]-Таблица4[[#This Row],[СО ДДУ]],"")</f>
        <v>0</v>
      </c>
      <c r="J244" s="233" cm="1">
        <f t="array" ref="J244">IFERROR(INDEX(РД[S],MATCH($B$3&amp;Таблица4[[#This Row],[№]]&amp;"Продажа",РД[Дом]&amp;РД[№ кв]&amp;РД[Состояние],0),1),Таблица4[[#This Row],[Статус]])</f>
        <v>33.79</v>
      </c>
      <c r="K244" s="233">
        <f>VLOOKUP(Таблица4[[#This Row],[№]],Реестр_Д4[],20,0)</f>
        <v>33.79</v>
      </c>
      <c r="L244" s="235">
        <f>IFERROR(Таблица4[[#This Row],[S ПП]]-Таблица4[[#This Row],[S ДДУ]],)</f>
        <v>0</v>
      </c>
      <c r="M244" s="235">
        <f>ROUND(_xlfn.XLOOKUP(Таблица4[[#This Row],[№]],Реестр_Д4[№],Реестр_Д4[Итоговая сумма скидки],"",0),2)</f>
        <v>136958.68</v>
      </c>
      <c r="N244" s="235" cm="1">
        <f t="array" ref="N244">IFERROR(ROUND(_xlfn.XLOOKUP($B$3&amp;Таблица4[[#This Row],[№]]&amp;"Продажа",РД[Дом]&amp;РД[№ кв]&amp;РД[Состояние],РД[Сумма скидки],"",0),2),Таблица4[[#This Row],[Статус]])</f>
        <v>136958.68</v>
      </c>
      <c r="O244" s="235">
        <f>IFERROR(Таблица4[[#This Row],[ППС]]-Таблица4[[#This Row],[ДДУС]],)</f>
        <v>0</v>
      </c>
      <c r="P244" s="611"/>
      <c r="Q244" s="234">
        <f>VLOOKUP(ППД5!A241,Реестр_Д5[№],1,0)</f>
        <v>240</v>
      </c>
      <c r="R244" s="234" t="str">
        <f>VLOOKUP(ППД5!CH241,Реестр_Д5[Статус],1,0)</f>
        <v>Продажа</v>
      </c>
      <c r="S244" s="612">
        <f>VLOOKUP(ППД5!BZ241,Реестр_Д5[Стоимость ОН без отделки со скидкой],1,0)</f>
        <v>3471383.03</v>
      </c>
      <c r="T244" s="612" cm="1">
        <f t="array" ref="T244">IFERROR(INDEX(РД[Стоимость без отделки итог],MATCH($Q$3&amp;Таблица10[[#This Row],[№]]&amp;"Продажа",РД[Дом]&amp;РД[№ кв]&amp;РД[Состояние],0),1),Таблица10[[#This Row],[Статус]])</f>
        <v>3471383.03</v>
      </c>
      <c r="U244" s="235">
        <f>IFERROR((Таблица10[[#This Row],[ПП]]-Таблица10[[#This Row],[ДДУ]])*1,)</f>
        <v>0</v>
      </c>
      <c r="V244" s="235" cm="1">
        <f t="array" ref="V244">IFERROR(INDEX(РД[Стоимость с отделкой итог],MATCH($Q$3&amp;Таблица10[[#This Row],[№]]&amp;"Продажа",РД[Дом]&amp;РД[№ кв]&amp;РД[Состояние],0),1),Таблица10[[#This Row],[Статус]])</f>
        <v>3471383.03</v>
      </c>
      <c r="W244" s="235">
        <f>_xlfn.XLOOKUP(Таблица10[[#This Row],[№]],Реестр_Д5[№],Реестр_Д5[Стоимость квартиры с отделкой],"-",0)</f>
        <v>3471383.03</v>
      </c>
      <c r="X244" s="235">
        <f>IFERROR(Таблица10[[#This Row],[СО ПП]]-Таблица10[[#This Row],[СО ДДУ]],"")</f>
        <v>0</v>
      </c>
      <c r="Y244" s="233" cm="1">
        <f t="array" ref="Y244">IFERROR(INDEX(РД[S],MATCH($Q$3&amp;Таблица10[[#This Row],[№]]&amp;"Продажа",РД[Дом]&amp;РД[№ кв]&amp;РД[Состояние],0),1),Таблица10[[#This Row],[Статус]])</f>
        <v>37.81</v>
      </c>
      <c r="Z244" s="233">
        <f>IF(Таблица10[[#This Row],[№]]&amp;"ДДУ"=ППД5!A241&amp;ППД5!CR241,ППД5!U241,ППД5!V241)</f>
        <v>37.81</v>
      </c>
      <c r="AA244" s="285">
        <f>IFERROR(Таблица10[[#This Row],[S ПП]]-Таблица10[[#This Row],[S ДДУ]],)</f>
        <v>0</v>
      </c>
      <c r="AB244" s="235">
        <f>ROUND(_xlfn.XLOOKUP(Таблица10[[#This Row],[№]],Реестр_Д5[№],Реестр_Д5[Итоговая сумма скидки],"",0),2)</f>
        <v>70844.55</v>
      </c>
      <c r="AC244" s="235" cm="1">
        <f t="array" ref="AC244">IFERROR(ROUND(_xlfn.XLOOKUP($Q$3&amp;Таблица10[[#This Row],[№]]&amp;"Продажа",РД[Дом]&amp;РД[№ кв]&amp;РД[Состояние],РД[Сумма скидки],"",0,-1),2),Таблица10[[#This Row],[Статус]])</f>
        <v>70844.55</v>
      </c>
      <c r="AD244" s="285">
        <f>IFERROR(Таблица10[[#This Row],[ППС]]-Таблица10[[#This Row],[ДДУС]],)</f>
        <v>0</v>
      </c>
      <c r="AE244" s="611"/>
      <c r="AT244" s="611"/>
      <c r="AU244" s="484">
        <f>VLOOKUP(ППД402!A241,Д402[],1,0)</f>
        <v>240</v>
      </c>
      <c r="AV244" s="484" t="str">
        <f>_xlfn.XLOOKUP(Т402[[#This Row],[№]],Д402[№],Д402[Статус],"-",0)</f>
        <v>Стр. Резерв</v>
      </c>
      <c r="AW244" s="613">
        <f>_xlfn.XLOOKUP(Т402[[#This Row],[№]],Д402[№],Д402[Стоимость ОН без отделки со скидкой],"-",0)</f>
        <v>4181000</v>
      </c>
      <c r="AX244" s="614" t="str" cm="1">
        <f t="array" ref="AX24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4" s="485" t="str">
        <f>IFERROR((Т402[[#This Row],[ПП]]-Т402[[#This Row],[ДДУ]])*1,"")</f>
        <v/>
      </c>
      <c r="AZ244" s="486" t="str" cm="1">
        <f t="array" ref="AZ24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4" s="485">
        <f>_xlfn.XLOOKUP(Т402[[#This Row],[№]],Д402[№],Д402[Стоимость квартиры с отделкой],"-",0)</f>
        <v>4180999.9999999991</v>
      </c>
      <c r="BB244" s="485" t="str">
        <f>IFERROR(Т402[[#This Row],[СО ПП]]-Т402[[#This Row],[СО ДДУ]],"")</f>
        <v/>
      </c>
      <c r="BC244" s="487" t="str" cm="1">
        <f t="array" ref="BC244">IFERROR(INDEX(РД[S],MATCH($AU$3&amp;Т402[[#This Row],[№]]&amp;"Продажа",РД[Дом]&amp;РД[№ кв]&amp;РД[Состояние],0),1),Т402[[#This Row],[Статус]])</f>
        <v>Стр. Резерв</v>
      </c>
      <c r="BD244" s="483">
        <f>_xlfn.XLOOKUP(Т402[[#This Row],[№]],Д402[№],Д402[Расчетная проектная площадь],"-",0)</f>
        <v>29.66</v>
      </c>
      <c r="BE244" s="485" t="str">
        <f>IFERROR(Т402[[#This Row],[S ПП]]-Т402[[#This Row],[S ДДУ]],"")</f>
        <v/>
      </c>
      <c r="BF244" s="485">
        <f>_xlfn.XLOOKUP(Т402[[#This Row],[№]],Д402[№],Д402[Итоговая сумма скидки],"-",0)</f>
        <v>0</v>
      </c>
      <c r="BG244" s="486" t="str" cm="1">
        <f t="array" ref="BG24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4" s="488" t="str">
        <f>IFERROR(Т402[[#This Row],[ППС]]-Т402[[#This Row],[ДДУС]],"")</f>
        <v/>
      </c>
    </row>
    <row r="245" spans="1:60" x14ac:dyDescent="0.2">
      <c r="A245" s="611"/>
      <c r="B245" s="234">
        <f>VLOOKUP(ППД4!A242,Реестр_Д4[№],1,0)</f>
        <v>241</v>
      </c>
      <c r="C245" s="234" t="str">
        <f>VLOOKUP(ППД4!CO242,Реестр_Д4[Статус],1,0)</f>
        <v>Продажа</v>
      </c>
      <c r="D245" s="612">
        <f>VLOOKUP(ППД4!CE242,Реестр_Д4[Стоимость ОН без отделки со скидкой],1,0)</f>
        <v>2646505.35</v>
      </c>
      <c r="E245" s="612" cm="1">
        <f t="array" ref="E245">IFERROR(INDEX(РД[Стоимость без отделки итог],MATCH($B$3&amp;Таблица4[[#This Row],[№]]&amp;"Продажа",РД[Дом]&amp;РД[№ кв]&amp;РД[Состояние],0),1),Таблица4[[#This Row],[Статус]])</f>
        <v>2646505.3499999987</v>
      </c>
      <c r="F245" s="235">
        <f>IFERROR((Таблица4[[#This Row],[ПП]]-Таблица4[[#This Row],[ДДУ]])*1,"")</f>
        <v>1.3969838619232178E-9</v>
      </c>
      <c r="G245" s="235" cm="1">
        <f t="array" ref="G245">IFERROR(INDEX(РД[Стоимость с отделкой итог],MATCH($B$3&amp;Таблица4[[#This Row],[№]]&amp;"Продажа",РД[Дом]&amp;РД[№ кв]&amp;РД[Состояние],0),1),Таблица4[[#This Row],[Статус]])</f>
        <v>3086755.35</v>
      </c>
      <c r="H245" s="235">
        <f>_xlfn.XLOOKUP(Таблица4[[#This Row],[№]],Реестр_Д4[№],Реестр_Д4[Стоимость квартиры с отделкой],"-",0)</f>
        <v>3086755.35</v>
      </c>
      <c r="I245" s="235">
        <f>IFERROR(Таблица4[[#This Row],[СО ПП]]-Таблица4[[#This Row],[СО ДДУ]],"")</f>
        <v>0</v>
      </c>
      <c r="J245" s="233" cm="1">
        <f t="array" ref="J245">IFERROR(INDEX(РД[S],MATCH($B$3&amp;Таблица4[[#This Row],[№]]&amp;"Продажа",РД[Дом]&amp;РД[№ кв]&amp;РД[Состояние],0),1),Таблица4[[#This Row],[Статус]])</f>
        <v>29.35</v>
      </c>
      <c r="K245" s="233">
        <f>VLOOKUP(Таблица4[[#This Row],[№]],Реестр_Д4[],20,0)</f>
        <v>29.35</v>
      </c>
      <c r="L245" s="235">
        <f>IFERROR(Таблица4[[#This Row],[S ПП]]-Таблица4[[#This Row],[S ДДУ]],)</f>
        <v>0</v>
      </c>
      <c r="M245" s="235">
        <f>ROUND(_xlfn.XLOOKUP(Таблица4[[#This Row],[№]],Реестр_Д4[№],Реестр_Д4[Итоговая сумма скидки],"",0),2)</f>
        <v>0</v>
      </c>
      <c r="N245" s="235" cm="1">
        <f t="array" ref="N24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5" s="235">
        <f>IFERROR(Таблица4[[#This Row],[ППС]]-Таблица4[[#This Row],[ДДУС]],)</f>
        <v>0</v>
      </c>
      <c r="P245" s="611"/>
      <c r="Q245" s="234">
        <f>VLOOKUP(ППД5!A242,Реестр_Д5[№],1,0)</f>
        <v>241</v>
      </c>
      <c r="R245" s="234" t="str">
        <f>VLOOKUP(ППД5!CH242,Реестр_Д5[Статус],1,0)</f>
        <v>Продажа</v>
      </c>
      <c r="S245" s="612">
        <f>VLOOKUP(ППД5!BZ242,Реестр_Д5[Стоимость ОН без отделки со скидкой],1,0)</f>
        <v>7426000</v>
      </c>
      <c r="T245" s="612" cm="1">
        <f t="array" ref="T245">IFERROR(INDEX(РД[Стоимость без отделки итог],MATCH($Q$3&amp;Таблица10[[#This Row],[№]]&amp;"Продажа",РД[Дом]&amp;РД[№ кв]&amp;РД[Состояние],0),1),Таблица10[[#This Row],[Статус]])</f>
        <v>7426000</v>
      </c>
      <c r="U245" s="235">
        <f>IFERROR((Таблица10[[#This Row],[ПП]]-Таблица10[[#This Row],[ДДУ]])*1,)</f>
        <v>0</v>
      </c>
      <c r="V245" s="235" cm="1">
        <f t="array" ref="V245">IFERROR(INDEX(РД[Стоимость с отделкой итог],MATCH($Q$3&amp;Таблица10[[#This Row],[№]]&amp;"Продажа",РД[Дом]&amp;РД[№ кв]&amp;РД[Состояние],0),1),Таблица10[[#This Row],[Статус]])</f>
        <v>7426000</v>
      </c>
      <c r="W245" s="235">
        <f>_xlfn.XLOOKUP(Таблица10[[#This Row],[№]],Реестр_Д5[№],Реестр_Д5[Стоимость квартиры с отделкой],"-",0)</f>
        <v>7426000</v>
      </c>
      <c r="X245" s="235">
        <f>IFERROR(Таблица10[[#This Row],[СО ПП]]-Таблица10[[#This Row],[СО ДДУ]],"")</f>
        <v>0</v>
      </c>
      <c r="Y245" s="233" cm="1">
        <f t="array" ref="Y245">IFERROR(INDEX(РД[S],MATCH($Q$3&amp;Таблица10[[#This Row],[№]]&amp;"Продажа",РД[Дом]&amp;РД[№ кв]&amp;РД[Состояние],0),1),Таблица10[[#This Row],[Статус]])</f>
        <v>80.97</v>
      </c>
      <c r="Z245" s="233">
        <f>IF(Таблица10[[#This Row],[№]]&amp;"ДДУ"=ППД5!A242&amp;ППД5!CR242,ППД5!U242,ППД5!V242)</f>
        <v>80.97</v>
      </c>
      <c r="AA245" s="285">
        <f>IFERROR(Таблица10[[#This Row],[S ПП]]-Таблица10[[#This Row],[S ДДУ]],)</f>
        <v>0</v>
      </c>
      <c r="AB245" s="235">
        <f>ROUND(_xlfn.XLOOKUP(Таблица10[[#This Row],[№]],Реестр_Д5[№],Реестр_Д5[Итоговая сумма скидки],"",0),2)</f>
        <v>0</v>
      </c>
      <c r="AC245" s="235" cm="1">
        <f t="array" ref="AC24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45" s="285">
        <f>IFERROR(Таблица10[[#This Row],[ППС]]-Таблица10[[#This Row],[ДДУС]],)</f>
        <v>0</v>
      </c>
      <c r="AE245" s="611"/>
      <c r="AT245" s="611"/>
      <c r="AU245" s="484">
        <f>VLOOKUP(ППД402!A242,Д402[],1,0)</f>
        <v>241</v>
      </c>
      <c r="AV245" s="484" t="str">
        <f>_xlfn.XLOOKUP(Т402[[#This Row],[№]],Д402[№],Д402[Статус],"-",0)</f>
        <v>Стр. Резерв</v>
      </c>
      <c r="AW245" s="613">
        <f>_xlfn.XLOOKUP(Т402[[#This Row],[№]],Д402[№],Д402[Стоимость ОН без отделки со скидкой],"-",0)</f>
        <v>5842900</v>
      </c>
      <c r="AX245" s="614" t="str" cm="1">
        <f t="array" ref="AX24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5" s="485" t="str">
        <f>IFERROR((Т402[[#This Row],[ПП]]-Т402[[#This Row],[ДДУ]])*1,"")</f>
        <v/>
      </c>
      <c r="AZ245" s="486" t="str" cm="1">
        <f t="array" ref="AZ24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5" s="485">
        <f>_xlfn.XLOOKUP(Т402[[#This Row],[№]],Д402[№],Д402[Стоимость квартиры с отделкой],"-",0)</f>
        <v>7167700</v>
      </c>
      <c r="BB245" s="485" t="str">
        <f>IFERROR(Т402[[#This Row],[СО ПП]]-Т402[[#This Row],[СО ДДУ]],"")</f>
        <v/>
      </c>
      <c r="BC245" s="487" t="str" cm="1">
        <f t="array" ref="BC245">IFERROR(INDEX(РД[S],MATCH($AU$3&amp;Т402[[#This Row],[№]]&amp;"Продажа",РД[Дом]&amp;РД[№ кв]&amp;РД[Состояние],0),1),Т402[[#This Row],[Статус]])</f>
        <v>Стр. Резерв</v>
      </c>
      <c r="BD245" s="483">
        <f>_xlfn.XLOOKUP(Т402[[#This Row],[№]],Д402[№],Д402[Расчетная проектная площадь],"-",0)</f>
        <v>44.16</v>
      </c>
      <c r="BE245" s="485" t="str">
        <f>IFERROR(Т402[[#This Row],[S ПП]]-Т402[[#This Row],[S ДДУ]],"")</f>
        <v/>
      </c>
      <c r="BF245" s="485">
        <f>_xlfn.XLOOKUP(Т402[[#This Row],[№]],Д402[№],Д402[Итоговая сумма скидки],"-",0)</f>
        <v>0</v>
      </c>
      <c r="BG245" s="486" t="str" cm="1">
        <f t="array" ref="BG24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5" s="488" t="str">
        <f>IFERROR(Т402[[#This Row],[ППС]]-Т402[[#This Row],[ДДУС]],"")</f>
        <v/>
      </c>
    </row>
    <row r="246" spans="1:60" x14ac:dyDescent="0.2">
      <c r="A246" s="611"/>
      <c r="B246" s="234">
        <f>VLOOKUP(ППД4!A243,Реестр_Д4[№],1,0)</f>
        <v>242</v>
      </c>
      <c r="C246" s="234" t="str">
        <f>VLOOKUP(ППД4!CO243,Реестр_Д4[Статус],1,0)</f>
        <v>Продажа</v>
      </c>
      <c r="D246" s="612">
        <f>VLOOKUP(ППД4!CE243,Реестр_Д4[Стоимость ОН без отделки со скидкой],1,0)</f>
        <v>5836634.5599999996</v>
      </c>
      <c r="E246" s="612" cm="1">
        <f t="array" ref="E246">IFERROR(INDEX(РД[Стоимость без отделки итог],MATCH($B$3&amp;Таблица4[[#This Row],[№]]&amp;"Продажа",РД[Дом]&amp;РД[№ кв]&amp;РД[Состояние],0),1),Таблица4[[#This Row],[Статус]])</f>
        <v>5836634.5599999996</v>
      </c>
      <c r="F246" s="235">
        <f>IFERROR((Таблица4[[#This Row],[ПП]]-Таблица4[[#This Row],[ДДУ]])*1,"")</f>
        <v>0</v>
      </c>
      <c r="G246" s="235" cm="1">
        <f t="array" ref="G246">IFERROR(INDEX(РД[Стоимость с отделкой итог],MATCH($B$3&amp;Таблица4[[#This Row],[№]]&amp;"Продажа",РД[Дом]&amp;РД[№ кв]&amp;РД[Состояние],0),1),Таблица4[[#This Row],[Статус]])</f>
        <v>5836634.5599999996</v>
      </c>
      <c r="H246" s="235">
        <f>_xlfn.XLOOKUP(Таблица4[[#This Row],[№]],Реестр_Д4[№],Реестр_Д4[Стоимость квартиры с отделкой],"-",0)</f>
        <v>5836634.5599999996</v>
      </c>
      <c r="I246" s="235">
        <f>IFERROR(Таблица4[[#This Row],[СО ПП]]-Таблица4[[#This Row],[СО ДДУ]],"")</f>
        <v>0</v>
      </c>
      <c r="J246" s="233" cm="1">
        <f t="array" ref="J246">IFERROR(INDEX(РД[S],MATCH($B$3&amp;Таблица4[[#This Row],[№]]&amp;"Продажа",РД[Дом]&amp;РД[№ кв]&amp;РД[Состояние],0),1),Таблица4[[#This Row],[Статус]])</f>
        <v>67.95</v>
      </c>
      <c r="K246" s="233">
        <f>VLOOKUP(Таблица4[[#This Row],[№]],Реестр_Д4[],20,0)</f>
        <v>67.95</v>
      </c>
      <c r="L246" s="235">
        <f>IFERROR(Таблица4[[#This Row],[S ПП]]-Таблица4[[#This Row],[S ДДУ]],)</f>
        <v>0</v>
      </c>
      <c r="M246" s="235">
        <f>ROUND(_xlfn.XLOOKUP(Таблица4[[#This Row],[№]],Реестр_Д4[№],Реестр_Д4[Итоговая сумма скидки],"",0),2)</f>
        <v>119114.99</v>
      </c>
      <c r="N246" s="235" cm="1">
        <f t="array" ref="N246">IFERROR(ROUND(_xlfn.XLOOKUP($B$3&amp;Таблица4[[#This Row],[№]]&amp;"Продажа",РД[Дом]&amp;РД[№ кв]&amp;РД[Состояние],РД[Сумма скидки],"",0),2),Таблица4[[#This Row],[Статус]])</f>
        <v>119114.99</v>
      </c>
      <c r="O246" s="235">
        <f>IFERROR(Таблица4[[#This Row],[ППС]]-Таблица4[[#This Row],[ДДУС]],)</f>
        <v>0</v>
      </c>
      <c r="P246" s="611"/>
      <c r="Q246" s="234">
        <f>VLOOKUP(ППД5!A243,Реестр_Д5[№],1,0)</f>
        <v>242</v>
      </c>
      <c r="R246" s="234" t="str">
        <f>VLOOKUP(ППД5!CH243,Реестр_Д5[Статус],1,0)</f>
        <v>Продажа</v>
      </c>
      <c r="S246" s="612">
        <f>VLOOKUP(ППД5!BZ243,Реестр_Д5[Стоимость ОН без отделки со скидкой],1,0)</f>
        <v>2978820.15</v>
      </c>
      <c r="T246" s="612" cm="1">
        <f t="array" ref="T246">IFERROR(INDEX(РД[Стоимость без отделки итог],MATCH($Q$3&amp;Таблица10[[#This Row],[№]]&amp;"Продажа",РД[Дом]&amp;РД[№ кв]&amp;РД[Состояние],0),1),Таблица10[[#This Row],[Статус]])</f>
        <v>2978820.15</v>
      </c>
      <c r="U246" s="235">
        <f>IFERROR((Таблица10[[#This Row],[ПП]]-Таблица10[[#This Row],[ДДУ]])*1,)</f>
        <v>0</v>
      </c>
      <c r="V246" s="235" cm="1">
        <f t="array" ref="V246">IFERROR(INDEX(РД[Стоимость с отделкой итог],MATCH($Q$3&amp;Таблица10[[#This Row],[№]]&amp;"Продажа",РД[Дом]&amp;РД[№ кв]&amp;РД[Состояние],0),1),Таблица10[[#This Row],[Статус]])</f>
        <v>2978820.15</v>
      </c>
      <c r="W246" s="235">
        <f>_xlfn.XLOOKUP(Таблица10[[#This Row],[№]],Реестр_Д5[№],Реестр_Д5[Стоимость квартиры с отделкой],"-",0)</f>
        <v>2978820.15</v>
      </c>
      <c r="X246" s="235">
        <f>IFERROR(Таблица10[[#This Row],[СО ПП]]-Таблица10[[#This Row],[СО ДДУ]],"")</f>
        <v>0</v>
      </c>
      <c r="Y246" s="233" cm="1">
        <f t="array" ref="Y246">IFERROR(INDEX(РД[S],MATCH($Q$3&amp;Таблица10[[#This Row],[№]]&amp;"Продажа",РД[Дом]&amp;РД[№ кв]&amp;РД[Состояние],0),1),Таблица10[[#This Row],[Статус]])</f>
        <v>34.81</v>
      </c>
      <c r="Z246" s="233">
        <f>IF(Таблица10[[#This Row],[№]]&amp;"ДДУ"=ППД5!A243&amp;ППД5!CR243,ППД5!U243,ППД5!V243)</f>
        <v>34.81</v>
      </c>
      <c r="AA246" s="285">
        <f>IFERROR(Таблица10[[#This Row],[S ПП]]-Таблица10[[#This Row],[S ДДУ]],)</f>
        <v>0</v>
      </c>
      <c r="AB246" s="235">
        <f>ROUND(_xlfn.XLOOKUP(Таблица10[[#This Row],[№]],Реестр_Д5[№],Реестр_Д5[Итоговая сумма скидки],"",0),2)</f>
        <v>0</v>
      </c>
      <c r="AC246" s="235" cm="1">
        <f t="array" ref="AC24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46" s="285">
        <f>IFERROR(Таблица10[[#This Row],[ППС]]-Таблица10[[#This Row],[ДДУС]],)</f>
        <v>0</v>
      </c>
      <c r="AE246" s="611"/>
      <c r="AT246" s="611"/>
      <c r="AU246" s="484">
        <f>VLOOKUP(ППД402!A243,Д402[],1,0)</f>
        <v>242</v>
      </c>
      <c r="AV246" s="484" t="str">
        <f>_xlfn.XLOOKUP(Т402[[#This Row],[№]],Д402[№],Д402[Статус],"-",0)</f>
        <v>Продажа</v>
      </c>
      <c r="AW246" s="613">
        <f>_xlfn.XLOOKUP(Т402[[#This Row],[№]],Д402[№],Д402[Стоимость ОН без отделки со скидкой],"-",0)</f>
        <v>4749500</v>
      </c>
      <c r="AX246" s="614" cm="1">
        <f t="array" ref="AX246">IFERROR(INDEX(РД[Стоимость без отделки итог],MATCH($AU$3&amp;Т402[[#This Row],[№]]&amp;"Продажа",РД[Дом]&amp;РД[№ кв]&amp;РД[Состояние],0),1),Т402[[#This Row],[Статус]])</f>
        <v>4749500</v>
      </c>
      <c r="AY246" s="485">
        <f>IFERROR((Т402[[#This Row],[ПП]]-Т402[[#This Row],[ДДУ]])*1,"")</f>
        <v>0</v>
      </c>
      <c r="AZ246" s="486" cm="1">
        <f t="array" ref="AZ246">IFERROR(INDEX(РД[Стоимость с отделкой итог],MATCH($AU$3&amp;Т402[[#This Row],[№]]&amp;"Продажа",РД[Дом]&amp;РД[№ кв]&amp;РД[Состояние],0),1),Т402[[#This Row],[Статус]])</f>
        <v>4749500</v>
      </c>
      <c r="BA246" s="485">
        <f>_xlfn.XLOOKUP(Т402[[#This Row],[№]],Д402[№],Д402[Стоимость квартиры с отделкой],"-",0)</f>
        <v>4749500</v>
      </c>
      <c r="BB246" s="485">
        <f>IFERROR(Т402[[#This Row],[СО ПП]]-Т402[[#This Row],[СО ДДУ]],"")</f>
        <v>0</v>
      </c>
      <c r="BC246" s="487" cm="1">
        <f t="array" ref="BC246">IFERROR(INDEX(РД[S],MATCH($AU$3&amp;Т402[[#This Row],[№]]&amp;"Продажа",РД[Дом]&amp;РД[№ кв]&amp;РД[Состояние],0),1),Т402[[#This Row],[Статус]])</f>
        <v>36.549999999999997</v>
      </c>
      <c r="BD246" s="483">
        <f>_xlfn.XLOOKUP(Т402[[#This Row],[№]],Д402[№],Д402[Расчетная проектная площадь],"-",0)</f>
        <v>36.549999999999997</v>
      </c>
      <c r="BE246" s="485">
        <f>IFERROR(Т402[[#This Row],[S ПП]]-Т402[[#This Row],[S ДДУ]],"")</f>
        <v>0</v>
      </c>
      <c r="BF246" s="485">
        <f>_xlfn.XLOOKUP(Т402[[#This Row],[№]],Д402[№],Д402[Итоговая сумма скидки],"-",0)</f>
        <v>0</v>
      </c>
      <c r="BG246" s="486" cm="1">
        <f t="array" ref="BG246">IFERROR(ROUND(_xlfn.XLOOKUP($AU$3&amp;Т402[[#This Row],[№]]&amp;"Продажа",РД[Дом]&amp;РД[№ кв]&amp;РД[Состояние],РД[Сумма скидки],"",0),2),Т402[[#This Row],[Статус]])</f>
        <v>0</v>
      </c>
      <c r="BH246" s="488">
        <f>IFERROR(Т402[[#This Row],[ППС]]-Т402[[#This Row],[ДДУС]],"")</f>
        <v>0</v>
      </c>
    </row>
    <row r="247" spans="1:60" x14ac:dyDescent="0.2">
      <c r="A247" s="611"/>
      <c r="B247" s="234">
        <f>VLOOKUP(ППД4!A244,Реестр_Д4[№],1,0)</f>
        <v>243</v>
      </c>
      <c r="C247" s="234" t="str">
        <f>VLOOKUP(ППД4!CO244,Реестр_Д4[Статус],1,0)</f>
        <v>Продажа</v>
      </c>
      <c r="D247" s="612">
        <f>VLOOKUP(ППД4!CE244,Реестр_Д4[Стоимость ОН без отделки со скидкой],1,0)</f>
        <v>3697833.18</v>
      </c>
      <c r="E247" s="612" cm="1">
        <f t="array" ref="E247">IFERROR(INDEX(РД[Стоимость без отделки итог],MATCH($B$3&amp;Таблица4[[#This Row],[№]]&amp;"Продажа",РД[Дом]&amp;РД[№ кв]&amp;РД[Состояние],0),1),Таблица4[[#This Row],[Статус]])</f>
        <v>3697833.18</v>
      </c>
      <c r="F247" s="235">
        <f>IFERROR((Таблица4[[#This Row],[ПП]]-Таблица4[[#This Row],[ДДУ]])*1,"")</f>
        <v>0</v>
      </c>
      <c r="G247" s="235" cm="1">
        <f t="array" ref="G247">IFERROR(INDEX(РД[Стоимость с отделкой итог],MATCH($B$3&amp;Таблица4[[#This Row],[№]]&amp;"Продажа",РД[Дом]&amp;РД[№ кв]&amp;РД[Состояние],0),1),Таблица4[[#This Row],[Статус]])</f>
        <v>3697833.18</v>
      </c>
      <c r="H247" s="235">
        <f>_xlfn.XLOOKUP(Таблица4[[#This Row],[№]],Реестр_Д4[№],Реестр_Д4[Стоимость квартиры с отделкой],"-",0)</f>
        <v>3697833.18</v>
      </c>
      <c r="I247" s="235">
        <f>IFERROR(Таблица4[[#This Row],[СО ПП]]-Таблица4[[#This Row],[СО ДДУ]],"")</f>
        <v>0</v>
      </c>
      <c r="J247" s="233" cm="1">
        <f t="array" ref="J247">IFERROR(INDEX(РД[S],MATCH($B$3&amp;Таблица4[[#This Row],[№]]&amp;"Продажа",РД[Дом]&amp;РД[№ кв]&amp;РД[Состояние],0),1),Таблица4[[#This Row],[Статус]])</f>
        <v>36.450000000000003</v>
      </c>
      <c r="K247" s="233">
        <f>VLOOKUP(Таблица4[[#This Row],[№]],Реестр_Д4[],20,0)</f>
        <v>36.450000000000003</v>
      </c>
      <c r="L247" s="235">
        <f>IFERROR(Таблица4[[#This Row],[S ПП]]-Таблица4[[#This Row],[S ДДУ]],)</f>
        <v>0</v>
      </c>
      <c r="M247" s="235">
        <f>ROUND(_xlfn.XLOOKUP(Таблица4[[#This Row],[№]],Реестр_Д4[№],Реестр_Д4[Итоговая сумма скидки],"",0),2)</f>
        <v>0</v>
      </c>
      <c r="N247" s="235" cm="1">
        <f t="array" ref="N24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7" s="235">
        <f>IFERROR(Таблица4[[#This Row],[ППС]]-Таблица4[[#This Row],[ДДУС]],)</f>
        <v>0</v>
      </c>
      <c r="P247" s="611"/>
      <c r="Q247" s="234">
        <f>VLOOKUP(ППД5!A244,Реестр_Д5[№],1,0)</f>
        <v>243</v>
      </c>
      <c r="R247" s="234" t="str">
        <f>VLOOKUP(ППД5!CH244,Реестр_Д5[Статус],1,0)</f>
        <v>Свободно</v>
      </c>
      <c r="S247" s="612">
        <f>VLOOKUP(ППД5!BZ244,Реестр_Д5[Стоимость ОН без отделки со скидкой],1,0)</f>
        <v>8694800</v>
      </c>
      <c r="T247" s="612" t="str" cm="1">
        <f t="array" ref="T24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47" s="235">
        <f>IFERROR((Таблица10[[#This Row],[ПП]]-Таблица10[[#This Row],[ДДУ]])*1,)</f>
        <v>0</v>
      </c>
      <c r="V247" s="235" t="str" cm="1">
        <f t="array" ref="V24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47" s="235">
        <f>_xlfn.XLOOKUP(Таблица10[[#This Row],[№]],Реестр_Д5[№],Реестр_Д5[Стоимость квартиры с отделкой],"-",0)</f>
        <v>9427300</v>
      </c>
      <c r="X247" s="235" t="str">
        <f>IFERROR(Таблица10[[#This Row],[СО ПП]]-Таблица10[[#This Row],[СО ДДУ]],"")</f>
        <v/>
      </c>
      <c r="Y247" s="233" t="str" cm="1">
        <f t="array" ref="Y247">IFERROR(INDEX(РД[S],MATCH($Q$3&amp;Таблица10[[#This Row],[№]]&amp;"Продажа",РД[Дом]&amp;РД[№ кв]&amp;РД[Состояние],0),1),Таблица10[[#This Row],[Статус]])</f>
        <v>Свободно</v>
      </c>
      <c r="Z247" s="233">
        <f>IF(Таблица10[[#This Row],[№]]&amp;"ДДУ"=ППД5!A244&amp;ППД5!CR244,ППД5!U244,ППД5!V244)</f>
        <v>73.249999999999986</v>
      </c>
      <c r="AA247" s="285">
        <f>IFERROR(Таблица10[[#This Row],[S ПП]]-Таблица10[[#This Row],[S ДДУ]],)</f>
        <v>0</v>
      </c>
      <c r="AB247" s="235">
        <f>ROUND(_xlfn.XLOOKUP(Таблица10[[#This Row],[№]],Реестр_Д5[№],Реестр_Д5[Итоговая сумма скидки],"",0),2)</f>
        <v>0</v>
      </c>
      <c r="AC247" s="235" t="str" cm="1">
        <f t="array" ref="AC24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47" s="285">
        <f>IFERROR(Таблица10[[#This Row],[ППС]]-Таблица10[[#This Row],[ДДУС]],)</f>
        <v>0</v>
      </c>
      <c r="AE247" s="611"/>
      <c r="AT247" s="611"/>
      <c r="AU247" s="484">
        <f>VLOOKUP(ППД402!A244,Д402[],1,0)</f>
        <v>243</v>
      </c>
      <c r="AV247" s="484" t="str">
        <f>_xlfn.XLOOKUP(Т402[[#This Row],[№]],Д402[№],Д402[Статус],"-",0)</f>
        <v>Стр. Резерв</v>
      </c>
      <c r="AW247" s="613">
        <f>_xlfn.XLOOKUP(Т402[[#This Row],[№]],Д402[№],Д402[Стоимость ОН без отделки со скидкой],"-",0)</f>
        <v>6749100</v>
      </c>
      <c r="AX247" s="614" t="str" cm="1">
        <f t="array" ref="AX24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7" s="485" t="str">
        <f>IFERROR((Т402[[#This Row],[ПП]]-Т402[[#This Row],[ДДУ]])*1,"")</f>
        <v/>
      </c>
      <c r="AZ247" s="486" t="str" cm="1">
        <f t="array" ref="AZ24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7" s="485">
        <f>_xlfn.XLOOKUP(Т402[[#This Row],[№]],Д402[№],Д402[Стоимость квартиры с отделкой],"-",0)</f>
        <v>6749100</v>
      </c>
      <c r="BB247" s="485" t="str">
        <f>IFERROR(Т402[[#This Row],[СО ПП]]-Т402[[#This Row],[СО ДДУ]],"")</f>
        <v/>
      </c>
      <c r="BC247" s="487" t="str" cm="1">
        <f t="array" ref="BC247">IFERROR(INDEX(РД[S],MATCH($AU$3&amp;Т402[[#This Row],[№]]&amp;"Продажа",РД[Дом]&amp;РД[№ кв]&amp;РД[Состояние],0),1),Т402[[#This Row],[Статус]])</f>
        <v>Стр. Резерв</v>
      </c>
      <c r="BD247" s="483">
        <f>_xlfn.XLOOKUP(Т402[[#This Row],[№]],Д402[№],Д402[Расчетная проектная площадь],"-",0)</f>
        <v>54.35</v>
      </c>
      <c r="BE247" s="485" t="str">
        <f>IFERROR(Т402[[#This Row],[S ПП]]-Т402[[#This Row],[S ДДУ]],"")</f>
        <v/>
      </c>
      <c r="BF247" s="485">
        <f>_xlfn.XLOOKUP(Т402[[#This Row],[№]],Д402[№],Д402[Итоговая сумма скидки],"-",0)</f>
        <v>0</v>
      </c>
      <c r="BG247" s="486" t="str" cm="1">
        <f t="array" ref="BG24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7" s="488" t="str">
        <f>IFERROR(Т402[[#This Row],[ППС]]-Т402[[#This Row],[ДДУС]],"")</f>
        <v/>
      </c>
    </row>
    <row r="248" spans="1:60" x14ac:dyDescent="0.2">
      <c r="A248" s="611"/>
      <c r="B248" s="234">
        <f>VLOOKUP(ППД4!A245,Реестр_Д4[№],1,0)</f>
        <v>244</v>
      </c>
      <c r="C248" s="234" t="str">
        <f>VLOOKUP(ППД4!CO245,Реестр_Д4[Статус],1,0)</f>
        <v>Продажа</v>
      </c>
      <c r="D248" s="612">
        <f>VLOOKUP(ППД4!CE245,Реестр_Д4[Стоимость ОН без отделки со скидкой],1,0)</f>
        <v>4178797.81</v>
      </c>
      <c r="E248" s="612" cm="1">
        <f t="array" ref="E248">IFERROR(INDEX(РД[Стоимость без отделки итог],MATCH($B$3&amp;Таблица4[[#This Row],[№]]&amp;"Продажа",РД[Дом]&amp;РД[№ кв]&amp;РД[Состояние],0),1),Таблица4[[#This Row],[Статус]])</f>
        <v>4178797.81</v>
      </c>
      <c r="F248" s="235">
        <f>IFERROR((Таблица4[[#This Row],[ПП]]-Таблица4[[#This Row],[ДДУ]])*1,"")</f>
        <v>0</v>
      </c>
      <c r="G248" s="235" cm="1">
        <f t="array" ref="G248">IFERROR(INDEX(РД[Стоимость с отделкой итог],MATCH($B$3&amp;Таблица4[[#This Row],[№]]&amp;"Продажа",РД[Дом]&amp;РД[№ кв]&amp;РД[Состояние],0),1),Таблица4[[#This Row],[Статус]])</f>
        <v>4178797.81</v>
      </c>
      <c r="H248" s="235">
        <f>_xlfn.XLOOKUP(Таблица4[[#This Row],[№]],Реестр_Д4[№],Реестр_Д4[Стоимость квартиры с отделкой],"-",0)</f>
        <v>4178797.81</v>
      </c>
      <c r="I248" s="235">
        <f>IFERROR(Таблица4[[#This Row],[СО ПП]]-Таблица4[[#This Row],[СО ДДУ]],"")</f>
        <v>0</v>
      </c>
      <c r="J248" s="233" cm="1">
        <f t="array" ref="J248">IFERROR(INDEX(РД[S],MATCH($B$3&amp;Таблица4[[#This Row],[№]]&amp;"Продажа",РД[Дом]&amp;РД[№ кв]&amp;РД[Состояние],0),1),Таблица4[[#This Row],[Статус]])</f>
        <v>58.55</v>
      </c>
      <c r="K248" s="233">
        <f>VLOOKUP(Таблица4[[#This Row],[№]],Реестр_Д4[],20,0)</f>
        <v>58.55</v>
      </c>
      <c r="L248" s="235">
        <f>IFERROR(Таблица4[[#This Row],[S ПП]]-Таблица4[[#This Row],[S ДДУ]],)</f>
        <v>0</v>
      </c>
      <c r="M248" s="235">
        <f>ROUND(_xlfn.XLOOKUP(Таблица4[[#This Row],[№]],Реестр_Д4[№],Реестр_Д4[Итоговая сумма скидки],"",0),2)</f>
        <v>0</v>
      </c>
      <c r="N248" s="235" cm="1">
        <f t="array" ref="N24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8" s="235">
        <f>IFERROR(Таблица4[[#This Row],[ППС]]-Таблица4[[#This Row],[ДДУС]],)</f>
        <v>0</v>
      </c>
      <c r="P248" s="611"/>
      <c r="Q248" s="234">
        <f>VLOOKUP(ППД5!A245,Реестр_Д5[№],1,0)</f>
        <v>244</v>
      </c>
      <c r="R248" s="234" t="str">
        <f>VLOOKUP(ППД5!CH245,Реестр_Д5[Статус],1,0)</f>
        <v>Продажа</v>
      </c>
      <c r="S248" s="612">
        <f>VLOOKUP(ППД5!BZ245,Реестр_Д5[Стоимость ОН без отделки со скидкой],1,0)</f>
        <v>2921640</v>
      </c>
      <c r="T248" s="612" cm="1">
        <f t="array" ref="T248">IFERROR(INDEX(РД[Стоимость без отделки итог],MATCH($Q$3&amp;Таблица10[[#This Row],[№]]&amp;"Продажа",РД[Дом]&amp;РД[№ кв]&amp;РД[Состояние],0),1),Таблица10[[#This Row],[Статус]])</f>
        <v>2921640</v>
      </c>
      <c r="U248" s="235">
        <f>IFERROR((Таблица10[[#This Row],[ПП]]-Таблица10[[#This Row],[ДДУ]])*1,)</f>
        <v>0</v>
      </c>
      <c r="V248" s="235" cm="1">
        <f t="array" ref="V248">IFERROR(INDEX(РД[Стоимость с отделкой итог],MATCH($Q$3&amp;Таблица10[[#This Row],[№]]&amp;"Продажа",РД[Дом]&amp;РД[№ кв]&amp;РД[Состояние],0),1),Таблица10[[#This Row],[Статус]])</f>
        <v>3510360</v>
      </c>
      <c r="W248" s="235">
        <f>_xlfn.XLOOKUP(Таблица10[[#This Row],[№]],Реестр_Д5[№],Реестр_Д5[Стоимость квартиры с отделкой],"-",0)</f>
        <v>3510360</v>
      </c>
      <c r="X248" s="235">
        <f>IFERROR(Таблица10[[#This Row],[СО ПП]]-Таблица10[[#This Row],[СО ДДУ]],"")</f>
        <v>0</v>
      </c>
      <c r="Y248" s="233" cm="1">
        <f t="array" ref="Y248">IFERROR(INDEX(РД[S],MATCH($Q$3&amp;Таблица10[[#This Row],[№]]&amp;"Продажа",РД[Дом]&amp;РД[№ кв]&amp;РД[Состояние],0),1),Таблица10[[#This Row],[Статус]])</f>
        <v>24.53</v>
      </c>
      <c r="Z248" s="233">
        <f>IF(Таблица10[[#This Row],[№]]&amp;"ДДУ"=ППД5!A245&amp;ППД5!CR245,ППД5!U245,ППД5!V245)</f>
        <v>24.53</v>
      </c>
      <c r="AA248" s="285">
        <f>IFERROR(Таблица10[[#This Row],[S ПП]]-Таблица10[[#This Row],[S ДДУ]],)</f>
        <v>0</v>
      </c>
      <c r="AB248" s="235">
        <f>ROUND(_xlfn.XLOOKUP(Таблица10[[#This Row],[№]],Реестр_Д5[№],Реестр_Д5[Итоговая сумма скидки],"",0),2)</f>
        <v>90360</v>
      </c>
      <c r="AC248" s="235" cm="1">
        <f t="array" ref="AC248">IFERROR(ROUND(_xlfn.XLOOKUP($Q$3&amp;Таблица10[[#This Row],[№]]&amp;"Продажа",РД[Дом]&amp;РД[№ кв]&amp;РД[Состояние],РД[Сумма скидки],"",0,-1),2),Таблица10[[#This Row],[Статус]])</f>
        <v>90360</v>
      </c>
      <c r="AD248" s="285">
        <f>IFERROR(Таблица10[[#This Row],[ППС]]-Таблица10[[#This Row],[ДДУС]],)</f>
        <v>0</v>
      </c>
      <c r="AE248" s="611"/>
      <c r="AT248" s="611"/>
      <c r="AU248" s="484">
        <f>VLOOKUP(ППД402!A245,Д402[],1,0)</f>
        <v>244</v>
      </c>
      <c r="AV248" s="484" t="str">
        <f>_xlfn.XLOOKUP(Т402[[#This Row],[№]],Д402[№],Д402[Статус],"-",0)</f>
        <v>Свободно</v>
      </c>
      <c r="AW248" s="613">
        <f>_xlfn.XLOOKUP(Т402[[#This Row],[№]],Д402[№],Д402[Стоимость ОН без отделки со скидкой],"-",0)</f>
        <v>7086200</v>
      </c>
      <c r="AX248" s="614" t="str" cm="1">
        <f t="array" ref="AX248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48" s="485" t="str">
        <f>IFERROR((Т402[[#This Row],[ПП]]-Т402[[#This Row],[ДДУ]])*1,"")</f>
        <v/>
      </c>
      <c r="AZ248" s="486" t="str" cm="1">
        <f t="array" ref="AZ248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48" s="485">
        <f>_xlfn.XLOOKUP(Т402[[#This Row],[№]],Д402[№],Д402[Стоимость квартиры с отделкой],"-",0)</f>
        <v>7086200</v>
      </c>
      <c r="BB248" s="485" t="str">
        <f>IFERROR(Т402[[#This Row],[СО ПП]]-Т402[[#This Row],[СО ДДУ]],"")</f>
        <v/>
      </c>
      <c r="BC248" s="487" t="str" cm="1">
        <f t="array" ref="BC248">IFERROR(INDEX(РД[S],MATCH($AU$3&amp;Т402[[#This Row],[№]]&amp;"Продажа",РД[Дом]&amp;РД[№ кв]&amp;РД[Состояние],0),1),Т402[[#This Row],[Статус]])</f>
        <v>Свободно</v>
      </c>
      <c r="BD248" s="483">
        <f>_xlfn.XLOOKUP(Т402[[#This Row],[№]],Д402[№],Д402[Расчетная проектная площадь],"-",0)</f>
        <v>56</v>
      </c>
      <c r="BE248" s="485" t="str">
        <f>IFERROR(Т402[[#This Row],[S ПП]]-Т402[[#This Row],[S ДДУ]],"")</f>
        <v/>
      </c>
      <c r="BF248" s="485">
        <f>_xlfn.XLOOKUP(Т402[[#This Row],[№]],Д402[№],Д402[Итоговая сумма скидки],"-",0)</f>
        <v>0</v>
      </c>
      <c r="BG248" s="486" t="str" cm="1">
        <f t="array" ref="BG248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48" s="488" t="str">
        <f>IFERROR(Т402[[#This Row],[ППС]]-Т402[[#This Row],[ДДУС]],"")</f>
        <v/>
      </c>
    </row>
    <row r="249" spans="1:60" x14ac:dyDescent="0.2">
      <c r="A249" s="611"/>
      <c r="B249" s="234">
        <f>VLOOKUP(ППД4!A246,Реестр_Д4[№],1,0)</f>
        <v>245</v>
      </c>
      <c r="C249" s="234" t="str">
        <f>VLOOKUP(ППД4!CO246,Реестр_Д4[Статус],1,0)</f>
        <v>Продажа</v>
      </c>
      <c r="D249" s="612">
        <f>VLOOKUP(ППД4!CE246,Реестр_Д4[Стоимость ОН без отделки со скидкой],1,0)</f>
        <v>4377960.09</v>
      </c>
      <c r="E249" s="612" cm="1">
        <f t="array" ref="E249">IFERROR(INDEX(РД[Стоимость без отделки итог],MATCH($B$3&amp;Таблица4[[#This Row],[№]]&amp;"Продажа",РД[Дом]&amp;РД[№ кв]&amp;РД[Состояние],0),1),Таблица4[[#This Row],[Статус]])</f>
        <v>4377960.09</v>
      </c>
      <c r="F249" s="235">
        <f>IFERROR((Таблица4[[#This Row],[ПП]]-Таблица4[[#This Row],[ДДУ]])*1,"")</f>
        <v>0</v>
      </c>
      <c r="G249" s="235" cm="1">
        <f t="array" ref="G249">IFERROR(INDEX(РД[Стоимость с отделкой итог],MATCH($B$3&amp;Таблица4[[#This Row],[№]]&amp;"Продажа",РД[Дом]&amp;РД[№ кв]&amp;РД[Состояние],0),1),Таблица4[[#This Row],[Статус]])</f>
        <v>4604760.09</v>
      </c>
      <c r="H249" s="235">
        <f>_xlfn.XLOOKUP(Таблица4[[#This Row],[№]],Реестр_Д4[№],Реестр_Д4[Стоимость квартиры с отделкой],"-",0)</f>
        <v>4604760.09</v>
      </c>
      <c r="I249" s="235">
        <f>IFERROR(Таблица4[[#This Row],[СО ПП]]-Таблица4[[#This Row],[СО ДДУ]],"")</f>
        <v>0</v>
      </c>
      <c r="J249" s="233" cm="1">
        <f t="array" ref="J249">IFERROR(INDEX(РД[S],MATCH($B$3&amp;Таблица4[[#This Row],[№]]&amp;"Продажа",РД[Дом]&amp;РД[№ кв]&amp;РД[Состояние],0),1),Таблица4[[#This Row],[Статус]])</f>
        <v>56.7</v>
      </c>
      <c r="K249" s="233">
        <f>VLOOKUP(Таблица4[[#This Row],[№]],Реестр_Д4[],20,0)</f>
        <v>56.7</v>
      </c>
      <c r="L249" s="235">
        <f>IFERROR(Таблица4[[#This Row],[S ПП]]-Таблица4[[#This Row],[S ДДУ]],)</f>
        <v>0</v>
      </c>
      <c r="M249" s="235">
        <f>ROUND(_xlfn.XLOOKUP(Таблица4[[#This Row],[№]],Реестр_Д4[№],Реестр_Д4[Итоговая сумма скидки],"",0),2)</f>
        <v>0</v>
      </c>
      <c r="N249" s="235" cm="1">
        <f t="array" ref="N24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49" s="235">
        <f>IFERROR(Таблица4[[#This Row],[ППС]]-Таблица4[[#This Row],[ДДУС]],)</f>
        <v>0</v>
      </c>
      <c r="P249" s="611"/>
      <c r="Q249" s="234">
        <f>VLOOKUP(ППД5!A246,Реестр_Д5[№],1,0)</f>
        <v>245</v>
      </c>
      <c r="R249" s="234" t="str">
        <f>VLOOKUP(ППД5!CH246,Реестр_Д5[Статус],1,0)</f>
        <v>Продажа</v>
      </c>
      <c r="S249" s="612">
        <f>VLOOKUP(ППД5!BZ246,Реестр_Д5[Стоимость ОН без отделки со скидкой],1,0)</f>
        <v>4815857.1100000003</v>
      </c>
      <c r="T249" s="612" cm="1">
        <f t="array" ref="T249">IFERROR(INDEX(РД[Стоимость без отделки итог],MATCH($Q$3&amp;Таблица10[[#This Row],[№]]&amp;"Продажа",РД[Дом]&amp;РД[№ кв]&amp;РД[Состояние],0),1),Таблица10[[#This Row],[Статус]])</f>
        <v>4815857.1100000003</v>
      </c>
      <c r="U249" s="235">
        <f>IFERROR((Таблица10[[#This Row],[ПП]]-Таблица10[[#This Row],[ДДУ]])*1,)</f>
        <v>0</v>
      </c>
      <c r="V249" s="235" cm="1">
        <f t="array" ref="V249">IFERROR(INDEX(РД[Стоимость с отделкой итог],MATCH($Q$3&amp;Таблица10[[#This Row],[№]]&amp;"Продажа",РД[Дом]&amp;РД[№ кв]&amp;РД[Состояние],0),1),Таблица10[[#This Row],[Статус]])</f>
        <v>6060617.1100000003</v>
      </c>
      <c r="W249" s="235">
        <f>_xlfn.XLOOKUP(Таблица10[[#This Row],[№]],Реестр_Д5[№],Реестр_Д5[Стоимость квартиры с отделкой],"-",0)</f>
        <v>6060617.1100000003</v>
      </c>
      <c r="X249" s="235">
        <f>IFERROR(Таблица10[[#This Row],[СО ПП]]-Таблица10[[#This Row],[СО ДДУ]],"")</f>
        <v>0</v>
      </c>
      <c r="Y249" s="233" cm="1">
        <f t="array" ref="Y249">IFERROR(INDEX(РД[S],MATCH($Q$3&amp;Таблица10[[#This Row],[№]]&amp;"Продажа",РД[Дом]&amp;РД[№ кв]&amp;РД[Состояние],0),1),Таблица10[[#This Row],[Статус]])</f>
        <v>56.58</v>
      </c>
      <c r="Z249" s="233">
        <f>IF(Таблица10[[#This Row],[№]]&amp;"ДДУ"=ППД5!A246&amp;ППД5!CR246,ППД5!U246,ППД5!V246)</f>
        <v>56.58</v>
      </c>
      <c r="AA249" s="285">
        <f>IFERROR(Таблица10[[#This Row],[S ПП]]-Таблица10[[#This Row],[S ДДУ]],)</f>
        <v>0</v>
      </c>
      <c r="AB249" s="235">
        <f>ROUND(_xlfn.XLOOKUP(Таблица10[[#This Row],[№]],Реестр_Д5[№],Реестр_Д5[Итоговая сумма скидки],"",0),2)</f>
        <v>98282.8</v>
      </c>
      <c r="AC249" s="235" cm="1">
        <f t="array" ref="AC249">IFERROR(ROUND(_xlfn.XLOOKUP($Q$3&amp;Таблица10[[#This Row],[№]]&amp;"Продажа",РД[Дом]&amp;РД[№ кв]&amp;РД[Состояние],РД[Сумма скидки],"",0,-1),2),Таблица10[[#This Row],[Статус]])</f>
        <v>98282.8</v>
      </c>
      <c r="AD249" s="285">
        <f>IFERROR(Таблица10[[#This Row],[ППС]]-Таблица10[[#This Row],[ДДУС]],)</f>
        <v>0</v>
      </c>
      <c r="AE249" s="611"/>
      <c r="AT249" s="611"/>
      <c r="AU249" s="484">
        <f>VLOOKUP(ППД402!A246,Д402[],1,0)</f>
        <v>245</v>
      </c>
      <c r="AV249" s="484" t="str">
        <f>_xlfn.XLOOKUP(Т402[[#This Row],[№]],Д402[№],Д402[Статус],"-",0)</f>
        <v>Стр. Резерв</v>
      </c>
      <c r="AW249" s="613">
        <f>_xlfn.XLOOKUP(Т402[[#This Row],[№]],Д402[№],Д402[Стоимость ОН без отделки со скидкой],"-",0)</f>
        <v>7344800</v>
      </c>
      <c r="AX249" s="614" t="str" cm="1">
        <f t="array" ref="AX24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49" s="485" t="str">
        <f>IFERROR((Т402[[#This Row],[ПП]]-Т402[[#This Row],[ДДУ]])*1,"")</f>
        <v/>
      </c>
      <c r="AZ249" s="486" t="str" cm="1">
        <f t="array" ref="AZ24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49" s="485">
        <f>_xlfn.XLOOKUP(Т402[[#This Row],[№]],Д402[№],Д402[Стоимость квартиры с отделкой],"-",0)</f>
        <v>7344800</v>
      </c>
      <c r="BB249" s="485" t="str">
        <f>IFERROR(Т402[[#This Row],[СО ПП]]-Т402[[#This Row],[СО ДДУ]],"")</f>
        <v/>
      </c>
      <c r="BC249" s="487" t="str" cm="1">
        <f t="array" ref="BC249">IFERROR(INDEX(РД[S],MATCH($AU$3&amp;Т402[[#This Row],[№]]&amp;"Продажа",РД[Дом]&amp;РД[№ кв]&amp;РД[Состояние],0),1),Т402[[#This Row],[Статус]])</f>
        <v>Стр. Резерв</v>
      </c>
      <c r="BD249" s="483">
        <f>_xlfn.XLOOKUP(Т402[[#This Row],[№]],Д402[№],Д402[Расчетная проектная площадь],"-",0)</f>
        <v>59.17</v>
      </c>
      <c r="BE249" s="485" t="str">
        <f>IFERROR(Т402[[#This Row],[S ПП]]-Т402[[#This Row],[S ДДУ]],"")</f>
        <v/>
      </c>
      <c r="BF249" s="485">
        <f>_xlfn.XLOOKUP(Т402[[#This Row],[№]],Д402[№],Д402[Итоговая сумма скидки],"-",0)</f>
        <v>0</v>
      </c>
      <c r="BG249" s="486" t="str" cm="1">
        <f t="array" ref="BG24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49" s="488" t="str">
        <f>IFERROR(Т402[[#This Row],[ППС]]-Т402[[#This Row],[ДДУС]],"")</f>
        <v/>
      </c>
    </row>
    <row r="250" spans="1:60" x14ac:dyDescent="0.2">
      <c r="A250" s="611"/>
      <c r="B250" s="234">
        <f>VLOOKUP(ППД4!A247,Реестр_Д4[№],1,0)</f>
        <v>246</v>
      </c>
      <c r="C250" s="234" t="str">
        <f>VLOOKUP(ППД4!CO247,Реестр_Д4[Статус],1,0)</f>
        <v>Продажа</v>
      </c>
      <c r="D250" s="612">
        <f>VLOOKUP(ППД4!CE247,Реестр_Д4[Стоимость ОН без отделки со скидкой],1,0)</f>
        <v>7579205.5999999996</v>
      </c>
      <c r="E250" s="612" cm="1">
        <f t="array" ref="E250">IFERROR(INDEX(РД[Стоимость без отделки итог],MATCH($B$3&amp;Таблица4[[#This Row],[№]]&amp;"Продажа",РД[Дом]&amp;РД[№ кв]&amp;РД[Состояние],0),1),Таблица4[[#This Row],[Статус]])</f>
        <v>7579205.5999999996</v>
      </c>
      <c r="F250" s="235">
        <f>IFERROR((Таблица4[[#This Row],[ПП]]-Таблица4[[#This Row],[ДДУ]])*1,"")</f>
        <v>0</v>
      </c>
      <c r="G250" s="235" cm="1">
        <f t="array" ref="G250">IFERROR(INDEX(РД[Стоимость с отделкой итог],MATCH($B$3&amp;Таблица4[[#This Row],[№]]&amp;"Продажа",РД[Дом]&amp;РД[№ кв]&amp;РД[Состояние],0),1),Таблица4[[#This Row],[Статус]])</f>
        <v>7579205.5999999996</v>
      </c>
      <c r="H250" s="235">
        <f>_xlfn.XLOOKUP(Таблица4[[#This Row],[№]],Реестр_Д4[№],Реестр_Д4[Стоимость квартиры с отделкой],"-",0)</f>
        <v>7579205.5999999996</v>
      </c>
      <c r="I250" s="235">
        <f>IFERROR(Таблица4[[#This Row],[СО ПП]]-Таблица4[[#This Row],[СО ДДУ]],"")</f>
        <v>0</v>
      </c>
      <c r="J250" s="233" cm="1">
        <f t="array" ref="J250">IFERROR(INDEX(РД[S],MATCH($B$3&amp;Таблица4[[#This Row],[№]]&amp;"Продажа",РД[Дом]&amp;РД[№ кв]&amp;РД[Состояние],0),1),Таблица4[[#This Row],[Статус]])</f>
        <v>71.91</v>
      </c>
      <c r="K250" s="233">
        <f>VLOOKUP(Таблица4[[#This Row],[№]],Реестр_Д4[],20,0)</f>
        <v>71.91</v>
      </c>
      <c r="L250" s="235">
        <f>IFERROR(Таблица4[[#This Row],[S ПП]]-Таблица4[[#This Row],[S ДДУ]],)</f>
        <v>0</v>
      </c>
      <c r="M250" s="235">
        <f>ROUND(_xlfn.XLOOKUP(Таблица4[[#This Row],[№]],Реестр_Д4[№],Реестр_Д4[Итоговая сумма скидки],"",0),2)</f>
        <v>200000</v>
      </c>
      <c r="N250" s="235" cm="1">
        <f t="array" ref="N250">IFERROR(ROUND(_xlfn.XLOOKUP($B$3&amp;Таблица4[[#This Row],[№]]&amp;"Продажа",РД[Дом]&amp;РД[№ кв]&amp;РД[Состояние],РД[Сумма скидки],"",0),2),Таблица4[[#This Row],[Статус]])</f>
        <v>200000</v>
      </c>
      <c r="O250" s="235">
        <f>IFERROR(Таблица4[[#This Row],[ППС]]-Таблица4[[#This Row],[ДДУС]],)</f>
        <v>0</v>
      </c>
      <c r="P250" s="611"/>
      <c r="Q250" s="234">
        <f>VLOOKUP(ППД5!A247,Реестр_Д5[№],1,0)</f>
        <v>246</v>
      </c>
      <c r="R250" s="234" t="str">
        <f>VLOOKUP(ППД5!CH247,Реестр_Д5[Статус],1,0)</f>
        <v>Свободно</v>
      </c>
      <c r="S250" s="612">
        <f>VLOOKUP(ППД5!BZ247,Реестр_Д5[Стоимость ОН без отделки со скидкой],1,0)</f>
        <v>7391900</v>
      </c>
      <c r="T250" s="612" t="str" cm="1">
        <f t="array" ref="T25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50" s="235">
        <f>IFERROR((Таблица10[[#This Row],[ПП]]-Таблица10[[#This Row],[ДДУ]])*1,)</f>
        <v>0</v>
      </c>
      <c r="V250" s="235" t="str" cm="1">
        <f t="array" ref="V25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50" s="235">
        <f>_xlfn.XLOOKUP(Таблица10[[#This Row],[№]],Реестр_Д5[№],Реестр_Д5[Стоимость квартиры с отделкой],"-",0)</f>
        <v>7391900</v>
      </c>
      <c r="X250" s="235" t="str">
        <f>IFERROR(Таблица10[[#This Row],[СО ПП]]-Таблица10[[#This Row],[СО ДДУ]],"")</f>
        <v/>
      </c>
      <c r="Y250" s="233" t="str" cm="1">
        <f t="array" ref="Y250">IFERROR(INDEX(РД[S],MATCH($Q$3&amp;Таблица10[[#This Row],[№]]&amp;"Продажа",РД[Дом]&amp;РД[№ кв]&amp;РД[Состояние],0),1),Таблица10[[#This Row],[Статус]])</f>
        <v>Свободно</v>
      </c>
      <c r="Z250" s="233">
        <f>IF(Таблица10[[#This Row],[№]]&amp;"ДДУ"=ППД5!A247&amp;ППД5!CR247,ППД5!U247,ППД5!V247)</f>
        <v>60.150000000000006</v>
      </c>
      <c r="AA250" s="285">
        <f>IFERROR(Таблица10[[#This Row],[S ПП]]-Таблица10[[#This Row],[S ДДУ]],)</f>
        <v>0</v>
      </c>
      <c r="AB250" s="235">
        <f>ROUND(_xlfn.XLOOKUP(Таблица10[[#This Row],[№]],Реестр_Д5[№],Реестр_Д5[Итоговая сумма скидки],"",0),2)</f>
        <v>0</v>
      </c>
      <c r="AC250" s="235" t="str" cm="1">
        <f t="array" ref="AC25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50" s="285">
        <f>IFERROR(Таблица10[[#This Row],[ППС]]-Таблица10[[#This Row],[ДДУС]],)</f>
        <v>0</v>
      </c>
      <c r="AE250" s="611"/>
      <c r="AT250" s="611"/>
      <c r="AU250" s="484">
        <f>VLOOKUP(ППД402!A247,Д402[],1,0)</f>
        <v>246</v>
      </c>
      <c r="AV250" s="484" t="str">
        <f>_xlfn.XLOOKUP(Т402[[#This Row],[№]],Д402[№],Д402[Статус],"-",0)</f>
        <v>Стр. Резерв</v>
      </c>
      <c r="AW250" s="613">
        <f>_xlfn.XLOOKUP(Т402[[#This Row],[№]],Д402[№],Д402[Стоимость ОН без отделки со скидкой],"-",0)</f>
        <v>4139600</v>
      </c>
      <c r="AX250" s="614" t="str" cm="1">
        <f t="array" ref="AX25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50" s="485" t="str">
        <f>IFERROR((Т402[[#This Row],[ПП]]-Т402[[#This Row],[ДДУ]])*1,"")</f>
        <v/>
      </c>
      <c r="AZ250" s="486" t="str" cm="1">
        <f t="array" ref="AZ25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50" s="485">
        <f>_xlfn.XLOOKUP(Т402[[#This Row],[№]],Д402[№],Д402[Стоимость квартиры с отделкой],"-",0)</f>
        <v>4139600</v>
      </c>
      <c r="BB250" s="485" t="str">
        <f>IFERROR(Т402[[#This Row],[СО ПП]]-Т402[[#This Row],[СО ДДУ]],"")</f>
        <v/>
      </c>
      <c r="BC250" s="487" t="str" cm="1">
        <f t="array" ref="BC250">IFERROR(INDEX(РД[S],MATCH($AU$3&amp;Т402[[#This Row],[№]]&amp;"Продажа",РД[Дом]&amp;РД[№ кв]&amp;РД[Состояние],0),1),Т402[[#This Row],[Статус]])</f>
        <v>Стр. Резерв</v>
      </c>
      <c r="BD250" s="483">
        <f>_xlfn.XLOOKUP(Т402[[#This Row],[№]],Д402[№],Д402[Расчетная проектная площадь],"-",0)</f>
        <v>29.66</v>
      </c>
      <c r="BE250" s="485" t="str">
        <f>IFERROR(Т402[[#This Row],[S ПП]]-Т402[[#This Row],[S ДДУ]],"")</f>
        <v/>
      </c>
      <c r="BF250" s="485">
        <f>_xlfn.XLOOKUP(Т402[[#This Row],[№]],Д402[№],Д402[Итоговая сумма скидки],"-",0)</f>
        <v>0</v>
      </c>
      <c r="BG250" s="486" t="str" cm="1">
        <f t="array" ref="BG25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50" s="488" t="str">
        <f>IFERROR(Т402[[#This Row],[ППС]]-Т402[[#This Row],[ДДУС]],"")</f>
        <v/>
      </c>
    </row>
    <row r="251" spans="1:60" x14ac:dyDescent="0.2">
      <c r="A251" s="611"/>
      <c r="B251" s="234">
        <f>VLOOKUP(ППД4!A248,Реестр_Д4[№],1,0)</f>
        <v>247</v>
      </c>
      <c r="C251" s="234" t="str">
        <f>VLOOKUP(ППД4!CO248,Реестр_Д4[Статус],1,0)</f>
        <v>Продажа</v>
      </c>
      <c r="D251" s="612">
        <f>VLOOKUP(ППД4!CE248,Реестр_Д4[Стоимость ОН без отделки со скидкой],1,0)</f>
        <v>2880742.35</v>
      </c>
      <c r="E251" s="612" cm="1">
        <f t="array" ref="E251">IFERROR(INDEX(РД[Стоимость без отделки итог],MATCH($B$3&amp;Таблица4[[#This Row],[№]]&amp;"Продажа",РД[Дом]&amp;РД[№ кв]&amp;РД[Состояние],0),1),Таблица4[[#This Row],[Статус]])</f>
        <v>2880742.35</v>
      </c>
      <c r="F251" s="235">
        <f>IFERROR((Таблица4[[#This Row],[ПП]]-Таблица4[[#This Row],[ДДУ]])*1,"")</f>
        <v>0</v>
      </c>
      <c r="G251" s="235" cm="1">
        <f t="array" ref="G251">IFERROR(INDEX(РД[Стоимость с отделкой итог],MATCH($B$3&amp;Таблица4[[#This Row],[№]]&amp;"Продажа",РД[Дом]&amp;РД[№ кв]&amp;РД[Состояние],0),1),Таблица4[[#This Row],[Статус]])</f>
        <v>2880742.35</v>
      </c>
      <c r="H251" s="235">
        <f>_xlfn.XLOOKUP(Таблица4[[#This Row],[№]],Реестр_Д4[№],Реестр_Д4[Стоимость квартиры с отделкой],"-",0)</f>
        <v>2880742.35</v>
      </c>
      <c r="I251" s="235">
        <f>IFERROR(Таблица4[[#This Row],[СО ПП]]-Таблица4[[#This Row],[СО ДДУ]],"")</f>
        <v>0</v>
      </c>
      <c r="J251" s="233" cm="1">
        <f t="array" ref="J251">IFERROR(INDEX(РД[S],MATCH($B$3&amp;Таблица4[[#This Row],[№]]&amp;"Продажа",РД[Дом]&amp;РД[№ кв]&amp;РД[Состояние],0),1),Таблица4[[#This Row],[Статус]])</f>
        <v>33.840000000000003</v>
      </c>
      <c r="K251" s="233">
        <f>VLOOKUP(Таблица4[[#This Row],[№]],Реестр_Д4[],20,0)</f>
        <v>33.840000000000003</v>
      </c>
      <c r="L251" s="235">
        <f>IFERROR(Таблица4[[#This Row],[S ПП]]-Таблица4[[#This Row],[S ДДУ]],)</f>
        <v>0</v>
      </c>
      <c r="M251" s="235">
        <f>ROUND(_xlfn.XLOOKUP(Таблица4[[#This Row],[№]],Реестр_Д4[№],Реестр_Д4[Итоговая сумма скидки],"",0),2)</f>
        <v>0</v>
      </c>
      <c r="N251" s="235" cm="1">
        <f t="array" ref="N25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51" s="235">
        <f>IFERROR(Таблица4[[#This Row],[ППС]]-Таблица4[[#This Row],[ДДУС]],)</f>
        <v>0</v>
      </c>
      <c r="P251" s="611"/>
      <c r="Q251" s="234">
        <f>VLOOKUP(ППД5!A248,Реестр_Д5[№],1,0)</f>
        <v>247</v>
      </c>
      <c r="R251" s="234" t="str">
        <f>VLOOKUP(ППД5!CH248,Реестр_Д5[Статус],1,0)</f>
        <v>Свободно</v>
      </c>
      <c r="S251" s="612">
        <f>VLOOKUP(ППД5!BZ248,Реестр_Д5[Стоимость ОН без отделки со скидкой],1,0)</f>
        <v>5194100</v>
      </c>
      <c r="T251" s="612" t="str" cm="1">
        <f t="array" ref="T25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51" s="235">
        <f>IFERROR((Таблица10[[#This Row],[ПП]]-Таблица10[[#This Row],[ДДУ]])*1,)</f>
        <v>0</v>
      </c>
      <c r="V251" s="235" t="str" cm="1">
        <f t="array" ref="V25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51" s="235">
        <f>_xlfn.XLOOKUP(Таблица10[[#This Row],[№]],Реестр_Д5[№],Реестр_Д5[Стоимость квартиры с отделкой],"-",0)</f>
        <v>5194100</v>
      </c>
      <c r="X251" s="235" t="str">
        <f>IFERROR(Таблица10[[#This Row],[СО ПП]]-Таблица10[[#This Row],[СО ДДУ]],"")</f>
        <v/>
      </c>
      <c r="Y251" s="233" t="str" cm="1">
        <f t="array" ref="Y251">IFERROR(INDEX(РД[S],MATCH($Q$3&amp;Таблица10[[#This Row],[№]]&amp;"Продажа",РД[Дом]&amp;РД[№ кв]&amp;РД[Состояние],0),1),Таблица10[[#This Row],[Статус]])</f>
        <v>Свободно</v>
      </c>
      <c r="Z251" s="233">
        <f>IF(Таблица10[[#This Row],[№]]&amp;"ДДУ"=ППД5!A248&amp;ППД5!CR248,ППД5!U248,ППД5!V248)</f>
        <v>37.5</v>
      </c>
      <c r="AA251" s="285">
        <f>IFERROR(Таблица10[[#This Row],[S ПП]]-Таблица10[[#This Row],[S ДДУ]],)</f>
        <v>0</v>
      </c>
      <c r="AB251" s="235">
        <f>ROUND(_xlfn.XLOOKUP(Таблица10[[#This Row],[№]],Реестр_Д5[№],Реестр_Д5[Итоговая сумма скидки],"",0),2)</f>
        <v>0</v>
      </c>
      <c r="AC251" s="235" t="str" cm="1">
        <f t="array" ref="AC25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51" s="285">
        <f>IFERROR(Таблица10[[#This Row],[ППС]]-Таблица10[[#This Row],[ДДУС]],)</f>
        <v>0</v>
      </c>
      <c r="AE251" s="611"/>
      <c r="AT251" s="611"/>
      <c r="AU251" s="484">
        <f>VLOOKUP(ППД402!A248,Д402[],1,0)</f>
        <v>247</v>
      </c>
      <c r="AV251" s="484" t="str">
        <f>_xlfn.XLOOKUP(Т402[[#This Row],[№]],Д402[№],Д402[Статус],"-",0)</f>
        <v>Продажа</v>
      </c>
      <c r="AW251" s="613">
        <f>_xlfn.XLOOKUP(Т402[[#This Row],[№]],Д402[№],Д402[Стоимость ОН без отделки со скидкой],"-",0)</f>
        <v>5480000</v>
      </c>
      <c r="AX251" s="614" cm="1">
        <f t="array" ref="AX251">IFERROR(INDEX(РД[Стоимость без отделки итог],MATCH($AU$3&amp;Т402[[#This Row],[№]]&amp;"Продажа",РД[Дом]&amp;РД[№ кв]&amp;РД[Состояние],0),1),Т402[[#This Row],[Статус]])</f>
        <v>5480000</v>
      </c>
      <c r="AY251" s="485">
        <f>IFERROR((Т402[[#This Row],[ПП]]-Т402[[#This Row],[ДДУ]])*1,"")</f>
        <v>0</v>
      </c>
      <c r="AZ251" s="486" cm="1">
        <f t="array" ref="AZ251">IFERROR(INDEX(РД[Стоимость с отделкой итог],MATCH($AU$3&amp;Т402[[#This Row],[№]]&amp;"Продажа",РД[Дом]&amp;РД[№ кв]&amp;РД[Состояние],0),1),Т402[[#This Row],[Статус]])</f>
        <v>5480000</v>
      </c>
      <c r="BA251" s="485">
        <f>_xlfn.XLOOKUP(Т402[[#This Row],[№]],Д402[№],Д402[Стоимость квартиры с отделкой],"-",0)</f>
        <v>5480000</v>
      </c>
      <c r="BB251" s="485">
        <f>IFERROR(Т402[[#This Row],[СО ПП]]-Т402[[#This Row],[СО ДДУ]],"")</f>
        <v>0</v>
      </c>
      <c r="BC251" s="487" cm="1">
        <f t="array" ref="BC251">IFERROR(INDEX(РД[S],MATCH($AU$3&amp;Т402[[#This Row],[№]]&amp;"Продажа",РД[Дом]&amp;РД[№ кв]&amp;РД[Состояние],0),1),Т402[[#This Row],[Статус]])</f>
        <v>44.16</v>
      </c>
      <c r="BD251" s="483">
        <f>_xlfn.XLOOKUP(Т402[[#This Row],[№]],Д402[№],Д402[Расчетная проектная площадь],"-",0)</f>
        <v>44.16</v>
      </c>
      <c r="BE251" s="485">
        <f>IFERROR(Т402[[#This Row],[S ПП]]-Т402[[#This Row],[S ДДУ]],"")</f>
        <v>0</v>
      </c>
      <c r="BF251" s="485">
        <f>_xlfn.XLOOKUP(Т402[[#This Row],[№]],Д402[№],Д402[Итоговая сумма скидки],"-",0)</f>
        <v>0</v>
      </c>
      <c r="BG251" s="486" cm="1">
        <f t="array" ref="BG251">IFERROR(ROUND(_xlfn.XLOOKUP($AU$3&amp;Т402[[#This Row],[№]]&amp;"Продажа",РД[Дом]&amp;РД[№ кв]&amp;РД[Состояние],РД[Сумма скидки],"",0),2),Т402[[#This Row],[Статус]])</f>
        <v>0</v>
      </c>
      <c r="BH251" s="488">
        <f>IFERROR(Т402[[#This Row],[ППС]]-Т402[[#This Row],[ДДУС]],"")</f>
        <v>0</v>
      </c>
    </row>
    <row r="252" spans="1:60" x14ac:dyDescent="0.2">
      <c r="A252" s="611"/>
      <c r="B252" s="234">
        <f>VLOOKUP(ППД4!A249,Реестр_Д4[№],1,0)</f>
        <v>248</v>
      </c>
      <c r="C252" s="234" t="str">
        <f>VLOOKUP(ППД4!CO249,Реестр_Д4[Статус],1,0)</f>
        <v>Продажа</v>
      </c>
      <c r="D252" s="612">
        <f>VLOOKUP(ППД4!CE249,Реестр_Д4[Стоимость ОН без отделки со скидкой],1,0)</f>
        <v>2329803</v>
      </c>
      <c r="E252" s="612" cm="1">
        <f t="array" ref="E252">IFERROR(INDEX(РД[Стоимость без отделки итог],MATCH($B$3&amp;Таблица4[[#This Row],[№]]&amp;"Продажа",РД[Дом]&amp;РД[№ кв]&amp;РД[Состояние],0),1),Таблица4[[#This Row],[Статус]])</f>
        <v>2329803</v>
      </c>
      <c r="F252" s="235">
        <f>IFERROR((Таблица4[[#This Row],[ПП]]-Таблица4[[#This Row],[ДДУ]])*1,"")</f>
        <v>0</v>
      </c>
      <c r="G252" s="235" cm="1">
        <f t="array" ref="G252">IFERROR(INDEX(РД[Стоимость с отделкой итог],MATCH($B$3&amp;Таблица4[[#This Row],[№]]&amp;"Продажа",РД[Дом]&amp;РД[№ кв]&amp;РД[Состояние],0),1),Таблица4[[#This Row],[Статус]])</f>
        <v>2329803</v>
      </c>
      <c r="H252" s="235">
        <f>_xlfn.XLOOKUP(Таблица4[[#This Row],[№]],Реестр_Д4[№],Реестр_Д4[Стоимость квартиры с отделкой],"-",0)</f>
        <v>2329803</v>
      </c>
      <c r="I252" s="235">
        <f>IFERROR(Таблица4[[#This Row],[СО ПП]]-Таблица4[[#This Row],[СО ДДУ]],"")</f>
        <v>0</v>
      </c>
      <c r="J252" s="233" cm="1">
        <f t="array" ref="J252">IFERROR(INDEX(РД[S],MATCH($B$3&amp;Таблица4[[#This Row],[№]]&amp;"Продажа",РД[Дом]&amp;РД[№ кв]&amp;РД[Состояние],0),1),Таблица4[[#This Row],[Статус]])</f>
        <v>29.35</v>
      </c>
      <c r="K252" s="233">
        <f>VLOOKUP(Таблица4[[#This Row],[№]],Реестр_Д4[],20,0)</f>
        <v>29.35</v>
      </c>
      <c r="L252" s="235">
        <f>IFERROR(Таблица4[[#This Row],[S ПП]]-Таблица4[[#This Row],[S ДДУ]],)</f>
        <v>0</v>
      </c>
      <c r="M252" s="235">
        <f>ROUND(_xlfn.XLOOKUP(Таблица4[[#This Row],[№]],Реестр_Д4[№],Реестр_Д4[Итоговая сумма скидки],"",0),2)</f>
        <v>0</v>
      </c>
      <c r="N252" s="235" cm="1">
        <f t="array" ref="N25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52" s="235">
        <f>IFERROR(Таблица4[[#This Row],[ППС]]-Таблица4[[#This Row],[ДДУС]],)</f>
        <v>0</v>
      </c>
      <c r="P252" s="611"/>
      <c r="Q252" s="234">
        <f>VLOOKUP(ППД5!A249,Реестр_Д5[№],1,0)</f>
        <v>248</v>
      </c>
      <c r="R252" s="234" t="str">
        <f>VLOOKUP(ППД5!CH249,Реестр_Д5[Статус],1,0)</f>
        <v>Продажа</v>
      </c>
      <c r="S252" s="612">
        <f>VLOOKUP(ППД5!BZ249,Реестр_Д5[Стоимость ОН без отделки со скидкой],1,0)</f>
        <v>8744760</v>
      </c>
      <c r="T252" s="612" cm="1">
        <f t="array" ref="T252">IFERROR(INDEX(РД[Стоимость без отделки итог],MATCH($Q$3&amp;Таблица10[[#This Row],[№]]&amp;"Продажа",РД[Дом]&amp;РД[№ кв]&amp;РД[Состояние],0),1),Таблица10[[#This Row],[Статус]])</f>
        <v>8744760</v>
      </c>
      <c r="U252" s="235">
        <f>IFERROR((Таблица10[[#This Row],[ПП]]-Таблица10[[#This Row],[ДДУ]])*1,)</f>
        <v>0</v>
      </c>
      <c r="V252" s="235" cm="1">
        <f t="array" ref="V252">IFERROR(INDEX(РД[Стоимость с отделкой итог],MATCH($Q$3&amp;Таблица10[[#This Row],[№]]&amp;"Продажа",РД[Дом]&amp;РД[№ кв]&amp;РД[Состояние],0),1),Таблица10[[#This Row],[Статус]])</f>
        <v>10769010</v>
      </c>
      <c r="W252" s="235">
        <f>_xlfn.XLOOKUP(Таблица10[[#This Row],[№]],Реестр_Д5[№],Реестр_Д5[Стоимость квартиры с отделкой],"-",0)</f>
        <v>10769010</v>
      </c>
      <c r="X252" s="235">
        <f>IFERROR(Таблица10[[#This Row],[СО ПП]]-Таблица10[[#This Row],[СО ДДУ]],"")</f>
        <v>0</v>
      </c>
      <c r="Y252" s="233" cm="1">
        <f t="array" ref="Y252">IFERROR(INDEX(РД[S],MATCH($Q$3&amp;Таблица10[[#This Row],[№]]&amp;"Продажа",РД[Дом]&amp;РД[№ кв]&amp;РД[Состояние],0),1),Таблица10[[#This Row],[Статус]])</f>
        <v>80.97</v>
      </c>
      <c r="Z252" s="233">
        <f>IF(Таблица10[[#This Row],[№]]&amp;"ДДУ"=ППД5!A249&amp;ППД5!CR249,ППД5!U249,ППД5!V249)</f>
        <v>80.97</v>
      </c>
      <c r="AA252" s="285">
        <f>IFERROR(Таблица10[[#This Row],[S ПП]]-Таблица10[[#This Row],[S ДДУ]],)</f>
        <v>0</v>
      </c>
      <c r="AB252" s="235">
        <f>ROUND(_xlfn.XLOOKUP(Таблица10[[#This Row],[№]],Реестр_Д5[№],Реестр_Д5[Итоговая сумма скидки],"",0),2)</f>
        <v>648340</v>
      </c>
      <c r="AC252" s="235" cm="1">
        <f t="array" ref="AC252">IFERROR(ROUND(_xlfn.XLOOKUP($Q$3&amp;Таблица10[[#This Row],[№]]&amp;"Продажа",РД[Дом]&amp;РД[№ кв]&amp;РД[Состояние],РД[Сумма скидки],"",0,-1),2),Таблица10[[#This Row],[Статус]])</f>
        <v>648340</v>
      </c>
      <c r="AD252" s="285">
        <f>IFERROR(Таблица10[[#This Row],[ППС]]-Таблица10[[#This Row],[ДДУС]],)</f>
        <v>0</v>
      </c>
      <c r="AE252" s="611"/>
      <c r="AT252" s="611"/>
      <c r="AU252" s="484">
        <f>VLOOKUP(ППД402!A249,Д402[],1,0)</f>
        <v>248</v>
      </c>
      <c r="AV252" s="484" t="str">
        <f>_xlfn.XLOOKUP(Т402[[#This Row],[№]],Д402[№],Д402[Статус],"-",0)</f>
        <v>Продажа</v>
      </c>
      <c r="AW252" s="613">
        <f>_xlfn.XLOOKUP(Т402[[#This Row],[№]],Д402[№],Д402[Стоимость ОН без отделки со скидкой],"-",0)</f>
        <v>4737712</v>
      </c>
      <c r="AX252" s="614" cm="1">
        <f t="array" ref="AX252">IFERROR(INDEX(РД[Стоимость без отделки итог],MATCH($AU$3&amp;Т402[[#This Row],[№]]&amp;"Продажа",РД[Дом]&amp;РД[№ кв]&amp;РД[Состояние],0),1),Т402[[#This Row],[Статус]])</f>
        <v>4737712</v>
      </c>
      <c r="AY252" s="485">
        <f>IFERROR((Т402[[#This Row],[ПП]]-Т402[[#This Row],[ДДУ]])*1,"")</f>
        <v>0</v>
      </c>
      <c r="AZ252" s="486" cm="1">
        <f t="array" ref="AZ252">IFERROR(INDEX(РД[Стоимость с отделкой итог],MATCH($AU$3&amp;Т402[[#This Row],[№]]&amp;"Продажа",РД[Дом]&amp;РД[№ кв]&amp;РД[Состояние],0),1),Т402[[#This Row],[Статус]])</f>
        <v>5651462</v>
      </c>
      <c r="BA252" s="485">
        <f>_xlfn.XLOOKUP(Т402[[#This Row],[№]],Д402[№],Д402[Стоимость квартиры с отделкой],"-",0)</f>
        <v>5651461.9999999991</v>
      </c>
      <c r="BB252" s="485">
        <f>IFERROR(Т402[[#This Row],[СО ПП]]-Т402[[#This Row],[СО ДДУ]],"")</f>
        <v>-9.3132257461547852E-10</v>
      </c>
      <c r="BC252" s="487" cm="1">
        <f t="array" ref="BC252">IFERROR(INDEX(РД[S],MATCH($AU$3&amp;Т402[[#This Row],[№]]&amp;"Продажа",РД[Дом]&amp;РД[№ кв]&amp;РД[Состояние],0),1),Т402[[#This Row],[Статус]])</f>
        <v>36.549999999999997</v>
      </c>
      <c r="BD252" s="483">
        <f>_xlfn.XLOOKUP(Т402[[#This Row],[№]],Д402[№],Д402[Расчетная проектная площадь],"-",0)</f>
        <v>36.549999999999997</v>
      </c>
      <c r="BE252" s="485">
        <f>IFERROR(Т402[[#This Row],[S ПП]]-Т402[[#This Row],[S ДДУ]],"")</f>
        <v>0</v>
      </c>
      <c r="BF252" s="485">
        <f>_xlfn.XLOOKUP(Т402[[#This Row],[№]],Д402[№],Д402[Итоговая сумма скидки],"-",0)</f>
        <v>96688</v>
      </c>
      <c r="BG252" s="486" cm="1">
        <f t="array" ref="BG252">IFERROR(ROUND(_xlfn.XLOOKUP($AU$3&amp;Т402[[#This Row],[№]]&amp;"Продажа",РД[Дом]&amp;РД[№ кв]&amp;РД[Состояние],РД[Сумма скидки],"",0),2),Т402[[#This Row],[Статус]])</f>
        <v>96688</v>
      </c>
      <c r="BH252" s="488">
        <f>IFERROR(Т402[[#This Row],[ППС]]-Т402[[#This Row],[ДДУС]],"")</f>
        <v>0</v>
      </c>
    </row>
    <row r="253" spans="1:60" x14ac:dyDescent="0.2">
      <c r="A253" s="611"/>
      <c r="B253" s="234">
        <f>VLOOKUP(ППД4!A250,Реестр_Д4[№],1,0)</f>
        <v>249</v>
      </c>
      <c r="C253" s="234" t="str">
        <f>VLOOKUP(ППД4!CO250,Реестр_Д4[Статус],1,0)</f>
        <v>Продажа</v>
      </c>
      <c r="D253" s="612">
        <f>VLOOKUP(ППД4!CE250,Реестр_Д4[Стоимость ОН без отделки со скидкой],1,0)</f>
        <v>6053600</v>
      </c>
      <c r="E253" s="612" cm="1">
        <f t="array" ref="E253">IFERROR(INDEX(РД[Стоимость без отделки итог],MATCH($B$3&amp;Таблица4[[#This Row],[№]]&amp;"Продажа",РД[Дом]&amp;РД[№ кв]&amp;РД[Состояние],0),1),Таблица4[[#This Row],[Статус]])</f>
        <v>6053600</v>
      </c>
      <c r="F253" s="235">
        <f>IFERROR((Таблица4[[#This Row],[ПП]]-Таблица4[[#This Row],[ДДУ]])*1,"")</f>
        <v>0</v>
      </c>
      <c r="G253" s="235" cm="1">
        <f t="array" ref="G253">IFERROR(INDEX(РД[Стоимость с отделкой итог],MATCH($B$3&amp;Таблица4[[#This Row],[№]]&amp;"Продажа",РД[Дом]&amp;РД[№ кв]&amp;РД[Состояние],0),1),Таблица4[[#This Row],[Статус]])</f>
        <v>6563225</v>
      </c>
      <c r="H253" s="235">
        <f>_xlfn.XLOOKUP(Таблица4[[#This Row],[№]],Реестр_Д4[№],Реестр_Д4[Стоимость квартиры с отделкой],"-",0)</f>
        <v>6563225</v>
      </c>
      <c r="I253" s="235">
        <f>IFERROR(Таблица4[[#This Row],[СО ПП]]-Таблица4[[#This Row],[СО ДДУ]],"")</f>
        <v>0</v>
      </c>
      <c r="J253" s="233" cm="1">
        <f t="array" ref="J253">IFERROR(INDEX(РД[S],MATCH($B$3&amp;Таблица4[[#This Row],[№]]&amp;"Продажа",РД[Дом]&amp;РД[№ кв]&amp;РД[Состояние],0),1),Таблица4[[#This Row],[Статус]])</f>
        <v>67.95</v>
      </c>
      <c r="K253" s="233">
        <f>VLOOKUP(Таблица4[[#This Row],[№]],Реестр_Д4[],20,0)</f>
        <v>67.95</v>
      </c>
      <c r="L253" s="235">
        <f>IFERROR(Таблица4[[#This Row],[S ПП]]-Таблица4[[#This Row],[S ДДУ]],)</f>
        <v>0</v>
      </c>
      <c r="M253" s="235">
        <f>ROUND(_xlfn.XLOOKUP(Таблица4[[#This Row],[№]],Реестр_Д4[№],Реестр_Д4[Итоговая сумма скидки],"",0),2)</f>
        <v>200000</v>
      </c>
      <c r="N253" s="235" cm="1">
        <f t="array" ref="N253">IFERROR(ROUND(_xlfn.XLOOKUP($B$3&amp;Таблица4[[#This Row],[№]]&amp;"Продажа",РД[Дом]&amp;РД[№ кв]&amp;РД[Состояние],РД[Сумма скидки],"",0),2),Таблица4[[#This Row],[Статус]])</f>
        <v>200000</v>
      </c>
      <c r="O253" s="235">
        <f>IFERROR(Таблица4[[#This Row],[ППС]]-Таблица4[[#This Row],[ДДУС]],)</f>
        <v>0</v>
      </c>
      <c r="P253" s="611"/>
      <c r="Q253" s="234">
        <f>VLOOKUP(ППД5!A250,Реестр_Д5[№],1,0)</f>
        <v>249</v>
      </c>
      <c r="R253" s="234" t="str">
        <f>VLOOKUP(ППД5!CH250,Реестр_Д5[Статус],1,0)</f>
        <v>Продажа</v>
      </c>
      <c r="S253" s="612">
        <f>VLOOKUP(ППД5!BZ250,Реестр_Д5[Стоимость ОН без отделки со скидкой],1,0)</f>
        <v>4252200</v>
      </c>
      <c r="T253" s="612" cm="1">
        <f t="array" ref="T253">IFERROR(INDEX(РД[Стоимость без отделки итог],MATCH($Q$3&amp;Таблица10[[#This Row],[№]]&amp;"Продажа",РД[Дом]&amp;РД[№ кв]&amp;РД[Состояние],0),1),Таблица10[[#This Row],[Статус]])</f>
        <v>4252200</v>
      </c>
      <c r="U253" s="235">
        <f>IFERROR((Таблица10[[#This Row],[ПП]]-Таблица10[[#This Row],[ДДУ]])*1,)</f>
        <v>0</v>
      </c>
      <c r="V253" s="235" cm="1">
        <f t="array" ref="V253">IFERROR(INDEX(РД[Стоимость с отделкой итог],MATCH($Q$3&amp;Таблица10[[#This Row],[№]]&amp;"Продажа",РД[Дом]&amp;РД[№ кв]&amp;РД[Состояние],0),1),Таблица10[[#This Row],[Статус]])</f>
        <v>4948400</v>
      </c>
      <c r="W253" s="235">
        <f>_xlfn.XLOOKUP(Таблица10[[#This Row],[№]],Реестр_Д5[№],Реестр_Д5[Стоимость квартиры с отделкой],"-",0)</f>
        <v>4948400.0000000009</v>
      </c>
      <c r="X253" s="235">
        <f>IFERROR(Таблица10[[#This Row],[СО ПП]]-Таблица10[[#This Row],[СО ДДУ]],"")</f>
        <v>9.3132257461547852E-10</v>
      </c>
      <c r="Y253" s="233" cm="1">
        <f t="array" ref="Y253">IFERROR(INDEX(РД[S],MATCH($Q$3&amp;Таблица10[[#This Row],[№]]&amp;"Продажа",РД[Дом]&amp;РД[№ кв]&amp;РД[Состояние],0),1),Таблица10[[#This Row],[Статус]])</f>
        <v>34.81</v>
      </c>
      <c r="Z253" s="233">
        <f>IF(Таблица10[[#This Row],[№]]&amp;"ДДУ"=ППД5!A250&amp;ППД5!CR250,ППД5!U250,ППД5!V250)</f>
        <v>34.81</v>
      </c>
      <c r="AA253" s="285">
        <f>IFERROR(Таблица10[[#This Row],[S ПП]]-Таблица10[[#This Row],[S ДДУ]],)</f>
        <v>0</v>
      </c>
      <c r="AB253" s="235">
        <f>ROUND(_xlfn.XLOOKUP(Таблица10[[#This Row],[№]],Реестр_Д5[№],Реестр_Д5[Итоговая сумма скидки],"",0),2)</f>
        <v>0</v>
      </c>
      <c r="AC253" s="235" cm="1">
        <f t="array" ref="AC25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3" s="285">
        <f>IFERROR(Таблица10[[#This Row],[ППС]]-Таблица10[[#This Row],[ДДУС]],)</f>
        <v>0</v>
      </c>
      <c r="AE253" s="611"/>
      <c r="AT253" s="611"/>
      <c r="AU253" s="484">
        <f>VLOOKUP(ППД402!A250,Д402[],1,0)</f>
        <v>249</v>
      </c>
      <c r="AV253" s="484" t="str">
        <f>_xlfn.XLOOKUP(Т402[[#This Row],[№]],Д402[№],Д402[Статус],"-",0)</f>
        <v>Продажа</v>
      </c>
      <c r="AW253" s="613">
        <f>_xlfn.XLOOKUP(Т402[[#This Row],[№]],Д402[№],Д402[Стоимость ОН без отделки со скидкой],"-",0)</f>
        <v>6749100</v>
      </c>
      <c r="AX253" s="614" cm="1">
        <f t="array" ref="AX253">IFERROR(INDEX(РД[Стоимость без отделки итог],MATCH($AU$3&amp;Т402[[#This Row],[№]]&amp;"Продажа",РД[Дом]&amp;РД[№ кв]&amp;РД[Состояние],0),1),Т402[[#This Row],[Статус]])</f>
        <v>6749100</v>
      </c>
      <c r="AY253" s="485">
        <f>IFERROR((Т402[[#This Row],[ПП]]-Т402[[#This Row],[ДДУ]])*1,"")</f>
        <v>0</v>
      </c>
      <c r="AZ253" s="486" cm="1">
        <f t="array" ref="AZ253">IFERROR(INDEX(РД[Стоимость с отделкой итог],MATCH($AU$3&amp;Т402[[#This Row],[№]]&amp;"Продажа",РД[Дом]&amp;РД[№ кв]&amp;РД[Состояние],0),1),Т402[[#This Row],[Статус]])</f>
        <v>6749100</v>
      </c>
      <c r="BA253" s="485">
        <f>_xlfn.XLOOKUP(Т402[[#This Row],[№]],Д402[№],Д402[Стоимость квартиры с отделкой],"-",0)</f>
        <v>6749100</v>
      </c>
      <c r="BB253" s="485">
        <f>IFERROR(Т402[[#This Row],[СО ПП]]-Т402[[#This Row],[СО ДДУ]],"")</f>
        <v>0</v>
      </c>
      <c r="BC253" s="487" cm="1">
        <f t="array" ref="BC253">IFERROR(INDEX(РД[S],MATCH($AU$3&amp;Т402[[#This Row],[№]]&amp;"Продажа",РД[Дом]&amp;РД[№ кв]&amp;РД[Состояние],0),1),Т402[[#This Row],[Статус]])</f>
        <v>54.35</v>
      </c>
      <c r="BD253" s="483">
        <f>_xlfn.XLOOKUP(Т402[[#This Row],[№]],Д402[№],Д402[Расчетная проектная площадь],"-",0)</f>
        <v>54.35</v>
      </c>
      <c r="BE253" s="485">
        <f>IFERROR(Т402[[#This Row],[S ПП]]-Т402[[#This Row],[S ДДУ]],"")</f>
        <v>0</v>
      </c>
      <c r="BF253" s="485">
        <f>_xlfn.XLOOKUP(Т402[[#This Row],[№]],Д402[№],Д402[Итоговая сумма скидки],"-",0)</f>
        <v>0</v>
      </c>
      <c r="BG253" s="486" cm="1">
        <f t="array" ref="BG253">IFERROR(ROUND(_xlfn.XLOOKUP($AU$3&amp;Т402[[#This Row],[№]]&amp;"Продажа",РД[Дом]&amp;РД[№ кв]&amp;РД[Состояние],РД[Сумма скидки],"",0),2),Т402[[#This Row],[Статус]])</f>
        <v>0</v>
      </c>
      <c r="BH253" s="488">
        <f>IFERROR(Т402[[#This Row],[ППС]]-Т402[[#This Row],[ДДУС]],"")</f>
        <v>0</v>
      </c>
    </row>
    <row r="254" spans="1:60" x14ac:dyDescent="0.2">
      <c r="A254" s="611"/>
      <c r="B254" s="234">
        <f>VLOOKUP(ППД4!A251,Реестр_Д4[№],1,0)</f>
        <v>250</v>
      </c>
      <c r="C254" s="234" t="str">
        <f>VLOOKUP(ППД4!CO251,Реестр_Д4[Статус],1,0)</f>
        <v>Продажа</v>
      </c>
      <c r="D254" s="612">
        <f>VLOOKUP(ППД4!CE251,Реестр_Д4[Стоимость ОН без отделки со скидкой],1,0)</f>
        <v>3419170.74</v>
      </c>
      <c r="E254" s="612" cm="1">
        <f t="array" ref="E254">IFERROR(INDEX(РД[Стоимость без отделки итог],MATCH($B$3&amp;Таблица4[[#This Row],[№]]&amp;"Продажа",РД[Дом]&amp;РД[№ кв]&amp;РД[Состояние],0),1),Таблица4[[#This Row],[Статус]])</f>
        <v>3419170.74</v>
      </c>
      <c r="F254" s="235">
        <f>IFERROR((Таблица4[[#This Row],[ПП]]-Таблица4[[#This Row],[ДДУ]])*1,"")</f>
        <v>0</v>
      </c>
      <c r="G254" s="235" cm="1">
        <f t="array" ref="G254">IFERROR(INDEX(РД[Стоимость с отделкой итог],MATCH($B$3&amp;Таблица4[[#This Row],[№]]&amp;"Продажа",РД[Дом]&amp;РД[№ кв]&amp;РД[Состояние],0),1),Таблица4[[#This Row],[Статус]])</f>
        <v>3984145.74</v>
      </c>
      <c r="H254" s="235">
        <f>_xlfn.XLOOKUP(Таблица4[[#This Row],[№]],Реестр_Д4[№],Реестр_Д4[Стоимость квартиры с отделкой],"-",0)</f>
        <v>3984145.74</v>
      </c>
      <c r="I254" s="235">
        <f>IFERROR(Таблица4[[#This Row],[СО ПП]]-Таблица4[[#This Row],[СО ДДУ]],"")</f>
        <v>0</v>
      </c>
      <c r="J254" s="233" cm="1">
        <f t="array" ref="J254">IFERROR(INDEX(РД[S],MATCH($B$3&amp;Таблица4[[#This Row],[№]]&amp;"Продажа",РД[Дом]&amp;РД[№ кв]&amp;РД[Состояние],0),1),Таблица4[[#This Row],[Статус]])</f>
        <v>36.450000000000003</v>
      </c>
      <c r="K254" s="233">
        <f>VLOOKUP(Таблица4[[#This Row],[№]],Реестр_Д4[],20,0)</f>
        <v>36.450000000000003</v>
      </c>
      <c r="L254" s="235">
        <f>IFERROR(Таблица4[[#This Row],[S ПП]]-Таблица4[[#This Row],[S ДДУ]],)</f>
        <v>0</v>
      </c>
      <c r="M254" s="235">
        <f>ROUND(_xlfn.XLOOKUP(Таблица4[[#This Row],[№]],Реестр_Д4[№],Реестр_Д4[Итоговая сумма скидки],"",0),2)</f>
        <v>0</v>
      </c>
      <c r="N254" s="235" cm="1">
        <f t="array" ref="N25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54" s="235">
        <f>IFERROR(Таблица4[[#This Row],[ППС]]-Таблица4[[#This Row],[ДДУС]],)</f>
        <v>0</v>
      </c>
      <c r="P254" s="611"/>
      <c r="Q254" s="234">
        <f>VLOOKUP(ППД5!A251,Реестр_Д5[№],1,0)</f>
        <v>250</v>
      </c>
      <c r="R254" s="234" t="str">
        <f>VLOOKUP(ППД5!CH251,Реестр_Д5[Статус],1,0)</f>
        <v>Продажа</v>
      </c>
      <c r="S254" s="612">
        <f>VLOOKUP(ППД5!BZ251,Реестр_Д5[Стоимость ОН без отделки со скидкой],1,0)</f>
        <v>7518400</v>
      </c>
      <c r="T254" s="612" cm="1">
        <f t="array" ref="T254">IFERROR(INDEX(РД[Стоимость без отделки итог],MATCH($Q$3&amp;Таблица10[[#This Row],[№]]&amp;"Продажа",РД[Дом]&amp;РД[№ кв]&amp;РД[Состояние],0),1),Таблица10[[#This Row],[Статус]])</f>
        <v>7518400</v>
      </c>
      <c r="U254" s="235">
        <f>IFERROR((Таблица10[[#This Row],[ПП]]-Таблица10[[#This Row],[ДДУ]])*1,)</f>
        <v>0</v>
      </c>
      <c r="V254" s="235" cm="1">
        <f t="array" ref="V254">IFERROR(INDEX(РД[Стоимость с отделкой итог],MATCH($Q$3&amp;Таблица10[[#This Row],[№]]&amp;"Продажа",РД[Дом]&amp;РД[№ кв]&amp;РД[Состояние],0),1),Таблица10[[#This Row],[Статус]])</f>
        <v>7518400</v>
      </c>
      <c r="W254" s="235">
        <f>_xlfn.XLOOKUP(Таблица10[[#This Row],[№]],Реестр_Д5[№],Реестр_Д5[Стоимость квартиры с отделкой],"-",0)</f>
        <v>7518400</v>
      </c>
      <c r="X254" s="235">
        <f>IFERROR(Таблица10[[#This Row],[СО ПП]]-Таблица10[[#This Row],[СО ДДУ]],"")</f>
        <v>0</v>
      </c>
      <c r="Y254" s="233" cm="1">
        <f t="array" ref="Y254">IFERROR(INDEX(РД[S],MATCH($Q$3&amp;Таблица10[[#This Row],[№]]&amp;"Продажа",РД[Дом]&amp;РД[№ кв]&amp;РД[Состояние],0),1),Таблица10[[#This Row],[Статус]])</f>
        <v>73.7</v>
      </c>
      <c r="Z254" s="233">
        <f>IF(Таблица10[[#This Row],[№]]&amp;"ДДУ"=ППД5!A251&amp;ППД5!CR251,ППД5!U251,ППД5!V251)</f>
        <v>73.7</v>
      </c>
      <c r="AA254" s="285">
        <f>IFERROR(Таблица10[[#This Row],[S ПП]]-Таблица10[[#This Row],[S ДДУ]],)</f>
        <v>0</v>
      </c>
      <c r="AB254" s="235">
        <f>ROUND(_xlfn.XLOOKUP(Таблица10[[#This Row],[№]],Реестр_Д5[№],Реестр_Д5[Итоговая сумма скидки],"",0),2)</f>
        <v>0</v>
      </c>
      <c r="AC254" s="235" cm="1">
        <f t="array" ref="AC25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4" s="285">
        <f>IFERROR(Таблица10[[#This Row],[ППС]]-Таблица10[[#This Row],[ДДУС]],)</f>
        <v>0</v>
      </c>
      <c r="AE254" s="611"/>
      <c r="AT254" s="611"/>
      <c r="AU254" s="484">
        <f>VLOOKUP(ППД402!A251,Д402[],1,0)</f>
        <v>250</v>
      </c>
      <c r="AV254" s="484" t="str">
        <f>_xlfn.XLOOKUP(Т402[[#This Row],[№]],Д402[№],Д402[Статус],"-",0)</f>
        <v>Стр. Резерв</v>
      </c>
      <c r="AW254" s="613">
        <f>_xlfn.XLOOKUP(Т402[[#This Row],[№]],Д402[№],Д402[Стоимость ОН без отделки со скидкой],"-",0)</f>
        <v>7086200</v>
      </c>
      <c r="AX254" s="614" t="str" cm="1">
        <f t="array" ref="AX25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54" s="485" t="str">
        <f>IFERROR((Т402[[#This Row],[ПП]]-Т402[[#This Row],[ДДУ]])*1,"")</f>
        <v/>
      </c>
      <c r="AZ254" s="486" t="str" cm="1">
        <f t="array" ref="AZ25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54" s="485">
        <f>_xlfn.XLOOKUP(Т402[[#This Row],[№]],Д402[№],Д402[Стоимость квартиры с отделкой],"-",0)</f>
        <v>8766200</v>
      </c>
      <c r="BB254" s="485" t="str">
        <f>IFERROR(Т402[[#This Row],[СО ПП]]-Т402[[#This Row],[СО ДДУ]],"")</f>
        <v/>
      </c>
      <c r="BC254" s="487" t="str" cm="1">
        <f t="array" ref="BC254">IFERROR(INDEX(РД[S],MATCH($AU$3&amp;Т402[[#This Row],[№]]&amp;"Продажа",РД[Дом]&amp;РД[№ кв]&amp;РД[Состояние],0),1),Т402[[#This Row],[Статус]])</f>
        <v>Стр. Резерв</v>
      </c>
      <c r="BD254" s="483">
        <f>_xlfn.XLOOKUP(Т402[[#This Row],[№]],Д402[№],Д402[Расчетная проектная площадь],"-",0)</f>
        <v>56</v>
      </c>
      <c r="BE254" s="485" t="str">
        <f>IFERROR(Т402[[#This Row],[S ПП]]-Т402[[#This Row],[S ДДУ]],"")</f>
        <v/>
      </c>
      <c r="BF254" s="485">
        <f>_xlfn.XLOOKUP(Т402[[#This Row],[№]],Д402[№],Д402[Итоговая сумма скидки],"-",0)</f>
        <v>0</v>
      </c>
      <c r="BG254" s="486" t="str" cm="1">
        <f t="array" ref="BG25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54" s="488" t="str">
        <f>IFERROR(Т402[[#This Row],[ППС]]-Т402[[#This Row],[ДДУС]],"")</f>
        <v/>
      </c>
    </row>
    <row r="255" spans="1:60" x14ac:dyDescent="0.2">
      <c r="A255" s="611"/>
      <c r="B255" s="234">
        <f>VLOOKUP(ППД4!A252,Реестр_Д4[№],1,0)</f>
        <v>251</v>
      </c>
      <c r="C255" s="234" t="str">
        <f>VLOOKUP(ППД4!CO252,Реестр_Д4[Статус],1,0)</f>
        <v>Продажа</v>
      </c>
      <c r="D255" s="612">
        <f>VLOOKUP(ППД4!CE252,Реестр_Д4[Стоимость ОН без отделки со скидкой],1,0)</f>
        <v>4709556.09</v>
      </c>
      <c r="E255" s="612" cm="1">
        <f t="array" ref="E255">IFERROR(INDEX(РД[Стоимость без отделки итог],MATCH($B$3&amp;Таблица4[[#This Row],[№]]&amp;"Продажа",РД[Дом]&amp;РД[№ кв]&amp;РД[Состояние],0),1),Таблица4[[#This Row],[Статус]])</f>
        <v>4709556.09</v>
      </c>
      <c r="F255" s="235">
        <f>IFERROR((Таблица4[[#This Row],[ПП]]-Таблица4[[#This Row],[ДДУ]])*1,"")</f>
        <v>0</v>
      </c>
      <c r="G255" s="235" cm="1">
        <f t="array" ref="G255">IFERROR(INDEX(РД[Стоимость с отделкой итог],MATCH($B$3&amp;Таблица4[[#This Row],[№]]&amp;"Продажа",РД[Дом]&amp;РД[№ кв]&amp;РД[Состояние],0),1),Таблица4[[#This Row],[Статус]])</f>
        <v>4943756.09</v>
      </c>
      <c r="H255" s="235">
        <f>_xlfn.XLOOKUP(Таблица4[[#This Row],[№]],Реестр_Д4[№],Реестр_Д4[Стоимость квартиры с отделкой],"-",0)</f>
        <v>4943756.09</v>
      </c>
      <c r="I255" s="235">
        <f>IFERROR(Таблица4[[#This Row],[СО ПП]]-Таблица4[[#This Row],[СО ДДУ]],"")</f>
        <v>0</v>
      </c>
      <c r="J255" s="233" cm="1">
        <f t="array" ref="J255">IFERROR(INDEX(РД[S],MATCH($B$3&amp;Таблица4[[#This Row],[№]]&amp;"Продажа",РД[Дом]&amp;РД[№ кв]&amp;РД[Состояние],0),1),Таблица4[[#This Row],[Статус]])</f>
        <v>58.55</v>
      </c>
      <c r="K255" s="233">
        <f>VLOOKUP(Таблица4[[#This Row],[№]],Реестр_Д4[],20,0)</f>
        <v>58.55</v>
      </c>
      <c r="L255" s="235">
        <f>IFERROR(Таблица4[[#This Row],[S ПП]]-Таблица4[[#This Row],[S ДДУ]],)</f>
        <v>0</v>
      </c>
      <c r="M255" s="235">
        <f>ROUND(_xlfn.XLOOKUP(Таблица4[[#This Row],[№]],Реестр_Д4[№],Реестр_Д4[Итоговая сумма скидки],"",0),2)</f>
        <v>40000</v>
      </c>
      <c r="N255" s="235" cm="1">
        <f t="array" ref="N255">IFERROR(ROUND(_xlfn.XLOOKUP($B$3&amp;Таблица4[[#This Row],[№]]&amp;"Продажа",РД[Дом]&amp;РД[№ кв]&amp;РД[Состояние],РД[Сумма скидки],"",0),2),Таблица4[[#This Row],[Статус]])</f>
        <v>40000</v>
      </c>
      <c r="O255" s="235">
        <f>IFERROR(Таблица4[[#This Row],[ППС]]-Таблица4[[#This Row],[ДДУС]],)</f>
        <v>0</v>
      </c>
      <c r="P255" s="611"/>
      <c r="Q255" s="234">
        <f>VLOOKUP(ППД5!A252,Реестр_Д5[№],1,0)</f>
        <v>251</v>
      </c>
      <c r="R255" s="234" t="str">
        <f>VLOOKUP(ППД5!CH252,Реестр_Д5[Статус],1,0)</f>
        <v>Продажа</v>
      </c>
      <c r="S255" s="612">
        <f>VLOOKUP(ППД5!BZ252,Реестр_Д5[Стоимость ОН без отделки со скидкой],1,0)</f>
        <v>2214819.39</v>
      </c>
      <c r="T255" s="612" cm="1">
        <f t="array" ref="T255">IFERROR(INDEX(РД[Стоимость без отделки итог],MATCH($Q$3&amp;Таблица10[[#This Row],[№]]&amp;"Продажа",РД[Дом]&amp;РД[№ кв]&amp;РД[Состояние],0),1),Таблица10[[#This Row],[Статус]])</f>
        <v>2214819.39</v>
      </c>
      <c r="U255" s="235">
        <f>IFERROR((Таблица10[[#This Row],[ПП]]-Таблица10[[#This Row],[ДДУ]])*1,)</f>
        <v>0</v>
      </c>
      <c r="V255" s="235" cm="1">
        <f t="array" ref="V255">IFERROR(INDEX(РД[Стоимость с отделкой итог],MATCH($Q$3&amp;Таблица10[[#This Row],[№]]&amp;"Продажа",РД[Дом]&amp;РД[№ кв]&amp;РД[Состояние],0),1),Таблица10[[#This Row],[Статус]])</f>
        <v>2214819.39</v>
      </c>
      <c r="W255" s="235">
        <f>_xlfn.XLOOKUP(Таблица10[[#This Row],[№]],Реестр_Д5[№],Реестр_Д5[Стоимость квартиры с отделкой],"-",0)</f>
        <v>2214819.39</v>
      </c>
      <c r="X255" s="235">
        <f>IFERROR(Таблица10[[#This Row],[СО ПП]]-Таблица10[[#This Row],[СО ДДУ]],"")</f>
        <v>0</v>
      </c>
      <c r="Y255" s="233" cm="1">
        <f t="array" ref="Y255">IFERROR(INDEX(РД[S],MATCH($Q$3&amp;Таблица10[[#This Row],[№]]&amp;"Продажа",РД[Дом]&amp;РД[№ кв]&amp;РД[Состояние],0),1),Таблица10[[#This Row],[Статус]])</f>
        <v>24.53</v>
      </c>
      <c r="Z255" s="233">
        <f>IF(Таблица10[[#This Row],[№]]&amp;"ДДУ"=ППД5!A252&amp;ППД5!CR252,ППД5!U252,ППД5!V252)</f>
        <v>24.53</v>
      </c>
      <c r="AA255" s="285">
        <f>IFERROR(Таблица10[[#This Row],[S ПП]]-Таблица10[[#This Row],[S ДДУ]],)</f>
        <v>0</v>
      </c>
      <c r="AB255" s="235">
        <f>ROUND(_xlfn.XLOOKUP(Таблица10[[#This Row],[№]],Реестр_Д5[№],Реестр_Д5[Итоговая сумма скидки],"",0),2)</f>
        <v>20000</v>
      </c>
      <c r="AC255" s="235" cm="1">
        <f t="array" ref="AC255">IFERROR(ROUND(_xlfn.XLOOKUP($Q$3&amp;Таблица10[[#This Row],[№]]&amp;"Продажа",РД[Дом]&amp;РД[№ кв]&amp;РД[Состояние],РД[Сумма скидки],"",0,-1),2),Таблица10[[#This Row],[Статус]])</f>
        <v>20000</v>
      </c>
      <c r="AD255" s="285">
        <f>IFERROR(Таблица10[[#This Row],[ППС]]-Таблица10[[#This Row],[ДДУС]],)</f>
        <v>0</v>
      </c>
      <c r="AE255" s="611"/>
      <c r="AT255" s="611"/>
      <c r="AU255" s="484">
        <f>VLOOKUP(ППД402!A252,Д402[],1,0)</f>
        <v>251</v>
      </c>
      <c r="AV255" s="484" t="str">
        <f>_xlfn.XLOOKUP(Т402[[#This Row],[№]],Д402[№],Д402[Статус],"-",0)</f>
        <v>Стр. Резерв</v>
      </c>
      <c r="AW255" s="613">
        <f>_xlfn.XLOOKUP(Т402[[#This Row],[№]],Д402[№],Д402[Стоимость ОН без отделки со скидкой],"-",0)</f>
        <v>7206300</v>
      </c>
      <c r="AX255" s="614" t="str" cm="1">
        <f t="array" ref="AX25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55" s="485" t="str">
        <f>IFERROR((Т402[[#This Row],[ПП]]-Т402[[#This Row],[ДДУ]])*1,"")</f>
        <v/>
      </c>
      <c r="AZ255" s="486" t="str" cm="1">
        <f t="array" ref="AZ25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55" s="485">
        <f>_xlfn.XLOOKUP(Т402[[#This Row],[№]],Д402[№],Д402[Стоимость квартиры с отделкой],"-",0)</f>
        <v>7206300</v>
      </c>
      <c r="BB255" s="485" t="str">
        <f>IFERROR(Т402[[#This Row],[СО ПП]]-Т402[[#This Row],[СО ДДУ]],"")</f>
        <v/>
      </c>
      <c r="BC255" s="487" t="str" cm="1">
        <f t="array" ref="BC255">IFERROR(INDEX(РД[S],MATCH($AU$3&amp;Т402[[#This Row],[№]]&amp;"Продажа",РД[Дом]&amp;РД[№ кв]&amp;РД[Состояние],0),1),Т402[[#This Row],[Статус]])</f>
        <v>Стр. Резерв</v>
      </c>
      <c r="BD255" s="483">
        <f>_xlfn.XLOOKUP(Т402[[#This Row],[№]],Д402[№],Д402[Расчетная проектная площадь],"-",0)</f>
        <v>59.17</v>
      </c>
      <c r="BE255" s="485" t="str">
        <f>IFERROR(Т402[[#This Row],[S ПП]]-Т402[[#This Row],[S ДДУ]],"")</f>
        <v/>
      </c>
      <c r="BF255" s="485">
        <f>_xlfn.XLOOKUP(Т402[[#This Row],[№]],Д402[№],Д402[Итоговая сумма скидки],"-",0)</f>
        <v>0</v>
      </c>
      <c r="BG255" s="486" t="str" cm="1">
        <f t="array" ref="BG25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55" s="488" t="str">
        <f>IFERROR(Т402[[#This Row],[ППС]]-Т402[[#This Row],[ДДУС]],"")</f>
        <v/>
      </c>
    </row>
    <row r="256" spans="1:60" x14ac:dyDescent="0.2">
      <c r="A256" s="611"/>
      <c r="B256" s="234">
        <f>VLOOKUP(ППД4!A253,Реестр_Д4[№],1,0)</f>
        <v>252</v>
      </c>
      <c r="C256" s="234" t="str">
        <f>VLOOKUP(ППД4!CO253,Реестр_Д4[Статус],1,0)</f>
        <v>Продажа</v>
      </c>
      <c r="D256" s="612">
        <f>VLOOKUP(ППД4!CE253,Реестр_Д4[Стоимость ОН без отделки со скидкой],1,0)</f>
        <v>5333933</v>
      </c>
      <c r="E256" s="612" cm="1">
        <f t="array" ref="E256">IFERROR(INDEX(РД[Стоимость без отделки итог],MATCH($B$3&amp;Таблица4[[#This Row],[№]]&amp;"Продажа",РД[Дом]&amp;РД[№ кв]&amp;РД[Состояние],0),1),Таблица4[[#This Row],[Статус]])</f>
        <v>5333933</v>
      </c>
      <c r="F256" s="235">
        <f>IFERROR((Таблица4[[#This Row],[ПП]]-Таблица4[[#This Row],[ДДУ]])*1,"")</f>
        <v>0</v>
      </c>
      <c r="G256" s="235" cm="1">
        <f t="array" ref="G256">IFERROR(INDEX(РД[Стоимость с отделкой итог],MATCH($B$3&amp;Таблица4[[#This Row],[№]]&amp;"Продажа",РД[Дом]&amp;РД[№ кв]&amp;РД[Состояние],0),1),Таблица4[[#This Row],[Статус]])</f>
        <v>6581333</v>
      </c>
      <c r="H256" s="235">
        <f>_xlfn.XLOOKUP(Таблица4[[#This Row],[№]],Реестр_Д4[№],Реестр_Д4[Стоимость квартиры с отделкой],"-",0)</f>
        <v>6581333</v>
      </c>
      <c r="I256" s="235">
        <f>IFERROR(Таблица4[[#This Row],[СО ПП]]-Таблица4[[#This Row],[СО ДДУ]],"")</f>
        <v>0</v>
      </c>
      <c r="J256" s="233" cm="1">
        <f t="array" ref="J256">IFERROR(INDEX(РД[S],MATCH($B$3&amp;Таблица4[[#This Row],[№]]&amp;"Продажа",РД[Дом]&amp;РД[№ кв]&amp;РД[Состояние],0),1),Таблица4[[#This Row],[Статус]])</f>
        <v>56.7</v>
      </c>
      <c r="K256" s="233">
        <f>VLOOKUP(Таблица4[[#This Row],[№]],Реестр_Д4[],20,0)</f>
        <v>56.7</v>
      </c>
      <c r="L256" s="235">
        <f>IFERROR(Таблица4[[#This Row],[S ПП]]-Таблица4[[#This Row],[S ДДУ]],)</f>
        <v>0</v>
      </c>
      <c r="M256" s="235">
        <f>ROUND(_xlfn.XLOOKUP(Таблица4[[#This Row],[№]],Реестр_Д4[№],Реестр_Д4[Итоговая сумма скидки],"",0),2)</f>
        <v>164967</v>
      </c>
      <c r="N256" s="235" cm="1">
        <f t="array" ref="N256">IFERROR(ROUND(_xlfn.XLOOKUP($B$3&amp;Таблица4[[#This Row],[№]]&amp;"Продажа",РД[Дом]&amp;РД[№ кв]&amp;РД[Состояние],РД[Сумма скидки],"",0),2),Таблица4[[#This Row],[Статус]])</f>
        <v>164967</v>
      </c>
      <c r="O256" s="235">
        <f>IFERROR(Таблица4[[#This Row],[ППС]]-Таблица4[[#This Row],[ДДУС]],)</f>
        <v>0</v>
      </c>
      <c r="P256" s="611"/>
      <c r="Q256" s="234">
        <f>VLOOKUP(ППД5!A253,Реестр_Д5[№],1,0)</f>
        <v>252</v>
      </c>
      <c r="R256" s="234" t="str">
        <f>VLOOKUP(ППД5!CH253,Реестр_Д5[Статус],1,0)</f>
        <v>Продажа</v>
      </c>
      <c r="S256" s="612">
        <f>VLOOKUP(ППД5!BZ253,Реестр_Д5[Стоимость ОН без отделки со скидкой],1,0)</f>
        <v>5568000</v>
      </c>
      <c r="T256" s="612" cm="1">
        <f t="array" ref="T256">IFERROR(INDEX(РД[Стоимость без отделки итог],MATCH($Q$3&amp;Таблица10[[#This Row],[№]]&amp;"Продажа",РД[Дом]&amp;РД[№ кв]&amp;РД[Состояние],0),1),Таблица10[[#This Row],[Статус]])</f>
        <v>5568000</v>
      </c>
      <c r="U256" s="235">
        <f>IFERROR((Таблица10[[#This Row],[ПП]]-Таблица10[[#This Row],[ДДУ]])*1,)</f>
        <v>0</v>
      </c>
      <c r="V256" s="235" cm="1">
        <f t="array" ref="V256">IFERROR(INDEX(РД[Стоимость с отделкой итог],MATCH($Q$3&amp;Таблица10[[#This Row],[№]]&amp;"Продажа",РД[Дом]&amp;РД[№ кв]&amp;РД[Состояние],0),1),Таблица10[[#This Row],[Статус]])</f>
        <v>5964060</v>
      </c>
      <c r="W256" s="235">
        <f>_xlfn.XLOOKUP(Таблица10[[#This Row],[№]],Реестр_Д5[№],Реестр_Д5[Стоимость квартиры с отделкой],"-",0)</f>
        <v>5964060</v>
      </c>
      <c r="X256" s="235">
        <f>IFERROR(Таблица10[[#This Row],[СО ПП]]-Таблица10[[#This Row],[СО ДДУ]],"")</f>
        <v>0</v>
      </c>
      <c r="Y256" s="233" cm="1">
        <f t="array" ref="Y256">IFERROR(INDEX(РД[S],MATCH($Q$3&amp;Таблица10[[#This Row],[№]]&amp;"Продажа",РД[Дом]&amp;РД[№ кв]&amp;РД[Состояние],0),1),Таблица10[[#This Row],[Статус]])</f>
        <v>56.58</v>
      </c>
      <c r="Z256" s="233">
        <f>IF(Таблица10[[#This Row],[№]]&amp;"ДДУ"=ППД5!A253&amp;ППД5!CR253,ППД5!U253,ППД5!V253)</f>
        <v>56.58</v>
      </c>
      <c r="AA256" s="285">
        <f>IFERROR(Таблица10[[#This Row],[S ПП]]-Таблица10[[#This Row],[S ДДУ]],)</f>
        <v>0</v>
      </c>
      <c r="AB256" s="235">
        <f>ROUND(_xlfn.XLOOKUP(Таблица10[[#This Row],[№]],Реестр_Д5[№],Реестр_Д5[Итоговая сумма скидки],"",0),2)</f>
        <v>0</v>
      </c>
      <c r="AC256" s="235" cm="1">
        <f t="array" ref="AC25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6" s="285">
        <f>IFERROR(Таблица10[[#This Row],[ППС]]-Таблица10[[#This Row],[ДДУС]],)</f>
        <v>0</v>
      </c>
      <c r="AE256" s="611"/>
      <c r="AT256" s="611"/>
      <c r="AU256" s="484">
        <f>VLOOKUP(ППД402!A253,Д402[],1,0)</f>
        <v>252</v>
      </c>
      <c r="AV256" s="484" t="str">
        <f>_xlfn.XLOOKUP(Т402[[#This Row],[№]],Д402[№],Д402[Статус],"-",0)</f>
        <v>Стр. Резерв</v>
      </c>
      <c r="AW256" s="613">
        <f>_xlfn.XLOOKUP(Т402[[#This Row],[№]],Д402[№],Д402[Стоимость ОН без отделки со скидкой],"-",0)</f>
        <v>4139600</v>
      </c>
      <c r="AX256" s="614" t="str" cm="1">
        <f t="array" ref="AX25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56" s="485" t="str">
        <f>IFERROR((Т402[[#This Row],[ПП]]-Т402[[#This Row],[ДДУ]])*1,"")</f>
        <v/>
      </c>
      <c r="AZ256" s="486" t="str" cm="1">
        <f t="array" ref="AZ25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56" s="485">
        <f>_xlfn.XLOOKUP(Т402[[#This Row],[№]],Д402[№],Д402[Стоимость квартиры с отделкой],"-",0)</f>
        <v>4139600</v>
      </c>
      <c r="BB256" s="485" t="str">
        <f>IFERROR(Т402[[#This Row],[СО ПП]]-Т402[[#This Row],[СО ДДУ]],"")</f>
        <v/>
      </c>
      <c r="BC256" s="487" t="str" cm="1">
        <f t="array" ref="BC256">IFERROR(INDEX(РД[S],MATCH($AU$3&amp;Т402[[#This Row],[№]]&amp;"Продажа",РД[Дом]&amp;РД[№ кв]&amp;РД[Состояние],0),1),Т402[[#This Row],[Статус]])</f>
        <v>Стр. Резерв</v>
      </c>
      <c r="BD256" s="483">
        <f>_xlfn.XLOOKUP(Т402[[#This Row],[№]],Д402[№],Д402[Расчетная проектная площадь],"-",0)</f>
        <v>29.66</v>
      </c>
      <c r="BE256" s="485" t="str">
        <f>IFERROR(Т402[[#This Row],[S ПП]]-Т402[[#This Row],[S ДДУ]],"")</f>
        <v/>
      </c>
      <c r="BF256" s="485">
        <f>_xlfn.XLOOKUP(Т402[[#This Row],[№]],Д402[№],Д402[Итоговая сумма скидки],"-",0)</f>
        <v>0</v>
      </c>
      <c r="BG256" s="486" t="str" cm="1">
        <f t="array" ref="BG25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56" s="488" t="str">
        <f>IFERROR(Т402[[#This Row],[ППС]]-Т402[[#This Row],[ДДУС]],"")</f>
        <v/>
      </c>
    </row>
    <row r="257" spans="1:60" x14ac:dyDescent="0.2">
      <c r="A257" s="611"/>
      <c r="B257" s="234">
        <f>VLOOKUP(ППД4!A254,Реестр_Д4[№],1,0)</f>
        <v>253</v>
      </c>
      <c r="C257" s="234" t="str">
        <f>VLOOKUP(ППД4!CO254,Реестр_Д4[Статус],1,0)</f>
        <v>Продажа</v>
      </c>
      <c r="D257" s="612">
        <f>VLOOKUP(ППД4!CE254,Реестр_Д4[Стоимость ОН без отделки со скидкой],1,0)</f>
        <v>4945347.3199999994</v>
      </c>
      <c r="E257" s="612" cm="1">
        <f t="array" ref="E257">IFERROR(INDEX(РД[Стоимость без отделки итог],MATCH($B$3&amp;Таблица4[[#This Row],[№]]&amp;"Продажа",РД[Дом]&amp;РД[№ кв]&amp;РД[Состояние],0),1),Таблица4[[#This Row],[Статус]])</f>
        <v>4945347.32</v>
      </c>
      <c r="F257" s="235">
        <f>IFERROR((Таблица4[[#This Row],[ПП]]-Таблица4[[#This Row],[ДДУ]])*1,"")</f>
        <v>-9.3132257461547852E-10</v>
      </c>
      <c r="G257" s="235" cm="1">
        <f t="array" ref="G257">IFERROR(INDEX(РД[Стоимость с отделкой итог],MATCH($B$3&amp;Таблица4[[#This Row],[№]]&amp;"Продажа",РД[Дом]&amp;РД[№ кв]&amp;РД[Состояние],0),1),Таблица4[[#This Row],[Статус]])</f>
        <v>4945347.32</v>
      </c>
      <c r="H257" s="235">
        <f>_xlfn.XLOOKUP(Таблица4[[#This Row],[№]],Реестр_Д4[№],Реестр_Д4[Стоимость квартиры с отделкой],"-",0)</f>
        <v>4945347.32</v>
      </c>
      <c r="I257" s="235">
        <f>IFERROR(Таблица4[[#This Row],[СО ПП]]-Таблица4[[#This Row],[СО ДДУ]],"")</f>
        <v>0</v>
      </c>
      <c r="J257" s="233" cm="1">
        <f t="array" ref="J257">IFERROR(INDEX(РД[S],MATCH($B$3&amp;Таблица4[[#This Row],[№]]&amp;"Продажа",РД[Дом]&amp;РД[№ кв]&amp;РД[Состояние],0),1),Таблица4[[#This Row],[Статус]])</f>
        <v>72.510000000000005</v>
      </c>
      <c r="K257" s="233">
        <f>VLOOKUP(Таблица4[[#This Row],[№]],Реестр_Д4[],20,0)</f>
        <v>72.510000000000005</v>
      </c>
      <c r="L257" s="235">
        <f>IFERROR(Таблица4[[#This Row],[S ПП]]-Таблица4[[#This Row],[S ДДУ]],)</f>
        <v>0</v>
      </c>
      <c r="M257" s="235">
        <f>ROUND(_xlfn.XLOOKUP(Таблица4[[#This Row],[№]],Реестр_Д4[№],Реестр_Д4[Итоговая сумма скидки],"",0),2)</f>
        <v>260281.44</v>
      </c>
      <c r="N257" s="235" cm="1">
        <f t="array" ref="N257">IFERROR(ROUND(_xlfn.XLOOKUP($B$3&amp;Таблица4[[#This Row],[№]]&amp;"Продажа",РД[Дом]&amp;РД[№ кв]&amp;РД[Состояние],РД[Сумма скидки],"",0),2),Таблица4[[#This Row],[Статус]])</f>
        <v>260281.44</v>
      </c>
      <c r="O257" s="235">
        <f>IFERROR(Таблица4[[#This Row],[ППС]]-Таблица4[[#This Row],[ДДУС]],)</f>
        <v>0</v>
      </c>
      <c r="P257" s="611"/>
      <c r="Q257" s="234">
        <f>VLOOKUP(ППД5!A254,Реестр_Д5[№],1,0)</f>
        <v>253</v>
      </c>
      <c r="R257" s="234" t="str">
        <f>VLOOKUP(ППД5!CH254,Реестр_Д5[Статус],1,0)</f>
        <v>Продажа</v>
      </c>
      <c r="S257" s="612">
        <f>VLOOKUP(ППД5!BZ254,Реестр_Д5[Стоимость ОН без отделки со скидкой],1,0)</f>
        <v>5885300</v>
      </c>
      <c r="T257" s="612" cm="1">
        <f t="array" ref="T257">IFERROR(INDEX(РД[Стоимость без отделки итог],MATCH($Q$3&amp;Таблица10[[#This Row],[№]]&amp;"Продажа",РД[Дом]&amp;РД[№ кв]&amp;РД[Состояние],0),1),Таблица10[[#This Row],[Статус]])</f>
        <v>5885300</v>
      </c>
      <c r="U257" s="235">
        <f>IFERROR((Таблица10[[#This Row],[ПП]]-Таблица10[[#This Row],[ДДУ]])*1,)</f>
        <v>0</v>
      </c>
      <c r="V257" s="235" cm="1">
        <f t="array" ref="V257">IFERROR(INDEX(РД[Стоимость с отделкой итог],MATCH($Q$3&amp;Таблица10[[#This Row],[№]]&amp;"Продажа",РД[Дом]&amp;РД[№ кв]&amp;РД[Состояние],0),1),Таблица10[[#This Row],[Статус]])</f>
        <v>7090100</v>
      </c>
      <c r="W257" s="235">
        <f>_xlfn.XLOOKUP(Таблица10[[#This Row],[№]],Реестр_Д5[№],Реестр_Д5[Стоимость квартиры с отделкой],"-",0)</f>
        <v>7090100</v>
      </c>
      <c r="X257" s="235">
        <f>IFERROR(Таблица10[[#This Row],[СО ПП]]-Таблица10[[#This Row],[СО ДДУ]],"")</f>
        <v>0</v>
      </c>
      <c r="Y257" s="233" cm="1">
        <f t="array" ref="Y257">IFERROR(INDEX(РД[S],MATCH($Q$3&amp;Таблица10[[#This Row],[№]]&amp;"Продажа",РД[Дом]&amp;РД[№ кв]&amp;РД[Состояние],0),1),Таблица10[[#This Row],[Статус]])</f>
        <v>60.24</v>
      </c>
      <c r="Z257" s="233">
        <f>IF(Таблица10[[#This Row],[№]]&amp;"ДДУ"=ППД5!A254&amp;ППД5!CR254,ППД5!U254,ППД5!V254)</f>
        <v>60.24</v>
      </c>
      <c r="AA257" s="285">
        <f>IFERROR(Таблица10[[#This Row],[S ПП]]-Таблица10[[#This Row],[S ДДУ]],)</f>
        <v>0</v>
      </c>
      <c r="AB257" s="235">
        <f>ROUND(_xlfn.XLOOKUP(Таблица10[[#This Row],[№]],Реестр_Д5[№],Реестр_Д5[Итоговая сумма скидки],"",0),2)</f>
        <v>0</v>
      </c>
      <c r="AC257" s="235" cm="1">
        <f t="array" ref="AC25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7" s="285">
        <f>IFERROR(Таблица10[[#This Row],[ППС]]-Таблица10[[#This Row],[ДДУС]],)</f>
        <v>0</v>
      </c>
      <c r="AE257" s="611"/>
      <c r="AT257" s="611"/>
      <c r="AU257" s="484">
        <f>VLOOKUP(ППД402!A254,Д402[],1,0)</f>
        <v>253</v>
      </c>
      <c r="AV257" s="484" t="str">
        <f>_xlfn.XLOOKUP(Т402[[#This Row],[№]],Д402[№],Д402[Статус],"-",0)</f>
        <v>Продажа</v>
      </c>
      <c r="AW257" s="613">
        <f>_xlfn.XLOOKUP(Т402[[#This Row],[№]],Д402[№],Д402[Стоимость ОН без отделки со скидкой],"-",0)</f>
        <v>5578160</v>
      </c>
      <c r="AX257" s="614" cm="1">
        <f t="array" ref="AX257">IFERROR(INDEX(РД[Стоимость без отделки итог],MATCH($AU$3&amp;Т402[[#This Row],[№]]&amp;"Продажа",РД[Дом]&amp;РД[№ кв]&amp;РД[Состояние],0),1),Т402[[#This Row],[Статус]])</f>
        <v>5578160</v>
      </c>
      <c r="AY257" s="485">
        <f>IFERROR((Т402[[#This Row],[ПП]]-Т402[[#This Row],[ДДУ]])*1,"")</f>
        <v>0</v>
      </c>
      <c r="AZ257" s="486" cm="1">
        <f t="array" ref="AZ257">IFERROR(INDEX(РД[Стоимость с отделкой итог],MATCH($AU$3&amp;Т402[[#This Row],[№]]&amp;"Продажа",РД[Дом]&amp;РД[№ кв]&amp;РД[Состояние],0),1),Т402[[#This Row],[Статус]])</f>
        <v>6016960</v>
      </c>
      <c r="BA257" s="485">
        <f>_xlfn.XLOOKUP(Т402[[#This Row],[№]],Д402[№],Д402[Стоимость квартиры с отделкой],"-",0)</f>
        <v>6016960</v>
      </c>
      <c r="BB257" s="485">
        <f>IFERROR(Т402[[#This Row],[СО ПП]]-Т402[[#This Row],[СО ДДУ]],"")</f>
        <v>0</v>
      </c>
      <c r="BC257" s="487" cm="1">
        <f t="array" ref="BC257">IFERROR(INDEX(РД[S],MATCH($AU$3&amp;Т402[[#This Row],[№]]&amp;"Продажа",РД[Дом]&amp;РД[№ кв]&amp;РД[Состояние],0),1),Т402[[#This Row],[Статус]])</f>
        <v>43.88</v>
      </c>
      <c r="BD257" s="483">
        <f>_xlfn.XLOOKUP(Т402[[#This Row],[№]],Д402[№],Д402[Расчетная проектная площадь],"-",0)</f>
        <v>43.88</v>
      </c>
      <c r="BE257" s="485">
        <f>IFERROR(Т402[[#This Row],[S ПП]]-Т402[[#This Row],[S ДДУ]],"")</f>
        <v>0</v>
      </c>
      <c r="BF257" s="485">
        <f>_xlfn.XLOOKUP(Т402[[#This Row],[№]],Д402[№],Д402[Итоговая сумма скидки],"-",0)</f>
        <v>113840</v>
      </c>
      <c r="BG257" s="486" cm="1">
        <f t="array" ref="BG257">IFERROR(ROUND(_xlfn.XLOOKUP($AU$3&amp;Т402[[#This Row],[№]]&amp;"Продажа",РД[Дом]&amp;РД[№ кв]&amp;РД[Состояние],РД[Сумма скидки],"",0),2),Т402[[#This Row],[Статус]])</f>
        <v>113840</v>
      </c>
      <c r="BH257" s="488">
        <f>IFERROR(Т402[[#This Row],[ППС]]-Т402[[#This Row],[ДДУС]],"")</f>
        <v>0</v>
      </c>
    </row>
    <row r="258" spans="1:60" x14ac:dyDescent="0.2">
      <c r="A258" s="611"/>
      <c r="B258" s="234">
        <f>VLOOKUP(ППД4!A255,Реестр_Д4[№],1,0)</f>
        <v>254</v>
      </c>
      <c r="C258" s="234" t="str">
        <f>VLOOKUP(ППД4!CO255,Реестр_Д4[Статус],1,0)</f>
        <v>Продажа</v>
      </c>
      <c r="D258" s="612">
        <f>VLOOKUP(ППД4!CE255,Реестр_Д4[Стоимость ОН без отделки со скидкой],1,0)</f>
        <v>3056179.74</v>
      </c>
      <c r="E258" s="612" cm="1">
        <f t="array" ref="E258">IFERROR(INDEX(РД[Стоимость без отделки итог],MATCH($B$3&amp;Таблица4[[#This Row],[№]]&amp;"Продажа",РД[Дом]&amp;РД[№ кв]&amp;РД[Состояние],0),1),Таблица4[[#This Row],[Статус]])</f>
        <v>3056179.7400000007</v>
      </c>
      <c r="F258" s="235">
        <f>IFERROR((Таблица4[[#This Row],[ПП]]-Таблица4[[#This Row],[ДДУ]])*1,"")</f>
        <v>-4.6566128730773926E-10</v>
      </c>
      <c r="G258" s="235" cm="1">
        <f t="array" ref="G258">IFERROR(INDEX(РД[Стоимость с отделкой итог],MATCH($B$3&amp;Таблица4[[#This Row],[№]]&amp;"Продажа",РД[Дом]&amp;РД[№ кв]&amp;РД[Состояние],0),1),Таблица4[[#This Row],[Статус]])</f>
        <v>3191539.74</v>
      </c>
      <c r="H258" s="235">
        <f>_xlfn.XLOOKUP(Таблица4[[#This Row],[№]],Реестр_Д4[№],Реестр_Д4[Стоимость квартиры с отделкой],"-",0)</f>
        <v>3191539.74</v>
      </c>
      <c r="I258" s="235">
        <f>IFERROR(Таблица4[[#This Row],[СО ПП]]-Таблица4[[#This Row],[СО ДДУ]],"")</f>
        <v>0</v>
      </c>
      <c r="J258" s="233" cm="1">
        <f t="array" ref="J258">IFERROR(INDEX(РД[S],MATCH($B$3&amp;Таблица4[[#This Row],[№]]&amp;"Продажа",РД[Дом]&amp;РД[№ кв]&amp;РД[Состояние],0),1),Таблица4[[#This Row],[Статус]])</f>
        <v>33.840000000000003</v>
      </c>
      <c r="K258" s="233">
        <f>VLOOKUP(Таблица4[[#This Row],[№]],Реестр_Д4[],20,0)</f>
        <v>33.840000000000003</v>
      </c>
      <c r="L258" s="235">
        <f>IFERROR(Таблица4[[#This Row],[S ПП]]-Таблица4[[#This Row],[S ДДУ]],)</f>
        <v>0</v>
      </c>
      <c r="M258" s="235">
        <f>ROUND(_xlfn.XLOOKUP(Таблица4[[#This Row],[№]],Реестр_Д4[№],Реестр_Д4[Итоговая сумма скидки],"",0),2)</f>
        <v>0</v>
      </c>
      <c r="N258" s="235" cm="1">
        <f t="array" ref="N25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58" s="235">
        <f>IFERROR(Таблица4[[#This Row],[ППС]]-Таблица4[[#This Row],[ДДУС]],)</f>
        <v>0</v>
      </c>
      <c r="P258" s="611"/>
      <c r="Q258" s="234">
        <f>VLOOKUP(ППД5!A255,Реестр_Д5[№],1,0)</f>
        <v>254</v>
      </c>
      <c r="R258" s="234" t="str">
        <f>VLOOKUP(ППД5!CH255,Реестр_Д5[Статус],1,0)</f>
        <v>Продажа</v>
      </c>
      <c r="S258" s="612">
        <f>VLOOKUP(ППД5!BZ255,Реестр_Д5[Стоимость ОН без отделки со скидкой],1,0)</f>
        <v>3778016.03</v>
      </c>
      <c r="T258" s="612" cm="1">
        <f t="array" ref="T258">IFERROR(INDEX(РД[Стоимость без отделки итог],MATCH($Q$3&amp;Таблица10[[#This Row],[№]]&amp;"Продажа",РД[Дом]&amp;РД[№ кв]&amp;РД[Состояние],0),1),Таблица10[[#This Row],[Статус]])</f>
        <v>3778016.0300000003</v>
      </c>
      <c r="U258" s="235">
        <f>IFERROR((Таблица10[[#This Row],[ПП]]-Таблица10[[#This Row],[ДДУ]])*1,)</f>
        <v>-4.6566128730773926E-10</v>
      </c>
      <c r="V258" s="235" cm="1">
        <f t="array" ref="V258">IFERROR(INDEX(РД[Стоимость с отделкой итог],MATCH($Q$3&amp;Таблица10[[#This Row],[№]]&amp;"Продажа",РД[Дом]&amp;РД[№ кв]&amp;РД[Состояние],0),1),Таблица10[[#This Row],[Статус]])</f>
        <v>4609836.03</v>
      </c>
      <c r="W258" s="235">
        <f>_xlfn.XLOOKUP(Таблица10[[#This Row],[№]],Реестр_Д5[№],Реестр_Д5[Стоимость квартиры с отделкой],"-",0)</f>
        <v>4609836.0299999993</v>
      </c>
      <c r="X258" s="235">
        <f>IFERROR(Таблица10[[#This Row],[СО ПП]]-Таблица10[[#This Row],[СО ДДУ]],"")</f>
        <v>-9.3132257461547852E-10</v>
      </c>
      <c r="Y258" s="233" cm="1">
        <f t="array" ref="Y258">IFERROR(INDEX(РД[S],MATCH($Q$3&amp;Таблица10[[#This Row],[№]]&amp;"Продажа",РД[Дом]&amp;РД[№ кв]&amp;РД[Состояние],0),1),Таблица10[[#This Row],[Статус]])</f>
        <v>37.81</v>
      </c>
      <c r="Z258" s="233">
        <f>IF(Таблица10[[#This Row],[№]]&amp;"ДДУ"=ППД5!A255&amp;ППД5!CR255,ППД5!U255,ППД5!V255)</f>
        <v>37.81</v>
      </c>
      <c r="AA258" s="285">
        <f>IFERROR(Таблица10[[#This Row],[S ПП]]-Таблица10[[#This Row],[S ДДУ]],)</f>
        <v>0</v>
      </c>
      <c r="AB258" s="235">
        <f>ROUND(_xlfn.XLOOKUP(Таблица10[[#This Row],[№]],Реестр_Д5[№],Реестр_Д5[Итоговая сумма скидки],"",0),2)</f>
        <v>0</v>
      </c>
      <c r="AC258" s="235" cm="1">
        <f t="array" ref="AC25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58" s="285">
        <f>IFERROR(Таблица10[[#This Row],[ППС]]-Таблица10[[#This Row],[ДДУС]],)</f>
        <v>0</v>
      </c>
      <c r="AE258" s="611"/>
      <c r="AT258" s="611"/>
      <c r="AU258" s="484">
        <f>VLOOKUP(ППД402!A255,Д402[],1,0)</f>
        <v>254</v>
      </c>
      <c r="AV258" s="484" t="str">
        <f>_xlfn.XLOOKUP(Т402[[#This Row],[№]],Д402[№],Д402[Статус],"-",0)</f>
        <v>Продажа</v>
      </c>
      <c r="AW258" s="613">
        <f>_xlfn.XLOOKUP(Т402[[#This Row],[№]],Д402[№],Д402[Стоимость ОН без отделки со скидкой],"-",0)</f>
        <v>4590040</v>
      </c>
      <c r="AX258" s="614" cm="1">
        <f t="array" ref="AX258">IFERROR(INDEX(РД[Стоимость без отделки итог],MATCH($AU$3&amp;Т402[[#This Row],[№]]&amp;"Продажа",РД[Дом]&amp;РД[№ кв]&amp;РД[Состояние],0),1),Т402[[#This Row],[Статус]])</f>
        <v>4590040</v>
      </c>
      <c r="AY258" s="485">
        <f>IFERROR((Т402[[#This Row],[ПП]]-Т402[[#This Row],[ДДУ]])*1,"")</f>
        <v>0</v>
      </c>
      <c r="AZ258" s="486" cm="1">
        <f t="array" ref="AZ258">IFERROR(INDEX(РД[Стоимость с отделкой итог],MATCH($AU$3&amp;Т402[[#This Row],[№]]&amp;"Продажа",РД[Дом]&amp;РД[№ кв]&amp;РД[Состояние],0),1),Т402[[#This Row],[Статус]])</f>
        <v>5498790</v>
      </c>
      <c r="BA258" s="485">
        <f>_xlfn.XLOOKUP(Т402[[#This Row],[№]],Д402[№],Д402[Стоимость квартиры с отделкой],"-",0)</f>
        <v>5498790</v>
      </c>
      <c r="BB258" s="485">
        <f>IFERROR(Т402[[#This Row],[СО ПП]]-Т402[[#This Row],[СО ДДУ]],"")</f>
        <v>0</v>
      </c>
      <c r="BC258" s="487" cm="1">
        <f t="array" ref="BC258">IFERROR(INDEX(РД[S],MATCH($AU$3&amp;Т402[[#This Row],[№]]&amp;"Продажа",РД[Дом]&amp;РД[№ кв]&amp;РД[Состояние],0),1),Т402[[#This Row],[Статус]])</f>
        <v>36.35</v>
      </c>
      <c r="BD258" s="483">
        <f>_xlfn.XLOOKUP(Т402[[#This Row],[№]],Д402[№],Д402[Расчетная проектная площадь],"-",0)</f>
        <v>36.35</v>
      </c>
      <c r="BE258" s="485">
        <f>IFERROR(Т402[[#This Row],[S ПП]]-Т402[[#This Row],[S ДДУ]],"")</f>
        <v>0</v>
      </c>
      <c r="BF258" s="485">
        <f>_xlfn.XLOOKUP(Т402[[#This Row],[№]],Д402[№],Д402[Итоговая сумма скидки],"-",0)</f>
        <v>141960</v>
      </c>
      <c r="BG258" s="486" cm="1">
        <f t="array" ref="BG258">IFERROR(ROUND(_xlfn.XLOOKUP($AU$3&amp;Т402[[#This Row],[№]]&amp;"Продажа",РД[Дом]&amp;РД[№ кв]&amp;РД[Состояние],РД[Сумма скидки],"",0),2),Т402[[#This Row],[Статус]])</f>
        <v>141960</v>
      </c>
      <c r="BH258" s="488">
        <f>IFERROR(Т402[[#This Row],[ППС]]-Т402[[#This Row],[ДДУС]],"")</f>
        <v>0</v>
      </c>
    </row>
    <row r="259" spans="1:60" x14ac:dyDescent="0.2">
      <c r="A259" s="611"/>
      <c r="B259" s="234">
        <f>VLOOKUP(ППД4!A256,Реестр_Д4[№],1,0)</f>
        <v>255</v>
      </c>
      <c r="C259" s="234" t="str">
        <f>VLOOKUP(ППД4!CO256,Реестр_Д4[Статус],1,0)</f>
        <v>Продажа</v>
      </c>
      <c r="D259" s="612">
        <f>VLOOKUP(ППД4!CE256,Реестр_Д4[Стоимость ОН без отделки со скидкой],1,0)</f>
        <v>2446593.9900000002</v>
      </c>
      <c r="E259" s="612" cm="1">
        <f t="array" ref="E259">IFERROR(INDEX(РД[Стоимость без отделки итог],MATCH($B$3&amp;Таблица4[[#This Row],[№]]&amp;"Продажа",РД[Дом]&amp;РД[№ кв]&amp;РД[Состояние],0),1),Таблица4[[#This Row],[Статус]])</f>
        <v>2446593.9900000002</v>
      </c>
      <c r="F259" s="235">
        <f>IFERROR((Таблица4[[#This Row],[ПП]]-Таблица4[[#This Row],[ДДУ]])*1,"")</f>
        <v>0</v>
      </c>
      <c r="G259" s="235" cm="1">
        <f t="array" ref="G259">IFERROR(INDEX(РД[Стоимость с отделкой итог],MATCH($B$3&amp;Таблица4[[#This Row],[№]]&amp;"Продажа",РД[Дом]&amp;РД[№ кв]&amp;РД[Состояние],0),1),Таблица4[[#This Row],[Статус]])</f>
        <v>2446593.9900000002</v>
      </c>
      <c r="H259" s="235">
        <f>_xlfn.XLOOKUP(Таблица4[[#This Row],[№]],Реестр_Д4[№],Реестр_Д4[Стоимость квартиры с отделкой],"-",0)</f>
        <v>2446593.9900000002</v>
      </c>
      <c r="I259" s="235">
        <f>IFERROR(Таблица4[[#This Row],[СО ПП]]-Таблица4[[#This Row],[СО ДДУ]],"")</f>
        <v>0</v>
      </c>
      <c r="J259" s="233" cm="1">
        <f t="array" ref="J259">IFERROR(INDEX(РД[S],MATCH($B$3&amp;Таблица4[[#This Row],[№]]&amp;"Продажа",РД[Дом]&amp;РД[№ кв]&amp;РД[Состояние],0),1),Таблица4[[#This Row],[Статус]])</f>
        <v>29.35</v>
      </c>
      <c r="K259" s="233">
        <f>VLOOKUP(Таблица4[[#This Row],[№]],Реестр_Д4[],20,0)</f>
        <v>29.35</v>
      </c>
      <c r="L259" s="235">
        <f>IFERROR(Таблица4[[#This Row],[S ПП]]-Таблица4[[#This Row],[S ДДУ]],)</f>
        <v>0</v>
      </c>
      <c r="M259" s="235">
        <f>ROUND(_xlfn.XLOOKUP(Таблица4[[#This Row],[№]],Реестр_Д4[№],Реестр_Д4[Итоговая сумма скидки],"",0),2)</f>
        <v>0</v>
      </c>
      <c r="N259" s="235" cm="1">
        <f t="array" ref="N25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59" s="235">
        <f>IFERROR(Таблица4[[#This Row],[ППС]]-Таблица4[[#This Row],[ДДУС]],)</f>
        <v>0</v>
      </c>
      <c r="P259" s="611"/>
      <c r="Q259" s="234">
        <f>VLOOKUP(ППД5!A256,Реестр_Д5[№],1,0)</f>
        <v>255</v>
      </c>
      <c r="R259" s="234" t="str">
        <f>VLOOKUP(ППД5!CH256,Реестр_Д5[Статус],1,0)</f>
        <v>Продажа</v>
      </c>
      <c r="S259" s="612">
        <f>VLOOKUP(ППД5!BZ256,Реестр_Д5[Стоимость ОН без отделки со скидкой],1,0)</f>
        <v>5595767.7000000002</v>
      </c>
      <c r="T259" s="612" cm="1">
        <f t="array" ref="T259">IFERROR(INDEX(РД[Стоимость без отделки итог],MATCH($Q$3&amp;Таблица10[[#This Row],[№]]&amp;"Продажа",РД[Дом]&amp;РД[№ кв]&amp;РД[Состояние],0),1),Таблица10[[#This Row],[Статус]])</f>
        <v>5595767.7000000002</v>
      </c>
      <c r="U259" s="235">
        <f>IFERROR((Таблица10[[#This Row],[ПП]]-Таблица10[[#This Row],[ДДУ]])*1,)</f>
        <v>0</v>
      </c>
      <c r="V259" s="235" cm="1">
        <f t="array" ref="V259">IFERROR(INDEX(РД[Стоимость с отделкой итог],MATCH($Q$3&amp;Таблица10[[#This Row],[№]]&amp;"Продажа",РД[Дом]&amp;РД[№ кв]&amp;РД[Состояние],0),1),Таблица10[[#This Row],[Статус]])</f>
        <v>6850802.7000000002</v>
      </c>
      <c r="W259" s="235">
        <f>_xlfn.XLOOKUP(Таблица10[[#This Row],[№]],Реестр_Д5[№],Реестр_Д5[Стоимость квартиры с отделкой],"-",0)</f>
        <v>6850802.7000000002</v>
      </c>
      <c r="X259" s="235">
        <f>IFERROR(Таблица10[[#This Row],[СО ПП]]-Таблица10[[#This Row],[СО ДДУ]],"")</f>
        <v>0</v>
      </c>
      <c r="Y259" s="233" cm="1">
        <f t="array" ref="Y259">IFERROR(INDEX(РД[S],MATCH($Q$3&amp;Таблица10[[#This Row],[№]]&amp;"Продажа",РД[Дом]&amp;РД[№ кв]&amp;РД[Состояние],0),1),Таблица10[[#This Row],[Статус]])</f>
        <v>80.97</v>
      </c>
      <c r="Z259" s="233">
        <f>IF(Таблица10[[#This Row],[№]]&amp;"ДДУ"=ППД5!A256&amp;ППД5!CR256,ППД5!U256,ППД5!V256)</f>
        <v>80.97</v>
      </c>
      <c r="AA259" s="285">
        <f>IFERROR(Таблица10[[#This Row],[S ПП]]-Таблица10[[#This Row],[S ДДУ]],)</f>
        <v>0</v>
      </c>
      <c r="AB259" s="235">
        <f>ROUND(_xlfn.XLOOKUP(Таблица10[[#This Row],[№]],Реестр_Д5[№],Реестр_Д5[Итоговая сумма скидки],"",0),2)</f>
        <v>357176.66</v>
      </c>
      <c r="AC259" s="235" cm="1">
        <f t="array" ref="AC259">IFERROR(ROUND(_xlfn.XLOOKUP($Q$3&amp;Таблица10[[#This Row],[№]]&amp;"Продажа",РД[Дом]&amp;РД[№ кв]&amp;РД[Состояние],РД[Сумма скидки],"",0,-1),2),Таблица10[[#This Row],[Статус]])</f>
        <v>357176.66</v>
      </c>
      <c r="AD259" s="285">
        <f>IFERROR(Таблица10[[#This Row],[ППС]]-Таблица10[[#This Row],[ДДУС]],)</f>
        <v>0</v>
      </c>
      <c r="AE259" s="611"/>
      <c r="AT259" s="611"/>
      <c r="AU259" s="484">
        <f>VLOOKUP(ППД402!A256,Д402[],1,0)</f>
        <v>255</v>
      </c>
      <c r="AV259" s="484" t="str">
        <f>_xlfn.XLOOKUP(Т402[[#This Row],[№]],Д402[№],Д402[Статус],"-",0)</f>
        <v>Продажа</v>
      </c>
      <c r="AW259" s="613">
        <f>_xlfn.XLOOKUP(Т402[[#This Row],[№]],Д402[№],Д402[Стоимость ОН без отделки со скидкой],"-",0)</f>
        <v>6295979</v>
      </c>
      <c r="AX259" s="614" cm="1">
        <f t="array" ref="AX259">IFERROR(INDEX(РД[Стоимость без отделки итог],MATCH($AU$3&amp;Т402[[#This Row],[№]]&amp;"Продажа",РД[Дом]&amp;РД[№ кв]&amp;РД[Состояние],0),1),Т402[[#This Row],[Статус]])</f>
        <v>6295979</v>
      </c>
      <c r="AY259" s="485">
        <f>IFERROR((Т402[[#This Row],[ПП]]-Т402[[#This Row],[ДДУ]])*1,"")</f>
        <v>0</v>
      </c>
      <c r="AZ259" s="486" cm="1">
        <f t="array" ref="AZ259">IFERROR(INDEX(РД[Стоимость с отделкой итог],MATCH($AU$3&amp;Т402[[#This Row],[№]]&amp;"Продажа",РД[Дом]&amp;РД[№ кв]&amp;РД[Состояние],0),1),Т402[[#This Row],[Статус]])</f>
        <v>6295979</v>
      </c>
      <c r="BA259" s="485">
        <f>_xlfn.XLOOKUP(Т402[[#This Row],[№]],Д402[№],Д402[Стоимость квартиры с отделкой],"-",0)</f>
        <v>6295979</v>
      </c>
      <c r="BB259" s="485">
        <f>IFERROR(Т402[[#This Row],[СО ПП]]-Т402[[#This Row],[СО ДДУ]],"")</f>
        <v>0</v>
      </c>
      <c r="BC259" s="487" cm="1">
        <f t="array" ref="BC259">IFERROR(INDEX(РД[S],MATCH($AU$3&amp;Т402[[#This Row],[№]]&amp;"Продажа",РД[Дом]&amp;РД[№ кв]&amp;РД[Состояние],0),1),Т402[[#This Row],[Статус]])</f>
        <v>54.08</v>
      </c>
      <c r="BD259" s="483">
        <f>_xlfn.XLOOKUP(Т402[[#This Row],[№]],Д402[№],Д402[Расчетная проектная площадь],"-",0)</f>
        <v>54.08</v>
      </c>
      <c r="BE259" s="485">
        <f>IFERROR(Т402[[#This Row],[S ПП]]-Т402[[#This Row],[S ДДУ]],"")</f>
        <v>0</v>
      </c>
      <c r="BF259" s="485">
        <f>_xlfn.XLOOKUP(Т402[[#This Row],[№]],Д402[№],Д402[Итоговая сумма скидки],"-",0)</f>
        <v>194721</v>
      </c>
      <c r="BG259" s="486" cm="1">
        <f t="array" ref="BG259">IFERROR(ROUND(_xlfn.XLOOKUP($AU$3&amp;Т402[[#This Row],[№]]&amp;"Продажа",РД[Дом]&amp;РД[№ кв]&amp;РД[Состояние],РД[Сумма скидки],"",0),2),Т402[[#This Row],[Статус]])</f>
        <v>194721</v>
      </c>
      <c r="BH259" s="488">
        <f>IFERROR(Т402[[#This Row],[ППС]]-Т402[[#This Row],[ДДУС]],"")</f>
        <v>0</v>
      </c>
    </row>
    <row r="260" spans="1:60" x14ac:dyDescent="0.2">
      <c r="A260" s="611"/>
      <c r="B260" s="234">
        <f>VLOOKUP(ППД4!A257,Реестр_Д4[№],1,0)</f>
        <v>256</v>
      </c>
      <c r="C260" s="234" t="str">
        <f>VLOOKUP(ППД4!CO257,Реестр_Д4[Статус],1,0)</f>
        <v>Продажа</v>
      </c>
      <c r="D260" s="612">
        <f>VLOOKUP(ППД4!CE257,Реестр_Д4[Стоимость ОН без отделки со скидкой],1,0)</f>
        <v>5836634.5599999996</v>
      </c>
      <c r="E260" s="612" cm="1">
        <f t="array" ref="E260">IFERROR(INDEX(РД[Стоимость без отделки итог],MATCH($B$3&amp;Таблица4[[#This Row],[№]]&amp;"Продажа",РД[Дом]&amp;РД[№ кв]&amp;РД[Состояние],0),1),Таблица4[[#This Row],[Статус]])</f>
        <v>5836634.5589999994</v>
      </c>
      <c r="F260" s="235">
        <f>IFERROR((Таблица4[[#This Row],[ПП]]-Таблица4[[#This Row],[ДДУ]])*1,"")</f>
        <v>1.0000001639127731E-3</v>
      </c>
      <c r="G260" s="235" cm="1">
        <f t="array" ref="G260">IFERROR(INDEX(РД[Стоимость с отделкой итог],MATCH($B$3&amp;Таблица4[[#This Row],[№]]&amp;"Продажа",РД[Дом]&amp;РД[№ кв]&amp;РД[Состояние],0),1),Таблица4[[#This Row],[Статус]])</f>
        <v>6346259.5589999994</v>
      </c>
      <c r="H260" s="235">
        <f>_xlfn.XLOOKUP(Таблица4[[#This Row],[№]],Реестр_Д4[№],Реестр_Д4[Стоимость квартиры с отделкой],"-",0)</f>
        <v>6346259.5599999996</v>
      </c>
      <c r="I260" s="235">
        <f>IFERROR(Таблица4[[#This Row],[СО ПП]]-Таблица4[[#This Row],[СО ДДУ]],"")</f>
        <v>1.0000001639127731E-3</v>
      </c>
      <c r="J260" s="233" cm="1">
        <f t="array" ref="J260">IFERROR(INDEX(РД[S],MATCH($B$3&amp;Таблица4[[#This Row],[№]]&amp;"Продажа",РД[Дом]&amp;РД[№ кв]&amp;РД[Состояние],0),1),Таблица4[[#This Row],[Статус]])</f>
        <v>67.95</v>
      </c>
      <c r="K260" s="233">
        <f>VLOOKUP(Таблица4[[#This Row],[№]],Реестр_Д4[],20,0)</f>
        <v>67.95</v>
      </c>
      <c r="L260" s="235">
        <f>IFERROR(Таблица4[[#This Row],[S ПП]]-Таблица4[[#This Row],[S ДДУ]],)</f>
        <v>0</v>
      </c>
      <c r="M260" s="235">
        <f>ROUND(_xlfn.XLOOKUP(Таблица4[[#This Row],[№]],Реестр_Д4[№],Реестр_Д4[Итоговая сумма скидки],"",0),2)</f>
        <v>119114.99</v>
      </c>
      <c r="N260" s="235" cm="1">
        <f t="array" ref="N260">IFERROR(ROUND(_xlfn.XLOOKUP($B$3&amp;Таблица4[[#This Row],[№]]&amp;"Продажа",РД[Дом]&amp;РД[№ кв]&amp;РД[Состояние],РД[Сумма скидки],"",0),2),Таблица4[[#This Row],[Статус]])</f>
        <v>119114.99</v>
      </c>
      <c r="O260" s="235">
        <f>IFERROR(Таблица4[[#This Row],[ППС]]-Таблица4[[#This Row],[ДДУС]],)</f>
        <v>0</v>
      </c>
      <c r="P260" s="611"/>
      <c r="Q260" s="234">
        <f>VLOOKUP(ППД5!A257,Реестр_Д5[№],1,0)</f>
        <v>256</v>
      </c>
      <c r="R260" s="234" t="str">
        <f>VLOOKUP(ППД5!CH257,Реестр_Д5[Статус],1,0)</f>
        <v>Продажа</v>
      </c>
      <c r="S260" s="612">
        <f>VLOOKUP(ППД5!BZ257,Реестр_Д5[Стоимость ОН без отделки со скидкой],1,0)</f>
        <v>4974480</v>
      </c>
      <c r="T260" s="612" cm="1">
        <f t="array" ref="T260">IFERROR(INDEX(РД[Стоимость без отделки итог],MATCH($Q$3&amp;Таблица10[[#This Row],[№]]&amp;"Продажа",РД[Дом]&amp;РД[№ кв]&amp;РД[Состояние],0),1),Таблица10[[#This Row],[Статус]])</f>
        <v>4974480</v>
      </c>
      <c r="U260" s="235">
        <f>IFERROR((Таблица10[[#This Row],[ПП]]-Таблица10[[#This Row],[ДДУ]])*1,)</f>
        <v>0</v>
      </c>
      <c r="V260" s="235" cm="1">
        <f t="array" ref="V260">IFERROR(INDEX(РД[Стоимость с отделкой итог],MATCH($Q$3&amp;Таблица10[[#This Row],[№]]&amp;"Продажа",РД[Дом]&amp;РД[№ кв]&amp;РД[Состояние],0),1),Таблица10[[#This Row],[Статус]])</f>
        <v>4974480</v>
      </c>
      <c r="W260" s="235">
        <f>_xlfn.XLOOKUP(Таблица10[[#This Row],[№]],Реестр_Д5[№],Реестр_Д5[Стоимость квартиры с отделкой],"-",0)</f>
        <v>4974480</v>
      </c>
      <c r="X260" s="235">
        <f>IFERROR(Таблица10[[#This Row],[СО ПП]]-Таблица10[[#This Row],[СО ДДУ]],"")</f>
        <v>0</v>
      </c>
      <c r="Y260" s="233" cm="1">
        <f t="array" ref="Y260">IFERROR(INDEX(РД[S],MATCH($Q$3&amp;Таблица10[[#This Row],[№]]&amp;"Продажа",РД[Дом]&amp;РД[№ кв]&amp;РД[Состояние],0),1),Таблица10[[#This Row],[Статус]])</f>
        <v>34.81</v>
      </c>
      <c r="Z260" s="233">
        <f>IF(Таблица10[[#This Row],[№]]&amp;"ДДУ"=ППД5!A257&amp;ППД5!CR257,ППД5!U257,ППД5!V257)</f>
        <v>34.81</v>
      </c>
      <c r="AA260" s="285">
        <f>IFERROR(Таблица10[[#This Row],[S ПП]]-Таблица10[[#This Row],[S ДДУ]],)</f>
        <v>0</v>
      </c>
      <c r="AB260" s="235">
        <f>ROUND(_xlfn.XLOOKUP(Таблица10[[#This Row],[№]],Реестр_Д5[№],Реестр_Д5[Итоговая сумма скидки],"",0),2)</f>
        <v>101520</v>
      </c>
      <c r="AC260" s="235" cm="1">
        <f t="array" ref="AC260">IFERROR(ROUND(_xlfn.XLOOKUP($Q$3&amp;Таблица10[[#This Row],[№]]&amp;"Продажа",РД[Дом]&amp;РД[№ кв]&amp;РД[Состояние],РД[Сумма скидки],"",0,-1),2),Таблица10[[#This Row],[Статус]])</f>
        <v>101520</v>
      </c>
      <c r="AD260" s="285">
        <f>IFERROR(Таблица10[[#This Row],[ППС]]-Таблица10[[#This Row],[ДДУС]],)</f>
        <v>0</v>
      </c>
      <c r="AE260" s="611"/>
      <c r="AT260" s="611"/>
      <c r="AU260" s="484">
        <f>VLOOKUP(ППД402!A257,Д402[],1,0)</f>
        <v>256</v>
      </c>
      <c r="AV260" s="484" t="str">
        <f>_xlfn.XLOOKUP(Т402[[#This Row],[№]],Д402[№],Д402[Статус],"-",0)</f>
        <v>Продажа</v>
      </c>
      <c r="AW260" s="613">
        <f>_xlfn.XLOOKUP(Т402[[#This Row],[№]],Д402[№],Д402[Стоимость ОН без отделки со скидкой],"-",0)</f>
        <v>6784600</v>
      </c>
      <c r="AX260" s="614" cm="1">
        <f t="array" ref="AX260">IFERROR(INDEX(РД[Стоимость без отделки итог],MATCH($AU$3&amp;Т402[[#This Row],[№]]&amp;"Продажа",РД[Дом]&amp;РД[№ кв]&amp;РД[Состояние],0),1),Т402[[#This Row],[Статус]])</f>
        <v>6784600</v>
      </c>
      <c r="AY260" s="485">
        <f>IFERROR((Т402[[#This Row],[ПП]]-Т402[[#This Row],[ДДУ]])*1,"")</f>
        <v>0</v>
      </c>
      <c r="AZ260" s="486" cm="1">
        <f t="array" ref="AZ260">IFERROR(INDEX(РД[Стоимость с отделкой итог],MATCH($AU$3&amp;Т402[[#This Row],[№]]&amp;"Продажа",РД[Дом]&amp;РД[№ кв]&amp;РД[Состояние],0),1),Т402[[#This Row],[Статус]])</f>
        <v>6784600</v>
      </c>
      <c r="BA260" s="485">
        <f>_xlfn.XLOOKUP(Т402[[#This Row],[№]],Д402[№],Д402[Стоимость квартиры с отделкой],"-",0)</f>
        <v>6784600</v>
      </c>
      <c r="BB260" s="485">
        <f>IFERROR(Т402[[#This Row],[СО ПП]]-Т402[[#This Row],[СО ДДУ]],"")</f>
        <v>0</v>
      </c>
      <c r="BC260" s="487" cm="1">
        <f t="array" ref="BC260">IFERROR(INDEX(РД[S],MATCH($AU$3&amp;Т402[[#This Row],[№]]&amp;"Продажа",РД[Дом]&amp;РД[№ кв]&amp;РД[Состояние],0),1),Т402[[#This Row],[Статус]])</f>
        <v>55.73</v>
      </c>
      <c r="BD260" s="483">
        <f>_xlfn.XLOOKUP(Т402[[#This Row],[№]],Д402[№],Д402[Расчетная проектная площадь],"-",0)</f>
        <v>55.73</v>
      </c>
      <c r="BE260" s="485">
        <f>IFERROR(Т402[[#This Row],[S ПП]]-Т402[[#This Row],[S ДДУ]],"")</f>
        <v>0</v>
      </c>
      <c r="BF260" s="485">
        <f>_xlfn.XLOOKUP(Т402[[#This Row],[№]],Д402[№],Д402[Итоговая сумма скидки],"-",0)</f>
        <v>0</v>
      </c>
      <c r="BG260" s="486" cm="1">
        <f t="array" ref="BG260">IFERROR(ROUND(_xlfn.XLOOKUP($AU$3&amp;Т402[[#This Row],[№]]&amp;"Продажа",РД[Дом]&amp;РД[№ кв]&amp;РД[Состояние],РД[Сумма скидки],"",0),2),Т402[[#This Row],[Статус]])</f>
        <v>0</v>
      </c>
      <c r="BH260" s="488">
        <f>IFERROR(Т402[[#This Row],[ППС]]-Т402[[#This Row],[ДДУС]],"")</f>
        <v>0</v>
      </c>
    </row>
    <row r="261" spans="1:60" x14ac:dyDescent="0.2">
      <c r="A261" s="611"/>
      <c r="B261" s="234">
        <f>VLOOKUP(ППД4!A258,Реестр_Д4[№],1,0)</f>
        <v>257</v>
      </c>
      <c r="C261" s="234" t="str">
        <f>VLOOKUP(ППД4!CO258,Реестр_Д4[Статус],1,0)</f>
        <v>Продажа</v>
      </c>
      <c r="D261" s="612">
        <f>VLOOKUP(ППД4!CE258,Реестр_Д4[Стоимость ОН без отделки со скидкой],1,0)</f>
        <v>3419170.74</v>
      </c>
      <c r="E261" s="612" cm="1">
        <f t="array" ref="E261">IFERROR(INDEX(РД[Стоимость без отделки итог],MATCH($B$3&amp;Таблица4[[#This Row],[№]]&amp;"Продажа",РД[Дом]&amp;РД[№ кв]&amp;РД[Состояние],0),1),Таблица4[[#This Row],[Статус]])</f>
        <v>3419170.74</v>
      </c>
      <c r="F261" s="235">
        <f>IFERROR((Таблица4[[#This Row],[ПП]]-Таблица4[[#This Row],[ДДУ]])*1,"")</f>
        <v>0</v>
      </c>
      <c r="G261" s="235" cm="1">
        <f t="array" ref="G261">IFERROR(INDEX(РД[Стоимость с отделкой итог],MATCH($B$3&amp;Таблица4[[#This Row],[№]]&amp;"Продажа",РД[Дом]&amp;РД[№ кв]&amp;РД[Состояние],0),1),Таблица4[[#This Row],[Статус]])</f>
        <v>3419170.74</v>
      </c>
      <c r="H261" s="235">
        <f>_xlfn.XLOOKUP(Таблица4[[#This Row],[№]],Реестр_Д4[№],Реестр_Д4[Стоимость квартиры с отделкой],"-",0)</f>
        <v>3419170.74</v>
      </c>
      <c r="I261" s="235">
        <f>IFERROR(Таблица4[[#This Row],[СО ПП]]-Таблица4[[#This Row],[СО ДДУ]],"")</f>
        <v>0</v>
      </c>
      <c r="J261" s="233" cm="1">
        <f t="array" ref="J261">IFERROR(INDEX(РД[S],MATCH($B$3&amp;Таблица4[[#This Row],[№]]&amp;"Продажа",РД[Дом]&amp;РД[№ кв]&amp;РД[Состояние],0),1),Таблица4[[#This Row],[Статус]])</f>
        <v>36.450000000000003</v>
      </c>
      <c r="K261" s="233">
        <f>VLOOKUP(Таблица4[[#This Row],[№]],Реестр_Д4[],20,0)</f>
        <v>36.450000000000003</v>
      </c>
      <c r="L261" s="235">
        <f>IFERROR(Таблица4[[#This Row],[S ПП]]-Таблица4[[#This Row],[S ДДУ]],)</f>
        <v>0</v>
      </c>
      <c r="M261" s="235">
        <f>ROUND(_xlfn.XLOOKUP(Таблица4[[#This Row],[№]],Реестр_Д4[№],Реестр_Д4[Итоговая сумма скидки],"",0),2)</f>
        <v>0</v>
      </c>
      <c r="N261" s="235" cm="1">
        <f t="array" ref="N26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1" s="235">
        <f>IFERROR(Таблица4[[#This Row],[ППС]]-Таблица4[[#This Row],[ДДУС]],)</f>
        <v>0</v>
      </c>
      <c r="P261" s="611"/>
      <c r="Q261" s="234">
        <f>VLOOKUP(ППД5!A258,Реестр_Д5[№],1,0)</f>
        <v>257</v>
      </c>
      <c r="R261" s="234" t="str">
        <f>VLOOKUP(ППД5!CH258,Реестр_Д5[Статус],1,0)</f>
        <v>Продажа</v>
      </c>
      <c r="S261" s="612">
        <f>VLOOKUP(ППД5!BZ258,Реестр_Д5[Стоимость ОН без отделки со скидкой],1,0)</f>
        <v>6273078</v>
      </c>
      <c r="T261" s="612" cm="1">
        <f t="array" ref="T261">IFERROR(INDEX(РД[Стоимость без отделки итог],MATCH($Q$3&amp;Таблица10[[#This Row],[№]]&amp;"Продажа",РД[Дом]&amp;РД[№ кв]&amp;РД[Состояние],0),1),Таблица10[[#This Row],[Статус]])</f>
        <v>6273078</v>
      </c>
      <c r="U261" s="235">
        <f>IFERROR((Таблица10[[#This Row],[ПП]]-Таблица10[[#This Row],[ДДУ]])*1,)</f>
        <v>0</v>
      </c>
      <c r="V261" s="235" cm="1">
        <f t="array" ref="V261">IFERROR(INDEX(РД[Стоимость с отделкой итог],MATCH($Q$3&amp;Таблица10[[#This Row],[№]]&amp;"Продажа",РД[Дом]&amp;РД[№ кв]&amp;РД[Состояние],0),1),Таблица10[[#This Row],[Статус]])</f>
        <v>7894478</v>
      </c>
      <c r="W261" s="235">
        <f>_xlfn.XLOOKUP(Таблица10[[#This Row],[№]],Реестр_Д5[№],Реестр_Д5[Стоимость квартиры с отделкой],"-",0)</f>
        <v>7894478</v>
      </c>
      <c r="X261" s="235">
        <f>IFERROR(Таблица10[[#This Row],[СО ПП]]-Таблица10[[#This Row],[СО ДДУ]],"")</f>
        <v>0</v>
      </c>
      <c r="Y261" s="233" cm="1">
        <f t="array" ref="Y261">IFERROR(INDEX(РД[S],MATCH($Q$3&amp;Таблица10[[#This Row],[№]]&amp;"Продажа",РД[Дом]&amp;РД[№ кв]&amp;РД[Состояние],0),1),Таблица10[[#This Row],[Статус]])</f>
        <v>73.7</v>
      </c>
      <c r="Z261" s="233">
        <f>IF(Таблица10[[#This Row],[№]]&amp;"ДДУ"=ППД5!A258&amp;ППД5!CR258,ППД5!U258,ППД5!V258)</f>
        <v>73.7</v>
      </c>
      <c r="AA261" s="285">
        <f>IFERROR(Таблица10[[#This Row],[S ПП]]-Таблица10[[#This Row],[S ДДУ]],)</f>
        <v>0</v>
      </c>
      <c r="AB261" s="235">
        <f>ROUND(_xlfn.XLOOKUP(Таблица10[[#This Row],[№]],Реестр_Д5[№],Реестр_Д5[Итоговая сумма скидки],"",0),2)</f>
        <v>128022</v>
      </c>
      <c r="AC261" s="235" cm="1">
        <f t="array" ref="AC261">IFERROR(ROUND(_xlfn.XLOOKUP($Q$3&amp;Таблица10[[#This Row],[№]]&amp;"Продажа",РД[Дом]&amp;РД[№ кв]&amp;РД[Состояние],РД[Сумма скидки],"",0,-1),2),Таблица10[[#This Row],[Статус]])</f>
        <v>128022</v>
      </c>
      <c r="AD261" s="285">
        <f>IFERROR(Таблица10[[#This Row],[ППС]]-Таблица10[[#This Row],[ДДУС]],)</f>
        <v>0</v>
      </c>
      <c r="AE261" s="611"/>
      <c r="AT261" s="611"/>
      <c r="AU261" s="484">
        <f>VLOOKUP(ППД402!A258,Д402[],1,0)</f>
        <v>257</v>
      </c>
      <c r="AV261" s="484" t="str">
        <f>_xlfn.XLOOKUP(Т402[[#This Row],[№]],Д402[№],Д402[Статус],"-",0)</f>
        <v>Стр. Резерв</v>
      </c>
      <c r="AW261" s="613">
        <f>_xlfn.XLOOKUP(Т402[[#This Row],[№]],Д402[№],Д402[Стоимость ОН без отделки со скидкой],"-",0)</f>
        <v>7327400</v>
      </c>
      <c r="AX261" s="614" t="str" cm="1">
        <f t="array" ref="AX261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1" s="485" t="str">
        <f>IFERROR((Т402[[#This Row],[ПП]]-Т402[[#This Row],[ДДУ]])*1,"")</f>
        <v/>
      </c>
      <c r="AZ261" s="486" t="str" cm="1">
        <f t="array" ref="AZ261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1" s="485">
        <f>_xlfn.XLOOKUP(Т402[[#This Row],[№]],Д402[№],Д402[Стоимость квартиры с отделкой],"-",0)</f>
        <v>7327400</v>
      </c>
      <c r="BB261" s="485" t="str">
        <f>IFERROR(Т402[[#This Row],[СО ПП]]-Т402[[#This Row],[СО ДДУ]],"")</f>
        <v/>
      </c>
      <c r="BC261" s="487" t="str" cm="1">
        <f t="array" ref="BC261">IFERROR(INDEX(РД[S],MATCH($AU$3&amp;Т402[[#This Row],[№]]&amp;"Продажа",РД[Дом]&amp;РД[№ кв]&amp;РД[Состояние],0),1),Т402[[#This Row],[Статус]])</f>
        <v>Стр. Резерв</v>
      </c>
      <c r="BD261" s="483">
        <f>_xlfn.XLOOKUP(Т402[[#This Row],[№]],Д402[№],Д402[Расчетная проектная площадь],"-",0)</f>
        <v>59.03</v>
      </c>
      <c r="BE261" s="485" t="str">
        <f>IFERROR(Т402[[#This Row],[S ПП]]-Т402[[#This Row],[S ДДУ]],"")</f>
        <v/>
      </c>
      <c r="BF261" s="485">
        <f>_xlfn.XLOOKUP(Т402[[#This Row],[№]],Д402[№],Д402[Итоговая сумма скидки],"-",0)</f>
        <v>0</v>
      </c>
      <c r="BG261" s="486" t="str" cm="1">
        <f t="array" ref="BG261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1" s="488" t="str">
        <f>IFERROR(Т402[[#This Row],[ППС]]-Т402[[#This Row],[ДДУС]],"")</f>
        <v/>
      </c>
    </row>
    <row r="262" spans="1:60" x14ac:dyDescent="0.2">
      <c r="A262" s="611"/>
      <c r="B262" s="234">
        <f>VLOOKUP(ППД4!A259,Реестр_Д4[№],1,0)</f>
        <v>258</v>
      </c>
      <c r="C262" s="234" t="str">
        <f>VLOOKUP(ППД4!CO259,Реестр_Д4[Статус],1,0)</f>
        <v>Продажа</v>
      </c>
      <c r="D262" s="612">
        <f>VLOOKUP(ППД4!CE259,Реестр_Д4[Стоимость ОН без отделки со скидкой],1,0)</f>
        <v>4384328.1399999997</v>
      </c>
      <c r="E262" s="612" cm="1">
        <f t="array" ref="E262">IFERROR(INDEX(РД[Стоимость без отделки итог],MATCH($B$3&amp;Таблица4[[#This Row],[№]]&amp;"Продажа",РД[Дом]&amp;РД[№ кв]&amp;РД[Состояние],0),1),Таблица4[[#This Row],[Статус]])</f>
        <v>4384328.1399999997</v>
      </c>
      <c r="F262" s="235">
        <f>IFERROR((Таблица4[[#This Row],[ПП]]-Таблица4[[#This Row],[ДДУ]])*1,"")</f>
        <v>0</v>
      </c>
      <c r="G262" s="235" cm="1">
        <f t="array" ref="G262">IFERROR(INDEX(РД[Стоимость с отделкой итог],MATCH($B$3&amp;Таблица4[[#This Row],[№]]&amp;"Продажа",РД[Дом]&amp;РД[№ кв]&amp;РД[Состояние],0),1),Таблица4[[#This Row],[Статус]])</f>
        <v>5262578.1399999997</v>
      </c>
      <c r="H262" s="235">
        <f>_xlfn.XLOOKUP(Таблица4[[#This Row],[№]],Реестр_Д4[№],Реестр_Д4[Стоимость квартиры с отделкой],"-",0)</f>
        <v>5262578.1399999997</v>
      </c>
      <c r="I262" s="235">
        <f>IFERROR(Таблица4[[#This Row],[СО ПП]]-Таблица4[[#This Row],[СО ДДУ]],"")</f>
        <v>0</v>
      </c>
      <c r="J262" s="233" cm="1">
        <f t="array" ref="J262">IFERROR(INDEX(РД[S],MATCH($B$3&amp;Таблица4[[#This Row],[№]]&amp;"Продажа",РД[Дом]&amp;РД[№ кв]&amp;РД[Состояние],0),1),Таблица4[[#This Row],[Статус]])</f>
        <v>58.55</v>
      </c>
      <c r="K262" s="233">
        <f>VLOOKUP(Таблица4[[#This Row],[№]],Реестр_Д4[],20,0)</f>
        <v>58.55</v>
      </c>
      <c r="L262" s="235">
        <f>IFERROR(Таблица4[[#This Row],[S ПП]]-Таблица4[[#This Row],[S ДДУ]],)</f>
        <v>0</v>
      </c>
      <c r="M262" s="235">
        <f>ROUND(_xlfn.XLOOKUP(Таблица4[[#This Row],[№]],Реестр_Д4[№],Реестр_Д4[Итоговая сумма скидки],"",0),2)</f>
        <v>135597.78</v>
      </c>
      <c r="N262" s="235" cm="1">
        <f t="array" ref="N262">IFERROR(ROUND(_xlfn.XLOOKUP($B$3&amp;Таблица4[[#This Row],[№]]&amp;"Продажа",РД[Дом]&amp;РД[№ кв]&amp;РД[Состояние],РД[Сумма скидки],"",0),2),Таблица4[[#This Row],[Статус]])</f>
        <v>135597.78</v>
      </c>
      <c r="O262" s="235">
        <f>IFERROR(Таблица4[[#This Row],[ППС]]-Таблица4[[#This Row],[ДДУС]],)</f>
        <v>0</v>
      </c>
      <c r="P262" s="611"/>
      <c r="Q262" s="234">
        <f>VLOOKUP(ППД5!A259,Реестр_Д5[№],1,0)</f>
        <v>258</v>
      </c>
      <c r="R262" s="234" t="str">
        <f>VLOOKUP(ППД5!CH259,Реестр_Д5[Статус],1,0)</f>
        <v>Продажа</v>
      </c>
      <c r="S262" s="612">
        <f>VLOOKUP(ППД5!BZ259,Реестр_Д5[Стоимость ОН без отделки со скидкой],1,0)</f>
        <v>3103600</v>
      </c>
      <c r="T262" s="612" cm="1">
        <f t="array" ref="T262">IFERROR(INDEX(РД[Стоимость без отделки итог],MATCH($Q$3&amp;Таблица10[[#This Row],[№]]&amp;"Продажа",РД[Дом]&amp;РД[№ кв]&amp;РД[Состояние],0),1),Таблица10[[#This Row],[Статус]])</f>
        <v>3103600</v>
      </c>
      <c r="U262" s="235">
        <f>IFERROR((Таблица10[[#This Row],[ПП]]-Таблица10[[#This Row],[ДДУ]])*1,)</f>
        <v>0</v>
      </c>
      <c r="V262" s="235" cm="1">
        <f t="array" ref="V262">IFERROR(INDEX(РД[Стоимость с отделкой итог],MATCH($Q$3&amp;Таблица10[[#This Row],[№]]&amp;"Продажа",РД[Дом]&amp;РД[№ кв]&amp;РД[Состояние],0),1),Таблица10[[#This Row],[Статус]])</f>
        <v>3594200</v>
      </c>
      <c r="W262" s="235">
        <f>_xlfn.XLOOKUP(Таблица10[[#This Row],[№]],Реестр_Д5[№],Реестр_Д5[Стоимость квартиры с отделкой],"-",0)</f>
        <v>3594200</v>
      </c>
      <c r="X262" s="235">
        <f>IFERROR(Таблица10[[#This Row],[СО ПП]]-Таблица10[[#This Row],[СО ДДУ]],"")</f>
        <v>0</v>
      </c>
      <c r="Y262" s="233" cm="1">
        <f t="array" ref="Y262">IFERROR(INDEX(РД[S],MATCH($Q$3&amp;Таблица10[[#This Row],[№]]&amp;"Продажа",РД[Дом]&amp;РД[№ кв]&amp;РД[Состояние],0),1),Таблица10[[#This Row],[Статус]])</f>
        <v>24.53</v>
      </c>
      <c r="Z262" s="233">
        <f>IF(Таблица10[[#This Row],[№]]&amp;"ДДУ"=ППД5!A259&amp;ППД5!CR259,ППД5!U259,ППД5!V259)</f>
        <v>24.53</v>
      </c>
      <c r="AA262" s="285">
        <f>IFERROR(Таблица10[[#This Row],[S ПП]]-Таблица10[[#This Row],[S ДДУ]],)</f>
        <v>0</v>
      </c>
      <c r="AB262" s="235">
        <f>ROUND(_xlfn.XLOOKUP(Таблица10[[#This Row],[№]],Реестр_Д5[№],Реестр_Д5[Итоговая сумма скидки],"",0),2)</f>
        <v>0</v>
      </c>
      <c r="AC262" s="235" cm="1">
        <f t="array" ref="AC26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62" s="285">
        <f>IFERROR(Таблица10[[#This Row],[ППС]]-Таблица10[[#This Row],[ДДУС]],)</f>
        <v>0</v>
      </c>
      <c r="AE262" s="611"/>
      <c r="AT262" s="611"/>
      <c r="AU262" s="484">
        <f>VLOOKUP(ППД402!A259,Д402[],1,0)</f>
        <v>258</v>
      </c>
      <c r="AV262" s="484" t="str">
        <f>_xlfn.XLOOKUP(Т402[[#This Row],[№]],Д402[№],Д402[Статус],"-",0)</f>
        <v>Стр. Резерв</v>
      </c>
      <c r="AW262" s="613">
        <f>_xlfn.XLOOKUP(Т402[[#This Row],[№]],Д402[№],Д402[Стоимость ОН без отделки со скидкой],"-",0)</f>
        <v>4107500</v>
      </c>
      <c r="AX262" s="614" t="str" cm="1">
        <f t="array" ref="AX26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2" s="485" t="str">
        <f>IFERROR((Т402[[#This Row],[ПП]]-Т402[[#This Row],[ДДУ]])*1,"")</f>
        <v/>
      </c>
      <c r="AZ262" s="486" t="str" cm="1">
        <f t="array" ref="AZ26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2" s="485">
        <f>_xlfn.XLOOKUP(Т402[[#This Row],[№]],Д402[№],Д402[Стоимость квартиры с отделкой],"-",0)</f>
        <v>4107499.9999999991</v>
      </c>
      <c r="BB262" s="485" t="str">
        <f>IFERROR(Т402[[#This Row],[СО ПП]]-Т402[[#This Row],[СО ДДУ]],"")</f>
        <v/>
      </c>
      <c r="BC262" s="487" t="str" cm="1">
        <f t="array" ref="BC262">IFERROR(INDEX(РД[S],MATCH($AU$3&amp;Т402[[#This Row],[№]]&amp;"Продажа",РД[Дом]&amp;РД[№ кв]&amp;РД[Состояние],0),1),Т402[[#This Row],[Статус]])</f>
        <v>Стр. Резерв</v>
      </c>
      <c r="BD262" s="483">
        <f>_xlfn.XLOOKUP(Т402[[#This Row],[№]],Д402[№],Д402[Расчетная проектная площадь],"-",0)</f>
        <v>29.43</v>
      </c>
      <c r="BE262" s="485" t="str">
        <f>IFERROR(Т402[[#This Row],[S ПП]]-Т402[[#This Row],[S ДДУ]],"")</f>
        <v/>
      </c>
      <c r="BF262" s="485">
        <f>_xlfn.XLOOKUP(Т402[[#This Row],[№]],Д402[№],Д402[Итоговая сумма скидки],"-",0)</f>
        <v>0</v>
      </c>
      <c r="BG262" s="486" t="str" cm="1">
        <f t="array" ref="BG26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2" s="488" t="str">
        <f>IFERROR(Т402[[#This Row],[ППС]]-Т402[[#This Row],[ДДУС]],"")</f>
        <v/>
      </c>
    </row>
    <row r="263" spans="1:60" x14ac:dyDescent="0.2">
      <c r="A263" s="611"/>
      <c r="B263" s="234">
        <f>VLOOKUP(ППД4!A260,Реестр_Д4[№],1,0)</f>
        <v>259</v>
      </c>
      <c r="C263" s="234" t="str">
        <f>VLOOKUP(ППД4!CO260,Реестр_Д4[Статус],1,0)</f>
        <v>Продажа</v>
      </c>
      <c r="D263" s="612">
        <f>VLOOKUP(ППД4!CE260,Реестр_Д4[Стоимость ОН без отделки со скидкой],1,0)</f>
        <v>4291284.5</v>
      </c>
      <c r="E263" s="612" cm="1">
        <f t="array" ref="E263">IFERROR(INDEX(РД[Стоимость без отделки итог],MATCH($B$3&amp;Таблица4[[#This Row],[№]]&amp;"Продажа",РД[Дом]&amp;РД[№ кв]&amp;РД[Состояние],0),1),Таблица4[[#This Row],[Статус]])</f>
        <v>4291284.5</v>
      </c>
      <c r="F263" s="235">
        <f>IFERROR((Таблица4[[#This Row],[ПП]]-Таблица4[[#This Row],[ДДУ]])*1,"")</f>
        <v>0</v>
      </c>
      <c r="G263" s="235" cm="1">
        <f t="array" ref="G263">IFERROR(INDEX(РД[Стоимость с отделкой итог],MATCH($B$3&amp;Таблица4[[#This Row],[№]]&amp;"Продажа",РД[Дом]&amp;РД[№ кв]&amp;РД[Состояние],0),1),Таблица4[[#This Row],[Статус]])</f>
        <v>4291284.5</v>
      </c>
      <c r="H263" s="235">
        <f>_xlfn.XLOOKUP(Таблица4[[#This Row],[№]],Реестр_Д4[№],Реестр_Д4[Стоимость квартиры с отделкой],"-",0)</f>
        <v>4291284.5</v>
      </c>
      <c r="I263" s="235">
        <f>IFERROR(Таблица4[[#This Row],[СО ПП]]-Таблица4[[#This Row],[СО ДДУ]],"")</f>
        <v>0</v>
      </c>
      <c r="J263" s="233" cm="1">
        <f t="array" ref="J263">IFERROR(INDEX(РД[S],MATCH($B$3&amp;Таблица4[[#This Row],[№]]&amp;"Продажа",РД[Дом]&amp;РД[№ кв]&amp;РД[Состояние],0),1),Таблица4[[#This Row],[Статус]])</f>
        <v>56.7</v>
      </c>
      <c r="K263" s="233">
        <f>VLOOKUP(Таблица4[[#This Row],[№]],Реестр_Д4[],20,0)</f>
        <v>56.7</v>
      </c>
      <c r="L263" s="235">
        <f>IFERROR(Таблица4[[#This Row],[S ПП]]-Таблица4[[#This Row],[S ДДУ]],)</f>
        <v>0</v>
      </c>
      <c r="M263" s="235">
        <f>ROUND(_xlfn.XLOOKUP(Таблица4[[#This Row],[№]],Реестр_Д4[№],Реестр_Д4[Итоговая сумма скидки],"",0),2)</f>
        <v>0</v>
      </c>
      <c r="N263" s="235" cm="1">
        <f t="array" ref="N26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3" s="235">
        <f>IFERROR(Таблица4[[#This Row],[ППС]]-Таблица4[[#This Row],[ДДУС]],)</f>
        <v>0</v>
      </c>
      <c r="P263" s="611"/>
      <c r="Q263" s="234">
        <f>VLOOKUP(ППД5!A260,Реестр_Д5[№],1,0)</f>
        <v>259</v>
      </c>
      <c r="R263" s="234" t="str">
        <f>VLOOKUP(ППД5!CH260,Реестр_Д5[Статус],1,0)</f>
        <v>Продажа</v>
      </c>
      <c r="S263" s="612">
        <f>VLOOKUP(ППД5!BZ260,Реестр_Д5[Стоимость ОН без отделки со скидкой],1,0)</f>
        <v>6933300</v>
      </c>
      <c r="T263" s="612" cm="1">
        <f t="array" ref="T263">IFERROR(INDEX(РД[Стоимость без отделки итог],MATCH($Q$3&amp;Таблица10[[#This Row],[№]]&amp;"Продажа",РД[Дом]&amp;РД[№ кв]&amp;РД[Состояние],0),1),Таблица10[[#This Row],[Статус]])</f>
        <v>6933299.9999999991</v>
      </c>
      <c r="U263" s="235">
        <f>IFERROR((Таблица10[[#This Row],[ПП]]-Таблица10[[#This Row],[ДДУ]])*1,)</f>
        <v>9.3132257461547852E-10</v>
      </c>
      <c r="V263" s="235" cm="1">
        <f t="array" ref="V263">IFERROR(INDEX(РД[Стоимость с отделкой итог],MATCH($Q$3&amp;Таблица10[[#This Row],[№]]&amp;"Продажа",РД[Дом]&amp;РД[№ кв]&amp;РД[Состояние],0),1),Таблица10[[#This Row],[Статус]])</f>
        <v>8347800</v>
      </c>
      <c r="W263" s="235">
        <f>_xlfn.XLOOKUP(Таблица10[[#This Row],[№]],Реестр_Д5[№],Реестр_Д5[Стоимость квартиры с отделкой],"-",0)</f>
        <v>8347799.9999999981</v>
      </c>
      <c r="X263" s="235">
        <f>IFERROR(Таблица10[[#This Row],[СО ПП]]-Таблица10[[#This Row],[СО ДДУ]],"")</f>
        <v>-1.862645149230957E-9</v>
      </c>
      <c r="Y263" s="233" cm="1">
        <f t="array" ref="Y263">IFERROR(INDEX(РД[S],MATCH($Q$3&amp;Таблица10[[#This Row],[№]]&amp;"Продажа",РД[Дом]&amp;РД[№ кв]&amp;РД[Состояние],0),1),Таблица10[[#This Row],[Статус]])</f>
        <v>56.58</v>
      </c>
      <c r="Z263" s="233">
        <f>IF(Таблица10[[#This Row],[№]]&amp;"ДДУ"=ППД5!A260&amp;ППД5!CR260,ППД5!U260,ППД5!V260)</f>
        <v>56.58</v>
      </c>
      <c r="AA263" s="285">
        <f>IFERROR(Таблица10[[#This Row],[S ПП]]-Таблица10[[#This Row],[S ДДУ]],)</f>
        <v>0</v>
      </c>
      <c r="AB263" s="235">
        <f>ROUND(_xlfn.XLOOKUP(Таблица10[[#This Row],[№]],Реестр_Д5[№],Реестр_Д5[Итоговая сумма скидки],"",0),2)</f>
        <v>40000</v>
      </c>
      <c r="AC263" s="235" cm="1">
        <f t="array" ref="AC263">IFERROR(ROUND(_xlfn.XLOOKUP($Q$3&amp;Таблица10[[#This Row],[№]]&amp;"Продажа",РД[Дом]&amp;РД[№ кв]&amp;РД[Состояние],РД[Сумма скидки],"",0,-1),2),Таблица10[[#This Row],[Статус]])</f>
        <v>40000</v>
      </c>
      <c r="AD263" s="285">
        <f>IFERROR(Таблица10[[#This Row],[ППС]]-Таблица10[[#This Row],[ДДУС]],)</f>
        <v>0</v>
      </c>
      <c r="AE263" s="611"/>
      <c r="AT263" s="611"/>
      <c r="AU263" s="484">
        <f>VLOOKUP(ППД402!A260,Д402[],1,0)</f>
        <v>259</v>
      </c>
      <c r="AV263" s="484" t="str">
        <f>_xlfn.XLOOKUP(Т402[[#This Row],[№]],Д402[№],Д402[Статус],"-",0)</f>
        <v>Продажа</v>
      </c>
      <c r="AW263" s="613">
        <f>_xlfn.XLOOKUP(Т402[[#This Row],[№]],Д402[№],Д402[Стоимость ОН без отделки со скидкой],"-",0)</f>
        <v>5468204</v>
      </c>
      <c r="AX263" s="614" cm="1">
        <f t="array" ref="AX263">IFERROR(INDEX(РД[Стоимость без отделки итог],MATCH($AU$3&amp;Т402[[#This Row],[№]]&amp;"Продажа",РД[Дом]&amp;РД[№ кв]&amp;РД[Состояние],0),1),Т402[[#This Row],[Статус]])</f>
        <v>5468204</v>
      </c>
      <c r="AY263" s="485">
        <f>IFERROR((Т402[[#This Row],[ПП]]-Т402[[#This Row],[ДДУ]])*1,"")</f>
        <v>0</v>
      </c>
      <c r="AZ263" s="486" cm="1">
        <f t="array" ref="AZ263">IFERROR(INDEX(РД[Стоимость с отделкой итог],MATCH($AU$3&amp;Т402[[#This Row],[№]]&amp;"Продажа",РД[Дом]&amp;РД[№ кв]&amp;РД[Состояние],0),1),Т402[[#This Row],[Статус]])</f>
        <v>5468204</v>
      </c>
      <c r="BA263" s="485">
        <f>_xlfn.XLOOKUP(Т402[[#This Row],[№]],Д402[№],Д402[Стоимость квартиры с отделкой],"-",0)</f>
        <v>5468204</v>
      </c>
      <c r="BB263" s="485">
        <f>IFERROR(Т402[[#This Row],[СО ПП]]-Т402[[#This Row],[СО ДДУ]],"")</f>
        <v>0</v>
      </c>
      <c r="BC263" s="487" cm="1">
        <f t="array" ref="BC263">IFERROR(INDEX(РД[S],MATCH($AU$3&amp;Т402[[#This Row],[№]]&amp;"Продажа",РД[Дом]&amp;РД[№ кв]&amp;РД[Состояние],0),1),Т402[[#This Row],[Статус]])</f>
        <v>43.88</v>
      </c>
      <c r="BD263" s="483">
        <f>_xlfn.XLOOKUP(Т402[[#This Row],[№]],Д402[№],Д402[Расчетная проектная площадь],"-",0)</f>
        <v>43.88</v>
      </c>
      <c r="BE263" s="485">
        <f>IFERROR(Т402[[#This Row],[S ПП]]-Т402[[#This Row],[S ДДУ]],"")</f>
        <v>0</v>
      </c>
      <c r="BF263" s="485">
        <f>_xlfn.XLOOKUP(Т402[[#This Row],[№]],Д402[№],Д402[Итоговая сумма скидки],"-",0)</f>
        <v>111596</v>
      </c>
      <c r="BG263" s="486" cm="1">
        <f t="array" ref="BG263">IFERROR(ROUND(_xlfn.XLOOKUP($AU$3&amp;Т402[[#This Row],[№]]&amp;"Продажа",РД[Дом]&amp;РД[№ кв]&amp;РД[Состояние],РД[Сумма скидки],"",0),2),Т402[[#This Row],[Статус]])</f>
        <v>111596</v>
      </c>
      <c r="BH263" s="488">
        <f>IFERROR(Т402[[#This Row],[ППС]]-Т402[[#This Row],[ДДУС]],"")</f>
        <v>0</v>
      </c>
    </row>
    <row r="264" spans="1:60" x14ac:dyDescent="0.2">
      <c r="A264" s="611"/>
      <c r="B264" s="234">
        <f>VLOOKUP(ППД4!A261,Реестр_Д4[№],1,0)</f>
        <v>260</v>
      </c>
      <c r="C264" s="234" t="str">
        <f>VLOOKUP(ППД4!CO261,Реестр_Д4[Статус],1,0)</f>
        <v>Продажа</v>
      </c>
      <c r="D264" s="612">
        <f>VLOOKUP(ППД4!CE261,Реестр_Д4[Стоимость ОН без отделки со скидкой],1,0)</f>
        <v>5465098.2800000003</v>
      </c>
      <c r="E264" s="612" cm="1">
        <f t="array" ref="E264">IFERROR(INDEX(РД[Стоимость без отделки итог],MATCH($B$3&amp;Таблица4[[#This Row],[№]]&amp;"Продажа",РД[Дом]&amp;РД[№ кв]&amp;РД[Состояние],0),1),Таблица4[[#This Row],[Статус]])</f>
        <v>5465098.2800000003</v>
      </c>
      <c r="F264" s="235">
        <f>IFERROR((Таблица4[[#This Row],[ПП]]-Таблица4[[#This Row],[ДДУ]])*1,"")</f>
        <v>0</v>
      </c>
      <c r="G264" s="235" cm="1">
        <f t="array" ref="G264">IFERROR(INDEX(РД[Стоимость с отделкой итог],MATCH($B$3&amp;Таблица4[[#This Row],[№]]&amp;"Продажа",РД[Дом]&amp;РД[№ кв]&amp;РД[Состояние],0),1),Таблица4[[#This Row],[Статус]])</f>
        <v>5465098.2800000003</v>
      </c>
      <c r="H264" s="235">
        <f>_xlfn.XLOOKUP(Таблица4[[#This Row],[№]],Реестр_Д4[№],Реестр_Д4[Стоимость квартиры с отделкой],"-",0)</f>
        <v>5465098.2800000003</v>
      </c>
      <c r="I264" s="235">
        <f>IFERROR(Таблица4[[#This Row],[СО ПП]]-Таблица4[[#This Row],[СО ДДУ]],"")</f>
        <v>0</v>
      </c>
      <c r="J264" s="233" cm="1">
        <f t="array" ref="J264">IFERROR(INDEX(РД[S],MATCH($B$3&amp;Таблица4[[#This Row],[№]]&amp;"Продажа",РД[Дом]&amp;РД[№ кв]&amp;РД[Состояние],0),1),Таблица4[[#This Row],[Статус]])</f>
        <v>72.510000000000005</v>
      </c>
      <c r="K264" s="233">
        <f>VLOOKUP(Таблица4[[#This Row],[№]],Реестр_Д4[],20,0)</f>
        <v>72.510000000000005</v>
      </c>
      <c r="L264" s="235">
        <f>IFERROR(Таблица4[[#This Row],[S ПП]]-Таблица4[[#This Row],[S ДДУ]],)</f>
        <v>0</v>
      </c>
      <c r="M264" s="235">
        <f>ROUND(_xlfn.XLOOKUP(Таблица4[[#This Row],[№]],Реестр_Д4[№],Реестр_Д4[Итоговая сумма скидки],"",0),2)</f>
        <v>0</v>
      </c>
      <c r="N264" s="235" cm="1">
        <f t="array" ref="N26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4" s="235">
        <f>IFERROR(Таблица4[[#This Row],[ППС]]-Таблица4[[#This Row],[ДДУС]],)</f>
        <v>0</v>
      </c>
      <c r="P264" s="611"/>
      <c r="Q264" s="234">
        <f>VLOOKUP(ППД5!A261,Реестр_Д5[№],1,0)</f>
        <v>260</v>
      </c>
      <c r="R264" s="234" t="str">
        <f>VLOOKUP(ППД5!CH261,Реестр_Д5[Статус],1,0)</f>
        <v>Продажа</v>
      </c>
      <c r="S264" s="612">
        <f>VLOOKUP(ППД5!BZ261,Реестр_Д5[Стоимость ОН без отделки со скидкой],1,0)</f>
        <v>7033500</v>
      </c>
      <c r="T264" s="612" cm="1">
        <f t="array" ref="T264">IFERROR(INDEX(РД[Стоимость без отделки итог],MATCH($Q$3&amp;Таблица10[[#This Row],[№]]&amp;"Продажа",РД[Дом]&amp;РД[№ кв]&amp;РД[Состояние],0),1),Таблица10[[#This Row],[Статус]])</f>
        <v>7033500</v>
      </c>
      <c r="U264" s="235">
        <f>IFERROR((Таблица10[[#This Row],[ПП]]-Таблица10[[#This Row],[ДДУ]])*1,)</f>
        <v>0</v>
      </c>
      <c r="V264" s="235" cm="1">
        <f t="array" ref="V264">IFERROR(INDEX(РД[Стоимость с отделкой итог],MATCH($Q$3&amp;Таблица10[[#This Row],[№]]&amp;"Продажа",РД[Дом]&amp;РД[№ кв]&amp;РД[Состояние],0),1),Таблица10[[#This Row],[Статус]])</f>
        <v>7033500</v>
      </c>
      <c r="W264" s="235">
        <f>_xlfn.XLOOKUP(Таблица10[[#This Row],[№]],Реестр_Д5[№],Реестр_Д5[Стоимость квартиры с отделкой],"-",0)</f>
        <v>7033500</v>
      </c>
      <c r="X264" s="235">
        <f>IFERROR(Таблица10[[#This Row],[СО ПП]]-Таблица10[[#This Row],[СО ДДУ]],"")</f>
        <v>0</v>
      </c>
      <c r="Y264" s="233" cm="1">
        <f t="array" ref="Y264">IFERROR(INDEX(РД[S],MATCH($Q$3&amp;Таблица10[[#This Row],[№]]&amp;"Продажа",РД[Дом]&amp;РД[№ кв]&amp;РД[Состояние],0),1),Таблица10[[#This Row],[Статус]])</f>
        <v>60.24</v>
      </c>
      <c r="Z264" s="233">
        <f>IF(Таблица10[[#This Row],[№]]&amp;"ДДУ"=ППД5!A261&amp;ППД5!CR261,ППД5!U261,ППД5!V261)</f>
        <v>60.24</v>
      </c>
      <c r="AA264" s="285">
        <f>IFERROR(Таблица10[[#This Row],[S ПП]]-Таблица10[[#This Row],[S ДДУ]],)</f>
        <v>0</v>
      </c>
      <c r="AB264" s="235">
        <f>ROUND(_xlfn.XLOOKUP(Таблица10[[#This Row],[№]],Реестр_Д5[№],Реестр_Д5[Итоговая сумма скидки],"",0),2)</f>
        <v>300000</v>
      </c>
      <c r="AC264" s="235" cm="1">
        <f t="array" ref="AC264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264" s="285">
        <f>IFERROR(Таблица10[[#This Row],[ППС]]-Таблица10[[#This Row],[ДДУС]],)</f>
        <v>0</v>
      </c>
      <c r="AE264" s="611"/>
      <c r="AT264" s="611"/>
      <c r="AU264" s="484">
        <f>VLOOKUP(ППД402!A261,Д402[],1,0)</f>
        <v>260</v>
      </c>
      <c r="AV264" s="484" t="str">
        <f>_xlfn.XLOOKUP(Т402[[#This Row],[№]],Д402[№],Д402[Статус],"-",0)</f>
        <v>Продажа</v>
      </c>
      <c r="AW264" s="613">
        <f>_xlfn.XLOOKUP(Т402[[#This Row],[№]],Д402[№],Д402[Стоимость ОН без отделки со скидкой],"-",0)</f>
        <v>4851000</v>
      </c>
      <c r="AX264" s="614" cm="1">
        <f t="array" ref="AX264">IFERROR(INDEX(РД[Стоимость без отделки итог],MATCH($AU$3&amp;Т402[[#This Row],[№]]&amp;"Продажа",РД[Дом]&amp;РД[№ кв]&amp;РД[Состояние],0),1),Т402[[#This Row],[Статус]])</f>
        <v>4851000</v>
      </c>
      <c r="AY264" s="485">
        <f>IFERROR((Т402[[#This Row],[ПП]]-Т402[[#This Row],[ДДУ]])*1,"")</f>
        <v>0</v>
      </c>
      <c r="AZ264" s="486" cm="1">
        <f t="array" ref="AZ264">IFERROR(INDEX(РД[Стоимость с отделкой итог],MATCH($AU$3&amp;Т402[[#This Row],[№]]&amp;"Продажа",РД[Дом]&amp;РД[№ кв]&amp;РД[Состояние],0),1),Т402[[#This Row],[Статус]])</f>
        <v>4851000</v>
      </c>
      <c r="BA264" s="485">
        <f>_xlfn.XLOOKUP(Т402[[#This Row],[№]],Д402[№],Д402[Стоимость квартиры с отделкой],"-",0)</f>
        <v>4851000</v>
      </c>
      <c r="BB264" s="485">
        <f>IFERROR(Т402[[#This Row],[СО ПП]]-Т402[[#This Row],[СО ДДУ]],"")</f>
        <v>0</v>
      </c>
      <c r="BC264" s="487" cm="1">
        <f t="array" ref="BC264">IFERROR(INDEX(РД[S],MATCH($AU$3&amp;Т402[[#This Row],[№]]&amp;"Продажа",РД[Дом]&amp;РД[№ кв]&amp;РД[Состояние],0),1),Т402[[#This Row],[Статус]])</f>
        <v>36.35</v>
      </c>
      <c r="BD264" s="483">
        <f>_xlfn.XLOOKUP(Т402[[#This Row],[№]],Д402[№],Д402[Расчетная проектная площадь],"-",0)</f>
        <v>36.35</v>
      </c>
      <c r="BE264" s="485">
        <f>IFERROR(Т402[[#This Row],[S ПП]]-Т402[[#This Row],[S ДДУ]],"")</f>
        <v>0</v>
      </c>
      <c r="BF264" s="485">
        <f>_xlfn.XLOOKUP(Т402[[#This Row],[№]],Д402[№],Д402[Итоговая сумма скидки],"-",0)</f>
        <v>0</v>
      </c>
      <c r="BG264" s="486" cm="1">
        <f t="array" ref="BG264">IFERROR(ROUND(_xlfn.XLOOKUP($AU$3&amp;Т402[[#This Row],[№]]&amp;"Продажа",РД[Дом]&amp;РД[№ кв]&amp;РД[Состояние],РД[Сумма скидки],"",0),2),Т402[[#This Row],[Статус]])</f>
        <v>0</v>
      </c>
      <c r="BH264" s="488">
        <f>IFERROR(Т402[[#This Row],[ППС]]-Т402[[#This Row],[ДДУС]],"")</f>
        <v>0</v>
      </c>
    </row>
    <row r="265" spans="1:60" x14ac:dyDescent="0.2">
      <c r="A265" s="611"/>
      <c r="B265" s="234">
        <f>VLOOKUP(ППД4!A262,Реестр_Д4[№],1,0)</f>
        <v>261</v>
      </c>
      <c r="C265" s="234" t="str">
        <f>VLOOKUP(ППД4!CO262,Реестр_Д4[Статус],1,0)</f>
        <v>Продажа</v>
      </c>
      <c r="D265" s="612">
        <f>VLOOKUP(ППД4!CE262,Реестр_Д4[Стоимость ОН без отделки со скидкой],1,0)</f>
        <v>2820742.35</v>
      </c>
      <c r="E265" s="612" cm="1">
        <f t="array" ref="E265">IFERROR(INDEX(РД[Стоимость без отделки итог],MATCH($B$3&amp;Таблица4[[#This Row],[№]]&amp;"Продажа",РД[Дом]&amp;РД[№ кв]&amp;РД[Состояние],0),1),Таблица4[[#This Row],[Статус]])</f>
        <v>2820742.35</v>
      </c>
      <c r="F265" s="235">
        <f>IFERROR((Таблица4[[#This Row],[ПП]]-Таблица4[[#This Row],[ДДУ]])*1,"")</f>
        <v>0</v>
      </c>
      <c r="G265" s="235" cm="1">
        <f t="array" ref="G265">IFERROR(INDEX(РД[Стоимость с отделкой итог],MATCH($B$3&amp;Таблица4[[#This Row],[№]]&amp;"Продажа",РД[Дом]&amp;РД[№ кв]&amp;РД[Состояние],0),1),Таблица4[[#This Row],[Статус]])</f>
        <v>2820742.35</v>
      </c>
      <c r="H265" s="235">
        <f>_xlfn.XLOOKUP(Таблица4[[#This Row],[№]],Реестр_Д4[№],Реестр_Д4[Стоимость квартиры с отделкой],"-",0)</f>
        <v>2820742.35</v>
      </c>
      <c r="I265" s="235">
        <f>IFERROR(Таблица4[[#This Row],[СО ПП]]-Таблица4[[#This Row],[СО ДДУ]],"")</f>
        <v>0</v>
      </c>
      <c r="J265" s="233" cm="1">
        <f t="array" ref="J265">IFERROR(INDEX(РД[S],MATCH($B$3&amp;Таблица4[[#This Row],[№]]&amp;"Продажа",РД[Дом]&amp;РД[№ кв]&amp;РД[Состояние],0),1),Таблица4[[#This Row],[Статус]])</f>
        <v>33.840000000000003</v>
      </c>
      <c r="K265" s="233">
        <f>VLOOKUP(Таблица4[[#This Row],[№]],Реестр_Д4[],20,0)</f>
        <v>33.840000000000003</v>
      </c>
      <c r="L265" s="235">
        <f>IFERROR(Таблица4[[#This Row],[S ПП]]-Таблица4[[#This Row],[S ДДУ]],)</f>
        <v>0</v>
      </c>
      <c r="M265" s="235">
        <f>ROUND(_xlfn.XLOOKUP(Таблица4[[#This Row],[№]],Реестр_Д4[№],Реестр_Д4[Итоговая сумма скидки],"",0),2)</f>
        <v>60000</v>
      </c>
      <c r="N265" s="235" cm="1">
        <f t="array" ref="N265">IFERROR(ROUND(_xlfn.XLOOKUP($B$3&amp;Таблица4[[#This Row],[№]]&amp;"Продажа",РД[Дом]&amp;РД[№ кв]&amp;РД[Состояние],РД[Сумма скидки],"",0),2),Таблица4[[#This Row],[Статус]])</f>
        <v>60000</v>
      </c>
      <c r="O265" s="235">
        <f>IFERROR(Таблица4[[#This Row],[ППС]]-Таблица4[[#This Row],[ДДУС]],)</f>
        <v>0</v>
      </c>
      <c r="P265" s="611"/>
      <c r="Q265" s="234">
        <f>VLOOKUP(ППД5!A262,Реестр_Д5[№],1,0)</f>
        <v>261</v>
      </c>
      <c r="R265" s="234" t="str">
        <f>VLOOKUP(ППД5!CH262,Реестр_Д5[Статус],1,0)</f>
        <v>Свободно</v>
      </c>
      <c r="S265" s="612">
        <f>VLOOKUP(ППД5!BZ262,Реестр_Д5[Стоимость ОН без отделки со скидкой],1,0)</f>
        <v>5153500</v>
      </c>
      <c r="T265" s="612" t="str" cm="1">
        <f t="array" ref="T26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65" s="235">
        <f>IFERROR((Таблица10[[#This Row],[ПП]]-Таблица10[[#This Row],[ДДУ]])*1,)</f>
        <v>0</v>
      </c>
      <c r="V265" s="235" t="str" cm="1">
        <f t="array" ref="V26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65" s="235">
        <f>_xlfn.XLOOKUP(Таблица10[[#This Row],[№]],Реестр_Д5[№],Реестр_Д5[Стоимость квартиры с отделкой],"-",0)</f>
        <v>5153500.0000000009</v>
      </c>
      <c r="X265" s="235" t="str">
        <f>IFERROR(Таблица10[[#This Row],[СО ПП]]-Таблица10[[#This Row],[СО ДДУ]],"")</f>
        <v/>
      </c>
      <c r="Y265" s="233" t="str" cm="1">
        <f t="array" ref="Y265">IFERROR(INDEX(РД[S],MATCH($Q$3&amp;Таблица10[[#This Row],[№]]&amp;"Продажа",РД[Дом]&amp;РД[№ кв]&amp;РД[Состояние],0),1),Таблица10[[#This Row],[Статус]])</f>
        <v>Свободно</v>
      </c>
      <c r="Z265" s="233">
        <f>IF(Таблица10[[#This Row],[№]]&amp;"ДДУ"=ППД5!A262&amp;ППД5!CR262,ППД5!U262,ППД5!V262)</f>
        <v>37.549999999999997</v>
      </c>
      <c r="AA265" s="285">
        <f>IFERROR(Таблица10[[#This Row],[S ПП]]-Таблица10[[#This Row],[S ДДУ]],)</f>
        <v>0</v>
      </c>
      <c r="AB265" s="235">
        <f>ROUND(_xlfn.XLOOKUP(Таблица10[[#This Row],[№]],Реестр_Д5[№],Реестр_Д5[Итоговая сумма скидки],"",0),2)</f>
        <v>0</v>
      </c>
      <c r="AC265" s="235" t="str" cm="1">
        <f t="array" ref="AC26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65" s="285">
        <f>IFERROR(Таблица10[[#This Row],[ППС]]-Таблица10[[#This Row],[ДДУС]],)</f>
        <v>0</v>
      </c>
      <c r="AE265" s="611"/>
      <c r="AT265" s="611"/>
      <c r="AU265" s="484">
        <f>VLOOKUP(ППД402!A262,Д402[],1,0)</f>
        <v>261</v>
      </c>
      <c r="AV265" s="484" t="str">
        <f>_xlfn.XLOOKUP(Т402[[#This Row],[№]],Д402[№],Д402[Статус],"-",0)</f>
        <v>Продажа</v>
      </c>
      <c r="AW265" s="613">
        <f>_xlfn.XLOOKUP(Т402[[#This Row],[№]],Д402[№],Д402[Стоимость ОН без отделки со скидкой],"-",0)</f>
        <v>6469512</v>
      </c>
      <c r="AX265" s="614" cm="1">
        <f t="array" ref="AX265">IFERROR(INDEX(РД[Стоимость без отделки итог],MATCH($AU$3&amp;Т402[[#This Row],[№]]&amp;"Продажа",РД[Дом]&amp;РД[№ кв]&amp;РД[Состояние],0),1),Т402[[#This Row],[Статус]])</f>
        <v>6469512</v>
      </c>
      <c r="AY265" s="485">
        <f>IFERROR((Т402[[#This Row],[ПП]]-Т402[[#This Row],[ДДУ]])*1,"")</f>
        <v>0</v>
      </c>
      <c r="AZ265" s="486" cm="1">
        <f t="array" ref="AZ265">IFERROR(INDEX(РД[Стоимость с отделкой итог],MATCH($AU$3&amp;Т402[[#This Row],[№]]&amp;"Продажа",РД[Дом]&amp;РД[№ кв]&amp;РД[Состояние],0),1),Т402[[#This Row],[Статус]])</f>
        <v>6469512</v>
      </c>
      <c r="BA265" s="485">
        <f>_xlfn.XLOOKUP(Т402[[#This Row],[№]],Д402[№],Д402[Стоимость квартиры с отделкой],"-",0)</f>
        <v>6469512</v>
      </c>
      <c r="BB265" s="485">
        <f>IFERROR(Т402[[#This Row],[СО ПП]]-Т402[[#This Row],[СО ДДУ]],"")</f>
        <v>0</v>
      </c>
      <c r="BC265" s="487" cm="1">
        <f t="array" ref="BC265">IFERROR(INDEX(РД[S],MATCH($AU$3&amp;Т402[[#This Row],[№]]&amp;"Продажа",РД[Дом]&amp;РД[№ кв]&amp;РД[Состояние],0),1),Т402[[#This Row],[Статус]])</f>
        <v>54.08</v>
      </c>
      <c r="BD265" s="483">
        <f>_xlfn.XLOOKUP(Т402[[#This Row],[№]],Д402[№],Д402[Расчетная проектная площадь],"-",0)</f>
        <v>54.08</v>
      </c>
      <c r="BE265" s="485">
        <f>IFERROR(Т402[[#This Row],[S ПП]]-Т402[[#This Row],[S ДДУ]],"")</f>
        <v>0</v>
      </c>
      <c r="BF265" s="485">
        <f>_xlfn.XLOOKUP(Т402[[#This Row],[№]],Д402[№],Д402[Итоговая сумма скидки],"-",0)</f>
        <v>200088</v>
      </c>
      <c r="BG265" s="486" cm="1">
        <f t="array" ref="BG265">IFERROR(ROUND(_xlfn.XLOOKUP($AU$3&amp;Т402[[#This Row],[№]]&amp;"Продажа",РД[Дом]&amp;РД[№ кв]&amp;РД[Состояние],РД[Сумма скидки],"",0),2),Т402[[#This Row],[Статус]])</f>
        <v>200088</v>
      </c>
      <c r="BH265" s="488">
        <f>IFERROR(Т402[[#This Row],[ППС]]-Т402[[#This Row],[ДДУС]],"")</f>
        <v>0</v>
      </c>
    </row>
    <row r="266" spans="1:60" x14ac:dyDescent="0.2">
      <c r="A266" s="611"/>
      <c r="B266" s="234">
        <f>VLOOKUP(ППД4!A263,Реестр_Д4[№],1,0)</f>
        <v>262</v>
      </c>
      <c r="C266" s="234" t="str">
        <f>VLOOKUP(ППД4!CO263,Реестр_Д4[Статус],1,0)</f>
        <v>Продажа</v>
      </c>
      <c r="D266" s="612">
        <f>VLOOKUP(ППД4!CE263,Реестр_Д4[Стоимость ОН без отделки со скидкой],1,0)</f>
        <v>2446593.9900000002</v>
      </c>
      <c r="E266" s="612" cm="1">
        <f t="array" ref="E266">IFERROR(INDEX(РД[Стоимость без отделки итог],MATCH($B$3&amp;Таблица4[[#This Row],[№]]&amp;"Продажа",РД[Дом]&amp;РД[№ кв]&amp;РД[Состояние],0),1),Таблица4[[#This Row],[Статус]])</f>
        <v>2446593.9900000002</v>
      </c>
      <c r="F266" s="235">
        <f>IFERROR((Таблица4[[#This Row],[ПП]]-Таблица4[[#This Row],[ДДУ]])*1,"")</f>
        <v>0</v>
      </c>
      <c r="G266" s="235" cm="1">
        <f t="array" ref="G266">IFERROR(INDEX(РД[Стоимость с отделкой итог],MATCH($B$3&amp;Таблица4[[#This Row],[№]]&amp;"Продажа",РД[Дом]&amp;РД[№ кв]&amp;РД[Состояние],0),1),Таблица4[[#This Row],[Статус]])</f>
        <v>2446593.9900000002</v>
      </c>
      <c r="H266" s="235">
        <f>_xlfn.XLOOKUP(Таблица4[[#This Row],[№]],Реестр_Д4[№],Реестр_Д4[Стоимость квартиры с отделкой],"-",0)</f>
        <v>2446593.9900000002</v>
      </c>
      <c r="I266" s="235">
        <f>IFERROR(Таблица4[[#This Row],[СО ПП]]-Таблица4[[#This Row],[СО ДДУ]],"")</f>
        <v>0</v>
      </c>
      <c r="J266" s="233" cm="1">
        <f t="array" ref="J266">IFERROR(INDEX(РД[S],MATCH($B$3&amp;Таблица4[[#This Row],[№]]&amp;"Продажа",РД[Дом]&amp;РД[№ кв]&amp;РД[Состояние],0),1),Таблица4[[#This Row],[Статус]])</f>
        <v>29.35</v>
      </c>
      <c r="K266" s="233">
        <f>VLOOKUP(Таблица4[[#This Row],[№]],Реестр_Д4[],20,0)</f>
        <v>29.35</v>
      </c>
      <c r="L266" s="235">
        <f>IFERROR(Таблица4[[#This Row],[S ПП]]-Таблица4[[#This Row],[S ДДУ]],)</f>
        <v>0</v>
      </c>
      <c r="M266" s="235">
        <f>ROUND(_xlfn.XLOOKUP(Таблица4[[#This Row],[№]],Реестр_Д4[№],Реестр_Д4[Итоговая сумма скидки],"",0),2)</f>
        <v>0</v>
      </c>
      <c r="N266" s="235" cm="1">
        <f t="array" ref="N26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6" s="235">
        <f>IFERROR(Таблица4[[#This Row],[ППС]]-Таблица4[[#This Row],[ДДУС]],)</f>
        <v>0</v>
      </c>
      <c r="P266" s="611"/>
      <c r="Q266" s="234">
        <f>VLOOKUP(ППД5!A263,Реестр_Д5[№],1,0)</f>
        <v>262</v>
      </c>
      <c r="R266" s="234" t="str">
        <f>VLOOKUP(ППД5!CH263,Реестр_Д5[Статус],1,0)</f>
        <v>Продажа</v>
      </c>
      <c r="S266" s="612">
        <f>VLOOKUP(ППД5!BZ263,Реестр_Д5[Стоимость ОН без отделки со скидкой],1,0)</f>
        <v>7537400</v>
      </c>
      <c r="T266" s="612" cm="1">
        <f t="array" ref="T266">IFERROR(INDEX(РД[Стоимость без отделки итог],MATCH($Q$3&amp;Таблица10[[#This Row],[№]]&amp;"Продажа",РД[Дом]&amp;РД[№ кв]&amp;РД[Состояние],0),1),Таблица10[[#This Row],[Статус]])</f>
        <v>7537400</v>
      </c>
      <c r="U266" s="235">
        <f>IFERROR((Таблица10[[#This Row],[ПП]]-Таблица10[[#This Row],[ДДУ]])*1,)</f>
        <v>0</v>
      </c>
      <c r="V266" s="235" cm="1">
        <f t="array" ref="V266">IFERROR(INDEX(РД[Стоимость с отделкой итог],MATCH($Q$3&amp;Таблица10[[#This Row],[№]]&amp;"Продажа",РД[Дом]&amp;РД[№ кв]&amp;РД[Состояние],0),1),Таблица10[[#This Row],[Статус]])</f>
        <v>7537400</v>
      </c>
      <c r="W266" s="235">
        <f>_xlfn.XLOOKUP(Таблица10[[#This Row],[№]],Реестр_Д5[№],Реестр_Д5[Стоимость квартиры с отделкой],"-",0)</f>
        <v>7537400.0000000019</v>
      </c>
      <c r="X266" s="235">
        <f>IFERROR(Таблица10[[#This Row],[СО ПП]]-Таблица10[[#This Row],[СО ДДУ]],"")</f>
        <v>1.862645149230957E-9</v>
      </c>
      <c r="Y266" s="233" cm="1">
        <f t="array" ref="Y266">IFERROR(INDEX(РД[S],MATCH($Q$3&amp;Таблица10[[#This Row],[№]]&amp;"Продажа",РД[Дом]&amp;РД[№ кв]&amp;РД[Состояние],0),1),Таблица10[[#This Row],[Статус]])</f>
        <v>80.97</v>
      </c>
      <c r="Z266" s="233">
        <f>IF(Таблица10[[#This Row],[№]]&amp;"ДДУ"=ППД5!A263&amp;ППД5!CR263,ППД5!U263,ППД5!V263)</f>
        <v>80.97</v>
      </c>
      <c r="AA266" s="285">
        <f>IFERROR(Таблица10[[#This Row],[S ПП]]-Таблица10[[#This Row],[S ДДУ]],)</f>
        <v>0</v>
      </c>
      <c r="AB266" s="235">
        <f>ROUND(_xlfn.XLOOKUP(Таблица10[[#This Row],[№]],Реестр_Д5[№],Реестр_Д5[Итоговая сумма скидки],"",0),2)</f>
        <v>0</v>
      </c>
      <c r="AC266" s="235" cm="1">
        <f t="array" ref="AC26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66" s="285">
        <f>IFERROR(Таблица10[[#This Row],[ППС]]-Таблица10[[#This Row],[ДДУС]],)</f>
        <v>0</v>
      </c>
      <c r="AE266" s="611"/>
      <c r="AT266" s="611"/>
      <c r="AU266" s="484">
        <f>VLOOKUP(ППД402!A263,Д402[],1,0)</f>
        <v>262</v>
      </c>
      <c r="AV266" s="484" t="str">
        <f>_xlfn.XLOOKUP(Т402[[#This Row],[№]],Д402[№],Д402[Статус],"-",0)</f>
        <v>Стр. Резерв</v>
      </c>
      <c r="AW266" s="613">
        <f>_xlfn.XLOOKUP(Т402[[#This Row],[№]],Д402[№],Д402[Стоимость ОН без отделки со скидкой],"-",0)</f>
        <v>7052100</v>
      </c>
      <c r="AX266" s="614" t="str" cm="1">
        <f t="array" ref="AX26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6" s="485" t="str">
        <f>IFERROR((Т402[[#This Row],[ПП]]-Т402[[#This Row],[ДДУ]])*1,"")</f>
        <v/>
      </c>
      <c r="AZ266" s="486" t="str" cm="1">
        <f t="array" ref="AZ26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6" s="485">
        <f>_xlfn.XLOOKUP(Т402[[#This Row],[№]],Д402[№],Д402[Стоимость квартиры с отделкой],"-",0)</f>
        <v>7052100</v>
      </c>
      <c r="BB266" s="485" t="str">
        <f>IFERROR(Т402[[#This Row],[СО ПП]]-Т402[[#This Row],[СО ДДУ]],"")</f>
        <v/>
      </c>
      <c r="BC266" s="487" t="str" cm="1">
        <f t="array" ref="BC266">IFERROR(INDEX(РД[S],MATCH($AU$3&amp;Т402[[#This Row],[№]]&amp;"Продажа",РД[Дом]&amp;РД[№ кв]&amp;РД[Состояние],0),1),Т402[[#This Row],[Статус]])</f>
        <v>Стр. Резерв</v>
      </c>
      <c r="BD266" s="483">
        <f>_xlfn.XLOOKUP(Т402[[#This Row],[№]],Д402[№],Д402[Расчетная проектная площадь],"-",0)</f>
        <v>55.73</v>
      </c>
      <c r="BE266" s="485" t="str">
        <f>IFERROR(Т402[[#This Row],[S ПП]]-Т402[[#This Row],[S ДДУ]],"")</f>
        <v/>
      </c>
      <c r="BF266" s="485">
        <f>_xlfn.XLOOKUP(Т402[[#This Row],[№]],Д402[№],Д402[Итоговая сумма скидки],"-",0)</f>
        <v>0</v>
      </c>
      <c r="BG266" s="486" t="str" cm="1">
        <f t="array" ref="BG26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6" s="488" t="str">
        <f>IFERROR(Т402[[#This Row],[ППС]]-Т402[[#This Row],[ДДУС]],"")</f>
        <v/>
      </c>
    </row>
    <row r="267" spans="1:60" x14ac:dyDescent="0.2">
      <c r="A267" s="611"/>
      <c r="B267" s="234">
        <f>VLOOKUP(ППД4!A264,Реестр_Д4[№],1,0)</f>
        <v>263</v>
      </c>
      <c r="C267" s="234" t="str">
        <f>VLOOKUP(ППД4!CO264,Реестр_Д4[Статус],1,0)</f>
        <v>Продажа</v>
      </c>
      <c r="D267" s="612">
        <f>VLOOKUP(ППД4!CE264,Реестр_Д4[Стоимость ОН без отделки со скидкой],1,0)</f>
        <v>6448000</v>
      </c>
      <c r="E267" s="612" cm="1">
        <f t="array" ref="E267">IFERROR(INDEX(РД[Стоимость без отделки итог],MATCH($B$3&amp;Таблица4[[#This Row],[№]]&amp;"Продажа",РД[Дом]&amp;РД[№ кв]&amp;РД[Состояние],0),1),Таблица4[[#This Row],[Статус]])</f>
        <v>6448000</v>
      </c>
      <c r="F267" s="235">
        <f>IFERROR((Таблица4[[#This Row],[ПП]]-Таблица4[[#This Row],[ДДУ]])*1,"")</f>
        <v>0</v>
      </c>
      <c r="G267" s="235" cm="1">
        <f t="array" ref="G267">IFERROR(INDEX(РД[Стоимость с отделкой итог],MATCH($B$3&amp;Таблица4[[#This Row],[№]]&amp;"Продажа",РД[Дом]&amp;РД[№ кв]&amp;РД[Состояние],0),1),Таблица4[[#This Row],[Статус]])</f>
        <v>6957625</v>
      </c>
      <c r="H267" s="235">
        <f>_xlfn.XLOOKUP(Таблица4[[#This Row],[№]],Реестр_Д4[№],Реестр_Д4[Стоимость квартиры с отделкой],"-",0)</f>
        <v>6957625</v>
      </c>
      <c r="I267" s="235">
        <f>IFERROR(Таблица4[[#This Row],[СО ПП]]-Таблица4[[#This Row],[СО ДДУ]],"")</f>
        <v>0</v>
      </c>
      <c r="J267" s="233" cm="1">
        <f t="array" ref="J267">IFERROR(INDEX(РД[S],MATCH($B$3&amp;Таблица4[[#This Row],[№]]&amp;"Продажа",РД[Дом]&amp;РД[№ кв]&amp;РД[Состояние],0),1),Таблица4[[#This Row],[Статус]])</f>
        <v>67.95</v>
      </c>
      <c r="K267" s="233">
        <f>VLOOKUP(Таблица4[[#This Row],[№]],Реестр_Д4[],20,0)</f>
        <v>67.95</v>
      </c>
      <c r="L267" s="235">
        <f>IFERROR(Таблица4[[#This Row],[S ПП]]-Таблица4[[#This Row],[S ДДУ]],)</f>
        <v>0</v>
      </c>
      <c r="M267" s="235">
        <f>ROUND(_xlfn.XLOOKUP(Таблица4[[#This Row],[№]],Реестр_Д4[№],Реестр_Д4[Итоговая сумма скидки],"",0),2)</f>
        <v>0</v>
      </c>
      <c r="N267" s="235" cm="1">
        <f t="array" ref="N26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7" s="235">
        <f>IFERROR(Таблица4[[#This Row],[ППС]]-Таблица4[[#This Row],[ДДУС]],)</f>
        <v>0</v>
      </c>
      <c r="P267" s="611"/>
      <c r="Q267" s="234">
        <f>VLOOKUP(ППД5!A264,Реестр_Д5[№],1,0)</f>
        <v>263</v>
      </c>
      <c r="R267" s="234" t="str">
        <f>VLOOKUP(ППД5!CH264,Реестр_Д5[Статус],1,0)</f>
        <v>Продажа</v>
      </c>
      <c r="S267" s="612">
        <f>VLOOKUP(ППД5!BZ264,Реестр_Д5[Стоимость ОН без отделки со скидкой],1,0)</f>
        <v>4188460</v>
      </c>
      <c r="T267" s="612" cm="1">
        <f t="array" ref="T267">IFERROR(INDEX(РД[Стоимость без отделки итог],MATCH($Q$3&amp;Таблица10[[#This Row],[№]]&amp;"Продажа",РД[Дом]&amp;РД[№ кв]&amp;РД[Состояние],0),1),Таблица10[[#This Row],[Статус]])</f>
        <v>4188460</v>
      </c>
      <c r="U267" s="235">
        <f>IFERROR((Таблица10[[#This Row],[ПП]]-Таблица10[[#This Row],[ДДУ]])*1,)</f>
        <v>0</v>
      </c>
      <c r="V267" s="235" cm="1">
        <f t="array" ref="V267">IFERROR(INDEX(РД[Стоимость с отделкой итог],MATCH($Q$3&amp;Таблица10[[#This Row],[№]]&amp;"Продажа",РД[Дом]&amp;РД[№ кв]&amp;РД[Состояние],0),1),Таблица10[[#This Row],[Статус]])</f>
        <v>4884660</v>
      </c>
      <c r="W267" s="235">
        <f>_xlfn.XLOOKUP(Таблица10[[#This Row],[№]],Реестр_Д5[№],Реестр_Д5[Стоимость квартиры с отделкой],"-",0)</f>
        <v>4884659.9999999991</v>
      </c>
      <c r="X267" s="235">
        <f>IFERROR(Таблица10[[#This Row],[СО ПП]]-Таблица10[[#This Row],[СО ДДУ]],"")</f>
        <v>-9.3132257461547852E-10</v>
      </c>
      <c r="Y267" s="233" cm="1">
        <f t="array" ref="Y267">IFERROR(INDEX(РД[S],MATCH($Q$3&amp;Таблица10[[#This Row],[№]]&amp;"Продажа",РД[Дом]&amp;РД[№ кв]&amp;РД[Состояние],0),1),Таблица10[[#This Row],[Статус]])</f>
        <v>34.81</v>
      </c>
      <c r="Z267" s="233">
        <f>IF(Таблица10[[#This Row],[№]]&amp;"ДДУ"=ППД5!A264&amp;ППД5!CR264,ППД5!U264,ППД5!V264)</f>
        <v>34.81</v>
      </c>
      <c r="AA267" s="285">
        <f>IFERROR(Таблица10[[#This Row],[S ПП]]-Таблица10[[#This Row],[S ДДУ]],)</f>
        <v>0</v>
      </c>
      <c r="AB267" s="235">
        <f>ROUND(_xlfn.XLOOKUP(Таблица10[[#This Row],[№]],Реестр_Д5[№],Реестр_Д5[Итоговая сумма скидки],"",0),2)</f>
        <v>129540</v>
      </c>
      <c r="AC267" s="235" cm="1">
        <f t="array" ref="AC267">IFERROR(ROUND(_xlfn.XLOOKUP($Q$3&amp;Таблица10[[#This Row],[№]]&amp;"Продажа",РД[Дом]&amp;РД[№ кв]&amp;РД[Состояние],РД[Сумма скидки],"",0,-1),2),Таблица10[[#This Row],[Статус]])</f>
        <v>129540</v>
      </c>
      <c r="AD267" s="285">
        <f>IFERROR(Таблица10[[#This Row],[ППС]]-Таблица10[[#This Row],[ДДУС]],)</f>
        <v>0</v>
      </c>
      <c r="AE267" s="611"/>
      <c r="AT267" s="611"/>
      <c r="AU267" s="484">
        <f>VLOOKUP(ППД402!A264,Д402[],1,0)</f>
        <v>263</v>
      </c>
      <c r="AV267" s="484" t="str">
        <f>_xlfn.XLOOKUP(Т402[[#This Row],[№]],Д402[№],Д402[Статус],"-",0)</f>
        <v>Стр. Резерв</v>
      </c>
      <c r="AW267" s="613">
        <f>_xlfn.XLOOKUP(Т402[[#This Row],[№]],Д402[№],Д402[Стоимость ОН без отделки со скидкой],"-",0)</f>
        <v>7327400</v>
      </c>
      <c r="AX267" s="614" t="str" cm="1">
        <f t="array" ref="AX267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7" s="485" t="str">
        <f>IFERROR((Т402[[#This Row],[ПП]]-Т402[[#This Row],[ДДУ]])*1,"")</f>
        <v/>
      </c>
      <c r="AZ267" s="486" t="str" cm="1">
        <f t="array" ref="AZ267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7" s="485">
        <f>_xlfn.XLOOKUP(Т402[[#This Row],[№]],Д402[№],Д402[Стоимость квартиры с отделкой],"-",0)</f>
        <v>9098300</v>
      </c>
      <c r="BB267" s="485" t="str">
        <f>IFERROR(Т402[[#This Row],[СО ПП]]-Т402[[#This Row],[СО ДДУ]],"")</f>
        <v/>
      </c>
      <c r="BC267" s="487" t="str" cm="1">
        <f t="array" ref="BC267">IFERROR(INDEX(РД[S],MATCH($AU$3&amp;Т402[[#This Row],[№]]&amp;"Продажа",РД[Дом]&amp;РД[№ кв]&amp;РД[Состояние],0),1),Т402[[#This Row],[Статус]])</f>
        <v>Стр. Резерв</v>
      </c>
      <c r="BD267" s="483">
        <f>_xlfn.XLOOKUP(Т402[[#This Row],[№]],Д402[№],Д402[Расчетная проектная площадь],"-",0)</f>
        <v>59.03</v>
      </c>
      <c r="BE267" s="485" t="str">
        <f>IFERROR(Т402[[#This Row],[S ПП]]-Т402[[#This Row],[S ДДУ]],"")</f>
        <v/>
      </c>
      <c r="BF267" s="485">
        <f>_xlfn.XLOOKUP(Т402[[#This Row],[№]],Д402[№],Д402[Итоговая сумма скидки],"-",0)</f>
        <v>0</v>
      </c>
      <c r="BG267" s="486" t="str" cm="1">
        <f t="array" ref="BG267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7" s="488" t="str">
        <f>IFERROR(Т402[[#This Row],[ППС]]-Т402[[#This Row],[ДДУС]],"")</f>
        <v/>
      </c>
    </row>
    <row r="268" spans="1:60" x14ac:dyDescent="0.2">
      <c r="A268" s="611"/>
      <c r="B268" s="234">
        <f>VLOOKUP(ППД4!A265,Реестр_Д4[№],1,0)</f>
        <v>264</v>
      </c>
      <c r="C268" s="234" t="str">
        <f>VLOOKUP(ППД4!CO265,Реестр_Д4[Статус],1,0)</f>
        <v>Продажа</v>
      </c>
      <c r="D268" s="612">
        <f>VLOOKUP(ППД4!CE265,Реестр_Д4[Стоимость ОН без отделки со скидкой],1,0)</f>
        <v>3099517.37</v>
      </c>
      <c r="E268" s="612" cm="1">
        <f t="array" ref="E268">IFERROR(INDEX(РД[Стоимость без отделки итог],MATCH($B$3&amp;Таблица4[[#This Row],[№]]&amp;"Продажа",РД[Дом]&amp;РД[№ кв]&amp;РД[Состояние],0),1),Таблица4[[#This Row],[Статус]])</f>
        <v>3099517.37</v>
      </c>
      <c r="F268" s="235">
        <f>IFERROR((Таблица4[[#This Row],[ПП]]-Таблица4[[#This Row],[ДДУ]])*1,"")</f>
        <v>0</v>
      </c>
      <c r="G268" s="235" cm="1">
        <f t="array" ref="G268">IFERROR(INDEX(РД[Стоимость с отделкой итог],MATCH($B$3&amp;Таблица4[[#This Row],[№]]&amp;"Продажа",РД[Дом]&amp;РД[№ кв]&amp;РД[Состояние],0),1),Таблица4[[#This Row],[Статус]])</f>
        <v>3245317.37</v>
      </c>
      <c r="H268" s="235">
        <f>_xlfn.XLOOKUP(Таблица4[[#This Row],[№]],Реестр_Д4[№],Реестр_Д4[Стоимость квартиры с отделкой],"-",0)</f>
        <v>3245317.37</v>
      </c>
      <c r="I268" s="235">
        <f>IFERROR(Таблица4[[#This Row],[СО ПП]]-Таблица4[[#This Row],[СО ДДУ]],"")</f>
        <v>0</v>
      </c>
      <c r="J268" s="233" cm="1">
        <f t="array" ref="J268">IFERROR(INDEX(РД[S],MATCH($B$3&amp;Таблица4[[#This Row],[№]]&amp;"Продажа",РД[Дом]&amp;РД[№ кв]&amp;РД[Состояние],0),1),Таблица4[[#This Row],[Статус]])</f>
        <v>36.450000000000003</v>
      </c>
      <c r="K268" s="233">
        <f>VLOOKUP(Таблица4[[#This Row],[№]],Реестр_Д4[],20,0)</f>
        <v>36.450000000000003</v>
      </c>
      <c r="L268" s="235">
        <f>IFERROR(Таблица4[[#This Row],[S ПП]]-Таблица4[[#This Row],[S ДДУ]],)</f>
        <v>0</v>
      </c>
      <c r="M268" s="235">
        <f>ROUND(_xlfn.XLOOKUP(Таблица4[[#This Row],[№]],Реестр_Д4[№],Реестр_Д4[Итоговая сумма скидки],"",0),2)</f>
        <v>0</v>
      </c>
      <c r="N268" s="235" cm="1">
        <f t="array" ref="N26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68" s="235">
        <f>IFERROR(Таблица4[[#This Row],[ППС]]-Таблица4[[#This Row],[ДДУС]],)</f>
        <v>0</v>
      </c>
      <c r="P268" s="611"/>
      <c r="Q268" s="234">
        <f>VLOOKUP(ППД5!A265,Реестр_Д5[№],1,0)</f>
        <v>264</v>
      </c>
      <c r="R268" s="234" t="str">
        <f>VLOOKUP(ППД5!CH265,Реестр_Д5[Статус],1,0)</f>
        <v>Свободно</v>
      </c>
      <c r="S268" s="612">
        <f>VLOOKUP(ППД5!BZ265,Реестр_Д5[Стоимость ОН без отделки со скидкой],1,0)</f>
        <v>8440700</v>
      </c>
      <c r="T268" s="612" t="str" cm="1">
        <f t="array" ref="T26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68" s="235">
        <f>IFERROR((Таблица10[[#This Row],[ПП]]-Таблица10[[#This Row],[ДДУ]])*1,)</f>
        <v>0</v>
      </c>
      <c r="V268" s="235" t="str" cm="1">
        <f t="array" ref="V26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68" s="235">
        <f>_xlfn.XLOOKUP(Таблица10[[#This Row],[№]],Реестр_Д5[№],Реестр_Д5[Стоимость квартиры с отделкой],"-",0)</f>
        <v>8440700</v>
      </c>
      <c r="X268" s="235" t="str">
        <f>IFERROR(Таблица10[[#This Row],[СО ПП]]-Таблица10[[#This Row],[СО ДДУ]],"")</f>
        <v/>
      </c>
      <c r="Y268" s="233" t="str" cm="1">
        <f t="array" ref="Y268">IFERROR(INDEX(РД[S],MATCH($Q$3&amp;Таблица10[[#This Row],[№]]&amp;"Продажа",РД[Дом]&amp;РД[№ кв]&amp;РД[Состояние],0),1),Таблица10[[#This Row],[Статус]])</f>
        <v>Свободно</v>
      </c>
      <c r="Z268" s="233">
        <f>IF(Таблица10[[#This Row],[№]]&amp;"ДДУ"=ППД5!A265&amp;ППД5!CR265,ППД5!U265,ППД5!V265)</f>
        <v>73.199999999999989</v>
      </c>
      <c r="AA268" s="285">
        <f>IFERROR(Таблица10[[#This Row],[S ПП]]-Таблица10[[#This Row],[S ДДУ]],)</f>
        <v>0</v>
      </c>
      <c r="AB268" s="235">
        <f>ROUND(_xlfn.XLOOKUP(Таблица10[[#This Row],[№]],Реестр_Д5[№],Реестр_Д5[Итоговая сумма скидки],"",0),2)</f>
        <v>0</v>
      </c>
      <c r="AC268" s="235" t="str" cm="1">
        <f t="array" ref="AC26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68" s="285">
        <f>IFERROR(Таблица10[[#This Row],[ППС]]-Таблица10[[#This Row],[ДДУС]],)</f>
        <v>0</v>
      </c>
      <c r="AE268" s="611"/>
      <c r="AT268" s="611"/>
      <c r="AU268" s="484">
        <f>VLOOKUP(ППД402!A265,Д402[],1,0)</f>
        <v>264</v>
      </c>
      <c r="AV268" s="484" t="str">
        <f>_xlfn.XLOOKUP(Т402[[#This Row],[№]],Д402[№],Д402[Статус],"-",0)</f>
        <v>Стр. Резерв</v>
      </c>
      <c r="AW268" s="613">
        <f>_xlfn.XLOOKUP(Т402[[#This Row],[№]],Д402[№],Д402[Стоимость ОН без отделки со скидкой],"-",0)</f>
        <v>4066300</v>
      </c>
      <c r="AX268" s="614" t="str" cm="1">
        <f t="array" ref="AX26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8" s="485" t="str">
        <f>IFERROR((Т402[[#This Row],[ПП]]-Т402[[#This Row],[ДДУ]])*1,"")</f>
        <v/>
      </c>
      <c r="AZ268" s="486" t="str" cm="1">
        <f t="array" ref="AZ26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8" s="485">
        <f>_xlfn.XLOOKUP(Т402[[#This Row],[№]],Д402[№],Д402[Стоимость квартиры с отделкой],"-",0)</f>
        <v>4066299.9999999991</v>
      </c>
      <c r="BB268" s="485" t="str">
        <f>IFERROR(Т402[[#This Row],[СО ПП]]-Т402[[#This Row],[СО ДДУ]],"")</f>
        <v/>
      </c>
      <c r="BC268" s="487" t="str" cm="1">
        <f t="array" ref="BC268">IFERROR(INDEX(РД[S],MATCH($AU$3&amp;Т402[[#This Row],[№]]&amp;"Продажа",РД[Дом]&amp;РД[№ кв]&amp;РД[Состояние],0),1),Т402[[#This Row],[Статус]])</f>
        <v>Стр. Резерв</v>
      </c>
      <c r="BD268" s="483">
        <f>_xlfn.XLOOKUP(Т402[[#This Row],[№]],Д402[№],Д402[Расчетная проектная площадь],"-",0)</f>
        <v>29.43</v>
      </c>
      <c r="BE268" s="485" t="str">
        <f>IFERROR(Т402[[#This Row],[S ПП]]-Т402[[#This Row],[S ДДУ]],"")</f>
        <v/>
      </c>
      <c r="BF268" s="485">
        <f>_xlfn.XLOOKUP(Т402[[#This Row],[№]],Д402[№],Д402[Итоговая сумма скидки],"-",0)</f>
        <v>0</v>
      </c>
      <c r="BG268" s="486" t="str" cm="1">
        <f t="array" ref="BG26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8" s="488" t="str">
        <f>IFERROR(Т402[[#This Row],[ППС]]-Т402[[#This Row],[ДДУС]],"")</f>
        <v/>
      </c>
    </row>
    <row r="269" spans="1:60" x14ac:dyDescent="0.2">
      <c r="A269" s="611"/>
      <c r="B269" s="234">
        <f>VLOOKUP(ППД4!A266,Реестр_Д4[№],1,0)</f>
        <v>265</v>
      </c>
      <c r="C269" s="234" t="str">
        <f>VLOOKUP(ППД4!CO266,Реестр_Д4[Статус],1,0)</f>
        <v>Продажа</v>
      </c>
      <c r="D269" s="612">
        <f>VLOOKUP(ППД4!CE266,Реестр_Д4[Стоимость ОН без отделки со скидкой],1,0)</f>
        <v>4168863.55</v>
      </c>
      <c r="E269" s="612" cm="1">
        <f t="array" ref="E269">IFERROR(INDEX(РД[Стоимость без отделки итог],MATCH($B$3&amp;Таблица4[[#This Row],[№]]&amp;"Продажа",РД[Дом]&amp;РД[№ кв]&amp;РД[Состояние],0),1),Таблица4[[#This Row],[Статус]])</f>
        <v>4168863.55</v>
      </c>
      <c r="F269" s="235">
        <f>IFERROR((Таблица4[[#This Row],[ПП]]-Таблица4[[#This Row],[ДДУ]])*1,"")</f>
        <v>0</v>
      </c>
      <c r="G269" s="235" cm="1">
        <f t="array" ref="G269">IFERROR(INDEX(РД[Стоимость с отделкой итог],MATCH($B$3&amp;Таблица4[[#This Row],[№]]&amp;"Продажа",РД[Дом]&amp;РД[№ кв]&amp;РД[Состояние],0),1),Таблица4[[#This Row],[Статус]])</f>
        <v>5047113.55</v>
      </c>
      <c r="H269" s="235">
        <f>_xlfn.XLOOKUP(Таблица4[[#This Row],[№]],Реестр_Д4[№],Реестр_Д4[Стоимость квартиры с отделкой],"-",0)</f>
        <v>5047113.55</v>
      </c>
      <c r="I269" s="235">
        <f>IFERROR(Таблица4[[#This Row],[СО ПП]]-Таблица4[[#This Row],[СО ДДУ]],"")</f>
        <v>0</v>
      </c>
      <c r="J269" s="233" cm="1">
        <f t="array" ref="J269">IFERROR(INDEX(РД[S],MATCH($B$3&amp;Таблица4[[#This Row],[№]]&amp;"Продажа",РД[Дом]&amp;РД[№ кв]&amp;РД[Состояние],0),1),Таблица4[[#This Row],[Статус]])</f>
        <v>58.55</v>
      </c>
      <c r="K269" s="233">
        <f>VLOOKUP(Таблица4[[#This Row],[№]],Реестр_Д4[],20,0)</f>
        <v>58.55</v>
      </c>
      <c r="L269" s="235">
        <f>IFERROR(Таблица4[[#This Row],[S ПП]]-Таблица4[[#This Row],[S ДДУ]],)</f>
        <v>0</v>
      </c>
      <c r="M269" s="235">
        <f>ROUND(_xlfn.XLOOKUP(Таблица4[[#This Row],[№]],Реестр_Д4[№],Реестр_Д4[Итоговая сумма скидки],"",0),2)</f>
        <v>219413.87</v>
      </c>
      <c r="N269" s="235" cm="1">
        <f t="array" ref="N269">IFERROR(ROUND(_xlfn.XLOOKUP($B$3&amp;Таблица4[[#This Row],[№]]&amp;"Продажа",РД[Дом]&amp;РД[№ кв]&amp;РД[Состояние],РД[Сумма скидки],"",0),2),Таблица4[[#This Row],[Статус]])</f>
        <v>219413.87</v>
      </c>
      <c r="O269" s="235">
        <f>IFERROR(Таблица4[[#This Row],[ППС]]-Таблица4[[#This Row],[ДДУС]],)</f>
        <v>0</v>
      </c>
      <c r="P269" s="611"/>
      <c r="Q269" s="234">
        <f>VLOOKUP(ППД5!A266,Реестр_Д5[№],1,0)</f>
        <v>265</v>
      </c>
      <c r="R269" s="234" t="str">
        <f>VLOOKUP(ППД5!CH266,Реестр_Д5[Статус],1,0)</f>
        <v>Продажа</v>
      </c>
      <c r="S269" s="612">
        <f>VLOOKUP(ППД5!BZ266,Реестр_Д5[Стоимость ОН без отделки со скидкой],1,0)</f>
        <v>3196300</v>
      </c>
      <c r="T269" s="612" cm="1">
        <f t="array" ref="T269">IFERROR(INDEX(РД[Стоимость без отделки итог],MATCH($Q$3&amp;Таблица10[[#This Row],[№]]&amp;"Продажа",РД[Дом]&amp;РД[№ кв]&amp;РД[Состояние],0),1),Таблица10[[#This Row],[Статус]])</f>
        <v>3196300</v>
      </c>
      <c r="U269" s="235">
        <f>IFERROR((Таблица10[[#This Row],[ПП]]-Таблица10[[#This Row],[ДДУ]])*1,)</f>
        <v>0</v>
      </c>
      <c r="V269" s="235" cm="1">
        <f t="array" ref="V269">IFERROR(INDEX(РД[Стоимость с отделкой итог],MATCH($Q$3&amp;Таблица10[[#This Row],[№]]&amp;"Продажа",РД[Дом]&amp;РД[№ кв]&amp;РД[Состояние],0),1),Таблица10[[#This Row],[Статус]])</f>
        <v>3392540</v>
      </c>
      <c r="W269" s="235">
        <f>_xlfn.XLOOKUP(Таблица10[[#This Row],[№]],Реестр_Д5[№],Реестр_Д5[Стоимость квартиры с отделкой],"-",0)</f>
        <v>3392540.0000000005</v>
      </c>
      <c r="X269" s="235">
        <f>IFERROR(Таблица10[[#This Row],[СО ПП]]-Таблица10[[#This Row],[СО ДДУ]],"")</f>
        <v>4.6566128730773926E-10</v>
      </c>
      <c r="Y269" s="233" cm="1">
        <f t="array" ref="Y269">IFERROR(INDEX(РД[S],MATCH($Q$3&amp;Таблица10[[#This Row],[№]]&amp;"Продажа",РД[Дом]&amp;РД[№ кв]&amp;РД[Состояние],0),1),Таблица10[[#This Row],[Статус]])</f>
        <v>24.53</v>
      </c>
      <c r="Z269" s="233">
        <f>IF(Таблица10[[#This Row],[№]]&amp;"ДДУ"=ППД5!A266&amp;ППД5!CR266,ППД5!U266,ППД5!V266)</f>
        <v>24.53</v>
      </c>
      <c r="AA269" s="285">
        <f>IFERROR(Таблица10[[#This Row],[S ПП]]-Таблица10[[#This Row],[S ДДУ]],)</f>
        <v>0</v>
      </c>
      <c r="AB269" s="235">
        <f>ROUND(_xlfn.XLOOKUP(Таблица10[[#This Row],[№]],Реестр_Д5[№],Реестр_Д5[Итоговая сумма скидки],"",0),2)</f>
        <v>0</v>
      </c>
      <c r="AC269" s="235" cm="1">
        <f t="array" ref="AC26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69" s="285">
        <f>IFERROR(Таблица10[[#This Row],[ППС]]-Таблица10[[#This Row],[ДДУС]],)</f>
        <v>0</v>
      </c>
      <c r="AE269" s="611"/>
      <c r="AT269" s="611"/>
      <c r="AU269" s="484">
        <f>VLOOKUP(ППД402!A266,Д402[],1,0)</f>
        <v>265</v>
      </c>
      <c r="AV269" s="484" t="str">
        <f>_xlfn.XLOOKUP(Т402[[#This Row],[№]],Д402[№],Д402[Статус],"-",0)</f>
        <v>Стр. Резерв</v>
      </c>
      <c r="AW269" s="613">
        <f>_xlfn.XLOOKUP(Т402[[#This Row],[№]],Д402[№],Д402[Стоимость ОН без отделки со скидкой],"-",0)</f>
        <v>5805800</v>
      </c>
      <c r="AX269" s="614" t="str" cm="1">
        <f t="array" ref="AX26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69" s="485" t="str">
        <f>IFERROR((Т402[[#This Row],[ПП]]-Т402[[#This Row],[ДДУ]])*1,"")</f>
        <v/>
      </c>
      <c r="AZ269" s="486" t="str" cm="1">
        <f t="array" ref="AZ26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69" s="485">
        <f>_xlfn.XLOOKUP(Т402[[#This Row],[№]],Д402[№],Д402[Стоимость квартиры с отделкой],"-",0)</f>
        <v>5805799.9999999991</v>
      </c>
      <c r="BB269" s="485" t="str">
        <f>IFERROR(Т402[[#This Row],[СО ПП]]-Т402[[#This Row],[СО ДДУ]],"")</f>
        <v/>
      </c>
      <c r="BC269" s="487" t="str" cm="1">
        <f t="array" ref="BC269">IFERROR(INDEX(РД[S],MATCH($AU$3&amp;Т402[[#This Row],[№]]&amp;"Продажа",РД[Дом]&amp;РД[№ кв]&amp;РД[Состояние],0),1),Т402[[#This Row],[Статус]])</f>
        <v>Стр. Резерв</v>
      </c>
      <c r="BD269" s="483">
        <f>_xlfn.XLOOKUP(Т402[[#This Row],[№]],Д402[№],Д402[Расчетная проектная площадь],"-",0)</f>
        <v>43.88</v>
      </c>
      <c r="BE269" s="485" t="str">
        <f>IFERROR(Т402[[#This Row],[S ПП]]-Т402[[#This Row],[S ДДУ]],"")</f>
        <v/>
      </c>
      <c r="BF269" s="485">
        <f>_xlfn.XLOOKUP(Т402[[#This Row],[№]],Д402[№],Д402[Итоговая сумма скидки],"-",0)</f>
        <v>0</v>
      </c>
      <c r="BG269" s="486" t="str" cm="1">
        <f t="array" ref="BG26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69" s="488" t="str">
        <f>IFERROR(Т402[[#This Row],[ППС]]-Т402[[#This Row],[ДДУС]],"")</f>
        <v/>
      </c>
    </row>
    <row r="270" spans="1:60" x14ac:dyDescent="0.2">
      <c r="A270" s="611"/>
      <c r="B270" s="234">
        <f>VLOOKUP(ППД4!A267,Реестр_Д4[№],1,0)</f>
        <v>266</v>
      </c>
      <c r="C270" s="234" t="str">
        <f>VLOOKUP(ППД4!CO267,Реестр_Д4[Статус],1,0)</f>
        <v>Продажа</v>
      </c>
      <c r="D270" s="612">
        <f>VLOOKUP(ППД4!CE267,Реестр_Д4[Стоимость ОН без отделки со скидкой],1,0)</f>
        <v>3844422.73</v>
      </c>
      <c r="E270" s="612" cm="1">
        <f t="array" ref="E270">IFERROR(INDEX(РД[Стоимость без отделки итог],MATCH($B$3&amp;Таблица4[[#This Row],[№]]&amp;"Продажа",РД[Дом]&amp;РД[№ кв]&amp;РД[Состояние],0),1),Таблица4[[#This Row],[Статус]])</f>
        <v>3844422.73</v>
      </c>
      <c r="F270" s="235">
        <f>IFERROR((Таблица4[[#This Row],[ПП]]-Таблица4[[#This Row],[ДДУ]])*1,"")</f>
        <v>0</v>
      </c>
      <c r="G270" s="235" cm="1">
        <f t="array" ref="G270">IFERROR(INDEX(РД[Стоимость с отделкой итог],MATCH($B$3&amp;Таблица4[[#This Row],[№]]&amp;"Продажа",РД[Дом]&amp;РД[№ кв]&amp;РД[Состояние],0),1),Таблица4[[#This Row],[Статус]])</f>
        <v>3844422.73</v>
      </c>
      <c r="H270" s="235">
        <f>_xlfn.XLOOKUP(Таблица4[[#This Row],[№]],Реестр_Д4[№],Реестр_Д4[Стоимость квартиры с отделкой],"-",0)</f>
        <v>3844422.73</v>
      </c>
      <c r="I270" s="235">
        <f>IFERROR(Таблица4[[#This Row],[СО ПП]]-Таблица4[[#This Row],[СО ДДУ]],"")</f>
        <v>0</v>
      </c>
      <c r="J270" s="233" cm="1">
        <f t="array" ref="J270">IFERROR(INDEX(РД[S],MATCH($B$3&amp;Таблица4[[#This Row],[№]]&amp;"Продажа",РД[Дом]&amp;РД[№ кв]&amp;РД[Состояние],0),1),Таблица4[[#This Row],[Статус]])</f>
        <v>56.7</v>
      </c>
      <c r="K270" s="233">
        <f>VLOOKUP(Таблица4[[#This Row],[№]],Реестр_Д4[],20,0)</f>
        <v>56.7</v>
      </c>
      <c r="L270" s="235">
        <f>IFERROR(Таблица4[[#This Row],[S ПП]]-Таблица4[[#This Row],[S ДДУ]],)</f>
        <v>0</v>
      </c>
      <c r="M270" s="235">
        <f>ROUND(_xlfn.XLOOKUP(Таблица4[[#This Row],[№]],Реестр_Д4[№],Реестр_Д4[Итоговая сумма скидки],"",0),2)</f>
        <v>202338.03</v>
      </c>
      <c r="N270" s="235" cm="1">
        <f t="array" ref="N270">IFERROR(ROUND(_xlfn.XLOOKUP($B$3&amp;Таблица4[[#This Row],[№]]&amp;"Продажа",РД[Дом]&amp;РД[№ кв]&amp;РД[Состояние],РД[Сумма скидки],"",0),2),Таблица4[[#This Row],[Статус]])</f>
        <v>202338.03</v>
      </c>
      <c r="O270" s="235">
        <f>IFERROR(Таблица4[[#This Row],[ППС]]-Таблица4[[#This Row],[ДДУС]],)</f>
        <v>0</v>
      </c>
      <c r="P270" s="611"/>
      <c r="Q270" s="234">
        <f>VLOOKUP(ППД5!A267,Реестр_Д5[№],1,0)</f>
        <v>266</v>
      </c>
      <c r="R270" s="234" t="str">
        <f>VLOOKUP(ППД5!CH267,Реестр_Д5[Статус],1,0)</f>
        <v>Продажа</v>
      </c>
      <c r="S270" s="612">
        <f>VLOOKUP(ППД5!BZ267,Реестр_Д5[Стоимость ОН без отделки со скидкой],1,0)</f>
        <v>5484700</v>
      </c>
      <c r="T270" s="612" cm="1">
        <f t="array" ref="T270">IFERROR(INDEX(РД[Стоимость без отделки итог],MATCH($Q$3&amp;Таблица10[[#This Row],[№]]&amp;"Продажа",РД[Дом]&amp;РД[№ кв]&amp;РД[Состояние],0),1),Таблица10[[#This Row],[Статус]])</f>
        <v>5484700</v>
      </c>
      <c r="U270" s="235">
        <f>IFERROR((Таблица10[[#This Row],[ПП]]-Таблица10[[#This Row],[ДДУ]])*1,)</f>
        <v>0</v>
      </c>
      <c r="V270" s="235" cm="1">
        <f t="array" ref="V270">IFERROR(INDEX(РД[Стоимость с отделкой итог],MATCH($Q$3&amp;Таблица10[[#This Row],[№]]&amp;"Продажа",РД[Дом]&amp;РД[№ кв]&amp;РД[Состояние],0),1),Таблица10[[#This Row],[Статус]])</f>
        <v>5880760</v>
      </c>
      <c r="W270" s="235">
        <f>_xlfn.XLOOKUP(Таблица10[[#This Row],[№]],Реестр_Д5[№],Реестр_Д5[Стоимость квартиры с отделкой],"-",0)</f>
        <v>5880760</v>
      </c>
      <c r="X270" s="235">
        <f>IFERROR(Таблица10[[#This Row],[СО ПП]]-Таблица10[[#This Row],[СО ДДУ]],"")</f>
        <v>0</v>
      </c>
      <c r="Y270" s="233" cm="1">
        <f t="array" ref="Y270">IFERROR(INDEX(РД[S],MATCH($Q$3&amp;Таблица10[[#This Row],[№]]&amp;"Продажа",РД[Дом]&amp;РД[№ кв]&amp;РД[Состояние],0),1),Таблица10[[#This Row],[Статус]])</f>
        <v>56.58</v>
      </c>
      <c r="Z270" s="233">
        <f>IF(Таблица10[[#This Row],[№]]&amp;"ДДУ"=ППД5!A267&amp;ППД5!CR267,ППД5!U267,ППД5!V267)</f>
        <v>56.58</v>
      </c>
      <c r="AA270" s="285">
        <f>IFERROR(Таблица10[[#This Row],[S ПП]]-Таблица10[[#This Row],[S ДДУ]],)</f>
        <v>0</v>
      </c>
      <c r="AB270" s="235">
        <f>ROUND(_xlfn.XLOOKUP(Таблица10[[#This Row],[№]],Реестр_Д5[№],Реестр_Д5[Итоговая сумма скидки],"",0),2)</f>
        <v>0</v>
      </c>
      <c r="AC270" s="235" cm="1">
        <f t="array" ref="AC27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0" s="285">
        <f>IFERROR(Таблица10[[#This Row],[ППС]]-Таблица10[[#This Row],[ДДУС]],)</f>
        <v>0</v>
      </c>
      <c r="AE270" s="611"/>
      <c r="AT270" s="611"/>
      <c r="AU270" s="484">
        <f>VLOOKUP(ППД402!A267,Д402[],1,0)</f>
        <v>266</v>
      </c>
      <c r="AV270" s="484" t="str">
        <f>_xlfn.XLOOKUP(Т402[[#This Row],[№]],Д402[№],Д402[Статус],"-",0)</f>
        <v>Продажа</v>
      </c>
      <c r="AW270" s="613">
        <f>_xlfn.XLOOKUP(Т402[[#This Row],[№]],Д402[№],Д402[Стоимость ОН без отделки со скидкой],"-",0)</f>
        <v>4581795</v>
      </c>
      <c r="AX270" s="614" cm="1">
        <f t="array" ref="AX270">IFERROR(INDEX(РД[Стоимость без отделки итог],MATCH($AU$3&amp;Т402[[#This Row],[№]]&amp;"Продажа",РД[Дом]&amp;РД[№ кв]&amp;РД[Состояние],0),1),Т402[[#This Row],[Статус]])</f>
        <v>4581795</v>
      </c>
      <c r="AY270" s="485">
        <f>IFERROR((Т402[[#This Row],[ПП]]-Т402[[#This Row],[ДДУ]])*1,"")</f>
        <v>0</v>
      </c>
      <c r="AZ270" s="486" cm="1">
        <f t="array" ref="AZ270">IFERROR(INDEX(РД[Стоимость с отделкой итог],MATCH($AU$3&amp;Т402[[#This Row],[№]]&amp;"Продажа",РД[Дом]&amp;РД[№ кв]&amp;РД[Состояние],0),1),Т402[[#This Row],[Статус]])</f>
        <v>4581795</v>
      </c>
      <c r="BA270" s="485">
        <f>_xlfn.XLOOKUP(Т402[[#This Row],[№]],Д402[№],Д402[Стоимость квартиры с отделкой],"-",0)</f>
        <v>4581795</v>
      </c>
      <c r="BB270" s="485">
        <f>IFERROR(Т402[[#This Row],[СО ПП]]-Т402[[#This Row],[СО ДДУ]],"")</f>
        <v>0</v>
      </c>
      <c r="BC270" s="487" cm="1">
        <f t="array" ref="BC270">IFERROR(INDEX(РД[S],MATCH($AU$3&amp;Т402[[#This Row],[№]]&amp;"Продажа",РД[Дом]&amp;РД[№ кв]&amp;РД[Состояние],0),1),Т402[[#This Row],[Статус]])</f>
        <v>36.35</v>
      </c>
      <c r="BD270" s="483">
        <f>_xlfn.XLOOKUP(Т402[[#This Row],[№]],Д402[№],Д402[Расчетная проектная площадь],"-",0)</f>
        <v>36.35</v>
      </c>
      <c r="BE270" s="485">
        <f>IFERROR(Т402[[#This Row],[S ПП]]-Т402[[#This Row],[S ДДУ]],"")</f>
        <v>0</v>
      </c>
      <c r="BF270" s="485">
        <f>_xlfn.XLOOKUP(Т402[[#This Row],[№]],Д402[№],Д402[Итоговая сумма скидки],"-",0)</f>
        <v>141705</v>
      </c>
      <c r="BG270" s="486" cm="1">
        <f t="array" ref="BG270">IFERROR(ROUND(_xlfn.XLOOKUP($AU$3&amp;Т402[[#This Row],[№]]&amp;"Продажа",РД[Дом]&amp;РД[№ кв]&amp;РД[Состояние],РД[Сумма скидки],"",0),2),Т402[[#This Row],[Статус]])</f>
        <v>141705</v>
      </c>
      <c r="BH270" s="488">
        <f>IFERROR(Т402[[#This Row],[ППС]]-Т402[[#This Row],[ДДУС]],"")</f>
        <v>0</v>
      </c>
    </row>
    <row r="271" spans="1:60" x14ac:dyDescent="0.2">
      <c r="A271" s="611"/>
      <c r="B271" s="234">
        <f>VLOOKUP(ППД4!A268,Реестр_Д4[№],1,0)</f>
        <v>267</v>
      </c>
      <c r="C271" s="234" t="str">
        <f>VLOOKUP(ППД4!CO268,Реестр_Д4[Статус],1,0)</f>
        <v>Продажа</v>
      </c>
      <c r="D271" s="612">
        <f>VLOOKUP(ППД4!CE268,Реестр_Д4[Стоимость ОН без отделки со скидкой],1,0)</f>
        <v>5348069.3899999997</v>
      </c>
      <c r="E271" s="612" cm="1">
        <f t="array" ref="E271">IFERROR(INDEX(РД[Стоимость без отделки итог],MATCH($B$3&amp;Таблица4[[#This Row],[№]]&amp;"Продажа",РД[Дом]&amp;РД[№ кв]&amp;РД[Состояние],0),1),Таблица4[[#This Row],[Статус]])</f>
        <v>5348069.3899999997</v>
      </c>
      <c r="F271" s="235">
        <f>IFERROR((Таблица4[[#This Row],[ПП]]-Таблица4[[#This Row],[ДДУ]])*1,"")</f>
        <v>0</v>
      </c>
      <c r="G271" s="235" cm="1">
        <f t="array" ref="G271">IFERROR(INDEX(РД[Стоимость с отделкой итог],MATCH($B$3&amp;Таблица4[[#This Row],[№]]&amp;"Продажа",РД[Дом]&amp;РД[№ кв]&amp;РД[Состояние],0),1),Таблица4[[#This Row],[Статус]])</f>
        <v>5348069.3899999997</v>
      </c>
      <c r="H271" s="235">
        <f>_xlfn.XLOOKUP(Таблица4[[#This Row],[№]],Реестр_Д4[№],Реестр_Д4[Стоимость квартиры с отделкой],"-",0)</f>
        <v>5348069.3899999997</v>
      </c>
      <c r="I271" s="235">
        <f>IFERROR(Таблица4[[#This Row],[СО ПП]]-Таблица4[[#This Row],[СО ДДУ]],"")</f>
        <v>0</v>
      </c>
      <c r="J271" s="233" cm="1">
        <f t="array" ref="J271">IFERROR(INDEX(РД[S],MATCH($B$3&amp;Таблица4[[#This Row],[№]]&amp;"Продажа",РД[Дом]&amp;РД[№ кв]&amp;РД[Состояние],0),1),Таблица4[[#This Row],[Статус]])</f>
        <v>72.510000000000005</v>
      </c>
      <c r="K271" s="233">
        <f>VLOOKUP(Таблица4[[#This Row],[№]],Реестр_Д4[],20,0)</f>
        <v>72.510000000000005</v>
      </c>
      <c r="L271" s="235">
        <f>IFERROR(Таблица4[[#This Row],[S ПП]]-Таблица4[[#This Row],[S ДДУ]],)</f>
        <v>0</v>
      </c>
      <c r="M271" s="235">
        <f>ROUND(_xlfn.XLOOKUP(Таблица4[[#This Row],[№]],Реестр_Д4[№],Реестр_Д4[Итоговая сумма скидки],"",0),2)</f>
        <v>341366.13</v>
      </c>
      <c r="N271" s="235" cm="1">
        <f t="array" ref="N271">IFERROR(ROUND(_xlfn.XLOOKUP($B$3&amp;Таблица4[[#This Row],[№]]&amp;"Продажа",РД[Дом]&amp;РД[№ кв]&amp;РД[Состояние],РД[Сумма скидки],"",0),2),Таблица4[[#This Row],[Статус]])</f>
        <v>341366.13</v>
      </c>
      <c r="O271" s="235">
        <f>IFERROR(Таблица4[[#This Row],[ППС]]-Таблица4[[#This Row],[ДДУС]],)</f>
        <v>0</v>
      </c>
      <c r="P271" s="611"/>
      <c r="Q271" s="234">
        <f>VLOOKUP(ППД5!A268,Реестр_Д5[№],1,0)</f>
        <v>267</v>
      </c>
      <c r="R271" s="234" t="str">
        <f>VLOOKUP(ППД5!CH268,Реестр_Д5[Статус],1,0)</f>
        <v>Продажа</v>
      </c>
      <c r="S271" s="612">
        <f>VLOOKUP(ППД5!BZ268,Реестр_Д5[Стоимость ОН без отделки со скидкой],1,0)</f>
        <v>5941100</v>
      </c>
      <c r="T271" s="612" cm="1">
        <f t="array" ref="T271">IFERROR(INDEX(РД[Стоимость без отделки итог],MATCH($Q$3&amp;Таблица10[[#This Row],[№]]&amp;"Продажа",РД[Дом]&amp;РД[№ кв]&amp;РД[Состояние],0),1),Таблица10[[#This Row],[Статус]])</f>
        <v>5941100</v>
      </c>
      <c r="U271" s="235">
        <f>IFERROR((Таблица10[[#This Row],[ПП]]-Таблица10[[#This Row],[ДДУ]])*1,)</f>
        <v>0</v>
      </c>
      <c r="V271" s="235" cm="1">
        <f t="array" ref="V271">IFERROR(INDEX(РД[Стоимость с отделкой итог],MATCH($Q$3&amp;Таблица10[[#This Row],[№]]&amp;"Продажа",РД[Дом]&amp;РД[№ кв]&amp;РД[Состояние],0),1),Таблица10[[#This Row],[Статус]])</f>
        <v>6362780</v>
      </c>
      <c r="W271" s="235">
        <f>_xlfn.XLOOKUP(Таблица10[[#This Row],[№]],Реестр_Д5[№],Реестр_Д5[Стоимость квартиры с отделкой],"-",0)</f>
        <v>6362780</v>
      </c>
      <c r="X271" s="235">
        <f>IFERROR(Таблица10[[#This Row],[СО ПП]]-Таблица10[[#This Row],[СО ДДУ]],"")</f>
        <v>0</v>
      </c>
      <c r="Y271" s="233" cm="1">
        <f t="array" ref="Y271">IFERROR(INDEX(РД[S],MATCH($Q$3&amp;Таблица10[[#This Row],[№]]&amp;"Продажа",РД[Дом]&amp;РД[№ кв]&amp;РД[Состояние],0),1),Таблица10[[#This Row],[Статус]])</f>
        <v>60.24</v>
      </c>
      <c r="Z271" s="233">
        <f>IF(Таблица10[[#This Row],[№]]&amp;"ДДУ"=ППД5!A268&amp;ППД5!CR268,ППД5!U268,ППД5!V268)</f>
        <v>60.24</v>
      </c>
      <c r="AA271" s="285">
        <f>IFERROR(Таблица10[[#This Row],[S ПП]]-Таблица10[[#This Row],[S ДДУ]],)</f>
        <v>0</v>
      </c>
      <c r="AB271" s="235">
        <f>ROUND(_xlfn.XLOOKUP(Таблица10[[#This Row],[№]],Реестр_Д5[№],Реестр_Д5[Итоговая сумма скидки],"",0),2)</f>
        <v>0</v>
      </c>
      <c r="AC271" s="235" cm="1">
        <f t="array" ref="AC27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1" s="285">
        <f>IFERROR(Таблица10[[#This Row],[ППС]]-Таблица10[[#This Row],[ДДУС]],)</f>
        <v>0</v>
      </c>
      <c r="AE271" s="611"/>
      <c r="AT271" s="611"/>
      <c r="AU271" s="484">
        <f>VLOOKUP(ППД402!A268,Д402[],1,0)</f>
        <v>267</v>
      </c>
      <c r="AV271" s="484" t="str">
        <f>_xlfn.XLOOKUP(Т402[[#This Row],[№]],Д402[№],Д402[Статус],"-",0)</f>
        <v>Свободно</v>
      </c>
      <c r="AW271" s="613">
        <f>_xlfn.XLOOKUP(Т402[[#This Row],[№]],Д402[№],Д402[Стоимость ОН без отделки со скидкой],"-",0)</f>
        <v>6715600</v>
      </c>
      <c r="AX271" s="614" t="str" cm="1">
        <f t="array" ref="AX27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71" s="485" t="str">
        <f>IFERROR((Т402[[#This Row],[ПП]]-Т402[[#This Row],[ДДУ]])*1,"")</f>
        <v/>
      </c>
      <c r="AZ271" s="486" t="str" cm="1">
        <f t="array" ref="AZ27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71" s="485">
        <f>_xlfn.XLOOKUP(Т402[[#This Row],[№]],Д402[№],Д402[Стоимость квартиры с отделкой],"-",0)</f>
        <v>6715600</v>
      </c>
      <c r="BB271" s="485" t="str">
        <f>IFERROR(Т402[[#This Row],[СО ПП]]-Т402[[#This Row],[СО ДДУ]],"")</f>
        <v/>
      </c>
      <c r="BC271" s="487" t="str" cm="1">
        <f t="array" ref="BC271">IFERROR(INDEX(РД[S],MATCH($AU$3&amp;Т402[[#This Row],[№]]&amp;"Продажа",РД[Дом]&amp;РД[№ кв]&amp;РД[Состояние],0),1),Т402[[#This Row],[Статус]])</f>
        <v>Свободно</v>
      </c>
      <c r="BD271" s="483">
        <f>_xlfn.XLOOKUP(Т402[[#This Row],[№]],Д402[№],Д402[Расчетная проектная площадь],"-",0)</f>
        <v>54.08</v>
      </c>
      <c r="BE271" s="485" t="str">
        <f>IFERROR(Т402[[#This Row],[S ПП]]-Т402[[#This Row],[S ДДУ]],"")</f>
        <v/>
      </c>
      <c r="BF271" s="485">
        <f>_xlfn.XLOOKUP(Т402[[#This Row],[№]],Д402[№],Д402[Итоговая сумма скидки],"-",0)</f>
        <v>0</v>
      </c>
      <c r="BG271" s="486" t="str" cm="1">
        <f t="array" ref="BG27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71" s="488" t="str">
        <f>IFERROR(Т402[[#This Row],[ППС]]-Т402[[#This Row],[ДДУС]],"")</f>
        <v/>
      </c>
    </row>
    <row r="272" spans="1:60" x14ac:dyDescent="0.2">
      <c r="A272" s="611"/>
      <c r="B272" s="234">
        <f>VLOOKUP(ППД4!A269,Реестр_Д4[№],1,0)</f>
        <v>268</v>
      </c>
      <c r="C272" s="234" t="str">
        <f>VLOOKUP(ППД4!CO269,Реестр_Д4[Статус],1,0)</f>
        <v>Продажа</v>
      </c>
      <c r="D272" s="612">
        <f>VLOOKUP(ППД4!CE269,Реестр_Д4[Стоимость ОН без отделки со скидкой],1,0)</f>
        <v>2512112.4</v>
      </c>
      <c r="E272" s="612" cm="1">
        <f t="array" ref="E272">IFERROR(INDEX(РД[Стоимость без отделки итог],MATCH($B$3&amp;Таблица4[[#This Row],[№]]&amp;"Продажа",РД[Дом]&amp;РД[№ кв]&amp;РД[Состояние],0),1),Таблица4[[#This Row],[Статус]])</f>
        <v>2512112.4000000004</v>
      </c>
      <c r="F272" s="235">
        <f>IFERROR((Таблица4[[#This Row],[ПП]]-Таблица4[[#This Row],[ДДУ]])*1,"")</f>
        <v>-4.6566128730773926E-10</v>
      </c>
      <c r="G272" s="235" cm="1">
        <f t="array" ref="G272">IFERROR(INDEX(РД[Стоимость с отделкой итог],MATCH($B$3&amp;Таблица4[[#This Row],[№]]&amp;"Продажа",РД[Дом]&amp;РД[№ кв]&amp;РД[Состояние],0),1),Таблица4[[#This Row],[Статус]])</f>
        <v>2765912.4</v>
      </c>
      <c r="H272" s="235">
        <f>_xlfn.XLOOKUP(Таблица4[[#This Row],[№]],Реестр_Д4[№],Реестр_Д4[Стоимость квартиры с отделкой],"-",0)</f>
        <v>2765912.4</v>
      </c>
      <c r="I272" s="235">
        <f>IFERROR(Таблица4[[#This Row],[СО ПП]]-Таблица4[[#This Row],[СО ДДУ]],"")</f>
        <v>0</v>
      </c>
      <c r="J272" s="233" cm="1">
        <f t="array" ref="J272">IFERROR(INDEX(РД[S],MATCH($B$3&amp;Таблица4[[#This Row],[№]]&amp;"Продажа",РД[Дом]&amp;РД[№ кв]&amp;РД[Состояние],0),1),Таблица4[[#This Row],[Статус]])</f>
        <v>33.840000000000003</v>
      </c>
      <c r="K272" s="233">
        <f>VLOOKUP(Таблица4[[#This Row],[№]],Реестр_Д4[],20,0)</f>
        <v>33.840000000000003</v>
      </c>
      <c r="L272" s="235">
        <f>IFERROR(Таблица4[[#This Row],[S ПП]]-Таблица4[[#This Row],[S ДДУ]],)</f>
        <v>0</v>
      </c>
      <c r="M272" s="235">
        <f>ROUND(_xlfn.XLOOKUP(Таблица4[[#This Row],[№]],Реестр_Д4[№],Реестр_Д4[Итоговая сумма скидки],"",0),2)</f>
        <v>0</v>
      </c>
      <c r="N272" s="235" cm="1">
        <f t="array" ref="N27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2" s="235">
        <f>IFERROR(Таблица4[[#This Row],[ППС]]-Таблица4[[#This Row],[ДДУС]],)</f>
        <v>0</v>
      </c>
      <c r="P272" s="611"/>
      <c r="Q272" s="234">
        <f>VLOOKUP(ППД5!A269,Реестр_Д5[№],1,0)</f>
        <v>268</v>
      </c>
      <c r="R272" s="234" t="str">
        <f>VLOOKUP(ППД5!CH269,Реестр_Д5[Статус],1,0)</f>
        <v>Продажа</v>
      </c>
      <c r="S272" s="612">
        <f>VLOOKUP(ППД5!BZ269,Реестр_Д5[Стоимость ОН без отделки со скидкой],1,0)</f>
        <v>4131812</v>
      </c>
      <c r="T272" s="612" cm="1">
        <f t="array" ref="T272">IFERROR(INDEX(РД[Стоимость без отделки итог],MATCH($Q$3&amp;Таблица10[[#This Row],[№]]&amp;"Продажа",РД[Дом]&amp;РД[№ кв]&amp;РД[Состояние],0),1),Таблица10[[#This Row],[Статус]])</f>
        <v>4131812</v>
      </c>
      <c r="U272" s="235">
        <f>IFERROR((Таблица10[[#This Row],[ПП]]-Таблица10[[#This Row],[ДДУ]])*1,)</f>
        <v>0</v>
      </c>
      <c r="V272" s="235" cm="1">
        <f t="array" ref="V272">IFERROR(INDEX(РД[Стоимость с отделкой итог],MATCH($Q$3&amp;Таблица10[[#This Row],[№]]&amp;"Продажа",РД[Дом]&amp;РД[№ кв]&amp;РД[Состояние],0),1),Таблица10[[#This Row],[Статус]])</f>
        <v>4888012</v>
      </c>
      <c r="W272" s="235">
        <f>_xlfn.XLOOKUP(Таблица10[[#This Row],[№]],Реестр_Д5[№],Реестр_Д5[Стоимость квартиры с отделкой],"-",0)</f>
        <v>4888012</v>
      </c>
      <c r="X272" s="235">
        <f>IFERROR(Таблица10[[#This Row],[СО ПП]]-Таблица10[[#This Row],[СО ДДУ]],"")</f>
        <v>0</v>
      </c>
      <c r="Y272" s="233" cm="1">
        <f t="array" ref="Y272">IFERROR(INDEX(РД[S],MATCH($Q$3&amp;Таблица10[[#This Row],[№]]&amp;"Продажа",РД[Дом]&amp;РД[№ кв]&amp;РД[Состояние],0),1),Таблица10[[#This Row],[Статус]])</f>
        <v>37.81</v>
      </c>
      <c r="Z272" s="233">
        <f>IF(Таблица10[[#This Row],[№]]&amp;"ДДУ"=ППД5!A269&amp;ППД5!CR269,ППД5!U269,ППД5!V269)</f>
        <v>37.81</v>
      </c>
      <c r="AA272" s="285">
        <f>IFERROR(Таблица10[[#This Row],[S ПП]]-Таблица10[[#This Row],[S ДДУ]],)</f>
        <v>0</v>
      </c>
      <c r="AB272" s="235">
        <f>ROUND(_xlfn.XLOOKUP(Таблица10[[#This Row],[№]],Реестр_Д5[№],Реестр_Д5[Итоговая сумма скидки],"",0),2)</f>
        <v>88888</v>
      </c>
      <c r="AC272" s="235" cm="1">
        <f t="array" ref="AC272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272" s="285">
        <f>IFERROR(Таблица10[[#This Row],[ППС]]-Таблица10[[#This Row],[ДДУС]],)</f>
        <v>0</v>
      </c>
      <c r="AE272" s="611"/>
      <c r="AT272" s="611"/>
      <c r="AU272" s="484">
        <f>VLOOKUP(ППД402!A269,Д402[],1,0)</f>
        <v>268</v>
      </c>
      <c r="AV272" s="484" t="str">
        <f>_xlfn.XLOOKUP(Т402[[#This Row],[№]],Д402[№],Д402[Статус],"-",0)</f>
        <v>Свободно</v>
      </c>
      <c r="AW272" s="613">
        <f>_xlfn.XLOOKUP(Т402[[#This Row],[№]],Д402[№],Д402[Стоимость ОН без отделки со скидкой],"-",0)</f>
        <v>7052100</v>
      </c>
      <c r="AX272" s="614" t="str" cm="1">
        <f t="array" ref="AX272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72" s="485" t="str">
        <f>IFERROR((Т402[[#This Row],[ПП]]-Т402[[#This Row],[ДДУ]])*1,"")</f>
        <v/>
      </c>
      <c r="AZ272" s="486" t="str" cm="1">
        <f t="array" ref="AZ272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72" s="485">
        <f>_xlfn.XLOOKUP(Т402[[#This Row],[№]],Д402[№],Д402[Стоимость квартиры с отделкой],"-",0)</f>
        <v>7052100</v>
      </c>
      <c r="BB272" s="485" t="str">
        <f>IFERROR(Т402[[#This Row],[СО ПП]]-Т402[[#This Row],[СО ДДУ]],"")</f>
        <v/>
      </c>
      <c r="BC272" s="487" t="str" cm="1">
        <f t="array" ref="BC272">IFERROR(INDEX(РД[S],MATCH($AU$3&amp;Т402[[#This Row],[№]]&amp;"Продажа",РД[Дом]&amp;РД[№ кв]&amp;РД[Состояние],0),1),Т402[[#This Row],[Статус]])</f>
        <v>Свободно</v>
      </c>
      <c r="BD272" s="483">
        <f>_xlfn.XLOOKUP(Т402[[#This Row],[№]],Д402[№],Д402[Расчетная проектная площадь],"-",0)</f>
        <v>55.73</v>
      </c>
      <c r="BE272" s="485" t="str">
        <f>IFERROR(Т402[[#This Row],[S ПП]]-Т402[[#This Row],[S ДДУ]],"")</f>
        <v/>
      </c>
      <c r="BF272" s="485">
        <f>_xlfn.XLOOKUP(Т402[[#This Row],[№]],Д402[№],Д402[Итоговая сумма скидки],"-",0)</f>
        <v>0</v>
      </c>
      <c r="BG272" s="486" t="str" cm="1">
        <f t="array" ref="BG272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72" s="488" t="str">
        <f>IFERROR(Т402[[#This Row],[ППС]]-Т402[[#This Row],[ДДУС]],"")</f>
        <v/>
      </c>
    </row>
    <row r="273" spans="1:60" x14ac:dyDescent="0.2">
      <c r="A273" s="611"/>
      <c r="B273" s="234">
        <f>VLOOKUP(ППД4!A270,Реестр_Д4[№],1,0)</f>
        <v>269</v>
      </c>
      <c r="C273" s="234" t="str">
        <f>VLOOKUP(ППД4!CO270,Реестр_Д4[Статус],1,0)</f>
        <v>Продажа</v>
      </c>
      <c r="D273" s="612">
        <f>VLOOKUP(ППД4!CE270,Реестр_Д4[Стоимость ОН без отделки со скидкой],1,0)</f>
        <v>2329803</v>
      </c>
      <c r="E273" s="612" cm="1">
        <f t="array" ref="E273">IFERROR(INDEX(РД[Стоимость без отделки итог],MATCH($B$3&amp;Таблица4[[#This Row],[№]]&amp;"Продажа",РД[Дом]&amp;РД[№ кв]&amp;РД[Состояние],0),1),Таблица4[[#This Row],[Статус]])</f>
        <v>2329803</v>
      </c>
      <c r="F273" s="235">
        <f>IFERROR((Таблица4[[#This Row],[ПП]]-Таблица4[[#This Row],[ДДУ]])*1,"")</f>
        <v>0</v>
      </c>
      <c r="G273" s="235" cm="1">
        <f t="array" ref="G273">IFERROR(INDEX(РД[Стоимость с отделкой итог],MATCH($B$3&amp;Таблица4[[#This Row],[№]]&amp;"Продажа",РД[Дом]&amp;РД[№ кв]&amp;РД[Состояние],0),1),Таблица4[[#This Row],[Статус]])</f>
        <v>2329803</v>
      </c>
      <c r="H273" s="235">
        <f>_xlfn.XLOOKUP(Таблица4[[#This Row],[№]],Реестр_Д4[№],Реестр_Д4[Стоимость квартиры с отделкой],"-",0)</f>
        <v>2329803</v>
      </c>
      <c r="I273" s="235">
        <f>IFERROR(Таблица4[[#This Row],[СО ПП]]-Таблица4[[#This Row],[СО ДДУ]],"")</f>
        <v>0</v>
      </c>
      <c r="J273" s="233" cm="1">
        <f t="array" ref="J273">IFERROR(INDEX(РД[S],MATCH($B$3&amp;Таблица4[[#This Row],[№]]&amp;"Продажа",РД[Дом]&amp;РД[№ кв]&amp;РД[Состояние],0),1),Таблица4[[#This Row],[Статус]])</f>
        <v>29.35</v>
      </c>
      <c r="K273" s="233">
        <f>VLOOKUP(Таблица4[[#This Row],[№]],Реестр_Д4[],20,0)</f>
        <v>29.35</v>
      </c>
      <c r="L273" s="235">
        <f>IFERROR(Таблица4[[#This Row],[S ПП]]-Таблица4[[#This Row],[S ДДУ]],)</f>
        <v>0</v>
      </c>
      <c r="M273" s="235">
        <f>ROUND(_xlfn.XLOOKUP(Таблица4[[#This Row],[№]],Реестр_Д4[№],Реестр_Д4[Итоговая сумма скидки],"",0),2)</f>
        <v>0</v>
      </c>
      <c r="N273" s="235" cm="1">
        <f t="array" ref="N27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3" s="235">
        <f>IFERROR(Таблица4[[#This Row],[ППС]]-Таблица4[[#This Row],[ДДУС]],)</f>
        <v>0</v>
      </c>
      <c r="P273" s="611"/>
      <c r="Q273" s="234">
        <f>VLOOKUP(ППД5!A270,Реестр_Д5[№],1,0)</f>
        <v>269</v>
      </c>
      <c r="R273" s="234" t="str">
        <f>VLOOKUP(ППД5!CH270,Реестр_Д5[Статус],1,0)</f>
        <v>Продажа</v>
      </c>
      <c r="S273" s="612">
        <f>VLOOKUP(ППД5!BZ270,Реестр_Д5[Стоимость ОН без отделки со скидкой],1,0)</f>
        <v>7464900</v>
      </c>
      <c r="T273" s="612" cm="1">
        <f t="array" ref="T273">IFERROR(INDEX(РД[Стоимость без отделки итог],MATCH($Q$3&amp;Таблица10[[#This Row],[№]]&amp;"Продажа",РД[Дом]&amp;РД[№ кв]&amp;РД[Состояние],0),1),Таблица10[[#This Row],[Статус]])</f>
        <v>7464900</v>
      </c>
      <c r="U273" s="235">
        <f>IFERROR((Таблица10[[#This Row],[ПП]]-Таблица10[[#This Row],[ДДУ]])*1,)</f>
        <v>0</v>
      </c>
      <c r="V273" s="235" cm="1">
        <f t="array" ref="V273">IFERROR(INDEX(РД[Стоимость с отделкой итог],MATCH($Q$3&amp;Таблица10[[#This Row],[№]]&amp;"Продажа",РД[Дом]&amp;РД[№ кв]&amp;РД[Состояние],0),1),Таблица10[[#This Row],[Статус]])</f>
        <v>7464900</v>
      </c>
      <c r="W273" s="235">
        <f>_xlfn.XLOOKUP(Таблица10[[#This Row],[№]],Реестр_Д5[№],Реестр_Д5[Стоимость квартиры с отделкой],"-",0)</f>
        <v>7464900</v>
      </c>
      <c r="X273" s="235">
        <f>IFERROR(Таблица10[[#This Row],[СО ПП]]-Таблица10[[#This Row],[СО ДДУ]],"")</f>
        <v>0</v>
      </c>
      <c r="Y273" s="233" cm="1">
        <f t="array" ref="Y273">IFERROR(INDEX(РД[S],MATCH($Q$3&amp;Таблица10[[#This Row],[№]]&amp;"Продажа",РД[Дом]&amp;РД[№ кв]&amp;РД[Состояние],0),1),Таблица10[[#This Row],[Статус]])</f>
        <v>80.97</v>
      </c>
      <c r="Z273" s="233">
        <f>IF(Таблица10[[#This Row],[№]]&amp;"ДДУ"=ППД5!A270&amp;ППД5!CR270,ППД5!U270,ППД5!V270)</f>
        <v>80.97</v>
      </c>
      <c r="AA273" s="285">
        <f>IFERROR(Таблица10[[#This Row],[S ПП]]-Таблица10[[#This Row],[S ДДУ]],)</f>
        <v>0</v>
      </c>
      <c r="AB273" s="235">
        <f>ROUND(_xlfn.XLOOKUP(Таблица10[[#This Row],[№]],Реестр_Д5[№],Реестр_Д5[Итоговая сумма скидки],"",0),2)</f>
        <v>0</v>
      </c>
      <c r="AC273" s="235" cm="1">
        <f t="array" ref="AC27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3" s="285">
        <f>IFERROR(Таблица10[[#This Row],[ППС]]-Таблица10[[#This Row],[ДДУС]],)</f>
        <v>0</v>
      </c>
      <c r="AE273" s="611"/>
      <c r="AT273" s="611"/>
      <c r="AU273" s="484">
        <f>VLOOKUP(ППД402!A270,Д402[],1,0)</f>
        <v>269</v>
      </c>
      <c r="AV273" s="484" t="str">
        <f>_xlfn.XLOOKUP(Т402[[#This Row],[№]],Д402[№],Д402[Статус],"-",0)</f>
        <v>Стр. Резерв</v>
      </c>
      <c r="AW273" s="613">
        <f>_xlfn.XLOOKUP(Т402[[#This Row],[№]],Д402[№],Д402[Стоимость ОН без отделки со скидкой],"-",0)</f>
        <v>7327400</v>
      </c>
      <c r="AX273" s="614" t="str" cm="1">
        <f t="array" ref="AX273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73" s="485" t="str">
        <f>IFERROR((Т402[[#This Row],[ПП]]-Т402[[#This Row],[ДДУ]])*1,"")</f>
        <v/>
      </c>
      <c r="AZ273" s="486" t="str" cm="1">
        <f t="array" ref="AZ273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73" s="485">
        <f>_xlfn.XLOOKUP(Т402[[#This Row],[№]],Д402[№],Д402[Стоимость квартиры с отделкой],"-",0)</f>
        <v>7327400</v>
      </c>
      <c r="BB273" s="485" t="str">
        <f>IFERROR(Т402[[#This Row],[СО ПП]]-Т402[[#This Row],[СО ДДУ]],"")</f>
        <v/>
      </c>
      <c r="BC273" s="487" t="str" cm="1">
        <f t="array" ref="BC273">IFERROR(INDEX(РД[S],MATCH($AU$3&amp;Т402[[#This Row],[№]]&amp;"Продажа",РД[Дом]&amp;РД[№ кв]&amp;РД[Состояние],0),1),Т402[[#This Row],[Статус]])</f>
        <v>Стр. Резерв</v>
      </c>
      <c r="BD273" s="483">
        <f>_xlfn.XLOOKUP(Т402[[#This Row],[№]],Д402[№],Д402[Расчетная проектная площадь],"-",0)</f>
        <v>59.03</v>
      </c>
      <c r="BE273" s="485" t="str">
        <f>IFERROR(Т402[[#This Row],[S ПП]]-Т402[[#This Row],[S ДДУ]],"")</f>
        <v/>
      </c>
      <c r="BF273" s="485">
        <f>_xlfn.XLOOKUP(Т402[[#This Row],[№]],Д402[№],Д402[Итоговая сумма скидки],"-",0)</f>
        <v>0</v>
      </c>
      <c r="BG273" s="486" t="str" cm="1">
        <f t="array" ref="BG273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73" s="488" t="str">
        <f>IFERROR(Т402[[#This Row],[ППС]]-Т402[[#This Row],[ДДУС]],"")</f>
        <v/>
      </c>
    </row>
    <row r="274" spans="1:60" x14ac:dyDescent="0.2">
      <c r="A274" s="611"/>
      <c r="B274" s="234">
        <f>VLOOKUP(ППД4!A271,Реестр_Д4[№],1,0)</f>
        <v>270</v>
      </c>
      <c r="C274" s="234" t="str">
        <f>VLOOKUP(ППД4!CO271,Реестр_Д4[Статус],1,0)</f>
        <v>Продажа</v>
      </c>
      <c r="D274" s="612">
        <f>VLOOKUP(ППД4!CE271,Реестр_Д4[Стоимость ОН без отделки со скидкой],1,0)</f>
        <v>5955749.5499999998</v>
      </c>
      <c r="E274" s="612" cm="1">
        <f t="array" ref="E274">IFERROR(INDEX(РД[Стоимость без отделки итог],MATCH($B$3&amp;Таблица4[[#This Row],[№]]&amp;"Продажа",РД[Дом]&amp;РД[№ кв]&amp;РД[Состояние],0),1),Таблица4[[#This Row],[Статус]])</f>
        <v>5955749.5499999998</v>
      </c>
      <c r="F274" s="235">
        <f>IFERROR((Таблица4[[#This Row],[ПП]]-Таблица4[[#This Row],[ДДУ]])*1,"")</f>
        <v>0</v>
      </c>
      <c r="G274" s="235" cm="1">
        <f t="array" ref="G274">IFERROR(INDEX(РД[Стоимость с отделкой итог],MATCH($B$3&amp;Таблица4[[#This Row],[№]]&amp;"Продажа",РД[Дом]&amp;РД[№ кв]&amp;РД[Состояние],0),1),Таблица4[[#This Row],[Статус]])</f>
        <v>6261524.5499999998</v>
      </c>
      <c r="H274" s="235">
        <f>_xlfn.XLOOKUP(Таблица4[[#This Row],[№]],Реестр_Д4[№],Реестр_Д4[Стоимость квартиры с отделкой],"-",0)</f>
        <v>6261524.5499999998</v>
      </c>
      <c r="I274" s="235">
        <f>IFERROR(Таблица4[[#This Row],[СО ПП]]-Таблица4[[#This Row],[СО ДДУ]],"")</f>
        <v>0</v>
      </c>
      <c r="J274" s="233" cm="1">
        <f t="array" ref="J274">IFERROR(INDEX(РД[S],MATCH($B$3&amp;Таблица4[[#This Row],[№]]&amp;"Продажа",РД[Дом]&amp;РД[№ кв]&amp;РД[Состояние],0),1),Таблица4[[#This Row],[Статус]])</f>
        <v>67.95</v>
      </c>
      <c r="K274" s="233">
        <f>VLOOKUP(Таблица4[[#This Row],[№]],Реестр_Д4[],20,0)</f>
        <v>67.95</v>
      </c>
      <c r="L274" s="235">
        <f>IFERROR(Таблица4[[#This Row],[S ПП]]-Таблица4[[#This Row],[S ДДУ]],)</f>
        <v>0</v>
      </c>
      <c r="M274" s="235">
        <f>ROUND(_xlfn.XLOOKUP(Таблица4[[#This Row],[№]],Реестр_Д4[№],Реестр_Д4[Итоговая сумма скидки],"",0),2)</f>
        <v>0</v>
      </c>
      <c r="N274" s="235" cm="1">
        <f t="array" ref="N27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4" s="235">
        <f>IFERROR(Таблица4[[#This Row],[ППС]]-Таблица4[[#This Row],[ДДУС]],)</f>
        <v>0</v>
      </c>
      <c r="P274" s="611"/>
      <c r="Q274" s="234">
        <f>VLOOKUP(ППД5!A271,Реестр_Д5[№],1,0)</f>
        <v>270</v>
      </c>
      <c r="R274" s="234" t="str">
        <f>VLOOKUP(ППД5!CH271,Реестр_Д5[Статус],1,0)</f>
        <v>Продажа</v>
      </c>
      <c r="S274" s="612">
        <f>VLOOKUP(ППД5!BZ271,Реестр_Д5[Стоимость ОН без отделки со скидкой],1,0)</f>
        <v>2930584.71</v>
      </c>
      <c r="T274" s="612" cm="1">
        <f t="array" ref="T274">IFERROR(INDEX(РД[Стоимость без отделки итог],MATCH($Q$3&amp;Таблица10[[#This Row],[№]]&amp;"Продажа",РД[Дом]&amp;РД[№ кв]&amp;РД[Состояние],0),1),Таблица10[[#This Row],[Статус]])</f>
        <v>2930584.71</v>
      </c>
      <c r="U274" s="235">
        <f>IFERROR((Таблица10[[#This Row],[ПП]]-Таблица10[[#This Row],[ДДУ]])*1,)</f>
        <v>0</v>
      </c>
      <c r="V274" s="235" cm="1">
        <f t="array" ref="V274">IFERROR(INDEX(РД[Стоимость с отделкой итог],MATCH($Q$3&amp;Таблица10[[#This Row],[№]]&amp;"Продажа",РД[Дом]&amp;РД[№ кв]&amp;РД[Состояние],0),1),Таблица10[[#This Row],[Статус]])</f>
        <v>3069824.71</v>
      </c>
      <c r="W274" s="235">
        <f>_xlfn.XLOOKUP(Таблица10[[#This Row],[№]],Реестр_Д5[№],Реестр_Д5[Стоимость квартиры с отделкой],"-",0)</f>
        <v>3069824.71</v>
      </c>
      <c r="X274" s="235">
        <f>IFERROR(Таблица10[[#This Row],[СО ПП]]-Таблица10[[#This Row],[СО ДДУ]],"")</f>
        <v>0</v>
      </c>
      <c r="Y274" s="233" cm="1">
        <f t="array" ref="Y274">IFERROR(INDEX(РД[S],MATCH($Q$3&amp;Таблица10[[#This Row],[№]]&amp;"Продажа",РД[Дом]&amp;РД[№ кв]&amp;РД[Состояние],0),1),Таблица10[[#This Row],[Статус]])</f>
        <v>34.81</v>
      </c>
      <c r="Z274" s="233">
        <f>IF(Таблица10[[#This Row],[№]]&amp;"ДДУ"=ППД5!A271&amp;ППД5!CR271,ППД5!U271,ППД5!V271)</f>
        <v>34.81</v>
      </c>
      <c r="AA274" s="285">
        <f>IFERROR(Таблица10[[#This Row],[S ПП]]-Таблица10[[#This Row],[S ДДУ]],)</f>
        <v>0</v>
      </c>
      <c r="AB274" s="235">
        <f>ROUND(_xlfn.XLOOKUP(Таблица10[[#This Row],[№]],Реестр_Д5[№],Реестр_Д5[Итоговая сумма скидки],"",0),2)</f>
        <v>20000</v>
      </c>
      <c r="AC274" s="235" cm="1">
        <f t="array" ref="AC274">IFERROR(ROUND(_xlfn.XLOOKUP($Q$3&amp;Таблица10[[#This Row],[№]]&amp;"Продажа",РД[Дом]&amp;РД[№ кв]&amp;РД[Состояние],РД[Сумма скидки],"",0,-1),2),Таблица10[[#This Row],[Статус]])</f>
        <v>20000</v>
      </c>
      <c r="AD274" s="285">
        <f>IFERROR(Таблица10[[#This Row],[ППС]]-Таблица10[[#This Row],[ДДУС]],)</f>
        <v>0</v>
      </c>
      <c r="AE274" s="611"/>
      <c r="AT274" s="611"/>
      <c r="AU274" s="484">
        <f>VLOOKUP(ППД402!A271,Д402[],1,0)</f>
        <v>270</v>
      </c>
      <c r="AV274" s="484" t="str">
        <f>_xlfn.XLOOKUP(Т402[[#This Row],[№]],Д402[№],Д402[Статус],"-",0)</f>
        <v>Стр. Резерв</v>
      </c>
      <c r="AW274" s="613">
        <f>_xlfn.XLOOKUP(Т402[[#This Row],[№]],Д402[№],Д402[Стоимость ОН без отделки со скидкой],"-",0)</f>
        <v>4066300</v>
      </c>
      <c r="AX274" s="614" t="str" cm="1">
        <f t="array" ref="AX274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74" s="485" t="str">
        <f>IFERROR((Т402[[#This Row],[ПП]]-Т402[[#This Row],[ДДУ]])*1,"")</f>
        <v/>
      </c>
      <c r="AZ274" s="486" t="str" cm="1">
        <f t="array" ref="AZ274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74" s="485">
        <f>_xlfn.XLOOKUP(Т402[[#This Row],[№]],Д402[№],Д402[Стоимость квартиры с отделкой],"-",0)</f>
        <v>4066299.9999999991</v>
      </c>
      <c r="BB274" s="485" t="str">
        <f>IFERROR(Т402[[#This Row],[СО ПП]]-Т402[[#This Row],[СО ДДУ]],"")</f>
        <v/>
      </c>
      <c r="BC274" s="487" t="str" cm="1">
        <f t="array" ref="BC274">IFERROR(INDEX(РД[S],MATCH($AU$3&amp;Т402[[#This Row],[№]]&amp;"Продажа",РД[Дом]&amp;РД[№ кв]&amp;РД[Состояние],0),1),Т402[[#This Row],[Статус]])</f>
        <v>Стр. Резерв</v>
      </c>
      <c r="BD274" s="483">
        <f>_xlfn.XLOOKUP(Т402[[#This Row],[№]],Д402[№],Д402[Расчетная проектная площадь],"-",0)</f>
        <v>29.43</v>
      </c>
      <c r="BE274" s="485" t="str">
        <f>IFERROR(Т402[[#This Row],[S ПП]]-Т402[[#This Row],[S ДДУ]],"")</f>
        <v/>
      </c>
      <c r="BF274" s="485">
        <f>_xlfn.XLOOKUP(Т402[[#This Row],[№]],Д402[№],Д402[Итоговая сумма скидки],"-",0)</f>
        <v>0</v>
      </c>
      <c r="BG274" s="486" t="str" cm="1">
        <f t="array" ref="BG274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74" s="488" t="str">
        <f>IFERROR(Т402[[#This Row],[ППС]]-Т402[[#This Row],[ДДУС]],"")</f>
        <v/>
      </c>
    </row>
    <row r="275" spans="1:60" x14ac:dyDescent="0.2">
      <c r="A275" s="611"/>
      <c r="B275" s="234">
        <f>VLOOKUP(ППД4!A272,Реестр_Д4[№],1,0)</f>
        <v>271</v>
      </c>
      <c r="C275" s="234" t="str">
        <f>VLOOKUP(ППД4!CO272,Реестр_Д4[Статус],1,0)</f>
        <v>Продажа</v>
      </c>
      <c r="D275" s="612">
        <f>VLOOKUP(ППД4!CE272,Реестр_Д4[Стоимость ОН без отделки со скидкой],1,0)</f>
        <v>2783176.2</v>
      </c>
      <c r="E275" s="612" cm="1">
        <f t="array" ref="E275">IFERROR(INDEX(РД[Стоимость без отделки итог],MATCH($B$3&amp;Таблица4[[#This Row],[№]]&amp;"Продажа",РД[Дом]&amp;РД[№ кв]&amp;РД[Состояние],0),1),Таблица4[[#This Row],[Статус]])</f>
        <v>2783176.2</v>
      </c>
      <c r="F275" s="235">
        <f>IFERROR((Таблица4[[#This Row],[ПП]]-Таблица4[[#This Row],[ДДУ]])*1,"")</f>
        <v>0</v>
      </c>
      <c r="G275" s="235" cm="1">
        <f t="array" ref="G275">IFERROR(INDEX(РД[Стоимость с отделкой итог],MATCH($B$3&amp;Таблица4[[#This Row],[№]]&amp;"Продажа",РД[Дом]&amp;РД[№ кв]&amp;РД[Состояние],0),1),Таблица4[[#This Row],[Статус]])</f>
        <v>2783176.2</v>
      </c>
      <c r="H275" s="235">
        <f>_xlfn.XLOOKUP(Таблица4[[#This Row],[№]],Реестр_Д4[№],Реестр_Д4[Стоимость квартиры с отделкой],"-",0)</f>
        <v>2783176.2</v>
      </c>
      <c r="I275" s="235">
        <f>IFERROR(Таблица4[[#This Row],[СО ПП]]-Таблица4[[#This Row],[СО ДДУ]],"")</f>
        <v>0</v>
      </c>
      <c r="J275" s="233" cm="1">
        <f t="array" ref="J275">IFERROR(INDEX(РД[S],MATCH($B$3&amp;Таблица4[[#This Row],[№]]&amp;"Продажа",РД[Дом]&amp;РД[№ кв]&amp;РД[Состояние],0),1),Таблица4[[#This Row],[Статус]])</f>
        <v>36.450000000000003</v>
      </c>
      <c r="K275" s="233">
        <f>VLOOKUP(Таблица4[[#This Row],[№]],Реестр_Д4[],20,0)</f>
        <v>36.450000000000003</v>
      </c>
      <c r="L275" s="235">
        <f>IFERROR(Таблица4[[#This Row],[S ПП]]-Таблица4[[#This Row],[S ДДУ]],)</f>
        <v>0</v>
      </c>
      <c r="M275" s="235">
        <f>ROUND(_xlfn.XLOOKUP(Таблица4[[#This Row],[№]],Реестр_Д4[№],Реестр_Д4[Итоговая сумма скидки],"",0),2)</f>
        <v>0</v>
      </c>
      <c r="N275" s="235" cm="1">
        <f t="array" ref="N27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5" s="235">
        <f>IFERROR(Таблица4[[#This Row],[ППС]]-Таблица4[[#This Row],[ДДУС]],)</f>
        <v>0</v>
      </c>
      <c r="P275" s="611"/>
      <c r="Q275" s="234">
        <f>VLOOKUP(ППД5!A272,Реестр_Д5[№],1,0)</f>
        <v>271</v>
      </c>
      <c r="R275" s="234" t="str">
        <f>VLOOKUP(ППД5!CH272,Реестр_Д5[Статус],1,0)</f>
        <v>Продажа</v>
      </c>
      <c r="S275" s="612">
        <f>VLOOKUP(ППД5!BZ272,Реестр_Д5[Стоимость ОН без отделки со скидкой],1,0)</f>
        <v>7062600</v>
      </c>
      <c r="T275" s="612" cm="1">
        <f t="array" ref="T275">IFERROR(INDEX(РД[Стоимость без отделки итог],MATCH($Q$3&amp;Таблица10[[#This Row],[№]]&amp;"Продажа",РД[Дом]&amp;РД[№ кв]&amp;РД[Состояние],0),1),Таблица10[[#This Row],[Статус]])</f>
        <v>7062600</v>
      </c>
      <c r="U275" s="235">
        <f>IFERROR((Таблица10[[#This Row],[ПП]]-Таблица10[[#This Row],[ДДУ]])*1,)</f>
        <v>0</v>
      </c>
      <c r="V275" s="235" cm="1">
        <f t="array" ref="V275">IFERROR(INDEX(РД[Стоимость с отделкой итог],MATCH($Q$3&amp;Таблица10[[#This Row],[№]]&amp;"Продажа",РД[Дом]&amp;РД[№ кв]&amp;РД[Состояние],0),1),Таблица10[[#This Row],[Статус]])</f>
        <v>7578500</v>
      </c>
      <c r="W275" s="235">
        <f>_xlfn.XLOOKUP(Таблица10[[#This Row],[№]],Реестр_Д5[№],Реестр_Д5[Стоимость квартиры с отделкой],"-",0)</f>
        <v>7578500</v>
      </c>
      <c r="X275" s="235">
        <f>IFERROR(Таблица10[[#This Row],[СО ПП]]-Таблица10[[#This Row],[СО ДДУ]],"")</f>
        <v>0</v>
      </c>
      <c r="Y275" s="233" cm="1">
        <f t="array" ref="Y275">IFERROR(INDEX(РД[S],MATCH($Q$3&amp;Таблица10[[#This Row],[№]]&amp;"Продажа",РД[Дом]&amp;РД[№ кв]&amp;РД[Состояние],0),1),Таблица10[[#This Row],[Статус]])</f>
        <v>73.7</v>
      </c>
      <c r="Z275" s="233">
        <f>IF(Таблица10[[#This Row],[№]]&amp;"ДДУ"=ППД5!A272&amp;ППД5!CR272,ППД5!U272,ППД5!V272)</f>
        <v>73.7</v>
      </c>
      <c r="AA275" s="285">
        <f>IFERROR(Таблица10[[#This Row],[S ПП]]-Таблица10[[#This Row],[S ДДУ]],)</f>
        <v>0</v>
      </c>
      <c r="AB275" s="235">
        <f>ROUND(_xlfn.XLOOKUP(Таблица10[[#This Row],[№]],Реестр_Д5[№],Реестр_Д5[Итоговая сумма скидки],"",0),2)</f>
        <v>0</v>
      </c>
      <c r="AC275" s="235" cm="1">
        <f t="array" ref="AC27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5" s="285">
        <f>IFERROR(Таблица10[[#This Row],[ППС]]-Таблица10[[#This Row],[ДДУС]],)</f>
        <v>0</v>
      </c>
      <c r="AE275" s="611"/>
      <c r="AT275" s="611"/>
      <c r="AU275" s="484">
        <f>VLOOKUP(ППД402!A272,Д402[],1,0)</f>
        <v>271</v>
      </c>
      <c r="AV275" s="484" t="str">
        <f>_xlfn.XLOOKUP(Т402[[#This Row],[№]],Д402[№],Д402[Статус],"-",0)</f>
        <v>Продажа</v>
      </c>
      <c r="AW275" s="613">
        <f>_xlfn.XLOOKUP(Т402[[#This Row],[№]],Д402[№],Д402[Стоимость ОН без отделки со скидкой],"-",0)</f>
        <v>5341200</v>
      </c>
      <c r="AX275" s="614" cm="1">
        <f t="array" ref="AX275">IFERROR(INDEX(РД[Стоимость без отделки итог],MATCH($AU$3&amp;Т402[[#This Row],[№]]&amp;"Продажа",РД[Дом]&amp;РД[№ кв]&amp;РД[Состояние],0),1),Т402[[#This Row],[Статус]])</f>
        <v>5341200</v>
      </c>
      <c r="AY275" s="485">
        <f>IFERROR((Т402[[#This Row],[ПП]]-Т402[[#This Row],[ДДУ]])*1,"")</f>
        <v>0</v>
      </c>
      <c r="AZ275" s="486" cm="1">
        <f t="array" ref="AZ275">IFERROR(INDEX(РД[Стоимость с отделкой итог],MATCH($AU$3&amp;Т402[[#This Row],[№]]&amp;"Продажа",РД[Дом]&amp;РД[№ кв]&amp;РД[Состояние],0),1),Т402[[#This Row],[Статус]])</f>
        <v>5341200</v>
      </c>
      <c r="BA275" s="485">
        <f>_xlfn.XLOOKUP(Т402[[#This Row],[№]],Д402[№],Д402[Стоимость квартиры с отделкой],"-",0)</f>
        <v>5341200</v>
      </c>
      <c r="BB275" s="485">
        <f>IFERROR(Т402[[#This Row],[СО ПП]]-Т402[[#This Row],[СО ДДУ]],"")</f>
        <v>0</v>
      </c>
      <c r="BC275" s="487" cm="1">
        <f t="array" ref="BC275">IFERROR(INDEX(РД[S],MATCH($AU$3&amp;Т402[[#This Row],[№]]&amp;"Продажа",РД[Дом]&amp;РД[№ кв]&amp;РД[Состояние],0),1),Т402[[#This Row],[Статус]])</f>
        <v>43.88</v>
      </c>
      <c r="BD275" s="483">
        <f>_xlfn.XLOOKUP(Т402[[#This Row],[№]],Д402[№],Д402[Расчетная проектная площадь],"-",0)</f>
        <v>43.88</v>
      </c>
      <c r="BE275" s="485">
        <f>IFERROR(Т402[[#This Row],[S ПП]]-Т402[[#This Row],[S ДДУ]],"")</f>
        <v>0</v>
      </c>
      <c r="BF275" s="485">
        <f>_xlfn.XLOOKUP(Т402[[#This Row],[№]],Д402[№],Д402[Итоговая сумма скидки],"-",0)</f>
        <v>50000</v>
      </c>
      <c r="BG275" s="486" cm="1">
        <f t="array" ref="BG275">IFERROR(ROUND(_xlfn.XLOOKUP($AU$3&amp;Т402[[#This Row],[№]]&amp;"Продажа",РД[Дом]&amp;РД[№ кв]&amp;РД[Состояние],РД[Сумма скидки],"",0),2),Т402[[#This Row],[Статус]])</f>
        <v>50000</v>
      </c>
      <c r="BH275" s="488">
        <f>IFERROR(Т402[[#This Row],[ППС]]-Т402[[#This Row],[ДДУС]],"")</f>
        <v>0</v>
      </c>
    </row>
    <row r="276" spans="1:60" x14ac:dyDescent="0.2">
      <c r="A276" s="611"/>
      <c r="B276" s="234">
        <f>VLOOKUP(ППД4!A273,Реестр_Д4[№],1,0)</f>
        <v>272</v>
      </c>
      <c r="C276" s="234" t="str">
        <f>VLOOKUP(ППД4!CO273,Реестр_Д4[Статус],1,0)</f>
        <v>Продажа</v>
      </c>
      <c r="D276" s="612">
        <f>VLOOKUP(ППД4!CE273,Реестр_Д4[Стоимость ОН без отделки со скидкой],1,0)</f>
        <v>4940004.0199999996</v>
      </c>
      <c r="E276" s="612" cm="1">
        <f t="array" ref="E276">IFERROR(INDEX(РД[Стоимость без отделки итог],MATCH($B$3&amp;Таблица4[[#This Row],[№]]&amp;"Продажа",РД[Дом]&amp;РД[№ кв]&amp;РД[Состояние],0),1),Таблица4[[#This Row],[Статус]])</f>
        <v>4940004.0199999996</v>
      </c>
      <c r="F276" s="235">
        <f>IFERROR((Таблица4[[#This Row],[ПП]]-Таблица4[[#This Row],[ДДУ]])*1,"")</f>
        <v>0</v>
      </c>
      <c r="G276" s="235" cm="1">
        <f t="array" ref="G276">IFERROR(INDEX(РД[Стоимость с отделкой итог],MATCH($B$3&amp;Таблица4[[#This Row],[№]]&amp;"Продажа",РД[Дом]&amp;РД[№ кв]&amp;РД[Состояние],0),1),Таблица4[[#This Row],[Статус]])</f>
        <v>5203479.0199999996</v>
      </c>
      <c r="H276" s="235">
        <f>_xlfn.XLOOKUP(Таблица4[[#This Row],[№]],Реестр_Д4[№],Реестр_Д4[Стоимость квартиры с отделкой],"-",0)</f>
        <v>5203479.0199999996</v>
      </c>
      <c r="I276" s="235">
        <f>IFERROR(Таблица4[[#This Row],[СО ПП]]-Таблица4[[#This Row],[СО ДДУ]],"")</f>
        <v>0</v>
      </c>
      <c r="J276" s="233" cm="1">
        <f t="array" ref="J276">IFERROR(INDEX(РД[S],MATCH($B$3&amp;Таблица4[[#This Row],[№]]&amp;"Продажа",РД[Дом]&amp;РД[№ кв]&amp;РД[Состояние],0),1),Таблица4[[#This Row],[Статус]])</f>
        <v>58.55</v>
      </c>
      <c r="K276" s="233">
        <f>VLOOKUP(Таблица4[[#This Row],[№]],Реестр_Д4[],20,0)</f>
        <v>58.55</v>
      </c>
      <c r="L276" s="235">
        <f>IFERROR(Таблица4[[#This Row],[S ПП]]-Таблица4[[#This Row],[S ДДУ]],)</f>
        <v>0</v>
      </c>
      <c r="M276" s="235">
        <f>ROUND(_xlfn.XLOOKUP(Таблица4[[#This Row],[№]],Реестр_Д4[№],Реестр_Д4[Итоговая сумма скидки],"",0),2)</f>
        <v>0</v>
      </c>
      <c r="N276" s="235" cm="1">
        <f t="array" ref="N27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6" s="235">
        <f>IFERROR(Таблица4[[#This Row],[ППС]]-Таблица4[[#This Row],[ДДУС]],)</f>
        <v>0</v>
      </c>
      <c r="P276" s="611"/>
      <c r="Q276" s="234">
        <f>VLOOKUP(ППД5!A273,Реестр_Д5[№],1,0)</f>
        <v>272</v>
      </c>
      <c r="R276" s="234" t="str">
        <f>VLOOKUP(ППД5!CH273,Реестр_Д5[Статус],1,0)</f>
        <v>Свободно</v>
      </c>
      <c r="S276" s="612">
        <f>VLOOKUP(ППД5!BZ273,Реестр_Д5[Стоимость ОН без отделки со скидкой],1,0)</f>
        <v>3749600</v>
      </c>
      <c r="T276" s="612" t="str" cm="1">
        <f t="array" ref="T27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76" s="235">
        <f>IFERROR((Таблица10[[#This Row],[ПП]]-Таблица10[[#This Row],[ДДУ]])*1,)</f>
        <v>0</v>
      </c>
      <c r="V276" s="235" t="str" cm="1">
        <f t="array" ref="V27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76" s="235">
        <f>_xlfn.XLOOKUP(Таблица10[[#This Row],[№]],Реестр_Д5[№],Реестр_Д5[Стоимость квартиры с отделкой],"-",0)</f>
        <v>3749600.0000000009</v>
      </c>
      <c r="X276" s="235" t="str">
        <f>IFERROR(Таблица10[[#This Row],[СО ПП]]-Таблица10[[#This Row],[СО ДДУ]],"")</f>
        <v/>
      </c>
      <c r="Y276" s="233" t="str" cm="1">
        <f t="array" ref="Y276">IFERROR(INDEX(РД[S],MATCH($Q$3&amp;Таблица10[[#This Row],[№]]&amp;"Продажа",РД[Дом]&amp;РД[№ кв]&amp;РД[Состояние],0),1),Таблица10[[#This Row],[Статус]])</f>
        <v>Свободно</v>
      </c>
      <c r="Z276" s="233">
        <f>IF(Таблица10[[#This Row],[№]]&amp;"ДДУ"=ППД5!A273&amp;ППД5!CR273,ППД5!U273,ППД5!V273)</f>
        <v>24.25</v>
      </c>
      <c r="AA276" s="285">
        <f>IFERROR(Таблица10[[#This Row],[S ПП]]-Таблица10[[#This Row],[S ДДУ]],)</f>
        <v>0</v>
      </c>
      <c r="AB276" s="235">
        <f>ROUND(_xlfn.XLOOKUP(Таблица10[[#This Row],[№]],Реестр_Д5[№],Реестр_Д5[Итоговая сумма скидки],"",0),2)</f>
        <v>0</v>
      </c>
      <c r="AC276" s="235" t="str" cm="1">
        <f t="array" ref="AC27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76" s="285">
        <f>IFERROR(Таблица10[[#This Row],[ППС]]-Таблица10[[#This Row],[ДДУС]],)</f>
        <v>0</v>
      </c>
      <c r="AE276" s="611"/>
      <c r="AT276" s="611"/>
      <c r="AU276" s="484">
        <f>VLOOKUP(ППД402!A273,Д402[],1,0)</f>
        <v>272</v>
      </c>
      <c r="AV276" s="484" t="str">
        <f>_xlfn.XLOOKUP(Т402[[#This Row],[№]],Д402[№],Д402[Статус],"-",0)</f>
        <v>Продажа</v>
      </c>
      <c r="AW276" s="613">
        <f>_xlfn.XLOOKUP(Т402[[#This Row],[№]],Д402[№],Д402[Стоимость ОН без отделки со скидкой],"-",0)</f>
        <v>4460739</v>
      </c>
      <c r="AX276" s="614" cm="1">
        <f t="array" ref="AX276">IFERROR(INDEX(РД[Стоимость без отделки итог],MATCH($AU$3&amp;Т402[[#This Row],[№]]&amp;"Продажа",РД[Дом]&amp;РД[№ кв]&amp;РД[Состояние],0),1),Т402[[#This Row],[Статус]])</f>
        <v>4460739</v>
      </c>
      <c r="AY276" s="485">
        <f>IFERROR((Т402[[#This Row],[ПП]]-Т402[[#This Row],[ДДУ]])*1,"")</f>
        <v>0</v>
      </c>
      <c r="AZ276" s="486" cm="1">
        <f t="array" ref="AZ276">IFERROR(INDEX(РД[Стоимость с отделкой итог],MATCH($AU$3&amp;Т402[[#This Row],[№]]&amp;"Продажа",РД[Дом]&amp;РД[№ кв]&amp;РД[Состояние],0),1),Т402[[#This Row],[Статус]])</f>
        <v>4460739</v>
      </c>
      <c r="BA276" s="485">
        <f>_xlfn.XLOOKUP(Т402[[#This Row],[№]],Д402[№],Д402[Стоимость квартиры с отделкой],"-",0)</f>
        <v>4460739</v>
      </c>
      <c r="BB276" s="485">
        <f>IFERROR(Т402[[#This Row],[СО ПП]]-Т402[[#This Row],[СО ДДУ]],"")</f>
        <v>0</v>
      </c>
      <c r="BC276" s="487" cm="1">
        <f t="array" ref="BC276">IFERROR(INDEX(РД[S],MATCH($AU$3&amp;Т402[[#This Row],[№]]&amp;"Продажа",РД[Дом]&amp;РД[№ кв]&amp;РД[Состояние],0),1),Т402[[#This Row],[Статус]])</f>
        <v>36.35</v>
      </c>
      <c r="BD276" s="483">
        <f>_xlfn.XLOOKUP(Т402[[#This Row],[№]],Д402[№],Д402[Расчетная проектная площадь],"-",0)</f>
        <v>36.35</v>
      </c>
      <c r="BE276" s="485">
        <f>IFERROR(Т402[[#This Row],[S ПП]]-Т402[[#This Row],[S ДДУ]],"")</f>
        <v>0</v>
      </c>
      <c r="BF276" s="485">
        <f>_xlfn.XLOOKUP(Т402[[#This Row],[№]],Д402[№],Д402[Итоговая сумма скидки],"-",0)</f>
        <v>137961</v>
      </c>
      <c r="BG276" s="486" cm="1">
        <f t="array" ref="BG276">IFERROR(ROUND(_xlfn.XLOOKUP($AU$3&amp;Т402[[#This Row],[№]]&amp;"Продажа",РД[Дом]&amp;РД[№ кв]&amp;РД[Состояние],РД[Сумма скидки],"",0),2),Т402[[#This Row],[Статус]])</f>
        <v>137961</v>
      </c>
      <c r="BH276" s="488">
        <f>IFERROR(Т402[[#This Row],[ППС]]-Т402[[#This Row],[ДДУС]],"")</f>
        <v>0</v>
      </c>
    </row>
    <row r="277" spans="1:60" x14ac:dyDescent="0.2">
      <c r="A277" s="611"/>
      <c r="B277" s="234">
        <f>VLOOKUP(ППД4!A274,Реестр_Д4[№],1,0)</f>
        <v>273</v>
      </c>
      <c r="C277" s="234" t="str">
        <f>VLOOKUP(ППД4!CO274,Реестр_Д4[Статус],1,0)</f>
        <v>Продажа</v>
      </c>
      <c r="D277" s="612">
        <f>VLOOKUP(ППД4!CE274,Реестр_Д4[Стоимость ОН без отделки со скидкой],1,0)</f>
        <v>4076720.28</v>
      </c>
      <c r="E277" s="612" cm="1">
        <f t="array" ref="E277">IFERROR(INDEX(РД[Стоимость без отделки итог],MATCH($B$3&amp;Таблица4[[#This Row],[№]]&amp;"Продажа",РД[Дом]&amp;РД[№ кв]&amp;РД[Состояние],0),1),Таблица4[[#This Row],[Статус]])</f>
        <v>4076720.2800000003</v>
      </c>
      <c r="F277" s="235">
        <f>IFERROR((Таблица4[[#This Row],[ПП]]-Таблица4[[#This Row],[ДДУ]])*1,"")</f>
        <v>-4.6566128730773926E-10</v>
      </c>
      <c r="G277" s="235" cm="1">
        <f t="array" ref="G277">IFERROR(INDEX(РД[Стоимость с отделкой итог],MATCH($B$3&amp;Таблица4[[#This Row],[№]]&amp;"Продажа",РД[Дом]&amp;РД[№ кв]&amp;РД[Состояние],0),1),Таблица4[[#This Row],[Статус]])</f>
        <v>4303520.28</v>
      </c>
      <c r="H277" s="235">
        <f>_xlfn.XLOOKUP(Таблица4[[#This Row],[№]],Реестр_Д4[№],Реестр_Д4[Стоимость квартиры с отделкой],"-",0)</f>
        <v>4303520.28</v>
      </c>
      <c r="I277" s="235">
        <f>IFERROR(Таблица4[[#This Row],[СО ПП]]-Таблица4[[#This Row],[СО ДДУ]],"")</f>
        <v>0</v>
      </c>
      <c r="J277" s="233" cm="1">
        <f t="array" ref="J277">IFERROR(INDEX(РД[S],MATCH($B$3&amp;Таблица4[[#This Row],[№]]&amp;"Продажа",РД[Дом]&amp;РД[№ кв]&amp;РД[Состояние],0),1),Таблица4[[#This Row],[Статус]])</f>
        <v>56.7</v>
      </c>
      <c r="K277" s="233">
        <f>VLOOKUP(Таблица4[[#This Row],[№]],Реестр_Д4[],20,0)</f>
        <v>56.7</v>
      </c>
      <c r="L277" s="235">
        <f>IFERROR(Таблица4[[#This Row],[S ПП]]-Таблица4[[#This Row],[S ДДУ]],)</f>
        <v>0</v>
      </c>
      <c r="M277" s="235">
        <f>ROUND(_xlfn.XLOOKUP(Таблица4[[#This Row],[№]],Реестр_Д4[№],Реестр_Д4[Итоговая сумма скидки],"",0),2)</f>
        <v>214564.23</v>
      </c>
      <c r="N277" s="235" cm="1">
        <f t="array" ref="N277">IFERROR(ROUND(_xlfn.XLOOKUP($B$3&amp;Таблица4[[#This Row],[№]]&amp;"Продажа",РД[Дом]&amp;РД[№ кв]&amp;РД[Состояние],РД[Сумма скидки],"",0),2),Таблица4[[#This Row],[Статус]])</f>
        <v>214564.23</v>
      </c>
      <c r="O277" s="235">
        <f>IFERROR(Таблица4[[#This Row],[ППС]]-Таблица4[[#This Row],[ДДУС]],)</f>
        <v>0</v>
      </c>
      <c r="P277" s="611"/>
      <c r="Q277" s="234">
        <f>VLOOKUP(ППД5!A274,Реестр_Д5[№],1,0)</f>
        <v>273</v>
      </c>
      <c r="R277" s="234" t="str">
        <f>VLOOKUP(ППД5!CH274,Реестр_Д5[Статус],1,0)</f>
        <v>Продажа</v>
      </c>
      <c r="S277" s="612">
        <f>VLOOKUP(ППД5!BZ274,Реестр_Д5[Стоимость ОН без отделки со скидкой],1,0)</f>
        <v>5392700</v>
      </c>
      <c r="T277" s="612" cm="1">
        <f t="array" ref="T277">IFERROR(INDEX(РД[Стоимость без отделки итог],MATCH($Q$3&amp;Таблица10[[#This Row],[№]]&amp;"Продажа",РД[Дом]&amp;РД[№ кв]&amp;РД[Состояние],0),1),Таблица10[[#This Row],[Статус]])</f>
        <v>5392700</v>
      </c>
      <c r="U277" s="235">
        <f>IFERROR((Таблица10[[#This Row],[ПП]]-Таблица10[[#This Row],[ДДУ]])*1,)</f>
        <v>0</v>
      </c>
      <c r="V277" s="235" cm="1">
        <f t="array" ref="V277">IFERROR(INDEX(РД[Стоимость с отделкой итог],MATCH($Q$3&amp;Таблица10[[#This Row],[№]]&amp;"Продажа",РД[Дом]&amp;РД[№ кв]&amp;РД[Состояние],0),1),Таблица10[[#This Row],[Статус]])</f>
        <v>5788760</v>
      </c>
      <c r="W277" s="235">
        <f>_xlfn.XLOOKUP(Таблица10[[#This Row],[№]],Реестр_Д5[№],Реестр_Д5[Стоимость квартиры с отделкой],"-",0)</f>
        <v>5788760</v>
      </c>
      <c r="X277" s="235">
        <f>IFERROR(Таблица10[[#This Row],[СО ПП]]-Таблица10[[#This Row],[СО ДДУ]],"")</f>
        <v>0</v>
      </c>
      <c r="Y277" s="233" cm="1">
        <f t="array" ref="Y277">IFERROR(INDEX(РД[S],MATCH($Q$3&amp;Таблица10[[#This Row],[№]]&amp;"Продажа",РД[Дом]&amp;РД[№ кв]&amp;РД[Состояние],0),1),Таблица10[[#This Row],[Статус]])</f>
        <v>56.58</v>
      </c>
      <c r="Z277" s="233">
        <f>IF(Таблица10[[#This Row],[№]]&amp;"ДДУ"=ППД5!A274&amp;ППД5!CR274,ППД5!U274,ППД5!V274)</f>
        <v>56.58</v>
      </c>
      <c r="AA277" s="285">
        <f>IFERROR(Таблица10[[#This Row],[S ПП]]-Таблица10[[#This Row],[S ДДУ]],)</f>
        <v>0</v>
      </c>
      <c r="AB277" s="235">
        <f>ROUND(_xlfn.XLOOKUP(Таблица10[[#This Row],[№]],Реестр_Д5[№],Реестр_Д5[Итоговая сумма скидки],"",0),2)</f>
        <v>90000</v>
      </c>
      <c r="AC277" s="235" cm="1">
        <f t="array" ref="AC277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277" s="285">
        <f>IFERROR(Таблица10[[#This Row],[ППС]]-Таблица10[[#This Row],[ДДУС]],)</f>
        <v>0</v>
      </c>
      <c r="AE277" s="611"/>
      <c r="AT277" s="611"/>
      <c r="AU277" s="484">
        <f>VLOOKUP(ППД402!A274,Д402[],1,0)</f>
        <v>273</v>
      </c>
      <c r="AV277" s="484" t="str">
        <f>_xlfn.XLOOKUP(Т402[[#This Row],[№]],Д402[№],Д402[Статус],"-",0)</f>
        <v>Продажа</v>
      </c>
      <c r="AW277" s="613">
        <f>_xlfn.XLOOKUP(Т402[[#This Row],[№]],Д402[№],Д402[Стоимость ОН без отделки со скидкой],"-",0)</f>
        <v>6413904</v>
      </c>
      <c r="AX277" s="614" cm="1">
        <f t="array" ref="AX277">IFERROR(INDEX(РД[Стоимость без отделки итог],MATCH($AU$3&amp;Т402[[#This Row],[№]]&amp;"Продажа",РД[Дом]&amp;РД[№ кв]&amp;РД[Состояние],0),1),Т402[[#This Row],[Статус]])</f>
        <v>6413904</v>
      </c>
      <c r="AY277" s="485">
        <f>IFERROR((Т402[[#This Row],[ПП]]-Т402[[#This Row],[ДДУ]])*1,"")</f>
        <v>0</v>
      </c>
      <c r="AZ277" s="486" cm="1">
        <f t="array" ref="AZ277">IFERROR(INDEX(РД[Стоимость с отделкой итог],MATCH($AU$3&amp;Т402[[#This Row],[№]]&amp;"Продажа",РД[Дом]&amp;РД[№ кв]&amp;РД[Состояние],0),1),Т402[[#This Row],[Статус]])</f>
        <v>6954704</v>
      </c>
      <c r="BA277" s="485">
        <f>_xlfn.XLOOKUP(Т402[[#This Row],[№]],Д402[№],Д402[Стоимость квартиры с отделкой],"-",0)</f>
        <v>6954704</v>
      </c>
      <c r="BB277" s="485">
        <f>IFERROR(Т402[[#This Row],[СО ПП]]-Т402[[#This Row],[СО ДДУ]],"")</f>
        <v>0</v>
      </c>
      <c r="BC277" s="487" cm="1">
        <f t="array" ref="BC277">IFERROR(INDEX(РД[S],MATCH($AU$3&amp;Т402[[#This Row],[№]]&amp;"Продажа",РД[Дом]&amp;РД[№ кв]&amp;РД[Состояние],0),1),Т402[[#This Row],[Статус]])</f>
        <v>54.08</v>
      </c>
      <c r="BD277" s="483">
        <f>_xlfn.XLOOKUP(Т402[[#This Row],[№]],Д402[№],Д402[Расчетная проектная площадь],"-",0)</f>
        <v>54.08</v>
      </c>
      <c r="BE277" s="485">
        <f>IFERROR(Т402[[#This Row],[S ПП]]-Т402[[#This Row],[S ДДУ]],"")</f>
        <v>0</v>
      </c>
      <c r="BF277" s="485">
        <f>_xlfn.XLOOKUP(Т402[[#This Row],[№]],Д402[№],Д402[Итоговая сумма скидки],"-",0)</f>
        <v>130896</v>
      </c>
      <c r="BG277" s="486" cm="1">
        <f t="array" ref="BG277">IFERROR(ROUND(_xlfn.XLOOKUP($AU$3&amp;Т402[[#This Row],[№]]&amp;"Продажа",РД[Дом]&amp;РД[№ кв]&amp;РД[Состояние],РД[Сумма скидки],"",0),2),Т402[[#This Row],[Статус]])</f>
        <v>130896</v>
      </c>
      <c r="BH277" s="488">
        <f>IFERROR(Т402[[#This Row],[ППС]]-Т402[[#This Row],[ДДУС]],"")</f>
        <v>0</v>
      </c>
    </row>
    <row r="278" spans="1:60" x14ac:dyDescent="0.2">
      <c r="A278" s="611"/>
      <c r="B278" s="234">
        <f>VLOOKUP(ППД4!A275,Реестр_Д4[№],1,0)</f>
        <v>274</v>
      </c>
      <c r="C278" s="234" t="str">
        <f>VLOOKUP(ППД4!CO275,Реестр_Д4[Статус],1,0)</f>
        <v>Продажа</v>
      </c>
      <c r="D278" s="612">
        <f>VLOOKUP(ППД4!CE275,Реестр_Д4[Стоимость ОН без отделки со скидкой],1,0)</f>
        <v>6980023</v>
      </c>
      <c r="E278" s="612" cm="1">
        <f t="array" ref="E278">IFERROR(INDEX(РД[Стоимость без отделки итог],MATCH($B$3&amp;Таблица4[[#This Row],[№]]&amp;"Продажа",РД[Дом]&amp;РД[№ кв]&amp;РД[Состояние],0),1),Таблица4[[#This Row],[Статус]])</f>
        <v>6980023</v>
      </c>
      <c r="F278" s="235">
        <f>IFERROR((Таблица4[[#This Row],[ПП]]-Таблица4[[#This Row],[ДДУ]])*1,"")</f>
        <v>0</v>
      </c>
      <c r="G278" s="235" cm="1">
        <f t="array" ref="G278">IFERROR(INDEX(РД[Стоимость с отделкой итог],MATCH($B$3&amp;Таблица4[[#This Row],[№]]&amp;"Продажа",РД[Дом]&amp;РД[№ кв]&amp;РД[Состояние],0),1),Таблица4[[#This Row],[Статус]])</f>
        <v>6980023</v>
      </c>
      <c r="H278" s="235">
        <f>_xlfn.XLOOKUP(Таблица4[[#This Row],[№]],Реестр_Д4[№],Реестр_Д4[Стоимость квартиры с отделкой],"-",0)</f>
        <v>6980023</v>
      </c>
      <c r="I278" s="235">
        <f>IFERROR(Таблица4[[#This Row],[СО ПП]]-Таблица4[[#This Row],[СО ДДУ]],"")</f>
        <v>0</v>
      </c>
      <c r="J278" s="233" cm="1">
        <f t="array" ref="J278">IFERROR(INDEX(РД[S],MATCH($B$3&amp;Таблица4[[#This Row],[№]]&amp;"Продажа",РД[Дом]&amp;РД[№ кв]&amp;РД[Состояние],0),1),Таблица4[[#This Row],[Статус]])</f>
        <v>72.510000000000005</v>
      </c>
      <c r="K278" s="233">
        <f>VLOOKUP(Таблица4[[#This Row],[№]],Реестр_Д4[],20,0)</f>
        <v>72.510000000000005</v>
      </c>
      <c r="L278" s="235">
        <f>IFERROR(Таблица4[[#This Row],[S ПП]]-Таблица4[[#This Row],[S ДДУ]],)</f>
        <v>0</v>
      </c>
      <c r="M278" s="235">
        <f>ROUND(_xlfn.XLOOKUP(Таблица4[[#This Row],[№]],Реестр_Д4[№],Реестр_Д4[Итоговая сумма скидки],"",0),2)</f>
        <v>215877</v>
      </c>
      <c r="N278" s="235" cm="1">
        <f t="array" ref="N278">IFERROR(ROUND(_xlfn.XLOOKUP($B$3&amp;Таблица4[[#This Row],[№]]&amp;"Продажа",РД[Дом]&amp;РД[№ кв]&amp;РД[Состояние],РД[Сумма скидки],"",0),2),Таблица4[[#This Row],[Статус]])</f>
        <v>215877</v>
      </c>
      <c r="O278" s="235">
        <f>IFERROR(Таблица4[[#This Row],[ППС]]-Таблица4[[#This Row],[ДДУС]],)</f>
        <v>0</v>
      </c>
      <c r="P278" s="611"/>
      <c r="Q278" s="234">
        <f>VLOOKUP(ППД5!A275,Реестр_Д5[№],1,0)</f>
        <v>274</v>
      </c>
      <c r="R278" s="234" t="str">
        <f>VLOOKUP(ППД5!CH275,Реестр_Д5[Статус],1,0)</f>
        <v>Продажа</v>
      </c>
      <c r="S278" s="612">
        <f>VLOOKUP(ППД5!BZ275,Реестр_Д5[Стоимость ОН без отделки со скидкой],1,0)</f>
        <v>5563241</v>
      </c>
      <c r="T278" s="612" cm="1">
        <f t="array" ref="T278">IFERROR(INDEX(РД[Стоимость без отделки итог],MATCH($Q$3&amp;Таблица10[[#This Row],[№]]&amp;"Продажа",РД[Дом]&amp;РД[№ кв]&amp;РД[Состояние],0),1),Таблица10[[#This Row],[Статус]])</f>
        <v>5563241</v>
      </c>
      <c r="U278" s="235">
        <f>IFERROR((Таблица10[[#This Row],[ПП]]-Таблица10[[#This Row],[ДДУ]])*1,)</f>
        <v>0</v>
      </c>
      <c r="V278" s="235" cm="1">
        <f t="array" ref="V278">IFERROR(INDEX(РД[Стоимость с отделкой итог],MATCH($Q$3&amp;Таблица10[[#This Row],[№]]&amp;"Продажа",РД[Дом]&amp;РД[№ кв]&amp;РД[Состояние],0),1),Таблица10[[#This Row],[Статус]])</f>
        <v>6768041</v>
      </c>
      <c r="W278" s="235">
        <f>_xlfn.XLOOKUP(Таблица10[[#This Row],[№]],Реестр_Д5[№],Реестр_Д5[Стоимость квартиры с отделкой],"-",0)</f>
        <v>6768041</v>
      </c>
      <c r="X278" s="235">
        <f>IFERROR(Таблица10[[#This Row],[СО ПП]]-Таблица10[[#This Row],[СО ДДУ]],"")</f>
        <v>0</v>
      </c>
      <c r="Y278" s="233" cm="1">
        <f t="array" ref="Y278">IFERROR(INDEX(РД[S],MATCH($Q$3&amp;Таблица10[[#This Row],[№]]&amp;"Продажа",РД[Дом]&amp;РД[№ кв]&amp;РД[Состояние],0),1),Таблица10[[#This Row],[Статус]])</f>
        <v>60.24</v>
      </c>
      <c r="Z278" s="233">
        <f>IF(Таблица10[[#This Row],[№]]&amp;"ДДУ"=ППД5!A275&amp;ППД5!CR275,ППД5!U275,ППД5!V275)</f>
        <v>60.24</v>
      </c>
      <c r="AA278" s="285">
        <f>IFERROR(Таблица10[[#This Row],[S ПП]]-Таблица10[[#This Row],[S ДДУ]],)</f>
        <v>0</v>
      </c>
      <c r="AB278" s="235">
        <f>ROUND(_xlfn.XLOOKUP(Таблица10[[#This Row],[№]],Реестр_Д5[№],Реестр_Д5[Итоговая сумма скидки],"",0),2)</f>
        <v>172059</v>
      </c>
      <c r="AC278" s="235" cm="1">
        <f t="array" ref="AC278">IFERROR(ROUND(_xlfn.XLOOKUP($Q$3&amp;Таблица10[[#This Row],[№]]&amp;"Продажа",РД[Дом]&amp;РД[№ кв]&amp;РД[Состояние],РД[Сумма скидки],"",0,-1),2),Таблица10[[#This Row],[Статус]])</f>
        <v>172059</v>
      </c>
      <c r="AD278" s="285">
        <f>IFERROR(Таблица10[[#This Row],[ППС]]-Таблица10[[#This Row],[ДДУС]],)</f>
        <v>0</v>
      </c>
      <c r="AE278" s="611"/>
      <c r="AT278" s="611"/>
      <c r="AU278" s="484">
        <f>VLOOKUP(ППД402!A275,Д402[],1,0)</f>
        <v>274</v>
      </c>
      <c r="AV278" s="484" t="str">
        <f>_xlfn.XLOOKUP(Т402[[#This Row],[№]],Д402[№],Д402[Статус],"-",0)</f>
        <v>Стр. Резерв</v>
      </c>
      <c r="AW278" s="613">
        <f>_xlfn.XLOOKUP(Т402[[#This Row],[№]],Д402[№],Д402[Стоимость ОН без отделки со скидкой],"-",0)</f>
        <v>6920300</v>
      </c>
      <c r="AX278" s="614" t="str" cm="1">
        <f t="array" ref="AX278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78" s="485" t="str">
        <f>IFERROR((Т402[[#This Row],[ПП]]-Т402[[#This Row],[ДДУ]])*1,"")</f>
        <v/>
      </c>
      <c r="AZ278" s="486" t="str" cm="1">
        <f t="array" ref="AZ278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78" s="485">
        <f>_xlfn.XLOOKUP(Т402[[#This Row],[№]],Д402[№],Д402[Стоимость квартиры с отделкой],"-",0)</f>
        <v>6920300</v>
      </c>
      <c r="BB278" s="485" t="str">
        <f>IFERROR(Т402[[#This Row],[СО ПП]]-Т402[[#This Row],[СО ДДУ]],"")</f>
        <v/>
      </c>
      <c r="BC278" s="487" t="str" cm="1">
        <f t="array" ref="BC278">IFERROR(INDEX(РД[S],MATCH($AU$3&amp;Т402[[#This Row],[№]]&amp;"Продажа",РД[Дом]&amp;РД[№ кв]&amp;РД[Состояние],0),1),Т402[[#This Row],[Статус]])</f>
        <v>Стр. Резерв</v>
      </c>
      <c r="BD278" s="483">
        <f>_xlfn.XLOOKUP(Т402[[#This Row],[№]],Д402[№],Д402[Расчетная проектная площадь],"-",0)</f>
        <v>55.73</v>
      </c>
      <c r="BE278" s="485" t="str">
        <f>IFERROR(Т402[[#This Row],[S ПП]]-Т402[[#This Row],[S ДДУ]],"")</f>
        <v/>
      </c>
      <c r="BF278" s="485">
        <f>_xlfn.XLOOKUP(Т402[[#This Row],[№]],Д402[№],Д402[Итоговая сумма скидки],"-",0)</f>
        <v>0</v>
      </c>
      <c r="BG278" s="486" t="str" cm="1">
        <f t="array" ref="BG278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78" s="488" t="str">
        <f>IFERROR(Т402[[#This Row],[ППС]]-Т402[[#This Row],[ДДУС]],"")</f>
        <v/>
      </c>
    </row>
    <row r="279" spans="1:60" x14ac:dyDescent="0.2">
      <c r="A279" s="611"/>
      <c r="B279" s="234">
        <f>VLOOKUP(ППД4!A276,Реестр_Д4[№],1,0)</f>
        <v>275</v>
      </c>
      <c r="C279" s="234" t="str">
        <f>VLOOKUP(ППД4!CO276,Реестр_Д4[Статус],1,0)</f>
        <v>Продажа</v>
      </c>
      <c r="D279" s="612">
        <f>VLOOKUP(ППД4!CE276,Реестр_Д4[Стоимость ОН без отделки со скидкой],1,0)</f>
        <v>2512112.4</v>
      </c>
      <c r="E279" s="612" cm="1">
        <f t="array" ref="E279">IFERROR(INDEX(РД[Стоимость без отделки итог],MATCH($B$3&amp;Таблица4[[#This Row],[№]]&amp;"Продажа",РД[Дом]&amp;РД[№ кв]&amp;РД[Состояние],0),1),Таблица4[[#This Row],[Статус]])</f>
        <v>2512112.4000000004</v>
      </c>
      <c r="F279" s="235">
        <f>IFERROR((Таблица4[[#This Row],[ПП]]-Таблица4[[#This Row],[ДДУ]])*1,"")</f>
        <v>-4.6566128730773926E-10</v>
      </c>
      <c r="G279" s="235" cm="1">
        <f t="array" ref="G279">IFERROR(INDEX(РД[Стоимость с отделкой итог],MATCH($B$3&amp;Таблица4[[#This Row],[№]]&amp;"Продажа",РД[Дом]&amp;РД[№ кв]&amp;РД[Состояние],0),1),Таблица4[[#This Row],[Статус]])</f>
        <v>3256592.4</v>
      </c>
      <c r="H279" s="235">
        <f>_xlfn.XLOOKUP(Таблица4[[#This Row],[№]],Реестр_Д4[№],Реестр_Д4[Стоимость квартиры с отделкой],"-",0)</f>
        <v>3256592.4</v>
      </c>
      <c r="I279" s="235">
        <f>IFERROR(Таблица4[[#This Row],[СО ПП]]-Таблица4[[#This Row],[СО ДДУ]],"")</f>
        <v>0</v>
      </c>
      <c r="J279" s="233" cm="1">
        <f t="array" ref="J279">IFERROR(INDEX(РД[S],MATCH($B$3&amp;Таблица4[[#This Row],[№]]&amp;"Продажа",РД[Дом]&amp;РД[№ кв]&amp;РД[Состояние],0),1),Таблица4[[#This Row],[Статус]])</f>
        <v>33.840000000000003</v>
      </c>
      <c r="K279" s="233">
        <f>VLOOKUP(Таблица4[[#This Row],[№]],Реестр_Д4[],20,0)</f>
        <v>33.840000000000003</v>
      </c>
      <c r="L279" s="235">
        <f>IFERROR(Таблица4[[#This Row],[S ПП]]-Таблица4[[#This Row],[S ДДУ]],)</f>
        <v>0</v>
      </c>
      <c r="M279" s="235">
        <f>ROUND(_xlfn.XLOOKUP(Таблица4[[#This Row],[№]],Реестр_Д4[№],Реестр_Д4[Итоговая сумма скидки],"",0),2)</f>
        <v>0</v>
      </c>
      <c r="N279" s="235" cm="1">
        <f t="array" ref="N27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79" s="235">
        <f>IFERROR(Таблица4[[#This Row],[ППС]]-Таблица4[[#This Row],[ДДУС]],)</f>
        <v>0</v>
      </c>
      <c r="P279" s="611"/>
      <c r="Q279" s="234">
        <f>VLOOKUP(ППД5!A276,Реестр_Д5[№],1,0)</f>
        <v>275</v>
      </c>
      <c r="R279" s="234" t="str">
        <f>VLOOKUP(ППД5!CH276,Реестр_Д5[Статус],1,0)</f>
        <v>Продажа</v>
      </c>
      <c r="S279" s="612">
        <f>VLOOKUP(ППД5!BZ276,Реестр_Д5[Стоимость ОН без отделки со скидкой],1,0)</f>
        <v>3404218.81</v>
      </c>
      <c r="T279" s="612" cm="1">
        <f t="array" ref="T279">IFERROR(INDEX(РД[Стоимость без отделки итог],MATCH($Q$3&amp;Таблица10[[#This Row],[№]]&amp;"Продажа",РД[Дом]&amp;РД[№ кв]&amp;РД[Состояние],0),1),Таблица10[[#This Row],[Статус]])</f>
        <v>3404218.81</v>
      </c>
      <c r="U279" s="235">
        <f>IFERROR((Таблица10[[#This Row],[ПП]]-Таблица10[[#This Row],[ДДУ]])*1,)</f>
        <v>0</v>
      </c>
      <c r="V279" s="235" cm="1">
        <f t="array" ref="V279">IFERROR(INDEX(РД[Стоимость с отделкой итог],MATCH($Q$3&amp;Таблица10[[#This Row],[№]]&amp;"Продажа",РД[Дом]&amp;РД[№ кв]&amp;РД[Состояние],0),1),Таблица10[[#This Row],[Статус]])</f>
        <v>3990273.81</v>
      </c>
      <c r="W279" s="235">
        <f>_xlfn.XLOOKUP(Таблица10[[#This Row],[№]],Реестр_Д5[№],Реестр_Д5[Стоимость квартиры с отделкой],"-",0)</f>
        <v>3990273.81</v>
      </c>
      <c r="X279" s="235">
        <f>IFERROR(Таблица10[[#This Row],[СО ПП]]-Таблица10[[#This Row],[СО ДДУ]],"")</f>
        <v>0</v>
      </c>
      <c r="Y279" s="233" cm="1">
        <f t="array" ref="Y279">IFERROR(INDEX(РД[S],MATCH($Q$3&amp;Таблица10[[#This Row],[№]]&amp;"Продажа",РД[Дом]&amp;РД[№ кв]&amp;РД[Состояние],0),1),Таблица10[[#This Row],[Статус]])</f>
        <v>37.81</v>
      </c>
      <c r="Z279" s="233">
        <f>IF(Таблица10[[#This Row],[№]]&amp;"ДДУ"=ППД5!A276&amp;ППД5!CR276,ППД5!U276,ППД5!V276)</f>
        <v>37.81</v>
      </c>
      <c r="AA279" s="285">
        <f>IFERROR(Таблица10[[#This Row],[S ПП]]-Таблица10[[#This Row],[S ДДУ]],)</f>
        <v>0</v>
      </c>
      <c r="AB279" s="235">
        <f>ROUND(_xlfn.XLOOKUP(Таблица10[[#This Row],[№]],Реестр_Д5[№],Реестр_Д5[Итоговая сумма скидки],"",0),2)</f>
        <v>0</v>
      </c>
      <c r="AC279" s="235" cm="1">
        <f t="array" ref="AC27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79" s="285">
        <f>IFERROR(Таблица10[[#This Row],[ППС]]-Таблица10[[#This Row],[ДДУС]],)</f>
        <v>0</v>
      </c>
      <c r="AE279" s="611"/>
      <c r="AT279" s="611"/>
      <c r="AU279" s="484">
        <f>VLOOKUP(ППД402!A276,Д402[],1,0)</f>
        <v>275</v>
      </c>
      <c r="AV279" s="484" t="str">
        <f>_xlfn.XLOOKUP(Т402[[#This Row],[№]],Д402[№],Д402[Статус],"-",0)</f>
        <v>Стр. Резерв</v>
      </c>
      <c r="AW279" s="613">
        <f>_xlfn.XLOOKUP(Т402[[#This Row],[№]],Д402[№],Д402[Стоимость ОН без отделки со скидкой],"-",0)</f>
        <v>7327400</v>
      </c>
      <c r="AX279" s="614" t="str" cm="1">
        <f t="array" ref="AX279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79" s="485" t="str">
        <f>IFERROR((Т402[[#This Row],[ПП]]-Т402[[#This Row],[ДДУ]])*1,"")</f>
        <v/>
      </c>
      <c r="AZ279" s="486" t="str" cm="1">
        <f t="array" ref="AZ279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79" s="485">
        <f>_xlfn.XLOOKUP(Т402[[#This Row],[№]],Д402[№],Д402[Стоимость квартиры с отделкой],"-",0)</f>
        <v>7327400</v>
      </c>
      <c r="BB279" s="485" t="str">
        <f>IFERROR(Т402[[#This Row],[СО ПП]]-Т402[[#This Row],[СО ДДУ]],"")</f>
        <v/>
      </c>
      <c r="BC279" s="487" t="str" cm="1">
        <f t="array" ref="BC279">IFERROR(INDEX(РД[S],MATCH($AU$3&amp;Т402[[#This Row],[№]]&amp;"Продажа",РД[Дом]&amp;РД[№ кв]&amp;РД[Состояние],0),1),Т402[[#This Row],[Статус]])</f>
        <v>Стр. Резерв</v>
      </c>
      <c r="BD279" s="483">
        <f>_xlfn.XLOOKUP(Т402[[#This Row],[№]],Д402[№],Д402[Расчетная проектная площадь],"-",0)</f>
        <v>59.03</v>
      </c>
      <c r="BE279" s="485" t="str">
        <f>IFERROR(Т402[[#This Row],[S ПП]]-Т402[[#This Row],[S ДДУ]],"")</f>
        <v/>
      </c>
      <c r="BF279" s="485">
        <f>_xlfn.XLOOKUP(Т402[[#This Row],[№]],Д402[№],Д402[Итоговая сумма скидки],"-",0)</f>
        <v>0</v>
      </c>
      <c r="BG279" s="486" t="str" cm="1">
        <f t="array" ref="BG279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79" s="488" t="str">
        <f>IFERROR(Т402[[#This Row],[ППС]]-Т402[[#This Row],[ДДУС]],"")</f>
        <v/>
      </c>
    </row>
    <row r="280" spans="1:60" x14ac:dyDescent="0.2">
      <c r="A280" s="611"/>
      <c r="B280" s="234">
        <f>VLOOKUP(ППД4!A277,Реестр_Д4[№],1,0)</f>
        <v>276</v>
      </c>
      <c r="C280" s="234" t="str">
        <f>VLOOKUP(ППД4!CO277,Реестр_Д4[Статус],1,0)</f>
        <v>Продажа</v>
      </c>
      <c r="D280" s="612">
        <f>VLOOKUP(ППД4!CE277,Реестр_Д4[Стоимость ОН без отделки со скидкой],1,0)</f>
        <v>2646505.35</v>
      </c>
      <c r="E280" s="612" cm="1">
        <f t="array" ref="E280">IFERROR(INDEX(РД[Стоимость без отделки итог],MATCH($B$3&amp;Таблица4[[#This Row],[№]]&amp;"Продажа",РД[Дом]&amp;РД[№ кв]&amp;РД[Состояние],0),1),Таблица4[[#This Row],[Статус]])</f>
        <v>2646505.3499999987</v>
      </c>
      <c r="F280" s="235">
        <f>IFERROR((Таблица4[[#This Row],[ПП]]-Таблица4[[#This Row],[ДДУ]])*1,"")</f>
        <v>1.3969838619232178E-9</v>
      </c>
      <c r="G280" s="235" cm="1">
        <f t="array" ref="G280">IFERROR(INDEX(РД[Стоимость с отделкой итог],MATCH($B$3&amp;Таблица4[[#This Row],[№]]&amp;"Продажа",РД[Дом]&amp;РД[№ кв]&amp;РД[Состояние],0),1),Таблица4[[#This Row],[Статус]])</f>
        <v>3086755.35</v>
      </c>
      <c r="H280" s="235">
        <f>_xlfn.XLOOKUP(Таблица4[[#This Row],[№]],Реестр_Д4[№],Реестр_Д4[Стоимость квартиры с отделкой],"-",0)</f>
        <v>3086755.35</v>
      </c>
      <c r="I280" s="235">
        <f>IFERROR(Таблица4[[#This Row],[СО ПП]]-Таблица4[[#This Row],[СО ДДУ]],"")</f>
        <v>0</v>
      </c>
      <c r="J280" s="233" cm="1">
        <f t="array" ref="J280">IFERROR(INDEX(РД[S],MATCH($B$3&amp;Таблица4[[#This Row],[№]]&amp;"Продажа",РД[Дом]&amp;РД[№ кв]&amp;РД[Состояние],0),1),Таблица4[[#This Row],[Статус]])</f>
        <v>29.35</v>
      </c>
      <c r="K280" s="233">
        <f>VLOOKUP(Таблица4[[#This Row],[№]],Реестр_Д4[],20,0)</f>
        <v>29.35</v>
      </c>
      <c r="L280" s="235">
        <f>IFERROR(Таблица4[[#This Row],[S ПП]]-Таблица4[[#This Row],[S ДДУ]],)</f>
        <v>0</v>
      </c>
      <c r="M280" s="235">
        <f>ROUND(_xlfn.XLOOKUP(Таблица4[[#This Row],[№]],Реестр_Д4[№],Реестр_Д4[Итоговая сумма скидки],"",0),2)</f>
        <v>0</v>
      </c>
      <c r="N280" s="235" cm="1">
        <f t="array" ref="N28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0" s="235">
        <f>IFERROR(Таблица4[[#This Row],[ППС]]-Таблица4[[#This Row],[ДДУС]],)</f>
        <v>0</v>
      </c>
      <c r="P280" s="611"/>
      <c r="Q280" s="234">
        <f>VLOOKUP(ППД5!A277,Реестр_Д5[№],1,0)</f>
        <v>276</v>
      </c>
      <c r="R280" s="234" t="str">
        <f>VLOOKUP(ППД5!CH277,Реестр_Д5[Статус],1,0)</f>
        <v>Продажа</v>
      </c>
      <c r="S280" s="612">
        <f>VLOOKUP(ППД5!BZ277,Реестр_Д5[Стоимость ОН без отделки со скидкой],1,0)</f>
        <v>7603733</v>
      </c>
      <c r="T280" s="612" cm="1">
        <f t="array" ref="T280">IFERROR(INDEX(РД[Стоимость без отделки итог],MATCH($Q$3&amp;Таблица10[[#This Row],[№]]&amp;"Продажа",РД[Дом]&amp;РД[№ кв]&amp;РД[Состояние],0),1),Таблица10[[#This Row],[Статус]])</f>
        <v>7603733</v>
      </c>
      <c r="U280" s="235">
        <f>IFERROR((Таблица10[[#This Row],[ПП]]-Таблица10[[#This Row],[ДДУ]])*1,)</f>
        <v>0</v>
      </c>
      <c r="V280" s="235" cm="1">
        <f t="array" ref="V280">IFERROR(INDEX(РД[Стоимость с отделкой итог],MATCH($Q$3&amp;Таблица10[[#This Row],[№]]&amp;"Продажа",РД[Дом]&amp;РД[№ кв]&amp;РД[Состояние],0),1),Таблица10[[#This Row],[Статус]])</f>
        <v>7603733</v>
      </c>
      <c r="W280" s="235">
        <f>_xlfn.XLOOKUP(Таблица10[[#This Row],[№]],Реестр_Д5[№],Реестр_Д5[Стоимость квартиры с отделкой],"-",0)</f>
        <v>7603733</v>
      </c>
      <c r="X280" s="235">
        <f>IFERROR(Таблица10[[#This Row],[СО ПП]]-Таблица10[[#This Row],[СО ДДУ]],"")</f>
        <v>0</v>
      </c>
      <c r="Y280" s="233" cm="1">
        <f t="array" ref="Y280">IFERROR(INDEX(РД[S],MATCH($Q$3&amp;Таблица10[[#This Row],[№]]&amp;"Продажа",РД[Дом]&amp;РД[№ кв]&amp;РД[Состояние],0),1),Таблица10[[#This Row],[Статус]])</f>
        <v>80.97</v>
      </c>
      <c r="Z280" s="233">
        <f>IF(Таблица10[[#This Row],[№]]&amp;"ДДУ"=ППД5!A277&amp;ППД5!CR277,ППД5!U277,ППД5!V277)</f>
        <v>80.97</v>
      </c>
      <c r="AA280" s="285">
        <f>IFERROR(Таблица10[[#This Row],[S ПП]]-Таблица10[[#This Row],[S ДДУ]],)</f>
        <v>0</v>
      </c>
      <c r="AB280" s="235">
        <f>ROUND(_xlfn.XLOOKUP(Таблица10[[#This Row],[№]],Реестр_Д5[№],Реестр_Д5[Итоговая сумма скидки],"",0),2)</f>
        <v>235167</v>
      </c>
      <c r="AC280" s="235" cm="1">
        <f t="array" ref="AC280">IFERROR(ROUND(_xlfn.XLOOKUP($Q$3&amp;Таблица10[[#This Row],[№]]&amp;"Продажа",РД[Дом]&amp;РД[№ кв]&amp;РД[Состояние],РД[Сумма скидки],"",0,-1),2),Таблица10[[#This Row],[Статус]])</f>
        <v>235167</v>
      </c>
      <c r="AD280" s="285">
        <f>IFERROR(Таблица10[[#This Row],[ППС]]-Таблица10[[#This Row],[ДДУС]],)</f>
        <v>0</v>
      </c>
      <c r="AE280" s="611"/>
      <c r="AT280" s="611"/>
      <c r="AU280" s="484">
        <f>VLOOKUP(ППД402!A277,Д402[],1,0)</f>
        <v>276</v>
      </c>
      <c r="AV280" s="484" t="str">
        <f>_xlfn.XLOOKUP(Т402[[#This Row],[№]],Д402[№],Д402[Статус],"-",0)</f>
        <v>Стр. Резерв</v>
      </c>
      <c r="AW280" s="613">
        <f>_xlfn.XLOOKUP(Т402[[#This Row],[№]],Д402[№],Д402[Стоимость ОН без отделки со скидкой],"-",0)</f>
        <v>4107500</v>
      </c>
      <c r="AX280" s="614" t="str" cm="1">
        <f t="array" ref="AX28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80" s="485" t="str">
        <f>IFERROR((Т402[[#This Row],[ПП]]-Т402[[#This Row],[ДДУ]])*1,"")</f>
        <v/>
      </c>
      <c r="AZ280" s="486" t="str" cm="1">
        <f t="array" ref="AZ28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80" s="485">
        <f>_xlfn.XLOOKUP(Т402[[#This Row],[№]],Д402[№],Д402[Стоимость квартиры с отделкой],"-",0)</f>
        <v>4990400</v>
      </c>
      <c r="BB280" s="485" t="str">
        <f>IFERROR(Т402[[#This Row],[СО ПП]]-Т402[[#This Row],[СО ДДУ]],"")</f>
        <v/>
      </c>
      <c r="BC280" s="487" t="str" cm="1">
        <f t="array" ref="BC280">IFERROR(INDEX(РД[S],MATCH($AU$3&amp;Т402[[#This Row],[№]]&amp;"Продажа",РД[Дом]&amp;РД[№ кв]&amp;РД[Состояние],0),1),Т402[[#This Row],[Статус]])</f>
        <v>Стр. Резерв</v>
      </c>
      <c r="BD280" s="483">
        <f>_xlfn.XLOOKUP(Т402[[#This Row],[№]],Д402[№],Д402[Расчетная проектная площадь],"-",0)</f>
        <v>29.43</v>
      </c>
      <c r="BE280" s="485" t="str">
        <f>IFERROR(Т402[[#This Row],[S ПП]]-Т402[[#This Row],[S ДДУ]],"")</f>
        <v/>
      </c>
      <c r="BF280" s="485">
        <f>_xlfn.XLOOKUP(Т402[[#This Row],[№]],Д402[№],Д402[Итоговая сумма скидки],"-",0)</f>
        <v>0</v>
      </c>
      <c r="BG280" s="486" t="str" cm="1">
        <f t="array" ref="BG28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80" s="488" t="str">
        <f>IFERROR(Т402[[#This Row],[ППС]]-Т402[[#This Row],[ДДУС]],"")</f>
        <v/>
      </c>
    </row>
    <row r="281" spans="1:60" x14ac:dyDescent="0.2">
      <c r="A281" s="611"/>
      <c r="B281" s="234">
        <f>VLOOKUP(ППД4!A278,Реестр_Д4[№],1,0)</f>
        <v>277</v>
      </c>
      <c r="C281" s="234" t="str">
        <f>VLOOKUP(ППД4!CO278,Реестр_Д4[Статус],1,0)</f>
        <v>Продажа</v>
      </c>
      <c r="D281" s="612">
        <f>VLOOKUP(ППД4!CE278,Реестр_Д4[Стоимость ОН без отделки со скидкой],1,0)</f>
        <v>6358000</v>
      </c>
      <c r="E281" s="612" cm="1">
        <f t="array" ref="E281">IFERROR(INDEX(РД[Стоимость без отделки итог],MATCH($B$3&amp;Таблица4[[#This Row],[№]]&amp;"Продажа",РД[Дом]&amp;РД[№ кв]&amp;РД[Состояние],0),1),Таблица4[[#This Row],[Статус]])</f>
        <v>6358000</v>
      </c>
      <c r="F281" s="235">
        <f>IFERROR((Таблица4[[#This Row],[ПП]]-Таблица4[[#This Row],[ДДУ]])*1,"")</f>
        <v>0</v>
      </c>
      <c r="G281" s="235" cm="1">
        <f t="array" ref="G281">IFERROR(INDEX(РД[Стоимость с отделкой итог],MATCH($B$3&amp;Таблица4[[#This Row],[№]]&amp;"Продажа",РД[Дом]&amp;РД[№ кв]&amp;РД[Состояние],0),1),Таблица4[[#This Row],[Статус]])</f>
        <v>6358000</v>
      </c>
      <c r="H281" s="235">
        <f>_xlfn.XLOOKUP(Таблица4[[#This Row],[№]],Реестр_Д4[№],Реестр_Д4[Стоимость квартиры с отделкой],"-",0)</f>
        <v>6358000</v>
      </c>
      <c r="I281" s="235">
        <f>IFERROR(Таблица4[[#This Row],[СО ПП]]-Таблица4[[#This Row],[СО ДДУ]],"")</f>
        <v>0</v>
      </c>
      <c r="J281" s="233" cm="1">
        <f t="array" ref="J281">IFERROR(INDEX(РД[S],MATCH($B$3&amp;Таблица4[[#This Row],[№]]&amp;"Продажа",РД[Дом]&amp;РД[№ кв]&amp;РД[Состояние],0),1),Таблица4[[#This Row],[Статус]])</f>
        <v>67.95</v>
      </c>
      <c r="K281" s="233">
        <f>VLOOKUP(Таблица4[[#This Row],[№]],Реестр_Д4[],20,0)</f>
        <v>67.95</v>
      </c>
      <c r="L281" s="235">
        <f>IFERROR(Таблица4[[#This Row],[S ПП]]-Таблица4[[#This Row],[S ДДУ]],)</f>
        <v>0</v>
      </c>
      <c r="M281" s="235">
        <f>ROUND(_xlfn.XLOOKUP(Таблица4[[#This Row],[№]],Реестр_Д4[№],Реестр_Д4[Итоговая сумма скидки],"",0),2)</f>
        <v>90000</v>
      </c>
      <c r="N281" s="235" cm="1">
        <f t="array" ref="N281">IFERROR(ROUND(_xlfn.XLOOKUP($B$3&amp;Таблица4[[#This Row],[№]]&amp;"Продажа",РД[Дом]&amp;РД[№ кв]&amp;РД[Состояние],РД[Сумма скидки],"",0),2),Таблица4[[#This Row],[Статус]])</f>
        <v>90000</v>
      </c>
      <c r="O281" s="235">
        <f>IFERROR(Таблица4[[#This Row],[ППС]]-Таблица4[[#This Row],[ДДУС]],)</f>
        <v>0</v>
      </c>
      <c r="P281" s="611"/>
      <c r="Q281" s="234">
        <f>VLOOKUP(ППД5!A278,Реестр_Д5[№],1,0)</f>
        <v>277</v>
      </c>
      <c r="R281" s="234" t="str">
        <f>VLOOKUP(ППД5!CH278,Реестр_Д5[Статус],1,0)</f>
        <v>Продажа</v>
      </c>
      <c r="S281" s="612">
        <f>VLOOKUP(ППД5!BZ278,Реестр_Д5[Стоимость ОН без отделки со скидкой],1,0)</f>
        <v>4212300</v>
      </c>
      <c r="T281" s="612" cm="1">
        <f t="array" ref="T281">IFERROR(INDEX(РД[Стоимость без отделки итог],MATCH($Q$3&amp;Таблица10[[#This Row],[№]]&amp;"Продажа",РД[Дом]&amp;РД[№ кв]&amp;РД[Состояние],0),1),Таблица10[[#This Row],[Статус]])</f>
        <v>4212300</v>
      </c>
      <c r="U281" s="235">
        <f>IFERROR((Таблица10[[#This Row],[ПП]]-Таблица10[[#This Row],[ДДУ]])*1,)</f>
        <v>0</v>
      </c>
      <c r="V281" s="235" cm="1">
        <f t="array" ref="V281">IFERROR(INDEX(РД[Стоимость с отделкой итог],MATCH($Q$3&amp;Таблица10[[#This Row],[№]]&amp;"Продажа",РД[Дом]&amp;РД[№ кв]&amp;РД[Состояние],0),1),Таблица10[[#This Row],[Статус]])</f>
        <v>4212300</v>
      </c>
      <c r="W281" s="235">
        <f>_xlfn.XLOOKUP(Таблица10[[#This Row],[№]],Реестр_Д5[№],Реестр_Д5[Стоимость квартиры с отделкой],"-",0)</f>
        <v>4212300</v>
      </c>
      <c r="X281" s="235">
        <f>IFERROR(Таблица10[[#This Row],[СО ПП]]-Таблица10[[#This Row],[СО ДДУ]],"")</f>
        <v>0</v>
      </c>
      <c r="Y281" s="233" cm="1">
        <f t="array" ref="Y281">IFERROR(INDEX(РД[S],MATCH($Q$3&amp;Таблица10[[#This Row],[№]]&amp;"Продажа",РД[Дом]&amp;РД[№ кв]&amp;РД[Состояние],0),1),Таблица10[[#This Row],[Статус]])</f>
        <v>34.81</v>
      </c>
      <c r="Z281" s="233">
        <f>IF(Таблица10[[#This Row],[№]]&amp;"ДДУ"=ППД5!A278&amp;ППД5!CR278,ППД5!U278,ППД5!V278)</f>
        <v>34.81</v>
      </c>
      <c r="AA281" s="285">
        <f>IFERROR(Таблица10[[#This Row],[S ПП]]-Таблица10[[#This Row],[S ДДУ]],)</f>
        <v>0</v>
      </c>
      <c r="AB281" s="235">
        <f>ROUND(_xlfn.XLOOKUP(Таблица10[[#This Row],[№]],Реестр_Д5[№],Реестр_Д5[Итоговая сумма скидки],"",0),2)</f>
        <v>0</v>
      </c>
      <c r="AC281" s="235" cm="1">
        <f t="array" ref="AC28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81" s="285">
        <f>IFERROR(Таблица10[[#This Row],[ППС]]-Таблица10[[#This Row],[ДДУС]],)</f>
        <v>0</v>
      </c>
      <c r="AE281" s="611"/>
      <c r="AT281" s="611"/>
      <c r="AU281" s="484">
        <f>VLOOKUP(ППД402!A278,Д402[],1,0)</f>
        <v>277</v>
      </c>
      <c r="AV281" s="484" t="str">
        <f>_xlfn.XLOOKUP(Т402[[#This Row],[№]],Д402[№],Д402[Статус],"-",0)</f>
        <v>Свободно</v>
      </c>
      <c r="AW281" s="613">
        <f>_xlfn.XLOOKUP(Т402[[#This Row],[№]],Д402[№],Д402[Стоимость ОН без отделки со скидкой],"-",0)</f>
        <v>5917400</v>
      </c>
      <c r="AX281" s="614" t="str" cm="1">
        <f t="array" ref="AX28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81" s="485" t="str">
        <f>IFERROR((Т402[[#This Row],[ПП]]-Т402[[#This Row],[ДДУ]])*1,"")</f>
        <v/>
      </c>
      <c r="AZ281" s="486" t="str" cm="1">
        <f t="array" ref="AZ28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81" s="485">
        <f>_xlfn.XLOOKUP(Т402[[#This Row],[№]],Д402[№],Д402[Стоимость квартиры с отделкой],"-",0)</f>
        <v>7233800</v>
      </c>
      <c r="BB281" s="485" t="str">
        <f>IFERROR(Т402[[#This Row],[СО ПП]]-Т402[[#This Row],[СО ДДУ]],"")</f>
        <v/>
      </c>
      <c r="BC281" s="487" t="str" cm="1">
        <f t="array" ref="BC281">IFERROR(INDEX(РД[S],MATCH($AU$3&amp;Т402[[#This Row],[№]]&amp;"Продажа",РД[Дом]&amp;РД[№ кв]&amp;РД[Состояние],0),1),Т402[[#This Row],[Статус]])</f>
        <v>Свободно</v>
      </c>
      <c r="BD281" s="483">
        <f>_xlfn.XLOOKUP(Т402[[#This Row],[№]],Д402[№],Д402[Расчетная проектная площадь],"-",0)</f>
        <v>43.88</v>
      </c>
      <c r="BE281" s="485" t="str">
        <f>IFERROR(Т402[[#This Row],[S ПП]]-Т402[[#This Row],[S ДДУ]],"")</f>
        <v/>
      </c>
      <c r="BF281" s="485">
        <f>_xlfn.XLOOKUP(Т402[[#This Row],[№]],Д402[№],Д402[Итоговая сумма скидки],"-",0)</f>
        <v>0</v>
      </c>
      <c r="BG281" s="486" t="str" cm="1">
        <f t="array" ref="BG28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81" s="488" t="str">
        <f>IFERROR(Т402[[#This Row],[ППС]]-Т402[[#This Row],[ДДУС]],"")</f>
        <v/>
      </c>
    </row>
    <row r="282" spans="1:60" x14ac:dyDescent="0.2">
      <c r="A282" s="611"/>
      <c r="B282" s="234">
        <f>VLOOKUP(ППД4!A279,Реестр_Д4[№],1,0)</f>
        <v>278</v>
      </c>
      <c r="C282" s="234" t="str">
        <f>VLOOKUP(ППД4!CO279,Реестр_Д4[Статус],1,0)</f>
        <v>Продажа</v>
      </c>
      <c r="D282" s="612">
        <f>VLOOKUP(ППД4!CE279,Реестр_Д4[Стоимость ОН без отделки со скидкой],1,0)</f>
        <v>3319583.15</v>
      </c>
      <c r="E282" s="612" cm="1">
        <f t="array" ref="E282">IFERROR(INDEX(РД[Стоимость без отделки итог],MATCH($B$3&amp;Таблица4[[#This Row],[№]]&amp;"Продажа",РД[Дом]&amp;РД[№ кв]&amp;РД[Состояние],0),1),Таблица4[[#This Row],[Статус]])</f>
        <v>3319583.15</v>
      </c>
      <c r="F282" s="235">
        <f>IFERROR((Таблица4[[#This Row],[ПП]]-Таблица4[[#This Row],[ДДУ]])*1,"")</f>
        <v>0</v>
      </c>
      <c r="G282" s="235" cm="1">
        <f t="array" ref="G282">IFERROR(INDEX(РД[Стоимость с отделкой итог],MATCH($B$3&amp;Таблица4[[#This Row],[№]]&amp;"Продажа",РД[Дом]&amp;РД[№ кв]&amp;РД[Состояние],0),1),Таблица4[[#This Row],[Статус]])</f>
        <v>3465383.15</v>
      </c>
      <c r="H282" s="235">
        <f>_xlfn.XLOOKUP(Таблица4[[#This Row],[№]],Реестр_Д4[№],Реестр_Д4[Стоимость квартиры с отделкой],"-",0)</f>
        <v>3465383.15</v>
      </c>
      <c r="I282" s="235">
        <f>IFERROR(Таблица4[[#This Row],[СО ПП]]-Таблица4[[#This Row],[СО ДДУ]],"")</f>
        <v>0</v>
      </c>
      <c r="J282" s="233" cm="1">
        <f t="array" ref="J282">IFERROR(INDEX(РД[S],MATCH($B$3&amp;Таблица4[[#This Row],[№]]&amp;"Продажа",РД[Дом]&amp;РД[№ кв]&amp;РД[Состояние],0),1),Таблица4[[#This Row],[Статус]])</f>
        <v>36.450000000000003</v>
      </c>
      <c r="K282" s="233">
        <f>VLOOKUP(Таблица4[[#This Row],[№]],Реестр_Д4[],20,0)</f>
        <v>36.450000000000003</v>
      </c>
      <c r="L282" s="235">
        <f>IFERROR(Таблица4[[#This Row],[S ПП]]-Таблица4[[#This Row],[S ДДУ]],)</f>
        <v>0</v>
      </c>
      <c r="M282" s="235">
        <f>ROUND(_xlfn.XLOOKUP(Таблица4[[#This Row],[№]],Реестр_Д4[№],Реестр_Д4[Итоговая сумма скидки],"",0),2)</f>
        <v>0</v>
      </c>
      <c r="N282" s="235" cm="1">
        <f t="array" ref="N28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2" s="235">
        <f>IFERROR(Таблица4[[#This Row],[ППС]]-Таблица4[[#This Row],[ДДУС]],)</f>
        <v>0</v>
      </c>
      <c r="P282" s="611"/>
      <c r="Q282" s="234">
        <f>VLOOKUP(ППД5!A279,Реестр_Д5[№],1,0)</f>
        <v>278</v>
      </c>
      <c r="R282" s="234" t="str">
        <f>VLOOKUP(ППД5!CH279,Реестр_Д5[Статус],1,0)</f>
        <v>Свободно</v>
      </c>
      <c r="S282" s="612">
        <f>VLOOKUP(ППД5!BZ279,Реестр_Д5[Стоимость ОН без отделки со скидкой],1,0)</f>
        <v>8486800</v>
      </c>
      <c r="T282" s="612" t="str" cm="1">
        <f t="array" ref="T28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82" s="235">
        <f>IFERROR((Таблица10[[#This Row],[ПП]]-Таблица10[[#This Row],[ДДУ]])*1,)</f>
        <v>0</v>
      </c>
      <c r="V282" s="235" t="str" cm="1">
        <f t="array" ref="V28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82" s="235">
        <f>_xlfn.XLOOKUP(Таблица10[[#This Row],[№]],Реестр_Д5[№],Реестр_Д5[Стоимость квартиры с отделкой],"-",0)</f>
        <v>10694800.000000002</v>
      </c>
      <c r="X282" s="235" t="str">
        <f>IFERROR(Таблица10[[#This Row],[СО ПП]]-Таблица10[[#This Row],[СО ДДУ]],"")</f>
        <v/>
      </c>
      <c r="Y282" s="233" t="str" cm="1">
        <f t="array" ref="Y282">IFERROR(INDEX(РД[S],MATCH($Q$3&amp;Таблица10[[#This Row],[№]]&amp;"Продажа",РД[Дом]&amp;РД[№ кв]&amp;РД[Состояние],0),1),Таблица10[[#This Row],[Статус]])</f>
        <v>Свободно</v>
      </c>
      <c r="Z282" s="233">
        <f>IF(Таблица10[[#This Row],[№]]&amp;"ДДУ"=ППД5!A279&amp;ППД5!CR279,ППД5!U279,ППД5!V279)</f>
        <v>73.599999999999994</v>
      </c>
      <c r="AA282" s="285">
        <f>IFERROR(Таблица10[[#This Row],[S ПП]]-Таблица10[[#This Row],[S ДДУ]],)</f>
        <v>0</v>
      </c>
      <c r="AB282" s="235">
        <f>ROUND(_xlfn.XLOOKUP(Таблица10[[#This Row],[№]],Реестр_Д5[№],Реестр_Д5[Итоговая сумма скидки],"",0),2)</f>
        <v>0</v>
      </c>
      <c r="AC282" s="235" t="str" cm="1">
        <f t="array" ref="AC28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82" s="285">
        <f>IFERROR(Таблица10[[#This Row],[ППС]]-Таблица10[[#This Row],[ДДУС]],)</f>
        <v>0</v>
      </c>
      <c r="AE282" s="611"/>
      <c r="AT282" s="611"/>
      <c r="AU282" s="484">
        <f>VLOOKUP(ППД402!A279,Д402[],1,0)</f>
        <v>278</v>
      </c>
      <c r="AV282" s="484" t="str">
        <f>_xlfn.XLOOKUP(Т402[[#This Row],[№]],Д402[№],Д402[Статус],"-",0)</f>
        <v>Продажа</v>
      </c>
      <c r="AW282" s="613">
        <f>_xlfn.XLOOKUP(Т402[[#This Row],[№]],Д402[№],Д402[Стоимость ОН без отделки со скидкой],"-",0)</f>
        <v>4745919</v>
      </c>
      <c r="AX282" s="614" cm="1">
        <f t="array" ref="AX282">IFERROR(INDEX(РД[Стоимость без отделки итог],MATCH($AU$3&amp;Т402[[#This Row],[№]]&amp;"Продажа",РД[Дом]&amp;РД[№ кв]&amp;РД[Состояние],0),1),Т402[[#This Row],[Статус]])</f>
        <v>4745919</v>
      </c>
      <c r="AY282" s="485">
        <f>IFERROR((Т402[[#This Row],[ПП]]-Т402[[#This Row],[ДДУ]])*1,"")</f>
        <v>0</v>
      </c>
      <c r="AZ282" s="486" cm="1">
        <f t="array" ref="AZ282">IFERROR(INDEX(РД[Стоимость с отделкой итог],MATCH($AU$3&amp;Т402[[#This Row],[№]]&amp;"Продажа",РД[Дом]&amp;РД[№ кв]&amp;РД[Состояние],0),1),Т402[[#This Row],[Статус]])</f>
        <v>4745919</v>
      </c>
      <c r="BA282" s="485">
        <f>_xlfn.XLOOKUP(Т402[[#This Row],[№]],Д402[№],Д402[Стоимость квартиры с отделкой],"-",0)</f>
        <v>4745919</v>
      </c>
      <c r="BB282" s="485">
        <f>IFERROR(Т402[[#This Row],[СО ПП]]-Т402[[#This Row],[СО ДДУ]],"")</f>
        <v>0</v>
      </c>
      <c r="BC282" s="487" cm="1">
        <f t="array" ref="BC282">IFERROR(INDEX(РД[S],MATCH($AU$3&amp;Т402[[#This Row],[№]]&amp;"Продажа",РД[Дом]&amp;РД[№ кв]&amp;РД[Состояние],0),1),Т402[[#This Row],[Статус]])</f>
        <v>36.35</v>
      </c>
      <c r="BD282" s="483">
        <f>_xlfn.XLOOKUP(Т402[[#This Row],[№]],Д402[№],Д402[Расчетная проектная площадь],"-",0)</f>
        <v>36.35</v>
      </c>
      <c r="BE282" s="485">
        <f>IFERROR(Т402[[#This Row],[S ПП]]-Т402[[#This Row],[S ДДУ]],"")</f>
        <v>0</v>
      </c>
      <c r="BF282" s="485">
        <f>_xlfn.XLOOKUP(Т402[[#This Row],[№]],Д402[№],Д402[Итоговая сумма скидки],"-",0)</f>
        <v>146781</v>
      </c>
      <c r="BG282" s="486" cm="1">
        <f t="array" ref="BG282">IFERROR(ROUND(_xlfn.XLOOKUP($AU$3&amp;Т402[[#This Row],[№]]&amp;"Продажа",РД[Дом]&amp;РД[№ кв]&amp;РД[Состояние],РД[Сумма скидки],"",0),2),Т402[[#This Row],[Статус]])</f>
        <v>146781</v>
      </c>
      <c r="BH282" s="488">
        <f>IFERROR(Т402[[#This Row],[ППС]]-Т402[[#This Row],[ДДУС]],"")</f>
        <v>0</v>
      </c>
    </row>
    <row r="283" spans="1:60" x14ac:dyDescent="0.2">
      <c r="A283" s="611"/>
      <c r="B283" s="234">
        <f>VLOOKUP(ППД4!A280,Реестр_Д4[№],1,0)</f>
        <v>279</v>
      </c>
      <c r="C283" s="234" t="str">
        <f>VLOOKUP(ППД4!CO280,Реестр_Д4[Статус],1,0)</f>
        <v>Продажа</v>
      </c>
      <c r="D283" s="612">
        <f>VLOOKUP(ППД4!CE280,Реестр_Д4[Стоимость ОН без отделки со скидкой],1,0)</f>
        <v>4430387.5199999996</v>
      </c>
      <c r="E283" s="612" cm="1">
        <f t="array" ref="E283">IFERROR(INDEX(РД[Стоимость без отделки итог],MATCH($B$3&amp;Таблица4[[#This Row],[№]]&amp;"Продажа",РД[Дом]&amp;РД[№ кв]&amp;РД[Состояние],0),1),Таблица4[[#This Row],[Статус]])</f>
        <v>4430387.5199999996</v>
      </c>
      <c r="F283" s="235">
        <f>IFERROR((Таблица4[[#This Row],[ПП]]-Таблица4[[#This Row],[ДДУ]])*1,"")</f>
        <v>0</v>
      </c>
      <c r="G283" s="235" cm="1">
        <f t="array" ref="G283">IFERROR(INDEX(РД[Стоимость с отделкой итог],MATCH($B$3&amp;Таблица4[[#This Row],[№]]&amp;"Продажа",РД[Дом]&amp;РД[№ кв]&amp;РД[Состояние],0),1),Таблица4[[#This Row],[Статус]])</f>
        <v>4664587.5199999996</v>
      </c>
      <c r="H283" s="235">
        <f>_xlfn.XLOOKUP(Таблица4[[#This Row],[№]],Реестр_Д4[№],Реестр_Д4[Стоимость квартиры с отделкой],"-",0)</f>
        <v>4664587.5199999996</v>
      </c>
      <c r="I283" s="235">
        <f>IFERROR(Таблица4[[#This Row],[СО ПП]]-Таблица4[[#This Row],[СО ДДУ]],"")</f>
        <v>0</v>
      </c>
      <c r="J283" s="233" cm="1">
        <f t="array" ref="J283">IFERROR(INDEX(РД[S],MATCH($B$3&amp;Таблица4[[#This Row],[№]]&amp;"Продажа",РД[Дом]&amp;РД[№ кв]&amp;РД[Состояние],0),1),Таблица4[[#This Row],[Статус]])</f>
        <v>58.55</v>
      </c>
      <c r="K283" s="233">
        <f>VLOOKUP(Таблица4[[#This Row],[№]],Реестр_Д4[],20,0)</f>
        <v>58.55</v>
      </c>
      <c r="L283" s="235">
        <f>IFERROR(Таблица4[[#This Row],[S ПП]]-Таблица4[[#This Row],[S ДДУ]],)</f>
        <v>0</v>
      </c>
      <c r="M283" s="235">
        <f>ROUND(_xlfn.XLOOKUP(Таблица4[[#This Row],[№]],Реестр_Д4[№],Реестр_Д4[Итоговая сумма скидки],"",0),2)</f>
        <v>90416.07</v>
      </c>
      <c r="N283" s="235" cm="1">
        <f t="array" ref="N283">IFERROR(ROUND(_xlfn.XLOOKUP($B$3&amp;Таблица4[[#This Row],[№]]&amp;"Продажа",РД[Дом]&amp;РД[№ кв]&amp;РД[Состояние],РД[Сумма скидки],"",0),2),Таблица4[[#This Row],[Статус]])</f>
        <v>90416.07</v>
      </c>
      <c r="O283" s="235">
        <f>IFERROR(Таблица4[[#This Row],[ППС]]-Таблица4[[#This Row],[ДДУС]],)</f>
        <v>0</v>
      </c>
      <c r="P283" s="611"/>
      <c r="Q283" s="234">
        <f>VLOOKUP(ППД5!A280,Реестр_Д5[№],1,0)</f>
        <v>279</v>
      </c>
      <c r="R283" s="234" t="str">
        <f>VLOOKUP(ППД5!CH280,Реестр_Д5[Статус],1,0)</f>
        <v>Продажа</v>
      </c>
      <c r="S283" s="612">
        <f>VLOOKUP(ППД5!BZ280,Реестр_Д5[Стоимость ОН без отделки со скидкой],1,0)</f>
        <v>3507790</v>
      </c>
      <c r="T283" s="612" cm="1">
        <f t="array" ref="T283">IFERROR(INDEX(РД[Стоимость без отделки итог],MATCH($Q$3&amp;Таблица10[[#This Row],[№]]&amp;"Продажа",РД[Дом]&amp;РД[№ кв]&amp;РД[Состояние],0),1),Таблица10[[#This Row],[Статус]])</f>
        <v>3507790</v>
      </c>
      <c r="U283" s="235">
        <f>IFERROR((Таблица10[[#This Row],[ПП]]-Таблица10[[#This Row],[ДДУ]])*1,)</f>
        <v>0</v>
      </c>
      <c r="V283" s="235" cm="1">
        <f t="array" ref="V283">IFERROR(INDEX(РД[Стоимость с отделкой итог],MATCH($Q$3&amp;Таблица10[[#This Row],[№]]&amp;"Продажа",РД[Дом]&amp;РД[№ кв]&amp;РД[Состояние],0),1),Таблица10[[#This Row],[Статус]])</f>
        <v>4121040</v>
      </c>
      <c r="W283" s="235">
        <f>_xlfn.XLOOKUP(Таблица10[[#This Row],[№]],Реестр_Д5[№],Реестр_Д5[Стоимость квартиры с отделкой],"-",0)</f>
        <v>4121040</v>
      </c>
      <c r="X283" s="235">
        <f>IFERROR(Таблица10[[#This Row],[СО ПП]]-Таблица10[[#This Row],[СО ДДУ]],"")</f>
        <v>0</v>
      </c>
      <c r="Y283" s="233" cm="1">
        <f t="array" ref="Y283">IFERROR(INDEX(РД[S],MATCH($Q$3&amp;Таблица10[[#This Row],[№]]&amp;"Продажа",РД[Дом]&amp;РД[№ кв]&amp;РД[Состояние],0),1),Таблица10[[#This Row],[Статус]])</f>
        <v>24.53</v>
      </c>
      <c r="Z283" s="233">
        <f>IF(Таблица10[[#This Row],[№]]&amp;"ДДУ"=ППД5!A280&amp;ППД5!CR280,ППД5!U280,ППД5!V280)</f>
        <v>24.53</v>
      </c>
      <c r="AA283" s="285">
        <f>IFERROR(Таблица10[[#This Row],[S ПП]]-Таблица10[[#This Row],[S ДДУ]],)</f>
        <v>0</v>
      </c>
      <c r="AB283" s="235">
        <f>ROUND(_xlfn.XLOOKUP(Таблица10[[#This Row],[№]],Реестр_Д5[№],Реестр_Д5[Итоговая сумма скидки],"",0),2)</f>
        <v>249410</v>
      </c>
      <c r="AC283" s="235" cm="1">
        <f t="array" ref="AC283">IFERROR(ROUND(_xlfn.XLOOKUP($Q$3&amp;Таблица10[[#This Row],[№]]&amp;"Продажа",РД[Дом]&amp;РД[№ кв]&amp;РД[Состояние],РД[Сумма скидки],"",0,-1),2),Таблица10[[#This Row],[Статус]])</f>
        <v>249410</v>
      </c>
      <c r="AD283" s="285">
        <f>IFERROR(Таблица10[[#This Row],[ППС]]-Таблица10[[#This Row],[ДДУС]],)</f>
        <v>0</v>
      </c>
      <c r="AE283" s="611"/>
      <c r="AT283" s="611"/>
      <c r="AU283" s="484">
        <f>VLOOKUP(ППД402!A280,Д402[],1,0)</f>
        <v>279</v>
      </c>
      <c r="AV283" s="484" t="str">
        <f>_xlfn.XLOOKUP(Т402[[#This Row],[№]],Д402[№],Д402[Статус],"-",0)</f>
        <v>Продажа</v>
      </c>
      <c r="AW283" s="613">
        <f>_xlfn.XLOOKUP(Т402[[#This Row],[№]],Д402[№],Д402[Стоимость ОН без отделки со скидкой],"-",0)</f>
        <v>6670860</v>
      </c>
      <c r="AX283" s="614" cm="1">
        <f t="array" ref="AX283">IFERROR(INDEX(РД[Стоимость без отделки итог],MATCH($AU$3&amp;Т402[[#This Row],[№]]&amp;"Продажа",РД[Дом]&amp;РД[№ кв]&amp;РД[Состояние],0),1),Т402[[#This Row],[Статус]])</f>
        <v>6670860</v>
      </c>
      <c r="AY283" s="485">
        <f>IFERROR((Т402[[#This Row],[ПП]]-Т402[[#This Row],[ДДУ]])*1,"")</f>
        <v>0</v>
      </c>
      <c r="AZ283" s="486" cm="1">
        <f t="array" ref="AZ283">IFERROR(INDEX(РД[Стоимость с отделкой итог],MATCH($AU$3&amp;Т402[[#This Row],[№]]&amp;"Продажа",РД[Дом]&amp;РД[№ кв]&amp;РД[Состояние],0),1),Т402[[#This Row],[Статус]])</f>
        <v>6670860</v>
      </c>
      <c r="BA283" s="485">
        <f>_xlfn.XLOOKUP(Т402[[#This Row],[№]],Д402[№],Д402[Стоимость квартиры с отделкой],"-",0)</f>
        <v>6670860</v>
      </c>
      <c r="BB283" s="485">
        <f>IFERROR(Т402[[#This Row],[СО ПП]]-Т402[[#This Row],[СО ДДУ]],"")</f>
        <v>0</v>
      </c>
      <c r="BC283" s="487" cm="1">
        <f t="array" ref="BC283">IFERROR(INDEX(РД[S],MATCH($AU$3&amp;Т402[[#This Row],[№]]&amp;"Продажа",РД[Дом]&amp;РД[№ кв]&amp;РД[Состояние],0),1),Т402[[#This Row],[Статус]])</f>
        <v>54.08</v>
      </c>
      <c r="BD283" s="483">
        <f>_xlfn.XLOOKUP(Т402[[#This Row],[№]],Д402[№],Д402[Расчетная проектная площадь],"-",0)</f>
        <v>54.08</v>
      </c>
      <c r="BE283" s="485">
        <f>IFERROR(Т402[[#This Row],[S ПП]]-Т402[[#This Row],[S ДДУ]],"")</f>
        <v>0</v>
      </c>
      <c r="BF283" s="485">
        <f>_xlfn.XLOOKUP(Т402[[#This Row],[№]],Д402[№],Д402[Итоговая сумма скидки],"-",0)</f>
        <v>136140</v>
      </c>
      <c r="BG283" s="486" cm="1">
        <f t="array" ref="BG283">IFERROR(ROUND(_xlfn.XLOOKUP($AU$3&amp;Т402[[#This Row],[№]]&amp;"Продажа",РД[Дом]&amp;РД[№ кв]&amp;РД[Состояние],РД[Сумма скидки],"",0),2),Т402[[#This Row],[Статус]])</f>
        <v>136140</v>
      </c>
      <c r="BH283" s="488">
        <f>IFERROR(Т402[[#This Row],[ППС]]-Т402[[#This Row],[ДДУС]],"")</f>
        <v>0</v>
      </c>
    </row>
    <row r="284" spans="1:60" x14ac:dyDescent="0.2">
      <c r="A284" s="611"/>
      <c r="B284" s="234">
        <f>VLOOKUP(ППД4!A281,Реестр_Д4[№],1,0)</f>
        <v>280</v>
      </c>
      <c r="C284" s="234" t="str">
        <f>VLOOKUP(ППД4!CO281,Реестр_Д4[Статус],1,0)</f>
        <v>Продажа</v>
      </c>
      <c r="D284" s="612">
        <f>VLOOKUP(ППД4!CE281,Реестр_Д4[Стоимость ОН без отделки со скидкой],1,0)</f>
        <v>4037140.27</v>
      </c>
      <c r="E284" s="612" cm="1">
        <f t="array" ref="E284">IFERROR(INDEX(РД[Стоимость без отделки итог],MATCH($B$3&amp;Таблица4[[#This Row],[№]]&amp;"Продажа",РД[Дом]&amp;РД[№ кв]&amp;РД[Состояние],0),1),Таблица4[[#This Row],[Статус]])</f>
        <v>4037140.2699999996</v>
      </c>
      <c r="F284" s="235">
        <f>IFERROR((Таблица4[[#This Row],[ПП]]-Таблица4[[#This Row],[ДДУ]])*1,"")</f>
        <v>4.6566128730773926E-10</v>
      </c>
      <c r="G284" s="235" cm="1">
        <f t="array" ref="G284">IFERROR(INDEX(РД[Стоимость с отделкой итог],MATCH($B$3&amp;Таблица4[[#This Row],[№]]&amp;"Продажа",РД[Дом]&amp;РД[№ кв]&amp;РД[Состояние],0),1),Таблица4[[#This Row],[Статус]])</f>
        <v>4263940.2699999996</v>
      </c>
      <c r="H284" s="235">
        <f>_xlfn.XLOOKUP(Таблица4[[#This Row],[№]],Реестр_Д4[№],Реестр_Д4[Стоимость квартиры с отделкой],"-",0)</f>
        <v>4263940.2699999996</v>
      </c>
      <c r="I284" s="235">
        <f>IFERROR(Таблица4[[#This Row],[СО ПП]]-Таблица4[[#This Row],[СО ДДУ]],"")</f>
        <v>0</v>
      </c>
      <c r="J284" s="233" cm="1">
        <f t="array" ref="J284">IFERROR(INDEX(РД[S],MATCH($B$3&amp;Таблица4[[#This Row],[№]]&amp;"Продажа",РД[Дом]&amp;РД[№ кв]&amp;РД[Состояние],0),1),Таблица4[[#This Row],[Статус]])</f>
        <v>56.7</v>
      </c>
      <c r="K284" s="233">
        <f>VLOOKUP(Таблица4[[#This Row],[№]],Реестр_Д4[],20,0)</f>
        <v>56.7</v>
      </c>
      <c r="L284" s="235">
        <f>IFERROR(Таблица4[[#This Row],[S ПП]]-Таблица4[[#This Row],[S ДДУ]],)</f>
        <v>0</v>
      </c>
      <c r="M284" s="235">
        <f>ROUND(_xlfn.XLOOKUP(Таблица4[[#This Row],[№]],Реестр_Д4[№],Реестр_Д4[Итоговая сумма скидки],"",0),2)</f>
        <v>212481.07</v>
      </c>
      <c r="N284" s="235" cm="1">
        <f t="array" ref="N284">IFERROR(ROUND(_xlfn.XLOOKUP($B$3&amp;Таблица4[[#This Row],[№]]&amp;"Продажа",РД[Дом]&amp;РД[№ кв]&amp;РД[Состояние],РД[Сумма скидки],"",0),2),Таблица4[[#This Row],[Статус]])</f>
        <v>212481.07</v>
      </c>
      <c r="O284" s="235">
        <f>IFERROR(Таблица4[[#This Row],[ППС]]-Таблица4[[#This Row],[ДДУС]],)</f>
        <v>0</v>
      </c>
      <c r="P284" s="611"/>
      <c r="Q284" s="234">
        <f>VLOOKUP(ППД5!A281,Реестр_Д5[№],1,0)</f>
        <v>280</v>
      </c>
      <c r="R284" s="234" t="str">
        <f>VLOOKUP(ППД5!CH281,Реестр_Д5[Статус],1,0)</f>
        <v>Продажа</v>
      </c>
      <c r="S284" s="612">
        <f>VLOOKUP(ППД5!BZ281,Реестр_Д5[Стоимость ОН без отделки со скидкой],1,0)</f>
        <v>4815857.1100000003</v>
      </c>
      <c r="T284" s="612" cm="1">
        <f t="array" ref="T284">IFERROR(INDEX(РД[Стоимость без отделки итог],MATCH($Q$3&amp;Таблица10[[#This Row],[№]]&amp;"Продажа",РД[Дом]&amp;РД[№ кв]&amp;РД[Состояние],0),1),Таблица10[[#This Row],[Статус]])</f>
        <v>4815857.1100000003</v>
      </c>
      <c r="U284" s="235">
        <f>IFERROR((Таблица10[[#This Row],[ПП]]-Таблица10[[#This Row],[ДДУ]])*1,)</f>
        <v>0</v>
      </c>
      <c r="V284" s="235" cm="1">
        <f t="array" ref="V284">IFERROR(INDEX(РД[Стоимость с отделкой итог],MATCH($Q$3&amp;Таблица10[[#This Row],[№]]&amp;"Продажа",РД[Дом]&amp;РД[№ кв]&amp;РД[Состояние],0),1),Таблица10[[#This Row],[Статус]])</f>
        <v>6060617.1100000003</v>
      </c>
      <c r="W284" s="235">
        <f>_xlfn.XLOOKUP(Таблица10[[#This Row],[№]],Реестр_Д5[№],Реестр_Д5[Стоимость квартиры с отделкой],"-",0)</f>
        <v>6060617.1100000003</v>
      </c>
      <c r="X284" s="235">
        <f>IFERROR(Таблица10[[#This Row],[СО ПП]]-Таблица10[[#This Row],[СО ДДУ]],"")</f>
        <v>0</v>
      </c>
      <c r="Y284" s="233" cm="1">
        <f t="array" ref="Y284">IFERROR(INDEX(РД[S],MATCH($Q$3&amp;Таблица10[[#This Row],[№]]&amp;"Продажа",РД[Дом]&amp;РД[№ кв]&amp;РД[Состояние],0),1),Таблица10[[#This Row],[Статус]])</f>
        <v>56.58</v>
      </c>
      <c r="Z284" s="233">
        <f>IF(Таблица10[[#This Row],[№]]&amp;"ДДУ"=ППД5!A281&amp;ППД5!CR281,ППД5!U281,ППД5!V281)</f>
        <v>56.58</v>
      </c>
      <c r="AA284" s="285">
        <f>IFERROR(Таблица10[[#This Row],[S ПП]]-Таблица10[[#This Row],[S ДДУ]],)</f>
        <v>0</v>
      </c>
      <c r="AB284" s="235">
        <f>ROUND(_xlfn.XLOOKUP(Таблица10[[#This Row],[№]],Реестр_Д5[№],Реестр_Д5[Итоговая сумма скидки],"",0),2)</f>
        <v>98282.8</v>
      </c>
      <c r="AC284" s="235" cm="1">
        <f t="array" ref="AC284">IFERROR(ROUND(_xlfn.XLOOKUP($Q$3&amp;Таблица10[[#This Row],[№]]&amp;"Продажа",РД[Дом]&amp;РД[№ кв]&amp;РД[Состояние],РД[Сумма скидки],"",0,-1),2),Таблица10[[#This Row],[Статус]])</f>
        <v>98282.8</v>
      </c>
      <c r="AD284" s="285">
        <f>IFERROR(Таблица10[[#This Row],[ППС]]-Таблица10[[#This Row],[ДДУС]],)</f>
        <v>0</v>
      </c>
      <c r="AE284" s="611"/>
      <c r="AT284" s="611"/>
      <c r="AU284" s="484">
        <f>VLOOKUP(ППД402!A281,Д402[],1,0)</f>
        <v>280</v>
      </c>
      <c r="AV284" s="484" t="str">
        <f>_xlfn.XLOOKUP(Т402[[#This Row],[№]],Д402[№],Д402[Статус],"-",0)</f>
        <v>Свободно</v>
      </c>
      <c r="AW284" s="613">
        <f>_xlfn.XLOOKUP(Т402[[#This Row],[№]],Д402[№],Д402[Стоимость ОН без отделки со скидкой],"-",0)</f>
        <v>7183800</v>
      </c>
      <c r="AX284" s="614" t="str" cm="1">
        <f t="array" ref="AX284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84" s="485" t="str">
        <f>IFERROR((Т402[[#This Row],[ПП]]-Т402[[#This Row],[ДДУ]])*1,"")</f>
        <v/>
      </c>
      <c r="AZ284" s="486" t="str" cm="1">
        <f t="array" ref="AZ284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84" s="485">
        <f>_xlfn.XLOOKUP(Т402[[#This Row],[№]],Д402[№],Д402[Стоимость квартиры с отделкой],"-",0)</f>
        <v>8855700</v>
      </c>
      <c r="BB284" s="485" t="str">
        <f>IFERROR(Т402[[#This Row],[СО ПП]]-Т402[[#This Row],[СО ДДУ]],"")</f>
        <v/>
      </c>
      <c r="BC284" s="487" t="str" cm="1">
        <f t="array" ref="BC284">IFERROR(INDEX(РД[S],MATCH($AU$3&amp;Т402[[#This Row],[№]]&amp;"Продажа",РД[Дом]&amp;РД[№ кв]&amp;РД[Состояние],0),1),Т402[[#This Row],[Статус]])</f>
        <v>Свободно</v>
      </c>
      <c r="BD284" s="483">
        <f>_xlfn.XLOOKUP(Т402[[#This Row],[№]],Д402[№],Д402[Расчетная проектная площадь],"-",0)</f>
        <v>55.73</v>
      </c>
      <c r="BE284" s="485" t="str">
        <f>IFERROR(Т402[[#This Row],[S ПП]]-Т402[[#This Row],[S ДДУ]],"")</f>
        <v/>
      </c>
      <c r="BF284" s="485">
        <f>_xlfn.XLOOKUP(Т402[[#This Row],[№]],Д402[№],Д402[Итоговая сумма скидки],"-",0)</f>
        <v>0</v>
      </c>
      <c r="BG284" s="486" t="str" cm="1">
        <f t="array" ref="BG284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84" s="488" t="str">
        <f>IFERROR(Т402[[#This Row],[ППС]]-Т402[[#This Row],[ДДУС]],"")</f>
        <v/>
      </c>
    </row>
    <row r="285" spans="1:60" x14ac:dyDescent="0.2">
      <c r="A285" s="611"/>
      <c r="B285" s="234">
        <f>VLOOKUP(ППД4!A282,Реестр_Д4[№],1,0)</f>
        <v>281</v>
      </c>
      <c r="C285" s="234" t="str">
        <f>VLOOKUP(ППД4!CO282,Реестр_Д4[Статус],1,0)</f>
        <v>Продажа</v>
      </c>
      <c r="D285" s="612">
        <f>VLOOKUP(ППД4!CE282,Реестр_Д4[Стоимость ОН без отделки со скидкой],1,0)</f>
        <v>7131200</v>
      </c>
      <c r="E285" s="612" cm="1">
        <f t="array" ref="E285">IFERROR(INDEX(РД[Стоимость без отделки итог],MATCH($B$3&amp;Таблица4[[#This Row],[№]]&amp;"Продажа",РД[Дом]&amp;РД[№ кв]&amp;РД[Состояние],0),1),Таблица4[[#This Row],[Статус]])</f>
        <v>7131200</v>
      </c>
      <c r="F285" s="235">
        <f>IFERROR((Таблица4[[#This Row],[ПП]]-Таблица4[[#This Row],[ДДУ]])*1,"")</f>
        <v>0</v>
      </c>
      <c r="G285" s="235" cm="1">
        <f t="array" ref="G285">IFERROR(INDEX(РД[Стоимость с отделкой итог],MATCH($B$3&amp;Таблица4[[#This Row],[№]]&amp;"Продажа",РД[Дом]&amp;РД[№ кв]&amp;РД[Состояние],0),1),Таблица4[[#This Row],[Статус]])</f>
        <v>7675025</v>
      </c>
      <c r="H285" s="235">
        <f>_xlfn.XLOOKUP(Таблица4[[#This Row],[№]],Реестр_Д4[№],Реестр_Д4[Стоимость квартиры с отделкой],"-",0)</f>
        <v>7675025</v>
      </c>
      <c r="I285" s="235">
        <f>IFERROR(Таблица4[[#This Row],[СО ПП]]-Таблица4[[#This Row],[СО ДДУ]],"")</f>
        <v>0</v>
      </c>
      <c r="J285" s="233" cm="1">
        <f t="array" ref="J285">IFERROR(INDEX(РД[S],MATCH($B$3&amp;Таблица4[[#This Row],[№]]&amp;"Продажа",РД[Дом]&amp;РД[№ кв]&amp;РД[Состояние],0),1),Таблица4[[#This Row],[Статус]])</f>
        <v>72.510000000000005</v>
      </c>
      <c r="K285" s="233">
        <f>VLOOKUP(Таблица4[[#This Row],[№]],Реестр_Д4[],20,0)</f>
        <v>72.510000000000005</v>
      </c>
      <c r="L285" s="235">
        <f>IFERROR(Таблица4[[#This Row],[S ПП]]-Таблица4[[#This Row],[S ДДУ]],)</f>
        <v>0</v>
      </c>
      <c r="M285" s="235">
        <f>ROUND(_xlfn.XLOOKUP(Таблица4[[#This Row],[№]],Реестр_Д4[№],Реестр_Д4[Итоговая сумма скидки],"",0),2)</f>
        <v>0</v>
      </c>
      <c r="N285" s="235" cm="1">
        <f t="array" ref="N28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5" s="235">
        <f>IFERROR(Таблица4[[#This Row],[ППС]]-Таблица4[[#This Row],[ДДУС]],)</f>
        <v>0</v>
      </c>
      <c r="P285" s="611"/>
      <c r="Q285" s="234">
        <f>VLOOKUP(ППД5!A282,Реестр_Д5[№],1,0)</f>
        <v>281</v>
      </c>
      <c r="R285" s="234" t="str">
        <f>VLOOKUP(ППД5!CH282,Реестр_Д5[Статус],1,0)</f>
        <v>Продажа</v>
      </c>
      <c r="S285" s="612">
        <f>VLOOKUP(ППД5!BZ282,Реестр_Д5[Стоимость ОН без отделки со скидкой],1,0)</f>
        <v>6055126</v>
      </c>
      <c r="T285" s="612" cm="1">
        <f t="array" ref="T285">IFERROR(INDEX(РД[Стоимость без отделки итог],MATCH($Q$3&amp;Таблица10[[#This Row],[№]]&amp;"Продажа",РД[Дом]&amp;РД[№ кв]&amp;РД[Состояние],0),1),Таблица10[[#This Row],[Статус]])</f>
        <v>6055126</v>
      </c>
      <c r="U285" s="235">
        <f>IFERROR((Таблица10[[#This Row],[ПП]]-Таблица10[[#This Row],[ДДУ]])*1,)</f>
        <v>0</v>
      </c>
      <c r="V285" s="235" cm="1">
        <f t="array" ref="V285">IFERROR(INDEX(РД[Стоимость с отделкой итог],MATCH($Q$3&amp;Таблица10[[#This Row],[№]]&amp;"Продажа",РД[Дом]&amp;РД[№ кв]&amp;РД[Состояние],0),1),Таблица10[[#This Row],[Статус]])</f>
        <v>6537046</v>
      </c>
      <c r="W285" s="235">
        <f>_xlfn.XLOOKUP(Таблица10[[#This Row],[№]],Реестр_Д5[№],Реестр_Д5[Стоимость квартиры с отделкой],"-",0)</f>
        <v>6537046</v>
      </c>
      <c r="X285" s="235">
        <f>IFERROR(Таблица10[[#This Row],[СО ПП]]-Таблица10[[#This Row],[СО ДДУ]],"")</f>
        <v>0</v>
      </c>
      <c r="Y285" s="233" cm="1">
        <f t="array" ref="Y285">IFERROR(INDEX(РД[S],MATCH($Q$3&amp;Таблица10[[#This Row],[№]]&amp;"Продажа",РД[Дом]&amp;РД[№ кв]&amp;РД[Состояние],0),1),Таблица10[[#This Row],[Статус]])</f>
        <v>60.24</v>
      </c>
      <c r="Z285" s="233">
        <f>IF(Таблица10[[#This Row],[№]]&amp;"ДДУ"=ППД5!A282&amp;ППД5!CR282,ППД5!U282,ППД5!V282)</f>
        <v>60.24</v>
      </c>
      <c r="AA285" s="285">
        <f>IFERROR(Таблица10[[#This Row],[S ПП]]-Таблица10[[#This Row],[S ДДУ]],)</f>
        <v>0</v>
      </c>
      <c r="AB285" s="235">
        <f>ROUND(_xlfn.XLOOKUP(Таблица10[[#This Row],[№]],Реестр_Д5[№],Реестр_Д5[Итоговая сумма скидки],"",0),2)</f>
        <v>123574</v>
      </c>
      <c r="AC285" s="235" cm="1">
        <f t="array" ref="AC285">IFERROR(ROUND(_xlfn.XLOOKUP($Q$3&amp;Таблица10[[#This Row],[№]]&amp;"Продажа",РД[Дом]&amp;РД[№ кв]&amp;РД[Состояние],РД[Сумма скидки],"",0,-1),2),Таблица10[[#This Row],[Статус]])</f>
        <v>123574</v>
      </c>
      <c r="AD285" s="285">
        <f>IFERROR(Таблица10[[#This Row],[ППС]]-Таблица10[[#This Row],[ДДУС]],)</f>
        <v>0</v>
      </c>
      <c r="AE285" s="611"/>
      <c r="AT285" s="611"/>
      <c r="AU285" s="484">
        <f>VLOOKUP(ППД402!A282,Д402[],1,0)</f>
        <v>281</v>
      </c>
      <c r="AV285" s="484" t="str">
        <f>_xlfn.XLOOKUP(Т402[[#This Row],[№]],Д402[№],Д402[Статус],"-",0)</f>
        <v>Стр. Резерв</v>
      </c>
      <c r="AW285" s="613">
        <f>_xlfn.XLOOKUP(Т402[[#This Row],[№]],Д402[№],Д402[Стоимость ОН без отделки со скидкой],"-",0)</f>
        <v>7465500</v>
      </c>
      <c r="AX285" s="614" t="str" cm="1">
        <f t="array" ref="AX285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85" s="485" t="str">
        <f>IFERROR((Т402[[#This Row],[ПП]]-Т402[[#This Row],[ДДУ]])*1,"")</f>
        <v/>
      </c>
      <c r="AZ285" s="486" t="str" cm="1">
        <f t="array" ref="AZ285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85" s="485">
        <f>_xlfn.XLOOKUP(Т402[[#This Row],[№]],Д402[№],Д402[Стоимость квартиры с отделкой],"-",0)</f>
        <v>7465500</v>
      </c>
      <c r="BB285" s="485" t="str">
        <f>IFERROR(Т402[[#This Row],[СО ПП]]-Т402[[#This Row],[СО ДДУ]],"")</f>
        <v/>
      </c>
      <c r="BC285" s="487" t="str" cm="1">
        <f t="array" ref="BC285">IFERROR(INDEX(РД[S],MATCH($AU$3&amp;Т402[[#This Row],[№]]&amp;"Продажа",РД[Дом]&amp;РД[№ кв]&amp;РД[Состояние],0),1),Т402[[#This Row],[Статус]])</f>
        <v>Стр. Резерв</v>
      </c>
      <c r="BD285" s="483">
        <f>_xlfn.XLOOKUP(Т402[[#This Row],[№]],Д402[№],Д402[Расчетная проектная площадь],"-",0)</f>
        <v>59.03</v>
      </c>
      <c r="BE285" s="485" t="str">
        <f>IFERROR(Т402[[#This Row],[S ПП]]-Т402[[#This Row],[S ДДУ]],"")</f>
        <v/>
      </c>
      <c r="BF285" s="485">
        <f>_xlfn.XLOOKUP(Т402[[#This Row],[№]],Д402[№],Д402[Итоговая сумма скидки],"-",0)</f>
        <v>0</v>
      </c>
      <c r="BG285" s="486" t="str" cm="1">
        <f t="array" ref="BG285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85" s="488" t="str">
        <f>IFERROR(Т402[[#This Row],[ППС]]-Т402[[#This Row],[ДДУС]],"")</f>
        <v/>
      </c>
    </row>
    <row r="286" spans="1:60" x14ac:dyDescent="0.2">
      <c r="A286" s="611"/>
      <c r="B286" s="234">
        <f>VLOOKUP(ППД4!A283,Реестр_Д4[№],1,0)</f>
        <v>282</v>
      </c>
      <c r="C286" s="234" t="str">
        <f>VLOOKUP(ППД4!CO283,Реестр_Д4[Статус],1,0)</f>
        <v>Продажа</v>
      </c>
      <c r="D286" s="612">
        <f>VLOOKUP(ППД4!CE283,Реестр_Д4[Стоимость ОН без отделки со скидкой],1,0)</f>
        <v>2392488</v>
      </c>
      <c r="E286" s="612" cm="1">
        <f t="array" ref="E286">IFERROR(INDEX(РД[Стоимость без отделки итог],MATCH($B$3&amp;Таблица4[[#This Row],[№]]&amp;"Продажа",РД[Дом]&amp;РД[№ кв]&amp;РД[Состояние],0),1),Таблица4[[#This Row],[Статус]])</f>
        <v>2392488</v>
      </c>
      <c r="F286" s="235">
        <f>IFERROR((Таблица4[[#This Row],[ПП]]-Таблица4[[#This Row],[ДДУ]])*1,"")</f>
        <v>0</v>
      </c>
      <c r="G286" s="235" cm="1">
        <f t="array" ref="G286">IFERROR(INDEX(РД[Стоимость с отделкой итог],MATCH($B$3&amp;Таблица4[[#This Row],[№]]&amp;"Продажа",РД[Дом]&amp;РД[№ кв]&amp;РД[Состояние],0),1),Таблица4[[#This Row],[Статус]])</f>
        <v>2392488</v>
      </c>
      <c r="H286" s="235">
        <f>_xlfn.XLOOKUP(Таблица4[[#This Row],[№]],Реестр_Д4[№],Реестр_Д4[Стоимость квартиры с отделкой],"-",0)</f>
        <v>2392488</v>
      </c>
      <c r="I286" s="235">
        <f>IFERROR(Таблица4[[#This Row],[СО ПП]]-Таблица4[[#This Row],[СО ДДУ]],"")</f>
        <v>0</v>
      </c>
      <c r="J286" s="233" cm="1">
        <f t="array" ref="J286">IFERROR(INDEX(РД[S],MATCH($B$3&amp;Таблица4[[#This Row],[№]]&amp;"Продажа",РД[Дом]&amp;РД[№ кв]&amp;РД[Состояние],0),1),Таблица4[[#This Row],[Статус]])</f>
        <v>33.840000000000003</v>
      </c>
      <c r="K286" s="233">
        <f>VLOOKUP(Таблица4[[#This Row],[№]],Реестр_Д4[],20,0)</f>
        <v>33.840000000000003</v>
      </c>
      <c r="L286" s="235">
        <f>IFERROR(Таблица4[[#This Row],[S ПП]]-Таблица4[[#This Row],[S ДДУ]],)</f>
        <v>0</v>
      </c>
      <c r="M286" s="235">
        <f>ROUND(_xlfn.XLOOKUP(Таблица4[[#This Row],[№]],Реестр_Д4[№],Реестр_Д4[Итоговая сумма скидки],"",0),2)</f>
        <v>0</v>
      </c>
      <c r="N286" s="235" cm="1">
        <f t="array" ref="N28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6" s="235">
        <f>IFERROR(Таблица4[[#This Row],[ППС]]-Таблица4[[#This Row],[ДДУС]],)</f>
        <v>0</v>
      </c>
      <c r="P286" s="611"/>
      <c r="Q286" s="234">
        <f>VLOOKUP(ППД5!A283,Реестр_Д5[№],1,0)</f>
        <v>282</v>
      </c>
      <c r="R286" s="234" t="str">
        <f>VLOOKUP(ППД5!CH283,Реестр_Д5[Статус],1,0)</f>
        <v>Продажа</v>
      </c>
      <c r="S286" s="612">
        <f>VLOOKUP(ППД5!BZ283,Реестр_Д5[Стоимость ОН без отделки со скидкой],1,0)</f>
        <v>4934520</v>
      </c>
      <c r="T286" s="612" cm="1">
        <f t="array" ref="T286">IFERROR(INDEX(РД[Стоимость без отделки итог],MATCH($Q$3&amp;Таблица10[[#This Row],[№]]&amp;"Продажа",РД[Дом]&amp;РД[№ кв]&amp;РД[Состояние],0),1),Таблица10[[#This Row],[Статус]])</f>
        <v>4934520</v>
      </c>
      <c r="U286" s="235">
        <f>IFERROR((Таблица10[[#This Row],[ПП]]-Таблица10[[#This Row],[ДДУ]])*1,)</f>
        <v>0</v>
      </c>
      <c r="V286" s="235" cm="1">
        <f t="array" ref="V286">IFERROR(INDEX(РД[Стоимость с отделкой итог],MATCH($Q$3&amp;Таблица10[[#This Row],[№]]&amp;"Продажа",РД[Дом]&amp;РД[№ кв]&amp;РД[Состояние],0),1),Таблица10[[#This Row],[Статус]])</f>
        <v>5312620</v>
      </c>
      <c r="W286" s="235">
        <f>_xlfn.XLOOKUP(Таблица10[[#This Row],[№]],Реестр_Д5[№],Реестр_Д5[Стоимость квартиры с отделкой],"-",0)</f>
        <v>5312620</v>
      </c>
      <c r="X286" s="235">
        <f>IFERROR(Таблица10[[#This Row],[СО ПП]]-Таблица10[[#This Row],[СО ДДУ]],"")</f>
        <v>0</v>
      </c>
      <c r="Y286" s="233" cm="1">
        <f t="array" ref="Y286">IFERROR(INDEX(РД[S],MATCH($Q$3&amp;Таблица10[[#This Row],[№]]&amp;"Продажа",РД[Дом]&amp;РД[№ кв]&amp;РД[Состояние],0),1),Таблица10[[#This Row],[Статус]])</f>
        <v>37.81</v>
      </c>
      <c r="Z286" s="233">
        <f>IF(Таблица10[[#This Row],[№]]&amp;"ДДУ"=ППД5!A283&amp;ППД5!CR283,ППД5!U283,ППД5!V283)</f>
        <v>37.81</v>
      </c>
      <c r="AA286" s="285">
        <f>IFERROR(Таблица10[[#This Row],[S ПП]]-Таблица10[[#This Row],[S ДДУ]],)</f>
        <v>0</v>
      </c>
      <c r="AB286" s="235">
        <f>ROUND(_xlfn.XLOOKUP(Таблица10[[#This Row],[№]],Реестр_Д5[№],Реестр_Д5[Итоговая сумма скидки],"",0),2)</f>
        <v>302480</v>
      </c>
      <c r="AC286" s="235" cm="1">
        <f t="array" ref="AC286">IFERROR(ROUND(_xlfn.XLOOKUP($Q$3&amp;Таблица10[[#This Row],[№]]&amp;"Продажа",РД[Дом]&amp;РД[№ кв]&amp;РД[Состояние],РД[Сумма скидки],"",0,-1),2),Таблица10[[#This Row],[Статус]])</f>
        <v>302480</v>
      </c>
      <c r="AD286" s="285">
        <f>IFERROR(Таблица10[[#This Row],[ППС]]-Таблица10[[#This Row],[ДДУС]],)</f>
        <v>0</v>
      </c>
      <c r="AE286" s="611"/>
      <c r="AT286" s="611"/>
      <c r="AU286" s="484">
        <f>VLOOKUP(ППД402!A283,Д402[],1,0)</f>
        <v>282</v>
      </c>
      <c r="AV286" s="484" t="str">
        <f>_xlfn.XLOOKUP(Т402[[#This Row],[№]],Д402[№],Д402[Статус],"-",0)</f>
        <v>Стр. Резерв</v>
      </c>
      <c r="AW286" s="613">
        <f>_xlfn.XLOOKUP(Т402[[#This Row],[№]],Д402[№],Д402[Стоимость ОН без отделки со скидкой],"-",0)</f>
        <v>4148600</v>
      </c>
      <c r="AX286" s="614" t="str" cm="1">
        <f t="array" ref="AX286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86" s="485" t="str">
        <f>IFERROR((Т402[[#This Row],[ПП]]-Т402[[#This Row],[ДДУ]])*1,"")</f>
        <v/>
      </c>
      <c r="AZ286" s="486" t="str" cm="1">
        <f t="array" ref="AZ286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86" s="485">
        <f>_xlfn.XLOOKUP(Т402[[#This Row],[№]],Д402[№],Д402[Стоимость квартиры с отделкой],"-",0)</f>
        <v>4148600.0000000009</v>
      </c>
      <c r="BB286" s="485" t="str">
        <f>IFERROR(Т402[[#This Row],[СО ПП]]-Т402[[#This Row],[СО ДДУ]],"")</f>
        <v/>
      </c>
      <c r="BC286" s="487" t="str" cm="1">
        <f t="array" ref="BC286">IFERROR(INDEX(РД[S],MATCH($AU$3&amp;Т402[[#This Row],[№]]&amp;"Продажа",РД[Дом]&amp;РД[№ кв]&amp;РД[Состояние],0),1),Т402[[#This Row],[Статус]])</f>
        <v>Стр. Резерв</v>
      </c>
      <c r="BD286" s="483">
        <f>_xlfn.XLOOKUP(Т402[[#This Row],[№]],Д402[№],Д402[Расчетная проектная площадь],"-",0)</f>
        <v>29.43</v>
      </c>
      <c r="BE286" s="485" t="str">
        <f>IFERROR(Т402[[#This Row],[S ПП]]-Т402[[#This Row],[S ДДУ]],"")</f>
        <v/>
      </c>
      <c r="BF286" s="485">
        <f>_xlfn.XLOOKUP(Т402[[#This Row],[№]],Д402[№],Д402[Итоговая сумма скидки],"-",0)</f>
        <v>0</v>
      </c>
      <c r="BG286" s="486" t="str" cm="1">
        <f t="array" ref="BG286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86" s="488" t="str">
        <f>IFERROR(Т402[[#This Row],[ППС]]-Т402[[#This Row],[ДДУС]],"")</f>
        <v/>
      </c>
    </row>
    <row r="287" spans="1:60" x14ac:dyDescent="0.2">
      <c r="A287" s="611"/>
      <c r="B287" s="234">
        <f>VLOOKUP(ППД4!A284,Реестр_Д4[№],1,0)</f>
        <v>283</v>
      </c>
      <c r="C287" s="234" t="str">
        <f>VLOOKUP(ППД4!CO284,Реестр_Д4[Статус],1,0)</f>
        <v>Продажа</v>
      </c>
      <c r="D287" s="612">
        <f>VLOOKUP(ППД4!CE284,Реестр_Д4[Стоимость ОН без отделки со скидкой],1,0)</f>
        <v>2446593.9900000002</v>
      </c>
      <c r="E287" s="612" cm="1">
        <f t="array" ref="E287">IFERROR(INDEX(РД[Стоимость без отделки итог],MATCH($B$3&amp;Таблица4[[#This Row],[№]]&amp;"Продажа",РД[Дом]&amp;РД[№ кв]&amp;РД[Состояние],0),1),Таблица4[[#This Row],[Статус]])</f>
        <v>2446593.9900000007</v>
      </c>
      <c r="F287" s="235">
        <f>IFERROR((Таблица4[[#This Row],[ПП]]-Таблица4[[#This Row],[ДДУ]])*1,"")</f>
        <v>-4.6566128730773926E-10</v>
      </c>
      <c r="G287" s="235" cm="1">
        <f t="array" ref="G287">IFERROR(INDEX(РД[Стоимость с отделкой итог],MATCH($B$3&amp;Таблица4[[#This Row],[№]]&amp;"Продажа",РД[Дом]&amp;РД[№ кв]&amp;РД[Состояние],0),1),Таблица4[[#This Row],[Статус]])</f>
        <v>2563993.9900000002</v>
      </c>
      <c r="H287" s="235">
        <f>_xlfn.XLOOKUP(Таблица4[[#This Row],[№]],Реестр_Д4[№],Реестр_Д4[Стоимость квартиры с отделкой],"-",0)</f>
        <v>2563993.9900000002</v>
      </c>
      <c r="I287" s="235">
        <f>IFERROR(Таблица4[[#This Row],[СО ПП]]-Таблица4[[#This Row],[СО ДДУ]],"")</f>
        <v>0</v>
      </c>
      <c r="J287" s="233" cm="1">
        <f t="array" ref="J287">IFERROR(INDEX(РД[S],MATCH($B$3&amp;Таблица4[[#This Row],[№]]&amp;"Продажа",РД[Дом]&amp;РД[№ кв]&amp;РД[Состояние],0),1),Таблица4[[#This Row],[Статус]])</f>
        <v>29.35</v>
      </c>
      <c r="K287" s="233">
        <f>VLOOKUP(Таблица4[[#This Row],[№]],Реестр_Д4[],20,0)</f>
        <v>29.35</v>
      </c>
      <c r="L287" s="235">
        <f>IFERROR(Таблица4[[#This Row],[S ПП]]-Таблица4[[#This Row],[S ДДУ]],)</f>
        <v>0</v>
      </c>
      <c r="M287" s="235">
        <f>ROUND(_xlfn.XLOOKUP(Таблица4[[#This Row],[№]],Реестр_Д4[№],Реестр_Д4[Итоговая сумма скидки],"",0),2)</f>
        <v>0</v>
      </c>
      <c r="N287" s="235" cm="1">
        <f t="array" ref="N28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7" s="235">
        <f>IFERROR(Таблица4[[#This Row],[ППС]]-Таблица4[[#This Row],[ДДУС]],)</f>
        <v>0</v>
      </c>
      <c r="P287" s="611"/>
      <c r="Q287" s="234">
        <f>VLOOKUP(ППД5!A284,Реестр_Д5[№],1,0)</f>
        <v>283</v>
      </c>
      <c r="R287" s="234" t="str">
        <f>VLOOKUP(ППД5!CH284,Реестр_Д5[Статус],1,0)</f>
        <v>Продажа</v>
      </c>
      <c r="S287" s="612">
        <f>VLOOKUP(ППД5!BZ284,Реестр_Д5[Стоимость ОН без отделки со скидкой],1,0)</f>
        <v>7608230</v>
      </c>
      <c r="T287" s="612" cm="1">
        <f t="array" ref="T287">IFERROR(INDEX(РД[Стоимость без отделки итог],MATCH($Q$3&amp;Таблица10[[#This Row],[№]]&amp;"Продажа",РД[Дом]&amp;РД[№ кв]&amp;РД[Состояние],0),1),Таблица10[[#This Row],[Статус]])</f>
        <v>7608230</v>
      </c>
      <c r="U287" s="235">
        <f>IFERROR((Таблица10[[#This Row],[ПП]]-Таблица10[[#This Row],[ДДУ]])*1,)</f>
        <v>0</v>
      </c>
      <c r="V287" s="235" cm="1">
        <f t="array" ref="V287">IFERROR(INDEX(РД[Стоимость с отделкой итог],MATCH($Q$3&amp;Таблица10[[#This Row],[№]]&amp;"Продажа",РД[Дом]&amp;РД[№ кв]&amp;РД[Состояние],0),1),Таблица10[[#This Row],[Статус]])</f>
        <v>7608230</v>
      </c>
      <c r="W287" s="235">
        <f>_xlfn.XLOOKUP(Таблица10[[#This Row],[№]],Реестр_Д5[№],Реестр_Д5[Стоимость квартиры с отделкой],"-",0)</f>
        <v>7608230</v>
      </c>
      <c r="X287" s="235">
        <f>IFERROR(Таблица10[[#This Row],[СО ПП]]-Таблица10[[#This Row],[СО ДДУ]],"")</f>
        <v>0</v>
      </c>
      <c r="Y287" s="233" cm="1">
        <f t="array" ref="Y287">IFERROR(INDEX(РД[S],MATCH($Q$3&amp;Таблица10[[#This Row],[№]]&amp;"Продажа",РД[Дом]&amp;РД[№ кв]&amp;РД[Состояние],0),1),Таблица10[[#This Row],[Статус]])</f>
        <v>80.97</v>
      </c>
      <c r="Z287" s="233">
        <f>IF(Таблица10[[#This Row],[№]]&amp;"ДДУ"=ППД5!A284&amp;ППД5!CR284,ППД5!U284,ППД5!V284)</f>
        <v>80.97</v>
      </c>
      <c r="AA287" s="285">
        <f>IFERROR(Таблица10[[#This Row],[S ПП]]-Таблица10[[#This Row],[S ДДУ]],)</f>
        <v>0</v>
      </c>
      <c r="AB287" s="235">
        <f>ROUND(_xlfn.XLOOKUP(Таблица10[[#This Row],[№]],Реестр_Д5[№],Реестр_Д5[Итоговая сумма скидки],"",0),2)</f>
        <v>155270</v>
      </c>
      <c r="AC287" s="235" cm="1">
        <f t="array" ref="AC287">IFERROR(ROUND(_xlfn.XLOOKUP($Q$3&amp;Таблица10[[#This Row],[№]]&amp;"Продажа",РД[Дом]&amp;РД[№ кв]&amp;РД[Состояние],РД[Сумма скидки],"",0,-1),2),Таблица10[[#This Row],[Статус]])</f>
        <v>155270</v>
      </c>
      <c r="AD287" s="285">
        <f>IFERROR(Таблица10[[#This Row],[ППС]]-Таблица10[[#This Row],[ДДУС]],)</f>
        <v>0</v>
      </c>
      <c r="AE287" s="611"/>
      <c r="AT287" s="611"/>
      <c r="AU287" s="484">
        <f>VLOOKUP(ППД402!A284,Д402[],1,0)</f>
        <v>283</v>
      </c>
      <c r="AV287" s="484" t="str">
        <f>_xlfn.XLOOKUP(Т402[[#This Row],[№]],Д402[№],Д402[Статус],"-",0)</f>
        <v>Продажа</v>
      </c>
      <c r="AW287" s="613">
        <f>_xlfn.XLOOKUP(Т402[[#This Row],[№]],Д402[№],Д402[Стоимость ОН без отделки со скидкой],"-",0)</f>
        <v>5573358</v>
      </c>
      <c r="AX287" s="614" cm="1">
        <f t="array" ref="AX287">IFERROR(INDEX(РД[Стоимость без отделки итог],MATCH($AU$3&amp;Т402[[#This Row],[№]]&amp;"Продажа",РД[Дом]&amp;РД[№ кв]&amp;РД[Состояние],0),1),Т402[[#This Row],[Статус]])</f>
        <v>5573358</v>
      </c>
      <c r="AY287" s="485">
        <f>IFERROR((Т402[[#This Row],[ПП]]-Т402[[#This Row],[ДДУ]])*1,"")</f>
        <v>0</v>
      </c>
      <c r="AZ287" s="486" cm="1">
        <f t="array" ref="AZ287">IFERROR(INDEX(РД[Стоимость с отделкой итог],MATCH($AU$3&amp;Т402[[#This Row],[№]]&amp;"Продажа",РД[Дом]&amp;РД[№ кв]&amp;РД[Состояние],0),1),Т402[[#This Row],[Статус]])</f>
        <v>5573358</v>
      </c>
      <c r="BA287" s="485">
        <f>_xlfn.XLOOKUP(Т402[[#This Row],[№]],Д402[№],Д402[Стоимость квартиры с отделкой],"-",0)</f>
        <v>5573358</v>
      </c>
      <c r="BB287" s="485">
        <f>IFERROR(Т402[[#This Row],[СО ПП]]-Т402[[#This Row],[СО ДДУ]],"")</f>
        <v>0</v>
      </c>
      <c r="BC287" s="487" cm="1">
        <f t="array" ref="BC287">IFERROR(INDEX(РД[S],MATCH($AU$3&amp;Т402[[#This Row],[№]]&amp;"Продажа",РД[Дом]&amp;РД[№ кв]&amp;РД[Состояние],0),1),Т402[[#This Row],[Статус]])</f>
        <v>43.88</v>
      </c>
      <c r="BD287" s="483">
        <f>_xlfn.XLOOKUP(Т402[[#This Row],[№]],Д402[№],Д402[Расчетная проектная площадь],"-",0)</f>
        <v>43.88</v>
      </c>
      <c r="BE287" s="485">
        <f>IFERROR(Т402[[#This Row],[S ПП]]-Т402[[#This Row],[S ДДУ]],"")</f>
        <v>0</v>
      </c>
      <c r="BF287" s="485">
        <f>_xlfn.XLOOKUP(Т402[[#This Row],[№]],Д402[№],Д402[Итоговая сумма скидки],"-",0)</f>
        <v>113742</v>
      </c>
      <c r="BG287" s="486" cm="1">
        <f t="array" ref="BG287">IFERROR(ROUND(_xlfn.XLOOKUP($AU$3&amp;Т402[[#This Row],[№]]&amp;"Продажа",РД[Дом]&amp;РД[№ кв]&amp;РД[Состояние],РД[Сумма скидки],"",0),2),Т402[[#This Row],[Статус]])</f>
        <v>113742</v>
      </c>
      <c r="BH287" s="488">
        <f>IFERROR(Т402[[#This Row],[ППС]]-Т402[[#This Row],[ДДУС]],"")</f>
        <v>0</v>
      </c>
    </row>
    <row r="288" spans="1:60" x14ac:dyDescent="0.2">
      <c r="A288" s="611"/>
      <c r="B288" s="234">
        <f>VLOOKUP(ППД4!A285,Реестр_Д4[№],1,0)</f>
        <v>284</v>
      </c>
      <c r="C288" s="234" t="str">
        <f>VLOOKUP(ППД4!CO285,Реестр_Д4[Статус],1,0)</f>
        <v>Продажа</v>
      </c>
      <c r="D288" s="612">
        <f>VLOOKUP(ППД4!CE285,Реестр_Д4[Стоимость ОН без отделки со скидкой],1,0)</f>
        <v>5087419.22</v>
      </c>
      <c r="E288" s="612" cm="1">
        <f t="array" ref="E288">IFERROR(INDEX(РД[Стоимость без отделки итог],MATCH($B$3&amp;Таблица4[[#This Row],[№]]&amp;"Продажа",РД[Дом]&amp;РД[№ кв]&amp;РД[Состояние],0),1),Таблица4[[#This Row],[Статус]])</f>
        <v>5087419.22</v>
      </c>
      <c r="F288" s="235">
        <f>IFERROR((Таблица4[[#This Row],[ПП]]-Таблица4[[#This Row],[ДДУ]])*1,"")</f>
        <v>0</v>
      </c>
      <c r="G288" s="235" cm="1">
        <f t="array" ref="G288">IFERROR(INDEX(РД[Стоимость с отделкой итог],MATCH($B$3&amp;Таблица4[[#This Row],[№]]&amp;"Продажа",РД[Дом]&amp;РД[№ кв]&amp;РД[Состояние],0),1),Таблица4[[#This Row],[Статус]])</f>
        <v>5087419.22</v>
      </c>
      <c r="H288" s="235">
        <f>_xlfn.XLOOKUP(Таблица4[[#This Row],[№]],Реестр_Д4[№],Реестр_Д4[Стоимость квартиры с отделкой],"-",0)</f>
        <v>5087419.22</v>
      </c>
      <c r="I288" s="235">
        <f>IFERROR(Таблица4[[#This Row],[СО ПП]]-Таблица4[[#This Row],[СО ДДУ]],"")</f>
        <v>0</v>
      </c>
      <c r="J288" s="233" cm="1">
        <f t="array" ref="J288">IFERROR(INDEX(РД[S],MATCH($B$3&amp;Таблица4[[#This Row],[№]]&amp;"Продажа",РД[Дом]&amp;РД[№ кв]&amp;РД[Состояние],0),1),Таблица4[[#This Row],[Статус]])</f>
        <v>67.95</v>
      </c>
      <c r="K288" s="233">
        <f>VLOOKUP(Таблица4[[#This Row],[№]],Реестр_Д4[],20,0)</f>
        <v>67.95</v>
      </c>
      <c r="L288" s="235">
        <f>IFERROR(Таблица4[[#This Row],[S ПП]]-Таблица4[[#This Row],[S ДДУ]],)</f>
        <v>0</v>
      </c>
      <c r="M288" s="235">
        <f>ROUND(_xlfn.XLOOKUP(Таблица4[[#This Row],[№]],Реестр_Д4[№],Реестр_Д4[Итоговая сумма скидки],"",0),2)</f>
        <v>0</v>
      </c>
      <c r="N288" s="235" cm="1">
        <f t="array" ref="N28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8" s="235">
        <f>IFERROR(Таблица4[[#This Row],[ППС]]-Таблица4[[#This Row],[ДДУС]],)</f>
        <v>0</v>
      </c>
      <c r="P288" s="611"/>
      <c r="Q288" s="234">
        <f>VLOOKUP(ППД5!A285,Реестр_Д5[№],1,0)</f>
        <v>284</v>
      </c>
      <c r="R288" s="234" t="str">
        <f>VLOOKUP(ППД5!CH285,Реестр_Д5[Статус],1,0)</f>
        <v>Продажа</v>
      </c>
      <c r="S288" s="612">
        <f>VLOOKUP(ППД5!BZ285,Реестр_Д5[Стоимость ОН без отделки со скидкой],1,0)</f>
        <v>3769700</v>
      </c>
      <c r="T288" s="612" cm="1">
        <f t="array" ref="T288">IFERROR(INDEX(РД[Стоимость без отделки итог],MATCH($Q$3&amp;Таблица10[[#This Row],[№]]&amp;"Продажа",РД[Дом]&amp;РД[№ кв]&amp;РД[Состояние],0),1),Таблица10[[#This Row],[Статус]])</f>
        <v>3769700</v>
      </c>
      <c r="U288" s="235">
        <f>IFERROR((Таблица10[[#This Row],[ПП]]-Таблица10[[#This Row],[ДДУ]])*1,)</f>
        <v>0</v>
      </c>
      <c r="V288" s="235" cm="1">
        <f t="array" ref="V288">IFERROR(INDEX(РД[Стоимость с отделкой итог],MATCH($Q$3&amp;Таблица10[[#This Row],[№]]&amp;"Продажа",РД[Дом]&amp;РД[№ кв]&amp;РД[Состояние],0),1),Таблица10[[#This Row],[Статус]])</f>
        <v>4030775</v>
      </c>
      <c r="W288" s="235">
        <f>_xlfn.XLOOKUP(Таблица10[[#This Row],[№]],Реестр_Д5[№],Реестр_Д5[Стоимость квартиры с отделкой],"-",0)</f>
        <v>4030775</v>
      </c>
      <c r="X288" s="235">
        <f>IFERROR(Таблица10[[#This Row],[СО ПП]]-Таблица10[[#This Row],[СО ДДУ]],"")</f>
        <v>0</v>
      </c>
      <c r="Y288" s="233" cm="1">
        <f t="array" ref="Y288">IFERROR(INDEX(РД[S],MATCH($Q$3&amp;Таблица10[[#This Row],[№]]&amp;"Продажа",РД[Дом]&amp;РД[№ кв]&amp;РД[Состояние],0),1),Таблица10[[#This Row],[Статус]])</f>
        <v>34.81</v>
      </c>
      <c r="Z288" s="233">
        <f>IF(Таблица10[[#This Row],[№]]&amp;"ДДУ"=ППД5!A285&amp;ППД5!CR285,ППД5!U285,ППД5!V285)</f>
        <v>34.81</v>
      </c>
      <c r="AA288" s="285">
        <f>IFERROR(Таблица10[[#This Row],[S ПП]]-Таблица10[[#This Row],[S ДДУ]],)</f>
        <v>0</v>
      </c>
      <c r="AB288" s="235">
        <f>ROUND(_xlfn.XLOOKUP(Таблица10[[#This Row],[№]],Реестр_Д5[№],Реестр_Д5[Итоговая сумма скидки],"",0),2)</f>
        <v>50000</v>
      </c>
      <c r="AC288" s="235" cm="1">
        <f t="array" ref="AC288">IFERROR(ROUND(_xlfn.XLOOKUP($Q$3&amp;Таблица10[[#This Row],[№]]&amp;"Продажа",РД[Дом]&amp;РД[№ кв]&amp;РД[Состояние],РД[Сумма скидки],"",0,-1),2),Таблица10[[#This Row],[Статус]])</f>
        <v>50000</v>
      </c>
      <c r="AD288" s="285">
        <f>IFERROR(Таблица10[[#This Row],[ППС]]-Таблица10[[#This Row],[ДДУС]],)</f>
        <v>0</v>
      </c>
      <c r="AE288" s="611"/>
      <c r="AT288" s="611"/>
      <c r="AU288" s="484">
        <f>VLOOKUP(ППД402!A285,Д402[],1,0)</f>
        <v>284</v>
      </c>
      <c r="AV288" s="484" t="str">
        <f>_xlfn.XLOOKUP(Т402[[#This Row],[№]],Д402[№],Д402[Статус],"-",0)</f>
        <v>Свободно</v>
      </c>
      <c r="AW288" s="613">
        <f>_xlfn.XLOOKUP(Т402[[#This Row],[№]],Д402[№],Д402[Стоимость ОН без отделки со скидкой],"-",0)</f>
        <v>4991000</v>
      </c>
      <c r="AX288" s="614" t="str" cm="1">
        <f t="array" ref="AX288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88" s="485" t="str">
        <f>IFERROR((Т402[[#This Row],[ПП]]-Т402[[#This Row],[ДДУ]])*1,"")</f>
        <v/>
      </c>
      <c r="AZ288" s="486" t="str" cm="1">
        <f t="array" ref="AZ288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88" s="485">
        <f>_xlfn.XLOOKUP(Т402[[#This Row],[№]],Д402[№],Д402[Стоимость квартиры с отделкой],"-",0)</f>
        <v>4991000</v>
      </c>
      <c r="BB288" s="485" t="str">
        <f>IFERROR(Т402[[#This Row],[СО ПП]]-Т402[[#This Row],[СО ДДУ]],"")</f>
        <v/>
      </c>
      <c r="BC288" s="487" t="str" cm="1">
        <f t="array" ref="BC288">IFERROR(INDEX(РД[S],MATCH($AU$3&amp;Т402[[#This Row],[№]]&amp;"Продажа",РД[Дом]&amp;РД[№ кв]&amp;РД[Состояние],0),1),Т402[[#This Row],[Статус]])</f>
        <v>Свободно</v>
      </c>
      <c r="BD288" s="483">
        <f>_xlfn.XLOOKUP(Т402[[#This Row],[№]],Д402[№],Д402[Расчетная проектная площадь],"-",0)</f>
        <v>36.35</v>
      </c>
      <c r="BE288" s="485" t="str">
        <f>IFERROR(Т402[[#This Row],[S ПП]]-Т402[[#This Row],[S ДДУ]],"")</f>
        <v/>
      </c>
      <c r="BF288" s="485">
        <f>_xlfn.XLOOKUP(Т402[[#This Row],[№]],Д402[№],Д402[Итоговая сумма скидки],"-",0)</f>
        <v>0</v>
      </c>
      <c r="BG288" s="486" t="str" cm="1">
        <f t="array" ref="BG288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88" s="488" t="str">
        <f>IFERROR(Т402[[#This Row],[ППС]]-Т402[[#This Row],[ДДУС]],"")</f>
        <v/>
      </c>
    </row>
    <row r="289" spans="1:60" x14ac:dyDescent="0.2">
      <c r="A289" s="611"/>
      <c r="B289" s="234">
        <f>VLOOKUP(ППД4!A286,Реестр_Д4[№],1,0)</f>
        <v>285</v>
      </c>
      <c r="C289" s="234" t="str">
        <f>VLOOKUP(ППД4!CO286,Реестр_Д4[Статус],1,0)</f>
        <v>Продажа</v>
      </c>
      <c r="D289" s="612">
        <f>VLOOKUP(ППД4!CE286,Реестр_Д4[Стоимость ОН без отделки со скидкой],1,0)</f>
        <v>3319583.15</v>
      </c>
      <c r="E289" s="612" cm="1">
        <f t="array" ref="E289">IFERROR(INDEX(РД[Стоимость без отделки итог],MATCH($B$3&amp;Таблица4[[#This Row],[№]]&amp;"Продажа",РД[Дом]&amp;РД[№ кв]&amp;РД[Состояние],0),1),Таблица4[[#This Row],[Статус]])</f>
        <v>3319583.15</v>
      </c>
      <c r="F289" s="235">
        <f>IFERROR((Таблица4[[#This Row],[ПП]]-Таблица4[[#This Row],[ДДУ]])*1,"")</f>
        <v>0</v>
      </c>
      <c r="G289" s="235" cm="1">
        <f t="array" ref="G289">IFERROR(INDEX(РД[Стоимость с отделкой итог],MATCH($B$3&amp;Таблица4[[#This Row],[№]]&amp;"Продажа",РД[Дом]&amp;РД[№ кв]&amp;РД[Состояние],0),1),Таблица4[[#This Row],[Статус]])</f>
        <v>3465383.15</v>
      </c>
      <c r="H289" s="235">
        <f>_xlfn.XLOOKUP(Таблица4[[#This Row],[№]],Реестр_Д4[№],Реестр_Д4[Стоимость квартиры с отделкой],"-",0)</f>
        <v>3465383.15</v>
      </c>
      <c r="I289" s="235">
        <f>IFERROR(Таблица4[[#This Row],[СО ПП]]-Таблица4[[#This Row],[СО ДДУ]],"")</f>
        <v>0</v>
      </c>
      <c r="J289" s="233" cm="1">
        <f t="array" ref="J289">IFERROR(INDEX(РД[S],MATCH($B$3&amp;Таблица4[[#This Row],[№]]&amp;"Продажа",РД[Дом]&amp;РД[№ кв]&amp;РД[Состояние],0),1),Таблица4[[#This Row],[Статус]])</f>
        <v>36.450000000000003</v>
      </c>
      <c r="K289" s="233">
        <f>VLOOKUP(Таблица4[[#This Row],[№]],Реестр_Д4[],20,0)</f>
        <v>36.450000000000003</v>
      </c>
      <c r="L289" s="235">
        <f>IFERROR(Таблица4[[#This Row],[S ПП]]-Таблица4[[#This Row],[S ДДУ]],)</f>
        <v>0</v>
      </c>
      <c r="M289" s="235">
        <f>ROUND(_xlfn.XLOOKUP(Таблица4[[#This Row],[№]],Реестр_Д4[№],Реестр_Д4[Итоговая сумма скидки],"",0),2)</f>
        <v>0</v>
      </c>
      <c r="N289" s="235" cm="1">
        <f t="array" ref="N28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89" s="235">
        <f>IFERROR(Таблица4[[#This Row],[ППС]]-Таблица4[[#This Row],[ДДУС]],)</f>
        <v>0</v>
      </c>
      <c r="P289" s="611"/>
      <c r="Q289" s="234">
        <f>VLOOKUP(ППД5!A286,Реестр_Д5[№],1,0)</f>
        <v>285</v>
      </c>
      <c r="R289" s="234" t="str">
        <f>VLOOKUP(ППД5!CH286,Реестр_Д5[Статус],1,0)</f>
        <v>Продажа</v>
      </c>
      <c r="S289" s="612">
        <f>VLOOKUP(ППД5!BZ286,Реестр_Д5[Стоимость ОН без отделки со скидкой],1,0)</f>
        <v>6788400</v>
      </c>
      <c r="T289" s="612" cm="1">
        <f t="array" ref="T289">IFERROR(INDEX(РД[Стоимость без отделки итог],MATCH($Q$3&amp;Таблица10[[#This Row],[№]]&amp;"Продажа",РД[Дом]&amp;РД[№ кв]&amp;РД[Состояние],0),1),Таблица10[[#This Row],[Статус]])</f>
        <v>6788400</v>
      </c>
      <c r="U289" s="235">
        <f>IFERROR((Таблица10[[#This Row],[ПП]]-Таблица10[[#This Row],[ДДУ]])*1,)</f>
        <v>0</v>
      </c>
      <c r="V289" s="235" cm="1">
        <f t="array" ref="V289">IFERROR(INDEX(РД[Стоимость с отделкой итог],MATCH($Q$3&amp;Таблица10[[#This Row],[№]]&amp;"Продажа",РД[Дом]&amp;РД[№ кв]&amp;РД[Состояние],0),1),Таблица10[[#This Row],[Статус]])</f>
        <v>6788400</v>
      </c>
      <c r="W289" s="235">
        <f>_xlfn.XLOOKUP(Таблица10[[#This Row],[№]],Реестр_Д5[№],Реестр_Д5[Стоимость квартиры с отделкой],"-",0)</f>
        <v>6788400</v>
      </c>
      <c r="X289" s="235">
        <f>IFERROR(Таблица10[[#This Row],[СО ПП]]-Таблица10[[#This Row],[СО ДДУ]],"")</f>
        <v>0</v>
      </c>
      <c r="Y289" s="233" cm="1">
        <f t="array" ref="Y289">IFERROR(INDEX(РД[S],MATCH($Q$3&amp;Таблица10[[#This Row],[№]]&amp;"Продажа",РД[Дом]&amp;РД[№ кв]&amp;РД[Состояние],0),1),Таблица10[[#This Row],[Статус]])</f>
        <v>73.7</v>
      </c>
      <c r="Z289" s="233">
        <f>IF(Таблица10[[#This Row],[№]]&amp;"ДДУ"=ППД5!A286&amp;ППД5!CR286,ППД5!U286,ППД5!V286)</f>
        <v>73.7</v>
      </c>
      <c r="AA289" s="285">
        <f>IFERROR(Таблица10[[#This Row],[S ПП]]-Таблица10[[#This Row],[S ДДУ]],)</f>
        <v>0</v>
      </c>
      <c r="AB289" s="235">
        <f>ROUND(_xlfn.XLOOKUP(Таблица10[[#This Row],[№]],Реестр_Д5[№],Реестр_Д5[Итоговая сумма скидки],"",0),2)</f>
        <v>0</v>
      </c>
      <c r="AC289" s="235" cm="1">
        <f t="array" ref="AC28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89" s="285">
        <f>IFERROR(Таблица10[[#This Row],[ППС]]-Таблица10[[#This Row],[ДДУС]],)</f>
        <v>0</v>
      </c>
      <c r="AE289" s="611"/>
      <c r="AT289" s="611"/>
      <c r="AU289" s="484">
        <f>VLOOKUP(ППД402!A286,Д402[],1,0)</f>
        <v>285</v>
      </c>
      <c r="AV289" s="484" t="str">
        <f>_xlfn.XLOOKUP(Т402[[#This Row],[№]],Д402[№],Д402[Статус],"-",0)</f>
        <v>Продажа</v>
      </c>
      <c r="AW289" s="613">
        <f>_xlfn.XLOOKUP(Т402[[#This Row],[№]],Д402[№],Д402[Стоимость ОН без отделки со скидкой],"-",0)</f>
        <v>6704180</v>
      </c>
      <c r="AX289" s="614" cm="1">
        <f t="array" ref="AX289">IFERROR(INDEX(РД[Стоимость без отделки итог],MATCH($AU$3&amp;Т402[[#This Row],[№]]&amp;"Продажа",РД[Дом]&amp;РД[№ кв]&amp;РД[Состояние],0),1),Т402[[#This Row],[Статус]])</f>
        <v>6704180</v>
      </c>
      <c r="AY289" s="485">
        <f>IFERROR((Т402[[#This Row],[ПП]]-Т402[[#This Row],[ДДУ]])*1,"")</f>
        <v>0</v>
      </c>
      <c r="AZ289" s="486" cm="1">
        <f t="array" ref="AZ289">IFERROR(INDEX(РД[Стоимость с отделкой итог],MATCH($AU$3&amp;Т402[[#This Row],[№]]&amp;"Продажа",РД[Дом]&amp;РД[№ кв]&amp;РД[Состояние],0),1),Т402[[#This Row],[Статус]])</f>
        <v>7244980</v>
      </c>
      <c r="BA289" s="485">
        <f>_xlfn.XLOOKUP(Т402[[#This Row],[№]],Д402[№],Д402[Стоимость квартиры с отделкой],"-",0)</f>
        <v>7244979.9999999981</v>
      </c>
      <c r="BB289" s="485">
        <f>IFERROR(Т402[[#This Row],[СО ПП]]-Т402[[#This Row],[СО ДДУ]],"")</f>
        <v>-1.862645149230957E-9</v>
      </c>
      <c r="BC289" s="487" cm="1">
        <f t="array" ref="BC289">IFERROR(INDEX(РД[S],MATCH($AU$3&amp;Т402[[#This Row],[№]]&amp;"Продажа",РД[Дом]&amp;РД[№ кв]&amp;РД[Состояние],0),1),Т402[[#This Row],[Статус]])</f>
        <v>54.08</v>
      </c>
      <c r="BD289" s="483">
        <f>_xlfn.XLOOKUP(Т402[[#This Row],[№]],Д402[№],Д402[Расчетная проектная площадь],"-",0)</f>
        <v>54.08</v>
      </c>
      <c r="BE289" s="485">
        <f>IFERROR(Т402[[#This Row],[S ПП]]-Т402[[#This Row],[S ДДУ]],"")</f>
        <v>0</v>
      </c>
      <c r="BF289" s="485">
        <f>_xlfn.XLOOKUP(Т402[[#This Row],[№]],Д402[№],Д402[Итоговая сумма скидки],"-",0)</f>
        <v>136820</v>
      </c>
      <c r="BG289" s="486" cm="1">
        <f t="array" ref="BG289">IFERROR(ROUND(_xlfn.XLOOKUP($AU$3&amp;Т402[[#This Row],[№]]&amp;"Продажа",РД[Дом]&amp;РД[№ кв]&amp;РД[Состояние],РД[Сумма скидки],"",0),2),Т402[[#This Row],[Статус]])</f>
        <v>136820</v>
      </c>
      <c r="BH289" s="488">
        <f>IFERROR(Т402[[#This Row],[ППС]]-Т402[[#This Row],[ДДУС]],"")</f>
        <v>0</v>
      </c>
    </row>
    <row r="290" spans="1:60" x14ac:dyDescent="0.2">
      <c r="A290" s="611"/>
      <c r="B290" s="234">
        <f>VLOOKUP(ППД4!A287,Реестр_Д4[№],1,0)</f>
        <v>286</v>
      </c>
      <c r="C290" s="234" t="str">
        <f>VLOOKUP(ППД4!CO287,Реестр_Д4[Статус],1,0)</f>
        <v>Продажа</v>
      </c>
      <c r="D290" s="612">
        <f>VLOOKUP(ППД4!CE287,Реестр_Д4[Стоимость ОН без отделки со скидкой],1,0)</f>
        <v>4291217.2699999996</v>
      </c>
      <c r="E290" s="612" cm="1">
        <f t="array" ref="E290">IFERROR(INDEX(РД[Стоимость без отделки итог],MATCH($B$3&amp;Таблица4[[#This Row],[№]]&amp;"Продажа",РД[Дом]&amp;РД[№ кв]&amp;РД[Состояние],0),1),Таблица4[[#This Row],[Статус]])</f>
        <v>4291217.2699999996</v>
      </c>
      <c r="F290" s="235">
        <f>IFERROR((Таблица4[[#This Row],[ПП]]-Таблица4[[#This Row],[ДДУ]])*1,"")</f>
        <v>0</v>
      </c>
      <c r="G290" s="235" cm="1">
        <f t="array" ref="G290">IFERROR(INDEX(РД[Стоимость с отделкой итог],MATCH($B$3&amp;Таблица4[[#This Row],[№]]&amp;"Продажа",РД[Дом]&amp;РД[№ кв]&amp;РД[Состояние],0),1),Таблица4[[#This Row],[Статус]])</f>
        <v>4525417.2699999996</v>
      </c>
      <c r="H290" s="235">
        <f>_xlfn.XLOOKUP(Таблица4[[#This Row],[№]],Реестр_Д4[№],Реестр_Д4[Стоимость квартиры с отделкой],"-",0)</f>
        <v>4525417.2699999996</v>
      </c>
      <c r="I290" s="235">
        <f>IFERROR(Таблица4[[#This Row],[СО ПП]]-Таблица4[[#This Row],[СО ДДУ]],"")</f>
        <v>0</v>
      </c>
      <c r="J290" s="233" cm="1">
        <f t="array" ref="J290">IFERROR(INDEX(РД[S],MATCH($B$3&amp;Таблица4[[#This Row],[№]]&amp;"Продажа",РД[Дом]&amp;РД[№ кв]&amp;РД[Состояние],0),1),Таблица4[[#This Row],[Статус]])</f>
        <v>58.55</v>
      </c>
      <c r="K290" s="233">
        <f>VLOOKUP(Таблица4[[#This Row],[№]],Реестр_Д4[],20,0)</f>
        <v>58.55</v>
      </c>
      <c r="L290" s="235">
        <f>IFERROR(Таблица4[[#This Row],[S ПП]]-Таблица4[[#This Row],[S ДДУ]],)</f>
        <v>0</v>
      </c>
      <c r="M290" s="235">
        <f>ROUND(_xlfn.XLOOKUP(Таблица4[[#This Row],[№]],Реестр_Д4[№],Реестр_Д4[Итоговая сумма скидки],"",0),2)</f>
        <v>273907.49</v>
      </c>
      <c r="N290" s="235" cm="1">
        <f t="array" ref="N290">IFERROR(ROUND(_xlfn.XLOOKUP($B$3&amp;Таблица4[[#This Row],[№]]&amp;"Продажа",РД[Дом]&amp;РД[№ кв]&amp;РД[Состояние],РД[Сумма скидки],"",0),2),Таблица4[[#This Row],[Статус]])</f>
        <v>273907.49</v>
      </c>
      <c r="O290" s="235">
        <f>IFERROR(Таблица4[[#This Row],[ППС]]-Таблица4[[#This Row],[ДДУС]],)</f>
        <v>0</v>
      </c>
      <c r="P290" s="611"/>
      <c r="Q290" s="234">
        <f>VLOOKUP(ППД5!A287,Реестр_Д5[№],1,0)</f>
        <v>286</v>
      </c>
      <c r="R290" s="234" t="str">
        <f>VLOOKUP(ППД5!CH287,Реестр_Д5[Статус],1,0)</f>
        <v>Продажа</v>
      </c>
      <c r="S290" s="612">
        <f>VLOOKUP(ППД5!BZ287,Реестр_Д5[Стоимость ОН без отделки со скидкой],1,0)</f>
        <v>3226700</v>
      </c>
      <c r="T290" s="612" cm="1">
        <f t="array" ref="T290">IFERROR(INDEX(РД[Стоимость без отделки итог],MATCH($Q$3&amp;Таблица10[[#This Row],[№]]&amp;"Продажа",РД[Дом]&amp;РД[№ кв]&amp;РД[Состояние],0),1),Таблица10[[#This Row],[Статус]])</f>
        <v>3226700</v>
      </c>
      <c r="U290" s="235">
        <f>IFERROR((Таблица10[[#This Row],[ПП]]-Таблица10[[#This Row],[ДДУ]])*1,)</f>
        <v>0</v>
      </c>
      <c r="V290" s="235" cm="1">
        <f t="array" ref="V290">IFERROR(INDEX(РД[Стоимость с отделкой итог],MATCH($Q$3&amp;Таблица10[[#This Row],[№]]&amp;"Продажа",РД[Дом]&amp;РД[№ кв]&amp;РД[Состояние],0),1),Таблица10[[#This Row],[Статус]])</f>
        <v>3226700</v>
      </c>
      <c r="W290" s="235">
        <f>_xlfn.XLOOKUP(Таблица10[[#This Row],[№]],Реестр_Д5[№],Реестр_Д5[Стоимость квартиры с отделкой],"-",0)</f>
        <v>3226700</v>
      </c>
      <c r="X290" s="235">
        <f>IFERROR(Таблица10[[#This Row],[СО ПП]]-Таблица10[[#This Row],[СО ДДУ]],"")</f>
        <v>0</v>
      </c>
      <c r="Y290" s="233" cm="1">
        <f t="array" ref="Y290">IFERROR(INDEX(РД[S],MATCH($Q$3&amp;Таблица10[[#This Row],[№]]&amp;"Продажа",РД[Дом]&amp;РД[№ кв]&amp;РД[Состояние],0),1),Таблица10[[#This Row],[Статус]])</f>
        <v>24.53</v>
      </c>
      <c r="Z290" s="233">
        <f>IF(Таблица10[[#This Row],[№]]&amp;"ДДУ"=ППД5!A287&amp;ППД5!CR287,ППД5!U287,ППД5!V287)</f>
        <v>24.53</v>
      </c>
      <c r="AA290" s="285">
        <f>IFERROR(Таблица10[[#This Row],[S ПП]]-Таблица10[[#This Row],[S ДДУ]],)</f>
        <v>0</v>
      </c>
      <c r="AB290" s="235">
        <f>ROUND(_xlfn.XLOOKUP(Таблица10[[#This Row],[№]],Реестр_Д5[№],Реестр_Д5[Итоговая сумма скидки],"",0),2)</f>
        <v>0</v>
      </c>
      <c r="AC290" s="235" cm="1">
        <f t="array" ref="AC29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90" s="285">
        <f>IFERROR(Таблица10[[#This Row],[ППС]]-Таблица10[[#This Row],[ДДУС]],)</f>
        <v>0</v>
      </c>
      <c r="AE290" s="611"/>
      <c r="AT290" s="611"/>
      <c r="AU290" s="484">
        <f>VLOOKUP(ППД402!A287,Д402[],1,0)</f>
        <v>286</v>
      </c>
      <c r="AV290" s="484" t="str">
        <f>_xlfn.XLOOKUP(Т402[[#This Row],[№]],Д402[№],Д402[Статус],"-",0)</f>
        <v>Стр. Резерв</v>
      </c>
      <c r="AW290" s="613">
        <f>_xlfn.XLOOKUP(Т402[[#This Row],[№]],Д402[№],Д402[Стоимость ОН без отделки со скидкой],"-",0)</f>
        <v>7183800</v>
      </c>
      <c r="AX290" s="614" t="str" cm="1">
        <f t="array" ref="AX290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90" s="485" t="str">
        <f>IFERROR((Т402[[#This Row],[ПП]]-Т402[[#This Row],[ДДУ]])*1,"")</f>
        <v/>
      </c>
      <c r="AZ290" s="486" t="str" cm="1">
        <f t="array" ref="AZ290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90" s="485">
        <f>_xlfn.XLOOKUP(Т402[[#This Row],[№]],Д402[№],Д402[Стоимость квартиры с отделкой],"-",0)</f>
        <v>7183800</v>
      </c>
      <c r="BB290" s="485" t="str">
        <f>IFERROR(Т402[[#This Row],[СО ПП]]-Т402[[#This Row],[СО ДДУ]],"")</f>
        <v/>
      </c>
      <c r="BC290" s="487" t="str" cm="1">
        <f t="array" ref="BC290">IFERROR(INDEX(РД[S],MATCH($AU$3&amp;Т402[[#This Row],[№]]&amp;"Продажа",РД[Дом]&amp;РД[№ кв]&amp;РД[Состояние],0),1),Т402[[#This Row],[Статус]])</f>
        <v>Стр. Резерв</v>
      </c>
      <c r="BD290" s="483">
        <f>_xlfn.XLOOKUP(Т402[[#This Row],[№]],Д402[№],Д402[Расчетная проектная площадь],"-",0)</f>
        <v>55.73</v>
      </c>
      <c r="BE290" s="485" t="str">
        <f>IFERROR(Т402[[#This Row],[S ПП]]-Т402[[#This Row],[S ДДУ]],"")</f>
        <v/>
      </c>
      <c r="BF290" s="485">
        <f>_xlfn.XLOOKUP(Т402[[#This Row],[№]],Д402[№],Д402[Итоговая сумма скидки],"-",0)</f>
        <v>0</v>
      </c>
      <c r="BG290" s="486" t="str" cm="1">
        <f t="array" ref="BG290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90" s="488" t="str">
        <f>IFERROR(Т402[[#This Row],[ППС]]-Т402[[#This Row],[ДДУС]],"")</f>
        <v/>
      </c>
    </row>
    <row r="291" spans="1:60" x14ac:dyDescent="0.2">
      <c r="A291" s="611"/>
      <c r="B291" s="234">
        <f>VLOOKUP(ППД4!A288,Реестр_Д4[№],1,0)</f>
        <v>287</v>
      </c>
      <c r="C291" s="234" t="str">
        <f>VLOOKUP(ППД4!CO288,Реестр_Д4[Статус],1,0)</f>
        <v>Продажа</v>
      </c>
      <c r="D291" s="612">
        <f>VLOOKUP(ППД4!CE288,Реестр_Д4[Стоимость ОН без отделки со скидкой],1,0)</f>
        <v>4291284.5</v>
      </c>
      <c r="E291" s="612" cm="1">
        <f t="array" ref="E291">IFERROR(INDEX(РД[Стоимость без отделки итог],MATCH($B$3&amp;Таблица4[[#This Row],[№]]&amp;"Продажа",РД[Дом]&amp;РД[№ кв]&amp;РД[Состояние],0),1),Таблица4[[#This Row],[Статус]])</f>
        <v>4291284.5</v>
      </c>
      <c r="F291" s="235">
        <f>IFERROR((Таблица4[[#This Row],[ПП]]-Таблица4[[#This Row],[ДДУ]])*1,"")</f>
        <v>0</v>
      </c>
      <c r="G291" s="235" cm="1">
        <f t="array" ref="G291">IFERROR(INDEX(РД[Стоимость с отделкой итог],MATCH($B$3&amp;Таблица4[[#This Row],[№]]&amp;"Продажа",РД[Дом]&amp;РД[№ кв]&amp;РД[Состояние],0),1),Таблица4[[#This Row],[Статус]])</f>
        <v>4291284.5</v>
      </c>
      <c r="H291" s="235">
        <f>_xlfn.XLOOKUP(Таблица4[[#This Row],[№]],Реестр_Д4[№],Реестр_Д4[Стоимость квартиры с отделкой],"-",0)</f>
        <v>4291284.5</v>
      </c>
      <c r="I291" s="235">
        <f>IFERROR(Таблица4[[#This Row],[СО ПП]]-Таблица4[[#This Row],[СО ДДУ]],"")</f>
        <v>0</v>
      </c>
      <c r="J291" s="233" cm="1">
        <f t="array" ref="J291">IFERROR(INDEX(РД[S],MATCH($B$3&amp;Таблица4[[#This Row],[№]]&amp;"Продажа",РД[Дом]&amp;РД[№ кв]&amp;РД[Состояние],0),1),Таблица4[[#This Row],[Статус]])</f>
        <v>56.7</v>
      </c>
      <c r="K291" s="233">
        <f>VLOOKUP(Таблица4[[#This Row],[№]],Реестр_Д4[],20,0)</f>
        <v>56.7</v>
      </c>
      <c r="L291" s="235">
        <f>IFERROR(Таблица4[[#This Row],[S ПП]]-Таблица4[[#This Row],[S ДДУ]],)</f>
        <v>0</v>
      </c>
      <c r="M291" s="235">
        <f>ROUND(_xlfn.XLOOKUP(Таблица4[[#This Row],[№]],Реестр_Д4[№],Реестр_Д4[Итоговая сумма скидки],"",0),2)</f>
        <v>0</v>
      </c>
      <c r="N291" s="235" cm="1">
        <f t="array" ref="N29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1" s="235">
        <f>IFERROR(Таблица4[[#This Row],[ППС]]-Таблица4[[#This Row],[ДДУС]],)</f>
        <v>0</v>
      </c>
      <c r="P291" s="611"/>
      <c r="Q291" s="234">
        <f>VLOOKUP(ППД5!A288,Реестр_Д5[№],1,0)</f>
        <v>287</v>
      </c>
      <c r="R291" s="234" t="str">
        <f>VLOOKUP(ППД5!CH288,Реестр_Д5[Статус],1,0)</f>
        <v>Продажа</v>
      </c>
      <c r="S291" s="612">
        <f>VLOOKUP(ППД5!BZ288,Реестр_Д5[Стоимость ОН без отделки со скидкой],1,0)</f>
        <v>5384200</v>
      </c>
      <c r="T291" s="612" cm="1">
        <f t="array" ref="T291">IFERROR(INDEX(РД[Стоимость без отделки итог],MATCH($Q$3&amp;Таблица10[[#This Row],[№]]&amp;"Продажа",РД[Дом]&amp;РД[№ кв]&amp;РД[Состояние],0),1),Таблица10[[#This Row],[Статус]])</f>
        <v>5384200</v>
      </c>
      <c r="U291" s="235">
        <f>IFERROR((Таблица10[[#This Row],[ПП]]-Таблица10[[#This Row],[ДДУ]])*1,)</f>
        <v>0</v>
      </c>
      <c r="V291" s="235" cm="1">
        <f t="array" ref="V291">IFERROR(INDEX(РД[Стоимость с отделкой итог],MATCH($Q$3&amp;Таблица10[[#This Row],[№]]&amp;"Продажа",РД[Дом]&amp;РД[№ кв]&amp;РД[Состояние],0),1),Таблица10[[#This Row],[Статус]])</f>
        <v>6515800</v>
      </c>
      <c r="W291" s="235">
        <f>_xlfn.XLOOKUP(Таблица10[[#This Row],[№]],Реестр_Д5[№],Реестр_Д5[Стоимость квартиры с отделкой],"-",0)</f>
        <v>6515800</v>
      </c>
      <c r="X291" s="235">
        <f>IFERROR(Таблица10[[#This Row],[СО ПП]]-Таблица10[[#This Row],[СО ДДУ]],"")</f>
        <v>0</v>
      </c>
      <c r="Y291" s="233" cm="1">
        <f t="array" ref="Y291">IFERROR(INDEX(РД[S],MATCH($Q$3&amp;Таблица10[[#This Row],[№]]&amp;"Продажа",РД[Дом]&amp;РД[№ кв]&amp;РД[Состояние],0),1),Таблица10[[#This Row],[Статус]])</f>
        <v>56.58</v>
      </c>
      <c r="Z291" s="233">
        <f>IF(Таблица10[[#This Row],[№]]&amp;"ДДУ"=ППД5!A288&amp;ППД5!CR288,ППД5!U288,ППД5!V288)</f>
        <v>56.58</v>
      </c>
      <c r="AA291" s="285">
        <f>IFERROR(Таблица10[[#This Row],[S ПП]]-Таблица10[[#This Row],[S ДДУ]],)</f>
        <v>0</v>
      </c>
      <c r="AB291" s="235">
        <f>ROUND(_xlfn.XLOOKUP(Таблица10[[#This Row],[№]],Реестр_Д5[№],Реестр_Д5[Итоговая сумма скидки],"",0),2)</f>
        <v>90000</v>
      </c>
      <c r="AC291" s="235" cm="1">
        <f t="array" ref="AC291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291" s="285">
        <f>IFERROR(Таблица10[[#This Row],[ППС]]-Таблица10[[#This Row],[ДДУС]],)</f>
        <v>0</v>
      </c>
      <c r="AE291" s="611"/>
      <c r="AT291" s="611"/>
      <c r="AU291" s="484">
        <f>VLOOKUP(ППД402!A288,Д402[],1,0)</f>
        <v>287</v>
      </c>
      <c r="AV291" s="484" t="str">
        <f>_xlfn.XLOOKUP(Т402[[#This Row],[№]],Д402[№],Д402[Статус],"-",0)</f>
        <v>Свободно</v>
      </c>
      <c r="AW291" s="613">
        <f>_xlfn.XLOOKUP(Т402[[#This Row],[№]],Д402[№],Д402[Стоимость ОН без отделки со скидкой],"-",0)</f>
        <v>7465500</v>
      </c>
      <c r="AX291" s="614" t="str" cm="1">
        <f t="array" ref="AX291">IFERROR(INDEX(РД[Стоимость без отделки итог],MATCH($AU$3&amp;Т402[[#This Row],[№]]&amp;"Продажа",РД[Дом]&amp;РД[№ кв]&amp;РД[Состояние],0),1),Т402[[#This Row],[Статус]])</f>
        <v>Свободно</v>
      </c>
      <c r="AY291" s="485" t="str">
        <f>IFERROR((Т402[[#This Row],[ПП]]-Т402[[#This Row],[ДДУ]])*1,"")</f>
        <v/>
      </c>
      <c r="AZ291" s="486" t="str" cm="1">
        <f t="array" ref="AZ291">IFERROR(INDEX(РД[Стоимость с отделкой итог],MATCH($AU$3&amp;Т402[[#This Row],[№]]&amp;"Продажа",РД[Дом]&amp;РД[№ кв]&amp;РД[Состояние],0),1),Т402[[#This Row],[Статус]])</f>
        <v>Свободно</v>
      </c>
      <c r="BA291" s="485">
        <f>_xlfn.XLOOKUP(Т402[[#This Row],[№]],Д402[№],Д402[Стоимость квартиры с отделкой],"-",0)</f>
        <v>7465500</v>
      </c>
      <c r="BB291" s="485" t="str">
        <f>IFERROR(Т402[[#This Row],[СО ПП]]-Т402[[#This Row],[СО ДДУ]],"")</f>
        <v/>
      </c>
      <c r="BC291" s="487" t="str" cm="1">
        <f t="array" ref="BC291">IFERROR(INDEX(РД[S],MATCH($AU$3&amp;Т402[[#This Row],[№]]&amp;"Продажа",РД[Дом]&amp;РД[№ кв]&amp;РД[Состояние],0),1),Т402[[#This Row],[Статус]])</f>
        <v>Свободно</v>
      </c>
      <c r="BD291" s="483">
        <f>_xlfn.XLOOKUP(Т402[[#This Row],[№]],Д402[№],Д402[Расчетная проектная площадь],"-",0)</f>
        <v>59.03</v>
      </c>
      <c r="BE291" s="485" t="str">
        <f>IFERROR(Т402[[#This Row],[S ПП]]-Т402[[#This Row],[S ДДУ]],"")</f>
        <v/>
      </c>
      <c r="BF291" s="485">
        <f>_xlfn.XLOOKUP(Т402[[#This Row],[№]],Д402[№],Д402[Итоговая сумма скидки],"-",0)</f>
        <v>0</v>
      </c>
      <c r="BG291" s="486" t="str" cm="1">
        <f t="array" ref="BG291">IFERROR(ROUND(_xlfn.XLOOKUP($AU$3&amp;Т402[[#This Row],[№]]&amp;"Продажа",РД[Дом]&amp;РД[№ кв]&amp;РД[Состояние],РД[Сумма скидки],"",0),2),Т402[[#This Row],[Статус]])</f>
        <v>Свободно</v>
      </c>
      <c r="BH291" s="488" t="str">
        <f>IFERROR(Т402[[#This Row],[ППС]]-Т402[[#This Row],[ДДУС]],"")</f>
        <v/>
      </c>
    </row>
    <row r="292" spans="1:60" x14ac:dyDescent="0.2">
      <c r="A292" s="611"/>
      <c r="B292" s="234">
        <f>VLOOKUP(ППД4!A289,Реестр_Д4[№],1,0)</f>
        <v>288</v>
      </c>
      <c r="C292" s="234" t="str">
        <f>VLOOKUP(ППД4!CO289,Реестр_Д4[Статус],1,0)</f>
        <v>Продажа</v>
      </c>
      <c r="D292" s="612">
        <f>VLOOKUP(ППД4!CE289,Реестр_Д4[Стоимость ОН без отделки со скидкой],1,0)</f>
        <v>5465098.2800000003</v>
      </c>
      <c r="E292" s="612" cm="1">
        <f t="array" ref="E292">IFERROR(INDEX(РД[Стоимость без отделки итог],MATCH($B$3&amp;Таблица4[[#This Row],[№]]&amp;"Продажа",РД[Дом]&amp;РД[№ кв]&amp;РД[Состояние],0),1),Таблица4[[#This Row],[Статус]])</f>
        <v>5465098.2800000003</v>
      </c>
      <c r="F292" s="235">
        <f>IFERROR((Таблица4[[#This Row],[ПП]]-Таблица4[[#This Row],[ДДУ]])*1,"")</f>
        <v>0</v>
      </c>
      <c r="G292" s="235" cm="1">
        <f t="array" ref="G292">IFERROR(INDEX(РД[Стоимость с отделкой итог],MATCH($B$3&amp;Таблица4[[#This Row],[№]]&amp;"Продажа",РД[Дом]&amp;РД[№ кв]&amp;РД[Состояние],0),1),Таблица4[[#This Row],[Статус]])</f>
        <v>5755138.2800000003</v>
      </c>
      <c r="H292" s="235">
        <f>_xlfn.XLOOKUP(Таблица4[[#This Row],[№]],Реестр_Д4[№],Реестр_Д4[Стоимость квартиры с отделкой],"-",0)</f>
        <v>5755138.2800000003</v>
      </c>
      <c r="I292" s="235">
        <f>IFERROR(Таблица4[[#This Row],[СО ПП]]-Таблица4[[#This Row],[СО ДДУ]],"")</f>
        <v>0</v>
      </c>
      <c r="J292" s="233" cm="1">
        <f t="array" ref="J292">IFERROR(INDEX(РД[S],MATCH($B$3&amp;Таблица4[[#This Row],[№]]&amp;"Продажа",РД[Дом]&amp;РД[№ кв]&amp;РД[Состояние],0),1),Таблица4[[#This Row],[Статус]])</f>
        <v>72.510000000000005</v>
      </c>
      <c r="K292" s="233">
        <f>VLOOKUP(Таблица4[[#This Row],[№]],Реестр_Д4[],20,0)</f>
        <v>72.510000000000005</v>
      </c>
      <c r="L292" s="235">
        <f>IFERROR(Таблица4[[#This Row],[S ПП]]-Таблица4[[#This Row],[S ДДУ]],)</f>
        <v>0</v>
      </c>
      <c r="M292" s="235">
        <f>ROUND(_xlfn.XLOOKUP(Таблица4[[#This Row],[№]],Реестр_Д4[№],Реестр_Д4[Итоговая сумма скидки],"",0),2)</f>
        <v>0</v>
      </c>
      <c r="N292" s="235" cm="1">
        <f t="array" ref="N29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2" s="235">
        <f>IFERROR(Таблица4[[#This Row],[ППС]]-Таблица4[[#This Row],[ДДУС]],)</f>
        <v>0</v>
      </c>
      <c r="P292" s="611"/>
      <c r="Q292" s="234">
        <f>VLOOKUP(ППД5!A289,Реестр_Д5[№],1,0)</f>
        <v>288</v>
      </c>
      <c r="R292" s="234" t="str">
        <f>VLOOKUP(ППД5!CH289,Реестр_Д5[Статус],1,0)</f>
        <v>Продажа</v>
      </c>
      <c r="S292" s="612">
        <f>VLOOKUP(ППД5!BZ289,Реестр_Д5[Стоимость ОН без отделки со скидкой],1,0)</f>
        <v>7142700</v>
      </c>
      <c r="T292" s="612" cm="1">
        <f t="array" ref="T292">IFERROR(INDEX(РД[Стоимость без отделки итог],MATCH($Q$3&amp;Таблица10[[#This Row],[№]]&amp;"Продажа",РД[Дом]&amp;РД[№ кв]&amp;РД[Состояние],0),1),Таблица10[[#This Row],[Статус]])</f>
        <v>7142700</v>
      </c>
      <c r="U292" s="235">
        <f>IFERROR((Таблица10[[#This Row],[ПП]]-Таблица10[[#This Row],[ДДУ]])*1,)</f>
        <v>0</v>
      </c>
      <c r="V292" s="235" cm="1">
        <f t="array" ref="V292">IFERROR(INDEX(РД[Стоимость с отделкой итог],MATCH($Q$3&amp;Таблица10[[#This Row],[№]]&amp;"Продажа",РД[Дом]&amp;РД[№ кв]&amp;РД[Состояние],0),1),Таблица10[[#This Row],[Статус]])</f>
        <v>7142700</v>
      </c>
      <c r="W292" s="235">
        <f>_xlfn.XLOOKUP(Таблица10[[#This Row],[№]],Реестр_Д5[№],Реестр_Д5[Стоимость квартиры с отделкой],"-",0)</f>
        <v>7142700</v>
      </c>
      <c r="X292" s="235">
        <f>IFERROR(Таблица10[[#This Row],[СО ПП]]-Таблица10[[#This Row],[СО ДДУ]],"")</f>
        <v>0</v>
      </c>
      <c r="Y292" s="233" cm="1">
        <f t="array" ref="Y292">IFERROR(INDEX(РД[S],MATCH($Q$3&amp;Таблица10[[#This Row],[№]]&amp;"Продажа",РД[Дом]&amp;РД[№ кв]&amp;РД[Состояние],0),1),Таблица10[[#This Row],[Статус]])</f>
        <v>60</v>
      </c>
      <c r="Z292" s="233">
        <f>IF(Таблица10[[#This Row],[№]]&amp;"ДДУ"=ППД5!A289&amp;ППД5!CR289,ППД5!U289,ППД5!V289)</f>
        <v>60.000000000000007</v>
      </c>
      <c r="AA292" s="285">
        <f>IFERROR(Таблица10[[#This Row],[S ПП]]-Таблица10[[#This Row],[S ДДУ]],)</f>
        <v>7.1054273576010019E-15</v>
      </c>
      <c r="AB292" s="235">
        <f>ROUND(_xlfn.XLOOKUP(Таблица10[[#This Row],[№]],Реестр_Д5[№],Реестр_Д5[Итоговая сумма скидки],"",0),2)</f>
        <v>300000</v>
      </c>
      <c r="AC292" s="235" cm="1">
        <f t="array" ref="AC292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292" s="285">
        <f>IFERROR(Таблица10[[#This Row],[ППС]]-Таблица10[[#This Row],[ДДУС]],)</f>
        <v>0</v>
      </c>
      <c r="AE292" s="611"/>
      <c r="AT292" s="611"/>
      <c r="AU292" s="484">
        <f>VLOOKUP(ППД402!A289,Д402[],1,0)</f>
        <v>288</v>
      </c>
      <c r="AV292" s="484" t="str">
        <f>_xlfn.XLOOKUP(Т402[[#This Row],[№]],Д402[№],Д402[Статус],"-",0)</f>
        <v>Стр. Резерв</v>
      </c>
      <c r="AW292" s="613">
        <f>_xlfn.XLOOKUP(Т402[[#This Row],[№]],Д402[№],Д402[Стоимость ОН без отделки со скидкой],"-",0)</f>
        <v>4189700</v>
      </c>
      <c r="AX292" s="614" t="str" cm="1">
        <f t="array" ref="AX292">IFERROR(INDEX(РД[Стоимость без отделки итог],MATCH($AU$3&amp;Т402[[#This Row],[№]]&amp;"Продажа",РД[Дом]&amp;РД[№ кв]&amp;РД[Состояние],0),1),Т402[[#This Row],[Статус]])</f>
        <v>Стр. Резерв</v>
      </c>
      <c r="AY292" s="485" t="str">
        <f>IFERROR((Т402[[#This Row],[ПП]]-Т402[[#This Row],[ДДУ]])*1,"")</f>
        <v/>
      </c>
      <c r="AZ292" s="486" t="str" cm="1">
        <f t="array" ref="AZ292">IFERROR(INDEX(РД[Стоимость с отделкой итог],MATCH($AU$3&amp;Т402[[#This Row],[№]]&amp;"Продажа",РД[Дом]&amp;РД[№ кв]&amp;РД[Состояние],0),1),Т402[[#This Row],[Статус]])</f>
        <v>Стр. Резерв</v>
      </c>
      <c r="BA292" s="485">
        <f>_xlfn.XLOOKUP(Т402[[#This Row],[№]],Д402[№],Д402[Стоимость квартиры с отделкой],"-",0)</f>
        <v>4189700</v>
      </c>
      <c r="BB292" s="485" t="str">
        <f>IFERROR(Т402[[#This Row],[СО ПП]]-Т402[[#This Row],[СО ДДУ]],"")</f>
        <v/>
      </c>
      <c r="BC292" s="487" t="str" cm="1">
        <f t="array" ref="BC292">IFERROR(INDEX(РД[S],MATCH($AU$3&amp;Т402[[#This Row],[№]]&amp;"Продажа",РД[Дом]&amp;РД[№ кв]&amp;РД[Состояние],0),1),Т402[[#This Row],[Статус]])</f>
        <v>Стр. Резерв</v>
      </c>
      <c r="BD292" s="483">
        <f>_xlfn.XLOOKUP(Т402[[#This Row],[№]],Д402[№],Д402[Расчетная проектная площадь],"-",0)</f>
        <v>29.43</v>
      </c>
      <c r="BE292" s="485" t="str">
        <f>IFERROR(Т402[[#This Row],[S ПП]]-Т402[[#This Row],[S ДДУ]],"")</f>
        <v/>
      </c>
      <c r="BF292" s="485">
        <f>_xlfn.XLOOKUP(Т402[[#This Row],[№]],Д402[№],Д402[Итоговая сумма скидки],"-",0)</f>
        <v>0</v>
      </c>
      <c r="BG292" s="486" t="str" cm="1">
        <f t="array" ref="BG292">IFERROR(ROUND(_xlfn.XLOOKUP($AU$3&amp;Т402[[#This Row],[№]]&amp;"Продажа",РД[Дом]&amp;РД[№ кв]&amp;РД[Состояние],РД[Сумма скидки],"",0),2),Т402[[#This Row],[Статус]])</f>
        <v>Стр. Резерв</v>
      </c>
      <c r="BH292" s="488" t="str">
        <f>IFERROR(Т402[[#This Row],[ППС]]-Т402[[#This Row],[ДДУС]],"")</f>
        <v/>
      </c>
    </row>
    <row r="293" spans="1:60" x14ac:dyDescent="0.2">
      <c r="A293" s="611"/>
      <c r="B293" s="234">
        <f>VLOOKUP(ППД4!A290,Реестр_Д4[№],1,0)</f>
        <v>289</v>
      </c>
      <c r="C293" s="234" t="str">
        <f>VLOOKUP(ППД4!CO290,Реестр_Д4[Статус],1,0)</f>
        <v>Продажа</v>
      </c>
      <c r="D293" s="612">
        <f>VLOOKUP(ППД4!CE290,Реестр_Д4[Стоимость ОН без отделки со скидкой],1,0)</f>
        <v>2512112.4</v>
      </c>
      <c r="E293" s="612" cm="1">
        <f t="array" ref="E293">IFERROR(INDEX(РД[Стоимость без отделки итог],MATCH($B$3&amp;Таблица4[[#This Row],[№]]&amp;"Продажа",РД[Дом]&amp;РД[№ кв]&amp;РД[Состояние],0),1),Таблица4[[#This Row],[Статус]])</f>
        <v>2512112.4</v>
      </c>
      <c r="F293" s="235">
        <f>IFERROR((Таблица4[[#This Row],[ПП]]-Таблица4[[#This Row],[ДДУ]])*1,"")</f>
        <v>0</v>
      </c>
      <c r="G293" s="235" cm="1">
        <f t="array" ref="G293">IFERROR(INDEX(РД[Стоимость с отделкой итог],MATCH($B$3&amp;Таблица4[[#This Row],[№]]&amp;"Продажа",РД[Дом]&amp;РД[№ кв]&amp;РД[Состояние],0),1),Таблица4[[#This Row],[Статус]])</f>
        <v>2512112.4</v>
      </c>
      <c r="H293" s="235">
        <f>_xlfn.XLOOKUP(Таблица4[[#This Row],[№]],Реестр_Д4[№],Реестр_Д4[Стоимость квартиры с отделкой],"-",0)</f>
        <v>2512112.4</v>
      </c>
      <c r="I293" s="235">
        <f>IFERROR(Таблица4[[#This Row],[СО ПП]]-Таблица4[[#This Row],[СО ДДУ]],"")</f>
        <v>0</v>
      </c>
      <c r="J293" s="233" cm="1">
        <f t="array" ref="J293">IFERROR(INDEX(РД[S],MATCH($B$3&amp;Таблица4[[#This Row],[№]]&amp;"Продажа",РД[Дом]&amp;РД[№ кв]&amp;РД[Состояние],0),1),Таблица4[[#This Row],[Статус]])</f>
        <v>33.840000000000003</v>
      </c>
      <c r="K293" s="233">
        <f>VLOOKUP(Таблица4[[#This Row],[№]],Реестр_Д4[],20,0)</f>
        <v>33.840000000000003</v>
      </c>
      <c r="L293" s="235">
        <f>IFERROR(Таблица4[[#This Row],[S ПП]]-Таблица4[[#This Row],[S ДДУ]],)</f>
        <v>0</v>
      </c>
      <c r="M293" s="235">
        <f>ROUND(_xlfn.XLOOKUP(Таблица4[[#This Row],[№]],Реестр_Д4[№],Реестр_Д4[Итоговая сумма скидки],"",0),2)</f>
        <v>0</v>
      </c>
      <c r="N293" s="235" cm="1">
        <f t="array" ref="N29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3" s="235">
        <f>IFERROR(Таблица4[[#This Row],[ППС]]-Таблица4[[#This Row],[ДДУС]],)</f>
        <v>0</v>
      </c>
      <c r="P293" s="611"/>
      <c r="Q293" s="234">
        <f>VLOOKUP(ППД5!A290,Реестр_Д5[№],1,0)</f>
        <v>289</v>
      </c>
      <c r="R293" s="234" t="str">
        <f>VLOOKUP(ППД5!CH290,Реестр_Д5[Статус],1,0)</f>
        <v>Продажа</v>
      </c>
      <c r="S293" s="612">
        <f>VLOOKUP(ППД5!BZ290,Реестр_Д5[Стоимость ОН без отделки со скидкой],1,0)</f>
        <v>4430900</v>
      </c>
      <c r="T293" s="612" cm="1">
        <f t="array" ref="T293">IFERROR(INDEX(РД[Стоимость без отделки итог],MATCH($Q$3&amp;Таблица10[[#This Row],[№]]&amp;"Продажа",РД[Дом]&amp;РД[№ кв]&amp;РД[Состояние],0),1),Таблица10[[#This Row],[Статус]])</f>
        <v>4430900</v>
      </c>
      <c r="U293" s="235">
        <f>IFERROR((Таблица10[[#This Row],[ПП]]-Таблица10[[#This Row],[ДДУ]])*1,)</f>
        <v>0</v>
      </c>
      <c r="V293" s="235" cm="1">
        <f t="array" ref="V293">IFERROR(INDEX(РД[Стоимость с отделкой итог],MATCH($Q$3&amp;Таблица10[[#This Row],[№]]&amp;"Продажа",РД[Дом]&amp;РД[№ кв]&amp;РД[Состояние],0),1),Таблица10[[#This Row],[Статус]])</f>
        <v>4430900</v>
      </c>
      <c r="W293" s="235">
        <f>_xlfn.XLOOKUP(Таблица10[[#This Row],[№]],Реестр_Д5[№],Реестр_Д5[Стоимость квартиры с отделкой],"-",0)</f>
        <v>4430900</v>
      </c>
      <c r="X293" s="235">
        <f>IFERROR(Таблица10[[#This Row],[СО ПП]]-Таблица10[[#This Row],[СО ДДУ]],"")</f>
        <v>0</v>
      </c>
      <c r="Y293" s="233" cm="1">
        <f t="array" ref="Y293">IFERROR(INDEX(РД[S],MATCH($Q$3&amp;Таблица10[[#This Row],[№]]&amp;"Продажа",РД[Дом]&amp;РД[№ кв]&amp;РД[Состояние],0),1),Таблица10[[#This Row],[Статус]])</f>
        <v>37.81</v>
      </c>
      <c r="Z293" s="233">
        <f>IF(Таблица10[[#This Row],[№]]&amp;"ДДУ"=ППД5!A290&amp;ППД5!CR290,ППД5!U290,ППД5!V290)</f>
        <v>37.81</v>
      </c>
      <c r="AA293" s="285">
        <f>IFERROR(Таблица10[[#This Row],[S ПП]]-Таблица10[[#This Row],[S ДДУ]],)</f>
        <v>0</v>
      </c>
      <c r="AB293" s="235">
        <f>ROUND(_xlfn.XLOOKUP(Таблица10[[#This Row],[№]],Реестр_Д5[№],Реестр_Д5[Итоговая сумма скидки],"",0),2)</f>
        <v>0</v>
      </c>
      <c r="AC293" s="235" cm="1">
        <f t="array" ref="AC29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293" s="285">
        <f>IFERROR(Таблица10[[#This Row],[ППС]]-Таблица10[[#This Row],[ДДУС]],)</f>
        <v>0</v>
      </c>
      <c r="AE293" s="611"/>
      <c r="AT293" s="611"/>
    </row>
    <row r="294" spans="1:60" x14ac:dyDescent="0.2">
      <c r="A294" s="611"/>
      <c r="B294" s="234">
        <f>VLOOKUP(ППД4!A291,Реестр_Д4[№],1,0)</f>
        <v>290</v>
      </c>
      <c r="C294" s="234" t="str">
        <f>VLOOKUP(ППД4!CO291,Реестр_Д4[Статус],1,0)</f>
        <v>Продажа</v>
      </c>
      <c r="D294" s="612">
        <f>VLOOKUP(ППД4!CE291,Реестр_Д4[Стоимость ОН без отделки со скидкой],1,0)</f>
        <v>2646505.35</v>
      </c>
      <c r="E294" s="612" cm="1">
        <f t="array" ref="E294">IFERROR(INDEX(РД[Стоимость без отделки итог],MATCH($B$3&amp;Таблица4[[#This Row],[№]]&amp;"Продажа",РД[Дом]&amp;РД[№ кв]&amp;РД[Состояние],0),1),Таблица4[[#This Row],[Статус]])</f>
        <v>2646505.35</v>
      </c>
      <c r="F294" s="235">
        <f>IFERROR((Таблица4[[#This Row],[ПП]]-Таблица4[[#This Row],[ДДУ]])*1,"")</f>
        <v>0</v>
      </c>
      <c r="G294" s="235" cm="1">
        <f t="array" ref="G294">IFERROR(INDEX(РД[Стоимость с отделкой итог],MATCH($B$3&amp;Таблица4[[#This Row],[№]]&amp;"Продажа",РД[Дом]&amp;РД[№ кв]&amp;РД[Состояние],0),1),Таблица4[[#This Row],[Статус]])</f>
        <v>3086755.35</v>
      </c>
      <c r="H294" s="235">
        <f>_xlfn.XLOOKUP(Таблица4[[#This Row],[№]],Реестр_Д4[№],Реестр_Д4[Стоимость квартиры с отделкой],"-",0)</f>
        <v>3086755.35</v>
      </c>
      <c r="I294" s="235">
        <f>IFERROR(Таблица4[[#This Row],[СО ПП]]-Таблица4[[#This Row],[СО ДДУ]],"")</f>
        <v>0</v>
      </c>
      <c r="J294" s="233" cm="1">
        <f t="array" ref="J294">IFERROR(INDEX(РД[S],MATCH($B$3&amp;Таблица4[[#This Row],[№]]&amp;"Продажа",РД[Дом]&amp;РД[№ кв]&amp;РД[Состояние],0),1),Таблица4[[#This Row],[Статус]])</f>
        <v>29.35</v>
      </c>
      <c r="K294" s="233">
        <f>VLOOKUP(Таблица4[[#This Row],[№]],Реестр_Д4[],20,0)</f>
        <v>29.35</v>
      </c>
      <c r="L294" s="235">
        <f>IFERROR(Таблица4[[#This Row],[S ПП]]-Таблица4[[#This Row],[S ДДУ]],)</f>
        <v>0</v>
      </c>
      <c r="M294" s="235">
        <f>ROUND(_xlfn.XLOOKUP(Таблица4[[#This Row],[№]],Реестр_Д4[№],Реестр_Д4[Итоговая сумма скидки],"",0),2)</f>
        <v>0</v>
      </c>
      <c r="N294" s="235" cm="1">
        <f t="array" ref="N29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4" s="235">
        <f>IFERROR(Таблица4[[#This Row],[ППС]]-Таблица4[[#This Row],[ДДУС]],)</f>
        <v>0</v>
      </c>
      <c r="P294" s="611"/>
      <c r="Q294" s="234">
        <f>VLOOKUP(ППД5!A291,Реестр_Д5[№],1,0)</f>
        <v>290</v>
      </c>
      <c r="R294" s="234" t="str">
        <f>VLOOKUP(ППД5!CH291,Реестр_Д5[Статус],1,0)</f>
        <v>Продажа</v>
      </c>
      <c r="S294" s="612">
        <f>VLOOKUP(ППД5!BZ291,Реестр_Д5[Стоимость ОН без отделки со скидкой],1,0)</f>
        <v>6490700</v>
      </c>
      <c r="T294" s="612" cm="1">
        <f t="array" ref="T294">IFERROR(INDEX(РД[Стоимость без отделки итог],MATCH($Q$3&amp;Таблица10[[#This Row],[№]]&amp;"Продажа",РД[Дом]&amp;РД[№ кв]&amp;РД[Состояние],0),1),Таблица10[[#This Row],[Статус]])</f>
        <v>6490700</v>
      </c>
      <c r="U294" s="235">
        <f>IFERROR((Таблица10[[#This Row],[ПП]]-Таблица10[[#This Row],[ДДУ]])*1,)</f>
        <v>0</v>
      </c>
      <c r="V294" s="235" cm="1">
        <f t="array" ref="V294">IFERROR(INDEX(РД[Стоимость с отделкой итог],MATCH($Q$3&amp;Таблица10[[#This Row],[№]]&amp;"Продажа",РД[Дом]&amp;РД[№ кв]&amp;РД[Состояние],0),1),Таблица10[[#This Row],[Статус]])</f>
        <v>7097975</v>
      </c>
      <c r="W294" s="235">
        <f>_xlfn.XLOOKUP(Таблица10[[#This Row],[№]],Реестр_Д5[№],Реестр_Д5[Стоимость квартиры с отделкой],"-",0)</f>
        <v>7097975</v>
      </c>
      <c r="X294" s="235">
        <f>IFERROR(Таблица10[[#This Row],[СО ПП]]-Таблица10[[#This Row],[СО ДДУ]],"")</f>
        <v>0</v>
      </c>
      <c r="Y294" s="233" cm="1">
        <f t="array" ref="Y294">IFERROR(INDEX(РД[S],MATCH($Q$3&amp;Таблица10[[#This Row],[№]]&amp;"Продажа",РД[Дом]&amp;РД[№ кв]&amp;РД[Состояние],0),1),Таблица10[[#This Row],[Статус]])</f>
        <v>80.97</v>
      </c>
      <c r="Z294" s="233">
        <f>IF(Таблица10[[#This Row],[№]]&amp;"ДДУ"=ППД5!A291&amp;ППД5!CR291,ППД5!U291,ППД5!V291)</f>
        <v>80.97</v>
      </c>
      <c r="AA294" s="285">
        <f>IFERROR(Таблица10[[#This Row],[S ПП]]-Таблица10[[#This Row],[S ДДУ]],)</f>
        <v>0</v>
      </c>
      <c r="AB294" s="235">
        <f>ROUND(_xlfn.XLOOKUP(Таблица10[[#This Row],[№]],Реестр_Д5[№],Реестр_Д5[Итоговая сумма скидки],"",0),2)</f>
        <v>10000</v>
      </c>
      <c r="AC294" s="235" cm="1">
        <f t="array" ref="AC294">IFERROR(ROUND(_xlfn.XLOOKUP($Q$3&amp;Таблица10[[#This Row],[№]]&amp;"Продажа",РД[Дом]&amp;РД[№ кв]&amp;РД[Состояние],РД[Сумма скидки],"",0,-1),2),Таблица10[[#This Row],[Статус]])</f>
        <v>10000</v>
      </c>
      <c r="AD294" s="285">
        <f>IFERROR(Таблица10[[#This Row],[ППС]]-Таблица10[[#This Row],[ДДУС]],)</f>
        <v>0</v>
      </c>
      <c r="AE294" s="611"/>
      <c r="AT294" s="611"/>
    </row>
    <row r="295" spans="1:60" x14ac:dyDescent="0.2">
      <c r="A295" s="611"/>
      <c r="B295" s="234">
        <f>VLOOKUP(ППД4!A292,Реестр_Д4[№],1,0)</f>
        <v>291</v>
      </c>
      <c r="C295" s="234" t="str">
        <f>VLOOKUP(ППД4!CO292,Реестр_Д4[Статус],1,0)</f>
        <v>Продажа</v>
      </c>
      <c r="D295" s="612">
        <f>VLOOKUP(ППД4!CE292,Реестр_Д4[Стоимость ОН без отделки со скидкой],1,0)</f>
        <v>5955749.5499999998</v>
      </c>
      <c r="E295" s="612" cm="1">
        <f t="array" ref="E295">IFERROR(INDEX(РД[Стоимость без отделки итог],MATCH($B$3&amp;Таблица4[[#This Row],[№]]&amp;"Продажа",РД[Дом]&amp;РД[№ кв]&amp;РД[Состояние],0),1),Таблица4[[#This Row],[Статус]])</f>
        <v>5955749.5499999998</v>
      </c>
      <c r="F295" s="235">
        <f>IFERROR((Таблица4[[#This Row],[ПП]]-Таблица4[[#This Row],[ДДУ]])*1,"")</f>
        <v>0</v>
      </c>
      <c r="G295" s="235" cm="1">
        <f t="array" ref="G295">IFERROR(INDEX(РД[Стоимость с отделкой итог],MATCH($B$3&amp;Таблица4[[#This Row],[№]]&amp;"Продажа",РД[Дом]&amp;РД[№ кв]&amp;РД[Состояние],0),1),Таблица4[[#This Row],[Статус]])</f>
        <v>6261524.5499999998</v>
      </c>
      <c r="H295" s="235">
        <f>_xlfn.XLOOKUP(Таблица4[[#This Row],[№]],Реестр_Д4[№],Реестр_Д4[Стоимость квартиры с отделкой],"-",0)</f>
        <v>6261524.5499999998</v>
      </c>
      <c r="I295" s="235">
        <f>IFERROR(Таблица4[[#This Row],[СО ПП]]-Таблица4[[#This Row],[СО ДДУ]],"")</f>
        <v>0</v>
      </c>
      <c r="J295" s="233" cm="1">
        <f t="array" ref="J295">IFERROR(INDEX(РД[S],MATCH($B$3&amp;Таблица4[[#This Row],[№]]&amp;"Продажа",РД[Дом]&amp;РД[№ кв]&amp;РД[Состояние],0),1),Таблица4[[#This Row],[Статус]])</f>
        <v>67.95</v>
      </c>
      <c r="K295" s="233">
        <f>VLOOKUP(Таблица4[[#This Row],[№]],Реестр_Д4[],20,0)</f>
        <v>67.95</v>
      </c>
      <c r="L295" s="235">
        <f>IFERROR(Таблица4[[#This Row],[S ПП]]-Таблица4[[#This Row],[S ДДУ]],)</f>
        <v>0</v>
      </c>
      <c r="M295" s="235">
        <f>ROUND(_xlfn.XLOOKUP(Таблица4[[#This Row],[№]],Реестр_Д4[№],Реестр_Д4[Итоговая сумма скидки],"",0),2)</f>
        <v>0</v>
      </c>
      <c r="N295" s="235" cm="1">
        <f t="array" ref="N29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5" s="235">
        <f>IFERROR(Таблица4[[#This Row],[ППС]]-Таблица4[[#This Row],[ДДУС]],)</f>
        <v>0</v>
      </c>
      <c r="P295" s="611"/>
      <c r="Q295" s="234">
        <f>VLOOKUP(ППД5!A292,Реестр_Д5[№],1,0)</f>
        <v>291</v>
      </c>
      <c r="R295" s="234" t="str">
        <f>VLOOKUP(ППД5!CH292,Реестр_Д5[Статус],1,0)</f>
        <v>Свободно</v>
      </c>
      <c r="S295" s="612">
        <f>VLOOKUP(ППД5!BZ292,Реестр_Д5[Стоимость ОН без отделки со скидкой],1,0)</f>
        <v>5115700</v>
      </c>
      <c r="T295" s="612" t="str" cm="1">
        <f t="array" ref="T29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95" s="235">
        <f>IFERROR((Таблица10[[#This Row],[ПП]]-Таблица10[[#This Row],[ДДУ]])*1,)</f>
        <v>0</v>
      </c>
      <c r="V295" s="235" t="str" cm="1">
        <f t="array" ref="V29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95" s="235">
        <f>_xlfn.XLOOKUP(Таблица10[[#This Row],[№]],Реестр_Д5[№],Реестр_Д5[Стоимость квартиры с отделкой],"-",0)</f>
        <v>5115700</v>
      </c>
      <c r="X295" s="235" t="str">
        <f>IFERROR(Таблица10[[#This Row],[СО ПП]]-Таблица10[[#This Row],[СО ДДУ]],"")</f>
        <v/>
      </c>
      <c r="Y295" s="233" t="str" cm="1">
        <f t="array" ref="Y295">IFERROR(INDEX(РД[S],MATCH($Q$3&amp;Таблица10[[#This Row],[№]]&amp;"Продажа",РД[Дом]&amp;РД[№ кв]&amp;РД[Состояние],0),1),Таблица10[[#This Row],[Статус]])</f>
        <v>Свободно</v>
      </c>
      <c r="Z295" s="233">
        <f>IF(Таблица10[[#This Row],[№]]&amp;"ДДУ"=ППД5!A292&amp;ППД5!CR292,ППД5!U292,ППД5!V292)</f>
        <v>34.75</v>
      </c>
      <c r="AA295" s="285">
        <f>IFERROR(Таблица10[[#This Row],[S ПП]]-Таблица10[[#This Row],[S ДДУ]],)</f>
        <v>0</v>
      </c>
      <c r="AB295" s="235">
        <f>ROUND(_xlfn.XLOOKUP(Таблица10[[#This Row],[№]],Реестр_Д5[№],Реестр_Д5[Итоговая сумма скидки],"",0),2)</f>
        <v>0</v>
      </c>
      <c r="AC295" s="235" t="str" cm="1">
        <f t="array" ref="AC29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95" s="285">
        <f>IFERROR(Таблица10[[#This Row],[ППС]]-Таблица10[[#This Row],[ДДУС]],)</f>
        <v>0</v>
      </c>
      <c r="AE295" s="611"/>
      <c r="AT295" s="611"/>
    </row>
    <row r="296" spans="1:60" x14ac:dyDescent="0.2">
      <c r="A296" s="611"/>
      <c r="B296" s="234">
        <f>VLOOKUP(ППД4!A293,Реестр_Д4[№],1,0)</f>
        <v>292</v>
      </c>
      <c r="C296" s="234" t="str">
        <f>VLOOKUP(ППД4!CO293,Реестр_Д4[Статус],1,0)</f>
        <v>Продажа</v>
      </c>
      <c r="D296" s="612">
        <f>VLOOKUP(ППД4!CE293,Реестр_Д4[Стоимость ОН без отделки со скидкой],1,0)</f>
        <v>3068829.02</v>
      </c>
      <c r="E296" s="612" cm="1">
        <f t="array" ref="E296">IFERROR(INDEX(РД[Стоимость без отделки итог],MATCH($B$3&amp;Таблица4[[#This Row],[№]]&amp;"Продажа",РД[Дом]&amp;РД[№ кв]&amp;РД[Состояние],0),1),Таблица4[[#This Row],[Статус]])</f>
        <v>3068829.0200000005</v>
      </c>
      <c r="F296" s="235">
        <f>IFERROR((Таблица4[[#This Row],[ПП]]-Таблица4[[#This Row],[ДДУ]])*1,"")</f>
        <v>-4.6566128730773926E-10</v>
      </c>
      <c r="G296" s="235" cm="1">
        <f t="array" ref="G296">IFERROR(INDEX(РД[Стоимость с отделкой итог],MATCH($B$3&amp;Таблица4[[#This Row],[№]]&amp;"Продажа",РД[Дом]&amp;РД[№ кв]&amp;РД[Состояние],0),1),Таблица4[[#This Row],[Статус]])</f>
        <v>3615579.02</v>
      </c>
      <c r="H296" s="235">
        <f>_xlfn.XLOOKUP(Таблица4[[#This Row],[№]],Реестр_Д4[№],Реестр_Д4[Стоимость квартиры с отделкой],"-",0)</f>
        <v>3615579.02</v>
      </c>
      <c r="I296" s="235">
        <f>IFERROR(Таблица4[[#This Row],[СО ПП]]-Таблица4[[#This Row],[СО ДДУ]],"")</f>
        <v>0</v>
      </c>
      <c r="J296" s="233" cm="1">
        <f t="array" ref="J296">IFERROR(INDEX(РД[S],MATCH($B$3&amp;Таблица4[[#This Row],[№]]&amp;"Продажа",РД[Дом]&amp;РД[№ кв]&amp;РД[Состояние],0),1),Таблица4[[#This Row],[Статус]])</f>
        <v>36.450000000000003</v>
      </c>
      <c r="K296" s="233">
        <f>VLOOKUP(Таблица4[[#This Row],[№]],Реестр_Д4[],20,0)</f>
        <v>36.450000000000003</v>
      </c>
      <c r="L296" s="235">
        <f>IFERROR(Таблица4[[#This Row],[S ПП]]-Таблица4[[#This Row],[S ДДУ]],)</f>
        <v>0</v>
      </c>
      <c r="M296" s="235">
        <f>ROUND(_xlfn.XLOOKUP(Таблица4[[#This Row],[№]],Реестр_Д4[№],Реестр_Д4[Итоговая сумма скидки],"",0),2)</f>
        <v>0</v>
      </c>
      <c r="N296" s="235" cm="1">
        <f t="array" ref="N29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6" s="235">
        <f>IFERROR(Таблица4[[#This Row],[ППС]]-Таблица4[[#This Row],[ДДУС]],)</f>
        <v>0</v>
      </c>
      <c r="P296" s="611"/>
      <c r="Q296" s="234">
        <f>VLOOKUP(ППД5!A293,Реестр_Д5[№],1,0)</f>
        <v>292</v>
      </c>
      <c r="R296" s="234" t="str">
        <f>VLOOKUP(ППД5!CH293,Реестр_Д5[Статус],1,0)</f>
        <v>Свободно</v>
      </c>
      <c r="S296" s="612">
        <f>VLOOKUP(ППД5!BZ293,Реестр_Д5[Стоимость ОН без отделки со скидкой],1,0)</f>
        <v>8481000</v>
      </c>
      <c r="T296" s="612" t="str" cm="1">
        <f t="array" ref="T29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296" s="235">
        <f>IFERROR((Таблица10[[#This Row],[ПП]]-Таблица10[[#This Row],[ДДУ]])*1,)</f>
        <v>0</v>
      </c>
      <c r="V296" s="235" t="str" cm="1">
        <f t="array" ref="V29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296" s="235">
        <f>_xlfn.XLOOKUP(Таблица10[[#This Row],[№]],Реестр_Д5[№],Реестр_Д5[Стоимость квартиры с отделкой],"-",0)</f>
        <v>8481000</v>
      </c>
      <c r="X296" s="235" t="str">
        <f>IFERROR(Таблица10[[#This Row],[СО ПП]]-Таблица10[[#This Row],[СО ДДУ]],"")</f>
        <v/>
      </c>
      <c r="Y296" s="233" t="str" cm="1">
        <f t="array" ref="Y296">IFERROR(INDEX(РД[S],MATCH($Q$3&amp;Таблица10[[#This Row],[№]]&amp;"Продажа",РД[Дом]&amp;РД[№ кв]&amp;РД[Состояние],0),1),Таблица10[[#This Row],[Статус]])</f>
        <v>Свободно</v>
      </c>
      <c r="Z296" s="233">
        <f>IF(Таблица10[[#This Row],[№]]&amp;"ДДУ"=ППД5!A293&amp;ППД5!CR293,ППД5!U293,ППД5!V293)</f>
        <v>73.55</v>
      </c>
      <c r="AA296" s="285">
        <f>IFERROR(Таблица10[[#This Row],[S ПП]]-Таблица10[[#This Row],[S ДДУ]],)</f>
        <v>0</v>
      </c>
      <c r="AB296" s="235">
        <f>ROUND(_xlfn.XLOOKUP(Таблица10[[#This Row],[№]],Реестр_Д5[№],Реестр_Д5[Итоговая сумма скидки],"",0),2)</f>
        <v>0</v>
      </c>
      <c r="AC296" s="235" t="str" cm="1">
        <f t="array" ref="AC29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296" s="285">
        <f>IFERROR(Таблица10[[#This Row],[ППС]]-Таблица10[[#This Row],[ДДУС]],)</f>
        <v>0</v>
      </c>
      <c r="AE296" s="611"/>
      <c r="AT296" s="611"/>
    </row>
    <row r="297" spans="1:60" x14ac:dyDescent="0.2">
      <c r="A297" s="611"/>
      <c r="B297" s="234">
        <f>VLOOKUP(ППД4!A294,Реестр_Д4[№],1,0)</f>
        <v>293</v>
      </c>
      <c r="C297" s="234" t="str">
        <f>VLOOKUP(ППД4!CO294,Реестр_Д4[Статус],1,0)</f>
        <v>Продажа</v>
      </c>
      <c r="D297" s="612">
        <f>VLOOKUP(ППД4!CE294,Реестр_Д4[Стоимость ОН без отделки со скидкой],1,0)</f>
        <v>5184929.3899999997</v>
      </c>
      <c r="E297" s="612" cm="1">
        <f t="array" ref="E297">IFERROR(INDEX(РД[Стоимость без отделки итог],MATCH($B$3&amp;Таблица4[[#This Row],[№]]&amp;"Продажа",РД[Дом]&amp;РД[№ кв]&amp;РД[Состояние],0),1),Таблица4[[#This Row],[Статус]])</f>
        <v>5184929.3899999997</v>
      </c>
      <c r="F297" s="235">
        <f>IFERROR((Таблица4[[#This Row],[ПП]]-Таблица4[[#This Row],[ДДУ]])*1,"")</f>
        <v>0</v>
      </c>
      <c r="G297" s="235" cm="1">
        <f t="array" ref="G297">IFERROR(INDEX(РД[Стоимость с отделкой итог],MATCH($B$3&amp;Таблица4[[#This Row],[№]]&amp;"Продажа",РД[Дом]&amp;РД[№ кв]&amp;РД[Состояние],0),1),Таблица4[[#This Row],[Статус]])</f>
        <v>5624054.3899999997</v>
      </c>
      <c r="H297" s="235">
        <f>_xlfn.XLOOKUP(Таблица4[[#This Row],[№]],Реестр_Д4[№],Реестр_Д4[Стоимость квартиры с отделкой],"-",0)</f>
        <v>5624054.3899999997</v>
      </c>
      <c r="I297" s="235">
        <f>IFERROR(Таблица4[[#This Row],[СО ПП]]-Таблица4[[#This Row],[СО ДДУ]],"")</f>
        <v>0</v>
      </c>
      <c r="J297" s="233" cm="1">
        <f t="array" ref="J297">IFERROR(INDEX(РД[S],MATCH($B$3&amp;Таблица4[[#This Row],[№]]&amp;"Продажа",РД[Дом]&amp;РД[№ кв]&amp;РД[Состояние],0),1),Таблица4[[#This Row],[Статус]])</f>
        <v>58.55</v>
      </c>
      <c r="K297" s="233">
        <f>VLOOKUP(Таблица4[[#This Row],[№]],Реестр_Д4[],20,0)</f>
        <v>58.55</v>
      </c>
      <c r="L297" s="235">
        <f>IFERROR(Таблица4[[#This Row],[S ПП]]-Таблица4[[#This Row],[S ДДУ]],)</f>
        <v>0</v>
      </c>
      <c r="M297" s="235">
        <f>ROUND(_xlfn.XLOOKUP(Таблица4[[#This Row],[№]],Реестр_Д4[№],Реестр_Д4[Итоговая сумма скидки],"",0),2)</f>
        <v>105814.89</v>
      </c>
      <c r="N297" s="235" cm="1">
        <f t="array" ref="N297">IFERROR(ROUND(_xlfn.XLOOKUP($B$3&amp;Таблица4[[#This Row],[№]]&amp;"Продажа",РД[Дом]&amp;РД[№ кв]&amp;РД[Состояние],РД[Сумма скидки],"",0),2),Таблица4[[#This Row],[Статус]])</f>
        <v>105814.89</v>
      </c>
      <c r="O297" s="235">
        <f>IFERROR(Таблица4[[#This Row],[ППС]]-Таблица4[[#This Row],[ДДУС]],)</f>
        <v>0</v>
      </c>
      <c r="P297" s="611"/>
      <c r="Q297" s="234">
        <f>VLOOKUP(ППД5!A294,Реестр_Д5[№],1,0)</f>
        <v>293</v>
      </c>
      <c r="R297" s="234" t="str">
        <f>VLOOKUP(ППД5!CH294,Реестр_Д5[Статус],1,0)</f>
        <v>Стр. Резерв</v>
      </c>
      <c r="S297" s="612">
        <f>VLOOKUP(ППД5!BZ294,Реестр_Д5[Стоимость ОН без отделки со скидкой],1,0)</f>
        <v>3714300</v>
      </c>
      <c r="T297" s="612" t="str" cm="1">
        <f t="array" ref="T297">IFERROR(INDEX(РД[Стоимость без отделки итог],MATCH($Q$3&amp;Таблица10[[#This Row],[№]]&amp;"Продажа",РД[Дом]&amp;РД[№ кв]&amp;РД[Состояние],0),1),Таблица10[[#This Row],[Статус]])</f>
        <v>Стр. Резерв</v>
      </c>
      <c r="U297" s="235">
        <f>IFERROR((Таблица10[[#This Row],[ПП]]-Таблица10[[#This Row],[ДДУ]])*1,)</f>
        <v>0</v>
      </c>
      <c r="V297" s="235" t="str" cm="1">
        <f t="array" ref="V297">IFERROR(INDEX(РД[Стоимость с отделкой итог],MATCH($Q$3&amp;Таблица10[[#This Row],[№]]&amp;"Продажа",РД[Дом]&amp;РД[№ кв]&amp;РД[Состояние],0),1),Таблица10[[#This Row],[Статус]])</f>
        <v>Стр. Резерв</v>
      </c>
      <c r="W297" s="235">
        <f>_xlfn.XLOOKUP(Таблица10[[#This Row],[№]],Реестр_Д5[№],Реестр_Д5[Стоимость квартиры с отделкой],"-",0)</f>
        <v>3714300.0000000009</v>
      </c>
      <c r="X297" s="235" t="str">
        <f>IFERROR(Таблица10[[#This Row],[СО ПП]]-Таблица10[[#This Row],[СО ДДУ]],"")</f>
        <v/>
      </c>
      <c r="Y297" s="233" t="str" cm="1">
        <f t="array" ref="Y297">IFERROR(INDEX(РД[S],MATCH($Q$3&amp;Таблица10[[#This Row],[№]]&amp;"Продажа",РД[Дом]&amp;РД[№ кв]&amp;РД[Состояние],0),1),Таблица10[[#This Row],[Статус]])</f>
        <v>Стр. Резерв</v>
      </c>
      <c r="Z297" s="233">
        <f>IF(Таблица10[[#This Row],[№]]&amp;"ДДУ"=ППД5!A294&amp;ППД5!CR294,ППД5!U294,ППД5!V294)</f>
        <v>24.249999999999996</v>
      </c>
      <c r="AA297" s="285">
        <f>IFERROR(Таблица10[[#This Row],[S ПП]]-Таблица10[[#This Row],[S ДДУ]],)</f>
        <v>0</v>
      </c>
      <c r="AB297" s="235">
        <f>ROUND(_xlfn.XLOOKUP(Таблица10[[#This Row],[№]],Реестр_Д5[№],Реестр_Д5[Итоговая сумма скидки],"",0),2)</f>
        <v>0</v>
      </c>
      <c r="AC297" s="235" t="str" cm="1">
        <f t="array" ref="AC297">IFERROR(ROUND(_xlfn.XLOOKUP($Q$3&amp;Таблица10[[#This Row],[№]]&amp;"Продажа",РД[Дом]&amp;РД[№ кв]&amp;РД[Состояние],РД[Сумма скидки],"",0,-1),2),Таблица10[[#This Row],[Статус]])</f>
        <v>Стр. Резерв</v>
      </c>
      <c r="AD297" s="285">
        <f>IFERROR(Таблица10[[#This Row],[ППС]]-Таблица10[[#This Row],[ДДУС]],)</f>
        <v>0</v>
      </c>
      <c r="AE297" s="611"/>
      <c r="AT297" s="611"/>
    </row>
    <row r="298" spans="1:60" x14ac:dyDescent="0.2">
      <c r="A298" s="611"/>
      <c r="B298" s="234">
        <f>VLOOKUP(ППД4!A295,Реестр_Д4[№],1,0)</f>
        <v>294</v>
      </c>
      <c r="C298" s="234" t="str">
        <f>VLOOKUP(ППД4!CO295,Реестр_Д4[Статус],1,0)</f>
        <v>Продажа</v>
      </c>
      <c r="D298" s="612">
        <f>VLOOKUP(ППД4!CE295,Реестр_Д4[Стоимость ОН без отделки со скидкой],1,0)</f>
        <v>3844422.73</v>
      </c>
      <c r="E298" s="612" cm="1">
        <f t="array" ref="E298">IFERROR(INDEX(РД[Стоимость без отделки итог],MATCH($B$3&amp;Таблица4[[#This Row],[№]]&amp;"Продажа",РД[Дом]&amp;РД[№ кв]&amp;РД[Состояние],0),1),Таблица4[[#This Row],[Статус]])</f>
        <v>3844422.7300000009</v>
      </c>
      <c r="F298" s="235">
        <f>IFERROR((Таблица4[[#This Row],[ПП]]-Таблица4[[#This Row],[ДДУ]])*1,"")</f>
        <v>-9.3132257461547852E-10</v>
      </c>
      <c r="G298" s="235" cm="1">
        <f t="array" ref="G298">IFERROR(INDEX(РД[Стоимость с отделкой итог],MATCH($B$3&amp;Таблица4[[#This Row],[№]]&amp;"Продажа",РД[Дом]&amp;РД[№ кв]&amp;РД[Состояние],0),1),Таблица4[[#This Row],[Статус]])</f>
        <v>4269672.7300000004</v>
      </c>
      <c r="H298" s="235">
        <f>_xlfn.XLOOKUP(Таблица4[[#This Row],[№]],Реестр_Д4[№],Реестр_Д4[Стоимость квартиры с отделкой],"-",0)</f>
        <v>4269672.7300000004</v>
      </c>
      <c r="I298" s="235">
        <f>IFERROR(Таблица4[[#This Row],[СО ПП]]-Таблица4[[#This Row],[СО ДДУ]],"")</f>
        <v>0</v>
      </c>
      <c r="J298" s="233" cm="1">
        <f t="array" ref="J298">IFERROR(INDEX(РД[S],MATCH($B$3&amp;Таблица4[[#This Row],[№]]&amp;"Продажа",РД[Дом]&amp;РД[№ кв]&amp;РД[Состояние],0),1),Таблица4[[#This Row],[Статус]])</f>
        <v>56.7</v>
      </c>
      <c r="K298" s="233">
        <f>VLOOKUP(Таблица4[[#This Row],[№]],Реестр_Д4[],20,0)</f>
        <v>56.7</v>
      </c>
      <c r="L298" s="235">
        <f>IFERROR(Таблица4[[#This Row],[S ПП]]-Таблица4[[#This Row],[S ДДУ]],)</f>
        <v>0</v>
      </c>
      <c r="M298" s="235">
        <f>ROUND(_xlfn.XLOOKUP(Таблица4[[#This Row],[№]],Реестр_Д4[№],Реестр_Д4[Итоговая сумма скидки],"",0),2)</f>
        <v>202338.03</v>
      </c>
      <c r="N298" s="235" cm="1">
        <f t="array" ref="N298">IFERROR(ROUND(_xlfn.XLOOKUP($B$3&amp;Таблица4[[#This Row],[№]]&amp;"Продажа",РД[Дом]&amp;РД[№ кв]&amp;РД[Состояние],РД[Сумма скидки],"",0),2),Таблица4[[#This Row],[Статус]])</f>
        <v>202338.03</v>
      </c>
      <c r="O298" s="235">
        <f>IFERROR(Таблица4[[#This Row],[ППС]]-Таблица4[[#This Row],[ДДУС]],)</f>
        <v>0</v>
      </c>
      <c r="P298" s="611"/>
      <c r="Q298" s="234">
        <f>VLOOKUP(ППД5!A295,Реестр_Д5[№],1,0)</f>
        <v>294</v>
      </c>
      <c r="R298" s="234" t="str">
        <f>VLOOKUP(ППД5!CH295,Реестр_Д5[Статус],1,0)</f>
        <v>Продажа</v>
      </c>
      <c r="S298" s="612">
        <f>VLOOKUP(ППД5!BZ295,Реестр_Д5[Стоимость ОН без отделки со скидкой],1,0)</f>
        <v>4815916</v>
      </c>
      <c r="T298" s="612" cm="1">
        <f t="array" ref="T298">IFERROR(INDEX(РД[Стоимость без отделки итог],MATCH($Q$3&amp;Таблица10[[#This Row],[№]]&amp;"Продажа",РД[Дом]&amp;РД[№ кв]&amp;РД[Состояние],0),1),Таблица10[[#This Row],[Статус]])</f>
        <v>4815916</v>
      </c>
      <c r="U298" s="235">
        <f>IFERROR((Таблица10[[#This Row],[ПП]]-Таблица10[[#This Row],[ДДУ]])*1,)</f>
        <v>0</v>
      </c>
      <c r="V298" s="235" cm="1">
        <f t="array" ref="V298">IFERROR(INDEX(РД[Стоимость с отделкой итог],MATCH($Q$3&amp;Таблица10[[#This Row],[№]]&amp;"Продажа",РД[Дом]&amp;РД[№ кв]&amp;РД[Состояние],0),1),Таблица10[[#This Row],[Статус]])</f>
        <v>5240266</v>
      </c>
      <c r="W298" s="235">
        <f>_xlfn.XLOOKUP(Таблица10[[#This Row],[№]],Реестр_Д5[№],Реестр_Д5[Стоимость квартиры с отделкой],"-",0)</f>
        <v>5240266</v>
      </c>
      <c r="X298" s="235">
        <f>IFERROR(Таблица10[[#This Row],[СО ПП]]-Таблица10[[#This Row],[СО ДДУ]],"")</f>
        <v>0</v>
      </c>
      <c r="Y298" s="233" cm="1">
        <f t="array" ref="Y298">IFERROR(INDEX(РД[S],MATCH($Q$3&amp;Таблица10[[#This Row],[№]]&amp;"Продажа",РД[Дом]&amp;РД[№ кв]&amp;РД[Состояние],0),1),Таблица10[[#This Row],[Статус]])</f>
        <v>56.58</v>
      </c>
      <c r="Z298" s="233">
        <f>IF(Таблица10[[#This Row],[№]]&amp;"ДДУ"=ППД5!A295&amp;ППД5!CR295,ППД5!U295,ППД5!V295)</f>
        <v>56.58</v>
      </c>
      <c r="AA298" s="285">
        <f>IFERROR(Таблица10[[#This Row],[S ПП]]-Таблица10[[#This Row],[S ДДУ]],)</f>
        <v>0</v>
      </c>
      <c r="AB298" s="235">
        <f>ROUND(_xlfn.XLOOKUP(Таблица10[[#This Row],[№]],Реестр_Д5[№],Реестр_Д5[Итоговая сумма скидки],"",0),2)</f>
        <v>98284</v>
      </c>
      <c r="AC298" s="235" cm="1">
        <f t="array" ref="AC298">IFERROR(ROUND(_xlfn.XLOOKUP($Q$3&amp;Таблица10[[#This Row],[№]]&amp;"Продажа",РД[Дом]&amp;РД[№ кв]&amp;РД[Состояние],РД[Сумма скидки],"",0,-1),2),Таблица10[[#This Row],[Статус]])</f>
        <v>98284</v>
      </c>
      <c r="AD298" s="285">
        <f>IFERROR(Таблица10[[#This Row],[ППС]]-Таблица10[[#This Row],[ДДУС]],)</f>
        <v>0</v>
      </c>
      <c r="AE298" s="611"/>
      <c r="AT298" s="611"/>
    </row>
    <row r="299" spans="1:60" x14ac:dyDescent="0.2">
      <c r="A299" s="611"/>
      <c r="B299" s="234">
        <f>VLOOKUP(ППД4!A296,Реестр_Д4[№],1,0)</f>
        <v>295</v>
      </c>
      <c r="C299" s="234" t="str">
        <f>VLOOKUP(ППД4!CO296,Реестр_Д4[Статус],1,0)</f>
        <v>Продажа</v>
      </c>
      <c r="D299" s="612">
        <f>VLOOKUP(ППД4!CE296,Реестр_Д4[Стоимость ОН без отделки со скидкой],1,0)</f>
        <v>5523723.3399999999</v>
      </c>
      <c r="E299" s="612" cm="1">
        <f t="array" ref="E299">IFERROR(INDEX(РД[Стоимость без отделки итог],MATCH($B$3&amp;Таблица4[[#This Row],[№]]&amp;"Продажа",РД[Дом]&amp;РД[№ кв]&amp;РД[Состояние],0),1),Таблица4[[#This Row],[Статус]])</f>
        <v>5523723.3399999971</v>
      </c>
      <c r="F299" s="235">
        <f>IFERROR((Таблица4[[#This Row],[ПП]]-Таблица4[[#This Row],[ДДУ]])*1,"")</f>
        <v>2.7939677238464355E-9</v>
      </c>
      <c r="G299" s="235" cm="1">
        <f t="array" ref="G299">IFERROR(INDEX(РД[Стоимость с отделкой итог],MATCH($B$3&amp;Таблица4[[#This Row],[№]]&amp;"Продажа",РД[Дом]&amp;РД[№ кв]&amp;РД[Состояние],0),1),Таблица4[[#This Row],[Статус]])</f>
        <v>6611373.3399999999</v>
      </c>
      <c r="H299" s="235">
        <f>_xlfn.XLOOKUP(Таблица4[[#This Row],[№]],Реестр_Д4[№],Реестр_Д4[Стоимость квартиры с отделкой],"-",0)</f>
        <v>6611373.3399999999</v>
      </c>
      <c r="I299" s="235">
        <f>IFERROR(Таблица4[[#This Row],[СО ПП]]-Таблица4[[#This Row],[СО ДДУ]],"")</f>
        <v>0</v>
      </c>
      <c r="J299" s="233" cm="1">
        <f t="array" ref="J299">IFERROR(INDEX(РД[S],MATCH($B$3&amp;Таблица4[[#This Row],[№]]&amp;"Продажа",РД[Дом]&amp;РД[№ кв]&amp;РД[Состояние],0),1),Таблица4[[#This Row],[Статус]])</f>
        <v>72.510000000000005</v>
      </c>
      <c r="K299" s="233">
        <f>VLOOKUP(Таблица4[[#This Row],[№]],Реестр_Д4[],20,0)</f>
        <v>72.510000000000005</v>
      </c>
      <c r="L299" s="235">
        <f>IFERROR(Таблица4[[#This Row],[S ПП]]-Таблица4[[#This Row],[S ДДУ]],)</f>
        <v>0</v>
      </c>
      <c r="M299" s="235">
        <f>ROUND(_xlfn.XLOOKUP(Таблица4[[#This Row],[№]],Реестр_Д4[№],Реестр_Д4[Итоговая сумма скидки],"",0),2)</f>
        <v>0</v>
      </c>
      <c r="N299" s="235" cm="1">
        <f t="array" ref="N29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299" s="235">
        <f>IFERROR(Таблица4[[#This Row],[ППС]]-Таблица4[[#This Row],[ДДУС]],)</f>
        <v>0</v>
      </c>
      <c r="P299" s="611"/>
      <c r="Q299" s="234">
        <f>VLOOKUP(ППД5!A296,Реестр_Д5[№],1,0)</f>
        <v>295</v>
      </c>
      <c r="R299" s="234" t="str">
        <f>VLOOKUP(ППД5!CH296,Реестр_Д5[Статус],1,0)</f>
        <v>Продажа</v>
      </c>
      <c r="S299" s="612">
        <f>VLOOKUP(ППД5!BZ296,Реестр_Д5[Стоимость ОН без отделки со скидкой],1,0)</f>
        <v>5089902.38</v>
      </c>
      <c r="T299" s="612" cm="1">
        <f t="array" ref="T299">IFERROR(INDEX(РД[Стоимость без отделки итог],MATCH($Q$3&amp;Таблица10[[#This Row],[№]]&amp;"Продажа",РД[Дом]&amp;РД[№ кв]&amp;РД[Состояние],0),1),Таблица10[[#This Row],[Статус]])</f>
        <v>5089902.38</v>
      </c>
      <c r="U299" s="235">
        <f>IFERROR((Таблица10[[#This Row],[ПП]]-Таблица10[[#This Row],[ДДУ]])*1,)</f>
        <v>0</v>
      </c>
      <c r="V299" s="235" cm="1">
        <f t="array" ref="V299">IFERROR(INDEX(РД[Стоимость с отделкой итог],MATCH($Q$3&amp;Таблица10[[#This Row],[№]]&amp;"Продажа",РД[Дом]&amp;РД[№ кв]&amp;РД[Состояние],0),1),Таблица10[[#This Row],[Статус]])</f>
        <v>5089902.38</v>
      </c>
      <c r="W299" s="235">
        <f>_xlfn.XLOOKUP(Таблица10[[#This Row],[№]],Реестр_Д5[№],Реестр_Д5[Стоимость квартиры с отделкой],"-",0)</f>
        <v>5089902.38</v>
      </c>
      <c r="X299" s="235">
        <f>IFERROR(Таблица10[[#This Row],[СО ПП]]-Таблица10[[#This Row],[СО ДДУ]],"")</f>
        <v>0</v>
      </c>
      <c r="Y299" s="233" cm="1">
        <f t="array" ref="Y299">IFERROR(INDEX(РД[S],MATCH($Q$3&amp;Таблица10[[#This Row],[№]]&amp;"Продажа",РД[Дом]&amp;РД[№ кв]&amp;РД[Состояние],0),1),Таблица10[[#This Row],[Статус]])</f>
        <v>60.24</v>
      </c>
      <c r="Z299" s="233">
        <f>IF(Таблица10[[#This Row],[№]]&amp;"ДДУ"=ППД5!A296&amp;ППД5!CR296,ППД5!U296,ППД5!V296)</f>
        <v>60.24</v>
      </c>
      <c r="AA299" s="285">
        <f>IFERROR(Таблица10[[#This Row],[S ПП]]-Таблица10[[#This Row],[S ДДУ]],)</f>
        <v>0</v>
      </c>
      <c r="AB299" s="235">
        <f>ROUND(_xlfn.XLOOKUP(Таблица10[[#This Row],[№]],Реестр_Д5[№],Реестр_Д5[Итоговая сумма скидки],"",0),2)</f>
        <v>267889.59999999998</v>
      </c>
      <c r="AC299" s="235" cm="1">
        <f t="array" ref="AC299">IFERROR(ROUND(_xlfn.XLOOKUP($Q$3&amp;Таблица10[[#This Row],[№]]&amp;"Продажа",РД[Дом]&amp;РД[№ кв]&amp;РД[Состояние],РД[Сумма скидки],"",0,-1),2),Таблица10[[#This Row],[Статус]])</f>
        <v>267889.59999999998</v>
      </c>
      <c r="AD299" s="285">
        <f>IFERROR(Таблица10[[#This Row],[ППС]]-Таблица10[[#This Row],[ДДУС]],)</f>
        <v>0</v>
      </c>
      <c r="AE299" s="611"/>
      <c r="AT299" s="611"/>
    </row>
    <row r="300" spans="1:60" x14ac:dyDescent="0.2">
      <c r="A300" s="611"/>
      <c r="B300" s="234">
        <f>VLOOKUP(ППД4!A297,Реестр_Д4[№],1,0)</f>
        <v>296</v>
      </c>
      <c r="C300" s="234" t="str">
        <f>VLOOKUP(ППД4!CO297,Реестр_Д4[Статус],1,0)</f>
        <v>Продажа</v>
      </c>
      <c r="D300" s="612">
        <f>VLOOKUP(ППД4!CE297,Реестр_Д4[Стоимость ОН без отделки со скидкой],1,0)</f>
        <v>2512112.4</v>
      </c>
      <c r="E300" s="612" cm="1">
        <f t="array" ref="E300">IFERROR(INDEX(РД[Стоимость без отделки итог],MATCH($B$3&amp;Таблица4[[#This Row],[№]]&amp;"Продажа",РД[Дом]&amp;РД[№ кв]&amp;РД[Состояние],0),1),Таблица4[[#This Row],[Статус]])</f>
        <v>2512112.4</v>
      </c>
      <c r="F300" s="235">
        <f>IFERROR((Таблица4[[#This Row],[ПП]]-Таблица4[[#This Row],[ДДУ]])*1,"")</f>
        <v>0</v>
      </c>
      <c r="G300" s="235" cm="1">
        <f t="array" ref="G300">IFERROR(INDEX(РД[Стоимость с отделкой итог],MATCH($B$3&amp;Таблица4[[#This Row],[№]]&amp;"Продажа",РД[Дом]&amp;РД[№ кв]&amp;РД[Состояние],0),1),Таблица4[[#This Row],[Статус]])</f>
        <v>2512112.4</v>
      </c>
      <c r="H300" s="235">
        <f>_xlfn.XLOOKUP(Таблица4[[#This Row],[№]],Реестр_Д4[№],Реестр_Д4[Стоимость квартиры с отделкой],"-",0)</f>
        <v>2512112.4</v>
      </c>
      <c r="I300" s="235">
        <f>IFERROR(Таблица4[[#This Row],[СО ПП]]-Таблица4[[#This Row],[СО ДДУ]],"")</f>
        <v>0</v>
      </c>
      <c r="J300" s="233" cm="1">
        <f t="array" ref="J300">IFERROR(INDEX(РД[S],MATCH($B$3&amp;Таблица4[[#This Row],[№]]&amp;"Продажа",РД[Дом]&amp;РД[№ кв]&amp;РД[Состояние],0),1),Таблица4[[#This Row],[Статус]])</f>
        <v>33.840000000000003</v>
      </c>
      <c r="K300" s="233">
        <f>VLOOKUP(Таблица4[[#This Row],[№]],Реестр_Д4[],20,0)</f>
        <v>33.840000000000003</v>
      </c>
      <c r="L300" s="235">
        <f>IFERROR(Таблица4[[#This Row],[S ПП]]-Таблица4[[#This Row],[S ДДУ]],)</f>
        <v>0</v>
      </c>
      <c r="M300" s="235">
        <f>ROUND(_xlfn.XLOOKUP(Таблица4[[#This Row],[№]],Реестр_Д4[№],Реестр_Д4[Итоговая сумма скидки],"",0),2)</f>
        <v>0</v>
      </c>
      <c r="N300" s="235" cm="1">
        <f t="array" ref="N30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0" s="235">
        <f>IFERROR(Таблица4[[#This Row],[ППС]]-Таблица4[[#This Row],[ДДУС]],)</f>
        <v>0</v>
      </c>
      <c r="P300" s="611"/>
      <c r="Q300" s="234">
        <f>VLOOKUP(ППД5!A297,Реестр_Д5[№],1,0)</f>
        <v>296</v>
      </c>
      <c r="R300" s="234" t="str">
        <f>VLOOKUP(ППД5!CH297,Реестр_Д5[Статус],1,0)</f>
        <v>Продажа</v>
      </c>
      <c r="S300" s="612">
        <f>VLOOKUP(ППД5!BZ297,Реестр_Д5[Стоимость ОН без отделки со скидкой],1,0)</f>
        <v>5137000</v>
      </c>
      <c r="T300" s="612" cm="1">
        <f t="array" ref="T300">IFERROR(INDEX(РД[Стоимость без отделки итог],MATCH($Q$3&amp;Таблица10[[#This Row],[№]]&amp;"Продажа",РД[Дом]&amp;РД[№ кв]&amp;РД[Состояние],0),1),Таблица10[[#This Row],[Статус]])</f>
        <v>5137000</v>
      </c>
      <c r="U300" s="235">
        <f>IFERROR((Таблица10[[#This Row],[ПП]]-Таблица10[[#This Row],[ДДУ]])*1,)</f>
        <v>0</v>
      </c>
      <c r="V300" s="235" cm="1">
        <f t="array" ref="V300">IFERROR(INDEX(РД[Стоимость с отделкой итог],MATCH($Q$3&amp;Таблица10[[#This Row],[№]]&amp;"Продажа",РД[Дом]&amp;РД[№ кв]&amp;РД[Состояние],0),1),Таблица10[[#This Row],[Статус]])</f>
        <v>5515100</v>
      </c>
      <c r="W300" s="235">
        <f>_xlfn.XLOOKUP(Таблица10[[#This Row],[№]],Реестр_Д5[№],Реестр_Д5[Стоимость квартиры с отделкой],"-",0)</f>
        <v>5515099.9999999991</v>
      </c>
      <c r="X300" s="235">
        <f>IFERROR(Таблица10[[#This Row],[СО ПП]]-Таблица10[[#This Row],[СО ДДУ]],"")</f>
        <v>-9.3132257461547852E-10</v>
      </c>
      <c r="Y300" s="233" cm="1">
        <f t="array" ref="Y300">IFERROR(INDEX(РД[S],MATCH($Q$3&amp;Таблица10[[#This Row],[№]]&amp;"Продажа",РД[Дом]&amp;РД[№ кв]&amp;РД[Состояние],0),1),Таблица10[[#This Row],[Статус]])</f>
        <v>37.81</v>
      </c>
      <c r="Z300" s="233">
        <f>IF(Таблица10[[#This Row],[№]]&amp;"ДДУ"=ППД5!A297&amp;ППД5!CR297,ППД5!U297,ППД5!V297)</f>
        <v>37.81</v>
      </c>
      <c r="AA300" s="285">
        <f>IFERROR(Таблица10[[#This Row],[S ПП]]-Таблица10[[#This Row],[S ДДУ]],)</f>
        <v>0</v>
      </c>
      <c r="AB300" s="235">
        <f>ROUND(_xlfn.XLOOKUP(Таблица10[[#This Row],[№]],Реестр_Д5[№],Реестр_Д5[Итоговая сумма скидки],"",0),2)</f>
        <v>100000</v>
      </c>
      <c r="AC300" s="235" cm="1">
        <f t="array" ref="AC300">IFERROR(ROUND(_xlfn.XLOOKUP($Q$3&amp;Таблица10[[#This Row],[№]]&amp;"Продажа",РД[Дом]&amp;РД[№ кв]&amp;РД[Состояние],РД[Сумма скидки],"",0,-1),2),Таблица10[[#This Row],[Статус]])</f>
        <v>100000</v>
      </c>
      <c r="AD300" s="285">
        <f>IFERROR(Таблица10[[#This Row],[ППС]]-Таблица10[[#This Row],[ДДУС]],)</f>
        <v>0</v>
      </c>
      <c r="AE300" s="611"/>
      <c r="AT300" s="611"/>
    </row>
    <row r="301" spans="1:60" x14ac:dyDescent="0.2">
      <c r="A301" s="611"/>
      <c r="B301" s="234">
        <f>VLOOKUP(ППД4!A298,Реестр_Д4[№],1,0)</f>
        <v>297</v>
      </c>
      <c r="C301" s="234" t="str">
        <f>VLOOKUP(ППД4!CO298,Реестр_Д4[Статус],1,0)</f>
        <v>Продажа</v>
      </c>
      <c r="D301" s="612">
        <f>VLOOKUP(ППД4!CE298,Реестр_Д4[Стоимость ОН без отделки со скидкой],1,0)</f>
        <v>3218700</v>
      </c>
      <c r="E301" s="612" cm="1">
        <f t="array" ref="E301">IFERROR(INDEX(РД[Стоимость без отделки итог],MATCH($B$3&amp;Таблица4[[#This Row],[№]]&amp;"Продажа",РД[Дом]&amp;РД[№ кв]&amp;РД[Состояние],0),1),Таблица4[[#This Row],[Статус]])</f>
        <v>3218700</v>
      </c>
      <c r="F301" s="235">
        <f>IFERROR((Таблица4[[#This Row],[ПП]]-Таблица4[[#This Row],[ДДУ]])*1,"")</f>
        <v>0</v>
      </c>
      <c r="G301" s="235" cm="1">
        <f t="array" ref="G301">IFERROR(INDEX(РД[Стоимость с отделкой итог],MATCH($B$3&amp;Таблица4[[#This Row],[№]]&amp;"Продажа",РД[Дом]&amp;РД[№ кв]&amp;РД[Состояние],0),1),Таблица4[[#This Row],[Статус]])</f>
        <v>3438825</v>
      </c>
      <c r="H301" s="235">
        <f>_xlfn.XLOOKUP(Таблица4[[#This Row],[№]],Реестр_Д4[№],Реестр_Д4[Стоимость квартиры с отделкой],"-",0)</f>
        <v>3438825</v>
      </c>
      <c r="I301" s="235">
        <f>IFERROR(Таблица4[[#This Row],[СО ПП]]-Таблица4[[#This Row],[СО ДДУ]],"")</f>
        <v>0</v>
      </c>
      <c r="J301" s="233" cm="1">
        <f t="array" ref="J301">IFERROR(INDEX(РД[S],MATCH($B$3&amp;Таблица4[[#This Row],[№]]&amp;"Продажа",РД[Дом]&amp;РД[№ кв]&amp;РД[Состояние],0),1),Таблица4[[#This Row],[Статус]])</f>
        <v>29.35</v>
      </c>
      <c r="K301" s="233">
        <f>VLOOKUP(Таблица4[[#This Row],[№]],Реестр_Д4[],20,0)</f>
        <v>29.35</v>
      </c>
      <c r="L301" s="235">
        <f>IFERROR(Таблица4[[#This Row],[S ПП]]-Таблица4[[#This Row],[S ДДУ]],)</f>
        <v>0</v>
      </c>
      <c r="M301" s="235">
        <f>ROUND(_xlfn.XLOOKUP(Таблица4[[#This Row],[№]],Реестр_Д4[№],Реестр_Д4[Итоговая сумма скидки],"",0),2)</f>
        <v>0</v>
      </c>
      <c r="N301" s="235" cm="1">
        <f t="array" ref="N30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1" s="235">
        <f>IFERROR(Таблица4[[#This Row],[ППС]]-Таблица4[[#This Row],[ДДУС]],)</f>
        <v>0</v>
      </c>
      <c r="P301" s="611"/>
      <c r="Q301" s="234">
        <f>VLOOKUP(ППД5!A298,Реестр_Д5[№],1,0)</f>
        <v>297</v>
      </c>
      <c r="R301" s="234" t="str">
        <f>VLOOKUP(ППД5!CH298,Реестр_Д5[Статус],1,0)</f>
        <v>Продажа</v>
      </c>
      <c r="S301" s="612">
        <f>VLOOKUP(ППД5!BZ298,Реестр_Д5[Стоимость ОН без отделки со скидкой],1,0)</f>
        <v>7210400</v>
      </c>
      <c r="T301" s="612" cm="1">
        <f t="array" ref="T301">IFERROR(INDEX(РД[Стоимость без отделки итог],MATCH($Q$3&amp;Таблица10[[#This Row],[№]]&amp;"Продажа",РД[Дом]&amp;РД[№ кв]&amp;РД[Состояние],0),1),Таблица10[[#This Row],[Статус]])</f>
        <v>7210400</v>
      </c>
      <c r="U301" s="235">
        <f>IFERROR((Таблица10[[#This Row],[ПП]]-Таблица10[[#This Row],[ДДУ]])*1,)</f>
        <v>0</v>
      </c>
      <c r="V301" s="235" cm="1">
        <f t="array" ref="V301">IFERROR(INDEX(РД[Стоимость с отделкой итог],MATCH($Q$3&amp;Таблица10[[#This Row],[№]]&amp;"Продажа",РД[Дом]&amp;РД[№ кв]&amp;РД[Состояние],0),1),Таблица10[[#This Row],[Статус]])</f>
        <v>8829800</v>
      </c>
      <c r="W301" s="235">
        <f>_xlfn.XLOOKUP(Таблица10[[#This Row],[№]],Реестр_Д5[№],Реестр_Д5[Стоимость квартиры с отделкой],"-",0)</f>
        <v>8829800</v>
      </c>
      <c r="X301" s="235">
        <f>IFERROR(Таблица10[[#This Row],[СО ПП]]-Таблица10[[#This Row],[СО ДДУ]],"")</f>
        <v>0</v>
      </c>
      <c r="Y301" s="233" cm="1">
        <f t="array" ref="Y301">IFERROR(INDEX(РД[S],MATCH($Q$3&amp;Таблица10[[#This Row],[№]]&amp;"Продажа",РД[Дом]&amp;РД[№ кв]&amp;РД[Состояние],0),1),Таблица10[[#This Row],[Статус]])</f>
        <v>80.97</v>
      </c>
      <c r="Z301" s="233">
        <f>IF(Таблица10[[#This Row],[№]]&amp;"ДДУ"=ППД5!A298&amp;ППД5!CR298,ППД5!U298,ППД5!V298)</f>
        <v>80.97</v>
      </c>
      <c r="AA301" s="285">
        <f>IFERROR(Таблица10[[#This Row],[S ПП]]-Таблица10[[#This Row],[S ДДУ]],)</f>
        <v>0</v>
      </c>
      <c r="AB301" s="235">
        <f>ROUND(_xlfn.XLOOKUP(Таблица10[[#This Row],[№]],Реестр_Д5[№],Реестр_Д5[Итоговая сумма скидки],"",0),2)</f>
        <v>0</v>
      </c>
      <c r="AC301" s="235" cm="1">
        <f t="array" ref="AC30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01" s="285">
        <f>IFERROR(Таблица10[[#This Row],[ППС]]-Таблица10[[#This Row],[ДДУС]],)</f>
        <v>0</v>
      </c>
      <c r="AE301" s="611"/>
      <c r="AT301" s="611"/>
    </row>
    <row r="302" spans="1:60" x14ac:dyDescent="0.2">
      <c r="A302" s="611"/>
      <c r="B302" s="234">
        <f>VLOOKUP(ППД4!A299,Реестр_Д4[№],1,0)</f>
        <v>298</v>
      </c>
      <c r="C302" s="234" t="str">
        <f>VLOOKUP(ППД4!CO299,Реестр_Д4[Статус],1,0)</f>
        <v>Продажа</v>
      </c>
      <c r="D302" s="612">
        <f>VLOOKUP(ППД4!CE299,Реестр_Д4[Стоимость ОН без отделки со скидкой],1,0)</f>
        <v>5342065.24</v>
      </c>
      <c r="E302" s="612" cm="1">
        <f t="array" ref="E302">IFERROR(INDEX(РД[Стоимость без отделки итог],MATCH($B$3&amp;Таблица4[[#This Row],[№]]&amp;"Продажа",РД[Дом]&amp;РД[№ кв]&amp;РД[Состояние],0),1),Таблица4[[#This Row],[Статус]])</f>
        <v>5342065.2399999974</v>
      </c>
      <c r="F302" s="235">
        <f>IFERROR((Таблица4[[#This Row],[ПП]]-Таблица4[[#This Row],[ДДУ]])*1,"")</f>
        <v>2.7939677238464355E-9</v>
      </c>
      <c r="G302" s="235" cm="1">
        <f t="array" ref="G302">IFERROR(INDEX(РД[Стоимость с отделкой итог],MATCH($B$3&amp;Таблица4[[#This Row],[№]]&amp;"Продажа",РД[Дом]&amp;РД[№ кв]&amp;РД[Состояние],0),1),Таблица4[[#This Row],[Статус]])</f>
        <v>5613865.2400000002</v>
      </c>
      <c r="H302" s="235">
        <f>_xlfn.XLOOKUP(Таблица4[[#This Row],[№]],Реестр_Д4[№],Реестр_Д4[Стоимость квартиры с отделкой],"-",0)</f>
        <v>5613865.2400000002</v>
      </c>
      <c r="I302" s="235">
        <f>IFERROR(Таблица4[[#This Row],[СО ПП]]-Таблица4[[#This Row],[СО ДДУ]],"")</f>
        <v>0</v>
      </c>
      <c r="J302" s="233" cm="1">
        <f t="array" ref="J302">IFERROR(INDEX(РД[S],MATCH($B$3&amp;Таблица4[[#This Row],[№]]&amp;"Продажа",РД[Дом]&amp;РД[№ кв]&amp;РД[Состояние],0),1),Таблица4[[#This Row],[Статус]])</f>
        <v>67.95</v>
      </c>
      <c r="K302" s="233">
        <f>VLOOKUP(Таблица4[[#This Row],[№]],Реестр_Д4[],20,0)</f>
        <v>67.95</v>
      </c>
      <c r="L302" s="235">
        <f>IFERROR(Таблица4[[#This Row],[S ПП]]-Таблица4[[#This Row],[S ДДУ]],)</f>
        <v>0</v>
      </c>
      <c r="M302" s="235">
        <f>ROUND(_xlfn.XLOOKUP(Таблица4[[#This Row],[№]],Реестр_Д4[№],Реестр_Д4[Итоговая сумма скидки],"",0),2)</f>
        <v>271800</v>
      </c>
      <c r="N302" s="235" cm="1">
        <f t="array" ref="N302">IFERROR(ROUND(_xlfn.XLOOKUP($B$3&amp;Таблица4[[#This Row],[№]]&amp;"Продажа",РД[Дом]&amp;РД[№ кв]&amp;РД[Состояние],РД[Сумма скидки],"",0),2),Таблица4[[#This Row],[Статус]])</f>
        <v>271800</v>
      </c>
      <c r="O302" s="235">
        <f>IFERROR(Таблица4[[#This Row],[ППС]]-Таблица4[[#This Row],[ДДУС]],)</f>
        <v>0</v>
      </c>
      <c r="P302" s="611"/>
      <c r="Q302" s="234">
        <f>VLOOKUP(ППД5!A299,Реестр_Д5[№],1,0)</f>
        <v>298</v>
      </c>
      <c r="R302" s="234" t="str">
        <f>VLOOKUP(ППД5!CH299,Реестр_Д5[Статус],1,0)</f>
        <v>Гарантированная бронь</v>
      </c>
      <c r="S302" s="612">
        <f>VLOOKUP(ППД5!BZ299,Реестр_Д5[Стоимость ОН без отделки со скидкой],1,0)</f>
        <v>4592500</v>
      </c>
      <c r="T302" s="612" t="str" cm="1">
        <f t="array" ref="T302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302" s="235">
        <f>IFERROR((Таблица10[[#This Row],[ПП]]-Таблица10[[#This Row],[ДДУ]])*1,)</f>
        <v>0</v>
      </c>
      <c r="V302" s="235" t="str" cm="1">
        <f t="array" ref="V302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302" s="235">
        <f>_xlfn.XLOOKUP(Таблица10[[#This Row],[№]],Реестр_Д5[№],Реестр_Д5[Стоимость квартиры с отделкой],"-",0)</f>
        <v>5630500</v>
      </c>
      <c r="X302" s="235" t="str">
        <f>IFERROR(Таблица10[[#This Row],[СО ПП]]-Таблица10[[#This Row],[СО ДДУ]],"")</f>
        <v/>
      </c>
      <c r="Y302" s="233" t="str" cm="1">
        <f t="array" ref="Y302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302" s="233">
        <f>IF(Таблица10[[#This Row],[№]]&amp;"ДДУ"=ППД5!A299&amp;ППД5!CR299,ППД5!U299,ППД5!V299)</f>
        <v>34.599999999999994</v>
      </c>
      <c r="AA302" s="285">
        <f>IFERROR(Таблица10[[#This Row],[S ПП]]-Таблица10[[#This Row],[S ДДУ]],)</f>
        <v>0</v>
      </c>
      <c r="AB302" s="235">
        <f>ROUND(_xlfn.XLOOKUP(Таблица10[[#This Row],[№]],Реестр_Д5[№],Реестр_Д5[Итоговая сумма скидки],"",0),2)</f>
        <v>452800</v>
      </c>
      <c r="AC302" s="235" t="str" cm="1">
        <f t="array" ref="AC302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302" s="285">
        <f>IFERROR(Таблица10[[#This Row],[ППС]]-Таблица10[[#This Row],[ДДУС]],)</f>
        <v>0</v>
      </c>
      <c r="AE302" s="611"/>
      <c r="AT302" s="611"/>
    </row>
    <row r="303" spans="1:60" x14ac:dyDescent="0.2">
      <c r="A303" s="611"/>
      <c r="B303" s="234">
        <f>VLOOKUP(ППД4!A300,Реестр_Д4[№],1,0)</f>
        <v>299</v>
      </c>
      <c r="C303" s="234" t="str">
        <f>VLOOKUP(ППД4!CO300,Реестр_Д4[Статус],1,0)</f>
        <v>Продажа</v>
      </c>
      <c r="D303" s="612">
        <f>VLOOKUP(ППД4!CE300,Реестр_Д4[Стоимость ОН без отделки со скидкой],1,0)</f>
        <v>4320900</v>
      </c>
      <c r="E303" s="612" cm="1">
        <f t="array" ref="E303">IFERROR(INDEX(РД[Стоимость без отделки итог],MATCH($B$3&amp;Таблица4[[#This Row],[№]]&amp;"Продажа",РД[Дом]&amp;РД[№ кв]&amp;РД[Состояние],0),1),Таблица4[[#This Row],[Статус]])</f>
        <v>4320900</v>
      </c>
      <c r="F303" s="235">
        <f>IFERROR((Таблица4[[#This Row],[ПП]]-Таблица4[[#This Row],[ДДУ]])*1,"")</f>
        <v>0</v>
      </c>
      <c r="G303" s="235" cm="1">
        <f t="array" ref="G303">IFERROR(INDEX(РД[Стоимость с отделкой итог],MATCH($B$3&amp;Таблица4[[#This Row],[№]]&amp;"Продажа",РД[Дом]&amp;РД[№ кв]&amp;РД[Состояние],0),1),Таблица4[[#This Row],[Статус]])</f>
        <v>5122800</v>
      </c>
      <c r="H303" s="235">
        <f>_xlfn.XLOOKUP(Таблица4[[#This Row],[№]],Реестр_Д4[№],Реестр_Д4[Стоимость квартиры с отделкой],"-",0)</f>
        <v>5122800</v>
      </c>
      <c r="I303" s="235">
        <f>IFERROR(Таблица4[[#This Row],[СО ПП]]-Таблица4[[#This Row],[СО ДДУ]],"")</f>
        <v>0</v>
      </c>
      <c r="J303" s="233" cm="1">
        <f t="array" ref="J303">IFERROR(INDEX(РД[S],MATCH($B$3&amp;Таблица4[[#This Row],[№]]&amp;"Продажа",РД[Дом]&amp;РД[№ кв]&amp;РД[Состояние],0),1),Таблица4[[#This Row],[Статус]])</f>
        <v>36.450000000000003</v>
      </c>
      <c r="K303" s="233">
        <f>VLOOKUP(Таблица4[[#This Row],[№]],Реестр_Д4[],20,0)</f>
        <v>36.450000000000003</v>
      </c>
      <c r="L303" s="235">
        <f>IFERROR(Таблица4[[#This Row],[S ПП]]-Таблица4[[#This Row],[S ДДУ]],)</f>
        <v>0</v>
      </c>
      <c r="M303" s="235">
        <f>ROUND(_xlfn.XLOOKUP(Таблица4[[#This Row],[№]],Реестр_Д4[№],Реестр_Д4[Итоговая сумма скидки],"",0),2)</f>
        <v>0</v>
      </c>
      <c r="N303" s="235" cm="1">
        <f t="array" ref="N30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3" s="235">
        <f>IFERROR(Таблица4[[#This Row],[ППС]]-Таблица4[[#This Row],[ДДУС]],)</f>
        <v>0</v>
      </c>
      <c r="P303" s="611"/>
      <c r="Q303" s="234">
        <f>VLOOKUP(ППД5!A300,Реестр_Д5[№],1,0)</f>
        <v>299</v>
      </c>
      <c r="R303" s="234" t="str">
        <f>VLOOKUP(ППД5!CH300,Реестр_Д5[Статус],1,0)</f>
        <v>Продажа</v>
      </c>
      <c r="S303" s="612">
        <f>VLOOKUP(ППД5!BZ300,Реестр_Д5[Стоимость ОН без отделки со скидкой],1,0)</f>
        <v>6273078</v>
      </c>
      <c r="T303" s="612" cm="1">
        <f t="array" ref="T303">IFERROR(INDEX(РД[Стоимость без отделки итог],MATCH($Q$3&amp;Таблица10[[#This Row],[№]]&amp;"Продажа",РД[Дом]&amp;РД[№ кв]&amp;РД[Состояние],0),1),Таблица10[[#This Row],[Статус]])</f>
        <v>6273078</v>
      </c>
      <c r="U303" s="235">
        <f>IFERROR((Таблица10[[#This Row],[ПП]]-Таблица10[[#This Row],[ДДУ]])*1,)</f>
        <v>0</v>
      </c>
      <c r="V303" s="235" cm="1">
        <f t="array" ref="V303">IFERROR(INDEX(РД[Стоимость с отделкой итог],MATCH($Q$3&amp;Таблица10[[#This Row],[№]]&amp;"Продажа",РД[Дом]&amp;РД[№ кв]&amp;РД[Состояние],0),1),Таблица10[[#This Row],[Статус]])</f>
        <v>6273078</v>
      </c>
      <c r="W303" s="235">
        <f>_xlfn.XLOOKUP(Таблица10[[#This Row],[№]],Реестр_Д5[№],Реестр_Д5[Стоимость квартиры с отделкой],"-",0)</f>
        <v>6273078</v>
      </c>
      <c r="X303" s="235">
        <f>IFERROR(Таблица10[[#This Row],[СО ПП]]-Таблица10[[#This Row],[СО ДДУ]],"")</f>
        <v>0</v>
      </c>
      <c r="Y303" s="233" cm="1">
        <f t="array" ref="Y303">IFERROR(INDEX(РД[S],MATCH($Q$3&amp;Таблица10[[#This Row],[№]]&amp;"Продажа",РД[Дом]&amp;РД[№ кв]&amp;РД[Состояние],0),1),Таблица10[[#This Row],[Статус]])</f>
        <v>73.7</v>
      </c>
      <c r="Z303" s="233">
        <f>IF(Таблица10[[#This Row],[№]]&amp;"ДДУ"=ППД5!A300&amp;ППД5!CR300,ППД5!U300,ППД5!V300)</f>
        <v>73.7</v>
      </c>
      <c r="AA303" s="285">
        <f>IFERROR(Таблица10[[#This Row],[S ПП]]-Таблица10[[#This Row],[S ДДУ]],)</f>
        <v>0</v>
      </c>
      <c r="AB303" s="235">
        <f>ROUND(_xlfn.XLOOKUP(Таблица10[[#This Row],[№]],Реестр_Д5[№],Реестр_Д5[Итоговая сумма скидки],"",0),2)</f>
        <v>128022</v>
      </c>
      <c r="AC303" s="235" cm="1">
        <f t="array" ref="AC303">IFERROR(ROUND(_xlfn.XLOOKUP($Q$3&amp;Таблица10[[#This Row],[№]]&amp;"Продажа",РД[Дом]&amp;РД[№ кв]&amp;РД[Состояние],РД[Сумма скидки],"",0,-1),2),Таблица10[[#This Row],[Статус]])</f>
        <v>128022</v>
      </c>
      <c r="AD303" s="285">
        <f>IFERROR(Таблица10[[#This Row],[ППС]]-Таблица10[[#This Row],[ДДУС]],)</f>
        <v>0</v>
      </c>
      <c r="AE303" s="611"/>
      <c r="AT303" s="611"/>
    </row>
    <row r="304" spans="1:60" x14ac:dyDescent="0.2">
      <c r="A304" s="611"/>
      <c r="B304" s="234">
        <f>VLOOKUP(ППД4!A301,Реестр_Д4[№],1,0)</f>
        <v>300</v>
      </c>
      <c r="C304" s="234" t="str">
        <f>VLOOKUP(ППД4!CO301,Реестр_Д4[Статус],1,0)</f>
        <v>Продажа</v>
      </c>
      <c r="D304" s="612">
        <f>VLOOKUP(ППД4!CE301,Реестр_Д4[Стоимость ОН без отделки со скидкой],1,0)</f>
        <v>4940004.0199999996</v>
      </c>
      <c r="E304" s="612" cm="1">
        <f t="array" ref="E304">IFERROR(INDEX(РД[Стоимость без отделки итог],MATCH($B$3&amp;Таблица4[[#This Row],[№]]&amp;"Продажа",РД[Дом]&amp;РД[№ кв]&amp;РД[Состояние],0),1),Таблица4[[#This Row],[Статус]])</f>
        <v>4940004.0199999996</v>
      </c>
      <c r="F304" s="235">
        <f>IFERROR((Таблица4[[#This Row],[ПП]]-Таблица4[[#This Row],[ДДУ]])*1,"")</f>
        <v>0</v>
      </c>
      <c r="G304" s="235" cm="1">
        <f t="array" ref="G304">IFERROR(INDEX(РД[Стоимость с отделкой итог],MATCH($B$3&amp;Таблица4[[#This Row],[№]]&amp;"Продажа",РД[Дом]&amp;РД[№ кв]&amp;РД[Состояние],0),1),Таблица4[[#This Row],[Статус]])</f>
        <v>5203479.0199999996</v>
      </c>
      <c r="H304" s="235">
        <f>_xlfn.XLOOKUP(Таблица4[[#This Row],[№]],Реестр_Д4[№],Реестр_Д4[Стоимость квартиры с отделкой],"-",0)</f>
        <v>5203479.0199999996</v>
      </c>
      <c r="I304" s="235">
        <f>IFERROR(Таблица4[[#This Row],[СО ПП]]-Таблица4[[#This Row],[СО ДДУ]],"")</f>
        <v>0</v>
      </c>
      <c r="J304" s="233" cm="1">
        <f t="array" ref="J304">IFERROR(INDEX(РД[S],MATCH($B$3&amp;Таблица4[[#This Row],[№]]&amp;"Продажа",РД[Дом]&amp;РД[№ кв]&amp;РД[Состояние],0),1),Таблица4[[#This Row],[Статус]])</f>
        <v>58.55</v>
      </c>
      <c r="K304" s="233">
        <f>VLOOKUP(Таблица4[[#This Row],[№]],Реестр_Д4[],20,0)</f>
        <v>58.55</v>
      </c>
      <c r="L304" s="235">
        <f>IFERROR(Таблица4[[#This Row],[S ПП]]-Таблица4[[#This Row],[S ДДУ]],)</f>
        <v>0</v>
      </c>
      <c r="M304" s="235">
        <f>ROUND(_xlfn.XLOOKUP(Таблица4[[#This Row],[№]],Реестр_Д4[№],Реестр_Д4[Итоговая сумма скидки],"",0),2)</f>
        <v>0</v>
      </c>
      <c r="N304" s="235" cm="1">
        <f t="array" ref="N30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4" s="235">
        <f>IFERROR(Таблица4[[#This Row],[ППС]]-Таблица4[[#This Row],[ДДУС]],)</f>
        <v>0</v>
      </c>
      <c r="P304" s="611"/>
      <c r="Q304" s="234">
        <f>VLOOKUP(ППД5!A301,Реестр_Д5[№],1,0)</f>
        <v>300</v>
      </c>
      <c r="R304" s="234" t="str">
        <f>VLOOKUP(ППД5!CH301,Реестр_Д5[Статус],1,0)</f>
        <v>Продажа</v>
      </c>
      <c r="S304" s="612">
        <f>VLOOKUP(ППД5!BZ301,Реестр_Д5[Стоимость ОН без отделки со скидкой],1,0)</f>
        <v>2277796.6800000002</v>
      </c>
      <c r="T304" s="612" cm="1">
        <f t="array" ref="T304">IFERROR(INDEX(РД[Стоимость без отделки итог],MATCH($Q$3&amp;Таблица10[[#This Row],[№]]&amp;"Продажа",РД[Дом]&amp;РД[№ кв]&amp;РД[Состояние],0),1),Таблица10[[#This Row],[Статус]])</f>
        <v>2277796.6800000002</v>
      </c>
      <c r="U304" s="235">
        <f>IFERROR((Таблица10[[#This Row],[ПП]]-Таблица10[[#This Row],[ДДУ]])*1,)</f>
        <v>0</v>
      </c>
      <c r="V304" s="235" cm="1">
        <f t="array" ref="V304">IFERROR(INDEX(РД[Стоимость с отделкой итог],MATCH($Q$3&amp;Таблица10[[#This Row],[№]]&amp;"Продажа",РД[Дом]&amp;РД[№ кв]&amp;РД[Состояние],0),1),Таблица10[[#This Row],[Статус]])</f>
        <v>2277796.6800000002</v>
      </c>
      <c r="W304" s="235">
        <f>_xlfn.XLOOKUP(Таблица10[[#This Row],[№]],Реестр_Д5[№],Реестр_Д5[Стоимость квартиры с отделкой],"-",0)</f>
        <v>2277796.6800000002</v>
      </c>
      <c r="X304" s="235">
        <f>IFERROR(Таблица10[[#This Row],[СО ПП]]-Таблица10[[#This Row],[СО ДДУ]],"")</f>
        <v>0</v>
      </c>
      <c r="Y304" s="233" cm="1">
        <f t="array" ref="Y304">IFERROR(INDEX(РД[S],MATCH($Q$3&amp;Таблица10[[#This Row],[№]]&amp;"Продажа",РД[Дом]&amp;РД[№ кв]&amp;РД[Состояние],0),1),Таблица10[[#This Row],[Статус]])</f>
        <v>24.53</v>
      </c>
      <c r="Z304" s="233">
        <f>IF(Таблица10[[#This Row],[№]]&amp;"ДДУ"=ППД5!A301&amp;ППД5!CR301,ППД5!U301,ППД5!V301)</f>
        <v>24.53</v>
      </c>
      <c r="AA304" s="285">
        <f>IFERROR(Таблица10[[#This Row],[S ПП]]-Таблица10[[#This Row],[S ДДУ]],)</f>
        <v>0</v>
      </c>
      <c r="AB304" s="235">
        <f>ROUND(_xlfn.XLOOKUP(Таблица10[[#This Row],[№]],Реестр_Д5[№],Реестр_Д5[Итоговая сумма скидки],"",0),2)</f>
        <v>0</v>
      </c>
      <c r="AC304" s="235" cm="1">
        <f t="array" ref="AC30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04" s="285">
        <f>IFERROR(Таблица10[[#This Row],[ППС]]-Таблица10[[#This Row],[ДДУС]],)</f>
        <v>0</v>
      </c>
      <c r="AE304" s="611"/>
      <c r="AT304" s="611"/>
    </row>
    <row r="305" spans="1:46" x14ac:dyDescent="0.2">
      <c r="A305" s="611"/>
      <c r="B305" s="234">
        <f>VLOOKUP(ППД4!A302,Реестр_Д4[№],1,0)</f>
        <v>301</v>
      </c>
      <c r="C305" s="234" t="str">
        <f>VLOOKUP(ППД4!CO302,Реестр_Д4[Статус],1,0)</f>
        <v>Продажа</v>
      </c>
      <c r="D305" s="612">
        <f>VLOOKUP(ППД4!CE302,Реестр_Д4[Стоимость ОН без отделки со скидкой],1,0)</f>
        <v>4171284.5</v>
      </c>
      <c r="E305" s="612" cm="1">
        <f t="array" ref="E305">IFERROR(INDEX(РД[Стоимость без отделки итог],MATCH($B$3&amp;Таблица4[[#This Row],[№]]&amp;"Продажа",РД[Дом]&amp;РД[№ кв]&amp;РД[Состояние],0),1),Таблица4[[#This Row],[Статус]])</f>
        <v>4171284.5000000005</v>
      </c>
      <c r="F305" s="235">
        <f>IFERROR((Таблица4[[#This Row],[ПП]]-Таблица4[[#This Row],[ДДУ]])*1,"")</f>
        <v>-4.6566128730773926E-10</v>
      </c>
      <c r="G305" s="235" cm="1">
        <f t="array" ref="G305">IFERROR(INDEX(РД[Стоимость с отделкой итог],MATCH($B$3&amp;Таблица4[[#This Row],[№]]&amp;"Продажа",РД[Дом]&amp;РД[№ кв]&amp;РД[Состояние],0),1),Таблица4[[#This Row],[Статус]])</f>
        <v>5021784.5</v>
      </c>
      <c r="H305" s="235">
        <f>_xlfn.XLOOKUP(Таблица4[[#This Row],[№]],Реестр_Д4[№],Реестр_Д4[Стоимость квартиры с отделкой],"-",0)</f>
        <v>5021784.5</v>
      </c>
      <c r="I305" s="235">
        <f>IFERROR(Таблица4[[#This Row],[СО ПП]]-Таблица4[[#This Row],[СО ДДУ]],"")</f>
        <v>0</v>
      </c>
      <c r="J305" s="233" cm="1">
        <f t="array" ref="J305">IFERROR(INDEX(РД[S],MATCH($B$3&amp;Таблица4[[#This Row],[№]]&amp;"Продажа",РД[Дом]&amp;РД[№ кв]&amp;РД[Состояние],0),1),Таблица4[[#This Row],[Статус]])</f>
        <v>56.7</v>
      </c>
      <c r="K305" s="233">
        <f>VLOOKUP(Таблица4[[#This Row],[№]],Реестр_Д4[],20,0)</f>
        <v>56.7</v>
      </c>
      <c r="L305" s="235">
        <f>IFERROR(Таблица4[[#This Row],[S ПП]]-Таблица4[[#This Row],[S ДДУ]],)</f>
        <v>0</v>
      </c>
      <c r="M305" s="235">
        <f>ROUND(_xlfn.XLOOKUP(Таблица4[[#This Row],[№]],Реестр_Д4[№],Реестр_Д4[Итоговая сумма скидки],"",0),2)</f>
        <v>120000</v>
      </c>
      <c r="N305" s="235" cm="1">
        <f t="array" ref="N305">IFERROR(ROUND(_xlfn.XLOOKUP($B$3&amp;Таблица4[[#This Row],[№]]&amp;"Продажа",РД[Дом]&amp;РД[№ кв]&amp;РД[Состояние],РД[Сумма скидки],"",0),2),Таблица4[[#This Row],[Статус]])</f>
        <v>120000</v>
      </c>
      <c r="O305" s="235">
        <f>IFERROR(Таблица4[[#This Row],[ППС]]-Таблица4[[#This Row],[ДДУС]],)</f>
        <v>0</v>
      </c>
      <c r="P305" s="611"/>
      <c r="Q305" s="234">
        <f>VLOOKUP(ППД5!A302,Реестр_Д5[№],1,0)</f>
        <v>301</v>
      </c>
      <c r="R305" s="234" t="str">
        <f>VLOOKUP(ППД5!CH302,Реестр_Д5[Статус],1,0)</f>
        <v>Продажа</v>
      </c>
      <c r="S305" s="612">
        <f>VLOOKUP(ППД5!BZ302,Реестр_Д5[Стоимость ОН без отделки со скидкой],1,0)</f>
        <v>6894566</v>
      </c>
      <c r="T305" s="612" cm="1">
        <f t="array" ref="T305">IFERROR(INDEX(РД[Стоимость без отделки итог],MATCH($Q$3&amp;Таблица10[[#This Row],[№]]&amp;"Продажа",РД[Дом]&amp;РД[№ кв]&amp;РД[Состояние],0),1),Таблица10[[#This Row],[Статус]])</f>
        <v>6894566</v>
      </c>
      <c r="U305" s="235">
        <f>IFERROR((Таблица10[[#This Row],[ПП]]-Таблица10[[#This Row],[ДДУ]])*1,)</f>
        <v>0</v>
      </c>
      <c r="V305" s="235" cm="1">
        <f t="array" ref="V305">IFERROR(INDEX(РД[Стоимость с отделкой итог],MATCH($Q$3&amp;Таблица10[[#This Row],[№]]&amp;"Продажа",РД[Дом]&amp;РД[№ кв]&amp;РД[Состояние],0),1),Таблица10[[#This Row],[Статус]])</f>
        <v>7460366</v>
      </c>
      <c r="W305" s="235">
        <f>_xlfn.XLOOKUP(Таблица10[[#This Row],[№]],Реестр_Д5[№],Реестр_Д5[Стоимость квартиры с отделкой],"-",0)</f>
        <v>7460366</v>
      </c>
      <c r="X305" s="235">
        <f>IFERROR(Таблица10[[#This Row],[СО ПП]]-Таблица10[[#This Row],[СО ДДУ]],"")</f>
        <v>0</v>
      </c>
      <c r="Y305" s="233" cm="1">
        <f t="array" ref="Y305">IFERROR(INDEX(РД[S],MATCH($Q$3&amp;Таблица10[[#This Row],[№]]&amp;"Продажа",РД[Дом]&amp;РД[№ кв]&amp;РД[Состояние],0),1),Таблица10[[#This Row],[Статус]])</f>
        <v>56.58</v>
      </c>
      <c r="Z305" s="233">
        <f>IF(Таблица10[[#This Row],[№]]&amp;"ДДУ"=ППД5!A302&amp;ППД5!CR302,ППД5!U302,ППД5!V302)</f>
        <v>56.58</v>
      </c>
      <c r="AA305" s="285">
        <f>IFERROR(Таблица10[[#This Row],[S ПП]]-Таблица10[[#This Row],[S ДДУ]],)</f>
        <v>0</v>
      </c>
      <c r="AB305" s="235">
        <f>ROUND(_xlfn.XLOOKUP(Таблица10[[#This Row],[№]],Реестр_Д5[№],Реестр_Д5[Итоговая сумма скидки],"",0),2)</f>
        <v>213234</v>
      </c>
      <c r="AC305" s="235" cm="1">
        <f t="array" ref="AC305">IFERROR(ROUND(_xlfn.XLOOKUP($Q$3&amp;Таблица10[[#This Row],[№]]&amp;"Продажа",РД[Дом]&amp;РД[№ кв]&amp;РД[Состояние],РД[Сумма скидки],"",0,-1),2),Таблица10[[#This Row],[Статус]])</f>
        <v>213234</v>
      </c>
      <c r="AD305" s="285">
        <f>IFERROR(Таблица10[[#This Row],[ППС]]-Таблица10[[#This Row],[ДДУС]],)</f>
        <v>0</v>
      </c>
      <c r="AE305" s="611"/>
      <c r="AT305" s="611"/>
    </row>
    <row r="306" spans="1:46" x14ac:dyDescent="0.2">
      <c r="A306" s="611"/>
      <c r="B306" s="234">
        <f>VLOOKUP(ППД4!A303,Реестр_Д4[№],1,0)</f>
        <v>302</v>
      </c>
      <c r="C306" s="234" t="str">
        <f>VLOOKUP(ППД4!CO303,Реестр_Д4[Статус],1,0)</f>
        <v>Продажа</v>
      </c>
      <c r="D306" s="612">
        <f>VLOOKUP(ППД4!CE303,Реестр_Д4[Стоимость ОН без отделки со скидкой],1,0)</f>
        <v>7195900</v>
      </c>
      <c r="E306" s="612" cm="1">
        <f t="array" ref="E306">IFERROR(INDEX(РД[Стоимость без отделки итог],MATCH($B$3&amp;Таблица4[[#This Row],[№]]&amp;"Продажа",РД[Дом]&amp;РД[№ кв]&amp;РД[Состояние],0),1),Таблица4[[#This Row],[Статус]])</f>
        <v>7195900</v>
      </c>
      <c r="F306" s="235">
        <f>IFERROR((Таблица4[[#This Row],[ПП]]-Таблица4[[#This Row],[ДДУ]])*1,"")</f>
        <v>0</v>
      </c>
      <c r="G306" s="235" cm="1">
        <f t="array" ref="G306">IFERROR(INDEX(РД[Стоимость с отделкой итог],MATCH($B$3&amp;Таблица4[[#This Row],[№]]&amp;"Продажа",РД[Дом]&amp;РД[№ кв]&amp;РД[Состояние],0),1),Таблица4[[#This Row],[Статус]])</f>
        <v>7739725</v>
      </c>
      <c r="H306" s="235">
        <f>_xlfn.XLOOKUP(Таблица4[[#This Row],[№]],Реестр_Д4[№],Реестр_Д4[Стоимость квартиры с отделкой],"-",0)</f>
        <v>7739725</v>
      </c>
      <c r="I306" s="235">
        <f>IFERROR(Таблица4[[#This Row],[СО ПП]]-Таблица4[[#This Row],[СО ДДУ]],"")</f>
        <v>0</v>
      </c>
      <c r="J306" s="233" cm="1">
        <f t="array" ref="J306">IFERROR(INDEX(РД[S],MATCH($B$3&amp;Таблица4[[#This Row],[№]]&amp;"Продажа",РД[Дом]&amp;РД[№ кв]&amp;РД[Состояние],0),1),Таблица4[[#This Row],[Статус]])</f>
        <v>72.510000000000005</v>
      </c>
      <c r="K306" s="233">
        <f>VLOOKUP(Таблица4[[#This Row],[№]],Реестр_Д4[],20,0)</f>
        <v>72.510000000000005</v>
      </c>
      <c r="L306" s="235">
        <f>IFERROR(Таблица4[[#This Row],[S ПП]]-Таблица4[[#This Row],[S ДДУ]],)</f>
        <v>0</v>
      </c>
      <c r="M306" s="235">
        <f>ROUND(_xlfn.XLOOKUP(Таблица4[[#This Row],[№]],Реестр_Д4[№],Реестр_Д4[Итоговая сумма скидки],"",0),2)</f>
        <v>0</v>
      </c>
      <c r="N306" s="235" cm="1">
        <f t="array" ref="N30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6" s="235">
        <f>IFERROR(Таблица4[[#This Row],[ППС]]-Таблица4[[#This Row],[ДДУС]],)</f>
        <v>0</v>
      </c>
      <c r="P306" s="611"/>
      <c r="Q306" s="234">
        <f>VLOOKUP(ППД5!A303,Реестр_Д5[№],1,0)</f>
        <v>302</v>
      </c>
      <c r="R306" s="234" t="str">
        <f>VLOOKUP(ППД5!CH303,Реестр_Д5[Статус],1,0)</f>
        <v>Продажа</v>
      </c>
      <c r="S306" s="612">
        <f>VLOOKUP(ППД5!BZ303,Реестр_Д5[Стоимость ОН без отделки со скидкой],1,0)</f>
        <v>5996900</v>
      </c>
      <c r="T306" s="612" cm="1">
        <f t="array" ref="T306">IFERROR(INDEX(РД[Стоимость без отделки итог],MATCH($Q$3&amp;Таблица10[[#This Row],[№]]&amp;"Продажа",РД[Дом]&amp;РД[№ кв]&amp;РД[Состояние],0),1),Таблица10[[#This Row],[Статус]])</f>
        <v>5996900</v>
      </c>
      <c r="U306" s="235">
        <f>IFERROR((Таблица10[[#This Row],[ПП]]-Таблица10[[#This Row],[ДДУ]])*1,)</f>
        <v>0</v>
      </c>
      <c r="V306" s="235" cm="1">
        <f t="array" ref="V306">IFERROR(INDEX(РД[Стоимость с отделкой итог],MATCH($Q$3&amp;Таблица10[[#This Row],[№]]&amp;"Продажа",РД[Дом]&amp;РД[№ кв]&amp;РД[Состояние],0),1),Таблица10[[#This Row],[Статус]])</f>
        <v>7201700</v>
      </c>
      <c r="W306" s="235">
        <f>_xlfn.XLOOKUP(Таблица10[[#This Row],[№]],Реестр_Д5[№],Реестр_Д5[Стоимость квартиры с отделкой],"-",0)</f>
        <v>7201700</v>
      </c>
      <c r="X306" s="235">
        <f>IFERROR(Таблица10[[#This Row],[СО ПП]]-Таблица10[[#This Row],[СО ДДУ]],"")</f>
        <v>0</v>
      </c>
      <c r="Y306" s="233" cm="1">
        <f t="array" ref="Y306">IFERROR(INDEX(РД[S],MATCH($Q$3&amp;Таблица10[[#This Row],[№]]&amp;"Продажа",РД[Дом]&amp;РД[№ кв]&amp;РД[Состояние],0),1),Таблица10[[#This Row],[Статус]])</f>
        <v>60.24</v>
      </c>
      <c r="Z306" s="233">
        <f>IF(Таблица10[[#This Row],[№]]&amp;"ДДУ"=ППД5!A303&amp;ППД5!CR303,ППД5!U303,ППД5!V303)</f>
        <v>60.24</v>
      </c>
      <c r="AA306" s="285">
        <f>IFERROR(Таблица10[[#This Row],[S ПП]]-Таблица10[[#This Row],[S ДДУ]],)</f>
        <v>0</v>
      </c>
      <c r="AB306" s="235">
        <f>ROUND(_xlfn.XLOOKUP(Таблица10[[#This Row],[№]],Реестр_Д5[№],Реестр_Д5[Итоговая сумма скидки],"",0),2)</f>
        <v>0</v>
      </c>
      <c r="AC306" s="235" cm="1">
        <f t="array" ref="AC30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06" s="285">
        <f>IFERROR(Таблица10[[#This Row],[ППС]]-Таблица10[[#This Row],[ДДУС]],)</f>
        <v>0</v>
      </c>
      <c r="AE306" s="611"/>
      <c r="AT306" s="611"/>
    </row>
    <row r="307" spans="1:46" x14ac:dyDescent="0.2">
      <c r="A307" s="611"/>
      <c r="B307" s="234">
        <f>VLOOKUP(ППД4!A304,Реестр_Д4[№],1,0)</f>
        <v>303</v>
      </c>
      <c r="C307" s="234" t="str">
        <f>VLOOKUP(ППД4!CO304,Реестр_Д4[Статус],1,0)</f>
        <v>Продажа</v>
      </c>
      <c r="D307" s="612">
        <f>VLOOKUP(ППД4!CE304,Реестр_Д4[Стоимость ОН без отделки со скидкой],1,0)</f>
        <v>2481967.0500000003</v>
      </c>
      <c r="E307" s="612" cm="1">
        <f t="array" ref="E307">IFERROR(INDEX(РД[Стоимость без отделки итог],MATCH($B$3&amp;Таблица4[[#This Row],[№]]&amp;"Продажа",РД[Дом]&amp;РД[№ кв]&amp;РД[Состояние],0),1),Таблица4[[#This Row],[Статус]])</f>
        <v>2481967.0499999998</v>
      </c>
      <c r="F307" s="235">
        <f>IFERROR((Таблица4[[#This Row],[ПП]]-Таблица4[[#This Row],[ДДУ]])*1,"")</f>
        <v>4.6566128730773926E-10</v>
      </c>
      <c r="G307" s="235" cm="1">
        <f t="array" ref="G307">IFERROR(INDEX(РД[Стоимость с отделкой итог],MATCH($B$3&amp;Таблица4[[#This Row],[№]]&amp;"Продажа",РД[Дом]&amp;РД[№ кв]&amp;РД[Состояние],0),1),Таблица4[[#This Row],[Статус]])</f>
        <v>2735767.05</v>
      </c>
      <c r="H307" s="235">
        <f>_xlfn.XLOOKUP(Таблица4[[#This Row],[№]],Реестр_Д4[№],Реестр_Д4[Стоимость квартиры с отделкой],"-",0)</f>
        <v>2735767.05</v>
      </c>
      <c r="I307" s="235">
        <f>IFERROR(Таблица4[[#This Row],[СО ПП]]-Таблица4[[#This Row],[СО ДДУ]],"")</f>
        <v>0</v>
      </c>
      <c r="J307" s="233" cm="1">
        <f t="array" ref="J307">IFERROR(INDEX(РД[S],MATCH($B$3&amp;Таблица4[[#This Row],[№]]&amp;"Продажа",РД[Дом]&amp;РД[№ кв]&amp;РД[Состояние],0),1),Таблица4[[#This Row],[Статус]])</f>
        <v>33.840000000000003</v>
      </c>
      <c r="K307" s="233">
        <f>VLOOKUP(Таблица4[[#This Row],[№]],Реестр_Д4[],20,0)</f>
        <v>33.840000000000003</v>
      </c>
      <c r="L307" s="235">
        <f>IFERROR(Таблица4[[#This Row],[S ПП]]-Таблица4[[#This Row],[S ДДУ]],)</f>
        <v>0</v>
      </c>
      <c r="M307" s="235">
        <f>ROUND(_xlfn.XLOOKUP(Таблица4[[#This Row],[№]],Реестр_Д4[№],Реестр_Д4[Итоговая сумма скидки],"",0),2)</f>
        <v>130629.85</v>
      </c>
      <c r="N307" s="235" cm="1">
        <f t="array" ref="N307">IFERROR(ROUND(_xlfn.XLOOKUP($B$3&amp;Таблица4[[#This Row],[№]]&amp;"Продажа",РД[Дом]&amp;РД[№ кв]&amp;РД[Состояние],РД[Сумма скидки],"",0),2),Таблица4[[#This Row],[Статус]])</f>
        <v>130629.85</v>
      </c>
      <c r="O307" s="235">
        <f>IFERROR(Таблица4[[#This Row],[ППС]]-Таблица4[[#This Row],[ДДУС]],)</f>
        <v>0</v>
      </c>
      <c r="P307" s="611"/>
      <c r="Q307" s="234">
        <f>VLOOKUP(ППД5!A304,Реестр_Д5[№],1,0)</f>
        <v>303</v>
      </c>
      <c r="R307" s="234" t="str">
        <f>VLOOKUP(ППД5!CH304,Реестр_Д5[Статус],1,0)</f>
        <v>Продажа</v>
      </c>
      <c r="S307" s="612">
        <f>VLOOKUP(ППД5!BZ304,Реестр_Д5[Стоимость ОН без отделки со скидкой],1,0)</f>
        <v>4430900</v>
      </c>
      <c r="T307" s="612" cm="1">
        <f t="array" ref="T307">IFERROR(INDEX(РД[Стоимость без отделки итог],MATCH($Q$3&amp;Таблица10[[#This Row],[№]]&amp;"Продажа",РД[Дом]&amp;РД[№ кв]&amp;РД[Состояние],0),1),Таблица10[[#This Row],[Статус]])</f>
        <v>4430900</v>
      </c>
      <c r="U307" s="235">
        <f>IFERROR((Таблица10[[#This Row],[ПП]]-Таблица10[[#This Row],[ДДУ]])*1,)</f>
        <v>0</v>
      </c>
      <c r="V307" s="235" cm="1">
        <f t="array" ref="V307">IFERROR(INDEX(РД[Стоимость с отделкой итог],MATCH($Q$3&amp;Таблица10[[#This Row],[№]]&amp;"Продажа",РД[Дом]&amp;РД[№ кв]&amp;РД[Состояние],0),1),Таблица10[[#This Row],[Статус]])</f>
        <v>4695570</v>
      </c>
      <c r="W307" s="235">
        <f>_xlfn.XLOOKUP(Таблица10[[#This Row],[№]],Реестр_Д5[№],Реестр_Д5[Стоимость квартиры с отделкой],"-",0)</f>
        <v>4695570</v>
      </c>
      <c r="X307" s="235">
        <f>IFERROR(Таблица10[[#This Row],[СО ПП]]-Таблица10[[#This Row],[СО ДДУ]],"")</f>
        <v>0</v>
      </c>
      <c r="Y307" s="233" cm="1">
        <f t="array" ref="Y307">IFERROR(INDEX(РД[S],MATCH($Q$3&amp;Таблица10[[#This Row],[№]]&amp;"Продажа",РД[Дом]&amp;РД[№ кв]&amp;РД[Состояние],0),1),Таблица10[[#This Row],[Статус]])</f>
        <v>37.81</v>
      </c>
      <c r="Z307" s="233">
        <f>IF(Таблица10[[#This Row],[№]]&amp;"ДДУ"=ППД5!A304&amp;ППД5!CR304,ППД5!U304,ППД5!V304)</f>
        <v>37.81</v>
      </c>
      <c r="AA307" s="285">
        <f>IFERROR(Таблица10[[#This Row],[S ПП]]-Таблица10[[#This Row],[S ДДУ]],)</f>
        <v>0</v>
      </c>
      <c r="AB307" s="235">
        <f>ROUND(_xlfn.XLOOKUP(Таблица10[[#This Row],[№]],Реестр_Д5[№],Реестр_Д5[Итоговая сумма скидки],"",0),2)</f>
        <v>0</v>
      </c>
      <c r="AC307" s="235" cm="1">
        <f t="array" ref="AC30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07" s="285">
        <f>IFERROR(Таблица10[[#This Row],[ППС]]-Таблица10[[#This Row],[ДДУС]],)</f>
        <v>0</v>
      </c>
      <c r="AE307" s="611"/>
      <c r="AT307" s="611"/>
    </row>
    <row r="308" spans="1:46" x14ac:dyDescent="0.2">
      <c r="A308" s="611"/>
      <c r="B308" s="234">
        <f>VLOOKUP(ППД4!A305,Реестр_Д4[№],1,0)</f>
        <v>304</v>
      </c>
      <c r="C308" s="234" t="str">
        <f>VLOOKUP(ППД4!CO305,Реестр_Д4[Статус],1,0)</f>
        <v>Продажа</v>
      </c>
      <c r="D308" s="612">
        <f>VLOOKUP(ППД4!CE305,Реестр_Д4[Стоимость ОН без отделки со скидкой],1,0)</f>
        <v>2471059.85</v>
      </c>
      <c r="E308" s="612" cm="1">
        <f t="array" ref="E308">IFERROR(INDEX(РД[Стоимость без отделки итог],MATCH($B$3&amp;Таблица4[[#This Row],[№]]&amp;"Продажа",РД[Дом]&amp;РД[№ кв]&amp;РД[Состояние],0),1),Таблица4[[#This Row],[Статус]])</f>
        <v>2471059.85</v>
      </c>
      <c r="F308" s="235">
        <f>IFERROR((Таблица4[[#This Row],[ПП]]-Таблица4[[#This Row],[ДДУ]])*1,"")</f>
        <v>0</v>
      </c>
      <c r="G308" s="235" cm="1">
        <f t="array" ref="G308">IFERROR(INDEX(РД[Стоимость с отделкой итог],MATCH($B$3&amp;Таблица4[[#This Row],[№]]&amp;"Продажа",РД[Дом]&amp;РД[№ кв]&amp;РД[Состояние],0),1),Таблица4[[#This Row],[Статус]])</f>
        <v>2588459.85</v>
      </c>
      <c r="H308" s="235">
        <f>_xlfn.XLOOKUP(Таблица4[[#This Row],[№]],Реестр_Д4[№],Реестр_Д4[Стоимость квартиры с отделкой],"-",0)</f>
        <v>2588459.85</v>
      </c>
      <c r="I308" s="235">
        <f>IFERROR(Таблица4[[#This Row],[СО ПП]]-Таблица4[[#This Row],[СО ДДУ]],"")</f>
        <v>0</v>
      </c>
      <c r="J308" s="233" cm="1">
        <f t="array" ref="J308">IFERROR(INDEX(РД[S],MATCH($B$3&amp;Таблица4[[#This Row],[№]]&amp;"Продажа",РД[Дом]&amp;РД[№ кв]&amp;РД[Состояние],0),1),Таблица4[[#This Row],[Статус]])</f>
        <v>29.35</v>
      </c>
      <c r="K308" s="233">
        <f>VLOOKUP(Таблица4[[#This Row],[№]],Реестр_Д4[],20,0)</f>
        <v>29.35</v>
      </c>
      <c r="L308" s="235">
        <f>IFERROR(Таблица4[[#This Row],[S ПП]]-Таблица4[[#This Row],[S ДДУ]],)</f>
        <v>0</v>
      </c>
      <c r="M308" s="235">
        <f>ROUND(_xlfn.XLOOKUP(Таблица4[[#This Row],[№]],Реестр_Д4[№],Реестр_Д4[Итоговая сумма скидки],"",0),2)</f>
        <v>0</v>
      </c>
      <c r="N308" s="235" cm="1">
        <f t="array" ref="N30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08" s="235">
        <f>IFERROR(Таблица4[[#This Row],[ППС]]-Таблица4[[#This Row],[ДДУС]],)</f>
        <v>0</v>
      </c>
      <c r="P308" s="611"/>
      <c r="Q308" s="234">
        <f>VLOOKUP(ППД5!A305,Реестр_Д5[№],1,0)</f>
        <v>304</v>
      </c>
      <c r="R308" s="234" t="str">
        <f>VLOOKUP(ППД5!CH305,Реестр_Д5[Статус],1,0)</f>
        <v>Продажа</v>
      </c>
      <c r="S308" s="612">
        <f>VLOOKUP(ППД5!BZ305,Реестр_Д5[Стоимость ОН без отделки со скидкой],1,0)</f>
        <v>6480614.9100000001</v>
      </c>
      <c r="T308" s="612" cm="1">
        <f t="array" ref="T308">IFERROR(INDEX(РД[Стоимость без отделки итог],MATCH($Q$3&amp;Таблица10[[#This Row],[№]]&amp;"Продажа",РД[Дом]&amp;РД[№ кв]&amp;РД[Состояние],0),1),Таблица10[[#This Row],[Статус]])</f>
        <v>6480614.9100000001</v>
      </c>
      <c r="U308" s="235">
        <f>IFERROR((Таблица10[[#This Row],[ПП]]-Таблица10[[#This Row],[ДДУ]])*1,)</f>
        <v>0</v>
      </c>
      <c r="V308" s="235" cm="1">
        <f t="array" ref="V308">IFERROR(INDEX(РД[Стоимость с отделкой итог],MATCH($Q$3&amp;Таблица10[[#This Row],[№]]&amp;"Продажа",РД[Дом]&amp;РД[№ кв]&amp;РД[Состояние],0),1),Таблица10[[#This Row],[Статус]])</f>
        <v>6480614.9100000001</v>
      </c>
      <c r="W308" s="235">
        <f>_xlfn.XLOOKUP(Таблица10[[#This Row],[№]],Реестр_Д5[№],Реестр_Д5[Стоимость квартиры с отделкой],"-",0)</f>
        <v>6480614.9100000001</v>
      </c>
      <c r="X308" s="235">
        <f>IFERROR(Таблица10[[#This Row],[СО ПП]]-Таблица10[[#This Row],[СО ДДУ]],"")</f>
        <v>0</v>
      </c>
      <c r="Y308" s="233" cm="1">
        <f t="array" ref="Y308">IFERROR(INDEX(РД[S],MATCH($Q$3&amp;Таблица10[[#This Row],[№]]&amp;"Продажа",РД[Дом]&amp;РД[№ кв]&amp;РД[Состояние],0),1),Таблица10[[#This Row],[Статус]])</f>
        <v>80.97</v>
      </c>
      <c r="Z308" s="233">
        <f>IF(Таблица10[[#This Row],[№]]&amp;"ДДУ"=ППД5!A305&amp;ППД5!CR305,ППД5!U305,ППД5!V305)</f>
        <v>80.97</v>
      </c>
      <c r="AA308" s="285">
        <f>IFERROR(Таблица10[[#This Row],[S ПП]]-Таблица10[[#This Row],[S ДДУ]],)</f>
        <v>0</v>
      </c>
      <c r="AB308" s="235">
        <f>ROUND(_xlfn.XLOOKUP(Таблица10[[#This Row],[№]],Реестр_Д5[№],Реестр_Д5[Итоговая сумма скидки],"",0),2)</f>
        <v>20000</v>
      </c>
      <c r="AC308" s="235" cm="1">
        <f t="array" ref="AC308">IFERROR(ROUND(_xlfn.XLOOKUP($Q$3&amp;Таблица10[[#This Row],[№]]&amp;"Продажа",РД[Дом]&amp;РД[№ кв]&amp;РД[Состояние],РД[Сумма скидки],"",0,-1),2),Таблица10[[#This Row],[Статус]])</f>
        <v>20000</v>
      </c>
      <c r="AD308" s="285">
        <f>IFERROR(Таблица10[[#This Row],[ППС]]-Таблица10[[#This Row],[ДДУС]],)</f>
        <v>0</v>
      </c>
      <c r="AE308" s="611"/>
      <c r="AT308" s="611"/>
    </row>
    <row r="309" spans="1:46" x14ac:dyDescent="0.2">
      <c r="A309" s="611"/>
      <c r="B309" s="234">
        <f>VLOOKUP(ППД4!A306,Реестр_Д4[№],1,0)</f>
        <v>305</v>
      </c>
      <c r="C309" s="234" t="str">
        <f>VLOOKUP(ППД4!CO306,Реестр_Д4[Статус],1,0)</f>
        <v>Продажа</v>
      </c>
      <c r="D309" s="612">
        <f>VLOOKUP(ППД4!CE306,Реестр_Д4[Стоимость ОН без отделки со скидкой],1,0)</f>
        <v>5841367.5999999996</v>
      </c>
      <c r="E309" s="612" cm="1">
        <f t="array" ref="E309">IFERROR(INDEX(РД[Стоимость без отделки итог],MATCH($B$3&amp;Таблица4[[#This Row],[№]]&amp;"Продажа",РД[Дом]&amp;РД[№ кв]&amp;РД[Состояние],0),1),Таблица4[[#This Row],[Статус]])</f>
        <v>5841367.5999999996</v>
      </c>
      <c r="F309" s="235">
        <f>IFERROR((Таблица4[[#This Row],[ПП]]-Таблица4[[#This Row],[ДДУ]])*1,"")</f>
        <v>0</v>
      </c>
      <c r="G309" s="235" cm="1">
        <f t="array" ref="G309">IFERROR(INDEX(РД[Стоимость с отделкой итог],MATCH($B$3&amp;Таблица4[[#This Row],[№]]&amp;"Продажа",РД[Дом]&amp;РД[№ кв]&amp;РД[Состояние],0),1),Таблица4[[#This Row],[Статус]])</f>
        <v>6350992.5999999996</v>
      </c>
      <c r="H309" s="235">
        <f>_xlfn.XLOOKUP(Таблица4[[#This Row],[№]],Реестр_Д4[№],Реестр_Д4[Стоимость квартиры с отделкой],"-",0)</f>
        <v>6350992.5999999996</v>
      </c>
      <c r="I309" s="235">
        <f>IFERROR(Таблица4[[#This Row],[СО ПП]]-Таблица4[[#This Row],[СО ДДУ]],"")</f>
        <v>0</v>
      </c>
      <c r="J309" s="233" cm="1">
        <f t="array" ref="J309">IFERROR(INDEX(РД[S],MATCH($B$3&amp;Таблица4[[#This Row],[№]]&amp;"Продажа",РД[Дом]&amp;РД[№ кв]&amp;РД[Состояние],0),1),Таблица4[[#This Row],[Статус]])</f>
        <v>67.95</v>
      </c>
      <c r="K309" s="233">
        <f>VLOOKUP(Таблица4[[#This Row],[№]],Реестр_Д4[],20,0)</f>
        <v>67.95</v>
      </c>
      <c r="L309" s="235">
        <f>IFERROR(Таблица4[[#This Row],[S ПП]]-Таблица4[[#This Row],[S ДДУ]],)</f>
        <v>0</v>
      </c>
      <c r="M309" s="235">
        <f>ROUND(_xlfn.XLOOKUP(Таблица4[[#This Row],[№]],Реестр_Д4[№],Реестр_Д4[Итоговая сумма скидки],"",0),2)</f>
        <v>114381.95</v>
      </c>
      <c r="N309" s="235" cm="1">
        <f t="array" ref="N309">IFERROR(ROUND(_xlfn.XLOOKUP($B$3&amp;Таблица4[[#This Row],[№]]&amp;"Продажа",РД[Дом]&amp;РД[№ кв]&amp;РД[Состояние],РД[Сумма скидки],"",0),2),Таблица4[[#This Row],[Статус]])</f>
        <v>114381.95</v>
      </c>
      <c r="O309" s="235">
        <f>IFERROR(Таблица4[[#This Row],[ППС]]-Таблица4[[#This Row],[ДДУС]],)</f>
        <v>0</v>
      </c>
      <c r="P309" s="611"/>
      <c r="Q309" s="234">
        <f>VLOOKUP(ППД5!A306,Реестр_Д5[№],1,0)</f>
        <v>305</v>
      </c>
      <c r="R309" s="234" t="str">
        <f>VLOOKUP(ППД5!CH306,Реестр_Д5[Статус],1,0)</f>
        <v>Свободно</v>
      </c>
      <c r="S309" s="612">
        <f>VLOOKUP(ППД5!BZ306,Реестр_Д5[Стоимость ОН без отделки со скидкой],1,0)</f>
        <v>5101000</v>
      </c>
      <c r="T309" s="612" t="str" cm="1">
        <f t="array" ref="T30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09" s="235">
        <f>IFERROR((Таблица10[[#This Row],[ПП]]-Таблица10[[#This Row],[ДДУ]])*1,)</f>
        <v>0</v>
      </c>
      <c r="V309" s="235" t="str" cm="1">
        <f t="array" ref="V30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09" s="235">
        <f>_xlfn.XLOOKUP(Таблица10[[#This Row],[№]],Реестр_Д5[№],Реестр_Д5[Стоимость квартиры с отделкой],"-",0)</f>
        <v>6140499.9999999991</v>
      </c>
      <c r="X309" s="235" t="str">
        <f>IFERROR(Таблица10[[#This Row],[СО ПП]]-Таблица10[[#This Row],[СО ДДУ]],"")</f>
        <v/>
      </c>
      <c r="Y309" s="233" t="str" cm="1">
        <f t="array" ref="Y309">IFERROR(INDEX(РД[S],MATCH($Q$3&amp;Таблица10[[#This Row],[№]]&amp;"Продажа",РД[Дом]&amp;РД[№ кв]&amp;РД[Состояние],0),1),Таблица10[[#This Row],[Статус]])</f>
        <v>Свободно</v>
      </c>
      <c r="Z309" s="233">
        <f>IF(Таблица10[[#This Row],[№]]&amp;"ДДУ"=ППД5!A306&amp;ППД5!CR306,ППД5!U306,ППД5!V306)</f>
        <v>34.65</v>
      </c>
      <c r="AA309" s="285">
        <f>IFERROR(Таблица10[[#This Row],[S ПП]]-Таблица10[[#This Row],[S ДДУ]],)</f>
        <v>0</v>
      </c>
      <c r="AB309" s="235">
        <f>ROUND(_xlfn.XLOOKUP(Таблица10[[#This Row],[№]],Реестр_Д5[№],Реестр_Д5[Итоговая сумма скидки],"",0),2)</f>
        <v>0</v>
      </c>
      <c r="AC309" s="235" t="str" cm="1">
        <f t="array" ref="AC30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09" s="285">
        <f>IFERROR(Таблица10[[#This Row],[ППС]]-Таблица10[[#This Row],[ДДУС]],)</f>
        <v>0</v>
      </c>
      <c r="AE309" s="611"/>
      <c r="AT309" s="611"/>
    </row>
    <row r="310" spans="1:46" x14ac:dyDescent="0.2">
      <c r="A310" s="611"/>
      <c r="B310" s="234">
        <f>VLOOKUP(ППД4!A307,Реестр_Д4[№],1,0)</f>
        <v>306</v>
      </c>
      <c r="C310" s="234" t="str">
        <f>VLOOKUP(ППД4!CO307,Реестр_Д4[Статус],1,0)</f>
        <v>Продажа</v>
      </c>
      <c r="D310" s="612">
        <f>VLOOKUP(ППД4!CE307,Реестр_Д4[Стоимость ОН без отделки со скидкой],1,0)</f>
        <v>3099517.37</v>
      </c>
      <c r="E310" s="612" cm="1">
        <f t="array" ref="E310">IFERROR(INDEX(РД[Стоимость без отделки итог],MATCH($B$3&amp;Таблица4[[#This Row],[№]]&amp;"Продажа",РД[Дом]&amp;РД[№ кв]&amp;РД[Состояние],0),1),Таблица4[[#This Row],[Статус]])</f>
        <v>3099517.37</v>
      </c>
      <c r="F310" s="235">
        <f>IFERROR((Таблица4[[#This Row],[ПП]]-Таблица4[[#This Row],[ДДУ]])*1,"")</f>
        <v>0</v>
      </c>
      <c r="G310" s="235" cm="1">
        <f t="array" ref="G310">IFERROR(INDEX(РД[Стоимость с отделкой итог],MATCH($B$3&amp;Таблица4[[#This Row],[№]]&amp;"Продажа",РД[Дом]&amp;РД[№ кв]&amp;РД[Состояние],0),1),Таблица4[[#This Row],[Статус]])</f>
        <v>3646267.37</v>
      </c>
      <c r="H310" s="235">
        <f>_xlfn.XLOOKUP(Таблица4[[#This Row],[№]],Реестр_Д4[№],Реестр_Д4[Стоимость квартиры с отделкой],"-",0)</f>
        <v>3646267.37</v>
      </c>
      <c r="I310" s="235">
        <f>IFERROR(Таблица4[[#This Row],[СО ПП]]-Таблица4[[#This Row],[СО ДДУ]],"")</f>
        <v>0</v>
      </c>
      <c r="J310" s="233" cm="1">
        <f t="array" ref="J310">IFERROR(INDEX(РД[S],MATCH($B$3&amp;Таблица4[[#This Row],[№]]&amp;"Продажа",РД[Дом]&amp;РД[№ кв]&amp;РД[Состояние],0),1),Таблица4[[#This Row],[Статус]])</f>
        <v>36.450000000000003</v>
      </c>
      <c r="K310" s="233">
        <f>VLOOKUP(Таблица4[[#This Row],[№]],Реестр_Д4[],20,0)</f>
        <v>36.450000000000003</v>
      </c>
      <c r="L310" s="235">
        <f>IFERROR(Таблица4[[#This Row],[S ПП]]-Таблица4[[#This Row],[S ДДУ]],)</f>
        <v>0</v>
      </c>
      <c r="M310" s="235">
        <f>ROUND(_xlfn.XLOOKUP(Таблица4[[#This Row],[№]],Реестр_Д4[№],Реестр_Д4[Итоговая сумма скидки],"",0),2)</f>
        <v>0</v>
      </c>
      <c r="N310" s="235" cm="1">
        <f t="array" ref="N31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0" s="235">
        <f>IFERROR(Таблица4[[#This Row],[ППС]]-Таблица4[[#This Row],[ДДУС]],)</f>
        <v>0</v>
      </c>
      <c r="P310" s="611"/>
      <c r="Q310" s="234">
        <f>VLOOKUP(ППД5!A307,Реестр_Д5[№],1,0)</f>
        <v>306</v>
      </c>
      <c r="R310" s="234" t="str">
        <f>VLOOKUP(ППД5!CH307,Реестр_Д5[Статус],1,0)</f>
        <v>Продажа</v>
      </c>
      <c r="S310" s="612">
        <f>VLOOKUP(ППД5!BZ307,Реестр_Д5[Стоимость ОН без отделки со скидкой],1,0)</f>
        <v>7368032</v>
      </c>
      <c r="T310" s="612" cm="1">
        <f t="array" ref="T310">IFERROR(INDEX(РД[Стоимость без отделки итог],MATCH($Q$3&amp;Таблица10[[#This Row],[№]]&amp;"Продажа",РД[Дом]&amp;РД[№ кв]&amp;РД[Состояние],0),1),Таблица10[[#This Row],[Статус]])</f>
        <v>7368032</v>
      </c>
      <c r="U310" s="235">
        <f>IFERROR((Таблица10[[#This Row],[ПП]]-Таблица10[[#This Row],[ДДУ]])*1,)</f>
        <v>0</v>
      </c>
      <c r="V310" s="235" cm="1">
        <f t="array" ref="V310">IFERROR(INDEX(РД[Стоимость с отделкой итог],MATCH($Q$3&amp;Таблица10[[#This Row],[№]]&amp;"Продажа",РД[Дом]&amp;РД[№ кв]&amp;РД[Состояние],0),1),Таблица10[[#This Row],[Статус]])</f>
        <v>9136832</v>
      </c>
      <c r="W310" s="235">
        <f>_xlfn.XLOOKUP(Таблица10[[#This Row],[№]],Реестр_Д5[№],Реестр_Д5[Стоимость квартиры с отделкой],"-",0)</f>
        <v>9136832</v>
      </c>
      <c r="X310" s="235">
        <f>IFERROR(Таблица10[[#This Row],[СО ПП]]-Таблица10[[#This Row],[СО ДДУ]],"")</f>
        <v>0</v>
      </c>
      <c r="Y310" s="233" cm="1">
        <f t="array" ref="Y310">IFERROR(INDEX(РД[S],MATCH($Q$3&amp;Таблица10[[#This Row],[№]]&amp;"Продажа",РД[Дом]&amp;РД[№ кв]&amp;РД[Состояние],0),1),Таблица10[[#This Row],[Статус]])</f>
        <v>73.7</v>
      </c>
      <c r="Z310" s="233">
        <f>IF(Таблица10[[#This Row],[№]]&amp;"ДДУ"=ППД5!A307&amp;ППД5!CR307,ППД5!U307,ППД5!V307)</f>
        <v>73.7</v>
      </c>
      <c r="AA310" s="285">
        <f>IFERROR(Таблица10[[#This Row],[S ПП]]-Таблица10[[#This Row],[S ДДУ]],)</f>
        <v>0</v>
      </c>
      <c r="AB310" s="235">
        <f>ROUND(_xlfn.XLOOKUP(Таблица10[[#This Row],[№]],Реестр_Д5[№],Реестр_Д5[Итоговая сумма скидки],"",0),2)</f>
        <v>150368</v>
      </c>
      <c r="AC310" s="235" cm="1">
        <f t="array" ref="AC310">IFERROR(ROUND(_xlfn.XLOOKUP($Q$3&amp;Таблица10[[#This Row],[№]]&amp;"Продажа",РД[Дом]&amp;РД[№ кв]&amp;РД[Состояние],РД[Сумма скидки],"",0,-1),2),Таблица10[[#This Row],[Статус]])</f>
        <v>150368</v>
      </c>
      <c r="AD310" s="285">
        <f>IFERROR(Таблица10[[#This Row],[ППС]]-Таблица10[[#This Row],[ДДУС]],)</f>
        <v>0</v>
      </c>
      <c r="AE310" s="611"/>
      <c r="AT310" s="611"/>
    </row>
    <row r="311" spans="1:46" x14ac:dyDescent="0.2">
      <c r="A311" s="611"/>
      <c r="B311" s="234">
        <f>VLOOKUP(ППД4!A308,Реестр_Д4[№],1,0)</f>
        <v>307</v>
      </c>
      <c r="C311" s="234" t="str">
        <f>VLOOKUP(ППД4!CO308,Реестр_Д4[Статус],1,0)</f>
        <v>Продажа</v>
      </c>
      <c r="D311" s="612">
        <f>VLOOKUP(ППД4!CE308,Реестр_Д4[Стоимость ОН без отделки со скидкой],1,0)</f>
        <v>4796120.32</v>
      </c>
      <c r="E311" s="612" cm="1">
        <f t="array" ref="E311">IFERROR(INDEX(РД[Стоимость без отделки итог],MATCH($B$3&amp;Таблица4[[#This Row],[№]]&amp;"Продажа",РД[Дом]&amp;РД[№ кв]&amp;РД[Состояние],0),1),Таблица4[[#This Row],[Статус]])</f>
        <v>4796120.32</v>
      </c>
      <c r="F311" s="235">
        <f>IFERROR((Таблица4[[#This Row],[ПП]]-Таблица4[[#This Row],[ДДУ]])*1,"")</f>
        <v>0</v>
      </c>
      <c r="G311" s="235" cm="1">
        <f t="array" ref="G311">IFERROR(INDEX(РД[Стоимость с отделкой итог],MATCH($B$3&amp;Таблица4[[#This Row],[№]]&amp;"Продажа",РД[Дом]&amp;РД[№ кв]&amp;РД[Состояние],0),1),Таблица4[[#This Row],[Статус]])</f>
        <v>4796120.32</v>
      </c>
      <c r="H311" s="235">
        <f>_xlfn.XLOOKUP(Таблица4[[#This Row],[№]],Реестр_Д4[№],Реестр_Д4[Стоимость квартиры с отделкой],"-",0)</f>
        <v>4796120.32</v>
      </c>
      <c r="I311" s="235">
        <f>IFERROR(Таблица4[[#This Row],[СО ПП]]-Таблица4[[#This Row],[СО ДДУ]],"")</f>
        <v>0</v>
      </c>
      <c r="J311" s="233" cm="1">
        <f t="array" ref="J311">IFERROR(INDEX(РД[S],MATCH($B$3&amp;Таблица4[[#This Row],[№]]&amp;"Продажа",РД[Дом]&amp;РД[№ кв]&amp;РД[Состояние],0),1),Таблица4[[#This Row],[Статус]])</f>
        <v>58.55</v>
      </c>
      <c r="K311" s="233">
        <f>VLOOKUP(Таблица4[[#This Row],[№]],Реестр_Д4[],20,0)</f>
        <v>58.55</v>
      </c>
      <c r="L311" s="235">
        <f>IFERROR(Таблица4[[#This Row],[S ПП]]-Таблица4[[#This Row],[S ДДУ]],)</f>
        <v>0</v>
      </c>
      <c r="M311" s="235">
        <f>ROUND(_xlfn.XLOOKUP(Таблица4[[#This Row],[№]],Реестр_Д4[№],Реестр_Д4[Итоговая сумма скидки],"",0),2)</f>
        <v>0</v>
      </c>
      <c r="N311" s="235" cm="1">
        <f t="array" ref="N31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1" s="235">
        <f>IFERROR(Таблица4[[#This Row],[ППС]]-Таблица4[[#This Row],[ДДУС]],)</f>
        <v>0</v>
      </c>
      <c r="P311" s="611"/>
      <c r="Q311" s="234">
        <f>VLOOKUP(ППД5!A308,Реестр_Д5[№],1,0)</f>
        <v>307</v>
      </c>
      <c r="R311" s="234" t="str">
        <f>VLOOKUP(ППД5!CH308,Реестр_Д5[Статус],1,0)</f>
        <v>Продажа</v>
      </c>
      <c r="S311" s="612">
        <f>VLOOKUP(ППД5!BZ308,Реестр_Д5[Стоимость ОН без отделки со скидкой],1,0)</f>
        <v>2783342.55</v>
      </c>
      <c r="T311" s="612" cm="1">
        <f t="array" ref="T311">IFERROR(INDEX(РД[Стоимость без отделки итог],MATCH($Q$3&amp;Таблица10[[#This Row],[№]]&amp;"Продажа",РД[Дом]&amp;РД[№ кв]&amp;РД[Состояние],0),1),Таблица10[[#This Row],[Статус]])</f>
        <v>2783342.55</v>
      </c>
      <c r="U311" s="235">
        <f>IFERROR((Таблица10[[#This Row],[ПП]]-Таблица10[[#This Row],[ДДУ]])*1,)</f>
        <v>0</v>
      </c>
      <c r="V311" s="235" cm="1">
        <f t="array" ref="V311">IFERROR(INDEX(РД[Стоимость с отделкой итог],MATCH($Q$3&amp;Таблица10[[#This Row],[№]]&amp;"Продажа",РД[Дом]&amp;РД[№ кв]&amp;РД[Состояние],0),1),Таблица10[[#This Row],[Статус]])</f>
        <v>2783342.55</v>
      </c>
      <c r="W311" s="235">
        <f>_xlfn.XLOOKUP(Таблица10[[#This Row],[№]],Реестр_Д5[№],Реестр_Д5[Стоимость квартиры с отделкой],"-",0)</f>
        <v>2783342.55</v>
      </c>
      <c r="X311" s="235">
        <f>IFERROR(Таблица10[[#This Row],[СО ПП]]-Таблица10[[#This Row],[СО ДДУ]],"")</f>
        <v>0</v>
      </c>
      <c r="Y311" s="233" cm="1">
        <f t="array" ref="Y311">IFERROR(INDEX(РД[S],MATCH($Q$3&amp;Таблица10[[#This Row],[№]]&amp;"Продажа",РД[Дом]&amp;РД[№ кв]&amp;РД[Состояние],0),1),Таблица10[[#This Row],[Статус]])</f>
        <v>24.53</v>
      </c>
      <c r="Z311" s="233">
        <f>IF(Таблица10[[#This Row],[№]]&amp;"ДДУ"=ППД5!A308&amp;ППД5!CR308,ППД5!U308,ППД5!V308)</f>
        <v>24.53</v>
      </c>
      <c r="AA311" s="285">
        <f>IFERROR(Таблица10[[#This Row],[S ПП]]-Таблица10[[#This Row],[S ДДУ]],)</f>
        <v>0</v>
      </c>
      <c r="AB311" s="235">
        <f>ROUND(_xlfn.XLOOKUP(Таблица10[[#This Row],[№]],Реестр_Д5[№],Реестр_Д5[Итоговая сумма скидки],"",0),2)</f>
        <v>56802.91</v>
      </c>
      <c r="AC311" s="235" cm="1">
        <f t="array" ref="AC311">IFERROR(ROUND(_xlfn.XLOOKUP($Q$3&amp;Таблица10[[#This Row],[№]]&amp;"Продажа",РД[Дом]&amp;РД[№ кв]&amp;РД[Состояние],РД[Сумма скидки],"",0,-1),2),Таблица10[[#This Row],[Статус]])</f>
        <v>56802.91</v>
      </c>
      <c r="AD311" s="285">
        <f>IFERROR(Таблица10[[#This Row],[ППС]]-Таблица10[[#This Row],[ДДУС]],)</f>
        <v>0</v>
      </c>
      <c r="AE311" s="611"/>
      <c r="AT311" s="611"/>
    </row>
    <row r="312" spans="1:46" x14ac:dyDescent="0.2">
      <c r="A312" s="611"/>
      <c r="B312" s="234">
        <f>VLOOKUP(ППД4!A309,Реестр_Д4[№],1,0)</f>
        <v>308</v>
      </c>
      <c r="C312" s="234" t="str">
        <f>VLOOKUP(ППД4!CO309,Реестр_Д4[Статус],1,0)</f>
        <v>Продажа</v>
      </c>
      <c r="D312" s="612">
        <f>VLOOKUP(ППД4!CE309,Реестр_Д4[Стоимость ОН без отделки со скидкой],1,0)</f>
        <v>4076720.28</v>
      </c>
      <c r="E312" s="612" cm="1">
        <f t="array" ref="E312">IFERROR(INDEX(РД[Стоимость без отделки итог],MATCH($B$3&amp;Таблица4[[#This Row],[№]]&amp;"Продажа",РД[Дом]&amp;РД[№ кв]&amp;РД[Состояние],0),1),Таблица4[[#This Row],[Статус]])</f>
        <v>4076720.2800000003</v>
      </c>
      <c r="F312" s="235">
        <f>IFERROR((Таблица4[[#This Row],[ПП]]-Таблица4[[#This Row],[ДДУ]])*1,"")</f>
        <v>-4.6566128730773926E-10</v>
      </c>
      <c r="G312" s="235" cm="1">
        <f t="array" ref="G312">IFERROR(INDEX(РД[Стоимость с отделкой итог],MATCH($B$3&amp;Таблица4[[#This Row],[№]]&amp;"Продажа",РД[Дом]&amp;РД[№ кв]&amp;РД[Состояние],0),1),Таблица4[[#This Row],[Статус]])</f>
        <v>4303520.28</v>
      </c>
      <c r="H312" s="235">
        <f>_xlfn.XLOOKUP(Таблица4[[#This Row],[№]],Реестр_Д4[№],Реестр_Д4[Стоимость квартиры с отделкой],"-",0)</f>
        <v>4303520.28</v>
      </c>
      <c r="I312" s="235">
        <f>IFERROR(Таблица4[[#This Row],[СО ПП]]-Таблица4[[#This Row],[СО ДДУ]],"")</f>
        <v>0</v>
      </c>
      <c r="J312" s="233" cm="1">
        <f t="array" ref="J312">IFERROR(INDEX(РД[S],MATCH($B$3&amp;Таблица4[[#This Row],[№]]&amp;"Продажа",РД[Дом]&amp;РД[№ кв]&amp;РД[Состояние],0),1),Таблица4[[#This Row],[Статус]])</f>
        <v>56.7</v>
      </c>
      <c r="K312" s="233">
        <f>VLOOKUP(Таблица4[[#This Row],[№]],Реестр_Д4[],20,0)</f>
        <v>56.7</v>
      </c>
      <c r="L312" s="235">
        <f>IFERROR(Таблица4[[#This Row],[S ПП]]-Таблица4[[#This Row],[S ДДУ]],)</f>
        <v>0</v>
      </c>
      <c r="M312" s="235">
        <f>ROUND(_xlfn.XLOOKUP(Таблица4[[#This Row],[№]],Реестр_Д4[№],Реестр_Д4[Итоговая сумма скидки],"",0),2)</f>
        <v>214564.23</v>
      </c>
      <c r="N312" s="235" cm="1">
        <f t="array" ref="N312">IFERROR(ROUND(_xlfn.XLOOKUP($B$3&amp;Таблица4[[#This Row],[№]]&amp;"Продажа",РД[Дом]&amp;РД[№ кв]&amp;РД[Состояние],РД[Сумма скидки],"",0),2),Таблица4[[#This Row],[Статус]])</f>
        <v>214564.23</v>
      </c>
      <c r="O312" s="235">
        <f>IFERROR(Таблица4[[#This Row],[ППС]]-Таблица4[[#This Row],[ДДУС]],)</f>
        <v>0</v>
      </c>
      <c r="P312" s="611"/>
      <c r="Q312" s="234">
        <f>VLOOKUP(ППД5!A309,Реестр_Д5[№],1,0)</f>
        <v>308</v>
      </c>
      <c r="R312" s="234" t="str">
        <f>VLOOKUP(ППД5!CH309,Реестр_Д5[Статус],1,0)</f>
        <v>Продажа</v>
      </c>
      <c r="S312" s="612">
        <f>VLOOKUP(ППД5!BZ309,Реестр_Д5[Стоимость ОН без отделки со скидкой],1,0)</f>
        <v>4771010.05</v>
      </c>
      <c r="T312" s="612" cm="1">
        <f t="array" ref="T312">IFERROR(INDEX(РД[Стоимость без отделки итог],MATCH($Q$3&amp;Таблица10[[#This Row],[№]]&amp;"Продажа",РД[Дом]&amp;РД[№ кв]&amp;РД[Состояние],0),1),Таблица10[[#This Row],[Статус]])</f>
        <v>4771010.05</v>
      </c>
      <c r="U312" s="235">
        <f>IFERROR((Таблица10[[#This Row],[ПП]]-Таблица10[[#This Row],[ДДУ]])*1,)</f>
        <v>0</v>
      </c>
      <c r="V312" s="235" cm="1">
        <f t="array" ref="V312">IFERROR(INDEX(РД[Стоимость с отделкой итог],MATCH($Q$3&amp;Таблица10[[#This Row],[№]]&amp;"Продажа",РД[Дом]&amp;РД[№ кв]&amp;РД[Состояние],0),1),Таблица10[[#This Row],[Статус]])</f>
        <v>4771010.05</v>
      </c>
      <c r="W312" s="235">
        <f>_xlfn.XLOOKUP(Таблица10[[#This Row],[№]],Реестр_Д5[№],Реестр_Д5[Стоимость квартиры с отделкой],"-",0)</f>
        <v>4771010.05</v>
      </c>
      <c r="X312" s="235">
        <f>IFERROR(Таблица10[[#This Row],[СО ПП]]-Таблица10[[#This Row],[СО ДДУ]],"")</f>
        <v>0</v>
      </c>
      <c r="Y312" s="233" cm="1">
        <f t="array" ref="Y312">IFERROR(INDEX(РД[S],MATCH($Q$3&amp;Таблица10[[#This Row],[№]]&amp;"Продажа",РД[Дом]&amp;РД[№ кв]&amp;РД[Состояние],0),1),Таблица10[[#This Row],[Статус]])</f>
        <v>56.58</v>
      </c>
      <c r="Z312" s="233">
        <f>IF(Таблица10[[#This Row],[№]]&amp;"ДДУ"=ППД5!A309&amp;ППД5!CR309,ППД5!U309,ППД5!V309)</f>
        <v>56.58</v>
      </c>
      <c r="AA312" s="285">
        <f>IFERROR(Таблица10[[#This Row],[S ПП]]-Таблица10[[#This Row],[S ДДУ]],)</f>
        <v>0</v>
      </c>
      <c r="AB312" s="235">
        <f>ROUND(_xlfn.XLOOKUP(Таблица10[[#This Row],[№]],Реестр_Д5[№],Реестр_Д5[Итоговая сумма скидки],"",0),2)</f>
        <v>0</v>
      </c>
      <c r="AC312" s="235" cm="1">
        <f t="array" ref="AC31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2" s="285">
        <f>IFERROR(Таблица10[[#This Row],[ППС]]-Таблица10[[#This Row],[ДДУС]],)</f>
        <v>0</v>
      </c>
      <c r="AE312" s="611"/>
      <c r="AT312" s="611"/>
    </row>
    <row r="313" spans="1:46" x14ac:dyDescent="0.2">
      <c r="A313" s="611"/>
      <c r="B313" s="234">
        <f>VLOOKUP(ППД4!A310,Реестр_Д4[№],1,0)</f>
        <v>309</v>
      </c>
      <c r="C313" s="234" t="str">
        <f>VLOOKUP(ППД4!CO310,Реестр_Д4[Статус],1,0)</f>
        <v>Продажа</v>
      </c>
      <c r="D313" s="612">
        <f>VLOOKUP(ППД4!CE310,Реестр_Д4[Стоимость ОН без отделки со скидкой],1,0)</f>
        <v>5574399.8499999996</v>
      </c>
      <c r="E313" s="612" cm="1">
        <f t="array" ref="E313">IFERROR(INDEX(РД[Стоимость без отделки итог],MATCH($B$3&amp;Таблица4[[#This Row],[№]]&amp;"Продажа",РД[Дом]&amp;РД[№ кв]&amp;РД[Состояние],0),1),Таблица4[[#This Row],[Статус]])</f>
        <v>5574399.8499999996</v>
      </c>
      <c r="F313" s="235">
        <f>IFERROR((Таблица4[[#This Row],[ПП]]-Таблица4[[#This Row],[ДДУ]])*1,"")</f>
        <v>0</v>
      </c>
      <c r="G313" s="235" cm="1">
        <f t="array" ref="G313">IFERROR(INDEX(РД[Стоимость с отделкой итог],MATCH($B$3&amp;Таблица4[[#This Row],[№]]&amp;"Продажа",РД[Дом]&amp;РД[№ кв]&amp;РД[Состояние],0),1),Таблица4[[#This Row],[Статус]])</f>
        <v>5864439.8499999996</v>
      </c>
      <c r="H313" s="235">
        <f>_xlfn.XLOOKUP(Таблица4[[#This Row],[№]],Реестр_Д4[№],Реестр_Д4[Стоимость квартиры с отделкой],"-",0)</f>
        <v>5864439.8499999996</v>
      </c>
      <c r="I313" s="235">
        <f>IFERROR(Таблица4[[#This Row],[СО ПП]]-Таблица4[[#This Row],[СО ДДУ]],"")</f>
        <v>0</v>
      </c>
      <c r="J313" s="233" cm="1">
        <f t="array" ref="J313">IFERROR(INDEX(РД[S],MATCH($B$3&amp;Таблица4[[#This Row],[№]]&amp;"Продажа",РД[Дом]&amp;РД[№ кв]&amp;РД[Состояние],0),1),Таблица4[[#This Row],[Статус]])</f>
        <v>72.510000000000005</v>
      </c>
      <c r="K313" s="233">
        <f>VLOOKUP(Таблица4[[#This Row],[№]],Реестр_Д4[],20,0)</f>
        <v>72.510000000000005</v>
      </c>
      <c r="L313" s="235">
        <f>IFERROR(Таблица4[[#This Row],[S ПП]]-Таблица4[[#This Row],[S ДДУ]],)</f>
        <v>0</v>
      </c>
      <c r="M313" s="235">
        <f>ROUND(_xlfn.XLOOKUP(Таблица4[[#This Row],[№]],Реестр_Д4[№],Реестр_Д4[Итоговая сумма скидки],"",0),2)</f>
        <v>0</v>
      </c>
      <c r="N313" s="235" cm="1">
        <f t="array" ref="N31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3" s="235">
        <f>IFERROR(Таблица4[[#This Row],[ППС]]-Таблица4[[#This Row],[ДДУС]],)</f>
        <v>0</v>
      </c>
      <c r="P313" s="611"/>
      <c r="Q313" s="234">
        <f>VLOOKUP(ППД5!A310,Реестр_Д5[№],1,0)</f>
        <v>309</v>
      </c>
      <c r="R313" s="234" t="str">
        <f>VLOOKUP(ППД5!CH310,Реестр_Д5[Статус],1,0)</f>
        <v>Продажа</v>
      </c>
      <c r="S313" s="612">
        <f>VLOOKUP(ППД5!BZ310,Реестр_Д5[Стоимость ОН без отделки со скидкой],1,0)</f>
        <v>7180910</v>
      </c>
      <c r="T313" s="612" cm="1">
        <f t="array" ref="T313">IFERROR(INDEX(РД[Стоимость без отделки итог],MATCH($Q$3&amp;Таблица10[[#This Row],[№]]&amp;"Продажа",РД[Дом]&amp;РД[№ кв]&amp;РД[Состояние],0),1),Таблица10[[#This Row],[Статус]])</f>
        <v>7180910</v>
      </c>
      <c r="U313" s="235">
        <f>IFERROR((Таблица10[[#This Row],[ПП]]-Таблица10[[#This Row],[ДДУ]])*1,)</f>
        <v>0</v>
      </c>
      <c r="V313" s="235" cm="1">
        <f t="array" ref="V313">IFERROR(INDEX(РД[Стоимость с отделкой итог],MATCH($Q$3&amp;Таблица10[[#This Row],[№]]&amp;"Продажа",РД[Дом]&amp;РД[№ кв]&amp;РД[Состояние],0),1),Таблица10[[#This Row],[Статус]])</f>
        <v>8686910</v>
      </c>
      <c r="W313" s="235">
        <f>_xlfn.XLOOKUP(Таблица10[[#This Row],[№]],Реестр_Д5[№],Реестр_Д5[Стоимость квартиры с отделкой],"-",0)</f>
        <v>8686910</v>
      </c>
      <c r="X313" s="235">
        <f>IFERROR(Таблица10[[#This Row],[СО ПП]]-Таблица10[[#This Row],[СО ДДУ]],"")</f>
        <v>0</v>
      </c>
      <c r="Y313" s="233" cm="1">
        <f t="array" ref="Y313">IFERROR(INDEX(РД[S],MATCH($Q$3&amp;Таблица10[[#This Row],[№]]&amp;"Продажа",РД[Дом]&amp;РД[№ кв]&amp;РД[Состояние],0),1),Таблица10[[#This Row],[Статус]])</f>
        <v>60.24</v>
      </c>
      <c r="Z313" s="233">
        <f>IF(Таблица10[[#This Row],[№]]&amp;"ДДУ"=ППД5!A310&amp;ППД5!CR310,ППД5!U310,ППД5!V310)</f>
        <v>60.24</v>
      </c>
      <c r="AA313" s="285">
        <f>IFERROR(Таблица10[[#This Row],[S ПП]]-Таблица10[[#This Row],[S ДДУ]],)</f>
        <v>0</v>
      </c>
      <c r="AB313" s="235">
        <f>ROUND(_xlfn.XLOOKUP(Таблица10[[#This Row],[№]],Реестр_Д5[№],Реестр_Д5[Итоговая сумма скидки],"",0),2)</f>
        <v>222090</v>
      </c>
      <c r="AC313" s="235" cm="1">
        <f t="array" ref="AC313">IFERROR(ROUND(_xlfn.XLOOKUP($Q$3&amp;Таблица10[[#This Row],[№]]&amp;"Продажа",РД[Дом]&amp;РД[№ кв]&amp;РД[Состояние],РД[Сумма скидки],"",0,-1),2),Таблица10[[#This Row],[Статус]])</f>
        <v>222090</v>
      </c>
      <c r="AD313" s="285">
        <f>IFERROR(Таблица10[[#This Row],[ППС]]-Таблица10[[#This Row],[ДДУС]],)</f>
        <v>0</v>
      </c>
      <c r="AE313" s="611"/>
      <c r="AT313" s="611"/>
    </row>
    <row r="314" spans="1:46" x14ac:dyDescent="0.2">
      <c r="A314" s="611"/>
      <c r="B314" s="234">
        <f>VLOOKUP(ППД4!A311,Реестр_Д4[№],1,0)</f>
        <v>310</v>
      </c>
      <c r="C314" s="234" t="str">
        <f>VLOOKUP(ППД4!CO311,Реестр_Д4[Статус],1,0)</f>
        <v>Продажа</v>
      </c>
      <c r="D314" s="612">
        <f>VLOOKUP(ППД4!CE311,Реестр_Д4[Стоимость ОН без отделки со скидкой],1,0)</f>
        <v>2392488</v>
      </c>
      <c r="E314" s="612" cm="1">
        <f t="array" ref="E314">IFERROR(INDEX(РД[Стоимость без отделки итог],MATCH($B$3&amp;Таблица4[[#This Row],[№]]&amp;"Продажа",РД[Дом]&amp;РД[№ кв]&amp;РД[Состояние],0),1),Таблица4[[#This Row],[Статус]])</f>
        <v>2392488</v>
      </c>
      <c r="F314" s="235">
        <f>IFERROR((Таблица4[[#This Row],[ПП]]-Таблица4[[#This Row],[ДДУ]])*1,"")</f>
        <v>0</v>
      </c>
      <c r="G314" s="235" cm="1">
        <f t="array" ref="G314">IFERROR(INDEX(РД[Стоимость с отделкой итог],MATCH($B$3&amp;Таблица4[[#This Row],[№]]&amp;"Продажа",РД[Дом]&amp;РД[№ кв]&amp;РД[Состояние],0),1),Таблица4[[#This Row],[Статус]])</f>
        <v>2392488</v>
      </c>
      <c r="H314" s="235">
        <f>_xlfn.XLOOKUP(Таблица4[[#This Row],[№]],Реестр_Д4[№],Реестр_Д4[Стоимость квартиры с отделкой],"-",0)</f>
        <v>2392488</v>
      </c>
      <c r="I314" s="235">
        <f>IFERROR(Таблица4[[#This Row],[СО ПП]]-Таблица4[[#This Row],[СО ДДУ]],"")</f>
        <v>0</v>
      </c>
      <c r="J314" s="233" cm="1">
        <f t="array" ref="J314">IFERROR(INDEX(РД[S],MATCH($B$3&amp;Таблица4[[#This Row],[№]]&amp;"Продажа",РД[Дом]&amp;РД[№ кв]&amp;РД[Состояние],0),1),Таблица4[[#This Row],[Статус]])</f>
        <v>33.840000000000003</v>
      </c>
      <c r="K314" s="233">
        <f>VLOOKUP(Таблица4[[#This Row],[№]],Реестр_Д4[],20,0)</f>
        <v>33.840000000000003</v>
      </c>
      <c r="L314" s="235">
        <f>IFERROR(Таблица4[[#This Row],[S ПП]]-Таблица4[[#This Row],[S ДДУ]],)</f>
        <v>0</v>
      </c>
      <c r="M314" s="235">
        <f>ROUND(_xlfn.XLOOKUP(Таблица4[[#This Row],[№]],Реестр_Д4[№],Реестр_Д4[Итоговая сумма скидки],"",0),2)</f>
        <v>0</v>
      </c>
      <c r="N314" s="235" cm="1">
        <f t="array" ref="N31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4" s="235">
        <f>IFERROR(Таблица4[[#This Row],[ППС]]-Таблица4[[#This Row],[ДДУС]],)</f>
        <v>0</v>
      </c>
      <c r="P314" s="611"/>
      <c r="Q314" s="234">
        <f>VLOOKUP(ППД5!A311,Реестр_Д5[№],1,0)</f>
        <v>310</v>
      </c>
      <c r="R314" s="234" t="str">
        <f>VLOOKUP(ППД5!CH311,Реестр_Д5[Статус],1,0)</f>
        <v>Свободно</v>
      </c>
      <c r="S314" s="612">
        <f>VLOOKUP(ППД5!BZ311,Реестр_Д5[Стоимость ОН без отделки со скидкой],1,0)</f>
        <v>5208000</v>
      </c>
      <c r="T314" s="612" t="str" cm="1">
        <f t="array" ref="T31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14" s="235">
        <f>IFERROR((Таблица10[[#This Row],[ПП]]-Таблица10[[#This Row],[ДДУ]])*1,)</f>
        <v>0</v>
      </c>
      <c r="V314" s="235" t="str" cm="1">
        <f t="array" ref="V31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14" s="235">
        <f>_xlfn.XLOOKUP(Таблица10[[#This Row],[№]],Реестр_Д5[№],Реестр_Д5[Стоимость квартиры с отделкой],"-",0)</f>
        <v>5208000</v>
      </c>
      <c r="X314" s="235" t="str">
        <f>IFERROR(Таблица10[[#This Row],[СО ПП]]-Таблица10[[#This Row],[СО ДДУ]],"")</f>
        <v/>
      </c>
      <c r="Y314" s="233" t="str" cm="1">
        <f t="array" ref="Y314">IFERROR(INDEX(РД[S],MATCH($Q$3&amp;Таблица10[[#This Row],[№]]&amp;"Продажа",РД[Дом]&amp;РД[№ кв]&amp;РД[Состояние],0),1),Таблица10[[#This Row],[Статус]])</f>
        <v>Свободно</v>
      </c>
      <c r="Z314" s="233">
        <f>IF(Таблица10[[#This Row],[№]]&amp;"ДДУ"=ППД5!A311&amp;ППД5!CR311,ППД5!U311,ППД5!V311)</f>
        <v>37.6</v>
      </c>
      <c r="AA314" s="285">
        <f>IFERROR(Таблица10[[#This Row],[S ПП]]-Таблица10[[#This Row],[S ДДУ]],)</f>
        <v>0</v>
      </c>
      <c r="AB314" s="235">
        <f>ROUND(_xlfn.XLOOKUP(Таблица10[[#This Row],[№]],Реестр_Д5[№],Реестр_Д5[Итоговая сумма скидки],"",0),2)</f>
        <v>0</v>
      </c>
      <c r="AC314" s="235" t="str" cm="1">
        <f t="array" ref="AC31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14" s="285">
        <f>IFERROR(Таблица10[[#This Row],[ППС]]-Таблица10[[#This Row],[ДДУС]],)</f>
        <v>0</v>
      </c>
      <c r="AE314" s="611"/>
      <c r="AT314" s="611"/>
    </row>
    <row r="315" spans="1:46" x14ac:dyDescent="0.2">
      <c r="A315" s="611"/>
      <c r="B315" s="234">
        <f>VLOOKUP(ППД4!A312,Реестр_Д4[№],1,0)</f>
        <v>311</v>
      </c>
      <c r="C315" s="234" t="str">
        <f>VLOOKUP(ППД4!CO312,Реестр_Д4[Статус],1,0)</f>
        <v>Продажа</v>
      </c>
      <c r="D315" s="612">
        <f>VLOOKUP(ППД4!CE312,Реестр_Д4[Стоимость ОН без отделки со скидкой],1,0)</f>
        <v>2690463.83</v>
      </c>
      <c r="E315" s="612" cm="1">
        <f t="array" ref="E315">IFERROR(INDEX(РД[Стоимость без отделки итог],MATCH($B$3&amp;Таблица4[[#This Row],[№]]&amp;"Продажа",РД[Дом]&amp;РД[№ кв]&amp;РД[Состояние],0),1),Таблица4[[#This Row],[Статус]])</f>
        <v>2690463.83</v>
      </c>
      <c r="F315" s="235">
        <f>IFERROR((Таблица4[[#This Row],[ПП]]-Таблица4[[#This Row],[ДДУ]])*1,"")</f>
        <v>0</v>
      </c>
      <c r="G315" s="235" cm="1">
        <f t="array" ref="G315">IFERROR(INDEX(РД[Стоимость с отделкой итог],MATCH($B$3&amp;Таблица4[[#This Row],[№]]&amp;"Продажа",РД[Дом]&amp;РД[№ кв]&amp;РД[Состояние],0),1),Таблица4[[#This Row],[Статус]])</f>
        <v>2822538.83</v>
      </c>
      <c r="H315" s="235">
        <f>_xlfn.XLOOKUP(Таблица4[[#This Row],[№]],Реестр_Д4[№],Реестр_Д4[Стоимость квартиры с отделкой],"-",0)</f>
        <v>2822538.83</v>
      </c>
      <c r="I315" s="235">
        <f>IFERROR(Таблица4[[#This Row],[СО ПП]]-Таблица4[[#This Row],[СО ДДУ]],"")</f>
        <v>0</v>
      </c>
      <c r="J315" s="233" cm="1">
        <f t="array" ref="J315">IFERROR(INDEX(РД[S],MATCH($B$3&amp;Таблица4[[#This Row],[№]]&amp;"Продажа",РД[Дом]&amp;РД[№ кв]&amp;РД[Состояние],0),1),Таблица4[[#This Row],[Статус]])</f>
        <v>29.35</v>
      </c>
      <c r="K315" s="233">
        <f>VLOOKUP(Таблица4[[#This Row],[№]],Реестр_Д4[],20,0)</f>
        <v>29.35</v>
      </c>
      <c r="L315" s="235">
        <f>IFERROR(Таблица4[[#This Row],[S ПП]]-Таблица4[[#This Row],[S ДДУ]],)</f>
        <v>0</v>
      </c>
      <c r="M315" s="235">
        <f>ROUND(_xlfn.XLOOKUP(Таблица4[[#This Row],[№]],Реестр_Д4[№],Реестр_Д4[Итоговая сумма скидки],"",0),2)</f>
        <v>171731.73</v>
      </c>
      <c r="N315" s="235" cm="1">
        <f t="array" ref="N315">IFERROR(ROUND(_xlfn.XLOOKUP($B$3&amp;Таблица4[[#This Row],[№]]&amp;"Продажа",РД[Дом]&amp;РД[№ кв]&amp;РД[Состояние],РД[Сумма скидки],"",0),2),Таблица4[[#This Row],[Статус]])</f>
        <v>171731.73</v>
      </c>
      <c r="O315" s="235">
        <f>IFERROR(Таблица4[[#This Row],[ППС]]-Таблица4[[#This Row],[ДДУС]],)</f>
        <v>0</v>
      </c>
      <c r="P315" s="611"/>
      <c r="Q315" s="234">
        <f>VLOOKUP(ППД5!A312,Реестр_Д5[№],1,0)</f>
        <v>311</v>
      </c>
      <c r="R315" s="234" t="str">
        <f>VLOOKUP(ППД5!CH312,Реестр_Д5[Статус],1,0)</f>
        <v>Продажа</v>
      </c>
      <c r="S315" s="612">
        <f>VLOOKUP(ППД5!BZ312,Реестр_Д5[Стоимость ОН без отделки со скидкой],1,0)</f>
        <v>7174500</v>
      </c>
      <c r="T315" s="612" cm="1">
        <f t="array" ref="T315">IFERROR(INDEX(РД[Стоимость без отделки итог],MATCH($Q$3&amp;Таблица10[[#This Row],[№]]&amp;"Продажа",РД[Дом]&amp;РД[№ кв]&amp;РД[Состояние],0),1),Таблица10[[#This Row],[Статус]])</f>
        <v>7174500</v>
      </c>
      <c r="U315" s="235">
        <f>IFERROR((Таблица10[[#This Row],[ПП]]-Таблица10[[#This Row],[ДДУ]])*1,)</f>
        <v>0</v>
      </c>
      <c r="V315" s="235" cm="1">
        <f t="array" ref="V315">IFERROR(INDEX(РД[Стоимость с отделкой итог],MATCH($Q$3&amp;Таблица10[[#This Row],[№]]&amp;"Продажа",РД[Дом]&amp;РД[№ кв]&amp;РД[Состояние],0),1),Таблица10[[#This Row],[Статус]])</f>
        <v>7174500</v>
      </c>
      <c r="W315" s="235">
        <f>_xlfn.XLOOKUP(Таблица10[[#This Row],[№]],Реестр_Д5[№],Реестр_Д5[Стоимость квартиры с отделкой],"-",0)</f>
        <v>7174500</v>
      </c>
      <c r="X315" s="235">
        <f>IFERROR(Таблица10[[#This Row],[СО ПП]]-Таблица10[[#This Row],[СО ДДУ]],"")</f>
        <v>0</v>
      </c>
      <c r="Y315" s="233" cm="1">
        <f t="array" ref="Y315">IFERROR(INDEX(РД[S],MATCH($Q$3&amp;Таблица10[[#This Row],[№]]&amp;"Продажа",РД[Дом]&amp;РД[№ кв]&amp;РД[Состояние],0),1),Таблица10[[#This Row],[Статус]])</f>
        <v>80.97</v>
      </c>
      <c r="Z315" s="233">
        <f>IF(Таблица10[[#This Row],[№]]&amp;"ДДУ"=ППД5!A312&amp;ППД5!CR312,ППД5!U312,ППД5!V312)</f>
        <v>80.97</v>
      </c>
      <c r="AA315" s="285">
        <f>IFERROR(Таблица10[[#This Row],[S ПП]]-Таблица10[[#This Row],[S ДДУ]],)</f>
        <v>0</v>
      </c>
      <c r="AB315" s="235">
        <f>ROUND(_xlfn.XLOOKUP(Таблица10[[#This Row],[№]],Реестр_Д5[№],Реестр_Д5[Итоговая сумма скидки],"",0),2)</f>
        <v>0</v>
      </c>
      <c r="AC315" s="235" cm="1">
        <f t="array" ref="AC31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5" s="285">
        <f>IFERROR(Таблица10[[#This Row],[ППС]]-Таблица10[[#This Row],[ДДУС]],)</f>
        <v>0</v>
      </c>
      <c r="AE315" s="611"/>
      <c r="AT315" s="611"/>
    </row>
    <row r="316" spans="1:46" x14ac:dyDescent="0.2">
      <c r="A316" s="611"/>
      <c r="B316" s="234">
        <f>VLOOKUP(ППД4!A313,Реестр_Д4[№],1,0)</f>
        <v>312</v>
      </c>
      <c r="C316" s="234" t="str">
        <f>VLOOKUP(ППД4!CO313,Реестр_Д4[Статус],1,0)</f>
        <v>Продажа</v>
      </c>
      <c r="D316" s="612">
        <f>VLOOKUP(ППД4!CE313,Реестр_Д4[Стоимость ОН без отделки со скидкой],1,0)</f>
        <v>5782280.6699999999</v>
      </c>
      <c r="E316" s="612" cm="1">
        <f t="array" ref="E316">IFERROR(INDEX(РД[Стоимость без отделки итог],MATCH($B$3&amp;Таблица4[[#This Row],[№]]&amp;"Продажа",РД[Дом]&amp;РД[№ кв]&amp;РД[Состояние],0),1),Таблица4[[#This Row],[Статус]])</f>
        <v>5782280.6699999981</v>
      </c>
      <c r="F316" s="235">
        <f>IFERROR((Таблица4[[#This Row],[ПП]]-Таблица4[[#This Row],[ДДУ]])*1,"")</f>
        <v>1.862645149230957E-9</v>
      </c>
      <c r="G316" s="235" cm="1">
        <f t="array" ref="G316">IFERROR(INDEX(РД[Стоимость с отделкой итог],MATCH($B$3&amp;Таблица4[[#This Row],[№]]&amp;"Продажа",РД[Дом]&amp;РД[№ кв]&amp;РД[Состояние],0),1),Таблица4[[#This Row],[Статус]])</f>
        <v>6054080.6699999999</v>
      </c>
      <c r="H316" s="235">
        <f>_xlfn.XLOOKUP(Таблица4[[#This Row],[№]],Реестр_Д4[№],Реестр_Д4[Стоимость квартиры с отделкой],"-",0)</f>
        <v>6054080.6699999999</v>
      </c>
      <c r="I316" s="235">
        <f>IFERROR(Таблица4[[#This Row],[СО ПП]]-Таблица4[[#This Row],[СО ДДУ]],"")</f>
        <v>0</v>
      </c>
      <c r="J316" s="233" cm="1">
        <f t="array" ref="J316">IFERROR(INDEX(РД[S],MATCH($B$3&amp;Таблица4[[#This Row],[№]]&amp;"Продажа",РД[Дом]&amp;РД[№ кв]&amp;РД[Состояние],0),1),Таблица4[[#This Row],[Статус]])</f>
        <v>67.95</v>
      </c>
      <c r="K316" s="233">
        <f>VLOOKUP(Таблица4[[#This Row],[№]],Реестр_Д4[],20,0)</f>
        <v>67.95</v>
      </c>
      <c r="L316" s="235">
        <f>IFERROR(Таблица4[[#This Row],[S ПП]]-Таблица4[[#This Row],[S ДДУ]],)</f>
        <v>0</v>
      </c>
      <c r="M316" s="235">
        <f>ROUND(_xlfn.XLOOKUP(Таблица4[[#This Row],[№]],Реестр_Д4[№],Реестр_Д4[Итоговая сумма скидки],"",0),2)</f>
        <v>0</v>
      </c>
      <c r="N316" s="235" cm="1">
        <f t="array" ref="N31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6" s="235">
        <f>IFERROR(Таблица4[[#This Row],[ППС]]-Таблица4[[#This Row],[ДДУС]],)</f>
        <v>0</v>
      </c>
      <c r="P316" s="611"/>
      <c r="Q316" s="234">
        <f>VLOOKUP(ППД5!A313,Реестр_Д5[№],1,0)</f>
        <v>312</v>
      </c>
      <c r="R316" s="234" t="str">
        <f>VLOOKUP(ППД5!CH313,Реестр_Д5[Статус],1,0)</f>
        <v>Продажа</v>
      </c>
      <c r="S316" s="612">
        <f>VLOOKUP(ППД5!BZ313,Реестр_Д5[Стоимость ОН без отделки со скидкой],1,0)</f>
        <v>3350610.44</v>
      </c>
      <c r="T316" s="612" cm="1">
        <f t="array" ref="T316">IFERROR(INDEX(РД[Стоимость без отделки итог],MATCH($Q$3&amp;Таблица10[[#This Row],[№]]&amp;"Продажа",РД[Дом]&amp;РД[№ кв]&amp;РД[Состояние],0),1),Таблица10[[#This Row],[Статус]])</f>
        <v>3350610.44</v>
      </c>
      <c r="U316" s="235">
        <f>IFERROR((Таблица10[[#This Row],[ПП]]-Таблица10[[#This Row],[ДДУ]])*1,)</f>
        <v>0</v>
      </c>
      <c r="V316" s="235" cm="1">
        <f t="array" ref="V316">IFERROR(INDEX(РД[Стоимость с отделкой итог],MATCH($Q$3&amp;Таблица10[[#This Row],[№]]&amp;"Продажа",РД[Дом]&amp;РД[№ кв]&amp;РД[Состояние],0),1),Таблица10[[#This Row],[Статус]])</f>
        <v>3350610.44</v>
      </c>
      <c r="W316" s="235">
        <f>_xlfn.XLOOKUP(Таблица10[[#This Row],[№]],Реестр_Д5[№],Реестр_Д5[Стоимость квартиры с отделкой],"-",0)</f>
        <v>3350610.44</v>
      </c>
      <c r="X316" s="235">
        <f>IFERROR(Таблица10[[#This Row],[СО ПП]]-Таблица10[[#This Row],[СО ДДУ]],"")</f>
        <v>0</v>
      </c>
      <c r="Y316" s="233" cm="1">
        <f t="array" ref="Y316">IFERROR(INDEX(РД[S],MATCH($Q$3&amp;Таблица10[[#This Row],[№]]&amp;"Продажа",РД[Дом]&amp;РД[№ кв]&amp;РД[Состояние],0),1),Таблица10[[#This Row],[Статус]])</f>
        <v>34.81</v>
      </c>
      <c r="Z316" s="233">
        <f>IF(Таблица10[[#This Row],[№]]&amp;"ДДУ"=ППД5!A313&amp;ППД5!CR313,ППД5!U313,ППД5!V313)</f>
        <v>34.81</v>
      </c>
      <c r="AA316" s="285">
        <f>IFERROR(Таблица10[[#This Row],[S ПП]]-Таблица10[[#This Row],[S ДДУ]],)</f>
        <v>0</v>
      </c>
      <c r="AB316" s="235">
        <f>ROUND(_xlfn.XLOOKUP(Таблица10[[#This Row],[№]],Реестр_Д5[№],Реестр_Д5[Итоговая сумма скидки],"",0),2)</f>
        <v>0</v>
      </c>
      <c r="AC316" s="235" cm="1">
        <f t="array" ref="AC31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6" s="285">
        <f>IFERROR(Таблица10[[#This Row],[ППС]]-Таблица10[[#This Row],[ДДУС]],)</f>
        <v>0</v>
      </c>
      <c r="AE316" s="611"/>
      <c r="AT316" s="611"/>
    </row>
    <row r="317" spans="1:46" x14ac:dyDescent="0.2">
      <c r="A317" s="611"/>
      <c r="B317" s="234">
        <f>VLOOKUP(ППД4!A314,Реестр_Д4[№],1,0)</f>
        <v>313</v>
      </c>
      <c r="C317" s="234" t="str">
        <f>VLOOKUP(ППД4!CO314,Реестр_Д4[Статус],1,0)</f>
        <v>Продажа</v>
      </c>
      <c r="D317" s="612">
        <f>VLOOKUP(ППД4!CE314,Реестр_Д4[Стоимость ОН без отделки со скидкой],1,0)</f>
        <v>3697833.18</v>
      </c>
      <c r="E317" s="612" cm="1">
        <f t="array" ref="E317">IFERROR(INDEX(РД[Стоимость без отделки итог],MATCH($B$3&amp;Таблица4[[#This Row],[№]]&amp;"Продажа",РД[Дом]&amp;РД[№ кв]&amp;РД[Состояние],0),1),Таблица4[[#This Row],[Статус]])</f>
        <v>3697833.18</v>
      </c>
      <c r="F317" s="235">
        <f>IFERROR((Таблица4[[#This Row],[ПП]]-Таблица4[[#This Row],[ДДУ]])*1,"")</f>
        <v>0</v>
      </c>
      <c r="G317" s="235" cm="1">
        <f t="array" ref="G317">IFERROR(INDEX(РД[Стоимость с отделкой итог],MATCH($B$3&amp;Таблица4[[#This Row],[№]]&amp;"Продажа",РД[Дом]&amp;РД[№ кв]&amp;РД[Состояние],0),1),Таблица4[[#This Row],[Статус]])</f>
        <v>3971208.18</v>
      </c>
      <c r="H317" s="235">
        <f>_xlfn.XLOOKUP(Таблица4[[#This Row],[№]],Реестр_Д4[№],Реестр_Д4[Стоимость квартиры с отделкой],"-",0)</f>
        <v>3971208.18</v>
      </c>
      <c r="I317" s="235">
        <f>IFERROR(Таблица4[[#This Row],[СО ПП]]-Таблица4[[#This Row],[СО ДДУ]],"")</f>
        <v>0</v>
      </c>
      <c r="J317" s="233" cm="1">
        <f t="array" ref="J317">IFERROR(INDEX(РД[S],MATCH($B$3&amp;Таблица4[[#This Row],[№]]&amp;"Продажа",РД[Дом]&amp;РД[№ кв]&amp;РД[Состояние],0),1),Таблица4[[#This Row],[Статус]])</f>
        <v>36.450000000000003</v>
      </c>
      <c r="K317" s="233">
        <f>VLOOKUP(Таблица4[[#This Row],[№]],Реестр_Д4[],20,0)</f>
        <v>36.450000000000003</v>
      </c>
      <c r="L317" s="235">
        <f>IFERROR(Таблица4[[#This Row],[S ПП]]-Таблица4[[#This Row],[S ДДУ]],)</f>
        <v>0</v>
      </c>
      <c r="M317" s="235">
        <f>ROUND(_xlfn.XLOOKUP(Таблица4[[#This Row],[№]],Реестр_Д4[№],Реестр_Д4[Итоговая сумма скидки],"",0),2)</f>
        <v>0</v>
      </c>
      <c r="N317" s="235" cm="1">
        <f t="array" ref="N31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7" s="235">
        <f>IFERROR(Таблица4[[#This Row],[ППС]]-Таблица4[[#This Row],[ДДУС]],)</f>
        <v>0</v>
      </c>
      <c r="P317" s="611"/>
      <c r="Q317" s="234">
        <f>VLOOKUP(ППД5!A314,Реестр_Д5[№],1,0)</f>
        <v>313</v>
      </c>
      <c r="R317" s="234" t="str">
        <f>VLOOKUP(ППД5!CH314,Реестр_Д5[Статус],1,0)</f>
        <v>Продажа</v>
      </c>
      <c r="S317" s="612">
        <f>VLOOKUP(ППД5!BZ314,Реестр_Д5[Стоимость ОН без отделки со скидкой],1,0)</f>
        <v>7097900</v>
      </c>
      <c r="T317" s="612" cm="1">
        <f t="array" ref="T317">IFERROR(INDEX(РД[Стоимость без отделки итог],MATCH($Q$3&amp;Таблица10[[#This Row],[№]]&amp;"Продажа",РД[Дом]&amp;РД[№ кв]&amp;РД[Состояние],0),1),Таблица10[[#This Row],[Статус]])</f>
        <v>7097900</v>
      </c>
      <c r="U317" s="235">
        <f>IFERROR((Таблица10[[#This Row],[ПП]]-Таблица10[[#This Row],[ДДУ]])*1,)</f>
        <v>0</v>
      </c>
      <c r="V317" s="235" cm="1">
        <f t="array" ref="V317">IFERROR(INDEX(РД[Стоимость с отделкой итог],MATCH($Q$3&amp;Таблица10[[#This Row],[№]]&amp;"Продажа",РД[Дом]&amp;РД[№ кв]&amp;РД[Состояние],0),1),Таблица10[[#This Row],[Статус]])</f>
        <v>7687500</v>
      </c>
      <c r="W317" s="235">
        <f>_xlfn.XLOOKUP(Таблица10[[#This Row],[№]],Реестр_Д5[№],Реестр_Д5[Стоимость квартиры с отделкой],"-",0)</f>
        <v>7687500</v>
      </c>
      <c r="X317" s="235">
        <f>IFERROR(Таблица10[[#This Row],[СО ПП]]-Таблица10[[#This Row],[СО ДДУ]],"")</f>
        <v>0</v>
      </c>
      <c r="Y317" s="233" cm="1">
        <f t="array" ref="Y317">IFERROR(INDEX(РД[S],MATCH($Q$3&amp;Таблица10[[#This Row],[№]]&amp;"Продажа",РД[Дом]&amp;РД[№ кв]&amp;РД[Состояние],0),1),Таблица10[[#This Row],[Статус]])</f>
        <v>73.7</v>
      </c>
      <c r="Z317" s="233">
        <f>IF(Таблица10[[#This Row],[№]]&amp;"ДДУ"=ППД5!A314&amp;ППД5!CR314,ППД5!U314,ППД5!V314)</f>
        <v>73.7</v>
      </c>
      <c r="AA317" s="285">
        <f>IFERROR(Таблица10[[#This Row],[S ПП]]-Таблица10[[#This Row],[S ДДУ]],)</f>
        <v>0</v>
      </c>
      <c r="AB317" s="235">
        <f>ROUND(_xlfn.XLOOKUP(Таблица10[[#This Row],[№]],Реестр_Д5[№],Реестр_Д5[Итоговая сумма скидки],"",0),2)</f>
        <v>0</v>
      </c>
      <c r="AC317" s="235" cm="1">
        <f t="array" ref="AC31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7" s="285">
        <f>IFERROR(Таблица10[[#This Row],[ППС]]-Таблица10[[#This Row],[ДДУС]],)</f>
        <v>0</v>
      </c>
      <c r="AE317" s="611"/>
      <c r="AT317" s="611"/>
    </row>
    <row r="318" spans="1:46" x14ac:dyDescent="0.2">
      <c r="A318" s="611"/>
      <c r="B318" s="234">
        <f>VLOOKUP(ППД4!A315,Реестр_Д4[№],1,0)</f>
        <v>314</v>
      </c>
      <c r="C318" s="234" t="str">
        <f>VLOOKUP(ППД4!CO315,Реестр_Д4[Статус],1,0)</f>
        <v>Продажа</v>
      </c>
      <c r="D318" s="612">
        <f>VLOOKUP(ППД4!CE315,Реестр_Д4[Стоимость ОН без отделки со скидкой],1,0)</f>
        <v>4565124.76</v>
      </c>
      <c r="E318" s="612" cm="1">
        <f t="array" ref="E318">IFERROR(INDEX(РД[Стоимость без отделки итог],MATCH($B$3&amp;Таблица4[[#This Row],[№]]&amp;"Продажа",РД[Дом]&amp;РД[№ кв]&amp;РД[Состояние],0),1),Таблица4[[#This Row],[Статус]])</f>
        <v>4565124.76</v>
      </c>
      <c r="F318" s="235">
        <f>IFERROR((Таблица4[[#This Row],[ПП]]-Таблица4[[#This Row],[ДДУ]])*1,"")</f>
        <v>0</v>
      </c>
      <c r="G318" s="235" cm="1">
        <f t="array" ref="G318">IFERROR(INDEX(РД[Стоимость с отделкой итог],MATCH($B$3&amp;Таблица4[[#This Row],[№]]&amp;"Продажа",РД[Дом]&amp;РД[№ кв]&amp;РД[Состояние],0),1),Таблица4[[#This Row],[Статус]])</f>
        <v>4565124.76</v>
      </c>
      <c r="H318" s="235">
        <f>_xlfn.XLOOKUP(Таблица4[[#This Row],[№]],Реестр_Д4[№],Реестр_Д4[Стоимость квартиры с отделкой],"-",0)</f>
        <v>4565124.76</v>
      </c>
      <c r="I318" s="235">
        <f>IFERROR(Таблица4[[#This Row],[СО ПП]]-Таблица4[[#This Row],[СО ДДУ]],"")</f>
        <v>0</v>
      </c>
      <c r="J318" s="233" cm="1">
        <f t="array" ref="J318">IFERROR(INDEX(РД[S],MATCH($B$3&amp;Таблица4[[#This Row],[№]]&amp;"Продажа",РД[Дом]&amp;РД[№ кв]&amp;РД[Состояние],0),1),Таблица4[[#This Row],[Статус]])</f>
        <v>58.55</v>
      </c>
      <c r="K318" s="233">
        <f>VLOOKUP(Таблица4[[#This Row],[№]],Реестр_Д4[],20,0)</f>
        <v>58.55</v>
      </c>
      <c r="L318" s="235">
        <f>IFERROR(Таблица4[[#This Row],[S ПП]]-Таблица4[[#This Row],[S ДДУ]],)</f>
        <v>0</v>
      </c>
      <c r="M318" s="235">
        <f>ROUND(_xlfn.XLOOKUP(Таблица4[[#This Row],[№]],Реестр_Д4[№],Реестр_Д4[Итоговая сумма скидки],"",0),2)</f>
        <v>0</v>
      </c>
      <c r="N318" s="235" cm="1">
        <f t="array" ref="N31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18" s="235">
        <f>IFERROR(Таблица4[[#This Row],[ППС]]-Таблица4[[#This Row],[ДДУС]],)</f>
        <v>0</v>
      </c>
      <c r="P318" s="611"/>
      <c r="Q318" s="234">
        <f>VLOOKUP(ППД5!A315,Реестр_Д5[№],1,0)</f>
        <v>314</v>
      </c>
      <c r="R318" s="234" t="str">
        <f>VLOOKUP(ППД5!CH315,Реестр_Д5[Статус],1,0)</f>
        <v>Свободно</v>
      </c>
      <c r="S318" s="612">
        <f>VLOOKUP(ППД5!BZ315,Реестр_Д5[Стоимость ОН без отделки со скидкой],1,0)</f>
        <v>3796000</v>
      </c>
      <c r="T318" s="612" t="str" cm="1">
        <f t="array" ref="T31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18" s="235">
        <f>IFERROR((Таблица10[[#This Row],[ПП]]-Таблица10[[#This Row],[ДДУ]])*1,)</f>
        <v>0</v>
      </c>
      <c r="V318" s="235" t="str" cm="1">
        <f t="array" ref="V31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18" s="235">
        <f>_xlfn.XLOOKUP(Таблица10[[#This Row],[№]],Реестр_Д5[№],Реестр_Д5[Стоимость квартиры с отделкой],"-",0)</f>
        <v>3796000</v>
      </c>
      <c r="X318" s="235" t="str">
        <f>IFERROR(Таблица10[[#This Row],[СО ПП]]-Таблица10[[#This Row],[СО ДДУ]],"")</f>
        <v/>
      </c>
      <c r="Y318" s="233" t="str" cm="1">
        <f t="array" ref="Y318">IFERROR(INDEX(РД[S],MATCH($Q$3&amp;Таблица10[[#This Row],[№]]&amp;"Продажа",РД[Дом]&amp;РД[№ кв]&amp;РД[Состояние],0),1),Таблица10[[#This Row],[Статус]])</f>
        <v>Свободно</v>
      </c>
      <c r="Z318" s="233">
        <f>IF(Таблица10[[#This Row],[№]]&amp;"ДДУ"=ППД5!A315&amp;ППД5!CR315,ППД5!U315,ППД5!V315)</f>
        <v>24.55</v>
      </c>
      <c r="AA318" s="285">
        <f>IFERROR(Таблица10[[#This Row],[S ПП]]-Таблица10[[#This Row],[S ДДУ]],)</f>
        <v>0</v>
      </c>
      <c r="AB318" s="235">
        <f>ROUND(_xlfn.XLOOKUP(Таблица10[[#This Row],[№]],Реестр_Д5[№],Реестр_Д5[Итоговая сумма скидки],"",0),2)</f>
        <v>0</v>
      </c>
      <c r="AC318" s="235" t="str" cm="1">
        <f t="array" ref="AC31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18" s="285">
        <f>IFERROR(Таблица10[[#This Row],[ППС]]-Таблица10[[#This Row],[ДДУС]],)</f>
        <v>0</v>
      </c>
      <c r="AE318" s="611"/>
      <c r="AT318" s="611"/>
    </row>
    <row r="319" spans="1:46" x14ac:dyDescent="0.2">
      <c r="A319" s="611"/>
      <c r="B319" s="234">
        <f>VLOOKUP(ППД4!A316,Реестр_Д4[№],1,0)</f>
        <v>315</v>
      </c>
      <c r="C319" s="234" t="str">
        <f>VLOOKUP(ППД4!CO316,Реестр_Д4[Статус],1,0)</f>
        <v>Продажа</v>
      </c>
      <c r="D319" s="612">
        <f>VLOOKUP(ППД4!CE316,Реестр_Д4[Стоимость ОН без отделки со скидкой],1,0)</f>
        <v>4171284.5</v>
      </c>
      <c r="E319" s="612" cm="1">
        <f t="array" ref="E319">IFERROR(INDEX(РД[Стоимость без отделки итог],MATCH($B$3&amp;Таблица4[[#This Row],[№]]&amp;"Продажа",РД[Дом]&amp;РД[№ кв]&amp;РД[Состояние],0),1),Таблица4[[#This Row],[Статус]])</f>
        <v>4171284.5000000005</v>
      </c>
      <c r="F319" s="235">
        <f>IFERROR((Таблица4[[#This Row],[ПП]]-Таблица4[[#This Row],[ДДУ]])*1,"")</f>
        <v>-4.6566128730773926E-10</v>
      </c>
      <c r="G319" s="235" cm="1">
        <f t="array" ref="G319">IFERROR(INDEX(РД[Стоимость с отделкой итог],MATCH($B$3&amp;Таблица4[[#This Row],[№]]&amp;"Продажа",РД[Дом]&amp;РД[№ кв]&amp;РД[Состояние],0),1),Таблица4[[#This Row],[Статус]])</f>
        <v>4398084.5</v>
      </c>
      <c r="H319" s="235">
        <f>_xlfn.XLOOKUP(Таблица4[[#This Row],[№]],Реестр_Д4[№],Реестр_Д4[Стоимость квартиры с отделкой],"-",0)</f>
        <v>4398084.5</v>
      </c>
      <c r="I319" s="235">
        <f>IFERROR(Таблица4[[#This Row],[СО ПП]]-Таблица4[[#This Row],[СО ДДУ]],"")</f>
        <v>0</v>
      </c>
      <c r="J319" s="233" cm="1">
        <f t="array" ref="J319">IFERROR(INDEX(РД[S],MATCH($B$3&amp;Таблица4[[#This Row],[№]]&amp;"Продажа",РД[Дом]&amp;РД[№ кв]&amp;РД[Состояние],0),1),Таблица4[[#This Row],[Статус]])</f>
        <v>56.7</v>
      </c>
      <c r="K319" s="233">
        <f>VLOOKUP(Таблица4[[#This Row],[№]],Реестр_Д4[],20,0)</f>
        <v>56.7</v>
      </c>
      <c r="L319" s="235">
        <f>IFERROR(Таблица4[[#This Row],[S ПП]]-Таблица4[[#This Row],[S ДДУ]],)</f>
        <v>0</v>
      </c>
      <c r="M319" s="235">
        <f>ROUND(_xlfn.XLOOKUP(Таблица4[[#This Row],[№]],Реестр_Д4[№],Реестр_Д4[Итоговая сумма скидки],"",0),2)</f>
        <v>120000</v>
      </c>
      <c r="N319" s="235" cm="1">
        <f t="array" ref="N319">IFERROR(ROUND(_xlfn.XLOOKUP($B$3&amp;Таблица4[[#This Row],[№]]&amp;"Продажа",РД[Дом]&amp;РД[№ кв]&amp;РД[Состояние],РД[Сумма скидки],"",0),2),Таблица4[[#This Row],[Статус]])</f>
        <v>120000</v>
      </c>
      <c r="O319" s="235">
        <f>IFERROR(Таблица4[[#This Row],[ППС]]-Таблица4[[#This Row],[ДДУС]],)</f>
        <v>0</v>
      </c>
      <c r="P319" s="611"/>
      <c r="Q319" s="234">
        <f>VLOOKUP(ППД5!A316,Реестр_Д5[№],1,0)</f>
        <v>315</v>
      </c>
      <c r="R319" s="234" t="str">
        <f>VLOOKUP(ППД5!CH316,Реестр_Д5[Статус],1,0)</f>
        <v>Продажа</v>
      </c>
      <c r="S319" s="612">
        <f>VLOOKUP(ППД5!BZ316,Реестр_Д5[Стоимость ОН без отделки со скидкой],1,0)</f>
        <v>5537500</v>
      </c>
      <c r="T319" s="612" cm="1">
        <f t="array" ref="T319">IFERROR(INDEX(РД[Стоимость без отделки итог],MATCH($Q$3&amp;Таблица10[[#This Row],[№]]&amp;"Продажа",РД[Дом]&amp;РД[№ кв]&amp;РД[Состояние],0),1),Таблица10[[#This Row],[Статус]])</f>
        <v>5537500</v>
      </c>
      <c r="U319" s="235">
        <f>IFERROR((Таблица10[[#This Row],[ПП]]-Таблица10[[#This Row],[ДДУ]])*1,)</f>
        <v>0</v>
      </c>
      <c r="V319" s="235" cm="1">
        <f t="array" ref="V319">IFERROR(INDEX(РД[Стоимость с отделкой итог],MATCH($Q$3&amp;Таблица10[[#This Row],[№]]&amp;"Продажа",РД[Дом]&amp;РД[№ кв]&amp;РД[Состояние],0),1),Таблица10[[#This Row],[Статус]])</f>
        <v>6669100</v>
      </c>
      <c r="W319" s="235">
        <f>_xlfn.XLOOKUP(Таблица10[[#This Row],[№]],Реестр_Д5[№],Реестр_Д5[Стоимость квартиры с отделкой],"-",0)</f>
        <v>6669100</v>
      </c>
      <c r="X319" s="235">
        <f>IFERROR(Таблица10[[#This Row],[СО ПП]]-Таблица10[[#This Row],[СО ДДУ]],"")</f>
        <v>0</v>
      </c>
      <c r="Y319" s="233" cm="1">
        <f t="array" ref="Y319">IFERROR(INDEX(РД[S],MATCH($Q$3&amp;Таблица10[[#This Row],[№]]&amp;"Продажа",РД[Дом]&amp;РД[№ кв]&amp;РД[Состояние],0),1),Таблица10[[#This Row],[Статус]])</f>
        <v>56.58</v>
      </c>
      <c r="Z319" s="233">
        <f>IF(Таблица10[[#This Row],[№]]&amp;"ДДУ"=ППД5!A316&amp;ППД5!CR316,ППД5!U316,ППД5!V316)</f>
        <v>56.58</v>
      </c>
      <c r="AA319" s="285">
        <f>IFERROR(Таблица10[[#This Row],[S ПП]]-Таблица10[[#This Row],[S ДДУ]],)</f>
        <v>0</v>
      </c>
      <c r="AB319" s="235">
        <f>ROUND(_xlfn.XLOOKUP(Таблица10[[#This Row],[№]],Реестр_Д5[№],Реестр_Д5[Итоговая сумма скидки],"",0),2)</f>
        <v>0</v>
      </c>
      <c r="AC319" s="235" cm="1">
        <f t="array" ref="AC31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19" s="285">
        <f>IFERROR(Таблица10[[#This Row],[ППС]]-Таблица10[[#This Row],[ДДУС]],)</f>
        <v>0</v>
      </c>
      <c r="AE319" s="611"/>
      <c r="AT319" s="611"/>
    </row>
    <row r="320" spans="1:46" x14ac:dyDescent="0.2">
      <c r="A320" s="611"/>
      <c r="B320" s="234">
        <f>VLOOKUP(ППД4!A317,Реестр_Д4[№],1,0)</f>
        <v>316</v>
      </c>
      <c r="C320" s="234" t="str">
        <f>VLOOKUP(ППД4!CO317,Реестр_Д4[Статус],1,0)</f>
        <v>Продажа</v>
      </c>
      <c r="D320" s="612">
        <f>VLOOKUP(ППД4!CE317,Реестр_Д4[Стоимость ОН без отделки со скидкой],1,0)</f>
        <v>7051982</v>
      </c>
      <c r="E320" s="612" cm="1">
        <f t="array" ref="E320">IFERROR(INDEX(РД[Стоимость без отделки итог],MATCH($B$3&amp;Таблица4[[#This Row],[№]]&amp;"Продажа",РД[Дом]&amp;РД[№ кв]&amp;РД[Состояние],0),1),Таблица4[[#This Row],[Статус]])</f>
        <v>7051982</v>
      </c>
      <c r="F320" s="235">
        <f>IFERROR((Таблица4[[#This Row],[ПП]]-Таблица4[[#This Row],[ДДУ]])*1,"")</f>
        <v>0</v>
      </c>
      <c r="G320" s="235" cm="1">
        <f t="array" ref="G320">IFERROR(INDEX(РД[Стоимость с отделкой итог],MATCH($B$3&amp;Таблица4[[#This Row],[№]]&amp;"Продажа",РД[Дом]&amp;РД[№ кв]&amp;РД[Состояние],0),1),Таблица4[[#This Row],[Статус]])</f>
        <v>8647202</v>
      </c>
      <c r="H320" s="235">
        <f>_xlfn.XLOOKUP(Таблица4[[#This Row],[№]],Реестр_Д4[№],Реестр_Д4[Стоимость квартиры с отделкой],"-",0)</f>
        <v>8647202</v>
      </c>
      <c r="I320" s="235">
        <f>IFERROR(Таблица4[[#This Row],[СО ПП]]-Таблица4[[#This Row],[СО ДДУ]],"")</f>
        <v>0</v>
      </c>
      <c r="J320" s="233" cm="1">
        <f t="array" ref="J320">IFERROR(INDEX(РД[S],MATCH($B$3&amp;Таблица4[[#This Row],[№]]&amp;"Продажа",РД[Дом]&amp;РД[№ кв]&amp;РД[Состояние],0),1),Таблица4[[#This Row],[Статус]])</f>
        <v>72.510000000000005</v>
      </c>
      <c r="K320" s="233">
        <f>VLOOKUP(Таблица4[[#This Row],[№]],Реестр_Д4[],20,0)</f>
        <v>72.510000000000005</v>
      </c>
      <c r="L320" s="235">
        <f>IFERROR(Таблица4[[#This Row],[S ПП]]-Таблица4[[#This Row],[S ДДУ]],)</f>
        <v>0</v>
      </c>
      <c r="M320" s="235">
        <f>ROUND(_xlfn.XLOOKUP(Таблица4[[#This Row],[№]],Реестр_Д4[№],Реестр_Д4[Итоговая сумма скидки],"",0),2)</f>
        <v>143918</v>
      </c>
      <c r="N320" s="235" cm="1">
        <f t="array" ref="N320">IFERROR(ROUND(_xlfn.XLOOKUP($B$3&amp;Таблица4[[#This Row],[№]]&amp;"Продажа",РД[Дом]&amp;РД[№ кв]&amp;РД[Состояние],РД[Сумма скидки],"",0),2),Таблица4[[#This Row],[Статус]])</f>
        <v>143918</v>
      </c>
      <c r="O320" s="235">
        <f>IFERROR(Таблица4[[#This Row],[ППС]]-Таблица4[[#This Row],[ДДУС]],)</f>
        <v>0</v>
      </c>
      <c r="P320" s="611"/>
      <c r="Q320" s="234">
        <f>VLOOKUP(ППД5!A317,Реестр_Д5[№],1,0)</f>
        <v>316</v>
      </c>
      <c r="R320" s="234" t="str">
        <f>VLOOKUP(ППД5!CH317,Реестр_Д5[Статус],1,0)</f>
        <v>Продажа</v>
      </c>
      <c r="S320" s="612">
        <f>VLOOKUP(ППД5!BZ317,Реестр_Д5[Стоимость ОН без отделки со скидкой],1,0)</f>
        <v>5996900</v>
      </c>
      <c r="T320" s="612" cm="1">
        <f t="array" ref="T320">IFERROR(INDEX(РД[Стоимость без отделки итог],MATCH($Q$3&amp;Таблица10[[#This Row],[№]]&amp;"Продажа",РД[Дом]&amp;РД[№ кв]&amp;РД[Состояние],0),1),Таблица10[[#This Row],[Статус]])</f>
        <v>5996900</v>
      </c>
      <c r="U320" s="235">
        <f>IFERROR((Таблица10[[#This Row],[ПП]]-Таблица10[[#This Row],[ДДУ]])*1,)</f>
        <v>0</v>
      </c>
      <c r="V320" s="235" cm="1">
        <f t="array" ref="V320">IFERROR(INDEX(РД[Стоимость с отделкой итог],MATCH($Q$3&amp;Таблица10[[#This Row],[№]]&amp;"Продажа",РД[Дом]&amp;РД[№ кв]&amp;РД[Состояние],0),1),Таблица10[[#This Row],[Статус]])</f>
        <v>7201700</v>
      </c>
      <c r="W320" s="235">
        <f>_xlfn.XLOOKUP(Таблица10[[#This Row],[№]],Реестр_Д5[№],Реестр_Д5[Стоимость квартиры с отделкой],"-",0)</f>
        <v>7201700</v>
      </c>
      <c r="X320" s="235">
        <f>IFERROR(Таблица10[[#This Row],[СО ПП]]-Таблица10[[#This Row],[СО ДДУ]],"")</f>
        <v>0</v>
      </c>
      <c r="Y320" s="233" cm="1">
        <f t="array" ref="Y320">IFERROR(INDEX(РД[S],MATCH($Q$3&amp;Таблица10[[#This Row],[№]]&amp;"Продажа",РД[Дом]&amp;РД[№ кв]&amp;РД[Состояние],0),1),Таблица10[[#This Row],[Статус]])</f>
        <v>60.24</v>
      </c>
      <c r="Z320" s="233">
        <f>IF(Таблица10[[#This Row],[№]]&amp;"ДДУ"=ППД5!A317&amp;ППД5!CR317,ППД5!U317,ППД5!V317)</f>
        <v>60.24</v>
      </c>
      <c r="AA320" s="285">
        <f>IFERROR(Таблица10[[#This Row],[S ПП]]-Таблица10[[#This Row],[S ДДУ]],)</f>
        <v>0</v>
      </c>
      <c r="AB320" s="235">
        <f>ROUND(_xlfn.XLOOKUP(Таблица10[[#This Row],[№]],Реестр_Д5[№],Реестр_Д5[Итоговая сумма скидки],"",0),2)</f>
        <v>0</v>
      </c>
      <c r="AC320" s="235" cm="1">
        <f t="array" ref="AC32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20" s="285">
        <f>IFERROR(Таблица10[[#This Row],[ППС]]-Таблица10[[#This Row],[ДДУС]],)</f>
        <v>0</v>
      </c>
      <c r="AE320" s="611"/>
      <c r="AT320" s="611"/>
    </row>
    <row r="321" spans="1:46" x14ac:dyDescent="0.2">
      <c r="A321" s="611"/>
      <c r="B321" s="234">
        <f>VLOOKUP(ППД4!A318,Реестр_Д4[№],1,0)</f>
        <v>317</v>
      </c>
      <c r="C321" s="234" t="str">
        <f>VLOOKUP(ППД4!CO318,Реестр_Д4[Статус],1,0)</f>
        <v>Продажа</v>
      </c>
      <c r="D321" s="612">
        <f>VLOOKUP(ППД4!CE318,Реестр_Д4[Стоимость ОН без отделки со скидкой],1,0)</f>
        <v>2612596.9</v>
      </c>
      <c r="E321" s="612" cm="1">
        <f t="array" ref="E321">IFERROR(INDEX(РД[Стоимость без отделки итог],MATCH($B$3&amp;Таблица4[[#This Row],[№]]&amp;"Продажа",РД[Дом]&amp;РД[№ кв]&amp;РД[Состояние],0),1),Таблица4[[#This Row],[Статус]])</f>
        <v>2612596.9</v>
      </c>
      <c r="F321" s="235">
        <f>IFERROR((Таблица4[[#This Row],[ПП]]-Таблица4[[#This Row],[ДДУ]])*1,"")</f>
        <v>0</v>
      </c>
      <c r="G321" s="235" cm="1">
        <f t="array" ref="G321">IFERROR(INDEX(РД[Стоимость с отделкой итог],MATCH($B$3&amp;Таблица4[[#This Row],[№]]&amp;"Продажа",РД[Дом]&amp;РД[№ кв]&amp;РД[Состояние],0),1),Таблица4[[#This Row],[Статус]])</f>
        <v>2612596.9</v>
      </c>
      <c r="H321" s="235">
        <f>_xlfn.XLOOKUP(Таблица4[[#This Row],[№]],Реестр_Д4[№],Реестр_Д4[Стоимость квартиры с отделкой],"-",0)</f>
        <v>2612596.9</v>
      </c>
      <c r="I321" s="235">
        <f>IFERROR(Таблица4[[#This Row],[СО ПП]]-Таблица4[[#This Row],[СО ДДУ]],"")</f>
        <v>0</v>
      </c>
      <c r="J321" s="233" cm="1">
        <f t="array" ref="J321">IFERROR(INDEX(РД[S],MATCH($B$3&amp;Таблица4[[#This Row],[№]]&amp;"Продажа",РД[Дом]&amp;РД[№ кв]&amp;РД[Состояние],0),1),Таблица4[[#This Row],[Статус]])</f>
        <v>33.840000000000003</v>
      </c>
      <c r="K321" s="233">
        <f>VLOOKUP(Таблица4[[#This Row],[№]],Реестр_Д4[],20,0)</f>
        <v>33.840000000000003</v>
      </c>
      <c r="L321" s="235">
        <f>IFERROR(Таблица4[[#This Row],[S ПП]]-Таблица4[[#This Row],[S ДДУ]],)</f>
        <v>0</v>
      </c>
      <c r="M321" s="235">
        <f>ROUND(_xlfn.XLOOKUP(Таблица4[[#This Row],[№]],Реестр_Д4[№],Реестр_Д4[Итоговая сумма скидки],"",0),2)</f>
        <v>0</v>
      </c>
      <c r="N321" s="235" cm="1">
        <f t="array" ref="N32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1" s="235">
        <f>IFERROR(Таблица4[[#This Row],[ППС]]-Таблица4[[#This Row],[ДДУС]],)</f>
        <v>0</v>
      </c>
      <c r="P321" s="611"/>
      <c r="Q321" s="234">
        <f>VLOOKUP(ППД5!A318,Реестр_Д5[№],1,0)</f>
        <v>317</v>
      </c>
      <c r="R321" s="234" t="str">
        <f>VLOOKUP(ППД5!CH318,Реестр_Д5[Статус],1,0)</f>
        <v>Продажа</v>
      </c>
      <c r="S321" s="612">
        <f>VLOOKUP(ППД5!BZ318,Реестр_Д5[Стоимость ОН без отделки со скидкой],1,0)</f>
        <v>4298212</v>
      </c>
      <c r="T321" s="612" cm="1">
        <f t="array" ref="T321">IFERROR(INDEX(РД[Стоимость без отделки итог],MATCH($Q$3&amp;Таблица10[[#This Row],[№]]&amp;"Продажа",РД[Дом]&amp;РД[№ кв]&amp;РД[Состояние],0),1),Таблица10[[#This Row],[Статус]])</f>
        <v>4298212</v>
      </c>
      <c r="U321" s="235">
        <f>IFERROR((Таблица10[[#This Row],[ПП]]-Таблица10[[#This Row],[ДДУ]])*1,)</f>
        <v>0</v>
      </c>
      <c r="V321" s="235" cm="1">
        <f t="array" ref="V321">IFERROR(INDEX(РД[Стоимость с отделкой итог],MATCH($Q$3&amp;Таблица10[[#This Row],[№]]&amp;"Продажа",РД[Дом]&amp;РД[№ кв]&amp;РД[Состояние],0),1),Таблица10[[#This Row],[Статус]])</f>
        <v>4298212</v>
      </c>
      <c r="W321" s="235">
        <f>_xlfn.XLOOKUP(Таблица10[[#This Row],[№]],Реестр_Д5[№],Реестр_Д5[Стоимость квартиры с отделкой],"-",0)</f>
        <v>4298212</v>
      </c>
      <c r="X321" s="235">
        <f>IFERROR(Таблица10[[#This Row],[СО ПП]]-Таблица10[[#This Row],[СО ДДУ]],"")</f>
        <v>0</v>
      </c>
      <c r="Y321" s="233" cm="1">
        <f t="array" ref="Y321">IFERROR(INDEX(РД[S],MATCH($Q$3&amp;Таблица10[[#This Row],[№]]&amp;"Продажа",РД[Дом]&amp;РД[№ кв]&amp;РД[Состояние],0),1),Таблица10[[#This Row],[Статус]])</f>
        <v>37.81</v>
      </c>
      <c r="Z321" s="233">
        <f>IF(Таблица10[[#This Row],[№]]&amp;"ДДУ"=ППД5!A318&amp;ППД5!CR318,ППД5!U318,ППД5!V318)</f>
        <v>37.81</v>
      </c>
      <c r="AA321" s="285">
        <f>IFERROR(Таблица10[[#This Row],[S ПП]]-Таблица10[[#This Row],[S ДДУ]],)</f>
        <v>0</v>
      </c>
      <c r="AB321" s="235">
        <f>ROUND(_xlfn.XLOOKUP(Таблица10[[#This Row],[№]],Реестр_Д5[№],Реестр_Д5[Итоговая сумма скидки],"",0),2)</f>
        <v>88888</v>
      </c>
      <c r="AC321" s="235" cm="1">
        <f t="array" ref="AC321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321" s="285">
        <f>IFERROR(Таблица10[[#This Row],[ППС]]-Таблица10[[#This Row],[ДДУС]],)</f>
        <v>0</v>
      </c>
      <c r="AE321" s="611"/>
      <c r="AT321" s="611"/>
    </row>
    <row r="322" spans="1:46" x14ac:dyDescent="0.2">
      <c r="A322" s="611"/>
      <c r="B322" s="234">
        <f>VLOOKUP(ППД4!A319,Реестр_Д4[№],1,0)</f>
        <v>318</v>
      </c>
      <c r="C322" s="234" t="str">
        <f>VLOOKUP(ППД4!CO319,Реестр_Д4[Статус],1,0)</f>
        <v>Продажа</v>
      </c>
      <c r="D322" s="612">
        <f>VLOOKUP(ППД4!CE319,Реестр_Д4[Стоимость ОН без отделки со скидкой],1,0)</f>
        <v>2373196.17</v>
      </c>
      <c r="E322" s="612" cm="1">
        <f t="array" ref="E322">IFERROR(INDEX(РД[Стоимость без отделки итог],MATCH($B$3&amp;Таблица4[[#This Row],[№]]&amp;"Продажа",РД[Дом]&amp;РД[№ кв]&amp;РД[Состояние],0),1),Таблица4[[#This Row],[Статус]])</f>
        <v>2373196.17</v>
      </c>
      <c r="F322" s="235">
        <f>IFERROR((Таблица4[[#This Row],[ПП]]-Таблица4[[#This Row],[ДДУ]])*1,"")</f>
        <v>0</v>
      </c>
      <c r="G322" s="235" cm="1">
        <f t="array" ref="G322">IFERROR(INDEX(РД[Стоимость с отделкой итог],MATCH($B$3&amp;Таблица4[[#This Row],[№]]&amp;"Продажа",РД[Дом]&amp;РД[№ кв]&amp;РД[Состояние],0),1),Таблица4[[#This Row],[Статус]])</f>
        <v>2813446.17</v>
      </c>
      <c r="H322" s="235">
        <f>_xlfn.XLOOKUP(Таблица4[[#This Row],[№]],Реестр_Д4[№],Реестр_Д4[Стоимость квартиры с отделкой],"-",0)</f>
        <v>2813446.17</v>
      </c>
      <c r="I322" s="235">
        <f>IFERROR(Таблица4[[#This Row],[СО ПП]]-Таблица4[[#This Row],[СО ДДУ]],"")</f>
        <v>0</v>
      </c>
      <c r="J322" s="233" cm="1">
        <f t="array" ref="J322">IFERROR(INDEX(РД[S],MATCH($B$3&amp;Таблица4[[#This Row],[№]]&amp;"Продажа",РД[Дом]&amp;РД[№ кв]&amp;РД[Состояние],0),1),Таблица4[[#This Row],[Статус]])</f>
        <v>29.35</v>
      </c>
      <c r="K322" s="233">
        <f>VLOOKUP(Таблица4[[#This Row],[№]],Реестр_Д4[],20,0)</f>
        <v>29.35</v>
      </c>
      <c r="L322" s="235">
        <f>IFERROR(Таблица4[[#This Row],[S ПП]]-Таблица4[[#This Row],[S ДДУ]],)</f>
        <v>0</v>
      </c>
      <c r="M322" s="235">
        <f>ROUND(_xlfn.XLOOKUP(Таблица4[[#This Row],[№]],Реестр_Д4[№],Реестр_Д4[Итоговая сумма скидки],"",0),2)</f>
        <v>73397.820000000007</v>
      </c>
      <c r="N322" s="235" cm="1">
        <f t="array" ref="N322">IFERROR(ROUND(_xlfn.XLOOKUP($B$3&amp;Таблица4[[#This Row],[№]]&amp;"Продажа",РД[Дом]&amp;РД[№ кв]&amp;РД[Состояние],РД[Сумма скидки],"",0),2),Таблица4[[#This Row],[Статус]])</f>
        <v>73397.820000000007</v>
      </c>
      <c r="O322" s="235">
        <f>IFERROR(Таблица4[[#This Row],[ППС]]-Таблица4[[#This Row],[ДДУС]],)</f>
        <v>0</v>
      </c>
      <c r="P322" s="611"/>
      <c r="Q322" s="234">
        <f>VLOOKUP(ППД5!A319,Реестр_Д5[№],1,0)</f>
        <v>318</v>
      </c>
      <c r="R322" s="234" t="str">
        <f>VLOOKUP(ППД5!CH319,Реестр_Д5[Статус],1,0)</f>
        <v>Свободно</v>
      </c>
      <c r="S322" s="612">
        <f>VLOOKUP(ППД5!BZ319,Реестр_Д5[Стоимость ОН без отделки со скидкой],1,0)</f>
        <v>9266900</v>
      </c>
      <c r="T322" s="612" t="str" cm="1">
        <f t="array" ref="T32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22" s="235">
        <f>IFERROR((Таблица10[[#This Row],[ПП]]-Таблица10[[#This Row],[ДДУ]])*1,)</f>
        <v>0</v>
      </c>
      <c r="V322" s="235" t="str" cm="1">
        <f t="array" ref="V32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22" s="235">
        <f>_xlfn.XLOOKUP(Таблица10[[#This Row],[№]],Реестр_Д5[№],Реестр_Д5[Стоимость квартиры с отделкой],"-",0)</f>
        <v>9266900</v>
      </c>
      <c r="X322" s="235" t="str">
        <f>IFERROR(Таблица10[[#This Row],[СО ПП]]-Таблица10[[#This Row],[СО ДДУ]],"")</f>
        <v/>
      </c>
      <c r="Y322" s="233" t="str" cm="1">
        <f t="array" ref="Y322">IFERROR(INDEX(РД[S],MATCH($Q$3&amp;Таблица10[[#This Row],[№]]&amp;"Продажа",РД[Дом]&amp;РД[№ кв]&amp;РД[Состояние],0),1),Таблица10[[#This Row],[Статус]])</f>
        <v>Свободно</v>
      </c>
      <c r="Z322" s="233">
        <f>IF(Таблица10[[#This Row],[№]]&amp;"ДДУ"=ППД5!A319&amp;ППД5!CR319,ППД5!U319,ППД5!V319)</f>
        <v>80.650000000000006</v>
      </c>
      <c r="AA322" s="285">
        <f>IFERROR(Таблица10[[#This Row],[S ПП]]-Таблица10[[#This Row],[S ДДУ]],)</f>
        <v>0</v>
      </c>
      <c r="AB322" s="235">
        <f>ROUND(_xlfn.XLOOKUP(Таблица10[[#This Row],[№]],Реестр_Д5[№],Реестр_Д5[Итоговая сумма скидки],"",0),2)</f>
        <v>0</v>
      </c>
      <c r="AC322" s="235" t="str" cm="1">
        <f t="array" ref="AC32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22" s="285">
        <f>IFERROR(Таблица10[[#This Row],[ППС]]-Таблица10[[#This Row],[ДДУС]],)</f>
        <v>0</v>
      </c>
      <c r="AE322" s="611"/>
      <c r="AT322" s="611"/>
    </row>
    <row r="323" spans="1:46" x14ac:dyDescent="0.2">
      <c r="A323" s="611"/>
      <c r="B323" s="234">
        <f>VLOOKUP(ППД4!A320,Реестр_Д4[№],1,0)</f>
        <v>319</v>
      </c>
      <c r="C323" s="234" t="str">
        <f>VLOOKUP(ППД4!CO320,Реестр_Д4[Статус],1,0)</f>
        <v>Продажа</v>
      </c>
      <c r="D323" s="612">
        <f>VLOOKUP(ППД4!CE320,Реестр_Д4[Стоимость ОН без отделки со скидкой],1,0)</f>
        <v>5955800</v>
      </c>
      <c r="E323" s="612" cm="1">
        <f t="array" ref="E323">IFERROR(INDEX(РД[Стоимость без отделки итог],MATCH($B$3&amp;Таблица4[[#This Row],[№]]&amp;"Продажа",РД[Дом]&amp;РД[№ кв]&amp;РД[Состояние],0),1),Таблица4[[#This Row],[Статус]])</f>
        <v>5955800</v>
      </c>
      <c r="F323" s="235">
        <f>IFERROR((Таблица4[[#This Row],[ПП]]-Таблица4[[#This Row],[ДДУ]])*1,"")</f>
        <v>0</v>
      </c>
      <c r="G323" s="235" cm="1">
        <f t="array" ref="G323">IFERROR(INDEX(РД[Стоимость с отделкой итог],MATCH($B$3&amp;Таблица4[[#This Row],[№]]&amp;"Продажа",РД[Дом]&amp;РД[№ кв]&amp;РД[Состояние],0),1),Таблица4[[#This Row],[Статус]])</f>
        <v>7450700</v>
      </c>
      <c r="H323" s="235">
        <f>_xlfn.XLOOKUP(Таблица4[[#This Row],[№]],Реестр_Д4[№],Реестр_Д4[Стоимость квартиры с отделкой],"-",0)</f>
        <v>7450700</v>
      </c>
      <c r="I323" s="235">
        <f>IFERROR(Таблица4[[#This Row],[СО ПП]]-Таблица4[[#This Row],[СО ДДУ]],"")</f>
        <v>0</v>
      </c>
      <c r="J323" s="233" cm="1">
        <f t="array" ref="J323">IFERROR(INDEX(РД[S],MATCH($B$3&amp;Таблица4[[#This Row],[№]]&amp;"Продажа",РД[Дом]&amp;РД[№ кв]&amp;РД[Состояние],0),1),Таблица4[[#This Row],[Статус]])</f>
        <v>67.95</v>
      </c>
      <c r="K323" s="233">
        <f>VLOOKUP(Таблица4[[#This Row],[№]],Реестр_Д4[],20,0)</f>
        <v>67.95</v>
      </c>
      <c r="L323" s="235">
        <f>IFERROR(Таблица4[[#This Row],[S ПП]]-Таблица4[[#This Row],[S ДДУ]],)</f>
        <v>0</v>
      </c>
      <c r="M323" s="235">
        <f>ROUND(_xlfn.XLOOKUP(Таблица4[[#This Row],[№]],Реестр_Д4[№],Реестр_Д4[Итоговая сумма скидки],"",0),2)</f>
        <v>0</v>
      </c>
      <c r="N323" s="235" cm="1">
        <f t="array" ref="N32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3" s="235">
        <f>IFERROR(Таблица4[[#This Row],[ППС]]-Таблица4[[#This Row],[ДДУС]],)</f>
        <v>0</v>
      </c>
      <c r="P323" s="611"/>
      <c r="Q323" s="234">
        <f>VLOOKUP(ППД5!A320,Реестр_Д5[№],1,0)</f>
        <v>319</v>
      </c>
      <c r="R323" s="234" t="str">
        <f>VLOOKUP(ППД5!CH320,Реестр_Д5[Статус],1,0)</f>
        <v>Продажа</v>
      </c>
      <c r="S323" s="612">
        <f>VLOOKUP(ППД5!BZ320,Реестр_Д5[Стоимость ОН без отделки со скидкой],1,0)</f>
        <v>4212300</v>
      </c>
      <c r="T323" s="612" cm="1">
        <f t="array" ref="T323">IFERROR(INDEX(РД[Стоимость без отделки итог],MATCH($Q$3&amp;Таблица10[[#This Row],[№]]&amp;"Продажа",РД[Дом]&amp;РД[№ кв]&amp;РД[Состояние],0),1),Таблица10[[#This Row],[Статус]])</f>
        <v>4212300</v>
      </c>
      <c r="U323" s="235">
        <f>IFERROR((Таблица10[[#This Row],[ПП]]-Таблица10[[#This Row],[ДДУ]])*1,)</f>
        <v>0</v>
      </c>
      <c r="V323" s="235" cm="1">
        <f t="array" ref="V323">IFERROR(INDEX(РД[Стоимость с отделкой итог],MATCH($Q$3&amp;Таблица10[[#This Row],[№]]&amp;"Продажа",РД[Дом]&amp;РД[№ кв]&amp;РД[Состояние],0),1),Таблица10[[#This Row],[Статус]])</f>
        <v>4908500</v>
      </c>
      <c r="W323" s="235">
        <f>_xlfn.XLOOKUP(Таблица10[[#This Row],[№]],Реестр_Д5[№],Реестр_Д5[Стоимость квартиры с отделкой],"-",0)</f>
        <v>4908500</v>
      </c>
      <c r="X323" s="235">
        <f>IFERROR(Таблица10[[#This Row],[СО ПП]]-Таблица10[[#This Row],[СО ДДУ]],"")</f>
        <v>0</v>
      </c>
      <c r="Y323" s="233" cm="1">
        <f t="array" ref="Y323">IFERROR(INDEX(РД[S],MATCH($Q$3&amp;Таблица10[[#This Row],[№]]&amp;"Продажа",РД[Дом]&amp;РД[№ кв]&amp;РД[Состояние],0),1),Таблица10[[#This Row],[Статус]])</f>
        <v>34.81</v>
      </c>
      <c r="Z323" s="233">
        <f>IF(Таблица10[[#This Row],[№]]&amp;"ДДУ"=ППД5!A320&amp;ППД5!CR320,ППД5!U320,ППД5!V320)</f>
        <v>34.81</v>
      </c>
      <c r="AA323" s="285">
        <f>IFERROR(Таблица10[[#This Row],[S ПП]]-Таблица10[[#This Row],[S ДДУ]],)</f>
        <v>0</v>
      </c>
      <c r="AB323" s="235">
        <f>ROUND(_xlfn.XLOOKUP(Таблица10[[#This Row],[№]],Реестр_Д5[№],Реестр_Д5[Итоговая сумма скидки],"",0),2)</f>
        <v>0</v>
      </c>
      <c r="AC323" s="235" cm="1">
        <f t="array" ref="AC32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23" s="285">
        <f>IFERROR(Таблица10[[#This Row],[ППС]]-Таблица10[[#This Row],[ДДУС]],)</f>
        <v>0</v>
      </c>
      <c r="AE323" s="611"/>
      <c r="AT323" s="611"/>
    </row>
    <row r="324" spans="1:46" x14ac:dyDescent="0.2">
      <c r="A324" s="611"/>
      <c r="B324" s="234">
        <f>VLOOKUP(ППД4!A321,Реестр_Д4[№],1,0)</f>
        <v>320</v>
      </c>
      <c r="C324" s="234" t="str">
        <f>VLOOKUP(ППД4!CO321,Реестр_Д4[Статус],1,0)</f>
        <v>Продажа</v>
      </c>
      <c r="D324" s="612">
        <f>VLOOKUP(ППД4!CE321,Реестр_Д4[Стоимость ОН без отделки со скидкой],1,0)</f>
        <v>3419170.74</v>
      </c>
      <c r="E324" s="612" cm="1">
        <f t="array" ref="E324">IFERROR(INDEX(РД[Стоимость без отделки итог],MATCH($B$3&amp;Таблица4[[#This Row],[№]]&amp;"Продажа",РД[Дом]&amp;РД[№ кв]&amp;РД[Состояние],0),1),Таблица4[[#This Row],[Статус]])</f>
        <v>3419170.74</v>
      </c>
      <c r="F324" s="235">
        <f>IFERROR((Таблица4[[#This Row],[ПП]]-Таблица4[[#This Row],[ДДУ]])*1,"")</f>
        <v>0</v>
      </c>
      <c r="G324" s="235" cm="1">
        <f t="array" ref="G324">IFERROR(INDEX(РД[Стоимость с отделкой итог],MATCH($B$3&amp;Таблица4[[#This Row],[№]]&amp;"Продажа",РД[Дом]&amp;РД[№ кв]&amp;РД[Состояние],0),1),Таблица4[[#This Row],[Статус]])</f>
        <v>3583195.74</v>
      </c>
      <c r="H324" s="235">
        <f>_xlfn.XLOOKUP(Таблица4[[#This Row],[№]],Реестр_Д4[№],Реестр_Д4[Стоимость квартиры с отделкой],"-",0)</f>
        <v>3583195.74</v>
      </c>
      <c r="I324" s="235">
        <f>IFERROR(Таблица4[[#This Row],[СО ПП]]-Таблица4[[#This Row],[СО ДДУ]],"")</f>
        <v>0</v>
      </c>
      <c r="J324" s="233" cm="1">
        <f t="array" ref="J324">IFERROR(INDEX(РД[S],MATCH($B$3&amp;Таблица4[[#This Row],[№]]&amp;"Продажа",РД[Дом]&amp;РД[№ кв]&amp;РД[Состояние],0),1),Таблица4[[#This Row],[Статус]])</f>
        <v>36.450000000000003</v>
      </c>
      <c r="K324" s="233">
        <f>VLOOKUP(Таблица4[[#This Row],[№]],Реестр_Д4[],20,0)</f>
        <v>36.450000000000003</v>
      </c>
      <c r="L324" s="235">
        <f>IFERROR(Таблица4[[#This Row],[S ПП]]-Таблица4[[#This Row],[S ДДУ]],)</f>
        <v>0</v>
      </c>
      <c r="M324" s="235">
        <f>ROUND(_xlfn.XLOOKUP(Таблица4[[#This Row],[№]],Реестр_Д4[№],Реестр_Д4[Итоговая сумма скидки],"",0),2)</f>
        <v>0</v>
      </c>
      <c r="N324" s="235" cm="1">
        <f t="array" ref="N32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4" s="235">
        <f>IFERROR(Таблица4[[#This Row],[ППС]]-Таблица4[[#This Row],[ДДУС]],)</f>
        <v>0</v>
      </c>
      <c r="P324" s="611"/>
      <c r="Q324" s="234">
        <f>VLOOKUP(ППД5!A321,Реестр_Д5[№],1,0)</f>
        <v>320</v>
      </c>
      <c r="R324" s="234" t="str">
        <f>VLOOKUP(ППД5!CH321,Реестр_Д5[Статус],1,0)</f>
        <v>Свободно</v>
      </c>
      <c r="S324" s="612">
        <f>VLOOKUP(ППД5!BZ321,Реестр_Д5[Стоимость ОН без отделки со скидкой],1,0)</f>
        <v>8475200</v>
      </c>
      <c r="T324" s="612" t="str" cm="1">
        <f t="array" ref="T32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24" s="235">
        <f>IFERROR((Таблица10[[#This Row],[ПП]]-Таблица10[[#This Row],[ДДУ]])*1,)</f>
        <v>0</v>
      </c>
      <c r="V324" s="235" t="str" cm="1">
        <f t="array" ref="V32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24" s="235">
        <f>_xlfn.XLOOKUP(Таблица10[[#This Row],[№]],Реестр_Д5[№],Реестр_Д5[Стоимость квартиры с отделкой],"-",0)</f>
        <v>8475200</v>
      </c>
      <c r="X324" s="235" t="str">
        <f>IFERROR(Таблица10[[#This Row],[СО ПП]]-Таблица10[[#This Row],[СО ДДУ]],"")</f>
        <v/>
      </c>
      <c r="Y324" s="233" t="str" cm="1">
        <f t="array" ref="Y324">IFERROR(INDEX(РД[S],MATCH($Q$3&amp;Таблица10[[#This Row],[№]]&amp;"Продажа",РД[Дом]&amp;РД[№ кв]&amp;РД[Состояние],0),1),Таблица10[[#This Row],[Статус]])</f>
        <v>Свободно</v>
      </c>
      <c r="Z324" s="233">
        <f>IF(Таблица10[[#This Row],[№]]&amp;"ДДУ"=ППД5!A321&amp;ППД5!CR321,ППД5!U321,ППД5!V321)</f>
        <v>73.499999999999986</v>
      </c>
      <c r="AA324" s="285">
        <f>IFERROR(Таблица10[[#This Row],[S ПП]]-Таблица10[[#This Row],[S ДДУ]],)</f>
        <v>0</v>
      </c>
      <c r="AB324" s="235">
        <f>ROUND(_xlfn.XLOOKUP(Таблица10[[#This Row],[№]],Реестр_Д5[№],Реестр_Д5[Итоговая сумма скидки],"",0),2)</f>
        <v>0</v>
      </c>
      <c r="AC324" s="235" t="str" cm="1">
        <f t="array" ref="AC32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24" s="285">
        <f>IFERROR(Таблица10[[#This Row],[ППС]]-Таблица10[[#This Row],[ДДУС]],)</f>
        <v>0</v>
      </c>
      <c r="AE324" s="611"/>
      <c r="AT324" s="611"/>
    </row>
    <row r="325" spans="1:46" x14ac:dyDescent="0.2">
      <c r="A325" s="611"/>
      <c r="B325" s="234">
        <f>VLOOKUP(ППД4!A322,Реестр_Д4[№],1,0)</f>
        <v>321</v>
      </c>
      <c r="C325" s="234" t="str">
        <f>VLOOKUP(ППД4!CO322,Реестр_Д4[Статус],1,0)</f>
        <v>Продажа</v>
      </c>
      <c r="D325" s="612">
        <f>VLOOKUP(ППД4!CE322,Реестр_Д4[Стоимость ОН без отделки со скидкой],1,0)</f>
        <v>4219766.42</v>
      </c>
      <c r="E325" s="612" cm="1">
        <f t="array" ref="E325">IFERROR(INDEX(РД[Стоимость без отделки итог],MATCH($B$3&amp;Таблица4[[#This Row],[№]]&amp;"Продажа",РД[Дом]&amp;РД[№ кв]&amp;РД[Состояние],0),1),Таблица4[[#This Row],[Статус]])</f>
        <v>4219766.42</v>
      </c>
      <c r="F325" s="235">
        <f>IFERROR((Таблица4[[#This Row],[ПП]]-Таблица4[[#This Row],[ДДУ]])*1,"")</f>
        <v>0</v>
      </c>
      <c r="G325" s="235" cm="1">
        <f t="array" ref="G325">IFERROR(INDEX(РД[Стоимость с отделкой итог],MATCH($B$3&amp;Таблица4[[#This Row],[№]]&amp;"Продажа",РД[Дом]&amp;РД[№ кв]&amp;РД[Состояние],0),1),Таблица4[[#This Row],[Статус]])</f>
        <v>4658891.42</v>
      </c>
      <c r="H325" s="235">
        <f>_xlfn.XLOOKUP(Таблица4[[#This Row],[№]],Реестр_Д4[№],Реестр_Д4[Стоимость квартиры с отделкой],"-",0)</f>
        <v>4658891.42</v>
      </c>
      <c r="I325" s="235">
        <f>IFERROR(Таблица4[[#This Row],[СО ПП]]-Таблица4[[#This Row],[СО ДДУ]],"")</f>
        <v>0</v>
      </c>
      <c r="J325" s="233" cm="1">
        <f t="array" ref="J325">IFERROR(INDEX(РД[S],MATCH($B$3&amp;Таблица4[[#This Row],[№]]&amp;"Продажа",РД[Дом]&amp;РД[№ кв]&amp;РД[Состояние],0),1),Таблица4[[#This Row],[Статус]])</f>
        <v>58.55</v>
      </c>
      <c r="K325" s="233">
        <f>VLOOKUP(Таблица4[[#This Row],[№]],Реестр_Д4[],20,0)</f>
        <v>58.55</v>
      </c>
      <c r="L325" s="235">
        <f>IFERROR(Таблица4[[#This Row],[S ПП]]-Таблица4[[#This Row],[S ДДУ]],)</f>
        <v>0</v>
      </c>
      <c r="M325" s="235">
        <f>ROUND(_xlfn.XLOOKUP(Таблица4[[#This Row],[№]],Реестр_Д4[№],Реестр_Д4[Итоговая сумма скидки],"",0),2)</f>
        <v>0</v>
      </c>
      <c r="N325" s="235" cm="1">
        <f t="array" ref="N32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5" s="235">
        <f>IFERROR(Таблица4[[#This Row],[ППС]]-Таблица4[[#This Row],[ДДУС]],)</f>
        <v>0</v>
      </c>
      <c r="P325" s="611"/>
      <c r="Q325" s="234">
        <f>VLOOKUP(ППД5!A322,Реестр_Д5[№],1,0)</f>
        <v>321</v>
      </c>
      <c r="R325" s="234" t="str">
        <f>VLOOKUP(ППД5!CH322,Реестр_Д5[Статус],1,0)</f>
        <v>Продажа</v>
      </c>
      <c r="S325" s="612">
        <f>VLOOKUP(ППД5!BZ322,Реестр_Д5[Стоимость ОН без отделки со скидкой],1,0)</f>
        <v>3196300</v>
      </c>
      <c r="T325" s="612" cm="1">
        <f t="array" ref="T325">IFERROR(INDEX(РД[Стоимость без отделки итог],MATCH($Q$3&amp;Таблица10[[#This Row],[№]]&amp;"Продажа",РД[Дом]&amp;РД[№ кв]&amp;РД[Состояние],0),1),Таблица10[[#This Row],[Статус]])</f>
        <v>3196300.0000000005</v>
      </c>
      <c r="U325" s="235">
        <f>IFERROR((Таблица10[[#This Row],[ПП]]-Таблица10[[#This Row],[ДДУ]])*1,)</f>
        <v>-4.6566128730773926E-10</v>
      </c>
      <c r="V325" s="235" cm="1">
        <f t="array" ref="V325">IFERROR(INDEX(РД[Стоимость с отделкой итог],MATCH($Q$3&amp;Таблица10[[#This Row],[№]]&amp;"Продажа",РД[Дом]&amp;РД[№ кв]&amp;РД[Состояние],0),1),Таблица10[[#This Row],[Статус]])</f>
        <v>3686900</v>
      </c>
      <c r="W325" s="235">
        <f>_xlfn.XLOOKUP(Таблица10[[#This Row],[№]],Реестр_Д5[№],Реестр_Д5[Стоимость квартиры с отделкой],"-",0)</f>
        <v>3686900.0000000009</v>
      </c>
      <c r="X325" s="235">
        <f>IFERROR(Таблица10[[#This Row],[СО ПП]]-Таблица10[[#This Row],[СО ДДУ]],"")</f>
        <v>9.3132257461547852E-10</v>
      </c>
      <c r="Y325" s="233" cm="1">
        <f t="array" ref="Y325">IFERROR(INDEX(РД[S],MATCH($Q$3&amp;Таблица10[[#This Row],[№]]&amp;"Продажа",РД[Дом]&amp;РД[№ кв]&amp;РД[Состояние],0),1),Таблица10[[#This Row],[Статус]])</f>
        <v>24.53</v>
      </c>
      <c r="Z325" s="233">
        <f>IF(Таблица10[[#This Row],[№]]&amp;"ДДУ"=ППД5!A322&amp;ППД5!CR322,ППД5!U322,ППД5!V322)</f>
        <v>24.53</v>
      </c>
      <c r="AA325" s="285">
        <f>IFERROR(Таблица10[[#This Row],[S ПП]]-Таблица10[[#This Row],[S ДДУ]],)</f>
        <v>0</v>
      </c>
      <c r="AB325" s="235">
        <f>ROUND(_xlfn.XLOOKUP(Таблица10[[#This Row],[№]],Реестр_Д5[№],Реестр_Д5[Итоговая сумма скидки],"",0),2)</f>
        <v>0</v>
      </c>
      <c r="AC325" s="235" cm="1">
        <f t="array" ref="AC32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25" s="285">
        <f>IFERROR(Таблица10[[#This Row],[ППС]]-Таблица10[[#This Row],[ДДУС]],)</f>
        <v>0</v>
      </c>
      <c r="AE325" s="611"/>
      <c r="AT325" s="611"/>
    </row>
    <row r="326" spans="1:46" x14ac:dyDescent="0.2">
      <c r="A326" s="611"/>
      <c r="B326" s="234">
        <f>VLOOKUP(ППД4!A323,Реестр_Д4[№],1,0)</f>
        <v>322</v>
      </c>
      <c r="C326" s="234" t="str">
        <f>VLOOKUP(ППД4!CO323,Реестр_Д4[Статус],1,0)</f>
        <v>Продажа</v>
      </c>
      <c r="D326" s="612">
        <f>VLOOKUP(ППД4!CE323,Реестр_Д4[Стоимость ОН без отделки со скидкой],1,0)</f>
        <v>3891831.3</v>
      </c>
      <c r="E326" s="612" cm="1">
        <f t="array" ref="E326">IFERROR(INDEX(РД[Стоимость без отделки итог],MATCH($B$3&amp;Таблица4[[#This Row],[№]]&amp;"Продажа",РД[Дом]&amp;РД[№ кв]&amp;РД[Состояние],0),1),Таблица4[[#This Row],[Статус]])</f>
        <v>3891831.3</v>
      </c>
      <c r="F326" s="235">
        <f>IFERROR((Таблица4[[#This Row],[ПП]]-Таблица4[[#This Row],[ДДУ]])*1,"")</f>
        <v>0</v>
      </c>
      <c r="G326" s="235" cm="1">
        <f t="array" ref="G326">IFERROR(INDEX(РД[Стоимость с отделкой итог],MATCH($B$3&amp;Таблица4[[#This Row],[№]]&amp;"Продажа",РД[Дом]&amp;РД[№ кв]&amp;РД[Состояние],0),1),Таблица4[[#This Row],[Статус]])</f>
        <v>3891831.3</v>
      </c>
      <c r="H326" s="235">
        <f>_xlfn.XLOOKUP(Таблица4[[#This Row],[№]],Реестр_Д4[№],Реестр_Д4[Стоимость квартиры с отделкой],"-",0)</f>
        <v>3891831.3</v>
      </c>
      <c r="I326" s="235">
        <f>IFERROR(Таблица4[[#This Row],[СО ПП]]-Таблица4[[#This Row],[СО ДДУ]],"")</f>
        <v>0</v>
      </c>
      <c r="J326" s="233" cm="1">
        <f t="array" ref="J326">IFERROR(INDEX(РД[S],MATCH($B$3&amp;Таблица4[[#This Row],[№]]&amp;"Продажа",РД[Дом]&amp;РД[№ кв]&amp;РД[Состояние],0),1),Таблица4[[#This Row],[Статус]])</f>
        <v>56.7</v>
      </c>
      <c r="K326" s="233">
        <f>VLOOKUP(Таблица4[[#This Row],[№]],Реестр_Д4[],20,0)</f>
        <v>56.7</v>
      </c>
      <c r="L326" s="235">
        <f>IFERROR(Таблица4[[#This Row],[S ПП]]-Таблица4[[#This Row],[S ДДУ]],)</f>
        <v>0</v>
      </c>
      <c r="M326" s="235">
        <f>ROUND(_xlfn.XLOOKUP(Таблица4[[#This Row],[№]],Реестр_Д4[№],Реестр_Д4[Итоговая сумма скидки],"",0),2)</f>
        <v>11.34</v>
      </c>
      <c r="N326" s="235" cm="1">
        <f t="array" ref="N326">IFERROR(ROUND(_xlfn.XLOOKUP($B$3&amp;Таблица4[[#This Row],[№]]&amp;"Продажа",РД[Дом]&amp;РД[№ кв]&amp;РД[Состояние],РД[Сумма скидки],"",0),2),Таблица4[[#This Row],[Статус]])</f>
        <v>11.34</v>
      </c>
      <c r="O326" s="235">
        <f>IFERROR(Таблица4[[#This Row],[ППС]]-Таблица4[[#This Row],[ДДУС]],)</f>
        <v>0</v>
      </c>
      <c r="P326" s="611"/>
      <c r="Q326" s="234">
        <f>VLOOKUP(ППД5!A323,Реестр_Д5[№],1,0)</f>
        <v>322</v>
      </c>
      <c r="R326" s="234" t="str">
        <f>VLOOKUP(ППД5!CH323,Реестр_Д5[Статус],1,0)</f>
        <v>Продажа</v>
      </c>
      <c r="S326" s="612">
        <f>VLOOKUP(ППД5!BZ323,Реестр_Д5[Стоимость ОН без отделки со скидкой],1,0)</f>
        <v>5332000</v>
      </c>
      <c r="T326" s="612" cm="1">
        <f t="array" ref="T326">IFERROR(INDEX(РД[Стоимость без отделки итог],MATCH($Q$3&amp;Таблица10[[#This Row],[№]]&amp;"Продажа",РД[Дом]&amp;РД[№ кв]&amp;РД[Состояние],0),1),Таблица10[[#This Row],[Статус]])</f>
        <v>5332000</v>
      </c>
      <c r="U326" s="235">
        <f>IFERROR((Таблица10[[#This Row],[ПП]]-Таблица10[[#This Row],[ДДУ]])*1,)</f>
        <v>0</v>
      </c>
      <c r="V326" s="235" cm="1">
        <f t="array" ref="V326">IFERROR(INDEX(РД[Стоимость с отделкой итог],MATCH($Q$3&amp;Таблица10[[#This Row],[№]]&amp;"Продажа",РД[Дом]&amp;РД[№ кв]&amp;РД[Состояние],0),1),Таблица10[[#This Row],[Статус]])</f>
        <v>6463600</v>
      </c>
      <c r="W326" s="235">
        <f>_xlfn.XLOOKUP(Таблица10[[#This Row],[№]],Реестр_Д5[№],Реестр_Д5[Стоимость квартиры с отделкой],"-",0)</f>
        <v>6463600</v>
      </c>
      <c r="X326" s="235">
        <f>IFERROR(Таблица10[[#This Row],[СО ПП]]-Таблица10[[#This Row],[СО ДДУ]],"")</f>
        <v>0</v>
      </c>
      <c r="Y326" s="233" cm="1">
        <f t="array" ref="Y326">IFERROR(INDEX(РД[S],MATCH($Q$3&amp;Таблица10[[#This Row],[№]]&amp;"Продажа",РД[Дом]&amp;РД[№ кв]&amp;РД[Состояние],0),1),Таблица10[[#This Row],[Статус]])</f>
        <v>56.58</v>
      </c>
      <c r="Z326" s="233">
        <f>IF(Таблица10[[#This Row],[№]]&amp;"ДДУ"=ППД5!A323&amp;ППД5!CR323,ППД5!U323,ППД5!V323)</f>
        <v>56.58</v>
      </c>
      <c r="AA326" s="285">
        <f>IFERROR(Таблица10[[#This Row],[S ПП]]-Таблица10[[#This Row],[S ДДУ]],)</f>
        <v>0</v>
      </c>
      <c r="AB326" s="235">
        <f>ROUND(_xlfn.XLOOKUP(Таблица10[[#This Row],[№]],Реестр_Д5[№],Реестр_Д5[Итоговая сумма скидки],"",0),2)</f>
        <v>90000</v>
      </c>
      <c r="AC326" s="235" cm="1">
        <f t="array" ref="AC326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326" s="285">
        <f>IFERROR(Таблица10[[#This Row],[ППС]]-Таблица10[[#This Row],[ДДУС]],)</f>
        <v>0</v>
      </c>
      <c r="AE326" s="611"/>
      <c r="AT326" s="611"/>
    </row>
    <row r="327" spans="1:46" x14ac:dyDescent="0.2">
      <c r="A327" s="611"/>
      <c r="B327" s="234">
        <f>VLOOKUP(ППД4!A324,Реестр_Д4[№],1,0)</f>
        <v>323</v>
      </c>
      <c r="C327" s="234" t="str">
        <f>VLOOKUP(ППД4!CO324,Реестр_Д4[Статус],1,0)</f>
        <v>Продажа</v>
      </c>
      <c r="D327" s="612">
        <f>VLOOKUP(ППД4!CE324,Реестр_Д4[Стоимость ОН без отделки со скидкой],1,0)</f>
        <v>6980023</v>
      </c>
      <c r="E327" s="612" cm="1">
        <f t="array" ref="E327">IFERROR(INDEX(РД[Стоимость без отделки итог],MATCH($B$3&amp;Таблица4[[#This Row],[№]]&amp;"Продажа",РД[Дом]&amp;РД[№ кв]&amp;РД[Состояние],0),1),Таблица4[[#This Row],[Статус]])</f>
        <v>6980023</v>
      </c>
      <c r="F327" s="235">
        <f>IFERROR((Таблица4[[#This Row],[ПП]]-Таблица4[[#This Row],[ДДУ]])*1,"")</f>
        <v>0</v>
      </c>
      <c r="G327" s="235" cm="1">
        <f t="array" ref="G327">IFERROR(INDEX(РД[Стоимость с отделкой итог],MATCH($B$3&amp;Таблица4[[#This Row],[№]]&amp;"Продажа",РД[Дом]&amp;РД[№ кв]&amp;РД[Состояние],0),1),Таблица4[[#This Row],[Статус]])</f>
        <v>7523848</v>
      </c>
      <c r="H327" s="235">
        <f>_xlfn.XLOOKUP(Таблица4[[#This Row],[№]],Реестр_Д4[№],Реестр_Д4[Стоимость квартиры с отделкой],"-",0)</f>
        <v>7523848</v>
      </c>
      <c r="I327" s="235">
        <f>IFERROR(Таблица4[[#This Row],[СО ПП]]-Таблица4[[#This Row],[СО ДДУ]],"")</f>
        <v>0</v>
      </c>
      <c r="J327" s="233" cm="1">
        <f t="array" ref="J327">IFERROR(INDEX(РД[S],MATCH($B$3&amp;Таблица4[[#This Row],[№]]&amp;"Продажа",РД[Дом]&amp;РД[№ кв]&amp;РД[Состояние],0),1),Таблица4[[#This Row],[Статус]])</f>
        <v>72.510000000000005</v>
      </c>
      <c r="K327" s="233">
        <f>VLOOKUP(Таблица4[[#This Row],[№]],Реестр_Д4[],20,0)</f>
        <v>72.510000000000005</v>
      </c>
      <c r="L327" s="235">
        <f>IFERROR(Таблица4[[#This Row],[S ПП]]-Таблица4[[#This Row],[S ДДУ]],)</f>
        <v>0</v>
      </c>
      <c r="M327" s="235">
        <f>ROUND(_xlfn.XLOOKUP(Таблица4[[#This Row],[№]],Реестр_Д4[№],Реестр_Д4[Итоговая сумма скидки],"",0),2)</f>
        <v>215877</v>
      </c>
      <c r="N327" s="235" cm="1">
        <f t="array" ref="N327">IFERROR(ROUND(_xlfn.XLOOKUP($B$3&amp;Таблица4[[#This Row],[№]]&amp;"Продажа",РД[Дом]&amp;РД[№ кв]&amp;РД[Состояние],РД[Сумма скидки],"",0),2),Таблица4[[#This Row],[Статус]])</f>
        <v>215877</v>
      </c>
      <c r="O327" s="235">
        <f>IFERROR(Таблица4[[#This Row],[ППС]]-Таблица4[[#This Row],[ДДУС]],)</f>
        <v>0</v>
      </c>
      <c r="P327" s="611"/>
      <c r="Q327" s="234">
        <f>VLOOKUP(ППД5!A324,Реестр_Д5[№],1,0)</f>
        <v>323</v>
      </c>
      <c r="R327" s="234" t="str">
        <f>VLOOKUP(ППД5!CH324,Реестр_Д5[Статус],1,0)</f>
        <v>Продажа</v>
      </c>
      <c r="S327" s="612">
        <f>VLOOKUP(ППД5!BZ324,Реестр_Д5[Стоимость ОН без отделки со скидкой],1,0)</f>
        <v>7103000</v>
      </c>
      <c r="T327" s="612" cm="1">
        <f t="array" ref="T327">IFERROR(INDEX(РД[Стоимость без отделки итог],MATCH($Q$3&amp;Таблица10[[#This Row],[№]]&amp;"Продажа",РД[Дом]&amp;РД[№ кв]&amp;РД[Состояние],0),1),Таблица10[[#This Row],[Статус]])</f>
        <v>7103000</v>
      </c>
      <c r="U327" s="235">
        <f>IFERROR((Таблица10[[#This Row],[ПП]]-Таблица10[[#This Row],[ДДУ]])*1,)</f>
        <v>0</v>
      </c>
      <c r="V327" s="235" cm="1">
        <f t="array" ref="V327">IFERROR(INDEX(РД[Стоимость с отделкой итог],MATCH($Q$3&amp;Таблица10[[#This Row],[№]]&amp;"Продажа",РД[Дом]&amp;РД[№ кв]&amp;РД[Состояние],0),1),Таблица10[[#This Row],[Статус]])</f>
        <v>7705400</v>
      </c>
      <c r="W327" s="235">
        <f>_xlfn.XLOOKUP(Таблица10[[#This Row],[№]],Реестр_Д5[№],Реестр_Д5[Стоимость квартиры с отделкой],"-",0)</f>
        <v>7705400</v>
      </c>
      <c r="X327" s="235">
        <f>IFERROR(Таблица10[[#This Row],[СО ПП]]-Таблица10[[#This Row],[СО ДДУ]],"")</f>
        <v>0</v>
      </c>
      <c r="Y327" s="233" cm="1">
        <f t="array" ref="Y327">IFERROR(INDEX(РД[S],MATCH($Q$3&amp;Таблица10[[#This Row],[№]]&amp;"Продажа",РД[Дом]&amp;РД[№ кв]&amp;РД[Состояние],0),1),Таблица10[[#This Row],[Статус]])</f>
        <v>60.24</v>
      </c>
      <c r="Z327" s="233">
        <f>IF(Таблица10[[#This Row],[№]]&amp;"ДДУ"=ППД5!A324&amp;ППД5!CR324,ППД5!U324,ППД5!V324)</f>
        <v>60.24</v>
      </c>
      <c r="AA327" s="285">
        <f>IFERROR(Таблица10[[#This Row],[S ПП]]-Таблица10[[#This Row],[S ДДУ]],)</f>
        <v>0</v>
      </c>
      <c r="AB327" s="235">
        <f>ROUND(_xlfn.XLOOKUP(Таблица10[[#This Row],[№]],Реестр_Д5[№],Реестр_Д5[Итоговая сумма скидки],"",0),2)</f>
        <v>300000</v>
      </c>
      <c r="AC327" s="235" cm="1">
        <f t="array" ref="AC327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327" s="285">
        <f>IFERROR(Таблица10[[#This Row],[ППС]]-Таблица10[[#This Row],[ДДУС]],)</f>
        <v>0</v>
      </c>
      <c r="AE327" s="611"/>
      <c r="AT327" s="611"/>
    </row>
    <row r="328" spans="1:46" x14ac:dyDescent="0.2">
      <c r="A328" s="611"/>
      <c r="B328" s="234">
        <f>VLOOKUP(ППД4!A325,Реестр_Д4[№],1,0)</f>
        <v>324</v>
      </c>
      <c r="C328" s="234" t="str">
        <f>VLOOKUP(ППД4!CO325,Реестр_Д4[Статус],1,0)</f>
        <v>Продажа</v>
      </c>
      <c r="D328" s="612">
        <f>VLOOKUP(ППД4!CE325,Реестр_Д4[Стоимость ОН без отделки со скидкой],1,0)</f>
        <v>2512112.4</v>
      </c>
      <c r="E328" s="612" cm="1">
        <f t="array" ref="E328">IFERROR(INDEX(РД[Стоимость без отделки итог],MATCH($B$3&amp;Таблица4[[#This Row],[№]]&amp;"Продажа",РД[Дом]&amp;РД[№ кв]&amp;РД[Состояние],0),1),Таблица4[[#This Row],[Статус]])</f>
        <v>2512112.4000000004</v>
      </c>
      <c r="F328" s="235">
        <f>IFERROR((Таблица4[[#This Row],[ПП]]-Таблица4[[#This Row],[ДДУ]])*1,"")</f>
        <v>-4.6566128730773926E-10</v>
      </c>
      <c r="G328" s="235" cm="1">
        <f t="array" ref="G328">IFERROR(INDEX(РД[Стоимость с отделкой итог],MATCH($B$3&amp;Таблица4[[#This Row],[№]]&amp;"Продажа",РД[Дом]&amp;РД[№ кв]&amp;РД[Состояние],0),1),Таблица4[[#This Row],[Статус]])</f>
        <v>2765912.4</v>
      </c>
      <c r="H328" s="235">
        <f>_xlfn.XLOOKUP(Таблица4[[#This Row],[№]],Реестр_Д4[№],Реестр_Д4[Стоимость квартиры с отделкой],"-",0)</f>
        <v>2765912.4</v>
      </c>
      <c r="I328" s="235">
        <f>IFERROR(Таблица4[[#This Row],[СО ПП]]-Таблица4[[#This Row],[СО ДДУ]],"")</f>
        <v>0</v>
      </c>
      <c r="J328" s="233" cm="1">
        <f t="array" ref="J328">IFERROR(INDEX(РД[S],MATCH($B$3&amp;Таблица4[[#This Row],[№]]&amp;"Продажа",РД[Дом]&amp;РД[№ кв]&amp;РД[Состояние],0),1),Таблица4[[#This Row],[Статус]])</f>
        <v>33.840000000000003</v>
      </c>
      <c r="K328" s="233">
        <f>VLOOKUP(Таблица4[[#This Row],[№]],Реестр_Д4[],20,0)</f>
        <v>33.840000000000003</v>
      </c>
      <c r="L328" s="235">
        <f>IFERROR(Таблица4[[#This Row],[S ПП]]-Таблица4[[#This Row],[S ДДУ]],)</f>
        <v>0</v>
      </c>
      <c r="M328" s="235">
        <f>ROUND(_xlfn.XLOOKUP(Таблица4[[#This Row],[№]],Реестр_Д4[№],Реестр_Д4[Итоговая сумма скидки],"",0),2)</f>
        <v>0</v>
      </c>
      <c r="N328" s="235" cm="1">
        <f t="array" ref="N32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8" s="235">
        <f>IFERROR(Таблица4[[#This Row],[ППС]]-Таблица4[[#This Row],[ДДУС]],)</f>
        <v>0</v>
      </c>
      <c r="P328" s="611"/>
      <c r="Q328" s="234">
        <f>VLOOKUP(ППД5!A325,Реестр_Д5[№],1,0)</f>
        <v>324</v>
      </c>
      <c r="R328" s="234" t="str">
        <f>VLOOKUP(ППД5!CH325,Реестр_Д5[Статус],1,0)</f>
        <v>Продажа</v>
      </c>
      <c r="S328" s="612">
        <f>VLOOKUP(ППД5!BZ325,Реестр_Д5[Стоимость ОН без отделки со скидкой],1,0)</f>
        <v>4412700</v>
      </c>
      <c r="T328" s="612" cm="1">
        <f t="array" ref="T328">IFERROR(INDEX(РД[Стоимость без отделки итог],MATCH($Q$3&amp;Таблица10[[#This Row],[№]]&amp;"Продажа",РД[Дом]&amp;РД[№ кв]&amp;РД[Состояние],0),1),Таблица10[[#This Row],[Статус]])</f>
        <v>4412700</v>
      </c>
      <c r="U328" s="235">
        <f>IFERROR((Таблица10[[#This Row],[ПП]]-Таблица10[[#This Row],[ДДУ]])*1,)</f>
        <v>0</v>
      </c>
      <c r="V328" s="235" cm="1">
        <f t="array" ref="V328">IFERROR(INDEX(РД[Стоимость с отделкой итог],MATCH($Q$3&amp;Таблица10[[#This Row],[№]]&amp;"Продажа",РД[Дом]&amp;РД[№ кв]&amp;РД[Состояние],0),1),Таблица10[[#This Row],[Статус]])</f>
        <v>4412700</v>
      </c>
      <c r="W328" s="235">
        <f>_xlfn.XLOOKUP(Таблица10[[#This Row],[№]],Реестр_Д5[№],Реестр_Д5[Стоимость квартиры с отделкой],"-",0)</f>
        <v>4412700</v>
      </c>
      <c r="X328" s="235">
        <f>IFERROR(Таблица10[[#This Row],[СО ПП]]-Таблица10[[#This Row],[СО ДДУ]],"")</f>
        <v>0</v>
      </c>
      <c r="Y328" s="233" cm="1">
        <f t="array" ref="Y328">IFERROR(INDEX(РД[S],MATCH($Q$3&amp;Таблица10[[#This Row],[№]]&amp;"Продажа",РД[Дом]&amp;РД[№ кв]&amp;РД[Состояние],0),1),Таблица10[[#This Row],[Статус]])</f>
        <v>37.81</v>
      </c>
      <c r="Z328" s="233">
        <f>IF(Таблица10[[#This Row],[№]]&amp;"ДДУ"=ППД5!A325&amp;ППД5!CR325,ППД5!U325,ППД5!V325)</f>
        <v>37.81</v>
      </c>
      <c r="AA328" s="285">
        <f>IFERROR(Таблица10[[#This Row],[S ПП]]-Таблица10[[#This Row],[S ДДУ]],)</f>
        <v>0</v>
      </c>
      <c r="AB328" s="235">
        <f>ROUND(_xlfn.XLOOKUP(Таблица10[[#This Row],[№]],Реестр_Д5[№],Реестр_Д5[Итоговая сумма скидки],"",0),2)</f>
        <v>0</v>
      </c>
      <c r="AC328" s="235" cm="1">
        <f t="array" ref="AC32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28" s="285">
        <f>IFERROR(Таблица10[[#This Row],[ППС]]-Таблица10[[#This Row],[ДДУС]],)</f>
        <v>0</v>
      </c>
      <c r="AE328" s="611"/>
      <c r="AT328" s="611"/>
    </row>
    <row r="329" spans="1:46" x14ac:dyDescent="0.2">
      <c r="A329" s="611"/>
      <c r="B329" s="234">
        <f>VLOOKUP(ППД4!A326,Реестр_Д4[№],1,0)</f>
        <v>325</v>
      </c>
      <c r="C329" s="234" t="str">
        <f>VLOOKUP(ППД4!CO326,Реестр_Д4[Статус],1,0)</f>
        <v>Продажа</v>
      </c>
      <c r="D329" s="612">
        <f>VLOOKUP(ППД4!CE326,Реестр_Д4[Стоимость ОН без отделки со скидкой],1,0)</f>
        <v>2446593.9900000002</v>
      </c>
      <c r="E329" s="612" cm="1">
        <f t="array" ref="E329">IFERROR(INDEX(РД[Стоимость без отделки итог],MATCH($B$3&amp;Таблица4[[#This Row],[№]]&amp;"Продажа",РД[Дом]&amp;РД[№ кв]&amp;РД[Состояние],0),1),Таблица4[[#This Row],[Статус]])</f>
        <v>2446593.9900000002</v>
      </c>
      <c r="F329" s="235">
        <f>IFERROR((Таблица4[[#This Row],[ПП]]-Таблица4[[#This Row],[ДДУ]])*1,"")</f>
        <v>0</v>
      </c>
      <c r="G329" s="235" cm="1">
        <f t="array" ref="G329">IFERROR(INDEX(РД[Стоимость с отделкой итог],MATCH($B$3&amp;Таблица4[[#This Row],[№]]&amp;"Продажа",РД[Дом]&amp;РД[№ кв]&amp;РД[Состояние],0),1),Таблица4[[#This Row],[Статус]])</f>
        <v>2446593.9900000002</v>
      </c>
      <c r="H329" s="235">
        <f>_xlfn.XLOOKUP(Таблица4[[#This Row],[№]],Реестр_Д4[№],Реестр_Д4[Стоимость квартиры с отделкой],"-",0)</f>
        <v>2446593.9900000002</v>
      </c>
      <c r="I329" s="235">
        <f>IFERROR(Таблица4[[#This Row],[СО ПП]]-Таблица4[[#This Row],[СО ДДУ]],"")</f>
        <v>0</v>
      </c>
      <c r="J329" s="233" cm="1">
        <f t="array" ref="J329">IFERROR(INDEX(РД[S],MATCH($B$3&amp;Таблица4[[#This Row],[№]]&amp;"Продажа",РД[Дом]&amp;РД[№ кв]&amp;РД[Состояние],0),1),Таблица4[[#This Row],[Статус]])</f>
        <v>29.35</v>
      </c>
      <c r="K329" s="233">
        <f>VLOOKUP(Таблица4[[#This Row],[№]],Реестр_Д4[],20,0)</f>
        <v>29.35</v>
      </c>
      <c r="L329" s="235">
        <f>IFERROR(Таблица4[[#This Row],[S ПП]]-Таблица4[[#This Row],[S ДДУ]],)</f>
        <v>0</v>
      </c>
      <c r="M329" s="235">
        <f>ROUND(_xlfn.XLOOKUP(Таблица4[[#This Row],[№]],Реестр_Д4[№],Реестр_Д4[Итоговая сумма скидки],"",0),2)</f>
        <v>0</v>
      </c>
      <c r="N329" s="235" cm="1">
        <f t="array" ref="N32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29" s="235">
        <f>IFERROR(Таблица4[[#This Row],[ППС]]-Таблица4[[#This Row],[ДДУС]],)</f>
        <v>0</v>
      </c>
      <c r="P329" s="611"/>
      <c r="Q329" s="234">
        <f>VLOOKUP(ППД5!A326,Реестр_Д5[№],1,0)</f>
        <v>325</v>
      </c>
      <c r="R329" s="234" t="str">
        <f>VLOOKUP(ППД5!CH326,Реестр_Д5[Статус],1,0)</f>
        <v>Продажа</v>
      </c>
      <c r="S329" s="612">
        <f>VLOOKUP(ППД5!BZ326,Реестр_Д5[Стоимость ОН без отделки со скидкой],1,0)</f>
        <v>6890395</v>
      </c>
      <c r="T329" s="612" cm="1">
        <f t="array" ref="T329">IFERROR(INDEX(РД[Стоимость без отделки итог],MATCH($Q$3&amp;Таблица10[[#This Row],[№]]&amp;"Продажа",РД[Дом]&amp;РД[№ кв]&amp;РД[Состояние],0),1),Таблица10[[#This Row],[Статус]])</f>
        <v>6890395</v>
      </c>
      <c r="U329" s="235">
        <f>IFERROR((Таблица10[[#This Row],[ПП]]-Таблица10[[#This Row],[ДДУ]])*1,)</f>
        <v>0</v>
      </c>
      <c r="V329" s="235" cm="1">
        <f t="array" ref="V329">IFERROR(INDEX(РД[Стоимость с отделкой итог],MATCH($Q$3&amp;Таблица10[[#This Row],[№]]&amp;"Продажа",РД[Дом]&amp;РД[№ кв]&amp;РД[Состояние],0),1),Таблица10[[#This Row],[Статус]])</f>
        <v>7457185</v>
      </c>
      <c r="W329" s="235">
        <f>_xlfn.XLOOKUP(Таблица10[[#This Row],[№]],Реестр_Д5[№],Реестр_Д5[Стоимость квартиры с отделкой],"-",0)</f>
        <v>7457185</v>
      </c>
      <c r="X329" s="235">
        <f>IFERROR(Таблица10[[#This Row],[СО ПП]]-Таблица10[[#This Row],[СО ДДУ]],"")</f>
        <v>0</v>
      </c>
      <c r="Y329" s="233" cm="1">
        <f t="array" ref="Y329">IFERROR(INDEX(РД[S],MATCH($Q$3&amp;Таблица10[[#This Row],[№]]&amp;"Продажа",РД[Дом]&amp;РД[№ кв]&amp;РД[Состояние],0),1),Таблица10[[#This Row],[Статус]])</f>
        <v>80.97</v>
      </c>
      <c r="Z329" s="233">
        <f>IF(Таблица10[[#This Row],[№]]&amp;"ДДУ"=ППД5!A326&amp;ППД5!CR326,ППД5!U326,ППД5!V326)</f>
        <v>80.97</v>
      </c>
      <c r="AA329" s="285">
        <f>IFERROR(Таблица10[[#This Row],[S ПП]]-Таблица10[[#This Row],[S ДДУ]],)</f>
        <v>0</v>
      </c>
      <c r="AB329" s="235">
        <f>ROUND(_xlfn.XLOOKUP(Таблица10[[#This Row],[№]],Реестр_Д5[№],Реестр_Д5[Итоговая сумма скидки],"",0),2)</f>
        <v>213105</v>
      </c>
      <c r="AC329" s="235" cm="1">
        <f t="array" ref="AC329">IFERROR(ROUND(_xlfn.XLOOKUP($Q$3&amp;Таблица10[[#This Row],[№]]&amp;"Продажа",РД[Дом]&amp;РД[№ кв]&amp;РД[Состояние],РД[Сумма скидки],"",0,-1),2),Таблица10[[#This Row],[Статус]])</f>
        <v>213105</v>
      </c>
      <c r="AD329" s="285">
        <f>IFERROR(Таблица10[[#This Row],[ППС]]-Таблица10[[#This Row],[ДДУС]],)</f>
        <v>0</v>
      </c>
      <c r="AE329" s="611"/>
      <c r="AT329" s="611"/>
    </row>
    <row r="330" spans="1:46" x14ac:dyDescent="0.2">
      <c r="A330" s="611"/>
      <c r="B330" s="234">
        <f>VLOOKUP(ППД4!A327,Реестр_Д4[№],1,0)</f>
        <v>326</v>
      </c>
      <c r="C330" s="234" t="str">
        <f>VLOOKUP(ППД4!CO327,Реестр_Д4[Статус],1,0)</f>
        <v>Продажа</v>
      </c>
      <c r="D330" s="612">
        <f>VLOOKUP(ППД4!CE327,Реестр_Д4[Стоимость ОН без отделки со скидкой],1,0)</f>
        <v>5955749.5499999998</v>
      </c>
      <c r="E330" s="612" cm="1">
        <f t="array" ref="E330">IFERROR(INDEX(РД[Стоимость без отделки итог],MATCH($B$3&amp;Таблица4[[#This Row],[№]]&amp;"Продажа",РД[Дом]&amp;РД[№ кв]&amp;РД[Состояние],0),1),Таблица4[[#This Row],[Статус]])</f>
        <v>5955749.5499999998</v>
      </c>
      <c r="F330" s="235">
        <f>IFERROR((Таблица4[[#This Row],[ПП]]-Таблица4[[#This Row],[ДДУ]])*1,"")</f>
        <v>0</v>
      </c>
      <c r="G330" s="235" cm="1">
        <f t="array" ref="G330">IFERROR(INDEX(РД[Стоимость с отделкой итог],MATCH($B$3&amp;Таблица4[[#This Row],[№]]&amp;"Продажа",РД[Дом]&amp;РД[№ кв]&amp;РД[Состояние],0),1),Таблица4[[#This Row],[Статус]])</f>
        <v>6465374.5499999998</v>
      </c>
      <c r="H330" s="235">
        <f>_xlfn.XLOOKUP(Таблица4[[#This Row],[№]],Реестр_Д4[№],Реестр_Д4[Стоимость квартиры с отделкой],"-",0)</f>
        <v>6465374.5499999998</v>
      </c>
      <c r="I330" s="235">
        <f>IFERROR(Таблица4[[#This Row],[СО ПП]]-Таблица4[[#This Row],[СО ДДУ]],"")</f>
        <v>0</v>
      </c>
      <c r="J330" s="233" cm="1">
        <f t="array" ref="J330">IFERROR(INDEX(РД[S],MATCH($B$3&amp;Таблица4[[#This Row],[№]]&amp;"Продажа",РД[Дом]&amp;РД[№ кв]&amp;РД[Состояние],0),1),Таблица4[[#This Row],[Статус]])</f>
        <v>67.95</v>
      </c>
      <c r="K330" s="233">
        <f>VLOOKUP(Таблица4[[#This Row],[№]],Реестр_Д4[],20,0)</f>
        <v>67.95</v>
      </c>
      <c r="L330" s="235">
        <f>IFERROR(Таблица4[[#This Row],[S ПП]]-Таблица4[[#This Row],[S ДДУ]],)</f>
        <v>0</v>
      </c>
      <c r="M330" s="235">
        <f>ROUND(_xlfn.XLOOKUP(Таблица4[[#This Row],[№]],Реестр_Д4[№],Реестр_Д4[Итоговая сумма скидки],"",0),2)</f>
        <v>0</v>
      </c>
      <c r="N330" s="235" cm="1">
        <f t="array" ref="N33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30" s="235">
        <f>IFERROR(Таблица4[[#This Row],[ППС]]-Таблица4[[#This Row],[ДДУС]],)</f>
        <v>0</v>
      </c>
      <c r="P330" s="611"/>
      <c r="Q330" s="234">
        <f>VLOOKUP(ППД5!A327,Реестр_Д5[№],1,0)</f>
        <v>326</v>
      </c>
      <c r="R330" s="234" t="str">
        <f>VLOOKUP(ППД5!CH327,Реестр_Д5[Статус],1,0)</f>
        <v>Продажа</v>
      </c>
      <c r="S330" s="612">
        <f>VLOOKUP(ППД5!BZ327,Реестр_Д5[Стоимость ОН без отделки со скидкой],1,0)</f>
        <v>4191558</v>
      </c>
      <c r="T330" s="612" cm="1">
        <f t="array" ref="T330">IFERROR(INDEX(РД[Стоимость без отделки итог],MATCH($Q$3&amp;Таблица10[[#This Row],[№]]&amp;"Продажа",РД[Дом]&amp;РД[№ кв]&amp;РД[Состояние],0),1),Таблица10[[#This Row],[Статус]])</f>
        <v>4191558</v>
      </c>
      <c r="U330" s="235">
        <f>IFERROR((Таблица10[[#This Row],[ПП]]-Таблица10[[#This Row],[ДДУ]])*1,)</f>
        <v>0</v>
      </c>
      <c r="V330" s="235" cm="1">
        <f t="array" ref="V330">IFERROR(INDEX(РД[Стоимость с отделкой итог],MATCH($Q$3&amp;Таблица10[[#This Row],[№]]&amp;"Продажа",РД[Дом]&amp;РД[№ кв]&amp;РД[Состояние],0),1),Таблица10[[#This Row],[Статус]])</f>
        <v>5026998</v>
      </c>
      <c r="W330" s="235">
        <f>_xlfn.XLOOKUP(Таблица10[[#This Row],[№]],Реестр_Д5[№],Реестр_Д5[Стоимость квартиры с отделкой],"-",0)</f>
        <v>5026998</v>
      </c>
      <c r="X330" s="235">
        <f>IFERROR(Таблица10[[#This Row],[СО ПП]]-Таблица10[[#This Row],[СО ДДУ]],"")</f>
        <v>0</v>
      </c>
      <c r="Y330" s="233" cm="1">
        <f t="array" ref="Y330">IFERROR(INDEX(РД[S],MATCH($Q$3&amp;Таблица10[[#This Row],[№]]&amp;"Продажа",РД[Дом]&amp;РД[№ кв]&amp;РД[Состояние],0),1),Таблица10[[#This Row],[Статус]])</f>
        <v>34.81</v>
      </c>
      <c r="Z330" s="233">
        <f>IF(Таблица10[[#This Row],[№]]&amp;"ДДУ"=ППД5!A327&amp;ППД5!CR327,ППД5!U327,ППД5!V327)</f>
        <v>34.81</v>
      </c>
      <c r="AA330" s="285">
        <f>IFERROR(Таблица10[[#This Row],[S ПП]]-Таблица10[[#This Row],[S ДДУ]],)</f>
        <v>0</v>
      </c>
      <c r="AB330" s="235">
        <f>ROUND(_xlfn.XLOOKUP(Таблица10[[#This Row],[№]],Реестр_Д5[№],Реестр_Д5[Итоговая сумма скидки],"",0),2)</f>
        <v>85542</v>
      </c>
      <c r="AC330" s="235" cm="1">
        <f t="array" ref="AC330">IFERROR(ROUND(_xlfn.XLOOKUP($Q$3&amp;Таблица10[[#This Row],[№]]&amp;"Продажа",РД[Дом]&amp;РД[№ кв]&amp;РД[Состояние],РД[Сумма скидки],"",0,-1),2),Таблица10[[#This Row],[Статус]])</f>
        <v>85542</v>
      </c>
      <c r="AD330" s="285">
        <f>IFERROR(Таблица10[[#This Row],[ППС]]-Таблица10[[#This Row],[ДДУС]],)</f>
        <v>0</v>
      </c>
      <c r="AE330" s="611"/>
      <c r="AT330" s="611"/>
    </row>
    <row r="331" spans="1:46" x14ac:dyDescent="0.2">
      <c r="A331" s="611"/>
      <c r="B331" s="234">
        <f>VLOOKUP(ППД4!A328,Реестр_Д4[№],1,0)</f>
        <v>327</v>
      </c>
      <c r="C331" s="234" t="str">
        <f>VLOOKUP(ППД4!CO328,Реестр_Д4[Статус],1,0)</f>
        <v>Продажа</v>
      </c>
      <c r="D331" s="612">
        <f>VLOOKUP(ППД4!CE328,Реестр_Д4[Стоимость ОН без отделки со скидкой],1,0)</f>
        <v>3882800</v>
      </c>
      <c r="E331" s="612" cm="1">
        <f t="array" ref="E331">IFERROR(INDEX(РД[Стоимость без отделки итог],MATCH($B$3&amp;Таблица4[[#This Row],[№]]&amp;"Продажа",РД[Дом]&amp;РД[№ кв]&amp;РД[Состояние],0),1),Таблица4[[#This Row],[Статус]])</f>
        <v>3882800</v>
      </c>
      <c r="F331" s="235">
        <f>IFERROR((Таблица4[[#This Row],[ПП]]-Таблица4[[#This Row],[ДДУ]])*1,"")</f>
        <v>0</v>
      </c>
      <c r="G331" s="235" cm="1">
        <f t="array" ref="G331">IFERROR(INDEX(РД[Стоимость с отделкой итог],MATCH($B$3&amp;Таблица4[[#This Row],[№]]&amp;"Продажа",РД[Дом]&amp;РД[№ кв]&amp;РД[Состояние],0),1),Таблица4[[#This Row],[Статус]])</f>
        <v>3882800</v>
      </c>
      <c r="H331" s="235">
        <f>_xlfn.XLOOKUP(Таблица4[[#This Row],[№]],Реестр_Д4[№],Реестр_Д4[Стоимость квартиры с отделкой],"-",0)</f>
        <v>3882800</v>
      </c>
      <c r="I331" s="235">
        <f>IFERROR(Таблица4[[#This Row],[СО ПП]]-Таблица4[[#This Row],[СО ДДУ]],"")</f>
        <v>0</v>
      </c>
      <c r="J331" s="233" cm="1">
        <f t="array" ref="J331">IFERROR(INDEX(РД[S],MATCH($B$3&amp;Таблица4[[#This Row],[№]]&amp;"Продажа",РД[Дом]&amp;РД[№ кв]&amp;РД[Состояние],0),1),Таблица4[[#This Row],[Статус]])</f>
        <v>36.450000000000003</v>
      </c>
      <c r="K331" s="233">
        <f>VLOOKUP(Таблица4[[#This Row],[№]],Реестр_Д4[],20,0)</f>
        <v>36.450000000000003</v>
      </c>
      <c r="L331" s="235">
        <f>IFERROR(Таблица4[[#This Row],[S ПП]]-Таблица4[[#This Row],[S ДДУ]],)</f>
        <v>0</v>
      </c>
      <c r="M331" s="235">
        <f>ROUND(_xlfn.XLOOKUP(Таблица4[[#This Row],[№]],Реестр_Д4[№],Реестр_Д4[Итоговая сумма скидки],"",0),2)</f>
        <v>0</v>
      </c>
      <c r="N331" s="235" cm="1">
        <f t="array" ref="N33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31" s="235">
        <f>IFERROR(Таблица4[[#This Row],[ППС]]-Таблица4[[#This Row],[ДДУС]],)</f>
        <v>0</v>
      </c>
      <c r="P331" s="611"/>
      <c r="Q331" s="234">
        <f>VLOOKUP(ППД5!A328,Реестр_Д5[№],1,0)</f>
        <v>327</v>
      </c>
      <c r="R331" s="234" t="str">
        <f>VLOOKUP(ППД5!CH328,Реестр_Д5[Статус],1,0)</f>
        <v>Продажа</v>
      </c>
      <c r="S331" s="612">
        <f>VLOOKUP(ППД5!BZ328,Реестр_Д5[Стоимость ОН без отделки со скидкой],1,0)</f>
        <v>6273078</v>
      </c>
      <c r="T331" s="612" cm="1">
        <f t="array" ref="T331">IFERROR(INDEX(РД[Стоимость без отделки итог],MATCH($Q$3&amp;Таблица10[[#This Row],[№]]&amp;"Продажа",РД[Дом]&amp;РД[№ кв]&amp;РД[Состояние],0),1),Таблица10[[#This Row],[Статус]])</f>
        <v>6273078</v>
      </c>
      <c r="U331" s="235">
        <f>IFERROR((Таблица10[[#This Row],[ПП]]-Таблица10[[#This Row],[ДДУ]])*1,)</f>
        <v>0</v>
      </c>
      <c r="V331" s="235" cm="1">
        <f t="array" ref="V331">IFERROR(INDEX(РД[Стоимость с отделкой итог],MATCH($Q$3&amp;Таблица10[[#This Row],[№]]&amp;"Продажа",РД[Дом]&amp;РД[№ кв]&amp;РД[Состояние],0),1),Таблица10[[#This Row],[Статус]])</f>
        <v>6273078</v>
      </c>
      <c r="W331" s="235">
        <f>_xlfn.XLOOKUP(Таблица10[[#This Row],[№]],Реестр_Д5[№],Реестр_Д5[Стоимость квартиры с отделкой],"-",0)</f>
        <v>6273078</v>
      </c>
      <c r="X331" s="235">
        <f>IFERROR(Таблица10[[#This Row],[СО ПП]]-Таблица10[[#This Row],[СО ДДУ]],"")</f>
        <v>0</v>
      </c>
      <c r="Y331" s="233" cm="1">
        <f t="array" ref="Y331">IFERROR(INDEX(РД[S],MATCH($Q$3&amp;Таблица10[[#This Row],[№]]&amp;"Продажа",РД[Дом]&amp;РД[№ кв]&amp;РД[Состояние],0),1),Таблица10[[#This Row],[Статус]])</f>
        <v>73.7</v>
      </c>
      <c r="Z331" s="233">
        <f>IF(Таблица10[[#This Row],[№]]&amp;"ДДУ"=ППД5!A328&amp;ППД5!CR328,ППД5!U328,ППД5!V328)</f>
        <v>73.7</v>
      </c>
      <c r="AA331" s="285">
        <f>IFERROR(Таблица10[[#This Row],[S ПП]]-Таблица10[[#This Row],[S ДДУ]],)</f>
        <v>0</v>
      </c>
      <c r="AB331" s="235">
        <f>ROUND(_xlfn.XLOOKUP(Таблица10[[#This Row],[№]],Реестр_Д5[№],Реестр_Д5[Итоговая сумма скидки],"",0),2)</f>
        <v>128022</v>
      </c>
      <c r="AC331" s="235" cm="1">
        <f t="array" ref="AC331">IFERROR(ROUND(_xlfn.XLOOKUP($Q$3&amp;Таблица10[[#This Row],[№]]&amp;"Продажа",РД[Дом]&amp;РД[№ кв]&amp;РД[Состояние],РД[Сумма скидки],"",0,-1),2),Таблица10[[#This Row],[Статус]])</f>
        <v>128022</v>
      </c>
      <c r="AD331" s="285">
        <f>IFERROR(Таблица10[[#This Row],[ППС]]-Таблица10[[#This Row],[ДДУС]],)</f>
        <v>0</v>
      </c>
      <c r="AE331" s="611"/>
      <c r="AT331" s="611"/>
    </row>
    <row r="332" spans="1:46" x14ac:dyDescent="0.2">
      <c r="A332" s="611"/>
      <c r="B332" s="234">
        <f>VLOOKUP(ППД4!A329,Реестр_Д4[№],1,0)</f>
        <v>328</v>
      </c>
      <c r="C332" s="234" t="str">
        <f>VLOOKUP(ППД4!CO329,Реестр_Д4[Статус],1,0)</f>
        <v>Продажа</v>
      </c>
      <c r="D332" s="612">
        <f>VLOOKUP(ППД4!CE329,Реестр_Д4[Стоимость ОН без отделки со скидкой],1,0)</f>
        <v>4431299.96</v>
      </c>
      <c r="E332" s="612" cm="1">
        <f t="array" ref="E332">IFERROR(INDEX(РД[Стоимость без отделки итог],MATCH($B$3&amp;Таблица4[[#This Row],[№]]&amp;"Продажа",РД[Дом]&amp;РД[№ кв]&amp;РД[Состояние],0),1),Таблица4[[#This Row],[Статус]])</f>
        <v>4431299.96</v>
      </c>
      <c r="F332" s="235">
        <f>IFERROR((Таблица4[[#This Row],[ПП]]-Таблица4[[#This Row],[ДДУ]])*1,"")</f>
        <v>0</v>
      </c>
      <c r="G332" s="235" cm="1">
        <f t="array" ref="G332">IFERROR(INDEX(РД[Стоимость с отделкой итог],MATCH($B$3&amp;Таблица4[[#This Row],[№]]&amp;"Продажа",РД[Дом]&amp;РД[№ кв]&amp;РД[Состояние],0),1),Таблица4[[#This Row],[Статус]])</f>
        <v>4431299.96</v>
      </c>
      <c r="H332" s="235">
        <f>_xlfn.XLOOKUP(Таблица4[[#This Row],[№]],Реестр_Д4[№],Реестр_Д4[Стоимость квартиры с отделкой],"-",0)</f>
        <v>4431299.96</v>
      </c>
      <c r="I332" s="235">
        <f>IFERROR(Таблица4[[#This Row],[СО ПП]]-Таблица4[[#This Row],[СО ДДУ]],"")</f>
        <v>0</v>
      </c>
      <c r="J332" s="233" cm="1">
        <f t="array" ref="J332">IFERROR(INDEX(РД[S],MATCH($B$3&amp;Таблица4[[#This Row],[№]]&amp;"Продажа",РД[Дом]&amp;РД[№ кв]&amp;РД[Состояние],0),1),Таблица4[[#This Row],[Статус]])</f>
        <v>58.55</v>
      </c>
      <c r="K332" s="233">
        <f>VLOOKUP(Таблица4[[#This Row],[№]],Реестр_Д4[],20,0)</f>
        <v>58.55</v>
      </c>
      <c r="L332" s="235">
        <f>IFERROR(Таблица4[[#This Row],[S ПП]]-Таблица4[[#This Row],[S ДДУ]],)</f>
        <v>0</v>
      </c>
      <c r="M332" s="235">
        <f>ROUND(_xlfn.XLOOKUP(Таблица4[[#This Row],[№]],Реестр_Д4[№],Реестр_Д4[Итоговая сумма скидки],"",0),2)</f>
        <v>0</v>
      </c>
      <c r="N332" s="235" cm="1">
        <f t="array" ref="N33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32" s="235">
        <f>IFERROR(Таблица4[[#This Row],[ППС]]-Таблица4[[#This Row],[ДДУС]],)</f>
        <v>0</v>
      </c>
      <c r="P332" s="611"/>
      <c r="Q332" s="234">
        <f>VLOOKUP(ППД5!A329,Реестр_Д5[№],1,0)</f>
        <v>328</v>
      </c>
      <c r="R332" s="234" t="str">
        <f>VLOOKUP(ППД5!CH329,Реестр_Д5[Статус],1,0)</f>
        <v>Продажа</v>
      </c>
      <c r="S332" s="612">
        <f>VLOOKUP(ППД5!BZ329,Реестр_Д5[Стоимость ОН без отделки со скидкой],1,0)</f>
        <v>2919072</v>
      </c>
      <c r="T332" s="612" cm="1">
        <f t="array" ref="T332">IFERROR(INDEX(РД[Стоимость без отделки итог],MATCH($Q$3&amp;Таблица10[[#This Row],[№]]&amp;"Продажа",РД[Дом]&amp;РД[№ кв]&amp;РД[Состояние],0),1),Таблица10[[#This Row],[Статус]])</f>
        <v>2919072</v>
      </c>
      <c r="U332" s="235">
        <f>IFERROR((Таблица10[[#This Row],[ПП]]-Таблица10[[#This Row],[ДДУ]])*1,)</f>
        <v>0</v>
      </c>
      <c r="V332" s="235" cm="1">
        <f t="array" ref="V332">IFERROR(INDEX(РД[Стоимость с отделкой итог],MATCH($Q$3&amp;Таблица10[[#This Row],[№]]&amp;"Продажа",РД[Дом]&amp;РД[№ кв]&amp;РД[Состояние],0),1),Таблица10[[#This Row],[Статус]])</f>
        <v>3409672</v>
      </c>
      <c r="W332" s="235">
        <f>_xlfn.XLOOKUP(Таблица10[[#This Row],[№]],Реестр_Д5[№],Реестр_Д5[Стоимость квартиры с отделкой],"-",0)</f>
        <v>3409672</v>
      </c>
      <c r="X332" s="235">
        <f>IFERROR(Таблица10[[#This Row],[СО ПП]]-Таблица10[[#This Row],[СО ДДУ]],"")</f>
        <v>0</v>
      </c>
      <c r="Y332" s="233" cm="1">
        <f t="array" ref="Y332">IFERROR(INDEX(РД[S],MATCH($Q$3&amp;Таблица10[[#This Row],[№]]&amp;"Продажа",РД[Дом]&amp;РД[№ кв]&amp;РД[Состояние],0),1),Таблица10[[#This Row],[Статус]])</f>
        <v>24.53</v>
      </c>
      <c r="Z332" s="233">
        <f>IF(Таблица10[[#This Row],[№]]&amp;"ДДУ"=ППД5!A329&amp;ППД5!CR329,ППД5!U329,ППД5!V329)</f>
        <v>24.53</v>
      </c>
      <c r="AA332" s="285">
        <f>IFERROR(Таблица10[[#This Row],[S ПП]]-Таблица10[[#This Row],[S ДДУ]],)</f>
        <v>0</v>
      </c>
      <c r="AB332" s="235">
        <f>ROUND(_xlfn.XLOOKUP(Таблица10[[#This Row],[№]],Реестр_Д5[№],Реестр_Д5[Итоговая сумма скидки],"",0),2)</f>
        <v>121628</v>
      </c>
      <c r="AC332" s="235" cm="1">
        <f t="array" ref="AC332">IFERROR(ROUND(_xlfn.XLOOKUP($Q$3&amp;Таблица10[[#This Row],[№]]&amp;"Продажа",РД[Дом]&amp;РД[№ кв]&amp;РД[Состояние],РД[Сумма скидки],"",0,-1),2),Таблица10[[#This Row],[Статус]])</f>
        <v>121628</v>
      </c>
      <c r="AD332" s="285">
        <f>IFERROR(Таблица10[[#This Row],[ППС]]-Таблица10[[#This Row],[ДДУС]],)</f>
        <v>0</v>
      </c>
      <c r="AE332" s="611"/>
      <c r="AT332" s="611"/>
    </row>
    <row r="333" spans="1:46" x14ac:dyDescent="0.2">
      <c r="A333" s="611"/>
      <c r="B333" s="234">
        <f>VLOOKUP(ППД4!A330,Реестр_Д4[№],1,0)</f>
        <v>329</v>
      </c>
      <c r="C333" s="234" t="str">
        <f>VLOOKUP(ППД4!CO330,Реестр_Д4[Статус],1,0)</f>
        <v>Продажа</v>
      </c>
      <c r="D333" s="612">
        <f>VLOOKUP(ППД4!CE330,Реестр_Д4[Стоимость ОН без отделки со скидкой],1,0)</f>
        <v>3882112.92</v>
      </c>
      <c r="E333" s="612" cm="1">
        <f t="array" ref="E333">IFERROR(INDEX(РД[Стоимость без отделки итог],MATCH($B$3&amp;Таблица4[[#This Row],[№]]&amp;"Продажа",РД[Дом]&amp;РД[№ кв]&amp;РД[Состояние],0),1),Таблица4[[#This Row],[Статус]])</f>
        <v>3882112.92</v>
      </c>
      <c r="F333" s="235">
        <f>IFERROR((Таблица4[[#This Row],[ПП]]-Таблица4[[#This Row],[ДДУ]])*1,"")</f>
        <v>0</v>
      </c>
      <c r="G333" s="235" cm="1">
        <f t="array" ref="G333">IFERROR(INDEX(РД[Стоимость с отделкой итог],MATCH($B$3&amp;Таблица4[[#This Row],[№]]&amp;"Продажа",РД[Дом]&amp;РД[№ кв]&amp;РД[Состояние],0),1),Таблица4[[#This Row],[Статус]])</f>
        <v>3882112.92</v>
      </c>
      <c r="H333" s="235">
        <f>_xlfn.XLOOKUP(Таблица4[[#This Row],[№]],Реестр_Д4[№],Реестр_Д4[Стоимость квартиры с отделкой],"-",0)</f>
        <v>3882112.92</v>
      </c>
      <c r="I333" s="235">
        <f>IFERROR(Таблица4[[#This Row],[СО ПП]]-Таблица4[[#This Row],[СО ДДУ]],"")</f>
        <v>0</v>
      </c>
      <c r="J333" s="233" cm="1">
        <f t="array" ref="J333">IFERROR(INDEX(РД[S],MATCH($B$3&amp;Таблица4[[#This Row],[№]]&amp;"Продажа",РД[Дом]&amp;РД[№ кв]&amp;РД[Состояние],0),1),Таблица4[[#This Row],[Статус]])</f>
        <v>56.7</v>
      </c>
      <c r="K333" s="233">
        <f>VLOOKUP(Таблица4[[#This Row],[№]],Реестр_Д4[],20,0)</f>
        <v>56.7</v>
      </c>
      <c r="L333" s="235">
        <f>IFERROR(Таблица4[[#This Row],[S ПП]]-Таблица4[[#This Row],[S ДДУ]],)</f>
        <v>0</v>
      </c>
      <c r="M333" s="235">
        <f>ROUND(_xlfn.XLOOKUP(Таблица4[[#This Row],[№]],Реестр_Д4[№],Реестр_Д4[Итоговая сумма скидки],"",0),2)</f>
        <v>204321.74</v>
      </c>
      <c r="N333" s="235" cm="1">
        <f t="array" ref="N333">IFERROR(ROUND(_xlfn.XLOOKUP($B$3&amp;Таблица4[[#This Row],[№]]&amp;"Продажа",РД[Дом]&amp;РД[№ кв]&amp;РД[Состояние],РД[Сумма скидки],"",0),2),Таблица4[[#This Row],[Статус]])</f>
        <v>204321.74</v>
      </c>
      <c r="O333" s="235">
        <f>IFERROR(Таблица4[[#This Row],[ППС]]-Таблица4[[#This Row],[ДДУС]],)</f>
        <v>0</v>
      </c>
      <c r="P333" s="611"/>
      <c r="Q333" s="234">
        <f>VLOOKUP(ППД5!A330,Реестр_Д5[№],1,0)</f>
        <v>329</v>
      </c>
      <c r="R333" s="234" t="str">
        <f>VLOOKUP(ППД5!CH330,Реестр_Д5[Статус],1,0)</f>
        <v>Продажа</v>
      </c>
      <c r="S333" s="612">
        <f>VLOOKUP(ППД5!BZ330,Реестр_Д5[Стоимость ОН без отделки со скидкой],1,0)</f>
        <v>6663533</v>
      </c>
      <c r="T333" s="612" cm="1">
        <f t="array" ref="T333">IFERROR(INDEX(РД[Стоимость без отделки итог],MATCH($Q$3&amp;Таблица10[[#This Row],[№]]&amp;"Продажа",РД[Дом]&amp;РД[№ кв]&amp;РД[Состояние],0),1),Таблица10[[#This Row],[Статус]])</f>
        <v>6663533</v>
      </c>
      <c r="U333" s="235">
        <f>IFERROR((Таблица10[[#This Row],[ПП]]-Таблица10[[#This Row],[ДДУ]])*1,)</f>
        <v>0</v>
      </c>
      <c r="V333" s="235" cm="1">
        <f t="array" ref="V333">IFERROR(INDEX(РД[Стоимость с отделкой итог],MATCH($Q$3&amp;Таблица10[[#This Row],[№]]&amp;"Продажа",РД[Дом]&amp;РД[№ кв]&amp;РД[Состояние],0),1),Таблица10[[#This Row],[Статус]])</f>
        <v>6663533</v>
      </c>
      <c r="W333" s="235">
        <f>_xlfn.XLOOKUP(Таблица10[[#This Row],[№]],Реестр_Д5[№],Реестр_Д5[Стоимость квартиры с отделкой],"-",0)</f>
        <v>6663533</v>
      </c>
      <c r="X333" s="235">
        <f>IFERROR(Таблица10[[#This Row],[СО ПП]]-Таблица10[[#This Row],[СО ДДУ]],"")</f>
        <v>0</v>
      </c>
      <c r="Y333" s="233" cm="1">
        <f t="array" ref="Y333">IFERROR(INDEX(РД[S],MATCH($Q$3&amp;Таблица10[[#This Row],[№]]&amp;"Продажа",РД[Дом]&amp;РД[№ кв]&amp;РД[Состояние],0),1),Таблица10[[#This Row],[Статус]])</f>
        <v>56.58</v>
      </c>
      <c r="Z333" s="233">
        <f>IF(Таблица10[[#This Row],[№]]&amp;"ДДУ"=ППД5!A330&amp;ППД5!CR330,ППД5!U330,ППД5!V330)</f>
        <v>56.58</v>
      </c>
      <c r="AA333" s="285">
        <f>IFERROR(Таблица10[[#This Row],[S ПП]]-Таблица10[[#This Row],[S ДДУ]],)</f>
        <v>0</v>
      </c>
      <c r="AB333" s="235">
        <f>ROUND(_xlfn.XLOOKUP(Таблица10[[#This Row],[№]],Реестр_Д5[№],Реестр_Д5[Итоговая сумма скидки],"",0),2)</f>
        <v>515367</v>
      </c>
      <c r="AC333" s="235" cm="1">
        <f t="array" ref="AC333">IFERROR(ROUND(_xlfn.XLOOKUP($Q$3&amp;Таблица10[[#This Row],[№]]&amp;"Продажа",РД[Дом]&amp;РД[№ кв]&amp;РД[Состояние],РД[Сумма скидки],"",0,-1),2),Таблица10[[#This Row],[Статус]])</f>
        <v>515367</v>
      </c>
      <c r="AD333" s="285">
        <f>IFERROR(Таблица10[[#This Row],[ППС]]-Таблица10[[#This Row],[ДДУС]],)</f>
        <v>0</v>
      </c>
      <c r="AE333" s="611"/>
      <c r="AT333" s="611"/>
    </row>
    <row r="334" spans="1:46" x14ac:dyDescent="0.2">
      <c r="A334" s="611"/>
      <c r="B334" s="234">
        <f>VLOOKUP(ППД4!A331,Реестр_Д4[№],1,0)</f>
        <v>330</v>
      </c>
      <c r="C334" s="234" t="str">
        <f>VLOOKUP(ППД4!CO331,Реестр_Д4[Статус],1,0)</f>
        <v>Продажа</v>
      </c>
      <c r="D334" s="612">
        <f>VLOOKUP(ППД4!CE331,Реестр_Д4[Стоимость ОН без отделки со скидкой],1,0)</f>
        <v>5397133.9299999997</v>
      </c>
      <c r="E334" s="612" cm="1">
        <f t="array" ref="E334">IFERROR(INDEX(РД[Стоимость без отделки итог],MATCH($B$3&amp;Таблица4[[#This Row],[№]]&amp;"Продажа",РД[Дом]&amp;РД[№ кв]&amp;РД[Состояние],0),1),Таблица4[[#This Row],[Статус]])</f>
        <v>5397133.9299999997</v>
      </c>
      <c r="F334" s="235">
        <f>IFERROR((Таблица4[[#This Row],[ПП]]-Таблица4[[#This Row],[ДДУ]])*1,"")</f>
        <v>0</v>
      </c>
      <c r="G334" s="235" cm="1">
        <f t="array" ref="G334">IFERROR(INDEX(РД[Стоимость с отделкой итог],MATCH($B$3&amp;Таблица4[[#This Row],[№]]&amp;"Продажа",РД[Дом]&amp;РД[№ кв]&amp;РД[Состояние],0),1),Таблица4[[#This Row],[Статус]])</f>
        <v>5397133.9299999997</v>
      </c>
      <c r="H334" s="235">
        <f>_xlfn.XLOOKUP(Таблица4[[#This Row],[№]],Реестр_Д4[№],Реестр_Д4[Стоимость квартиры с отделкой],"-",0)</f>
        <v>5397133.9299999997</v>
      </c>
      <c r="I334" s="235">
        <f>IFERROR(Таблица4[[#This Row],[СО ПП]]-Таблица4[[#This Row],[СО ДДУ]],"")</f>
        <v>0</v>
      </c>
      <c r="J334" s="233" cm="1">
        <f t="array" ref="J334">IFERROR(INDEX(РД[S],MATCH($B$3&amp;Таблица4[[#This Row],[№]]&amp;"Продажа",РД[Дом]&amp;РД[№ кв]&amp;РД[Состояние],0),1),Таблица4[[#This Row],[Статус]])</f>
        <v>72.510000000000005</v>
      </c>
      <c r="K334" s="233">
        <f>VLOOKUP(Таблица4[[#This Row],[№]],Реестр_Д4[],20,0)</f>
        <v>72.510000000000005</v>
      </c>
      <c r="L334" s="235">
        <f>IFERROR(Таблица4[[#This Row],[S ПП]]-Таблица4[[#This Row],[S ДДУ]],)</f>
        <v>0</v>
      </c>
      <c r="M334" s="235">
        <f>ROUND(_xlfn.XLOOKUP(Таблица4[[#This Row],[№]],Реестр_Д4[№],Реестр_Д4[Итоговая сумма скидки],"",0),2)</f>
        <v>344497.91</v>
      </c>
      <c r="N334" s="235" cm="1">
        <f t="array" ref="N334">IFERROR(ROUND(_xlfn.XLOOKUP($B$3&amp;Таблица4[[#This Row],[№]]&amp;"Продажа",РД[Дом]&amp;РД[№ кв]&amp;РД[Состояние],РД[Сумма скидки],"",0),2),Таблица4[[#This Row],[Статус]])</f>
        <v>344497.91</v>
      </c>
      <c r="O334" s="235">
        <f>IFERROR(Таблица4[[#This Row],[ППС]]-Таблица4[[#This Row],[ДДУС]],)</f>
        <v>0</v>
      </c>
      <c r="P334" s="611"/>
      <c r="Q334" s="234">
        <f>VLOOKUP(ППД5!A331,Реестр_Д5[№],1,0)</f>
        <v>330</v>
      </c>
      <c r="R334" s="234" t="str">
        <f>VLOOKUP(ППД5!CH331,Реестр_Д5[Статус],1,0)</f>
        <v>Продажа</v>
      </c>
      <c r="S334" s="612">
        <f>VLOOKUP(ППД5!BZ331,Реестр_Д5[Стоимость ОН без отделки со скидкой],1,0)</f>
        <v>6112064</v>
      </c>
      <c r="T334" s="612" cm="1">
        <f t="array" ref="T334">IFERROR(INDEX(РД[Стоимость без отделки итог],MATCH($Q$3&amp;Таблица10[[#This Row],[№]]&amp;"Продажа",РД[Дом]&amp;РД[№ кв]&amp;РД[Состояние],0),1),Таблица10[[#This Row],[Статус]])</f>
        <v>6112064</v>
      </c>
      <c r="U334" s="235">
        <f>IFERROR((Таблица10[[#This Row],[ПП]]-Таблица10[[#This Row],[ДДУ]])*1,)</f>
        <v>0</v>
      </c>
      <c r="V334" s="235" cm="1">
        <f t="array" ref="V334">IFERROR(INDEX(РД[Стоимость с отделкой итог],MATCH($Q$3&amp;Таблица10[[#This Row],[№]]&amp;"Продажа",РД[Дом]&amp;РД[№ кв]&amp;РД[Состояние],0),1),Таблица10[[#This Row],[Статус]])</f>
        <v>7557824</v>
      </c>
      <c r="W334" s="235">
        <f>_xlfn.XLOOKUP(Таблица10[[#This Row],[№]],Реестр_Д5[№],Реестр_Д5[Стоимость квартиры с отделкой],"-",0)</f>
        <v>7557824</v>
      </c>
      <c r="X334" s="235">
        <f>IFERROR(Таблица10[[#This Row],[СО ПП]]-Таблица10[[#This Row],[СО ДДУ]],"")</f>
        <v>0</v>
      </c>
      <c r="Y334" s="233" cm="1">
        <f t="array" ref="Y334">IFERROR(INDEX(РД[S],MATCH($Q$3&amp;Таблица10[[#This Row],[№]]&amp;"Продажа",РД[Дом]&amp;РД[№ кв]&amp;РД[Состояние],0),1),Таблица10[[#This Row],[Статус]])</f>
        <v>60.24</v>
      </c>
      <c r="Z334" s="233">
        <f>IF(Таблица10[[#This Row],[№]]&amp;"ДДУ"=ППД5!A331&amp;ППД5!CR331,ППД5!U331,ППД5!V331)</f>
        <v>60.24</v>
      </c>
      <c r="AA334" s="285">
        <f>IFERROR(Таблица10[[#This Row],[S ПП]]-Таблица10[[#This Row],[S ДДУ]],)</f>
        <v>0</v>
      </c>
      <c r="AB334" s="235">
        <f>ROUND(_xlfn.XLOOKUP(Таблица10[[#This Row],[№]],Реестр_Д5[№],Реестр_Д5[Итоговая сумма скидки],"",0),2)</f>
        <v>124736</v>
      </c>
      <c r="AC334" s="235" cm="1">
        <f t="array" ref="AC334">IFERROR(ROUND(_xlfn.XLOOKUP($Q$3&amp;Таблица10[[#This Row],[№]]&amp;"Продажа",РД[Дом]&amp;РД[№ кв]&amp;РД[Состояние],РД[Сумма скидки],"",0,-1),2),Таблица10[[#This Row],[Статус]])</f>
        <v>124736</v>
      </c>
      <c r="AD334" s="285">
        <f>IFERROR(Таблица10[[#This Row],[ППС]]-Таблица10[[#This Row],[ДДУС]],)</f>
        <v>0</v>
      </c>
      <c r="AE334" s="611"/>
      <c r="AT334" s="611"/>
    </row>
    <row r="335" spans="1:46" x14ac:dyDescent="0.2">
      <c r="A335" s="611"/>
      <c r="B335" s="234">
        <f>VLOOKUP(ППД4!A332,Реестр_Д4[№],1,0)</f>
        <v>331</v>
      </c>
      <c r="C335" s="234" t="str">
        <f>VLOOKUP(ППД4!CO332,Реестр_Д4[Статус],1,0)</f>
        <v>Продажа</v>
      </c>
      <c r="D335" s="612">
        <f>VLOOKUP(ППД4!CE332,Реестр_Д4[Стоимость ОН без отделки со скидкой],1,0)</f>
        <v>2392488</v>
      </c>
      <c r="E335" s="612" cm="1">
        <f t="array" ref="E335">IFERROR(INDEX(РД[Стоимость без отделки итог],MATCH($B$3&amp;Таблица4[[#This Row],[№]]&amp;"Продажа",РД[Дом]&amp;РД[№ кв]&amp;РД[Состояние],0),1),Таблица4[[#This Row],[Статус]])</f>
        <v>2392488</v>
      </c>
      <c r="F335" s="235">
        <f>IFERROR((Таблица4[[#This Row],[ПП]]-Таблица4[[#This Row],[ДДУ]])*1,"")</f>
        <v>0</v>
      </c>
      <c r="G335" s="235" cm="1">
        <f t="array" ref="G335">IFERROR(INDEX(РД[Стоимость с отделкой итог],MATCH($B$3&amp;Таблица4[[#This Row],[№]]&amp;"Продажа",РД[Дом]&amp;РД[№ кв]&amp;РД[Состояние],0),1),Таблица4[[#This Row],[Статус]])</f>
        <v>3069288</v>
      </c>
      <c r="H335" s="235">
        <f>_xlfn.XLOOKUP(Таблица4[[#This Row],[№]],Реестр_Д4[№],Реестр_Д4[Стоимость квартиры с отделкой],"-",0)</f>
        <v>3069288</v>
      </c>
      <c r="I335" s="235">
        <f>IFERROR(Таблица4[[#This Row],[СО ПП]]-Таблица4[[#This Row],[СО ДДУ]],"")</f>
        <v>0</v>
      </c>
      <c r="J335" s="233" cm="1">
        <f t="array" ref="J335">IFERROR(INDEX(РД[S],MATCH($B$3&amp;Таблица4[[#This Row],[№]]&amp;"Продажа",РД[Дом]&amp;РД[№ кв]&amp;РД[Состояние],0),1),Таблица4[[#This Row],[Статус]])</f>
        <v>33.840000000000003</v>
      </c>
      <c r="K335" s="233">
        <f>VLOOKUP(Таблица4[[#This Row],[№]],Реестр_Д4[],20,0)</f>
        <v>33.840000000000003</v>
      </c>
      <c r="L335" s="235">
        <f>IFERROR(Таблица4[[#This Row],[S ПП]]-Таблица4[[#This Row],[S ДДУ]],)</f>
        <v>0</v>
      </c>
      <c r="M335" s="235">
        <f>ROUND(_xlfn.XLOOKUP(Таблица4[[#This Row],[№]],Реестр_Д4[№],Реестр_Д4[Итоговая сумма скидки],"",0),2)</f>
        <v>0</v>
      </c>
      <c r="N335" s="235" cm="1">
        <f t="array" ref="N33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35" s="235">
        <f>IFERROR(Таблица4[[#This Row],[ППС]]-Таблица4[[#This Row],[ДДУС]],)</f>
        <v>0</v>
      </c>
      <c r="P335" s="611"/>
      <c r="Q335" s="234">
        <f>VLOOKUP(ППД5!A332,Реестр_Д5[№],1,0)</f>
        <v>331</v>
      </c>
      <c r="R335" s="234" t="str">
        <f>VLOOKUP(ППД5!CH332,Реестр_Д5[Статус],1,0)</f>
        <v>Продажа</v>
      </c>
      <c r="S335" s="612">
        <f>VLOOKUP(ППД5!BZ332,Реестр_Д5[Стоимость ОН без отделки со скидкой],1,0)</f>
        <v>4982420</v>
      </c>
      <c r="T335" s="612" cm="1">
        <f t="array" ref="T335">IFERROR(INDEX(РД[Стоимость без отделки итог],MATCH($Q$3&amp;Таблица10[[#This Row],[№]]&amp;"Продажа",РД[Дом]&amp;РД[№ кв]&amp;РД[Состояние],0),1),Таблица10[[#This Row],[Статус]])</f>
        <v>4982420</v>
      </c>
      <c r="U335" s="235">
        <f>IFERROR((Таблица10[[#This Row],[ПП]]-Таблица10[[#This Row],[ДДУ]])*1,)</f>
        <v>0</v>
      </c>
      <c r="V335" s="235" cm="1">
        <f t="array" ref="V335">IFERROR(INDEX(РД[Стоимость с отделкой итог],MATCH($Q$3&amp;Таблица10[[#This Row],[№]]&amp;"Продажа",РД[Дом]&amp;РД[№ кв]&amp;РД[Состояние],0),1),Таблица10[[#This Row],[Статус]])</f>
        <v>5927670</v>
      </c>
      <c r="W335" s="235">
        <f>_xlfn.XLOOKUP(Таблица10[[#This Row],[№]],Реестр_Д5[№],Реестр_Д5[Стоимость квартиры с отделкой],"-",0)</f>
        <v>5927670</v>
      </c>
      <c r="X335" s="235">
        <f>IFERROR(Таблица10[[#This Row],[СО ПП]]-Таблица10[[#This Row],[СО ДДУ]],"")</f>
        <v>0</v>
      </c>
      <c r="Y335" s="233" cm="1">
        <f t="array" ref="Y335">IFERROR(INDEX(РД[S],MATCH($Q$3&amp;Таблица10[[#This Row],[№]]&amp;"Продажа",РД[Дом]&amp;РД[№ кв]&amp;РД[Состояние],0),1),Таблица10[[#This Row],[Статус]])</f>
        <v>37.81</v>
      </c>
      <c r="Z335" s="233">
        <f>IF(Таблица10[[#This Row],[№]]&amp;"ДДУ"=ППД5!A332&amp;ППД5!CR332,ППД5!U332,ППД5!V332)</f>
        <v>37.81</v>
      </c>
      <c r="AA335" s="285">
        <f>IFERROR(Таблица10[[#This Row],[S ПП]]-Таблица10[[#This Row],[S ДДУ]],)</f>
        <v>0</v>
      </c>
      <c r="AB335" s="235">
        <f>ROUND(_xlfn.XLOOKUP(Таблица10[[#This Row],[№]],Реестр_Д5[№],Реестр_Д5[Итоговая сумма скидки],"",0),2)</f>
        <v>302480</v>
      </c>
      <c r="AC335" s="235" cm="1">
        <f t="array" ref="AC335">IFERROR(ROUND(_xlfn.XLOOKUP($Q$3&amp;Таблица10[[#This Row],[№]]&amp;"Продажа",РД[Дом]&amp;РД[№ кв]&amp;РД[Состояние],РД[Сумма скидки],"",0,-1),2),Таблица10[[#This Row],[Статус]])</f>
        <v>302480</v>
      </c>
      <c r="AD335" s="285">
        <f>IFERROR(Таблица10[[#This Row],[ППС]]-Таблица10[[#This Row],[ДДУС]],)</f>
        <v>0</v>
      </c>
      <c r="AE335" s="611"/>
      <c r="AT335" s="611"/>
    </row>
    <row r="336" spans="1:46" x14ac:dyDescent="0.2">
      <c r="A336" s="611"/>
      <c r="B336" s="234">
        <f>VLOOKUP(ППД4!A333,Реестр_Д4[№],1,0)</f>
        <v>332</v>
      </c>
      <c r="C336" s="234" t="str">
        <f>VLOOKUP(ППД4!CO333,Реестр_Д4[Статус],1,0)</f>
        <v>Продажа</v>
      </c>
      <c r="D336" s="612">
        <f>VLOOKUP(ППД4!CE333,Реестр_Д4[Стоимость ОН без отделки со скидкой],1,0)</f>
        <v>2705900.33</v>
      </c>
      <c r="E336" s="612" cm="1">
        <f t="array" ref="E336">IFERROR(INDEX(РД[Стоимость без отделки итог],MATCH($B$3&amp;Таблица4[[#This Row],[№]]&amp;"Продажа",РД[Дом]&amp;РД[№ кв]&amp;РД[Состояние],0),1),Таблица4[[#This Row],[Статус]])</f>
        <v>2705900.33</v>
      </c>
      <c r="F336" s="235">
        <f>IFERROR((Таблица4[[#This Row],[ПП]]-Таблица4[[#This Row],[ДДУ]])*1,"")</f>
        <v>0</v>
      </c>
      <c r="G336" s="235" cm="1">
        <f t="array" ref="G336">IFERROR(INDEX(РД[Стоимость с отделкой итог],MATCH($B$3&amp;Таблица4[[#This Row],[№]]&amp;"Продажа",РД[Дом]&amp;РД[№ кв]&amp;РД[Состояние],0),1),Таблица4[[#This Row],[Статус]])</f>
        <v>2705900.33</v>
      </c>
      <c r="H336" s="235">
        <f>_xlfn.XLOOKUP(Таблица4[[#This Row],[№]],Реестр_Д4[№],Реестр_Д4[Стоимость квартиры с отделкой],"-",0)</f>
        <v>2705900.33</v>
      </c>
      <c r="I336" s="235">
        <f>IFERROR(Таблица4[[#This Row],[СО ПП]]-Таблица4[[#This Row],[СО ДДУ]],"")</f>
        <v>0</v>
      </c>
      <c r="J336" s="233" cm="1">
        <f t="array" ref="J336">IFERROR(INDEX(РД[S],MATCH($B$3&amp;Таблица4[[#This Row],[№]]&amp;"Продажа",РД[Дом]&amp;РД[№ кв]&amp;РД[Состояние],0),1),Таблица4[[#This Row],[Статус]])</f>
        <v>29.35</v>
      </c>
      <c r="K336" s="233">
        <f>VLOOKUP(Таблица4[[#This Row],[№]],Реестр_Д4[],20,0)</f>
        <v>29.35</v>
      </c>
      <c r="L336" s="235">
        <f>IFERROR(Таблица4[[#This Row],[S ПП]]-Таблица4[[#This Row],[S ДДУ]],)</f>
        <v>0</v>
      </c>
      <c r="M336" s="235">
        <f>ROUND(_xlfn.XLOOKUP(Таблица4[[#This Row],[№]],Реестр_Д4[№],Реестр_Д4[Итоговая сумма скидки],"",0),2)</f>
        <v>20000</v>
      </c>
      <c r="N336" s="235" cm="1">
        <f t="array" ref="N336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336" s="235">
        <f>IFERROR(Таблица4[[#This Row],[ППС]]-Таблица4[[#This Row],[ДДУС]],)</f>
        <v>0</v>
      </c>
      <c r="P336" s="611"/>
      <c r="Q336" s="234">
        <f>VLOOKUP(ППД5!A333,Реестр_Д5[№],1,0)</f>
        <v>332</v>
      </c>
      <c r="R336" s="234" t="str">
        <f>VLOOKUP(ППД5!CH333,Реестр_Д5[Статус],1,0)</f>
        <v>Продажа</v>
      </c>
      <c r="S336" s="612">
        <f>VLOOKUP(ППД5!BZ333,Реестр_Д5[Стоимость ОН без отделки со скидкой],1,0)</f>
        <v>6121938.7800000003</v>
      </c>
      <c r="T336" s="612" cm="1">
        <f t="array" ref="T336">IFERROR(INDEX(РД[Стоимость без отделки итог],MATCH($Q$3&amp;Таблица10[[#This Row],[№]]&amp;"Продажа",РД[Дом]&amp;РД[№ кв]&amp;РД[Состояние],0),1),Таблица10[[#This Row],[Статус]])</f>
        <v>6121938.7800000003</v>
      </c>
      <c r="U336" s="235">
        <f>IFERROR((Таблица10[[#This Row],[ПП]]-Таблица10[[#This Row],[ДДУ]])*1,)</f>
        <v>0</v>
      </c>
      <c r="V336" s="235" cm="1">
        <f t="array" ref="V336">IFERROR(INDEX(РД[Стоимость с отделкой итог],MATCH($Q$3&amp;Таблица10[[#This Row],[№]]&amp;"Продажа",РД[Дом]&amp;РД[№ кв]&amp;РД[Состояние],0),1),Таблица10[[#This Row],[Статус]])</f>
        <v>6121938.7800000003</v>
      </c>
      <c r="W336" s="235">
        <f>_xlfn.XLOOKUP(Таблица10[[#This Row],[№]],Реестр_Д5[№],Реестр_Д5[Стоимость квартиры с отделкой],"-",0)</f>
        <v>6121938.7800000003</v>
      </c>
      <c r="X336" s="235">
        <f>IFERROR(Таблица10[[#This Row],[СО ПП]]-Таблица10[[#This Row],[СО ДДУ]],"")</f>
        <v>0</v>
      </c>
      <c r="Y336" s="233" cm="1">
        <f t="array" ref="Y336">IFERROR(INDEX(РД[S],MATCH($Q$3&amp;Таблица10[[#This Row],[№]]&amp;"Продажа",РД[Дом]&amp;РД[№ кв]&amp;РД[Состояние],0),1),Таблица10[[#This Row],[Статус]])</f>
        <v>80.97</v>
      </c>
      <c r="Z336" s="233">
        <f>IF(Таблица10[[#This Row],[№]]&amp;"ДДУ"=ППД5!A333&amp;ППД5!CR333,ППД5!U333,ППД5!V333)</f>
        <v>80.97</v>
      </c>
      <c r="AA336" s="285">
        <f>IFERROR(Таблица10[[#This Row],[S ПП]]-Таблица10[[#This Row],[S ДДУ]],)</f>
        <v>0</v>
      </c>
      <c r="AB336" s="235">
        <f>ROUND(_xlfn.XLOOKUP(Таблица10[[#This Row],[№]],Реестр_Д5[№],Реестр_Д5[Итоговая сумма скидки],"",0),2)</f>
        <v>189338.31</v>
      </c>
      <c r="AC336" s="235" cm="1">
        <f t="array" ref="AC336">IFERROR(ROUND(_xlfn.XLOOKUP($Q$3&amp;Таблица10[[#This Row],[№]]&amp;"Продажа",РД[Дом]&amp;РД[№ кв]&amp;РД[Состояние],РД[Сумма скидки],"",0,-1),2),Таблица10[[#This Row],[Статус]])</f>
        <v>189338.31</v>
      </c>
      <c r="AD336" s="285">
        <f>IFERROR(Таблица10[[#This Row],[ППС]]-Таблица10[[#This Row],[ДДУС]],)</f>
        <v>0</v>
      </c>
      <c r="AE336" s="611"/>
      <c r="AT336" s="611"/>
    </row>
    <row r="337" spans="1:46" x14ac:dyDescent="0.2">
      <c r="A337" s="611"/>
      <c r="B337" s="234">
        <f>VLOOKUP(ППД4!A334,Реестр_Д4[№],1,0)</f>
        <v>333</v>
      </c>
      <c r="C337" s="234" t="str">
        <f>VLOOKUP(ППД4!CO334,Реестр_Д4[Статус],1,0)</f>
        <v>Продажа</v>
      </c>
      <c r="D337" s="612">
        <f>VLOOKUP(ППД4!CE334,Реестр_Д4[Стоимость ОН без отделки со скидкой],1,0)</f>
        <v>6287443</v>
      </c>
      <c r="E337" s="612" cm="1">
        <f t="array" ref="E337">IFERROR(INDEX(РД[Стоимость без отделки итог],MATCH($B$3&amp;Таблица4[[#This Row],[№]]&amp;"Продажа",РД[Дом]&amp;РД[№ кв]&amp;РД[Состояние],0),1),Таблица4[[#This Row],[Статус]])</f>
        <v>6287443</v>
      </c>
      <c r="F337" s="235">
        <f>IFERROR((Таблица4[[#This Row],[ПП]]-Таблица4[[#This Row],[ДДУ]])*1,"")</f>
        <v>0</v>
      </c>
      <c r="G337" s="235" cm="1">
        <f t="array" ref="G337">IFERROR(INDEX(РД[Стоимость с отделкой итог],MATCH($B$3&amp;Таблица4[[#This Row],[№]]&amp;"Продажа",РД[Дом]&amp;РД[№ кв]&amp;РД[Состояние],0),1),Таблица4[[#This Row],[Статус]])</f>
        <v>6797068</v>
      </c>
      <c r="H337" s="235">
        <f>_xlfn.XLOOKUP(Таблица4[[#This Row],[№]],Реестр_Д4[№],Реестр_Д4[Стоимость квартиры с отделкой],"-",0)</f>
        <v>6797068</v>
      </c>
      <c r="I337" s="235">
        <f>IFERROR(Таблица4[[#This Row],[СО ПП]]-Таблица4[[#This Row],[СО ДДУ]],"")</f>
        <v>0</v>
      </c>
      <c r="J337" s="233" cm="1">
        <f t="array" ref="J337">IFERROR(INDEX(РД[S],MATCH($B$3&amp;Таблица4[[#This Row],[№]]&amp;"Продажа",РД[Дом]&amp;РД[№ кв]&amp;РД[Состояние],0),1),Таблица4[[#This Row],[Статус]])</f>
        <v>67.95</v>
      </c>
      <c r="K337" s="233">
        <f>VLOOKUP(Таблица4[[#This Row],[№]],Реестр_Д4[],20,0)</f>
        <v>67.95</v>
      </c>
      <c r="L337" s="235">
        <f>IFERROR(Таблица4[[#This Row],[S ПП]]-Таблица4[[#This Row],[S ДДУ]],)</f>
        <v>0</v>
      </c>
      <c r="M337" s="235">
        <f>ROUND(_xlfn.XLOOKUP(Таблица4[[#This Row],[№]],Реестр_Д4[№],Реестр_Д4[Итоговая сумма скидки],"",0),2)</f>
        <v>194457</v>
      </c>
      <c r="N337" s="235" cm="1">
        <f t="array" ref="N337">IFERROR(ROUND(_xlfn.XLOOKUP($B$3&amp;Таблица4[[#This Row],[№]]&amp;"Продажа",РД[Дом]&amp;РД[№ кв]&amp;РД[Состояние],РД[Сумма скидки],"",0),2),Таблица4[[#This Row],[Статус]])</f>
        <v>194457</v>
      </c>
      <c r="O337" s="235">
        <f>IFERROR(Таблица4[[#This Row],[ППС]]-Таблица4[[#This Row],[ДДУС]],)</f>
        <v>0</v>
      </c>
      <c r="P337" s="611"/>
      <c r="Q337" s="234">
        <f>VLOOKUP(ППД5!A334,Реестр_Д5[№],1,0)</f>
        <v>333</v>
      </c>
      <c r="R337" s="234" t="str">
        <f>VLOOKUP(ППД5!CH334,Реестр_Д5[Статус],1,0)</f>
        <v>Продажа</v>
      </c>
      <c r="S337" s="612">
        <f>VLOOKUP(ППД5!BZ334,Реестр_Д5[Стоимость ОН без отделки со скидкой],1,0)</f>
        <v>4233300</v>
      </c>
      <c r="T337" s="612" cm="1">
        <f t="array" ref="T337">IFERROR(INDEX(РД[Стоимость без отделки итог],MATCH($Q$3&amp;Таблица10[[#This Row],[№]]&amp;"Продажа",РД[Дом]&amp;РД[№ кв]&amp;РД[Состояние],0),1),Таблица10[[#This Row],[Статус]])</f>
        <v>4233300</v>
      </c>
      <c r="U337" s="235">
        <f>IFERROR((Таблица10[[#This Row],[ПП]]-Таблица10[[#This Row],[ДДУ]])*1,)</f>
        <v>0</v>
      </c>
      <c r="V337" s="235" cm="1">
        <f t="array" ref="V337">IFERROR(INDEX(РД[Стоимость с отделкой итог],MATCH($Q$3&amp;Таблица10[[#This Row],[№]]&amp;"Продажа",РД[Дом]&amp;РД[№ кв]&amp;РД[Состояние],0),1),Таблица10[[#This Row],[Статус]])</f>
        <v>4929500</v>
      </c>
      <c r="W337" s="235">
        <f>_xlfn.XLOOKUP(Таблица10[[#This Row],[№]],Реестр_Д5[№],Реестр_Д5[Стоимость квартиры с отделкой],"-",0)</f>
        <v>4929500</v>
      </c>
      <c r="X337" s="235">
        <f>IFERROR(Таблица10[[#This Row],[СО ПП]]-Таблица10[[#This Row],[СО ДДУ]],"")</f>
        <v>0</v>
      </c>
      <c r="Y337" s="233" cm="1">
        <f t="array" ref="Y337">IFERROR(INDEX(РД[S],MATCH($Q$3&amp;Таблица10[[#This Row],[№]]&amp;"Продажа",РД[Дом]&amp;РД[№ кв]&amp;РД[Состояние],0),1),Таблица10[[#This Row],[Статус]])</f>
        <v>34.81</v>
      </c>
      <c r="Z337" s="233">
        <f>IF(Таблица10[[#This Row],[№]]&amp;"ДДУ"=ППД5!A334&amp;ППД5!CR334,ППД5!U334,ППД5!V334)</f>
        <v>34.81</v>
      </c>
      <c r="AA337" s="285">
        <f>IFERROR(Таблица10[[#This Row],[S ПП]]-Таблица10[[#This Row],[S ДДУ]],)</f>
        <v>0</v>
      </c>
      <c r="AB337" s="235">
        <f>ROUND(_xlfn.XLOOKUP(Таблица10[[#This Row],[№]],Реестр_Д5[№],Реестр_Д5[Итоговая сумма скидки],"",0),2)</f>
        <v>0</v>
      </c>
      <c r="AC337" s="235" cm="1">
        <f t="array" ref="AC33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37" s="285">
        <f>IFERROR(Таблица10[[#This Row],[ППС]]-Таблица10[[#This Row],[ДДУС]],)</f>
        <v>0</v>
      </c>
      <c r="AE337" s="611"/>
      <c r="AT337" s="611"/>
    </row>
    <row r="338" spans="1:46" x14ac:dyDescent="0.2">
      <c r="A338" s="611"/>
      <c r="B338" s="234">
        <f>VLOOKUP(ППД4!A335,Реестр_Д4[№],1,0)</f>
        <v>334</v>
      </c>
      <c r="C338" s="234" t="str">
        <f>VLOOKUP(ППД4!CO335,Реестр_Д4[Статус],1,0)</f>
        <v>Продажа</v>
      </c>
      <c r="D338" s="612">
        <f>VLOOKUP(ППД4!CE335,Реестр_Д4[Стоимость ОН без отделки со скидкой],1,0)</f>
        <v>2971817.41</v>
      </c>
      <c r="E338" s="612" cm="1">
        <f t="array" ref="E338">IFERROR(INDEX(РД[Стоимость без отделки итог],MATCH($B$3&amp;Таблица4[[#This Row],[№]]&amp;"Продажа",РД[Дом]&amp;РД[№ кв]&amp;РД[Состояние],0),1),Таблица4[[#This Row],[Статус]])</f>
        <v>2971817.41</v>
      </c>
      <c r="F338" s="235">
        <f>IFERROR((Таблица4[[#This Row],[ПП]]-Таблица4[[#This Row],[ДДУ]])*1,"")</f>
        <v>0</v>
      </c>
      <c r="G338" s="235" cm="1">
        <f t="array" ref="G338">IFERROR(INDEX(РД[Стоимость с отделкой итог],MATCH($B$3&amp;Таблица4[[#This Row],[№]]&amp;"Продажа",РД[Дом]&amp;РД[№ кв]&amp;РД[Состояние],0),1),Таблица4[[#This Row],[Статус]])</f>
        <v>2971817.41</v>
      </c>
      <c r="H338" s="235">
        <f>_xlfn.XLOOKUP(Таблица4[[#This Row],[№]],Реестр_Д4[№],Реестр_Д4[Стоимость квартиры с отделкой],"-",0)</f>
        <v>2971817.41</v>
      </c>
      <c r="I338" s="235">
        <f>IFERROR(Таблица4[[#This Row],[СО ПП]]-Таблица4[[#This Row],[СО ДДУ]],"")</f>
        <v>0</v>
      </c>
      <c r="J338" s="233" cm="1">
        <f t="array" ref="J338">IFERROR(INDEX(РД[S],MATCH($B$3&amp;Таблица4[[#This Row],[№]]&amp;"Продажа",РД[Дом]&amp;РД[№ кв]&amp;РД[Состояние],0),1),Таблица4[[#This Row],[Статус]])</f>
        <v>36.450000000000003</v>
      </c>
      <c r="K338" s="233">
        <f>VLOOKUP(Таблица4[[#This Row],[№]],Реестр_Д4[],20,0)</f>
        <v>36.450000000000003</v>
      </c>
      <c r="L338" s="235">
        <f>IFERROR(Таблица4[[#This Row],[S ПП]]-Таблица4[[#This Row],[S ДДУ]],)</f>
        <v>0</v>
      </c>
      <c r="M338" s="235">
        <f>ROUND(_xlfn.XLOOKUP(Таблица4[[#This Row],[№]],Реестр_Д4[№],Реестр_Д4[Итоговая сумма скидки],"",0),2)</f>
        <v>189690.47</v>
      </c>
      <c r="N338" s="235" cm="1">
        <f t="array" ref="N338">IFERROR(ROUND(_xlfn.XLOOKUP($B$3&amp;Таблица4[[#This Row],[№]]&amp;"Продажа",РД[Дом]&amp;РД[№ кв]&amp;РД[Состояние],РД[Сумма скидки],"",0),2),Таблица4[[#This Row],[Статус]])</f>
        <v>189690.47</v>
      </c>
      <c r="O338" s="235">
        <f>IFERROR(Таблица4[[#This Row],[ППС]]-Таблица4[[#This Row],[ДДУС]],)</f>
        <v>0</v>
      </c>
      <c r="P338" s="611"/>
      <c r="Q338" s="234">
        <f>VLOOKUP(ППД5!A335,Реестр_Д5[№],1,0)</f>
        <v>334</v>
      </c>
      <c r="R338" s="234" t="str">
        <f>VLOOKUP(ППД5!CH335,Реестр_Д5[Статус],1,0)</f>
        <v>Свободно</v>
      </c>
      <c r="S338" s="612">
        <f>VLOOKUP(ППД5!BZ335,Реестр_Д5[Стоимость ОН без отделки со скидкой],1,0)</f>
        <v>8492500</v>
      </c>
      <c r="T338" s="612" t="str" cm="1">
        <f t="array" ref="T33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38" s="235">
        <f>IFERROR((Таблица10[[#This Row],[ПП]]-Таблица10[[#This Row],[ДДУ]])*1,)</f>
        <v>0</v>
      </c>
      <c r="V338" s="235" t="str" cm="1">
        <f t="array" ref="V33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38" s="235">
        <f>_xlfn.XLOOKUP(Таблица10[[#This Row],[№]],Реестр_Д5[№],Реестр_Д5[Стоимость квартиры с отделкой],"-",0)</f>
        <v>8492500</v>
      </c>
      <c r="X338" s="235" t="str">
        <f>IFERROR(Таблица10[[#This Row],[СО ПП]]-Таблица10[[#This Row],[СО ДДУ]],"")</f>
        <v/>
      </c>
      <c r="Y338" s="233" t="str" cm="1">
        <f t="array" ref="Y338">IFERROR(INDEX(РД[S],MATCH($Q$3&amp;Таблица10[[#This Row],[№]]&amp;"Продажа",РД[Дом]&amp;РД[№ кв]&amp;РД[Состояние],0),1),Таблица10[[#This Row],[Статус]])</f>
        <v>Свободно</v>
      </c>
      <c r="Z338" s="233">
        <f>IF(Таблица10[[#This Row],[№]]&amp;"ДДУ"=ППД5!A335&amp;ППД5!CR335,ППД5!U335,ППД5!V335)</f>
        <v>73.649999999999977</v>
      </c>
      <c r="AA338" s="285">
        <f>IFERROR(Таблица10[[#This Row],[S ПП]]-Таблица10[[#This Row],[S ДДУ]],)</f>
        <v>0</v>
      </c>
      <c r="AB338" s="235">
        <f>ROUND(_xlfn.XLOOKUP(Таблица10[[#This Row],[№]],Реестр_Д5[№],Реестр_Д5[Итоговая сумма скидки],"",0),2)</f>
        <v>0</v>
      </c>
      <c r="AC338" s="235" t="str" cm="1">
        <f t="array" ref="AC33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38" s="285">
        <f>IFERROR(Таблица10[[#This Row],[ППС]]-Таблица10[[#This Row],[ДДУС]],)</f>
        <v>0</v>
      </c>
      <c r="AE338" s="611"/>
      <c r="AT338" s="611"/>
    </row>
    <row r="339" spans="1:46" x14ac:dyDescent="0.2">
      <c r="A339" s="611"/>
      <c r="B339" s="234">
        <f>VLOOKUP(ППД4!A336,Реестр_Д4[№],1,0)</f>
        <v>335</v>
      </c>
      <c r="C339" s="234" t="str">
        <f>VLOOKUP(ППД4!CO336,Реестр_Д4[Статус],1,0)</f>
        <v>Продажа</v>
      </c>
      <c r="D339" s="612">
        <f>VLOOKUP(ППД4!CE336,Реестр_Д4[Стоимость ОН без отделки со скидкой],1,0)</f>
        <v>4209734.96</v>
      </c>
      <c r="E339" s="612" cm="1">
        <f t="array" ref="E339">IFERROR(INDEX(РД[Стоимость без отделки итог],MATCH($B$3&amp;Таблица4[[#This Row],[№]]&amp;"Продажа",РД[Дом]&amp;РД[№ кв]&amp;РД[Состояние],0),1),Таблица4[[#This Row],[Статус]])</f>
        <v>4209734.96</v>
      </c>
      <c r="F339" s="235">
        <f>IFERROR((Таблица4[[#This Row],[ПП]]-Таблица4[[#This Row],[ДДУ]])*1,"")</f>
        <v>0</v>
      </c>
      <c r="G339" s="235" cm="1">
        <f t="array" ref="G339">IFERROR(INDEX(РД[Стоимость с отделкой итог],MATCH($B$3&amp;Таблица4[[#This Row],[№]]&amp;"Продажа",РД[Дом]&amp;РД[№ кв]&amp;РД[Состояние],0),1),Таблица4[[#This Row],[Статус]])</f>
        <v>4209734.96</v>
      </c>
      <c r="H339" s="235">
        <f>_xlfn.XLOOKUP(Таблица4[[#This Row],[№]],Реестр_Д4[№],Реестр_Д4[Стоимость квартиры с отделкой],"-",0)</f>
        <v>4209734.96</v>
      </c>
      <c r="I339" s="235">
        <f>IFERROR(Таблица4[[#This Row],[СО ПП]]-Таблица4[[#This Row],[СО ДДУ]],"")</f>
        <v>0</v>
      </c>
      <c r="J339" s="233" cm="1">
        <f t="array" ref="J339">IFERROR(INDEX(РД[S],MATCH($B$3&amp;Таблица4[[#This Row],[№]]&amp;"Продажа",РД[Дом]&amp;РД[№ кв]&amp;РД[Состояние],0),1),Таблица4[[#This Row],[Статус]])</f>
        <v>58.55</v>
      </c>
      <c r="K339" s="233">
        <f>VLOOKUP(Таблица4[[#This Row],[№]],Реестр_Д4[],20,0)</f>
        <v>58.55</v>
      </c>
      <c r="L339" s="235">
        <f>IFERROR(Таблица4[[#This Row],[S ПП]]-Таблица4[[#This Row],[S ДДУ]],)</f>
        <v>0</v>
      </c>
      <c r="M339" s="235">
        <f>ROUND(_xlfn.XLOOKUP(Таблица4[[#This Row],[№]],Реестр_Д4[№],Реестр_Д4[Итоговая сумма скидки],"",0),2)</f>
        <v>221565</v>
      </c>
      <c r="N339" s="235" cm="1">
        <f t="array" ref="N339">IFERROR(ROUND(_xlfn.XLOOKUP($B$3&amp;Таблица4[[#This Row],[№]]&amp;"Продажа",РД[Дом]&amp;РД[№ кв]&amp;РД[Состояние],РД[Сумма скидки],"",0),2),Таблица4[[#This Row],[Статус]])</f>
        <v>221565</v>
      </c>
      <c r="O339" s="235">
        <f>IFERROR(Таблица4[[#This Row],[ППС]]-Таблица4[[#This Row],[ДДУС]],)</f>
        <v>0</v>
      </c>
      <c r="P339" s="611"/>
      <c r="Q339" s="234">
        <f>VLOOKUP(ППД5!A336,Реестр_Д5[№],1,0)</f>
        <v>335</v>
      </c>
      <c r="R339" s="234" t="str">
        <f>VLOOKUP(ППД5!CH336,Реестр_Д5[Статус],1,0)</f>
        <v>Продажа</v>
      </c>
      <c r="S339" s="612">
        <f>VLOOKUP(ППД5!BZ336,Реестр_Д5[Стоимость ОН без отделки со скидкой],1,0)</f>
        <v>3681174</v>
      </c>
      <c r="T339" s="612" cm="1">
        <f t="array" ref="T339">IFERROR(INDEX(РД[Стоимость без отделки итог],MATCH($Q$3&amp;Таблица10[[#This Row],[№]]&amp;"Продажа",РД[Дом]&amp;РД[№ кв]&amp;РД[Состояние],0),1),Таблица10[[#This Row],[Статус]])</f>
        <v>3681174</v>
      </c>
      <c r="U339" s="235">
        <f>IFERROR((Таблица10[[#This Row],[ПП]]-Таблица10[[#This Row],[ДДУ]])*1,)</f>
        <v>0</v>
      </c>
      <c r="V339" s="235" cm="1">
        <f t="array" ref="V339">IFERROR(INDEX(РД[Стоимость с отделкой итог],MATCH($Q$3&amp;Таблица10[[#This Row],[№]]&amp;"Продажа",РД[Дом]&amp;РД[№ кв]&amp;РД[Состояние],0),1),Таблица10[[#This Row],[Статус]])</f>
        <v>4294424</v>
      </c>
      <c r="W339" s="235">
        <f>_xlfn.XLOOKUP(Таблица10[[#This Row],[№]],Реестр_Д5[№],Реестр_Д5[Стоимость квартиры с отделкой],"-",0)</f>
        <v>4294424</v>
      </c>
      <c r="X339" s="235">
        <f>IFERROR(Таблица10[[#This Row],[СО ПП]]-Таблица10[[#This Row],[СО ДДУ]],"")</f>
        <v>0</v>
      </c>
      <c r="Y339" s="233" cm="1">
        <f t="array" ref="Y339">IFERROR(INDEX(РД[S],MATCH($Q$3&amp;Таблица10[[#This Row],[№]]&amp;"Продажа",РД[Дом]&amp;РД[№ кв]&amp;РД[Состояние],0),1),Таблица10[[#This Row],[Статус]])</f>
        <v>24.53</v>
      </c>
      <c r="Z339" s="233">
        <f>IF(Таблица10[[#This Row],[№]]&amp;"ДДУ"=ППД5!A336&amp;ППД5!CR336,ППД5!U336,ППД5!V336)</f>
        <v>24.53</v>
      </c>
      <c r="AA339" s="285">
        <f>IFERROR(Таблица10[[#This Row],[S ПП]]-Таблица10[[#This Row],[S ДДУ]],)</f>
        <v>0</v>
      </c>
      <c r="AB339" s="235">
        <f>ROUND(_xlfn.XLOOKUP(Таблица10[[#This Row],[№]],Реестр_Д5[№],Реестр_Д5[Итоговая сумма скидки],"",0),2)</f>
        <v>75126</v>
      </c>
      <c r="AC339" s="235" cm="1">
        <f t="array" ref="AC339">IFERROR(ROUND(_xlfn.XLOOKUP($Q$3&amp;Таблица10[[#This Row],[№]]&amp;"Продажа",РД[Дом]&amp;РД[№ кв]&amp;РД[Состояние],РД[Сумма скидки],"",0,-1),2),Таблица10[[#This Row],[Статус]])</f>
        <v>75126</v>
      </c>
      <c r="AD339" s="285">
        <f>IFERROR(Таблица10[[#This Row],[ППС]]-Таблица10[[#This Row],[ДДУС]],)</f>
        <v>0</v>
      </c>
      <c r="AE339" s="611"/>
      <c r="AT339" s="611"/>
    </row>
    <row r="340" spans="1:46" x14ac:dyDescent="0.2">
      <c r="A340" s="611"/>
      <c r="B340" s="234">
        <f>VLOOKUP(ППД4!A337,Реестр_Д4[№],1,0)</f>
        <v>336</v>
      </c>
      <c r="C340" s="234" t="str">
        <f>VLOOKUP(ППД4!CO337,Реестр_Д4[Статус],1,0)</f>
        <v>Продажа</v>
      </c>
      <c r="D340" s="612">
        <f>VLOOKUP(ППД4!CE337,Реестр_Д4[Стоимость ОН без отделки со скидкой],1,0)</f>
        <v>4076720.28</v>
      </c>
      <c r="E340" s="612" cm="1">
        <f t="array" ref="E340">IFERROR(INDEX(РД[Стоимость без отделки итог],MATCH($B$3&amp;Таблица4[[#This Row],[№]]&amp;"Продажа",РД[Дом]&amp;РД[№ кв]&amp;РД[Состояние],0),1),Таблица4[[#This Row],[Статус]])</f>
        <v>4076720.2800000003</v>
      </c>
      <c r="F340" s="235">
        <f>IFERROR((Таблица4[[#This Row],[ПП]]-Таблица4[[#This Row],[ДДУ]])*1,"")</f>
        <v>-4.6566128730773926E-10</v>
      </c>
      <c r="G340" s="235" cm="1">
        <f t="array" ref="G340">IFERROR(INDEX(РД[Стоимость с отделкой итог],MATCH($B$3&amp;Таблица4[[#This Row],[№]]&amp;"Продажа",РД[Дом]&amp;РД[№ кв]&amp;РД[Состояние],0),1),Таблица4[[#This Row],[Статус]])</f>
        <v>4927220.28</v>
      </c>
      <c r="H340" s="235">
        <f>_xlfn.XLOOKUP(Таблица4[[#This Row],[№]],Реестр_Д4[№],Реестр_Д4[Стоимость квартиры с отделкой],"-",0)</f>
        <v>4927220.28</v>
      </c>
      <c r="I340" s="235">
        <f>IFERROR(Таблица4[[#This Row],[СО ПП]]-Таблица4[[#This Row],[СО ДДУ]],"")</f>
        <v>0</v>
      </c>
      <c r="J340" s="233" cm="1">
        <f t="array" ref="J340">IFERROR(INDEX(РД[S],MATCH($B$3&amp;Таблица4[[#This Row],[№]]&amp;"Продажа",РД[Дом]&amp;РД[№ кв]&amp;РД[Состояние],0),1),Таблица4[[#This Row],[Статус]])</f>
        <v>56.7</v>
      </c>
      <c r="K340" s="233">
        <f>VLOOKUP(Таблица4[[#This Row],[№]],Реестр_Д4[],20,0)</f>
        <v>56.7</v>
      </c>
      <c r="L340" s="235">
        <f>IFERROR(Таблица4[[#This Row],[S ПП]]-Таблица4[[#This Row],[S ДДУ]],)</f>
        <v>0</v>
      </c>
      <c r="M340" s="235">
        <f>ROUND(_xlfn.XLOOKUP(Таблица4[[#This Row],[№]],Реестр_Д4[№],Реестр_Д4[Итоговая сумма скидки],"",0),2)</f>
        <v>214564.23</v>
      </c>
      <c r="N340" s="235" cm="1">
        <f t="array" ref="N340">IFERROR(ROUND(_xlfn.XLOOKUP($B$3&amp;Таблица4[[#This Row],[№]]&amp;"Продажа",РД[Дом]&amp;РД[№ кв]&amp;РД[Состояние],РД[Сумма скидки],"",0),2),Таблица4[[#This Row],[Статус]])</f>
        <v>214564.23</v>
      </c>
      <c r="O340" s="235">
        <f>IFERROR(Таблица4[[#This Row],[ППС]]-Таблица4[[#This Row],[ДДУС]],)</f>
        <v>0</v>
      </c>
      <c r="P340" s="611"/>
      <c r="Q340" s="234">
        <f>VLOOKUP(ППД5!A337,Реестр_Д5[№],1,0)</f>
        <v>336</v>
      </c>
      <c r="R340" s="234" t="str">
        <f>VLOOKUP(ППД5!CH337,Реестр_Д5[Статус],1,0)</f>
        <v>Продажа</v>
      </c>
      <c r="S340" s="612">
        <f>VLOOKUP(ППД5!BZ337,Реестр_Д5[Стоимость ОН без отделки со скидкой],1,0)</f>
        <v>5320256</v>
      </c>
      <c r="T340" s="612" cm="1">
        <f t="array" ref="T340">IFERROR(INDEX(РД[Стоимость без отделки итог],MATCH($Q$3&amp;Таблица10[[#This Row],[№]]&amp;"Продажа",РД[Дом]&amp;РД[№ кв]&amp;РД[Состояние],0),1),Таблица10[[#This Row],[Статус]])</f>
        <v>5320256</v>
      </c>
      <c r="U340" s="235">
        <f>IFERROR((Таблица10[[#This Row],[ПП]]-Таблица10[[#This Row],[ДДУ]])*1,)</f>
        <v>0</v>
      </c>
      <c r="V340" s="235" cm="1">
        <f t="array" ref="V340">IFERROR(INDEX(РД[Стоимость с отделкой итог],MATCH($Q$3&amp;Таблица10[[#This Row],[№]]&amp;"Продажа",РД[Дом]&amp;РД[№ кв]&amp;РД[Состояние],0),1),Таблица10[[#This Row],[Статус]])</f>
        <v>6451856</v>
      </c>
      <c r="W340" s="235">
        <f>_xlfn.XLOOKUP(Таблица10[[#This Row],[№]],Реестр_Д5[№],Реестр_Д5[Стоимость квартиры с отделкой],"-",0)</f>
        <v>6451856</v>
      </c>
      <c r="X340" s="235">
        <f>IFERROR(Таблица10[[#This Row],[СО ПП]]-Таблица10[[#This Row],[СО ДДУ]],"")</f>
        <v>0</v>
      </c>
      <c r="Y340" s="233" cm="1">
        <f t="array" ref="Y340">IFERROR(INDEX(РД[S],MATCH($Q$3&amp;Таблица10[[#This Row],[№]]&amp;"Продажа",РД[Дом]&amp;РД[№ кв]&amp;РД[Состояние],0),1),Таблица10[[#This Row],[Статус]])</f>
        <v>56.58</v>
      </c>
      <c r="Z340" s="233">
        <f>IF(Таблица10[[#This Row],[№]]&amp;"ДДУ"=ППД5!A337&amp;ППД5!CR337,ППД5!U337,ППД5!V337)</f>
        <v>56.58</v>
      </c>
      <c r="AA340" s="285">
        <f>IFERROR(Таблица10[[#This Row],[S ПП]]-Таблица10[[#This Row],[S ДДУ]],)</f>
        <v>0</v>
      </c>
      <c r="AB340" s="235">
        <f>ROUND(_xlfn.XLOOKUP(Таблица10[[#This Row],[№]],Реестр_Д5[№],Реестр_Д5[Итоговая сумма скидки],"",0),2)</f>
        <v>164544</v>
      </c>
      <c r="AC340" s="235" cm="1">
        <f t="array" ref="AC340">IFERROR(ROUND(_xlfn.XLOOKUP($Q$3&amp;Таблица10[[#This Row],[№]]&amp;"Продажа",РД[Дом]&amp;РД[№ кв]&amp;РД[Состояние],РД[Сумма скидки],"",0,-1),2),Таблица10[[#This Row],[Статус]])</f>
        <v>164544</v>
      </c>
      <c r="AD340" s="285">
        <f>IFERROR(Таблица10[[#This Row],[ППС]]-Таблица10[[#This Row],[ДДУС]],)</f>
        <v>0</v>
      </c>
      <c r="AE340" s="611"/>
      <c r="AT340" s="611"/>
    </row>
    <row r="341" spans="1:46" x14ac:dyDescent="0.2">
      <c r="A341" s="611"/>
      <c r="B341" s="234">
        <f>VLOOKUP(ППД4!A338,Реестр_Д4[№],1,0)</f>
        <v>337</v>
      </c>
      <c r="C341" s="234" t="str">
        <f>VLOOKUP(ППД4!CO338,Реестр_Д4[Статус],1,0)</f>
        <v>Продажа</v>
      </c>
      <c r="D341" s="612">
        <f>VLOOKUP(ППД4!CE338,Реестр_Д4[Стоимость ОН без отделки со скидкой],1,0)</f>
        <v>6480500</v>
      </c>
      <c r="E341" s="612" cm="1">
        <f t="array" ref="E341">IFERROR(INDEX(РД[Стоимость без отделки итог],MATCH($B$3&amp;Таблица4[[#This Row],[№]]&amp;"Продажа",РД[Дом]&amp;РД[№ кв]&amp;РД[Состояние],0),1),Таблица4[[#This Row],[Статус]])</f>
        <v>6480500</v>
      </c>
      <c r="F341" s="235">
        <f>IFERROR((Таблица4[[#This Row],[ПП]]-Таблица4[[#This Row],[ДДУ]])*1,"")</f>
        <v>0</v>
      </c>
      <c r="G341" s="235" cm="1">
        <f t="array" ref="G341">IFERROR(INDEX(РД[Стоимость с отделкой итог],MATCH($B$3&amp;Таблица4[[#This Row],[№]]&amp;"Продажа",РД[Дом]&amp;РД[№ кв]&amp;РД[Состояние],0),1),Таблица4[[#This Row],[Статус]])</f>
        <v>6480500</v>
      </c>
      <c r="H341" s="235">
        <f>_xlfn.XLOOKUP(Таблица4[[#This Row],[№]],Реестр_Д4[№],Реестр_Д4[Стоимость квартиры с отделкой],"-",0)</f>
        <v>6480500</v>
      </c>
      <c r="I341" s="235">
        <f>IFERROR(Таблица4[[#This Row],[СО ПП]]-Таблица4[[#This Row],[СО ДДУ]],"")</f>
        <v>0</v>
      </c>
      <c r="J341" s="233" cm="1">
        <f t="array" ref="J341">IFERROR(INDEX(РД[S],MATCH($B$3&amp;Таблица4[[#This Row],[№]]&amp;"Продажа",РД[Дом]&amp;РД[№ кв]&amp;РД[Состояние],0),1),Таблица4[[#This Row],[Статус]])</f>
        <v>72.510000000000005</v>
      </c>
      <c r="K341" s="233">
        <f>VLOOKUP(Таблица4[[#This Row],[№]],Реестр_Д4[],20,0)</f>
        <v>72.510000000000005</v>
      </c>
      <c r="L341" s="235">
        <f>IFERROR(Таблица4[[#This Row],[S ПП]]-Таблица4[[#This Row],[S ДДУ]],)</f>
        <v>0</v>
      </c>
      <c r="M341" s="235">
        <f>ROUND(_xlfn.XLOOKUP(Таблица4[[#This Row],[№]],Реестр_Д4[№],Реестр_Д4[Итоговая сумма скидки],"",0),2)</f>
        <v>170000</v>
      </c>
      <c r="N341" s="235" cm="1">
        <f t="array" ref="N341">IFERROR(ROUND(_xlfn.XLOOKUP($B$3&amp;Таблица4[[#This Row],[№]]&amp;"Продажа",РД[Дом]&amp;РД[№ кв]&amp;РД[Состояние],РД[Сумма скидки],"",0),2),Таблица4[[#This Row],[Статус]])</f>
        <v>170000</v>
      </c>
      <c r="O341" s="235">
        <f>IFERROR(Таблица4[[#This Row],[ППС]]-Таблица4[[#This Row],[ДДУС]],)</f>
        <v>0</v>
      </c>
      <c r="P341" s="611"/>
      <c r="Q341" s="234">
        <f>VLOOKUP(ППД5!A338,Реестр_Д5[№],1,0)</f>
        <v>337</v>
      </c>
      <c r="R341" s="234" t="str">
        <f>VLOOKUP(ППД5!CH338,Реестр_Д5[Статус],1,0)</f>
        <v>Продажа</v>
      </c>
      <c r="S341" s="612">
        <f>VLOOKUP(ППД5!BZ338,Реестр_Д5[Стоимость ОН без отделки со скидкой],1,0)</f>
        <v>5089902.38</v>
      </c>
      <c r="T341" s="612" cm="1">
        <f t="array" ref="T341">IFERROR(INDEX(РД[Стоимость без отделки итог],MATCH($Q$3&amp;Таблица10[[#This Row],[№]]&amp;"Продажа",РД[Дом]&amp;РД[№ кв]&amp;РД[Состояние],0),1),Таблица10[[#This Row],[Статус]])</f>
        <v>5089902.38</v>
      </c>
      <c r="U341" s="235">
        <f>IFERROR((Таблица10[[#This Row],[ПП]]-Таблица10[[#This Row],[ДДУ]])*1,)</f>
        <v>0</v>
      </c>
      <c r="V341" s="235" cm="1">
        <f t="array" ref="V341">IFERROR(INDEX(РД[Стоимость с отделкой итог],MATCH($Q$3&amp;Таблица10[[#This Row],[№]]&amp;"Продажа",РД[Дом]&amp;РД[№ кв]&amp;РД[Состояние],0),1),Таблица10[[#This Row],[Статус]])</f>
        <v>5541702.3799999999</v>
      </c>
      <c r="W341" s="235">
        <f>_xlfn.XLOOKUP(Таблица10[[#This Row],[№]],Реестр_Д5[№],Реестр_Д5[Стоимость квартиры с отделкой],"-",0)</f>
        <v>5541702.3799999999</v>
      </c>
      <c r="X341" s="235">
        <f>IFERROR(Таблица10[[#This Row],[СО ПП]]-Таблица10[[#This Row],[СО ДДУ]],"")</f>
        <v>0</v>
      </c>
      <c r="Y341" s="233" cm="1">
        <f t="array" ref="Y341">IFERROR(INDEX(РД[S],MATCH($Q$3&amp;Таблица10[[#This Row],[№]]&amp;"Продажа",РД[Дом]&amp;РД[№ кв]&amp;РД[Состояние],0),1),Таблица10[[#This Row],[Статус]])</f>
        <v>60.24</v>
      </c>
      <c r="Z341" s="233">
        <f>IF(Таблица10[[#This Row],[№]]&amp;"ДДУ"=ППД5!A338&amp;ППД5!CR338,ППД5!U338,ППД5!V338)</f>
        <v>60.24</v>
      </c>
      <c r="AA341" s="285">
        <f>IFERROR(Таблица10[[#This Row],[S ПП]]-Таблица10[[#This Row],[S ДДУ]],)</f>
        <v>0</v>
      </c>
      <c r="AB341" s="235">
        <f>ROUND(_xlfn.XLOOKUP(Таблица10[[#This Row],[№]],Реестр_Д5[№],Реестр_Д5[Итоговая сумма скидки],"",0),2)</f>
        <v>267889.59999999998</v>
      </c>
      <c r="AC341" s="235" cm="1">
        <f t="array" ref="AC341">IFERROR(ROUND(_xlfn.XLOOKUP($Q$3&amp;Таблица10[[#This Row],[№]]&amp;"Продажа",РД[Дом]&amp;РД[№ кв]&amp;РД[Состояние],РД[Сумма скидки],"",0,-1),2),Таблица10[[#This Row],[Статус]])</f>
        <v>267889.59999999998</v>
      </c>
      <c r="AD341" s="285">
        <f>IFERROR(Таблица10[[#This Row],[ППС]]-Таблица10[[#This Row],[ДДУС]],)</f>
        <v>0</v>
      </c>
      <c r="AE341" s="611"/>
      <c r="AT341" s="611"/>
    </row>
    <row r="342" spans="1:46" x14ac:dyDescent="0.2">
      <c r="A342" s="611"/>
      <c r="B342" s="234">
        <f>VLOOKUP(ППД4!A339,Реестр_Д4[№],1,0)</f>
        <v>338</v>
      </c>
      <c r="C342" s="234" t="str">
        <f>VLOOKUP(ППД4!CO339,Реестр_Д4[Статус],1,0)</f>
        <v>Продажа</v>
      </c>
      <c r="D342" s="612">
        <f>VLOOKUP(ППД4!CE339,Реестр_Д4[Стоимость ОН без отделки со скидкой],1,0)</f>
        <v>2612596.9</v>
      </c>
      <c r="E342" s="612" cm="1">
        <f t="array" ref="E342">IFERROR(INDEX(РД[Стоимость без отделки итог],MATCH($B$3&amp;Таблица4[[#This Row],[№]]&amp;"Продажа",РД[Дом]&amp;РД[№ кв]&amp;РД[Состояние],0),1),Таблица4[[#This Row],[Статус]])</f>
        <v>2612596.9</v>
      </c>
      <c r="F342" s="235">
        <f>IFERROR((Таблица4[[#This Row],[ПП]]-Таблица4[[#This Row],[ДДУ]])*1,"")</f>
        <v>0</v>
      </c>
      <c r="G342" s="235" cm="1">
        <f t="array" ref="G342">IFERROR(INDEX(РД[Стоимость с отделкой итог],MATCH($B$3&amp;Таблица4[[#This Row],[№]]&amp;"Продажа",РД[Дом]&amp;РД[№ кв]&amp;РД[Состояние],0),1),Таблица4[[#This Row],[Статус]])</f>
        <v>2612596.9</v>
      </c>
      <c r="H342" s="235">
        <f>_xlfn.XLOOKUP(Таблица4[[#This Row],[№]],Реестр_Д4[№],Реестр_Д4[Стоимость квартиры с отделкой],"-",0)</f>
        <v>2612596.9</v>
      </c>
      <c r="I342" s="235">
        <f>IFERROR(Таблица4[[#This Row],[СО ПП]]-Таблица4[[#This Row],[СО ДДУ]],"")</f>
        <v>0</v>
      </c>
      <c r="J342" s="233" cm="1">
        <f t="array" ref="J342">IFERROR(INDEX(РД[S],MATCH($B$3&amp;Таблица4[[#This Row],[№]]&amp;"Продажа",РД[Дом]&amp;РД[№ кв]&amp;РД[Состояние],0),1),Таблица4[[#This Row],[Статус]])</f>
        <v>33.840000000000003</v>
      </c>
      <c r="K342" s="233">
        <f>VLOOKUP(Таблица4[[#This Row],[№]],Реестр_Д4[],20,0)</f>
        <v>33.840000000000003</v>
      </c>
      <c r="L342" s="235">
        <f>IFERROR(Таблица4[[#This Row],[S ПП]]-Таблица4[[#This Row],[S ДДУ]],)</f>
        <v>0</v>
      </c>
      <c r="M342" s="235">
        <f>ROUND(_xlfn.XLOOKUP(Таблица4[[#This Row],[№]],Реестр_Д4[№],Реестр_Д4[Итоговая сумма скидки],"",0),2)</f>
        <v>0</v>
      </c>
      <c r="N342" s="235" cm="1">
        <f t="array" ref="N34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2" s="235">
        <f>IFERROR(Таблица4[[#This Row],[ППС]]-Таблица4[[#This Row],[ДДУС]],)</f>
        <v>0</v>
      </c>
      <c r="P342" s="611"/>
      <c r="Q342" s="234">
        <f>VLOOKUP(ППД5!A339,Реестр_Д5[№],1,0)</f>
        <v>338</v>
      </c>
      <c r="R342" s="234" t="str">
        <f>VLOOKUP(ППД5!CH339,Реестр_Д5[Статус],1,0)</f>
        <v>Продажа</v>
      </c>
      <c r="S342" s="612">
        <f>VLOOKUP(ППД5!BZ339,Реестр_Д5[Стоимость ОН без отделки со скидкой],1,0)</f>
        <v>4324446</v>
      </c>
      <c r="T342" s="612" cm="1">
        <f t="array" ref="T342">IFERROR(INDEX(РД[Стоимость без отделки итог],MATCH($Q$3&amp;Таблица10[[#This Row],[№]]&amp;"Продажа",РД[Дом]&amp;РД[№ кв]&amp;РД[Состояние],0),1),Таблица10[[#This Row],[Статус]])</f>
        <v>4324446</v>
      </c>
      <c r="U342" s="235">
        <f>IFERROR((Таблица10[[#This Row],[ПП]]-Таблица10[[#This Row],[ДДУ]])*1,)</f>
        <v>0</v>
      </c>
      <c r="V342" s="235" cm="1">
        <f t="array" ref="V342">IFERROR(INDEX(РД[Стоимость с отделкой итог],MATCH($Q$3&amp;Таблица10[[#This Row],[№]]&amp;"Продажа",РД[Дом]&amp;РД[№ кв]&amp;РД[Состояние],0),1),Таблица10[[#This Row],[Статус]])</f>
        <v>4626926</v>
      </c>
      <c r="W342" s="235">
        <f>_xlfn.XLOOKUP(Таблица10[[#This Row],[№]],Реестр_Д5[№],Реестр_Д5[Стоимость квартиры с отделкой],"-",0)</f>
        <v>4626926</v>
      </c>
      <c r="X342" s="235">
        <f>IFERROR(Таблица10[[#This Row],[СО ПП]]-Таблица10[[#This Row],[СО ДДУ]],"")</f>
        <v>0</v>
      </c>
      <c r="Y342" s="233" cm="1">
        <f t="array" ref="Y342">IFERROR(INDEX(РД[S],MATCH($Q$3&amp;Таблица10[[#This Row],[№]]&amp;"Продажа",РД[Дом]&amp;РД[№ кв]&amp;РД[Состояние],0),1),Таблица10[[#This Row],[Статус]])</f>
        <v>37.81</v>
      </c>
      <c r="Z342" s="233">
        <f>IF(Таблица10[[#This Row],[№]]&amp;"ДДУ"=ППД5!A339&amp;ППД5!CR339,ППД5!U339,ППД5!V339)</f>
        <v>37.81</v>
      </c>
      <c r="AA342" s="285">
        <f>IFERROR(Таблица10[[#This Row],[S ПП]]-Таблица10[[#This Row],[S ДДУ]],)</f>
        <v>0</v>
      </c>
      <c r="AB342" s="235">
        <f>ROUND(_xlfn.XLOOKUP(Таблица10[[#This Row],[№]],Реестр_Д5[№],Реестр_Д5[Итоговая сумма скидки],"",0),2)</f>
        <v>88254</v>
      </c>
      <c r="AC342" s="235" cm="1">
        <f t="array" ref="AC342">IFERROR(ROUND(_xlfn.XLOOKUP($Q$3&amp;Таблица10[[#This Row],[№]]&amp;"Продажа",РД[Дом]&amp;РД[№ кв]&amp;РД[Состояние],РД[Сумма скидки],"",0,-1),2),Таблица10[[#This Row],[Статус]])</f>
        <v>88254</v>
      </c>
      <c r="AD342" s="285">
        <f>IFERROR(Таблица10[[#This Row],[ППС]]-Таблица10[[#This Row],[ДДУС]],)</f>
        <v>0</v>
      </c>
      <c r="AE342" s="611"/>
      <c r="AT342" s="611"/>
    </row>
    <row r="343" spans="1:46" x14ac:dyDescent="0.2">
      <c r="A343" s="611"/>
      <c r="B343" s="234">
        <f>VLOOKUP(ППД4!A340,Реестр_Д4[№],1,0)</f>
        <v>339</v>
      </c>
      <c r="C343" s="234" t="str">
        <f>VLOOKUP(ППД4!CO340,Реестр_Д4[Статус],1,0)</f>
        <v>Продажа</v>
      </c>
      <c r="D343" s="612">
        <f>VLOOKUP(ППД4!CE340,Реестр_Д4[Стоимость ОН без отделки со скидкой],1,0)</f>
        <v>2646505.35</v>
      </c>
      <c r="E343" s="612" cm="1">
        <f t="array" ref="E343">IFERROR(INDEX(РД[Стоимость без отделки итог],MATCH($B$3&amp;Таблица4[[#This Row],[№]]&amp;"Продажа",РД[Дом]&amp;РД[№ кв]&amp;РД[Состояние],0),1),Таблица4[[#This Row],[Статус]])</f>
        <v>2646505.35</v>
      </c>
      <c r="F343" s="235">
        <f>IFERROR((Таблица4[[#This Row],[ПП]]-Таблица4[[#This Row],[ДДУ]])*1,"")</f>
        <v>0</v>
      </c>
      <c r="G343" s="235" cm="1">
        <f t="array" ref="G343">IFERROR(INDEX(РД[Стоимость с отделкой итог],MATCH($B$3&amp;Таблица4[[#This Row],[№]]&amp;"Продажа",РД[Дом]&amp;РД[№ кв]&amp;РД[Состояние],0),1),Таблица4[[#This Row],[Статус]])</f>
        <v>3086755.35</v>
      </c>
      <c r="H343" s="235">
        <f>_xlfn.XLOOKUP(Таблица4[[#This Row],[№]],Реестр_Д4[№],Реестр_Д4[Стоимость квартиры с отделкой],"-",0)</f>
        <v>3086755.35</v>
      </c>
      <c r="I343" s="235">
        <f>IFERROR(Таблица4[[#This Row],[СО ПП]]-Таблица4[[#This Row],[СО ДДУ]],"")</f>
        <v>0</v>
      </c>
      <c r="J343" s="233" cm="1">
        <f t="array" ref="J343">IFERROR(INDEX(РД[S],MATCH($B$3&amp;Таблица4[[#This Row],[№]]&amp;"Продажа",РД[Дом]&amp;РД[№ кв]&amp;РД[Состояние],0),1),Таблица4[[#This Row],[Статус]])</f>
        <v>29.35</v>
      </c>
      <c r="K343" s="233">
        <f>VLOOKUP(Таблица4[[#This Row],[№]],Реестр_Д4[],20,0)</f>
        <v>29.35</v>
      </c>
      <c r="L343" s="235">
        <f>IFERROR(Таблица4[[#This Row],[S ПП]]-Таблица4[[#This Row],[S ДДУ]],)</f>
        <v>0</v>
      </c>
      <c r="M343" s="235">
        <f>ROUND(_xlfn.XLOOKUP(Таблица4[[#This Row],[№]],Реестр_Д4[№],Реестр_Д4[Итоговая сумма скидки],"",0),2)</f>
        <v>0</v>
      </c>
      <c r="N343" s="235" cm="1">
        <f t="array" ref="N34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3" s="235">
        <f>IFERROR(Таблица4[[#This Row],[ППС]]-Таблица4[[#This Row],[ДДУС]],)</f>
        <v>0</v>
      </c>
      <c r="P343" s="611"/>
      <c r="Q343" s="234">
        <f>VLOOKUP(ППД5!A340,Реестр_Д5[№],1,0)</f>
        <v>339</v>
      </c>
      <c r="R343" s="234" t="str">
        <f>VLOOKUP(ППД5!CH340,Реестр_Д5[Статус],1,0)</f>
        <v>Гарантированная бронь</v>
      </c>
      <c r="S343" s="612">
        <f>VLOOKUP(ППД5!BZ340,Реестр_Д5[Стоимость ОН без отделки со скидкой],1,0)</f>
        <v>9132300</v>
      </c>
      <c r="T343" s="612" t="str" cm="1">
        <f t="array" ref="T343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343" s="235">
        <f>IFERROR((Таблица10[[#This Row],[ПП]]-Таблица10[[#This Row],[ДДУ]])*1,)</f>
        <v>0</v>
      </c>
      <c r="V343" s="235" t="str" cm="1">
        <f t="array" ref="V343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343" s="235">
        <f>_xlfn.XLOOKUP(Таблица10[[#This Row],[№]],Реестр_Д5[№],Реестр_Д5[Стоимость квартиры с отделкой],"-",0)</f>
        <v>9132300</v>
      </c>
      <c r="X343" s="235" t="str">
        <f>IFERROR(Таблица10[[#This Row],[СО ПП]]-Таблица10[[#This Row],[СО ДДУ]],"")</f>
        <v/>
      </c>
      <c r="Y343" s="233" t="str" cm="1">
        <f t="array" ref="Y343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343" s="233">
        <f>IF(Таблица10[[#This Row],[№]]&amp;"ДДУ"=ППД5!A340&amp;ППД5!CR340,ППД5!U340,ППД5!V340)</f>
        <v>80.249999999999986</v>
      </c>
      <c r="AA343" s="285">
        <f>IFERROR(Таблица10[[#This Row],[S ПП]]-Таблица10[[#This Row],[S ДДУ]],)</f>
        <v>0</v>
      </c>
      <c r="AB343" s="235">
        <f>ROUND(_xlfn.XLOOKUP(Таблица10[[#This Row],[№]],Реестр_Д5[№],Реестр_Д5[Итоговая сумма скидки],"",0),2)</f>
        <v>0</v>
      </c>
      <c r="AC343" s="235" t="str" cm="1">
        <f t="array" ref="AC343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343" s="285">
        <f>IFERROR(Таблица10[[#This Row],[ППС]]-Таблица10[[#This Row],[ДДУС]],)</f>
        <v>0</v>
      </c>
      <c r="AE343" s="611"/>
      <c r="AT343" s="611"/>
    </row>
    <row r="344" spans="1:46" x14ac:dyDescent="0.2">
      <c r="A344" s="611"/>
      <c r="B344" s="234">
        <f>VLOOKUP(ППД4!A341,Реестр_Д4[№],1,0)</f>
        <v>340</v>
      </c>
      <c r="C344" s="234" t="str">
        <f>VLOOKUP(ППД4!CO341,Реестр_Д4[Статус],1,0)</f>
        <v>Продажа</v>
      </c>
      <c r="D344" s="612">
        <f>VLOOKUP(ППД4!CE341,Реестр_Д4[Стоимость ОН без отделки со скидкой],1,0)</f>
        <v>5342065.24</v>
      </c>
      <c r="E344" s="612" cm="1">
        <f t="array" ref="E344">IFERROR(INDEX(РД[Стоимость без отделки итог],MATCH($B$3&amp;Таблица4[[#This Row],[№]]&amp;"Продажа",РД[Дом]&amp;РД[№ кв]&amp;РД[Состояние],0),1),Таблица4[[#This Row],[Статус]])</f>
        <v>5342065.24</v>
      </c>
      <c r="F344" s="235">
        <f>IFERROR((Таблица4[[#This Row],[ПП]]-Таблица4[[#This Row],[ДДУ]])*1,"")</f>
        <v>0</v>
      </c>
      <c r="G344" s="235" cm="1">
        <f t="array" ref="G344">IFERROR(INDEX(РД[Стоимость с отделкой итог],MATCH($B$3&amp;Таблица4[[#This Row],[№]]&amp;"Продажа",РД[Дом]&amp;РД[№ кв]&amp;РД[Состояние],0),1),Таблица4[[#This Row],[Статус]])</f>
        <v>5613865.2400000002</v>
      </c>
      <c r="H344" s="235">
        <f>_xlfn.XLOOKUP(Таблица4[[#This Row],[№]],Реестр_Д4[№],Реестр_Д4[Стоимость квартиры с отделкой],"-",0)</f>
        <v>5613865.2400000002</v>
      </c>
      <c r="I344" s="235">
        <f>IFERROR(Таблица4[[#This Row],[СО ПП]]-Таблица4[[#This Row],[СО ДДУ]],"")</f>
        <v>0</v>
      </c>
      <c r="J344" s="233" cm="1">
        <f t="array" ref="J344">IFERROR(INDEX(РД[S],MATCH($B$3&amp;Таблица4[[#This Row],[№]]&amp;"Продажа",РД[Дом]&amp;РД[№ кв]&amp;РД[Состояние],0),1),Таблица4[[#This Row],[Статус]])</f>
        <v>67.95</v>
      </c>
      <c r="K344" s="233">
        <f>VLOOKUP(Таблица4[[#This Row],[№]],Реестр_Д4[],20,0)</f>
        <v>67.95</v>
      </c>
      <c r="L344" s="235">
        <f>IFERROR(Таблица4[[#This Row],[S ПП]]-Таблица4[[#This Row],[S ДДУ]],)</f>
        <v>0</v>
      </c>
      <c r="M344" s="235">
        <f>ROUND(_xlfn.XLOOKUP(Таблица4[[#This Row],[№]],Реестр_Д4[№],Реестр_Д4[Итоговая сумма скидки],"",0),2)</f>
        <v>271800</v>
      </c>
      <c r="N344" s="235" cm="1">
        <f t="array" ref="N344">IFERROR(ROUND(_xlfn.XLOOKUP($B$3&amp;Таблица4[[#This Row],[№]]&amp;"Продажа",РД[Дом]&amp;РД[№ кв]&amp;РД[Состояние],РД[Сумма скидки],"",0),2),Таблица4[[#This Row],[Статус]])</f>
        <v>271800</v>
      </c>
      <c r="O344" s="235">
        <f>IFERROR(Таблица4[[#This Row],[ППС]]-Таблица4[[#This Row],[ДДУС]],)</f>
        <v>0</v>
      </c>
      <c r="P344" s="611"/>
      <c r="Q344" s="234">
        <f>VLOOKUP(ППД5!A341,Реестр_Д5[№],1,0)</f>
        <v>340</v>
      </c>
      <c r="R344" s="234" t="str">
        <f>VLOOKUP(ППД5!CH341,Реестр_Д5[Статус],1,0)</f>
        <v>Продажа</v>
      </c>
      <c r="S344" s="612">
        <f>VLOOKUP(ППД5!BZ341,Реестр_Д5[Стоимость ОН без отделки со скидкой],1,0)</f>
        <v>4797520</v>
      </c>
      <c r="T344" s="612" cm="1">
        <f t="array" ref="T344">IFERROR(INDEX(РД[Стоимость без отделки итог],MATCH($Q$3&amp;Таблица10[[#This Row],[№]]&amp;"Продажа",РД[Дом]&amp;РД[№ кв]&amp;РД[Состояние],0),1),Таблица10[[#This Row],[Статус]])</f>
        <v>4797520</v>
      </c>
      <c r="U344" s="235">
        <f>IFERROR((Таблица10[[#This Row],[ПП]]-Таблица10[[#This Row],[ДДУ]])*1,)</f>
        <v>0</v>
      </c>
      <c r="V344" s="235" cm="1">
        <f t="array" ref="V344">IFERROR(INDEX(РД[Стоимость с отделкой итог],MATCH($Q$3&amp;Таблица10[[#This Row],[№]]&amp;"Продажа",РД[Дом]&amp;РД[№ кв]&amp;РД[Состояние],0),1),Таблица10[[#This Row],[Статус]])</f>
        <v>5667770</v>
      </c>
      <c r="W344" s="235">
        <f>_xlfn.XLOOKUP(Таблица10[[#This Row],[№]],Реестр_Д5[№],Реестр_Д5[Стоимость квартиры с отделкой],"-",0)</f>
        <v>5667770</v>
      </c>
      <c r="X344" s="235">
        <f>IFERROR(Таблица10[[#This Row],[СО ПП]]-Таблица10[[#This Row],[СО ДДУ]],"")</f>
        <v>0</v>
      </c>
      <c r="Y344" s="233" cm="1">
        <f t="array" ref="Y344">IFERROR(INDEX(РД[S],MATCH($Q$3&amp;Таблица10[[#This Row],[№]]&amp;"Продажа",РД[Дом]&amp;РД[№ кв]&amp;РД[Состояние],0),1),Таблица10[[#This Row],[Статус]])</f>
        <v>34.81</v>
      </c>
      <c r="Z344" s="233">
        <f>IF(Таблица10[[#This Row],[№]]&amp;"ДДУ"=ППД5!A341&amp;ППД5!CR341,ППД5!U341,ППД5!V341)</f>
        <v>34.81</v>
      </c>
      <c r="AA344" s="285">
        <f>IFERROR(Таблица10[[#This Row],[S ПП]]-Таблица10[[#This Row],[S ДДУ]],)</f>
        <v>0</v>
      </c>
      <c r="AB344" s="235">
        <f>ROUND(_xlfn.XLOOKUP(Таблица10[[#This Row],[№]],Реестр_Д5[№],Реестр_Д5[Итоговая сумма скидки],"",0),2)</f>
        <v>278480</v>
      </c>
      <c r="AC344" s="235" cm="1">
        <f t="array" ref="AC344">IFERROR(ROUND(_xlfn.XLOOKUP($Q$3&amp;Таблица10[[#This Row],[№]]&amp;"Продажа",РД[Дом]&amp;РД[№ кв]&amp;РД[Состояние],РД[Сумма скидки],"",0,-1),2),Таблица10[[#This Row],[Статус]])</f>
        <v>278480</v>
      </c>
      <c r="AD344" s="285">
        <f>IFERROR(Таблица10[[#This Row],[ППС]]-Таблица10[[#This Row],[ДДУС]],)</f>
        <v>0</v>
      </c>
      <c r="AE344" s="611"/>
      <c r="AT344" s="611"/>
    </row>
    <row r="345" spans="1:46" x14ac:dyDescent="0.2">
      <c r="A345" s="611"/>
      <c r="B345" s="234">
        <f>VLOOKUP(ППД4!A342,Реестр_Д4[№],1,0)</f>
        <v>341</v>
      </c>
      <c r="C345" s="234" t="str">
        <f>VLOOKUP(ППД4!CO342,Реестр_Д4[Статус],1,0)</f>
        <v>Продажа</v>
      </c>
      <c r="D345" s="612">
        <f>VLOOKUP(ППД4!CE342,Реестр_Д4[Стоимость ОН без отделки со скидкой],1,0)</f>
        <v>4017500</v>
      </c>
      <c r="E345" s="612" cm="1">
        <f t="array" ref="E345">IFERROR(INDEX(РД[Стоимость без отделки итог],MATCH($B$3&amp;Таблица4[[#This Row],[№]]&amp;"Продажа",РД[Дом]&amp;РД[№ кв]&amp;РД[Состояние],0),1),Таблица4[[#This Row],[Статус]])</f>
        <v>4017500</v>
      </c>
      <c r="F345" s="235">
        <f>IFERROR((Таблица4[[#This Row],[ПП]]-Таблица4[[#This Row],[ДДУ]])*1,"")</f>
        <v>0</v>
      </c>
      <c r="G345" s="235" cm="1">
        <f t="array" ref="G345">IFERROR(INDEX(РД[Стоимость с отделкой итог],MATCH($B$3&amp;Таблица4[[#This Row],[№]]&amp;"Продажа",РД[Дом]&amp;РД[№ кв]&amp;РД[Состояние],0),1),Таблица4[[#This Row],[Статус]])</f>
        <v>4290875</v>
      </c>
      <c r="H345" s="235">
        <f>_xlfn.XLOOKUP(Таблица4[[#This Row],[№]],Реестр_Д4[№],Реестр_Д4[Стоимость квартиры с отделкой],"-",0)</f>
        <v>4290875</v>
      </c>
      <c r="I345" s="235">
        <f>IFERROR(Таблица4[[#This Row],[СО ПП]]-Таблица4[[#This Row],[СО ДДУ]],"")</f>
        <v>0</v>
      </c>
      <c r="J345" s="233" cm="1">
        <f t="array" ref="J345">IFERROR(INDEX(РД[S],MATCH($B$3&amp;Таблица4[[#This Row],[№]]&amp;"Продажа",РД[Дом]&amp;РД[№ кв]&amp;РД[Состояние],0),1),Таблица4[[#This Row],[Статус]])</f>
        <v>36.450000000000003</v>
      </c>
      <c r="K345" s="233">
        <f>VLOOKUP(Таблица4[[#This Row],[№]],Реестр_Д4[],20,0)</f>
        <v>36.450000000000003</v>
      </c>
      <c r="L345" s="235">
        <f>IFERROR(Таблица4[[#This Row],[S ПП]]-Таблица4[[#This Row],[S ДДУ]],)</f>
        <v>0</v>
      </c>
      <c r="M345" s="235">
        <f>ROUND(_xlfn.XLOOKUP(Таблица4[[#This Row],[№]],Реестр_Д4[№],Реестр_Д4[Итоговая сумма скидки],"",0),2)</f>
        <v>0</v>
      </c>
      <c r="N345" s="235" cm="1">
        <f t="array" ref="N34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5" s="235">
        <f>IFERROR(Таблица4[[#This Row],[ППС]]-Таблица4[[#This Row],[ДДУС]],)</f>
        <v>0</v>
      </c>
      <c r="P345" s="611"/>
      <c r="Q345" s="234">
        <f>VLOOKUP(ППД5!A342,Реестр_Д5[№],1,0)</f>
        <v>341</v>
      </c>
      <c r="R345" s="234" t="str">
        <f>VLOOKUP(ППД5!CH342,Реестр_Д5[Статус],1,0)</f>
        <v>Продажа</v>
      </c>
      <c r="S345" s="612">
        <f>VLOOKUP(ППД5!BZ342,Реестр_Д5[Стоимость ОН без отделки со скидкой],1,0)</f>
        <v>6884963</v>
      </c>
      <c r="T345" s="612" cm="1">
        <f t="array" ref="T345">IFERROR(INDEX(РД[Стоимость без отделки итог],MATCH($Q$3&amp;Таблица10[[#This Row],[№]]&amp;"Продажа",РД[Дом]&amp;РД[№ кв]&amp;РД[Состояние],0),1),Таблица10[[#This Row],[Статус]])</f>
        <v>6884963</v>
      </c>
      <c r="U345" s="235">
        <f>IFERROR((Таблица10[[#This Row],[ПП]]-Таблица10[[#This Row],[ДДУ]])*1,)</f>
        <v>0</v>
      </c>
      <c r="V345" s="235" cm="1">
        <f t="array" ref="V345">IFERROR(INDEX(РД[Стоимость с отделкой итог],MATCH($Q$3&amp;Таблица10[[#This Row],[№]]&amp;"Продажа",РД[Дом]&amp;РД[№ кв]&amp;РД[Состояние],0),1),Таблица10[[#This Row],[Статус]])</f>
        <v>6884963</v>
      </c>
      <c r="W345" s="235">
        <f>_xlfn.XLOOKUP(Таблица10[[#This Row],[№]],Реестр_Д5[№],Реестр_Д5[Стоимость квартиры с отделкой],"-",0)</f>
        <v>6884963</v>
      </c>
      <c r="X345" s="235">
        <f>IFERROR(Таблица10[[#This Row],[СО ПП]]-Таблица10[[#This Row],[СО ДДУ]],"")</f>
        <v>0</v>
      </c>
      <c r="Y345" s="233" cm="1">
        <f t="array" ref="Y345">IFERROR(INDEX(РД[S],MATCH($Q$3&amp;Таблица10[[#This Row],[№]]&amp;"Продажа",РД[Дом]&amp;РД[№ кв]&amp;РД[Состояние],0),1),Таблица10[[#This Row],[Статус]])</f>
        <v>73.7</v>
      </c>
      <c r="Z345" s="233">
        <f>IF(Таблица10[[#This Row],[№]]&amp;"ДДУ"=ППД5!A342&amp;ППД5!CR342,ППД5!U342,ППД5!V342)</f>
        <v>73.7</v>
      </c>
      <c r="AA345" s="285">
        <f>IFERROR(Таблица10[[#This Row],[S ПП]]-Таблица10[[#This Row],[S ДДУ]],)</f>
        <v>0</v>
      </c>
      <c r="AB345" s="235">
        <f>ROUND(_xlfn.XLOOKUP(Таблица10[[#This Row],[№]],Реестр_Д5[№],Реестр_Д5[Итоговая сумма скидки],"",0),2)</f>
        <v>212937</v>
      </c>
      <c r="AC345" s="235" cm="1">
        <f t="array" ref="AC345">IFERROR(ROUND(_xlfn.XLOOKUP($Q$3&amp;Таблица10[[#This Row],[№]]&amp;"Продажа",РД[Дом]&amp;РД[№ кв]&amp;РД[Состояние],РД[Сумма скидки],"",0,-1),2),Таблица10[[#This Row],[Статус]])</f>
        <v>212937</v>
      </c>
      <c r="AD345" s="285">
        <f>IFERROR(Таблица10[[#This Row],[ППС]]-Таблица10[[#This Row],[ДДУС]],)</f>
        <v>0</v>
      </c>
      <c r="AE345" s="611"/>
      <c r="AT345" s="611"/>
    </row>
    <row r="346" spans="1:46" x14ac:dyDescent="0.2">
      <c r="A346" s="611"/>
      <c r="B346" s="234">
        <f>VLOOKUP(ППД4!A343,Реестр_Д4[№],1,0)</f>
        <v>342</v>
      </c>
      <c r="C346" s="234" t="str">
        <f>VLOOKUP(ППД4!CO343,Реестр_Д4[Статус],1,0)</f>
        <v>Продажа</v>
      </c>
      <c r="D346" s="612">
        <f>VLOOKUP(ППД4!CE343,Реестр_Д4[Стоимость ОН без отделки со скидкой],1,0)</f>
        <v>4219766.42</v>
      </c>
      <c r="E346" s="612" cm="1">
        <f t="array" ref="E346">IFERROR(INDEX(РД[Стоимость без отделки итог],MATCH($B$3&amp;Таблица4[[#This Row],[№]]&amp;"Продажа",РД[Дом]&amp;РД[№ кв]&amp;РД[Состояние],0),1),Таблица4[[#This Row],[Статус]])</f>
        <v>4219766.42</v>
      </c>
      <c r="F346" s="235">
        <f>IFERROR((Таблица4[[#This Row],[ПП]]-Таблица4[[#This Row],[ДДУ]])*1,"")</f>
        <v>0</v>
      </c>
      <c r="G346" s="235" cm="1">
        <f t="array" ref="G346">IFERROR(INDEX(РД[Стоимость с отделкой итог],MATCH($B$3&amp;Таблица4[[#This Row],[№]]&amp;"Продажа",РД[Дом]&amp;РД[№ кв]&amp;РД[Состояние],0),1),Таблица4[[#This Row],[Статус]])</f>
        <v>4219766.42</v>
      </c>
      <c r="H346" s="235">
        <f>_xlfn.XLOOKUP(Таблица4[[#This Row],[№]],Реестр_Д4[№],Реестр_Д4[Стоимость квартиры с отделкой],"-",0)</f>
        <v>4219766.42</v>
      </c>
      <c r="I346" s="235">
        <f>IFERROR(Таблица4[[#This Row],[СО ПП]]-Таблица4[[#This Row],[СО ДДУ]],"")</f>
        <v>0</v>
      </c>
      <c r="J346" s="233" cm="1">
        <f t="array" ref="J346">IFERROR(INDEX(РД[S],MATCH($B$3&amp;Таблица4[[#This Row],[№]]&amp;"Продажа",РД[Дом]&amp;РД[№ кв]&amp;РД[Состояние],0),1),Таблица4[[#This Row],[Статус]])</f>
        <v>58.55</v>
      </c>
      <c r="K346" s="233">
        <f>VLOOKUP(Таблица4[[#This Row],[№]],Реестр_Д4[],20,0)</f>
        <v>58.55</v>
      </c>
      <c r="L346" s="235">
        <f>IFERROR(Таблица4[[#This Row],[S ПП]]-Таблица4[[#This Row],[S ДДУ]],)</f>
        <v>0</v>
      </c>
      <c r="M346" s="235">
        <f>ROUND(_xlfn.XLOOKUP(Таблица4[[#This Row],[№]],Реестр_Д4[№],Реестр_Д4[Итоговая сумма скидки],"",0),2)</f>
        <v>0</v>
      </c>
      <c r="N346" s="235" cm="1">
        <f t="array" ref="N34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6" s="235">
        <f>IFERROR(Таблица4[[#This Row],[ППС]]-Таблица4[[#This Row],[ДДУС]],)</f>
        <v>0</v>
      </c>
      <c r="P346" s="611"/>
      <c r="Q346" s="234">
        <f>VLOOKUP(ППД5!A343,Реестр_Д5[№],1,0)</f>
        <v>342</v>
      </c>
      <c r="R346" s="234" t="str">
        <f>VLOOKUP(ППД5!CH343,Реестр_Д5[Статус],1,0)</f>
        <v>Свободно</v>
      </c>
      <c r="S346" s="612">
        <f>VLOOKUP(ППД5!BZ343,Реестр_Д5[Стоимость ОН без отделки со скидкой],1,0)</f>
        <v>3772800</v>
      </c>
      <c r="T346" s="612" t="str" cm="1">
        <f t="array" ref="T34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46" s="235">
        <f>IFERROR((Таблица10[[#This Row],[ПП]]-Таблица10[[#This Row],[ДДУ]])*1,)</f>
        <v>0</v>
      </c>
      <c r="V346" s="235" t="str" cm="1">
        <f t="array" ref="V34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46" s="235">
        <f>_xlfn.XLOOKUP(Таблица10[[#This Row],[№]],Реестр_Д5[№],Реестр_Д5[Стоимость квартиры с отделкой],"-",0)</f>
        <v>3772800</v>
      </c>
      <c r="X346" s="235" t="str">
        <f>IFERROR(Таблица10[[#This Row],[СО ПП]]-Таблица10[[#This Row],[СО ДДУ]],"")</f>
        <v/>
      </c>
      <c r="Y346" s="233" t="str" cm="1">
        <f t="array" ref="Y346">IFERROR(INDEX(РД[S],MATCH($Q$3&amp;Таблица10[[#This Row],[№]]&amp;"Продажа",РД[Дом]&amp;РД[№ кв]&amp;РД[Состояние],0),1),Таблица10[[#This Row],[Статус]])</f>
        <v>Свободно</v>
      </c>
      <c r="Z346" s="233">
        <f>IF(Таблица10[[#This Row],[№]]&amp;"ДДУ"=ППД5!A343&amp;ППД5!CR343,ППД5!U343,ППД5!V343)</f>
        <v>24.4</v>
      </c>
      <c r="AA346" s="285">
        <f>IFERROR(Таблица10[[#This Row],[S ПП]]-Таблица10[[#This Row],[S ДДУ]],)</f>
        <v>0</v>
      </c>
      <c r="AB346" s="235">
        <f>ROUND(_xlfn.XLOOKUP(Таблица10[[#This Row],[№]],Реестр_Д5[№],Реестр_Д5[Итоговая сумма скидки],"",0),2)</f>
        <v>0</v>
      </c>
      <c r="AC346" s="235" t="str" cm="1">
        <f t="array" ref="AC34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46" s="285">
        <f>IFERROR(Таблица10[[#This Row],[ППС]]-Таблица10[[#This Row],[ДДУС]],)</f>
        <v>0</v>
      </c>
      <c r="AE346" s="611"/>
      <c r="AT346" s="611"/>
    </row>
    <row r="347" spans="1:46" x14ac:dyDescent="0.2">
      <c r="A347" s="611"/>
      <c r="B347" s="234">
        <f>VLOOKUP(ППД4!A344,Реестр_Д4[№],1,0)</f>
        <v>343</v>
      </c>
      <c r="C347" s="234" t="str">
        <f>VLOOKUP(ППД4!CO344,Реестр_Д4[Статус],1,0)</f>
        <v>Продажа</v>
      </c>
      <c r="D347" s="612">
        <f>VLOOKUP(ППД4!CE344,Реестр_Д4[Стоимость ОН без отделки со скидкой],1,0)</f>
        <v>4915113.92</v>
      </c>
      <c r="E347" s="612" cm="1">
        <f t="array" ref="E347">IFERROR(INDEX(РД[Стоимость без отделки итог],MATCH($B$3&amp;Таблица4[[#This Row],[№]]&amp;"Продажа",РД[Дом]&amp;РД[№ кв]&amp;РД[Состояние],0),1),Таблица4[[#This Row],[Статус]])</f>
        <v>4915113.92</v>
      </c>
      <c r="F347" s="235">
        <f>IFERROR((Таблица4[[#This Row],[ПП]]-Таблица4[[#This Row],[ДДУ]])*1,"")</f>
        <v>0</v>
      </c>
      <c r="G347" s="235" cm="1">
        <f t="array" ref="G347">IFERROR(INDEX(РД[Стоимость с отделкой итог],MATCH($B$3&amp;Таблица4[[#This Row],[№]]&amp;"Продажа",РД[Дом]&amp;РД[№ кв]&amp;РД[Состояние],0),1),Таблица4[[#This Row],[Статус]])</f>
        <v>6162513.9199999999</v>
      </c>
      <c r="H347" s="235">
        <f>_xlfn.XLOOKUP(Таблица4[[#This Row],[№]],Реестр_Д4[№],Реестр_Д4[Стоимость квартиры с отделкой],"-",0)</f>
        <v>6162513.9199999999</v>
      </c>
      <c r="I347" s="235">
        <f>IFERROR(Таблица4[[#This Row],[СО ПП]]-Таблица4[[#This Row],[СО ДДУ]],"")</f>
        <v>0</v>
      </c>
      <c r="J347" s="233" cm="1">
        <f t="array" ref="J347">IFERROR(INDEX(РД[S],MATCH($B$3&amp;Таблица4[[#This Row],[№]]&amp;"Продажа",РД[Дом]&amp;РД[№ кв]&amp;РД[Состояние],0),1),Таблица4[[#This Row],[Статус]])</f>
        <v>56.7</v>
      </c>
      <c r="K347" s="233">
        <f>VLOOKUP(Таблица4[[#This Row],[№]],Реестр_Д4[],20,0)</f>
        <v>56.7</v>
      </c>
      <c r="L347" s="235">
        <f>IFERROR(Таблица4[[#This Row],[S ПП]]-Таблица4[[#This Row],[S ДДУ]],)</f>
        <v>0</v>
      </c>
      <c r="M347" s="235">
        <f>ROUND(_xlfn.XLOOKUP(Таблица4[[#This Row],[№]],Реестр_Д4[№],Реестр_Д4[Итоговая сумма скидки],"",0),2)</f>
        <v>258690.21</v>
      </c>
      <c r="N347" s="235" cm="1">
        <f t="array" ref="N347">IFERROR(ROUND(_xlfn.XLOOKUP($B$3&amp;Таблица4[[#This Row],[№]]&amp;"Продажа",РД[Дом]&amp;РД[№ кв]&amp;РД[Состояние],РД[Сумма скидки],"",0),2),Таблица4[[#This Row],[Статус]])</f>
        <v>258690.21</v>
      </c>
      <c r="O347" s="235">
        <f>IFERROR(Таблица4[[#This Row],[ППС]]-Таблица4[[#This Row],[ДДУС]],)</f>
        <v>0</v>
      </c>
      <c r="P347" s="611"/>
      <c r="Q347" s="234">
        <f>VLOOKUP(ППД5!A344,Реестр_Д5[№],1,0)</f>
        <v>343</v>
      </c>
      <c r="R347" s="234" t="str">
        <f>VLOOKUP(ППД5!CH344,Реестр_Д5[Статус],1,0)</f>
        <v>Продажа</v>
      </c>
      <c r="S347" s="612">
        <f>VLOOKUP(ППД5!BZ344,Реестр_Д5[Стоимость ОН без отделки со скидкой],1,0)</f>
        <v>6965644</v>
      </c>
      <c r="T347" s="612" cm="1">
        <f t="array" ref="T347">IFERROR(INDEX(РД[Стоимость без отделки итог],MATCH($Q$3&amp;Таблица10[[#This Row],[№]]&amp;"Продажа",РД[Дом]&amp;РД[№ кв]&amp;РД[Состояние],0),1),Таблица10[[#This Row],[Статус]])</f>
        <v>6965644</v>
      </c>
      <c r="U347" s="235">
        <f>IFERROR((Таблица10[[#This Row],[ПП]]-Таблица10[[#This Row],[ДДУ]])*1,)</f>
        <v>0</v>
      </c>
      <c r="V347" s="235" cm="1">
        <f t="array" ref="V347">IFERROR(INDEX(РД[Стоимость с отделкой итог],MATCH($Q$3&amp;Таблица10[[#This Row],[№]]&amp;"Продажа",РД[Дом]&amp;РД[№ кв]&amp;РД[Состояние],0),1),Таблица10[[#This Row],[Статус]])</f>
        <v>7531444</v>
      </c>
      <c r="W347" s="235">
        <f>_xlfn.XLOOKUP(Таблица10[[#This Row],[№]],Реестр_Д5[№],Реестр_Д5[Стоимость квартиры с отделкой],"-",0)</f>
        <v>7531444</v>
      </c>
      <c r="X347" s="235">
        <f>IFERROR(Таблица10[[#This Row],[СО ПП]]-Таблица10[[#This Row],[СО ДДУ]],"")</f>
        <v>0</v>
      </c>
      <c r="Y347" s="233" cm="1">
        <f t="array" ref="Y347">IFERROR(INDEX(РД[S],MATCH($Q$3&amp;Таблица10[[#This Row],[№]]&amp;"Продажа",РД[Дом]&amp;РД[№ кв]&amp;РД[Состояние],0),1),Таблица10[[#This Row],[Статус]])</f>
        <v>56.58</v>
      </c>
      <c r="Z347" s="233">
        <f>IF(Таблица10[[#This Row],[№]]&amp;"ДДУ"=ППД5!A344&amp;ППД5!CR344,ППД5!U344,ППД5!V344)</f>
        <v>56.58</v>
      </c>
      <c r="AA347" s="285">
        <f>IFERROR(Таблица10[[#This Row],[S ПП]]-Таблица10[[#This Row],[S ДДУ]],)</f>
        <v>0</v>
      </c>
      <c r="AB347" s="235">
        <f>ROUND(_xlfn.XLOOKUP(Таблица10[[#This Row],[№]],Реестр_Д5[№],Реестр_Д5[Итоговая сумма скидки],"",0),2)</f>
        <v>142156</v>
      </c>
      <c r="AC347" s="235" cm="1">
        <f t="array" ref="AC347">IFERROR(ROUND(_xlfn.XLOOKUP($Q$3&amp;Таблица10[[#This Row],[№]]&amp;"Продажа",РД[Дом]&amp;РД[№ кв]&amp;РД[Состояние],РД[Сумма скидки],"",0,-1),2),Таблица10[[#This Row],[Статус]])</f>
        <v>142156</v>
      </c>
      <c r="AD347" s="285">
        <f>IFERROR(Таблица10[[#This Row],[ППС]]-Таблица10[[#This Row],[ДДУС]],)</f>
        <v>0</v>
      </c>
      <c r="AE347" s="611"/>
      <c r="AT347" s="611"/>
    </row>
    <row r="348" spans="1:46" x14ac:dyDescent="0.2">
      <c r="A348" s="611"/>
      <c r="B348" s="234">
        <f>VLOOKUP(ППД4!A345,Реестр_Д4[№],1,0)</f>
        <v>344</v>
      </c>
      <c r="C348" s="234" t="str">
        <f>VLOOKUP(ППД4!CO345,Реестр_Д4[Статус],1,0)</f>
        <v>Продажа</v>
      </c>
      <c r="D348" s="612">
        <f>VLOOKUP(ППД4!CE345,Реестр_Д4[Стоимость ОН без отделки со скидкой],1,0)</f>
        <v>7051982</v>
      </c>
      <c r="E348" s="612" cm="1">
        <f t="array" ref="E348">IFERROR(INDEX(РД[Стоимость без отделки итог],MATCH($B$3&amp;Таблица4[[#This Row],[№]]&amp;"Продажа",РД[Дом]&amp;РД[№ кв]&amp;РД[Состояние],0),1),Таблица4[[#This Row],[Статус]])</f>
        <v>7051982</v>
      </c>
      <c r="F348" s="235">
        <f>IFERROR((Таблица4[[#This Row],[ПП]]-Таблица4[[#This Row],[ДДУ]])*1,"")</f>
        <v>0</v>
      </c>
      <c r="G348" s="235" cm="1">
        <f t="array" ref="G348">IFERROR(INDEX(РД[Стоимость с отделкой итог],MATCH($B$3&amp;Таблица4[[#This Row],[№]]&amp;"Продажа",РД[Дом]&amp;РД[№ кв]&amp;РД[Состояние],0),1),Таблица4[[#This Row],[Статус]])</f>
        <v>7595807</v>
      </c>
      <c r="H348" s="235">
        <f>_xlfn.XLOOKUP(Таблица4[[#This Row],[№]],Реестр_Д4[№],Реестр_Д4[Стоимость квартиры с отделкой],"-",0)</f>
        <v>7595807</v>
      </c>
      <c r="I348" s="235">
        <f>IFERROR(Таблица4[[#This Row],[СО ПП]]-Таблица4[[#This Row],[СО ДДУ]],"")</f>
        <v>0</v>
      </c>
      <c r="J348" s="233" cm="1">
        <f t="array" ref="J348">IFERROR(INDEX(РД[S],MATCH($B$3&amp;Таблица4[[#This Row],[№]]&amp;"Продажа",РД[Дом]&amp;РД[№ кв]&amp;РД[Состояние],0),1),Таблица4[[#This Row],[Статус]])</f>
        <v>72.510000000000005</v>
      </c>
      <c r="K348" s="233">
        <f>VLOOKUP(Таблица4[[#This Row],[№]],Реестр_Д4[],20,0)</f>
        <v>72.510000000000005</v>
      </c>
      <c r="L348" s="235">
        <f>IFERROR(Таблица4[[#This Row],[S ПП]]-Таблица4[[#This Row],[S ДДУ]],)</f>
        <v>0</v>
      </c>
      <c r="M348" s="235">
        <f>ROUND(_xlfn.XLOOKUP(Таблица4[[#This Row],[№]],Реестр_Д4[№],Реестр_Д4[Итоговая сумма скидки],"",0),2)</f>
        <v>143918</v>
      </c>
      <c r="N348" s="235" cm="1">
        <f t="array" ref="N348">IFERROR(ROUND(_xlfn.XLOOKUP($B$3&amp;Таблица4[[#This Row],[№]]&amp;"Продажа",РД[Дом]&amp;РД[№ кв]&amp;РД[Состояние],РД[Сумма скидки],"",0),2),Таблица4[[#This Row],[Статус]])</f>
        <v>143918</v>
      </c>
      <c r="O348" s="235">
        <f>IFERROR(Таблица4[[#This Row],[ППС]]-Таблица4[[#This Row],[ДДУС]],)</f>
        <v>0</v>
      </c>
      <c r="P348" s="611"/>
      <c r="Q348" s="234">
        <f>VLOOKUP(ППД5!A345,Реестр_Д5[№],1,0)</f>
        <v>344</v>
      </c>
      <c r="R348" s="234" t="str">
        <f>VLOOKUP(ППД5!CH345,Реестр_Д5[Статус],1,0)</f>
        <v>Продажа</v>
      </c>
      <c r="S348" s="612">
        <f>VLOOKUP(ППД5!BZ345,Реестр_Д5[Стоимость ОН без отделки со скидкой],1,0)</f>
        <v>6871000</v>
      </c>
      <c r="T348" s="612" cm="1">
        <f t="array" ref="T348">IFERROR(INDEX(РД[Стоимость без отделки итог],MATCH($Q$3&amp;Таблица10[[#This Row],[№]]&amp;"Продажа",РД[Дом]&amp;РД[№ кв]&amp;РД[Состояние],0),1),Таблица10[[#This Row],[Статус]])</f>
        <v>6871000</v>
      </c>
      <c r="U348" s="235">
        <f>IFERROR((Таблица10[[#This Row],[ПП]]-Таблица10[[#This Row],[ДДУ]])*1,)</f>
        <v>0</v>
      </c>
      <c r="V348" s="235" cm="1">
        <f t="array" ref="V348">IFERROR(INDEX(РД[Стоимость с отделкой итог],MATCH($Q$3&amp;Таблица10[[#This Row],[№]]&amp;"Продажа",РД[Дом]&amp;РД[№ кв]&amp;РД[Состояние],0),1),Таблица10[[#This Row],[Статус]])</f>
        <v>7472500</v>
      </c>
      <c r="W348" s="235">
        <f>_xlfn.XLOOKUP(Таблица10[[#This Row],[№]],Реестр_Д5[№],Реестр_Д5[Стоимость квартиры с отделкой],"-",0)</f>
        <v>7472500</v>
      </c>
      <c r="X348" s="235">
        <f>IFERROR(Таблица10[[#This Row],[СО ПП]]-Таблица10[[#This Row],[СО ДДУ]],"")</f>
        <v>0</v>
      </c>
      <c r="Y348" s="233" cm="1">
        <f t="array" ref="Y348">IFERROR(INDEX(РД[S],MATCH($Q$3&amp;Таблица10[[#This Row],[№]]&amp;"Продажа",РД[Дом]&amp;РД[№ кв]&amp;РД[Состояние],0),1),Таблица10[[#This Row],[Статус]])</f>
        <v>60.15</v>
      </c>
      <c r="Z348" s="233">
        <f>IF(Таблица10[[#This Row],[№]]&amp;"ДДУ"=ППД5!A345&amp;ППД5!CR345,ППД5!U345,ППД5!V345)</f>
        <v>60.150000000000006</v>
      </c>
      <c r="AA348" s="285">
        <f>IFERROR(Таблица10[[#This Row],[S ПП]]-Таблица10[[#This Row],[S ДДУ]],)</f>
        <v>7.1054273576010019E-15</v>
      </c>
      <c r="AB348" s="235">
        <f>ROUND(_xlfn.XLOOKUP(Таблица10[[#This Row],[№]],Реестр_Д5[№],Реестр_Д5[Итоговая сумма скидки],"",0),2)</f>
        <v>590300</v>
      </c>
      <c r="AC348" s="235" cm="1">
        <f t="array" ref="AC348">IFERROR(ROUND(_xlfn.XLOOKUP($Q$3&amp;Таблица10[[#This Row],[№]]&amp;"Продажа",РД[Дом]&amp;РД[№ кв]&amp;РД[Состояние],РД[Сумма скидки],"",0,-1),2),Таблица10[[#This Row],[Статус]])</f>
        <v>590300</v>
      </c>
      <c r="AD348" s="285">
        <f>IFERROR(Таблица10[[#This Row],[ППС]]-Таблица10[[#This Row],[ДДУС]],)</f>
        <v>0</v>
      </c>
      <c r="AE348" s="611"/>
      <c r="AT348" s="611"/>
    </row>
    <row r="349" spans="1:46" x14ac:dyDescent="0.2">
      <c r="A349" s="611"/>
      <c r="B349" s="234">
        <f>VLOOKUP(ППД4!A346,Реестр_Д4[№],1,0)</f>
        <v>345</v>
      </c>
      <c r="C349" s="234" t="str">
        <f>VLOOKUP(ППД4!CO346,Реестр_Д4[Статус],1,0)</f>
        <v>Продажа</v>
      </c>
      <c r="D349" s="612">
        <f>VLOOKUP(ППД4!CE346,Реестр_Д4[Стоимость ОН без отделки со скидкой],1,0)</f>
        <v>2392488</v>
      </c>
      <c r="E349" s="612" cm="1">
        <f t="array" ref="E349">IFERROR(INDEX(РД[Стоимость без отделки итог],MATCH($B$3&amp;Таблица4[[#This Row],[№]]&amp;"Продажа",РД[Дом]&amp;РД[№ кв]&amp;РД[Состояние],0),1),Таблица4[[#This Row],[Статус]])</f>
        <v>2392488</v>
      </c>
      <c r="F349" s="235">
        <f>IFERROR((Таблица4[[#This Row],[ПП]]-Таблица4[[#This Row],[ДДУ]])*1,"")</f>
        <v>0</v>
      </c>
      <c r="G349" s="235" cm="1">
        <f t="array" ref="G349">IFERROR(INDEX(РД[Стоимость с отделкой итог],MATCH($B$3&amp;Таблица4[[#This Row],[№]]&amp;"Продажа",РД[Дом]&amp;РД[№ кв]&amp;РД[Состояние],0),1),Таблица4[[#This Row],[Статус]])</f>
        <v>2392488</v>
      </c>
      <c r="H349" s="235">
        <f>_xlfn.XLOOKUP(Таблица4[[#This Row],[№]],Реестр_Д4[№],Реестр_Д4[Стоимость квартиры с отделкой],"-",0)</f>
        <v>2392488</v>
      </c>
      <c r="I349" s="235">
        <f>IFERROR(Таблица4[[#This Row],[СО ПП]]-Таблица4[[#This Row],[СО ДДУ]],"")</f>
        <v>0</v>
      </c>
      <c r="J349" s="233" cm="1">
        <f t="array" ref="J349">IFERROR(INDEX(РД[S],MATCH($B$3&amp;Таблица4[[#This Row],[№]]&amp;"Продажа",РД[Дом]&amp;РД[№ кв]&amp;РД[Состояние],0),1),Таблица4[[#This Row],[Статус]])</f>
        <v>33.840000000000003</v>
      </c>
      <c r="K349" s="233">
        <f>VLOOKUP(Таблица4[[#This Row],[№]],Реестр_Д4[],20,0)</f>
        <v>33.840000000000003</v>
      </c>
      <c r="L349" s="235">
        <f>IFERROR(Таблица4[[#This Row],[S ПП]]-Таблица4[[#This Row],[S ДДУ]],)</f>
        <v>0</v>
      </c>
      <c r="M349" s="235">
        <f>ROUND(_xlfn.XLOOKUP(Таблица4[[#This Row],[№]],Реестр_Д4[№],Реестр_Д4[Итоговая сумма скидки],"",0),2)</f>
        <v>0</v>
      </c>
      <c r="N349" s="235" cm="1">
        <f t="array" ref="N34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49" s="235">
        <f>IFERROR(Таблица4[[#This Row],[ППС]]-Таблица4[[#This Row],[ДДУС]],)</f>
        <v>0</v>
      </c>
      <c r="P349" s="611"/>
      <c r="Q349" s="234">
        <f>VLOOKUP(ППД5!A346,Реестр_Д5[№],1,0)</f>
        <v>345</v>
      </c>
      <c r="R349" s="234" t="str">
        <f>VLOOKUP(ППД5!CH346,Реестр_Д5[Статус],1,0)</f>
        <v>Продажа</v>
      </c>
      <c r="S349" s="612">
        <f>VLOOKUP(ППД5!BZ346,Реестр_Д5[Стоимость ОН без отделки со скидкой],1,0)</f>
        <v>4430900</v>
      </c>
      <c r="T349" s="612" cm="1">
        <f t="array" ref="T349">IFERROR(INDEX(РД[Стоимость без отделки итог],MATCH($Q$3&amp;Таблица10[[#This Row],[№]]&amp;"Продажа",РД[Дом]&amp;РД[№ кв]&amp;РД[Состояние],0),1),Таблица10[[#This Row],[Статус]])</f>
        <v>4430900</v>
      </c>
      <c r="U349" s="235">
        <f>IFERROR((Таблица10[[#This Row],[ПП]]-Таблица10[[#This Row],[ДДУ]])*1,)</f>
        <v>0</v>
      </c>
      <c r="V349" s="235" cm="1">
        <f t="array" ref="V349">IFERROR(INDEX(РД[Стоимость с отделкой итог],MATCH($Q$3&amp;Таблица10[[#This Row],[№]]&amp;"Продажа",РД[Дом]&amp;РД[№ кв]&amp;РД[Состояние],0),1),Таблица10[[#This Row],[Статус]])</f>
        <v>4430900</v>
      </c>
      <c r="W349" s="235">
        <f>_xlfn.XLOOKUP(Таблица10[[#This Row],[№]],Реестр_Д5[№],Реестр_Д5[Стоимость квартиры с отделкой],"-",0)</f>
        <v>4430900</v>
      </c>
      <c r="X349" s="235">
        <f>IFERROR(Таблица10[[#This Row],[СО ПП]]-Таблица10[[#This Row],[СО ДДУ]],"")</f>
        <v>0</v>
      </c>
      <c r="Y349" s="233" cm="1">
        <f t="array" ref="Y349">IFERROR(INDEX(РД[S],MATCH($Q$3&amp;Таблица10[[#This Row],[№]]&amp;"Продажа",РД[Дом]&amp;РД[№ кв]&amp;РД[Состояние],0),1),Таблица10[[#This Row],[Статус]])</f>
        <v>37.81</v>
      </c>
      <c r="Z349" s="233">
        <f>IF(Таблица10[[#This Row],[№]]&amp;"ДДУ"=ППД5!A346&amp;ППД5!CR346,ППД5!U346,ППД5!V346)</f>
        <v>37.81</v>
      </c>
      <c r="AA349" s="285">
        <f>IFERROR(Таблица10[[#This Row],[S ПП]]-Таблица10[[#This Row],[S ДДУ]],)</f>
        <v>0</v>
      </c>
      <c r="AB349" s="235">
        <f>ROUND(_xlfn.XLOOKUP(Таблица10[[#This Row],[№]],Реестр_Д5[№],Реестр_Д5[Итоговая сумма скидки],"",0),2)</f>
        <v>0</v>
      </c>
      <c r="AC349" s="235" cm="1">
        <f t="array" ref="AC34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49" s="285">
        <f>IFERROR(Таблица10[[#This Row],[ППС]]-Таблица10[[#This Row],[ДДУС]],)</f>
        <v>0</v>
      </c>
      <c r="AE349" s="611"/>
      <c r="AT349" s="611"/>
    </row>
    <row r="350" spans="1:46" x14ac:dyDescent="0.2">
      <c r="A350" s="611"/>
      <c r="B350" s="234">
        <f>VLOOKUP(ППД4!A347,Реестр_Д4[№],1,0)</f>
        <v>346</v>
      </c>
      <c r="C350" s="234" t="str">
        <f>VLOOKUP(ППД4!CO347,Реестр_Д4[Статус],1,0)</f>
        <v>Продажа</v>
      </c>
      <c r="D350" s="612">
        <f>VLOOKUP(ППД4!CE347,Реестр_Д4[Стоимость ОН без отделки со скидкой],1,0)</f>
        <v>2446593.9900000002</v>
      </c>
      <c r="E350" s="612" cm="1">
        <f t="array" ref="E350">IFERROR(INDEX(РД[Стоимость без отделки итог],MATCH($B$3&amp;Таблица4[[#This Row],[№]]&amp;"Продажа",РД[Дом]&amp;РД[№ кв]&amp;РД[Состояние],0),1),Таблица4[[#This Row],[Статус]])</f>
        <v>2446593.9900000007</v>
      </c>
      <c r="F350" s="235">
        <f>IFERROR((Таблица4[[#This Row],[ПП]]-Таблица4[[#This Row],[ДДУ]])*1,"")</f>
        <v>-4.6566128730773926E-10</v>
      </c>
      <c r="G350" s="235" cm="1">
        <f t="array" ref="G350">IFERROR(INDEX(РД[Стоимость с отделкой итог],MATCH($B$3&amp;Таблица4[[#This Row],[№]]&amp;"Продажа",РД[Дом]&amp;РД[№ кв]&amp;РД[Состояние],0),1),Таблица4[[#This Row],[Статус]])</f>
        <v>2563993.9900000002</v>
      </c>
      <c r="H350" s="235">
        <f>_xlfn.XLOOKUP(Таблица4[[#This Row],[№]],Реестр_Д4[№],Реестр_Д4[Стоимость квартиры с отделкой],"-",0)</f>
        <v>2563993.9900000002</v>
      </c>
      <c r="I350" s="235">
        <f>IFERROR(Таблица4[[#This Row],[СО ПП]]-Таблица4[[#This Row],[СО ДДУ]],"")</f>
        <v>0</v>
      </c>
      <c r="J350" s="233" cm="1">
        <f t="array" ref="J350">IFERROR(INDEX(РД[S],MATCH($B$3&amp;Таблица4[[#This Row],[№]]&amp;"Продажа",РД[Дом]&amp;РД[№ кв]&amp;РД[Состояние],0),1),Таблица4[[#This Row],[Статус]])</f>
        <v>29.35</v>
      </c>
      <c r="K350" s="233">
        <f>VLOOKUP(Таблица4[[#This Row],[№]],Реестр_Д4[],20,0)</f>
        <v>29.35</v>
      </c>
      <c r="L350" s="235">
        <f>IFERROR(Таблица4[[#This Row],[S ПП]]-Таблица4[[#This Row],[S ДДУ]],)</f>
        <v>0</v>
      </c>
      <c r="M350" s="235">
        <f>ROUND(_xlfn.XLOOKUP(Таблица4[[#This Row],[№]],Реестр_Д4[№],Реестр_Д4[Итоговая сумма скидки],"",0),2)</f>
        <v>0</v>
      </c>
      <c r="N350" s="235" cm="1">
        <f t="array" ref="N35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0" s="235">
        <f>IFERROR(Таблица4[[#This Row],[ППС]]-Таблица4[[#This Row],[ДДУС]],)</f>
        <v>0</v>
      </c>
      <c r="P350" s="611"/>
      <c r="Q350" s="234">
        <f>VLOOKUP(ППД5!A347,Реестр_Д5[№],1,0)</f>
        <v>346</v>
      </c>
      <c r="R350" s="234" t="str">
        <f>VLOOKUP(ППД5!CH347,Реестр_Д5[Статус],1,0)</f>
        <v>Продажа</v>
      </c>
      <c r="S350" s="612">
        <f>VLOOKUP(ППД5!BZ347,Реестр_Д5[Стоимость ОН без отделки со скидкой],1,0)</f>
        <v>7311278</v>
      </c>
      <c r="T350" s="612" cm="1">
        <f t="array" ref="T350">IFERROR(INDEX(РД[Стоимость без отделки итог],MATCH($Q$3&amp;Таблица10[[#This Row],[№]]&amp;"Продажа",РД[Дом]&amp;РД[№ кв]&amp;РД[Состояние],0),1),Таблица10[[#This Row],[Статус]])</f>
        <v>7311278</v>
      </c>
      <c r="U350" s="235">
        <f>IFERROR((Таблица10[[#This Row],[ПП]]-Таблица10[[#This Row],[ДДУ]])*1,)</f>
        <v>0</v>
      </c>
      <c r="V350" s="235" cm="1">
        <f t="array" ref="V350">IFERROR(INDEX(РД[Стоимость с отделкой итог],MATCH($Q$3&amp;Таблица10[[#This Row],[№]]&amp;"Продажа",РД[Дом]&amp;РД[№ кв]&amp;РД[Состояние],0),1),Таблица10[[#This Row],[Статус]])</f>
        <v>7311278</v>
      </c>
      <c r="W350" s="235">
        <f>_xlfn.XLOOKUP(Таблица10[[#This Row],[№]],Реестр_Д5[№],Реестр_Д5[Стоимость квартиры с отделкой],"-",0)</f>
        <v>7311278</v>
      </c>
      <c r="X350" s="235">
        <f>IFERROR(Таблица10[[#This Row],[СО ПП]]-Таблица10[[#This Row],[СО ДДУ]],"")</f>
        <v>0</v>
      </c>
      <c r="Y350" s="233" cm="1">
        <f t="array" ref="Y350">IFERROR(INDEX(РД[S],MATCH($Q$3&amp;Таблица10[[#This Row],[№]]&amp;"Продажа",РД[Дом]&amp;РД[№ кв]&amp;РД[Состояние],0),1),Таблица10[[#This Row],[Статус]])</f>
        <v>80.97</v>
      </c>
      <c r="Z350" s="233">
        <f>IF(Таблица10[[#This Row],[№]]&amp;"ДДУ"=ППД5!A347&amp;ППД5!CR347,ППД5!U347,ППД5!V347)</f>
        <v>80.97</v>
      </c>
      <c r="AA350" s="285">
        <f>IFERROR(Таблица10[[#This Row],[S ПП]]-Таблица10[[#This Row],[S ДДУ]],)</f>
        <v>0</v>
      </c>
      <c r="AB350" s="235">
        <f>ROUND(_xlfn.XLOOKUP(Таблица10[[#This Row],[№]],Реестр_Д5[№],Реестр_Д5[Итоговая сумма скидки],"",0),2)</f>
        <v>226122</v>
      </c>
      <c r="AC350" s="235" cm="1">
        <f t="array" ref="AC350">IFERROR(ROUND(_xlfn.XLOOKUP($Q$3&amp;Таблица10[[#This Row],[№]]&amp;"Продажа",РД[Дом]&amp;РД[№ кв]&amp;РД[Состояние],РД[Сумма скидки],"",0,-1),2),Таблица10[[#This Row],[Статус]])</f>
        <v>226122</v>
      </c>
      <c r="AD350" s="285">
        <f>IFERROR(Таблица10[[#This Row],[ППС]]-Таблица10[[#This Row],[ДДУС]],)</f>
        <v>0</v>
      </c>
      <c r="AE350" s="611"/>
      <c r="AT350" s="611"/>
    </row>
    <row r="351" spans="1:46" x14ac:dyDescent="0.2">
      <c r="A351" s="611"/>
      <c r="B351" s="234">
        <f>VLOOKUP(ППД4!A348,Реестр_Д4[№],1,0)</f>
        <v>347</v>
      </c>
      <c r="C351" s="234" t="str">
        <f>VLOOKUP(ППД4!CO348,Реестр_Д4[Статус],1,0)</f>
        <v>Продажа</v>
      </c>
      <c r="D351" s="612">
        <f>VLOOKUP(ППД4!CE348,Реестр_Д4[Стоимость ОН без отделки со скидкой],1,0)</f>
        <v>6287443</v>
      </c>
      <c r="E351" s="612" cm="1">
        <f t="array" ref="E351">IFERROR(INDEX(РД[Стоимость без отделки итог],MATCH($B$3&amp;Таблица4[[#This Row],[№]]&amp;"Продажа",РД[Дом]&amp;РД[№ кв]&amp;РД[Состояние],0),1),Таблица4[[#This Row],[Статус]])</f>
        <v>6287443</v>
      </c>
      <c r="F351" s="235">
        <f>IFERROR((Таблица4[[#This Row],[ПП]]-Таблица4[[#This Row],[ДДУ]])*1,"")</f>
        <v>0</v>
      </c>
      <c r="G351" s="235" cm="1">
        <f t="array" ref="G351">IFERROR(INDEX(РД[Стоимость с отделкой итог],MATCH($B$3&amp;Таблица4[[#This Row],[№]]&amp;"Продажа",РД[Дом]&amp;РД[№ кв]&amp;РД[Состояние],0),1),Таблица4[[#This Row],[Статус]])</f>
        <v>6797068</v>
      </c>
      <c r="H351" s="235">
        <f>_xlfn.XLOOKUP(Таблица4[[#This Row],[№]],Реестр_Д4[№],Реестр_Д4[Стоимость квартиры с отделкой],"-",0)</f>
        <v>6797068</v>
      </c>
      <c r="I351" s="235">
        <f>IFERROR(Таблица4[[#This Row],[СО ПП]]-Таблица4[[#This Row],[СО ДДУ]],"")</f>
        <v>0</v>
      </c>
      <c r="J351" s="233" cm="1">
        <f t="array" ref="J351">IFERROR(INDEX(РД[S],MATCH($B$3&amp;Таблица4[[#This Row],[№]]&amp;"Продажа",РД[Дом]&amp;РД[№ кв]&amp;РД[Состояние],0),1),Таблица4[[#This Row],[Статус]])</f>
        <v>67.95</v>
      </c>
      <c r="K351" s="233">
        <f>VLOOKUP(Таблица4[[#This Row],[№]],Реестр_Д4[],20,0)</f>
        <v>67.95</v>
      </c>
      <c r="L351" s="235">
        <f>IFERROR(Таблица4[[#This Row],[S ПП]]-Таблица4[[#This Row],[S ДДУ]],)</f>
        <v>0</v>
      </c>
      <c r="M351" s="235">
        <f>ROUND(_xlfn.XLOOKUP(Таблица4[[#This Row],[№]],Реестр_Д4[№],Реестр_Д4[Итоговая сумма скидки],"",0),2)</f>
        <v>194457</v>
      </c>
      <c r="N351" s="235" cm="1">
        <f t="array" ref="N351">IFERROR(ROUND(_xlfn.XLOOKUP($B$3&amp;Таблица4[[#This Row],[№]]&amp;"Продажа",РД[Дом]&amp;РД[№ кв]&amp;РД[Состояние],РД[Сумма скидки],"",0),2),Таблица4[[#This Row],[Статус]])</f>
        <v>194457</v>
      </c>
      <c r="O351" s="235">
        <f>IFERROR(Таблица4[[#This Row],[ППС]]-Таблица4[[#This Row],[ДДУС]],)</f>
        <v>0</v>
      </c>
      <c r="P351" s="611"/>
      <c r="Q351" s="234">
        <f>VLOOKUP(ППД5!A348,Реестр_Д5[№],1,0)</f>
        <v>347</v>
      </c>
      <c r="R351" s="234" t="str">
        <f>VLOOKUP(ППД5!CH348,Реестр_Д5[Статус],1,0)</f>
        <v>Продажа</v>
      </c>
      <c r="S351" s="612">
        <f>VLOOKUP(ППД5!BZ348,Реестр_Д5[Стоимость ОН без отделки со скидкой],1,0)</f>
        <v>4318000</v>
      </c>
      <c r="T351" s="612" cm="1">
        <f t="array" ref="T351">IFERROR(INDEX(РД[Стоимость без отделки итог],MATCH($Q$3&amp;Таблица10[[#This Row],[№]]&amp;"Продажа",РД[Дом]&amp;РД[№ кв]&amp;РД[Состояние],0),1),Таблица10[[#This Row],[Статус]])</f>
        <v>4318000</v>
      </c>
      <c r="U351" s="235">
        <f>IFERROR((Таблица10[[#This Row],[ПП]]-Таблица10[[#This Row],[ДДУ]])*1,)</f>
        <v>0</v>
      </c>
      <c r="V351" s="235" cm="1">
        <f t="array" ref="V351">IFERROR(INDEX(РД[Стоимость с отделкой итог],MATCH($Q$3&amp;Таблица10[[#This Row],[№]]&amp;"Продажа",РД[Дом]&amp;РД[№ кв]&amp;РД[Состояние],0),1),Таблица10[[#This Row],[Статус]])</f>
        <v>4596480</v>
      </c>
      <c r="W351" s="235">
        <f>_xlfn.XLOOKUP(Таблица10[[#This Row],[№]],Реестр_Д5[№],Реестр_Д5[Стоимость квартиры с отделкой],"-",0)</f>
        <v>4596480</v>
      </c>
      <c r="X351" s="235">
        <f>IFERROR(Таблица10[[#This Row],[СО ПП]]-Таблица10[[#This Row],[СО ДДУ]],"")</f>
        <v>0</v>
      </c>
      <c r="Y351" s="233" cm="1">
        <f t="array" ref="Y351">IFERROR(INDEX(РД[S],MATCH($Q$3&amp;Таблица10[[#This Row],[№]]&amp;"Продажа",РД[Дом]&amp;РД[№ кв]&amp;РД[Состояние],0),1),Таблица10[[#This Row],[Статус]])</f>
        <v>34.81</v>
      </c>
      <c r="Z351" s="233">
        <f>IF(Таблица10[[#This Row],[№]]&amp;"ДДУ"=ППД5!A348&amp;ППД5!CR348,ППД5!U348,ППД5!V348)</f>
        <v>34.81</v>
      </c>
      <c r="AA351" s="285">
        <f>IFERROR(Таблица10[[#This Row],[S ПП]]-Таблица10[[#This Row],[S ДДУ]],)</f>
        <v>0</v>
      </c>
      <c r="AB351" s="235">
        <f>ROUND(_xlfn.XLOOKUP(Таблица10[[#This Row],[№]],Реестр_Д5[№],Реестр_Д5[Итоговая сумма скидки],"",0),2)</f>
        <v>0</v>
      </c>
      <c r="AC351" s="235" cm="1">
        <f t="array" ref="AC35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51" s="285">
        <f>IFERROR(Таблица10[[#This Row],[ППС]]-Таблица10[[#This Row],[ДДУС]],)</f>
        <v>0</v>
      </c>
      <c r="AE351" s="611"/>
      <c r="AT351" s="611"/>
    </row>
    <row r="352" spans="1:46" x14ac:dyDescent="0.2">
      <c r="A352" s="611"/>
      <c r="B352" s="234">
        <f>VLOOKUP(ППД4!A349,Реестр_Д4[№],1,0)</f>
        <v>348</v>
      </c>
      <c r="C352" s="234" t="str">
        <f>VLOOKUP(ППД4!CO349,Реестр_Д4[Статус],1,0)</f>
        <v>Продажа</v>
      </c>
      <c r="D352" s="612">
        <f>VLOOKUP(ППД4!CE349,Реестр_Д4[Стоимость ОН без отделки со скидкой],1,0)</f>
        <v>3642278.18</v>
      </c>
      <c r="E352" s="612" cm="1">
        <f t="array" ref="E352">IFERROR(INDEX(РД[Стоимость без отделки итог],MATCH($B$3&amp;Таблица4[[#This Row],[№]]&amp;"Продажа",РД[Дом]&amp;РД[№ кв]&amp;РД[Состояние],0),1),Таблица4[[#This Row],[Статус]])</f>
        <v>3642278.18</v>
      </c>
      <c r="F352" s="235">
        <f>IFERROR((Таблица4[[#This Row],[ПП]]-Таблица4[[#This Row],[ДДУ]])*1,"")</f>
        <v>0</v>
      </c>
      <c r="G352" s="235" cm="1">
        <f t="array" ref="G352">IFERROR(INDEX(РД[Стоимость с отделкой итог],MATCH($B$3&amp;Таблица4[[#This Row],[№]]&amp;"Продажа",РД[Дом]&amp;РД[№ кв]&amp;РД[Состояние],0),1),Таблица4[[#This Row],[Статус]])</f>
        <v>3642278.18</v>
      </c>
      <c r="H352" s="235">
        <f>_xlfn.XLOOKUP(Таблица4[[#This Row],[№]],Реестр_Д4[№],Реестр_Д4[Стоимость квартиры с отделкой],"-",0)</f>
        <v>3642278.18</v>
      </c>
      <c r="I352" s="235">
        <f>IFERROR(Таблица4[[#This Row],[СО ПП]]-Таблица4[[#This Row],[СО ДДУ]],"")</f>
        <v>0</v>
      </c>
      <c r="J352" s="233" cm="1">
        <f t="array" ref="J352">IFERROR(INDEX(РД[S],MATCH($B$3&amp;Таблица4[[#This Row],[№]]&amp;"Продажа",РД[Дом]&amp;РД[№ кв]&amp;РД[Состояние],0),1),Таблица4[[#This Row],[Статус]])</f>
        <v>36.450000000000003</v>
      </c>
      <c r="K352" s="233">
        <f>VLOOKUP(Таблица4[[#This Row],[№]],Реестр_Д4[],20,0)</f>
        <v>36.450000000000003</v>
      </c>
      <c r="L352" s="235">
        <f>IFERROR(Таблица4[[#This Row],[S ПП]]-Таблица4[[#This Row],[S ДДУ]],)</f>
        <v>0</v>
      </c>
      <c r="M352" s="235">
        <f>ROUND(_xlfn.XLOOKUP(Таблица4[[#This Row],[№]],Реестр_Д4[№],Реестр_Д4[Итоговая сумма скидки],"",0),2)</f>
        <v>55555</v>
      </c>
      <c r="N352" s="235" cm="1">
        <f t="array" ref="N352">IFERROR(ROUND(_xlfn.XLOOKUP($B$3&amp;Таблица4[[#This Row],[№]]&amp;"Продажа",РД[Дом]&amp;РД[№ кв]&amp;РД[Состояние],РД[Сумма скидки],"",0),2),Таблица4[[#This Row],[Статус]])</f>
        <v>55555</v>
      </c>
      <c r="O352" s="235">
        <f>IFERROR(Таблица4[[#This Row],[ППС]]-Таблица4[[#This Row],[ДДУС]],)</f>
        <v>0</v>
      </c>
      <c r="P352" s="611"/>
      <c r="Q352" s="234">
        <f>VLOOKUP(ППД5!A349,Реестр_Д5[№],1,0)</f>
        <v>348</v>
      </c>
      <c r="R352" s="234" t="str">
        <f>VLOOKUP(ППД5!CH349,Реестр_Д5[Статус],1,0)</f>
        <v>Свободно</v>
      </c>
      <c r="S352" s="612">
        <f>VLOOKUP(ППД5!BZ349,Реестр_Д5[Стоимость ОН без отделки со скидкой],1,0)</f>
        <v>9096200</v>
      </c>
      <c r="T352" s="612" t="str" cm="1">
        <f t="array" ref="T35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52" s="235">
        <f>IFERROR((Таблица10[[#This Row],[ПП]]-Таблица10[[#This Row],[ДДУ]])*1,)</f>
        <v>0</v>
      </c>
      <c r="V352" s="235" t="str" cm="1">
        <f t="array" ref="V35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52" s="235">
        <f>_xlfn.XLOOKUP(Таблица10[[#This Row],[№]],Реестр_Д5[№],Реестр_Д5[Стоимость квартиры с отделкой],"-",0)</f>
        <v>9827700.0000000019</v>
      </c>
      <c r="X352" s="235" t="str">
        <f>IFERROR(Таблица10[[#This Row],[СО ПП]]-Таблица10[[#This Row],[СО ДДУ]],"")</f>
        <v/>
      </c>
      <c r="Y352" s="233" t="str" cm="1">
        <f t="array" ref="Y352">IFERROR(INDEX(РД[S],MATCH($Q$3&amp;Таблица10[[#This Row],[№]]&amp;"Продажа",РД[Дом]&amp;РД[№ кв]&amp;РД[Состояние],0),1),Таблица10[[#This Row],[Статус]])</f>
        <v>Свободно</v>
      </c>
      <c r="Z352" s="233">
        <f>IF(Таблица10[[#This Row],[№]]&amp;"ДДУ"=ППД5!A349&amp;ППД5!CR349,ППД5!U349,ППД5!V349)</f>
        <v>73.149999999999977</v>
      </c>
      <c r="AA352" s="285">
        <f>IFERROR(Таблица10[[#This Row],[S ПП]]-Таблица10[[#This Row],[S ДДУ]],)</f>
        <v>0</v>
      </c>
      <c r="AB352" s="235">
        <f>ROUND(_xlfn.XLOOKUP(Таблица10[[#This Row],[№]],Реестр_Д5[№],Реестр_Д5[Итоговая сумма скидки],"",0),2)</f>
        <v>0</v>
      </c>
      <c r="AC352" s="235" t="str" cm="1">
        <f t="array" ref="AC35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52" s="285">
        <f>IFERROR(Таблица10[[#This Row],[ППС]]-Таблица10[[#This Row],[ДДУС]],)</f>
        <v>0</v>
      </c>
      <c r="AE352" s="611"/>
      <c r="AT352" s="611"/>
    </row>
    <row r="353" spans="1:46" x14ac:dyDescent="0.2">
      <c r="A353" s="611"/>
      <c r="B353" s="234">
        <f>VLOOKUP(ППД4!A350,Реестр_Д4[№],1,0)</f>
        <v>349</v>
      </c>
      <c r="C353" s="234" t="str">
        <f>VLOOKUP(ППД4!CO350,Реестр_Д4[Статус],1,0)</f>
        <v>Продажа</v>
      </c>
      <c r="D353" s="612">
        <f>VLOOKUP(ППД4!CE350,Реестр_Д4[Стоимость ОН без отделки со скидкой],1,0)</f>
        <v>4219766.42</v>
      </c>
      <c r="E353" s="612" cm="1">
        <f t="array" ref="E353">IFERROR(INDEX(РД[Стоимость без отделки итог],MATCH($B$3&amp;Таблица4[[#This Row],[№]]&amp;"Продажа",РД[Дом]&amp;РД[№ кв]&amp;РД[Состояние],0),1),Таблица4[[#This Row],[Статус]])</f>
        <v>4219766.4199999981</v>
      </c>
      <c r="F353" s="235">
        <f>IFERROR((Таблица4[[#This Row],[ПП]]-Таблица4[[#This Row],[ДДУ]])*1,"")</f>
        <v>1.862645149230957E-9</v>
      </c>
      <c r="G353" s="235" cm="1">
        <f t="array" ref="G353">IFERROR(INDEX(РД[Стоимость с отделкой итог],MATCH($B$3&amp;Таблица4[[#This Row],[№]]&amp;"Продажа",РД[Дом]&amp;РД[№ кв]&amp;РД[Состояние],0),1),Таблица4[[#This Row],[Статус]])</f>
        <v>4658891.42</v>
      </c>
      <c r="H353" s="235">
        <f>_xlfn.XLOOKUP(Таблица4[[#This Row],[№]],Реестр_Д4[№],Реестр_Д4[Стоимость квартиры с отделкой],"-",0)</f>
        <v>4658891.42</v>
      </c>
      <c r="I353" s="235">
        <f>IFERROR(Таблица4[[#This Row],[СО ПП]]-Таблица4[[#This Row],[СО ДДУ]],"")</f>
        <v>0</v>
      </c>
      <c r="J353" s="233" cm="1">
        <f t="array" ref="J353">IFERROR(INDEX(РД[S],MATCH($B$3&amp;Таблица4[[#This Row],[№]]&amp;"Продажа",РД[Дом]&amp;РД[№ кв]&amp;РД[Состояние],0),1),Таблица4[[#This Row],[Статус]])</f>
        <v>58.55</v>
      </c>
      <c r="K353" s="233">
        <f>VLOOKUP(Таблица4[[#This Row],[№]],Реестр_Д4[],20,0)</f>
        <v>58.55</v>
      </c>
      <c r="L353" s="235">
        <f>IFERROR(Таблица4[[#This Row],[S ПП]]-Таблица4[[#This Row],[S ДДУ]],)</f>
        <v>0</v>
      </c>
      <c r="M353" s="235">
        <f>ROUND(_xlfn.XLOOKUP(Таблица4[[#This Row],[№]],Реестр_Д4[№],Реестр_Д4[Итоговая сумма скидки],"",0),2)</f>
        <v>0</v>
      </c>
      <c r="N353" s="235" cm="1">
        <f t="array" ref="N35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3" s="235">
        <f>IFERROR(Таблица4[[#This Row],[ППС]]-Таблица4[[#This Row],[ДДУС]],)</f>
        <v>0</v>
      </c>
      <c r="P353" s="611"/>
      <c r="Q353" s="234">
        <f>VLOOKUP(ППД5!A350,Реестр_Д5[№],1,0)</f>
        <v>349</v>
      </c>
      <c r="R353" s="234" t="str">
        <f>VLOOKUP(ППД5!CH350,Реестр_Д5[Статус],1,0)</f>
        <v>Продажа</v>
      </c>
      <c r="S353" s="612">
        <f>VLOOKUP(ППД5!BZ350,Реестр_Д5[Стоимость ОН без отделки со скидкой],1,0)</f>
        <v>3338702</v>
      </c>
      <c r="T353" s="612" cm="1">
        <f t="array" ref="T353">IFERROR(INDEX(РД[Стоимость без отделки итог],MATCH($Q$3&amp;Таблица10[[#This Row],[№]]&amp;"Продажа",РД[Дом]&amp;РД[№ кв]&amp;РД[Состояние],0),1),Таблица10[[#This Row],[Статус]])</f>
        <v>3338701.9999999995</v>
      </c>
      <c r="U353" s="235">
        <f>IFERROR((Таблица10[[#This Row],[ПП]]-Таблица10[[#This Row],[ДДУ]])*1,)</f>
        <v>4.6566128730773926E-10</v>
      </c>
      <c r="V353" s="235" cm="1">
        <f t="array" ref="V353">IFERROR(INDEX(РД[Стоимость с отделкой итог],MATCH($Q$3&amp;Таблица10[[#This Row],[№]]&amp;"Продажа",РД[Дом]&amp;РД[№ кв]&amp;РД[Состояние],0),1),Таблица10[[#This Row],[Статус]])</f>
        <v>3582201.9999999995</v>
      </c>
      <c r="W353" s="235">
        <f>_xlfn.XLOOKUP(Таблица10[[#This Row],[№]],Реестр_Д5[№],Реестр_Д5[Стоимость квартиры с отделкой],"-",0)</f>
        <v>3582201.9999999995</v>
      </c>
      <c r="X353" s="235">
        <f>IFERROR(Таблица10[[#This Row],[СО ПП]]-Таблица10[[#This Row],[СО ДДУ]],"")</f>
        <v>0</v>
      </c>
      <c r="Y353" s="233" cm="1">
        <f t="array" ref="Y353">IFERROR(INDEX(РД[S],MATCH($Q$3&amp;Таблица10[[#This Row],[№]]&amp;"Продажа",РД[Дом]&amp;РД[№ кв]&amp;РД[Состояние],0),1),Таблица10[[#This Row],[Статус]])</f>
        <v>24.35</v>
      </c>
      <c r="Z353" s="233">
        <f>IF(Таблица10[[#This Row],[№]]&amp;"ДДУ"=ППД5!A350&amp;ППД5!CR350,ППД5!U350,ППД5!V350)</f>
        <v>24.35</v>
      </c>
      <c r="AA353" s="285">
        <f>IFERROR(Таблица10[[#This Row],[S ПП]]-Таблица10[[#This Row],[S ДДУ]],)</f>
        <v>0</v>
      </c>
      <c r="AB353" s="235">
        <f>ROUND(_xlfn.XLOOKUP(Таблица10[[#This Row],[№]],Реестр_Д5[№],Реестр_Д5[Итоговая сумма скидки],"",0),2)</f>
        <v>626098</v>
      </c>
      <c r="AC353" s="235" cm="1">
        <f t="array" ref="AC353">IFERROR(ROUND(_xlfn.XLOOKUP($Q$3&amp;Таблица10[[#This Row],[№]]&amp;"Продажа",РД[Дом]&amp;РД[№ кв]&amp;РД[Состояние],РД[Сумма скидки],"",0,-1),2),Таблица10[[#This Row],[Статус]])</f>
        <v>626098</v>
      </c>
      <c r="AD353" s="285">
        <f>IFERROR(Таблица10[[#This Row],[ППС]]-Таблица10[[#This Row],[ДДУС]],)</f>
        <v>0</v>
      </c>
      <c r="AE353" s="611"/>
      <c r="AT353" s="611"/>
    </row>
    <row r="354" spans="1:46" x14ac:dyDescent="0.2">
      <c r="A354" s="611"/>
      <c r="B354" s="234">
        <f>VLOOKUP(ППД4!A351,Реестр_Д4[№],1,0)</f>
        <v>350</v>
      </c>
      <c r="C354" s="234" t="str">
        <f>VLOOKUP(ППД4!CO351,Реестр_Д4[Статус],1,0)</f>
        <v>Продажа</v>
      </c>
      <c r="D354" s="612">
        <f>VLOOKUP(ППД4!CE351,Реестр_Д4[Стоимость ОН без отделки со скидкой],1,0)</f>
        <v>4509298.84</v>
      </c>
      <c r="E354" s="612" cm="1">
        <f t="array" ref="E354">IFERROR(INDEX(РД[Стоимость без отделки итог],MATCH($B$3&amp;Таблица4[[#This Row],[№]]&amp;"Продажа",РД[Дом]&amp;РД[№ кв]&amp;РД[Состояние],0),1),Таблица4[[#This Row],[Статус]])</f>
        <v>4509298.84</v>
      </c>
      <c r="F354" s="235">
        <f>IFERROR((Таблица4[[#This Row],[ПП]]-Таблица4[[#This Row],[ДДУ]])*1,"")</f>
        <v>0</v>
      </c>
      <c r="G354" s="235" cm="1">
        <f t="array" ref="G354">IFERROR(INDEX(РД[Стоимость с отделкой итог],MATCH($B$3&amp;Таблица4[[#This Row],[№]]&amp;"Продажа",РД[Дом]&amp;РД[№ кв]&amp;РД[Состояние],0),1),Таблица4[[#This Row],[Статус]])</f>
        <v>5359798.84</v>
      </c>
      <c r="H354" s="235">
        <f>_xlfn.XLOOKUP(Таблица4[[#This Row],[№]],Реестр_Д4[№],Реестр_Д4[Стоимость квартиры с отделкой],"-",0)</f>
        <v>5359798.84</v>
      </c>
      <c r="I354" s="235">
        <f>IFERROR(Таблица4[[#This Row],[СО ПП]]-Таблица4[[#This Row],[СО ДДУ]],"")</f>
        <v>0</v>
      </c>
      <c r="J354" s="233" cm="1">
        <f t="array" ref="J354">IFERROR(INDEX(РД[S],MATCH($B$3&amp;Таблица4[[#This Row],[№]]&amp;"Продажа",РД[Дом]&amp;РД[№ кв]&amp;РД[Состояние],0),1),Таблица4[[#This Row],[Статус]])</f>
        <v>56.7</v>
      </c>
      <c r="K354" s="233">
        <f>VLOOKUP(Таблица4[[#This Row],[№]],Реестр_Д4[],20,0)</f>
        <v>56.7</v>
      </c>
      <c r="L354" s="235">
        <f>IFERROR(Таблица4[[#This Row],[S ПП]]-Таблица4[[#This Row],[S ДДУ]],)</f>
        <v>0</v>
      </c>
      <c r="M354" s="235">
        <f>ROUND(_xlfn.XLOOKUP(Таблица4[[#This Row],[№]],Реестр_Д4[№],Реестр_Д4[Итоговая сумма скидки],"",0),2)</f>
        <v>0</v>
      </c>
      <c r="N354" s="235" cm="1">
        <f t="array" ref="N35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4" s="235">
        <f>IFERROR(Таблица4[[#This Row],[ППС]]-Таблица4[[#This Row],[ДДУС]],)</f>
        <v>0</v>
      </c>
      <c r="P354" s="611"/>
      <c r="Q354" s="234">
        <f>VLOOKUP(ППД5!A351,Реестр_Д5[№],1,0)</f>
        <v>350</v>
      </c>
      <c r="R354" s="234" t="str">
        <f>VLOOKUP(ППД5!CH351,Реестр_Д5[Статус],1,0)</f>
        <v>Продажа</v>
      </c>
      <c r="S354" s="612">
        <f>VLOOKUP(ППД5!BZ351,Реестр_Д5[Стоимость ОН без отделки со скидкой],1,0)</f>
        <v>7351048</v>
      </c>
      <c r="T354" s="612" cm="1">
        <f t="array" ref="T354">IFERROR(INDEX(РД[Стоимость без отделки итог],MATCH($Q$3&amp;Таблица10[[#This Row],[№]]&amp;"Продажа",РД[Дом]&amp;РД[№ кв]&amp;РД[Состояние],0),1),Таблица10[[#This Row],[Статус]])</f>
        <v>7351048</v>
      </c>
      <c r="U354" s="235">
        <f>IFERROR((Таблица10[[#This Row],[ПП]]-Таблица10[[#This Row],[ДДУ]])*1,)</f>
        <v>0</v>
      </c>
      <c r="V354" s="235" cm="1">
        <f t="array" ref="V354">IFERROR(INDEX(РД[Стоимость с отделкой итог],MATCH($Q$3&amp;Таблица10[[#This Row],[№]]&amp;"Продажа",РД[Дом]&amp;РД[№ кв]&amp;РД[Состояние],0),1),Таблица10[[#This Row],[Статус]])</f>
        <v>7916848</v>
      </c>
      <c r="W354" s="235">
        <f>_xlfn.XLOOKUP(Таблица10[[#This Row],[№]],Реестр_Д5[№],Реестр_Д5[Стоимость квартиры с отделкой],"-",0)</f>
        <v>7916848</v>
      </c>
      <c r="X354" s="235">
        <f>IFERROR(Таблица10[[#This Row],[СО ПП]]-Таблица10[[#This Row],[СО ДДУ]],"")</f>
        <v>0</v>
      </c>
      <c r="Y354" s="233" cm="1">
        <f t="array" ref="Y354">IFERROR(INDEX(РД[S],MATCH($Q$3&amp;Таблица10[[#This Row],[№]]&amp;"Продажа",РД[Дом]&amp;РД[№ кв]&amp;РД[Состояние],0),1),Таблица10[[#This Row],[Статус]])</f>
        <v>56.58</v>
      </c>
      <c r="Z354" s="233">
        <f>IF(Таблица10[[#This Row],[№]]&amp;"ДДУ"=ППД5!A351&amp;ППД5!CR351,ППД5!U351,ППД5!V351)</f>
        <v>56.58</v>
      </c>
      <c r="AA354" s="285">
        <f>IFERROR(Таблица10[[#This Row],[S ПП]]-Таблица10[[#This Row],[S ДДУ]],)</f>
        <v>0</v>
      </c>
      <c r="AB354" s="235">
        <f>ROUND(_xlfn.XLOOKUP(Таблица10[[#This Row],[№]],Реестр_Д5[№],Реестр_Д5[Итоговая сумма скидки],"",0),2)</f>
        <v>227352</v>
      </c>
      <c r="AC354" s="235" cm="1">
        <f t="array" ref="AC354">IFERROR(ROUND(_xlfn.XLOOKUP($Q$3&amp;Таблица10[[#This Row],[№]]&amp;"Продажа",РД[Дом]&amp;РД[№ кв]&amp;РД[Состояние],РД[Сумма скидки],"",0,-1),2),Таблица10[[#This Row],[Статус]])</f>
        <v>227352</v>
      </c>
      <c r="AD354" s="285">
        <f>IFERROR(Таблица10[[#This Row],[ППС]]-Таблица10[[#This Row],[ДДУС]],)</f>
        <v>0</v>
      </c>
      <c r="AE354" s="611"/>
      <c r="AT354" s="611"/>
    </row>
    <row r="355" spans="1:46" x14ac:dyDescent="0.2">
      <c r="A355" s="611"/>
      <c r="B355" s="234">
        <f>VLOOKUP(ППД4!A352,Реестр_Д4[№],1,0)</f>
        <v>351</v>
      </c>
      <c r="C355" s="234" t="str">
        <f>VLOOKUP(ППД4!CO352,Реестр_Д4[Статус],1,0)</f>
        <v>Продажа</v>
      </c>
      <c r="D355" s="612">
        <f>VLOOKUP(ППД4!CE352,Реестр_Д4[Стоимость ОН без отделки со скидкой],1,0)</f>
        <v>5300098.28</v>
      </c>
      <c r="E355" s="612" cm="1">
        <f t="array" ref="E355">IFERROR(INDEX(РД[Стоимость без отделки итог],MATCH($B$3&amp;Таблица4[[#This Row],[№]]&amp;"Продажа",РД[Дом]&amp;РД[№ кв]&amp;РД[Состояние],0),1),Таблица4[[#This Row],[Статус]])</f>
        <v>5300098.28</v>
      </c>
      <c r="F355" s="235">
        <f>IFERROR((Таблица4[[#This Row],[ПП]]-Таблица4[[#This Row],[ДДУ]])*1,"")</f>
        <v>0</v>
      </c>
      <c r="G355" s="235" cm="1">
        <f t="array" ref="G355">IFERROR(INDEX(РД[Стоимость с отделкой итог],MATCH($B$3&amp;Таблица4[[#This Row],[№]]&amp;"Продажа",РД[Дом]&amp;РД[№ кв]&amp;РД[Состояние],0),1),Таблица4[[#This Row],[Статус]])</f>
        <v>5590138.2800000003</v>
      </c>
      <c r="H355" s="235">
        <f>_xlfn.XLOOKUP(Таблица4[[#This Row],[№]],Реестр_Д4[№],Реестр_Д4[Стоимость квартиры с отделкой],"-",0)</f>
        <v>5590138.2800000003</v>
      </c>
      <c r="I355" s="235">
        <f>IFERROR(Таблица4[[#This Row],[СО ПП]]-Таблица4[[#This Row],[СО ДДУ]],"")</f>
        <v>0</v>
      </c>
      <c r="J355" s="233" cm="1">
        <f t="array" ref="J355">IFERROR(INDEX(РД[S],MATCH($B$3&amp;Таблица4[[#This Row],[№]]&amp;"Продажа",РД[Дом]&amp;РД[№ кв]&amp;РД[Состояние],0),1),Таблица4[[#This Row],[Статус]])</f>
        <v>72.510000000000005</v>
      </c>
      <c r="K355" s="233">
        <f>VLOOKUP(Таблица4[[#This Row],[№]],Реестр_Д4[],20,0)</f>
        <v>72.510000000000005</v>
      </c>
      <c r="L355" s="235">
        <f>IFERROR(Таблица4[[#This Row],[S ПП]]-Таблица4[[#This Row],[S ДДУ]],)</f>
        <v>0</v>
      </c>
      <c r="M355" s="235">
        <f>ROUND(_xlfn.XLOOKUP(Таблица4[[#This Row],[№]],Реестр_Д4[№],Реестр_Д4[Итоговая сумма скидки],"",0),2)</f>
        <v>165000</v>
      </c>
      <c r="N355" s="235" cm="1">
        <f t="array" ref="N355">IFERROR(ROUND(_xlfn.XLOOKUP($B$3&amp;Таблица4[[#This Row],[№]]&amp;"Продажа",РД[Дом]&amp;РД[№ кв]&amp;РД[Состояние],РД[Сумма скидки],"",0),2),Таблица4[[#This Row],[Статус]])</f>
        <v>165000</v>
      </c>
      <c r="O355" s="235">
        <f>IFERROR(Таблица4[[#This Row],[ППС]]-Таблица4[[#This Row],[ДДУС]],)</f>
        <v>0</v>
      </c>
      <c r="P355" s="611"/>
      <c r="Q355" s="234">
        <f>VLOOKUP(ППД5!A352,Реестр_Д5[№],1,0)</f>
        <v>351</v>
      </c>
      <c r="R355" s="234" t="str">
        <f>VLOOKUP(ППД5!CH352,Реестр_Д5[Статус],1,0)</f>
        <v>Свободно</v>
      </c>
      <c r="S355" s="612">
        <f>VLOOKUP(ППД5!BZ352,Реестр_Д5[Стоимость ОН без отделки со скидкой],1,0)</f>
        <v>7947000</v>
      </c>
      <c r="T355" s="612" t="str" cm="1">
        <f t="array" ref="T35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55" s="235">
        <f>IFERROR((Таблица10[[#This Row],[ПП]]-Таблица10[[#This Row],[ДДУ]])*1,)</f>
        <v>0</v>
      </c>
      <c r="V355" s="235" t="str" cm="1">
        <f t="array" ref="V35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55" s="235">
        <f>_xlfn.XLOOKUP(Таблица10[[#This Row],[№]],Реестр_Д5[№],Реестр_Д5[Стоимость квартиры с отделкой],"-",0)</f>
        <v>8548500</v>
      </c>
      <c r="X355" s="235" t="str">
        <f>IFERROR(Таблица10[[#This Row],[СО ПП]]-Таблица10[[#This Row],[СО ДДУ]],"")</f>
        <v/>
      </c>
      <c r="Y355" s="233" t="str" cm="1">
        <f t="array" ref="Y355">IFERROR(INDEX(РД[S],MATCH($Q$3&amp;Таблица10[[#This Row],[№]]&amp;"Продажа",РД[Дом]&amp;РД[№ кв]&amp;РД[Состояние],0),1),Таблица10[[#This Row],[Статус]])</f>
        <v>Свободно</v>
      </c>
      <c r="Z355" s="233">
        <f>IF(Таблица10[[#This Row],[№]]&amp;"ДДУ"=ППД5!A352&amp;ППД5!CR352,ППД5!U352,ППД5!V352)</f>
        <v>60.150000000000006</v>
      </c>
      <c r="AA355" s="285">
        <f>IFERROR(Таблица10[[#This Row],[S ПП]]-Таблица10[[#This Row],[S ДДУ]],)</f>
        <v>0</v>
      </c>
      <c r="AB355" s="235">
        <f>ROUND(_xlfn.XLOOKUP(Таблица10[[#This Row],[№]],Реестр_Д5[№],Реестр_Д5[Итоговая сумма скидки],"",0),2)</f>
        <v>0</v>
      </c>
      <c r="AC355" s="235" t="str" cm="1">
        <f t="array" ref="AC35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55" s="285">
        <f>IFERROR(Таблица10[[#This Row],[ППС]]-Таблица10[[#This Row],[ДДУС]],)</f>
        <v>0</v>
      </c>
      <c r="AE355" s="611"/>
      <c r="AT355" s="611"/>
    </row>
    <row r="356" spans="1:46" x14ac:dyDescent="0.2">
      <c r="A356" s="611"/>
      <c r="B356" s="234">
        <f>VLOOKUP(ППД4!A353,Реестр_Д4[№],1,0)</f>
        <v>352</v>
      </c>
      <c r="C356" s="234" t="str">
        <f>VLOOKUP(ППД4!CO353,Реестр_Д4[Статус],1,0)</f>
        <v>Продажа</v>
      </c>
      <c r="D356" s="612">
        <f>VLOOKUP(ППД4!CE353,Реестр_Д4[Стоимость ОН без отделки со скидкой],1,0)</f>
        <v>3241995.18</v>
      </c>
      <c r="E356" s="612" cm="1">
        <f t="array" ref="E356">IFERROR(INDEX(РД[Стоимость без отделки итог],MATCH($B$3&amp;Таблица4[[#This Row],[№]]&amp;"Продажа",РД[Дом]&amp;РД[№ кв]&amp;РД[Состояние],0),1),Таблица4[[#This Row],[Статус]])</f>
        <v>3241995.18</v>
      </c>
      <c r="F356" s="235">
        <f>IFERROR((Таблица4[[#This Row],[ПП]]-Таблица4[[#This Row],[ДДУ]])*1,"")</f>
        <v>0</v>
      </c>
      <c r="G356" s="235" cm="1">
        <f t="array" ref="G356">IFERROR(INDEX(РД[Стоимость с отделкой итог],MATCH($B$3&amp;Таблица4[[#This Row],[№]]&amp;"Продажа",РД[Дом]&amp;РД[№ кв]&amp;РД[Состояние],0),1),Таблица4[[#This Row],[Статус]])</f>
        <v>3377355.18</v>
      </c>
      <c r="H356" s="235">
        <f>_xlfn.XLOOKUP(Таблица4[[#This Row],[№]],Реестр_Д4[№],Реестр_Д4[Стоимость квартиры с отделкой],"-",0)</f>
        <v>3377355.18</v>
      </c>
      <c r="I356" s="235">
        <f>IFERROR(Таблица4[[#This Row],[СО ПП]]-Таблица4[[#This Row],[СО ДДУ]],"")</f>
        <v>0</v>
      </c>
      <c r="J356" s="233" cm="1">
        <f t="array" ref="J356">IFERROR(INDEX(РД[S],MATCH($B$3&amp;Таблица4[[#This Row],[№]]&amp;"Продажа",РД[Дом]&amp;РД[№ кв]&amp;РД[Состояние],0),1),Таблица4[[#This Row],[Статус]])</f>
        <v>33.840000000000003</v>
      </c>
      <c r="K356" s="233">
        <f>VLOOKUP(Таблица4[[#This Row],[№]],Реестр_Д4[],20,0)</f>
        <v>33.840000000000003</v>
      </c>
      <c r="L356" s="235">
        <f>IFERROR(Таблица4[[#This Row],[S ПП]]-Таблица4[[#This Row],[S ДДУ]],)</f>
        <v>0</v>
      </c>
      <c r="M356" s="235">
        <f>ROUND(_xlfn.XLOOKUP(Таблица4[[#This Row],[№]],Реестр_Д4[№],Реестр_Д4[Итоговая сумма скидки],"",0),2)</f>
        <v>0</v>
      </c>
      <c r="N356" s="235" cm="1">
        <f t="array" ref="N35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6" s="235">
        <f>IFERROR(Таблица4[[#This Row],[ППС]]-Таблица4[[#This Row],[ДДУС]],)</f>
        <v>0</v>
      </c>
      <c r="P356" s="611"/>
      <c r="Q356" s="234">
        <f>VLOOKUP(ППД5!A353,Реестр_Д5[№],1,0)</f>
        <v>352</v>
      </c>
      <c r="R356" s="234" t="str">
        <f>VLOOKUP(ППД5!CH353,Реестр_Д5[Статус],1,0)</f>
        <v>Продажа</v>
      </c>
      <c r="S356" s="612">
        <f>VLOOKUP(ППД5!BZ353,Реестр_Д5[Стоимость ОН без отделки со скидкой],1,0)</f>
        <v>4529500</v>
      </c>
      <c r="T356" s="612" cm="1">
        <f t="array" ref="T356">IFERROR(INDEX(РД[Стоимость без отделки итог],MATCH($Q$3&amp;Таблица10[[#This Row],[№]]&amp;"Продажа",РД[Дом]&amp;РД[№ кв]&amp;РД[Состояние],0),1),Таблица10[[#This Row],[Статус]])</f>
        <v>4529500</v>
      </c>
      <c r="U356" s="235">
        <f>IFERROR((Таблица10[[#This Row],[ПП]]-Таблица10[[#This Row],[ДДУ]])*1,)</f>
        <v>0</v>
      </c>
      <c r="V356" s="235" cm="1">
        <f t="array" ref="V356">IFERROR(INDEX(РД[Стоимость с отделкой итог],MATCH($Q$3&amp;Таблица10[[#This Row],[№]]&amp;"Продажа",РД[Дом]&amp;РД[№ кв]&amp;РД[Состояние],0),1),Таблица10[[#This Row],[Статус]])</f>
        <v>5285700</v>
      </c>
      <c r="W356" s="235">
        <f>_xlfn.XLOOKUP(Таблица10[[#This Row],[№]],Реестр_Д5[№],Реестр_Д5[Стоимость квартиры с отделкой],"-",0)</f>
        <v>5285699.9999999991</v>
      </c>
      <c r="X356" s="235">
        <f>IFERROR(Таблица10[[#This Row],[СО ПП]]-Таблица10[[#This Row],[СО ДДУ]],"")</f>
        <v>-9.3132257461547852E-10</v>
      </c>
      <c r="Y356" s="233" cm="1">
        <f t="array" ref="Y356">IFERROR(INDEX(РД[S],MATCH($Q$3&amp;Таблица10[[#This Row],[№]]&amp;"Продажа",РД[Дом]&amp;РД[№ кв]&amp;РД[Состояние],0),1),Таблица10[[#This Row],[Статус]])</f>
        <v>37.81</v>
      </c>
      <c r="Z356" s="233">
        <f>IF(Таблица10[[#This Row],[№]]&amp;"ДДУ"=ППД5!A353&amp;ППД5!CR353,ППД5!U353,ППД5!V353)</f>
        <v>37.81</v>
      </c>
      <c r="AA356" s="285">
        <f>IFERROR(Таблица10[[#This Row],[S ПП]]-Таблица10[[#This Row],[S ДДУ]],)</f>
        <v>0</v>
      </c>
      <c r="AB356" s="235">
        <f>ROUND(_xlfn.XLOOKUP(Таблица10[[#This Row],[№]],Реестр_Д5[№],Реестр_Д5[Итоговая сумма скидки],"",0),2)</f>
        <v>0</v>
      </c>
      <c r="AC356" s="235" cm="1">
        <f t="array" ref="AC35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56" s="285">
        <f>IFERROR(Таблица10[[#This Row],[ППС]]-Таблица10[[#This Row],[ДДУС]],)</f>
        <v>0</v>
      </c>
      <c r="AE356" s="611"/>
      <c r="AT356" s="611"/>
    </row>
    <row r="357" spans="1:46" x14ac:dyDescent="0.2">
      <c r="A357" s="611"/>
      <c r="B357" s="234">
        <f>VLOOKUP(ППД4!A354,Реестр_Д4[№],1,0)</f>
        <v>353</v>
      </c>
      <c r="C357" s="234" t="str">
        <f>VLOOKUP(ППД4!CO354,Реестр_Д4[Статус],1,0)</f>
        <v>Продажа</v>
      </c>
      <c r="D357" s="612">
        <f>VLOOKUP(ППД4!CE354,Реестр_Д4[Стоимость ОН без отделки со скидкой],1,0)</f>
        <v>3373312</v>
      </c>
      <c r="E357" s="612" cm="1">
        <f t="array" ref="E357">IFERROR(INDEX(РД[Стоимость без отделки итог],MATCH($B$3&amp;Таблица4[[#This Row],[№]]&amp;"Продажа",РД[Дом]&amp;РД[№ кв]&amp;РД[Состояние],0),1),Таблица4[[#This Row],[Статус]])</f>
        <v>3373312</v>
      </c>
      <c r="F357" s="235">
        <f>IFERROR((Таблица4[[#This Row],[ПП]]-Таблица4[[#This Row],[ДДУ]])*1,"")</f>
        <v>0</v>
      </c>
      <c r="G357" s="235" cm="1">
        <f t="array" ref="G357">IFERROR(INDEX(РД[Стоимость с отделкой итог],MATCH($B$3&amp;Таблица4[[#This Row],[№]]&amp;"Продажа",РД[Дом]&amp;РД[№ кв]&amp;РД[Состояние],0),1),Таблица4[[#This Row],[Статус]])</f>
        <v>3373312</v>
      </c>
      <c r="H357" s="235">
        <f>_xlfn.XLOOKUP(Таблица4[[#This Row],[№]],Реестр_Д4[№],Реестр_Д4[Стоимость квартиры с отделкой],"-",0)</f>
        <v>3373312</v>
      </c>
      <c r="I357" s="235">
        <f>IFERROR(Таблица4[[#This Row],[СО ПП]]-Таблица4[[#This Row],[СО ДДУ]],"")</f>
        <v>0</v>
      </c>
      <c r="J357" s="233" cm="1">
        <f t="array" ref="J357">IFERROR(INDEX(РД[S],MATCH($B$3&amp;Таблица4[[#This Row],[№]]&amp;"Продажа",РД[Дом]&amp;РД[№ кв]&amp;РД[Состояние],0),1),Таблица4[[#This Row],[Статус]])</f>
        <v>29.35</v>
      </c>
      <c r="K357" s="233">
        <f>VLOOKUP(Таблица4[[#This Row],[№]],Реестр_Д4[],20,0)</f>
        <v>29.35</v>
      </c>
      <c r="L357" s="235">
        <f>IFERROR(Таблица4[[#This Row],[S ПП]]-Таблица4[[#This Row],[S ДДУ]],)</f>
        <v>0</v>
      </c>
      <c r="M357" s="235">
        <f>ROUND(_xlfn.XLOOKUP(Таблица4[[#This Row],[№]],Реестр_Д4[№],Реестр_Д4[Итоговая сумма скидки],"",0),2)</f>
        <v>88888</v>
      </c>
      <c r="N357" s="235" cm="1">
        <f t="array" ref="N357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357" s="235">
        <f>IFERROR(Таблица4[[#This Row],[ППС]]-Таблица4[[#This Row],[ДДУС]],)</f>
        <v>0</v>
      </c>
      <c r="P357" s="611"/>
      <c r="Q357" s="234">
        <f>VLOOKUP(ППД5!A354,Реестр_Д5[№],1,0)</f>
        <v>353</v>
      </c>
      <c r="R357" s="234" t="str">
        <f>VLOOKUP(ППД5!CH354,Реестр_Д5[Статус],1,0)</f>
        <v>Продажа</v>
      </c>
      <c r="S357" s="612">
        <f>VLOOKUP(ППД5!BZ354,Реестр_Д5[Стоимость ОН без отделки со скидкой],1,0)</f>
        <v>6591248.7199999997</v>
      </c>
      <c r="T357" s="612" cm="1">
        <f t="array" ref="T357">IFERROR(INDEX(РД[Стоимость без отделки итог],MATCH($Q$3&amp;Таблица10[[#This Row],[№]]&amp;"Продажа",РД[Дом]&amp;РД[№ кв]&amp;РД[Состояние],0),1),Таблица10[[#This Row],[Статус]])</f>
        <v>6591248.7199999997</v>
      </c>
      <c r="U357" s="235">
        <f>IFERROR((Таблица10[[#This Row],[ПП]]-Таблица10[[#This Row],[ДДУ]])*1,)</f>
        <v>0</v>
      </c>
      <c r="V357" s="235" cm="1">
        <f t="array" ref="V357">IFERROR(INDEX(РД[Стоимость с отделкой итог],MATCH($Q$3&amp;Таблица10[[#This Row],[№]]&amp;"Продажа",РД[Дом]&amp;РД[№ кв]&amp;РД[Состояние],0),1),Таблица10[[#This Row],[Статус]])</f>
        <v>6591248.7199999997</v>
      </c>
      <c r="W357" s="235">
        <f>_xlfn.XLOOKUP(Таблица10[[#This Row],[№]],Реестр_Д5[№],Реестр_Д5[Стоимость квартиры с отделкой],"-",0)</f>
        <v>6591248.7199999997</v>
      </c>
      <c r="X357" s="235">
        <f>IFERROR(Таблица10[[#This Row],[СО ПП]]-Таблица10[[#This Row],[СО ДДУ]],"")</f>
        <v>0</v>
      </c>
      <c r="Y357" s="233" cm="1">
        <f t="array" ref="Y357">IFERROR(INDEX(РД[S],MATCH($Q$3&amp;Таблица10[[#This Row],[№]]&amp;"Продажа",РД[Дом]&amp;РД[№ кв]&amp;РД[Состояние],0),1),Таблица10[[#This Row],[Статус]])</f>
        <v>80.97</v>
      </c>
      <c r="Z357" s="233">
        <f>IF(Таблица10[[#This Row],[№]]&amp;"ДДУ"=ППД5!A354&amp;ППД5!CR354,ППД5!U354,ППД5!V354)</f>
        <v>80.97</v>
      </c>
      <c r="AA357" s="285">
        <f>IFERROR(Таблица10[[#This Row],[S ПП]]-Таблица10[[#This Row],[S ДДУ]],)</f>
        <v>0</v>
      </c>
      <c r="AB357" s="235">
        <f>ROUND(_xlfn.XLOOKUP(Таблица10[[#This Row],[№]],Реестр_Д5[№],Реестр_Д5[Итоговая сумма скидки],"",0),2)</f>
        <v>346907.83</v>
      </c>
      <c r="AC357" s="235" cm="1">
        <f t="array" ref="AC357">IFERROR(ROUND(_xlfn.XLOOKUP($Q$3&amp;Таблица10[[#This Row],[№]]&amp;"Продажа",РД[Дом]&amp;РД[№ кв]&amp;РД[Состояние],РД[Сумма скидки],"",0,-1),2),Таблица10[[#This Row],[Статус]])</f>
        <v>346907.83</v>
      </c>
      <c r="AD357" s="285">
        <f>IFERROR(Таблица10[[#This Row],[ППС]]-Таблица10[[#This Row],[ДДУС]],)</f>
        <v>0</v>
      </c>
      <c r="AE357" s="611"/>
      <c r="AT357" s="611"/>
    </row>
    <row r="358" spans="1:46" x14ac:dyDescent="0.2">
      <c r="A358" s="611"/>
      <c r="B358" s="234">
        <f>VLOOKUP(ППД4!A355,Реестр_Д4[№],1,0)</f>
        <v>354</v>
      </c>
      <c r="C358" s="234" t="str">
        <f>VLOOKUP(ППД4!CO355,Реестр_Д4[Статус],1,0)</f>
        <v>Продажа</v>
      </c>
      <c r="D358" s="612">
        <f>VLOOKUP(ППД4!CE355,Реестр_Д4[Стоимость ОН без отделки со скидкой],1,0)</f>
        <v>5655749.5499999998</v>
      </c>
      <c r="E358" s="612" cm="1">
        <f t="array" ref="E358">IFERROR(INDEX(РД[Стоимость без отделки итог],MATCH($B$3&amp;Таблица4[[#This Row],[№]]&amp;"Продажа",РД[Дом]&amp;РД[№ кв]&amp;РД[Состояние],0),1),Таблица4[[#This Row],[Статус]])</f>
        <v>5655749.5499999998</v>
      </c>
      <c r="F358" s="235">
        <f>IFERROR((Таблица4[[#This Row],[ПП]]-Таблица4[[#This Row],[ДДУ]])*1,"")</f>
        <v>0</v>
      </c>
      <c r="G358" s="235" cm="1">
        <f t="array" ref="G358">IFERROR(INDEX(РД[Стоимость с отделкой итог],MATCH($B$3&amp;Таблица4[[#This Row],[№]]&amp;"Продажа",РД[Дом]&amp;РД[№ кв]&amp;РД[Состояние],0),1),Таблица4[[#This Row],[Статус]])</f>
        <v>7150649.5499999998</v>
      </c>
      <c r="H358" s="235">
        <f>_xlfn.XLOOKUP(Таблица4[[#This Row],[№]],Реестр_Д4[№],Реестр_Д4[Стоимость квартиры с отделкой],"-",0)</f>
        <v>7150649.5499999998</v>
      </c>
      <c r="I358" s="235">
        <f>IFERROR(Таблица4[[#This Row],[СО ПП]]-Таблица4[[#This Row],[СО ДДУ]],"")</f>
        <v>0</v>
      </c>
      <c r="J358" s="233" cm="1">
        <f t="array" ref="J358">IFERROR(INDEX(РД[S],MATCH($B$3&amp;Таблица4[[#This Row],[№]]&amp;"Продажа",РД[Дом]&amp;РД[№ кв]&amp;РД[Состояние],0),1),Таблица4[[#This Row],[Статус]])</f>
        <v>67.95</v>
      </c>
      <c r="K358" s="233">
        <f>VLOOKUP(Таблица4[[#This Row],[№]],Реестр_Д4[],20,0)</f>
        <v>67.95</v>
      </c>
      <c r="L358" s="235">
        <f>IFERROR(Таблица4[[#This Row],[S ПП]]-Таблица4[[#This Row],[S ДДУ]],)</f>
        <v>0</v>
      </c>
      <c r="M358" s="235">
        <f>ROUND(_xlfn.XLOOKUP(Таблица4[[#This Row],[№]],Реестр_Д4[№],Реестр_Д4[Итоговая сумма скидки],"",0),2)</f>
        <v>300000</v>
      </c>
      <c r="N358" s="235" cm="1">
        <f t="array" ref="N358">IFERROR(ROUND(_xlfn.XLOOKUP($B$3&amp;Таблица4[[#This Row],[№]]&amp;"Продажа",РД[Дом]&amp;РД[№ кв]&amp;РД[Состояние],РД[Сумма скидки],"",0),2),Таблица4[[#This Row],[Статус]])</f>
        <v>300000</v>
      </c>
      <c r="O358" s="235">
        <f>IFERROR(Таблица4[[#This Row],[ППС]]-Таблица4[[#This Row],[ДДУС]],)</f>
        <v>0</v>
      </c>
      <c r="P358" s="611"/>
      <c r="Q358" s="234">
        <f>VLOOKUP(ППД5!A355,Реестр_Д5[№],1,0)</f>
        <v>354</v>
      </c>
      <c r="R358" s="234" t="str">
        <f>VLOOKUP(ППД5!CH355,Реестр_Д5[Статус],1,0)</f>
        <v>Свободно</v>
      </c>
      <c r="S358" s="612">
        <f>VLOOKUP(ППД5!BZ355,Реестр_Д5[Стоимость ОН без отделки со скидкой],1,0)</f>
        <v>5470700</v>
      </c>
      <c r="T358" s="612" t="str" cm="1">
        <f t="array" ref="T35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58" s="235">
        <f>IFERROR((Таблица10[[#This Row],[ПП]]-Таблица10[[#This Row],[ДДУ]])*1,)</f>
        <v>0</v>
      </c>
      <c r="V358" s="235" t="str" cm="1">
        <f t="array" ref="V35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58" s="235">
        <f>_xlfn.XLOOKUP(Таблица10[[#This Row],[№]],Реестр_Д5[№],Реестр_Д5[Стоимость квартиры с отделкой],"-",0)</f>
        <v>5470700</v>
      </c>
      <c r="X358" s="235" t="str">
        <f>IFERROR(Таблица10[[#This Row],[СО ПП]]-Таблица10[[#This Row],[СО ДДУ]],"")</f>
        <v/>
      </c>
      <c r="Y358" s="233" t="str" cm="1">
        <f t="array" ref="Y358">IFERROR(INDEX(РД[S],MATCH($Q$3&amp;Таблица10[[#This Row],[№]]&amp;"Продажа",РД[Дом]&amp;РД[№ кв]&amp;РД[Состояние],0),1),Таблица10[[#This Row],[Статус]])</f>
        <v>Свободно</v>
      </c>
      <c r="Z358" s="233">
        <f>IF(Таблица10[[#This Row],[№]]&amp;"ДДУ"=ППД5!A355&amp;ППД5!CR355,ППД5!U355,ППД5!V355)</f>
        <v>34.85</v>
      </c>
      <c r="AA358" s="285">
        <f>IFERROR(Таблица10[[#This Row],[S ПП]]-Таблица10[[#This Row],[S ДДУ]],)</f>
        <v>0</v>
      </c>
      <c r="AB358" s="235">
        <f>ROUND(_xlfn.XLOOKUP(Таблица10[[#This Row],[№]],Реестр_Д5[№],Реестр_Д5[Итоговая сумма скидки],"",0),2)</f>
        <v>0</v>
      </c>
      <c r="AC358" s="235" t="str" cm="1">
        <f t="array" ref="AC35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58" s="285">
        <f>IFERROR(Таблица10[[#This Row],[ППС]]-Таблица10[[#This Row],[ДДУС]],)</f>
        <v>0</v>
      </c>
      <c r="AE358" s="611"/>
      <c r="AT358" s="611"/>
    </row>
    <row r="359" spans="1:46" x14ac:dyDescent="0.2">
      <c r="A359" s="611"/>
      <c r="B359" s="234">
        <f>VLOOKUP(ППД4!A356,Реестр_Д4[№],1,0)</f>
        <v>355</v>
      </c>
      <c r="C359" s="234" t="str">
        <f>VLOOKUP(ППД4!CO356,Реестр_Д4[Статус],1,0)</f>
        <v>Продажа</v>
      </c>
      <c r="D359" s="612">
        <f>VLOOKUP(ППД4!CE356,Реестр_Д4[Стоимость ОН без отделки со скидкой],1,0)</f>
        <v>3521745.78</v>
      </c>
      <c r="E359" s="612" cm="1">
        <f t="array" ref="E359">IFERROR(INDEX(РД[Стоимость без отделки итог],MATCH($B$3&amp;Таблица4[[#This Row],[№]]&amp;"Продажа",РД[Дом]&amp;РД[№ кв]&amp;РД[Состояние],0),1),Таблица4[[#This Row],[Статус]])</f>
        <v>3521745.78</v>
      </c>
      <c r="F359" s="235">
        <f>IFERROR((Таблица4[[#This Row],[ПП]]-Таблица4[[#This Row],[ДДУ]])*1,"")</f>
        <v>0</v>
      </c>
      <c r="G359" s="235" cm="1">
        <f t="array" ref="G359">IFERROR(INDEX(РД[Стоимость с отделкой итог],MATCH($B$3&amp;Таблица4[[#This Row],[№]]&amp;"Продажа",РД[Дом]&amp;РД[№ кв]&amp;РД[Состояние],0),1),Таблица4[[#This Row],[Статус]])</f>
        <v>4086720.78</v>
      </c>
      <c r="H359" s="235">
        <f>_xlfn.XLOOKUP(Таблица4[[#This Row],[№]],Реестр_Д4[№],Реестр_Д4[Стоимость квартиры с отделкой],"-",0)</f>
        <v>4086720.78</v>
      </c>
      <c r="I359" s="235">
        <f>IFERROR(Таблица4[[#This Row],[СО ПП]]-Таблица4[[#This Row],[СО ДДУ]],"")</f>
        <v>0</v>
      </c>
      <c r="J359" s="233" cm="1">
        <f t="array" ref="J359">IFERROR(INDEX(РД[S],MATCH($B$3&amp;Таблица4[[#This Row],[№]]&amp;"Продажа",РД[Дом]&amp;РД[№ кв]&amp;РД[Состояние],0),1),Таблица4[[#This Row],[Статус]])</f>
        <v>36.450000000000003</v>
      </c>
      <c r="K359" s="233">
        <f>VLOOKUP(Таблица4[[#This Row],[№]],Реестр_Д4[],20,0)</f>
        <v>36.450000000000003</v>
      </c>
      <c r="L359" s="235">
        <f>IFERROR(Таблица4[[#This Row],[S ПП]]-Таблица4[[#This Row],[S ДДУ]],)</f>
        <v>0</v>
      </c>
      <c r="M359" s="235">
        <f>ROUND(_xlfn.XLOOKUP(Таблица4[[#This Row],[№]],Реестр_Д4[№],Реестр_Д4[Итоговая сумма скидки],"",0),2)</f>
        <v>0</v>
      </c>
      <c r="N359" s="235" cm="1">
        <f t="array" ref="N35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59" s="235">
        <f>IFERROR(Таблица4[[#This Row],[ППС]]-Таблица4[[#This Row],[ДДУС]],)</f>
        <v>0</v>
      </c>
      <c r="P359" s="611"/>
      <c r="Q359" s="234">
        <f>VLOOKUP(ППД5!A356,Реестр_Д5[№],1,0)</f>
        <v>355</v>
      </c>
      <c r="R359" s="234" t="str">
        <f>VLOOKUP(ППД5!CH356,Реестр_Д5[Статус],1,0)</f>
        <v>Продажа</v>
      </c>
      <c r="S359" s="612">
        <f>VLOOKUP(ППД5!BZ356,Реестр_Д5[Стоимость ОН без отделки со скидкой],1,0)</f>
        <v>7491022</v>
      </c>
      <c r="T359" s="612" cm="1">
        <f t="array" ref="T359">IFERROR(INDEX(РД[Стоимость без отделки итог],MATCH($Q$3&amp;Таблица10[[#This Row],[№]]&amp;"Продажа",РД[Дом]&amp;РД[№ кв]&amp;РД[Состояние],0),1),Таблица10[[#This Row],[Статус]])</f>
        <v>7491022</v>
      </c>
      <c r="U359" s="235">
        <f>IFERROR((Таблица10[[#This Row],[ПП]]-Таблица10[[#This Row],[ДДУ]])*1,)</f>
        <v>0</v>
      </c>
      <c r="V359" s="235" cm="1">
        <f t="array" ref="V359">IFERROR(INDEX(РД[Стоимость с отделкой итог],MATCH($Q$3&amp;Таблица10[[#This Row],[№]]&amp;"Продажа",РД[Дом]&amp;РД[№ кв]&amp;РД[Состояние],0),1),Таблица10[[#This Row],[Статус]])</f>
        <v>9259822</v>
      </c>
      <c r="W359" s="235">
        <f>_xlfn.XLOOKUP(Таблица10[[#This Row],[№]],Реестр_Д5[№],Реестр_Д5[Стоимость квартиры с отделкой],"-",0)</f>
        <v>9259822</v>
      </c>
      <c r="X359" s="235">
        <f>IFERROR(Таблица10[[#This Row],[СО ПП]]-Таблица10[[#This Row],[СО ДДУ]],"")</f>
        <v>0</v>
      </c>
      <c r="Y359" s="233" cm="1">
        <f t="array" ref="Y359">IFERROR(INDEX(РД[S],MATCH($Q$3&amp;Таблица10[[#This Row],[№]]&amp;"Продажа",РД[Дом]&amp;РД[№ кв]&amp;РД[Состояние],0),1),Таблица10[[#This Row],[Статус]])</f>
        <v>73.7</v>
      </c>
      <c r="Z359" s="233">
        <f>IF(Таблица10[[#This Row],[№]]&amp;"ДДУ"=ППД5!A356&amp;ППД5!CR356,ППД5!U356,ППД5!V356)</f>
        <v>73.7</v>
      </c>
      <c r="AA359" s="285">
        <f>IFERROR(Таблица10[[#This Row],[S ПП]]-Таблица10[[#This Row],[S ДДУ]],)</f>
        <v>0</v>
      </c>
      <c r="AB359" s="235">
        <f>ROUND(_xlfn.XLOOKUP(Таблица10[[#This Row],[№]],Реестр_Д5[№],Реестр_Д5[Итоговая сумма скидки],"",0),2)</f>
        <v>152878</v>
      </c>
      <c r="AC359" s="235" cm="1">
        <f t="array" ref="AC359">IFERROR(ROUND(_xlfn.XLOOKUP($Q$3&amp;Таблица10[[#This Row],[№]]&amp;"Продажа",РД[Дом]&amp;РД[№ кв]&amp;РД[Состояние],РД[Сумма скидки],"",0,-1),2),Таблица10[[#This Row],[Статус]])</f>
        <v>152878</v>
      </c>
      <c r="AD359" s="285">
        <f>IFERROR(Таблица10[[#This Row],[ППС]]-Таблица10[[#This Row],[ДДУС]],)</f>
        <v>0</v>
      </c>
      <c r="AE359" s="611"/>
      <c r="AT359" s="611"/>
    </row>
    <row r="360" spans="1:46" x14ac:dyDescent="0.2">
      <c r="A360" s="611"/>
      <c r="B360" s="234">
        <f>VLOOKUP(ППД4!A357,Реестр_Д4[№],1,0)</f>
        <v>356</v>
      </c>
      <c r="C360" s="234" t="str">
        <f>VLOOKUP(ППД4!CO357,Реестр_Д4[Статус],1,0)</f>
        <v>Продажа</v>
      </c>
      <c r="D360" s="612">
        <f>VLOOKUP(ППД4!CE357,Реестр_Д4[Стоимость ОН без отделки со скидкой],1,0)</f>
        <v>4431299.96</v>
      </c>
      <c r="E360" s="612" cm="1">
        <f t="array" ref="E360">IFERROR(INDEX(РД[Стоимость без отделки итог],MATCH($B$3&amp;Таблица4[[#This Row],[№]]&amp;"Продажа",РД[Дом]&amp;РД[№ кв]&amp;РД[Состояние],0),1),Таблица4[[#This Row],[Статус]])</f>
        <v>4431299.96</v>
      </c>
      <c r="F360" s="235">
        <f>IFERROR((Таблица4[[#This Row],[ПП]]-Таблица4[[#This Row],[ДДУ]])*1,"")</f>
        <v>0</v>
      </c>
      <c r="G360" s="235" cm="1">
        <f t="array" ref="G360">IFERROR(INDEX(РД[Стоимость с отделкой итог],MATCH($B$3&amp;Таблица4[[#This Row],[№]]&amp;"Продажа",РД[Дом]&amp;РД[№ кв]&amp;РД[Состояние],0),1),Таблица4[[#This Row],[Статус]])</f>
        <v>4431299.96</v>
      </c>
      <c r="H360" s="235">
        <f>_xlfn.XLOOKUP(Таблица4[[#This Row],[№]],Реестр_Д4[№],Реестр_Д4[Стоимость квартиры с отделкой],"-",0)</f>
        <v>4431299.96</v>
      </c>
      <c r="I360" s="235">
        <f>IFERROR(Таблица4[[#This Row],[СО ПП]]-Таблица4[[#This Row],[СО ДДУ]],"")</f>
        <v>0</v>
      </c>
      <c r="J360" s="233" cm="1">
        <f t="array" ref="J360">IFERROR(INDEX(РД[S],MATCH($B$3&amp;Таблица4[[#This Row],[№]]&amp;"Продажа",РД[Дом]&amp;РД[№ кв]&amp;РД[Состояние],0),1),Таблица4[[#This Row],[Статус]])</f>
        <v>58.55</v>
      </c>
      <c r="K360" s="233">
        <f>VLOOKUP(Таблица4[[#This Row],[№]],Реестр_Д4[],20,0)</f>
        <v>58.55</v>
      </c>
      <c r="L360" s="235">
        <f>IFERROR(Таблица4[[#This Row],[S ПП]]-Таблица4[[#This Row],[S ДДУ]],)</f>
        <v>0</v>
      </c>
      <c r="M360" s="235">
        <f>ROUND(_xlfn.XLOOKUP(Таблица4[[#This Row],[№]],Реестр_Д4[№],Реестр_Д4[Итоговая сумма скидки],"",0),2)</f>
        <v>0</v>
      </c>
      <c r="N360" s="235" cm="1">
        <f t="array" ref="N36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0" s="235">
        <f>IFERROR(Таблица4[[#This Row],[ППС]]-Таблица4[[#This Row],[ДДУС]],)</f>
        <v>0</v>
      </c>
      <c r="P360" s="611"/>
      <c r="Q360" s="234">
        <f>VLOOKUP(ППД5!A357,Реестр_Д5[№],1,0)</f>
        <v>356</v>
      </c>
      <c r="R360" s="234" t="str">
        <f>VLOOKUP(ППД5!CH357,Реестр_Д5[Статус],1,0)</f>
        <v>Свободно</v>
      </c>
      <c r="S360" s="612">
        <f>VLOOKUP(ППД5!BZ357,Реестр_Д5[Стоимость ОН без отделки со скидкой],1,0)</f>
        <v>3962400</v>
      </c>
      <c r="T360" s="612" t="str" cm="1">
        <f t="array" ref="T36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0" s="235">
        <f>IFERROR((Таблица10[[#This Row],[ПП]]-Таблица10[[#This Row],[ДДУ]])*1,)</f>
        <v>0</v>
      </c>
      <c r="V360" s="235" t="str" cm="1">
        <f t="array" ref="V36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0" s="235">
        <f>_xlfn.XLOOKUP(Таблица10[[#This Row],[№]],Реестр_Д5[№],Реестр_Д5[Стоимость квартиры с отделкой],"-",0)</f>
        <v>3962400</v>
      </c>
      <c r="X360" s="235" t="str">
        <f>IFERROR(Таблица10[[#This Row],[СО ПП]]-Таблица10[[#This Row],[СО ДДУ]],"")</f>
        <v/>
      </c>
      <c r="Y360" s="233" t="str" cm="1">
        <f t="array" ref="Y360">IFERROR(INDEX(РД[S],MATCH($Q$3&amp;Таблица10[[#This Row],[№]]&amp;"Продажа",РД[Дом]&amp;РД[№ кв]&amp;РД[Состояние],0),1),Таблица10[[#This Row],[Статус]])</f>
        <v>Свободно</v>
      </c>
      <c r="Z360" s="233">
        <f>IF(Таблица10[[#This Row],[№]]&amp;"ДДУ"=ППД5!A357&amp;ППД5!CR357,ППД5!U357,ППД5!V357)</f>
        <v>24.299999999999997</v>
      </c>
      <c r="AA360" s="285">
        <f>IFERROR(Таблица10[[#This Row],[S ПП]]-Таблица10[[#This Row],[S ДДУ]],)</f>
        <v>0</v>
      </c>
      <c r="AB360" s="235">
        <f>ROUND(_xlfn.XLOOKUP(Таблица10[[#This Row],[№]],Реестр_Д5[№],Реестр_Д5[Итоговая сумма скидки],"",0),2)</f>
        <v>0</v>
      </c>
      <c r="AC360" s="235" t="str" cm="1">
        <f t="array" ref="AC36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0" s="285">
        <f>IFERROR(Таблица10[[#This Row],[ППС]]-Таблица10[[#This Row],[ДДУС]],)</f>
        <v>0</v>
      </c>
      <c r="AE360" s="611"/>
      <c r="AT360" s="611"/>
    </row>
    <row r="361" spans="1:46" x14ac:dyDescent="0.2">
      <c r="A361" s="611"/>
      <c r="B361" s="234">
        <f>VLOOKUP(ППД4!A358,Реестр_Д4[№],1,0)</f>
        <v>357</v>
      </c>
      <c r="C361" s="234" t="str">
        <f>VLOOKUP(ППД4!CO358,Реестр_Д4[Статус],1,0)</f>
        <v>Продажа</v>
      </c>
      <c r="D361" s="612">
        <f>VLOOKUP(ППД4!CE358,Реестр_Д4[Стоимость ОН без отделки со скидкой],1,0)</f>
        <v>4291284.5</v>
      </c>
      <c r="E361" s="612" cm="1">
        <f t="array" ref="E361">IFERROR(INDEX(РД[Стоимость без отделки итог],MATCH($B$3&amp;Таблица4[[#This Row],[№]]&amp;"Продажа",РД[Дом]&amp;РД[№ кв]&amp;РД[Состояние],0),1),Таблица4[[#This Row],[Статус]])</f>
        <v>4291284.5</v>
      </c>
      <c r="F361" s="235">
        <f>IFERROR((Таблица4[[#This Row],[ПП]]-Таблица4[[#This Row],[ДДУ]])*1,"")</f>
        <v>0</v>
      </c>
      <c r="G361" s="235" cm="1">
        <f t="array" ref="G361">IFERROR(INDEX(РД[Стоимость с отделкой итог],MATCH($B$3&amp;Таблица4[[#This Row],[№]]&amp;"Продажа",РД[Дом]&amp;РД[№ кв]&amp;РД[Состояние],0),1),Таблица4[[#This Row],[Статус]])</f>
        <v>4518084.5</v>
      </c>
      <c r="H361" s="235">
        <f>_xlfn.XLOOKUP(Таблица4[[#This Row],[№]],Реестр_Д4[№],Реестр_Д4[Стоимость квартиры с отделкой],"-",0)</f>
        <v>4518084.5</v>
      </c>
      <c r="I361" s="235">
        <f>IFERROR(Таблица4[[#This Row],[СО ПП]]-Таблица4[[#This Row],[СО ДДУ]],"")</f>
        <v>0</v>
      </c>
      <c r="J361" s="233" cm="1">
        <f t="array" ref="J361">IFERROR(INDEX(РД[S],MATCH($B$3&amp;Таблица4[[#This Row],[№]]&amp;"Продажа",РД[Дом]&amp;РД[№ кв]&amp;РД[Состояние],0),1),Таблица4[[#This Row],[Статус]])</f>
        <v>56.7</v>
      </c>
      <c r="K361" s="233">
        <f>VLOOKUP(Таблица4[[#This Row],[№]],Реестр_Д4[],20,0)</f>
        <v>56.7</v>
      </c>
      <c r="L361" s="235">
        <f>IFERROR(Таблица4[[#This Row],[S ПП]]-Таблица4[[#This Row],[S ДДУ]],)</f>
        <v>0</v>
      </c>
      <c r="M361" s="235">
        <f>ROUND(_xlfn.XLOOKUP(Таблица4[[#This Row],[№]],Реестр_Д4[№],Реестр_Д4[Итоговая сумма скидки],"",0),2)</f>
        <v>0</v>
      </c>
      <c r="N361" s="235" cm="1">
        <f t="array" ref="N36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1" s="235">
        <f>IFERROR(Таблица4[[#This Row],[ППС]]-Таблица4[[#This Row],[ДДУС]],)</f>
        <v>0</v>
      </c>
      <c r="P361" s="611"/>
      <c r="Q361" s="234">
        <f>VLOOKUP(ППД5!A358,Реестр_Д5[№],1,0)</f>
        <v>357</v>
      </c>
      <c r="R361" s="234" t="str">
        <f>VLOOKUP(ППД5!CH358,Реестр_Д5[Статус],1,0)</f>
        <v>Свободно</v>
      </c>
      <c r="S361" s="612">
        <f>VLOOKUP(ППД5!BZ358,Реестр_Д5[Стоимость ОН без отделки со скидкой],1,0)</f>
        <v>7697500</v>
      </c>
      <c r="T361" s="612" t="str" cm="1">
        <f t="array" ref="T36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1" s="235">
        <f>IFERROR((Таблица10[[#This Row],[ПП]]-Таблица10[[#This Row],[ДДУ]])*1,)</f>
        <v>0</v>
      </c>
      <c r="V361" s="235" t="str" cm="1">
        <f t="array" ref="V36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1" s="235">
        <f>_xlfn.XLOOKUP(Таблица10[[#This Row],[№]],Реестр_Д5[№],Реестр_Д5[Стоимость квартиры с отделкой],"-",0)</f>
        <v>7697500.0000000019</v>
      </c>
      <c r="X361" s="235" t="str">
        <f>IFERROR(Таблица10[[#This Row],[СО ПП]]-Таблица10[[#This Row],[СО ДДУ]],"")</f>
        <v/>
      </c>
      <c r="Y361" s="233" t="str" cm="1">
        <f t="array" ref="Y361">IFERROR(INDEX(РД[S],MATCH($Q$3&amp;Таблица10[[#This Row],[№]]&amp;"Продажа",РД[Дом]&amp;РД[№ кв]&amp;РД[Состояние],0),1),Таблица10[[#This Row],[Статус]])</f>
        <v>Свободно</v>
      </c>
      <c r="Z361" s="233">
        <f>IF(Таблица10[[#This Row],[№]]&amp;"ДДУ"=ППД5!A358&amp;ППД5!CR358,ППД5!U358,ППД5!V358)</f>
        <v>56.400000000000006</v>
      </c>
      <c r="AA361" s="285">
        <f>IFERROR(Таблица10[[#This Row],[S ПП]]-Таблица10[[#This Row],[S ДДУ]],)</f>
        <v>0</v>
      </c>
      <c r="AB361" s="235">
        <f>ROUND(_xlfn.XLOOKUP(Таблица10[[#This Row],[№]],Реестр_Д5[№],Реестр_Д5[Итоговая сумма скидки],"",0),2)</f>
        <v>0</v>
      </c>
      <c r="AC361" s="235" t="str" cm="1">
        <f t="array" ref="AC36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1" s="285">
        <f>IFERROR(Таблица10[[#This Row],[ППС]]-Таблица10[[#This Row],[ДДУС]],)</f>
        <v>0</v>
      </c>
      <c r="AE361" s="611"/>
      <c r="AT361" s="611"/>
    </row>
    <row r="362" spans="1:46" x14ac:dyDescent="0.2">
      <c r="A362" s="611"/>
      <c r="B362" s="234">
        <f>VLOOKUP(ППД4!A359,Реестр_Д4[№],1,0)</f>
        <v>358</v>
      </c>
      <c r="C362" s="234" t="str">
        <f>VLOOKUP(ППД4!CO359,Реестр_Д4[Статус],1,0)</f>
        <v>Продажа</v>
      </c>
      <c r="D362" s="612">
        <f>VLOOKUP(ППД4!CE359,Реестр_Д4[Стоимость ОН без отделки со скидкой],1,0)</f>
        <v>5741631.8399999999</v>
      </c>
      <c r="E362" s="612" cm="1">
        <f t="array" ref="E362">IFERROR(INDEX(РД[Стоимость без отделки итог],MATCH($B$3&amp;Таблица4[[#This Row],[№]]&amp;"Продажа",РД[Дом]&amp;РД[№ кв]&amp;РД[Состояние],0),1),Таблица4[[#This Row],[Статус]])</f>
        <v>5741631.8399999999</v>
      </c>
      <c r="F362" s="235">
        <f>IFERROR((Таблица4[[#This Row],[ПП]]-Таблица4[[#This Row],[ДДУ]])*1,"")</f>
        <v>0</v>
      </c>
      <c r="G362" s="235" cm="1">
        <f t="array" ref="G362">IFERROR(INDEX(РД[Стоимость с отделкой итог],MATCH($B$3&amp;Таблица4[[#This Row],[№]]&amp;"Продажа",РД[Дом]&amp;РД[№ кв]&amp;РД[Состояние],0),1),Таблица4[[#This Row],[Статус]])</f>
        <v>5741631.8399999999</v>
      </c>
      <c r="H362" s="235">
        <f>_xlfn.XLOOKUP(Таблица4[[#This Row],[№]],Реестр_Д4[№],Реестр_Д4[Стоимость квартиры с отделкой],"-",0)</f>
        <v>5741631.8399999999</v>
      </c>
      <c r="I362" s="235">
        <f>IFERROR(Таблица4[[#This Row],[СО ПП]]-Таблица4[[#This Row],[СО ДДУ]],"")</f>
        <v>0</v>
      </c>
      <c r="J362" s="233" cm="1">
        <f t="array" ref="J362">IFERROR(INDEX(РД[S],MATCH($B$3&amp;Таблица4[[#This Row],[№]]&amp;"Продажа",РД[Дом]&amp;РД[№ кв]&amp;РД[Состояние],0),1),Таблица4[[#This Row],[Статус]])</f>
        <v>72.510000000000005</v>
      </c>
      <c r="K362" s="233">
        <f>VLOOKUP(Таблица4[[#This Row],[№]],Реестр_Д4[],20,0)</f>
        <v>72.510000000000005</v>
      </c>
      <c r="L362" s="235">
        <f>IFERROR(Таблица4[[#This Row],[S ПП]]-Таблица4[[#This Row],[S ДДУ]],)</f>
        <v>0</v>
      </c>
      <c r="M362" s="235">
        <f>ROUND(_xlfn.XLOOKUP(Таблица4[[#This Row],[№]],Реестр_Д4[№],Реестр_Д4[Итоговая сумма скидки],"",0),2)</f>
        <v>0</v>
      </c>
      <c r="N362" s="235" cm="1">
        <f t="array" ref="N36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2" s="235">
        <f>IFERROR(Таблица4[[#This Row],[ППС]]-Таблица4[[#This Row],[ДДУС]],)</f>
        <v>0</v>
      </c>
      <c r="P362" s="611"/>
      <c r="Q362" s="234">
        <f>VLOOKUP(ППД5!A359,Реестр_Д5[№],1,0)</f>
        <v>358</v>
      </c>
      <c r="R362" s="234" t="str">
        <f>VLOOKUP(ППД5!CH359,Реестр_Д5[Статус],1,0)</f>
        <v>Свободно</v>
      </c>
      <c r="S362" s="612">
        <f>VLOOKUP(ППД5!BZ359,Реестр_Д5[Стоимость ОН без отделки со скидкой],1,0)</f>
        <v>7989800</v>
      </c>
      <c r="T362" s="612" t="str" cm="1">
        <f t="array" ref="T36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2" s="235">
        <f>IFERROR((Таблица10[[#This Row],[ПП]]-Таблица10[[#This Row],[ДДУ]])*1,)</f>
        <v>0</v>
      </c>
      <c r="V362" s="235" t="str" cm="1">
        <f t="array" ref="V36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2" s="235">
        <f>_xlfn.XLOOKUP(Таблица10[[#This Row],[№]],Реестр_Д5[№],Реестр_Д5[Стоимость квартиры с отделкой],"-",0)</f>
        <v>7989800.0000000019</v>
      </c>
      <c r="X362" s="235" t="str">
        <f>IFERROR(Таблица10[[#This Row],[СО ПП]]-Таблица10[[#This Row],[СО ДДУ]],"")</f>
        <v/>
      </c>
      <c r="Y362" s="233" t="str" cm="1">
        <f t="array" ref="Y362">IFERROR(INDEX(РД[S],MATCH($Q$3&amp;Таблица10[[#This Row],[№]]&amp;"Продажа",РД[Дом]&amp;РД[№ кв]&amp;РД[Состояние],0),1),Таблица10[[#This Row],[Статус]])</f>
        <v>Свободно</v>
      </c>
      <c r="Z362" s="233">
        <f>IF(Таблица10[[#This Row],[№]]&amp;"ДДУ"=ППД5!A359&amp;ППД5!CR359,ППД5!U359,ППД5!V359)</f>
        <v>59.95</v>
      </c>
      <c r="AA362" s="285">
        <f>IFERROR(Таблица10[[#This Row],[S ПП]]-Таблица10[[#This Row],[S ДДУ]],)</f>
        <v>0</v>
      </c>
      <c r="AB362" s="235">
        <f>ROUND(_xlfn.XLOOKUP(Таблица10[[#This Row],[№]],Реестр_Д5[№],Реестр_Д5[Итоговая сумма скидки],"",0),2)</f>
        <v>0</v>
      </c>
      <c r="AC362" s="235" t="str" cm="1">
        <f t="array" ref="AC36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2" s="285">
        <f>IFERROR(Таблица10[[#This Row],[ППС]]-Таблица10[[#This Row],[ДДУС]],)</f>
        <v>0</v>
      </c>
      <c r="AE362" s="611"/>
      <c r="AT362" s="611"/>
    </row>
    <row r="363" spans="1:46" x14ac:dyDescent="0.2">
      <c r="A363" s="611"/>
      <c r="B363" s="234">
        <f>VLOOKUP(ППД4!A360,Реестр_Д4[№],1,0)</f>
        <v>359</v>
      </c>
      <c r="C363" s="234" t="str">
        <f>VLOOKUP(ППД4!CO360,Реестр_Д4[Статус],1,0)</f>
        <v>Продажа</v>
      </c>
      <c r="D363" s="612">
        <f>VLOOKUP(ППД4!CE360,Реестр_Д4[Стоимость ОН без отделки со скидкой],1,0)</f>
        <v>4365700</v>
      </c>
      <c r="E363" s="612" cm="1">
        <f t="array" ref="E363">IFERROR(INDEX(РД[Стоимость без отделки итог],MATCH($B$3&amp;Таблица4[[#This Row],[№]]&amp;"Продажа",РД[Дом]&amp;РД[№ кв]&amp;РД[Состояние],0),1),Таблица4[[#This Row],[Статус]])</f>
        <v>4365700</v>
      </c>
      <c r="F363" s="235">
        <f>IFERROR((Таблица4[[#This Row],[ПП]]-Таблица4[[#This Row],[ДДУ]])*1,"")</f>
        <v>0</v>
      </c>
      <c r="G363" s="235" cm="1">
        <f t="array" ref="G363">IFERROR(INDEX(РД[Стоимость с отделкой итог],MATCH($B$3&amp;Таблица4[[#This Row],[№]]&amp;"Продажа",РД[Дом]&amp;РД[№ кв]&amp;РД[Состояние],0),1),Таблица4[[#This Row],[Статус]])</f>
        <v>5110180</v>
      </c>
      <c r="H363" s="235">
        <f>_xlfn.XLOOKUP(Таблица4[[#This Row],[№]],Реестр_Д4[№],Реестр_Д4[Стоимость квартиры с отделкой],"-",0)</f>
        <v>5110180</v>
      </c>
      <c r="I363" s="235">
        <f>IFERROR(Таблица4[[#This Row],[СО ПП]]-Таблица4[[#This Row],[СО ДДУ]],"")</f>
        <v>0</v>
      </c>
      <c r="J363" s="233" cm="1">
        <f t="array" ref="J363">IFERROR(INDEX(РД[S],MATCH($B$3&amp;Таблица4[[#This Row],[№]]&amp;"Продажа",РД[Дом]&amp;РД[№ кв]&amp;РД[Состояние],0),1),Таблица4[[#This Row],[Статус]])</f>
        <v>33.840000000000003</v>
      </c>
      <c r="K363" s="233">
        <f>VLOOKUP(Таблица4[[#This Row],[№]],Реестр_Д4[],20,0)</f>
        <v>33.840000000000003</v>
      </c>
      <c r="L363" s="235">
        <f>IFERROR(Таблица4[[#This Row],[S ПП]]-Таблица4[[#This Row],[S ДДУ]],)</f>
        <v>0</v>
      </c>
      <c r="M363" s="235">
        <f>ROUND(_xlfn.XLOOKUP(Таблица4[[#This Row],[№]],Реестр_Д4[№],Реестр_Д4[Итоговая сумма скидки],"",0),2)</f>
        <v>0</v>
      </c>
      <c r="N363" s="235" cm="1">
        <f t="array" ref="N36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3" s="235">
        <f>IFERROR(Таблица4[[#This Row],[ППС]]-Таблица4[[#This Row],[ДДУС]],)</f>
        <v>0</v>
      </c>
      <c r="P363" s="611"/>
      <c r="Q363" s="234">
        <f>VLOOKUP(ППД5!A360,Реестр_Д5[№],1,0)</f>
        <v>359</v>
      </c>
      <c r="R363" s="234" t="str">
        <f>VLOOKUP(ППД5!CH360,Реестр_Д5[Статус],1,0)</f>
        <v>Свободно</v>
      </c>
      <c r="S363" s="612">
        <f>VLOOKUP(ППД5!BZ360,Реестр_Д5[Стоимость ОН без отделки со скидкой],1,0)</f>
        <v>5636500</v>
      </c>
      <c r="T363" s="612" t="str" cm="1">
        <f t="array" ref="T36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3" s="235">
        <f>IFERROR((Таблица10[[#This Row],[ПП]]-Таблица10[[#This Row],[ДДУ]])*1,)</f>
        <v>0</v>
      </c>
      <c r="V363" s="235" t="str" cm="1">
        <f t="array" ref="V36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3" s="235">
        <f>_xlfn.XLOOKUP(Таблица10[[#This Row],[№]],Реестр_Д5[№],Реестр_Д5[Стоимость квартиры с отделкой],"-",0)</f>
        <v>5636500</v>
      </c>
      <c r="X363" s="235" t="str">
        <f>IFERROR(Таблица10[[#This Row],[СО ПП]]-Таблица10[[#This Row],[СО ДДУ]],"")</f>
        <v/>
      </c>
      <c r="Y363" s="233" t="str" cm="1">
        <f t="array" ref="Y363">IFERROR(INDEX(РД[S],MATCH($Q$3&amp;Таблица10[[#This Row],[№]]&amp;"Продажа",РД[Дом]&amp;РД[№ кв]&amp;РД[Состояние],0),1),Таблица10[[#This Row],[Статус]])</f>
        <v>Свободно</v>
      </c>
      <c r="Z363" s="233">
        <f>IF(Таблица10[[#This Row],[№]]&amp;"ДДУ"=ППД5!A360&amp;ППД5!CR360,ППД5!U360,ППД5!V360)</f>
        <v>37.599999999999994</v>
      </c>
      <c r="AA363" s="285">
        <f>IFERROR(Таблица10[[#This Row],[S ПП]]-Таблица10[[#This Row],[S ДДУ]],)</f>
        <v>0</v>
      </c>
      <c r="AB363" s="235">
        <f>ROUND(_xlfn.XLOOKUP(Таблица10[[#This Row],[№]],Реестр_Д5[№],Реестр_Д5[Итоговая сумма скидки],"",0),2)</f>
        <v>0</v>
      </c>
      <c r="AC363" s="235" t="str" cm="1">
        <f t="array" ref="AC36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3" s="285">
        <f>IFERROR(Таблица10[[#This Row],[ППС]]-Таблица10[[#This Row],[ДДУС]],)</f>
        <v>0</v>
      </c>
      <c r="AE363" s="611"/>
      <c r="AT363" s="611"/>
    </row>
    <row r="364" spans="1:46" x14ac:dyDescent="0.2">
      <c r="A364" s="611"/>
      <c r="B364" s="234">
        <f>VLOOKUP(ППД4!A361,Реестр_Д4[№],1,0)</f>
        <v>360</v>
      </c>
      <c r="C364" s="234" t="str">
        <f>VLOOKUP(ППД4!CO361,Реестр_Д4[Статус],1,0)</f>
        <v>Продажа</v>
      </c>
      <c r="D364" s="612">
        <f>VLOOKUP(ППД4!CE361,Реестр_Д4[Стоимость ОН без отделки со скидкой],1,0)</f>
        <v>2818581.08</v>
      </c>
      <c r="E364" s="612" cm="1">
        <f t="array" ref="E364">IFERROR(INDEX(РД[Стоимость без отделки итог],MATCH($B$3&amp;Таблица4[[#This Row],[№]]&amp;"Продажа",РД[Дом]&amp;РД[№ кв]&amp;РД[Состояние],0),1),Таблица4[[#This Row],[Статус]])</f>
        <v>2818581.08</v>
      </c>
      <c r="F364" s="235">
        <f>IFERROR((Таблица4[[#This Row],[ПП]]-Таблица4[[#This Row],[ДДУ]])*1,"")</f>
        <v>0</v>
      </c>
      <c r="G364" s="235" cm="1">
        <f t="array" ref="G364">IFERROR(INDEX(РД[Стоимость с отделкой итог],MATCH($B$3&amp;Таблица4[[#This Row],[№]]&amp;"Продажа",РД[Дом]&amp;РД[№ кв]&amp;РД[Состояние],0),1),Таблица4[[#This Row],[Статус]])</f>
        <v>3273506.08</v>
      </c>
      <c r="H364" s="235">
        <f>_xlfn.XLOOKUP(Таблица4[[#This Row],[№]],Реестр_Д4[№],Реестр_Д4[Стоимость квартиры с отделкой],"-",0)</f>
        <v>3273506.08</v>
      </c>
      <c r="I364" s="235">
        <f>IFERROR(Таблица4[[#This Row],[СО ПП]]-Таблица4[[#This Row],[СО ДДУ]],"")</f>
        <v>0</v>
      </c>
      <c r="J364" s="233" cm="1">
        <f t="array" ref="J364">IFERROR(INDEX(РД[S],MATCH($B$3&amp;Таблица4[[#This Row],[№]]&amp;"Продажа",РД[Дом]&amp;РД[№ кв]&amp;РД[Состояние],0),1),Таблица4[[#This Row],[Статус]])</f>
        <v>29.35</v>
      </c>
      <c r="K364" s="233">
        <f>VLOOKUP(Таблица4[[#This Row],[№]],Реестр_Д4[],20,0)</f>
        <v>29.35</v>
      </c>
      <c r="L364" s="235">
        <f>IFERROR(Таблица4[[#This Row],[S ПП]]-Таблица4[[#This Row],[S ДДУ]],)</f>
        <v>0</v>
      </c>
      <c r="M364" s="235">
        <f>ROUND(_xlfn.XLOOKUP(Таблица4[[#This Row],[№]],Реестр_Д4[№],Реестр_Д4[Итоговая сумма скидки],"",0),2)</f>
        <v>179909.43</v>
      </c>
      <c r="N364" s="235" cm="1">
        <f t="array" ref="N364">IFERROR(ROUND(_xlfn.XLOOKUP($B$3&amp;Таблица4[[#This Row],[№]]&amp;"Продажа",РД[Дом]&amp;РД[№ кв]&amp;РД[Состояние],РД[Сумма скидки],"",0),2),Таблица4[[#This Row],[Статус]])</f>
        <v>179909.43</v>
      </c>
      <c r="O364" s="235">
        <f>IFERROR(Таблица4[[#This Row],[ППС]]-Таблица4[[#This Row],[ДДУС]],)</f>
        <v>0</v>
      </c>
      <c r="P364" s="611"/>
      <c r="Q364" s="234">
        <f>VLOOKUP(ППД5!A361,Реестр_Д5[№],1,0)</f>
        <v>360</v>
      </c>
      <c r="R364" s="234" t="str">
        <f>VLOOKUP(ППД5!CH361,Реестр_Д5[Статус],1,0)</f>
        <v>Свободно</v>
      </c>
      <c r="S364" s="612">
        <f>VLOOKUP(ППД5!BZ361,Реестр_Д5[Стоимость ОН без отделки со скидкой],1,0)</f>
        <v>9930000</v>
      </c>
      <c r="T364" s="612" t="str" cm="1">
        <f t="array" ref="T36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4" s="235">
        <f>IFERROR((Таблица10[[#This Row],[ПП]]-Таблица10[[#This Row],[ДДУ]])*1,)</f>
        <v>0</v>
      </c>
      <c r="V364" s="235" t="str" cm="1">
        <f t="array" ref="V36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4" s="235">
        <f>_xlfn.XLOOKUP(Таблица10[[#This Row],[№]],Реестр_Д5[№],Реестр_Д5[Стоимость квартиры с отделкой],"-",0)</f>
        <v>9930000</v>
      </c>
      <c r="X364" s="235" t="str">
        <f>IFERROR(Таблица10[[#This Row],[СО ПП]]-Таблица10[[#This Row],[СО ДДУ]],"")</f>
        <v/>
      </c>
      <c r="Y364" s="233" t="str" cm="1">
        <f t="array" ref="Y364">IFERROR(INDEX(РД[S],MATCH($Q$3&amp;Таблица10[[#This Row],[№]]&amp;"Продажа",РД[Дом]&amp;РД[№ кв]&amp;РД[Состояние],0),1),Таблица10[[#This Row],[Статус]])</f>
        <v>Свободно</v>
      </c>
      <c r="Z364" s="233">
        <f>IF(Таблица10[[#This Row],[№]]&amp;"ДДУ"=ППД5!A361&amp;ППД5!CR361,ППД5!U361,ППД5!V361)</f>
        <v>80.25</v>
      </c>
      <c r="AA364" s="285">
        <f>IFERROR(Таблица10[[#This Row],[S ПП]]-Таблица10[[#This Row],[S ДДУ]],)</f>
        <v>0</v>
      </c>
      <c r="AB364" s="235">
        <f>ROUND(_xlfn.XLOOKUP(Таблица10[[#This Row],[№]],Реестр_Д5[№],Реестр_Д5[Итоговая сумма скидки],"",0),2)</f>
        <v>0</v>
      </c>
      <c r="AC364" s="235" t="str" cm="1">
        <f t="array" ref="AC36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4" s="285">
        <f>IFERROR(Таблица10[[#This Row],[ППС]]-Таблица10[[#This Row],[ДДУС]],)</f>
        <v>0</v>
      </c>
      <c r="AE364" s="611"/>
      <c r="AT364" s="611"/>
    </row>
    <row r="365" spans="1:46" x14ac:dyDescent="0.2">
      <c r="A365" s="611"/>
      <c r="B365" s="234">
        <f>VLOOKUP(ППД4!A362,Реестр_Д4[№],1,0)</f>
        <v>361</v>
      </c>
      <c r="C365" s="234" t="str">
        <f>VLOOKUP(ППД4!CO362,Реестр_Д4[Статус],1,0)</f>
        <v>Продажа</v>
      </c>
      <c r="D365" s="612">
        <f>VLOOKUP(ППД4!CE362,Реестр_Д4[Стоимость ОН без отделки со скидкой],1,0)</f>
        <v>6095325</v>
      </c>
      <c r="E365" s="612" cm="1">
        <f t="array" ref="E365">IFERROR(INDEX(РД[Стоимость без отделки итог],MATCH($B$3&amp;Таблица4[[#This Row],[№]]&amp;"Продажа",РД[Дом]&amp;РД[№ кв]&amp;РД[Состояние],0),1),Таблица4[[#This Row],[Статус]])</f>
        <v>6095325</v>
      </c>
      <c r="F365" s="235">
        <f>IFERROR((Таблица4[[#This Row],[ПП]]-Таблица4[[#This Row],[ДДУ]])*1,"")</f>
        <v>0</v>
      </c>
      <c r="G365" s="235" cm="1">
        <f t="array" ref="G365">IFERROR(INDEX(РД[Стоимость с отделкой итог],MATCH($B$3&amp;Таблица4[[#This Row],[№]]&amp;"Продажа",РД[Дом]&amp;РД[№ кв]&amp;РД[Состояние],0),1),Таблица4[[#This Row],[Статус]])</f>
        <v>6604950</v>
      </c>
      <c r="H365" s="235">
        <f>_xlfn.XLOOKUP(Таблица4[[#This Row],[№]],Реестр_Д4[№],Реестр_Д4[Стоимость квартиры с отделкой],"-",0)</f>
        <v>6604950</v>
      </c>
      <c r="I365" s="235">
        <f>IFERROR(Таблица4[[#This Row],[СО ПП]]-Таблица4[[#This Row],[СО ДДУ]],"")</f>
        <v>0</v>
      </c>
      <c r="J365" s="233" cm="1">
        <f t="array" ref="J365">IFERROR(INDEX(РД[S],MATCH($B$3&amp;Таблица4[[#This Row],[№]]&amp;"Продажа",РД[Дом]&amp;РД[№ кв]&amp;РД[Состояние],0),1),Таблица4[[#This Row],[Статус]])</f>
        <v>67.95</v>
      </c>
      <c r="K365" s="233">
        <f>VLOOKUP(Таблица4[[#This Row],[№]],Реестр_Д4[],20,0)</f>
        <v>67.95</v>
      </c>
      <c r="L365" s="235">
        <f>IFERROR(Таблица4[[#This Row],[S ПП]]-Таблица4[[#This Row],[S ДДУ]],)</f>
        <v>0</v>
      </c>
      <c r="M365" s="235">
        <f>ROUND(_xlfn.XLOOKUP(Таблица4[[#This Row],[№]],Реестр_Д4[№],Реестр_Д4[Итоговая сумма скидки],"",0),2)</f>
        <v>305775</v>
      </c>
      <c r="N365" s="235" cm="1">
        <f t="array" ref="N365">IFERROR(ROUND(_xlfn.XLOOKUP($B$3&amp;Таблица4[[#This Row],[№]]&amp;"Продажа",РД[Дом]&amp;РД[№ кв]&amp;РД[Состояние],РД[Сумма скидки],"",0),2),Таблица4[[#This Row],[Статус]])</f>
        <v>305775</v>
      </c>
      <c r="O365" s="235">
        <f>IFERROR(Таблица4[[#This Row],[ППС]]-Таблица4[[#This Row],[ДДУС]],)</f>
        <v>0</v>
      </c>
      <c r="P365" s="611"/>
      <c r="Q365" s="234">
        <f>VLOOKUP(ППД5!A362,Реестр_Д5[№],1,0)</f>
        <v>361</v>
      </c>
      <c r="R365" s="234" t="str">
        <f>VLOOKUP(ППД5!CH362,Реестр_Д5[Статус],1,0)</f>
        <v>Свободно</v>
      </c>
      <c r="S365" s="612">
        <f>VLOOKUP(ППД5!BZ362,Реестр_Д5[Стоимость ОН без отделки со скидкой],1,0)</f>
        <v>5519400</v>
      </c>
      <c r="T365" s="612" t="str" cm="1">
        <f t="array" ref="T36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5" s="235">
        <f>IFERROR((Таблица10[[#This Row],[ПП]]-Таблица10[[#This Row],[ДДУ]])*1,)</f>
        <v>0</v>
      </c>
      <c r="V365" s="235" t="str" cm="1">
        <f t="array" ref="V36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5" s="235">
        <f>_xlfn.XLOOKUP(Таблица10[[#This Row],[№]],Реестр_Д5[№],Реестр_Д5[Стоимость квартиры с отделкой],"-",0)</f>
        <v>5519400</v>
      </c>
      <c r="X365" s="235" t="str">
        <f>IFERROR(Таблица10[[#This Row],[СО ПП]]-Таблица10[[#This Row],[СО ДДУ]],"")</f>
        <v/>
      </c>
      <c r="Y365" s="233" t="str" cm="1">
        <f t="array" ref="Y365">IFERROR(INDEX(РД[S],MATCH($Q$3&amp;Таблица10[[#This Row],[№]]&amp;"Продажа",РД[Дом]&amp;РД[№ кв]&amp;РД[Состояние],0),1),Таблица10[[#This Row],[Статус]])</f>
        <v>Свободно</v>
      </c>
      <c r="Z365" s="233">
        <f>IF(Таблица10[[#This Row],[№]]&amp;"ДДУ"=ППД5!A362&amp;ППД5!CR362,ППД5!U362,ППД5!V362)</f>
        <v>34.85</v>
      </c>
      <c r="AA365" s="285">
        <f>IFERROR(Таблица10[[#This Row],[S ПП]]-Таблица10[[#This Row],[S ДДУ]],)</f>
        <v>0</v>
      </c>
      <c r="AB365" s="235">
        <f>ROUND(_xlfn.XLOOKUP(Таблица10[[#This Row],[№]],Реестр_Д5[№],Реестр_Д5[Итоговая сумма скидки],"",0),2)</f>
        <v>0</v>
      </c>
      <c r="AC365" s="235" t="str" cm="1">
        <f t="array" ref="AC36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5" s="285">
        <f>IFERROR(Таблица10[[#This Row],[ППС]]-Таблица10[[#This Row],[ДДУС]],)</f>
        <v>0</v>
      </c>
      <c r="AE365" s="611"/>
      <c r="AT365" s="611"/>
    </row>
    <row r="366" spans="1:46" x14ac:dyDescent="0.2">
      <c r="A366" s="611"/>
      <c r="B366" s="234">
        <f>VLOOKUP(ППД4!A363,Реестр_Д4[№],1,0)</f>
        <v>362</v>
      </c>
      <c r="C366" s="234" t="str">
        <f>VLOOKUP(ППД4!CO363,Реестр_Д4[Статус],1,0)</f>
        <v>Продажа</v>
      </c>
      <c r="D366" s="612">
        <f>VLOOKUP(ППД4!CE363,Реестр_Д4[Стоимость ОН без отделки со скидкой],1,0)</f>
        <v>3153807.09</v>
      </c>
      <c r="E366" s="612" cm="1">
        <f t="array" ref="E366">IFERROR(INDEX(РД[Стоимость без отделки итог],MATCH($B$3&amp;Таблица4[[#This Row],[№]]&amp;"Продажа",РД[Дом]&amp;РД[№ кв]&amp;РД[Состояние],0),1),Таблица4[[#This Row],[Статус]])</f>
        <v>3153807.09</v>
      </c>
      <c r="F366" s="235">
        <f>IFERROR((Таблица4[[#This Row],[ПП]]-Таблица4[[#This Row],[ДДУ]])*1,"")</f>
        <v>0</v>
      </c>
      <c r="G366" s="235" cm="1">
        <f t="array" ref="G366">IFERROR(INDEX(РД[Стоимость с отделкой итог],MATCH($B$3&amp;Таблица4[[#This Row],[№]]&amp;"Продажа",РД[Дом]&amp;РД[№ кв]&amp;РД[Состояние],0),1),Таблица4[[#This Row],[Статус]])</f>
        <v>3153807.09</v>
      </c>
      <c r="H366" s="235">
        <f>_xlfn.XLOOKUP(Таблица4[[#This Row],[№]],Реестр_Д4[№],Реестр_Д4[Стоимость квартиры с отделкой],"-",0)</f>
        <v>3153807.09</v>
      </c>
      <c r="I366" s="235">
        <f>IFERROR(Таблица4[[#This Row],[СО ПП]]-Таблица4[[#This Row],[СО ДДУ]],"")</f>
        <v>0</v>
      </c>
      <c r="J366" s="233" cm="1">
        <f t="array" ref="J366">IFERROR(INDEX(РД[S],MATCH($B$3&amp;Таблица4[[#This Row],[№]]&amp;"Продажа",РД[Дом]&amp;РД[№ кв]&amp;РД[Состояние],0),1),Таблица4[[#This Row],[Статус]])</f>
        <v>36.450000000000003</v>
      </c>
      <c r="K366" s="233">
        <f>VLOOKUP(Таблица4[[#This Row],[№]],Реестр_Д4[],20,0)</f>
        <v>36.450000000000003</v>
      </c>
      <c r="L366" s="235">
        <f>IFERROR(Таблица4[[#This Row],[S ПП]]-Таблица4[[#This Row],[S ДДУ]],)</f>
        <v>0</v>
      </c>
      <c r="M366" s="235">
        <f>ROUND(_xlfn.XLOOKUP(Таблица4[[#This Row],[№]],Реестр_Д4[№],Реестр_Д4[Итоговая сумма скидки],"",0),2)</f>
        <v>0</v>
      </c>
      <c r="N366" s="235" cm="1">
        <f t="array" ref="N36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66" s="235">
        <f>IFERROR(Таблица4[[#This Row],[ППС]]-Таблица4[[#This Row],[ДДУС]],)</f>
        <v>0</v>
      </c>
      <c r="P366" s="611"/>
      <c r="Q366" s="234">
        <f>VLOOKUP(ППД5!A363,Реестр_Д5[№],1,0)</f>
        <v>362</v>
      </c>
      <c r="R366" s="234" t="str">
        <f>VLOOKUP(ППД5!CH363,Реестр_Д5[Статус],1,0)</f>
        <v>Свободно</v>
      </c>
      <c r="S366" s="612">
        <f>VLOOKUP(ППД5!BZ363,Реестр_Д5[Стоимость ОН без отделки со скидкой],1,0)</f>
        <v>9121100</v>
      </c>
      <c r="T366" s="612" t="str" cm="1">
        <f t="array" ref="T36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6" s="235">
        <f>IFERROR((Таблица10[[#This Row],[ПП]]-Таблица10[[#This Row],[ДДУ]])*1,)</f>
        <v>0</v>
      </c>
      <c r="V366" s="235" t="str" cm="1">
        <f t="array" ref="V36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6" s="235">
        <f>_xlfn.XLOOKUP(Таблица10[[#This Row],[№]],Реестр_Д5[№],Реестр_Д5[Стоимость квартиры с отделкой],"-",0)</f>
        <v>9121100</v>
      </c>
      <c r="X366" s="235" t="str">
        <f>IFERROR(Таблица10[[#This Row],[СО ПП]]-Таблица10[[#This Row],[СО ДДУ]],"")</f>
        <v/>
      </c>
      <c r="Y366" s="233" t="str" cm="1">
        <f t="array" ref="Y366">IFERROR(INDEX(РД[S],MATCH($Q$3&amp;Таблица10[[#This Row],[№]]&amp;"Продажа",РД[Дом]&amp;РД[№ кв]&amp;РД[Состояние],0),1),Таблица10[[#This Row],[Статус]])</f>
        <v>Свободно</v>
      </c>
      <c r="Z366" s="233">
        <f>IF(Таблица10[[#This Row],[№]]&amp;"ДДУ"=ППД5!A363&amp;ППД5!CR363,ППД5!U363,ППД5!V363)</f>
        <v>73.349999999999994</v>
      </c>
      <c r="AA366" s="285">
        <f>IFERROR(Таблица10[[#This Row],[S ПП]]-Таблица10[[#This Row],[S ДДУ]],)</f>
        <v>0</v>
      </c>
      <c r="AB366" s="235">
        <f>ROUND(_xlfn.XLOOKUP(Таблица10[[#This Row],[№]],Реестр_Д5[№],Реестр_Д5[Итоговая сумма скидки],"",0),2)</f>
        <v>0</v>
      </c>
      <c r="AC366" s="235" t="str" cm="1">
        <f t="array" ref="AC36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6" s="285">
        <f>IFERROR(Таблица10[[#This Row],[ППС]]-Таблица10[[#This Row],[ДДУС]],)</f>
        <v>0</v>
      </c>
      <c r="AE366" s="611"/>
      <c r="AT366" s="611"/>
    </row>
    <row r="367" spans="1:46" x14ac:dyDescent="0.2">
      <c r="A367" s="611"/>
      <c r="B367" s="234">
        <f>VLOOKUP(ППД4!A364,Реестр_Д4[№],1,0)</f>
        <v>363</v>
      </c>
      <c r="C367" s="234" t="str">
        <f>VLOOKUP(ППД4!CO364,Реестр_Д4[Статус],1,0)</f>
        <v>Продажа</v>
      </c>
      <c r="D367" s="612">
        <f>VLOOKUP(ППД4!CE364,Реестр_Д4[Стоимость ОН без отделки со скидкой],1,0)</f>
        <v>6369699</v>
      </c>
      <c r="E367" s="612" cm="1">
        <f t="array" ref="E367">IFERROR(INDEX(РД[Стоимость без отделки итог],MATCH($B$3&amp;Таблица4[[#This Row],[№]]&amp;"Продажа",РД[Дом]&amp;РД[№ кв]&amp;РД[Состояние],0),1),Таблица4[[#This Row],[Статус]])</f>
        <v>6369699</v>
      </c>
      <c r="F367" s="235">
        <f>IFERROR((Таблица4[[#This Row],[ПП]]-Таблица4[[#This Row],[ДДУ]])*1,"")</f>
        <v>0</v>
      </c>
      <c r="G367" s="235" cm="1">
        <f t="array" ref="G367">IFERROR(INDEX(РД[Стоимость с отделкой итог],MATCH($B$3&amp;Таблица4[[#This Row],[№]]&amp;"Продажа",РД[Дом]&amp;РД[№ кв]&amp;РД[Состояние],0),1),Таблица4[[#This Row],[Статус]])</f>
        <v>7657799</v>
      </c>
      <c r="H367" s="235">
        <f>_xlfn.XLOOKUP(Таблица4[[#This Row],[№]],Реестр_Д4[№],Реестр_Д4[Стоимость квартиры с отделкой],"-",0)</f>
        <v>7657799</v>
      </c>
      <c r="I367" s="235">
        <f>IFERROR(Таблица4[[#This Row],[СО ПП]]-Таблица4[[#This Row],[СО ДДУ]],"")</f>
        <v>0</v>
      </c>
      <c r="J367" s="233" cm="1">
        <f t="array" ref="J367">IFERROR(INDEX(РД[S],MATCH($B$3&amp;Таблица4[[#This Row],[№]]&amp;"Продажа",РД[Дом]&amp;РД[№ кв]&amp;РД[Состояние],0),1),Таблица4[[#This Row],[Статус]])</f>
        <v>58.55</v>
      </c>
      <c r="K367" s="233">
        <f>VLOOKUP(Таблица4[[#This Row],[№]],Реестр_Д4[],20,0)</f>
        <v>58.55</v>
      </c>
      <c r="L367" s="235">
        <f>IFERROR(Таблица4[[#This Row],[S ПП]]-Таблица4[[#This Row],[S ДДУ]],)</f>
        <v>0</v>
      </c>
      <c r="M367" s="235">
        <f>ROUND(_xlfn.XLOOKUP(Таблица4[[#This Row],[№]],Реестр_Д4[№],Реестр_Д4[Итоговая сумма скидки],"",0),2)</f>
        <v>197001</v>
      </c>
      <c r="N367" s="235" cm="1">
        <f t="array" ref="N367">IFERROR(ROUND(_xlfn.XLOOKUP($B$3&amp;Таблица4[[#This Row],[№]]&amp;"Продажа",РД[Дом]&amp;РД[№ кв]&amp;РД[Состояние],РД[Сумма скидки],"",0),2),Таблица4[[#This Row],[Статус]])</f>
        <v>197001</v>
      </c>
      <c r="O367" s="235">
        <f>IFERROR(Таблица4[[#This Row],[ППС]]-Таблица4[[#This Row],[ДДУС]],)</f>
        <v>0</v>
      </c>
      <c r="P367" s="611"/>
      <c r="Q367" s="234">
        <f>VLOOKUP(ППД5!A364,Реестр_Д5[№],1,0)</f>
        <v>363</v>
      </c>
      <c r="R367" s="234" t="str">
        <f>VLOOKUP(ППД5!CH364,Реестр_Д5[Статус],1,0)</f>
        <v>Продажа</v>
      </c>
      <c r="S367" s="612">
        <f>VLOOKUP(ППД5!BZ364,Реестр_Д5[Стоимость ОН без отделки со скидкой],1,0)</f>
        <v>3507790</v>
      </c>
      <c r="T367" s="612" cm="1">
        <f t="array" ref="T367">IFERROR(INDEX(РД[Стоимость без отделки итог],MATCH($Q$3&amp;Таблица10[[#This Row],[№]]&amp;"Продажа",РД[Дом]&amp;РД[№ кв]&amp;РД[Состояние],0),1),Таблица10[[#This Row],[Статус]])</f>
        <v>3507790</v>
      </c>
      <c r="U367" s="235">
        <f>IFERROR((Таблица10[[#This Row],[ПП]]-Таблица10[[#This Row],[ДДУ]])*1,)</f>
        <v>0</v>
      </c>
      <c r="V367" s="235" cm="1">
        <f t="array" ref="V367">IFERROR(INDEX(РД[Стоимость с отделкой итог],MATCH($Q$3&amp;Таблица10[[#This Row],[№]]&amp;"Продажа",РД[Дом]&amp;РД[№ кв]&amp;РД[Состояние],0),1),Таблица10[[#This Row],[Статус]])</f>
        <v>3753090</v>
      </c>
      <c r="W367" s="235">
        <f>_xlfn.XLOOKUP(Таблица10[[#This Row],[№]],Реестр_Д5[№],Реестр_Д5[Стоимость квартиры с отделкой],"-",0)</f>
        <v>3753090</v>
      </c>
      <c r="X367" s="235">
        <f>IFERROR(Таблица10[[#This Row],[СО ПП]]-Таблица10[[#This Row],[СО ДДУ]],"")</f>
        <v>0</v>
      </c>
      <c r="Y367" s="233" cm="1">
        <f t="array" ref="Y367">IFERROR(INDEX(РД[S],MATCH($Q$3&amp;Таблица10[[#This Row],[№]]&amp;"Продажа",РД[Дом]&amp;РД[№ кв]&amp;РД[Состояние],0),1),Таблица10[[#This Row],[Статус]])</f>
        <v>24.53</v>
      </c>
      <c r="Z367" s="233">
        <f>IF(Таблица10[[#This Row],[№]]&amp;"ДДУ"=ППД5!A364&amp;ППД5!CR364,ППД5!U364,ППД5!V364)</f>
        <v>24.53</v>
      </c>
      <c r="AA367" s="285">
        <f>IFERROR(Таблица10[[#This Row],[S ПП]]-Таблица10[[#This Row],[S ДДУ]],)</f>
        <v>0</v>
      </c>
      <c r="AB367" s="235">
        <f>ROUND(_xlfn.XLOOKUP(Таблица10[[#This Row],[№]],Реестр_Д5[№],Реестр_Д5[Итоговая сумма скидки],"",0),2)</f>
        <v>457010</v>
      </c>
      <c r="AC367" s="235" cm="1">
        <f t="array" ref="AC367">IFERROR(ROUND(_xlfn.XLOOKUP($Q$3&amp;Таблица10[[#This Row],[№]]&amp;"Продажа",РД[Дом]&amp;РД[№ кв]&amp;РД[Состояние],РД[Сумма скидки],"",0,-1),2),Таблица10[[#This Row],[Статус]])</f>
        <v>457010</v>
      </c>
      <c r="AD367" s="285">
        <f>IFERROR(Таблица10[[#This Row],[ППС]]-Таблица10[[#This Row],[ДДУС]],)</f>
        <v>0</v>
      </c>
      <c r="AE367" s="611"/>
      <c r="AT367" s="611"/>
    </row>
    <row r="368" spans="1:46" x14ac:dyDescent="0.2">
      <c r="A368" s="611"/>
      <c r="B368" s="234">
        <f>VLOOKUP(ППД4!A365,Реестр_Д4[№],1,0)</f>
        <v>364</v>
      </c>
      <c r="C368" s="234" t="str">
        <f>VLOOKUP(ППД4!CO365,Реестр_Д4[Статус],1,0)</f>
        <v>Продажа</v>
      </c>
      <c r="D368" s="612">
        <f>VLOOKUP(ППД4!CE365,Реестр_Д4[Стоимость ОН без отделки со скидкой],1,0)</f>
        <v>4393358.68</v>
      </c>
      <c r="E368" s="612" cm="1">
        <f t="array" ref="E368">IFERROR(INDEX(РД[Стоимость без отделки итог],MATCH($B$3&amp;Таблица4[[#This Row],[№]]&amp;"Продажа",РД[Дом]&amp;РД[№ кв]&amp;РД[Состояние],0),1),Таблица4[[#This Row],[Статус]])</f>
        <v>4393358.68</v>
      </c>
      <c r="F368" s="235">
        <f>IFERROR((Таблица4[[#This Row],[ПП]]-Таблица4[[#This Row],[ДДУ]])*1,"")</f>
        <v>0</v>
      </c>
      <c r="G368" s="235" cm="1">
        <f t="array" ref="G368">IFERROR(INDEX(РД[Стоимость с отделкой итог],MATCH($B$3&amp;Таблица4[[#This Row],[№]]&amp;"Продажа",РД[Дом]&amp;РД[№ кв]&amp;РД[Состояние],0),1),Таблица4[[#This Row],[Статус]])</f>
        <v>4620158.68</v>
      </c>
      <c r="H368" s="235">
        <f>_xlfn.XLOOKUP(Таблица4[[#This Row],[№]],Реестр_Д4[№],Реестр_Д4[Стоимость квартиры с отделкой],"-",0)</f>
        <v>4620158.68</v>
      </c>
      <c r="I368" s="235">
        <f>IFERROR(Таблица4[[#This Row],[СО ПП]]-Таблица4[[#This Row],[СО ДДУ]],"")</f>
        <v>0</v>
      </c>
      <c r="J368" s="233" cm="1">
        <f t="array" ref="J368">IFERROR(INDEX(РД[S],MATCH($B$3&amp;Таблица4[[#This Row],[№]]&amp;"Продажа",РД[Дом]&amp;РД[№ кв]&amp;РД[Состояние],0),1),Таблица4[[#This Row],[Статус]])</f>
        <v>56.7</v>
      </c>
      <c r="K368" s="233">
        <f>VLOOKUP(Таблица4[[#This Row],[№]],Реестр_Д4[],20,0)</f>
        <v>56.7</v>
      </c>
      <c r="L368" s="235">
        <f>IFERROR(Таблица4[[#This Row],[S ПП]]-Таблица4[[#This Row],[S ДДУ]],)</f>
        <v>0</v>
      </c>
      <c r="M368" s="235">
        <f>ROUND(_xlfn.XLOOKUP(Таблица4[[#This Row],[№]],Реестр_Д4[№],Реестр_Д4[Итоговая сумма скидки],"",0),2)</f>
        <v>231229.4</v>
      </c>
      <c r="N368" s="235" cm="1">
        <f t="array" ref="N368">IFERROR(ROUND(_xlfn.XLOOKUP($B$3&amp;Таблица4[[#This Row],[№]]&amp;"Продажа",РД[Дом]&amp;РД[№ кв]&amp;РД[Состояние],РД[Сумма скидки],"",0),2),Таблица4[[#This Row],[Статус]])</f>
        <v>231229.4</v>
      </c>
      <c r="O368" s="235">
        <f>IFERROR(Таблица4[[#This Row],[ППС]]-Таблица4[[#This Row],[ДДУС]],)</f>
        <v>0</v>
      </c>
      <c r="P368" s="611"/>
      <c r="Q368" s="234">
        <f>VLOOKUP(ППД5!A365,Реестр_Д5[№],1,0)</f>
        <v>364</v>
      </c>
      <c r="R368" s="234" t="str">
        <f>VLOOKUP(ППД5!CH365,Реестр_Д5[Статус],1,0)</f>
        <v>Свободно</v>
      </c>
      <c r="S368" s="612">
        <f>VLOOKUP(ППД5!BZ365,Реестр_Д5[Стоимость ОН без отделки со скидкой],1,0)</f>
        <v>7636600</v>
      </c>
      <c r="T368" s="612" t="str" cm="1">
        <f t="array" ref="T36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8" s="235">
        <f>IFERROR((Таблица10[[#This Row],[ПП]]-Таблица10[[#This Row],[ДДУ]])*1,)</f>
        <v>0</v>
      </c>
      <c r="V368" s="235" t="str" cm="1">
        <f t="array" ref="V36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8" s="235">
        <f>_xlfn.XLOOKUP(Таблица10[[#This Row],[№]],Реестр_Д5[№],Реестр_Д5[Стоимость квартиры с отделкой],"-",0)</f>
        <v>9330100</v>
      </c>
      <c r="X368" s="235" t="str">
        <f>IFERROR(Таблица10[[#This Row],[СО ПП]]-Таблица10[[#This Row],[СО ДДУ]],"")</f>
        <v/>
      </c>
      <c r="Y368" s="233" t="str" cm="1">
        <f t="array" ref="Y368">IFERROR(INDEX(РД[S],MATCH($Q$3&amp;Таблица10[[#This Row],[№]]&amp;"Продажа",РД[Дом]&amp;РД[№ кв]&amp;РД[Состояние],0),1),Таблица10[[#This Row],[Статус]])</f>
        <v>Свободно</v>
      </c>
      <c r="Z368" s="233">
        <f>IF(Таблица10[[#This Row],[№]]&amp;"ДДУ"=ППД5!A365&amp;ППД5!CR365,ППД5!U365,ППД5!V365)</f>
        <v>56.45</v>
      </c>
      <c r="AA368" s="285">
        <f>IFERROR(Таблица10[[#This Row],[S ПП]]-Таблица10[[#This Row],[S ДДУ]],)</f>
        <v>0</v>
      </c>
      <c r="AB368" s="235">
        <f>ROUND(_xlfn.XLOOKUP(Таблица10[[#This Row],[№]],Реестр_Д5[№],Реестр_Д5[Итоговая сумма скидки],"",0),2)</f>
        <v>0</v>
      </c>
      <c r="AC368" s="235" t="str" cm="1">
        <f t="array" ref="AC36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8" s="285">
        <f>IFERROR(Таблица10[[#This Row],[ППС]]-Таблица10[[#This Row],[ДДУС]],)</f>
        <v>0</v>
      </c>
      <c r="AE368" s="611"/>
      <c r="AT368" s="611"/>
    </row>
    <row r="369" spans="1:46" x14ac:dyDescent="0.2">
      <c r="A369" s="611"/>
      <c r="B369" s="234">
        <f>VLOOKUP(ППД4!A366,Реестр_Д4[№],1,0)</f>
        <v>365</v>
      </c>
      <c r="C369" s="234" t="str">
        <f>VLOOKUP(ППД4!CO366,Реестр_Д4[Статус],1,0)</f>
        <v>Продажа</v>
      </c>
      <c r="D369" s="612">
        <f>VLOOKUP(ППД4!CE366,Реестр_Д4[Стоимость ОН без отделки со скидкой],1,0)</f>
        <v>5789653.0099999998</v>
      </c>
      <c r="E369" s="612" cm="1">
        <f t="array" ref="E369">IFERROR(INDEX(РД[Стоимость без отделки итог],MATCH($B$3&amp;Таблица4[[#This Row],[№]]&amp;"Продажа",РД[Дом]&amp;РД[№ кв]&amp;РД[Состояние],0),1),Таблица4[[#This Row],[Статус]])</f>
        <v>5789653.0099999998</v>
      </c>
      <c r="F369" s="235">
        <f>IFERROR((Таблица4[[#This Row],[ПП]]-Таблица4[[#This Row],[ДДУ]])*1,"")</f>
        <v>0</v>
      </c>
      <c r="G369" s="235" cm="1">
        <f t="array" ref="G369">IFERROR(INDEX(РД[Стоимость с отделкой итог],MATCH($B$3&amp;Таблица4[[#This Row],[№]]&amp;"Продажа",РД[Дом]&amp;РД[№ кв]&amp;РД[Состояние],0),1),Таблица4[[#This Row],[Статус]])</f>
        <v>6115948.0099999998</v>
      </c>
      <c r="H369" s="235">
        <f>_xlfn.XLOOKUP(Таблица4[[#This Row],[№]],Реестр_Д4[№],Реестр_Д4[Стоимость квартиры с отделкой],"-",0)</f>
        <v>6115948.0099999998</v>
      </c>
      <c r="I369" s="235">
        <f>IFERROR(Таблица4[[#This Row],[СО ПП]]-Таблица4[[#This Row],[СО ДДУ]],"")</f>
        <v>0</v>
      </c>
      <c r="J369" s="233" cm="1">
        <f t="array" ref="J369">IFERROR(INDEX(РД[S],MATCH($B$3&amp;Таблица4[[#This Row],[№]]&amp;"Продажа",РД[Дом]&amp;РД[№ кв]&amp;РД[Состояние],0),1),Таблица4[[#This Row],[Статус]])</f>
        <v>72.510000000000005</v>
      </c>
      <c r="K369" s="233">
        <f>VLOOKUP(Таблица4[[#This Row],[№]],Реестр_Д4[],20,0)</f>
        <v>72.510000000000005</v>
      </c>
      <c r="L369" s="235">
        <f>IFERROR(Таблица4[[#This Row],[S ПП]]-Таблица4[[#This Row],[S ДДУ]],)</f>
        <v>0</v>
      </c>
      <c r="M369" s="235">
        <f>ROUND(_xlfn.XLOOKUP(Таблица4[[#This Row],[№]],Реестр_Д4[№],Реестр_Д4[Итоговая сумма скидки],"",0),2)</f>
        <v>369552.32</v>
      </c>
      <c r="N369" s="235" cm="1">
        <f t="array" ref="N369">IFERROR(ROUND(_xlfn.XLOOKUP($B$3&amp;Таблица4[[#This Row],[№]]&amp;"Продажа",РД[Дом]&amp;РД[№ кв]&amp;РД[Состояние],РД[Сумма скидки],"",0),2),Таблица4[[#This Row],[Статус]])</f>
        <v>369552.32</v>
      </c>
      <c r="O369" s="235">
        <f>IFERROR(Таблица4[[#This Row],[ППС]]-Таблица4[[#This Row],[ДДУС]],)</f>
        <v>0</v>
      </c>
      <c r="P369" s="611"/>
      <c r="Q369" s="234">
        <f>VLOOKUP(ППД5!A366,Реестр_Д5[№],1,0)</f>
        <v>365</v>
      </c>
      <c r="R369" s="234" t="str">
        <f>VLOOKUP(ППД5!CH366,Реестр_Д5[Статус],1,0)</f>
        <v>Свободно</v>
      </c>
      <c r="S369" s="612">
        <f>VLOOKUP(ППД5!BZ366,Реестр_Д5[Стоимость ОН без отделки со скидкой],1,0)</f>
        <v>7933800</v>
      </c>
      <c r="T369" s="612" t="str" cm="1">
        <f t="array" ref="T36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69" s="235">
        <f>IFERROR((Таблица10[[#This Row],[ПП]]-Таблица10[[#This Row],[ДДУ]])*1,)</f>
        <v>0</v>
      </c>
      <c r="V369" s="235" t="str" cm="1">
        <f t="array" ref="V36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69" s="235">
        <f>_xlfn.XLOOKUP(Таблица10[[#This Row],[№]],Реестр_Д5[№],Реестр_Д5[Стоимость квартиры с отделкой],"-",0)</f>
        <v>7933800</v>
      </c>
      <c r="X369" s="235" t="str">
        <f>IFERROR(Таблица10[[#This Row],[СО ПП]]-Таблица10[[#This Row],[СО ДДУ]],"")</f>
        <v/>
      </c>
      <c r="Y369" s="233" t="str" cm="1">
        <f t="array" ref="Y369">IFERROR(INDEX(РД[S],MATCH($Q$3&amp;Таблица10[[#This Row],[№]]&amp;"Продажа",РД[Дом]&amp;РД[№ кв]&amp;РД[Состояние],0),1),Таблица10[[#This Row],[Статус]])</f>
        <v>Свободно</v>
      </c>
      <c r="Z369" s="233">
        <f>IF(Таблица10[[#This Row],[№]]&amp;"ДДУ"=ППД5!A366&amp;ППД5!CR366,ППД5!U366,ППД5!V366)</f>
        <v>60.050000000000011</v>
      </c>
      <c r="AA369" s="285">
        <f>IFERROR(Таблица10[[#This Row],[S ПП]]-Таблица10[[#This Row],[S ДДУ]],)</f>
        <v>0</v>
      </c>
      <c r="AB369" s="235">
        <f>ROUND(_xlfn.XLOOKUP(Таблица10[[#This Row],[№]],Реестр_Д5[№],Реестр_Д5[Итоговая сумма скидки],"",0),2)</f>
        <v>0</v>
      </c>
      <c r="AC369" s="235" t="str" cm="1">
        <f t="array" ref="AC36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69" s="285">
        <f>IFERROR(Таблица10[[#This Row],[ППС]]-Таблица10[[#This Row],[ДДУС]],)</f>
        <v>0</v>
      </c>
      <c r="AE369" s="611"/>
      <c r="AT369" s="611"/>
    </row>
    <row r="370" spans="1:46" x14ac:dyDescent="0.2">
      <c r="A370" s="611"/>
      <c r="B370" s="234">
        <f>VLOOKUP(ППД4!A367,Реестр_Д4[№],1,0)</f>
        <v>366</v>
      </c>
      <c r="C370" s="234" t="str">
        <f>VLOOKUP(ППД4!CO367,Реестр_Д4[Статус],1,0)</f>
        <v>Продажа</v>
      </c>
      <c r="D370" s="612">
        <f>VLOOKUP(ППД4!CE367,Реестр_Д4[Стоимость ОН без отделки со скидкой],1,0)</f>
        <v>4255800</v>
      </c>
      <c r="E370" s="612" cm="1">
        <f t="array" ref="E370">IFERROR(INDEX(РД[Стоимость без отделки итог],MATCH($B$3&amp;Таблица4[[#This Row],[№]]&amp;"Продажа",РД[Дом]&amp;РД[№ кв]&amp;РД[Состояние],0),1),Таблица4[[#This Row],[Статус]])</f>
        <v>4255800</v>
      </c>
      <c r="F370" s="235">
        <f>IFERROR((Таблица4[[#This Row],[ПП]]-Таблица4[[#This Row],[ДДУ]])*1,"")</f>
        <v>0</v>
      </c>
      <c r="G370" s="235" cm="1">
        <f t="array" ref="G370">IFERROR(INDEX(РД[Стоимость с отделкой итог],MATCH($B$3&amp;Таблица4[[#This Row],[№]]&amp;"Продажа",РД[Дом]&amp;РД[№ кв]&amp;РД[Состояние],0),1),Таблица4[[#This Row],[Статус]])</f>
        <v>5017000</v>
      </c>
      <c r="H370" s="235">
        <f>_xlfn.XLOOKUP(Таблица4[[#This Row],[№]],Реестр_Д4[№],Реестр_Д4[Стоимость квартиры с отделкой],"-",0)</f>
        <v>5017000</v>
      </c>
      <c r="I370" s="235">
        <f>IFERROR(Таблица4[[#This Row],[СО ПП]]-Таблица4[[#This Row],[СО ДДУ]],"")</f>
        <v>0</v>
      </c>
      <c r="J370" s="233" cm="1">
        <f t="array" ref="J370">IFERROR(INDEX(РД[S],MATCH($B$3&amp;Таблица4[[#This Row],[№]]&amp;"Продажа",РД[Дом]&amp;РД[№ кв]&amp;РД[Состояние],0),1),Таблица4[[#This Row],[Статус]])</f>
        <v>34.6</v>
      </c>
      <c r="K370" s="233">
        <f>VLOOKUP(Таблица4[[#This Row],[№]],Реестр_Д4[],21,0)</f>
        <v>34.599999999999994</v>
      </c>
      <c r="L370" s="235">
        <f>IFERROR(Таблица4[[#This Row],[S ПП]]-Таблица4[[#This Row],[S ДДУ]],)</f>
        <v>-7.1054273576010019E-15</v>
      </c>
      <c r="M370" s="235">
        <f>ROUND(_xlfn.XLOOKUP(Таблица4[[#This Row],[№]],Реестр_Д4[№],Реестр_Д4[Итоговая сумма скидки],"",0),2)</f>
        <v>1245100</v>
      </c>
      <c r="N370" s="235" cm="1">
        <f t="array" ref="N370">IFERROR(ROUND(_xlfn.XLOOKUP($B$3&amp;Таблица4[[#This Row],[№]]&amp;"Продажа",РД[Дом]&amp;РД[№ кв]&amp;РД[Состояние],РД[Сумма скидки],"",0),2),Таблица4[[#This Row],[Статус]])</f>
        <v>1245100</v>
      </c>
      <c r="O370" s="235">
        <f>IFERROR(Таблица4[[#This Row],[ППС]]-Таблица4[[#This Row],[ДДУС]],)</f>
        <v>0</v>
      </c>
      <c r="P370" s="611"/>
      <c r="Q370" s="234">
        <f>VLOOKUP(ППД5!A367,Реестр_Д5[№],1,0)</f>
        <v>366</v>
      </c>
      <c r="R370" s="234" t="str">
        <f>VLOOKUP(ППД5!CH367,Реестр_Д5[Статус],1,0)</f>
        <v>Продажа</v>
      </c>
      <c r="S370" s="612">
        <f>VLOOKUP(ППД5!BZ367,Реестр_Д5[Стоимость ОН без отделки со скидкой],1,0)</f>
        <v>4440612</v>
      </c>
      <c r="T370" s="612" cm="1">
        <f t="array" ref="T370">IFERROR(INDEX(РД[Стоимость без отделки итог],MATCH($Q$3&amp;Таблица10[[#This Row],[№]]&amp;"Продажа",РД[Дом]&amp;РД[№ кв]&amp;РД[Состояние],0),1),Таблица10[[#This Row],[Статус]])</f>
        <v>4440612</v>
      </c>
      <c r="U370" s="235">
        <f>IFERROR((Таблица10[[#This Row],[ПП]]-Таблица10[[#This Row],[ДДУ]])*1,)</f>
        <v>0</v>
      </c>
      <c r="V370" s="235" cm="1">
        <f t="array" ref="V370">IFERROR(INDEX(РД[Стоимость с отделкой итог],MATCH($Q$3&amp;Таблица10[[#This Row],[№]]&amp;"Продажа",РД[Дом]&amp;РД[№ кв]&amp;РД[Состояние],0),1),Таблица10[[#This Row],[Статус]])</f>
        <v>4440612</v>
      </c>
      <c r="W370" s="235">
        <f>_xlfn.XLOOKUP(Таблица10[[#This Row],[№]],Реестр_Д5[№],Реестр_Д5[Стоимость квартиры с отделкой],"-",0)</f>
        <v>4440612</v>
      </c>
      <c r="X370" s="235">
        <f>IFERROR(Таблица10[[#This Row],[СО ПП]]-Таблица10[[#This Row],[СО ДДУ]],"")</f>
        <v>0</v>
      </c>
      <c r="Y370" s="233" cm="1">
        <f t="array" ref="Y370">IFERROR(INDEX(РД[S],MATCH($Q$3&amp;Таблица10[[#This Row],[№]]&amp;"Продажа",РД[Дом]&amp;РД[№ кв]&amp;РД[Состояние],0),1),Таблица10[[#This Row],[Статус]])</f>
        <v>37.81</v>
      </c>
      <c r="Z370" s="233">
        <f>IF(Таблица10[[#This Row],[№]]&amp;"ДДУ"=ППД5!A367&amp;ППД5!CR367,ППД5!U367,ППД5!V367)</f>
        <v>37.81</v>
      </c>
      <c r="AA370" s="285">
        <f>IFERROR(Таблица10[[#This Row],[S ПП]]-Таблица10[[#This Row],[S ДДУ]],)</f>
        <v>0</v>
      </c>
      <c r="AB370" s="235">
        <f>ROUND(_xlfn.XLOOKUP(Таблица10[[#This Row],[№]],Реестр_Д5[№],Реестр_Д5[Итоговая сумма скидки],"",0),2)</f>
        <v>88888</v>
      </c>
      <c r="AC370" s="235" cm="1">
        <f t="array" ref="AC370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370" s="285">
        <f>IFERROR(Таблица10[[#This Row],[ППС]]-Таблица10[[#This Row],[ДДУС]],)</f>
        <v>0</v>
      </c>
      <c r="AE370" s="611"/>
      <c r="AT370" s="611"/>
    </row>
    <row r="371" spans="1:46" x14ac:dyDescent="0.2">
      <c r="A371" s="611"/>
      <c r="B371" s="234">
        <f>VLOOKUP(ППД4!A368,Реестр_Д4[№],1,0)</f>
        <v>367</v>
      </c>
      <c r="C371" s="234" t="str">
        <f>VLOOKUP(ППД4!CO368,Реестр_Д4[Статус],1,0)</f>
        <v>Продажа</v>
      </c>
      <c r="D371" s="612">
        <f>VLOOKUP(ППД4!CE368,Реестр_Д4[Стоимость ОН без отделки со скидкой],1,0)</f>
        <v>2668744.7200000002</v>
      </c>
      <c r="E371" s="612" cm="1">
        <f t="array" ref="E371">IFERROR(INDEX(РД[Стоимость без отделки итог],MATCH($B$3&amp;Таблица4[[#This Row],[№]]&amp;"Продажа",РД[Дом]&amp;РД[№ кв]&amp;РД[Состояние],0),1),Таблица4[[#This Row],[Статус]])</f>
        <v>2668744.7200000002</v>
      </c>
      <c r="F371" s="235">
        <f>IFERROR((Таблица4[[#This Row],[ПП]]-Таблица4[[#This Row],[ДДУ]])*1,"")</f>
        <v>0</v>
      </c>
      <c r="G371" s="235" cm="1">
        <f t="array" ref="G371">IFERROR(INDEX(РД[Стоимость с отделкой итог],MATCH($B$3&amp;Таблица4[[#This Row],[№]]&amp;"Продажа",РД[Дом]&amp;РД[№ кв]&amp;РД[Состояние],0),1),Таблица4[[#This Row],[Статус]])</f>
        <v>2786144.72</v>
      </c>
      <c r="H371" s="235">
        <f>_xlfn.XLOOKUP(Таблица4[[#This Row],[№]],Реестр_Д4[№],Реестр_Д4[Стоимость квартиры с отделкой],"-",0)</f>
        <v>2786144.72</v>
      </c>
      <c r="I371" s="235">
        <f>IFERROR(Таблица4[[#This Row],[СО ПП]]-Таблица4[[#This Row],[СО ДДУ]],"")</f>
        <v>0</v>
      </c>
      <c r="J371" s="233" cm="1">
        <f t="array" ref="J371">IFERROR(INDEX(РД[S],MATCH($B$3&amp;Таблица4[[#This Row],[№]]&amp;"Продажа",РД[Дом]&amp;РД[№ кв]&amp;РД[Состояние],0),1),Таблица4[[#This Row],[Статус]])</f>
        <v>29.35</v>
      </c>
      <c r="K371" s="233">
        <f>VLOOKUP(Таблица4[[#This Row],[№]],Реестр_Д4[],20,0)</f>
        <v>29.35</v>
      </c>
      <c r="L371" s="235">
        <f>IFERROR(Таблица4[[#This Row],[S ПП]]-Таблица4[[#This Row],[S ДДУ]],)</f>
        <v>0</v>
      </c>
      <c r="M371" s="235">
        <f>ROUND(_xlfn.XLOOKUP(Таблица4[[#This Row],[№]],Реестр_Д4[№],Реестр_Д4[Итоговая сумма скидки],"",0),2)</f>
        <v>0</v>
      </c>
      <c r="N371" s="235" cm="1">
        <f t="array" ref="N37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71" s="235">
        <f>IFERROR(Таблица4[[#This Row],[ППС]]-Таблица4[[#This Row],[ДДУС]],)</f>
        <v>0</v>
      </c>
      <c r="P371" s="611"/>
      <c r="Q371" s="234">
        <f>VLOOKUP(ППД5!A368,Реестр_Д5[№],1,0)</f>
        <v>367</v>
      </c>
      <c r="R371" s="234" t="str">
        <f>VLOOKUP(ППД5!CH368,Реестр_Д5[Статус],1,0)</f>
        <v>Продажа</v>
      </c>
      <c r="S371" s="612">
        <f>VLOOKUP(ППД5!BZ368,Реестр_Д5[Стоимость ОН без отделки со скидкой],1,0)</f>
        <v>7688026</v>
      </c>
      <c r="T371" s="612" cm="1">
        <f t="array" ref="T371">IFERROR(INDEX(РД[Стоимость без отделки итог],MATCH($Q$3&amp;Таблица10[[#This Row],[№]]&amp;"Продажа",РД[Дом]&amp;РД[№ кв]&amp;РД[Состояние],0),1),Таблица10[[#This Row],[Статус]])</f>
        <v>7688026</v>
      </c>
      <c r="U371" s="235">
        <f>IFERROR((Таблица10[[#This Row],[ПП]]-Таблица10[[#This Row],[ДДУ]])*1,)</f>
        <v>0</v>
      </c>
      <c r="V371" s="235" cm="1">
        <f t="array" ref="V371">IFERROR(INDEX(РД[Стоимость с отделкой итог],MATCH($Q$3&amp;Таблица10[[#This Row],[№]]&amp;"Продажа",РД[Дом]&amp;РД[№ кв]&amp;РД[Состояние],0),1),Таблица10[[#This Row],[Статус]])</f>
        <v>7688026</v>
      </c>
      <c r="W371" s="235">
        <f>_xlfn.XLOOKUP(Таблица10[[#This Row],[№]],Реестр_Д5[№],Реестр_Д5[Стоимость квартиры с отделкой],"-",0)</f>
        <v>7688026.0000000019</v>
      </c>
      <c r="X371" s="235">
        <f>IFERROR(Таблица10[[#This Row],[СО ПП]]-Таблица10[[#This Row],[СО ДДУ]],"")</f>
        <v>1.862645149230957E-9</v>
      </c>
      <c r="Y371" s="233" cm="1">
        <f t="array" ref="Y371">IFERROR(INDEX(РД[S],MATCH($Q$3&amp;Таблица10[[#This Row],[№]]&amp;"Продажа",РД[Дом]&amp;РД[№ кв]&amp;РД[Состояние],0),1),Таблица10[[#This Row],[Статус]])</f>
        <v>80.97</v>
      </c>
      <c r="Z371" s="233">
        <f>IF(Таблица10[[#This Row],[№]]&amp;"ДДУ"=ППД5!A368&amp;ППД5!CR368,ППД5!U368,ППД5!V368)</f>
        <v>80.97</v>
      </c>
      <c r="AA371" s="285">
        <f>IFERROR(Таблица10[[#This Row],[S ПП]]-Таблица10[[#This Row],[S ДДУ]],)</f>
        <v>0</v>
      </c>
      <c r="AB371" s="235">
        <f>ROUND(_xlfn.XLOOKUP(Таблица10[[#This Row],[№]],Реестр_Д5[№],Реестр_Д5[Итоговая сумма скидки],"",0),2)</f>
        <v>237774</v>
      </c>
      <c r="AC371" s="235" cm="1">
        <f t="array" ref="AC371">IFERROR(ROUND(_xlfn.XLOOKUP($Q$3&amp;Таблица10[[#This Row],[№]]&amp;"Продажа",РД[Дом]&amp;РД[№ кв]&amp;РД[Состояние],РД[Сумма скидки],"",0,-1),2),Таблица10[[#This Row],[Статус]])</f>
        <v>237774</v>
      </c>
      <c r="AD371" s="285">
        <f>IFERROR(Таблица10[[#This Row],[ППС]]-Таблица10[[#This Row],[ДДУС]],)</f>
        <v>0</v>
      </c>
      <c r="AE371" s="611"/>
      <c r="AT371" s="611"/>
    </row>
    <row r="372" spans="1:46" x14ac:dyDescent="0.2">
      <c r="A372" s="611"/>
      <c r="B372" s="234">
        <f>VLOOKUP(ППД4!A369,Реестр_Д4[№],1,0)</f>
        <v>368</v>
      </c>
      <c r="C372" s="234" t="str">
        <f>VLOOKUP(ППД4!CO369,Реестр_Д4[Статус],1,0)</f>
        <v>Продажа</v>
      </c>
      <c r="D372" s="612">
        <f>VLOOKUP(ППД4!CE369,Реестр_Д4[Стоимость ОН без отделки со скидкой],1,0)</f>
        <v>6750036</v>
      </c>
      <c r="E372" s="612" cm="1">
        <f t="array" ref="E372">IFERROR(INDEX(РД[Стоимость без отделки итог],MATCH($B$3&amp;Таблица4[[#This Row],[№]]&amp;"Продажа",РД[Дом]&amp;РД[№ кв]&amp;РД[Состояние],0),1),Таблица4[[#This Row],[Статус]])</f>
        <v>6750036</v>
      </c>
      <c r="F372" s="235">
        <f>IFERROR((Таблица4[[#This Row],[ПП]]-Таблица4[[#This Row],[ДДУ]])*1,"")</f>
        <v>0</v>
      </c>
      <c r="G372" s="235" cm="1">
        <f t="array" ref="G372">IFERROR(INDEX(РД[Стоимость с отделкой итог],MATCH($B$3&amp;Таблица4[[#This Row],[№]]&amp;"Продажа",РД[Дом]&amp;РД[№ кв]&amp;РД[Состояние],0),1),Таблица4[[#This Row],[Статус]])</f>
        <v>7259661</v>
      </c>
      <c r="H372" s="235">
        <f>_xlfn.XLOOKUP(Таблица4[[#This Row],[№]],Реестр_Д4[№],Реестр_Д4[Стоимость квартиры с отделкой],"-",0)</f>
        <v>7259661</v>
      </c>
      <c r="I372" s="235">
        <f>IFERROR(Таблица4[[#This Row],[СО ПП]]-Таблица4[[#This Row],[СО ДДУ]],"")</f>
        <v>0</v>
      </c>
      <c r="J372" s="233" cm="1">
        <f t="array" ref="J372">IFERROR(INDEX(РД[S],MATCH($B$3&amp;Таблица4[[#This Row],[№]]&amp;"Продажа",РД[Дом]&amp;РД[№ кв]&amp;РД[Состояние],0),1),Таблица4[[#This Row],[Статус]])</f>
        <v>67.95</v>
      </c>
      <c r="K372" s="233">
        <f>VLOOKUP(Таблица4[[#This Row],[№]],Реестр_Д4[],20,0)</f>
        <v>67.95</v>
      </c>
      <c r="L372" s="235">
        <f>IFERROR(Таблица4[[#This Row],[S ПП]]-Таблица4[[#This Row],[S ДДУ]],)</f>
        <v>0</v>
      </c>
      <c r="M372" s="235">
        <f>ROUND(_xlfn.XLOOKUP(Таблица4[[#This Row],[№]],Реестр_Д4[№],Реестр_Д4[Итоговая сумма скидки],"",0),2)</f>
        <v>208764</v>
      </c>
      <c r="N372" s="235" cm="1">
        <f t="array" ref="N372">IFERROR(ROUND(_xlfn.XLOOKUP($B$3&amp;Таблица4[[#This Row],[№]]&amp;"Продажа",РД[Дом]&amp;РД[№ кв]&amp;РД[Состояние],РД[Сумма скидки],"",0),2),Таблица4[[#This Row],[Статус]])</f>
        <v>208764</v>
      </c>
      <c r="O372" s="235">
        <f>IFERROR(Таблица4[[#This Row],[ППС]]-Таблица4[[#This Row],[ДДУС]],)</f>
        <v>0</v>
      </c>
      <c r="P372" s="611"/>
      <c r="Q372" s="234">
        <f>VLOOKUP(ППД5!A369,Реестр_Д5[№],1,0)</f>
        <v>368</v>
      </c>
      <c r="R372" s="234" t="str">
        <f>VLOOKUP(ППД5!CH369,Реестр_Д5[Статус],1,0)</f>
        <v>Свободно</v>
      </c>
      <c r="S372" s="612">
        <f>VLOOKUP(ППД5!BZ369,Реестр_Д5[Стоимость ОН без отделки со скидкой],1,0)</f>
        <v>5439300</v>
      </c>
      <c r="T372" s="612" t="str" cm="1">
        <f t="array" ref="T37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72" s="235">
        <f>IFERROR((Таблица10[[#This Row],[ПП]]-Таблица10[[#This Row],[ДДУ]])*1,)</f>
        <v>0</v>
      </c>
      <c r="V372" s="235" t="str" cm="1">
        <f t="array" ref="V37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72" s="235">
        <f>_xlfn.XLOOKUP(Таблица10[[#This Row],[№]],Реестр_Д5[№],Реестр_Д5[Стоимость квартиры с отделкой],"-",0)</f>
        <v>5439300</v>
      </c>
      <c r="X372" s="235" t="str">
        <f>IFERROR(Таблица10[[#This Row],[СО ПП]]-Таблица10[[#This Row],[СО ДДУ]],"")</f>
        <v/>
      </c>
      <c r="Y372" s="233" t="str" cm="1">
        <f t="array" ref="Y372">IFERROR(INDEX(РД[S],MATCH($Q$3&amp;Таблица10[[#This Row],[№]]&amp;"Продажа",РД[Дом]&amp;РД[№ кв]&amp;РД[Состояние],0),1),Таблица10[[#This Row],[Статус]])</f>
        <v>Свободно</v>
      </c>
      <c r="Z372" s="233">
        <f>IF(Таблица10[[#This Row],[№]]&amp;"ДДУ"=ППД5!A369&amp;ППД5!CR369,ППД5!U369,ППД5!V369)</f>
        <v>34.65</v>
      </c>
      <c r="AA372" s="285">
        <f>IFERROR(Таблица10[[#This Row],[S ПП]]-Таблица10[[#This Row],[S ДДУ]],)</f>
        <v>0</v>
      </c>
      <c r="AB372" s="235">
        <f>ROUND(_xlfn.XLOOKUP(Таблица10[[#This Row],[№]],Реестр_Д5[№],Реестр_Д5[Итоговая сумма скидки],"",0),2)</f>
        <v>0</v>
      </c>
      <c r="AC372" s="235" t="str" cm="1">
        <f t="array" ref="AC37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72" s="285">
        <f>IFERROR(Таблица10[[#This Row],[ППС]]-Таблица10[[#This Row],[ДДУС]],)</f>
        <v>0</v>
      </c>
      <c r="AE372" s="611"/>
      <c r="AT372" s="611"/>
    </row>
    <row r="373" spans="1:46" x14ac:dyDescent="0.2">
      <c r="A373" s="611"/>
      <c r="B373" s="234">
        <f>VLOOKUP(ППД4!A370,Реестр_Д4[№],1,0)</f>
        <v>369</v>
      </c>
      <c r="C373" s="234" t="str">
        <f>VLOOKUP(ППД4!CO370,Реестр_Д4[Статус],1,0)</f>
        <v>Продажа</v>
      </c>
      <c r="D373" s="612">
        <f>VLOOKUP(ППД4!CE370,Реестр_Д4[Стоимость ОН без отделки со скидкой],1,0)</f>
        <v>3345023.79</v>
      </c>
      <c r="E373" s="612" cm="1">
        <f t="array" ref="E373">IFERROR(INDEX(РД[Стоимость без отделки итог],MATCH($B$3&amp;Таблица4[[#This Row],[№]]&amp;"Продажа",РД[Дом]&amp;РД[№ кв]&amp;РД[Состояние],0),1),Таблица4[[#This Row],[Статус]])</f>
        <v>3345023.79</v>
      </c>
      <c r="F373" s="235">
        <f>IFERROR((Таблица4[[#This Row],[ПП]]-Таблица4[[#This Row],[ДДУ]])*1,"")</f>
        <v>0</v>
      </c>
      <c r="G373" s="235" cm="1">
        <f t="array" ref="G373">IFERROR(INDEX(РД[Стоимость с отделкой итог],MATCH($B$3&amp;Таблица4[[#This Row],[№]]&amp;"Продажа",РД[Дом]&amp;РД[№ кв]&amp;РД[Состояние],0),1),Таблица4[[#This Row],[Статус]])</f>
        <v>3490823.79</v>
      </c>
      <c r="H373" s="235">
        <f>_xlfn.XLOOKUP(Таблица4[[#This Row],[№]],Реестр_Д4[№],Реестр_Д4[Стоимость квартиры с отделкой],"-",0)</f>
        <v>3490823.79</v>
      </c>
      <c r="I373" s="235">
        <f>IFERROR(Таблица4[[#This Row],[СО ПП]]-Таблица4[[#This Row],[СО ДДУ]],"")</f>
        <v>0</v>
      </c>
      <c r="J373" s="233" cm="1">
        <f t="array" ref="J373">IFERROR(INDEX(РД[S],MATCH($B$3&amp;Таблица4[[#This Row],[№]]&amp;"Продажа",РД[Дом]&amp;РД[№ кв]&amp;РД[Состояние],0),1),Таблица4[[#This Row],[Статус]])</f>
        <v>36.450000000000003</v>
      </c>
      <c r="K373" s="233">
        <f>VLOOKUP(Таблица4[[#This Row],[№]],Реестр_Д4[],20,0)</f>
        <v>36.450000000000003</v>
      </c>
      <c r="L373" s="235">
        <f>IFERROR(Таблица4[[#This Row],[S ПП]]-Таблица4[[#This Row],[S ДДУ]],)</f>
        <v>0</v>
      </c>
      <c r="M373" s="235">
        <f>ROUND(_xlfn.XLOOKUP(Таблица4[[#This Row],[№]],Реестр_Д4[№],Реестр_Д4[Итоговая сумма скидки],"",0),2)</f>
        <v>0</v>
      </c>
      <c r="N373" s="235" cm="1">
        <f t="array" ref="N37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73" s="235">
        <f>IFERROR(Таблица4[[#This Row],[ППС]]-Таблица4[[#This Row],[ДДУС]],)</f>
        <v>0</v>
      </c>
      <c r="P373" s="611"/>
      <c r="Q373" s="234">
        <f>VLOOKUP(ППД5!A370,Реестр_Д5[№],1,0)</f>
        <v>369</v>
      </c>
      <c r="R373" s="234" t="str">
        <f>VLOOKUP(ППД5!CH370,Реестр_Д5[Статус],1,0)</f>
        <v>Свободно</v>
      </c>
      <c r="S373" s="612">
        <f>VLOOKUP(ППД5!BZ370,Реестр_Д5[Стоимость ОН без отделки со скидкой],1,0)</f>
        <v>9274200</v>
      </c>
      <c r="T373" s="612" t="str" cm="1">
        <f t="array" ref="T37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73" s="235">
        <f>IFERROR((Таблица10[[#This Row],[ПП]]-Таблица10[[#This Row],[ДДУ]])*1,)</f>
        <v>0</v>
      </c>
      <c r="V373" s="235" t="str" cm="1">
        <f t="array" ref="V37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73" s="235">
        <f>_xlfn.XLOOKUP(Таблица10[[#This Row],[№]],Реестр_Д5[№],Реестр_Д5[Стоимость квартиры с отделкой],"-",0)</f>
        <v>10006700</v>
      </c>
      <c r="X373" s="235" t="str">
        <f>IFERROR(Таблица10[[#This Row],[СО ПП]]-Таблица10[[#This Row],[СО ДДУ]],"")</f>
        <v/>
      </c>
      <c r="Y373" s="233" t="str" cm="1">
        <f t="array" ref="Y373">IFERROR(INDEX(РД[S],MATCH($Q$3&amp;Таблица10[[#This Row],[№]]&amp;"Продажа",РД[Дом]&amp;РД[№ кв]&amp;РД[Состояние],0),1),Таблица10[[#This Row],[Статус]])</f>
        <v>Свободно</v>
      </c>
      <c r="Z373" s="233">
        <f>IF(Таблица10[[#This Row],[№]]&amp;"ДДУ"=ППД5!A370&amp;ППД5!CR370,ППД5!U370,ППД5!V370)</f>
        <v>73.249999999999986</v>
      </c>
      <c r="AA373" s="285">
        <f>IFERROR(Таблица10[[#This Row],[S ПП]]-Таблица10[[#This Row],[S ДДУ]],)</f>
        <v>0</v>
      </c>
      <c r="AB373" s="235">
        <f>ROUND(_xlfn.XLOOKUP(Таблица10[[#This Row],[№]],Реестр_Д5[№],Реестр_Д5[Итоговая сумма скидки],"",0),2)</f>
        <v>0</v>
      </c>
      <c r="AC373" s="235" t="str" cm="1">
        <f t="array" ref="AC37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73" s="285">
        <f>IFERROR(Таблица10[[#This Row],[ППС]]-Таблица10[[#This Row],[ДДУС]],)</f>
        <v>0</v>
      </c>
      <c r="AE373" s="611"/>
      <c r="AT373" s="611"/>
    </row>
    <row r="374" spans="1:46" x14ac:dyDescent="0.2">
      <c r="A374" s="611"/>
      <c r="B374" s="234">
        <f>VLOOKUP(ППД4!A371,Реестр_Д4[№],1,0)</f>
        <v>370</v>
      </c>
      <c r="C374" s="234" t="str">
        <f>VLOOKUP(ППД4!CO371,Реестр_Д4[Статус],1,0)</f>
        <v>Продажа</v>
      </c>
      <c r="D374" s="612">
        <f>VLOOKUP(ППД4!CE371,Реестр_Д4[Стоимость ОН без отделки со скидкой],1,0)</f>
        <v>6396700</v>
      </c>
      <c r="E374" s="612" cm="1">
        <f t="array" ref="E374">IFERROR(INDEX(РД[Стоимость без отделки итог],MATCH($B$3&amp;Таблица4[[#This Row],[№]]&amp;"Продажа",РД[Дом]&amp;РД[№ кв]&amp;РД[Состояние],0),1),Таблица4[[#This Row],[Статус]])</f>
        <v>6396700</v>
      </c>
      <c r="F374" s="235">
        <f>IFERROR((Таблица4[[#This Row],[ПП]]-Таблица4[[#This Row],[ДДУ]])*1,"")</f>
        <v>0</v>
      </c>
      <c r="G374" s="235" cm="1">
        <f t="array" ref="G374">IFERROR(INDEX(РД[Стоимость с отделкой итог],MATCH($B$3&amp;Таблица4[[#This Row],[№]]&amp;"Продажа",РД[Дом]&amp;РД[№ кв]&amp;РД[Состояние],0),1),Таблица4[[#This Row],[Статус]])</f>
        <v>6835825</v>
      </c>
      <c r="H374" s="235">
        <f>_xlfn.XLOOKUP(Таблица4[[#This Row],[№]],Реестр_Д4[№],Реестр_Д4[Стоимость квартиры с отделкой],"-",0)</f>
        <v>6835825</v>
      </c>
      <c r="I374" s="235">
        <f>IFERROR(Таблица4[[#This Row],[СО ПП]]-Таблица4[[#This Row],[СО ДДУ]],"")</f>
        <v>0</v>
      </c>
      <c r="J374" s="233" cm="1">
        <f t="array" ref="J374">IFERROR(INDEX(РД[S],MATCH($B$3&amp;Таблица4[[#This Row],[№]]&amp;"Продажа",РД[Дом]&amp;РД[№ кв]&amp;РД[Состояние],0),1),Таблица4[[#This Row],[Статус]])</f>
        <v>58.55</v>
      </c>
      <c r="K374" s="233">
        <f>VLOOKUP(Таблица4[[#This Row],[№]],Реестр_Д4[],20,0)</f>
        <v>58.55</v>
      </c>
      <c r="L374" s="235">
        <f>IFERROR(Таблица4[[#This Row],[S ПП]]-Таблица4[[#This Row],[S ДДУ]],)</f>
        <v>0</v>
      </c>
      <c r="M374" s="235">
        <f>ROUND(_xlfn.XLOOKUP(Таблица4[[#This Row],[№]],Реестр_Д4[№],Реестр_Д4[Итоговая сумма скидки],"",0),2)</f>
        <v>170000</v>
      </c>
      <c r="N374" s="235" cm="1">
        <f t="array" ref="N374">IFERROR(ROUND(_xlfn.XLOOKUP($B$3&amp;Таблица4[[#This Row],[№]]&amp;"Продажа",РД[Дом]&amp;РД[№ кв]&amp;РД[Состояние],РД[Сумма скидки],"",0),2),Таблица4[[#This Row],[Статус]])</f>
        <v>170000</v>
      </c>
      <c r="O374" s="235">
        <f>IFERROR(Таблица4[[#This Row],[ППС]]-Таблица4[[#This Row],[ДДУС]],)</f>
        <v>0</v>
      </c>
      <c r="P374" s="611"/>
      <c r="Q374" s="234">
        <f>VLOOKUP(ППД5!A371,Реестр_Д5[№],1,0)</f>
        <v>370</v>
      </c>
      <c r="R374" s="234" t="str">
        <f>VLOOKUP(ППД5!CH371,Реестр_Д5[Статус],1,0)</f>
        <v>Продажа</v>
      </c>
      <c r="S374" s="612">
        <f>VLOOKUP(ППД5!BZ371,Реестр_Д5[Стоимость ОН без отделки со скидкой],1,0)</f>
        <v>3300813</v>
      </c>
      <c r="T374" s="612" cm="1">
        <f t="array" ref="T374">IFERROR(INDEX(РД[Стоимость без отделки итог],MATCH($Q$3&amp;Таблица10[[#This Row],[№]]&amp;"Продажа",РД[Дом]&amp;РД[№ кв]&amp;РД[Состояние],0),1),Таблица10[[#This Row],[Статус]])</f>
        <v>3300813</v>
      </c>
      <c r="U374" s="235">
        <f>IFERROR((Таблица10[[#This Row],[ПП]]-Таблица10[[#This Row],[ДДУ]])*1,)</f>
        <v>0</v>
      </c>
      <c r="V374" s="235" cm="1">
        <f t="array" ref="V374">IFERROR(INDEX(РД[Стоимость с отделкой итог],MATCH($Q$3&amp;Таблица10[[#This Row],[№]]&amp;"Продажа",РД[Дом]&amp;РД[№ кв]&amp;РД[Состояние],0),1),Таблица10[[#This Row],[Статус]])</f>
        <v>3497053</v>
      </c>
      <c r="W374" s="235">
        <f>_xlfn.XLOOKUP(Таблица10[[#This Row],[№]],Реестр_Д5[№],Реестр_Д5[Стоимость квартиры с отделкой],"-",0)</f>
        <v>3497053</v>
      </c>
      <c r="X374" s="235">
        <f>IFERROR(Таблица10[[#This Row],[СО ПП]]-Таблица10[[#This Row],[СО ДДУ]],"")</f>
        <v>0</v>
      </c>
      <c r="Y374" s="233" cm="1">
        <f t="array" ref="Y374">IFERROR(INDEX(РД[S],MATCH($Q$3&amp;Таблица10[[#This Row],[№]]&amp;"Продажа",РД[Дом]&amp;РД[№ кв]&amp;РД[Состояние],0),1),Таблица10[[#This Row],[Статус]])</f>
        <v>24.53</v>
      </c>
      <c r="Z374" s="233">
        <f>IF(Таблица10[[#This Row],[№]]&amp;"ДДУ"=ППД5!A371&amp;ППД5!CR371,ППД5!U371,ППД5!V371)</f>
        <v>24.53</v>
      </c>
      <c r="AA374" s="285">
        <f>IFERROR(Таблица10[[#This Row],[S ПП]]-Таблица10[[#This Row],[S ДДУ]],)</f>
        <v>0</v>
      </c>
      <c r="AB374" s="235">
        <f>ROUND(_xlfn.XLOOKUP(Таблица10[[#This Row],[№]],Реестр_Д5[№],Реестр_Д5[Итоговая сумма скидки],"",0),2)</f>
        <v>102087</v>
      </c>
      <c r="AC374" s="235" cm="1">
        <f t="array" ref="AC374">IFERROR(ROUND(_xlfn.XLOOKUP($Q$3&amp;Таблица10[[#This Row],[№]]&amp;"Продажа",РД[Дом]&amp;РД[№ кв]&amp;РД[Состояние],РД[Сумма скидки],"",0,-1),2),Таблица10[[#This Row],[Статус]])</f>
        <v>102087</v>
      </c>
      <c r="AD374" s="285">
        <f>IFERROR(Таблица10[[#This Row],[ППС]]-Таблица10[[#This Row],[ДДУС]],)</f>
        <v>0</v>
      </c>
      <c r="AE374" s="611"/>
      <c r="AT374" s="611"/>
    </row>
    <row r="375" spans="1:46" x14ac:dyDescent="0.2">
      <c r="A375" s="611"/>
      <c r="B375" s="234">
        <f>VLOOKUP(ППД4!A372,Реестр_Д4[№],1,0)</f>
        <v>371</v>
      </c>
      <c r="C375" s="234" t="str">
        <f>VLOOKUP(ППД4!CO372,Реестр_Д4[Статус],1,0)</f>
        <v>Продажа</v>
      </c>
      <c r="D375" s="612">
        <f>VLOOKUP(ППД4!CE372,Реестр_Д4[Стоимость ОН без отделки со скидкой],1,0)</f>
        <v>5575652.9000000004</v>
      </c>
      <c r="E375" s="612" cm="1">
        <f t="array" ref="E375">IFERROR(INDEX(РД[Стоимость без отделки итог],MATCH($B$3&amp;Таблица4[[#This Row],[№]]&amp;"Продажа",РД[Дом]&amp;РД[№ кв]&amp;РД[Состояние],0),1),Таблица4[[#This Row],[Статус]])</f>
        <v>5575652.9000000004</v>
      </c>
      <c r="F375" s="235">
        <f>IFERROR((Таблица4[[#This Row],[ПП]]-Таблица4[[#This Row],[ДДУ]])*1,"")</f>
        <v>0</v>
      </c>
      <c r="G375" s="235" cm="1">
        <f t="array" ref="G375">IFERROR(INDEX(РД[Стоимость с отделкой итог],MATCH($B$3&amp;Таблица4[[#This Row],[№]]&amp;"Продажа",РД[Дом]&amp;РД[№ кв]&amp;РД[Состояние],0),1),Таблица4[[#This Row],[Статус]])</f>
        <v>5575652.9000000004</v>
      </c>
      <c r="H375" s="235">
        <f>_xlfn.XLOOKUP(Таблица4[[#This Row],[№]],Реестр_Д4[№],Реестр_Д4[Стоимость квартиры с отделкой],"-",0)</f>
        <v>5575652.9000000004</v>
      </c>
      <c r="I375" s="235">
        <f>IFERROR(Таблица4[[#This Row],[СО ПП]]-Таблица4[[#This Row],[СО ДДУ]],"")</f>
        <v>0</v>
      </c>
      <c r="J375" s="233" cm="1">
        <f t="array" ref="J375">IFERROR(INDEX(РД[S],MATCH($B$3&amp;Таблица4[[#This Row],[№]]&amp;"Продажа",РД[Дом]&amp;РД[№ кв]&amp;РД[Состояние],0),1),Таблица4[[#This Row],[Статус]])</f>
        <v>56.7</v>
      </c>
      <c r="K375" s="233">
        <f>VLOOKUP(Таблица4[[#This Row],[№]],Реестр_Д4[],20,0)</f>
        <v>56.7</v>
      </c>
      <c r="L375" s="235">
        <f>IFERROR(Таблица4[[#This Row],[S ПП]]-Таблица4[[#This Row],[S ДДУ]],)</f>
        <v>0</v>
      </c>
      <c r="M375" s="235">
        <f>ROUND(_xlfn.XLOOKUP(Таблица4[[#This Row],[№]],Реестр_Д4[№],Реестр_Д4[Итоговая сумма скидки],"",0),2)</f>
        <v>0</v>
      </c>
      <c r="N375" s="235" cm="1">
        <f t="array" ref="N37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75" s="235">
        <f>IFERROR(Таблица4[[#This Row],[ППС]]-Таблица4[[#This Row],[ДДУС]],)</f>
        <v>0</v>
      </c>
      <c r="P375" s="611"/>
      <c r="Q375" s="234">
        <f>VLOOKUP(ППД5!A372,Реестр_Д5[№],1,0)</f>
        <v>371</v>
      </c>
      <c r="R375" s="234" t="str">
        <f>VLOOKUP(ППД5!CH372,Реестр_Д5[Статус],1,0)</f>
        <v>Продажа</v>
      </c>
      <c r="S375" s="612">
        <f>VLOOKUP(ППД5!BZ372,Реестр_Д5[Стоимость ОН без отделки со скидкой],1,0)</f>
        <v>5809700</v>
      </c>
      <c r="T375" s="612" cm="1">
        <f t="array" ref="T375">IFERROR(INDEX(РД[Стоимость без отделки итог],MATCH($Q$3&amp;Таблица10[[#This Row],[№]]&amp;"Продажа",РД[Дом]&amp;РД[№ кв]&amp;РД[Состояние],0),1),Таблица10[[#This Row],[Статус]])</f>
        <v>5809700</v>
      </c>
      <c r="U375" s="235">
        <f>IFERROR((Таблица10[[#This Row],[ПП]]-Таблица10[[#This Row],[ДДУ]])*1,)</f>
        <v>0</v>
      </c>
      <c r="V375" s="235" cm="1">
        <f t="array" ref="V375">IFERROR(INDEX(РД[Стоимость с отделкой итог],MATCH($Q$3&amp;Таблица10[[#This Row],[№]]&amp;"Продажа",РД[Дом]&amp;РД[№ кв]&amp;РД[Состояние],0),1),Таблица10[[#This Row],[Статус]])</f>
        <v>6941300</v>
      </c>
      <c r="W375" s="235">
        <f>_xlfn.XLOOKUP(Таблица10[[#This Row],[№]],Реестр_Д5[№],Реестр_Д5[Стоимость квартиры с отделкой],"-",0)</f>
        <v>6941300</v>
      </c>
      <c r="X375" s="235">
        <f>IFERROR(Таблица10[[#This Row],[СО ПП]]-Таблица10[[#This Row],[СО ДДУ]],"")</f>
        <v>0</v>
      </c>
      <c r="Y375" s="233" cm="1">
        <f t="array" ref="Y375">IFERROR(INDEX(РД[S],MATCH($Q$3&amp;Таблица10[[#This Row],[№]]&amp;"Продажа",РД[Дом]&amp;РД[№ кв]&amp;РД[Состояние],0),1),Таблица10[[#This Row],[Статус]])</f>
        <v>56.58</v>
      </c>
      <c r="Z375" s="233">
        <f>IF(Таблица10[[#This Row],[№]]&amp;"ДДУ"=ППД5!A372&amp;ППД5!CR372,ППД5!U372,ППД5!V372)</f>
        <v>56.58</v>
      </c>
      <c r="AA375" s="285">
        <f>IFERROR(Таблица10[[#This Row],[S ПП]]-Таблица10[[#This Row],[S ДДУ]],)</f>
        <v>0</v>
      </c>
      <c r="AB375" s="235">
        <f>ROUND(_xlfn.XLOOKUP(Таблица10[[#This Row],[№]],Реестр_Д5[№],Реестр_Д5[Итоговая сумма скидки],"",0),2)</f>
        <v>90000</v>
      </c>
      <c r="AC375" s="235" cm="1">
        <f t="array" ref="AC375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375" s="285">
        <f>IFERROR(Таблица10[[#This Row],[ППС]]-Таблица10[[#This Row],[ДДУС]],)</f>
        <v>0</v>
      </c>
      <c r="AE375" s="611"/>
      <c r="AT375" s="611"/>
    </row>
    <row r="376" spans="1:46" x14ac:dyDescent="0.2">
      <c r="A376" s="611"/>
      <c r="B376" s="234">
        <f>VLOOKUP(ППД4!A373,Реестр_Д4[№],1,0)</f>
        <v>372</v>
      </c>
      <c r="C376" s="234" t="str">
        <f>VLOOKUP(ППД4!CO373,Реестр_Д4[Статус],1,0)</f>
        <v>Продажа</v>
      </c>
      <c r="D376" s="612">
        <f>VLOOKUP(ППД4!CE373,Реестр_Д4[Стоимость ОН без отделки со скидкой],1,0)</f>
        <v>5789653.0099999998</v>
      </c>
      <c r="E376" s="612" cm="1">
        <f t="array" ref="E376">IFERROR(INDEX(РД[Стоимость без отделки итог],MATCH($B$3&amp;Таблица4[[#This Row],[№]]&amp;"Продажа",РД[Дом]&amp;РД[№ кв]&amp;РД[Состояние],0),1),Таблица4[[#This Row],[Статус]])</f>
        <v>5789653.0099999998</v>
      </c>
      <c r="F376" s="235">
        <f>IFERROR((Таблица4[[#This Row],[ПП]]-Таблица4[[#This Row],[ДДУ]])*1,"")</f>
        <v>0</v>
      </c>
      <c r="G376" s="235" cm="1">
        <f t="array" ref="G376">IFERROR(INDEX(РД[Стоимость с отделкой итог],MATCH($B$3&amp;Таблица4[[#This Row],[№]]&amp;"Продажа",РД[Дом]&amp;РД[№ кв]&amp;РД[Состояние],0),1),Таблица4[[#This Row],[Статус]])</f>
        <v>6079693.0099999998</v>
      </c>
      <c r="H376" s="235">
        <f>_xlfn.XLOOKUP(Таблица4[[#This Row],[№]],Реестр_Д4[№],Реестр_Д4[Стоимость квартиры с отделкой],"-",0)</f>
        <v>6079693.0099999998</v>
      </c>
      <c r="I376" s="235">
        <f>IFERROR(Таблица4[[#This Row],[СО ПП]]-Таблица4[[#This Row],[СО ДДУ]],"")</f>
        <v>0</v>
      </c>
      <c r="J376" s="233" cm="1">
        <f t="array" ref="J376">IFERROR(INDEX(РД[S],MATCH($B$3&amp;Таблица4[[#This Row],[№]]&amp;"Продажа",РД[Дом]&amp;РД[№ кв]&amp;РД[Состояние],0),1),Таблица4[[#This Row],[Статус]])</f>
        <v>72.510000000000005</v>
      </c>
      <c r="K376" s="233">
        <f>VLOOKUP(Таблица4[[#This Row],[№]],Реестр_Д4[],20,0)</f>
        <v>72.510000000000005</v>
      </c>
      <c r="L376" s="235">
        <f>IFERROR(Таблица4[[#This Row],[S ПП]]-Таблица4[[#This Row],[S ДДУ]],)</f>
        <v>0</v>
      </c>
      <c r="M376" s="235">
        <f>ROUND(_xlfn.XLOOKUP(Таблица4[[#This Row],[№]],Реестр_Д4[№],Реестр_Д4[Итоговая сумма скидки],"",0),2)</f>
        <v>369552.32</v>
      </c>
      <c r="N376" s="235" cm="1">
        <f t="array" ref="N376">IFERROR(ROUND(_xlfn.XLOOKUP($B$3&amp;Таблица4[[#This Row],[№]]&amp;"Продажа",РД[Дом]&amp;РД[№ кв]&amp;РД[Состояние],РД[Сумма скидки],"",0),2),Таблица4[[#This Row],[Статус]])</f>
        <v>369552.32</v>
      </c>
      <c r="O376" s="235">
        <f>IFERROR(Таблица4[[#This Row],[ППС]]-Таблица4[[#This Row],[ДДУС]],)</f>
        <v>0</v>
      </c>
      <c r="P376" s="611"/>
      <c r="Q376" s="234">
        <f>VLOOKUP(ППД5!A373,Реестр_Д5[№],1,0)</f>
        <v>372</v>
      </c>
      <c r="R376" s="234" t="str">
        <f>VLOOKUP(ППД5!CH373,Реестр_Д5[Статус],1,0)</f>
        <v>Свободно</v>
      </c>
      <c r="S376" s="612">
        <f>VLOOKUP(ППД5!BZ373,Реестр_Д5[Стоимость ОН без отделки со скидкой],1,0)</f>
        <v>7976400</v>
      </c>
      <c r="T376" s="612" t="str" cm="1">
        <f t="array" ref="T37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76" s="235">
        <f>IFERROR((Таблица10[[#This Row],[ПП]]-Таблица10[[#This Row],[ДДУ]])*1,)</f>
        <v>0</v>
      </c>
      <c r="V376" s="235" t="str" cm="1">
        <f t="array" ref="V37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76" s="235">
        <f>_xlfn.XLOOKUP(Таблица10[[#This Row],[№]],Реестр_Д5[№],Реестр_Д5[Стоимость квартиры с отделкой],"-",0)</f>
        <v>8574900</v>
      </c>
      <c r="X376" s="235" t="str">
        <f>IFERROR(Таблица10[[#This Row],[СО ПП]]-Таблица10[[#This Row],[СО ДДУ]],"")</f>
        <v/>
      </c>
      <c r="Y376" s="233" t="str" cm="1">
        <f t="array" ref="Y376">IFERROR(INDEX(РД[S],MATCH($Q$3&amp;Таблица10[[#This Row],[№]]&amp;"Продажа",РД[Дом]&amp;РД[№ кв]&amp;РД[Состояние],0),1),Таблица10[[#This Row],[Статус]])</f>
        <v>Свободно</v>
      </c>
      <c r="Z376" s="233">
        <f>IF(Таблица10[[#This Row],[№]]&amp;"ДДУ"=ППД5!A373&amp;ППД5!CR373,ППД5!U373,ППД5!V373)</f>
        <v>59.850000000000009</v>
      </c>
      <c r="AA376" s="285">
        <f>IFERROR(Таблица10[[#This Row],[S ПП]]-Таблица10[[#This Row],[S ДДУ]],)</f>
        <v>0</v>
      </c>
      <c r="AB376" s="235">
        <f>ROUND(_xlfn.XLOOKUP(Таблица10[[#This Row],[№]],Реестр_Д5[№],Реестр_Д5[Итоговая сумма скидки],"",0),2)</f>
        <v>0</v>
      </c>
      <c r="AC376" s="235" t="str" cm="1">
        <f t="array" ref="AC37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76" s="285">
        <f>IFERROR(Таблица10[[#This Row],[ППС]]-Таблица10[[#This Row],[ДДУС]],)</f>
        <v>0</v>
      </c>
      <c r="AE376" s="611"/>
      <c r="AT376" s="611"/>
    </row>
    <row r="377" spans="1:46" x14ac:dyDescent="0.2">
      <c r="A377" s="611"/>
      <c r="B377" s="234">
        <f>VLOOKUP(ППД4!A374,Реестр_Д4[№],1,0)</f>
        <v>373</v>
      </c>
      <c r="C377" s="234" t="str">
        <f>VLOOKUP(ППД4!CO374,Реестр_Д4[Статус],1,0)</f>
        <v>Продажа</v>
      </c>
      <c r="D377" s="612">
        <f>VLOOKUP(ППД4!CE374,Реестр_Д4[Стоимость ОН без отделки со скидкой],1,0)</f>
        <v>3182187.49</v>
      </c>
      <c r="E377" s="612" cm="1">
        <f t="array" ref="E377">IFERROR(INDEX(РД[Стоимость без отделки итог],MATCH($B$3&amp;Таблица4[[#This Row],[№]]&amp;"Продажа",РД[Дом]&amp;РД[№ кв]&amp;РД[Состояние],0),1),Таблица4[[#This Row],[Статус]])</f>
        <v>3182187.49</v>
      </c>
      <c r="F377" s="235">
        <f>IFERROR((Таблица4[[#This Row],[ПП]]-Таблица4[[#This Row],[ДДУ]])*1,"")</f>
        <v>0</v>
      </c>
      <c r="G377" s="235" cm="1">
        <f t="array" ref="G377">IFERROR(INDEX(РД[Стоимость с отделкой итог],MATCH($B$3&amp;Таблица4[[#This Row],[№]]&amp;"Продажа",РД[Дом]&amp;РД[№ кв]&amp;РД[Состояние],0),1),Таблица4[[#This Row],[Статус]])</f>
        <v>3317547.49</v>
      </c>
      <c r="H377" s="235">
        <f>_xlfn.XLOOKUP(Таблица4[[#This Row],[№]],Реестр_Д4[№],Реестр_Д4[Стоимость квартиры с отделкой],"-",0)</f>
        <v>3317547.49</v>
      </c>
      <c r="I377" s="235">
        <f>IFERROR(Таблица4[[#This Row],[СО ПП]]-Таблица4[[#This Row],[СО ДДУ]],"")</f>
        <v>0</v>
      </c>
      <c r="J377" s="233" cm="1">
        <f t="array" ref="J377">IFERROR(INDEX(РД[S],MATCH($B$3&amp;Таблица4[[#This Row],[№]]&amp;"Продажа",РД[Дом]&amp;РД[№ кв]&amp;РД[Состояние],0),1),Таблица4[[#This Row],[Статус]])</f>
        <v>33.840000000000003</v>
      </c>
      <c r="K377" s="233">
        <f>VLOOKUP(Таблица4[[#This Row],[№]],Реестр_Д4[],20,0)</f>
        <v>33.840000000000003</v>
      </c>
      <c r="L377" s="235">
        <f>IFERROR(Таблица4[[#This Row],[S ПП]]-Таблица4[[#This Row],[S ДДУ]],)</f>
        <v>0</v>
      </c>
      <c r="M377" s="235">
        <f>ROUND(_xlfn.XLOOKUP(Таблица4[[#This Row],[№]],Реестр_Д4[№],Реестр_Д4[Итоговая сумма скидки],"",0),2)</f>
        <v>20000</v>
      </c>
      <c r="N377" s="235" cm="1">
        <f t="array" ref="N377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377" s="235">
        <f>IFERROR(Таблица4[[#This Row],[ППС]]-Таблица4[[#This Row],[ДДУС]],)</f>
        <v>0</v>
      </c>
      <c r="P377" s="611"/>
      <c r="Q377" s="234">
        <f>VLOOKUP(ППД5!A374,Реестр_Д5[№],1,0)</f>
        <v>373</v>
      </c>
      <c r="R377" s="234" t="str">
        <f>VLOOKUP(ППД5!CH374,Реестр_Д5[Статус],1,0)</f>
        <v>Свободно</v>
      </c>
      <c r="S377" s="612">
        <f>VLOOKUP(ППД5!BZ374,Реестр_Д5[Стоимость ОН без отделки со скидкой],1,0)</f>
        <v>5606500</v>
      </c>
      <c r="T377" s="612" t="str" cm="1">
        <f t="array" ref="T37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77" s="235">
        <f>IFERROR((Таблица10[[#This Row],[ПП]]-Таблица10[[#This Row],[ДДУ]])*1,)</f>
        <v>0</v>
      </c>
      <c r="V377" s="235" t="str" cm="1">
        <f t="array" ref="V37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77" s="235">
        <f>_xlfn.XLOOKUP(Таблица10[[#This Row],[№]],Реестр_Д5[№],Реестр_Д5[Стоимость квартиры с отделкой],"-",0)</f>
        <v>5606500</v>
      </c>
      <c r="X377" s="235" t="str">
        <f>IFERROR(Таблица10[[#This Row],[СО ПП]]-Таблица10[[#This Row],[СО ДДУ]],"")</f>
        <v/>
      </c>
      <c r="Y377" s="233" t="str" cm="1">
        <f t="array" ref="Y377">IFERROR(INDEX(РД[S],MATCH($Q$3&amp;Таблица10[[#This Row],[№]]&amp;"Продажа",РД[Дом]&amp;РД[№ кв]&amp;РД[Состояние],0),1),Таблица10[[#This Row],[Статус]])</f>
        <v>Свободно</v>
      </c>
      <c r="Z377" s="233">
        <f>IF(Таблица10[[#This Row],[№]]&amp;"ДДУ"=ППД5!A374&amp;ППД5!CR374,ППД5!U374,ППД5!V374)</f>
        <v>37.4</v>
      </c>
      <c r="AA377" s="285">
        <f>IFERROR(Таблица10[[#This Row],[S ПП]]-Таблица10[[#This Row],[S ДДУ]],)</f>
        <v>0</v>
      </c>
      <c r="AB377" s="235">
        <f>ROUND(_xlfn.XLOOKUP(Таблица10[[#This Row],[№]],Реестр_Д5[№],Реестр_Д5[Итоговая сумма скидки],"",0),2)</f>
        <v>0</v>
      </c>
      <c r="AC377" s="235" t="str" cm="1">
        <f t="array" ref="AC37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77" s="285">
        <f>IFERROR(Таблица10[[#This Row],[ППС]]-Таблица10[[#This Row],[ДДУС]],)</f>
        <v>0</v>
      </c>
      <c r="AE377" s="611"/>
      <c r="AT377" s="611"/>
    </row>
    <row r="378" spans="1:46" x14ac:dyDescent="0.2">
      <c r="A378" s="611"/>
      <c r="B378" s="234">
        <f>VLOOKUP(ППД4!A375,Реестр_Д4[№],1,0)</f>
        <v>374</v>
      </c>
      <c r="C378" s="234" t="str">
        <f>VLOOKUP(ППД4!CO375,Реестр_Д4[Статус],1,0)</f>
        <v>Продажа</v>
      </c>
      <c r="D378" s="612">
        <f>VLOOKUP(ППД4!CE375,Реестр_Д4[Стоимость ОН без отделки со скидкой],1,0)</f>
        <v>3273751.83</v>
      </c>
      <c r="E378" s="612" cm="1">
        <f t="array" ref="E378">IFERROR(INDEX(РД[Стоимость без отделки итог],MATCH($B$3&amp;Таблица4[[#This Row],[№]]&amp;"Продажа",РД[Дом]&amp;РД[№ кв]&amp;РД[Состояние],0),1),Таблица4[[#This Row],[Статус]])</f>
        <v>3273751.83</v>
      </c>
      <c r="F378" s="235">
        <f>IFERROR((Таблица4[[#This Row],[ПП]]-Таблица4[[#This Row],[ДДУ]])*1,"")</f>
        <v>0</v>
      </c>
      <c r="G378" s="235" cm="1">
        <f t="array" ref="G378">IFERROR(INDEX(РД[Стоимость с отделкой итог],MATCH($B$3&amp;Таблица4[[#This Row],[№]]&amp;"Продажа",РД[Дом]&amp;РД[№ кв]&amp;РД[Состояние],0),1),Таблица4[[#This Row],[Статус]])</f>
        <v>3405826.83</v>
      </c>
      <c r="H378" s="235">
        <f>_xlfn.XLOOKUP(Таблица4[[#This Row],[№]],Реестр_Д4[№],Реестр_Д4[Стоимость квартиры с отделкой],"-",0)</f>
        <v>3405826.83</v>
      </c>
      <c r="I378" s="235">
        <f>IFERROR(Таблица4[[#This Row],[СО ПП]]-Таблица4[[#This Row],[СО ДДУ]],"")</f>
        <v>0</v>
      </c>
      <c r="J378" s="233" cm="1">
        <f t="array" ref="J378">IFERROR(INDEX(РД[S],MATCH($B$3&amp;Таблица4[[#This Row],[№]]&amp;"Продажа",РД[Дом]&amp;РД[№ кв]&amp;РД[Состояние],0),1),Таблица4[[#This Row],[Статус]])</f>
        <v>29.35</v>
      </c>
      <c r="K378" s="233">
        <f>VLOOKUP(Таблица4[[#This Row],[№]],Реестр_Д4[],20,0)</f>
        <v>29.35</v>
      </c>
      <c r="L378" s="235">
        <f>IFERROR(Таблица4[[#This Row],[S ПП]]-Таблица4[[#This Row],[S ДДУ]],)</f>
        <v>0</v>
      </c>
      <c r="M378" s="235">
        <f>ROUND(_xlfn.XLOOKUP(Таблица4[[#This Row],[№]],Реестр_Д4[№],Реестр_Д4[Итоговая сумма скидки],"",0),2)</f>
        <v>0</v>
      </c>
      <c r="N378" s="235" cm="1">
        <f t="array" ref="N37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78" s="235">
        <f>IFERROR(Таблица4[[#This Row],[ППС]]-Таблица4[[#This Row],[ДДУС]],)</f>
        <v>0</v>
      </c>
      <c r="P378" s="611"/>
      <c r="Q378" s="234">
        <f>VLOOKUP(ППД5!A375,Реестр_Д5[№],1,0)</f>
        <v>374</v>
      </c>
      <c r="R378" s="234" t="str">
        <f>VLOOKUP(ППД5!CH375,Реестр_Д5[Статус],1,0)</f>
        <v>Продажа</v>
      </c>
      <c r="S378" s="612">
        <f>VLOOKUP(ППД5!BZ375,Реестр_Д5[Стоимость ОН без отделки со скидкой],1,0)</f>
        <v>6000000</v>
      </c>
      <c r="T378" s="612" cm="1">
        <f t="array" ref="T378">IFERROR(INDEX(РД[Стоимость без отделки итог],MATCH($Q$3&amp;Таблица10[[#This Row],[№]]&amp;"Продажа",РД[Дом]&amp;РД[№ кв]&amp;РД[Состояние],0),1),Таблица10[[#This Row],[Статус]])</f>
        <v>6000000</v>
      </c>
      <c r="U378" s="235">
        <f>IFERROR((Таблица10[[#This Row],[ПП]]-Таблица10[[#This Row],[ДДУ]])*1,)</f>
        <v>0</v>
      </c>
      <c r="V378" s="235" cm="1">
        <f t="array" ref="V378">IFERROR(INDEX(РД[Стоимость с отделкой итог],MATCH($Q$3&amp;Таблица10[[#This Row],[№]]&amp;"Продажа",РД[Дом]&amp;РД[№ кв]&amp;РД[Состояние],0),1),Таблица10[[#This Row],[Статус]])</f>
        <v>6000000</v>
      </c>
      <c r="W378" s="235">
        <f>_xlfn.XLOOKUP(Таблица10[[#This Row],[№]],Реестр_Д5[№],Реестр_Д5[Стоимость квартиры с отделкой],"-",0)</f>
        <v>6000000</v>
      </c>
      <c r="X378" s="235">
        <f>IFERROR(Таблица10[[#This Row],[СО ПП]]-Таблица10[[#This Row],[СО ДДУ]],"")</f>
        <v>0</v>
      </c>
      <c r="Y378" s="233" cm="1">
        <f t="array" ref="Y378">IFERROR(INDEX(РД[S],MATCH($Q$3&amp;Таблица10[[#This Row],[№]]&amp;"Продажа",РД[Дом]&amp;РД[№ кв]&amp;РД[Состояние],0),1),Таблица10[[#This Row],[Статус]])</f>
        <v>80.97</v>
      </c>
      <c r="Z378" s="233">
        <f>IF(Таблица10[[#This Row],[№]]&amp;"ДДУ"=ППД5!A375&amp;ППД5!CR375,ППД5!U375,ППД5!V375)</f>
        <v>80.97</v>
      </c>
      <c r="AA378" s="285">
        <f>IFERROR(Таблица10[[#This Row],[S ПП]]-Таблица10[[#This Row],[S ДДУ]],)</f>
        <v>0</v>
      </c>
      <c r="AB378" s="235">
        <f>ROUND(_xlfn.XLOOKUP(Таблица10[[#This Row],[№]],Реестр_Д5[№],Реестр_Д5[Итоговая сумма скидки],"",0),2)</f>
        <v>4019100</v>
      </c>
      <c r="AC378" s="235" cm="1">
        <f t="array" ref="AC378">IFERROR(ROUND(_xlfn.XLOOKUP($Q$3&amp;Таблица10[[#This Row],[№]]&amp;"Продажа",РД[Дом]&amp;РД[№ кв]&amp;РД[Состояние],РД[Сумма скидки],"",0,-1),2),Таблица10[[#This Row],[Статус]])</f>
        <v>4019100</v>
      </c>
      <c r="AD378" s="285">
        <f>IFERROR(Таблица10[[#This Row],[ППС]]-Таблица10[[#This Row],[ДДУС]],)</f>
        <v>0</v>
      </c>
      <c r="AE378" s="611"/>
      <c r="AT378" s="611"/>
    </row>
    <row r="379" spans="1:46" x14ac:dyDescent="0.2">
      <c r="A379" s="611"/>
      <c r="B379" s="234">
        <f>VLOOKUP(ППД4!A376,Реестр_Д4[№],1,0)</f>
        <v>375</v>
      </c>
      <c r="C379" s="234" t="str">
        <f>VLOOKUP(ППД4!CO376,Реестр_Д4[Статус],1,0)</f>
        <v>Продажа</v>
      </c>
      <c r="D379" s="612">
        <f>VLOOKUP(ППД4!CE376,Реестр_Д4[Стоимость ОН без отделки со скидкой],1,0)</f>
        <v>5761793.0700000003</v>
      </c>
      <c r="E379" s="612" cm="1">
        <f t="array" ref="E379">IFERROR(INDEX(РД[Стоимость без отделки итог],MATCH($B$3&amp;Таблица4[[#This Row],[№]]&amp;"Продажа",РД[Дом]&amp;РД[№ кв]&amp;РД[Состояние],0),1),Таблица4[[#This Row],[Статус]])</f>
        <v>5761793.0700000003</v>
      </c>
      <c r="F379" s="235">
        <f>IFERROR((Таблица4[[#This Row],[ПП]]-Таблица4[[#This Row],[ДДУ]])*1,"")</f>
        <v>0</v>
      </c>
      <c r="G379" s="235" cm="1">
        <f t="array" ref="G379">IFERROR(INDEX(РД[Стоимость с отделкой итог],MATCH($B$3&amp;Таблица4[[#This Row],[№]]&amp;"Продажа",РД[Дом]&amp;РД[№ кв]&amp;РД[Состояние],0),1),Таблица4[[#This Row],[Статус]])</f>
        <v>6033593.0700000003</v>
      </c>
      <c r="H379" s="235">
        <f>_xlfn.XLOOKUP(Таблица4[[#This Row],[№]],Реестр_Д4[№],Реестр_Д4[Стоимость квартиры с отделкой],"-",0)</f>
        <v>6033593.0700000003</v>
      </c>
      <c r="I379" s="235">
        <f>IFERROR(Таблица4[[#This Row],[СО ПП]]-Таблица4[[#This Row],[СО ДДУ]],"")</f>
        <v>0</v>
      </c>
      <c r="J379" s="233" cm="1">
        <f t="array" ref="J379">IFERROR(INDEX(РД[S],MATCH($B$3&amp;Таблица4[[#This Row],[№]]&amp;"Продажа",РД[Дом]&amp;РД[№ кв]&amp;РД[Состояние],0),1),Таблица4[[#This Row],[Статус]])</f>
        <v>67.95</v>
      </c>
      <c r="K379" s="233">
        <f>VLOOKUP(Таблица4[[#This Row],[№]],Реестр_Д4[],20,0)</f>
        <v>67.95</v>
      </c>
      <c r="L379" s="235">
        <f>IFERROR(Таблица4[[#This Row],[S ПП]]-Таблица4[[#This Row],[S ДДУ]],)</f>
        <v>0</v>
      </c>
      <c r="M379" s="235">
        <f>ROUND(_xlfn.XLOOKUP(Таблица4[[#This Row],[№]],Реестр_Д4[№],Реестр_Д4[Итоговая сумма скидки],"",0),2)</f>
        <v>271800</v>
      </c>
      <c r="N379" s="235" cm="1">
        <f t="array" ref="N379">IFERROR(ROUND(_xlfn.XLOOKUP($B$3&amp;Таблица4[[#This Row],[№]]&amp;"Продажа",РД[Дом]&amp;РД[№ кв]&amp;РД[Состояние],РД[Сумма скидки],"",0),2),Таблица4[[#This Row],[Статус]])</f>
        <v>271800</v>
      </c>
      <c r="O379" s="235">
        <f>IFERROR(Таблица4[[#This Row],[ППС]]-Таблица4[[#This Row],[ДДУС]],)</f>
        <v>0</v>
      </c>
      <c r="P379" s="611"/>
      <c r="Q379" s="234">
        <f>VLOOKUP(ППД5!A376,Реестр_Д5[№],1,0)</f>
        <v>375</v>
      </c>
      <c r="R379" s="234" t="str">
        <f>VLOOKUP(ППД5!CH376,Реестр_Д5[Статус],1,0)</f>
        <v>Продажа</v>
      </c>
      <c r="S379" s="612">
        <f>VLOOKUP(ППД5!BZ376,Реестр_Д5[Стоимость ОН без отделки со скидкой],1,0)</f>
        <v>3941265</v>
      </c>
      <c r="T379" s="612" cm="1">
        <f t="array" ref="T379">IFERROR(INDEX(РД[Стоимость без отделки итог],MATCH($Q$3&amp;Таблица10[[#This Row],[№]]&amp;"Продажа",РД[Дом]&amp;РД[№ кв]&amp;РД[Состояние],0),1),Таблица10[[#This Row],[Статус]])</f>
        <v>3941265</v>
      </c>
      <c r="U379" s="235">
        <f>IFERROR((Таблица10[[#This Row],[ПП]]-Таблица10[[#This Row],[ДДУ]])*1,)</f>
        <v>0</v>
      </c>
      <c r="V379" s="235" cm="1">
        <f t="array" ref="V379">IFERROR(INDEX(РД[Стоимость с отделкой итог],MATCH($Q$3&amp;Таблица10[[#This Row],[№]]&amp;"Продажа",РД[Дом]&amp;РД[№ кв]&amp;РД[Состояние],0),1),Таблица10[[#This Row],[Статус]])</f>
        <v>4707085</v>
      </c>
      <c r="W379" s="235">
        <f>_xlfn.XLOOKUP(Таблица10[[#This Row],[№]],Реестр_Д5[№],Реестр_Д5[Стоимость квартиры с отделкой],"-",0)</f>
        <v>4707085</v>
      </c>
      <c r="X379" s="235">
        <f>IFERROR(Таблица10[[#This Row],[СО ПП]]-Таблица10[[#This Row],[СО ДДУ]],"")</f>
        <v>0</v>
      </c>
      <c r="Y379" s="233" cm="1">
        <f t="array" ref="Y379">IFERROR(INDEX(РД[S],MATCH($Q$3&amp;Таблица10[[#This Row],[№]]&amp;"Продажа",РД[Дом]&amp;РД[№ кв]&amp;РД[Состояние],0),1),Таблица10[[#This Row],[Статус]])</f>
        <v>34.81</v>
      </c>
      <c r="Z379" s="233">
        <f>IF(Таблица10[[#This Row],[№]]&amp;"ДДУ"=ППД5!A376&amp;ППД5!CR376,ППД5!U376,ППД5!V376)</f>
        <v>34.81</v>
      </c>
      <c r="AA379" s="285">
        <f>IFERROR(Таблица10[[#This Row],[S ПП]]-Таблица10[[#This Row],[S ДДУ]],)</f>
        <v>0</v>
      </c>
      <c r="AB379" s="235">
        <f>ROUND(_xlfn.XLOOKUP(Таблица10[[#This Row],[№]],Реестр_Д5[№],Реестр_Д5[Итоговая сумма скидки],"",0),2)</f>
        <v>207435</v>
      </c>
      <c r="AC379" s="235" cm="1">
        <f t="array" ref="AC379">IFERROR(ROUND(_xlfn.XLOOKUP($Q$3&amp;Таблица10[[#This Row],[№]]&amp;"Продажа",РД[Дом]&amp;РД[№ кв]&amp;РД[Состояние],РД[Сумма скидки],"",0,-1),2),Таблица10[[#This Row],[Статус]])</f>
        <v>207435</v>
      </c>
      <c r="AD379" s="285">
        <f>IFERROR(Таблица10[[#This Row],[ППС]]-Таблица10[[#This Row],[ДДУС]],)</f>
        <v>0</v>
      </c>
      <c r="AE379" s="611"/>
      <c r="AT379" s="611"/>
    </row>
    <row r="380" spans="1:46" x14ac:dyDescent="0.2">
      <c r="A380" s="611"/>
      <c r="B380" s="234">
        <f>VLOOKUP(ППД4!A377,Реестр_Д4[№],1,0)</f>
        <v>376</v>
      </c>
      <c r="C380" s="234" t="str">
        <f>VLOOKUP(ППД4!CO377,Реестр_Д4[Статус],1,0)</f>
        <v>Продажа</v>
      </c>
      <c r="D380" s="612">
        <f>VLOOKUP(ППД4!CE377,Реестр_Д4[Стоимость ОН без отделки со скидкой],1,0)</f>
        <v>3162853.73</v>
      </c>
      <c r="E380" s="612" cm="1">
        <f t="array" ref="E380">IFERROR(INDEX(РД[Стоимость без отделки итог],MATCH($B$3&amp;Таблица4[[#This Row],[№]]&amp;"Продажа",РД[Дом]&amp;РД[№ кв]&amp;РД[Состояние],0),1),Таблица4[[#This Row],[Статус]])</f>
        <v>3162853.73</v>
      </c>
      <c r="F380" s="235">
        <f>IFERROR((Таблица4[[#This Row],[ПП]]-Таблица4[[#This Row],[ДДУ]])*1,"")</f>
        <v>0</v>
      </c>
      <c r="G380" s="235" cm="1">
        <f t="array" ref="G380">IFERROR(INDEX(РД[Стоимость с отделкой итог],MATCH($B$3&amp;Таблица4[[#This Row],[№]]&amp;"Продажа",РД[Дом]&amp;РД[№ кв]&amp;РД[Состояние],0),1),Таблица4[[#This Row],[Статус]])</f>
        <v>3326878.73</v>
      </c>
      <c r="H380" s="235">
        <f>_xlfn.XLOOKUP(Таблица4[[#This Row],[№]],Реестр_Д4[№],Реестр_Д4[Стоимость квартиры с отделкой],"-",0)</f>
        <v>3326878.73</v>
      </c>
      <c r="I380" s="235">
        <f>IFERROR(Таблица4[[#This Row],[СО ПП]]-Таблица4[[#This Row],[СО ДДУ]],"")</f>
        <v>0</v>
      </c>
      <c r="J380" s="233" cm="1">
        <f t="array" ref="J380">IFERROR(INDEX(РД[S],MATCH($B$3&amp;Таблица4[[#This Row],[№]]&amp;"Продажа",РД[Дом]&amp;РД[№ кв]&amp;РД[Состояние],0),1),Таблица4[[#This Row],[Статус]])</f>
        <v>36.450000000000003</v>
      </c>
      <c r="K380" s="233">
        <f>VLOOKUP(Таблица4[[#This Row],[№]],Реестр_Д4[],20,0)</f>
        <v>36.450000000000003</v>
      </c>
      <c r="L380" s="235">
        <f>IFERROR(Таблица4[[#This Row],[S ПП]]-Таблица4[[#This Row],[S ДДУ]],)</f>
        <v>0</v>
      </c>
      <c r="M380" s="235">
        <f>ROUND(_xlfn.XLOOKUP(Таблица4[[#This Row],[№]],Реестр_Д4[№],Реестр_Д4[Итоговая сумма скидки],"",0),2)</f>
        <v>351428.19</v>
      </c>
      <c r="N380" s="235" cm="1">
        <f t="array" ref="N380">IFERROR(ROUND(_xlfn.XLOOKUP($B$3&amp;Таблица4[[#This Row],[№]]&amp;"Продажа",РД[Дом]&amp;РД[№ кв]&amp;РД[Состояние],РД[Сумма скидки],"",0),2),Таблица4[[#This Row],[Статус]])</f>
        <v>351428.19</v>
      </c>
      <c r="O380" s="235">
        <f>IFERROR(Таблица4[[#This Row],[ППС]]-Таблица4[[#This Row],[ДДУС]],)</f>
        <v>0</v>
      </c>
      <c r="P380" s="611"/>
      <c r="Q380" s="234">
        <f>VLOOKUP(ППД5!A377,Реестр_Д5[№],1,0)</f>
        <v>376</v>
      </c>
      <c r="R380" s="234" t="str">
        <f>VLOOKUP(ППД5!CH377,Реестр_Д5[Статус],1,0)</f>
        <v>Продажа</v>
      </c>
      <c r="S380" s="612">
        <f>VLOOKUP(ППД5!BZ377,Реестр_Д5[Стоимость ОН без отделки со скидкой],1,0)</f>
        <v>7282178</v>
      </c>
      <c r="T380" s="612" cm="1">
        <f t="array" ref="T380">IFERROR(INDEX(РД[Стоимость без отделки итог],MATCH($Q$3&amp;Таблица10[[#This Row],[№]]&amp;"Продажа",РД[Дом]&amp;РД[№ кв]&amp;РД[Состояние],0),1),Таблица10[[#This Row],[Статус]])</f>
        <v>7282178</v>
      </c>
      <c r="U380" s="235">
        <f>IFERROR((Таблица10[[#This Row],[ПП]]-Таблица10[[#This Row],[ДДУ]])*1,)</f>
        <v>0</v>
      </c>
      <c r="V380" s="235" cm="1">
        <f t="array" ref="V380">IFERROR(INDEX(РД[Стоимость с отделкой итог],MATCH($Q$3&amp;Таблица10[[#This Row],[№]]&amp;"Продажа",РД[Дом]&amp;РД[№ кв]&amp;РД[Состояние],0),1),Таблица10[[#This Row],[Статус]])</f>
        <v>7282178</v>
      </c>
      <c r="W380" s="235">
        <f>_xlfn.XLOOKUP(Таблица10[[#This Row],[№]],Реестр_Д5[№],Реестр_Д5[Стоимость квартиры с отделкой],"-",0)</f>
        <v>7282178.0000000019</v>
      </c>
      <c r="X380" s="235">
        <f>IFERROR(Таблица10[[#This Row],[СО ПП]]-Таблица10[[#This Row],[СО ДДУ]],"")</f>
        <v>1.862645149230957E-9</v>
      </c>
      <c r="Y380" s="233" cm="1">
        <f t="array" ref="Y380">IFERROR(INDEX(РД[S],MATCH($Q$3&amp;Таблица10[[#This Row],[№]]&amp;"Продажа",РД[Дом]&amp;РД[№ кв]&amp;РД[Состояние],0),1),Таблица10[[#This Row],[Статус]])</f>
        <v>73.7</v>
      </c>
      <c r="Z380" s="233">
        <f>IF(Таблица10[[#This Row],[№]]&amp;"ДДУ"=ППД5!A377&amp;ППД5!CR377,ППД5!U377,ППД5!V377)</f>
        <v>73.7</v>
      </c>
      <c r="AA380" s="285">
        <f>IFERROR(Таблица10[[#This Row],[S ПП]]-Таблица10[[#This Row],[S ДДУ]],)</f>
        <v>0</v>
      </c>
      <c r="AB380" s="235">
        <f>ROUND(_xlfn.XLOOKUP(Таблица10[[#This Row],[№]],Реестр_Д5[№],Реестр_Д5[Итоговая сумма скидки],"",0),2)</f>
        <v>225222</v>
      </c>
      <c r="AC380" s="235" cm="1">
        <f t="array" ref="AC380">IFERROR(ROUND(_xlfn.XLOOKUP($Q$3&amp;Таблица10[[#This Row],[№]]&amp;"Продажа",РД[Дом]&amp;РД[№ кв]&amp;РД[Состояние],РД[Сумма скидки],"",0,-1),2),Таблица10[[#This Row],[Статус]])</f>
        <v>225222</v>
      </c>
      <c r="AD380" s="285">
        <f>IFERROR(Таблица10[[#This Row],[ППС]]-Таблица10[[#This Row],[ДДУС]],)</f>
        <v>0</v>
      </c>
      <c r="AE380" s="611"/>
      <c r="AT380" s="611"/>
    </row>
    <row r="381" spans="1:46" x14ac:dyDescent="0.2">
      <c r="A381" s="611"/>
      <c r="B381" s="234">
        <f>VLOOKUP(ППД4!A378,Реестр_Д4[№],1,0)</f>
        <v>377</v>
      </c>
      <c r="C381" s="234" t="str">
        <f>VLOOKUP(ППД4!CO378,Реестр_Д4[Статус],1,0)</f>
        <v>Продажа</v>
      </c>
      <c r="D381" s="612">
        <f>VLOOKUP(ППД4!CE378,Реестр_Д4[Стоимость ОН без отделки со скидкой],1,0)</f>
        <v>5920977</v>
      </c>
      <c r="E381" s="612" cm="1">
        <f t="array" ref="E381">IFERROR(INDEX(РД[Стоимость без отделки итог],MATCH($B$3&amp;Таблица4[[#This Row],[№]]&amp;"Продажа",РД[Дом]&amp;РД[№ кв]&amp;РД[Состояние],0),1),Таблица4[[#This Row],[Статус]])</f>
        <v>5920977</v>
      </c>
      <c r="F381" s="235">
        <f>IFERROR((Таблица4[[#This Row],[ПП]]-Таблица4[[#This Row],[ДДУ]])*1,"")</f>
        <v>0</v>
      </c>
      <c r="G381" s="235" cm="1">
        <f t="array" ref="G381">IFERROR(INDEX(РД[Стоимость с отделкой итог],MATCH($B$3&amp;Таблица4[[#This Row],[№]]&amp;"Продажа",РД[Дом]&amp;РД[№ кв]&amp;РД[Состояние],0),1),Таблица4[[#This Row],[Статус]])</f>
        <v>5920977</v>
      </c>
      <c r="H381" s="235">
        <f>_xlfn.XLOOKUP(Таблица4[[#This Row],[№]],Реестр_Д4[№],Реестр_Д4[Стоимость квартиры с отделкой],"-",0)</f>
        <v>5920977</v>
      </c>
      <c r="I381" s="235">
        <f>IFERROR(Таблица4[[#This Row],[СО ПП]]-Таблица4[[#This Row],[СО ДДУ]],"")</f>
        <v>0</v>
      </c>
      <c r="J381" s="233" cm="1">
        <f t="array" ref="J381">IFERROR(INDEX(РД[S],MATCH($B$3&amp;Таблица4[[#This Row],[№]]&amp;"Продажа",РД[Дом]&amp;РД[№ кв]&amp;РД[Состояние],0),1),Таблица4[[#This Row],[Статус]])</f>
        <v>58.55</v>
      </c>
      <c r="K381" s="233">
        <f>VLOOKUP(Таблица4[[#This Row],[№]],Реестр_Д4[],20,0)</f>
        <v>58.55</v>
      </c>
      <c r="L381" s="235">
        <f>IFERROR(Таблица4[[#This Row],[S ПП]]-Таблица4[[#This Row],[S ДДУ]],)</f>
        <v>0</v>
      </c>
      <c r="M381" s="235">
        <f>ROUND(_xlfn.XLOOKUP(Таблица4[[#This Row],[№]],Реестр_Д4[№],Реестр_Д4[Итоговая сумма скидки],"",0),2)</f>
        <v>183123</v>
      </c>
      <c r="N381" s="235" cm="1">
        <f t="array" ref="N381">IFERROR(ROUND(_xlfn.XLOOKUP($B$3&amp;Таблица4[[#This Row],[№]]&amp;"Продажа",РД[Дом]&amp;РД[№ кв]&amp;РД[Состояние],РД[Сумма скидки],"",0),2),Таблица4[[#This Row],[Статус]])</f>
        <v>183123</v>
      </c>
      <c r="O381" s="235">
        <f>IFERROR(Таблица4[[#This Row],[ППС]]-Таблица4[[#This Row],[ДДУС]],)</f>
        <v>0</v>
      </c>
      <c r="P381" s="611"/>
      <c r="Q381" s="234">
        <f>VLOOKUP(ППД5!A378,Реестр_Д5[№],1,0)</f>
        <v>377</v>
      </c>
      <c r="R381" s="234" t="str">
        <f>VLOOKUP(ППД5!CH378,Реестр_Д5[Статус],1,0)</f>
        <v>Продажа</v>
      </c>
      <c r="S381" s="612">
        <f>VLOOKUP(ППД5!BZ378,Реестр_Д5[Стоимость ОН без отделки со скидкой],1,0)</f>
        <v>3373000</v>
      </c>
      <c r="T381" s="612" cm="1">
        <f t="array" ref="T381">IFERROR(INDEX(РД[Стоимость без отделки итог],MATCH($Q$3&amp;Таблица10[[#This Row],[№]]&amp;"Продажа",РД[Дом]&amp;РД[№ кв]&amp;РД[Состояние],0),1),Таблица10[[#This Row],[Статус]])</f>
        <v>3373000</v>
      </c>
      <c r="U381" s="235">
        <f>IFERROR((Таблица10[[#This Row],[ПП]]-Таблица10[[#This Row],[ДДУ]])*1,)</f>
        <v>0</v>
      </c>
      <c r="V381" s="235" cm="1">
        <f t="array" ref="V381">IFERROR(INDEX(РД[Стоимость с отделкой итог],MATCH($Q$3&amp;Таблица10[[#This Row],[№]]&amp;"Продажа",РД[Дом]&amp;РД[№ кв]&amp;РД[Состояние],0),1),Таблица10[[#This Row],[Статус]])</f>
        <v>3863600</v>
      </c>
      <c r="W381" s="235">
        <f>_xlfn.XLOOKUP(Таблица10[[#This Row],[№]],Реестр_Д5[№],Реестр_Д5[Стоимость квартиры с отделкой],"-",0)</f>
        <v>3863600</v>
      </c>
      <c r="X381" s="235">
        <f>IFERROR(Таблица10[[#This Row],[СО ПП]]-Таблица10[[#This Row],[СО ДДУ]],"")</f>
        <v>0</v>
      </c>
      <c r="Y381" s="233" cm="1">
        <f t="array" ref="Y381">IFERROR(INDEX(РД[S],MATCH($Q$3&amp;Таблица10[[#This Row],[№]]&amp;"Продажа",РД[Дом]&amp;РД[№ кв]&amp;РД[Состояние],0),1),Таблица10[[#This Row],[Статус]])</f>
        <v>24.53</v>
      </c>
      <c r="Z381" s="233">
        <f>IF(Таблица10[[#This Row],[№]]&amp;"ДДУ"=ППД5!A378&amp;ППД5!CR378,ППД5!U378,ППД5!V378)</f>
        <v>24.53</v>
      </c>
      <c r="AA381" s="285">
        <f>IFERROR(Таблица10[[#This Row],[S ПП]]-Таблица10[[#This Row],[S ДДУ]],)</f>
        <v>0</v>
      </c>
      <c r="AB381" s="235">
        <f>ROUND(_xlfn.XLOOKUP(Таблица10[[#This Row],[№]],Реестр_Д5[№],Реестр_Д5[Итоговая сумма скидки],"",0),2)</f>
        <v>0</v>
      </c>
      <c r="AC381" s="235" cm="1">
        <f t="array" ref="AC38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81" s="285">
        <f>IFERROR(Таблица10[[#This Row],[ППС]]-Таблица10[[#This Row],[ДДУС]],)</f>
        <v>0</v>
      </c>
      <c r="AE381" s="611"/>
      <c r="AT381" s="611"/>
    </row>
    <row r="382" spans="1:46" x14ac:dyDescent="0.2">
      <c r="A382" s="611"/>
      <c r="B382" s="234">
        <f>VLOOKUP(ППД4!A379,Реестр_Д4[№],1,0)</f>
        <v>378</v>
      </c>
      <c r="C382" s="234" t="str">
        <f>VLOOKUP(ППД4!CO379,Реестр_Д4[Статус],1,0)</f>
        <v>Продажа</v>
      </c>
      <c r="D382" s="612">
        <f>VLOOKUP(ППД4!CE379,Реестр_Д4[Стоимость ОН без отделки со скидкой],1,0)</f>
        <v>4622737.8</v>
      </c>
      <c r="E382" s="612" cm="1">
        <f t="array" ref="E382">IFERROR(INDEX(РД[Стоимость без отделки итог],MATCH($B$3&amp;Таблица4[[#This Row],[№]]&amp;"Продажа",РД[Дом]&amp;РД[№ кв]&amp;РД[Состояние],0),1),Таблица4[[#This Row],[Статус]])</f>
        <v>4622737.8</v>
      </c>
      <c r="F382" s="235">
        <f>IFERROR((Таблица4[[#This Row],[ПП]]-Таблица4[[#This Row],[ДДУ]])*1,"")</f>
        <v>0</v>
      </c>
      <c r="G382" s="235" cm="1">
        <f t="array" ref="G382">IFERROR(INDEX(РД[Стоимость с отделкой итог],MATCH($B$3&amp;Таблица4[[#This Row],[№]]&amp;"Продажа",РД[Дом]&amp;РД[№ кв]&amp;РД[Состояние],0),1),Таблица4[[#This Row],[Статус]])</f>
        <v>5473237.7999999998</v>
      </c>
      <c r="H382" s="235">
        <f>_xlfn.XLOOKUP(Таблица4[[#This Row],[№]],Реестр_Д4[№],Реестр_Д4[Стоимость квартиры с отделкой],"-",0)</f>
        <v>5473237.7999999998</v>
      </c>
      <c r="I382" s="235">
        <f>IFERROR(Таблица4[[#This Row],[СО ПП]]-Таблица4[[#This Row],[СО ДДУ]],"")</f>
        <v>0</v>
      </c>
      <c r="J382" s="233" cm="1">
        <f t="array" ref="J382">IFERROR(INDEX(РД[S],MATCH($B$3&amp;Таблица4[[#This Row],[№]]&amp;"Продажа",РД[Дом]&amp;РД[№ кв]&amp;РД[Состояние],0),1),Таблица4[[#This Row],[Статус]])</f>
        <v>56.7</v>
      </c>
      <c r="K382" s="233">
        <f>VLOOKUP(Таблица4[[#This Row],[№]],Реестр_Д4[],20,0)</f>
        <v>56.7</v>
      </c>
      <c r="L382" s="235">
        <f>IFERROR(Таблица4[[#This Row],[S ПП]]-Таблица4[[#This Row],[S ДДУ]],)</f>
        <v>0</v>
      </c>
      <c r="M382" s="235">
        <f>ROUND(_xlfn.XLOOKUP(Таблица4[[#This Row],[№]],Реестр_Д4[№],Реестр_Д4[Итоговая сумма скидки],"",0),2)</f>
        <v>94341.59</v>
      </c>
      <c r="N382" s="235" cm="1">
        <f t="array" ref="N382">IFERROR(ROUND(_xlfn.XLOOKUP($B$3&amp;Таблица4[[#This Row],[№]]&amp;"Продажа",РД[Дом]&amp;РД[№ кв]&amp;РД[Состояние],РД[Сумма скидки],"",0),2),Таблица4[[#This Row],[Статус]])</f>
        <v>94341.59</v>
      </c>
      <c r="O382" s="235">
        <f>IFERROR(Таблица4[[#This Row],[ППС]]-Таблица4[[#This Row],[ДДУС]],)</f>
        <v>0</v>
      </c>
      <c r="P382" s="611"/>
      <c r="Q382" s="234">
        <f>VLOOKUP(ППД5!A379,Реестр_Д5[№],1,0)</f>
        <v>378</v>
      </c>
      <c r="R382" s="234" t="str">
        <f>VLOOKUP(ППД5!CH379,Реестр_Д5[Статус],1,0)</f>
        <v>Свободно</v>
      </c>
      <c r="S382" s="612">
        <f>VLOOKUP(ППД5!BZ379,Реестр_Д5[Стоимость ОН без отделки со скидкой],1,0)</f>
        <v>7636600</v>
      </c>
      <c r="T382" s="612" t="str" cm="1">
        <f t="array" ref="T38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82" s="235">
        <f>IFERROR((Таблица10[[#This Row],[ПП]]-Таблица10[[#This Row],[ДДУ]])*1,)</f>
        <v>0</v>
      </c>
      <c r="V382" s="235" t="str" cm="1">
        <f t="array" ref="V38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82" s="235">
        <f>_xlfn.XLOOKUP(Таблица10[[#This Row],[№]],Реестр_Д5[№],Реестр_Д5[Стоимость квартиры с отделкой],"-",0)</f>
        <v>7636600</v>
      </c>
      <c r="X382" s="235" t="str">
        <f>IFERROR(Таблица10[[#This Row],[СО ПП]]-Таблица10[[#This Row],[СО ДДУ]],"")</f>
        <v/>
      </c>
      <c r="Y382" s="233" t="str" cm="1">
        <f t="array" ref="Y382">IFERROR(INDEX(РД[S],MATCH($Q$3&amp;Таблица10[[#This Row],[№]]&amp;"Продажа",РД[Дом]&amp;РД[№ кв]&amp;РД[Состояние],0),1),Таблица10[[#This Row],[Статус]])</f>
        <v>Свободно</v>
      </c>
      <c r="Z382" s="233">
        <f>IF(Таблица10[[#This Row],[№]]&amp;"ДДУ"=ППД5!A379&amp;ППД5!CR379,ППД5!U379,ППД5!V379)</f>
        <v>56.45</v>
      </c>
      <c r="AA382" s="285">
        <f>IFERROR(Таблица10[[#This Row],[S ПП]]-Таблица10[[#This Row],[S ДДУ]],)</f>
        <v>0</v>
      </c>
      <c r="AB382" s="235">
        <f>ROUND(_xlfn.XLOOKUP(Таблица10[[#This Row],[№]],Реестр_Д5[№],Реестр_Д5[Итоговая сумма скидки],"",0),2)</f>
        <v>0</v>
      </c>
      <c r="AC382" s="235" t="str" cm="1">
        <f t="array" ref="AC38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82" s="285">
        <f>IFERROR(Таблица10[[#This Row],[ППС]]-Таблица10[[#This Row],[ДДУС]],)</f>
        <v>0</v>
      </c>
      <c r="AE382" s="611"/>
      <c r="AT382" s="611"/>
    </row>
    <row r="383" spans="1:46" x14ac:dyDescent="0.2">
      <c r="A383" s="611"/>
      <c r="B383" s="234">
        <f>VLOOKUP(ППД4!A380,Реестр_Д4[№],1,0)</f>
        <v>379</v>
      </c>
      <c r="C383" s="234" t="str">
        <f>VLOOKUP(ППД4!CO380,Реестр_Д4[Статус],1,0)</f>
        <v>Продажа</v>
      </c>
      <c r="D383" s="612">
        <f>VLOOKUP(ППД4!CE380,Реестр_Д4[Стоимость ОН без отделки со скидкой],1,0)</f>
        <v>5979810.5099999998</v>
      </c>
      <c r="E383" s="612" cm="1">
        <f t="array" ref="E383">IFERROR(INDEX(РД[Стоимость без отделки итог],MATCH($B$3&amp;Таблица4[[#This Row],[№]]&amp;"Продажа",РД[Дом]&amp;РД[№ кв]&amp;РД[Состояние],0),1),Таблица4[[#This Row],[Статус]])</f>
        <v>5979810.5099999998</v>
      </c>
      <c r="F383" s="235">
        <f>IFERROR((Таблица4[[#This Row],[ПП]]-Таблица4[[#This Row],[ДДУ]])*1,"")</f>
        <v>0</v>
      </c>
      <c r="G383" s="235" cm="1">
        <f t="array" ref="G383">IFERROR(INDEX(РД[Стоимость с отделкой итог],MATCH($B$3&amp;Таблица4[[#This Row],[№]]&amp;"Продажа",РД[Дом]&amp;РД[№ кв]&amp;РД[Состояние],0),1),Таблица4[[#This Row],[Статус]])</f>
        <v>6269850.5099999998</v>
      </c>
      <c r="H383" s="235">
        <f>_xlfn.XLOOKUP(Таблица4[[#This Row],[№]],Реестр_Д4[№],Реестр_Д4[Стоимость квартиры с отделкой],"-",0)</f>
        <v>6269850.5099999998</v>
      </c>
      <c r="I383" s="235">
        <f>IFERROR(Таблица4[[#This Row],[СО ПП]]-Таблица4[[#This Row],[СО ДДУ]],"")</f>
        <v>0</v>
      </c>
      <c r="J383" s="233" cm="1">
        <f t="array" ref="J383">IFERROR(INDEX(РД[S],MATCH($B$3&amp;Таблица4[[#This Row],[№]]&amp;"Продажа",РД[Дом]&amp;РД[№ кв]&amp;РД[Состояние],0),1),Таблица4[[#This Row],[Статус]])</f>
        <v>72.510000000000005</v>
      </c>
      <c r="K383" s="233">
        <f>VLOOKUP(Таблица4[[#This Row],[№]],Реестр_Д4[],20,0)</f>
        <v>72.510000000000005</v>
      </c>
      <c r="L383" s="235">
        <f>IFERROR(Таблица4[[#This Row],[S ПП]]-Таблица4[[#This Row],[S ДДУ]],)</f>
        <v>0</v>
      </c>
      <c r="M383" s="235">
        <f>ROUND(_xlfn.XLOOKUP(Таблица4[[#This Row],[№]],Реестр_Д4[№],Реестр_Д4[Итоговая сумма скидки],"",0),2)</f>
        <v>0</v>
      </c>
      <c r="N383" s="235" cm="1">
        <f t="array" ref="N38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83" s="235">
        <f>IFERROR(Таблица4[[#This Row],[ППС]]-Таблица4[[#This Row],[ДДУС]],)</f>
        <v>0</v>
      </c>
      <c r="P383" s="611"/>
      <c r="Q383" s="234">
        <f>VLOOKUP(ППД5!A380,Реестр_Д5[№],1,0)</f>
        <v>379</v>
      </c>
      <c r="R383" s="234" t="str">
        <f>VLOOKUP(ППД5!CH380,Реестр_Д5[Статус],1,0)</f>
        <v>Свободно</v>
      </c>
      <c r="S383" s="612">
        <f>VLOOKUP(ППД5!BZ380,Реестр_Д5[Стоимость ОН без отделки со скидкой],1,0)</f>
        <v>7947000</v>
      </c>
      <c r="T383" s="612" t="str" cm="1">
        <f t="array" ref="T38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83" s="235">
        <f>IFERROR((Таблица10[[#This Row],[ПП]]-Таблица10[[#This Row],[ДДУ]])*1,)</f>
        <v>0</v>
      </c>
      <c r="V383" s="235" t="str" cm="1">
        <f t="array" ref="V38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83" s="235">
        <f>_xlfn.XLOOKUP(Таблица10[[#This Row],[№]],Реестр_Д5[№],Реестр_Д5[Стоимость квартиры с отделкой],"-",0)</f>
        <v>7947000</v>
      </c>
      <c r="X383" s="235" t="str">
        <f>IFERROR(Таблица10[[#This Row],[СО ПП]]-Таблица10[[#This Row],[СО ДДУ]],"")</f>
        <v/>
      </c>
      <c r="Y383" s="233" t="str" cm="1">
        <f t="array" ref="Y383">IFERROR(INDEX(РД[S],MATCH($Q$3&amp;Таблица10[[#This Row],[№]]&amp;"Продажа",РД[Дом]&amp;РД[№ кв]&amp;РД[Состояние],0),1),Таблица10[[#This Row],[Статус]])</f>
        <v>Свободно</v>
      </c>
      <c r="Z383" s="233">
        <f>IF(Таблица10[[#This Row],[№]]&amp;"ДДУ"=ППД5!A380&amp;ППД5!CR380,ППД5!U380,ППД5!V380)</f>
        <v>60.150000000000006</v>
      </c>
      <c r="AA383" s="285">
        <f>IFERROR(Таблица10[[#This Row],[S ПП]]-Таблица10[[#This Row],[S ДДУ]],)</f>
        <v>0</v>
      </c>
      <c r="AB383" s="235">
        <f>ROUND(_xlfn.XLOOKUP(Таблица10[[#This Row],[№]],Реестр_Д5[№],Реестр_Д5[Итоговая сумма скидки],"",0),2)</f>
        <v>0</v>
      </c>
      <c r="AC383" s="235" t="str" cm="1">
        <f t="array" ref="AC38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83" s="285">
        <f>IFERROR(Таблица10[[#This Row],[ППС]]-Таблица10[[#This Row],[ДДУС]],)</f>
        <v>0</v>
      </c>
      <c r="AE383" s="611"/>
      <c r="AT383" s="611"/>
    </row>
    <row r="384" spans="1:46" x14ac:dyDescent="0.2">
      <c r="A384" s="611"/>
      <c r="B384" s="234">
        <f>VLOOKUP(ППД4!A381,Реестр_Д4[№],1,0)</f>
        <v>380</v>
      </c>
      <c r="C384" s="234" t="str">
        <f>VLOOKUP(ППД4!CO381,Реестр_Д4[Статус],1,0)</f>
        <v>Продажа</v>
      </c>
      <c r="D384" s="612">
        <f>VLOOKUP(ППД4!CE381,Реестр_Д4[Стоимость ОН без отделки со скидкой],1,0)</f>
        <v>3970671.9</v>
      </c>
      <c r="E384" s="612" cm="1">
        <f t="array" ref="E384">IFERROR(INDEX(РД[Стоимость без отделки итог],MATCH($B$3&amp;Таблица4[[#This Row],[№]]&amp;"Продажа",РД[Дом]&amp;РД[№ кв]&amp;РД[Состояние],0),1),Таблица4[[#This Row],[Статус]])</f>
        <v>3970671.9000000004</v>
      </c>
      <c r="F384" s="235">
        <f>IFERROR((Таблица4[[#This Row],[ПП]]-Таблица4[[#This Row],[ДДУ]])*1,"")</f>
        <v>-4.6566128730773926E-10</v>
      </c>
      <c r="G384" s="235" cm="1">
        <f t="array" ref="G384">IFERROR(INDEX(РД[Стоимость с отделкой итог],MATCH($B$3&amp;Таблица4[[#This Row],[№]]&amp;"Продажа",РД[Дом]&amp;РД[№ кв]&amp;РД[Состояние],0),1),Таблица4[[#This Row],[Статус]])</f>
        <v>4224471.9000000004</v>
      </c>
      <c r="H384" s="235">
        <f>_xlfn.XLOOKUP(Таблица4[[#This Row],[№]],Реестр_Д4[№],Реестр_Д4[Стоимость квартиры с отделкой],"-",0)</f>
        <v>4224471.9000000004</v>
      </c>
      <c r="I384" s="235">
        <f>IFERROR(Таблица4[[#This Row],[СО ПП]]-Таблица4[[#This Row],[СО ДДУ]],"")</f>
        <v>0</v>
      </c>
      <c r="J384" s="233" cm="1">
        <f t="array" ref="J384">IFERROR(INDEX(РД[S],MATCH($B$3&amp;Таблица4[[#This Row],[№]]&amp;"Продажа",РД[Дом]&amp;РД[№ кв]&amp;РД[Состояние],0),1),Таблица4[[#This Row],[Статус]])</f>
        <v>33.840000000000003</v>
      </c>
      <c r="K384" s="233">
        <f>VLOOKUP(Таблица4[[#This Row],[№]],Реестр_Д4[],20,0)</f>
        <v>33.840000000000003</v>
      </c>
      <c r="L384" s="235">
        <f>IFERROR(Таблица4[[#This Row],[S ПП]]-Таблица4[[#This Row],[S ДДУ]],)</f>
        <v>0</v>
      </c>
      <c r="M384" s="235">
        <f>ROUND(_xlfn.XLOOKUP(Таблица4[[#This Row],[№]],Реестр_Д4[№],Реестр_Д4[Итоговая сумма скидки],"",0),2)</f>
        <v>0</v>
      </c>
      <c r="N384" s="235" cm="1">
        <f t="array" ref="N38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84" s="235">
        <f>IFERROR(Таблица4[[#This Row],[ППС]]-Таблица4[[#This Row],[ДДУС]],)</f>
        <v>0</v>
      </c>
      <c r="P384" s="611"/>
      <c r="Q384" s="234">
        <f>VLOOKUP(ППД5!A381,Реестр_Д5[№],1,0)</f>
        <v>380</v>
      </c>
      <c r="R384" s="234" t="str">
        <f>VLOOKUP(ППД5!CH381,Реестр_Д5[Статус],1,0)</f>
        <v>Свободно</v>
      </c>
      <c r="S384" s="612">
        <f>VLOOKUP(ППД5!BZ381,Реестр_Д5[Стоимость ОН без отделки со скидкой],1,0)</f>
        <v>5559100</v>
      </c>
      <c r="T384" s="612" t="str" cm="1">
        <f t="array" ref="T38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84" s="235">
        <f>IFERROR((Таблица10[[#This Row],[ПП]]-Таблица10[[#This Row],[ДДУ]])*1,)</f>
        <v>0</v>
      </c>
      <c r="V384" s="235" t="str" cm="1">
        <f t="array" ref="V38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84" s="235">
        <f>_xlfn.XLOOKUP(Таблица10[[#This Row],[№]],Реестр_Д5[№],Реестр_Д5[Стоимость квартиры с отделкой],"-",0)</f>
        <v>5559100</v>
      </c>
      <c r="X384" s="235" t="str">
        <f>IFERROR(Таблица10[[#This Row],[СО ПП]]-Таблица10[[#This Row],[СО ДДУ]],"")</f>
        <v/>
      </c>
      <c r="Y384" s="233" t="str" cm="1">
        <f t="array" ref="Y384">IFERROR(INDEX(РД[S],MATCH($Q$3&amp;Таблица10[[#This Row],[№]]&amp;"Продажа",РД[Дом]&amp;РД[№ кв]&amp;РД[Состояние],0),1),Таблица10[[#This Row],[Статус]])</f>
        <v>Свободно</v>
      </c>
      <c r="Z384" s="233">
        <f>IF(Таблица10[[#This Row],[№]]&amp;"ДДУ"=ППД5!A381&amp;ППД5!CR381,ППД5!U381,ППД5!V381)</f>
        <v>37.4</v>
      </c>
      <c r="AA384" s="285">
        <f>IFERROR(Таблица10[[#This Row],[S ПП]]-Таблица10[[#This Row],[S ДДУ]],)</f>
        <v>0</v>
      </c>
      <c r="AB384" s="235">
        <f>ROUND(_xlfn.XLOOKUP(Таблица10[[#This Row],[№]],Реестр_Д5[№],Реестр_Д5[Итоговая сумма скидки],"",0),2)</f>
        <v>0</v>
      </c>
      <c r="AC384" s="235" t="str" cm="1">
        <f t="array" ref="AC38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84" s="285">
        <f>IFERROR(Таблица10[[#This Row],[ППС]]-Таблица10[[#This Row],[ДДУС]],)</f>
        <v>0</v>
      </c>
      <c r="AE384" s="611"/>
      <c r="AT384" s="611"/>
    </row>
    <row r="385" spans="1:46" x14ac:dyDescent="0.2">
      <c r="A385" s="611"/>
      <c r="B385" s="234">
        <f>VLOOKUP(ППД4!A382,Реестр_Д4[№],1,0)</f>
        <v>381</v>
      </c>
      <c r="C385" s="234" t="str">
        <f>VLOOKUP(ППД4!CO382,Реестр_Д4[Статус],1,0)</f>
        <v>Продажа</v>
      </c>
      <c r="D385" s="612">
        <f>VLOOKUP(ППД4!CE382,Реестр_Д4[Стоимость ОН без отделки со скидкой],1,0)</f>
        <v>2998490.51</v>
      </c>
      <c r="E385" s="612" cm="1">
        <f t="array" ref="E385">IFERROR(INDEX(РД[Стоимость без отделки итог],MATCH($B$3&amp;Таблица4[[#This Row],[№]]&amp;"Продажа",РД[Дом]&amp;РД[№ кв]&amp;РД[Состояние],0),1),Таблица4[[#This Row],[Статус]])</f>
        <v>2998490.51</v>
      </c>
      <c r="F385" s="235">
        <f>IFERROR((Таблица4[[#This Row],[ПП]]-Таблица4[[#This Row],[ДДУ]])*1,"")</f>
        <v>0</v>
      </c>
      <c r="G385" s="235" cm="1">
        <f t="array" ref="G385">IFERROR(INDEX(РД[Стоимость с отделкой итог],MATCH($B$3&amp;Таблица4[[#This Row],[№]]&amp;"Продажа",РД[Дом]&amp;РД[№ кв]&amp;РД[Состояние],0),1),Таблица4[[#This Row],[Статус]])</f>
        <v>3438740.51</v>
      </c>
      <c r="H385" s="235">
        <f>_xlfn.XLOOKUP(Таблица4[[#This Row],[№]],Реестр_Д4[№],Реестр_Д4[Стоимость квартиры с отделкой],"-",0)</f>
        <v>3438740.51</v>
      </c>
      <c r="I385" s="235">
        <f>IFERROR(Таблица4[[#This Row],[СО ПП]]-Таблица4[[#This Row],[СО ДДУ]],"")</f>
        <v>0</v>
      </c>
      <c r="J385" s="233" cm="1">
        <f t="array" ref="J385">IFERROR(INDEX(РД[S],MATCH($B$3&amp;Таблица4[[#This Row],[№]]&amp;"Продажа",РД[Дом]&amp;РД[№ кв]&amp;РД[Состояние],0),1),Таблица4[[#This Row],[Статус]])</f>
        <v>29.35</v>
      </c>
      <c r="K385" s="233">
        <f>VLOOKUP(Таблица4[[#This Row],[№]],Реестр_Д4[],20,0)</f>
        <v>29.35</v>
      </c>
      <c r="L385" s="235">
        <f>IFERROR(Таблица4[[#This Row],[S ПП]]-Таблица4[[#This Row],[S ДДУ]],)</f>
        <v>0</v>
      </c>
      <c r="M385" s="235">
        <f>ROUND(_xlfn.XLOOKUP(Таблица4[[#This Row],[№]],Реестр_Д4[№],Реестр_Д4[Итоговая сумма скидки],"",0),2)</f>
        <v>0</v>
      </c>
      <c r="N385" s="235" cm="1">
        <f t="array" ref="N38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85" s="235">
        <f>IFERROR(Таблица4[[#This Row],[ППС]]-Таблица4[[#This Row],[ДДУС]],)</f>
        <v>0</v>
      </c>
      <c r="P385" s="611"/>
      <c r="Q385" s="234">
        <f>VLOOKUP(ППД5!A382,Реестр_Д5[№],1,0)</f>
        <v>381</v>
      </c>
      <c r="R385" s="234" t="str">
        <f>VLOOKUP(ППД5!CH382,Реестр_Д5[Статус],1,0)</f>
        <v>Свободно</v>
      </c>
      <c r="S385" s="612">
        <f>VLOOKUP(ППД5!BZ382,Реестр_Д5[Стоимость ОН без отделки со скидкой],1,0)</f>
        <v>9865900</v>
      </c>
      <c r="T385" s="612" t="str" cm="1">
        <f t="array" ref="T38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85" s="235">
        <f>IFERROR((Таблица10[[#This Row],[ПП]]-Таблица10[[#This Row],[ДДУ]])*1,)</f>
        <v>0</v>
      </c>
      <c r="V385" s="235" t="str" cm="1">
        <f t="array" ref="V38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85" s="235">
        <f>_xlfn.XLOOKUP(Таблица10[[#This Row],[№]],Реестр_Д5[№],Реестр_Д5[Стоимость квартиры с отделкой],"-",0)</f>
        <v>9865900</v>
      </c>
      <c r="X385" s="235" t="str">
        <f>IFERROR(Таблица10[[#This Row],[СО ПП]]-Таблица10[[#This Row],[СО ДДУ]],"")</f>
        <v/>
      </c>
      <c r="Y385" s="233" t="str" cm="1">
        <f t="array" ref="Y385">IFERROR(INDEX(РД[S],MATCH($Q$3&amp;Таблица10[[#This Row],[№]]&amp;"Продажа",РД[Дом]&amp;РД[№ кв]&amp;РД[Состояние],0),1),Таблица10[[#This Row],[Статус]])</f>
        <v>Свободно</v>
      </c>
      <c r="Z385" s="233">
        <f>IF(Таблица10[[#This Row],[№]]&amp;"ДДУ"=ППД5!A382&amp;ППД5!CR382,ППД5!U382,ППД5!V382)</f>
        <v>80.45</v>
      </c>
      <c r="AA385" s="285">
        <f>IFERROR(Таблица10[[#This Row],[S ПП]]-Таблица10[[#This Row],[S ДДУ]],)</f>
        <v>0</v>
      </c>
      <c r="AB385" s="235">
        <f>ROUND(_xlfn.XLOOKUP(Таблица10[[#This Row],[№]],Реестр_Д5[№],Реестр_Д5[Итоговая сумма скидки],"",0),2)</f>
        <v>0</v>
      </c>
      <c r="AC385" s="235" t="str" cm="1">
        <f t="array" ref="AC38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85" s="285">
        <f>IFERROR(Таблица10[[#This Row],[ППС]]-Таблица10[[#This Row],[ДДУС]],)</f>
        <v>0</v>
      </c>
      <c r="AE385" s="611"/>
      <c r="AT385" s="611"/>
    </row>
    <row r="386" spans="1:46" x14ac:dyDescent="0.2">
      <c r="A386" s="611"/>
      <c r="B386" s="234">
        <f>VLOOKUP(ППД4!A383,Реестр_Д4[№],1,0)</f>
        <v>382</v>
      </c>
      <c r="C386" s="234" t="str">
        <f>VLOOKUP(ППД4!CO383,Реестр_Д4[Статус],1,0)</f>
        <v>Продажа</v>
      </c>
      <c r="D386" s="612">
        <f>VLOOKUP(ППД4!CE383,Реестр_Д4[Стоимость ОН без отделки со скидкой],1,0)</f>
        <v>6680448</v>
      </c>
      <c r="E386" s="612" cm="1">
        <f t="array" ref="E386">IFERROR(INDEX(РД[Стоимость без отделки итог],MATCH($B$3&amp;Таблица4[[#This Row],[№]]&amp;"Продажа",РД[Дом]&amp;РД[№ кв]&amp;РД[Состояние],0),1),Таблица4[[#This Row],[Статус]])</f>
        <v>6680448</v>
      </c>
      <c r="F386" s="235">
        <f>IFERROR((Таблица4[[#This Row],[ПП]]-Таблица4[[#This Row],[ДДУ]])*1,"")</f>
        <v>0</v>
      </c>
      <c r="G386" s="235" cm="1">
        <f t="array" ref="G386">IFERROR(INDEX(РД[Стоимость с отделкой итог],MATCH($B$3&amp;Таблица4[[#This Row],[№]]&amp;"Продажа",РД[Дом]&amp;РД[№ кв]&amp;РД[Состояние],0),1),Таблица4[[#This Row],[Статус]])</f>
        <v>7190073</v>
      </c>
      <c r="H386" s="235">
        <f>_xlfn.XLOOKUP(Таблица4[[#This Row],[№]],Реестр_Д4[№],Реестр_Д4[Стоимость квартиры с отделкой],"-",0)</f>
        <v>7190073</v>
      </c>
      <c r="I386" s="235">
        <f>IFERROR(Таблица4[[#This Row],[СО ПП]]-Таблица4[[#This Row],[СО ДДУ]],"")</f>
        <v>0</v>
      </c>
      <c r="J386" s="233" cm="1">
        <f t="array" ref="J386">IFERROR(INDEX(РД[S],MATCH($B$3&amp;Таблица4[[#This Row],[№]]&amp;"Продажа",РД[Дом]&amp;РД[№ кв]&amp;РД[Состояние],0),1),Таблица4[[#This Row],[Статус]])</f>
        <v>67.95</v>
      </c>
      <c r="K386" s="233">
        <f>VLOOKUP(Таблица4[[#This Row],[№]],Реестр_Д4[],20,0)</f>
        <v>67.95</v>
      </c>
      <c r="L386" s="235">
        <f>IFERROR(Таблица4[[#This Row],[S ПП]]-Таблица4[[#This Row],[S ДДУ]],)</f>
        <v>0</v>
      </c>
      <c r="M386" s="235">
        <f>ROUND(_xlfn.XLOOKUP(Таблица4[[#This Row],[№]],Реестр_Д4[№],Реестр_Д4[Итоговая сумма скидки],"",0),2)</f>
        <v>278352</v>
      </c>
      <c r="N386" s="235" cm="1">
        <f t="array" ref="N386">IFERROR(ROUND(_xlfn.XLOOKUP($B$3&amp;Таблица4[[#This Row],[№]]&amp;"Продажа",РД[Дом]&amp;РД[№ кв]&amp;РД[Состояние],РД[Сумма скидки],"",0),2),Таблица4[[#This Row],[Статус]])</f>
        <v>278352</v>
      </c>
      <c r="O386" s="235">
        <f>IFERROR(Таблица4[[#This Row],[ППС]]-Таблица4[[#This Row],[ДДУС]],)</f>
        <v>0</v>
      </c>
      <c r="P386" s="611"/>
      <c r="Q386" s="234">
        <f>VLOOKUP(ППД5!A383,Реестр_Д5[№],1,0)</f>
        <v>382</v>
      </c>
      <c r="R386" s="234" t="str">
        <f>VLOOKUP(ППД5!CH383,Реестр_Д5[Статус],1,0)</f>
        <v>Продажа</v>
      </c>
      <c r="S386" s="612">
        <f>VLOOKUP(ППД5!BZ383,Реестр_Д5[Стоимость ОН без отделки со скидкой],1,0)</f>
        <v>3335290.21</v>
      </c>
      <c r="T386" s="612" cm="1">
        <f t="array" ref="T386">IFERROR(INDEX(РД[Стоимость без отделки итог],MATCH($Q$3&amp;Таблица10[[#This Row],[№]]&amp;"Продажа",РД[Дом]&amp;РД[№ кв]&amp;РД[Состояние],0),1),Таблица10[[#This Row],[Статус]])</f>
        <v>3335290.21</v>
      </c>
      <c r="U386" s="235">
        <f>IFERROR((Таблица10[[#This Row],[ПП]]-Таблица10[[#This Row],[ДДУ]])*1,)</f>
        <v>0</v>
      </c>
      <c r="V386" s="235" cm="1">
        <f t="array" ref="V386">IFERROR(INDEX(РД[Стоимость с отделкой итог],MATCH($Q$3&amp;Таблица10[[#This Row],[№]]&amp;"Продажа",РД[Дом]&amp;РД[№ кв]&amp;РД[Состояние],0),1),Таблица10[[#This Row],[Статус]])</f>
        <v>3509340.21</v>
      </c>
      <c r="W386" s="235">
        <f>_xlfn.XLOOKUP(Таблица10[[#This Row],[№]],Реестр_Д5[№],Реестр_Д5[Стоимость квартиры с отделкой],"-",0)</f>
        <v>3509340.21</v>
      </c>
      <c r="X386" s="235">
        <f>IFERROR(Таблица10[[#This Row],[СО ПП]]-Таблица10[[#This Row],[СО ДДУ]],"")</f>
        <v>0</v>
      </c>
      <c r="Y386" s="233" cm="1">
        <f t="array" ref="Y386">IFERROR(INDEX(РД[S],MATCH($Q$3&amp;Таблица10[[#This Row],[№]]&amp;"Продажа",РД[Дом]&amp;РД[№ кв]&amp;РД[Состояние],0),1),Таблица10[[#This Row],[Статус]])</f>
        <v>34.81</v>
      </c>
      <c r="Z386" s="233">
        <f>IF(Таблица10[[#This Row],[№]]&amp;"ДДУ"=ППД5!A383&amp;ППД5!CR383,ППД5!U383,ППД5!V383)</f>
        <v>34.81</v>
      </c>
      <c r="AA386" s="285">
        <f>IFERROR(Таблица10[[#This Row],[S ПП]]-Таблица10[[#This Row],[S ДДУ]],)</f>
        <v>0</v>
      </c>
      <c r="AB386" s="235">
        <f>ROUND(_xlfn.XLOOKUP(Таблица10[[#This Row],[№]],Реестр_Д5[№],Реестр_Д5[Итоговая сумма скидки],"",0),2)</f>
        <v>0</v>
      </c>
      <c r="AC386" s="235" cm="1">
        <f t="array" ref="AC38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86" s="285">
        <f>IFERROR(Таблица10[[#This Row],[ППС]]-Таблица10[[#This Row],[ДДУС]],)</f>
        <v>0</v>
      </c>
      <c r="AE386" s="611"/>
      <c r="AT386" s="611"/>
    </row>
    <row r="387" spans="1:46" x14ac:dyDescent="0.2">
      <c r="A387" s="611"/>
      <c r="B387" s="234">
        <f>VLOOKUP(ППД4!A384,Реестр_Д4[№],1,0)</f>
        <v>383</v>
      </c>
      <c r="C387" s="234" t="str">
        <f>VLOOKUP(ППД4!CO384,Реестр_Д4[Статус],1,0)</f>
        <v>Продажа</v>
      </c>
      <c r="D387" s="612">
        <f>VLOOKUP(ППД4!CE384,Реестр_Д4[Стоимость ОН без отделки со скидкой],1,0)</f>
        <v>3356369.12</v>
      </c>
      <c r="E387" s="612" cm="1">
        <f t="array" ref="E387">IFERROR(INDEX(РД[Стоимость без отделки итог],MATCH($B$3&amp;Таблица4[[#This Row],[№]]&amp;"Продажа",РД[Дом]&amp;РД[№ кв]&amp;РД[Состояние],0),1),Таблица4[[#This Row],[Статус]])</f>
        <v>3356369.12</v>
      </c>
      <c r="F387" s="235">
        <f>IFERROR((Таблица4[[#This Row],[ПП]]-Таблица4[[#This Row],[ДДУ]])*1,"")</f>
        <v>0</v>
      </c>
      <c r="G387" s="235" cm="1">
        <f t="array" ref="G387">IFERROR(INDEX(РД[Стоимость с отделкой итог],MATCH($B$3&amp;Таблица4[[#This Row],[№]]&amp;"Продажа",РД[Дом]&amp;РД[№ кв]&amp;РД[Состояние],0),1),Таблица4[[#This Row],[Статус]])</f>
        <v>3356369.12</v>
      </c>
      <c r="H387" s="235">
        <f>_xlfn.XLOOKUP(Таблица4[[#This Row],[№]],Реестр_Д4[№],Реестр_Д4[Стоимость квартиры с отделкой],"-",0)</f>
        <v>3356369.12</v>
      </c>
      <c r="I387" s="235">
        <f>IFERROR(Таблица4[[#This Row],[СО ПП]]-Таблица4[[#This Row],[СО ДДУ]],"")</f>
        <v>0</v>
      </c>
      <c r="J387" s="233" cm="1">
        <f t="array" ref="J387">IFERROR(INDEX(РД[S],MATCH($B$3&amp;Таблица4[[#This Row],[№]]&amp;"Продажа",РД[Дом]&amp;РД[№ кв]&amp;РД[Состояние],0),1),Таблица4[[#This Row],[Статус]])</f>
        <v>36.450000000000003</v>
      </c>
      <c r="K387" s="233">
        <f>VLOOKUP(Таблица4[[#This Row],[№]],Реестр_Д4[],20,0)</f>
        <v>36.450000000000003</v>
      </c>
      <c r="L387" s="235">
        <f>IFERROR(Таблица4[[#This Row],[S ПП]]-Таблица4[[#This Row],[S ДДУ]],)</f>
        <v>0</v>
      </c>
      <c r="M387" s="235">
        <f>ROUND(_xlfn.XLOOKUP(Таблица4[[#This Row],[№]],Реестр_Д4[№],Реестр_Д4[Итоговая сумма скидки],"",0),2)</f>
        <v>55555</v>
      </c>
      <c r="N387" s="235" cm="1">
        <f t="array" ref="N387">IFERROR(ROUND(_xlfn.XLOOKUP($B$3&amp;Таблица4[[#This Row],[№]]&amp;"Продажа",РД[Дом]&amp;РД[№ кв]&amp;РД[Состояние],РД[Сумма скидки],"",0),2),Таблица4[[#This Row],[Статус]])</f>
        <v>55555</v>
      </c>
      <c r="O387" s="235">
        <f>IFERROR(Таблица4[[#This Row],[ППС]]-Таблица4[[#This Row],[ДДУС]],)</f>
        <v>0</v>
      </c>
      <c r="P387" s="611"/>
      <c r="Q387" s="234">
        <f>VLOOKUP(ППД5!A384,Реестр_Д5[№],1,0)</f>
        <v>383</v>
      </c>
      <c r="R387" s="234" t="str">
        <f>VLOOKUP(ППД5!CH384,Реестр_Д5[Статус],1,0)</f>
        <v>Свободно</v>
      </c>
      <c r="S387" s="612">
        <f>VLOOKUP(ППД5!BZ384,Реестр_Д5[Стоимость ОН без отделки со скидкой],1,0)</f>
        <v>9261600</v>
      </c>
      <c r="T387" s="612" t="str" cm="1">
        <f t="array" ref="T38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87" s="235">
        <f>IFERROR((Таблица10[[#This Row],[ПП]]-Таблица10[[#This Row],[ДДУ]])*1,)</f>
        <v>0</v>
      </c>
      <c r="V387" s="235" t="str" cm="1">
        <f t="array" ref="V38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87" s="235">
        <f>_xlfn.XLOOKUP(Таблица10[[#This Row],[№]],Реестр_Д5[№],Реестр_Д5[Стоимость квартиры с отделкой],"-",0)</f>
        <v>9261600</v>
      </c>
      <c r="X387" s="235" t="str">
        <f>IFERROR(Таблица10[[#This Row],[СО ПП]]-Таблица10[[#This Row],[СО ДДУ]],"")</f>
        <v/>
      </c>
      <c r="Y387" s="233" t="str" cm="1">
        <f t="array" ref="Y387">IFERROR(INDEX(РД[S],MATCH($Q$3&amp;Таблица10[[#This Row],[№]]&amp;"Продажа",РД[Дом]&amp;РД[№ кв]&amp;РД[Состояние],0),1),Таблица10[[#This Row],[Статус]])</f>
        <v>Свободно</v>
      </c>
      <c r="Z387" s="233">
        <f>IF(Таблица10[[#This Row],[№]]&amp;"ДДУ"=ППД5!A384&amp;ППД5!CR384,ППД5!U384,ППД5!V384)</f>
        <v>73.149999999999977</v>
      </c>
      <c r="AA387" s="285">
        <f>IFERROR(Таблица10[[#This Row],[S ПП]]-Таблица10[[#This Row],[S ДДУ]],)</f>
        <v>0</v>
      </c>
      <c r="AB387" s="235">
        <f>ROUND(_xlfn.XLOOKUP(Таблица10[[#This Row],[№]],Реестр_Д5[№],Реестр_Д5[Итоговая сумма скидки],"",0),2)</f>
        <v>0</v>
      </c>
      <c r="AC387" s="235" t="str" cm="1">
        <f t="array" ref="AC38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87" s="285">
        <f>IFERROR(Таблица10[[#This Row],[ППС]]-Таблица10[[#This Row],[ДДУС]],)</f>
        <v>0</v>
      </c>
      <c r="AE387" s="611"/>
      <c r="AT387" s="611"/>
    </row>
    <row r="388" spans="1:46" x14ac:dyDescent="0.2">
      <c r="A388" s="611"/>
      <c r="B388" s="234">
        <f>VLOOKUP(ППД4!A385,Реестр_Д4[№],1,0)</f>
        <v>384</v>
      </c>
      <c r="C388" s="234" t="str">
        <f>VLOOKUP(ППД4!CO385,Реестр_Д4[Статус],1,0)</f>
        <v>Продажа</v>
      </c>
      <c r="D388" s="612">
        <f>VLOOKUP(ППД4!CE385,Реестр_Д4[Стоимость ОН без отделки со скидкой],1,0)</f>
        <v>5168634.74</v>
      </c>
      <c r="E388" s="612" cm="1">
        <f t="array" ref="E388">IFERROR(INDEX(РД[Стоимость без отделки итог],MATCH($B$3&amp;Таблица4[[#This Row],[№]]&amp;"Продажа",РД[Дом]&amp;РД[№ кв]&amp;РД[Состояние],0),1),Таблица4[[#This Row],[Статус]])</f>
        <v>5168634.74</v>
      </c>
      <c r="F388" s="235">
        <f>IFERROR((Таблица4[[#This Row],[ПП]]-Таблица4[[#This Row],[ДДУ]])*1,"")</f>
        <v>0</v>
      </c>
      <c r="G388" s="235" cm="1">
        <f t="array" ref="G388">IFERROR(INDEX(РД[Стоимость с отделкой итог],MATCH($B$3&amp;Таблица4[[#This Row],[№]]&amp;"Продажа",РД[Дом]&amp;РД[№ кв]&amp;РД[Состояние],0),1),Таблица4[[#This Row],[Статус]])</f>
        <v>5402834.7400000002</v>
      </c>
      <c r="H388" s="235">
        <f>_xlfn.XLOOKUP(Таблица4[[#This Row],[№]],Реестр_Д4[№],Реестр_Д4[Стоимость квартиры с отделкой],"-",0)</f>
        <v>5402834.7400000002</v>
      </c>
      <c r="I388" s="235">
        <f>IFERROR(Таблица4[[#This Row],[СО ПП]]-Таблица4[[#This Row],[СО ДДУ]],"")</f>
        <v>0</v>
      </c>
      <c r="J388" s="233" cm="1">
        <f t="array" ref="J388">IFERROR(INDEX(РД[S],MATCH($B$3&amp;Таблица4[[#This Row],[№]]&amp;"Продажа",РД[Дом]&amp;РД[№ кв]&amp;РД[Состояние],0),1),Таблица4[[#This Row],[Статус]])</f>
        <v>58.55</v>
      </c>
      <c r="K388" s="233">
        <f>VLOOKUP(Таблица4[[#This Row],[№]],Реестр_Д4[],20,0)</f>
        <v>58.55</v>
      </c>
      <c r="L388" s="235">
        <f>IFERROR(Таблица4[[#This Row],[S ПП]]-Таблица4[[#This Row],[S ДДУ]],)</f>
        <v>0</v>
      </c>
      <c r="M388" s="235">
        <f>ROUND(_xlfn.XLOOKUP(Таблица4[[#This Row],[№]],Реестр_Д4[№],Реестр_Д4[Итоговая сумма скидки],"",0),2)</f>
        <v>0</v>
      </c>
      <c r="N388" s="235" cm="1">
        <f t="array" ref="N38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88" s="235">
        <f>IFERROR(Таблица4[[#This Row],[ППС]]-Таблица4[[#This Row],[ДДУС]],)</f>
        <v>0</v>
      </c>
      <c r="P388" s="611"/>
      <c r="Q388" s="234">
        <f>VLOOKUP(ППД5!A385,Реестр_Д5[№],1,0)</f>
        <v>384</v>
      </c>
      <c r="R388" s="234" t="str">
        <f>VLOOKUP(ППД5!CH385,Реестр_Д5[Статус],1,0)</f>
        <v>Продажа</v>
      </c>
      <c r="S388" s="612">
        <f>VLOOKUP(ППД5!BZ385,Реестр_Д5[Стоимость ОН без отделки со скидкой],1,0)</f>
        <v>2449705.87</v>
      </c>
      <c r="T388" s="612" cm="1">
        <f t="array" ref="T388">IFERROR(INDEX(РД[Стоимость без отделки итог],MATCH($Q$3&amp;Таблица10[[#This Row],[№]]&amp;"Продажа",РД[Дом]&amp;РД[№ кв]&amp;РД[Состояние],0),1),Таблица10[[#This Row],[Статус]])</f>
        <v>2449705.87</v>
      </c>
      <c r="U388" s="235">
        <f>IFERROR((Таблица10[[#This Row],[ПП]]-Таблица10[[#This Row],[ДДУ]])*1,)</f>
        <v>0</v>
      </c>
      <c r="V388" s="235" cm="1">
        <f t="array" ref="V388">IFERROR(INDEX(РД[Стоимость с отделкой итог],MATCH($Q$3&amp;Таблица10[[#This Row],[№]]&amp;"Продажа",РД[Дом]&amp;РД[№ кв]&amp;РД[Состояние],0),1),Таблица10[[#This Row],[Статус]])</f>
        <v>2829920.87</v>
      </c>
      <c r="W388" s="235">
        <f>_xlfn.XLOOKUP(Таблица10[[#This Row],[№]],Реестр_Д5[№],Реестр_Д5[Стоимость квартиры с отделкой],"-",0)</f>
        <v>2829920.87</v>
      </c>
      <c r="X388" s="235">
        <f>IFERROR(Таблица10[[#This Row],[СО ПП]]-Таблица10[[#This Row],[СО ДДУ]],"")</f>
        <v>0</v>
      </c>
      <c r="Y388" s="233" cm="1">
        <f t="array" ref="Y388">IFERROR(INDEX(РД[S],MATCH($Q$3&amp;Таблица10[[#This Row],[№]]&amp;"Продажа",РД[Дом]&amp;РД[№ кв]&amp;РД[Состояние],0),1),Таблица10[[#This Row],[Статус]])</f>
        <v>24.53</v>
      </c>
      <c r="Z388" s="233">
        <f>IF(Таблица10[[#This Row],[№]]&amp;"ДДУ"=ППД5!A385&amp;ППД5!CR385,ППД5!U385,ППД5!V385)</f>
        <v>24.53</v>
      </c>
      <c r="AA388" s="285">
        <f>IFERROR(Таблица10[[#This Row],[S ПП]]-Таблица10[[#This Row],[S ДДУ]],)</f>
        <v>0</v>
      </c>
      <c r="AB388" s="235">
        <f>ROUND(_xlfn.XLOOKUP(Таблица10[[#This Row],[№]],Реестр_Д5[№],Реестр_Д5[Итоговая сумма скидки],"",0),2)</f>
        <v>0</v>
      </c>
      <c r="AC388" s="235" cm="1">
        <f t="array" ref="AC38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88" s="285">
        <f>IFERROR(Таблица10[[#This Row],[ППС]]-Таблица10[[#This Row],[ДДУС]],)</f>
        <v>0</v>
      </c>
      <c r="AE388" s="611"/>
      <c r="AT388" s="611"/>
    </row>
    <row r="389" spans="1:46" x14ac:dyDescent="0.2">
      <c r="A389" s="611"/>
      <c r="B389" s="234">
        <f>VLOOKUP(ППД4!A386,Реестр_Д4[№],1,0)</f>
        <v>385</v>
      </c>
      <c r="C389" s="234" t="str">
        <f>VLOOKUP(ППД4!CO386,Реестр_Д4[Статус],1,0)</f>
        <v>Продажа</v>
      </c>
      <c r="D389" s="612">
        <f>VLOOKUP(ППД4!CE386,Реестр_Д4[Стоимость ОН без отделки со скидкой],1,0)</f>
        <v>5464139.8399999999</v>
      </c>
      <c r="E389" s="612" cm="1">
        <f t="array" ref="E389">IFERROR(INDEX(РД[Стоимость без отделки итог],MATCH($B$3&amp;Таблица4[[#This Row],[№]]&amp;"Продажа",РД[Дом]&amp;РД[№ кв]&amp;РД[Состояние],0),1),Таблица4[[#This Row],[Статус]])</f>
        <v>5464139.8399999999</v>
      </c>
      <c r="F389" s="235">
        <f>IFERROR((Таблица4[[#This Row],[ПП]]-Таблица4[[#This Row],[ДДУ]])*1,"")</f>
        <v>0</v>
      </c>
      <c r="G389" s="235" cm="1">
        <f t="array" ref="G389">IFERROR(INDEX(РД[Стоимость с отделкой итог],MATCH($B$3&amp;Таблица4[[#This Row],[№]]&amp;"Продажа",РД[Дом]&amp;РД[№ кв]&amp;РД[Состояние],0),1),Таблица4[[#This Row],[Статус]])</f>
        <v>5889389.8399999999</v>
      </c>
      <c r="H389" s="235">
        <f>_xlfn.XLOOKUP(Таблица4[[#This Row],[№]],Реестр_Д4[№],Реестр_Д4[Стоимость квартиры с отделкой],"-",0)</f>
        <v>5889389.8399999999</v>
      </c>
      <c r="I389" s="235">
        <f>IFERROR(Таблица4[[#This Row],[СО ПП]]-Таблица4[[#This Row],[СО ДДУ]],"")</f>
        <v>0</v>
      </c>
      <c r="J389" s="233" cm="1">
        <f t="array" ref="J389">IFERROR(INDEX(РД[S],MATCH($B$3&amp;Таблица4[[#This Row],[№]]&amp;"Продажа",РД[Дом]&amp;РД[№ кв]&amp;РД[Состояние],0),1),Таблица4[[#This Row],[Статус]])</f>
        <v>56.7</v>
      </c>
      <c r="K389" s="233">
        <f>VLOOKUP(Таблица4[[#This Row],[№]],Реестр_Д4[],20,0)</f>
        <v>56.7</v>
      </c>
      <c r="L389" s="235">
        <f>IFERROR(Таблица4[[#This Row],[S ПП]]-Таблица4[[#This Row],[S ДДУ]],)</f>
        <v>0</v>
      </c>
      <c r="M389" s="235">
        <f>ROUND(_xlfn.XLOOKUP(Таблица4[[#This Row],[№]],Реестр_Д4[№],Реестр_Д4[Итоговая сумма скидки],"",0),2)</f>
        <v>111513.06</v>
      </c>
      <c r="N389" s="235" cm="1">
        <f t="array" ref="N389">IFERROR(ROUND(_xlfn.XLOOKUP($B$3&amp;Таблица4[[#This Row],[№]]&amp;"Продажа",РД[Дом]&amp;РД[№ кв]&amp;РД[Состояние],РД[Сумма скидки],"",0),2),Таблица4[[#This Row],[Статус]])</f>
        <v>111513.06</v>
      </c>
      <c r="O389" s="235">
        <f>IFERROR(Таблица4[[#This Row],[ППС]]-Таблица4[[#This Row],[ДДУС]],)</f>
        <v>0</v>
      </c>
      <c r="P389" s="611"/>
      <c r="Q389" s="234">
        <f>VLOOKUP(ППД5!A386,Реестр_Д5[№],1,0)</f>
        <v>385</v>
      </c>
      <c r="R389" s="234" t="str">
        <f>VLOOKUP(ППД5!CH386,Реестр_Д5[Статус],1,0)</f>
        <v>Продажа</v>
      </c>
      <c r="S389" s="612">
        <f>VLOOKUP(ППД5!BZ386,Реестр_Д5[Стоимость ОН без отделки со скидкой],1,0)</f>
        <v>5019038.4000000004</v>
      </c>
      <c r="T389" s="612" cm="1">
        <f t="array" ref="T389">IFERROR(INDEX(РД[Стоимость без отделки итог],MATCH($Q$3&amp;Таблица10[[#This Row],[№]]&amp;"Продажа",РД[Дом]&amp;РД[№ кв]&amp;РД[Состояние],0),1),Таблица10[[#This Row],[Статус]])</f>
        <v>5019038.4000000004</v>
      </c>
      <c r="U389" s="235">
        <f>IFERROR((Таблица10[[#This Row],[ПП]]-Таблица10[[#This Row],[ДДУ]])*1,)</f>
        <v>0</v>
      </c>
      <c r="V389" s="235" cm="1">
        <f t="array" ref="V389">IFERROR(INDEX(РД[Стоимость с отделкой итог],MATCH($Q$3&amp;Таблица10[[#This Row],[№]]&amp;"Продажа",РД[Дом]&amp;РД[№ кв]&amp;РД[Состояние],0),1),Таблица10[[#This Row],[Статус]])</f>
        <v>5443388.4000000004</v>
      </c>
      <c r="W389" s="235">
        <f>_xlfn.XLOOKUP(Таблица10[[#This Row],[№]],Реестр_Д5[№],Реестр_Д5[Стоимость квартиры с отделкой],"-",0)</f>
        <v>5443388.4000000004</v>
      </c>
      <c r="X389" s="235">
        <f>IFERROR(Таблица10[[#This Row],[СО ПП]]-Таблица10[[#This Row],[СО ДДУ]],"")</f>
        <v>0</v>
      </c>
      <c r="Y389" s="233" cm="1">
        <f t="array" ref="Y389">IFERROR(INDEX(РД[S],MATCH($Q$3&amp;Таблица10[[#This Row],[№]]&amp;"Продажа",РД[Дом]&amp;РД[№ кв]&amp;РД[Состояние],0),1),Таблица10[[#This Row],[Статус]])</f>
        <v>56.58</v>
      </c>
      <c r="Z389" s="233">
        <f>IF(Таблица10[[#This Row],[№]]&amp;"ДДУ"=ППД5!A386&amp;ППД5!CR386,ППД5!U386,ППД5!V386)</f>
        <v>56.58</v>
      </c>
      <c r="AA389" s="285">
        <f>IFERROR(Таблица10[[#This Row],[S ПП]]-Таблица10[[#This Row],[S ДДУ]],)</f>
        <v>0</v>
      </c>
      <c r="AB389" s="235">
        <f>ROUND(_xlfn.XLOOKUP(Таблица10[[#This Row],[№]],Реестр_Д5[№],Реестр_Д5[Итоговая сумма скидки],"",0),2)</f>
        <v>320364.15000000002</v>
      </c>
      <c r="AC389" s="235" cm="1">
        <f t="array" ref="AC389">IFERROR(ROUND(_xlfn.XLOOKUP($Q$3&amp;Таблица10[[#This Row],[№]]&amp;"Продажа",РД[Дом]&amp;РД[№ кв]&amp;РД[Состояние],РД[Сумма скидки],"",0,-1),2),Таблица10[[#This Row],[Статус]])</f>
        <v>320364.15000000002</v>
      </c>
      <c r="AD389" s="285">
        <f>IFERROR(Таблица10[[#This Row],[ППС]]-Таблица10[[#This Row],[ДДУС]],)</f>
        <v>0</v>
      </c>
      <c r="AE389" s="611"/>
      <c r="AT389" s="611"/>
    </row>
    <row r="390" spans="1:46" x14ac:dyDescent="0.2">
      <c r="A390" s="611"/>
      <c r="B390" s="234">
        <f>VLOOKUP(ППД4!A387,Реестр_Д4[№],1,0)</f>
        <v>386</v>
      </c>
      <c r="C390" s="234" t="str">
        <f>VLOOKUP(ППД4!CO387,Реестр_Д4[Статус],1,0)</f>
        <v>Продажа</v>
      </c>
      <c r="D390" s="612">
        <f>VLOOKUP(ППД4!CE387,Реестр_Д4[Стоимость ОН без отделки со скидкой],1,0)</f>
        <v>6343981.1100000003</v>
      </c>
      <c r="E390" s="612" cm="1">
        <f t="array" ref="E390">IFERROR(INDEX(РД[Стоимость без отделки итог],MATCH($B$3&amp;Таблица4[[#This Row],[№]]&amp;"Продажа",РД[Дом]&amp;РД[№ кв]&amp;РД[Состояние],0),1),Таблица4[[#This Row],[Статус]])</f>
        <v>6343981.1100000003</v>
      </c>
      <c r="F390" s="235">
        <f>IFERROR((Таблица4[[#This Row],[ПП]]-Таблица4[[#This Row],[ДДУ]])*1,"")</f>
        <v>0</v>
      </c>
      <c r="G390" s="235" cm="1">
        <f t="array" ref="G390">IFERROR(INDEX(РД[Стоимость с отделкой итог],MATCH($B$3&amp;Таблица4[[#This Row],[№]]&amp;"Продажа",РД[Дом]&amp;РД[№ кв]&amp;РД[Состояние],0),1),Таблица4[[#This Row],[Статус]])</f>
        <v>7467886.1100000003</v>
      </c>
      <c r="H390" s="235">
        <f>_xlfn.XLOOKUP(Таблица4[[#This Row],[№]],Реестр_Д4[№],Реестр_Д4[Стоимость квартиры с отделкой],"-",0)</f>
        <v>7467886.1100000003</v>
      </c>
      <c r="I390" s="235">
        <f>IFERROR(Таблица4[[#This Row],[СО ПП]]-Таблица4[[#This Row],[СО ДДУ]],"")</f>
        <v>0</v>
      </c>
      <c r="J390" s="233" cm="1">
        <f t="array" ref="J390">IFERROR(INDEX(РД[S],MATCH($B$3&amp;Таблица4[[#This Row],[№]]&amp;"Продажа",РД[Дом]&amp;РД[№ кв]&amp;РД[Состояние],0),1),Таблица4[[#This Row],[Статус]])</f>
        <v>72.510000000000005</v>
      </c>
      <c r="K390" s="233">
        <f>VLOOKUP(Таблица4[[#This Row],[№]],Реестр_Д4[],20,0)</f>
        <v>72.510000000000005</v>
      </c>
      <c r="L390" s="235">
        <f>IFERROR(Таблица4[[#This Row],[S ПП]]-Таблица4[[#This Row],[S ДДУ]],)</f>
        <v>0</v>
      </c>
      <c r="M390" s="235">
        <f>ROUND(_xlfn.XLOOKUP(Таблица4[[#This Row],[№]],Реестр_Д4[№],Реестр_Д4[Итоговая сумма скидки],"",0),2)</f>
        <v>0</v>
      </c>
      <c r="N390" s="235" cm="1">
        <f t="array" ref="N39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0" s="235">
        <f>IFERROR(Таблица4[[#This Row],[ППС]]-Таблица4[[#This Row],[ДДУС]],)</f>
        <v>0</v>
      </c>
      <c r="P390" s="611"/>
      <c r="Q390" s="234">
        <f>VLOOKUP(ППД5!A387,Реестр_Д5[№],1,0)</f>
        <v>386</v>
      </c>
      <c r="R390" s="234" t="str">
        <f>VLOOKUP(ППД5!CH387,Реестр_Д5[Статус],1,0)</f>
        <v>Свободно</v>
      </c>
      <c r="S390" s="612">
        <f>VLOOKUP(ППД5!BZ387,Реестр_Д5[Стоимость ОН без отделки со скидкой],1,0)</f>
        <v>7976400</v>
      </c>
      <c r="T390" s="612" t="str" cm="1">
        <f t="array" ref="T39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90" s="235">
        <f>IFERROR((Таблица10[[#This Row],[ПП]]-Таблица10[[#This Row],[ДДУ]])*1,)</f>
        <v>0</v>
      </c>
      <c r="V390" s="235" t="str" cm="1">
        <f t="array" ref="V39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90" s="235">
        <f>_xlfn.XLOOKUP(Таблица10[[#This Row],[№]],Реестр_Д5[№],Реестр_Д5[Стоимость квартиры с отделкой],"-",0)</f>
        <v>7976400</v>
      </c>
      <c r="X390" s="235" t="str">
        <f>IFERROR(Таблица10[[#This Row],[СО ПП]]-Таблица10[[#This Row],[СО ДДУ]],"")</f>
        <v/>
      </c>
      <c r="Y390" s="233" t="str" cm="1">
        <f t="array" ref="Y390">IFERROR(INDEX(РД[S],MATCH($Q$3&amp;Таблица10[[#This Row],[№]]&amp;"Продажа",РД[Дом]&amp;РД[№ кв]&amp;РД[Состояние],0),1),Таблица10[[#This Row],[Статус]])</f>
        <v>Свободно</v>
      </c>
      <c r="Z390" s="233">
        <f>IF(Таблица10[[#This Row],[№]]&amp;"ДДУ"=ППД5!A387&amp;ППД5!CR387,ППД5!U387,ППД5!V387)</f>
        <v>59.850000000000009</v>
      </c>
      <c r="AA390" s="285">
        <f>IFERROR(Таблица10[[#This Row],[S ПП]]-Таблица10[[#This Row],[S ДДУ]],)</f>
        <v>0</v>
      </c>
      <c r="AB390" s="235">
        <f>ROUND(_xlfn.XLOOKUP(Таблица10[[#This Row],[№]],Реестр_Д5[№],Реестр_Д5[Итоговая сумма скидки],"",0),2)</f>
        <v>0</v>
      </c>
      <c r="AC390" s="235" t="str" cm="1">
        <f t="array" ref="AC39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90" s="285">
        <f>IFERROR(Таблица10[[#This Row],[ППС]]-Таблица10[[#This Row],[ДДУС]],)</f>
        <v>0</v>
      </c>
      <c r="AE390" s="611"/>
      <c r="AT390" s="611"/>
    </row>
    <row r="391" spans="1:46" x14ac:dyDescent="0.2">
      <c r="A391" s="611"/>
      <c r="B391" s="234">
        <f>VLOOKUP(ППД4!A388,Реестр_Д4[№],1,0)</f>
        <v>387</v>
      </c>
      <c r="C391" s="234" t="str">
        <f>VLOOKUP(ППД4!CO388,Реестр_Д4[Статус],1,0)</f>
        <v>Продажа</v>
      </c>
      <c r="D391" s="612">
        <f>VLOOKUP(ППД4!CE388,Реестр_Д4[Стоимость ОН без отделки со скидкой],1,0)</f>
        <v>3460268.18</v>
      </c>
      <c r="E391" s="612" cm="1">
        <f t="array" ref="E391">IFERROR(INDEX(РД[Стоимость без отделки итог],MATCH($B$3&amp;Таблица4[[#This Row],[№]]&amp;"Продажа",РД[Дом]&amp;РД[№ кв]&amp;РД[Состояние],0),1),Таблица4[[#This Row],[Статус]])</f>
        <v>3460268.18</v>
      </c>
      <c r="F391" s="235">
        <f>IFERROR((Таблица4[[#This Row],[ПП]]-Таблица4[[#This Row],[ДДУ]])*1,"")</f>
        <v>0</v>
      </c>
      <c r="G391" s="235" cm="1">
        <f t="array" ref="G391">IFERROR(INDEX(РД[Стоимость с отделкой итог],MATCH($B$3&amp;Таблица4[[#This Row],[№]]&amp;"Продажа",РД[Дом]&amp;РД[№ кв]&amp;РД[Состояние],0),1),Таблица4[[#This Row],[Статус]])</f>
        <v>3460268.18</v>
      </c>
      <c r="H391" s="235">
        <f>_xlfn.XLOOKUP(Таблица4[[#This Row],[№]],Реестр_Д4[№],Реестр_Д4[Стоимость квартиры с отделкой],"-",0)</f>
        <v>3460268.18</v>
      </c>
      <c r="I391" s="235">
        <f>IFERROR(Таблица4[[#This Row],[СО ПП]]-Таблица4[[#This Row],[СО ДДУ]],"")</f>
        <v>0</v>
      </c>
      <c r="J391" s="233" cm="1">
        <f t="array" ref="J391">IFERROR(INDEX(РД[S],MATCH($B$3&amp;Таблица4[[#This Row],[№]]&amp;"Продажа",РД[Дом]&amp;РД[№ кв]&amp;РД[Состояние],0),1),Таблица4[[#This Row],[Статус]])</f>
        <v>33.840000000000003</v>
      </c>
      <c r="K391" s="233">
        <f>VLOOKUP(Таблица4[[#This Row],[№]],Реестр_Д4[],20,0)</f>
        <v>33.840000000000003</v>
      </c>
      <c r="L391" s="235">
        <f>IFERROR(Таблица4[[#This Row],[S ПП]]-Таблица4[[#This Row],[S ДДУ]],)</f>
        <v>0</v>
      </c>
      <c r="M391" s="235">
        <f>ROUND(_xlfn.XLOOKUP(Таблица4[[#This Row],[№]],Реестр_Д4[№],Реестр_Д4[Итоговая сумма скидки],"",0),2)</f>
        <v>70617.72</v>
      </c>
      <c r="N391" s="235" cm="1">
        <f t="array" ref="N391">IFERROR(ROUND(_xlfn.XLOOKUP($B$3&amp;Таблица4[[#This Row],[№]]&amp;"Продажа",РД[Дом]&amp;РД[№ кв]&amp;РД[Состояние],РД[Сумма скидки],"",0),2),Таблица4[[#This Row],[Статус]])</f>
        <v>70617.72</v>
      </c>
      <c r="O391" s="235">
        <f>IFERROR(Таблица4[[#This Row],[ППС]]-Таблица4[[#This Row],[ДДУС]],)</f>
        <v>0</v>
      </c>
      <c r="P391" s="611"/>
      <c r="Q391" s="234">
        <f>VLOOKUP(ППД5!A388,Реестр_Д5[№],1,0)</f>
        <v>387</v>
      </c>
      <c r="R391" s="234" t="str">
        <f>VLOOKUP(ППД5!CH388,Реестр_Д5[Статус],1,0)</f>
        <v>Свободно</v>
      </c>
      <c r="S391" s="612">
        <f>VLOOKUP(ППД5!BZ388,Реестр_Д5[Стоимость ОН без отделки со скидкой],1,0)</f>
        <v>5606500</v>
      </c>
      <c r="T391" s="612" t="str" cm="1">
        <f t="array" ref="T39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91" s="235">
        <f>IFERROR((Таблица10[[#This Row],[ПП]]-Таблица10[[#This Row],[ДДУ]])*1,)</f>
        <v>0</v>
      </c>
      <c r="V391" s="235" t="str" cm="1">
        <f t="array" ref="V39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91" s="235">
        <f>_xlfn.XLOOKUP(Таблица10[[#This Row],[№]],Реестр_Д5[№],Реестр_Д5[Стоимость квартиры с отделкой],"-",0)</f>
        <v>5606500</v>
      </c>
      <c r="X391" s="235" t="str">
        <f>IFERROR(Таблица10[[#This Row],[СО ПП]]-Таблица10[[#This Row],[СО ДДУ]],"")</f>
        <v/>
      </c>
      <c r="Y391" s="233" t="str" cm="1">
        <f t="array" ref="Y391">IFERROR(INDEX(РД[S],MATCH($Q$3&amp;Таблица10[[#This Row],[№]]&amp;"Продажа",РД[Дом]&amp;РД[№ кв]&amp;РД[Состояние],0),1),Таблица10[[#This Row],[Статус]])</f>
        <v>Свободно</v>
      </c>
      <c r="Z391" s="233">
        <f>IF(Таблица10[[#This Row],[№]]&amp;"ДДУ"=ППД5!A388&amp;ППД5!CR388,ППД5!U388,ППД5!V388)</f>
        <v>37.4</v>
      </c>
      <c r="AA391" s="285">
        <f>IFERROR(Таблица10[[#This Row],[S ПП]]-Таблица10[[#This Row],[S ДДУ]],)</f>
        <v>0</v>
      </c>
      <c r="AB391" s="235">
        <f>ROUND(_xlfn.XLOOKUP(Таблица10[[#This Row],[№]],Реестр_Д5[№],Реестр_Д5[Итоговая сумма скидки],"",0),2)</f>
        <v>0</v>
      </c>
      <c r="AC391" s="235" t="str" cm="1">
        <f t="array" ref="AC39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91" s="285">
        <f>IFERROR(Таблица10[[#This Row],[ППС]]-Таблица10[[#This Row],[ДДУС]],)</f>
        <v>0</v>
      </c>
      <c r="AE391" s="611"/>
      <c r="AT391" s="611"/>
    </row>
    <row r="392" spans="1:46" x14ac:dyDescent="0.2">
      <c r="A392" s="611"/>
      <c r="B392" s="234">
        <f>VLOOKUP(ППД4!A389,Реестр_Д4[№],1,0)</f>
        <v>388</v>
      </c>
      <c r="C392" s="234" t="str">
        <f>VLOOKUP(ППД4!CO389,Реестр_Д4[Статус],1,0)</f>
        <v>Продажа</v>
      </c>
      <c r="D392" s="612">
        <f>VLOOKUP(ППД4!CE389,Реестр_Д4[Стоимость ОН без отделки со скидкой],1,0)</f>
        <v>2718166.02</v>
      </c>
      <c r="E392" s="612" cm="1">
        <f t="array" ref="E392">IFERROR(INDEX(РД[Стоимость без отделки итог],MATCH($B$3&amp;Таблица4[[#This Row],[№]]&amp;"Продажа",РД[Дом]&amp;РД[№ кв]&amp;РД[Состояние],0),1),Таблица4[[#This Row],[Статус]])</f>
        <v>2718166.0200000005</v>
      </c>
      <c r="F392" s="235">
        <f>IFERROR((Таблица4[[#This Row],[ПП]]-Таблица4[[#This Row],[ДДУ]])*1,"")</f>
        <v>-4.6566128730773926E-10</v>
      </c>
      <c r="G392" s="235" cm="1">
        <f t="array" ref="G392">IFERROR(INDEX(РД[Стоимость с отделкой итог],MATCH($B$3&amp;Таблица4[[#This Row],[№]]&amp;"Продажа",РД[Дом]&amp;РД[№ кв]&amp;РД[Состояние],0),1),Таблица4[[#This Row],[Статус]])</f>
        <v>3158416.02</v>
      </c>
      <c r="H392" s="235">
        <f>_xlfn.XLOOKUP(Таблица4[[#This Row],[№]],Реестр_Д4[№],Реестр_Д4[Стоимость квартиры с отделкой],"-",0)</f>
        <v>3158416.02</v>
      </c>
      <c r="I392" s="235">
        <f>IFERROR(Таблица4[[#This Row],[СО ПП]]-Таблица4[[#This Row],[СО ДДУ]],"")</f>
        <v>0</v>
      </c>
      <c r="J392" s="233" cm="1">
        <f t="array" ref="J392">IFERROR(INDEX(РД[S],MATCH($B$3&amp;Таблица4[[#This Row],[№]]&amp;"Продажа",РД[Дом]&amp;РД[№ кв]&amp;РД[Состояние],0),1),Таблица4[[#This Row],[Статус]])</f>
        <v>29.35</v>
      </c>
      <c r="K392" s="233">
        <f>VLOOKUP(Таблица4[[#This Row],[№]],Реестр_Д4[],20,0)</f>
        <v>29.35</v>
      </c>
      <c r="L392" s="235">
        <f>IFERROR(Таблица4[[#This Row],[S ПП]]-Таблица4[[#This Row],[S ДДУ]],)</f>
        <v>0</v>
      </c>
      <c r="M392" s="235">
        <f>ROUND(_xlfn.XLOOKUP(Таблица4[[#This Row],[№]],Реестр_Д4[№],Реестр_Д4[Итоговая сумма скидки],"",0),2)</f>
        <v>0</v>
      </c>
      <c r="N392" s="235" cm="1">
        <f t="array" ref="N39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2" s="235">
        <f>IFERROR(Таблица4[[#This Row],[ППС]]-Таблица4[[#This Row],[ДДУС]],)</f>
        <v>0</v>
      </c>
      <c r="P392" s="611"/>
      <c r="Q392" s="234">
        <f>VLOOKUP(ППД5!A389,Реестр_Д5[№],1,0)</f>
        <v>388</v>
      </c>
      <c r="R392" s="234" t="str">
        <f>VLOOKUP(ППД5!CH389,Реестр_Д5[Статус],1,0)</f>
        <v>Продажа</v>
      </c>
      <c r="S392" s="612">
        <f>VLOOKUP(ППД5!BZ389,Реестр_Д5[Стоимость ОН без отделки со скидкой],1,0)</f>
        <v>7634200</v>
      </c>
      <c r="T392" s="612" cm="1">
        <f t="array" ref="T392">IFERROR(INDEX(РД[Стоимость без отделки итог],MATCH($Q$3&amp;Таблица10[[#This Row],[№]]&amp;"Продажа",РД[Дом]&amp;РД[№ кв]&amp;РД[Состояние],0),1),Таблица10[[#This Row],[Статус]])</f>
        <v>7634200</v>
      </c>
      <c r="U392" s="235">
        <f>IFERROR((Таблица10[[#This Row],[ПП]]-Таблица10[[#This Row],[ДДУ]])*1,)</f>
        <v>0</v>
      </c>
      <c r="V392" s="235" cm="1">
        <f t="array" ref="V392">IFERROR(INDEX(РД[Стоимость с отделкой итог],MATCH($Q$3&amp;Таблица10[[#This Row],[№]]&amp;"Продажа",РД[Дом]&amp;РД[№ кв]&amp;РД[Состояние],0),1),Таблица10[[#This Row],[Статус]])</f>
        <v>9253600</v>
      </c>
      <c r="W392" s="235">
        <f>_xlfn.XLOOKUP(Таблица10[[#This Row],[№]],Реестр_Д5[№],Реестр_Д5[Стоимость квартиры с отделкой],"-",0)</f>
        <v>9253600</v>
      </c>
      <c r="X392" s="235">
        <f>IFERROR(Таблица10[[#This Row],[СО ПП]]-Таблица10[[#This Row],[СО ДДУ]],"")</f>
        <v>0</v>
      </c>
      <c r="Y392" s="233" cm="1">
        <f t="array" ref="Y392">IFERROR(INDEX(РД[S],MATCH($Q$3&amp;Таблица10[[#This Row],[№]]&amp;"Продажа",РД[Дом]&amp;РД[№ кв]&amp;РД[Состояние],0),1),Таблица10[[#This Row],[Статус]])</f>
        <v>80.97</v>
      </c>
      <c r="Z392" s="233">
        <f>IF(Таблица10[[#This Row],[№]]&amp;"ДДУ"=ППД5!A389&amp;ППД5!CR389,ППД5!U389,ППД5!V389)</f>
        <v>80.97</v>
      </c>
      <c r="AA392" s="285">
        <f>IFERROR(Таблица10[[#This Row],[S ПП]]-Таблица10[[#This Row],[S ДДУ]],)</f>
        <v>0</v>
      </c>
      <c r="AB392" s="235">
        <f>ROUND(_xlfn.XLOOKUP(Таблица10[[#This Row],[№]],Реестр_Д5[№],Реестр_Д5[Итоговая сумма скидки],"",0),2)</f>
        <v>90000</v>
      </c>
      <c r="AC392" s="235" cm="1">
        <f t="array" ref="AC392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392" s="285">
        <f>IFERROR(Таблица10[[#This Row],[ППС]]-Таблица10[[#This Row],[ДДУС]],)</f>
        <v>0</v>
      </c>
      <c r="AE392" s="611"/>
      <c r="AT392" s="611"/>
    </row>
    <row r="393" spans="1:46" x14ac:dyDescent="0.2">
      <c r="A393" s="611"/>
      <c r="B393" s="234">
        <f>VLOOKUP(ППД4!A390,Реестр_Д4[№],1,0)</f>
        <v>389</v>
      </c>
      <c r="C393" s="234" t="str">
        <f>VLOOKUP(ППД4!CO390,Реестр_Д4[Статус],1,0)</f>
        <v>Продажа</v>
      </c>
      <c r="D393" s="612">
        <f>VLOOKUP(ППД4!CE390,Реестр_Д4[Стоимость ОН без отделки со скидкой],1,0)</f>
        <v>6958800</v>
      </c>
      <c r="E393" s="612" cm="1">
        <f t="array" ref="E393">IFERROR(INDEX(РД[Стоимость без отделки итог],MATCH($B$3&amp;Таблица4[[#This Row],[№]]&amp;"Продажа",РД[Дом]&amp;РД[№ кв]&amp;РД[Состояние],0),1),Таблица4[[#This Row],[Статус]])</f>
        <v>6958800</v>
      </c>
      <c r="F393" s="235">
        <f>IFERROR((Таблица4[[#This Row],[ПП]]-Таблица4[[#This Row],[ДДУ]])*1,"")</f>
        <v>0</v>
      </c>
      <c r="G393" s="235" cm="1">
        <f t="array" ref="G393">IFERROR(INDEX(РД[Стоимость с отделкой итог],MATCH($B$3&amp;Таблица4[[#This Row],[№]]&amp;"Продажа",РД[Дом]&amp;РД[№ кв]&amp;РД[Состояние],0),1),Таблица4[[#This Row],[Статус]])</f>
        <v>8453700</v>
      </c>
      <c r="H393" s="235">
        <f>_xlfn.XLOOKUP(Таблица4[[#This Row],[№]],Реестр_Д4[№],Реестр_Д4[Стоимость квартиры с отделкой],"-",0)</f>
        <v>8453700</v>
      </c>
      <c r="I393" s="235">
        <f>IFERROR(Таблица4[[#This Row],[СО ПП]]-Таблица4[[#This Row],[СО ДДУ]],"")</f>
        <v>0</v>
      </c>
      <c r="J393" s="233" cm="1">
        <f t="array" ref="J393">IFERROR(INDEX(РД[S],MATCH($B$3&amp;Таблица4[[#This Row],[№]]&amp;"Продажа",РД[Дом]&amp;РД[№ кв]&amp;РД[Состояние],0),1),Таблица4[[#This Row],[Статус]])</f>
        <v>67.95</v>
      </c>
      <c r="K393" s="233">
        <f>VLOOKUP(Таблица4[[#This Row],[№]],Реестр_Д4[],20,0)</f>
        <v>67.95</v>
      </c>
      <c r="L393" s="235">
        <f>IFERROR(Таблица4[[#This Row],[S ПП]]-Таблица4[[#This Row],[S ДДУ]],)</f>
        <v>0</v>
      </c>
      <c r="M393" s="235">
        <f>ROUND(_xlfn.XLOOKUP(Таблица4[[#This Row],[№]],Реестр_Д4[№],Реестр_Д4[Итоговая сумма скидки],"",0),2)</f>
        <v>0</v>
      </c>
      <c r="N393" s="235" cm="1">
        <f t="array" ref="N39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3" s="235">
        <f>IFERROR(Таблица4[[#This Row],[ППС]]-Таблица4[[#This Row],[ДДУС]],)</f>
        <v>0</v>
      </c>
      <c r="P393" s="611"/>
      <c r="Q393" s="234">
        <f>VLOOKUP(ППД5!A390,Реестр_Д5[№],1,0)</f>
        <v>389</v>
      </c>
      <c r="R393" s="234" t="str">
        <f>VLOOKUP(ППД5!CH390,Реестр_Д5[Статус],1,0)</f>
        <v>Свободно</v>
      </c>
      <c r="S393" s="612">
        <f>VLOOKUP(ППД5!BZ390,Реестр_Д5[Стоимость ОН без отделки со скидкой],1,0)</f>
        <v>5479800</v>
      </c>
      <c r="T393" s="612" t="str" cm="1">
        <f t="array" ref="T39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93" s="235">
        <f>IFERROR((Таблица10[[#This Row],[ПП]]-Таблица10[[#This Row],[ДДУ]])*1,)</f>
        <v>0</v>
      </c>
      <c r="V393" s="235" t="str" cm="1">
        <f t="array" ref="V39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93" s="235">
        <f>_xlfn.XLOOKUP(Таблица10[[#This Row],[№]],Реестр_Д5[№],Реестр_Д5[Стоимость квартиры с отделкой],"-",0)</f>
        <v>5479800</v>
      </c>
      <c r="X393" s="235" t="str">
        <f>IFERROR(Таблица10[[#This Row],[СО ПП]]-Таблица10[[#This Row],[СО ДДУ]],"")</f>
        <v/>
      </c>
      <c r="Y393" s="233" t="str" cm="1">
        <f t="array" ref="Y393">IFERROR(INDEX(РД[S],MATCH($Q$3&amp;Таблица10[[#This Row],[№]]&amp;"Продажа",РД[Дом]&amp;РД[№ кв]&amp;РД[Состояние],0),1),Таблица10[[#This Row],[Статус]])</f>
        <v>Свободно</v>
      </c>
      <c r="Z393" s="233">
        <f>IF(Таблица10[[#This Row],[№]]&amp;"ДДУ"=ППД5!A390&amp;ППД5!CR390,ППД5!U390,ППД5!V390)</f>
        <v>34.599999999999994</v>
      </c>
      <c r="AA393" s="285">
        <f>IFERROR(Таблица10[[#This Row],[S ПП]]-Таблица10[[#This Row],[S ДДУ]],)</f>
        <v>0</v>
      </c>
      <c r="AB393" s="235">
        <f>ROUND(_xlfn.XLOOKUP(Таблица10[[#This Row],[№]],Реестр_Д5[№],Реестр_Д5[Итоговая сумма скидки],"",0),2)</f>
        <v>0</v>
      </c>
      <c r="AC393" s="235" t="str" cm="1">
        <f t="array" ref="AC39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93" s="285">
        <f>IFERROR(Таблица10[[#This Row],[ППС]]-Таблица10[[#This Row],[ДДУС]],)</f>
        <v>0</v>
      </c>
      <c r="AE393" s="611"/>
      <c r="AT393" s="611"/>
    </row>
    <row r="394" spans="1:46" x14ac:dyDescent="0.2">
      <c r="A394" s="611"/>
      <c r="B394" s="234">
        <f>VLOOKUP(ППД4!A391,Реестр_Д4[№],1,0)</f>
        <v>390</v>
      </c>
      <c r="C394" s="234" t="str">
        <f>VLOOKUP(ППД4!CO391,Реестр_Д4[Статус],1,0)</f>
        <v>Продажа</v>
      </c>
      <c r="D394" s="612">
        <f>VLOOKUP(ППД4!CE391,Реестр_Д4[Стоимость ОН без отделки со скидкой],1,0)</f>
        <v>4421900</v>
      </c>
      <c r="E394" s="612" cm="1">
        <f t="array" ref="E394">IFERROR(INDEX(РД[Стоимость без отделки итог],MATCH($B$3&amp;Таблица4[[#This Row],[№]]&amp;"Продажа",РД[Дом]&amp;РД[№ кв]&amp;РД[Состояние],0),1),Таблица4[[#This Row],[Статус]])</f>
        <v>4421900</v>
      </c>
      <c r="F394" s="235">
        <f>IFERROR((Таблица4[[#This Row],[ПП]]-Таблица4[[#This Row],[ДДУ]])*1,"")</f>
        <v>0</v>
      </c>
      <c r="G394" s="235" cm="1">
        <f t="array" ref="G394">IFERROR(INDEX(РД[Стоимость с отделкой итог],MATCH($B$3&amp;Таблица4[[#This Row],[№]]&amp;"Продажа",РД[Дом]&amp;РД[№ кв]&amp;РД[Состояние],0),1),Таблица4[[#This Row],[Статус]])</f>
        <v>5223800</v>
      </c>
      <c r="H394" s="235">
        <f>_xlfn.XLOOKUP(Таблица4[[#This Row],[№]],Реестр_Д4[№],Реестр_Д4[Стоимость квартиры с отделкой],"-",0)</f>
        <v>5223800</v>
      </c>
      <c r="I394" s="235">
        <f>IFERROR(Таблица4[[#This Row],[СО ПП]]-Таблица4[[#This Row],[СО ДДУ]],"")</f>
        <v>0</v>
      </c>
      <c r="J394" s="233" cm="1">
        <f t="array" ref="J394">IFERROR(INDEX(РД[S],MATCH($B$3&amp;Таблица4[[#This Row],[№]]&amp;"Продажа",РД[Дом]&amp;РД[№ кв]&amp;РД[Состояние],0),1),Таблица4[[#This Row],[Статус]])</f>
        <v>36.450000000000003</v>
      </c>
      <c r="K394" s="233">
        <f>VLOOKUP(Таблица4[[#This Row],[№]],Реестр_Д4[],20,0)</f>
        <v>36.450000000000003</v>
      </c>
      <c r="L394" s="235">
        <f>IFERROR(Таблица4[[#This Row],[S ПП]]-Таблица4[[#This Row],[S ДДУ]],)</f>
        <v>0</v>
      </c>
      <c r="M394" s="235">
        <f>ROUND(_xlfn.XLOOKUP(Таблица4[[#This Row],[№]],Реестр_Д4[№],Реестр_Д4[Итоговая сумма скидки],"",0),2)</f>
        <v>0</v>
      </c>
      <c r="N394" s="235" cm="1">
        <f t="array" ref="N39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4" s="235">
        <f>IFERROR(Таблица4[[#This Row],[ППС]]-Таблица4[[#This Row],[ДДУС]],)</f>
        <v>0</v>
      </c>
      <c r="P394" s="611"/>
      <c r="Q394" s="234">
        <f>VLOOKUP(ППД5!A391,Реестр_Д5[№],1,0)</f>
        <v>390</v>
      </c>
      <c r="R394" s="234" t="str">
        <f>VLOOKUP(ППД5!CH391,Реестр_Д5[Статус],1,0)</f>
        <v>Свободно</v>
      </c>
      <c r="S394" s="612">
        <f>VLOOKUP(ППД5!BZ391,Реестр_Д5[Стоимость ОН без отделки со скидкой],1,0)</f>
        <v>4926200</v>
      </c>
      <c r="T394" s="612" t="str" cm="1">
        <f t="array" ref="T39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394" s="235">
        <f>IFERROR((Таблица10[[#This Row],[ПП]]-Таблица10[[#This Row],[ДДУ]])*1,)</f>
        <v>0</v>
      </c>
      <c r="V394" s="235" t="str" cm="1">
        <f t="array" ref="V39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394" s="235">
        <f>_xlfn.XLOOKUP(Таблица10[[#This Row],[№]],Реестр_Д5[№],Реестр_Д5[Стоимость квартиры с отделкой],"-",0)</f>
        <v>4926200</v>
      </c>
      <c r="X394" s="235" t="str">
        <f>IFERROR(Таблица10[[#This Row],[СО ПП]]-Таблица10[[#This Row],[СО ДДУ]],"")</f>
        <v/>
      </c>
      <c r="Y394" s="233" t="str" cm="1">
        <f t="array" ref="Y394">IFERROR(INDEX(РД[S],MATCH($Q$3&amp;Таблица10[[#This Row],[№]]&amp;"Продажа",РД[Дом]&amp;РД[№ кв]&amp;РД[Состояние],0),1),Таблица10[[#This Row],[Статус]])</f>
        <v>Свободно</v>
      </c>
      <c r="Z394" s="233">
        <f>IF(Таблица10[[#This Row],[№]]&amp;"ДДУ"=ППД5!A391&amp;ППД5!CR391,ППД5!U391,ППД5!V391)</f>
        <v>29.399999999999995</v>
      </c>
      <c r="AA394" s="285">
        <f>IFERROR(Таблица10[[#This Row],[S ПП]]-Таблица10[[#This Row],[S ДДУ]],)</f>
        <v>0</v>
      </c>
      <c r="AB394" s="235">
        <f>ROUND(_xlfn.XLOOKUP(Таблица10[[#This Row],[№]],Реестр_Д5[№],Реестр_Д5[Итоговая сумма скидки],"",0),2)</f>
        <v>0</v>
      </c>
      <c r="AC394" s="235" t="str" cm="1">
        <f t="array" ref="AC39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394" s="285">
        <f>IFERROR(Таблица10[[#This Row],[ППС]]-Таблица10[[#This Row],[ДДУС]],)</f>
        <v>0</v>
      </c>
      <c r="AE394" s="611"/>
      <c r="AT394" s="611"/>
    </row>
    <row r="395" spans="1:46" x14ac:dyDescent="0.2">
      <c r="A395" s="611"/>
      <c r="B395" s="234">
        <f>VLOOKUP(ППД4!A392,Реестр_Д4[№],1,0)</f>
        <v>391</v>
      </c>
      <c r="C395" s="234" t="str">
        <f>VLOOKUP(ППД4!CO392,Реестр_Д4[Статус],1,0)</f>
        <v>Свободно</v>
      </c>
      <c r="D395" s="612">
        <f>VLOOKUP(ППД4!CE392,Реестр_Д4[Стоимость ОН без отделки со скидкой],1,0)</f>
        <v>7236000</v>
      </c>
      <c r="E395" s="612" t="str" cm="1">
        <f t="array" ref="E395">IFERROR(INDEX(РД[Стоимость без отделки итог],MATCH($B$3&amp;Таблица4[[#This Row],[№]]&amp;"Продажа",РД[Дом]&amp;РД[№ кв]&amp;РД[Состояние],0),1),Таблица4[[#This Row],[Статус]])</f>
        <v>Свободно</v>
      </c>
      <c r="F395" s="235" t="str">
        <f>IFERROR((Таблица4[[#This Row],[ПП]]-Таблица4[[#This Row],[ДДУ]])*1,"")</f>
        <v/>
      </c>
      <c r="G395" s="235" t="str" cm="1">
        <f t="array" ref="G395">IFERROR(INDEX(РД[Стоимость с отделкой итог],MATCH($B$3&amp;Таблица4[[#This Row],[№]]&amp;"Продажа",РД[Дом]&amp;РД[№ кв]&amp;РД[Состояние],0),1),Таблица4[[#This Row],[Статус]])</f>
        <v>Свободно</v>
      </c>
      <c r="H395" s="235">
        <f>_xlfn.XLOOKUP(Таблица4[[#This Row],[№]],Реестр_Д4[№],Реестр_Д4[Стоимость квартиры с отделкой],"-",0)</f>
        <v>7236000</v>
      </c>
      <c r="I395" s="235" t="str">
        <f>IFERROR(Таблица4[[#This Row],[СО ПП]]-Таблица4[[#This Row],[СО ДДУ]],"")</f>
        <v/>
      </c>
      <c r="J395" s="233" t="str" cm="1">
        <f t="array" ref="J395">IFERROR(INDEX(РД[S],MATCH($B$3&amp;Таблица4[[#This Row],[№]]&amp;"Продажа",РД[Дом]&amp;РД[№ кв]&amp;РД[Состояние],0),1),Таблица4[[#This Row],[Статус]])</f>
        <v>Свободно</v>
      </c>
      <c r="K395" s="233">
        <f>VLOOKUP(Таблица4[[#This Row],[№]],Реестр_Д4[],21,0)</f>
        <v>60.3</v>
      </c>
      <c r="L395" s="235">
        <f>IFERROR(Таблица4[[#This Row],[S ПП]]-Таблица4[[#This Row],[S ДДУ]],)</f>
        <v>0</v>
      </c>
      <c r="M395" s="235">
        <f>ROUND(_xlfn.XLOOKUP(Таблица4[[#This Row],[№]],Реестр_Д4[№],Реестр_Д4[Итоговая сумма скидки],"",0),2)</f>
        <v>0</v>
      </c>
      <c r="N395" s="235" t="str" cm="1">
        <f t="array" ref="N395">IFERROR(ROUND(_xlfn.XLOOKUP($B$3&amp;Таблица4[[#This Row],[№]]&amp;"Продажа",РД[Дом]&amp;РД[№ кв]&amp;РД[Состояние],РД[Сумма скидки],"",0),2),Таблица4[[#This Row],[Статус]])</f>
        <v>Свободно</v>
      </c>
      <c r="O395" s="235">
        <f>IFERROR(Таблица4[[#This Row],[ППС]]-Таблица4[[#This Row],[ДДУС]],)</f>
        <v>0</v>
      </c>
      <c r="P395" s="611"/>
      <c r="Q395" s="234">
        <f>VLOOKUP(ППД5!A392,Реестр_Д5[№],1,0)</f>
        <v>391</v>
      </c>
      <c r="R395" s="234" t="str">
        <f>VLOOKUP(ППД5!CH392,Реестр_Д5[Статус],1,0)</f>
        <v>Продажа</v>
      </c>
      <c r="S395" s="612">
        <f>VLOOKUP(ППД5!BZ392,Реестр_Д5[Стоимость ОН без отделки со скидкой],1,0)</f>
        <v>3459308.01</v>
      </c>
      <c r="T395" s="612" cm="1">
        <f t="array" ref="T395">IFERROR(INDEX(РД[Стоимость без отделки итог],MATCH($Q$3&amp;Таблица10[[#This Row],[№]]&amp;"Продажа",РД[Дом]&amp;РД[№ кв]&amp;РД[Состояние],0),1),Таблица10[[#This Row],[Статус]])</f>
        <v>3459308.01</v>
      </c>
      <c r="U395" s="235">
        <f>IFERROR((Таблица10[[#This Row],[ПП]]-Таблица10[[#This Row],[ДДУ]])*1,)</f>
        <v>0</v>
      </c>
      <c r="V395" s="235" cm="1">
        <f t="array" ref="V395">IFERROR(INDEX(РД[Стоимость с отделкой итог],MATCH($Q$3&amp;Таблица10[[#This Row],[№]]&amp;"Продажа",РД[Дом]&amp;РД[№ кв]&amp;РД[Состояние],0),1),Таблица10[[#This Row],[Статус]])</f>
        <v>3653753.01</v>
      </c>
      <c r="W395" s="235">
        <f>_xlfn.XLOOKUP(Таблица10[[#This Row],[№]],Реестр_Д5[№],Реестр_Д5[Стоимость квартиры с отделкой],"-",0)</f>
        <v>3653753.01</v>
      </c>
      <c r="X395" s="235">
        <f>IFERROR(Таблица10[[#This Row],[СО ПП]]-Таблица10[[#This Row],[СО ДДУ]],"")</f>
        <v>0</v>
      </c>
      <c r="Y395" s="233" cm="1">
        <f t="array" ref="Y395">IFERROR(INDEX(РД[S],MATCH($Q$3&amp;Таблица10[[#This Row],[№]]&amp;"Продажа",РД[Дом]&amp;РД[№ кв]&amp;РД[Состояние],0),1),Таблица10[[#This Row],[Статус]])</f>
        <v>43.21</v>
      </c>
      <c r="Z395" s="233">
        <f>IF(Таблица10[[#This Row],[№]]&amp;"ДДУ"=ППД5!A392&amp;ППД5!CR392,ППД5!U392,ППД5!V392)</f>
        <v>43.21</v>
      </c>
      <c r="AA395" s="285">
        <f>IFERROR(Таблица10[[#This Row],[S ПП]]-Таблица10[[#This Row],[S ДДУ]],)</f>
        <v>0</v>
      </c>
      <c r="AB395" s="235">
        <f>ROUND(_xlfn.XLOOKUP(Таблица10[[#This Row],[№]],Реестр_Д5[№],Реестр_Д5[Итоговая сумма скидки],"",0),2)</f>
        <v>220806.89</v>
      </c>
      <c r="AC395" s="235" cm="1">
        <f t="array" ref="AC395">IFERROR(ROUND(_xlfn.XLOOKUP($Q$3&amp;Таблица10[[#This Row],[№]]&amp;"Продажа",РД[Дом]&amp;РД[№ кв]&amp;РД[Состояние],РД[Сумма скидки],"",0,-1),2),Таблица10[[#This Row],[Статус]])</f>
        <v>220806.89</v>
      </c>
      <c r="AD395" s="285">
        <f>IFERROR(Таблица10[[#This Row],[ППС]]-Таблица10[[#This Row],[ДДУС]],)</f>
        <v>0</v>
      </c>
      <c r="AE395" s="611"/>
      <c r="AT395" s="611"/>
    </row>
    <row r="396" spans="1:46" x14ac:dyDescent="0.2">
      <c r="A396" s="611"/>
      <c r="B396" s="234">
        <f>VLOOKUP(ППД4!A393,Реестр_Д4[№],1,0)</f>
        <v>392</v>
      </c>
      <c r="C396" s="234" t="str">
        <f>VLOOKUP(ППД4!CO393,Реестр_Д4[Статус],1,0)</f>
        <v>Продажа</v>
      </c>
      <c r="D396" s="612">
        <f>VLOOKUP(ППД4!CE393,Реестр_Д4[Стоимость ОН без отделки со скидкой],1,0)</f>
        <v>4183636.37</v>
      </c>
      <c r="E396" s="612" cm="1">
        <f t="array" ref="E396">IFERROR(INDEX(РД[Стоимость без отделки итог],MATCH($B$3&amp;Таблица4[[#This Row],[№]]&amp;"Продажа",РД[Дом]&amp;РД[№ кв]&amp;РД[Состояние],0),1),Таблица4[[#This Row],[Статус]])</f>
        <v>4183636.37</v>
      </c>
      <c r="F396" s="235">
        <f>IFERROR((Таблица4[[#This Row],[ПП]]-Таблица4[[#This Row],[ДДУ]])*1,"")</f>
        <v>0</v>
      </c>
      <c r="G396" s="235" cm="1">
        <f t="array" ref="G396">IFERROR(INDEX(РД[Стоимость с отделкой итог],MATCH($B$3&amp;Таблица4[[#This Row],[№]]&amp;"Продажа",РД[Дом]&amp;РД[№ кв]&amp;РД[Состояние],0),1),Таблица4[[#This Row],[Статус]])</f>
        <v>4183636.37</v>
      </c>
      <c r="H396" s="235">
        <f>_xlfn.XLOOKUP(Таблица4[[#This Row],[№]],Реестр_Д4[№],Реестр_Д4[Стоимость квартиры с отделкой],"-",0)</f>
        <v>4183636.37</v>
      </c>
      <c r="I396" s="235">
        <f>IFERROR(Таблица4[[#This Row],[СО ПП]]-Таблица4[[#This Row],[СО ДДУ]],"")</f>
        <v>0</v>
      </c>
      <c r="J396" s="233" cm="1">
        <f t="array" ref="J396">IFERROR(INDEX(РД[S],MATCH($B$3&amp;Таблица4[[#This Row],[№]]&amp;"Продажа",РД[Дом]&amp;РД[№ кв]&amp;РД[Состояние],0),1),Таблица4[[#This Row],[Статус]])</f>
        <v>56.7</v>
      </c>
      <c r="K396" s="233">
        <f>VLOOKUP(Таблица4[[#This Row],[№]],Реестр_Д4[],20,0)</f>
        <v>56.7</v>
      </c>
      <c r="L396" s="235">
        <f>IFERROR(Таблица4[[#This Row],[S ПП]]-Таблица4[[#This Row],[S ДДУ]],)</f>
        <v>0</v>
      </c>
      <c r="M396" s="235">
        <f>ROUND(_xlfn.XLOOKUP(Таблица4[[#This Row],[№]],Реестр_Д4[№],Реестр_Д4[Итоговая сумма скидки],"",0),2)</f>
        <v>220191.39</v>
      </c>
      <c r="N396" s="235" cm="1">
        <f t="array" ref="N396">IFERROR(ROUND(_xlfn.XLOOKUP($B$3&amp;Таблица4[[#This Row],[№]]&amp;"Продажа",РД[Дом]&amp;РД[№ кв]&amp;РД[Состояние],РД[Сумма скидки],"",0),2),Таблица4[[#This Row],[Статус]])</f>
        <v>220191.39</v>
      </c>
      <c r="O396" s="235">
        <f>IFERROR(Таблица4[[#This Row],[ППС]]-Таблица4[[#This Row],[ДДУС]],)</f>
        <v>0</v>
      </c>
      <c r="P396" s="611"/>
      <c r="Q396" s="234">
        <f>VLOOKUP(ППД5!A393,Реестр_Д5[№],1,0)</f>
        <v>392</v>
      </c>
      <c r="R396" s="234" t="str">
        <f>VLOOKUP(ППД5!CH393,Реестр_Д5[Статус],1,0)</f>
        <v>Продажа</v>
      </c>
      <c r="S396" s="612">
        <f>VLOOKUP(ППД5!BZ393,Реестр_Д5[Стоимость ОН без отделки со скидкой],1,0)</f>
        <v>2646116.87</v>
      </c>
      <c r="T396" s="612" cm="1">
        <f t="array" ref="T396">IFERROR(INDEX(РД[Стоимость без отделки итог],MATCH($Q$3&amp;Таблица10[[#This Row],[№]]&amp;"Продажа",РД[Дом]&amp;РД[№ кв]&amp;РД[Состояние],0),1),Таблица10[[#This Row],[Статус]])</f>
        <v>2646116.87</v>
      </c>
      <c r="U396" s="235">
        <f>IFERROR((Таблица10[[#This Row],[ПП]]-Таблица10[[#This Row],[ДДУ]])*1,)</f>
        <v>0</v>
      </c>
      <c r="V396" s="235" cm="1">
        <f t="array" ref="V396">IFERROR(INDEX(РД[Стоимость с отделкой итог],MATCH($Q$3&amp;Таблица10[[#This Row],[№]]&amp;"Продажа",РД[Дом]&amp;РД[№ кв]&amp;РД[Состояние],0),1),Таблица10[[#This Row],[Статус]])</f>
        <v>2768616.87</v>
      </c>
      <c r="W396" s="235">
        <f>_xlfn.XLOOKUP(Таблица10[[#This Row],[№]],Реестр_Д5[№],Реестр_Д5[Стоимость квартиры с отделкой],"-",0)</f>
        <v>2768616.87</v>
      </c>
      <c r="X396" s="235">
        <f>IFERROR(Таблица10[[#This Row],[СО ПП]]-Таблица10[[#This Row],[СО ДДУ]],"")</f>
        <v>0</v>
      </c>
      <c r="Y396" s="233" cm="1">
        <f t="array" ref="Y396">IFERROR(INDEX(РД[S],MATCH($Q$3&amp;Таблица10[[#This Row],[№]]&amp;"Продажа",РД[Дом]&amp;РД[№ кв]&amp;РД[Состояние],0),1),Таблица10[[#This Row],[Статус]])</f>
        <v>24.5</v>
      </c>
      <c r="Z396" s="233">
        <f>IF(Таблица10[[#This Row],[№]]&amp;"ДДУ"=ППД5!A393&amp;ППД5!CR393,ППД5!U393,ППД5!V393)</f>
        <v>24.5</v>
      </c>
      <c r="AA396" s="285">
        <f>IFERROR(Таблица10[[#This Row],[S ПП]]-Таблица10[[#This Row],[S ДДУ]],)</f>
        <v>0</v>
      </c>
      <c r="AB396" s="235">
        <f>ROUND(_xlfn.XLOOKUP(Таблица10[[#This Row],[№]],Реестр_Д5[№],Реестр_Д5[Итоговая сумма скидки],"",0),2)</f>
        <v>0</v>
      </c>
      <c r="AC396" s="235" cm="1">
        <f t="array" ref="AC39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96" s="285">
        <f>IFERROR(Таблица10[[#This Row],[ППС]]-Таблица10[[#This Row],[ДДУС]],)</f>
        <v>0</v>
      </c>
      <c r="AE396" s="611"/>
      <c r="AT396" s="611"/>
    </row>
    <row r="397" spans="1:46" x14ac:dyDescent="0.2">
      <c r="A397" s="611"/>
      <c r="B397" s="234">
        <f>VLOOKUP(ППД4!A394,Реестр_Д4[№],1,0)</f>
        <v>393</v>
      </c>
      <c r="C397" s="234" t="str">
        <f>VLOOKUP(ППД4!CO394,Реестр_Д4[Статус],1,0)</f>
        <v>Продажа</v>
      </c>
      <c r="D397" s="612">
        <f>VLOOKUP(ППД4!CE394,Реестр_Д4[Стоимость ОН без отделки со скидкой],1,0)</f>
        <v>5979810.5099999998</v>
      </c>
      <c r="E397" s="612" cm="1">
        <f t="array" ref="E397">IFERROR(INDEX(РД[Стоимость без отделки итог],MATCH($B$3&amp;Таблица4[[#This Row],[№]]&amp;"Продажа",РД[Дом]&amp;РД[№ кв]&amp;РД[Состояние],0),1),Таблица4[[#This Row],[Статус]])</f>
        <v>5979810.5099999998</v>
      </c>
      <c r="F397" s="235">
        <f>IFERROR((Таблица4[[#This Row],[ПП]]-Таблица4[[#This Row],[ДДУ]])*1,"")</f>
        <v>0</v>
      </c>
      <c r="G397" s="235" cm="1">
        <f t="array" ref="G397">IFERROR(INDEX(РД[Стоимость с отделкой итог],MATCH($B$3&amp;Таблица4[[#This Row],[№]]&amp;"Продажа",РД[Дом]&amp;РД[№ кв]&amp;РД[Состояние],0),1),Таблица4[[#This Row],[Статус]])</f>
        <v>5979810.5099999998</v>
      </c>
      <c r="H397" s="235">
        <f>_xlfn.XLOOKUP(Таблица4[[#This Row],[№]],Реестр_Д4[№],Реестр_Д4[Стоимость квартиры с отделкой],"-",0)</f>
        <v>5979810.5099999998</v>
      </c>
      <c r="I397" s="235">
        <f>IFERROR(Таблица4[[#This Row],[СО ПП]]-Таблица4[[#This Row],[СО ДДУ]],"")</f>
        <v>0</v>
      </c>
      <c r="J397" s="233" cm="1">
        <f t="array" ref="J397">IFERROR(INDEX(РД[S],MATCH($B$3&amp;Таблица4[[#This Row],[№]]&amp;"Продажа",РД[Дом]&amp;РД[№ кв]&amp;РД[Состояние],0),1),Таблица4[[#This Row],[Статус]])</f>
        <v>72.510000000000005</v>
      </c>
      <c r="K397" s="233">
        <f>VLOOKUP(Таблица4[[#This Row],[№]],Реестр_Д4[],20,0)</f>
        <v>72.510000000000005</v>
      </c>
      <c r="L397" s="235">
        <f>IFERROR(Таблица4[[#This Row],[S ПП]]-Таблица4[[#This Row],[S ДДУ]],)</f>
        <v>0</v>
      </c>
      <c r="M397" s="235">
        <f>ROUND(_xlfn.XLOOKUP(Таблица4[[#This Row],[№]],Реестр_Д4[№],Реестр_Д4[Итоговая сумма скидки],"",0),2)</f>
        <v>0</v>
      </c>
      <c r="N397" s="235" cm="1">
        <f t="array" ref="N39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7" s="235">
        <f>IFERROR(Таблица4[[#This Row],[ППС]]-Таблица4[[#This Row],[ДДУС]],)</f>
        <v>0</v>
      </c>
      <c r="P397" s="611"/>
      <c r="Q397" s="234">
        <f>VLOOKUP(ППД5!A394,Реестр_Д5[№],1,0)</f>
        <v>393</v>
      </c>
      <c r="R397" s="234" t="str">
        <f>VLOOKUP(ППД5!CH394,Реестр_Д5[Статус],1,0)</f>
        <v>Продажа</v>
      </c>
      <c r="S397" s="612">
        <f>VLOOKUP(ППД5!BZ394,Реестр_Д5[Стоимость ОН без отделки со скидкой],1,0)</f>
        <v>6119900</v>
      </c>
      <c r="T397" s="612" cm="1">
        <f t="array" ref="T397">IFERROR(INDEX(РД[Стоимость без отделки итог],MATCH($Q$3&amp;Таблица10[[#This Row],[№]]&amp;"Продажа",РД[Дом]&amp;РД[№ кв]&amp;РД[Состояние],0),1),Таблица10[[#This Row],[Статус]])</f>
        <v>6119900</v>
      </c>
      <c r="U397" s="235">
        <f>IFERROR((Таблица10[[#This Row],[ПП]]-Таблица10[[#This Row],[ДДУ]])*1,)</f>
        <v>0</v>
      </c>
      <c r="V397" s="235" cm="1">
        <f t="array" ref="V397">IFERROR(INDEX(РД[Стоимость с отделкой итог],MATCH($Q$3&amp;Таблица10[[#This Row],[№]]&amp;"Продажа",РД[Дом]&amp;РД[№ кв]&amp;РД[Состояние],0),1),Таблица10[[#This Row],[Статус]])</f>
        <v>6119900</v>
      </c>
      <c r="W397" s="235">
        <f>_xlfn.XLOOKUP(Таблица10[[#This Row],[№]],Реестр_Д5[№],Реестр_Д5[Стоимость квартиры с отделкой],"-",0)</f>
        <v>6119900</v>
      </c>
      <c r="X397" s="235">
        <f>IFERROR(Таблица10[[#This Row],[СО ПП]]-Таблица10[[#This Row],[СО ДДУ]],"")</f>
        <v>0</v>
      </c>
      <c r="Y397" s="233" cm="1">
        <f t="array" ref="Y397">IFERROR(INDEX(РД[S],MATCH($Q$3&amp;Таблица10[[#This Row],[№]]&amp;"Продажа",РД[Дом]&amp;РД[№ кв]&amp;РД[Состояние],0),1),Таблица10[[#This Row],[Статус]])</f>
        <v>58.24</v>
      </c>
      <c r="Z397" s="233">
        <f>IF(Таблица10[[#This Row],[№]]&amp;"ДДУ"=ППД5!A394&amp;ППД5!CR394,ППД5!U394,ППД5!V394)</f>
        <v>58.24</v>
      </c>
      <c r="AA397" s="285">
        <f>IFERROR(Таблица10[[#This Row],[S ПП]]-Таблица10[[#This Row],[S ДДУ]],)</f>
        <v>0</v>
      </c>
      <c r="AB397" s="235">
        <f>ROUND(_xlfn.XLOOKUP(Таблица10[[#This Row],[№]],Реестр_Д5[№],Реестр_Д5[Итоговая сумма скидки],"",0),2)</f>
        <v>0</v>
      </c>
      <c r="AC397" s="235" cm="1">
        <f t="array" ref="AC39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97" s="285">
        <f>IFERROR(Таблица10[[#This Row],[ППС]]-Таблица10[[#This Row],[ДДУС]],)</f>
        <v>0</v>
      </c>
      <c r="AE397" s="611"/>
      <c r="AT397" s="611"/>
    </row>
    <row r="398" spans="1:46" x14ac:dyDescent="0.2">
      <c r="A398" s="611"/>
      <c r="B398" s="234">
        <f>VLOOKUP(ППД4!A395,Реестр_Д4[№],1,0)</f>
        <v>394</v>
      </c>
      <c r="C398" s="234" t="str">
        <f>VLOOKUP(ППД4!CO395,Реестр_Д4[Статус],1,0)</f>
        <v>Продажа</v>
      </c>
      <c r="D398" s="612">
        <f>VLOOKUP(ППД4!CE395,Реестр_Д4[Стоимость ОН без отделки со скидкой],1,0)</f>
        <v>3460268.18</v>
      </c>
      <c r="E398" s="612" cm="1">
        <f t="array" ref="E398">IFERROR(INDEX(РД[Стоимость без отделки итог],MATCH($B$3&amp;Таблица4[[#This Row],[№]]&amp;"Продажа",РД[Дом]&amp;РД[№ кв]&amp;РД[Состояние],0),1),Таблица4[[#This Row],[Статус]])</f>
        <v>3460268.18</v>
      </c>
      <c r="F398" s="235">
        <f>IFERROR((Таблица4[[#This Row],[ПП]]-Таблица4[[#This Row],[ДДУ]])*1,"")</f>
        <v>0</v>
      </c>
      <c r="G398" s="235" cm="1">
        <f t="array" ref="G398">IFERROR(INDEX(РД[Стоимость с отделкой итог],MATCH($B$3&amp;Таблица4[[#This Row],[№]]&amp;"Продажа",РД[Дом]&amp;РД[№ кв]&amp;РД[Состояние],0),1),Таблица4[[#This Row],[Статус]])</f>
        <v>3460268.18</v>
      </c>
      <c r="H398" s="235">
        <f>_xlfn.XLOOKUP(Таблица4[[#This Row],[№]],Реестр_Д4[№],Реестр_Д4[Стоимость квартиры с отделкой],"-",0)</f>
        <v>3460268.18</v>
      </c>
      <c r="I398" s="235">
        <f>IFERROR(Таблица4[[#This Row],[СО ПП]]-Таблица4[[#This Row],[СО ДДУ]],"")</f>
        <v>0</v>
      </c>
      <c r="J398" s="233" cm="1">
        <f t="array" ref="J398">IFERROR(INDEX(РД[S],MATCH($B$3&amp;Таблица4[[#This Row],[№]]&amp;"Продажа",РД[Дом]&amp;РД[№ кв]&amp;РД[Состояние],0),1),Таблица4[[#This Row],[Статус]])</f>
        <v>33.840000000000003</v>
      </c>
      <c r="K398" s="233">
        <f>VLOOKUP(Таблица4[[#This Row],[№]],Реестр_Д4[],20,0)</f>
        <v>33.840000000000003</v>
      </c>
      <c r="L398" s="235">
        <f>IFERROR(Таблица4[[#This Row],[S ПП]]-Таблица4[[#This Row],[S ДДУ]],)</f>
        <v>0</v>
      </c>
      <c r="M398" s="235">
        <f>ROUND(_xlfn.XLOOKUP(Таблица4[[#This Row],[№]],Реестр_Д4[№],Реестр_Д4[Итоговая сумма скидки],"",0),2)</f>
        <v>70617.72</v>
      </c>
      <c r="N398" s="235" cm="1">
        <f t="array" ref="N398">IFERROR(ROUND(_xlfn.XLOOKUP($B$3&amp;Таблица4[[#This Row],[№]]&amp;"Продажа",РД[Дом]&amp;РД[№ кв]&amp;РД[Состояние],РД[Сумма скидки],"",0),2),Таблица4[[#This Row],[Статус]])</f>
        <v>70617.72</v>
      </c>
      <c r="O398" s="235">
        <f>IFERROR(Таблица4[[#This Row],[ППС]]-Таблица4[[#This Row],[ДДУС]],)</f>
        <v>0</v>
      </c>
      <c r="P398" s="611"/>
      <c r="Q398" s="234">
        <f>VLOOKUP(ППД5!A395,Реестр_Д5[№],1,0)</f>
        <v>394</v>
      </c>
      <c r="R398" s="234" t="str">
        <f>VLOOKUP(ППД5!CH395,Реестр_Д5[Статус],1,0)</f>
        <v>Продажа</v>
      </c>
      <c r="S398" s="612">
        <f>VLOOKUP(ППД5!BZ395,Реестр_Д5[Стоимость ОН без отделки со скидкой],1,0)</f>
        <v>4810603.0199999996</v>
      </c>
      <c r="T398" s="612" cm="1">
        <f t="array" ref="T398">IFERROR(INDEX(РД[Стоимость без отделки итог],MATCH($Q$3&amp;Таблица10[[#This Row],[№]]&amp;"Продажа",РД[Дом]&amp;РД[№ кв]&amp;РД[Состояние],0),1),Таблица10[[#This Row],[Статус]])</f>
        <v>4810603.0199999996</v>
      </c>
      <c r="U398" s="235">
        <f>IFERROR((Таблица10[[#This Row],[ПП]]-Таблица10[[#This Row],[ДДУ]])*1,)</f>
        <v>0</v>
      </c>
      <c r="V398" s="235" cm="1">
        <f t="array" ref="V398">IFERROR(INDEX(РД[Стоимость с отделкой итог],MATCH($Q$3&amp;Таблица10[[#This Row],[№]]&amp;"Продажа",РД[Дом]&amp;РД[№ кв]&amp;РД[Состояние],0),1),Таблица10[[#This Row],[Статус]])</f>
        <v>4810603.0199999996</v>
      </c>
      <c r="W398" s="235">
        <f>_xlfn.XLOOKUP(Таблица10[[#This Row],[№]],Реестр_Д5[№],Реестр_Д5[Стоимость квартиры с отделкой],"-",0)</f>
        <v>4810603.0199999996</v>
      </c>
      <c r="X398" s="235">
        <f>IFERROR(Таблица10[[#This Row],[СО ПП]]-Таблица10[[#This Row],[СО ДДУ]],"")</f>
        <v>0</v>
      </c>
      <c r="Y398" s="233" cm="1">
        <f t="array" ref="Y398">IFERROR(INDEX(РД[S],MATCH($Q$3&amp;Таблица10[[#This Row],[№]]&amp;"Продажа",РД[Дом]&amp;РД[№ кв]&amp;РД[Состояние],0),1),Таблица10[[#This Row],[Статус]])</f>
        <v>51.71</v>
      </c>
      <c r="Z398" s="233">
        <f>IF(Таблица10[[#This Row],[№]]&amp;"ДДУ"=ППД5!A395&amp;ППД5!CR395,ППД5!U395,ППД5!V395)</f>
        <v>51.71</v>
      </c>
      <c r="AA398" s="285">
        <f>IFERROR(Таблица10[[#This Row],[S ПП]]-Таблица10[[#This Row],[S ДДУ]],)</f>
        <v>0</v>
      </c>
      <c r="AB398" s="235">
        <f>ROUND(_xlfn.XLOOKUP(Таблица10[[#This Row],[№]],Реестр_Д5[№],Реестр_Д5[Итоговая сумма скидки],"",0),2)</f>
        <v>0</v>
      </c>
      <c r="AC398" s="235" cm="1">
        <f t="array" ref="AC39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398" s="285">
        <f>IFERROR(Таблица10[[#This Row],[ППС]]-Таблица10[[#This Row],[ДДУС]],)</f>
        <v>0</v>
      </c>
      <c r="AE398" s="611"/>
      <c r="AT398" s="611"/>
    </row>
    <row r="399" spans="1:46" x14ac:dyDescent="0.2">
      <c r="A399" s="611"/>
      <c r="B399" s="234">
        <f>VLOOKUP(ППД4!A396,Реестр_Д4[№],1,0)</f>
        <v>395</v>
      </c>
      <c r="C399" s="234" t="str">
        <f>VLOOKUP(ППД4!CO396,Реестр_Д4[Статус],1,0)</f>
        <v>Продажа</v>
      </c>
      <c r="D399" s="612">
        <f>VLOOKUP(ППД4!CE396,Реестр_Д4[Стоимость ОН без отделки со скидкой],1,0)</f>
        <v>2998490.51</v>
      </c>
      <c r="E399" s="612" cm="1">
        <f t="array" ref="E399">IFERROR(INDEX(РД[Стоимость без отделки итог],MATCH($B$3&amp;Таблица4[[#This Row],[№]]&amp;"Продажа",РД[Дом]&amp;РД[№ кв]&amp;РД[Состояние],0),1),Таблица4[[#This Row],[Статус]])</f>
        <v>2998490.51</v>
      </c>
      <c r="F399" s="235">
        <f>IFERROR((Таблица4[[#This Row],[ПП]]-Таблица4[[#This Row],[ДДУ]])*1,"")</f>
        <v>0</v>
      </c>
      <c r="G399" s="235" cm="1">
        <f t="array" ref="G399">IFERROR(INDEX(РД[Стоимость с отделкой итог],MATCH($B$3&amp;Таблица4[[#This Row],[№]]&amp;"Продажа",РД[Дом]&amp;РД[№ кв]&amp;РД[Состояние],0),1),Таблица4[[#This Row],[Статус]])</f>
        <v>3130565.51</v>
      </c>
      <c r="H399" s="235">
        <f>_xlfn.XLOOKUP(Таблица4[[#This Row],[№]],Реестр_Д4[№],Реестр_Д4[Стоимость квартиры с отделкой],"-",0)</f>
        <v>3130565.51</v>
      </c>
      <c r="I399" s="235">
        <f>IFERROR(Таблица4[[#This Row],[СО ПП]]-Таблица4[[#This Row],[СО ДДУ]],"")</f>
        <v>0</v>
      </c>
      <c r="J399" s="233" cm="1">
        <f t="array" ref="J399">IFERROR(INDEX(РД[S],MATCH($B$3&amp;Таблица4[[#This Row],[№]]&amp;"Продажа",РД[Дом]&amp;РД[№ кв]&amp;РД[Состояние],0),1),Таблица4[[#This Row],[Статус]])</f>
        <v>29.35</v>
      </c>
      <c r="K399" s="233">
        <f>VLOOKUP(Таблица4[[#This Row],[№]],Реестр_Д4[],20,0)</f>
        <v>29.35</v>
      </c>
      <c r="L399" s="235">
        <f>IFERROR(Таблица4[[#This Row],[S ПП]]-Таблица4[[#This Row],[S ДДУ]],)</f>
        <v>0</v>
      </c>
      <c r="M399" s="235">
        <f>ROUND(_xlfn.XLOOKUP(Таблица4[[#This Row],[№]],Реестр_Д4[№],Реестр_Д4[Итоговая сумма скидки],"",0),2)</f>
        <v>0</v>
      </c>
      <c r="N399" s="235" cm="1">
        <f t="array" ref="N39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399" s="235">
        <f>IFERROR(Таблица4[[#This Row],[ППС]]-Таблица4[[#This Row],[ДДУС]],)</f>
        <v>0</v>
      </c>
      <c r="P399" s="611"/>
      <c r="Q399" s="234">
        <f>VLOOKUP(ППД5!A396,Реестр_Д5[№],1,0)</f>
        <v>395</v>
      </c>
      <c r="R399" s="234" t="str">
        <f>VLOOKUP(ППД5!CH396,Реестр_Д5[Статус],1,0)</f>
        <v>Продажа</v>
      </c>
      <c r="S399" s="612">
        <f>VLOOKUP(ППД5!BZ396,Реестр_Д5[Стоимость ОН без отделки со скидкой],1,0)</f>
        <v>8531500</v>
      </c>
      <c r="T399" s="612" cm="1">
        <f t="array" ref="T399">IFERROR(INDEX(РД[Стоимость без отделки итог],MATCH($Q$3&amp;Таблица10[[#This Row],[№]]&amp;"Продажа",РД[Дом]&amp;РД[№ кв]&amp;РД[Состояние],0),1),Таблица10[[#This Row],[Статус]])</f>
        <v>8531500</v>
      </c>
      <c r="U399" s="235">
        <f>IFERROR((Таблица10[[#This Row],[ПП]]-Таблица10[[#This Row],[ДДУ]])*1,)</f>
        <v>0</v>
      </c>
      <c r="V399" s="235" cm="1">
        <f t="array" ref="V399">IFERROR(INDEX(РД[Стоимость с отделкой итог],MATCH($Q$3&amp;Таблица10[[#This Row],[№]]&amp;"Продажа",РД[Дом]&amp;РД[№ кв]&amp;РД[Состояние],0),1),Таблица10[[#This Row],[Статус]])</f>
        <v>8531500</v>
      </c>
      <c r="W399" s="235">
        <f>_xlfn.XLOOKUP(Таблица10[[#This Row],[№]],Реестр_Д5[№],Реестр_Д5[Стоимость квартиры с отделкой],"-",0)</f>
        <v>8531500</v>
      </c>
      <c r="X399" s="235">
        <f>IFERROR(Таблица10[[#This Row],[СО ПП]]-Таблица10[[#This Row],[СО ДДУ]],"")</f>
        <v>0</v>
      </c>
      <c r="Y399" s="233" cm="1">
        <f t="array" ref="Y399">IFERROR(INDEX(РД[S],MATCH($Q$3&amp;Таблица10[[#This Row],[№]]&amp;"Продажа",РД[Дом]&amp;РД[№ кв]&amp;РД[Состояние],0),1),Таблица10[[#This Row],[Статус]])</f>
        <v>79.44</v>
      </c>
      <c r="Z399" s="233">
        <f>IF(Таблица10[[#This Row],[№]]&amp;"ДДУ"=ППД5!A396&amp;ППД5!CR396,ППД5!U396,ППД5!V396)</f>
        <v>79.44</v>
      </c>
      <c r="AA399" s="285">
        <f>IFERROR(Таблица10[[#This Row],[S ПП]]-Таблица10[[#This Row],[S ДДУ]],)</f>
        <v>0</v>
      </c>
      <c r="AB399" s="235">
        <f>ROUND(_xlfn.XLOOKUP(Таблица10[[#This Row],[№]],Реестр_Д5[№],Реестр_Д5[Итоговая сумма скидки],"",0),2)</f>
        <v>150000</v>
      </c>
      <c r="AC399" s="235" cm="1">
        <f t="array" ref="AC399">IFERROR(ROUND(_xlfn.XLOOKUP($Q$3&amp;Таблица10[[#This Row],[№]]&amp;"Продажа",РД[Дом]&amp;РД[№ кв]&amp;РД[Состояние],РД[Сумма скидки],"",0,-1),2),Таблица10[[#This Row],[Статус]])</f>
        <v>150000</v>
      </c>
      <c r="AD399" s="285">
        <f>IFERROR(Таблица10[[#This Row],[ППС]]-Таблица10[[#This Row],[ДДУС]],)</f>
        <v>0</v>
      </c>
      <c r="AE399" s="611"/>
      <c r="AT399" s="611"/>
    </row>
    <row r="400" spans="1:46" x14ac:dyDescent="0.2">
      <c r="A400" s="611"/>
      <c r="B400" s="234">
        <f>VLOOKUP(ППД4!A397,Реестр_Д4[№],1,0)</f>
        <v>396</v>
      </c>
      <c r="C400" s="234" t="str">
        <f>VLOOKUP(ППД4!CO397,Реестр_Д4[Статус],1,0)</f>
        <v>Продажа</v>
      </c>
      <c r="D400" s="612">
        <f>VLOOKUP(ППД4!CE397,Реестр_Д4[Стоимость ОН без отделки со скидкой],1,0)</f>
        <v>5454788.2400000002</v>
      </c>
      <c r="E400" s="612" cm="1">
        <f t="array" ref="E400">IFERROR(INDEX(РД[Стоимость без отделки итог],MATCH($B$3&amp;Таблица4[[#This Row],[№]]&amp;"Продажа",РД[Дом]&amp;РД[№ кв]&amp;РД[Состояние],0),1),Таблица4[[#This Row],[Статус]])</f>
        <v>5454788.2400000002</v>
      </c>
      <c r="F400" s="235">
        <f>IFERROR((Таблица4[[#This Row],[ПП]]-Таблица4[[#This Row],[ДДУ]])*1,"")</f>
        <v>0</v>
      </c>
      <c r="G400" s="235" cm="1">
        <f t="array" ref="G400">IFERROR(INDEX(РД[Стоимость с отделкой итог],MATCH($B$3&amp;Таблица4[[#This Row],[№]]&amp;"Продажа",РД[Дом]&amp;РД[№ кв]&amp;РД[Состояние],0),1),Таблица4[[#This Row],[Статус]])</f>
        <v>5726588.2400000002</v>
      </c>
      <c r="H400" s="235">
        <f>_xlfn.XLOOKUP(Таблица4[[#This Row],[№]],Реестр_Д4[№],Реестр_Д4[Стоимость квартиры с отделкой],"-",0)</f>
        <v>5726588.2400000002</v>
      </c>
      <c r="I400" s="235">
        <f>IFERROR(Таблица4[[#This Row],[СО ПП]]-Таблица4[[#This Row],[СО ДДУ]],"")</f>
        <v>0</v>
      </c>
      <c r="J400" s="233" cm="1">
        <f t="array" ref="J400">IFERROR(INDEX(РД[S],MATCH($B$3&amp;Таблица4[[#This Row],[№]]&amp;"Продажа",РД[Дом]&amp;РД[№ кв]&amp;РД[Состояние],0),1),Таблица4[[#This Row],[Статус]])</f>
        <v>67.95</v>
      </c>
      <c r="K400" s="233">
        <f>VLOOKUP(Таблица4[[#This Row],[№]],Реестр_Д4[],20,0)</f>
        <v>67.95</v>
      </c>
      <c r="L400" s="235">
        <f>IFERROR(Таблица4[[#This Row],[S ПП]]-Таблица4[[#This Row],[S ДДУ]],)</f>
        <v>0</v>
      </c>
      <c r="M400" s="235">
        <f>ROUND(_xlfn.XLOOKUP(Таблица4[[#This Row],[№]],Реестр_Д4[№],Реестр_Д4[Итоговая сумма скидки],"",0),2)</f>
        <v>287094.12</v>
      </c>
      <c r="N400" s="235" cm="1">
        <f t="array" ref="N400">IFERROR(ROUND(_xlfn.XLOOKUP($B$3&amp;Таблица4[[#This Row],[№]]&amp;"Продажа",РД[Дом]&amp;РД[№ кв]&amp;РД[Состояние],РД[Сумма скидки],"",0),2),Таблица4[[#This Row],[Статус]])</f>
        <v>287094.12</v>
      </c>
      <c r="O400" s="235">
        <f>IFERROR(Таблица4[[#This Row],[ППС]]-Таблица4[[#This Row],[ДДУС]],)</f>
        <v>0</v>
      </c>
      <c r="P400" s="611"/>
      <c r="Q400" s="234">
        <f>VLOOKUP(ППД5!A397,Реестр_Д5[№],1,0)</f>
        <v>396</v>
      </c>
      <c r="R400" s="234" t="str">
        <f>VLOOKUP(ППД5!CH397,Реестр_Д5[Статус],1,0)</f>
        <v>Свободно</v>
      </c>
      <c r="S400" s="612">
        <f>VLOOKUP(ППД5!BZ397,Реестр_Д5[Стоимость ОН без отделки со скидкой],1,0)</f>
        <v>6089800</v>
      </c>
      <c r="T400" s="612" t="str" cm="1">
        <f t="array" ref="T40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00" s="235">
        <f>IFERROR((Таблица10[[#This Row],[ПП]]-Таблица10[[#This Row],[ДДУ]])*1,)</f>
        <v>0</v>
      </c>
      <c r="V400" s="235" t="str" cm="1">
        <f t="array" ref="V40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00" s="235">
        <f>_xlfn.XLOOKUP(Таблица10[[#This Row],[№]],Реестр_Д5[№],Реестр_Д5[Стоимость квартиры с отделкой],"-",0)</f>
        <v>7292800.0000000019</v>
      </c>
      <c r="X400" s="235" t="str">
        <f>IFERROR(Таблица10[[#This Row],[СО ПП]]-Таблица10[[#This Row],[СО ДДУ]],"")</f>
        <v/>
      </c>
      <c r="Y400" s="233" t="str" cm="1">
        <f t="array" ref="Y400">IFERROR(INDEX(РД[S],MATCH($Q$3&amp;Таблица10[[#This Row],[№]]&amp;"Продажа",РД[Дом]&amp;РД[№ кв]&amp;РД[Состояние],0),1),Таблица10[[#This Row],[Статус]])</f>
        <v>Свободно</v>
      </c>
      <c r="Z400" s="233">
        <f>IF(Таблица10[[#This Row],[№]]&amp;"ДДУ"=ППД5!A397&amp;ППД5!CR397,ППД5!U397,ППД5!V397)</f>
        <v>40.1</v>
      </c>
      <c r="AA400" s="285">
        <f>IFERROR(Таблица10[[#This Row],[S ПП]]-Таблица10[[#This Row],[S ДДУ]],)</f>
        <v>0</v>
      </c>
      <c r="AB400" s="235">
        <f>ROUND(_xlfn.XLOOKUP(Таблица10[[#This Row],[№]],Реестр_Д5[№],Реестр_Д5[Итоговая сумма скидки],"",0),2)</f>
        <v>0</v>
      </c>
      <c r="AC400" s="235" t="str" cm="1">
        <f t="array" ref="AC40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00" s="285">
        <f>IFERROR(Таблица10[[#This Row],[ППС]]-Таблица10[[#This Row],[ДДУС]],)</f>
        <v>0</v>
      </c>
      <c r="AE400" s="611"/>
      <c r="AT400" s="611"/>
    </row>
    <row r="401" spans="1:46" x14ac:dyDescent="0.2">
      <c r="A401" s="611"/>
      <c r="B401" s="234">
        <f>VLOOKUP(ППД4!A398,Реестр_Д4[№],1,0)</f>
        <v>397</v>
      </c>
      <c r="C401" s="234" t="str">
        <f>VLOOKUP(ППД4!CO398,Реестр_Д4[Статус],1,0)</f>
        <v>Продажа</v>
      </c>
      <c r="D401" s="612">
        <f>VLOOKUP(ППД4!CE398,Реестр_Д4[Стоимость ОН без отделки со скидкой],1,0)</f>
        <v>3514281.92</v>
      </c>
      <c r="E401" s="612" cm="1">
        <f t="array" ref="E401">IFERROR(INDEX(РД[Стоимость без отделки итог],MATCH($B$3&amp;Таблица4[[#This Row],[№]]&amp;"Продажа",РД[Дом]&amp;РД[№ кв]&amp;РД[Состояние],0),1),Таблица4[[#This Row],[Статус]])</f>
        <v>3514281.92</v>
      </c>
      <c r="F401" s="235">
        <f>IFERROR((Таблица4[[#This Row],[ПП]]-Таблица4[[#This Row],[ДДУ]])*1,"")</f>
        <v>0</v>
      </c>
      <c r="G401" s="235" cm="1">
        <f t="array" ref="G401">IFERROR(INDEX(РД[Стоимость с отделкой итог],MATCH($B$3&amp;Таблица4[[#This Row],[№]]&amp;"Продажа",РД[Дом]&amp;РД[№ кв]&amp;РД[Состояние],0),1),Таблица4[[#This Row],[Статус]])</f>
        <v>3514281.92</v>
      </c>
      <c r="H401" s="235">
        <f>_xlfn.XLOOKUP(Таблица4[[#This Row],[№]],Реестр_Д4[№],Реестр_Д4[Стоимость квартиры с отделкой],"-",0)</f>
        <v>3514281.92</v>
      </c>
      <c r="I401" s="235">
        <f>IFERROR(Таблица4[[#This Row],[СО ПП]]-Таблица4[[#This Row],[СО ДДУ]],"")</f>
        <v>0</v>
      </c>
      <c r="J401" s="233" cm="1">
        <f t="array" ref="J401">IFERROR(INDEX(РД[S],MATCH($B$3&amp;Таблица4[[#This Row],[№]]&amp;"Продажа",РД[Дом]&amp;РД[№ кв]&amp;РД[Состояние],0),1),Таблица4[[#This Row],[Статус]])</f>
        <v>36.450000000000003</v>
      </c>
      <c r="K401" s="233">
        <f>VLOOKUP(Таблица4[[#This Row],[№]],Реестр_Д4[],20,0)</f>
        <v>36.450000000000003</v>
      </c>
      <c r="L401" s="235">
        <f>IFERROR(Таблица4[[#This Row],[S ПП]]-Таблица4[[#This Row],[S ДДУ]],)</f>
        <v>0</v>
      </c>
      <c r="M401" s="235">
        <f>ROUND(_xlfn.XLOOKUP(Таблица4[[#This Row],[№]],Реестр_Д4[№],Реестр_Д4[Итоговая сумма скидки],"",0),2)</f>
        <v>0</v>
      </c>
      <c r="N401" s="235" cm="1">
        <f t="array" ref="N40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01" s="235">
        <f>IFERROR(Таблица4[[#This Row],[ППС]]-Таблица4[[#This Row],[ДДУС]],)</f>
        <v>0</v>
      </c>
      <c r="P401" s="611"/>
      <c r="Q401" s="234">
        <f>VLOOKUP(ППД5!A398,Реестр_Д5[№],1,0)</f>
        <v>397</v>
      </c>
      <c r="R401" s="234" t="str">
        <f>VLOOKUP(ППД5!CH398,Реестр_Д5[Статус],1,0)</f>
        <v>Продажа</v>
      </c>
      <c r="S401" s="612">
        <f>VLOOKUP(ППД5!BZ398,Реестр_Д5[Стоимость ОН без отделки со скидкой],1,0)</f>
        <v>2652748.77</v>
      </c>
      <c r="T401" s="612" cm="1">
        <f t="array" ref="T401">IFERROR(INDEX(РД[Стоимость без отделки итог],MATCH($Q$3&amp;Таблица10[[#This Row],[№]]&amp;"Продажа",РД[Дом]&amp;РД[№ кв]&amp;РД[Состояние],0),1),Таблица10[[#This Row],[Статус]])</f>
        <v>2652748.77</v>
      </c>
      <c r="U401" s="235">
        <f>IFERROR((Таблица10[[#This Row],[ПП]]-Таблица10[[#This Row],[ДДУ]])*1,)</f>
        <v>0</v>
      </c>
      <c r="V401" s="235" cm="1">
        <f t="array" ref="V401">IFERROR(INDEX(РД[Стоимость с отделкой итог],MATCH($Q$3&amp;Таблица10[[#This Row],[№]]&amp;"Продажа",РД[Дом]&amp;РД[№ кв]&amp;РД[Состояние],0),1),Таблица10[[#This Row],[Статус]])</f>
        <v>2785048.77</v>
      </c>
      <c r="W401" s="235">
        <f>_xlfn.XLOOKUP(Таблица10[[#This Row],[№]],Реестр_Д5[№],Реестр_Д5[Стоимость квартиры с отделкой],"-",0)</f>
        <v>2785048.77</v>
      </c>
      <c r="X401" s="235">
        <f>IFERROR(Таблица10[[#This Row],[СО ПП]]-Таблица10[[#This Row],[СО ДДУ]],"")</f>
        <v>0</v>
      </c>
      <c r="Y401" s="233" cm="1">
        <f t="array" ref="Y401">IFERROR(INDEX(РД[S],MATCH($Q$3&amp;Таблица10[[#This Row],[№]]&amp;"Продажа",РД[Дом]&amp;РД[№ кв]&amp;РД[Состояние],0),1),Таблица10[[#This Row],[Статус]])</f>
        <v>29.4</v>
      </c>
      <c r="Z401" s="233">
        <f>IF(Таблица10[[#This Row],[№]]&amp;"ДДУ"=ППД5!A398&amp;ППД5!CR398,ППД5!U398,ППД5!V398)</f>
        <v>29.4</v>
      </c>
      <c r="AA401" s="285">
        <f>IFERROR(Таблица10[[#This Row],[S ПП]]-Таблица10[[#This Row],[S ДДУ]],)</f>
        <v>0</v>
      </c>
      <c r="AB401" s="235">
        <f>ROUND(_xlfn.XLOOKUP(Таблица10[[#This Row],[№]],Реестр_Д5[№],Реестр_Д5[Итоговая сумма скидки],"",0),2)</f>
        <v>0</v>
      </c>
      <c r="AC401" s="235" cm="1">
        <f t="array" ref="AC40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1" s="285">
        <f>IFERROR(Таблица10[[#This Row],[ППС]]-Таблица10[[#This Row],[ДДУС]],)</f>
        <v>0</v>
      </c>
      <c r="AE401" s="611"/>
      <c r="AT401" s="611"/>
    </row>
    <row r="402" spans="1:46" x14ac:dyDescent="0.2">
      <c r="A402" s="611"/>
      <c r="B402" s="234">
        <f>VLOOKUP(ППД4!A399,Реестр_Д4[№],1,0)</f>
        <v>398</v>
      </c>
      <c r="C402" s="234" t="str">
        <f>VLOOKUP(ППД4!CO399,Реестр_Д4[Статус],1,0)</f>
        <v>Свободно</v>
      </c>
      <c r="D402" s="612">
        <f>VLOOKUP(ППД4!CE399,Реестр_Д4[Стоимость ОН без отделки со скидкой],1,0)</f>
        <v>7260000</v>
      </c>
      <c r="E402" s="612" t="str" cm="1">
        <f t="array" ref="E402">IFERROR(INDEX(РД[Стоимость без отделки итог],MATCH($B$3&amp;Таблица4[[#This Row],[№]]&amp;"Продажа",РД[Дом]&amp;РД[№ кв]&amp;РД[Состояние],0),1),Таблица4[[#This Row],[Статус]])</f>
        <v>Свободно</v>
      </c>
      <c r="F402" s="235" t="str">
        <f>IFERROR((Таблица4[[#This Row],[ПП]]-Таблица4[[#This Row],[ДДУ]])*1,"")</f>
        <v/>
      </c>
      <c r="G402" s="235" t="str" cm="1">
        <f t="array" ref="G402">IFERROR(INDEX(РД[Стоимость с отделкой итог],MATCH($B$3&amp;Таблица4[[#This Row],[№]]&amp;"Продажа",РД[Дом]&amp;РД[№ кв]&amp;РД[Состояние],0),1),Таблица4[[#This Row],[Статус]])</f>
        <v>Свободно</v>
      </c>
      <c r="H402" s="235">
        <f>_xlfn.XLOOKUP(Таблица4[[#This Row],[№]],Реестр_Д4[№],Реестр_Д4[Стоимость квартиры с отделкой],"-",0)</f>
        <v>7260000</v>
      </c>
      <c r="I402" s="235" t="str">
        <f>IFERROR(Таблица4[[#This Row],[СО ПП]]-Таблица4[[#This Row],[СО ДДУ]],"")</f>
        <v/>
      </c>
      <c r="J402" s="233" t="str" cm="1">
        <f t="array" ref="J402">IFERROR(INDEX(РД[S],MATCH($B$3&amp;Таблица4[[#This Row],[№]]&amp;"Продажа",РД[Дом]&amp;РД[№ кв]&amp;РД[Состояние],0),1),Таблица4[[#This Row],[Статус]])</f>
        <v>Свободно</v>
      </c>
      <c r="K402" s="233">
        <f>VLOOKUP(Таблица4[[#This Row],[№]],Реестр_Д4[],21,0)</f>
        <v>60.5</v>
      </c>
      <c r="L402" s="235">
        <f>IFERROR(Таблица4[[#This Row],[S ПП]]-Таблица4[[#This Row],[S ДДУ]],)</f>
        <v>0</v>
      </c>
      <c r="M402" s="235">
        <f>ROUND(_xlfn.XLOOKUP(Таблица4[[#This Row],[№]],Реестр_Д4[№],Реестр_Д4[Итоговая сумма скидки],"",0),2)</f>
        <v>0</v>
      </c>
      <c r="N402" s="235" t="str" cm="1">
        <f t="array" ref="N402">IFERROR(ROUND(_xlfn.XLOOKUP($B$3&amp;Таблица4[[#This Row],[№]]&amp;"Продажа",РД[Дом]&amp;РД[№ кв]&amp;РД[Состояние],РД[Сумма скидки],"",0),2),Таблица4[[#This Row],[Статус]])</f>
        <v>Свободно</v>
      </c>
      <c r="O402" s="235">
        <f>IFERROR(Таблица4[[#This Row],[ППС]]-Таблица4[[#This Row],[ДДУС]],)</f>
        <v>0</v>
      </c>
      <c r="P402" s="611"/>
      <c r="Q402" s="234">
        <f>VLOOKUP(ППД5!A399,Реестр_Д5[№],1,0)</f>
        <v>398</v>
      </c>
      <c r="R402" s="234" t="str">
        <f>VLOOKUP(ППД5!CH399,Реестр_Д5[Статус],1,0)</f>
        <v>Продажа</v>
      </c>
      <c r="S402" s="612">
        <f>VLOOKUP(ППД5!BZ399,Реестр_Д5[Стоимость ОН без отделки со скидкой],1,0)</f>
        <v>5459300</v>
      </c>
      <c r="T402" s="612" cm="1">
        <f t="array" ref="T402">IFERROR(INDEX(РД[Стоимость без отделки итог],MATCH($Q$3&amp;Таблица10[[#This Row],[№]]&amp;"Продажа",РД[Дом]&amp;РД[№ кв]&amp;РД[Состояние],0),1),Таблица10[[#This Row],[Статус]])</f>
        <v>5459300</v>
      </c>
      <c r="U402" s="235">
        <f>IFERROR((Таблица10[[#This Row],[ПП]]-Таблица10[[#This Row],[ДДУ]])*1,)</f>
        <v>0</v>
      </c>
      <c r="V402" s="235" cm="1">
        <f t="array" ref="V402">IFERROR(INDEX(РД[Стоимость с отделкой итог],MATCH($Q$3&amp;Таблица10[[#This Row],[№]]&amp;"Продажа",РД[Дом]&amp;РД[№ кв]&amp;РД[Состояние],0),1),Таблица10[[#This Row],[Статус]])</f>
        <v>5459300</v>
      </c>
      <c r="W402" s="235">
        <f>_xlfn.XLOOKUP(Таблица10[[#This Row],[№]],Реестр_Д5[№],Реестр_Д5[Стоимость квартиры с отделкой],"-",0)</f>
        <v>5459300</v>
      </c>
      <c r="X402" s="235">
        <f>IFERROR(Таблица10[[#This Row],[СО ПП]]-Таблица10[[#This Row],[СО ДДУ]],"")</f>
        <v>0</v>
      </c>
      <c r="Y402" s="233" cm="1">
        <f t="array" ref="Y402">IFERROR(INDEX(РД[S],MATCH($Q$3&amp;Таблица10[[#This Row],[№]]&amp;"Продажа",РД[Дом]&amp;РД[№ кв]&amp;РД[Состояние],0),1),Таблица10[[#This Row],[Статус]])</f>
        <v>43.21</v>
      </c>
      <c r="Z402" s="233">
        <f>IF(Таблица10[[#This Row],[№]]&amp;"ДДУ"=ППД5!A399&amp;ППД5!CR399,ППД5!U399,ППД5!V399)</f>
        <v>43.21</v>
      </c>
      <c r="AA402" s="285">
        <f>IFERROR(Таблица10[[#This Row],[S ПП]]-Таблица10[[#This Row],[S ДДУ]],)</f>
        <v>0</v>
      </c>
      <c r="AB402" s="235">
        <f>ROUND(_xlfn.XLOOKUP(Таблица10[[#This Row],[№]],Реестр_Д5[№],Реестр_Д5[Итоговая сумма скидки],"",0),2)</f>
        <v>450000</v>
      </c>
      <c r="AC402" s="235" cm="1">
        <f t="array" ref="AC402">IFERROR(ROUND(_xlfn.XLOOKUP($Q$3&amp;Таблица10[[#This Row],[№]]&amp;"Продажа",РД[Дом]&amp;РД[№ кв]&amp;РД[Состояние],РД[Сумма скидки],"",0,-1),2),Таблица10[[#This Row],[Статус]])</f>
        <v>450000</v>
      </c>
      <c r="AD402" s="285">
        <f>IFERROR(Таблица10[[#This Row],[ППС]]-Таблица10[[#This Row],[ДДУС]],)</f>
        <v>0</v>
      </c>
      <c r="AE402" s="611"/>
      <c r="AT402" s="611"/>
    </row>
    <row r="403" spans="1:46" x14ac:dyDescent="0.2">
      <c r="A403" s="611"/>
      <c r="B403" s="234">
        <f>VLOOKUP(ППД4!A400,Реестр_Д4[№],1,0)</f>
        <v>399</v>
      </c>
      <c r="C403" s="234" t="str">
        <f>VLOOKUP(ППД4!CO400,Реестр_Д4[Статус],1,0)</f>
        <v>Продажа</v>
      </c>
      <c r="D403" s="612">
        <f>VLOOKUP(ППД4!CE400,Реестр_Д4[Стоимость ОН без отделки со скидкой],1,0)</f>
        <v>5155480.95</v>
      </c>
      <c r="E403" s="612" cm="1">
        <f t="array" ref="E403">IFERROR(INDEX(РД[Стоимость без отделки итог],MATCH($B$3&amp;Таблица4[[#This Row],[№]]&amp;"Продажа",РД[Дом]&amp;РД[№ кв]&amp;РД[Состояние],0),1),Таблица4[[#This Row],[Статус]])</f>
        <v>5155480.95</v>
      </c>
      <c r="F403" s="235">
        <f>IFERROR((Таблица4[[#This Row],[ПП]]-Таблица4[[#This Row],[ДДУ]])*1,"")</f>
        <v>0</v>
      </c>
      <c r="G403" s="235" cm="1">
        <f t="array" ref="G403">IFERROR(INDEX(РД[Стоимость с отделкой итог],MATCH($B$3&amp;Таблица4[[#This Row],[№]]&amp;"Продажа",РД[Дом]&amp;РД[№ кв]&amp;РД[Состояние],0),1),Таблица4[[#This Row],[Статус]])</f>
        <v>6034330.9500000002</v>
      </c>
      <c r="H403" s="235">
        <f>_xlfn.XLOOKUP(Таблица4[[#This Row],[№]],Реестр_Д4[№],Реестр_Д4[Стоимость квартиры с отделкой],"-",0)</f>
        <v>6034330.9500000002</v>
      </c>
      <c r="I403" s="235">
        <f>IFERROR(Таблица4[[#This Row],[СО ПП]]-Таблица4[[#This Row],[СО ДДУ]],"")</f>
        <v>0</v>
      </c>
      <c r="J403" s="233" cm="1">
        <f t="array" ref="J403">IFERROR(INDEX(РД[S],MATCH($B$3&amp;Таблица4[[#This Row],[№]]&amp;"Продажа",РД[Дом]&amp;РД[№ кв]&amp;РД[Состояние],0),1),Таблица4[[#This Row],[Статус]])</f>
        <v>56.7</v>
      </c>
      <c r="K403" s="233">
        <f>VLOOKUP(Таблица4[[#This Row],[№]],Реестр_Д4[],20,0)</f>
        <v>56.7</v>
      </c>
      <c r="L403" s="235">
        <f>IFERROR(Таблица4[[#This Row],[S ПП]]-Таблица4[[#This Row],[S ДДУ]],)</f>
        <v>0</v>
      </c>
      <c r="M403" s="235">
        <f>ROUND(_xlfn.XLOOKUP(Таблица4[[#This Row],[№]],Реестр_Д4[№],Реестр_Д4[Итоговая сумма скидки],"",0),2)</f>
        <v>0</v>
      </c>
      <c r="N403" s="235" cm="1">
        <f t="array" ref="N40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03" s="235">
        <f>IFERROR(Таблица4[[#This Row],[ППС]]-Таблица4[[#This Row],[ДДУС]],)</f>
        <v>0</v>
      </c>
      <c r="P403" s="611"/>
      <c r="Q403" s="234">
        <f>VLOOKUP(ППД5!A400,Реестр_Д5[№],1,0)</f>
        <v>399</v>
      </c>
      <c r="R403" s="234" t="str">
        <f>VLOOKUP(ППД5!CH400,Реестр_Д5[Статус],1,0)</f>
        <v>Продажа</v>
      </c>
      <c r="S403" s="612">
        <f>VLOOKUP(ППД5!BZ400,Реестр_Д5[Стоимость ОН без отделки со скидкой],1,0)</f>
        <v>2253548.71</v>
      </c>
      <c r="T403" s="612" cm="1">
        <f t="array" ref="T403">IFERROR(INDEX(РД[Стоимость без отделки итог],MATCH($Q$3&amp;Таблица10[[#This Row],[№]]&amp;"Продажа",РД[Дом]&amp;РД[№ кв]&amp;РД[Состояние],0),1),Таблица10[[#This Row],[Статус]])</f>
        <v>2253548.71</v>
      </c>
      <c r="U403" s="235">
        <f>IFERROR((Таблица10[[#This Row],[ПП]]-Таблица10[[#This Row],[ДДУ]])*1,)</f>
        <v>0</v>
      </c>
      <c r="V403" s="235" cm="1">
        <f t="array" ref="V403">IFERROR(INDEX(РД[Стоимость с отделкой итог],MATCH($Q$3&amp;Таблица10[[#This Row],[№]]&amp;"Продажа",РД[Дом]&amp;РД[№ кв]&amp;РД[Состояние],0),1),Таблица10[[#This Row],[Статус]])</f>
        <v>2633298.71</v>
      </c>
      <c r="W403" s="235">
        <f>_xlfn.XLOOKUP(Таблица10[[#This Row],[№]],Реестр_Д5[№],Реестр_Д5[Стоимость квартиры с отделкой],"-",0)</f>
        <v>2633298.71</v>
      </c>
      <c r="X403" s="235">
        <f>IFERROR(Таблица10[[#This Row],[СО ПП]]-Таблица10[[#This Row],[СО ДДУ]],"")</f>
        <v>0</v>
      </c>
      <c r="Y403" s="233" cm="1">
        <f t="array" ref="Y403">IFERROR(INDEX(РД[S],MATCH($Q$3&amp;Таблица10[[#This Row],[№]]&amp;"Продажа",РД[Дом]&amp;РД[№ кв]&amp;РД[Состояние],0),1),Таблица10[[#This Row],[Статус]])</f>
        <v>24.5</v>
      </c>
      <c r="Z403" s="233">
        <f>IF(Таблица10[[#This Row],[№]]&amp;"ДДУ"=ППД5!A400&amp;ППД5!CR400,ППД5!U400,ППД5!V400)</f>
        <v>24.5</v>
      </c>
      <c r="AA403" s="285">
        <f>IFERROR(Таблица10[[#This Row],[S ПП]]-Таблица10[[#This Row],[S ДДУ]],)</f>
        <v>0</v>
      </c>
      <c r="AB403" s="235">
        <f>ROUND(_xlfn.XLOOKUP(Таблица10[[#This Row],[№]],Реестр_Д5[№],Реестр_Д5[Итоговая сумма скидки],"",0),2)</f>
        <v>0</v>
      </c>
      <c r="AC403" s="235" cm="1">
        <f t="array" ref="AC40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3" s="285">
        <f>IFERROR(Таблица10[[#This Row],[ППС]]-Таблица10[[#This Row],[ДДУС]],)</f>
        <v>0</v>
      </c>
      <c r="AE403" s="611"/>
      <c r="AT403" s="611"/>
    </row>
    <row r="404" spans="1:46" x14ac:dyDescent="0.2">
      <c r="A404" s="611"/>
      <c r="B404" s="234">
        <f>VLOOKUP(ППД4!A401,Реестр_Д4[№],1,0)</f>
        <v>400</v>
      </c>
      <c r="C404" s="234" t="str">
        <f>VLOOKUP(ППД4!CO401,Реестр_Д4[Статус],1,0)</f>
        <v>Продажа</v>
      </c>
      <c r="D404" s="612">
        <f>VLOOKUP(ППД4!CE401,Реестр_Д4[Стоимость ОН без отделки со скидкой],1,0)</f>
        <v>5621021.8799999999</v>
      </c>
      <c r="E404" s="612" cm="1">
        <f t="array" ref="E404">IFERROR(INDEX(РД[Стоимость без отделки итог],MATCH($B$3&amp;Таблица4[[#This Row],[№]]&amp;"Продажа",РД[Дом]&amp;РД[№ кв]&amp;РД[Состояние],0),1),Таблица4[[#This Row],[Статус]])</f>
        <v>5621021.8799999999</v>
      </c>
      <c r="F404" s="235">
        <f>IFERROR((Таблица4[[#This Row],[ПП]]-Таблица4[[#This Row],[ДДУ]])*1,"")</f>
        <v>0</v>
      </c>
      <c r="G404" s="235" cm="1">
        <f t="array" ref="G404">IFERROR(INDEX(РД[Стоимость с отделкой итог],MATCH($B$3&amp;Таблица4[[#This Row],[№]]&amp;"Продажа",РД[Дом]&amp;РД[№ кв]&amp;РД[Состояние],0),1),Таблица4[[#This Row],[Статус]])</f>
        <v>5911061.8799999999</v>
      </c>
      <c r="H404" s="235">
        <f>_xlfn.XLOOKUP(Таблица4[[#This Row],[№]],Реестр_Д4[№],Реестр_Д4[Стоимость квартиры с отделкой],"-",0)</f>
        <v>5911061.8799999999</v>
      </c>
      <c r="I404" s="235">
        <f>IFERROR(Таблица4[[#This Row],[СО ПП]]-Таблица4[[#This Row],[СО ДДУ]],"")</f>
        <v>0</v>
      </c>
      <c r="J404" s="233" cm="1">
        <f t="array" ref="J404">IFERROR(INDEX(РД[S],MATCH($B$3&amp;Таблица4[[#This Row],[№]]&amp;"Продажа",РД[Дом]&amp;РД[№ кв]&amp;РД[Состояние],0),1),Таблица4[[#This Row],[Статус]])</f>
        <v>72.510000000000005</v>
      </c>
      <c r="K404" s="233">
        <f>VLOOKUP(Таблица4[[#This Row],[№]],Реестр_Д4[],20,0)</f>
        <v>72.510000000000005</v>
      </c>
      <c r="L404" s="235">
        <f>IFERROR(Таблица4[[#This Row],[S ПП]]-Таблица4[[#This Row],[S ДДУ]],)</f>
        <v>0</v>
      </c>
      <c r="M404" s="235">
        <f>ROUND(_xlfn.XLOOKUP(Таблица4[[#This Row],[№]],Реестр_Д4[№],Реестр_Д4[Итоговая сумма скидки],"",0),2)</f>
        <v>358788.63</v>
      </c>
      <c r="N404" s="235" cm="1">
        <f t="array" ref="N404">IFERROR(ROUND(_xlfn.XLOOKUP($B$3&amp;Таблица4[[#This Row],[№]]&amp;"Продажа",РД[Дом]&amp;РД[№ кв]&amp;РД[Состояние],РД[Сумма скидки],"",0),2),Таблица4[[#This Row],[Статус]])</f>
        <v>358788.63</v>
      </c>
      <c r="O404" s="235">
        <f>IFERROR(Таблица4[[#This Row],[ППС]]-Таблица4[[#This Row],[ДДУС]],)</f>
        <v>0</v>
      </c>
      <c r="P404" s="611"/>
      <c r="Q404" s="234">
        <f>VLOOKUP(ППД5!A401,Реестр_Д5[№],1,0)</f>
        <v>400</v>
      </c>
      <c r="R404" s="234" t="str">
        <f>VLOOKUP(ППД5!CH401,Реестр_Д5[Статус],1,0)</f>
        <v>Продажа</v>
      </c>
      <c r="S404" s="612">
        <f>VLOOKUP(ППД5!BZ401,Реестр_Д5[Стоимость ОН без отделки со скидкой],1,0)</f>
        <v>7129300</v>
      </c>
      <c r="T404" s="612" cm="1">
        <f t="array" ref="T404">IFERROR(INDEX(РД[Стоимость без отделки итог],MATCH($Q$3&amp;Таблица10[[#This Row],[№]]&amp;"Продажа",РД[Дом]&amp;РД[№ кв]&amp;РД[Состояние],0),1),Таблица10[[#This Row],[Статус]])</f>
        <v>7129300</v>
      </c>
      <c r="U404" s="235">
        <f>IFERROR((Таблица10[[#This Row],[ПП]]-Таблица10[[#This Row],[ДДУ]])*1,)</f>
        <v>0</v>
      </c>
      <c r="V404" s="235" cm="1">
        <f t="array" ref="V404">IFERROR(INDEX(РД[Стоимость с отделкой итог],MATCH($Q$3&amp;Таблица10[[#This Row],[№]]&amp;"Продажа",РД[Дом]&amp;РД[№ кв]&amp;РД[Состояние],0),1),Таблица10[[#This Row],[Статус]])</f>
        <v>7129300</v>
      </c>
      <c r="W404" s="235">
        <f>_xlfn.XLOOKUP(Таблица10[[#This Row],[№]],Реестр_Д5[№],Реестр_Д5[Стоимость квартиры с отделкой],"-",0)</f>
        <v>7129300</v>
      </c>
      <c r="X404" s="235">
        <f>IFERROR(Таблица10[[#This Row],[СО ПП]]-Таблица10[[#This Row],[СО ДДУ]],"")</f>
        <v>0</v>
      </c>
      <c r="Y404" s="233" cm="1">
        <f t="array" ref="Y404">IFERROR(INDEX(РД[S],MATCH($Q$3&amp;Таблица10[[#This Row],[№]]&amp;"Продажа",РД[Дом]&amp;РД[№ кв]&amp;РД[Состояние],0),1),Таблица10[[#This Row],[Статус]])</f>
        <v>58.24</v>
      </c>
      <c r="Z404" s="233">
        <f>IF(Таблица10[[#This Row],[№]]&amp;"ДДУ"=ППД5!A401&amp;ППД5!CR401,ППД5!U401,ППД5!V401)</f>
        <v>58.24</v>
      </c>
      <c r="AA404" s="285">
        <f>IFERROR(Таблица10[[#This Row],[S ПП]]-Таблица10[[#This Row],[S ДДУ]],)</f>
        <v>0</v>
      </c>
      <c r="AB404" s="235">
        <f>ROUND(_xlfn.XLOOKUP(Таблица10[[#This Row],[№]],Реестр_Д5[№],Реестр_Д5[Итоговая сумма скидки],"",0),2)</f>
        <v>0</v>
      </c>
      <c r="AC404" s="235" cm="1">
        <f t="array" ref="AC40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4" s="285">
        <f>IFERROR(Таблица10[[#This Row],[ППС]]-Таблица10[[#This Row],[ДДУС]],)</f>
        <v>0</v>
      </c>
      <c r="AE404" s="611"/>
      <c r="AT404" s="611"/>
    </row>
    <row r="405" spans="1:46" x14ac:dyDescent="0.2">
      <c r="A405" s="611"/>
      <c r="B405" s="234">
        <f>VLOOKUP(ППД4!A402,Реестр_Д4[№],1,0)</f>
        <v>401</v>
      </c>
      <c r="C405" s="234" t="str">
        <f>VLOOKUP(ППД4!CO402,Реестр_Д4[Статус],1,0)</f>
        <v>Продажа</v>
      </c>
      <c r="D405" s="612">
        <f>VLOOKUP(ППД4!CE402,Реестр_Д4[Стоимость ОН без отделки со скидкой],1,0)</f>
        <v>3137442.1</v>
      </c>
      <c r="E405" s="612" cm="1">
        <f t="array" ref="E405">IFERROR(INDEX(РД[Стоимость без отделки итог],MATCH($B$3&amp;Таблица4[[#This Row],[№]]&amp;"Продажа",РД[Дом]&amp;РД[№ кв]&amp;РД[Состояние],0),1),Таблица4[[#This Row],[Статус]])</f>
        <v>3137442.1</v>
      </c>
      <c r="F405" s="235">
        <f>IFERROR((Таблица4[[#This Row],[ПП]]-Таблица4[[#This Row],[ДДУ]])*1,"")</f>
        <v>0</v>
      </c>
      <c r="G405" s="235" cm="1">
        <f t="array" ref="G405">IFERROR(INDEX(РД[Стоимость с отделкой итог],MATCH($B$3&amp;Таблица4[[#This Row],[№]]&amp;"Продажа",РД[Дом]&amp;РД[№ кв]&amp;РД[Состояние],0),1),Таблица4[[#This Row],[Статус]])</f>
        <v>3137442.1</v>
      </c>
      <c r="H405" s="235">
        <f>_xlfn.XLOOKUP(Таблица4[[#This Row],[№]],Реестр_Д4[№],Реестр_Д4[Стоимость квартиры с отделкой],"-",0)</f>
        <v>3137442.1</v>
      </c>
      <c r="I405" s="235">
        <f>IFERROR(Таблица4[[#This Row],[СО ПП]]-Таблица4[[#This Row],[СО ДДУ]],"")</f>
        <v>0</v>
      </c>
      <c r="J405" s="233" cm="1">
        <f t="array" ref="J405">IFERROR(INDEX(РД[S],MATCH($B$3&amp;Таблица4[[#This Row],[№]]&amp;"Продажа",РД[Дом]&amp;РД[№ кв]&amp;РД[Состояние],0),1),Таблица4[[#This Row],[Статус]])</f>
        <v>33.840000000000003</v>
      </c>
      <c r="K405" s="233">
        <f>VLOOKUP(Таблица4[[#This Row],[№]],Реестр_Д4[],20,0)</f>
        <v>33.840000000000003</v>
      </c>
      <c r="L405" s="235">
        <f>IFERROR(Таблица4[[#This Row],[S ПП]]-Таблица4[[#This Row],[S ДДУ]],)</f>
        <v>0</v>
      </c>
      <c r="M405" s="235">
        <f>ROUND(_xlfn.XLOOKUP(Таблица4[[#This Row],[№]],Реестр_Д4[№],Реестр_Д4[Итоговая сумма скидки],"",0),2)</f>
        <v>0</v>
      </c>
      <c r="N405" s="235" cm="1">
        <f t="array" ref="N40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05" s="235">
        <f>IFERROR(Таблица4[[#This Row],[ППС]]-Таблица4[[#This Row],[ДДУС]],)</f>
        <v>0</v>
      </c>
      <c r="P405" s="611"/>
      <c r="Q405" s="234">
        <f>VLOOKUP(ППД5!A402,Реестр_Д5[№],1,0)</f>
        <v>401</v>
      </c>
      <c r="R405" s="234" t="str">
        <f>VLOOKUP(ППД5!CH402,Реестр_Д5[Статус],1,0)</f>
        <v>Продажа</v>
      </c>
      <c r="S405" s="612">
        <f>VLOOKUP(ППД5!BZ402,Реестр_Д5[Стоимость ОН без отделки со скидкой],1,0)</f>
        <v>5679900</v>
      </c>
      <c r="T405" s="612" cm="1">
        <f t="array" ref="T405">IFERROR(INDEX(РД[Стоимость без отделки итог],MATCH($Q$3&amp;Таблица10[[#This Row],[№]]&amp;"Продажа",РД[Дом]&amp;РД[№ кв]&amp;РД[Состояние],0),1),Таблица10[[#This Row],[Статус]])</f>
        <v>5679900</v>
      </c>
      <c r="U405" s="235">
        <f>IFERROR((Таблица10[[#This Row],[ПП]]-Таблица10[[#This Row],[ДДУ]])*1,)</f>
        <v>0</v>
      </c>
      <c r="V405" s="235" cm="1">
        <f t="array" ref="V405">IFERROR(INDEX(РД[Стоимость с отделкой итог],MATCH($Q$3&amp;Таблица10[[#This Row],[№]]&amp;"Продажа",РД[Дом]&amp;РД[№ кв]&amp;РД[Состояние],0),1),Таблица10[[#This Row],[Статус]])</f>
        <v>6835900</v>
      </c>
      <c r="W405" s="235">
        <f>_xlfn.XLOOKUP(Таблица10[[#This Row],[№]],Реестр_Д5[№],Реестр_Д5[Стоимость квартиры с отделкой],"-",0)</f>
        <v>6835900</v>
      </c>
      <c r="X405" s="235">
        <f>IFERROR(Таблица10[[#This Row],[СО ПП]]-Таблица10[[#This Row],[СО ДДУ]],"")</f>
        <v>0</v>
      </c>
      <c r="Y405" s="233" cm="1">
        <f t="array" ref="Y405">IFERROR(INDEX(РД[S],MATCH($Q$3&amp;Таблица10[[#This Row],[№]]&amp;"Продажа",РД[Дом]&amp;РД[№ кв]&amp;РД[Состояние],0),1),Таблица10[[#This Row],[Статус]])</f>
        <v>57.8</v>
      </c>
      <c r="Z405" s="233">
        <f>IF(Таблица10[[#This Row],[№]]&amp;"ДДУ"=ППД5!A402&amp;ППД5!CR402,ППД5!U402,ППД5!V402)</f>
        <v>57.8</v>
      </c>
      <c r="AA405" s="285">
        <f>IFERROR(Таблица10[[#This Row],[S ПП]]-Таблица10[[#This Row],[S ДДУ]],)</f>
        <v>0</v>
      </c>
      <c r="AB405" s="235">
        <f>ROUND(_xlfn.XLOOKUP(Таблица10[[#This Row],[№]],Реестр_Д5[№],Реестр_Д5[Итоговая сумма скидки],"",0),2)</f>
        <v>0</v>
      </c>
      <c r="AC405" s="235" cm="1">
        <f t="array" ref="AC40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5" s="285">
        <f>IFERROR(Таблица10[[#This Row],[ППС]]-Таблица10[[#This Row],[ДДУС]],)</f>
        <v>0</v>
      </c>
      <c r="AE405" s="611"/>
      <c r="AT405" s="611"/>
    </row>
    <row r="406" spans="1:46" x14ac:dyDescent="0.2">
      <c r="A406" s="611"/>
      <c r="B406" s="234">
        <f>VLOOKUP(ППД4!A403,Реестр_Д4[№],1,0)</f>
        <v>402</v>
      </c>
      <c r="C406" s="234" t="str">
        <f>VLOOKUP(ППД4!CO403,Реестр_Д4[Статус],1,0)</f>
        <v>Продажа</v>
      </c>
      <c r="D406" s="612">
        <f>VLOOKUP(ППД4!CE403,Реестр_Д4[Стоимость ОН без отделки со скидкой],1,0)</f>
        <v>3466302.82</v>
      </c>
      <c r="E406" s="612" cm="1">
        <f t="array" ref="E406">IFERROR(INDEX(РД[Стоимость без отделки итог],MATCH($B$3&amp;Таблица4[[#This Row],[№]]&amp;"Продажа",РД[Дом]&amp;РД[№ кв]&amp;РД[Состояние],0),1),Таблица4[[#This Row],[Статус]])</f>
        <v>3466302.82</v>
      </c>
      <c r="F406" s="235">
        <f>IFERROR((Таблица4[[#This Row],[ПП]]-Таблица4[[#This Row],[ДДУ]])*1,"")</f>
        <v>0</v>
      </c>
      <c r="G406" s="235" cm="1">
        <f t="array" ref="G406">IFERROR(INDEX(РД[Стоимость с отделкой итог],MATCH($B$3&amp;Таблица4[[#This Row],[№]]&amp;"Продажа",РД[Дом]&amp;РД[№ кв]&amp;РД[Состояние],0),1),Таблица4[[#This Row],[Статус]])</f>
        <v>3625262.82</v>
      </c>
      <c r="H406" s="235">
        <f>_xlfn.XLOOKUP(Таблица4[[#This Row],[№]],Реестр_Д4[№],Реестр_Д4[Стоимость квартиры с отделкой],"-",0)</f>
        <v>3625262.82</v>
      </c>
      <c r="I406" s="235">
        <f>IFERROR(Таблица4[[#This Row],[СО ПП]]-Таблица4[[#This Row],[СО ДДУ]],"")</f>
        <v>0</v>
      </c>
      <c r="J406" s="233" cm="1">
        <f t="array" ref="J406">IFERROR(INDEX(РД[S],MATCH($B$3&amp;Таблица4[[#This Row],[№]]&amp;"Продажа",РД[Дом]&amp;РД[№ кв]&amp;РД[Состояние],0),1),Таблица4[[#This Row],[Статус]])</f>
        <v>39.74</v>
      </c>
      <c r="K406" s="233">
        <f>VLOOKUP(Таблица4[[#This Row],[№]],Реестр_Д4[],20,0)</f>
        <v>39.74</v>
      </c>
      <c r="L406" s="235">
        <f>IFERROR(Таблица4[[#This Row],[S ПП]]-Таблица4[[#This Row],[S ДДУ]],)</f>
        <v>0</v>
      </c>
      <c r="M406" s="235">
        <f>ROUND(_xlfn.XLOOKUP(Таблица4[[#This Row],[№]],Реестр_Д4[№],Реестр_Д4[Итоговая сумма скидки],"",0),2)</f>
        <v>158960</v>
      </c>
      <c r="N406" s="235" cm="1">
        <f t="array" ref="N406">IFERROR(ROUND(_xlfn.XLOOKUP($B$3&amp;Таблица4[[#This Row],[№]]&amp;"Продажа",РД[Дом]&amp;РД[№ кв]&amp;РД[Состояние],РД[Сумма скидки],"",0),2),Таблица4[[#This Row],[Статус]])</f>
        <v>158960</v>
      </c>
      <c r="O406" s="235">
        <f>IFERROR(Таблица4[[#This Row],[ППС]]-Таблица4[[#This Row],[ДДУС]],)</f>
        <v>0</v>
      </c>
      <c r="P406" s="611"/>
      <c r="Q406" s="234">
        <f>VLOOKUP(ППД5!A403,Реестр_Д5[№],1,0)</f>
        <v>402</v>
      </c>
      <c r="R406" s="234" t="str">
        <f>VLOOKUP(ППД5!CH403,Реестр_Д5[Статус],1,0)</f>
        <v>Продажа</v>
      </c>
      <c r="S406" s="612">
        <f>VLOOKUP(ППД5!BZ403,Реестр_Д5[Стоимость ОН без отделки со скидкой],1,0)</f>
        <v>4412058</v>
      </c>
      <c r="T406" s="612" cm="1">
        <f t="array" ref="T406">IFERROR(INDEX(РД[Стоимость без отделки итог],MATCH($Q$3&amp;Таблица10[[#This Row],[№]]&amp;"Продажа",РД[Дом]&amp;РД[№ кв]&amp;РД[Состояние],0),1),Таблица10[[#This Row],[Статус]])</f>
        <v>4412058</v>
      </c>
      <c r="U406" s="235">
        <f>IFERROR((Таблица10[[#This Row],[ПП]]-Таблица10[[#This Row],[ДДУ]])*1,)</f>
        <v>0</v>
      </c>
      <c r="V406" s="235" cm="1">
        <f t="array" ref="V406">IFERROR(INDEX(РД[Стоимость с отделкой итог],MATCH($Q$3&amp;Таблица10[[#This Row],[№]]&amp;"Продажа",РД[Дом]&amp;РД[№ кв]&amp;РД[Состояние],0),1),Таблица10[[#This Row],[Статус]])</f>
        <v>4412058</v>
      </c>
      <c r="W406" s="235">
        <f>_xlfn.XLOOKUP(Таблица10[[#This Row],[№]],Реестр_Д5[№],Реестр_Д5[Стоимость квартиры с отделкой],"-",0)</f>
        <v>4412058</v>
      </c>
      <c r="X406" s="235">
        <f>IFERROR(Таблица10[[#This Row],[СО ПП]]-Таблица10[[#This Row],[СО ДДУ]],"")</f>
        <v>0</v>
      </c>
      <c r="Y406" s="233" cm="1">
        <f t="array" ref="Y406">IFERROR(INDEX(РД[S],MATCH($Q$3&amp;Таблица10[[#This Row],[№]]&amp;"Продажа",РД[Дом]&amp;РД[№ кв]&amp;РД[Состояние],0),1),Таблица10[[#This Row],[Статус]])</f>
        <v>38.299999999999997</v>
      </c>
      <c r="Z406" s="233">
        <f>IF(Таблица10[[#This Row],[№]]&amp;"ДДУ"=ППД5!A403&amp;ППД5!CR403,ППД5!U403,ППД5!V403)</f>
        <v>38.299999999999997</v>
      </c>
      <c r="AA406" s="285">
        <f>IFERROR(Таблица10[[#This Row],[S ПП]]-Таблица10[[#This Row],[S ДДУ]],)</f>
        <v>0</v>
      </c>
      <c r="AB406" s="235">
        <f>ROUND(_xlfn.XLOOKUP(Таблица10[[#This Row],[№]],Реестр_Д5[№],Реестр_Д5[Итоговая сумма скидки],"",0),2)</f>
        <v>90042</v>
      </c>
      <c r="AC406" s="235" cm="1">
        <f t="array" ref="AC406">IFERROR(ROUND(_xlfn.XLOOKUP($Q$3&amp;Таблица10[[#This Row],[№]]&amp;"Продажа",РД[Дом]&amp;РД[№ кв]&amp;РД[Состояние],РД[Сумма скидки],"",0,-1),2),Таблица10[[#This Row],[Статус]])</f>
        <v>90042</v>
      </c>
      <c r="AD406" s="285">
        <f>IFERROR(Таблица10[[#This Row],[ППС]]-Таблица10[[#This Row],[ДДУС]],)</f>
        <v>0</v>
      </c>
      <c r="AE406" s="611"/>
      <c r="AT406" s="611"/>
    </row>
    <row r="407" spans="1:46" x14ac:dyDescent="0.2">
      <c r="A407" s="611"/>
      <c r="B407" s="234">
        <f>VLOOKUP(ППД4!A404,Реестр_Д4[№],1,0)</f>
        <v>403</v>
      </c>
      <c r="C407" s="234" t="str">
        <f>VLOOKUP(ППД4!CO404,Реестр_Д4[Статус],1,0)</f>
        <v>Продажа</v>
      </c>
      <c r="D407" s="612">
        <f>VLOOKUP(ППД4!CE404,Реестр_Д4[Стоимость ОН без отделки со скидкой],1,0)</f>
        <v>3699442.91</v>
      </c>
      <c r="E407" s="612" cm="1">
        <f t="array" ref="E407">IFERROR(INDEX(РД[Стоимость без отделки итог],MATCH($B$3&amp;Таблица4[[#This Row],[№]]&amp;"Продажа",РД[Дом]&amp;РД[№ кв]&amp;РД[Состояние],0),1),Таблица4[[#This Row],[Статус]])</f>
        <v>3699442.91</v>
      </c>
      <c r="F407" s="235">
        <f>IFERROR((Таблица4[[#This Row],[ПП]]-Таблица4[[#This Row],[ДДУ]])*1,"")</f>
        <v>0</v>
      </c>
      <c r="G407" s="235" cm="1">
        <f t="array" ref="G407">IFERROR(INDEX(РД[Стоимость с отделкой итог],MATCH($B$3&amp;Таблица4[[#This Row],[№]]&amp;"Продажа",РД[Дом]&amp;РД[№ кв]&amp;РД[Состояние],0),1),Таблица4[[#This Row],[Статус]])</f>
        <v>4297742.91</v>
      </c>
      <c r="H407" s="235">
        <f>_xlfn.XLOOKUP(Таблица4[[#This Row],[№]],Реестр_Д4[№],Реестр_Д4[Стоимость квартиры с отделкой],"-",0)</f>
        <v>4297742.91</v>
      </c>
      <c r="I407" s="235">
        <f>IFERROR(Таблица4[[#This Row],[СО ПП]]-Таблица4[[#This Row],[СО ДДУ]],"")</f>
        <v>0</v>
      </c>
      <c r="J407" s="233" cm="1">
        <f t="array" ref="J407">IFERROR(INDEX(РД[S],MATCH($B$3&amp;Таблица4[[#This Row],[№]]&amp;"Продажа",РД[Дом]&amp;РД[№ кв]&amp;РД[Состояние],0),1),Таблица4[[#This Row],[Статус]])</f>
        <v>38.6</v>
      </c>
      <c r="K407" s="233">
        <f>VLOOKUP(Таблица4[[#This Row],[№]],Реестр_Д4[],20,0)</f>
        <v>38.6</v>
      </c>
      <c r="L407" s="235">
        <f>IFERROR(Таблица4[[#This Row],[S ПП]]-Таблица4[[#This Row],[S ДДУ]],)</f>
        <v>0</v>
      </c>
      <c r="M407" s="235">
        <f>ROUND(_xlfn.XLOOKUP(Таблица4[[#This Row],[№]],Реестр_Д4[№],Реестр_Д4[Итоговая сумма скидки],"",0),2)</f>
        <v>0</v>
      </c>
      <c r="N407" s="235" cm="1">
        <f t="array" ref="N40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07" s="235">
        <f>IFERROR(Таблица4[[#This Row],[ППС]]-Таблица4[[#This Row],[ДДУС]],)</f>
        <v>0</v>
      </c>
      <c r="P407" s="611"/>
      <c r="Q407" s="234">
        <f>VLOOKUP(ППД5!A404,Реестр_Д5[№],1,0)</f>
        <v>403</v>
      </c>
      <c r="R407" s="234" t="str">
        <f>VLOOKUP(ППД5!CH404,Реестр_Д5[Статус],1,0)</f>
        <v>Свободно</v>
      </c>
      <c r="S407" s="612">
        <f>VLOOKUP(ППД5!BZ404,Реестр_Д5[Стоимость ОН без отделки со скидкой],1,0)</f>
        <v>9620600</v>
      </c>
      <c r="T407" s="612" t="str" cm="1">
        <f t="array" ref="T40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07" s="235">
        <f>IFERROR((Таблица10[[#This Row],[ПП]]-Таблица10[[#This Row],[ДДУ]])*1,)</f>
        <v>0</v>
      </c>
      <c r="V407" s="235" t="str" cm="1">
        <f t="array" ref="V40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07" s="235">
        <f>_xlfn.XLOOKUP(Таблица10[[#This Row],[№]],Реестр_Д5[№],Реестр_Д5[Стоимость квартиры с отделкой],"-",0)</f>
        <v>9620600</v>
      </c>
      <c r="X407" s="235" t="str">
        <f>IFERROR(Таблица10[[#This Row],[СО ПП]]-Таблица10[[#This Row],[СО ДДУ]],"")</f>
        <v/>
      </c>
      <c r="Y407" s="233" t="str" cm="1">
        <f t="array" ref="Y407">IFERROR(INDEX(РД[S],MATCH($Q$3&amp;Таблица10[[#This Row],[№]]&amp;"Продажа",РД[Дом]&amp;РД[№ кв]&amp;РД[Состояние],0),1),Таблица10[[#This Row],[Статус]])</f>
        <v>Свободно</v>
      </c>
      <c r="Z407" s="233">
        <f>IF(Таблица10[[#This Row],[№]]&amp;"ДДУ"=ППД5!A404&amp;ППД5!CR404,ППД5!U404,ППД5!V404)</f>
        <v>78.59999999999998</v>
      </c>
      <c r="AA407" s="285">
        <f>IFERROR(Таблица10[[#This Row],[S ПП]]-Таблица10[[#This Row],[S ДДУ]],)</f>
        <v>0</v>
      </c>
      <c r="AB407" s="235">
        <f>ROUND(_xlfn.XLOOKUP(Таблица10[[#This Row],[№]],Реестр_Д5[№],Реестр_Д5[Итоговая сумма скидки],"",0),2)</f>
        <v>0</v>
      </c>
      <c r="AC407" s="235" t="str" cm="1">
        <f t="array" ref="AC40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07" s="285">
        <f>IFERROR(Таблица10[[#This Row],[ППС]]-Таблица10[[#This Row],[ДДУС]],)</f>
        <v>0</v>
      </c>
      <c r="AE407" s="611"/>
      <c r="AT407" s="611"/>
    </row>
    <row r="408" spans="1:46" x14ac:dyDescent="0.2">
      <c r="A408" s="611"/>
      <c r="B408" s="234">
        <f>VLOOKUP(ППД4!A405,Реестр_Д4[№],1,0)</f>
        <v>404</v>
      </c>
      <c r="C408" s="234" t="str">
        <f>VLOOKUP(ППД4!CO405,Реестр_Д4[Статус],1,0)</f>
        <v>Продажа</v>
      </c>
      <c r="D408" s="612">
        <f>VLOOKUP(ППД4!CE405,Реестр_Д4[Стоимость ОН без отделки со скидкой],1,0)</f>
        <v>7667618</v>
      </c>
      <c r="E408" s="612" cm="1">
        <f t="array" ref="E408">IFERROR(INDEX(РД[Стоимость без отделки итог],MATCH($B$3&amp;Таблица4[[#This Row],[№]]&amp;"Продажа",РД[Дом]&amp;РД[№ кв]&amp;РД[Состояние],0),1),Таблица4[[#This Row],[Статус]])</f>
        <v>7667618</v>
      </c>
      <c r="F408" s="235">
        <f>IFERROR((Таблица4[[#This Row],[ПП]]-Таблица4[[#This Row],[ДДУ]])*1,"")</f>
        <v>0</v>
      </c>
      <c r="G408" s="235" cm="1">
        <f t="array" ref="G408">IFERROR(INDEX(РД[Стоимость с отделкой итог],MATCH($B$3&amp;Таблица4[[#This Row],[№]]&amp;"Продажа",РД[Дом]&amp;РД[№ кв]&amp;РД[Состояние],0),1),Таблица4[[#This Row],[Статус]])</f>
        <v>9301778</v>
      </c>
      <c r="H408" s="235">
        <f>_xlfn.XLOOKUP(Таблица4[[#This Row],[№]],Реестр_Д4[№],Реестр_Д4[Стоимость квартиры с отделкой],"-",0)</f>
        <v>9301778</v>
      </c>
      <c r="I408" s="235">
        <f>IFERROR(Таблица4[[#This Row],[СО ПП]]-Таблица4[[#This Row],[СО ДДУ]],"")</f>
        <v>0</v>
      </c>
      <c r="J408" s="233" cm="1">
        <f t="array" ref="J408">IFERROR(INDEX(РД[S],MATCH($B$3&amp;Таблица4[[#This Row],[№]]&amp;"Продажа",РД[Дом]&amp;РД[№ кв]&amp;РД[Состояние],0),1),Таблица4[[#This Row],[Статус]])</f>
        <v>74.28</v>
      </c>
      <c r="K408" s="233">
        <f>VLOOKUP(Таблица4[[#This Row],[№]],Реестр_Д4[],20,0)</f>
        <v>74.28</v>
      </c>
      <c r="L408" s="235">
        <f>IFERROR(Таблица4[[#This Row],[S ПП]]-Таблица4[[#This Row],[S ДДУ]],)</f>
        <v>0</v>
      </c>
      <c r="M408" s="235">
        <f>ROUND(_xlfn.XLOOKUP(Таблица4[[#This Row],[№]],Реестр_Д4[№],Реестр_Д4[Итоговая сумма скидки],"",0),2)</f>
        <v>156482</v>
      </c>
      <c r="N408" s="235" cm="1">
        <f t="array" ref="N408">IFERROR(ROUND(_xlfn.XLOOKUP($B$3&amp;Таблица4[[#This Row],[№]]&amp;"Продажа",РД[Дом]&amp;РД[№ кв]&amp;РД[Состояние],РД[Сумма скидки],"",0),2),Таблица4[[#This Row],[Статус]])</f>
        <v>156482</v>
      </c>
      <c r="O408" s="235">
        <f>IFERROR(Таблица4[[#This Row],[ППС]]-Таблица4[[#This Row],[ДДУС]],)</f>
        <v>0</v>
      </c>
      <c r="P408" s="611"/>
      <c r="Q408" s="234">
        <f>VLOOKUP(ППД5!A405,Реестр_Д5[№],1,0)</f>
        <v>404</v>
      </c>
      <c r="R408" s="234" t="str">
        <f>VLOOKUP(ППД5!CH405,Реестр_Д5[Статус],1,0)</f>
        <v>Продажа</v>
      </c>
      <c r="S408" s="612">
        <f>VLOOKUP(ППД5!BZ405,Реестр_Д5[Стоимость ОН без отделки со скидкой],1,0)</f>
        <v>4402600</v>
      </c>
      <c r="T408" s="612" cm="1">
        <f t="array" ref="T408">IFERROR(INDEX(РД[Стоимость без отделки итог],MATCH($Q$3&amp;Таблица10[[#This Row],[№]]&amp;"Продажа",РД[Дом]&amp;РД[№ кв]&amp;РД[Состояние],0),1),Таблица10[[#This Row],[Статус]])</f>
        <v>4402600</v>
      </c>
      <c r="U408" s="235">
        <f>IFERROR((Таблица10[[#This Row],[ПП]]-Таблица10[[#This Row],[ДДУ]])*1,)</f>
        <v>0</v>
      </c>
      <c r="V408" s="235" cm="1">
        <f t="array" ref="V408">IFERROR(INDEX(РД[Стоимость с отделкой итог],MATCH($Q$3&amp;Таблица10[[#This Row],[№]]&amp;"Продажа",РД[Дом]&amp;РД[№ кв]&amp;РД[Состояние],0),1),Таблица10[[#This Row],[Статус]])</f>
        <v>5196400</v>
      </c>
      <c r="W408" s="235">
        <f>_xlfn.XLOOKUP(Таблица10[[#This Row],[№]],Реестр_Д5[№],Реестр_Д5[Стоимость квартиры с отделкой],"-",0)</f>
        <v>5196400</v>
      </c>
      <c r="X408" s="235">
        <f>IFERROR(Таблица10[[#This Row],[СО ПП]]-Таблица10[[#This Row],[СО ДДУ]],"")</f>
        <v>0</v>
      </c>
      <c r="Y408" s="233" cm="1">
        <f t="array" ref="Y408">IFERROR(INDEX(РД[S],MATCH($Q$3&amp;Таблица10[[#This Row],[№]]&amp;"Продажа",РД[Дом]&amp;РД[№ кв]&amp;РД[Состояние],0),1),Таблица10[[#This Row],[Статус]])</f>
        <v>39.69</v>
      </c>
      <c r="Z408" s="233">
        <f>IF(Таблица10[[#This Row],[№]]&amp;"ДДУ"=ППД5!A405&amp;ППД5!CR405,ППД5!U405,ППД5!V405)</f>
        <v>39.69</v>
      </c>
      <c r="AA408" s="285">
        <f>IFERROR(Таблица10[[#This Row],[S ПП]]-Таблица10[[#This Row],[S ДДУ]],)</f>
        <v>0</v>
      </c>
      <c r="AB408" s="235">
        <f>ROUND(_xlfn.XLOOKUP(Таблица10[[#This Row],[№]],Реестр_Д5[№],Реестр_Д5[Итоговая сумма скидки],"",0),2)</f>
        <v>0</v>
      </c>
      <c r="AC408" s="235" cm="1">
        <f t="array" ref="AC40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8" s="285">
        <f>IFERROR(Таблица10[[#This Row],[ППС]]-Таблица10[[#This Row],[ДДУС]],)</f>
        <v>0</v>
      </c>
      <c r="AE408" s="611"/>
      <c r="AT408" s="611"/>
    </row>
    <row r="409" spans="1:46" x14ac:dyDescent="0.2">
      <c r="A409" s="611"/>
      <c r="B409" s="234">
        <f>VLOOKUP(ППД4!A406,Реестр_Д4[№],1,0)</f>
        <v>405</v>
      </c>
      <c r="C409" s="234" t="str">
        <f>VLOOKUP(ППД4!CO406,Реестр_Д4[Статус],1,0)</f>
        <v>Продажа</v>
      </c>
      <c r="D409" s="612">
        <f>VLOOKUP(ППД4!CE406,Реестр_Д4[Стоимость ОН без отделки со скидкой],1,0)</f>
        <v>4010300</v>
      </c>
      <c r="E409" s="612" cm="1">
        <f t="array" ref="E409">IFERROR(INDEX(РД[Стоимость без отделки итог],MATCH($B$3&amp;Таблица4[[#This Row],[№]]&amp;"Продажа",РД[Дом]&amp;РД[№ кв]&amp;РД[Состояние],0),1),Таблица4[[#This Row],[Статус]])</f>
        <v>4010300</v>
      </c>
      <c r="F409" s="235">
        <f>IFERROR((Таблица4[[#This Row],[ПП]]-Таблица4[[#This Row],[ДДУ]])*1,"")</f>
        <v>0</v>
      </c>
      <c r="G409" s="235" cm="1">
        <f t="array" ref="G409">IFERROR(INDEX(РД[Стоимость с отделкой итог],MATCH($B$3&amp;Таблица4[[#This Row],[№]]&amp;"Продажа",РД[Дом]&amp;РД[№ кв]&amp;РД[Состояние],0),1),Таблица4[[#This Row],[Статус]])</f>
        <v>4813300</v>
      </c>
      <c r="H409" s="235">
        <f>_xlfn.XLOOKUP(Таблица4[[#This Row],[№]],Реестр_Д4[№],Реестр_Д4[Стоимость квартиры с отделкой],"-",0)</f>
        <v>4813300</v>
      </c>
      <c r="I409" s="235">
        <f>IFERROR(Таблица4[[#This Row],[СО ПП]]-Таблица4[[#This Row],[СО ДДУ]],"")</f>
        <v>0</v>
      </c>
      <c r="J409" s="233" cm="1">
        <f t="array" ref="J409">IFERROR(INDEX(РД[S],MATCH($B$3&amp;Таблица4[[#This Row],[№]]&amp;"Продажа",РД[Дом]&amp;РД[№ кв]&amp;РД[Состояние],0),1),Таблица4[[#This Row],[Статус]])</f>
        <v>36.5</v>
      </c>
      <c r="K409" s="233">
        <f>VLOOKUP(Таблица4[[#This Row],[№]],Реестр_Д4[],20,0)</f>
        <v>36.5</v>
      </c>
      <c r="L409" s="235">
        <f>IFERROR(Таблица4[[#This Row],[S ПП]]-Таблица4[[#This Row],[S ДДУ]],)</f>
        <v>0</v>
      </c>
      <c r="M409" s="235">
        <f>ROUND(_xlfn.XLOOKUP(Таблица4[[#This Row],[№]],Реестр_Д4[№],Реестр_Д4[Итоговая сумма скидки],"",0),2)</f>
        <v>0</v>
      </c>
      <c r="N409" s="235" cm="1">
        <f t="array" ref="N40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09" s="235">
        <f>IFERROR(Таблица4[[#This Row],[ППС]]-Таблица4[[#This Row],[ДДУС]],)</f>
        <v>0</v>
      </c>
      <c r="P409" s="611"/>
      <c r="Q409" s="234">
        <f>VLOOKUP(ППД5!A406,Реестр_Д5[№],1,0)</f>
        <v>405</v>
      </c>
      <c r="R409" s="234" t="str">
        <f>VLOOKUP(ППД5!CH406,Реестр_Д5[Статус],1,0)</f>
        <v>Продажа</v>
      </c>
      <c r="S409" s="612">
        <f>VLOOKUP(ППД5!BZ406,Реестр_Д5[Стоимость ОН без отделки со скидкой],1,0)</f>
        <v>3450000</v>
      </c>
      <c r="T409" s="612" cm="1">
        <f t="array" ref="T409">IFERROR(INDEX(РД[Стоимость без отделки итог],MATCH($Q$3&amp;Таблица10[[#This Row],[№]]&amp;"Продажа",РД[Дом]&amp;РД[№ кв]&amp;РД[Состояние],0),1),Таблица10[[#This Row],[Статус]])</f>
        <v>3450000</v>
      </c>
      <c r="U409" s="235">
        <f>IFERROR((Таблица10[[#This Row],[ПП]]-Таблица10[[#This Row],[ДДУ]])*1,)</f>
        <v>0</v>
      </c>
      <c r="V409" s="235" cm="1">
        <f t="array" ref="V409">IFERROR(INDEX(РД[Стоимость с отделкой итог],MATCH($Q$3&amp;Таблица10[[#This Row],[№]]&amp;"Продажа",РД[Дом]&amp;РД[№ кв]&amp;РД[Состояние],0),1),Таблица10[[#This Row],[Статус]])</f>
        <v>3450000</v>
      </c>
      <c r="W409" s="235">
        <f>_xlfn.XLOOKUP(Таблица10[[#This Row],[№]],Реестр_Д5[№],Реестр_Д5[Стоимость квартиры с отделкой],"-",0)</f>
        <v>3450000</v>
      </c>
      <c r="X409" s="235">
        <f>IFERROR(Таблица10[[#This Row],[СО ПП]]-Таблица10[[#This Row],[СО ДДУ]],"")</f>
        <v>0</v>
      </c>
      <c r="Y409" s="233" cm="1">
        <f t="array" ref="Y409">IFERROR(INDEX(РД[S],MATCH($Q$3&amp;Таблица10[[#This Row],[№]]&amp;"Продажа",РД[Дом]&amp;РД[№ кв]&amp;РД[Состояние],0),1),Таблица10[[#This Row],[Статус]])</f>
        <v>29.4</v>
      </c>
      <c r="Z409" s="233">
        <f>IF(Таблица10[[#This Row],[№]]&amp;"ДДУ"=ППД5!A406&amp;ППД5!CR406,ППД5!U406,ППД5!V406)</f>
        <v>29.4</v>
      </c>
      <c r="AA409" s="285">
        <f>IFERROR(Таблица10[[#This Row],[S ПП]]-Таблица10[[#This Row],[S ДДУ]],)</f>
        <v>0</v>
      </c>
      <c r="AB409" s="235">
        <f>ROUND(_xlfn.XLOOKUP(Таблица10[[#This Row],[№]],Реестр_Д5[№],Реестр_Д5[Итоговая сумма скидки],"",0),2)</f>
        <v>0</v>
      </c>
      <c r="AC409" s="235" cm="1">
        <f t="array" ref="AC40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09" s="285">
        <f>IFERROR(Таблица10[[#This Row],[ППС]]-Таблица10[[#This Row],[ДДУС]],)</f>
        <v>0</v>
      </c>
      <c r="AE409" s="611"/>
      <c r="AT409" s="611"/>
    </row>
    <row r="410" spans="1:46" x14ac:dyDescent="0.2">
      <c r="A410" s="611"/>
      <c r="B410" s="234">
        <f>VLOOKUP(ППД4!A407,Реестр_Д4[№],1,0)</f>
        <v>406</v>
      </c>
      <c r="C410" s="234" t="str">
        <f>VLOOKUP(ППД4!CO407,Реестр_Д4[Статус],1,0)</f>
        <v>Продажа</v>
      </c>
      <c r="D410" s="612">
        <f>VLOOKUP(ППД4!CE407,Реестр_Д4[Стоимость ОН без отделки со скидкой],1,0)</f>
        <v>4027503.31</v>
      </c>
      <c r="E410" s="612" cm="1">
        <f t="array" ref="E410">IFERROR(INDEX(РД[Стоимость без отделки итог],MATCH($B$3&amp;Таблица4[[#This Row],[№]]&amp;"Продажа",РД[Дом]&amp;РД[№ кв]&amp;РД[Состояние],0),1),Таблица4[[#This Row],[Статус]])</f>
        <v>4027503.3099999996</v>
      </c>
      <c r="F410" s="235">
        <f>IFERROR((Таблица4[[#This Row],[ПП]]-Таблица4[[#This Row],[ДДУ]])*1,"")</f>
        <v>4.6566128730773926E-10</v>
      </c>
      <c r="G410" s="235" cm="1">
        <f t="array" ref="G410">IFERROR(INDEX(РД[Стоимость с отделкой итог],MATCH($B$3&amp;Таблица4[[#This Row],[№]]&amp;"Продажа",РД[Дом]&amp;РД[№ кв]&amp;РД[Состояние],0),1),Таблица4[[#This Row],[Статус]])</f>
        <v>4251663.3099999996</v>
      </c>
      <c r="H410" s="235">
        <f>_xlfn.XLOOKUP(Таблица4[[#This Row],[№]],Реестр_Д4[№],Реестр_Д4[Стоимость квартиры с отделкой],"-",0)</f>
        <v>4251663.3099999996</v>
      </c>
      <c r="I410" s="235">
        <f>IFERROR(Таблица4[[#This Row],[СО ПП]]-Таблица4[[#This Row],[СО ДДУ]],"")</f>
        <v>0</v>
      </c>
      <c r="J410" s="233" cm="1">
        <f t="array" ref="J410">IFERROR(INDEX(РД[S],MATCH($B$3&amp;Таблица4[[#This Row],[№]]&amp;"Продажа",РД[Дом]&amp;РД[№ кв]&amp;РД[Состояние],0),1),Таблица4[[#This Row],[Статус]])</f>
        <v>56.04</v>
      </c>
      <c r="K410" s="233">
        <f>VLOOKUP(Таблица4[[#This Row],[№]],Реестр_Д4[],20,0)</f>
        <v>56.04</v>
      </c>
      <c r="L410" s="235">
        <f>IFERROR(Таблица4[[#This Row],[S ПП]]-Таблица4[[#This Row],[S ДДУ]],)</f>
        <v>0</v>
      </c>
      <c r="M410" s="235">
        <f>ROUND(_xlfn.XLOOKUP(Таблица4[[#This Row],[№]],Реестр_Д4[№],Реестр_Д4[Итоговая сумма скидки],"",0),2)</f>
        <v>257074.68</v>
      </c>
      <c r="N410" s="235" cm="1">
        <f t="array" ref="N410">IFERROR(ROUND(_xlfn.XLOOKUP($B$3&amp;Таблица4[[#This Row],[№]]&amp;"Продажа",РД[Дом]&amp;РД[№ кв]&amp;РД[Состояние],РД[Сумма скидки],"",0),2),Таблица4[[#This Row],[Статус]])</f>
        <v>257074.68</v>
      </c>
      <c r="O410" s="235">
        <f>IFERROR(Таблица4[[#This Row],[ППС]]-Таблица4[[#This Row],[ДДУС]],)</f>
        <v>0</v>
      </c>
      <c r="P410" s="611"/>
      <c r="Q410" s="234">
        <f>VLOOKUP(ППД5!A407,Реестр_Д5[№],1,0)</f>
        <v>406</v>
      </c>
      <c r="R410" s="234" t="str">
        <f>VLOOKUP(ППД5!CH407,Реестр_Д5[Статус],1,0)</f>
        <v>Продажа</v>
      </c>
      <c r="S410" s="612">
        <f>VLOOKUP(ППД5!BZ407,Реестр_Д5[Стоимость ОН без отделки со скидкой],1,0)</f>
        <v>3492253.59</v>
      </c>
      <c r="T410" s="612" cm="1">
        <f t="array" ref="T410">IFERROR(INDEX(РД[Стоимость без отделки итог],MATCH($Q$3&amp;Таблица10[[#This Row],[№]]&amp;"Продажа",РД[Дом]&amp;РД[№ кв]&amp;РД[Состояние],0),1),Таблица10[[#This Row],[Статус]])</f>
        <v>3492253.59</v>
      </c>
      <c r="U410" s="235">
        <f>IFERROR((Таблица10[[#This Row],[ПП]]-Таблица10[[#This Row],[ДДУ]])*1,)</f>
        <v>0</v>
      </c>
      <c r="V410" s="235" cm="1">
        <f t="array" ref="V410">IFERROR(INDEX(РД[Стоимость с отделкой итог],MATCH($Q$3&amp;Таблица10[[#This Row],[№]]&amp;"Продажа",РД[Дом]&amp;РД[№ кв]&amp;РД[Состояние],0),1),Таблица10[[#This Row],[Статус]])</f>
        <v>4162008.59</v>
      </c>
      <c r="W410" s="235">
        <f>_xlfn.XLOOKUP(Таблица10[[#This Row],[№]],Реестр_Д5[№],Реестр_Д5[Стоимость квартиры с отделкой],"-",0)</f>
        <v>4162008.5899999994</v>
      </c>
      <c r="X410" s="235">
        <f>IFERROR(Таблица10[[#This Row],[СО ПП]]-Таблица10[[#This Row],[СО ДДУ]],"")</f>
        <v>-4.6566128730773926E-10</v>
      </c>
      <c r="Y410" s="233" cm="1">
        <f t="array" ref="Y410">IFERROR(INDEX(РД[S],MATCH($Q$3&amp;Таблица10[[#This Row],[№]]&amp;"Продажа",РД[Дом]&amp;РД[№ кв]&amp;РД[Состояние],0),1),Таблица10[[#This Row],[Статус]])</f>
        <v>43.21</v>
      </c>
      <c r="Z410" s="233">
        <f>IF(Таблица10[[#This Row],[№]]&amp;"ДДУ"=ППД5!A407&amp;ППД5!CR407,ППД5!U407,ППД5!V407)</f>
        <v>43.21</v>
      </c>
      <c r="AA410" s="285">
        <f>IFERROR(Таблица10[[#This Row],[S ПП]]-Таблица10[[#This Row],[S ДДУ]],)</f>
        <v>0</v>
      </c>
      <c r="AB410" s="235">
        <f>ROUND(_xlfn.XLOOKUP(Таблица10[[#This Row],[№]],Реестр_Д5[№],Реестр_Д5[Итоговая сумма скидки],"",0),2)</f>
        <v>222909.8</v>
      </c>
      <c r="AC410" s="235" cm="1">
        <f t="array" ref="AC410">IFERROR(ROUND(_xlfn.XLOOKUP($Q$3&amp;Таблица10[[#This Row],[№]]&amp;"Продажа",РД[Дом]&amp;РД[№ кв]&amp;РД[Состояние],РД[Сумма скидки],"",0,-1),2),Таблица10[[#This Row],[Статус]])</f>
        <v>222909.8</v>
      </c>
      <c r="AD410" s="285">
        <f>IFERROR(Таблица10[[#This Row],[ППС]]-Таблица10[[#This Row],[ДДУС]],)</f>
        <v>0</v>
      </c>
      <c r="AE410" s="611"/>
      <c r="AT410" s="611"/>
    </row>
    <row r="411" spans="1:46" x14ac:dyDescent="0.2">
      <c r="A411" s="611"/>
      <c r="B411" s="234">
        <f>VLOOKUP(ППД4!A408,Реестр_Д4[№],1,0)</f>
        <v>407</v>
      </c>
      <c r="C411" s="234" t="str">
        <f>VLOOKUP(ППД4!CO408,Реестр_Д4[Статус],1,0)</f>
        <v>Продажа</v>
      </c>
      <c r="D411" s="612">
        <f>VLOOKUP(ППД4!CE408,Реестр_Д4[Стоимость ОН без отделки со скидкой],1,0)</f>
        <v>4897891.5199999996</v>
      </c>
      <c r="E411" s="612" cm="1">
        <f t="array" ref="E411">IFERROR(INDEX(РД[Стоимость без отделки итог],MATCH($B$3&amp;Таблица4[[#This Row],[№]]&amp;"Продажа",РД[Дом]&amp;РД[№ кв]&amp;РД[Состояние],0),1),Таблица4[[#This Row],[Статус]])</f>
        <v>4897891.5199999996</v>
      </c>
      <c r="F411" s="235">
        <f>IFERROR((Таблица4[[#This Row],[ПП]]-Таблица4[[#This Row],[ДДУ]])*1,"")</f>
        <v>0</v>
      </c>
      <c r="G411" s="235" cm="1">
        <f t="array" ref="G411">IFERROR(INDEX(РД[Стоимость с отделкой итог],MATCH($B$3&amp;Таблица4[[#This Row],[№]]&amp;"Продажа",РД[Дом]&amp;РД[№ кв]&amp;РД[Состояние],0),1),Таблица4[[#This Row],[Статус]])</f>
        <v>5806501.5199999996</v>
      </c>
      <c r="H411" s="235">
        <f>_xlfn.XLOOKUP(Таблица4[[#This Row],[№]],Реестр_Д4[№],Реестр_Д4[Стоимость квартиры с отделкой],"-",0)</f>
        <v>5806501.5199999996</v>
      </c>
      <c r="I411" s="235">
        <f>IFERROR(Таблица4[[#This Row],[СО ПП]]-Таблица4[[#This Row],[СО ДДУ]],"")</f>
        <v>0</v>
      </c>
      <c r="J411" s="233" cm="1">
        <f t="array" ref="J411">IFERROR(INDEX(РД[S],MATCH($B$3&amp;Таблица4[[#This Row],[№]]&amp;"Продажа",РД[Дом]&amp;РД[№ кв]&amp;РД[Состояние],0),1),Таблица4[[#This Row],[Статус]])</f>
        <v>58.62</v>
      </c>
      <c r="K411" s="233">
        <f>VLOOKUP(Таблица4[[#This Row],[№]],Реестр_Д4[],20,0)</f>
        <v>58.62</v>
      </c>
      <c r="L411" s="235">
        <f>IFERROR(Таблица4[[#This Row],[S ПП]]-Таблица4[[#This Row],[S ДДУ]],)</f>
        <v>0</v>
      </c>
      <c r="M411" s="235">
        <f>ROUND(_xlfn.XLOOKUP(Таблица4[[#This Row],[№]],Реестр_Д4[№],Реестр_Д4[Итоговая сумма скидки],"",0),2)</f>
        <v>0</v>
      </c>
      <c r="N411" s="235" cm="1">
        <f t="array" ref="N41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11" s="235">
        <f>IFERROR(Таблица4[[#This Row],[ППС]]-Таблица4[[#This Row],[ДДУС]],)</f>
        <v>0</v>
      </c>
      <c r="P411" s="611"/>
      <c r="Q411" s="234">
        <f>VLOOKUP(ППД5!A408,Реестр_Д5[№],1,0)</f>
        <v>407</v>
      </c>
      <c r="R411" s="234" t="str">
        <f>VLOOKUP(ППД5!CH408,Реестр_Д5[Статус],1,0)</f>
        <v>Продажа</v>
      </c>
      <c r="S411" s="612">
        <f>VLOOKUP(ППД5!BZ408,Реестр_Д5[Стоимость ОН без отделки со скидкой],1,0)</f>
        <v>2253548.71</v>
      </c>
      <c r="T411" s="612" cm="1">
        <f t="array" ref="T411">IFERROR(INDEX(РД[Стоимость без отделки итог],MATCH($Q$3&amp;Таблица10[[#This Row],[№]]&amp;"Продажа",РД[Дом]&amp;РД[№ кв]&amp;РД[Состояние],0),1),Таблица10[[#This Row],[Статус]])</f>
        <v>2253548.71</v>
      </c>
      <c r="U411" s="235">
        <f>IFERROR((Таблица10[[#This Row],[ПП]]-Таблица10[[#This Row],[ДДУ]])*1,)</f>
        <v>0</v>
      </c>
      <c r="V411" s="235" cm="1">
        <f t="array" ref="V411">IFERROR(INDEX(РД[Стоимость с отделкой итог],MATCH($Q$3&amp;Таблица10[[#This Row],[№]]&amp;"Продажа",РД[Дом]&amp;РД[№ кв]&amp;РД[Состояние],0),1),Таблица10[[#This Row],[Статус]])</f>
        <v>2253548.71</v>
      </c>
      <c r="W411" s="235">
        <f>_xlfn.XLOOKUP(Таблица10[[#This Row],[№]],Реестр_Д5[№],Реестр_Д5[Стоимость квартиры с отделкой],"-",0)</f>
        <v>2253548.71</v>
      </c>
      <c r="X411" s="235">
        <f>IFERROR(Таблица10[[#This Row],[СО ПП]]-Таблица10[[#This Row],[СО ДДУ]],"")</f>
        <v>0</v>
      </c>
      <c r="Y411" s="233" cm="1">
        <f t="array" ref="Y411">IFERROR(INDEX(РД[S],MATCH($Q$3&amp;Таблица10[[#This Row],[№]]&amp;"Продажа",РД[Дом]&amp;РД[№ кв]&amp;РД[Состояние],0),1),Таблица10[[#This Row],[Статус]])</f>
        <v>24.5</v>
      </c>
      <c r="Z411" s="233">
        <f>IF(Таблица10[[#This Row],[№]]&amp;"ДДУ"=ППД5!A408&amp;ППД5!CR408,ППД5!U408,ППД5!V408)</f>
        <v>24.5</v>
      </c>
      <c r="AA411" s="285">
        <f>IFERROR(Таблица10[[#This Row],[S ПП]]-Таблица10[[#This Row],[S ДДУ]],)</f>
        <v>0</v>
      </c>
      <c r="AB411" s="235">
        <f>ROUND(_xlfn.XLOOKUP(Таблица10[[#This Row],[№]],Реестр_Д5[№],Реестр_Д5[Итоговая сумма скидки],"",0),2)</f>
        <v>0</v>
      </c>
      <c r="AC411" s="235" cm="1">
        <f t="array" ref="AC41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11" s="285">
        <f>IFERROR(Таблица10[[#This Row],[ППС]]-Таблица10[[#This Row],[ДДУС]],)</f>
        <v>0</v>
      </c>
      <c r="AE411" s="611"/>
      <c r="AT411" s="611"/>
    </row>
    <row r="412" spans="1:46" x14ac:dyDescent="0.2">
      <c r="A412" s="611"/>
      <c r="B412" s="234">
        <f>VLOOKUP(ППД4!A409,Реестр_Д4[№],1,0)</f>
        <v>408</v>
      </c>
      <c r="C412" s="234" t="str">
        <f>VLOOKUP(ППД4!CO409,Реестр_Д4[Статус],1,0)</f>
        <v>Свободно</v>
      </c>
      <c r="D412" s="612">
        <f>VLOOKUP(ППД4!CE409,Реестр_Д4[Стоимость ОН без отделки со скидкой],1,0)</f>
        <v>8256000</v>
      </c>
      <c r="E412" s="612" t="str" cm="1">
        <f t="array" ref="E412">IFERROR(INDEX(РД[Стоимость без отделки итог],MATCH($B$3&amp;Таблица4[[#This Row],[№]]&amp;"Продажа",РД[Дом]&amp;РД[№ кв]&amp;РД[Состояние],0),1),Таблица4[[#This Row],[Статус]])</f>
        <v>Свободно</v>
      </c>
      <c r="F412" s="235" t="str">
        <f>IFERROR((Таблица4[[#This Row],[ПП]]-Таблица4[[#This Row],[ДДУ]])*1,"")</f>
        <v/>
      </c>
      <c r="G412" s="235" t="str" cm="1">
        <f t="array" ref="G412">IFERROR(INDEX(РД[Стоимость с отделкой итог],MATCH($B$3&amp;Таблица4[[#This Row],[№]]&amp;"Продажа",РД[Дом]&amp;РД[№ кв]&amp;РД[Состояние],0),1),Таблица4[[#This Row],[Статус]])</f>
        <v>Свободно</v>
      </c>
      <c r="H412" s="235">
        <f>_xlfn.XLOOKUP(Таблица4[[#This Row],[№]],Реестр_Д4[№],Реестр_Д4[Стоимость квартиры с отделкой],"-",0)</f>
        <v>8256000</v>
      </c>
      <c r="I412" s="235" t="str">
        <f>IFERROR(Таблица4[[#This Row],[СО ПП]]-Таблица4[[#This Row],[СО ДДУ]],"")</f>
        <v/>
      </c>
      <c r="J412" s="233" t="str" cm="1">
        <f t="array" ref="J412">IFERROR(INDEX(РД[S],MATCH($B$3&amp;Таблица4[[#This Row],[№]]&amp;"Продажа",РД[Дом]&amp;РД[№ кв]&amp;РД[Состояние],0),1),Таблица4[[#This Row],[Статус]])</f>
        <v>Свободно</v>
      </c>
      <c r="K412" s="233">
        <f>VLOOKUP(Таблица4[[#This Row],[№]],Реестр_Д4[],21,0)</f>
        <v>68.8</v>
      </c>
      <c r="L412" s="235">
        <f>IFERROR(Таблица4[[#This Row],[S ПП]]-Таблица4[[#This Row],[S ДДУ]],)</f>
        <v>0</v>
      </c>
      <c r="M412" s="235">
        <f>ROUND(_xlfn.XLOOKUP(Таблица4[[#This Row],[№]],Реестр_Д4[№],Реестр_Д4[Итоговая сумма скидки],"",0),2)</f>
        <v>0</v>
      </c>
      <c r="N412" s="235" t="str" cm="1">
        <f t="array" ref="N412">IFERROR(ROUND(_xlfn.XLOOKUP($B$3&amp;Таблица4[[#This Row],[№]]&amp;"Продажа",РД[Дом]&amp;РД[№ кв]&amp;РД[Состояние],РД[Сумма скидки],"",0),2),Таблица4[[#This Row],[Статус]])</f>
        <v>Свободно</v>
      </c>
      <c r="O412" s="235">
        <f>IFERROR(Таблица4[[#This Row],[ППС]]-Таблица4[[#This Row],[ДДУС]],)</f>
        <v>0</v>
      </c>
      <c r="P412" s="611"/>
      <c r="Q412" s="234">
        <f>VLOOKUP(ППД5!A409,Реестр_Д5[№],1,0)</f>
        <v>408</v>
      </c>
      <c r="R412" s="234" t="str">
        <f>VLOOKUP(ППД5!CH409,Реестр_Д5[Статус],1,0)</f>
        <v>Продажа</v>
      </c>
      <c r="S412" s="612">
        <f>VLOOKUP(ППД5!BZ409,Реестр_Д5[Стоимость ОН без отделки со скидкой],1,0)</f>
        <v>5491100</v>
      </c>
      <c r="T412" s="612" cm="1">
        <f t="array" ref="T412">IFERROR(INDEX(РД[Стоимость без отделки итог],MATCH($Q$3&amp;Таблица10[[#This Row],[№]]&amp;"Продажа",РД[Дом]&amp;РД[№ кв]&amp;РД[Состояние],0),1),Таблица10[[#This Row],[Статус]])</f>
        <v>5491100</v>
      </c>
      <c r="U412" s="235">
        <f>IFERROR((Таблица10[[#This Row],[ПП]]-Таблица10[[#This Row],[ДДУ]])*1,)</f>
        <v>0</v>
      </c>
      <c r="V412" s="235" cm="1">
        <f t="array" ref="V412">IFERROR(INDEX(РД[Стоимость с отделкой итог],MATCH($Q$3&amp;Таблица10[[#This Row],[№]]&amp;"Продажа",РД[Дом]&amp;РД[№ кв]&amp;РД[Состояние],0),1),Таблица10[[#This Row],[Статус]])</f>
        <v>6655900</v>
      </c>
      <c r="W412" s="235">
        <f>_xlfn.XLOOKUP(Таблица10[[#This Row],[№]],Реестр_Д5[№],Реестр_Д5[Стоимость квартиры с отделкой],"-",0)</f>
        <v>6655900</v>
      </c>
      <c r="X412" s="235">
        <f>IFERROR(Таблица10[[#This Row],[СО ПП]]-Таблица10[[#This Row],[СО ДДУ]],"")</f>
        <v>0</v>
      </c>
      <c r="Y412" s="233" cm="1">
        <f t="array" ref="Y412">IFERROR(INDEX(РД[S],MATCH($Q$3&amp;Таблица10[[#This Row],[№]]&amp;"Продажа",РД[Дом]&amp;РД[№ кв]&amp;РД[Состояние],0),1),Таблица10[[#This Row],[Статус]])</f>
        <v>58.24</v>
      </c>
      <c r="Z412" s="233">
        <f>IF(Таблица10[[#This Row],[№]]&amp;"ДДУ"=ППД5!A409&amp;ППД5!CR409,ППД5!U409,ППД5!V409)</f>
        <v>58.24</v>
      </c>
      <c r="AA412" s="285">
        <f>IFERROR(Таблица10[[#This Row],[S ПП]]-Таблица10[[#This Row],[S ДДУ]],)</f>
        <v>0</v>
      </c>
      <c r="AB412" s="235">
        <f>ROUND(_xlfn.XLOOKUP(Таблица10[[#This Row],[№]],Реестр_Д5[№],Реестр_Д5[Итоговая сумма скидки],"",0),2)</f>
        <v>90000</v>
      </c>
      <c r="AC412" s="235" cm="1">
        <f t="array" ref="AC412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12" s="285">
        <f>IFERROR(Таблица10[[#This Row],[ППС]]-Таблица10[[#This Row],[ДДУС]],)</f>
        <v>0</v>
      </c>
      <c r="AE412" s="611"/>
      <c r="AT412" s="611"/>
    </row>
    <row r="413" spans="1:46" x14ac:dyDescent="0.2">
      <c r="A413" s="611"/>
      <c r="B413" s="234">
        <f>VLOOKUP(ППД4!A410,Реестр_Д4[№],1,0)</f>
        <v>409</v>
      </c>
      <c r="C413" s="234" t="str">
        <f>VLOOKUP(ППД4!CO410,Реестр_Д4[Статус],1,0)</f>
        <v>Продажа</v>
      </c>
      <c r="D413" s="612">
        <f>VLOOKUP(ППД4!CE410,Реестр_Д4[Стоимость ОН без отделки со скидкой],1,0)</f>
        <v>5221258.91</v>
      </c>
      <c r="E413" s="612" cm="1">
        <f t="array" ref="E413">IFERROR(INDEX(РД[Стоимость без отделки итог],MATCH($B$3&amp;Таблица4[[#This Row],[№]]&amp;"Продажа",РД[Дом]&amp;РД[№ кв]&amp;РД[Состояние],0),1),Таблица4[[#This Row],[Статус]])</f>
        <v>5221258.91</v>
      </c>
      <c r="F413" s="235">
        <f>IFERROR((Таблица4[[#This Row],[ПП]]-Таблица4[[#This Row],[ДДУ]])*1,"")</f>
        <v>0</v>
      </c>
      <c r="G413" s="235" cm="1">
        <f t="array" ref="G413">IFERROR(INDEX(РД[Стоимость с отделкой итог],MATCH($B$3&amp;Таблица4[[#This Row],[№]]&amp;"Продажа",РД[Дом]&amp;РД[№ кв]&amp;РД[Состояние],0),1),Таблица4[[#This Row],[Статус]])</f>
        <v>5221258.91</v>
      </c>
      <c r="H413" s="235">
        <f>_xlfn.XLOOKUP(Таблица4[[#This Row],[№]],Реестр_Д4[№],Реестр_Д4[Стоимость квартиры с отделкой],"-",0)</f>
        <v>5221258.91</v>
      </c>
      <c r="I413" s="235">
        <f>IFERROR(Таблица4[[#This Row],[СО ПП]]-Таблица4[[#This Row],[СО ДДУ]],"")</f>
        <v>0</v>
      </c>
      <c r="J413" s="233" cm="1">
        <f t="array" ref="J413">IFERROR(INDEX(РД[S],MATCH($B$3&amp;Таблица4[[#This Row],[№]]&amp;"Продажа",РД[Дом]&amp;РД[№ кв]&amp;РД[Состояние],0),1),Таблица4[[#This Row],[Статус]])</f>
        <v>63.74</v>
      </c>
      <c r="K413" s="233">
        <f>VLOOKUP(Таблица4[[#This Row],[№]],Реестр_Д4[],20,0)</f>
        <v>63.74</v>
      </c>
      <c r="L413" s="235">
        <f>IFERROR(Таблица4[[#This Row],[S ПП]]-Таблица4[[#This Row],[S ДДУ]],)</f>
        <v>0</v>
      </c>
      <c r="M413" s="235">
        <f>ROUND(_xlfn.XLOOKUP(Таблица4[[#This Row],[№]],Реестр_Д4[№],Реестр_Д4[Итоговая сумма скидки],"",0),2)</f>
        <v>0</v>
      </c>
      <c r="N413" s="235" cm="1">
        <f t="array" ref="N41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13" s="235">
        <f>IFERROR(Таблица4[[#This Row],[ППС]]-Таблица4[[#This Row],[ДДУС]],)</f>
        <v>0</v>
      </c>
      <c r="P413" s="611"/>
      <c r="Q413" s="234">
        <f>VLOOKUP(ППД5!A410,Реестр_Д5[№],1,0)</f>
        <v>409</v>
      </c>
      <c r="R413" s="234" t="str">
        <f>VLOOKUP(ППД5!CH410,Реестр_Д5[Статус],1,0)</f>
        <v>Продажа</v>
      </c>
      <c r="S413" s="612">
        <f>VLOOKUP(ППД5!BZ410,Реестр_Д5[Стоимость ОН без отделки со скидкой],1,0)</f>
        <v>5481470</v>
      </c>
      <c r="T413" s="612" cm="1">
        <f t="array" ref="T413">IFERROR(INDEX(РД[Стоимость без отделки итог],MATCH($Q$3&amp;Таблица10[[#This Row],[№]]&amp;"Продажа",РД[Дом]&amp;РД[№ кв]&amp;РД[Состояние],0),1),Таблица10[[#This Row],[Статус]])</f>
        <v>5481470</v>
      </c>
      <c r="U413" s="235">
        <f>IFERROR((Таблица10[[#This Row],[ПП]]-Таблица10[[#This Row],[ДДУ]])*1,)</f>
        <v>0</v>
      </c>
      <c r="V413" s="235" cm="1">
        <f t="array" ref="V413">IFERROR(INDEX(РД[Стоимость с отделкой итог],MATCH($Q$3&amp;Таблица10[[#This Row],[№]]&amp;"Продажа",РД[Дом]&amp;РД[№ кв]&amp;РД[Состояние],0),1),Таблица10[[#This Row],[Статус]])</f>
        <v>5886070</v>
      </c>
      <c r="W413" s="235">
        <f>_xlfn.XLOOKUP(Таблица10[[#This Row],[№]],Реестр_Д5[№],Реестр_Д5[Стоимость квартиры с отделкой],"-",0)</f>
        <v>5886070</v>
      </c>
      <c r="X413" s="235">
        <f>IFERROR(Таблица10[[#This Row],[СО ПП]]-Таблица10[[#This Row],[СО ДДУ]],"")</f>
        <v>0</v>
      </c>
      <c r="Y413" s="233" cm="1">
        <f t="array" ref="Y413">IFERROR(INDEX(РД[S],MATCH($Q$3&amp;Таблица10[[#This Row],[№]]&amp;"Продажа",РД[Дом]&amp;РД[№ кв]&amp;РД[Состояние],0),1),Таблица10[[#This Row],[Статус]])</f>
        <v>57.8</v>
      </c>
      <c r="Z413" s="233">
        <f>IF(Таблица10[[#This Row],[№]]&amp;"ДДУ"=ППД5!A410&amp;ППД5!CR410,ППД5!U410,ППД5!V410)</f>
        <v>57.8</v>
      </c>
      <c r="AA413" s="285">
        <f>IFERROR(Таблица10[[#This Row],[S ПП]]-Таблица10[[#This Row],[S ДДУ]],)</f>
        <v>0</v>
      </c>
      <c r="AB413" s="235">
        <f>ROUND(_xlfn.XLOOKUP(Таблица10[[#This Row],[№]],Реестр_Д5[№],Реестр_Д5[Итоговая сумма скидки],"",0),2)</f>
        <v>169530</v>
      </c>
      <c r="AC413" s="235" cm="1">
        <f t="array" ref="AC413">IFERROR(ROUND(_xlfn.XLOOKUP($Q$3&amp;Таблица10[[#This Row],[№]]&amp;"Продажа",РД[Дом]&amp;РД[№ кв]&amp;РД[Состояние],РД[Сумма скидки],"",0,-1),2),Таблица10[[#This Row],[Статус]])</f>
        <v>169530</v>
      </c>
      <c r="AD413" s="285">
        <f>IFERROR(Таблица10[[#This Row],[ППС]]-Таблица10[[#This Row],[ДДУС]],)</f>
        <v>0</v>
      </c>
      <c r="AE413" s="611"/>
      <c r="AT413" s="611"/>
    </row>
    <row r="414" spans="1:46" x14ac:dyDescent="0.2">
      <c r="A414" s="611"/>
      <c r="B414" s="234">
        <f>VLOOKUP(ППД4!A411,Реестр_Д4[№],1,0)</f>
        <v>410</v>
      </c>
      <c r="C414" s="234" t="str">
        <f>VLOOKUP(ППД4!CO411,Реестр_Д4[Статус],1,0)</f>
        <v>Продажа</v>
      </c>
      <c r="D414" s="612">
        <f>VLOOKUP(ППД4!CE411,Реестр_Д4[Стоимость ОН без отделки со скидкой],1,0)</f>
        <v>3697936.08</v>
      </c>
      <c r="E414" s="612" cm="1">
        <f t="array" ref="E414">IFERROR(INDEX(РД[Стоимость без отделки итог],MATCH($B$3&amp;Таблица4[[#This Row],[№]]&amp;"Продажа",РД[Дом]&amp;РД[№ кв]&amp;РД[Состояние],0),1),Таблица4[[#This Row],[Статус]])</f>
        <v>3697936.08</v>
      </c>
      <c r="F414" s="235">
        <f>IFERROR((Таблица4[[#This Row],[ПП]]-Таблица4[[#This Row],[ДДУ]])*1,"")</f>
        <v>0</v>
      </c>
      <c r="G414" s="235" cm="1">
        <f t="array" ref="G414">IFERROR(INDEX(РД[Стоимость с отделкой итог],MATCH($B$3&amp;Таблица4[[#This Row],[№]]&amp;"Продажа",РД[Дом]&amp;РД[№ кв]&amp;РД[Состояние],0),1),Таблица4[[#This Row],[Статус]])</f>
        <v>3876496.08</v>
      </c>
      <c r="H414" s="235">
        <f>_xlfn.XLOOKUP(Таблица4[[#This Row],[№]],Реестр_Д4[№],Реестр_Д4[Стоимость квартиры с отделкой],"-",0)</f>
        <v>3876496.08</v>
      </c>
      <c r="I414" s="235">
        <f>IFERROR(Таблица4[[#This Row],[СО ПП]]-Таблица4[[#This Row],[СО ДДУ]],"")</f>
        <v>0</v>
      </c>
      <c r="J414" s="233" cm="1">
        <f t="array" ref="J414">IFERROR(INDEX(РД[S],MATCH($B$3&amp;Таблица4[[#This Row],[№]]&amp;"Продажа",РД[Дом]&amp;РД[№ кв]&amp;РД[Состояние],0),1),Таблица4[[#This Row],[Статус]])</f>
        <v>44.64</v>
      </c>
      <c r="K414" s="233">
        <f>VLOOKUP(Таблица4[[#This Row],[№]],Реестр_Д4[],20,0)</f>
        <v>44.64</v>
      </c>
      <c r="L414" s="235">
        <f>IFERROR(Таблица4[[#This Row],[S ПП]]-Таблица4[[#This Row],[S ДДУ]],)</f>
        <v>0</v>
      </c>
      <c r="M414" s="235">
        <f>ROUND(_xlfn.XLOOKUP(Таблица4[[#This Row],[№]],Реестр_Д4[№],Реестр_Д4[Итоговая сумма скидки],"",0),2)</f>
        <v>178560</v>
      </c>
      <c r="N414" s="235" cm="1">
        <f t="array" ref="N414">IFERROR(ROUND(_xlfn.XLOOKUP($B$3&amp;Таблица4[[#This Row],[№]]&amp;"Продажа",РД[Дом]&amp;РД[№ кв]&amp;РД[Состояние],РД[Сумма скидки],"",0),2),Таблица4[[#This Row],[Статус]])</f>
        <v>178560</v>
      </c>
      <c r="O414" s="235">
        <f>IFERROR(Таблица4[[#This Row],[ППС]]-Таблица4[[#This Row],[ДДУС]],)</f>
        <v>0</v>
      </c>
      <c r="P414" s="611"/>
      <c r="Q414" s="234">
        <f>VLOOKUP(ППД5!A411,Реестр_Д5[№],1,0)</f>
        <v>410</v>
      </c>
      <c r="R414" s="234" t="str">
        <f>VLOOKUP(ППД5!CH411,Реестр_Д5[Статус],1,0)</f>
        <v>Продажа</v>
      </c>
      <c r="S414" s="612">
        <f>VLOOKUP(ППД5!BZ411,Реестр_Д5[Стоимость ОН без отделки со скидкой],1,0)</f>
        <v>3833800</v>
      </c>
      <c r="T414" s="612" cm="1">
        <f t="array" ref="T414">IFERROR(INDEX(РД[Стоимость без отделки итог],MATCH($Q$3&amp;Таблица10[[#This Row],[№]]&amp;"Продажа",РД[Дом]&amp;РД[№ кв]&amp;РД[Состояние],0),1),Таблица10[[#This Row],[Статус]])</f>
        <v>3833800</v>
      </c>
      <c r="U414" s="235">
        <f>IFERROR((Таблица10[[#This Row],[ПП]]-Таблица10[[#This Row],[ДДУ]])*1,)</f>
        <v>0</v>
      </c>
      <c r="V414" s="235" cm="1">
        <f t="array" ref="V414">IFERROR(INDEX(РД[Стоимость с отделкой итог],MATCH($Q$3&amp;Таблица10[[#This Row],[№]]&amp;"Продажа",РД[Дом]&amp;РД[№ кв]&amp;РД[Состояние],0),1),Таблица10[[#This Row],[Статус]])</f>
        <v>4121050</v>
      </c>
      <c r="W414" s="235">
        <f>_xlfn.XLOOKUP(Таблица10[[#This Row],[№]],Реестр_Д5[№],Реестр_Д5[Стоимость квартиры с отделкой],"-",0)</f>
        <v>4121050</v>
      </c>
      <c r="X414" s="235">
        <f>IFERROR(Таблица10[[#This Row],[СО ПП]]-Таблица10[[#This Row],[СО ДДУ]],"")</f>
        <v>0</v>
      </c>
      <c r="Y414" s="233" cm="1">
        <f t="array" ref="Y414">IFERROR(INDEX(РД[S],MATCH($Q$3&amp;Таблица10[[#This Row],[№]]&amp;"Продажа",РД[Дом]&amp;РД[№ кв]&amp;РД[Состояние],0),1),Таблица10[[#This Row],[Статус]])</f>
        <v>38.299999999999997</v>
      </c>
      <c r="Z414" s="233">
        <f>IF(Таблица10[[#This Row],[№]]&amp;"ДДУ"=ППД5!A411&amp;ППД5!CR411,ППД5!U411,ППД5!V411)</f>
        <v>38.299999999999997</v>
      </c>
      <c r="AA414" s="285">
        <f>IFERROR(Таблица10[[#This Row],[S ПП]]-Таблица10[[#This Row],[S ДДУ]],)</f>
        <v>0</v>
      </c>
      <c r="AB414" s="235">
        <f>ROUND(_xlfn.XLOOKUP(Таблица10[[#This Row],[№]],Реестр_Д5[№],Реестр_Д5[Итоговая сумма скидки],"",0),2)</f>
        <v>50000</v>
      </c>
      <c r="AC414" s="235" cm="1">
        <f t="array" ref="AC414">IFERROR(ROUND(_xlfn.XLOOKUP($Q$3&amp;Таблица10[[#This Row],[№]]&amp;"Продажа",РД[Дом]&amp;РД[№ кв]&amp;РД[Состояние],РД[Сумма скидки],"",0,-1),2),Таблица10[[#This Row],[Статус]])</f>
        <v>50000</v>
      </c>
      <c r="AD414" s="285">
        <f>IFERROR(Таблица10[[#This Row],[ППС]]-Таблица10[[#This Row],[ДДУС]],)</f>
        <v>0</v>
      </c>
      <c r="AE414" s="611"/>
      <c r="AT414" s="611"/>
    </row>
    <row r="415" spans="1:46" x14ac:dyDescent="0.2">
      <c r="A415" s="611"/>
      <c r="B415" s="234">
        <f>VLOOKUP(ППД4!A412,Реестр_Д4[№],1,0)</f>
        <v>411</v>
      </c>
      <c r="C415" s="234" t="str">
        <f>VLOOKUP(ППД4!CO412,Реестр_Д4[Статус],1,0)</f>
        <v>Продажа</v>
      </c>
      <c r="D415" s="612">
        <f>VLOOKUP(ППД4!CE412,Реестр_Д4[Стоимость ОН без отделки со скидкой],1,0)</f>
        <v>3340928.34</v>
      </c>
      <c r="E415" s="612" cm="1">
        <f t="array" ref="E415">IFERROR(INDEX(РД[Стоимость без отделки итог],MATCH($B$3&amp;Таблица4[[#This Row],[№]]&amp;"Продажа",РД[Дом]&amp;РД[№ кв]&amp;РД[Состояние],0),1),Таблица4[[#This Row],[Статус]])</f>
        <v>3340928.34</v>
      </c>
      <c r="F415" s="235">
        <f>IFERROR((Таблица4[[#This Row],[ПП]]-Таблица4[[#This Row],[ДДУ]])*1,"")</f>
        <v>0</v>
      </c>
      <c r="G415" s="235" cm="1">
        <f t="array" ref="G415">IFERROR(INDEX(РД[Стоимость с отделкой итог],MATCH($B$3&amp;Таблица4[[#This Row],[№]]&amp;"Продажа",РД[Дом]&amp;РД[№ кв]&amp;РД[Состояние],0),1),Таблица4[[#This Row],[Статус]])</f>
        <v>3937028.34</v>
      </c>
      <c r="H415" s="235">
        <f>_xlfn.XLOOKUP(Таблица4[[#This Row],[№]],Реестр_Д4[№],Реестр_Д4[Стоимость квартиры с отделкой],"-",0)</f>
        <v>3937028.34</v>
      </c>
      <c r="I415" s="235">
        <f>IFERROR(Таблица4[[#This Row],[СО ПП]]-Таблица4[[#This Row],[СО ДДУ]],"")</f>
        <v>0</v>
      </c>
      <c r="J415" s="233" cm="1">
        <f t="array" ref="J415">IFERROR(INDEX(РД[S],MATCH($B$3&amp;Таблица4[[#This Row],[№]]&amp;"Продажа",РД[Дом]&amp;РД[№ кв]&amp;РД[Состояние],0),1),Таблица4[[#This Row],[Статус]])</f>
        <v>39.74</v>
      </c>
      <c r="K415" s="233">
        <f>VLOOKUP(Таблица4[[#This Row],[№]],Реестр_Д4[],20,0)</f>
        <v>39.74</v>
      </c>
      <c r="L415" s="235">
        <f>IFERROR(Таблица4[[#This Row],[S ПП]]-Таблица4[[#This Row],[S ДДУ]],)</f>
        <v>0</v>
      </c>
      <c r="M415" s="235">
        <f>ROUND(_xlfn.XLOOKUP(Таблица4[[#This Row],[№]],Реестр_Д4[№],Реестр_Д4[Итоговая сумма скидки],"",0),2)</f>
        <v>213250.75</v>
      </c>
      <c r="N415" s="235" cm="1">
        <f t="array" ref="N415">IFERROR(ROUND(_xlfn.XLOOKUP($B$3&amp;Таблица4[[#This Row],[№]]&amp;"Продажа",РД[Дом]&amp;РД[№ кв]&amp;РД[Состояние],РД[Сумма скидки],"",0),2),Таблица4[[#This Row],[Статус]])</f>
        <v>213250.75</v>
      </c>
      <c r="O415" s="235">
        <f>IFERROR(Таблица4[[#This Row],[ППС]]-Таблица4[[#This Row],[ДДУС]],)</f>
        <v>0</v>
      </c>
      <c r="P415" s="611"/>
      <c r="Q415" s="234">
        <f>VLOOKUP(ППД5!A412,Реестр_Д5[№],1,0)</f>
        <v>411</v>
      </c>
      <c r="R415" s="234" t="str">
        <f>VLOOKUP(ППД5!CH412,Реестр_Д5[Статус],1,0)</f>
        <v>Свободно</v>
      </c>
      <c r="S415" s="612">
        <f>VLOOKUP(ППД5!BZ412,Реестр_Д5[Стоимость ОН без отделки со скидкой],1,0)</f>
        <v>9772400</v>
      </c>
      <c r="T415" s="612" t="str" cm="1">
        <f t="array" ref="T41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15" s="235">
        <f>IFERROR((Таблица10[[#This Row],[ПП]]-Таблица10[[#This Row],[ДДУ]])*1,)</f>
        <v>0</v>
      </c>
      <c r="V415" s="235" t="str" cm="1">
        <f t="array" ref="V41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15" s="235">
        <f>_xlfn.XLOOKUP(Таблица10[[#This Row],[№]],Реестр_Д5[№],Реестр_Д5[Стоимость квартиры с отделкой],"-",0)</f>
        <v>12143900.000000002</v>
      </c>
      <c r="X415" s="235" t="str">
        <f>IFERROR(Таблица10[[#This Row],[СО ПП]]-Таблица10[[#This Row],[СО ДДУ]],"")</f>
        <v/>
      </c>
      <c r="Y415" s="233" t="str" cm="1">
        <f t="array" ref="Y415">IFERROR(INDEX(РД[S],MATCH($Q$3&amp;Таблица10[[#This Row],[№]]&amp;"Продажа",РД[Дом]&amp;РД[№ кв]&amp;РД[Состояние],0),1),Таблица10[[#This Row],[Статус]])</f>
        <v>Свободно</v>
      </c>
      <c r="Z415" s="233">
        <f>IF(Таблица10[[#This Row],[№]]&amp;"ДДУ"=ППД5!A412&amp;ППД5!CR412,ППД5!U412,ППД5!V412)</f>
        <v>79.05</v>
      </c>
      <c r="AA415" s="285">
        <f>IFERROR(Таблица10[[#This Row],[S ПП]]-Таблица10[[#This Row],[S ДДУ]],)</f>
        <v>0</v>
      </c>
      <c r="AB415" s="235">
        <f>ROUND(_xlfn.XLOOKUP(Таблица10[[#This Row],[№]],Реестр_Д5[№],Реестр_Д5[Итоговая сумма скидки],"",0),2)</f>
        <v>0</v>
      </c>
      <c r="AC415" s="235" t="str" cm="1">
        <f t="array" ref="AC41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15" s="285">
        <f>IFERROR(Таблица10[[#This Row],[ППС]]-Таблица10[[#This Row],[ДДУС]],)</f>
        <v>0</v>
      </c>
      <c r="AE415" s="611"/>
      <c r="AT415" s="611"/>
    </row>
    <row r="416" spans="1:46" x14ac:dyDescent="0.2">
      <c r="A416" s="611"/>
      <c r="B416" s="234">
        <f>VLOOKUP(ППД4!A413,Реестр_Д4[№],1,0)</f>
        <v>412</v>
      </c>
      <c r="C416" s="234" t="str">
        <f>VLOOKUP(ППД4!CO413,Реестр_Д4[Статус],1,0)</f>
        <v>Продажа</v>
      </c>
      <c r="D416" s="612">
        <f>VLOOKUP(ППД4!CE413,Реестр_Д4[Стоимость ОН без отделки со скидкой],1,0)</f>
        <v>3318487.55</v>
      </c>
      <c r="E416" s="612" cm="1">
        <f t="array" ref="E416">IFERROR(INDEX(РД[Стоимость без отделки итог],MATCH($B$3&amp;Таблица4[[#This Row],[№]]&amp;"Продажа",РД[Дом]&amp;РД[№ кв]&amp;РД[Состояние],0),1),Таблица4[[#This Row],[Статус]])</f>
        <v>3318487.55</v>
      </c>
      <c r="F416" s="235">
        <f>IFERROR((Таблица4[[#This Row],[ПП]]-Таблица4[[#This Row],[ДДУ]])*1,"")</f>
        <v>0</v>
      </c>
      <c r="G416" s="235" cm="1">
        <f t="array" ref="G416">IFERROR(INDEX(РД[Стоимость с отделкой итог],MATCH($B$3&amp;Таблица4[[#This Row],[№]]&amp;"Продажа",РД[Дом]&amp;РД[№ кв]&amp;РД[Состояние],0),1),Таблица4[[#This Row],[Статус]])</f>
        <v>3472887.55</v>
      </c>
      <c r="H416" s="235">
        <f>_xlfn.XLOOKUP(Таблица4[[#This Row],[№]],Реестр_Д4[№],Реестр_Д4[Стоимость квартиры с отделкой],"-",0)</f>
        <v>3472887.55</v>
      </c>
      <c r="I416" s="235">
        <f>IFERROR(Таблица4[[#This Row],[СО ПП]]-Таблица4[[#This Row],[СО ДДУ]],"")</f>
        <v>0</v>
      </c>
      <c r="J416" s="233" cm="1">
        <f t="array" ref="J416">IFERROR(INDEX(РД[S],MATCH($B$3&amp;Таблица4[[#This Row],[№]]&amp;"Продажа",РД[Дом]&amp;РД[№ кв]&amp;РД[Состояние],0),1),Таблица4[[#This Row],[Статус]])</f>
        <v>38.6</v>
      </c>
      <c r="K416" s="233">
        <f>VLOOKUP(Таблица4[[#This Row],[№]],Реестр_Д4[],20,0)</f>
        <v>38.6</v>
      </c>
      <c r="L416" s="235">
        <f>IFERROR(Таблица4[[#This Row],[S ПП]]-Таблица4[[#This Row],[S ДДУ]],)</f>
        <v>0</v>
      </c>
      <c r="M416" s="235">
        <f>ROUND(_xlfn.XLOOKUP(Таблица4[[#This Row],[№]],Реестр_Д4[№],Реестр_Д4[Итоговая сумма скидки],"",0),2)</f>
        <v>0</v>
      </c>
      <c r="N416" s="235" cm="1">
        <f t="array" ref="N41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16" s="235">
        <f>IFERROR(Таблица4[[#This Row],[ППС]]-Таблица4[[#This Row],[ДДУС]],)</f>
        <v>0</v>
      </c>
      <c r="P416" s="611"/>
      <c r="Q416" s="234">
        <f>VLOOKUP(ППД5!A413,Реестр_Д5[№],1,0)</f>
        <v>412</v>
      </c>
      <c r="R416" s="234" t="str">
        <f>VLOOKUP(ППД5!CH413,Реестр_Д5[Статус],1,0)</f>
        <v>Продажа</v>
      </c>
      <c r="S416" s="612">
        <f>VLOOKUP(ППД5!BZ413,Реестр_Д5[Стоимость ОН без отделки со скидкой],1,0)</f>
        <v>3673227.74</v>
      </c>
      <c r="T416" s="612" cm="1">
        <f t="array" ref="T416">IFERROR(INDEX(РД[Стоимость без отделки итог],MATCH($Q$3&amp;Таблица10[[#This Row],[№]]&amp;"Продажа",РД[Дом]&amp;РД[№ кв]&amp;РД[Состояние],0),1),Таблица10[[#This Row],[Статус]])</f>
        <v>3673227.74</v>
      </c>
      <c r="U416" s="235">
        <f>IFERROR((Таблица10[[#This Row],[ПП]]-Таблица10[[#This Row],[ДДУ]])*1,)</f>
        <v>0</v>
      </c>
      <c r="V416" s="235" cm="1">
        <f t="array" ref="V416">IFERROR(INDEX(РД[Стоимость с отделкой итог],MATCH($Q$3&amp;Таблица10[[#This Row],[№]]&amp;"Продажа",РД[Дом]&amp;РД[№ кв]&amp;РД[Состояние],0),1),Таблица10[[#This Row],[Статус]])</f>
        <v>3673227.74</v>
      </c>
      <c r="W416" s="235">
        <f>_xlfn.XLOOKUP(Таблица10[[#This Row],[№]],Реестр_Д5[№],Реестр_Д5[Стоимость квартиры с отделкой],"-",0)</f>
        <v>3673227.74</v>
      </c>
      <c r="X416" s="235">
        <f>IFERROR(Таблица10[[#This Row],[СО ПП]]-Таблица10[[#This Row],[СО ДДУ]],"")</f>
        <v>0</v>
      </c>
      <c r="Y416" s="233" cm="1">
        <f t="array" ref="Y416">IFERROR(INDEX(РД[S],MATCH($Q$3&amp;Таблица10[[#This Row],[№]]&amp;"Продажа",РД[Дом]&amp;РД[№ кв]&amp;РД[Состояние],0),1),Таблица10[[#This Row],[Статус]])</f>
        <v>39.69</v>
      </c>
      <c r="Z416" s="233">
        <f>IF(Таблица10[[#This Row],[№]]&amp;"ДДУ"=ППД5!A413&amp;ППД5!CR413,ППД5!U413,ППД5!V413)</f>
        <v>39.69</v>
      </c>
      <c r="AA416" s="285">
        <f>IFERROR(Таблица10[[#This Row],[S ПП]]-Таблица10[[#This Row],[S ДДУ]],)</f>
        <v>0</v>
      </c>
      <c r="AB416" s="235">
        <f>ROUND(_xlfn.XLOOKUP(Таблица10[[#This Row],[№]],Реестр_Д5[№],Реестр_Д5[Итоговая сумма скидки],"",0),2)</f>
        <v>0</v>
      </c>
      <c r="AC416" s="235" cm="1">
        <f t="array" ref="AC41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16" s="285">
        <f>IFERROR(Таблица10[[#This Row],[ППС]]-Таблица10[[#This Row],[ДДУС]],)</f>
        <v>0</v>
      </c>
      <c r="AE416" s="611"/>
      <c r="AT416" s="611"/>
    </row>
    <row r="417" spans="1:46" x14ac:dyDescent="0.2">
      <c r="A417" s="611"/>
      <c r="B417" s="234">
        <f>VLOOKUP(ППД4!A414,Реестр_Д4[№],1,0)</f>
        <v>413</v>
      </c>
      <c r="C417" s="234" t="str">
        <f>VLOOKUP(ППД4!CO414,Реестр_Д4[Статус],1,0)</f>
        <v>Продажа</v>
      </c>
      <c r="D417" s="612">
        <f>VLOOKUP(ППД4!CE414,Реестр_Д4[Стоимость ОН без отделки со скидкой],1,0)</f>
        <v>5283776.32</v>
      </c>
      <c r="E417" s="612" cm="1">
        <f t="array" ref="E417">IFERROR(INDEX(РД[Стоимость без отделки итог],MATCH($B$3&amp;Таблица4[[#This Row],[№]]&amp;"Продажа",РД[Дом]&amp;РД[№ кв]&amp;РД[Состояние],0),1),Таблица4[[#This Row],[Статус]])</f>
        <v>5283776.3200000012</v>
      </c>
      <c r="F417" s="235">
        <f>IFERROR((Таблица4[[#This Row],[ПП]]-Таблица4[[#This Row],[ДДУ]])*1,"")</f>
        <v>-9.3132257461547852E-10</v>
      </c>
      <c r="G417" s="235" cm="1">
        <f t="array" ref="G417">IFERROR(INDEX(РД[Стоимость с отделкой итог],MATCH($B$3&amp;Таблица4[[#This Row],[№]]&amp;"Продажа",РД[Дом]&amp;РД[№ кв]&amp;РД[Состояние],0),1),Таблица4[[#This Row],[Статус]])</f>
        <v>6397976.3200000003</v>
      </c>
      <c r="H417" s="235">
        <f>_xlfn.XLOOKUP(Таблица4[[#This Row],[№]],Реестр_Д4[№],Реестр_Д4[Стоимость квартиры с отделкой],"-",0)</f>
        <v>6397976.3200000003</v>
      </c>
      <c r="I417" s="235">
        <f>IFERROR(Таблица4[[#This Row],[СО ПП]]-Таблица4[[#This Row],[СО ДДУ]],"")</f>
        <v>0</v>
      </c>
      <c r="J417" s="233" cm="1">
        <f t="array" ref="J417">IFERROR(INDEX(РД[S],MATCH($B$3&amp;Таблица4[[#This Row],[№]]&amp;"Продажа",РД[Дом]&amp;РД[№ кв]&amp;РД[Состояние],0),1),Таблица4[[#This Row],[Статус]])</f>
        <v>74.28</v>
      </c>
      <c r="K417" s="233">
        <f>VLOOKUP(Таблица4[[#This Row],[№]],Реестр_Д4[],20,0)</f>
        <v>74.28</v>
      </c>
      <c r="L417" s="235">
        <f>IFERROR(Таблица4[[#This Row],[S ПП]]-Таблица4[[#This Row],[S ДДУ]],)</f>
        <v>0</v>
      </c>
      <c r="M417" s="235">
        <f>ROUND(_xlfn.XLOOKUP(Таблица4[[#This Row],[№]],Реестр_Д4[№],Реестр_Д4[Итоговая сумма скидки],"",0),2)</f>
        <v>0</v>
      </c>
      <c r="N417" s="235" cm="1">
        <f t="array" ref="N41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17" s="235">
        <f>IFERROR(Таблица4[[#This Row],[ППС]]-Таблица4[[#This Row],[ДДУС]],)</f>
        <v>0</v>
      </c>
      <c r="P417" s="611"/>
      <c r="Q417" s="234">
        <f>VLOOKUP(ППД5!A414,Реестр_Д5[№],1,0)</f>
        <v>413</v>
      </c>
      <c r="R417" s="234" t="str">
        <f>VLOOKUP(ППД5!CH414,Реестр_Д5[Статус],1,0)</f>
        <v>Продажа</v>
      </c>
      <c r="S417" s="612">
        <f>VLOOKUP(ППД5!BZ414,Реестр_Д5[Стоимость ОН без отделки со скидкой],1,0)</f>
        <v>2652748.77</v>
      </c>
      <c r="T417" s="612" cm="1">
        <f t="array" ref="T417">IFERROR(INDEX(РД[Стоимость без отделки итог],MATCH($Q$3&amp;Таблица10[[#This Row],[№]]&amp;"Продажа",РД[Дом]&amp;РД[№ кв]&amp;РД[Состояние],0),1),Таблица10[[#This Row],[Статус]])</f>
        <v>2652748.77</v>
      </c>
      <c r="U417" s="235">
        <f>IFERROR((Таблица10[[#This Row],[ПП]]-Таблица10[[#This Row],[ДДУ]])*1,)</f>
        <v>0</v>
      </c>
      <c r="V417" s="235" cm="1">
        <f t="array" ref="V417">IFERROR(INDEX(РД[Стоимость с отделкой итог],MATCH($Q$3&amp;Таблица10[[#This Row],[№]]&amp;"Продажа",РД[Дом]&amp;РД[№ кв]&amp;РД[Состояние],0),1),Таблица10[[#This Row],[Статус]])</f>
        <v>2785048.77</v>
      </c>
      <c r="W417" s="235">
        <f>_xlfn.XLOOKUP(Таблица10[[#This Row],[№]],Реестр_Д5[№],Реестр_Д5[Стоимость квартиры с отделкой],"-",0)</f>
        <v>2785048.77</v>
      </c>
      <c r="X417" s="235">
        <f>IFERROR(Таблица10[[#This Row],[СО ПП]]-Таблица10[[#This Row],[СО ДДУ]],"")</f>
        <v>0</v>
      </c>
      <c r="Y417" s="233" cm="1">
        <f t="array" ref="Y417">IFERROR(INDEX(РД[S],MATCH($Q$3&amp;Таблица10[[#This Row],[№]]&amp;"Продажа",РД[Дом]&amp;РД[№ кв]&amp;РД[Состояние],0),1),Таблица10[[#This Row],[Статус]])</f>
        <v>29.4</v>
      </c>
      <c r="Z417" s="233">
        <f>IF(Таблица10[[#This Row],[№]]&amp;"ДДУ"=ППД5!A414&amp;ППД5!CR414,ППД5!U414,ППД5!V414)</f>
        <v>29.4</v>
      </c>
      <c r="AA417" s="285">
        <f>IFERROR(Таблица10[[#This Row],[S ПП]]-Таблица10[[#This Row],[S ДДУ]],)</f>
        <v>0</v>
      </c>
      <c r="AB417" s="235">
        <f>ROUND(_xlfn.XLOOKUP(Таблица10[[#This Row],[№]],Реестр_Д5[№],Реестр_Д5[Итоговая сумма скидки],"",0),2)</f>
        <v>0</v>
      </c>
      <c r="AC417" s="235" cm="1">
        <f t="array" ref="AC41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17" s="285">
        <f>IFERROR(Таблица10[[#This Row],[ППС]]-Таблица10[[#This Row],[ДДУС]],)</f>
        <v>0</v>
      </c>
      <c r="AE417" s="611"/>
      <c r="AT417" s="611"/>
    </row>
    <row r="418" spans="1:46" x14ac:dyDescent="0.2">
      <c r="A418" s="611"/>
      <c r="B418" s="234">
        <f>VLOOKUP(ППД4!A415,Реестр_Д4[№],1,0)</f>
        <v>414</v>
      </c>
      <c r="C418" s="234" t="str">
        <f>VLOOKUP(ППД4!CO415,Реестр_Д4[Статус],1,0)</f>
        <v>Продажа</v>
      </c>
      <c r="D418" s="612">
        <f>VLOOKUP(ППД4!CE415,Реестр_Д4[Стоимость ОН без отделки со скидкой],1,0)</f>
        <v>3385001.62</v>
      </c>
      <c r="E418" s="612" cm="1">
        <f t="array" ref="E418">IFERROR(INDEX(РД[Стоимость без отделки итог],MATCH($B$3&amp;Таблица4[[#This Row],[№]]&amp;"Продажа",РД[Дом]&amp;РД[№ кв]&amp;РД[Состояние],0),1),Таблица4[[#This Row],[Статус]])</f>
        <v>3385001.6199999996</v>
      </c>
      <c r="F418" s="235">
        <f>IFERROR((Таблица4[[#This Row],[ПП]]-Таблица4[[#This Row],[ДДУ]])*1,"")</f>
        <v>4.6566128730773926E-10</v>
      </c>
      <c r="G418" s="235" cm="1">
        <f t="array" ref="G418">IFERROR(INDEX(РД[Стоимость с отделкой итог],MATCH($B$3&amp;Таблица4[[#This Row],[№]]&amp;"Продажа",РД[Дом]&amp;РД[№ кв]&amp;РД[Состояние],0),1),Таблица4[[#This Row],[Статус]])</f>
        <v>3531001.62</v>
      </c>
      <c r="H418" s="235">
        <f>_xlfn.XLOOKUP(Таблица4[[#This Row],[№]],Реестр_Д4[№],Реестр_Д4[Стоимость квартиры с отделкой],"-",0)</f>
        <v>3531001.62</v>
      </c>
      <c r="I418" s="235">
        <f>IFERROR(Таблица4[[#This Row],[СО ПП]]-Таблица4[[#This Row],[СО ДДУ]],"")</f>
        <v>0</v>
      </c>
      <c r="J418" s="233" cm="1">
        <f t="array" ref="J418">IFERROR(INDEX(РД[S],MATCH($B$3&amp;Таблица4[[#This Row],[№]]&amp;"Продажа",РД[Дом]&amp;РД[№ кв]&amp;РД[Состояние],0),1),Таблица4[[#This Row],[Статус]])</f>
        <v>36.5</v>
      </c>
      <c r="K418" s="233">
        <f>VLOOKUP(Таблица4[[#This Row],[№]],Реестр_Д4[],20,0)</f>
        <v>36.5</v>
      </c>
      <c r="L418" s="235">
        <f>IFERROR(Таблица4[[#This Row],[S ПП]]-Таблица4[[#This Row],[S ДДУ]],)</f>
        <v>0</v>
      </c>
      <c r="M418" s="235">
        <f>ROUND(_xlfn.XLOOKUP(Таблица4[[#This Row],[№]],Реестр_Д4[№],Реестр_Д4[Итоговая сумма скидки],"",0),2)</f>
        <v>216063.93</v>
      </c>
      <c r="N418" s="235" cm="1">
        <f t="array" ref="N418">IFERROR(ROUND(_xlfn.XLOOKUP($B$3&amp;Таблица4[[#This Row],[№]]&amp;"Продажа",РД[Дом]&amp;РД[№ кв]&amp;РД[Состояние],РД[Сумма скидки],"",0),2),Таблица4[[#This Row],[Статус]])</f>
        <v>216063.93</v>
      </c>
      <c r="O418" s="235">
        <f>IFERROR(Таблица4[[#This Row],[ППС]]-Таблица4[[#This Row],[ДДУС]],)</f>
        <v>0</v>
      </c>
      <c r="P418" s="611"/>
      <c r="Q418" s="234">
        <f>VLOOKUP(ППД5!A415,Реестр_Д5[№],1,0)</f>
        <v>414</v>
      </c>
      <c r="R418" s="234" t="str">
        <f>VLOOKUP(ППД5!CH415,Реестр_Д5[Статус],1,0)</f>
        <v>Продажа</v>
      </c>
      <c r="S418" s="612">
        <f>VLOOKUP(ППД5!BZ415,Реестр_Д5[Стоимость ОН без отделки со скидкой],1,0)</f>
        <v>4058128.51</v>
      </c>
      <c r="T418" s="612" cm="1">
        <f t="array" ref="T418">IFERROR(INDEX(РД[Стоимость без отделки итог],MATCH($Q$3&amp;Таблица10[[#This Row],[№]]&amp;"Продажа",РД[Дом]&amp;РД[№ кв]&amp;РД[Состояние],0),1),Таблица10[[#This Row],[Статус]])</f>
        <v>4058128.51</v>
      </c>
      <c r="U418" s="235">
        <f>IFERROR((Таблица10[[#This Row],[ПП]]-Таблица10[[#This Row],[ДДУ]])*1,)</f>
        <v>0</v>
      </c>
      <c r="V418" s="235" cm="1">
        <f t="array" ref="V418">IFERROR(INDEX(РД[Стоимость с отделкой итог],MATCH($Q$3&amp;Таблица10[[#This Row],[№]]&amp;"Продажа",РД[Дом]&amp;РД[№ кв]&amp;РД[Состояние],0),1),Таблица10[[#This Row],[Статус]])</f>
        <v>4058128.51</v>
      </c>
      <c r="W418" s="235">
        <f>_xlfn.XLOOKUP(Таблица10[[#This Row],[№]],Реестр_Д5[№],Реестр_Д5[Стоимость квартиры с отделкой],"-",0)</f>
        <v>4058128.51</v>
      </c>
      <c r="X418" s="235">
        <f>IFERROR(Таблица10[[#This Row],[СО ПП]]-Таблица10[[#This Row],[СО ДДУ]],"")</f>
        <v>0</v>
      </c>
      <c r="Y418" s="233" cm="1">
        <f t="array" ref="Y418">IFERROR(INDEX(РД[S],MATCH($Q$3&amp;Таблица10[[#This Row],[№]]&amp;"Продажа",РД[Дом]&amp;РД[№ кв]&amp;РД[Состояние],0),1),Таблица10[[#This Row],[Статус]])</f>
        <v>43.21</v>
      </c>
      <c r="Z418" s="233">
        <f>IF(Таблица10[[#This Row],[№]]&amp;"ДДУ"=ППД5!A415&amp;ППД5!CR415,ППД5!U415,ППД5!V415)</f>
        <v>43.21</v>
      </c>
      <c r="AA418" s="285">
        <f>IFERROR(Таблица10[[#This Row],[S ПП]]-Таблица10[[#This Row],[S ДДУ]],)</f>
        <v>0</v>
      </c>
      <c r="AB418" s="235">
        <f>ROUND(_xlfn.XLOOKUP(Таблица10[[#This Row],[№]],Реестр_Д5[№],Реестр_Д5[Итоговая сумма скидки],"",0),2)</f>
        <v>0</v>
      </c>
      <c r="AC418" s="235" cm="1">
        <f t="array" ref="AC41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18" s="285">
        <f>IFERROR(Таблица10[[#This Row],[ППС]]-Таблица10[[#This Row],[ДДУС]],)</f>
        <v>0</v>
      </c>
      <c r="AE418" s="611"/>
      <c r="AT418" s="611"/>
    </row>
    <row r="419" spans="1:46" x14ac:dyDescent="0.2">
      <c r="A419" s="611"/>
      <c r="B419" s="234">
        <f>VLOOKUP(ППД4!A416,Реестр_Д4[№],1,0)</f>
        <v>415</v>
      </c>
      <c r="C419" s="234" t="str">
        <f>VLOOKUP(ППД4!CO416,Реестр_Д4[Статус],1,0)</f>
        <v>Продажа</v>
      </c>
      <c r="D419" s="612">
        <f>VLOOKUP(ППД4!CE416,Реестр_Д4[Стоимость ОН без отделки со скидкой],1,0)</f>
        <v>5083285</v>
      </c>
      <c r="E419" s="612" cm="1">
        <f t="array" ref="E419">IFERROR(INDEX(РД[Стоимость без отделки итог],MATCH($B$3&amp;Таблица4[[#This Row],[№]]&amp;"Продажа",РД[Дом]&amp;РД[№ кв]&amp;РД[Состояние],0),1),Таблица4[[#This Row],[Статус]])</f>
        <v>5083285</v>
      </c>
      <c r="F419" s="235">
        <f>IFERROR((Таблица4[[#This Row],[ПП]]-Таблица4[[#This Row],[ДДУ]])*1,"")</f>
        <v>0</v>
      </c>
      <c r="G419" s="235" cm="1">
        <f t="array" ref="G419">IFERROR(INDEX(РД[Стоимость с отделкой итог],MATCH($B$3&amp;Таблица4[[#This Row],[№]]&amp;"Продажа",РД[Дом]&amp;РД[№ кв]&amp;РД[Состояние],0),1),Таблица4[[#This Row],[Статус]])</f>
        <v>5503585</v>
      </c>
      <c r="H419" s="235">
        <f>_xlfn.XLOOKUP(Таблица4[[#This Row],[№]],Реестр_Д4[№],Реестр_Д4[Стоимость квартиры с отделкой],"-",0)</f>
        <v>5503585</v>
      </c>
      <c r="I419" s="235">
        <f>IFERROR(Таблица4[[#This Row],[СО ПП]]-Таблица4[[#This Row],[СО ДДУ]],"")</f>
        <v>0</v>
      </c>
      <c r="J419" s="233" cm="1">
        <f t="array" ref="J419">IFERROR(INDEX(РД[S],MATCH($B$3&amp;Таблица4[[#This Row],[№]]&amp;"Продажа",РД[Дом]&amp;РД[№ кв]&amp;РД[Состояние],0),1),Таблица4[[#This Row],[Статус]])</f>
        <v>56.04</v>
      </c>
      <c r="K419" s="233">
        <f>VLOOKUP(Таблица4[[#This Row],[№]],Реестр_Д4[],20,0)</f>
        <v>56.04</v>
      </c>
      <c r="L419" s="235">
        <f>IFERROR(Таблица4[[#This Row],[S ПП]]-Таблица4[[#This Row],[S ДДУ]],)</f>
        <v>0</v>
      </c>
      <c r="M419" s="235">
        <f>ROUND(_xlfn.XLOOKUP(Таблица4[[#This Row],[№]],Реестр_Д4[№],Реестр_Д4[Итоговая сумма скидки],"",0),2)</f>
        <v>157215</v>
      </c>
      <c r="N419" s="235" cm="1">
        <f t="array" ref="N419">IFERROR(ROUND(_xlfn.XLOOKUP($B$3&amp;Таблица4[[#This Row],[№]]&amp;"Продажа",РД[Дом]&amp;РД[№ кв]&amp;РД[Состояние],РД[Сумма скидки],"",0),2),Таблица4[[#This Row],[Статус]])</f>
        <v>157215</v>
      </c>
      <c r="O419" s="235">
        <f>IFERROR(Таблица4[[#This Row],[ППС]]-Таблица4[[#This Row],[ДДУС]],)</f>
        <v>0</v>
      </c>
      <c r="P419" s="611"/>
      <c r="Q419" s="234">
        <f>VLOOKUP(ППД5!A416,Реестр_Д5[№],1,0)</f>
        <v>415</v>
      </c>
      <c r="R419" s="234" t="str">
        <f>VLOOKUP(ППД5!CH416,Реестр_Д5[Статус],1,0)</f>
        <v>Продажа</v>
      </c>
      <c r="S419" s="612">
        <f>VLOOKUP(ППД5!BZ416,Реестр_Д5[Стоимость ОН без отделки со скидкой],1,0)</f>
        <v>2842973</v>
      </c>
      <c r="T419" s="612" cm="1">
        <f t="array" ref="T419">IFERROR(INDEX(РД[Стоимость без отделки итог],MATCH($Q$3&amp;Таблица10[[#This Row],[№]]&amp;"Продажа",РД[Дом]&amp;РД[№ кв]&amp;РД[Состояние],0),1),Таблица10[[#This Row],[Статус]])</f>
        <v>2842973</v>
      </c>
      <c r="U419" s="235">
        <f>IFERROR((Таблица10[[#This Row],[ПП]]-Таблица10[[#This Row],[ДДУ]])*1,)</f>
        <v>0</v>
      </c>
      <c r="V419" s="235" cm="1">
        <f t="array" ref="V419">IFERROR(INDEX(РД[Стоимость с отделкой итог],MATCH($Q$3&amp;Таблица10[[#This Row],[№]]&amp;"Продажа",РД[Дом]&amp;РД[№ кв]&amp;РД[Состояние],0),1),Таблица10[[#This Row],[Статус]])</f>
        <v>3014473</v>
      </c>
      <c r="W419" s="235">
        <f>_xlfn.XLOOKUP(Таблица10[[#This Row],[№]],Реестр_Д5[№],Реестр_Д5[Стоимость квартиры с отделкой],"-",0)</f>
        <v>3014473</v>
      </c>
      <c r="X419" s="235">
        <f>IFERROR(Таблица10[[#This Row],[СО ПП]]-Таблица10[[#This Row],[СО ДДУ]],"")</f>
        <v>0</v>
      </c>
      <c r="Y419" s="233" cm="1">
        <f t="array" ref="Y419">IFERROR(INDEX(РД[S],MATCH($Q$3&amp;Таблица10[[#This Row],[№]]&amp;"Продажа",РД[Дом]&amp;РД[№ кв]&amp;РД[Состояние],0),1),Таблица10[[#This Row],[Статус]])</f>
        <v>24.5</v>
      </c>
      <c r="Z419" s="233">
        <f>IF(Таблица10[[#This Row],[№]]&amp;"ДДУ"=ППД5!A416&amp;ППД5!CR416,ППД5!U416,ППД5!V416)</f>
        <v>24.5</v>
      </c>
      <c r="AA419" s="285">
        <f>IFERROR(Таблица10[[#This Row],[S ПП]]-Таблица10[[#This Row],[S ДДУ]],)</f>
        <v>0</v>
      </c>
      <c r="AB419" s="235">
        <f>ROUND(_xlfn.XLOOKUP(Таблица10[[#This Row],[№]],Реестр_Д5[№],Реестр_Д5[Итоговая сумма скидки],"",0),2)</f>
        <v>87927</v>
      </c>
      <c r="AC419" s="235" cm="1">
        <f t="array" ref="AC419">IFERROR(ROUND(_xlfn.XLOOKUP($Q$3&amp;Таблица10[[#This Row],[№]]&amp;"Продажа",РД[Дом]&amp;РД[№ кв]&amp;РД[Состояние],РД[Сумма скидки],"",0,-1),2),Таблица10[[#This Row],[Статус]])</f>
        <v>87927</v>
      </c>
      <c r="AD419" s="285">
        <f>IFERROR(Таблица10[[#This Row],[ППС]]-Таблица10[[#This Row],[ДДУС]],)</f>
        <v>0</v>
      </c>
      <c r="AE419" s="611"/>
      <c r="AT419" s="611"/>
    </row>
    <row r="420" spans="1:46" x14ac:dyDescent="0.2">
      <c r="A420" s="611"/>
      <c r="B420" s="234">
        <f>VLOOKUP(ППД4!A417,Реестр_Д4[№],1,0)</f>
        <v>416</v>
      </c>
      <c r="C420" s="234" t="str">
        <f>VLOOKUP(ППД4!CO417,Реестр_Д4[Статус],1,0)</f>
        <v>Продажа</v>
      </c>
      <c r="D420" s="612">
        <f>VLOOKUP(ППД4!CE417,Реестр_Д4[Стоимость ОН без отделки со скидкой],1,0)</f>
        <v>4661994.67</v>
      </c>
      <c r="E420" s="612" cm="1">
        <f t="array" ref="E420">IFERROR(INDEX(РД[Стоимость без отделки итог],MATCH($B$3&amp;Таблица4[[#This Row],[№]]&amp;"Продажа",РД[Дом]&amp;РД[№ кв]&amp;РД[Состояние],0),1),Таблица4[[#This Row],[Статус]])</f>
        <v>4661994.67</v>
      </c>
      <c r="F420" s="235">
        <f>IFERROR((Таблица4[[#This Row],[ПП]]-Таблица4[[#This Row],[ДДУ]])*1,"")</f>
        <v>0</v>
      </c>
      <c r="G420" s="235" cm="1">
        <f t="array" ref="G420">IFERROR(INDEX(РД[Стоимость с отделкой итог],MATCH($B$3&amp;Таблица4[[#This Row],[№]]&amp;"Продажа",РД[Дом]&amp;РД[№ кв]&amp;РД[Состояние],0),1),Таблица4[[#This Row],[Статус]])</f>
        <v>4896474.67</v>
      </c>
      <c r="H420" s="235">
        <f>_xlfn.XLOOKUP(Таблица4[[#This Row],[№]],Реестр_Д4[№],Реестр_Д4[Стоимость квартиры с отделкой],"-",0)</f>
        <v>4896474.67</v>
      </c>
      <c r="I420" s="235">
        <f>IFERROR(Таблица4[[#This Row],[СО ПП]]-Таблица4[[#This Row],[СО ДДУ]],"")</f>
        <v>0</v>
      </c>
      <c r="J420" s="233" cm="1">
        <f t="array" ref="J420">IFERROR(INDEX(РД[S],MATCH($B$3&amp;Таблица4[[#This Row],[№]]&amp;"Продажа",РД[Дом]&amp;РД[№ кв]&amp;РД[Состояние],0),1),Таблица4[[#This Row],[Статус]])</f>
        <v>58.62</v>
      </c>
      <c r="K420" s="233">
        <f>VLOOKUP(Таблица4[[#This Row],[№]],Реестр_Д4[],20,0)</f>
        <v>58.62</v>
      </c>
      <c r="L420" s="235">
        <f>IFERROR(Таблица4[[#This Row],[S ПП]]-Таблица4[[#This Row],[S ДДУ]],)</f>
        <v>0</v>
      </c>
      <c r="M420" s="235">
        <f>ROUND(_xlfn.XLOOKUP(Таблица4[[#This Row],[№]],Реестр_Д4[№],Реестр_Д4[Итоговая сумма скидки],"",0),2)</f>
        <v>0</v>
      </c>
      <c r="N420" s="235" cm="1">
        <f t="array" ref="N42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0" s="235">
        <f>IFERROR(Таблица4[[#This Row],[ППС]]-Таблица4[[#This Row],[ДДУС]],)</f>
        <v>0</v>
      </c>
      <c r="P420" s="611"/>
      <c r="Q420" s="234">
        <f>VLOOKUP(ППД5!A417,Реестр_Д5[№],1,0)</f>
        <v>416</v>
      </c>
      <c r="R420" s="234" t="str">
        <f>VLOOKUP(ППД5!CH417,Реестр_Д5[Статус],1,0)</f>
        <v>Продажа</v>
      </c>
      <c r="S420" s="612">
        <f>VLOOKUP(ППД5!BZ417,Реестр_Д5[Стоимость ОН без отделки со скидкой],1,0)</f>
        <v>5381700</v>
      </c>
      <c r="T420" s="612" cm="1">
        <f t="array" ref="T420">IFERROR(INDEX(РД[Стоимость без отделки итог],MATCH($Q$3&amp;Таблица10[[#This Row],[№]]&amp;"Продажа",РД[Дом]&amp;РД[№ кв]&amp;РД[Состояние],0),1),Таблица10[[#This Row],[Статус]])</f>
        <v>5381700</v>
      </c>
      <c r="U420" s="235">
        <f>IFERROR((Таблица10[[#This Row],[ПП]]-Таблица10[[#This Row],[ДДУ]])*1,)</f>
        <v>0</v>
      </c>
      <c r="V420" s="235" cm="1">
        <f t="array" ref="V420">IFERROR(INDEX(РД[Стоимость с отделкой итог],MATCH($Q$3&amp;Таблица10[[#This Row],[№]]&amp;"Продажа",РД[Дом]&amp;РД[№ кв]&amp;РД[Состояние],0),1),Таблица10[[#This Row],[Статус]])</f>
        <v>6546500</v>
      </c>
      <c r="W420" s="235">
        <f>_xlfn.XLOOKUP(Таблица10[[#This Row],[№]],Реестр_Д5[№],Реестр_Д5[Стоимость квартиры с отделкой],"-",0)</f>
        <v>6546500</v>
      </c>
      <c r="X420" s="235">
        <f>IFERROR(Таблица10[[#This Row],[СО ПП]]-Таблица10[[#This Row],[СО ДДУ]],"")</f>
        <v>0</v>
      </c>
      <c r="Y420" s="233" cm="1">
        <f t="array" ref="Y420">IFERROR(INDEX(РД[S],MATCH($Q$3&amp;Таблица10[[#This Row],[№]]&amp;"Продажа",РД[Дом]&amp;РД[№ кв]&amp;РД[Состояние],0),1),Таблица10[[#This Row],[Статус]])</f>
        <v>58.24</v>
      </c>
      <c r="Z420" s="233">
        <f>IF(Таблица10[[#This Row],[№]]&amp;"ДДУ"=ППД5!A417&amp;ППД5!CR417,ППД5!U417,ППД5!V417)</f>
        <v>58.24</v>
      </c>
      <c r="AA420" s="285">
        <f>IFERROR(Таблица10[[#This Row],[S ПП]]-Таблица10[[#This Row],[S ДДУ]],)</f>
        <v>0</v>
      </c>
      <c r="AB420" s="235">
        <f>ROUND(_xlfn.XLOOKUP(Таблица10[[#This Row],[№]],Реестр_Д5[№],Реестр_Д5[Итоговая сумма скидки],"",0),2)</f>
        <v>90000</v>
      </c>
      <c r="AC420" s="235" cm="1">
        <f t="array" ref="AC420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20" s="285">
        <f>IFERROR(Таблица10[[#This Row],[ППС]]-Таблица10[[#This Row],[ДДУС]],)</f>
        <v>0</v>
      </c>
      <c r="AE420" s="611"/>
      <c r="AT420" s="611"/>
    </row>
    <row r="421" spans="1:46" x14ac:dyDescent="0.2">
      <c r="A421" s="611"/>
      <c r="B421" s="234">
        <f>VLOOKUP(ППД4!A418,Реестр_Д4[№],1,0)</f>
        <v>417</v>
      </c>
      <c r="C421" s="234" t="str">
        <f>VLOOKUP(ППД4!CO418,Реестр_Д4[Статус],1,0)</f>
        <v>Продажа</v>
      </c>
      <c r="D421" s="612">
        <f>VLOOKUP(ППД4!CE418,Реестр_Д4[Стоимость ОН без отделки со скидкой],1,0)</f>
        <v>5432296.0099999998</v>
      </c>
      <c r="E421" s="612" cm="1">
        <f t="array" ref="E421">IFERROR(INDEX(РД[Стоимость без отделки итог],MATCH($B$3&amp;Таблица4[[#This Row],[№]]&amp;"Продажа",РД[Дом]&amp;РД[№ кв]&amp;РД[Состояние],0),1),Таблица4[[#This Row],[Статус]])</f>
        <v>5432296.0099999998</v>
      </c>
      <c r="F421" s="235">
        <f>IFERROR((Таблица4[[#This Row],[ПП]]-Таблица4[[#This Row],[ДДУ]])*1,"")</f>
        <v>0</v>
      </c>
      <c r="G421" s="235" cm="1">
        <f t="array" ref="G421">IFERROR(INDEX(РД[Стоимость с отделкой итог],MATCH($B$3&amp;Таблица4[[#This Row],[№]]&amp;"Продажа",РД[Дом]&amp;РД[№ кв]&amp;РД[Состояние],0),1),Таблица4[[#This Row],[Статус]])</f>
        <v>5938471.0099999998</v>
      </c>
      <c r="H421" s="235">
        <f>_xlfn.XLOOKUP(Таблица4[[#This Row],[№]],Реестр_Д4[№],Реестр_Д4[Стоимость квартиры с отделкой],"-",0)</f>
        <v>5938471.0099999998</v>
      </c>
      <c r="I421" s="235">
        <f>IFERROR(Таблица4[[#This Row],[СО ПП]]-Таблица4[[#This Row],[СО ДДУ]],"")</f>
        <v>0</v>
      </c>
      <c r="J421" s="233" cm="1">
        <f t="array" ref="J421">IFERROR(INDEX(РД[S],MATCH($B$3&amp;Таблица4[[#This Row],[№]]&amp;"Продажа",РД[Дом]&amp;РД[№ кв]&amp;РД[Состояние],0),1),Таблица4[[#This Row],[Статус]])</f>
        <v>67.489999999999995</v>
      </c>
      <c r="K421" s="233">
        <f>VLOOKUP(Таблица4[[#This Row],[№]],Реестр_Д4[],20,0)</f>
        <v>67.489999999999995</v>
      </c>
      <c r="L421" s="235">
        <f>IFERROR(Таблица4[[#This Row],[S ПП]]-Таблица4[[#This Row],[S ДДУ]],)</f>
        <v>0</v>
      </c>
      <c r="M421" s="235">
        <f>ROUND(_xlfn.XLOOKUP(Таблица4[[#This Row],[№]],Реестр_Д4[№],Реестр_Д4[Итоговая сумма скидки],"",0),2)</f>
        <v>603588.44999999995</v>
      </c>
      <c r="N421" s="235" cm="1">
        <f t="array" ref="N421">IFERROR(ROUND(_xlfn.XLOOKUP($B$3&amp;Таблица4[[#This Row],[№]]&amp;"Продажа",РД[Дом]&amp;РД[№ кв]&amp;РД[Состояние],РД[Сумма скидки],"",0),2),Таблица4[[#This Row],[Статус]])</f>
        <v>603588.44999999995</v>
      </c>
      <c r="O421" s="235">
        <f>IFERROR(Таблица4[[#This Row],[ППС]]-Таблица4[[#This Row],[ДДУС]],)</f>
        <v>0</v>
      </c>
      <c r="P421" s="611"/>
      <c r="Q421" s="234">
        <f>VLOOKUP(ППД5!A418,Реестр_Д5[№],1,0)</f>
        <v>417</v>
      </c>
      <c r="R421" s="234" t="str">
        <f>VLOOKUP(ППД5!CH418,Реестр_Д5[Статус],1,0)</f>
        <v>Продажа</v>
      </c>
      <c r="S421" s="612">
        <f>VLOOKUP(ППД5!BZ418,Реестр_Д5[Стоимость ОН без отделки со скидкой],1,0)</f>
        <v>4619478.3099999996</v>
      </c>
      <c r="T421" s="612" cm="1">
        <f t="array" ref="T421">IFERROR(INDEX(РД[Стоимость без отделки итог],MATCH($Q$3&amp;Таблица10[[#This Row],[№]]&amp;"Продажа",РД[Дом]&amp;РД[№ кв]&amp;РД[Состояние],0),1),Таблица10[[#This Row],[Статус]])</f>
        <v>4619478.3099999996</v>
      </c>
      <c r="U421" s="235">
        <f>IFERROR((Таблица10[[#This Row],[ПП]]-Таблица10[[#This Row],[ДДУ]])*1,)</f>
        <v>0</v>
      </c>
      <c r="V421" s="235" cm="1">
        <f t="array" ref="V421">IFERROR(INDEX(РД[Стоимость с отделкой итог],MATCH($Q$3&amp;Таблица10[[#This Row],[№]]&amp;"Продажа",РД[Дом]&amp;РД[№ кв]&amp;РД[Состояние],0),1),Таблица10[[#This Row],[Статус]])</f>
        <v>4619478.3099999996</v>
      </c>
      <c r="W421" s="235">
        <f>_xlfn.XLOOKUP(Таблица10[[#This Row],[№]],Реестр_Д5[№],Реестр_Д5[Стоимость квартиры с отделкой],"-",0)</f>
        <v>4619478.3099999996</v>
      </c>
      <c r="X421" s="235">
        <f>IFERROR(Таблица10[[#This Row],[СО ПП]]-Таблица10[[#This Row],[СО ДДУ]],"")</f>
        <v>0</v>
      </c>
      <c r="Y421" s="233" cm="1">
        <f t="array" ref="Y421">IFERROR(INDEX(РД[S],MATCH($Q$3&amp;Таблица10[[#This Row],[№]]&amp;"Продажа",РД[Дом]&amp;РД[№ кв]&amp;РД[Состояние],0),1),Таблица10[[#This Row],[Статус]])</f>
        <v>57.8</v>
      </c>
      <c r="Z421" s="233">
        <f>IF(Таблица10[[#This Row],[№]]&amp;"ДДУ"=ППД5!A418&amp;ППД5!CR418,ППД5!U418,ППД5!V418)</f>
        <v>57.8</v>
      </c>
      <c r="AA421" s="285">
        <f>IFERROR(Таблица10[[#This Row],[S ПП]]-Таблица10[[#This Row],[S ДДУ]],)</f>
        <v>0</v>
      </c>
      <c r="AB421" s="235">
        <f>ROUND(_xlfn.XLOOKUP(Таблица10[[#This Row],[№]],Реестр_Д5[№],Реестр_Д5[Итоговая сумма скидки],"",0),2)</f>
        <v>0</v>
      </c>
      <c r="AC421" s="235" cm="1">
        <f t="array" ref="AC42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21" s="285">
        <f>IFERROR(Таблица10[[#This Row],[ППС]]-Таблица10[[#This Row],[ДДУС]],)</f>
        <v>0</v>
      </c>
      <c r="AE421" s="611"/>
      <c r="AT421" s="611"/>
    </row>
    <row r="422" spans="1:46" x14ac:dyDescent="0.2">
      <c r="A422" s="611"/>
      <c r="B422" s="234">
        <f>VLOOKUP(ППД4!A419,Реестр_Д4[№],1,0)</f>
        <v>418</v>
      </c>
      <c r="C422" s="234" t="str">
        <f>VLOOKUP(ППД4!CO419,Реестр_Д4[Статус],1,0)</f>
        <v>Продажа</v>
      </c>
      <c r="D422" s="612">
        <f>VLOOKUP(ППД4!CE419,Реестр_Д4[Стоимость ОН без отделки со скидкой],1,0)</f>
        <v>4814223.5599999996</v>
      </c>
      <c r="E422" s="612" cm="1">
        <f t="array" ref="E422">IFERROR(INDEX(РД[Стоимость без отделки итог],MATCH($B$3&amp;Таблица4[[#This Row],[№]]&amp;"Продажа",РД[Дом]&amp;РД[№ кв]&amp;РД[Состояние],0),1),Таблица4[[#This Row],[Статус]])</f>
        <v>4814223.5599999996</v>
      </c>
      <c r="F422" s="235">
        <f>IFERROR((Таблица4[[#This Row],[ПП]]-Таблица4[[#This Row],[ДДУ]])*1,"")</f>
        <v>0</v>
      </c>
      <c r="G422" s="235" cm="1">
        <f t="array" ref="G422">IFERROR(INDEX(РД[Стоимость с отделкой итог],MATCH($B$3&amp;Таблица4[[#This Row],[№]]&amp;"Продажа",РД[Дом]&amp;РД[№ кв]&amp;РД[Состояние],0),1),Таблица4[[#This Row],[Статус]])</f>
        <v>5069183.5599999996</v>
      </c>
      <c r="H422" s="235">
        <f>_xlfn.XLOOKUP(Таблица4[[#This Row],[№]],Реестр_Д4[№],Реестр_Д4[Стоимость квартиры с отделкой],"-",0)</f>
        <v>5069183.5599999996</v>
      </c>
      <c r="I422" s="235">
        <f>IFERROR(Таблица4[[#This Row],[СО ПП]]-Таблица4[[#This Row],[СО ДДУ]],"")</f>
        <v>0</v>
      </c>
      <c r="J422" s="233" cm="1">
        <f t="array" ref="J422">IFERROR(INDEX(РД[S],MATCH($B$3&amp;Таблица4[[#This Row],[№]]&amp;"Продажа",РД[Дом]&amp;РД[№ кв]&amp;РД[Состояние],0),1),Таблица4[[#This Row],[Статус]])</f>
        <v>63.74</v>
      </c>
      <c r="K422" s="233">
        <f>VLOOKUP(Таблица4[[#This Row],[№]],Реестр_Д4[],20,0)</f>
        <v>63.74</v>
      </c>
      <c r="L422" s="235">
        <f>IFERROR(Таблица4[[#This Row],[S ПП]]-Таблица4[[#This Row],[S ДДУ]],)</f>
        <v>0</v>
      </c>
      <c r="M422" s="235">
        <f>ROUND(_xlfn.XLOOKUP(Таблица4[[#This Row],[№]],Реестр_Д4[№],Реестр_Д4[Итоговая сумма скидки],"",0),2)</f>
        <v>254960</v>
      </c>
      <c r="N422" s="235" cm="1">
        <f t="array" ref="N422">IFERROR(ROUND(_xlfn.XLOOKUP($B$3&amp;Таблица4[[#This Row],[№]]&amp;"Продажа",РД[Дом]&amp;РД[№ кв]&amp;РД[Состояние],РД[Сумма скидки],"",0),2),Таблица4[[#This Row],[Статус]])</f>
        <v>254960</v>
      </c>
      <c r="O422" s="235">
        <f>IFERROR(Таблица4[[#This Row],[ППС]]-Таблица4[[#This Row],[ДДУС]],)</f>
        <v>0</v>
      </c>
      <c r="P422" s="611"/>
      <c r="Q422" s="234">
        <f>VLOOKUP(ППД5!A419,Реестр_Д5[№],1,0)</f>
        <v>418</v>
      </c>
      <c r="R422" s="234" t="str">
        <f>VLOOKUP(ППД5!CH419,Реестр_Д5[Статус],1,0)</f>
        <v>Продажа</v>
      </c>
      <c r="S422" s="612">
        <f>VLOOKUP(ППД5!BZ419,Реестр_Д5[Стоимость ОН без отделки со скидкой],1,0)</f>
        <v>3662178.98</v>
      </c>
      <c r="T422" s="612" cm="1">
        <f t="array" ref="T422">IFERROR(INDEX(РД[Стоимость без отделки итог],MATCH($Q$3&amp;Таблица10[[#This Row],[№]]&amp;"Продажа",РД[Дом]&amp;РД[№ кв]&amp;РД[Состояние],0),1),Таблица10[[#This Row],[Статус]])</f>
        <v>3662178.98</v>
      </c>
      <c r="U422" s="235">
        <f>IFERROR((Таблица10[[#This Row],[ПП]]-Таблица10[[#This Row],[ДДУ]])*1,)</f>
        <v>0</v>
      </c>
      <c r="V422" s="235" cm="1">
        <f t="array" ref="V422">IFERROR(INDEX(РД[Стоимость с отделкой итог],MATCH($Q$3&amp;Таблица10[[#This Row],[№]]&amp;"Продажа",РД[Дом]&amp;РД[№ кв]&amp;РД[Состояние],0),1),Таблица10[[#This Row],[Статус]])</f>
        <v>3662178.98</v>
      </c>
      <c r="W422" s="235">
        <f>_xlfn.XLOOKUP(Таблица10[[#This Row],[№]],Реестр_Д5[№],Реестр_Д5[Стоимость квартиры с отделкой],"-",0)</f>
        <v>3662178.98</v>
      </c>
      <c r="X422" s="235">
        <f>IFERROR(Таблица10[[#This Row],[СО ПП]]-Таблица10[[#This Row],[СО ДДУ]],"")</f>
        <v>0</v>
      </c>
      <c r="Y422" s="233" cm="1">
        <f t="array" ref="Y422">IFERROR(INDEX(РД[S],MATCH($Q$3&amp;Таблица10[[#This Row],[№]]&amp;"Продажа",РД[Дом]&amp;РД[№ кв]&amp;РД[Состояние],0),1),Таблица10[[#This Row],[Статус]])</f>
        <v>38.299999999999997</v>
      </c>
      <c r="Z422" s="233">
        <f>IF(Таблица10[[#This Row],[№]]&amp;"ДДУ"=ППД5!A419&amp;ППД5!CR419,ППД5!U419,ППД5!V419)</f>
        <v>38.299999999999997</v>
      </c>
      <c r="AA422" s="285">
        <f>IFERROR(Таблица10[[#This Row],[S ПП]]-Таблица10[[#This Row],[S ДДУ]],)</f>
        <v>0</v>
      </c>
      <c r="AB422" s="235">
        <f>ROUND(_xlfn.XLOOKUP(Таблица10[[#This Row],[№]],Реестр_Д5[№],Реестр_Д5[Итоговая сумма скидки],"",0),2)</f>
        <v>0</v>
      </c>
      <c r="AC422" s="235" cm="1">
        <f t="array" ref="AC42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22" s="285">
        <f>IFERROR(Таблица10[[#This Row],[ППС]]-Таблица10[[#This Row],[ДДУС]],)</f>
        <v>0</v>
      </c>
      <c r="AE422" s="611"/>
      <c r="AT422" s="611"/>
    </row>
    <row r="423" spans="1:46" x14ac:dyDescent="0.2">
      <c r="A423" s="611"/>
      <c r="B423" s="465">
        <f>VLOOKUP(ППД4!A420,Реестр_Д4[№],1,0)</f>
        <v>419</v>
      </c>
      <c r="C423" s="234" t="str">
        <f>VLOOKUP(ППД4!CO420,Реестр_Д4[Статус],1,0)</f>
        <v>Продажа</v>
      </c>
      <c r="D423" s="612">
        <f>VLOOKUP(ППД4!CE420,Реестр_Д4[Стоимость ОН без отделки со скидкой],1,0)</f>
        <v>4170000</v>
      </c>
      <c r="E423" s="612" cm="1">
        <f t="array" ref="E423">IFERROR(INDEX(РД[Стоимость без отделки итог],MATCH($B$3&amp;Таблица4[[#This Row],[№]]&amp;"Продажа",РД[Дом]&amp;РД[№ кв]&amp;РД[Состояние],0),1),Таблица4[[#This Row],[Статус]])</f>
        <v>4169999.9999999995</v>
      </c>
      <c r="F423" s="235">
        <f>IFERROR((Таблица4[[#This Row],[ПП]]-Таблица4[[#This Row],[ДДУ]])*1,"")</f>
        <v>4.6566128730773926E-10</v>
      </c>
      <c r="G423" s="235" cm="1">
        <f t="array" ref="G423">IFERROR(INDEX(РД[Стоимость с отделкой итог],MATCH($B$3&amp;Таблица4[[#This Row],[№]]&amp;"Продажа",РД[Дом]&amp;РД[№ кв]&amp;РД[Состояние],0),1),Таблица4[[#This Row],[Статус]])</f>
        <v>4502775</v>
      </c>
      <c r="H423" s="235">
        <f>_xlfn.XLOOKUP(Таблица4[[#This Row],[№]],Реестр_Д4[№],Реестр_Д4[Стоимость квартиры с отделкой],"-",0)</f>
        <v>4502775</v>
      </c>
      <c r="I423" s="235">
        <f>IFERROR(Таблица4[[#This Row],[СО ПП]]-Таблица4[[#This Row],[СО ДДУ]],"")</f>
        <v>0</v>
      </c>
      <c r="J423" s="233" cm="1">
        <f t="array" ref="J423">IFERROR(INDEX(РД[S],MATCH($B$3&amp;Таблица4[[#This Row],[№]]&amp;"Продажа",РД[Дом]&amp;РД[№ кв]&amp;РД[Состояние],0),1),Таблица4[[#This Row],[Статус]])</f>
        <v>44.37</v>
      </c>
      <c r="K423" s="233">
        <f>VLOOKUP(Таблица4[[#This Row],[№]],Реестр_Д4[],20,0)</f>
        <v>44.37</v>
      </c>
      <c r="L423" s="235">
        <f>IFERROR(Таблица4[[#This Row],[S ПП]]-Таблица4[[#This Row],[S ДДУ]],)</f>
        <v>0</v>
      </c>
      <c r="M423" s="235">
        <f>ROUND(_xlfn.XLOOKUP(Таблица4[[#This Row],[№]],Реестр_Д4[№],Реестр_Д4[Итоговая сумма скидки],"",0),2)</f>
        <v>120000</v>
      </c>
      <c r="N423" s="235" cm="1">
        <f t="array" ref="N423">IFERROR(ROUND(_xlfn.XLOOKUP($B$3&amp;Таблица4[[#This Row],[№]]&amp;"Продажа",РД[Дом]&amp;РД[№ кв]&amp;РД[Состояние],РД[Сумма скидки],"",0),2),Таблица4[[#This Row],[Статус]])</f>
        <v>120000</v>
      </c>
      <c r="O423" s="235">
        <f>IFERROR(Таблица4[[#This Row],[ППС]]-Таблица4[[#This Row],[ДДУС]],)</f>
        <v>0</v>
      </c>
      <c r="P423" s="611"/>
      <c r="Q423" s="234">
        <f>VLOOKUP(ППД5!A420,Реестр_Д5[№],1,0)</f>
        <v>419</v>
      </c>
      <c r="R423" s="234" t="str">
        <f>VLOOKUP(ППД5!CH420,Реестр_Д5[Статус],1,0)</f>
        <v>Продажа</v>
      </c>
      <c r="S423" s="612">
        <f>VLOOKUP(ППД5!BZ420,Реестр_Д5[Стоимость ОН без отделки со скидкой],1,0)</f>
        <v>7217600</v>
      </c>
      <c r="T423" s="612" cm="1">
        <f t="array" ref="T423">IFERROR(INDEX(РД[Стоимость без отделки итог],MATCH($Q$3&amp;Таблица10[[#This Row],[№]]&amp;"Продажа",РД[Дом]&amp;РД[№ кв]&amp;РД[Состояние],0),1),Таблица10[[#This Row],[Статус]])</f>
        <v>7217600</v>
      </c>
      <c r="U423" s="235">
        <f>IFERROR((Таблица10[[#This Row],[ПП]]-Таблица10[[#This Row],[ДДУ]])*1,)</f>
        <v>0</v>
      </c>
      <c r="V423" s="235" cm="1">
        <f t="array" ref="V423">IFERROR(INDEX(РД[Стоимость с отделкой итог],MATCH($Q$3&amp;Таблица10[[#This Row],[№]]&amp;"Продажа",РД[Дом]&amp;РД[№ кв]&amp;РД[Состояние],0),1),Таблица10[[#This Row],[Статус]])</f>
        <v>7773680</v>
      </c>
      <c r="W423" s="235">
        <f>_xlfn.XLOOKUP(Таблица10[[#This Row],[№]],Реестр_Д5[№],Реестр_Д5[Стоимость квартиры с отделкой],"-",0)</f>
        <v>7773680</v>
      </c>
      <c r="X423" s="235">
        <f>IFERROR(Таблица10[[#This Row],[СО ПП]]-Таблица10[[#This Row],[СО ДДУ]],"")</f>
        <v>0</v>
      </c>
      <c r="Y423" s="233" cm="1">
        <f t="array" ref="Y423">IFERROR(INDEX(РД[S],MATCH($Q$3&amp;Таблица10[[#This Row],[№]]&amp;"Продажа",РД[Дом]&amp;РД[№ кв]&amp;РД[Состояние],0),1),Таблица10[[#This Row],[Статус]])</f>
        <v>79.44</v>
      </c>
      <c r="Z423" s="233">
        <f>IF(Таблица10[[#This Row],[№]]&amp;"ДДУ"=ППД5!A420&amp;ППД5!CR420,ППД5!U420,ППД5!V420)</f>
        <v>79.44</v>
      </c>
      <c r="AA423" s="285">
        <f>IFERROR(Таблица10[[#This Row],[S ПП]]-Таблица10[[#This Row],[S ДДУ]],)</f>
        <v>0</v>
      </c>
      <c r="AB423" s="235">
        <f>ROUND(_xlfn.XLOOKUP(Таблица10[[#This Row],[№]],Реестр_Д5[№],Реестр_Д5[Итоговая сумма скидки],"",0),2)</f>
        <v>90000</v>
      </c>
      <c r="AC423" s="235" cm="1">
        <f t="array" ref="AC423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23" s="285">
        <f>IFERROR(Таблица10[[#This Row],[ППС]]-Таблица10[[#This Row],[ДДУС]],)</f>
        <v>0</v>
      </c>
      <c r="AE423" s="611"/>
      <c r="AT423" s="611"/>
    </row>
    <row r="424" spans="1:46" x14ac:dyDescent="0.2">
      <c r="A424" s="611"/>
      <c r="B424" s="234">
        <f>VLOOKUP(ППД4!A421,Реестр_Д4[№],1,0)</f>
        <v>420</v>
      </c>
      <c r="C424" s="234" t="str">
        <f>VLOOKUP(ППД4!CO421,Реестр_Д4[Статус],1,0)</f>
        <v>Продажа</v>
      </c>
      <c r="D424" s="612">
        <f>VLOOKUP(ППД4!CE421,Реестр_Д4[Стоимость ОН без отделки со скидкой],1,0)</f>
        <v>3734020.87</v>
      </c>
      <c r="E424" s="612" cm="1">
        <f t="array" ref="E424">IFERROR(INDEX(РД[Стоимость без отделки итог],MATCH($B$3&amp;Таблица4[[#This Row],[№]]&amp;"Продажа",РД[Дом]&amp;РД[№ кв]&amp;РД[Состояние],0),1),Таблица4[[#This Row],[Статус]])</f>
        <v>3734020.87</v>
      </c>
      <c r="F424" s="235">
        <f>IFERROR((Таблица4[[#This Row],[ПП]]-Таблица4[[#This Row],[ДДУ]])*1,"")</f>
        <v>0</v>
      </c>
      <c r="G424" s="235" cm="1">
        <f t="array" ref="G424">IFERROR(INDEX(РД[Стоимость с отделкой итог],MATCH($B$3&amp;Таблица4[[#This Row],[№]]&amp;"Продажа",РД[Дом]&amp;РД[№ кв]&amp;РД[Состояние],0),1),Таблица4[[#This Row],[Статус]])</f>
        <v>4349990.87</v>
      </c>
      <c r="H424" s="235">
        <f>_xlfn.XLOOKUP(Таблица4[[#This Row],[№]],Реестр_Д4[№],Реестр_Д4[Стоимость квартиры с отделкой],"-",0)</f>
        <v>4349990.87</v>
      </c>
      <c r="I424" s="235">
        <f>IFERROR(Таблица4[[#This Row],[СО ПП]]-Таблица4[[#This Row],[СО ДДУ]],"")</f>
        <v>0</v>
      </c>
      <c r="J424" s="233" cm="1">
        <f t="array" ref="J424">IFERROR(INDEX(РД[S],MATCH($B$3&amp;Таблица4[[#This Row],[№]]&amp;"Продажа",РД[Дом]&amp;РД[№ кв]&amp;РД[Состояние],0),1),Таблица4[[#This Row],[Статус]])</f>
        <v>39.74</v>
      </c>
      <c r="K424" s="233">
        <f>VLOOKUP(Таблица4[[#This Row],[№]],Реестр_Д4[],20,0)</f>
        <v>39.74</v>
      </c>
      <c r="L424" s="235">
        <f>IFERROR(Таблица4[[#This Row],[S ПП]]-Таблица4[[#This Row],[S ДДУ]],)</f>
        <v>0</v>
      </c>
      <c r="M424" s="235">
        <f>ROUND(_xlfn.XLOOKUP(Таблица4[[#This Row],[№]],Реестр_Д4[№],Реестр_Д4[Итоговая сумма скидки],"",0),2)</f>
        <v>0</v>
      </c>
      <c r="N424" s="235" cm="1">
        <f t="array" ref="N42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4" s="235">
        <f>IFERROR(Таблица4[[#This Row],[ППС]]-Таблица4[[#This Row],[ДДУС]],)</f>
        <v>0</v>
      </c>
      <c r="P424" s="611"/>
      <c r="Q424" s="234">
        <f>VLOOKUP(ППД5!A421,Реестр_Д5[№],1,0)</f>
        <v>420</v>
      </c>
      <c r="R424" s="234" t="str">
        <f>VLOOKUP(ППД5!CH421,Реестр_Д5[Статус],1,0)</f>
        <v>Продажа</v>
      </c>
      <c r="S424" s="612">
        <f>VLOOKUP(ППД5!BZ421,Реестр_Д5[Стоимость ОН без отделки со скидкой],1,0)</f>
        <v>4422838</v>
      </c>
      <c r="T424" s="612" cm="1">
        <f t="array" ref="T424">IFERROR(INDEX(РД[Стоимость без отделки итог],MATCH($Q$3&amp;Таблица10[[#This Row],[№]]&amp;"Продажа",РД[Дом]&amp;РД[№ кв]&amp;РД[Состояние],0),1),Таблица10[[#This Row],[Статус]])</f>
        <v>4422838</v>
      </c>
      <c r="U424" s="235">
        <f>IFERROR((Таблица10[[#This Row],[ПП]]-Таблица10[[#This Row],[ДДУ]])*1,)</f>
        <v>0</v>
      </c>
      <c r="V424" s="235" cm="1">
        <f t="array" ref="V424">IFERROR(INDEX(РД[Стоимость с отделкой итог],MATCH($Q$3&amp;Таблица10[[#This Row],[№]]&amp;"Продажа",РД[Дом]&amp;РД[№ кв]&amp;РД[Состояние],0),1),Таблица10[[#This Row],[Статус]])</f>
        <v>5375398</v>
      </c>
      <c r="W424" s="235">
        <f>_xlfn.XLOOKUP(Таблица10[[#This Row],[№]],Реестр_Д5[№],Реестр_Д5[Стоимость квартиры с отделкой],"-",0)</f>
        <v>5375398</v>
      </c>
      <c r="X424" s="235">
        <f>IFERROR(Таблица10[[#This Row],[СО ПП]]-Таблица10[[#This Row],[СО ДДУ]],"")</f>
        <v>0</v>
      </c>
      <c r="Y424" s="233" cm="1">
        <f t="array" ref="Y424">IFERROR(INDEX(РД[S],MATCH($Q$3&amp;Таблица10[[#This Row],[№]]&amp;"Продажа",РД[Дом]&amp;РД[№ кв]&amp;РД[Состояние],0),1),Таблица10[[#This Row],[Статус]])</f>
        <v>39.69</v>
      </c>
      <c r="Z424" s="233">
        <f>IF(Таблица10[[#This Row],[№]]&amp;"ДДУ"=ППД5!A421&amp;ППД5!CR421,ППД5!U421,ППД5!V421)</f>
        <v>39.69</v>
      </c>
      <c r="AA424" s="285">
        <f>IFERROR(Таблица10[[#This Row],[S ПП]]-Таблица10[[#This Row],[S ДДУ]],)</f>
        <v>0</v>
      </c>
      <c r="AB424" s="235">
        <f>ROUND(_xlfn.XLOOKUP(Таблица10[[#This Row],[№]],Реестр_Д5[№],Реестр_Д5[Итоговая сумма скидки],"",0),2)</f>
        <v>90262</v>
      </c>
      <c r="AC424" s="235" cm="1">
        <f t="array" ref="AC424">IFERROR(ROUND(_xlfn.XLOOKUP($Q$3&amp;Таблица10[[#This Row],[№]]&amp;"Продажа",РД[Дом]&amp;РД[№ кв]&amp;РД[Состояние],РД[Сумма скидки],"",0,-1),2),Таблица10[[#This Row],[Статус]])</f>
        <v>90262</v>
      </c>
      <c r="AD424" s="285">
        <f>IFERROR(Таблица10[[#This Row],[ППС]]-Таблица10[[#This Row],[ДДУС]],)</f>
        <v>0</v>
      </c>
      <c r="AE424" s="611"/>
      <c r="AT424" s="611"/>
    </row>
    <row r="425" spans="1:46" x14ac:dyDescent="0.2">
      <c r="A425" s="611"/>
      <c r="B425" s="234">
        <f>VLOOKUP(ППД4!A422,Реестр_Д4[№],1,0)</f>
        <v>421</v>
      </c>
      <c r="C425" s="234" t="str">
        <f>VLOOKUP(ППД4!CO422,Реестр_Д4[Статус],1,0)</f>
        <v>Продажа</v>
      </c>
      <c r="D425" s="612">
        <f>VLOOKUP(ППД4!CE422,Реестр_Д4[Стоимость ОН без отделки со скидкой],1,0)</f>
        <v>3418041.97</v>
      </c>
      <c r="E425" s="612" cm="1">
        <f t="array" ref="E425">IFERROR(INDEX(РД[Стоимость без отделки итог],MATCH($B$3&amp;Таблица4[[#This Row],[№]]&amp;"Продажа",РД[Дом]&amp;РД[№ кв]&amp;РД[Состояние],0),1),Таблица4[[#This Row],[Статус]])</f>
        <v>3418041.97</v>
      </c>
      <c r="F425" s="235">
        <f>IFERROR((Таблица4[[#This Row],[ПП]]-Таблица4[[#This Row],[ДДУ]])*1,"")</f>
        <v>0</v>
      </c>
      <c r="G425" s="235" cm="1">
        <f t="array" ref="G425">IFERROR(INDEX(РД[Стоимость с отделкой итог],MATCH($B$3&amp;Таблица4[[#This Row],[№]]&amp;"Продажа",РД[Дом]&amp;РД[№ кв]&amp;РД[Состояние],0),1),Таблица4[[#This Row],[Статус]])</f>
        <v>3572441.97</v>
      </c>
      <c r="H425" s="235">
        <f>_xlfn.XLOOKUP(Таблица4[[#This Row],[№]],Реестр_Д4[№],Реестр_Д4[Стоимость квартиры с отделкой],"-",0)</f>
        <v>3572441.97</v>
      </c>
      <c r="I425" s="235">
        <f>IFERROR(Таблица4[[#This Row],[СО ПП]]-Таблица4[[#This Row],[СО ДДУ]],"")</f>
        <v>0</v>
      </c>
      <c r="J425" s="233" cm="1">
        <f t="array" ref="J425">IFERROR(INDEX(РД[S],MATCH($B$3&amp;Таблица4[[#This Row],[№]]&amp;"Продажа",РД[Дом]&amp;РД[№ кв]&amp;РД[Состояние],0),1),Таблица4[[#This Row],[Статус]])</f>
        <v>38.6</v>
      </c>
      <c r="K425" s="233">
        <f>VLOOKUP(Таблица4[[#This Row],[№]],Реестр_Д4[],20,0)</f>
        <v>38.6</v>
      </c>
      <c r="L425" s="235">
        <f>IFERROR(Таблица4[[#This Row],[S ПП]]-Таблица4[[#This Row],[S ДДУ]],)</f>
        <v>0</v>
      </c>
      <c r="M425" s="235">
        <f>ROUND(_xlfn.XLOOKUP(Таблица4[[#This Row],[№]],Реестр_Д4[№],Реестр_Д4[Итоговая сумма скидки],"",0),2)</f>
        <v>0</v>
      </c>
      <c r="N425" s="235" cm="1">
        <f t="array" ref="N42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5" s="235">
        <f>IFERROR(Таблица4[[#This Row],[ППС]]-Таблица4[[#This Row],[ДДУС]],)</f>
        <v>0</v>
      </c>
      <c r="P425" s="611"/>
      <c r="Q425" s="234">
        <f>VLOOKUP(ППД5!A422,Реестр_Д5[№],1,0)</f>
        <v>421</v>
      </c>
      <c r="R425" s="234" t="str">
        <f>VLOOKUP(ППД5!CH422,Реестр_Д5[Статус],1,0)</f>
        <v>Продажа</v>
      </c>
      <c r="S425" s="612">
        <f>VLOOKUP(ППД5!BZ422,Реестр_Д5[Стоимость ОН без отделки со скидкой],1,0)</f>
        <v>3467800</v>
      </c>
      <c r="T425" s="612" cm="1">
        <f t="array" ref="T425">IFERROR(INDEX(РД[Стоимость без отделки итог],MATCH($Q$3&amp;Таблица10[[#This Row],[№]]&amp;"Продажа",РД[Дом]&amp;РД[№ кв]&amp;РД[Состояние],0),1),Таблица10[[#This Row],[Статус]])</f>
        <v>3467799.9999999995</v>
      </c>
      <c r="U425" s="235">
        <f>IFERROR((Таблица10[[#This Row],[ПП]]-Таблица10[[#This Row],[ДДУ]])*1,)</f>
        <v>4.6566128730773926E-10</v>
      </c>
      <c r="V425" s="235" cm="1">
        <f t="array" ref="V425">IFERROR(INDEX(РД[Стоимость с отделкой итог],MATCH($Q$3&amp;Таблица10[[#This Row],[№]]&amp;"Продажа",РД[Дом]&amp;РД[№ кв]&amp;РД[Состояние],0),1),Таблица10[[#This Row],[Статус]])</f>
        <v>4055800</v>
      </c>
      <c r="W425" s="235">
        <f>_xlfn.XLOOKUP(Таблица10[[#This Row],[№]],Реестр_Д5[№],Реестр_Д5[Стоимость квартиры с отделкой],"-",0)</f>
        <v>4055799.9999999991</v>
      </c>
      <c r="X425" s="235">
        <f>IFERROR(Таблица10[[#This Row],[СО ПП]]-Таблица10[[#This Row],[СО ДДУ]],"")</f>
        <v>-9.3132257461547852E-10</v>
      </c>
      <c r="Y425" s="233" cm="1">
        <f t="array" ref="Y425">IFERROR(INDEX(РД[S],MATCH($Q$3&amp;Таблица10[[#This Row],[№]]&amp;"Продажа",РД[Дом]&amp;РД[№ кв]&amp;РД[Состояние],0),1),Таблица10[[#This Row],[Статус]])</f>
        <v>29.4</v>
      </c>
      <c r="Z425" s="233">
        <f>IF(Таблица10[[#This Row],[№]]&amp;"ДДУ"=ППД5!A422&amp;ППД5!CR422,ППД5!U422,ППД5!V422)</f>
        <v>29.4</v>
      </c>
      <c r="AA425" s="285">
        <f>IFERROR(Таблица10[[#This Row],[S ПП]]-Таблица10[[#This Row],[S ДДУ]],)</f>
        <v>0</v>
      </c>
      <c r="AB425" s="235">
        <f>ROUND(_xlfn.XLOOKUP(Таблица10[[#This Row],[№]],Реестр_Д5[№],Реестр_Д5[Итоговая сумма скидки],"",0),2)</f>
        <v>0</v>
      </c>
      <c r="AC425" s="235" cm="1">
        <f t="array" ref="AC42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25" s="285">
        <f>IFERROR(Таблица10[[#This Row],[ППС]]-Таблица10[[#This Row],[ДДУС]],)</f>
        <v>0</v>
      </c>
      <c r="AE425" s="611"/>
      <c r="AT425" s="611"/>
    </row>
    <row r="426" spans="1:46" x14ac:dyDescent="0.2">
      <c r="A426" s="611"/>
      <c r="B426" s="234">
        <f>VLOOKUP(ППД4!A423,Реестр_Д4[№],1,0)</f>
        <v>422</v>
      </c>
      <c r="C426" s="234" t="str">
        <f>VLOOKUP(ППД4!CO423,Реестр_Д4[Статус],1,0)</f>
        <v>Продажа</v>
      </c>
      <c r="D426" s="612">
        <f>VLOOKUP(ППД4!CE423,Реестр_Д4[Стоимость ОН без отделки со скидкой],1,0)</f>
        <v>5019587.5</v>
      </c>
      <c r="E426" s="612" cm="1">
        <f t="array" ref="E426">IFERROR(INDEX(РД[Стоимость без отделки итог],MATCH($B$3&amp;Таблица4[[#This Row],[№]]&amp;"Продажа",РД[Дом]&amp;РД[№ кв]&amp;РД[Состояние],0),1),Таблица4[[#This Row],[Статус]])</f>
        <v>5019587.4999999972</v>
      </c>
      <c r="F426" s="235">
        <f>IFERROR((Таблица4[[#This Row],[ПП]]-Таблица4[[#This Row],[ДДУ]])*1,"")</f>
        <v>2.7939677238464355E-9</v>
      </c>
      <c r="G426" s="235" cm="1">
        <f t="array" ref="G426">IFERROR(INDEX(РД[Стоимость с отделкой итог],MATCH($B$3&amp;Таблица4[[#This Row],[№]]&amp;"Продажа",РД[Дом]&amp;РД[№ кв]&amp;РД[Состояние],0),1),Таблица4[[#This Row],[Статус]])</f>
        <v>5316707.5</v>
      </c>
      <c r="H426" s="235">
        <f>_xlfn.XLOOKUP(Таблица4[[#This Row],[№]],Реестр_Д4[№],Реестр_Д4[Стоимость квартиры с отделкой],"-",0)</f>
        <v>5316707.5</v>
      </c>
      <c r="I426" s="235">
        <f>IFERROR(Таблица4[[#This Row],[СО ПП]]-Таблица4[[#This Row],[СО ДДУ]],"")</f>
        <v>0</v>
      </c>
      <c r="J426" s="233" cm="1">
        <f t="array" ref="J426">IFERROR(INDEX(РД[S],MATCH($B$3&amp;Таблица4[[#This Row],[№]]&amp;"Продажа",РД[Дом]&amp;РД[№ кв]&amp;РД[Состояние],0),1),Таблица4[[#This Row],[Статус]])</f>
        <v>74.28</v>
      </c>
      <c r="K426" s="233">
        <f>VLOOKUP(Таблица4[[#This Row],[№]],Реестр_Д4[],20,0)</f>
        <v>74.28</v>
      </c>
      <c r="L426" s="235">
        <f>IFERROR(Таблица4[[#This Row],[S ПП]]-Таблица4[[#This Row],[S ДДУ]],)</f>
        <v>0</v>
      </c>
      <c r="M426" s="235">
        <f>ROUND(_xlfn.XLOOKUP(Таблица4[[#This Row],[№]],Реестр_Д4[№],Реестр_Д4[Итоговая сумма скидки],"",0),2)</f>
        <v>264188.82</v>
      </c>
      <c r="N426" s="235" cm="1">
        <f t="array" ref="N426">IFERROR(ROUND(_xlfn.XLOOKUP($B$3&amp;Таблица4[[#This Row],[№]]&amp;"Продажа",РД[Дом]&amp;РД[№ кв]&amp;РД[Состояние],РД[Сумма скидки],"",0),2),Таблица4[[#This Row],[Статус]])</f>
        <v>264188.82</v>
      </c>
      <c r="O426" s="235">
        <f>IFERROR(Таблица4[[#This Row],[ППС]]-Таблица4[[#This Row],[ДДУС]],)</f>
        <v>0</v>
      </c>
      <c r="P426" s="611"/>
      <c r="Q426" s="234">
        <f>VLOOKUP(ППД5!A423,Реестр_Д5[№],1,0)</f>
        <v>422</v>
      </c>
      <c r="R426" s="234" t="str">
        <f>VLOOKUP(ППД5!CH423,Реестр_Д5[Статус],1,0)</f>
        <v>Продажа</v>
      </c>
      <c r="S426" s="612">
        <f>VLOOKUP(ППД5!BZ423,Реестр_Д5[Стоимость ОН без отделки со скидкой],1,0)</f>
        <v>5678186</v>
      </c>
      <c r="T426" s="612" cm="1">
        <f t="array" ref="T426">IFERROR(INDEX(РД[Стоимость без отделки итог],MATCH($Q$3&amp;Таблица10[[#This Row],[№]]&amp;"Продажа",РД[Дом]&amp;РД[№ кв]&amp;РД[Состояние],0),1),Таблица10[[#This Row],[Статус]])</f>
        <v>5678186</v>
      </c>
      <c r="U426" s="235">
        <f>IFERROR((Таблица10[[#This Row],[ПП]]-Таблица10[[#This Row],[ДДУ]])*1,)</f>
        <v>0</v>
      </c>
      <c r="V426" s="235" cm="1">
        <f t="array" ref="V426">IFERROR(INDEX(РД[Стоимость с отделкой итог],MATCH($Q$3&amp;Таблица10[[#This Row],[№]]&amp;"Продажа",РД[Дом]&amp;РД[№ кв]&amp;РД[Состояние],0),1),Таблица10[[#This Row],[Статус]])</f>
        <v>6758436</v>
      </c>
      <c r="W426" s="235">
        <f>_xlfn.XLOOKUP(Таблица10[[#This Row],[№]],Реестр_Д5[№],Реестр_Д5[Стоимость квартиры с отделкой],"-",0)</f>
        <v>6758436.0000000009</v>
      </c>
      <c r="X426" s="235">
        <f>IFERROR(Таблица10[[#This Row],[СО ПП]]-Таблица10[[#This Row],[СО ДДУ]],"")</f>
        <v>9.3132257461547852E-10</v>
      </c>
      <c r="Y426" s="233" cm="1">
        <f t="array" ref="Y426">IFERROR(INDEX(РД[S],MATCH($Q$3&amp;Таблица10[[#This Row],[№]]&amp;"Продажа",РД[Дом]&amp;РД[№ кв]&amp;РД[Состояние],0),1),Таблица10[[#This Row],[Статус]])</f>
        <v>43.21</v>
      </c>
      <c r="Z426" s="233">
        <f>IF(Таблица10[[#This Row],[№]]&amp;"ДДУ"=ППД5!A423&amp;ППД5!CR423,ППД5!U423,ППД5!V423)</f>
        <v>43.21</v>
      </c>
      <c r="AA426" s="285">
        <f>IFERROR(Таблица10[[#This Row],[S ПП]]-Таблица10[[#This Row],[S ДДУ]],)</f>
        <v>0</v>
      </c>
      <c r="AB426" s="235">
        <f>ROUND(_xlfn.XLOOKUP(Таблица10[[#This Row],[№]],Реестр_Д5[№],Реестр_Д5[Итоговая сумма скидки],"",0),2)</f>
        <v>175614</v>
      </c>
      <c r="AC426" s="235" cm="1">
        <f t="array" ref="AC426">IFERROR(ROUND(_xlfn.XLOOKUP($Q$3&amp;Таблица10[[#This Row],[№]]&amp;"Продажа",РД[Дом]&amp;РД[№ кв]&amp;РД[Состояние],РД[Сумма скидки],"",0,-1),2),Таблица10[[#This Row],[Статус]])</f>
        <v>175614</v>
      </c>
      <c r="AD426" s="285">
        <f>IFERROR(Таблица10[[#This Row],[ППС]]-Таблица10[[#This Row],[ДДУС]],)</f>
        <v>0</v>
      </c>
      <c r="AE426" s="611"/>
      <c r="AT426" s="611"/>
    </row>
    <row r="427" spans="1:46" x14ac:dyDescent="0.2">
      <c r="A427" s="611"/>
      <c r="B427" s="234">
        <f>VLOOKUP(ППД4!A424,Реестр_Д4[№],1,0)</f>
        <v>423</v>
      </c>
      <c r="C427" s="234" t="str">
        <f>VLOOKUP(ППД4!CO424,Реестр_Д4[Статус],1,0)</f>
        <v>Продажа</v>
      </c>
      <c r="D427" s="612">
        <f>VLOOKUP(ППД4!CE424,Реестр_Д4[Стоимость ОН без отделки со скидкой],1,0)</f>
        <v>4355800</v>
      </c>
      <c r="E427" s="612" cm="1">
        <f t="array" ref="E427">IFERROR(INDEX(РД[Стоимость без отделки итог],MATCH($B$3&amp;Таблица4[[#This Row],[№]]&amp;"Продажа",РД[Дом]&amp;РД[№ кв]&amp;РД[Состояние],0),1),Таблица4[[#This Row],[Статус]])</f>
        <v>4355800</v>
      </c>
      <c r="F427" s="235">
        <f>IFERROR((Таблица4[[#This Row],[ПП]]-Таблица4[[#This Row],[ДДУ]])*1,"")</f>
        <v>0</v>
      </c>
      <c r="G427" s="235" cm="1">
        <f t="array" ref="G427">IFERROR(INDEX(РД[Стоимость с отделкой итог],MATCH($B$3&amp;Таблица4[[#This Row],[№]]&amp;"Продажа",РД[Дом]&amp;РД[№ кв]&amp;РД[Состояние],0),1),Таблица4[[#This Row],[Статус]])</f>
        <v>5158800</v>
      </c>
      <c r="H427" s="235">
        <f>_xlfn.XLOOKUP(Таблица4[[#This Row],[№]],Реестр_Д4[№],Реестр_Д4[Стоимость квартиры с отделкой],"-",0)</f>
        <v>5158800</v>
      </c>
      <c r="I427" s="235">
        <f>IFERROR(Таблица4[[#This Row],[СО ПП]]-Таблица4[[#This Row],[СО ДДУ]],"")</f>
        <v>0</v>
      </c>
      <c r="J427" s="233" cm="1">
        <f t="array" ref="J427">IFERROR(INDEX(РД[S],MATCH($B$3&amp;Таблица4[[#This Row],[№]]&amp;"Продажа",РД[Дом]&amp;РД[№ кв]&amp;РД[Состояние],0),1),Таблица4[[#This Row],[Статус]])</f>
        <v>36.5</v>
      </c>
      <c r="K427" s="233">
        <f>VLOOKUP(Таблица4[[#This Row],[№]],Реестр_Д4[],20,0)</f>
        <v>36.5</v>
      </c>
      <c r="L427" s="235">
        <f>IFERROR(Таблица4[[#This Row],[S ПП]]-Таблица4[[#This Row],[S ДДУ]],)</f>
        <v>0</v>
      </c>
      <c r="M427" s="235">
        <f>ROUND(_xlfn.XLOOKUP(Таблица4[[#This Row],[№]],Реестр_Д4[№],Реестр_Д4[Итоговая сумма скидки],"",0),2)</f>
        <v>0</v>
      </c>
      <c r="N427" s="235" cm="1">
        <f t="array" ref="N42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7" s="235">
        <f>IFERROR(Таблица4[[#This Row],[ППС]]-Таблица4[[#This Row],[ДДУС]],)</f>
        <v>0</v>
      </c>
      <c r="P427" s="611"/>
      <c r="Q427" s="234">
        <f>VLOOKUP(ППД5!A424,Реестр_Д5[№],1,0)</f>
        <v>423</v>
      </c>
      <c r="R427" s="234" t="str">
        <f>VLOOKUP(ППД5!CH424,Реестр_Д5[Статус],1,0)</f>
        <v>Продажа</v>
      </c>
      <c r="S427" s="612">
        <f>VLOOKUP(ППД5!BZ424,Реестр_Д5[Стоимость ОН без отделки со скидкой],1,0)</f>
        <v>2897500</v>
      </c>
      <c r="T427" s="612" cm="1">
        <f t="array" ref="T427">IFERROR(INDEX(РД[Стоимость без отделки итог],MATCH($Q$3&amp;Таблица10[[#This Row],[№]]&amp;"Продажа",РД[Дом]&amp;РД[№ кв]&amp;РД[Состояние],0),1),Таблица10[[#This Row],[Статус]])</f>
        <v>2897500.0000000005</v>
      </c>
      <c r="U427" s="235">
        <f>IFERROR((Таблица10[[#This Row],[ПП]]-Таблица10[[#This Row],[ДДУ]])*1,)</f>
        <v>-4.6566128730773926E-10</v>
      </c>
      <c r="V427" s="235" cm="1">
        <f t="array" ref="V427">IFERROR(INDEX(РД[Стоимость с отделкой итог],MATCH($Q$3&amp;Таблица10[[#This Row],[№]]&amp;"Продажа",РД[Дом]&amp;РД[№ кв]&amp;РД[Состояние],0),1),Таблица10[[#This Row],[Статус]])</f>
        <v>3387500</v>
      </c>
      <c r="W427" s="235">
        <f>_xlfn.XLOOKUP(Таблица10[[#This Row],[№]],Реестр_Д5[№],Реестр_Д5[Стоимость квартиры с отделкой],"-",0)</f>
        <v>3387500.0000000005</v>
      </c>
      <c r="X427" s="235">
        <f>IFERROR(Таблица10[[#This Row],[СО ПП]]-Таблица10[[#This Row],[СО ДДУ]],"")</f>
        <v>4.6566128730773926E-10</v>
      </c>
      <c r="Y427" s="233" cm="1">
        <f t="array" ref="Y427">IFERROR(INDEX(РД[S],MATCH($Q$3&amp;Таблица10[[#This Row],[№]]&amp;"Продажа",РД[Дом]&amp;РД[№ кв]&amp;РД[Состояние],0),1),Таблица10[[#This Row],[Статус]])</f>
        <v>24.5</v>
      </c>
      <c r="Z427" s="233">
        <f>IF(Таблица10[[#This Row],[№]]&amp;"ДДУ"=ППД5!A424&amp;ППД5!CR424,ППД5!U424,ППД5!V424)</f>
        <v>24.5</v>
      </c>
      <c r="AA427" s="285">
        <f>IFERROR(Таблица10[[#This Row],[S ПП]]-Таблица10[[#This Row],[S ДДУ]],)</f>
        <v>0</v>
      </c>
      <c r="AB427" s="235">
        <f>ROUND(_xlfn.XLOOKUP(Таблица10[[#This Row],[№]],Реестр_Д5[№],Реестр_Д5[Итоговая сумма скидки],"",0),2)</f>
        <v>20000</v>
      </c>
      <c r="AC427" s="235" cm="1">
        <f t="array" ref="AC427">IFERROR(ROUND(_xlfn.XLOOKUP($Q$3&amp;Таблица10[[#This Row],[№]]&amp;"Продажа",РД[Дом]&amp;РД[№ кв]&amp;РД[Состояние],РД[Сумма скидки],"",0,-1),2),Таблица10[[#This Row],[Статус]])</f>
        <v>20000</v>
      </c>
      <c r="AD427" s="285">
        <f>IFERROR(Таблица10[[#This Row],[ППС]]-Таблица10[[#This Row],[ДДУС]],)</f>
        <v>0</v>
      </c>
      <c r="AE427" s="611"/>
      <c r="AT427" s="611"/>
    </row>
    <row r="428" spans="1:46" x14ac:dyDescent="0.2">
      <c r="A428" s="611"/>
      <c r="B428" s="234">
        <f>VLOOKUP(ППД4!A425,Реестр_Д4[№],1,0)</f>
        <v>424</v>
      </c>
      <c r="C428" s="234" t="str">
        <f>VLOOKUP(ППД4!CO425,Реестр_Д4[Статус],1,0)</f>
        <v>Продажа</v>
      </c>
      <c r="D428" s="612">
        <f>VLOOKUP(ППД4!CE425,Реестр_Д4[Стоимость ОН без отделки со скидкой],1,0)</f>
        <v>4413539.4800000004</v>
      </c>
      <c r="E428" s="612" cm="1">
        <f t="array" ref="E428">IFERROR(INDEX(РД[Стоимость без отделки итог],MATCH($B$3&amp;Таблица4[[#This Row],[№]]&amp;"Продажа",РД[Дом]&amp;РД[№ кв]&amp;РД[Состояние],0),1),Таблица4[[#This Row],[Статус]])</f>
        <v>4413539.4800000004</v>
      </c>
      <c r="F428" s="235">
        <f>IFERROR((Таблица4[[#This Row],[ПП]]-Таблица4[[#This Row],[ДДУ]])*1,"")</f>
        <v>0</v>
      </c>
      <c r="G428" s="235" cm="1">
        <f t="array" ref="G428">IFERROR(INDEX(РД[Стоимость с отделкой итог],MATCH($B$3&amp;Таблица4[[#This Row],[№]]&amp;"Продажа",РД[Дом]&amp;РД[№ кв]&amp;РД[Состояние],0),1),Таблица4[[#This Row],[Статус]])</f>
        <v>4637699.4800000004</v>
      </c>
      <c r="H428" s="235">
        <f>_xlfn.XLOOKUP(Таблица4[[#This Row],[№]],Реестр_Д4[№],Реестр_Д4[Стоимость квартиры с отделкой],"-",0)</f>
        <v>4637699.4800000004</v>
      </c>
      <c r="I428" s="235">
        <f>IFERROR(Таблица4[[#This Row],[СО ПП]]-Таблица4[[#This Row],[СО ДДУ]],"")</f>
        <v>0</v>
      </c>
      <c r="J428" s="233" cm="1">
        <f t="array" ref="J428">IFERROR(INDEX(РД[S],MATCH($B$3&amp;Таблица4[[#This Row],[№]]&amp;"Продажа",РД[Дом]&amp;РД[№ кв]&amp;РД[Состояние],0),1),Таблица4[[#This Row],[Статус]])</f>
        <v>56.04</v>
      </c>
      <c r="K428" s="233">
        <f>VLOOKUP(Таблица4[[#This Row],[№]],Реестр_Д4[],20,0)</f>
        <v>56.04</v>
      </c>
      <c r="L428" s="235">
        <f>IFERROR(Таблица4[[#This Row],[S ПП]]-Таблица4[[#This Row],[S ДДУ]],)</f>
        <v>0</v>
      </c>
      <c r="M428" s="235">
        <f>ROUND(_xlfn.XLOOKUP(Таблица4[[#This Row],[№]],Реестр_Д4[№],Реестр_Д4[Итоговая сумма скидки],"",0),2)</f>
        <v>0</v>
      </c>
      <c r="N428" s="235" cm="1">
        <f t="array" ref="N42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28" s="235">
        <f>IFERROR(Таблица4[[#This Row],[ППС]]-Таблица4[[#This Row],[ДДУС]],)</f>
        <v>0</v>
      </c>
      <c r="P428" s="611"/>
      <c r="Q428" s="234">
        <f>VLOOKUP(ППД5!A425,Реестр_Д5[№],1,0)</f>
        <v>424</v>
      </c>
      <c r="R428" s="234" t="str">
        <f>VLOOKUP(ППД5!CH425,Реестр_Д5[Статус],1,0)</f>
        <v>Продажа</v>
      </c>
      <c r="S428" s="612">
        <f>VLOOKUP(ППД5!BZ425,Реестр_Д5[Стоимость ОН без отделки со скидкой],1,0)</f>
        <v>4909484.8499999996</v>
      </c>
      <c r="T428" s="612" cm="1">
        <f t="array" ref="T428">IFERROR(INDEX(РД[Стоимость без отделки итог],MATCH($Q$3&amp;Таблица10[[#This Row],[№]]&amp;"Продажа",РД[Дом]&amp;РД[№ кв]&amp;РД[Состояние],0),1),Таблица10[[#This Row],[Статус]])</f>
        <v>4909484.8499999996</v>
      </c>
      <c r="U428" s="235">
        <f>IFERROR((Таблица10[[#This Row],[ПП]]-Таблица10[[#This Row],[ДДУ]])*1,)</f>
        <v>0</v>
      </c>
      <c r="V428" s="235" cm="1">
        <f t="array" ref="V428">IFERROR(INDEX(РД[Стоимость с отделкой итог],MATCH($Q$3&amp;Таблица10[[#This Row],[№]]&amp;"Продажа",РД[Дом]&amp;РД[№ кв]&amp;РД[Состояние],0),1),Таблица10[[#This Row],[Статус]])</f>
        <v>5346284.8499999996</v>
      </c>
      <c r="W428" s="235">
        <f>_xlfn.XLOOKUP(Таблица10[[#This Row],[№]],Реестр_Д5[№],Реестр_Д5[Стоимость квартиры с отделкой],"-",0)</f>
        <v>5346284.8499999996</v>
      </c>
      <c r="X428" s="235">
        <f>IFERROR(Таблица10[[#This Row],[СО ПП]]-Таблица10[[#This Row],[СО ДДУ]],"")</f>
        <v>0</v>
      </c>
      <c r="Y428" s="233" cm="1">
        <f t="array" ref="Y428">IFERROR(INDEX(РД[S],MATCH($Q$3&amp;Таблица10[[#This Row],[№]]&amp;"Продажа",РД[Дом]&amp;РД[№ кв]&amp;РД[Состояние],0),1),Таблица10[[#This Row],[Статус]])</f>
        <v>58.24</v>
      </c>
      <c r="Z428" s="233">
        <f>IF(Таблица10[[#This Row],[№]]&amp;"ДДУ"=ППД5!A425&amp;ППД5!CR425,ППД5!U425,ППД5!V425)</f>
        <v>58.24</v>
      </c>
      <c r="AA428" s="285">
        <f>IFERROR(Таблица10[[#This Row],[S ПП]]-Таблица10[[#This Row],[S ДДУ]],)</f>
        <v>0</v>
      </c>
      <c r="AB428" s="235">
        <f>ROUND(_xlfn.XLOOKUP(Таблица10[[#This Row],[№]],Реестр_Д5[№],Реестр_Д5[Итоговая сумма скидки],"",0),2)</f>
        <v>100193.57</v>
      </c>
      <c r="AC428" s="235" cm="1">
        <f t="array" ref="AC428">IFERROR(ROUND(_xlfn.XLOOKUP($Q$3&amp;Таблица10[[#This Row],[№]]&amp;"Продажа",РД[Дом]&amp;РД[№ кв]&amp;РД[Состояние],РД[Сумма скидки],"",0,-1),2),Таблица10[[#This Row],[Статус]])</f>
        <v>100193.57</v>
      </c>
      <c r="AD428" s="285">
        <f>IFERROR(Таблица10[[#This Row],[ППС]]-Таблица10[[#This Row],[ДДУС]],)</f>
        <v>0</v>
      </c>
      <c r="AE428" s="611"/>
      <c r="AT428" s="611"/>
    </row>
    <row r="429" spans="1:46" x14ac:dyDescent="0.2">
      <c r="A429" s="611"/>
      <c r="B429" s="234">
        <f>VLOOKUP(ППД4!A426,Реестр_Д4[№],1,0)</f>
        <v>425</v>
      </c>
      <c r="C429" s="234" t="str">
        <f>VLOOKUP(ППД4!CO426,Реестр_Д4[Статус],1,0)</f>
        <v>Продажа</v>
      </c>
      <c r="D429" s="612">
        <f>VLOOKUP(ППД4!CE426,Реестр_Д4[Стоимость ОН без отделки со скидкой],1,0)</f>
        <v>4797532.79</v>
      </c>
      <c r="E429" s="612" cm="1">
        <f t="array" ref="E429">IFERROR(INDEX(РД[Стоимость без отделки итог],MATCH($B$3&amp;Таблица4[[#This Row],[№]]&amp;"Продажа",РД[Дом]&amp;РД[№ кв]&amp;РД[Состояние],0),1),Таблица4[[#This Row],[Статус]])</f>
        <v>4797532.79</v>
      </c>
      <c r="F429" s="235">
        <f>IFERROR((Таблица4[[#This Row],[ПП]]-Таблица4[[#This Row],[ДДУ]])*1,"")</f>
        <v>0</v>
      </c>
      <c r="G429" s="235" cm="1">
        <f t="array" ref="G429">IFERROR(INDEX(РД[Стоимость с отделкой итог],MATCH($B$3&amp;Таблица4[[#This Row],[№]]&amp;"Продажа",РД[Дом]&amp;РД[№ кв]&amp;РД[Состояние],0),1),Таблица4[[#This Row],[Статус]])</f>
        <v>5706142.79</v>
      </c>
      <c r="H429" s="235">
        <f>_xlfn.XLOOKUP(Таблица4[[#This Row],[№]],Реестр_Д4[№],Реестр_Д4[Стоимость квартиры с отделкой],"-",0)</f>
        <v>5706142.79</v>
      </c>
      <c r="I429" s="235">
        <f>IFERROR(Таблица4[[#This Row],[СО ПП]]-Таблица4[[#This Row],[СО ДДУ]],"")</f>
        <v>0</v>
      </c>
      <c r="J429" s="233" cm="1">
        <f t="array" ref="J429">IFERROR(INDEX(РД[S],MATCH($B$3&amp;Таблица4[[#This Row],[№]]&amp;"Продажа",РД[Дом]&amp;РД[№ кв]&amp;РД[Состояние],0),1),Таблица4[[#This Row],[Статус]])</f>
        <v>58.62</v>
      </c>
      <c r="K429" s="233">
        <f>VLOOKUP(Таблица4[[#This Row],[№]],Реестр_Д4[],20,0)</f>
        <v>58.62</v>
      </c>
      <c r="L429" s="235">
        <f>IFERROR(Таблица4[[#This Row],[S ПП]]-Таблица4[[#This Row],[S ДДУ]],)</f>
        <v>0</v>
      </c>
      <c r="M429" s="235">
        <f>ROUND(_xlfn.XLOOKUP(Таблица4[[#This Row],[№]],Реестр_Д4[№],Реестр_Д4[Итоговая сумма скидки],"",0),2)</f>
        <v>148377.29999999999</v>
      </c>
      <c r="N429" s="235" cm="1">
        <f t="array" ref="N429">IFERROR(ROUND(_xlfn.XLOOKUP($B$3&amp;Таблица4[[#This Row],[№]]&amp;"Продажа",РД[Дом]&amp;РД[№ кв]&amp;РД[Состояние],РД[Сумма скидки],"",0),2),Таблица4[[#This Row],[Статус]])</f>
        <v>148377.29999999999</v>
      </c>
      <c r="O429" s="235">
        <f>IFERROR(Таблица4[[#This Row],[ППС]]-Таблица4[[#This Row],[ДДУС]],)</f>
        <v>0</v>
      </c>
      <c r="P429" s="611"/>
      <c r="Q429" s="234">
        <f>VLOOKUP(ППД5!A426,Реестр_Д5[№],1,0)</f>
        <v>425</v>
      </c>
      <c r="R429" s="234" t="str">
        <f>VLOOKUP(ППД5!CH426,Реестр_Д5[Статус],1,0)</f>
        <v>Продажа</v>
      </c>
      <c r="S429" s="612">
        <f>VLOOKUP(ППД5!BZ426,Реестр_Д5[Стоимость ОН без отделки со скидкой],1,0)</f>
        <v>5596400</v>
      </c>
      <c r="T429" s="612" cm="1">
        <f t="array" ref="T429">IFERROR(INDEX(РД[Стоимость без отделки итог],MATCH($Q$3&amp;Таблица10[[#This Row],[№]]&amp;"Продажа",РД[Дом]&amp;РД[№ кв]&amp;РД[Состояние],0),1),Таблица10[[#This Row],[Статус]])</f>
        <v>5596400</v>
      </c>
      <c r="U429" s="235">
        <f>IFERROR((Таблица10[[#This Row],[ПП]]-Таблица10[[#This Row],[ДДУ]])*1,)</f>
        <v>0</v>
      </c>
      <c r="V429" s="235" cm="1">
        <f t="array" ref="V429">IFERROR(INDEX(РД[Стоимость с отделкой итог],MATCH($Q$3&amp;Таблица10[[#This Row],[№]]&amp;"Продажа",РД[Дом]&amp;РД[№ кв]&amp;РД[Состояние],0),1),Таблица10[[#This Row],[Статус]])</f>
        <v>5596400</v>
      </c>
      <c r="W429" s="235">
        <f>_xlfn.XLOOKUP(Таблица10[[#This Row],[№]],Реестр_Д5[№],Реестр_Д5[Стоимость квартиры с отделкой],"-",0)</f>
        <v>5596400</v>
      </c>
      <c r="X429" s="235">
        <f>IFERROR(Таблица10[[#This Row],[СО ПП]]-Таблица10[[#This Row],[СО ДДУ]],"")</f>
        <v>0</v>
      </c>
      <c r="Y429" s="233" cm="1">
        <f t="array" ref="Y429">IFERROR(INDEX(РД[S],MATCH($Q$3&amp;Таблица10[[#This Row],[№]]&amp;"Продажа",РД[Дом]&amp;РД[№ кв]&amp;РД[Состояние],0),1),Таблица10[[#This Row],[Статус]])</f>
        <v>57.8</v>
      </c>
      <c r="Z429" s="233">
        <f>IF(Таблица10[[#This Row],[№]]&amp;"ДДУ"=ППД5!A426&amp;ППД5!CR426,ППД5!U426,ППД5!V426)</f>
        <v>57.8</v>
      </c>
      <c r="AA429" s="285">
        <f>IFERROR(Таблица10[[#This Row],[S ПП]]-Таблица10[[#This Row],[S ДДУ]],)</f>
        <v>0</v>
      </c>
      <c r="AB429" s="235">
        <f>ROUND(_xlfn.XLOOKUP(Таблица10[[#This Row],[№]],Реестр_Д5[№],Реестр_Д5[Итоговая сумма скидки],"",0),2)</f>
        <v>0</v>
      </c>
      <c r="AC429" s="235" cm="1">
        <f t="array" ref="AC42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29" s="285">
        <f>IFERROR(Таблица10[[#This Row],[ППС]]-Таблица10[[#This Row],[ДДУС]],)</f>
        <v>0</v>
      </c>
      <c r="AE429" s="611"/>
      <c r="AT429" s="611"/>
    </row>
    <row r="430" spans="1:46" x14ac:dyDescent="0.2">
      <c r="A430" s="611"/>
      <c r="B430" s="234">
        <f>VLOOKUP(ППД4!A427,Реестр_Д4[№],1,0)</f>
        <v>426</v>
      </c>
      <c r="C430" s="234" t="str">
        <f>VLOOKUP(ППД4!CO427,Реестр_Д4[Статус],1,0)</f>
        <v>Продажа</v>
      </c>
      <c r="D430" s="612">
        <f>VLOOKUP(ППД4!CE427,Реестр_Д4[Стоимость ОН без отделки со скидкой],1,0)</f>
        <v>5311239.6100000003</v>
      </c>
      <c r="E430" s="612" cm="1">
        <f t="array" ref="E430">IFERROR(INDEX(РД[Стоимость без отделки итог],MATCH($B$3&amp;Таблица4[[#This Row],[№]]&amp;"Продажа",РД[Дом]&amp;РД[№ кв]&amp;РД[Состояние],0),1),Таблица4[[#This Row],[Статус]])</f>
        <v>5311239.6099999985</v>
      </c>
      <c r="F430" s="235">
        <f>IFERROR((Таблица4[[#This Row],[ПП]]-Таблица4[[#This Row],[ДДУ]])*1,"")</f>
        <v>1.862645149230957E-9</v>
      </c>
      <c r="G430" s="235" cm="1">
        <f t="array" ref="G430">IFERROR(INDEX(РД[Стоимость с отделкой итог],MATCH($B$3&amp;Таблица4[[#This Row],[№]]&amp;"Продажа",РД[Дом]&amp;РД[№ кв]&amp;РД[Состояние],0),1),Таблица4[[#This Row],[Статус]])</f>
        <v>5581199.6100000003</v>
      </c>
      <c r="H430" s="235">
        <f>_xlfn.XLOOKUP(Таблица4[[#This Row],[№]],Реестр_Д4[№],Реестр_Д4[Стоимость квартиры с отделкой],"-",0)</f>
        <v>5581199.6100000003</v>
      </c>
      <c r="I430" s="235">
        <f>IFERROR(Таблица4[[#This Row],[СО ПП]]-Таблица4[[#This Row],[СО ДДУ]],"")</f>
        <v>0</v>
      </c>
      <c r="J430" s="233" cm="1">
        <f t="array" ref="J430">IFERROR(INDEX(РД[S],MATCH($B$3&amp;Таблица4[[#This Row],[№]]&amp;"Продажа",РД[Дом]&amp;РД[№ кв]&amp;РД[Состояние],0),1),Таблица4[[#This Row],[Статус]])</f>
        <v>67.489999999999995</v>
      </c>
      <c r="K430" s="233">
        <f>VLOOKUP(Таблица4[[#This Row],[№]],Реестр_Д4[],20,0)</f>
        <v>67.489999999999995</v>
      </c>
      <c r="L430" s="235">
        <f>IFERROR(Таблица4[[#This Row],[S ПП]]-Таблица4[[#This Row],[S ДДУ]],)</f>
        <v>0</v>
      </c>
      <c r="M430" s="235">
        <f>ROUND(_xlfn.XLOOKUP(Таблица4[[#This Row],[№]],Реестр_Д4[№],Реестр_Д4[Итоговая сумма скидки],"",0),2)</f>
        <v>0</v>
      </c>
      <c r="N430" s="235" cm="1">
        <f t="array" ref="N43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30" s="235">
        <f>IFERROR(Таблица4[[#This Row],[ППС]]-Таблица4[[#This Row],[ДДУС]],)</f>
        <v>0</v>
      </c>
      <c r="P430" s="611"/>
      <c r="Q430" s="234">
        <f>VLOOKUP(ППД5!A427,Реестр_Д5[№],1,0)</f>
        <v>426</v>
      </c>
      <c r="R430" s="234" t="str">
        <f>VLOOKUP(ППД5!CH427,Реестр_Д5[Статус],1,0)</f>
        <v>Продажа</v>
      </c>
      <c r="S430" s="612">
        <f>VLOOKUP(ППД5!BZ427,Реестр_Д5[Стоимость ОН без отделки со скидкой],1,0)</f>
        <v>4114512</v>
      </c>
      <c r="T430" s="612" cm="1">
        <f t="array" ref="T430">IFERROR(INDEX(РД[Стоимость без отделки итог],MATCH($Q$3&amp;Таблица10[[#This Row],[№]]&amp;"Продажа",РД[Дом]&amp;РД[№ кв]&amp;РД[Состояние],0),1),Таблица10[[#This Row],[Статус]])</f>
        <v>4114512</v>
      </c>
      <c r="U430" s="235">
        <f>IFERROR((Таблица10[[#This Row],[ПП]]-Таблица10[[#This Row],[ДДУ]])*1,)</f>
        <v>0</v>
      </c>
      <c r="V430" s="235" cm="1">
        <f t="array" ref="V430">IFERROR(INDEX(РД[Стоимость с отделкой итог],MATCH($Q$3&amp;Таблица10[[#This Row],[№]]&amp;"Продажа",РД[Дом]&amp;РД[№ кв]&amp;РД[Состояние],0),1),Таблица10[[#This Row],[Статус]])</f>
        <v>4382612</v>
      </c>
      <c r="W430" s="235">
        <f>_xlfn.XLOOKUP(Таблица10[[#This Row],[№]],Реестр_Д5[№],Реестр_Д5[Стоимость квартиры с отделкой],"-",0)</f>
        <v>4382612</v>
      </c>
      <c r="X430" s="235">
        <f>IFERROR(Таблица10[[#This Row],[СО ПП]]-Таблица10[[#This Row],[СО ДДУ]],"")</f>
        <v>0</v>
      </c>
      <c r="Y430" s="233" cm="1">
        <f t="array" ref="Y430">IFERROR(INDEX(РД[S],MATCH($Q$3&amp;Таблица10[[#This Row],[№]]&amp;"Продажа",РД[Дом]&amp;РД[№ кв]&amp;РД[Состояние],0),1),Таблица10[[#This Row],[Статус]])</f>
        <v>38.299999999999997</v>
      </c>
      <c r="Z430" s="233">
        <f>IF(Таблица10[[#This Row],[№]]&amp;"ДДУ"=ППД5!A427&amp;ППД5!CR427,ППД5!U427,ППД5!V427)</f>
        <v>38.299999999999997</v>
      </c>
      <c r="AA430" s="285">
        <f>IFERROR(Таблица10[[#This Row],[S ПП]]-Таблица10[[#This Row],[S ДДУ]],)</f>
        <v>0</v>
      </c>
      <c r="AB430" s="235">
        <f>ROUND(_xlfn.XLOOKUP(Таблица10[[#This Row],[№]],Реестр_Д5[№],Реестр_Д5[Итоговая сумма скидки],"",0),2)</f>
        <v>88888</v>
      </c>
      <c r="AC430" s="235" cm="1">
        <f t="array" ref="AC430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430" s="285">
        <f>IFERROR(Таблица10[[#This Row],[ППС]]-Таблица10[[#This Row],[ДДУС]],)</f>
        <v>0</v>
      </c>
      <c r="AE430" s="611"/>
      <c r="AT430" s="611"/>
    </row>
    <row r="431" spans="1:46" x14ac:dyDescent="0.2">
      <c r="A431" s="611"/>
      <c r="B431" s="234">
        <f>VLOOKUP(ППД4!A428,Реестр_Д4[№],1,0)</f>
        <v>427</v>
      </c>
      <c r="C431" s="234" t="str">
        <f>VLOOKUP(ППД4!CO428,Реестр_Д4[Статус],1,0)</f>
        <v>Продажа</v>
      </c>
      <c r="D431" s="612">
        <f>VLOOKUP(ППД4!CE428,Реестр_Д4[Стоимость ОН без отделки со скидкой],1,0)</f>
        <v>5347900</v>
      </c>
      <c r="E431" s="612" cm="1">
        <f t="array" ref="E431">IFERROR(INDEX(РД[Стоимость без отделки итог],MATCH($B$3&amp;Таблица4[[#This Row],[№]]&amp;"Продажа",РД[Дом]&amp;РД[№ кв]&amp;РД[Состояние],0),1),Таблица4[[#This Row],[Статус]])</f>
        <v>5347900</v>
      </c>
      <c r="F431" s="235">
        <f>IFERROR((Таблица4[[#This Row],[ПП]]-Таблица4[[#This Row],[ДДУ]])*1,"")</f>
        <v>0</v>
      </c>
      <c r="G431" s="235" cm="1">
        <f t="array" ref="G431">IFERROR(INDEX(РД[Стоимость с отделкой итог],MATCH($B$3&amp;Таблица4[[#This Row],[№]]&amp;"Продажа",РД[Дом]&amp;РД[№ кв]&amp;РД[Состояние],0),1),Таблица4[[#This Row],[Статус]])</f>
        <v>5825950</v>
      </c>
      <c r="H431" s="235">
        <f>_xlfn.XLOOKUP(Таблица4[[#This Row],[№]],Реестр_Д4[№],Реестр_Д4[Стоимость квартиры с отделкой],"-",0)</f>
        <v>5825950</v>
      </c>
      <c r="I431" s="235">
        <f>IFERROR(Таблица4[[#This Row],[СО ПП]]-Таблица4[[#This Row],[СО ДДУ]],"")</f>
        <v>0</v>
      </c>
      <c r="J431" s="233" cm="1">
        <f t="array" ref="J431">IFERROR(INDEX(РД[S],MATCH($B$3&amp;Таблица4[[#This Row],[№]]&amp;"Продажа",РД[Дом]&amp;РД[№ кв]&amp;РД[Состояние],0),1),Таблица4[[#This Row],[Статус]])</f>
        <v>63.74</v>
      </c>
      <c r="K431" s="233">
        <f>VLOOKUP(Таблица4[[#This Row],[№]],Реестр_Д4[],20,0)</f>
        <v>63.74</v>
      </c>
      <c r="L431" s="235">
        <f>IFERROR(Таблица4[[#This Row],[S ПП]]-Таблица4[[#This Row],[S ДДУ]],)</f>
        <v>0</v>
      </c>
      <c r="M431" s="235">
        <f>ROUND(_xlfn.XLOOKUP(Таблица4[[#This Row],[№]],Реестр_Д4[№],Реестр_Д4[Итоговая сумма скидки],"",0),2)</f>
        <v>30000</v>
      </c>
      <c r="N431" s="235" cm="1">
        <f t="array" ref="N431">IFERROR(ROUND(_xlfn.XLOOKUP($B$3&amp;Таблица4[[#This Row],[№]]&amp;"Продажа",РД[Дом]&amp;РД[№ кв]&amp;РД[Состояние],РД[Сумма скидки],"",0),2),Таблица4[[#This Row],[Статус]])</f>
        <v>30000</v>
      </c>
      <c r="O431" s="235">
        <f>IFERROR(Таблица4[[#This Row],[ППС]]-Таблица4[[#This Row],[ДДУС]],)</f>
        <v>0</v>
      </c>
      <c r="P431" s="611"/>
      <c r="Q431" s="234">
        <f>VLOOKUP(ППД5!A428,Реестр_Д5[№],1,0)</f>
        <v>427</v>
      </c>
      <c r="R431" s="234" t="str">
        <f>VLOOKUP(ППД5!CH428,Реестр_Д5[Статус],1,0)</f>
        <v>Продажа</v>
      </c>
      <c r="S431" s="612">
        <f>VLOOKUP(ППД5!BZ428,Реестр_Д5[Стоимость ОН без отделки со скидкой],1,0)</f>
        <v>8945368</v>
      </c>
      <c r="T431" s="612" cm="1">
        <f t="array" ref="T431">IFERROR(INDEX(РД[Стоимость без отделки итог],MATCH($Q$3&amp;Таблица10[[#This Row],[№]]&amp;"Продажа",РД[Дом]&amp;РД[№ кв]&amp;РД[Состояние],0),1),Таблица10[[#This Row],[Статус]])</f>
        <v>8945368</v>
      </c>
      <c r="U431" s="235">
        <f>IFERROR((Таблица10[[#This Row],[ПП]]-Таблица10[[#This Row],[ДДУ]])*1,)</f>
        <v>0</v>
      </c>
      <c r="V431" s="235" cm="1">
        <f t="array" ref="V431">IFERROR(INDEX(РД[Стоимость с отделкой итог],MATCH($Q$3&amp;Таблица10[[#This Row],[№]]&amp;"Продажа",РД[Дом]&amp;РД[№ кв]&amp;РД[Состояние],0),1),Таблица10[[#This Row],[Статус]])</f>
        <v>10931368</v>
      </c>
      <c r="W431" s="235">
        <f>_xlfn.XLOOKUP(Таблица10[[#This Row],[№]],Реестр_Д5[№],Реестр_Д5[Стоимость квартиры с отделкой],"-",0)</f>
        <v>10931368</v>
      </c>
      <c r="X431" s="235">
        <f>IFERROR(Таблица10[[#This Row],[СО ПП]]-Таблица10[[#This Row],[СО ДДУ]],"")</f>
        <v>0</v>
      </c>
      <c r="Y431" s="233" cm="1">
        <f t="array" ref="Y431">IFERROR(INDEX(РД[S],MATCH($Q$3&amp;Таблица10[[#This Row],[№]]&amp;"Продажа",РД[Дом]&amp;РД[№ кв]&amp;РД[Состояние],0),1),Таблица10[[#This Row],[Статус]])</f>
        <v>79.44</v>
      </c>
      <c r="Z431" s="233">
        <f>IF(Таблица10[[#This Row],[№]]&amp;"ДДУ"=ППД5!A428&amp;ППД5!CR428,ППД5!U428,ППД5!V428)</f>
        <v>79.44</v>
      </c>
      <c r="AA431" s="285">
        <f>IFERROR(Таблица10[[#This Row],[S ПП]]-Таблица10[[#This Row],[S ДДУ]],)</f>
        <v>0</v>
      </c>
      <c r="AB431" s="235">
        <f>ROUND(_xlfn.XLOOKUP(Таблица10[[#This Row],[№]],Реестр_Д5[№],Реестр_Д5[Итоговая сумма скидки],"",0),2)</f>
        <v>689032</v>
      </c>
      <c r="AC431" s="235" cm="1">
        <f t="array" ref="AC431">IFERROR(ROUND(_xlfn.XLOOKUP($Q$3&amp;Таблица10[[#This Row],[№]]&amp;"Продажа",РД[Дом]&amp;РД[№ кв]&amp;РД[Состояние],РД[Сумма скидки],"",0,-1),2),Таблица10[[#This Row],[Статус]])</f>
        <v>689032</v>
      </c>
      <c r="AD431" s="285">
        <f>IFERROR(Таблица10[[#This Row],[ППС]]-Таблица10[[#This Row],[ДДУС]],)</f>
        <v>0</v>
      </c>
      <c r="AE431" s="611"/>
      <c r="AT431" s="611"/>
    </row>
    <row r="432" spans="1:46" x14ac:dyDescent="0.2">
      <c r="A432" s="611"/>
      <c r="B432" s="234">
        <f>VLOOKUP(ППД4!A429,Реестр_Д4[№],1,0)</f>
        <v>428</v>
      </c>
      <c r="C432" s="234" t="str">
        <f>VLOOKUP(ППД4!CO429,Реестр_Д4[Статус],1,0)</f>
        <v>Продажа</v>
      </c>
      <c r="D432" s="612">
        <f>VLOOKUP(ППД4!CE429,Реестр_Д4[Стоимость ОН без отделки со скидкой],1,0)</f>
        <v>4252843.6500000004</v>
      </c>
      <c r="E432" s="612" cm="1">
        <f t="array" ref="E432">IFERROR(INDEX(РД[Стоимость без отделки итог],MATCH($B$3&amp;Таблица4[[#This Row],[№]]&amp;"Продажа",РД[Дом]&amp;РД[№ кв]&amp;РД[Состояние],0),1),Таблица4[[#This Row],[Статус]])</f>
        <v>4252843.6500000004</v>
      </c>
      <c r="F432" s="235">
        <f>IFERROR((Таблица4[[#This Row],[ПП]]-Таблица4[[#This Row],[ДДУ]])*1,"")</f>
        <v>0</v>
      </c>
      <c r="G432" s="235" cm="1">
        <f t="array" ref="G432">IFERROR(INDEX(РД[Стоимость с отделкой итог],MATCH($B$3&amp;Таблица4[[#This Row],[№]]&amp;"Продажа",РД[Дом]&amp;РД[№ кв]&amp;РД[Состояние],0),1),Таблица4[[#This Row],[Статус]])</f>
        <v>4252843.6500000004</v>
      </c>
      <c r="H432" s="235">
        <f>_xlfn.XLOOKUP(Таблица4[[#This Row],[№]],Реестр_Д4[№],Реестр_Д4[Стоимость квартиры с отделкой],"-",0)</f>
        <v>4252843.6500000004</v>
      </c>
      <c r="I432" s="235">
        <f>IFERROR(Таблица4[[#This Row],[СО ПП]]-Таблица4[[#This Row],[СО ДДУ]],"")</f>
        <v>0</v>
      </c>
      <c r="J432" s="233" cm="1">
        <f t="array" ref="J432">IFERROR(INDEX(РД[S],MATCH($B$3&amp;Таблица4[[#This Row],[№]]&amp;"Продажа",РД[Дом]&amp;РД[№ кв]&amp;РД[Состояние],0),1),Таблица4[[#This Row],[Статус]])</f>
        <v>44.37</v>
      </c>
      <c r="K432" s="233">
        <f>VLOOKUP(Таблица4[[#This Row],[№]],Реестр_Д4[],20,0)</f>
        <v>44.37</v>
      </c>
      <c r="L432" s="235">
        <f>IFERROR(Таблица4[[#This Row],[S ПП]]-Таблица4[[#This Row],[S ДДУ]],)</f>
        <v>0</v>
      </c>
      <c r="M432" s="235">
        <f>ROUND(_xlfn.XLOOKUP(Таблица4[[#This Row],[№]],Реестр_Д4[№],Реестр_Д4[Итоговая сумма скидки],"",0),2)</f>
        <v>0</v>
      </c>
      <c r="N432" s="235" cm="1">
        <f t="array" ref="N43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32" s="235">
        <f>IFERROR(Таблица4[[#This Row],[ППС]]-Таблица4[[#This Row],[ДДУС]],)</f>
        <v>0</v>
      </c>
      <c r="P432" s="611"/>
      <c r="Q432" s="234">
        <f>VLOOKUP(ППД5!A429,Реестр_Д5[№],1,0)</f>
        <v>428</v>
      </c>
      <c r="R432" s="234" t="str">
        <f>VLOOKUP(ППД5!CH429,Реестр_Д5[Статус],1,0)</f>
        <v>Продажа</v>
      </c>
      <c r="S432" s="612">
        <f>VLOOKUP(ППД5!BZ429,Реестр_Д5[Стоимость ОН без отделки со скидкой],1,0)</f>
        <v>4360800</v>
      </c>
      <c r="T432" s="612" cm="1">
        <f t="array" ref="T432">IFERROR(INDEX(РД[Стоимость без отделки итог],MATCH($Q$3&amp;Таблица10[[#This Row],[№]]&amp;"Продажа",РД[Дом]&amp;РД[№ кв]&amp;РД[Состояние],0),1),Таблица10[[#This Row],[Статус]])</f>
        <v>4360800</v>
      </c>
      <c r="U432" s="235">
        <f>IFERROR((Таблица10[[#This Row],[ПП]]-Таблица10[[#This Row],[ДДУ]])*1,)</f>
        <v>0</v>
      </c>
      <c r="V432" s="235" cm="1">
        <f t="array" ref="V432">IFERROR(INDEX(РД[Стоимость с отделкой итог],MATCH($Q$3&amp;Таблица10[[#This Row],[№]]&amp;"Продажа",РД[Дом]&amp;РД[№ кв]&amp;РД[Состояние],0),1),Таблица10[[#This Row],[Статус]])</f>
        <v>5154600</v>
      </c>
      <c r="W432" s="235">
        <f>_xlfn.XLOOKUP(Таблица10[[#This Row],[№]],Реестр_Д5[№],Реестр_Д5[Стоимость квартиры с отделкой],"-",0)</f>
        <v>5154600</v>
      </c>
      <c r="X432" s="235">
        <f>IFERROR(Таблица10[[#This Row],[СО ПП]]-Таблица10[[#This Row],[СО ДДУ]],"")</f>
        <v>0</v>
      </c>
      <c r="Y432" s="233" cm="1">
        <f t="array" ref="Y432">IFERROR(INDEX(РД[S],MATCH($Q$3&amp;Таблица10[[#This Row],[№]]&amp;"Продажа",РД[Дом]&amp;РД[№ кв]&amp;РД[Состояние],0),1),Таблица10[[#This Row],[Статус]])</f>
        <v>39.69</v>
      </c>
      <c r="Z432" s="233">
        <f>IF(Таблица10[[#This Row],[№]]&amp;"ДДУ"=ППД5!A429&amp;ППД5!CR429,ППД5!U429,ППД5!V429)</f>
        <v>39.69</v>
      </c>
      <c r="AA432" s="285">
        <f>IFERROR(Таблица10[[#This Row],[S ПП]]-Таблица10[[#This Row],[S ДДУ]],)</f>
        <v>0</v>
      </c>
      <c r="AB432" s="235">
        <f>ROUND(_xlfn.XLOOKUP(Таблица10[[#This Row],[№]],Реестр_Д5[№],Реестр_Д5[Итоговая сумма скидки],"",0),2)</f>
        <v>0</v>
      </c>
      <c r="AC432" s="235" cm="1">
        <f t="array" ref="AC43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32" s="285">
        <f>IFERROR(Таблица10[[#This Row],[ППС]]-Таблица10[[#This Row],[ДДУС]],)</f>
        <v>0</v>
      </c>
      <c r="AE432" s="611"/>
      <c r="AT432" s="611"/>
    </row>
    <row r="433" spans="1:46" x14ac:dyDescent="0.2">
      <c r="A433" s="611"/>
      <c r="B433" s="234">
        <f>VLOOKUP(ППД4!A430,Реестр_Д4[№],1,0)</f>
        <v>429</v>
      </c>
      <c r="C433" s="234" t="str">
        <f>VLOOKUP(ППД4!CO430,Реестр_Д4[Статус],1,0)</f>
        <v>Продажа</v>
      </c>
      <c r="D433" s="612">
        <f>VLOOKUP(ППД4!CE430,Реестр_Д4[Стоимость ОН без отделки со скидкой],1,0)</f>
        <v>3629871.07</v>
      </c>
      <c r="E433" s="612" cm="1">
        <f t="array" ref="E433">IFERROR(INDEX(РД[Стоимость без отделки итог],MATCH($B$3&amp;Таблица4[[#This Row],[№]]&amp;"Продажа",РД[Дом]&amp;РД[№ кв]&amp;РД[Состояние],0),1),Таблица4[[#This Row],[Статус]])</f>
        <v>3629871.07</v>
      </c>
      <c r="F433" s="235">
        <f>IFERROR((Таблица4[[#This Row],[ПП]]-Таблица4[[#This Row],[ДДУ]])*1,"")</f>
        <v>0</v>
      </c>
      <c r="G433" s="235" cm="1">
        <f t="array" ref="G433">IFERROR(INDEX(РД[Стоимость с отделкой итог],MATCH($B$3&amp;Таблица4[[#This Row],[№]]&amp;"Продажа",РД[Дом]&amp;РД[№ кв]&amp;РД[Состояние],0),1),Таблица4[[#This Row],[Статус]])</f>
        <v>3808701.07</v>
      </c>
      <c r="H433" s="235">
        <f>_xlfn.XLOOKUP(Таблица4[[#This Row],[№]],Реестр_Д4[№],Реестр_Д4[Стоимость квартиры с отделкой],"-",0)</f>
        <v>3808701.07</v>
      </c>
      <c r="I433" s="235">
        <f>IFERROR(Таблица4[[#This Row],[СО ПП]]-Таблица4[[#This Row],[СО ДДУ]],"")</f>
        <v>0</v>
      </c>
      <c r="J433" s="233" cm="1">
        <f t="array" ref="J433">IFERROR(INDEX(РД[S],MATCH($B$3&amp;Таблица4[[#This Row],[№]]&amp;"Продажа",РД[Дом]&amp;РД[№ кв]&amp;РД[Состояние],0),1),Таблица4[[#This Row],[Статус]])</f>
        <v>39.74</v>
      </c>
      <c r="K433" s="233">
        <f>VLOOKUP(Таблица4[[#This Row],[№]],Реестр_Д4[],20,0)</f>
        <v>39.74</v>
      </c>
      <c r="L433" s="235">
        <f>IFERROR(Таблица4[[#This Row],[S ПП]]-Таблица4[[#This Row],[S ДДУ]],)</f>
        <v>0</v>
      </c>
      <c r="M433" s="235">
        <f>ROUND(_xlfn.XLOOKUP(Таблица4[[#This Row],[№]],Реестр_Д4[№],Реестр_Д4[Итоговая сумма скидки],"",0),2)</f>
        <v>178830</v>
      </c>
      <c r="N433" s="235" cm="1">
        <f t="array" ref="N433">IFERROR(ROUND(_xlfn.XLOOKUP($B$3&amp;Таблица4[[#This Row],[№]]&amp;"Продажа",РД[Дом]&amp;РД[№ кв]&amp;РД[Состояние],РД[Сумма скидки],"",0),2),Таблица4[[#This Row],[Статус]])</f>
        <v>178830</v>
      </c>
      <c r="O433" s="235">
        <f>IFERROR(Таблица4[[#This Row],[ППС]]-Таблица4[[#This Row],[ДДУС]],)</f>
        <v>0</v>
      </c>
      <c r="P433" s="611"/>
      <c r="Q433" s="234">
        <f>VLOOKUP(ППД5!A430,Реестр_Д5[№],1,0)</f>
        <v>429</v>
      </c>
      <c r="R433" s="234" t="str">
        <f>VLOOKUP(ППД5!CH430,Реестр_Д5[Статус],1,0)</f>
        <v>Продажа</v>
      </c>
      <c r="S433" s="612">
        <f>VLOOKUP(ППД5!BZ430,Реестр_Д5[Стоимость ОН без отделки со скидкой],1,0)</f>
        <v>2626993.7799999998</v>
      </c>
      <c r="T433" s="612" cm="1">
        <f t="array" ref="T433">IFERROR(INDEX(РД[Стоимость без отделки итог],MATCH($Q$3&amp;Таблица10[[#This Row],[№]]&amp;"Продажа",РД[Дом]&amp;РД[№ кв]&amp;РД[Состояние],0),1),Таблица10[[#This Row],[Статус]])</f>
        <v>2626993.7799999998</v>
      </c>
      <c r="U433" s="235">
        <f>IFERROR((Таблица10[[#This Row],[ПП]]-Таблица10[[#This Row],[ДДУ]])*1,)</f>
        <v>0</v>
      </c>
      <c r="V433" s="235" cm="1">
        <f t="array" ref="V433">IFERROR(INDEX(РД[Стоимость с отделкой итог],MATCH($Q$3&amp;Таблица10[[#This Row],[№]]&amp;"Продажа",РД[Дом]&amp;РД[№ кв]&amp;РД[Состояние],0),1),Таблица10[[#This Row],[Статус]])</f>
        <v>2759293.78</v>
      </c>
      <c r="W433" s="235">
        <f>_xlfn.XLOOKUP(Таблица10[[#This Row],[№]],Реестр_Д5[№],Реестр_Д5[Стоимость квартиры с отделкой],"-",0)</f>
        <v>2759293.78</v>
      </c>
      <c r="X433" s="235">
        <f>IFERROR(Таблица10[[#This Row],[СО ПП]]-Таблица10[[#This Row],[СО ДДУ]],"")</f>
        <v>0</v>
      </c>
      <c r="Y433" s="233" cm="1">
        <f t="array" ref="Y433">IFERROR(INDEX(РД[S],MATCH($Q$3&amp;Таблица10[[#This Row],[№]]&amp;"Продажа",РД[Дом]&amp;РД[№ кв]&amp;РД[Состояние],0),1),Таблица10[[#This Row],[Статус]])</f>
        <v>29.4</v>
      </c>
      <c r="Z433" s="233">
        <f>IF(Таблица10[[#This Row],[№]]&amp;"ДДУ"=ППД5!A430&amp;ППД5!CR430,ППД5!U430,ППД5!V430)</f>
        <v>29.4</v>
      </c>
      <c r="AA433" s="285">
        <f>IFERROR(Таблица10[[#This Row],[S ПП]]-Таблица10[[#This Row],[S ДДУ]],)</f>
        <v>0</v>
      </c>
      <c r="AB433" s="235">
        <f>ROUND(_xlfn.XLOOKUP(Таблица10[[#This Row],[№]],Реестр_Д5[№],Реестр_Д5[Итоговая сумма скидки],"",0),2)</f>
        <v>0</v>
      </c>
      <c r="AC433" s="235" cm="1">
        <f t="array" ref="AC43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33" s="285">
        <f>IFERROR(Таблица10[[#This Row],[ППС]]-Таблица10[[#This Row],[ДДУС]],)</f>
        <v>0</v>
      </c>
      <c r="AE433" s="611"/>
      <c r="AT433" s="611"/>
    </row>
    <row r="434" spans="1:46" x14ac:dyDescent="0.2">
      <c r="A434" s="611"/>
      <c r="B434" s="234">
        <f>VLOOKUP(ППД4!A431,Реестр_Д4[№],1,0)</f>
        <v>430</v>
      </c>
      <c r="C434" s="234" t="str">
        <f>VLOOKUP(ППД4!CO431,Реестр_Д4[Статус],1,0)</f>
        <v>Продажа</v>
      </c>
      <c r="D434" s="612">
        <f>VLOOKUP(ППД4!CE431,Реестр_Д4[Стоимость ОН без отделки со скидкой],1,0)</f>
        <v>3581800.83</v>
      </c>
      <c r="E434" s="612" cm="1">
        <f t="array" ref="E434">IFERROR(INDEX(РД[Стоимость без отделки итог],MATCH($B$3&amp;Таблица4[[#This Row],[№]]&amp;"Продажа",РД[Дом]&amp;РД[№ кв]&amp;РД[Состояние],0),1),Таблица4[[#This Row],[Статус]])</f>
        <v>3581800.83</v>
      </c>
      <c r="F434" s="235">
        <f>IFERROR((Таблица4[[#This Row],[ПП]]-Таблица4[[#This Row],[ДДУ]])*1,"")</f>
        <v>0</v>
      </c>
      <c r="G434" s="235" cm="1">
        <f t="array" ref="G434">IFERROR(INDEX(РД[Стоимость с отделкой итог],MATCH($B$3&amp;Таблица4[[#This Row],[№]]&amp;"Продажа",РД[Дом]&amp;РД[№ кв]&amp;РД[Состояние],0),1),Таблица4[[#This Row],[Статус]])</f>
        <v>4431000.83</v>
      </c>
      <c r="H434" s="235">
        <f>_xlfn.XLOOKUP(Таблица4[[#This Row],[№]],Реестр_Д4[№],Реестр_Д4[Стоимость квартиры с отделкой],"-",0)</f>
        <v>4431000.83</v>
      </c>
      <c r="I434" s="235">
        <f>IFERROR(Таблица4[[#This Row],[СО ПП]]-Таблица4[[#This Row],[СО ДДУ]],"")</f>
        <v>0</v>
      </c>
      <c r="J434" s="233" cm="1">
        <f t="array" ref="J434">IFERROR(INDEX(РД[S],MATCH($B$3&amp;Таблица4[[#This Row],[№]]&amp;"Продажа",РД[Дом]&amp;РД[№ кв]&amp;РД[Состояние],0),1),Таблица4[[#This Row],[Статус]])</f>
        <v>38.6</v>
      </c>
      <c r="K434" s="233">
        <f>VLOOKUP(Таблица4[[#This Row],[№]],Реестр_Д4[],20,0)</f>
        <v>38.6</v>
      </c>
      <c r="L434" s="235">
        <f>IFERROR(Таблица4[[#This Row],[S ПП]]-Таблица4[[#This Row],[S ДДУ]],)</f>
        <v>0</v>
      </c>
      <c r="M434" s="235">
        <f>ROUND(_xlfn.XLOOKUP(Таблица4[[#This Row],[№]],Реестр_Д4[№],Реестр_Д4[Итоговая сумма скидки],"",0),2)</f>
        <v>228625.58</v>
      </c>
      <c r="N434" s="235" cm="1">
        <f t="array" ref="N434">IFERROR(ROUND(_xlfn.XLOOKUP($B$3&amp;Таблица4[[#This Row],[№]]&amp;"Продажа",РД[Дом]&amp;РД[№ кв]&amp;РД[Состояние],РД[Сумма скидки],"",0),2),Таблица4[[#This Row],[Статус]])</f>
        <v>228625.58</v>
      </c>
      <c r="O434" s="235">
        <f>IFERROR(Таблица4[[#This Row],[ППС]]-Таблица4[[#This Row],[ДДУС]],)</f>
        <v>0</v>
      </c>
      <c r="P434" s="611"/>
      <c r="Q434" s="234">
        <f>VLOOKUP(ППД5!A431,Реестр_Д5[№],1,0)</f>
        <v>430</v>
      </c>
      <c r="R434" s="234" t="str">
        <f>VLOOKUP(ППД5!CH431,Реестр_Д5[Статус],1,0)</f>
        <v>Продажа</v>
      </c>
      <c r="S434" s="612">
        <f>VLOOKUP(ППД5!BZ431,Реестр_Д5[Стоимость ОН без отделки со скидкой],1,0)</f>
        <v>4678500</v>
      </c>
      <c r="T434" s="612" cm="1">
        <f t="array" ref="T434">IFERROR(INDEX(РД[Стоимость без отделки итог],MATCH($Q$3&amp;Таблица10[[#This Row],[№]]&amp;"Продажа",РД[Дом]&amp;РД[№ кв]&amp;РД[Состояние],0),1),Таблица10[[#This Row],[Статус]])</f>
        <v>4678500</v>
      </c>
      <c r="U434" s="235">
        <f>IFERROR((Таблица10[[#This Row],[ПП]]-Таблица10[[#This Row],[ДДУ]])*1,)</f>
        <v>0</v>
      </c>
      <c r="V434" s="235" cm="1">
        <f t="array" ref="V434">IFERROR(INDEX(РД[Стоимость с отделкой итог],MATCH($Q$3&amp;Таблица10[[#This Row],[№]]&amp;"Продажа",РД[Дом]&amp;РД[№ кв]&amp;РД[Состояние],0),1),Таблица10[[#This Row],[Статус]])</f>
        <v>4980970</v>
      </c>
      <c r="W434" s="235">
        <f>_xlfn.XLOOKUP(Таблица10[[#This Row],[№]],Реестр_Д5[№],Реестр_Д5[Стоимость квартиры с отделкой],"-",0)</f>
        <v>4980970</v>
      </c>
      <c r="X434" s="235">
        <f>IFERROR(Таблица10[[#This Row],[СО ПП]]-Таблица10[[#This Row],[СО ДДУ]],"")</f>
        <v>0</v>
      </c>
      <c r="Y434" s="233" cm="1">
        <f t="array" ref="Y434">IFERROR(INDEX(РД[S],MATCH($Q$3&amp;Таблица10[[#This Row],[№]]&amp;"Продажа",РД[Дом]&amp;РД[№ кв]&amp;РД[Состояние],0),1),Таблица10[[#This Row],[Статус]])</f>
        <v>43.21</v>
      </c>
      <c r="Z434" s="233">
        <f>IF(Таблица10[[#This Row],[№]]&amp;"ДДУ"=ППД5!A431&amp;ППД5!CR431,ППД5!U431,ППД5!V431)</f>
        <v>43.21</v>
      </c>
      <c r="AA434" s="285">
        <f>IFERROR(Таблица10[[#This Row],[S ПП]]-Таблица10[[#This Row],[S ДДУ]],)</f>
        <v>0</v>
      </c>
      <c r="AB434" s="235">
        <f>ROUND(_xlfn.XLOOKUP(Таблица10[[#This Row],[№]],Реестр_Д5[№],Реестр_Д5[Итоговая сумма скидки],"",0),2)</f>
        <v>0</v>
      </c>
      <c r="AC434" s="235" cm="1">
        <f t="array" ref="AC43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34" s="285">
        <f>IFERROR(Таблица10[[#This Row],[ППС]]-Таблица10[[#This Row],[ДДУС]],)</f>
        <v>0</v>
      </c>
      <c r="AE434" s="611"/>
      <c r="AT434" s="611"/>
    </row>
    <row r="435" spans="1:46" x14ac:dyDescent="0.2">
      <c r="A435" s="611"/>
      <c r="B435" s="234">
        <f>VLOOKUP(ППД4!A432,Реестр_Д4[№],1,0)</f>
        <v>431</v>
      </c>
      <c r="C435" s="234" t="str">
        <f>VLOOKUP(ППД4!CO432,Реестр_Д4[Статус],1,0)</f>
        <v>Продажа</v>
      </c>
      <c r="D435" s="612">
        <f>VLOOKUP(ППД4!CE432,Реестр_Д4[Стоимость ОН без отделки со скидкой],1,0)</f>
        <v>5230140.62</v>
      </c>
      <c r="E435" s="612" cm="1">
        <f t="array" ref="E435">IFERROR(INDEX(РД[Стоимость без отделки итог],MATCH($B$3&amp;Таблица4[[#This Row],[№]]&amp;"Продажа",РД[Дом]&amp;РД[№ кв]&amp;РД[Состояние],0),1),Таблица4[[#This Row],[Статус]])</f>
        <v>5230140.620000002</v>
      </c>
      <c r="F435" s="235">
        <f>IFERROR((Таблица4[[#This Row],[ПП]]-Таблица4[[#This Row],[ДДУ]])*1,"")</f>
        <v>-1.862645149230957E-9</v>
      </c>
      <c r="G435" s="235" cm="1">
        <f t="array" ref="G435">IFERROR(INDEX(РД[Стоимость с отделкой итог],MATCH($B$3&amp;Таблица4[[#This Row],[№]]&amp;"Продажа",РД[Дом]&amp;РД[№ кв]&amp;РД[Состояние],0),1),Таблица4[[#This Row],[Статус]])</f>
        <v>6344340.6200000001</v>
      </c>
      <c r="H435" s="235">
        <f>_xlfn.XLOOKUP(Таблица4[[#This Row],[№]],Реестр_Д4[№],Реестр_Д4[Стоимость квартиры с отделкой],"-",0)</f>
        <v>6344340.6200000001</v>
      </c>
      <c r="I435" s="235">
        <f>IFERROR(Таблица4[[#This Row],[СО ПП]]-Таблица4[[#This Row],[СО ДДУ]],"")</f>
        <v>0</v>
      </c>
      <c r="J435" s="233" cm="1">
        <f t="array" ref="J435">IFERROR(INDEX(РД[S],MATCH($B$3&amp;Таблица4[[#This Row],[№]]&amp;"Продажа",РД[Дом]&amp;РД[№ кв]&amp;РД[Состояние],0),1),Таблица4[[#This Row],[Статус]])</f>
        <v>74.28</v>
      </c>
      <c r="K435" s="233">
        <f>VLOOKUP(Таблица4[[#This Row],[№]],Реестр_Д4[],20,0)</f>
        <v>74.28</v>
      </c>
      <c r="L435" s="235">
        <f>IFERROR(Таблица4[[#This Row],[S ПП]]-Таблица4[[#This Row],[S ДДУ]],)</f>
        <v>0</v>
      </c>
      <c r="M435" s="235">
        <f>ROUND(_xlfn.XLOOKUP(Таблица4[[#This Row],[№]],Реестр_Д4[№],Реестр_Д4[Итоговая сумма скидки],"",0),2)</f>
        <v>161756.93</v>
      </c>
      <c r="N435" s="235" cm="1">
        <f t="array" ref="N435">IFERROR(ROUND(_xlfn.XLOOKUP($B$3&amp;Таблица4[[#This Row],[№]]&amp;"Продажа",РД[Дом]&amp;РД[№ кв]&amp;РД[Состояние],РД[Сумма скидки],"",0),2),Таблица4[[#This Row],[Статус]])</f>
        <v>161756.93</v>
      </c>
      <c r="O435" s="235">
        <f>IFERROR(Таблица4[[#This Row],[ППС]]-Таблица4[[#This Row],[ДДУС]],)</f>
        <v>0</v>
      </c>
      <c r="P435" s="611"/>
      <c r="Q435" s="234">
        <f>VLOOKUP(ППД5!A432,Реестр_Д5[№],1,0)</f>
        <v>431</v>
      </c>
      <c r="R435" s="234" t="str">
        <f>VLOOKUP(ППД5!CH432,Реестр_Д5[Статус],1,0)</f>
        <v>Продажа</v>
      </c>
      <c r="S435" s="612">
        <f>VLOOKUP(ППД5!BZ432,Реестр_Д5[Стоимость ОН без отделки со скидкой],1,0)</f>
        <v>1882086.22</v>
      </c>
      <c r="T435" s="612" cm="1">
        <f t="array" ref="T435">IFERROR(INDEX(РД[Стоимость без отделки итог],MATCH($Q$3&amp;Таблица10[[#This Row],[№]]&amp;"Продажа",РД[Дом]&amp;РД[№ кв]&amp;РД[Состояние],0),1),Таблица10[[#This Row],[Статус]])</f>
        <v>1882086.22</v>
      </c>
      <c r="U435" s="235">
        <f>IFERROR((Таблица10[[#This Row],[ПП]]-Таблица10[[#This Row],[ДДУ]])*1,)</f>
        <v>0</v>
      </c>
      <c r="V435" s="235" cm="1">
        <f t="array" ref="V435">IFERROR(INDEX(РД[Стоимость с отделкой итог],MATCH($Q$3&amp;Таблица10[[#This Row],[№]]&amp;"Продажа",РД[Дом]&amp;РД[№ кв]&amp;РД[Состояние],0),1),Таблица10[[#This Row],[Статус]])</f>
        <v>1882086.22</v>
      </c>
      <c r="W435" s="235">
        <f>_xlfn.XLOOKUP(Таблица10[[#This Row],[№]],Реестр_Д5[№],Реестр_Д5[Стоимость квартиры с отделкой],"-",0)</f>
        <v>1882086.2199999995</v>
      </c>
      <c r="X435" s="235">
        <f>IFERROR(Таблица10[[#This Row],[СО ПП]]-Таблица10[[#This Row],[СО ДДУ]],"")</f>
        <v>-4.6566128730773926E-10</v>
      </c>
      <c r="Y435" s="233" cm="1">
        <f t="array" ref="Y435">IFERROR(INDEX(РД[S],MATCH($Q$3&amp;Таблица10[[#This Row],[№]]&amp;"Продажа",РД[Дом]&amp;РД[№ кв]&amp;РД[Состояние],0),1),Таблица10[[#This Row],[Статус]])</f>
        <v>24.5</v>
      </c>
      <c r="Z435" s="233">
        <f>IF(Таблица10[[#This Row],[№]]&amp;"ДДУ"=ППД5!A432&amp;ППД5!CR432,ППД5!U432,ППД5!V432)</f>
        <v>24.5</v>
      </c>
      <c r="AA435" s="285">
        <f>IFERROR(Таблица10[[#This Row],[S ПП]]-Таблица10[[#This Row],[S ДДУ]],)</f>
        <v>0</v>
      </c>
      <c r="AB435" s="235">
        <f>ROUND(_xlfn.XLOOKUP(Таблица10[[#This Row],[№]],Реестр_Д5[№],Реестр_Д5[Итоговая сумма скидки],"",0),2)</f>
        <v>350000</v>
      </c>
      <c r="AC435" s="235" cm="1">
        <f t="array" ref="AC435">IFERROR(ROUND(_xlfn.XLOOKUP($Q$3&amp;Таблица10[[#This Row],[№]]&amp;"Продажа",РД[Дом]&amp;РД[№ кв]&amp;РД[Состояние],РД[Сумма скидки],"",0,-1),2),Таблица10[[#This Row],[Статус]])</f>
        <v>350000</v>
      </c>
      <c r="AD435" s="285">
        <f>IFERROR(Таблица10[[#This Row],[ППС]]-Таблица10[[#This Row],[ДДУС]],)</f>
        <v>0</v>
      </c>
      <c r="AE435" s="611"/>
      <c r="AT435" s="611"/>
    </row>
    <row r="436" spans="1:46" x14ac:dyDescent="0.2">
      <c r="A436" s="611"/>
      <c r="B436" s="234">
        <f>VLOOKUP(ППД4!A433,Реестр_Д4[№],1,0)</f>
        <v>432</v>
      </c>
      <c r="C436" s="234" t="str">
        <f>VLOOKUP(ППД4!CO433,Реестр_Д4[Статус],1,0)</f>
        <v>Продажа</v>
      </c>
      <c r="D436" s="612">
        <f>VLOOKUP(ППД4!CE433,Реестр_Д4[Стоимость ОН без отделки со скидкой],1,0)</f>
        <v>3190069.35</v>
      </c>
      <c r="E436" s="612" cm="1">
        <f t="array" ref="E436">IFERROR(INDEX(РД[Стоимость без отделки итог],MATCH($B$3&amp;Таблица4[[#This Row],[№]]&amp;"Продажа",РД[Дом]&amp;РД[№ кв]&amp;РД[Состояние],0),1),Таблица4[[#This Row],[Статус]])</f>
        <v>3190069.3499999996</v>
      </c>
      <c r="F436" s="235">
        <f>IFERROR((Таблица4[[#This Row],[ПП]]-Таблица4[[#This Row],[ДДУ]])*1,"")</f>
        <v>4.6566128730773926E-10</v>
      </c>
      <c r="G436" s="235" cm="1">
        <f t="array" ref="G436">IFERROR(INDEX(РД[Стоимость с отделкой итог],MATCH($B$3&amp;Таблица4[[#This Row],[№]]&amp;"Продажа",РД[Дом]&amp;РД[№ кв]&amp;РД[Состояние],0),1),Таблица4[[#This Row],[Статус]])</f>
        <v>3336069.35</v>
      </c>
      <c r="H436" s="235">
        <f>_xlfn.XLOOKUP(Таблица4[[#This Row],[№]],Реестр_Д4[№],Реестр_Д4[Стоимость квартиры с отделкой],"-",0)</f>
        <v>3336069.35</v>
      </c>
      <c r="I436" s="235">
        <f>IFERROR(Таблица4[[#This Row],[СО ПП]]-Таблица4[[#This Row],[СО ДДУ]],"")</f>
        <v>0</v>
      </c>
      <c r="J436" s="233" cm="1">
        <f t="array" ref="J436">IFERROR(INDEX(РД[S],MATCH($B$3&amp;Таблица4[[#This Row],[№]]&amp;"Продажа",РД[Дом]&amp;РД[№ кв]&amp;РД[Состояние],0),1),Таблица4[[#This Row],[Статус]])</f>
        <v>36.5</v>
      </c>
      <c r="K436" s="233">
        <f>VLOOKUP(Таблица4[[#This Row],[№]],Реестр_Д4[],20,0)</f>
        <v>36.5</v>
      </c>
      <c r="L436" s="235">
        <f>IFERROR(Таблица4[[#This Row],[S ПП]]-Таблица4[[#This Row],[S ДДУ]],)</f>
        <v>0</v>
      </c>
      <c r="M436" s="235">
        <f>ROUND(_xlfn.XLOOKUP(Таблица4[[#This Row],[№]],Реестр_Д4[№],Реестр_Д4[Итоговая сумма скидки],"",0),2)</f>
        <v>203621.45</v>
      </c>
      <c r="N436" s="235" cm="1">
        <f t="array" ref="N436">IFERROR(ROUND(_xlfn.XLOOKUP($B$3&amp;Таблица4[[#This Row],[№]]&amp;"Продажа",РД[Дом]&amp;РД[№ кв]&amp;РД[Состояние],РД[Сумма скидки],"",0),2),Таблица4[[#This Row],[Статус]])</f>
        <v>203621.45</v>
      </c>
      <c r="O436" s="235">
        <f>IFERROR(Таблица4[[#This Row],[ППС]]-Таблица4[[#This Row],[ДДУС]],)</f>
        <v>0</v>
      </c>
      <c r="P436" s="611"/>
      <c r="Q436" s="234">
        <f>VLOOKUP(ППД5!A433,Реестр_Д5[№],1,0)</f>
        <v>432</v>
      </c>
      <c r="R436" s="234" t="str">
        <f>VLOOKUP(ППД5!CH433,Реестр_Д5[Статус],1,0)</f>
        <v>Продажа</v>
      </c>
      <c r="S436" s="612">
        <f>VLOOKUP(ППД5!BZ433,Реестр_Д5[Стоимость ОН без отделки со скидкой],1,0)</f>
        <v>5206544</v>
      </c>
      <c r="T436" s="612" cm="1">
        <f t="array" ref="T436">IFERROR(INDEX(РД[Стоимость без отделки итог],MATCH($Q$3&amp;Таблица10[[#This Row],[№]]&amp;"Продажа",РД[Дом]&amp;РД[№ кв]&amp;РД[Состояние],0),1),Таблица10[[#This Row],[Статус]])</f>
        <v>5206544</v>
      </c>
      <c r="U436" s="235">
        <f>IFERROR((Таблица10[[#This Row],[ПП]]-Таблица10[[#This Row],[ДДУ]])*1,)</f>
        <v>0</v>
      </c>
      <c r="V436" s="235" cm="1">
        <f t="array" ref="V436">IFERROR(INDEX(РД[Стоимость с отделкой итог],MATCH($Q$3&amp;Таблица10[[#This Row],[№]]&amp;"Продажа",РД[Дом]&amp;РД[№ кв]&amp;РД[Состояние],0),1),Таблица10[[#This Row],[Статус]])</f>
        <v>5614224</v>
      </c>
      <c r="W436" s="235">
        <f>_xlfn.XLOOKUP(Таблица10[[#This Row],[№]],Реестр_Д5[№],Реестр_Д5[Стоимость квартиры с отделкой],"-",0)</f>
        <v>5614224</v>
      </c>
      <c r="X436" s="235">
        <f>IFERROR(Таблица10[[#This Row],[СО ПП]]-Таблица10[[#This Row],[СО ДДУ]],"")</f>
        <v>0</v>
      </c>
      <c r="Y436" s="233" cm="1">
        <f t="array" ref="Y436">IFERROR(INDEX(РД[S],MATCH($Q$3&amp;Таблица10[[#This Row],[№]]&amp;"Продажа",РД[Дом]&amp;РД[№ кв]&amp;РД[Состояние],0),1),Таблица10[[#This Row],[Статус]])</f>
        <v>58.24</v>
      </c>
      <c r="Z436" s="233">
        <f>IF(Таблица10[[#This Row],[№]]&amp;"ДДУ"=ППД5!A433&amp;ППД5!CR433,ППД5!U433,ППД5!V433)</f>
        <v>58.24</v>
      </c>
      <c r="AA436" s="285">
        <f>IFERROR(Таблица10[[#This Row],[S ПП]]-Таблица10[[#This Row],[S ДДУ]],)</f>
        <v>0</v>
      </c>
      <c r="AB436" s="235">
        <f>ROUND(_xlfn.XLOOKUP(Таблица10[[#This Row],[№]],Реестр_Д5[№],Реестр_Д5[Итоговая сумма скидки],"",0),2)</f>
        <v>106256</v>
      </c>
      <c r="AC436" s="235" cm="1">
        <f t="array" ref="AC436">IFERROR(ROUND(_xlfn.XLOOKUP($Q$3&amp;Таблица10[[#This Row],[№]]&amp;"Продажа",РД[Дом]&amp;РД[№ кв]&amp;РД[Состояние],РД[Сумма скидки],"",0,-1),2),Таблица10[[#This Row],[Статус]])</f>
        <v>106256</v>
      </c>
      <c r="AD436" s="285">
        <f>IFERROR(Таблица10[[#This Row],[ППС]]-Таблица10[[#This Row],[ДДУС]],)</f>
        <v>0</v>
      </c>
      <c r="AE436" s="611"/>
      <c r="AT436" s="611"/>
    </row>
    <row r="437" spans="1:46" x14ac:dyDescent="0.2">
      <c r="A437" s="611"/>
      <c r="B437" s="234">
        <f>VLOOKUP(ППД4!A434,Реестр_Д4[№],1,0)</f>
        <v>433</v>
      </c>
      <c r="C437" s="234" t="str">
        <f>VLOOKUP(ППД4!CO434,Реестр_Д4[Статус],1,0)</f>
        <v>Продажа</v>
      </c>
      <c r="D437" s="612">
        <f>VLOOKUP(ППД4!CE434,Реестр_Д4[Стоимость ОН без отделки со скидкой],1,0)</f>
        <v>4027503.31</v>
      </c>
      <c r="E437" s="612" cm="1">
        <f t="array" ref="E437">IFERROR(INDEX(РД[Стоимость без отделки итог],MATCH($B$3&amp;Таблица4[[#This Row],[№]]&amp;"Продажа",РД[Дом]&amp;РД[№ кв]&amp;РД[Состояние],0),1),Таблица4[[#This Row],[Статус]])</f>
        <v>4027503.3099999996</v>
      </c>
      <c r="F437" s="235">
        <f>IFERROR((Таблица4[[#This Row],[ПП]]-Таблица4[[#This Row],[ДДУ]])*1,"")</f>
        <v>4.6566128730773926E-10</v>
      </c>
      <c r="G437" s="235" cm="1">
        <f t="array" ref="G437">IFERROR(INDEX(РД[Стоимость с отделкой итог],MATCH($B$3&amp;Таблица4[[#This Row],[№]]&amp;"Продажа",РД[Дом]&amp;РД[№ кв]&amp;РД[Состояние],0),1),Таблица4[[#This Row],[Статус]])</f>
        <v>4868103.3099999996</v>
      </c>
      <c r="H437" s="235">
        <f>_xlfn.XLOOKUP(Таблица4[[#This Row],[№]],Реестр_Д4[№],Реестр_Д4[Стоимость квартиры с отделкой],"-",0)</f>
        <v>4868103.3099999996</v>
      </c>
      <c r="I437" s="235">
        <f>IFERROR(Таблица4[[#This Row],[СО ПП]]-Таблица4[[#This Row],[СО ДДУ]],"")</f>
        <v>0</v>
      </c>
      <c r="J437" s="233" cm="1">
        <f t="array" ref="J437">IFERROR(INDEX(РД[S],MATCH($B$3&amp;Таблица4[[#This Row],[№]]&amp;"Продажа",РД[Дом]&amp;РД[№ кв]&amp;РД[Состояние],0),1),Таблица4[[#This Row],[Статус]])</f>
        <v>56.04</v>
      </c>
      <c r="K437" s="233">
        <f>VLOOKUP(Таблица4[[#This Row],[№]],Реестр_Д4[],20,0)</f>
        <v>56.04</v>
      </c>
      <c r="L437" s="235">
        <f>IFERROR(Таблица4[[#This Row],[S ПП]]-Таблица4[[#This Row],[S ДДУ]],)</f>
        <v>0</v>
      </c>
      <c r="M437" s="235">
        <f>ROUND(_xlfn.XLOOKUP(Таблица4[[#This Row],[№]],Реестр_Д4[№],Реестр_Д4[Итоговая сумма скидки],"",0),2)</f>
        <v>257074.68</v>
      </c>
      <c r="N437" s="235" cm="1">
        <f t="array" ref="N437">IFERROR(ROUND(_xlfn.XLOOKUP($B$3&amp;Таблица4[[#This Row],[№]]&amp;"Продажа",РД[Дом]&amp;РД[№ кв]&amp;РД[Состояние],РД[Сумма скидки],"",0),2),Таблица4[[#This Row],[Статус]])</f>
        <v>257074.68</v>
      </c>
      <c r="O437" s="235">
        <f>IFERROR(Таблица4[[#This Row],[ППС]]-Таблица4[[#This Row],[ДДУС]],)</f>
        <v>0</v>
      </c>
      <c r="P437" s="611"/>
      <c r="Q437" s="234">
        <f>VLOOKUP(ППД5!A434,Реестр_Д5[№],1,0)</f>
        <v>433</v>
      </c>
      <c r="R437" s="234" t="str">
        <f>VLOOKUP(ППД5!CH434,Реестр_Д5[Статус],1,0)</f>
        <v>Продажа</v>
      </c>
      <c r="S437" s="612">
        <f>VLOOKUP(ППД5!BZ434,Реестр_Д5[Стоимость ОН без отделки со скидкой],1,0)</f>
        <v>4848746</v>
      </c>
      <c r="T437" s="612" cm="1">
        <f t="array" ref="T437">IFERROR(INDEX(РД[Стоимость без отделки итог],MATCH($Q$3&amp;Таблица10[[#This Row],[№]]&amp;"Продажа",РД[Дом]&amp;РД[№ кв]&amp;РД[Состояние],0),1),Таблица10[[#This Row],[Статус]])</f>
        <v>4848746</v>
      </c>
      <c r="U437" s="235">
        <f>IFERROR((Таблица10[[#This Row],[ПП]]-Таблица10[[#This Row],[ДДУ]])*1,)</f>
        <v>0</v>
      </c>
      <c r="V437" s="235" cm="1">
        <f t="array" ref="V437">IFERROR(INDEX(РД[Стоимость с отделкой итог],MATCH($Q$3&amp;Таблица10[[#This Row],[№]]&amp;"Продажа",РД[Дом]&amp;РД[№ кв]&amp;РД[Состояние],0),1),Таблица10[[#This Row],[Статус]])</f>
        <v>5282246</v>
      </c>
      <c r="W437" s="235">
        <f>_xlfn.XLOOKUP(Таблица10[[#This Row],[№]],Реестр_Д5[№],Реестр_Д5[Стоимость квартиры с отделкой],"-",0)</f>
        <v>5282246</v>
      </c>
      <c r="X437" s="235">
        <f>IFERROR(Таблица10[[#This Row],[СО ПП]]-Таблица10[[#This Row],[СО ДДУ]],"")</f>
        <v>0</v>
      </c>
      <c r="Y437" s="233" cm="1">
        <f t="array" ref="Y437">IFERROR(INDEX(РД[S],MATCH($Q$3&amp;Таблица10[[#This Row],[№]]&amp;"Продажа",РД[Дом]&amp;РД[№ кв]&amp;РД[Состояние],0),1),Таблица10[[#This Row],[Статус]])</f>
        <v>57.8</v>
      </c>
      <c r="Z437" s="233">
        <f>IF(Таблица10[[#This Row],[№]]&amp;"ДДУ"=ППД5!A434&amp;ППД5!CR434,ППД5!U434,ППД5!V434)</f>
        <v>57.8</v>
      </c>
      <c r="AA437" s="285">
        <f>IFERROR(Таблица10[[#This Row],[S ПП]]-Таблица10[[#This Row],[S ДДУ]],)</f>
        <v>0</v>
      </c>
      <c r="AB437" s="235">
        <f>ROUND(_xlfn.XLOOKUP(Таблица10[[#This Row],[№]],Реестр_Д5[№],Реестр_Д5[Итоговая сумма скидки],"",0),2)</f>
        <v>98954</v>
      </c>
      <c r="AC437" s="235" cm="1">
        <f t="array" ref="AC437">IFERROR(ROUND(_xlfn.XLOOKUP($Q$3&amp;Таблица10[[#This Row],[№]]&amp;"Продажа",РД[Дом]&amp;РД[№ кв]&amp;РД[Состояние],РД[Сумма скидки],"",0,-1),2),Таблица10[[#This Row],[Статус]])</f>
        <v>98954</v>
      </c>
      <c r="AD437" s="285">
        <f>IFERROR(Таблица10[[#This Row],[ППС]]-Таблица10[[#This Row],[ДДУС]],)</f>
        <v>0</v>
      </c>
      <c r="AE437" s="611"/>
      <c r="AT437" s="611"/>
    </row>
    <row r="438" spans="1:46" x14ac:dyDescent="0.2">
      <c r="A438" s="611"/>
      <c r="B438" s="234">
        <f>VLOOKUP(ППД4!A435,Реестр_Д4[№],1,0)</f>
        <v>434</v>
      </c>
      <c r="C438" s="234" t="str">
        <f>VLOOKUP(ППД4!CO435,Реестр_Д4[Статус],1,0)</f>
        <v>Продажа</v>
      </c>
      <c r="D438" s="612">
        <f>VLOOKUP(ППД4!CE435,Реестр_Д4[Стоимость ОН без отделки со скидкой],1,0)</f>
        <v>4346952.25</v>
      </c>
      <c r="E438" s="612" cm="1">
        <f t="array" ref="E438">IFERROR(INDEX(РД[Стоимость без отделки итог],MATCH($B$3&amp;Таблица4[[#This Row],[№]]&amp;"Продажа",РД[Дом]&amp;РД[№ кв]&amp;РД[Состояние],0),1),Таблица4[[#This Row],[Статус]])</f>
        <v>4346952.25</v>
      </c>
      <c r="F438" s="235">
        <f>IFERROR((Таблица4[[#This Row],[ПП]]-Таблица4[[#This Row],[ДДУ]])*1,"")</f>
        <v>0</v>
      </c>
      <c r="G438" s="235" cm="1">
        <f t="array" ref="G438">IFERROR(INDEX(РД[Стоимость с отделкой итог],MATCH($B$3&amp;Таблица4[[#This Row],[№]]&amp;"Продажа",РД[Дом]&amp;РД[№ кв]&amp;РД[Состояние],0),1),Таблица4[[#This Row],[Статус]])</f>
        <v>4581432.25</v>
      </c>
      <c r="H438" s="235">
        <f>_xlfn.XLOOKUP(Таблица4[[#This Row],[№]],Реестр_Д4[№],Реестр_Д4[Стоимость квартиры с отделкой],"-",0)</f>
        <v>4581432.25</v>
      </c>
      <c r="I438" s="235">
        <f>IFERROR(Таблица4[[#This Row],[СО ПП]]-Таблица4[[#This Row],[СО ДДУ]],"")</f>
        <v>0</v>
      </c>
      <c r="J438" s="233" cm="1">
        <f t="array" ref="J438">IFERROR(INDEX(РД[S],MATCH($B$3&amp;Таблица4[[#This Row],[№]]&amp;"Продажа",РД[Дом]&amp;РД[№ кв]&amp;РД[Состояние],0),1),Таблица4[[#This Row],[Статус]])</f>
        <v>58.62</v>
      </c>
      <c r="K438" s="233">
        <f>VLOOKUP(Таблица4[[#This Row],[№]],Реестр_Д4[],20,0)</f>
        <v>58.62</v>
      </c>
      <c r="L438" s="235">
        <f>IFERROR(Таблица4[[#This Row],[S ПП]]-Таблица4[[#This Row],[S ДДУ]],)</f>
        <v>0</v>
      </c>
      <c r="M438" s="235">
        <f>ROUND(_xlfn.XLOOKUP(Таблица4[[#This Row],[№]],Реестр_Д4[№],Реестр_Д4[Итоговая сумма скидки],"",0),2)</f>
        <v>134441.82</v>
      </c>
      <c r="N438" s="235" cm="1">
        <f t="array" ref="N438">IFERROR(ROUND(_xlfn.XLOOKUP($B$3&amp;Таблица4[[#This Row],[№]]&amp;"Продажа",РД[Дом]&amp;РД[№ кв]&amp;РД[Состояние],РД[Сумма скидки],"",0),2),Таблица4[[#This Row],[Статус]])</f>
        <v>134441.82</v>
      </c>
      <c r="O438" s="235">
        <f>IFERROR(Таблица4[[#This Row],[ППС]]-Таблица4[[#This Row],[ДДУС]],)</f>
        <v>0</v>
      </c>
      <c r="P438" s="611"/>
      <c r="Q438" s="234">
        <f>VLOOKUP(ППД5!A435,Реестр_Д5[№],1,0)</f>
        <v>434</v>
      </c>
      <c r="R438" s="234" t="str">
        <f>VLOOKUP(ППД5!CH435,Реестр_Д5[Статус],1,0)</f>
        <v>Продажа</v>
      </c>
      <c r="S438" s="612">
        <f>VLOOKUP(ППД5!BZ435,Реестр_Д5[Стоимость ОН без отделки со скидкой],1,0)</f>
        <v>3522894.51</v>
      </c>
      <c r="T438" s="612" cm="1">
        <f t="array" ref="T438">IFERROR(INDEX(РД[Стоимость без отделки итог],MATCH($Q$3&amp;Таблица10[[#This Row],[№]]&amp;"Продажа",РД[Дом]&amp;РД[№ кв]&amp;РД[Состояние],0),1),Таблица10[[#This Row],[Статус]])</f>
        <v>3522894.51</v>
      </c>
      <c r="U438" s="235">
        <f>IFERROR((Таблица10[[#This Row],[ПП]]-Таблица10[[#This Row],[ДДУ]])*1,)</f>
        <v>0</v>
      </c>
      <c r="V438" s="235" cm="1">
        <f t="array" ref="V438">IFERROR(INDEX(РД[Стоимость с отделкой итог],MATCH($Q$3&amp;Таблица10[[#This Row],[№]]&amp;"Продажа",РД[Дом]&amp;РД[№ кв]&amp;РД[Состояние],0),1),Таблица10[[#This Row],[Статус]])</f>
        <v>3522894.51</v>
      </c>
      <c r="W438" s="235">
        <f>_xlfn.XLOOKUP(Таблица10[[#This Row],[№]],Реестр_Д5[№],Реестр_Д5[Стоимость квартиры с отделкой],"-",0)</f>
        <v>3522894.51</v>
      </c>
      <c r="X438" s="235">
        <f>IFERROR(Таблица10[[#This Row],[СО ПП]]-Таблица10[[#This Row],[СО ДДУ]],"")</f>
        <v>0</v>
      </c>
      <c r="Y438" s="233" cm="1">
        <f t="array" ref="Y438">IFERROR(INDEX(РД[S],MATCH($Q$3&amp;Таблица10[[#This Row],[№]]&amp;"Продажа",РД[Дом]&amp;РД[№ кв]&amp;РД[Состояние],0),1),Таблица10[[#This Row],[Статус]])</f>
        <v>38.299999999999997</v>
      </c>
      <c r="Z438" s="233">
        <f>IF(Таблица10[[#This Row],[№]]&amp;"ДДУ"=ППД5!A435&amp;ППД5!CR435,ППД5!U435,ППД5!V435)</f>
        <v>38.299999999999997</v>
      </c>
      <c r="AA438" s="285">
        <f>IFERROR(Таблица10[[#This Row],[S ПП]]-Таблица10[[#This Row],[S ДДУ]],)</f>
        <v>0</v>
      </c>
      <c r="AB438" s="235">
        <f>ROUND(_xlfn.XLOOKUP(Таблица10[[#This Row],[№]],Реестр_Д5[№],Реестр_Д5[Итоговая сумма скидки],"",0),2)</f>
        <v>0</v>
      </c>
      <c r="AC438" s="235" cm="1">
        <f t="array" ref="AC43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38" s="285">
        <f>IFERROR(Таблица10[[#This Row],[ППС]]-Таблица10[[#This Row],[ДДУС]],)</f>
        <v>0</v>
      </c>
      <c r="AE438" s="611"/>
      <c r="AT438" s="611"/>
    </row>
    <row r="439" spans="1:46" x14ac:dyDescent="0.2">
      <c r="A439" s="611"/>
      <c r="B439" s="234">
        <f>VLOOKUP(ППД4!A436,Реестр_Д4[№],1,0)</f>
        <v>435</v>
      </c>
      <c r="C439" s="234" t="str">
        <f>VLOOKUP(ППД4!CO436,Реестр_Д4[Статус],1,0)</f>
        <v>Продажа</v>
      </c>
      <c r="D439" s="612">
        <f>VLOOKUP(ППД4!CE436,Реестр_Д4[Стоимость ОН без отделки со скидкой],1,0)</f>
        <v>6458400</v>
      </c>
      <c r="E439" s="612" cm="1">
        <f t="array" ref="E439">IFERROR(INDEX(РД[Стоимость без отделки итог],MATCH($B$3&amp;Таблица4[[#This Row],[№]]&amp;"Продажа",РД[Дом]&amp;РД[№ кв]&amp;РД[Состояние],0),1),Таблица4[[#This Row],[Статус]])</f>
        <v>6458400</v>
      </c>
      <c r="F439" s="235">
        <f>IFERROR((Таблица4[[#This Row],[ПП]]-Таблица4[[#This Row],[ДДУ]])*1,"")</f>
        <v>0</v>
      </c>
      <c r="G439" s="235" cm="1">
        <f t="array" ref="G439">IFERROR(INDEX(РД[Стоимость с отделкой итог],MATCH($B$3&amp;Таблица4[[#This Row],[№]]&amp;"Продажа",РД[Дом]&amp;РД[№ кв]&amp;РД[Состояние],0),1),Таблица4[[#This Row],[Статус]])</f>
        <v>6458400</v>
      </c>
      <c r="H439" s="235">
        <f>_xlfn.XLOOKUP(Таблица4[[#This Row],[№]],Реестр_Д4[№],Реестр_Д4[Стоимость квартиры с отделкой],"-",0)</f>
        <v>6458400</v>
      </c>
      <c r="I439" s="235">
        <f>IFERROR(Таблица4[[#This Row],[СО ПП]]-Таблица4[[#This Row],[СО ДДУ]],"")</f>
        <v>0</v>
      </c>
      <c r="J439" s="233" cm="1">
        <f t="array" ref="J439">IFERROR(INDEX(РД[S],MATCH($B$3&amp;Таблица4[[#This Row],[№]]&amp;"Продажа",РД[Дом]&amp;РД[№ кв]&amp;РД[Состояние],0),1),Таблица4[[#This Row],[Статус]])</f>
        <v>67.489999999999995</v>
      </c>
      <c r="K439" s="233">
        <f>VLOOKUP(Таблица4[[#This Row],[№]],Реестр_Д4[],20,0)</f>
        <v>67.489999999999995</v>
      </c>
      <c r="L439" s="235">
        <f>IFERROR(Таблица4[[#This Row],[S ПП]]-Таблица4[[#This Row],[S ДДУ]],)</f>
        <v>0</v>
      </c>
      <c r="M439" s="235">
        <f>ROUND(_xlfn.XLOOKUP(Таблица4[[#This Row],[№]],Реестр_Д4[№],Реестр_Д4[Итоговая сумма скидки],"",0),2)</f>
        <v>0</v>
      </c>
      <c r="N439" s="235" cm="1">
        <f t="array" ref="N43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39" s="235">
        <f>IFERROR(Таблица4[[#This Row],[ППС]]-Таблица4[[#This Row],[ДДУС]],)</f>
        <v>0</v>
      </c>
      <c r="P439" s="611"/>
      <c r="Q439" s="234">
        <f>VLOOKUP(ППД5!A436,Реестр_Д5[№],1,0)</f>
        <v>435</v>
      </c>
      <c r="R439" s="234" t="str">
        <f>VLOOKUP(ППД5!CH436,Реестр_Д5[Статус],1,0)</f>
        <v>Продажа</v>
      </c>
      <c r="S439" s="612">
        <f>VLOOKUP(ППД5!BZ436,Реестр_Д5[Стоимость ОН без отделки со скидкой],1,0)</f>
        <v>9234400</v>
      </c>
      <c r="T439" s="612" cm="1">
        <f t="array" ref="T439">IFERROR(INDEX(РД[Стоимость без отделки итог],MATCH($Q$3&amp;Таблица10[[#This Row],[№]]&amp;"Продажа",РД[Дом]&amp;РД[№ кв]&amp;РД[Состояние],0),1),Таблица10[[#This Row],[Статус]])</f>
        <v>9234400</v>
      </c>
      <c r="U439" s="235">
        <f>IFERROR((Таблица10[[#This Row],[ПП]]-Таблица10[[#This Row],[ДДУ]])*1,)</f>
        <v>0</v>
      </c>
      <c r="V439" s="235" cm="1">
        <f t="array" ref="V439">IFERROR(INDEX(РД[Стоимость с отделкой итог],MATCH($Q$3&amp;Таблица10[[#This Row],[№]]&amp;"Продажа",РД[Дом]&amp;РД[№ кв]&amp;РД[Состояние],0),1),Таблица10[[#This Row],[Статус]])</f>
        <v>9234400</v>
      </c>
      <c r="W439" s="235">
        <f>_xlfn.XLOOKUP(Таблица10[[#This Row],[№]],Реестр_Д5[№],Реестр_Д5[Стоимость квартиры с отделкой],"-",0)</f>
        <v>9234400</v>
      </c>
      <c r="X439" s="235">
        <f>IFERROR(Таблица10[[#This Row],[СО ПП]]-Таблица10[[#This Row],[СО ДДУ]],"")</f>
        <v>0</v>
      </c>
      <c r="Y439" s="233" cm="1">
        <f t="array" ref="Y439">IFERROR(INDEX(РД[S],MATCH($Q$3&amp;Таблица10[[#This Row],[№]]&amp;"Продажа",РД[Дом]&amp;РД[№ кв]&amp;РД[Состояние],0),1),Таблица10[[#This Row],[Статус]])</f>
        <v>79.44</v>
      </c>
      <c r="Z439" s="233">
        <f>IF(Таблица10[[#This Row],[№]]&amp;"ДДУ"=ППД5!A436&amp;ППД5!CR436,ППД5!U436,ППД5!V436)</f>
        <v>79.44</v>
      </c>
      <c r="AA439" s="285">
        <f>IFERROR(Таблица10[[#This Row],[S ПП]]-Таблица10[[#This Row],[S ДДУ]],)</f>
        <v>0</v>
      </c>
      <c r="AB439" s="235">
        <f>ROUND(_xlfn.XLOOKUP(Таблица10[[#This Row],[№]],Реестр_Д5[№],Реестр_Д5[Итоговая сумма скидки],"",0),2)</f>
        <v>400000</v>
      </c>
      <c r="AC439" s="235" cm="1">
        <f t="array" ref="AC439">IFERROR(ROUND(_xlfn.XLOOKUP($Q$3&amp;Таблица10[[#This Row],[№]]&amp;"Продажа",РД[Дом]&amp;РД[№ кв]&amp;РД[Состояние],РД[Сумма скидки],"",0,-1),2),Таблица10[[#This Row],[Статус]])</f>
        <v>400000</v>
      </c>
      <c r="AD439" s="285">
        <f>IFERROR(Таблица10[[#This Row],[ППС]]-Таблица10[[#This Row],[ДДУС]],)</f>
        <v>0</v>
      </c>
      <c r="AE439" s="611"/>
      <c r="AT439" s="611"/>
    </row>
    <row r="440" spans="1:46" x14ac:dyDescent="0.2">
      <c r="A440" s="611"/>
      <c r="B440" s="234">
        <f>VLOOKUP(ППД4!A437,Реестр_Д4[№],1,0)</f>
        <v>436</v>
      </c>
      <c r="C440" s="234" t="str">
        <f>VLOOKUP(ППД4!CO437,Реестр_Д4[Статус],1,0)</f>
        <v>Продажа</v>
      </c>
      <c r="D440" s="612">
        <f>VLOOKUP(ППД4!CE437,Реестр_Д4[Стоимость ОН без отделки со скидкой],1,0)</f>
        <v>5377896.7800000003</v>
      </c>
      <c r="E440" s="612" cm="1">
        <f t="array" ref="E440">IFERROR(INDEX(РД[Стоимость без отделки итог],MATCH($B$3&amp;Таблица4[[#This Row],[№]]&amp;"Продажа",РД[Дом]&amp;РД[№ кв]&amp;РД[Состояние],0),1),Таблица4[[#This Row],[Статус]])</f>
        <v>5377896.7800000003</v>
      </c>
      <c r="F440" s="235">
        <f>IFERROR((Таблица4[[#This Row],[ПП]]-Таблица4[[#This Row],[ДДУ]])*1,"")</f>
        <v>0</v>
      </c>
      <c r="G440" s="235" cm="1">
        <f t="array" ref="G440">IFERROR(INDEX(РД[Стоимость с отделкой итог],MATCH($B$3&amp;Таблица4[[#This Row],[№]]&amp;"Продажа",РД[Дом]&amp;РД[№ кв]&amp;РД[Состояние],0),1),Таблица4[[#This Row],[Статус]])</f>
        <v>5377896.7800000003</v>
      </c>
      <c r="H440" s="235">
        <f>_xlfn.XLOOKUP(Таблица4[[#This Row],[№]],Реестр_Д4[№],Реестр_Д4[Стоимость квартиры с отделкой],"-",0)</f>
        <v>5377896.7800000003</v>
      </c>
      <c r="I440" s="235">
        <f>IFERROR(Таблица4[[#This Row],[СО ПП]]-Таблица4[[#This Row],[СО ДДУ]],"")</f>
        <v>0</v>
      </c>
      <c r="J440" s="233" cm="1">
        <f t="array" ref="J440">IFERROR(INDEX(РД[S],MATCH($B$3&amp;Таблица4[[#This Row],[№]]&amp;"Продажа",РД[Дом]&amp;РД[№ кв]&amp;РД[Состояние],0),1),Таблица4[[#This Row],[Статус]])</f>
        <v>63.74</v>
      </c>
      <c r="K440" s="233">
        <f>VLOOKUP(Таблица4[[#This Row],[№]],Реестр_Д4[],20,0)</f>
        <v>63.74</v>
      </c>
      <c r="L440" s="235">
        <f>IFERROR(Таблица4[[#This Row],[S ПП]]-Таблица4[[#This Row],[S ДДУ]],)</f>
        <v>0</v>
      </c>
      <c r="M440" s="235">
        <f>ROUND(_xlfn.XLOOKUP(Таблица4[[#This Row],[№]],Реестр_Д4[№],Реестр_Д4[Итоговая сумма скидки],"",0),2)</f>
        <v>0</v>
      </c>
      <c r="N440" s="235" cm="1">
        <f t="array" ref="N44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0" s="235">
        <f>IFERROR(Таблица4[[#This Row],[ППС]]-Таблица4[[#This Row],[ДДУС]],)</f>
        <v>0</v>
      </c>
      <c r="P440" s="611"/>
      <c r="Q440" s="234">
        <f>VLOOKUP(ППД5!A437,Реестр_Д5[№],1,0)</f>
        <v>436</v>
      </c>
      <c r="R440" s="234" t="str">
        <f>VLOOKUP(ППД5!CH437,Реестр_Д5[Статус],1,0)</f>
        <v>Продажа</v>
      </c>
      <c r="S440" s="612">
        <f>VLOOKUP(ППД5!BZ437,Реестр_Д5[Стоимость ОН без отделки со скидкой],1,0)</f>
        <v>4360800</v>
      </c>
      <c r="T440" s="612" cm="1">
        <f t="array" ref="T440">IFERROR(INDEX(РД[Стоимость без отделки итог],MATCH($Q$3&amp;Таблица10[[#This Row],[№]]&amp;"Продажа",РД[Дом]&amp;РД[№ кв]&amp;РД[Состояние],0),1),Таблица10[[#This Row],[Статус]])</f>
        <v>4360800</v>
      </c>
      <c r="U440" s="235">
        <f>IFERROR((Таблица10[[#This Row],[ПП]]-Таблица10[[#This Row],[ДДУ]])*1,)</f>
        <v>0</v>
      </c>
      <c r="V440" s="235" cm="1">
        <f t="array" ref="V440">IFERROR(INDEX(РД[Стоимость с отделкой итог],MATCH($Q$3&amp;Таблица10[[#This Row],[№]]&amp;"Продажа",РД[Дом]&amp;РД[№ кв]&amp;РД[Состояние],0),1),Таблица10[[#This Row],[Статус]])</f>
        <v>5154600</v>
      </c>
      <c r="W440" s="235">
        <f>_xlfn.XLOOKUP(Таблица10[[#This Row],[№]],Реестр_Д5[№],Реестр_Д5[Стоимость квартиры с отделкой],"-",0)</f>
        <v>5154600</v>
      </c>
      <c r="X440" s="235">
        <f>IFERROR(Таблица10[[#This Row],[СО ПП]]-Таблица10[[#This Row],[СО ДДУ]],"")</f>
        <v>0</v>
      </c>
      <c r="Y440" s="233" cm="1">
        <f t="array" ref="Y440">IFERROR(INDEX(РД[S],MATCH($Q$3&amp;Таблица10[[#This Row],[№]]&amp;"Продажа",РД[Дом]&amp;РД[№ кв]&amp;РД[Состояние],0),1),Таблица10[[#This Row],[Статус]])</f>
        <v>39.69</v>
      </c>
      <c r="Z440" s="233">
        <f>IF(Таблица10[[#This Row],[№]]&amp;"ДДУ"=ППД5!A437&amp;ППД5!CR437,ППД5!U437,ППД5!V437)</f>
        <v>39.69</v>
      </c>
      <c r="AA440" s="285">
        <f>IFERROR(Таблица10[[#This Row],[S ПП]]-Таблица10[[#This Row],[S ДДУ]],)</f>
        <v>0</v>
      </c>
      <c r="AB440" s="235">
        <f>ROUND(_xlfn.XLOOKUP(Таблица10[[#This Row],[№]],Реестр_Д5[№],Реестр_Д5[Итоговая сумма скидки],"",0),2)</f>
        <v>0</v>
      </c>
      <c r="AC440" s="235" cm="1">
        <f t="array" ref="AC44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0" s="285">
        <f>IFERROR(Таблица10[[#This Row],[ППС]]-Таблица10[[#This Row],[ДДУС]],)</f>
        <v>0</v>
      </c>
      <c r="AE440" s="611"/>
      <c r="AT440" s="611"/>
    </row>
    <row r="441" spans="1:46" x14ac:dyDescent="0.2">
      <c r="A441" s="611"/>
      <c r="B441" s="234">
        <f>VLOOKUP(ППД4!A438,Реестр_Д4[№],1,0)</f>
        <v>437</v>
      </c>
      <c r="C441" s="234" t="str">
        <f>VLOOKUP(ППД4!CO438,Реестр_Д4[Статус],1,0)</f>
        <v>Продажа</v>
      </c>
      <c r="D441" s="612">
        <f>VLOOKUP(ППД4!CE438,Реестр_Д4[Стоимость ОН без отделки со скидкой],1,0)</f>
        <v>4075500</v>
      </c>
      <c r="E441" s="612" cm="1">
        <f t="array" ref="E441">IFERROR(INDEX(РД[Стоимость без отделки итог],MATCH($B$3&amp;Таблица4[[#This Row],[№]]&amp;"Продажа",РД[Дом]&amp;РД[№ кв]&amp;РД[Состояние],0),1),Таблица4[[#This Row],[Статус]])</f>
        <v>4075500</v>
      </c>
      <c r="F441" s="235">
        <f>IFERROR((Таблица4[[#This Row],[ПП]]-Таблица4[[#This Row],[ДДУ]])*1,"")</f>
        <v>0</v>
      </c>
      <c r="G441" s="235" cm="1">
        <f t="array" ref="G441">IFERROR(INDEX(РД[Стоимость с отделкой итог],MATCH($B$3&amp;Таблица4[[#This Row],[№]]&amp;"Продажа",РД[Дом]&amp;РД[№ кв]&amp;РД[Состояние],0),1),Таблица4[[#This Row],[Статус]])</f>
        <v>4408275</v>
      </c>
      <c r="H441" s="235">
        <f>_xlfn.XLOOKUP(Таблица4[[#This Row],[№]],Реестр_Д4[№],Реестр_Д4[Стоимость квартиры с отделкой],"-",0)</f>
        <v>4408275</v>
      </c>
      <c r="I441" s="235">
        <f>IFERROR(Таблица4[[#This Row],[СО ПП]]-Таблица4[[#This Row],[СО ДДУ]],"")</f>
        <v>0</v>
      </c>
      <c r="J441" s="233" cm="1">
        <f t="array" ref="J441">IFERROR(INDEX(РД[S],MATCH($B$3&amp;Таблица4[[#This Row],[№]]&amp;"Продажа",РД[Дом]&amp;РД[№ кв]&amp;РД[Состояние],0),1),Таблица4[[#This Row],[Статус]])</f>
        <v>44.37</v>
      </c>
      <c r="K441" s="233">
        <f>VLOOKUP(Таблица4[[#This Row],[№]],Реестр_Д4[],20,0)</f>
        <v>44.37</v>
      </c>
      <c r="L441" s="235">
        <f>IFERROR(Таблица4[[#This Row],[S ПП]]-Таблица4[[#This Row],[S ДДУ]],)</f>
        <v>0</v>
      </c>
      <c r="M441" s="235">
        <f>ROUND(_xlfn.XLOOKUP(Таблица4[[#This Row],[№]],Реестр_Д4[№],Реестр_Д4[Итоговая сумма скидки],"",0),2)</f>
        <v>214500</v>
      </c>
      <c r="N441" s="235" cm="1">
        <f t="array" ref="N441">IFERROR(ROUND(_xlfn.XLOOKUP($B$3&amp;Таблица4[[#This Row],[№]]&amp;"Продажа",РД[Дом]&amp;РД[№ кв]&amp;РД[Состояние],РД[Сумма скидки],"",0),2),Таблица4[[#This Row],[Статус]])</f>
        <v>214500</v>
      </c>
      <c r="O441" s="235">
        <f>IFERROR(Таблица4[[#This Row],[ППС]]-Таблица4[[#This Row],[ДДУС]],)</f>
        <v>0</v>
      </c>
      <c r="P441" s="611"/>
      <c r="Q441" s="234">
        <f>VLOOKUP(ППД5!A438,Реестр_Д5[№],1,0)</f>
        <v>437</v>
      </c>
      <c r="R441" s="234" t="str">
        <f>VLOOKUP(ППД5!CH438,Реестр_Д5[Статус],1,0)</f>
        <v>Продажа</v>
      </c>
      <c r="S441" s="612">
        <f>VLOOKUP(ППД5!BZ438,Реестр_Д5[Стоимость ОН без отделки со скидкой],1,0)</f>
        <v>3994872</v>
      </c>
      <c r="T441" s="612" cm="1">
        <f t="array" ref="T441">IFERROR(INDEX(РД[Стоимость без отделки итог],MATCH($Q$3&amp;Таблица10[[#This Row],[№]]&amp;"Продажа",РД[Дом]&amp;РД[№ кв]&amp;РД[Состояние],0),1),Таблица10[[#This Row],[Статус]])</f>
        <v>3994872</v>
      </c>
      <c r="U441" s="235">
        <f>IFERROR((Таблица10[[#This Row],[ПП]]-Таблица10[[#This Row],[ДДУ]])*1,)</f>
        <v>0</v>
      </c>
      <c r="V441" s="235" cm="1">
        <f t="array" ref="V441">IFERROR(INDEX(РД[Стоимость с отделкой итог],MATCH($Q$3&amp;Таблица10[[#This Row],[№]]&amp;"Продажа",РД[Дом]&amp;РД[№ кв]&amp;РД[Состояние],0),1),Таблица10[[#This Row],[Статус]])</f>
        <v>4729872</v>
      </c>
      <c r="W441" s="235">
        <f>_xlfn.XLOOKUP(Таблица10[[#This Row],[№]],Реестр_Д5[№],Реестр_Д5[Стоимость квартиры с отделкой],"-",0)</f>
        <v>4729872</v>
      </c>
      <c r="X441" s="235">
        <f>IFERROR(Таблица10[[#This Row],[СО ПП]]-Таблица10[[#This Row],[СО ДДУ]],"")</f>
        <v>0</v>
      </c>
      <c r="Y441" s="233" cm="1">
        <f t="array" ref="Y441">IFERROR(INDEX(РД[S],MATCH($Q$3&amp;Таблица10[[#This Row],[№]]&amp;"Продажа",РД[Дом]&amp;РД[№ кв]&amp;РД[Состояние],0),1),Таблица10[[#This Row],[Статус]])</f>
        <v>29.4</v>
      </c>
      <c r="Z441" s="233">
        <f>IF(Таблица10[[#This Row],[№]]&amp;"ДДУ"=ППД5!A438&amp;ППД5!CR438,ППД5!U438,ППД5!V438)</f>
        <v>29.4</v>
      </c>
      <c r="AA441" s="285">
        <f>IFERROR(Таблица10[[#This Row],[S ПП]]-Таблица10[[#This Row],[S ДДУ]],)</f>
        <v>0</v>
      </c>
      <c r="AB441" s="235">
        <f>ROUND(_xlfn.XLOOKUP(Таблица10[[#This Row],[№]],Реестр_Д5[№],Реестр_Д5[Итоговая сумма скидки],"",0),2)</f>
        <v>81528</v>
      </c>
      <c r="AC441" s="235" cm="1">
        <f t="array" ref="AC441">IFERROR(ROUND(_xlfn.XLOOKUP($Q$3&amp;Таблица10[[#This Row],[№]]&amp;"Продажа",РД[Дом]&amp;РД[№ кв]&amp;РД[Состояние],РД[Сумма скидки],"",0,-1),2),Таблица10[[#This Row],[Статус]])</f>
        <v>81528</v>
      </c>
      <c r="AD441" s="285">
        <f>IFERROR(Таблица10[[#This Row],[ППС]]-Таблица10[[#This Row],[ДДУС]],)</f>
        <v>0</v>
      </c>
      <c r="AE441" s="611"/>
      <c r="AT441" s="611"/>
    </row>
    <row r="442" spans="1:46" x14ac:dyDescent="0.2">
      <c r="A442" s="611"/>
      <c r="B442" s="234">
        <f>VLOOKUP(ППД4!A439,Реестр_Д4[№],1,0)</f>
        <v>438</v>
      </c>
      <c r="C442" s="234" t="str">
        <f>VLOOKUP(ППД4!CO439,Реестр_Д4[Статус],1,0)</f>
        <v>Продажа</v>
      </c>
      <c r="D442" s="612">
        <f>VLOOKUP(ППД4!CE439,Реестр_Д4[Стоимость ОН без отделки со скидкой],1,0)</f>
        <v>4604900</v>
      </c>
      <c r="E442" s="612" cm="1">
        <f t="array" ref="E442">IFERROR(INDEX(РД[Стоимость без отделки итог],MATCH($B$3&amp;Таблица4[[#This Row],[№]]&amp;"Продажа",РД[Дом]&amp;РД[№ кв]&amp;РД[Состояние],0),1),Таблица4[[#This Row],[Статус]])</f>
        <v>4604900</v>
      </c>
      <c r="F442" s="235">
        <f>IFERROR((Таблица4[[#This Row],[ПП]]-Таблица4[[#This Row],[ДДУ]])*1,"")</f>
        <v>0</v>
      </c>
      <c r="G442" s="235" cm="1">
        <f t="array" ref="G442">IFERROR(INDEX(РД[Стоимость с отделкой итог],MATCH($B$3&amp;Таблица4[[#This Row],[№]]&amp;"Продажа",РД[Дом]&amp;РД[№ кв]&amp;РД[Состояние],0),1),Таблица4[[#This Row],[Статус]])</f>
        <v>4902950</v>
      </c>
      <c r="H442" s="235">
        <f>_xlfn.XLOOKUP(Таблица4[[#This Row],[№]],Реестр_Д4[№],Реестр_Д4[Стоимость квартиры с отделкой],"-",0)</f>
        <v>4902950</v>
      </c>
      <c r="I442" s="235">
        <f>IFERROR(Таблица4[[#This Row],[СО ПП]]-Таблица4[[#This Row],[СО ДДУ]],"")</f>
        <v>0</v>
      </c>
      <c r="J442" s="233" cm="1">
        <f t="array" ref="J442">IFERROR(INDEX(РД[S],MATCH($B$3&amp;Таблица4[[#This Row],[№]]&amp;"Продажа",РД[Дом]&amp;РД[№ кв]&amp;РД[Состояние],0),1),Таблица4[[#This Row],[Статус]])</f>
        <v>39.74</v>
      </c>
      <c r="K442" s="233">
        <f>VLOOKUP(Таблица4[[#This Row],[№]],Реестр_Д4[],20,0)</f>
        <v>39.74</v>
      </c>
      <c r="L442" s="235">
        <f>IFERROR(Таблица4[[#This Row],[S ПП]]-Таблица4[[#This Row],[S ДДУ]],)</f>
        <v>0</v>
      </c>
      <c r="M442" s="235">
        <f>ROUND(_xlfn.XLOOKUP(Таблица4[[#This Row],[№]],Реестр_Д4[№],Реестр_Д4[Итоговая сумма скидки],"",0),2)</f>
        <v>0</v>
      </c>
      <c r="N442" s="235" cm="1">
        <f t="array" ref="N44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2" s="235">
        <f>IFERROR(Таблица4[[#This Row],[ППС]]-Таблица4[[#This Row],[ДДУС]],)</f>
        <v>0</v>
      </c>
      <c r="P442" s="611"/>
      <c r="Q442" s="234">
        <f>VLOOKUP(ППД5!A439,Реестр_Д5[№],1,0)</f>
        <v>438</v>
      </c>
      <c r="R442" s="234" t="str">
        <f>VLOOKUP(ППД5!CH439,Реестр_Д5[Статус],1,0)</f>
        <v>Продажа</v>
      </c>
      <c r="S442" s="612">
        <f>VLOOKUP(ППД5!BZ439,Реестр_Д5[Стоимость ОН без отделки со скидкой],1,0)</f>
        <v>4220900</v>
      </c>
      <c r="T442" s="612" cm="1">
        <f t="array" ref="T442">IFERROR(INDEX(РД[Стоимость без отделки итог],MATCH($Q$3&amp;Таблица10[[#This Row],[№]]&amp;"Продажа",РД[Дом]&amp;РД[№ кв]&amp;РД[Состояние],0),1),Таблица10[[#This Row],[Статус]])</f>
        <v>4220900</v>
      </c>
      <c r="U442" s="235">
        <f>IFERROR((Таблица10[[#This Row],[ПП]]-Таблица10[[#This Row],[ДДУ]])*1,)</f>
        <v>0</v>
      </c>
      <c r="V442" s="235" cm="1">
        <f t="array" ref="V442">IFERROR(INDEX(РД[Стоимость с отделкой итог],MATCH($Q$3&amp;Таблица10[[#This Row],[№]]&amp;"Продажа",РД[Дом]&amp;РД[№ кв]&amp;РД[Состояние],0),1),Таблица10[[#This Row],[Статус]])</f>
        <v>4220900</v>
      </c>
      <c r="W442" s="235">
        <f>_xlfn.XLOOKUP(Таблица10[[#This Row],[№]],Реестр_Д5[№],Реестр_Д5[Стоимость квартиры с отделкой],"-",0)</f>
        <v>4220900</v>
      </c>
      <c r="X442" s="235">
        <f>IFERROR(Таблица10[[#This Row],[СО ПП]]-Таблица10[[#This Row],[СО ДДУ]],"")</f>
        <v>0</v>
      </c>
      <c r="Y442" s="233" cm="1">
        <f t="array" ref="Y442">IFERROR(INDEX(РД[S],MATCH($Q$3&amp;Таблица10[[#This Row],[№]]&amp;"Продажа",РД[Дом]&amp;РД[№ кв]&amp;РД[Состояние],0),1),Таблица10[[#This Row],[Статус]])</f>
        <v>43.21</v>
      </c>
      <c r="Z442" s="233">
        <f>IF(Таблица10[[#This Row],[№]]&amp;"ДДУ"=ППД5!A439&amp;ППД5!CR439,ППД5!U439,ППД5!V439)</f>
        <v>43.21</v>
      </c>
      <c r="AA442" s="285">
        <f>IFERROR(Таблица10[[#This Row],[S ПП]]-Таблица10[[#This Row],[S ДДУ]],)</f>
        <v>0</v>
      </c>
      <c r="AB442" s="235">
        <f>ROUND(_xlfn.XLOOKUP(Таблица10[[#This Row],[№]],Реестр_Д5[№],Реестр_Д5[Итоговая сумма скидки],"",0),2)</f>
        <v>0</v>
      </c>
      <c r="AC442" s="235" cm="1">
        <f t="array" ref="AC44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2" s="285">
        <f>IFERROR(Таблица10[[#This Row],[ППС]]-Таблица10[[#This Row],[ДДУС]],)</f>
        <v>0</v>
      </c>
      <c r="AE442" s="611"/>
      <c r="AT442" s="611"/>
    </row>
    <row r="443" spans="1:46" x14ac:dyDescent="0.2">
      <c r="A443" s="611"/>
      <c r="B443" s="234">
        <f>VLOOKUP(ППД4!A440,Реестр_Д4[№],1,0)</f>
        <v>439</v>
      </c>
      <c r="C443" s="234" t="str">
        <f>VLOOKUP(ППД4!CO440,Реестр_Д4[Статус],1,0)</f>
        <v>Продажа</v>
      </c>
      <c r="D443" s="612">
        <f>VLOOKUP(ППД4!CE440,Реестр_Д4[Стоимость ОН без отделки со скидкой],1,0)</f>
        <v>3699442.91</v>
      </c>
      <c r="E443" s="612" cm="1">
        <f t="array" ref="E443">IFERROR(INDEX(РД[Стоимость без отделки итог],MATCH($B$3&amp;Таблица4[[#This Row],[№]]&amp;"Продажа",РД[Дом]&amp;РД[№ кв]&amp;РД[Состояние],0),1),Таблица4[[#This Row],[Статус]])</f>
        <v>3699442.91</v>
      </c>
      <c r="F443" s="235">
        <f>IFERROR((Таблица4[[#This Row],[ПП]]-Таблица4[[#This Row],[ДДУ]])*1,"")</f>
        <v>0</v>
      </c>
      <c r="G443" s="235" cm="1">
        <f t="array" ref="G443">IFERROR(INDEX(РД[Стоимость с отделкой итог],MATCH($B$3&amp;Таблица4[[#This Row],[№]]&amp;"Продажа",РД[Дом]&amp;РД[№ кв]&amp;РД[Состояние],0),1),Таблица4[[#This Row],[Статус]])</f>
        <v>4278442.91</v>
      </c>
      <c r="H443" s="235">
        <f>_xlfn.XLOOKUP(Таблица4[[#This Row],[№]],Реестр_Д4[№],Реестр_Д4[Стоимость квартиры с отделкой],"-",0)</f>
        <v>4278442.91</v>
      </c>
      <c r="I443" s="235">
        <f>IFERROR(Таблица4[[#This Row],[СО ПП]]-Таблица4[[#This Row],[СО ДДУ]],"")</f>
        <v>0</v>
      </c>
      <c r="J443" s="233" cm="1">
        <f t="array" ref="J443">IFERROR(INDEX(РД[S],MATCH($B$3&amp;Таблица4[[#This Row],[№]]&amp;"Продажа",РД[Дом]&amp;РД[№ кв]&amp;РД[Состояние],0),1),Таблица4[[#This Row],[Статус]])</f>
        <v>38.6</v>
      </c>
      <c r="K443" s="233">
        <f>VLOOKUP(Таблица4[[#This Row],[№]],Реестр_Д4[],20,0)</f>
        <v>38.6</v>
      </c>
      <c r="L443" s="235">
        <f>IFERROR(Таблица4[[#This Row],[S ПП]]-Таблица4[[#This Row],[S ДДУ]],)</f>
        <v>0</v>
      </c>
      <c r="M443" s="235">
        <f>ROUND(_xlfn.XLOOKUP(Таблица4[[#This Row],[№]],Реестр_Д4[№],Реестр_Д4[Итоговая сумма скидки],"",0),2)</f>
        <v>0</v>
      </c>
      <c r="N443" s="235" cm="1">
        <f t="array" ref="N44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3" s="235">
        <f>IFERROR(Таблица4[[#This Row],[ППС]]-Таблица4[[#This Row],[ДДУС]],)</f>
        <v>0</v>
      </c>
      <c r="P443" s="611"/>
      <c r="Q443" s="234">
        <f>VLOOKUP(ППД5!A440,Реестр_Д5[№],1,0)</f>
        <v>439</v>
      </c>
      <c r="R443" s="234" t="str">
        <f>VLOOKUP(ППД5!CH440,Реестр_Д5[Статус],1,0)</f>
        <v>Продажа</v>
      </c>
      <c r="S443" s="612">
        <f>VLOOKUP(ППД5!BZ440,Реестр_Д5[Стоимость ОН без отделки со скидкой],1,0)</f>
        <v>3515200</v>
      </c>
      <c r="T443" s="612" cm="1">
        <f t="array" ref="T443">IFERROR(INDEX(РД[Стоимость без отделки итог],MATCH($Q$3&amp;Таблица10[[#This Row],[№]]&amp;"Продажа",РД[Дом]&amp;РД[№ кв]&amp;РД[Состояние],0),1),Таблица10[[#This Row],[Статус]])</f>
        <v>3515200</v>
      </c>
      <c r="U443" s="235">
        <f>IFERROR((Таблица10[[#This Row],[ПП]]-Таблица10[[#This Row],[ДДУ]])*1,)</f>
        <v>0</v>
      </c>
      <c r="V443" s="235" cm="1">
        <f t="array" ref="V443">IFERROR(INDEX(РД[Стоимость с отделкой итог],MATCH($Q$3&amp;Таблица10[[#This Row],[№]]&amp;"Продажа",РД[Дом]&amp;РД[№ кв]&amp;РД[Состояние],0),1),Таблица10[[#This Row],[Статус]])</f>
        <v>3515200</v>
      </c>
      <c r="W443" s="235">
        <f>_xlfn.XLOOKUP(Таблица10[[#This Row],[№]],Реестр_Д5[№],Реестр_Д5[Стоимость квартиры с отделкой],"-",0)</f>
        <v>3515200</v>
      </c>
      <c r="X443" s="235">
        <f>IFERROR(Таблица10[[#This Row],[СО ПП]]-Таблица10[[#This Row],[СО ДДУ]],"")</f>
        <v>0</v>
      </c>
      <c r="Y443" s="233" cm="1">
        <f t="array" ref="Y443">IFERROR(INDEX(РД[S],MATCH($Q$3&amp;Таблица10[[#This Row],[№]]&amp;"Продажа",РД[Дом]&amp;РД[№ кв]&amp;РД[Состояние],0),1),Таблица10[[#This Row],[Статус]])</f>
        <v>24.5</v>
      </c>
      <c r="Z443" s="233">
        <f>IF(Таблица10[[#This Row],[№]]&amp;"ДДУ"=ППД5!A440&amp;ППД5!CR440,ППД5!U440,ППД5!V440)</f>
        <v>24.5</v>
      </c>
      <c r="AA443" s="285">
        <f>IFERROR(Таблица10[[#This Row],[S ПП]]-Таблица10[[#This Row],[S ДДУ]],)</f>
        <v>0</v>
      </c>
      <c r="AB443" s="235">
        <f>ROUND(_xlfn.XLOOKUP(Таблица10[[#This Row],[№]],Реестр_Д5[№],Реестр_Д5[Итоговая сумма скидки],"",0),2)</f>
        <v>0</v>
      </c>
      <c r="AC443" s="235" cm="1">
        <f t="array" ref="AC44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3" s="285">
        <f>IFERROR(Таблица10[[#This Row],[ППС]]-Таблица10[[#This Row],[ДДУС]],)</f>
        <v>0</v>
      </c>
      <c r="AE443" s="611"/>
      <c r="AT443" s="611"/>
    </row>
    <row r="444" spans="1:46" x14ac:dyDescent="0.2">
      <c r="A444" s="611"/>
      <c r="B444" s="234">
        <f>VLOOKUP(ППД4!A441,Реестр_Д4[№],1,0)</f>
        <v>440</v>
      </c>
      <c r="C444" s="234" t="str">
        <f>VLOOKUP(ППД4!CO441,Реестр_Д4[Статус],1,0)</f>
        <v>Продажа</v>
      </c>
      <c r="D444" s="612">
        <f>VLOOKUP(ППД4!CE441,Реестр_Д4[Стоимость ОН без отделки со скидкой],1,0)</f>
        <v>5283776.32</v>
      </c>
      <c r="E444" s="612" cm="1">
        <f t="array" ref="E444">IFERROR(INDEX(РД[Стоимость без отделки итог],MATCH($B$3&amp;Таблица4[[#This Row],[№]]&amp;"Продажа",РД[Дом]&amp;РД[№ кв]&amp;РД[Состояние],0),1),Таблица4[[#This Row],[Статус]])</f>
        <v>5283776.32</v>
      </c>
      <c r="F444" s="235">
        <f>IFERROR((Таблица4[[#This Row],[ПП]]-Таблица4[[#This Row],[ДДУ]])*1,"")</f>
        <v>0</v>
      </c>
      <c r="G444" s="235" cm="1">
        <f t="array" ref="G444">IFERROR(INDEX(РД[Стоимость с отделкой итог],MATCH($B$3&amp;Таблица4[[#This Row],[№]]&amp;"Продажа",РД[Дом]&amp;РД[№ кв]&amp;РД[Состояние],0),1),Таблица4[[#This Row],[Статус]])</f>
        <v>6397976.3200000003</v>
      </c>
      <c r="H444" s="235">
        <f>_xlfn.XLOOKUP(Таблица4[[#This Row],[№]],Реестр_Д4[№],Реестр_Д4[Стоимость квартиры с отделкой],"-",0)</f>
        <v>6397976.3200000003</v>
      </c>
      <c r="I444" s="235">
        <f>IFERROR(Таблица4[[#This Row],[СО ПП]]-Таблица4[[#This Row],[СО ДДУ]],"")</f>
        <v>0</v>
      </c>
      <c r="J444" s="233" cm="1">
        <f t="array" ref="J444">IFERROR(INDEX(РД[S],MATCH($B$3&amp;Таблица4[[#This Row],[№]]&amp;"Продажа",РД[Дом]&amp;РД[№ кв]&amp;РД[Состояние],0),1),Таблица4[[#This Row],[Статус]])</f>
        <v>74.28</v>
      </c>
      <c r="K444" s="233">
        <f>VLOOKUP(Таблица4[[#This Row],[№]],Реестр_Д4[],20,0)</f>
        <v>74.28</v>
      </c>
      <c r="L444" s="235">
        <f>IFERROR(Таблица4[[#This Row],[S ПП]]-Таблица4[[#This Row],[S ДДУ]],)</f>
        <v>0</v>
      </c>
      <c r="M444" s="235">
        <f>ROUND(_xlfn.XLOOKUP(Таблица4[[#This Row],[№]],Реестр_Д4[№],Реестр_Д4[Итоговая сумма скидки],"",0),2)</f>
        <v>0</v>
      </c>
      <c r="N444" s="235" cm="1">
        <f t="array" ref="N44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4" s="235">
        <f>IFERROR(Таблица4[[#This Row],[ППС]]-Таблица4[[#This Row],[ДДУС]],)</f>
        <v>0</v>
      </c>
      <c r="P444" s="611"/>
      <c r="Q444" s="234">
        <f>VLOOKUP(ППД5!A441,Реестр_Д5[№],1,0)</f>
        <v>440</v>
      </c>
      <c r="R444" s="234" t="str">
        <f>VLOOKUP(ППД5!CH441,Реестр_Д5[Статус],1,0)</f>
        <v>Продажа</v>
      </c>
      <c r="S444" s="612">
        <f>VLOOKUP(ППД5!BZ441,Реестр_Д5[Стоимость ОН без отделки со скидкой],1,0)</f>
        <v>6847036</v>
      </c>
      <c r="T444" s="612" cm="1">
        <f t="array" ref="T444">IFERROR(INDEX(РД[Стоимость без отделки итог],MATCH($Q$3&amp;Таблица10[[#This Row],[№]]&amp;"Продажа",РД[Дом]&amp;РД[№ кв]&amp;РД[Состояние],0),1),Таблица10[[#This Row],[Статус]])</f>
        <v>6847036</v>
      </c>
      <c r="U444" s="235">
        <f>IFERROR((Таблица10[[#This Row],[ПП]]-Таблица10[[#This Row],[ДДУ]])*1,)</f>
        <v>0</v>
      </c>
      <c r="V444" s="235" cm="1">
        <f t="array" ref="V444">IFERROR(INDEX(РД[Стоимость с отделкой итог],MATCH($Q$3&amp;Таблица10[[#This Row],[№]]&amp;"Продажа",РД[Дом]&amp;РД[№ кв]&amp;РД[Состояние],0),1),Таблица10[[#This Row],[Статус]])</f>
        <v>7312956</v>
      </c>
      <c r="W444" s="235">
        <f>_xlfn.XLOOKUP(Таблица10[[#This Row],[№]],Реестр_Д5[№],Реестр_Д5[Стоимость квартиры с отделкой],"-",0)</f>
        <v>7312956</v>
      </c>
      <c r="X444" s="235">
        <f>IFERROR(Таблица10[[#This Row],[СО ПП]]-Таблица10[[#This Row],[СО ДДУ]],"")</f>
        <v>0</v>
      </c>
      <c r="Y444" s="233" cm="1">
        <f t="array" ref="Y444">IFERROR(INDEX(РД[S],MATCH($Q$3&amp;Таблица10[[#This Row],[№]]&amp;"Продажа",РД[Дом]&amp;РД[№ кв]&amp;РД[Состояние],0),1),Таблица10[[#This Row],[Статус]])</f>
        <v>58.24</v>
      </c>
      <c r="Z444" s="233">
        <f>IF(Таблица10[[#This Row],[№]]&amp;"ДДУ"=ППД5!A441&amp;ППД5!CR441,ППД5!U441,ППД5!V441)</f>
        <v>58.24</v>
      </c>
      <c r="AA444" s="285">
        <f>IFERROR(Таблица10[[#This Row],[S ПП]]-Таблица10[[#This Row],[S ДДУ]],)</f>
        <v>0</v>
      </c>
      <c r="AB444" s="235">
        <f>ROUND(_xlfn.XLOOKUP(Таблица10[[#This Row],[№]],Реестр_Д5[№],Реестр_Д5[Итоговая сумма скидки],"",0),2)</f>
        <v>211764</v>
      </c>
      <c r="AC444" s="235" cm="1">
        <f t="array" ref="AC444">IFERROR(ROUND(_xlfn.XLOOKUP($Q$3&amp;Таблица10[[#This Row],[№]]&amp;"Продажа",РД[Дом]&amp;РД[№ кв]&amp;РД[Состояние],РД[Сумма скидки],"",0,-1),2),Таблица10[[#This Row],[Статус]])</f>
        <v>211764</v>
      </c>
      <c r="AD444" s="285">
        <f>IFERROR(Таблица10[[#This Row],[ППС]]-Таблица10[[#This Row],[ДДУС]],)</f>
        <v>0</v>
      </c>
      <c r="AE444" s="611"/>
      <c r="AT444" s="611"/>
    </row>
    <row r="445" spans="1:46" x14ac:dyDescent="0.2">
      <c r="A445" s="611"/>
      <c r="B445" s="234">
        <f>VLOOKUP(ППД4!A442,Реестр_Д4[№],1,0)</f>
        <v>441</v>
      </c>
      <c r="C445" s="234" t="str">
        <f>VLOOKUP(ППД4!CO442,Реестр_Д4[Статус],1,0)</f>
        <v>Продажа</v>
      </c>
      <c r="D445" s="612">
        <f>VLOOKUP(ППД4!CE442,Реестр_Д4[Стоимость ОН без отделки со скидкой],1,0)</f>
        <v>3168712.1</v>
      </c>
      <c r="E445" s="612" cm="1">
        <f t="array" ref="E445">IFERROR(INDEX(РД[Стоимость без отделки итог],MATCH($B$3&amp;Таблица4[[#This Row],[№]]&amp;"Продажа",РД[Дом]&amp;РД[№ кв]&amp;РД[Состояние],0),1),Таблица4[[#This Row],[Статус]])</f>
        <v>3168712.1</v>
      </c>
      <c r="F445" s="235">
        <f>IFERROR((Таблица4[[#This Row],[ПП]]-Таблица4[[#This Row],[ДДУ]])*1,"")</f>
        <v>0</v>
      </c>
      <c r="G445" s="235" cm="1">
        <f t="array" ref="G445">IFERROR(INDEX(РД[Стоимость с отделкой итог],MATCH($B$3&amp;Таблица4[[#This Row],[№]]&amp;"Продажа",РД[Дом]&amp;РД[№ кв]&amp;РД[Состояние],0),1),Таблица4[[#This Row],[Статус]])</f>
        <v>3314712.1</v>
      </c>
      <c r="H445" s="235">
        <f>_xlfn.XLOOKUP(Таблица4[[#This Row],[№]],Реестр_Д4[№],Реестр_Д4[Стоимость квартиры с отделкой],"-",0)</f>
        <v>3314712.1</v>
      </c>
      <c r="I445" s="235">
        <f>IFERROR(Таблица4[[#This Row],[СО ПП]]-Таблица4[[#This Row],[СО ДДУ]],"")</f>
        <v>0</v>
      </c>
      <c r="J445" s="233" cm="1">
        <f t="array" ref="J445">IFERROR(INDEX(РД[S],MATCH($B$3&amp;Таблица4[[#This Row],[№]]&amp;"Продажа",РД[Дом]&amp;РД[№ кв]&amp;РД[Состояние],0),1),Таблица4[[#This Row],[Статус]])</f>
        <v>36.5</v>
      </c>
      <c r="K445" s="233">
        <f>VLOOKUP(Таблица4[[#This Row],[№]],Реестр_Д4[],20,0)</f>
        <v>36.5</v>
      </c>
      <c r="L445" s="235">
        <f>IFERROR(Таблица4[[#This Row],[S ПП]]-Таблица4[[#This Row],[S ДДУ]],)</f>
        <v>0</v>
      </c>
      <c r="M445" s="235">
        <f>ROUND(_xlfn.XLOOKUP(Таблица4[[#This Row],[№]],Реестр_Д4[№],Реестр_Д4[Итоговая сумма скидки],"",0),2)</f>
        <v>0</v>
      </c>
      <c r="N445" s="235" cm="1">
        <f t="array" ref="N44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5" s="235">
        <f>IFERROR(Таблица4[[#This Row],[ППС]]-Таблица4[[#This Row],[ДДУС]],)</f>
        <v>0</v>
      </c>
      <c r="P445" s="611"/>
      <c r="Q445" s="234">
        <f>VLOOKUP(ППД5!A442,Реестр_Д5[№],1,0)</f>
        <v>441</v>
      </c>
      <c r="R445" s="234" t="str">
        <f>VLOOKUP(ППД5!CH442,Реестр_Д5[Статус],1,0)</f>
        <v>Продажа</v>
      </c>
      <c r="S445" s="612">
        <f>VLOOKUP(ППД5!BZ442,Реестр_Д5[Стоимость ОН без отделки со скидкой],1,0)</f>
        <v>5596400</v>
      </c>
      <c r="T445" s="612" cm="1">
        <f t="array" ref="T445">IFERROR(INDEX(РД[Стоимость без отделки итог],MATCH($Q$3&amp;Таблица10[[#This Row],[№]]&amp;"Продажа",РД[Дом]&amp;РД[№ кв]&amp;РД[Состояние],0),1),Таблица10[[#This Row],[Статус]])</f>
        <v>5596400</v>
      </c>
      <c r="U445" s="235">
        <f>IFERROR((Таблица10[[#This Row],[ПП]]-Таблица10[[#This Row],[ДДУ]])*1,)</f>
        <v>0</v>
      </c>
      <c r="V445" s="235" cm="1">
        <f t="array" ref="V445">IFERROR(INDEX(РД[Стоимость с отделкой итог],MATCH($Q$3&amp;Таблица10[[#This Row],[№]]&amp;"Продажа",РД[Дом]&amp;РД[№ кв]&amp;РД[Состояние],0),1),Таблица10[[#This Row],[Статус]])</f>
        <v>6001000</v>
      </c>
      <c r="W445" s="235">
        <f>_xlfn.XLOOKUP(Таблица10[[#This Row],[№]],Реестр_Д5[№],Реестр_Д5[Стоимость квартиры с отделкой],"-",0)</f>
        <v>6001000</v>
      </c>
      <c r="X445" s="235">
        <f>IFERROR(Таблица10[[#This Row],[СО ПП]]-Таблица10[[#This Row],[СО ДДУ]],"")</f>
        <v>0</v>
      </c>
      <c r="Y445" s="233" cm="1">
        <f t="array" ref="Y445">IFERROR(INDEX(РД[S],MATCH($Q$3&amp;Таблица10[[#This Row],[№]]&amp;"Продажа",РД[Дом]&amp;РД[№ кв]&amp;РД[Состояние],0),1),Таблица10[[#This Row],[Статус]])</f>
        <v>57.8</v>
      </c>
      <c r="Z445" s="233">
        <f>IF(Таблица10[[#This Row],[№]]&amp;"ДДУ"=ППД5!A442&amp;ППД5!CR442,ППД5!U442,ППД5!V442)</f>
        <v>57.8</v>
      </c>
      <c r="AA445" s="285">
        <f>IFERROR(Таблица10[[#This Row],[S ПП]]-Таблица10[[#This Row],[S ДДУ]],)</f>
        <v>0</v>
      </c>
      <c r="AB445" s="235">
        <f>ROUND(_xlfn.XLOOKUP(Таблица10[[#This Row],[№]],Реестр_Д5[№],Реестр_Д5[Итоговая сумма скидки],"",0),2)</f>
        <v>0</v>
      </c>
      <c r="AC445" s="235" cm="1">
        <f t="array" ref="AC44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5" s="285">
        <f>IFERROR(Таблица10[[#This Row],[ППС]]-Таблица10[[#This Row],[ДДУС]],)</f>
        <v>0</v>
      </c>
      <c r="AE445" s="611"/>
      <c r="AT445" s="611"/>
    </row>
    <row r="446" spans="1:46" x14ac:dyDescent="0.2">
      <c r="A446" s="611"/>
      <c r="B446" s="234">
        <f>VLOOKUP(ППД4!A443,Реестр_Д4[№],1,0)</f>
        <v>442</v>
      </c>
      <c r="C446" s="234" t="str">
        <f>VLOOKUP(ППД4!CO443,Реестр_Д4[Статус],1,0)</f>
        <v>Продажа</v>
      </c>
      <c r="D446" s="612">
        <f>VLOOKUP(ППД4!CE443,Реестр_Д4[Стоимость ОН без отделки со скидкой],1,0)</f>
        <v>4284157.6900000004</v>
      </c>
      <c r="E446" s="612" cm="1">
        <f t="array" ref="E446">IFERROR(INDEX(РД[Стоимость без отделки итог],MATCH($B$3&amp;Таблица4[[#This Row],[№]]&amp;"Продажа",РД[Дом]&amp;РД[№ кв]&amp;РД[Состояние],0),1),Таблица4[[#This Row],[Статус]])</f>
        <v>4284157.6900000004</v>
      </c>
      <c r="F446" s="235">
        <f>IFERROR((Таблица4[[#This Row],[ПП]]-Таблица4[[#This Row],[ДДУ]])*1,"")</f>
        <v>0</v>
      </c>
      <c r="G446" s="235" cm="1">
        <f t="array" ref="G446">IFERROR(INDEX(РД[Стоимость с отделкой итог],MATCH($B$3&amp;Таблица4[[#This Row],[№]]&amp;"Продажа",РД[Дом]&amp;РД[№ кв]&amp;РД[Состояние],0),1),Таблица4[[#This Row],[Статус]])</f>
        <v>4508317.6900000004</v>
      </c>
      <c r="H446" s="235">
        <f>_xlfn.XLOOKUP(Таблица4[[#This Row],[№]],Реестр_Д4[№],Реестр_Д4[Стоимость квартиры с отделкой],"-",0)</f>
        <v>4508317.6900000004</v>
      </c>
      <c r="I446" s="235">
        <f>IFERROR(Таблица4[[#This Row],[СО ПП]]-Таблица4[[#This Row],[СО ДДУ]],"")</f>
        <v>0</v>
      </c>
      <c r="J446" s="233" cm="1">
        <f t="array" ref="J446">IFERROR(INDEX(РД[S],MATCH($B$3&amp;Таблица4[[#This Row],[№]]&amp;"Продажа",РД[Дом]&amp;РД[№ кв]&amp;РД[Состояние],0),1),Таблица4[[#This Row],[Статус]])</f>
        <v>56.04</v>
      </c>
      <c r="K446" s="233">
        <f>VLOOKUP(Таблица4[[#This Row],[№]],Реестр_Д4[],20,0)</f>
        <v>56.04</v>
      </c>
      <c r="L446" s="235">
        <f>IFERROR(Таблица4[[#This Row],[S ПП]]-Таблица4[[#This Row],[S ДДУ]],)</f>
        <v>0</v>
      </c>
      <c r="M446" s="235">
        <f>ROUND(_xlfn.XLOOKUP(Таблица4[[#This Row],[№]],Реестр_Д4[№],Реестр_Д4[Итоговая сумма скидки],"",0),2)</f>
        <v>0</v>
      </c>
      <c r="N446" s="235" cm="1">
        <f t="array" ref="N44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6" s="235">
        <f>IFERROR(Таблица4[[#This Row],[ППС]]-Таблица4[[#This Row],[ДДУС]],)</f>
        <v>0</v>
      </c>
      <c r="P446" s="611"/>
      <c r="Q446" s="234">
        <f>VLOOKUP(ППД5!A443,Реестр_Д5[№],1,0)</f>
        <v>442</v>
      </c>
      <c r="R446" s="234" t="str">
        <f>VLOOKUP(ППД5!CH443,Реестр_Д5[Статус],1,0)</f>
        <v>Продажа</v>
      </c>
      <c r="S446" s="612">
        <f>VLOOKUP(ППД5!BZ443,Реестр_Д5[Стоимость ОН без отделки со скидкой],1,0)</f>
        <v>4081000</v>
      </c>
      <c r="T446" s="612" cm="1">
        <f t="array" ref="T446">IFERROR(INDEX(РД[Стоимость без отделки итог],MATCH($Q$3&amp;Таблица10[[#This Row],[№]]&amp;"Продажа",РД[Дом]&amp;РД[№ кв]&amp;РД[Состояние],0),1),Таблица10[[#This Row],[Статус]])</f>
        <v>4081000</v>
      </c>
      <c r="U446" s="235">
        <f>IFERROR((Таблица10[[#This Row],[ПП]]-Таблица10[[#This Row],[ДДУ]])*1,)</f>
        <v>0</v>
      </c>
      <c r="V446" s="235" cm="1">
        <f t="array" ref="V446">IFERROR(INDEX(РД[Стоимость с отделкой итог],MATCH($Q$3&amp;Таблица10[[#This Row],[№]]&amp;"Продажа",РД[Дом]&amp;РД[№ кв]&amp;РД[Состояние],0),1),Таблица10[[#This Row],[Статус]])</f>
        <v>4349100</v>
      </c>
      <c r="W446" s="235">
        <f>_xlfn.XLOOKUP(Таблица10[[#This Row],[№]],Реестр_Д5[№],Реестр_Д5[Стоимость квартиры с отделкой],"-",0)</f>
        <v>4349100</v>
      </c>
      <c r="X446" s="235">
        <f>IFERROR(Таблица10[[#This Row],[СО ПП]]-Таблица10[[#This Row],[СО ДДУ]],"")</f>
        <v>0</v>
      </c>
      <c r="Y446" s="233" cm="1">
        <f t="array" ref="Y446">IFERROR(INDEX(РД[S],MATCH($Q$3&amp;Таблица10[[#This Row],[№]]&amp;"Продажа",РД[Дом]&amp;РД[№ кв]&amp;РД[Состояние],0),1),Таблица10[[#This Row],[Статус]])</f>
        <v>38.299999999999997</v>
      </c>
      <c r="Z446" s="233">
        <f>IF(Таблица10[[#This Row],[№]]&amp;"ДДУ"=ППД5!A443&amp;ППД5!CR443,ППД5!U443,ППД5!V443)</f>
        <v>38.299999999999997</v>
      </c>
      <c r="AA446" s="285">
        <f>IFERROR(Таблица10[[#This Row],[S ПП]]-Таблица10[[#This Row],[S ДДУ]],)</f>
        <v>0</v>
      </c>
      <c r="AB446" s="235">
        <f>ROUND(_xlfn.XLOOKUP(Таблица10[[#This Row],[№]],Реестр_Д5[№],Реестр_Д5[Итоговая сумма скидки],"",0),2)</f>
        <v>0</v>
      </c>
      <c r="AC446" s="235" cm="1">
        <f t="array" ref="AC44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6" s="285">
        <f>IFERROR(Таблица10[[#This Row],[ППС]]-Таблица10[[#This Row],[ДДУС]],)</f>
        <v>0</v>
      </c>
      <c r="AE446" s="611"/>
      <c r="AT446" s="611"/>
    </row>
    <row r="447" spans="1:46" x14ac:dyDescent="0.2">
      <c r="A447" s="611"/>
      <c r="B447" s="234">
        <f>VLOOKUP(ППД4!A444,Реестр_Д4[№],1,0)</f>
        <v>443</v>
      </c>
      <c r="C447" s="234" t="str">
        <f>VLOOKUP(ППД4!CO444,Реестр_Д4[Статус],1,0)</f>
        <v>Продажа</v>
      </c>
      <c r="D447" s="612">
        <f>VLOOKUP(ППД4!CE444,Реестр_Д4[Стоимость ОН без отделки со скидкой],1,0)</f>
        <v>4513743.1100000003</v>
      </c>
      <c r="E447" s="612" cm="1">
        <f t="array" ref="E447">IFERROR(INDEX(РД[Стоимость без отделки итог],MATCH($B$3&amp;Таблица4[[#This Row],[№]]&amp;"Продажа",РД[Дом]&amp;РД[№ кв]&amp;РД[Состояние],0),1),Таблица4[[#This Row],[Статус]])</f>
        <v>4513743.1100000003</v>
      </c>
      <c r="F447" s="235">
        <f>IFERROR((Таблица4[[#This Row],[ПП]]-Таблица4[[#This Row],[ДДУ]])*1,"")</f>
        <v>0</v>
      </c>
      <c r="G447" s="235" cm="1">
        <f t="array" ref="G447">IFERROR(INDEX(РД[Стоимость с отделкой итог],MATCH($B$3&amp;Таблица4[[#This Row],[№]]&amp;"Продажа",РД[Дом]&amp;РД[№ кв]&amp;РД[Состояние],0),1),Таблица4[[#This Row],[Статус]])</f>
        <v>4748223.1100000003</v>
      </c>
      <c r="H447" s="235">
        <f>_xlfn.XLOOKUP(Таблица4[[#This Row],[№]],Реестр_Д4[№],Реестр_Д4[Стоимость квартиры с отделкой],"-",0)</f>
        <v>4748223.1100000003</v>
      </c>
      <c r="I447" s="235">
        <f>IFERROR(Таблица4[[#This Row],[СО ПП]]-Таблица4[[#This Row],[СО ДДУ]],"")</f>
        <v>0</v>
      </c>
      <c r="J447" s="233" cm="1">
        <f t="array" ref="J447">IFERROR(INDEX(РД[S],MATCH($B$3&amp;Таблица4[[#This Row],[№]]&amp;"Продажа",РД[Дом]&amp;РД[№ кв]&amp;РД[Состояние],0),1),Таблица4[[#This Row],[Статус]])</f>
        <v>58.62</v>
      </c>
      <c r="K447" s="233">
        <f>VLOOKUP(Таблица4[[#This Row],[№]],Реестр_Д4[],20,0)</f>
        <v>58.62</v>
      </c>
      <c r="L447" s="235">
        <f>IFERROR(Таблица4[[#This Row],[S ПП]]-Таблица4[[#This Row],[S ДДУ]],)</f>
        <v>0</v>
      </c>
      <c r="M447" s="235">
        <f>ROUND(_xlfn.XLOOKUP(Таблица4[[#This Row],[№]],Реестр_Д4[№],Реестр_Д4[Итоговая сумма скидки],"",0),2)</f>
        <v>288111.26</v>
      </c>
      <c r="N447" s="235" cm="1">
        <f t="array" ref="N447">IFERROR(ROUND(_xlfn.XLOOKUP($B$3&amp;Таблица4[[#This Row],[№]]&amp;"Продажа",РД[Дом]&amp;РД[№ кв]&amp;РД[Состояние],РД[Сумма скидки],"",0),2),Таблица4[[#This Row],[Статус]])</f>
        <v>288111.26</v>
      </c>
      <c r="O447" s="235">
        <f>IFERROR(Таблица4[[#This Row],[ППС]]-Таблица4[[#This Row],[ДДУС]],)</f>
        <v>0</v>
      </c>
      <c r="P447" s="611"/>
      <c r="Q447" s="234">
        <f>VLOOKUP(ППД5!A444,Реестр_Д5[№],1,0)</f>
        <v>443</v>
      </c>
      <c r="R447" s="234" t="str">
        <f>VLOOKUP(ППД5!CH444,Реестр_Д5[Статус],1,0)</f>
        <v>Продажа</v>
      </c>
      <c r="S447" s="612">
        <f>VLOOKUP(ППД5!BZ444,Реестр_Д5[Стоимость ОН без отделки со скидкой],1,0)</f>
        <v>7149900</v>
      </c>
      <c r="T447" s="612" cm="1">
        <f t="array" ref="T447">IFERROR(INDEX(РД[Стоимость без отделки итог],MATCH($Q$3&amp;Таблица10[[#This Row],[№]]&amp;"Продажа",РД[Дом]&amp;РД[№ кв]&amp;РД[Состояние],0),1),Таблица10[[#This Row],[Статус]])</f>
        <v>7149900</v>
      </c>
      <c r="U447" s="235">
        <f>IFERROR((Таблица10[[#This Row],[ПП]]-Таблица10[[#This Row],[ДДУ]])*1,)</f>
        <v>0</v>
      </c>
      <c r="V447" s="235" cm="1">
        <f t="array" ref="V447">IFERROR(INDEX(РД[Стоимость с отделкой итог],MATCH($Q$3&amp;Таблица10[[#This Row],[№]]&amp;"Продажа",РД[Дом]&amp;РД[№ кв]&amp;РД[Состояние],0),1),Таблица10[[#This Row],[Статус]])</f>
        <v>8738700</v>
      </c>
      <c r="W447" s="235">
        <f>_xlfn.XLOOKUP(Таблица10[[#This Row],[№]],Реестр_Д5[№],Реестр_Д5[Стоимость квартиры с отделкой],"-",0)</f>
        <v>8738700</v>
      </c>
      <c r="X447" s="235">
        <f>IFERROR(Таблица10[[#This Row],[СО ПП]]-Таблица10[[#This Row],[СО ДДУ]],"")</f>
        <v>0</v>
      </c>
      <c r="Y447" s="233" cm="1">
        <f t="array" ref="Y447">IFERROR(INDEX(РД[S],MATCH($Q$3&amp;Таблица10[[#This Row],[№]]&amp;"Продажа",РД[Дом]&amp;РД[№ кв]&amp;РД[Состояние],0),1),Таблица10[[#This Row],[Статус]])</f>
        <v>79.44</v>
      </c>
      <c r="Z447" s="233">
        <f>IF(Таблица10[[#This Row],[№]]&amp;"ДДУ"=ППД5!A444&amp;ППД5!CR444,ППД5!U444,ППД5!V444)</f>
        <v>79.44</v>
      </c>
      <c r="AA447" s="285">
        <f>IFERROR(Таблица10[[#This Row],[S ПП]]-Таблица10[[#This Row],[S ДДУ]],)</f>
        <v>0</v>
      </c>
      <c r="AB447" s="235">
        <f>ROUND(_xlfn.XLOOKUP(Таблица10[[#This Row],[№]],Реестр_Д5[№],Реестр_Д5[Итоговая сумма скидки],"",0),2)</f>
        <v>90000</v>
      </c>
      <c r="AC447" s="235" cm="1">
        <f t="array" ref="AC447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47" s="285">
        <f>IFERROR(Таблица10[[#This Row],[ППС]]-Таблица10[[#This Row],[ДДУС]],)</f>
        <v>0</v>
      </c>
      <c r="AE447" s="611"/>
      <c r="AT447" s="611"/>
    </row>
    <row r="448" spans="1:46" x14ac:dyDescent="0.2">
      <c r="A448" s="611"/>
      <c r="B448" s="234">
        <f>VLOOKUP(ППД4!A445,Реестр_Д4[№],1,0)</f>
        <v>444</v>
      </c>
      <c r="C448" s="234" t="str">
        <f>VLOOKUP(ППД4!CO445,Реестр_Д4[Статус],1,0)</f>
        <v>Продажа</v>
      </c>
      <c r="D448" s="612">
        <f>VLOOKUP(ППД4!CE445,Реестр_Д4[Стоимость ОН без отделки со скидкой],1,0)</f>
        <v>6355830</v>
      </c>
      <c r="E448" s="612" cm="1">
        <f t="array" ref="E448">IFERROR(INDEX(РД[Стоимость без отделки итог],MATCH($B$3&amp;Таблица4[[#This Row],[№]]&amp;"Продажа",РД[Дом]&amp;РД[№ кв]&amp;РД[Состояние],0),1),Таблица4[[#This Row],[Статус]])</f>
        <v>6355830</v>
      </c>
      <c r="F448" s="235">
        <f>IFERROR((Таблица4[[#This Row],[ПП]]-Таблица4[[#This Row],[ДДУ]])*1,"")</f>
        <v>0</v>
      </c>
      <c r="G448" s="235" cm="1">
        <f t="array" ref="G448">IFERROR(INDEX(РД[Стоимость с отделкой итог],MATCH($B$3&amp;Таблица4[[#This Row],[№]]&amp;"Продажа",РД[Дом]&amp;РД[№ кв]&amp;РД[Состояние],0),1),Таблица4[[#This Row],[Статус]])</f>
        <v>6862005</v>
      </c>
      <c r="H448" s="235">
        <f>_xlfn.XLOOKUP(Таблица4[[#This Row],[№]],Реестр_Д4[№],Реестр_Д4[Стоимость квартиры с отделкой],"-",0)</f>
        <v>6862005</v>
      </c>
      <c r="I448" s="235">
        <f>IFERROR(Таблица4[[#This Row],[СО ПП]]-Таблица4[[#This Row],[СО ДДУ]],"")</f>
        <v>0</v>
      </c>
      <c r="J448" s="233" cm="1">
        <f t="array" ref="J448">IFERROR(INDEX(РД[S],MATCH($B$3&amp;Таблица4[[#This Row],[№]]&amp;"Продажа",РД[Дом]&amp;РД[№ кв]&amp;РД[Состояние],0),1),Таблица4[[#This Row],[Статус]])</f>
        <v>67.489999999999995</v>
      </c>
      <c r="K448" s="233">
        <f>VLOOKUP(Таблица4[[#This Row],[№]],Реестр_Д4[],20,0)</f>
        <v>67.489999999999995</v>
      </c>
      <c r="L448" s="235">
        <f>IFERROR(Таблица4[[#This Row],[S ПП]]-Таблица4[[#This Row],[S ДДУ]],)</f>
        <v>0</v>
      </c>
      <c r="M448" s="235">
        <f>ROUND(_xlfn.XLOOKUP(Таблица4[[#This Row],[№]],Реестр_Д4[№],Реестр_Д4[Итоговая сумма скидки],"",0),2)</f>
        <v>162970</v>
      </c>
      <c r="N448" s="235" cm="1">
        <f t="array" ref="N448">IFERROR(ROUND(_xlfn.XLOOKUP($B$3&amp;Таблица4[[#This Row],[№]]&amp;"Продажа",РД[Дом]&amp;РД[№ кв]&amp;РД[Состояние],РД[Сумма скидки],"",0),2),Таблица4[[#This Row],[Статус]])</f>
        <v>162970</v>
      </c>
      <c r="O448" s="235">
        <f>IFERROR(Таблица4[[#This Row],[ППС]]-Таблица4[[#This Row],[ДДУС]],)</f>
        <v>0</v>
      </c>
      <c r="P448" s="611"/>
      <c r="Q448" s="234">
        <f>VLOOKUP(ППД5!A445,Реестр_Д5[№],1,0)</f>
        <v>444</v>
      </c>
      <c r="R448" s="234" t="str">
        <f>VLOOKUP(ППД5!CH445,Реестр_Д5[Статус],1,0)</f>
        <v>Продажа</v>
      </c>
      <c r="S448" s="612">
        <f>VLOOKUP(ППД5!BZ445,Реестр_Д5[Стоимость ОН без отделки со скидкой],1,0)</f>
        <v>4360800</v>
      </c>
      <c r="T448" s="612" cm="1">
        <f t="array" ref="T448">IFERROR(INDEX(РД[Стоимость без отделки итог],MATCH($Q$3&amp;Таблица10[[#This Row],[№]]&amp;"Продажа",РД[Дом]&amp;РД[№ кв]&amp;РД[Состояние],0),1),Таблица10[[#This Row],[Статус]])</f>
        <v>4360800</v>
      </c>
      <c r="U448" s="235">
        <f>IFERROR((Таблица10[[#This Row],[ПП]]-Таблица10[[#This Row],[ДДУ]])*1,)</f>
        <v>0</v>
      </c>
      <c r="V448" s="235" cm="1">
        <f t="array" ref="V448">IFERROR(INDEX(РД[Стоимость с отделкой итог],MATCH($Q$3&amp;Таблица10[[#This Row],[№]]&amp;"Продажа",РД[Дом]&amp;РД[№ кв]&amp;РД[Состояние],0),1),Таблица10[[#This Row],[Статус]])</f>
        <v>4638630</v>
      </c>
      <c r="W448" s="235">
        <f>_xlfn.XLOOKUP(Таблица10[[#This Row],[№]],Реестр_Д5[№],Реестр_Д5[Стоимость квартиры с отделкой],"-",0)</f>
        <v>4638630</v>
      </c>
      <c r="X448" s="235">
        <f>IFERROR(Таблица10[[#This Row],[СО ПП]]-Таблица10[[#This Row],[СО ДДУ]],"")</f>
        <v>0</v>
      </c>
      <c r="Y448" s="233" cm="1">
        <f t="array" ref="Y448">IFERROR(INDEX(РД[S],MATCH($Q$3&amp;Таблица10[[#This Row],[№]]&amp;"Продажа",РД[Дом]&amp;РД[№ кв]&amp;РД[Состояние],0),1),Таблица10[[#This Row],[Статус]])</f>
        <v>39.69</v>
      </c>
      <c r="Z448" s="233">
        <f>IF(Таблица10[[#This Row],[№]]&amp;"ДДУ"=ППД5!A445&amp;ППД5!CR445,ППД5!U445,ППД5!V445)</f>
        <v>39.69</v>
      </c>
      <c r="AA448" s="285">
        <f>IFERROR(Таблица10[[#This Row],[S ПП]]-Таблица10[[#This Row],[S ДДУ]],)</f>
        <v>0</v>
      </c>
      <c r="AB448" s="235">
        <f>ROUND(_xlfn.XLOOKUP(Таблица10[[#This Row],[№]],Реестр_Д5[№],Реестр_Д5[Итоговая сумма скидки],"",0),2)</f>
        <v>0</v>
      </c>
      <c r="AC448" s="235" cm="1">
        <f t="array" ref="AC44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8" s="285">
        <f>IFERROR(Таблица10[[#This Row],[ППС]]-Таблица10[[#This Row],[ДДУС]],)</f>
        <v>0</v>
      </c>
      <c r="AE448" s="611"/>
      <c r="AT448" s="611"/>
    </row>
    <row r="449" spans="1:46" x14ac:dyDescent="0.2">
      <c r="A449" s="611"/>
      <c r="B449" s="234">
        <f>VLOOKUP(ППД4!A446,Реестр_Д4[№],1,0)</f>
        <v>445</v>
      </c>
      <c r="C449" s="234" t="str">
        <f>VLOOKUP(ППД4!CO446,Реестр_Д4[Статус],1,0)</f>
        <v>Продажа</v>
      </c>
      <c r="D449" s="612">
        <f>VLOOKUP(ППД4!CE446,Реестр_Д4[Стоимость ОН без отделки со скидкой],1,0)</f>
        <v>5377896.7800000003</v>
      </c>
      <c r="E449" s="612" cm="1">
        <f t="array" ref="E449">IFERROR(INDEX(РД[Стоимость без отделки итог],MATCH($B$3&amp;Таблица4[[#This Row],[№]]&amp;"Продажа",РД[Дом]&amp;РД[№ кв]&amp;РД[Состояние],0),1),Таблица4[[#This Row],[Статус]])</f>
        <v>5377896.7800000003</v>
      </c>
      <c r="F449" s="235">
        <f>IFERROR((Таблица4[[#This Row],[ПП]]-Таблица4[[#This Row],[ДДУ]])*1,"")</f>
        <v>0</v>
      </c>
      <c r="G449" s="235" cm="1">
        <f t="array" ref="G449">IFERROR(INDEX(РД[Стоимость с отделкой итог],MATCH($B$3&amp;Таблица4[[#This Row],[№]]&amp;"Продажа",РД[Дом]&amp;РД[№ кв]&amp;РД[Состояние],0),1),Таблица4[[#This Row],[Статус]])</f>
        <v>5855946.7800000003</v>
      </c>
      <c r="H449" s="235">
        <f>_xlfn.XLOOKUP(Таблица4[[#This Row],[№]],Реестр_Д4[№],Реестр_Д4[Стоимость квартиры с отделкой],"-",0)</f>
        <v>5855946.7800000003</v>
      </c>
      <c r="I449" s="235">
        <f>IFERROR(Таблица4[[#This Row],[СО ПП]]-Таблица4[[#This Row],[СО ДДУ]],"")</f>
        <v>0</v>
      </c>
      <c r="J449" s="233" cm="1">
        <f t="array" ref="J449">IFERROR(INDEX(РД[S],MATCH($B$3&amp;Таблица4[[#This Row],[№]]&amp;"Продажа",РД[Дом]&amp;РД[№ кв]&amp;РД[Состояние],0),1),Таблица4[[#This Row],[Статус]])</f>
        <v>63.74</v>
      </c>
      <c r="K449" s="233">
        <f>VLOOKUP(Таблица4[[#This Row],[№]],Реестр_Д4[],20,0)</f>
        <v>63.74</v>
      </c>
      <c r="L449" s="235">
        <f>IFERROR(Таблица4[[#This Row],[S ПП]]-Таблица4[[#This Row],[S ДДУ]],)</f>
        <v>0</v>
      </c>
      <c r="M449" s="235">
        <f>ROUND(_xlfn.XLOOKUP(Таблица4[[#This Row],[№]],Реестр_Д4[№],Реестр_Д4[Итоговая сумма скидки],"",0),2)</f>
        <v>0</v>
      </c>
      <c r="N449" s="235" cm="1">
        <f t="array" ref="N44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49" s="235">
        <f>IFERROR(Таблица4[[#This Row],[ППС]]-Таблица4[[#This Row],[ДДУС]],)</f>
        <v>0</v>
      </c>
      <c r="P449" s="611"/>
      <c r="Q449" s="234">
        <f>VLOOKUP(ППД5!A446,Реестр_Д5[№],1,0)</f>
        <v>445</v>
      </c>
      <c r="R449" s="234" t="str">
        <f>VLOOKUP(ППД5!CH446,Реестр_Д5[Статус],1,0)</f>
        <v>Продажа</v>
      </c>
      <c r="S449" s="612">
        <f>VLOOKUP(ППД5!BZ446,Реестр_Д5[Стоимость ОН без отделки со скидкой],1,0)</f>
        <v>3467800</v>
      </c>
      <c r="T449" s="612" cm="1">
        <f t="array" ref="T449">IFERROR(INDEX(РД[Стоимость без отделки итог],MATCH($Q$3&amp;Таблица10[[#This Row],[№]]&amp;"Продажа",РД[Дом]&amp;РД[№ кв]&amp;РД[Состояние],0),1),Таблица10[[#This Row],[Статус]])</f>
        <v>3467800</v>
      </c>
      <c r="U449" s="235">
        <f>IFERROR((Таблица10[[#This Row],[ПП]]-Таблица10[[#This Row],[ДДУ]])*1,)</f>
        <v>0</v>
      </c>
      <c r="V449" s="235" cm="1">
        <f t="array" ref="V449">IFERROR(INDEX(РД[Стоимость с отделкой итог],MATCH($Q$3&amp;Таблица10[[#This Row],[№]]&amp;"Продажа",РД[Дом]&amp;РД[№ кв]&amp;РД[Состояние],0),1),Таблица10[[#This Row],[Статус]])</f>
        <v>3703000</v>
      </c>
      <c r="W449" s="235">
        <f>_xlfn.XLOOKUP(Таблица10[[#This Row],[№]],Реестр_Д5[№],Реестр_Д5[Стоимость квартиры с отделкой],"-",0)</f>
        <v>3703000</v>
      </c>
      <c r="X449" s="235">
        <f>IFERROR(Таблица10[[#This Row],[СО ПП]]-Таблица10[[#This Row],[СО ДДУ]],"")</f>
        <v>0</v>
      </c>
      <c r="Y449" s="233" cm="1">
        <f t="array" ref="Y449">IFERROR(INDEX(РД[S],MATCH($Q$3&amp;Таблица10[[#This Row],[№]]&amp;"Продажа",РД[Дом]&amp;РД[№ кв]&amp;РД[Состояние],0),1),Таблица10[[#This Row],[Статус]])</f>
        <v>29.4</v>
      </c>
      <c r="Z449" s="233">
        <f>IF(Таблица10[[#This Row],[№]]&amp;"ДДУ"=ППД5!A446&amp;ППД5!CR446,ППД5!U446,ППД5!V446)</f>
        <v>29.4</v>
      </c>
      <c r="AA449" s="285">
        <f>IFERROR(Таблица10[[#This Row],[S ПП]]-Таблица10[[#This Row],[S ДДУ]],)</f>
        <v>0</v>
      </c>
      <c r="AB449" s="235">
        <f>ROUND(_xlfn.XLOOKUP(Таблица10[[#This Row],[№]],Реестр_Д5[№],Реестр_Д5[Итоговая сумма скидки],"",0),2)</f>
        <v>0</v>
      </c>
      <c r="AC449" s="235" cm="1">
        <f t="array" ref="AC44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49" s="285">
        <f>IFERROR(Таблица10[[#This Row],[ППС]]-Таблица10[[#This Row],[ДДУС]],)</f>
        <v>0</v>
      </c>
      <c r="AE449" s="611"/>
      <c r="AT449" s="611"/>
    </row>
    <row r="450" spans="1:46" x14ac:dyDescent="0.2">
      <c r="A450" s="611"/>
      <c r="B450" s="234">
        <f>VLOOKUP(ППД4!A447,Реестр_Д4[№],1,0)</f>
        <v>446</v>
      </c>
      <c r="C450" s="234" t="str">
        <f>VLOOKUP(ППД4!CO447,Реестр_Д4[Статус],1,0)</f>
        <v>Продажа</v>
      </c>
      <c r="D450" s="612">
        <f>VLOOKUP(ППД4!CE447,Реестр_Д4[Стоимость ОН без отделки со скидкой],1,0)</f>
        <v>4252843.6500000004</v>
      </c>
      <c r="E450" s="612" cm="1">
        <f t="array" ref="E450">IFERROR(INDEX(РД[Стоимость без отделки итог],MATCH($B$3&amp;Таблица4[[#This Row],[№]]&amp;"Продажа",РД[Дом]&amp;РД[№ кв]&amp;РД[Состояние],0),1),Таблица4[[#This Row],[Статус]])</f>
        <v>4252843.6500000004</v>
      </c>
      <c r="F450" s="235">
        <f>IFERROR((Таблица4[[#This Row],[ПП]]-Таблица4[[#This Row],[ДДУ]])*1,"")</f>
        <v>0</v>
      </c>
      <c r="G450" s="235" cm="1">
        <f t="array" ref="G450">IFERROR(INDEX(РД[Стоимость с отделкой итог],MATCH($B$3&amp;Таблица4[[#This Row],[№]]&amp;"Продажа",РД[Дом]&amp;РД[№ кв]&amp;РД[Состояние],0),1),Таблица4[[#This Row],[Статус]])</f>
        <v>4252843.6500000004</v>
      </c>
      <c r="H450" s="235">
        <f>_xlfn.XLOOKUP(Таблица4[[#This Row],[№]],Реестр_Д4[№],Реестр_Д4[Стоимость квартиры с отделкой],"-",0)</f>
        <v>4252843.6500000004</v>
      </c>
      <c r="I450" s="235">
        <f>IFERROR(Таблица4[[#This Row],[СО ПП]]-Таблица4[[#This Row],[СО ДДУ]],"")</f>
        <v>0</v>
      </c>
      <c r="J450" s="233" cm="1">
        <f t="array" ref="J450">IFERROR(INDEX(РД[S],MATCH($B$3&amp;Таблица4[[#This Row],[№]]&amp;"Продажа",РД[Дом]&amp;РД[№ кв]&amp;РД[Состояние],0),1),Таблица4[[#This Row],[Статус]])</f>
        <v>44.37</v>
      </c>
      <c r="K450" s="233">
        <f>VLOOKUP(Таблица4[[#This Row],[№]],Реестр_Д4[],20,0)</f>
        <v>44.37</v>
      </c>
      <c r="L450" s="235">
        <f>IFERROR(Таблица4[[#This Row],[S ПП]]-Таблица4[[#This Row],[S ДДУ]],)</f>
        <v>0</v>
      </c>
      <c r="M450" s="235">
        <f>ROUND(_xlfn.XLOOKUP(Таблица4[[#This Row],[№]],Реестр_Д4[№],Реестр_Д4[Итоговая сумма скидки],"",0),2)</f>
        <v>0</v>
      </c>
      <c r="N450" s="235" cm="1">
        <f t="array" ref="N45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50" s="235">
        <f>IFERROR(Таблица4[[#This Row],[ППС]]-Таблица4[[#This Row],[ДДУС]],)</f>
        <v>0</v>
      </c>
      <c r="P450" s="611"/>
      <c r="Q450" s="234">
        <f>VLOOKUP(ППД5!A447,Реестр_Д5[№],1,0)</f>
        <v>446</v>
      </c>
      <c r="R450" s="234" t="str">
        <f>VLOOKUP(ППД5!CH447,Реестр_Д5[Статус],1,0)</f>
        <v>Продажа</v>
      </c>
      <c r="S450" s="612">
        <f>VLOOKUP(ППД5!BZ447,Реестр_Д5[Стоимость ОН без отделки со скидкой],1,0)</f>
        <v>4795400</v>
      </c>
      <c r="T450" s="612" cm="1">
        <f t="array" ref="T450">IFERROR(INDEX(РД[Стоимость без отделки итог],MATCH($Q$3&amp;Таблица10[[#This Row],[№]]&amp;"Продажа",РД[Дом]&amp;РД[№ кв]&amp;РД[Состояние],0),1),Таблица10[[#This Row],[Статус]])</f>
        <v>4795400</v>
      </c>
      <c r="U450" s="235">
        <f>IFERROR((Таблица10[[#This Row],[ПП]]-Таблица10[[#This Row],[ДДУ]])*1,)</f>
        <v>0</v>
      </c>
      <c r="V450" s="235" cm="1">
        <f t="array" ref="V450">IFERROR(INDEX(РД[Стоимость с отделкой итог],MATCH($Q$3&amp;Таблица10[[#This Row],[№]]&amp;"Продажа",РД[Дом]&amp;РД[№ кв]&amp;РД[Состояние],0),1),Таблица10[[#This Row],[Статус]])</f>
        <v>5659600</v>
      </c>
      <c r="W450" s="235">
        <f>_xlfn.XLOOKUP(Таблица10[[#This Row],[№]],Реестр_Д5[№],Реестр_Д5[Стоимость квартиры с отделкой],"-",0)</f>
        <v>5659600</v>
      </c>
      <c r="X450" s="235">
        <f>IFERROR(Таблица10[[#This Row],[СО ПП]]-Таблица10[[#This Row],[СО ДДУ]],"")</f>
        <v>0</v>
      </c>
      <c r="Y450" s="233" cm="1">
        <f t="array" ref="Y450">IFERROR(INDEX(РД[S],MATCH($Q$3&amp;Таблица10[[#This Row],[№]]&amp;"Продажа",РД[Дом]&amp;РД[№ кв]&amp;РД[Состояние],0),1),Таблица10[[#This Row],[Статус]])</f>
        <v>43.21</v>
      </c>
      <c r="Z450" s="233">
        <f>IF(Таблица10[[#This Row],[№]]&amp;"ДДУ"=ППД5!A447&amp;ППД5!CR447,ППД5!U447,ППД5!V447)</f>
        <v>43.21</v>
      </c>
      <c r="AA450" s="285">
        <f>IFERROR(Таблица10[[#This Row],[S ПП]]-Таблица10[[#This Row],[S ДДУ]],)</f>
        <v>0</v>
      </c>
      <c r="AB450" s="235">
        <f>ROUND(_xlfn.XLOOKUP(Таблица10[[#This Row],[№]],Реестр_Д5[№],Реестр_Д5[Итоговая сумма скидки],"",0),2)</f>
        <v>0</v>
      </c>
      <c r="AC450" s="235" cm="1">
        <f t="array" ref="AC45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0" s="285">
        <f>IFERROR(Таблица10[[#This Row],[ППС]]-Таблица10[[#This Row],[ДДУС]],)</f>
        <v>0</v>
      </c>
      <c r="AE450" s="611"/>
      <c r="AT450" s="611"/>
    </row>
    <row r="451" spans="1:46" x14ac:dyDescent="0.2">
      <c r="A451" s="611"/>
      <c r="B451" s="234">
        <f>VLOOKUP(ППД4!A448,Реестр_Д4[№],1,0)</f>
        <v>447</v>
      </c>
      <c r="C451" s="234" t="str">
        <f>VLOOKUP(ППД4!CO448,Реестр_Д4[Статус],1,0)</f>
        <v>Продажа</v>
      </c>
      <c r="D451" s="612">
        <f>VLOOKUP(ППД4!CE448,Реестр_Д4[Стоимость ОН без отделки со скидкой],1,0)</f>
        <v>3466302.82</v>
      </c>
      <c r="E451" s="612" cm="1">
        <f t="array" ref="E451">IFERROR(INDEX(РД[Стоимость без отделки итог],MATCH($B$3&amp;Таблица4[[#This Row],[№]]&amp;"Продажа",РД[Дом]&amp;РД[№ кв]&amp;РД[Состояние],0),1),Таблица4[[#This Row],[Статус]])</f>
        <v>3466302.82</v>
      </c>
      <c r="F451" s="235">
        <f>IFERROR((Таблица4[[#This Row],[ПП]]-Таблица4[[#This Row],[ДДУ]])*1,"")</f>
        <v>0</v>
      </c>
      <c r="G451" s="235" cm="1">
        <f t="array" ref="G451">IFERROR(INDEX(РД[Стоимость с отделкой итог],MATCH($B$3&amp;Таблица4[[#This Row],[№]]&amp;"Продажа",РД[Дом]&amp;РД[№ кв]&amp;РД[Состояние],0),1),Таблица4[[#This Row],[Статус]])</f>
        <v>3625262.82</v>
      </c>
      <c r="H451" s="235">
        <f>_xlfn.XLOOKUP(Таблица4[[#This Row],[№]],Реестр_Д4[№],Реестр_Д4[Стоимость квартиры с отделкой],"-",0)</f>
        <v>3625262.82</v>
      </c>
      <c r="I451" s="235">
        <f>IFERROR(Таблица4[[#This Row],[СО ПП]]-Таблица4[[#This Row],[СО ДДУ]],"")</f>
        <v>0</v>
      </c>
      <c r="J451" s="233" cm="1">
        <f t="array" ref="J451">IFERROR(INDEX(РД[S],MATCH($B$3&amp;Таблица4[[#This Row],[№]]&amp;"Продажа",РД[Дом]&amp;РД[№ кв]&amp;РД[Состояние],0),1),Таблица4[[#This Row],[Статус]])</f>
        <v>39.74</v>
      </c>
      <c r="K451" s="233">
        <f>VLOOKUP(Таблица4[[#This Row],[№]],Реестр_Д4[],20,0)</f>
        <v>39.74</v>
      </c>
      <c r="L451" s="235">
        <f>IFERROR(Таблица4[[#This Row],[S ПП]]-Таблица4[[#This Row],[S ДДУ]],)</f>
        <v>0</v>
      </c>
      <c r="M451" s="235">
        <f>ROUND(_xlfn.XLOOKUP(Таблица4[[#This Row],[№]],Реестр_Д4[№],Реестр_Д4[Итоговая сумма скидки],"",0),2)</f>
        <v>158960</v>
      </c>
      <c r="N451" s="235" cm="1">
        <f t="array" ref="N451">IFERROR(ROUND(_xlfn.XLOOKUP($B$3&amp;Таблица4[[#This Row],[№]]&amp;"Продажа",РД[Дом]&amp;РД[№ кв]&amp;РД[Состояние],РД[Сумма скидки],"",0),2),Таблица4[[#This Row],[Статус]])</f>
        <v>158960</v>
      </c>
      <c r="O451" s="235">
        <f>IFERROR(Таблица4[[#This Row],[ППС]]-Таблица4[[#This Row],[ДДУС]],)</f>
        <v>0</v>
      </c>
      <c r="P451" s="611"/>
      <c r="Q451" s="234">
        <f>VLOOKUP(ППД5!A448,Реестр_Д5[№],1,0)</f>
        <v>447</v>
      </c>
      <c r="R451" s="234" t="str">
        <f>VLOOKUP(ППД5!CH448,Реестр_Д5[Статус],1,0)</f>
        <v>Продажа</v>
      </c>
      <c r="S451" s="612">
        <f>VLOOKUP(ППД5!BZ448,Реестр_Д5[Стоимость ОН без отделки со скидкой],1,0)</f>
        <v>2874200</v>
      </c>
      <c r="T451" s="612" cm="1">
        <f t="array" ref="T451">IFERROR(INDEX(РД[Стоимость без отделки итог],MATCH($Q$3&amp;Таблица10[[#This Row],[№]]&amp;"Продажа",РД[Дом]&amp;РД[№ кв]&amp;РД[Состояние],0),1),Таблица10[[#This Row],[Статус]])</f>
        <v>2874200</v>
      </c>
      <c r="U451" s="235">
        <f>IFERROR((Таблица10[[#This Row],[ПП]]-Таблица10[[#This Row],[ДДУ]])*1,)</f>
        <v>0</v>
      </c>
      <c r="V451" s="235" cm="1">
        <f t="array" ref="V451">IFERROR(INDEX(РД[Стоимость с отделкой итог],MATCH($Q$3&amp;Таблица10[[#This Row],[№]]&amp;"Продажа",РД[Дом]&amp;РД[№ кв]&amp;РД[Состояние],0),1),Таблица10[[#This Row],[Статус]])</f>
        <v>3045700</v>
      </c>
      <c r="W451" s="235">
        <f>_xlfn.XLOOKUP(Таблица10[[#This Row],[№]],Реестр_Д5[№],Реестр_Д5[Стоимость квартиры с отделкой],"-",0)</f>
        <v>3045700</v>
      </c>
      <c r="X451" s="235">
        <f>IFERROR(Таблица10[[#This Row],[СО ПП]]-Таблица10[[#This Row],[СО ДДУ]],"")</f>
        <v>0</v>
      </c>
      <c r="Y451" s="233" cm="1">
        <f t="array" ref="Y451">IFERROR(INDEX(РД[S],MATCH($Q$3&amp;Таблица10[[#This Row],[№]]&amp;"Продажа",РД[Дом]&amp;РД[№ кв]&amp;РД[Состояние],0),1),Таблица10[[#This Row],[Статус]])</f>
        <v>24.5</v>
      </c>
      <c r="Z451" s="233">
        <f>IF(Таблица10[[#This Row],[№]]&amp;"ДДУ"=ППД5!A448&amp;ППД5!CR448,ППД5!U448,ППД5!V448)</f>
        <v>24.5</v>
      </c>
      <c r="AA451" s="285">
        <f>IFERROR(Таблица10[[#This Row],[S ПП]]-Таблица10[[#This Row],[S ДДУ]],)</f>
        <v>0</v>
      </c>
      <c r="AB451" s="235">
        <f>ROUND(_xlfn.XLOOKUP(Таблица10[[#This Row],[№]],Реестр_Д5[№],Реестр_Д5[Итоговая сумма скидки],"",0),2)</f>
        <v>0</v>
      </c>
      <c r="AC451" s="235" cm="1">
        <f t="array" ref="AC45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1" s="285">
        <f>IFERROR(Таблица10[[#This Row],[ППС]]-Таблица10[[#This Row],[ДДУС]],)</f>
        <v>0</v>
      </c>
      <c r="AE451" s="611"/>
      <c r="AT451" s="611"/>
    </row>
    <row r="452" spans="1:46" x14ac:dyDescent="0.2">
      <c r="A452" s="611"/>
      <c r="B452" s="234">
        <f>VLOOKUP(ППД4!A449,Реестр_Д4[№],1,0)</f>
        <v>448</v>
      </c>
      <c r="C452" s="234" t="str">
        <f>VLOOKUP(ППД4!CO449,Реестр_Д4[Статус],1,0)</f>
        <v>Продажа</v>
      </c>
      <c r="D452" s="612">
        <f>VLOOKUP(ППД4!CE449,Реестр_Д4[Стоимость ОН без отделки со скидкой],1,0)</f>
        <v>3591692.17</v>
      </c>
      <c r="E452" s="612" cm="1">
        <f t="array" ref="E452">IFERROR(INDEX(РД[Стоимость без отделки итог],MATCH($B$3&amp;Таблица4[[#This Row],[№]]&amp;"Продажа",РД[Дом]&amp;РД[№ кв]&amp;РД[Состояние],0),1),Таблица4[[#This Row],[Статус]])</f>
        <v>3591692.17</v>
      </c>
      <c r="F452" s="235">
        <f>IFERROR((Таблица4[[#This Row],[ПП]]-Таблица4[[#This Row],[ДДУ]])*1,"")</f>
        <v>0</v>
      </c>
      <c r="G452" s="235" cm="1">
        <f t="array" ref="G452">IFERROR(INDEX(РД[Стоимость с отделкой итог],MATCH($B$3&amp;Таблица4[[#This Row],[№]]&amp;"Продажа",РД[Дом]&amp;РД[№ кв]&amp;РД[Состояние],0),1),Таблица4[[#This Row],[Статус]])</f>
        <v>3746092.17</v>
      </c>
      <c r="H452" s="235">
        <f>_xlfn.XLOOKUP(Таблица4[[#This Row],[№]],Реестр_Д4[№],Реестр_Д4[Стоимость квартиры с отделкой],"-",0)</f>
        <v>3746092.17</v>
      </c>
      <c r="I452" s="235">
        <f>IFERROR(Таблица4[[#This Row],[СО ПП]]-Таблица4[[#This Row],[СО ДДУ]],"")</f>
        <v>0</v>
      </c>
      <c r="J452" s="233" cm="1">
        <f t="array" ref="J452">IFERROR(INDEX(РД[S],MATCH($B$3&amp;Таблица4[[#This Row],[№]]&amp;"Продажа",РД[Дом]&amp;РД[№ кв]&amp;РД[Состояние],0),1),Таблица4[[#This Row],[Статус]])</f>
        <v>38.6</v>
      </c>
      <c r="K452" s="233">
        <f>VLOOKUP(Таблица4[[#This Row],[№]],Реестр_Д4[],20,0)</f>
        <v>38.6</v>
      </c>
      <c r="L452" s="235">
        <f>IFERROR(Таблица4[[#This Row],[S ПП]]-Таблица4[[#This Row],[S ДДУ]],)</f>
        <v>0</v>
      </c>
      <c r="M452" s="235">
        <f>ROUND(_xlfn.XLOOKUP(Таблица4[[#This Row],[№]],Реестр_Д4[№],Реестр_Д4[Итоговая сумма скидки],"",0),2)</f>
        <v>0</v>
      </c>
      <c r="N452" s="235" cm="1">
        <f t="array" ref="N45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52" s="235">
        <f>IFERROR(Таблица4[[#This Row],[ППС]]-Таблица4[[#This Row],[ДДУС]],)</f>
        <v>0</v>
      </c>
      <c r="P452" s="611"/>
      <c r="Q452" s="234">
        <f>VLOOKUP(ППД5!A449,Реестр_Д5[№],1,0)</f>
        <v>448</v>
      </c>
      <c r="R452" s="234" t="str">
        <f>VLOOKUP(ППД5!CH449,Реестр_Д5[Статус],1,0)</f>
        <v>Продажа</v>
      </c>
      <c r="S452" s="612">
        <f>VLOOKUP(ППД5!BZ449,Реестр_Д5[Стоимость ОН без отделки со скидкой],1,0)</f>
        <v>4632157.42</v>
      </c>
      <c r="T452" s="612" cm="1">
        <f t="array" ref="T452">IFERROR(INDEX(РД[Стоимость без отделки итог],MATCH($Q$3&amp;Таблица10[[#This Row],[№]]&amp;"Продажа",РД[Дом]&amp;РД[№ кв]&amp;РД[Состояние],0),1),Таблица10[[#This Row],[Статус]])</f>
        <v>4632157.42</v>
      </c>
      <c r="U452" s="235">
        <f>IFERROR((Таблица10[[#This Row],[ПП]]-Таблица10[[#This Row],[ДДУ]])*1,)</f>
        <v>0</v>
      </c>
      <c r="V452" s="235" cm="1">
        <f t="array" ref="V452">IFERROR(INDEX(РД[Стоимость с отделкой итог],MATCH($Q$3&amp;Таблица10[[#This Row],[№]]&amp;"Продажа",РД[Дом]&amp;РД[№ кв]&amp;РД[Состояние],0),1),Таблица10[[#This Row],[Статус]])</f>
        <v>4894237.42</v>
      </c>
      <c r="W452" s="235">
        <f>_xlfn.XLOOKUP(Таблица10[[#This Row],[№]],Реестр_Д5[№],Реестр_Д5[Стоимость квартиры с отделкой],"-",0)</f>
        <v>4894237.42</v>
      </c>
      <c r="X452" s="235">
        <f>IFERROR(Таблица10[[#This Row],[СО ПП]]-Таблица10[[#This Row],[СО ДДУ]],"")</f>
        <v>0</v>
      </c>
      <c r="Y452" s="233" cm="1">
        <f t="array" ref="Y452">IFERROR(INDEX(РД[S],MATCH($Q$3&amp;Таблица10[[#This Row],[№]]&amp;"Продажа",РД[Дом]&amp;РД[№ кв]&amp;РД[Состояние],0),1),Таблица10[[#This Row],[Статус]])</f>
        <v>58.24</v>
      </c>
      <c r="Z452" s="233">
        <f>IF(Таблица10[[#This Row],[№]]&amp;"ДДУ"=ППД5!A449&amp;ППД5!CR449,ППД5!U449,ППД5!V449)</f>
        <v>58.24</v>
      </c>
      <c r="AA452" s="285">
        <f>IFERROR(Таблица10[[#This Row],[S ПП]]-Таблица10[[#This Row],[S ДДУ]],)</f>
        <v>0</v>
      </c>
      <c r="AB452" s="235">
        <f>ROUND(_xlfn.XLOOKUP(Таблица10[[#This Row],[№]],Реестр_Д5[№],Реестр_Д5[Итоговая сумма скидки],"",0),2)</f>
        <v>0</v>
      </c>
      <c r="AC452" s="235" cm="1">
        <f t="array" ref="AC45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2" s="285">
        <f>IFERROR(Таблица10[[#This Row],[ППС]]-Таблица10[[#This Row],[ДДУС]],)</f>
        <v>0</v>
      </c>
      <c r="AE452" s="611"/>
      <c r="AT452" s="611"/>
    </row>
    <row r="453" spans="1:46" x14ac:dyDescent="0.2">
      <c r="A453" s="611"/>
      <c r="B453" s="234">
        <f>VLOOKUP(ППД4!A450,Реестр_Д4[№],1,0)</f>
        <v>449</v>
      </c>
      <c r="C453" s="234" t="str">
        <f>VLOOKUP(ППД4!CO450,Реестр_Д4[Статус],1,0)</f>
        <v>Продажа</v>
      </c>
      <c r="D453" s="612">
        <f>VLOOKUP(ППД4!CE450,Реестр_Д4[Стоимость ОН без отделки со скидкой],1,0)</f>
        <v>5125263.03</v>
      </c>
      <c r="E453" s="612" cm="1">
        <f t="array" ref="E453">IFERROR(INDEX(РД[Стоимость без отделки итог],MATCH($B$3&amp;Таблица4[[#This Row],[№]]&amp;"Продажа",РД[Дом]&amp;РД[№ кв]&amp;РД[Состояние],0),1),Таблица4[[#This Row],[Статус]])</f>
        <v>5125263.03</v>
      </c>
      <c r="F453" s="235">
        <f>IFERROR((Таблица4[[#This Row],[ПП]]-Таблица4[[#This Row],[ДДУ]])*1,"")</f>
        <v>0</v>
      </c>
      <c r="G453" s="235" cm="1">
        <f t="array" ref="G453">IFERROR(INDEX(РД[Стоимость с отделкой итог],MATCH($B$3&amp;Таблица4[[#This Row],[№]]&amp;"Продажа",РД[Дом]&amp;РД[№ кв]&amp;РД[Состояние],0),1),Таблица4[[#This Row],[Статус]])</f>
        <v>5422383.0300000003</v>
      </c>
      <c r="H453" s="235">
        <f>_xlfn.XLOOKUP(Таблица4[[#This Row],[№]],Реестр_Д4[№],Реестр_Д4[Стоимость квартиры с отделкой],"-",0)</f>
        <v>5422383.0300000003</v>
      </c>
      <c r="I453" s="235">
        <f>IFERROR(Таблица4[[#This Row],[СО ПП]]-Таблица4[[#This Row],[СО ДДУ]],"")</f>
        <v>0</v>
      </c>
      <c r="J453" s="233" cm="1">
        <f t="array" ref="J453">IFERROR(INDEX(РД[S],MATCH($B$3&amp;Таблица4[[#This Row],[№]]&amp;"Продажа",РД[Дом]&amp;РД[№ кв]&amp;РД[Состояние],0),1),Таблица4[[#This Row],[Статус]])</f>
        <v>74.28</v>
      </c>
      <c r="K453" s="233">
        <f>VLOOKUP(Таблица4[[#This Row],[№]],Реестр_Д4[],20,0)</f>
        <v>74.28</v>
      </c>
      <c r="L453" s="235">
        <f>IFERROR(Таблица4[[#This Row],[S ПП]]-Таблица4[[#This Row],[S ДДУ]],)</f>
        <v>0</v>
      </c>
      <c r="M453" s="235">
        <f>ROUND(_xlfn.XLOOKUP(Таблица4[[#This Row],[№]],Реестр_Д4[№],Реестр_Д4[Итоговая сумма скидки],"",0),2)</f>
        <v>158513.29</v>
      </c>
      <c r="N453" s="235" cm="1">
        <f t="array" ref="N453">IFERROR(ROUND(_xlfn.XLOOKUP($B$3&amp;Таблица4[[#This Row],[№]]&amp;"Продажа",РД[Дом]&amp;РД[№ кв]&amp;РД[Состояние],РД[Сумма скидки],"",0),2),Таблица4[[#This Row],[Статус]])</f>
        <v>158513.29</v>
      </c>
      <c r="O453" s="235">
        <f>IFERROR(Таблица4[[#This Row],[ППС]]-Таблица4[[#This Row],[ДДУС]],)</f>
        <v>0</v>
      </c>
      <c r="P453" s="611"/>
      <c r="Q453" s="234">
        <f>VLOOKUP(ППД5!A450,Реестр_Д5[№],1,0)</f>
        <v>449</v>
      </c>
      <c r="R453" s="234" t="str">
        <f>VLOOKUP(ППД5!CH450,Реестр_Д5[Статус],1,0)</f>
        <v>Продажа</v>
      </c>
      <c r="S453" s="612">
        <f>VLOOKUP(ППД5!BZ450,Реестр_Д5[Стоимость ОН без отделки со скидкой],1,0)</f>
        <v>4574845.72</v>
      </c>
      <c r="T453" s="612" cm="1">
        <f t="array" ref="T453">IFERROR(INDEX(РД[Стоимость без отделки итог],MATCH($Q$3&amp;Таблица10[[#This Row],[№]]&amp;"Продажа",РД[Дом]&amp;РД[№ кв]&amp;РД[Состояние],0),1),Таблица10[[#This Row],[Статус]])</f>
        <v>4574845.72</v>
      </c>
      <c r="U453" s="235">
        <f>IFERROR((Таблица10[[#This Row],[ПП]]-Таблица10[[#This Row],[ДДУ]])*1,)</f>
        <v>0</v>
      </c>
      <c r="V453" s="235" cm="1">
        <f t="array" ref="V453">IFERROR(INDEX(РД[Стоимость с отделкой итог],MATCH($Q$3&amp;Таблица10[[#This Row],[№]]&amp;"Продажа",РД[Дом]&amp;РД[№ кв]&amp;РД[Состояние],0),1),Таблица10[[#This Row],[Статус]])</f>
        <v>5470745.7199999997</v>
      </c>
      <c r="W453" s="235">
        <f>_xlfn.XLOOKUP(Таблица10[[#This Row],[№]],Реестр_Д5[№],Реестр_Д5[Стоимость квартиры с отделкой],"-",0)</f>
        <v>5470745.7199999997</v>
      </c>
      <c r="X453" s="235">
        <f>IFERROR(Таблица10[[#This Row],[СО ПП]]-Таблица10[[#This Row],[СО ДДУ]],"")</f>
        <v>0</v>
      </c>
      <c r="Y453" s="233" cm="1">
        <f t="array" ref="Y453">IFERROR(INDEX(РД[S],MATCH($Q$3&amp;Таблица10[[#This Row],[№]]&amp;"Продажа",РД[Дом]&amp;РД[№ кв]&amp;РД[Состояние],0),1),Таблица10[[#This Row],[Статус]])</f>
        <v>57.8</v>
      </c>
      <c r="Z453" s="233">
        <f>IF(Таблица10[[#This Row],[№]]&amp;"ДДУ"=ППД5!A450&amp;ППД5!CR450,ППД5!U450,ППД5!V450)</f>
        <v>57.8</v>
      </c>
      <c r="AA453" s="285">
        <f>IFERROR(Таблица10[[#This Row],[S ПП]]-Таблица10[[#This Row],[S ДДУ]],)</f>
        <v>0</v>
      </c>
      <c r="AB453" s="235">
        <f>ROUND(_xlfn.XLOOKUP(Таблица10[[#This Row],[№]],Реестр_Д5[№],Реестр_Д5[Итоговая сумма скидки],"",0),2)</f>
        <v>0</v>
      </c>
      <c r="AC453" s="235" cm="1">
        <f t="array" ref="AC45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3" s="285">
        <f>IFERROR(Таблица10[[#This Row],[ППС]]-Таблица10[[#This Row],[ДДУС]],)</f>
        <v>0</v>
      </c>
      <c r="AE453" s="611"/>
      <c r="AT453" s="611"/>
    </row>
    <row r="454" spans="1:46" x14ac:dyDescent="0.2">
      <c r="A454" s="611"/>
      <c r="B454" s="234">
        <f>VLOOKUP(ППД4!A451,Реестр_Д4[№],1,0)</f>
        <v>450</v>
      </c>
      <c r="C454" s="234" t="str">
        <f>VLOOKUP(ППД4!CO451,Реестр_Д4[Статус],1,0)</f>
        <v>Продажа</v>
      </c>
      <c r="D454" s="612">
        <f>VLOOKUP(ППД4!CE451,Реестр_Д4[Стоимость ОН без отделки со скидкой],1,0)</f>
        <v>3073650.74</v>
      </c>
      <c r="E454" s="612" cm="1">
        <f t="array" ref="E454">IFERROR(INDEX(РД[Стоимость без отделки итог],MATCH($B$3&amp;Таблица4[[#This Row],[№]]&amp;"Продажа",РД[Дом]&amp;РД[№ кв]&amp;РД[Состояние],0),1),Таблица4[[#This Row],[Статус]])</f>
        <v>3073650.74</v>
      </c>
      <c r="F454" s="235">
        <f>IFERROR((Таблица4[[#This Row],[ПП]]-Таблица4[[#This Row],[ДДУ]])*1,"")</f>
        <v>0</v>
      </c>
      <c r="G454" s="235" cm="1">
        <f t="array" ref="G454">IFERROR(INDEX(РД[Стоимость с отделкой итог],MATCH($B$3&amp;Таблица4[[#This Row],[№]]&amp;"Продажа",РД[Дом]&amp;РД[№ кв]&amp;РД[Состояние],0),1),Таблица4[[#This Row],[Статус]])</f>
        <v>3621150.74</v>
      </c>
      <c r="H454" s="235">
        <f>_xlfn.XLOOKUP(Таблица4[[#This Row],[№]],Реестр_Д4[№],Реестр_Д4[Стоимость квартиры с отделкой],"-",0)</f>
        <v>3621150.74</v>
      </c>
      <c r="I454" s="235">
        <f>IFERROR(Таблица4[[#This Row],[СО ПП]]-Таблица4[[#This Row],[СО ДДУ]],"")</f>
        <v>0</v>
      </c>
      <c r="J454" s="233" cm="1">
        <f t="array" ref="J454">IFERROR(INDEX(РД[S],MATCH($B$3&amp;Таблица4[[#This Row],[№]]&amp;"Продажа",РД[Дом]&amp;РД[№ кв]&amp;РД[Состояние],0),1),Таблица4[[#This Row],[Статус]])</f>
        <v>36.5</v>
      </c>
      <c r="K454" s="233">
        <f>VLOOKUP(Таблица4[[#This Row],[№]],Реестр_Д4[],20,0)</f>
        <v>36.5</v>
      </c>
      <c r="L454" s="235">
        <f>IFERROR(Таблица4[[#This Row],[S ПП]]-Таблица4[[#This Row],[S ДДУ]],)</f>
        <v>0</v>
      </c>
      <c r="M454" s="235">
        <f>ROUND(_xlfn.XLOOKUP(Таблица4[[#This Row],[№]],Реестр_Д4[№],Реестр_Д4[Итоговая сумма скидки],"",0),2)</f>
        <v>95061.36</v>
      </c>
      <c r="N454" s="235" cm="1">
        <f t="array" ref="N454">IFERROR(ROUND(_xlfn.XLOOKUP($B$3&amp;Таблица4[[#This Row],[№]]&amp;"Продажа",РД[Дом]&amp;РД[№ кв]&amp;РД[Состояние],РД[Сумма скидки],"",0),2),Таблица4[[#This Row],[Статус]])</f>
        <v>95061.36</v>
      </c>
      <c r="O454" s="235">
        <f>IFERROR(Таблица4[[#This Row],[ППС]]-Таблица4[[#This Row],[ДДУС]],)</f>
        <v>0</v>
      </c>
      <c r="P454" s="611"/>
      <c r="Q454" s="234">
        <f>VLOOKUP(ППД5!A451,Реестр_Д5[№],1,0)</f>
        <v>450</v>
      </c>
      <c r="R454" s="234" t="str">
        <f>VLOOKUP(ППД5!CH451,Реестр_Д5[Статус],1,0)</f>
        <v>Продажа</v>
      </c>
      <c r="S454" s="612">
        <f>VLOOKUP(ППД5!BZ451,Реестр_Д5[Стоимость ОН без отделки со скидкой],1,0)</f>
        <v>3591569.53</v>
      </c>
      <c r="T454" s="612" cm="1">
        <f t="array" ref="T454">IFERROR(INDEX(РД[Стоимость без отделки итог],MATCH($Q$3&amp;Таблица10[[#This Row],[№]]&amp;"Продажа",РД[Дом]&amp;РД[№ кв]&amp;РД[Состояние],0),1),Таблица10[[#This Row],[Статус]])</f>
        <v>3591569.53</v>
      </c>
      <c r="U454" s="235">
        <f>IFERROR((Таблица10[[#This Row],[ПП]]-Таблица10[[#This Row],[ДДУ]])*1,)</f>
        <v>0</v>
      </c>
      <c r="V454" s="235" cm="1">
        <f t="array" ref="V454">IFERROR(INDEX(РД[Стоимость с отделкой итог],MATCH($Q$3&amp;Таблица10[[#This Row],[№]]&amp;"Продажа",РД[Дом]&amp;РД[№ кв]&amp;РД[Состояние],0),1),Таблица10[[#This Row],[Статус]])</f>
        <v>3591569.53</v>
      </c>
      <c r="W454" s="235">
        <f>_xlfn.XLOOKUP(Таблица10[[#This Row],[№]],Реестр_Д5[№],Реестр_Д5[Стоимость квартиры с отделкой],"-",0)</f>
        <v>3591569.53</v>
      </c>
      <c r="X454" s="235">
        <f>IFERROR(Таблица10[[#This Row],[СО ПП]]-Таблица10[[#This Row],[СО ДДУ]],"")</f>
        <v>0</v>
      </c>
      <c r="Y454" s="233" cm="1">
        <f t="array" ref="Y454">IFERROR(INDEX(РД[S],MATCH($Q$3&amp;Таблица10[[#This Row],[№]]&amp;"Продажа",РД[Дом]&amp;РД[№ кв]&amp;РД[Состояние],0),1),Таблица10[[#This Row],[Статус]])</f>
        <v>38.299999999999997</v>
      </c>
      <c r="Z454" s="233">
        <f>IF(Таблица10[[#This Row],[№]]&amp;"ДДУ"=ППД5!A451&amp;ППД5!CR451,ППД5!U451,ППД5!V451)</f>
        <v>38.299999999999997</v>
      </c>
      <c r="AA454" s="285">
        <f>IFERROR(Таблица10[[#This Row],[S ПП]]-Таблица10[[#This Row],[S ДДУ]],)</f>
        <v>0</v>
      </c>
      <c r="AB454" s="235">
        <f>ROUND(_xlfn.XLOOKUP(Таблица10[[#This Row],[№]],Реестр_Д5[№],Реестр_Д5[Итоговая сумма скидки],"",0),2)</f>
        <v>73297.34</v>
      </c>
      <c r="AC454" s="235" cm="1">
        <f t="array" ref="AC454">IFERROR(ROUND(_xlfn.XLOOKUP($Q$3&amp;Таблица10[[#This Row],[№]]&amp;"Продажа",РД[Дом]&amp;РД[№ кв]&amp;РД[Состояние],РД[Сумма скидки],"",0,-1),2),Таблица10[[#This Row],[Статус]])</f>
        <v>73297.34</v>
      </c>
      <c r="AD454" s="285">
        <f>IFERROR(Таблица10[[#This Row],[ППС]]-Таблица10[[#This Row],[ДДУС]],)</f>
        <v>0</v>
      </c>
      <c r="AE454" s="611"/>
      <c r="AT454" s="611"/>
    </row>
    <row r="455" spans="1:46" x14ac:dyDescent="0.2">
      <c r="A455" s="611"/>
      <c r="B455" s="234">
        <f>VLOOKUP(ППД4!A452,Реестр_Д4[№],1,0)</f>
        <v>451</v>
      </c>
      <c r="C455" s="234" t="str">
        <f>VLOOKUP(ППД4!CO452,Реестр_Д4[Статус],1,0)</f>
        <v>Продажа</v>
      </c>
      <c r="D455" s="612">
        <f>VLOOKUP(ППД4!CE452,Реестр_Д4[Стоимость ОН без отделки со скидкой],1,0)</f>
        <v>4413539.4800000004</v>
      </c>
      <c r="E455" s="612" cm="1">
        <f t="array" ref="E455">IFERROR(INDEX(РД[Стоимость без отделки итог],MATCH($B$3&amp;Таблица4[[#This Row],[№]]&amp;"Продажа",РД[Дом]&amp;РД[№ кв]&amp;РД[Состояние],0),1),Таблица4[[#This Row],[Статус]])</f>
        <v>4413539.4800000004</v>
      </c>
      <c r="F455" s="235">
        <f>IFERROR((Таблица4[[#This Row],[ПП]]-Таблица4[[#This Row],[ДДУ]])*1,"")</f>
        <v>0</v>
      </c>
      <c r="G455" s="235" cm="1">
        <f t="array" ref="G455">IFERROR(INDEX(РД[Стоимость с отделкой итог],MATCH($B$3&amp;Таблица4[[#This Row],[№]]&amp;"Продажа",РД[Дом]&amp;РД[№ кв]&amp;РД[Состояние],0),1),Таблица4[[#This Row],[Статус]])</f>
        <v>4637699.4800000004</v>
      </c>
      <c r="H455" s="235">
        <f>_xlfn.XLOOKUP(Таблица4[[#This Row],[№]],Реестр_Д4[№],Реестр_Д4[Стоимость квартиры с отделкой],"-",0)</f>
        <v>4637699.4800000004</v>
      </c>
      <c r="I455" s="235">
        <f>IFERROR(Таблица4[[#This Row],[СО ПП]]-Таблица4[[#This Row],[СО ДДУ]],"")</f>
        <v>0</v>
      </c>
      <c r="J455" s="233" cm="1">
        <f t="array" ref="J455">IFERROR(INDEX(РД[S],MATCH($B$3&amp;Таблица4[[#This Row],[№]]&amp;"Продажа",РД[Дом]&amp;РД[№ кв]&amp;РД[Состояние],0),1),Таблица4[[#This Row],[Статус]])</f>
        <v>56.04</v>
      </c>
      <c r="K455" s="233">
        <f>VLOOKUP(Таблица4[[#This Row],[№]],Реестр_Д4[],20,0)</f>
        <v>56.04</v>
      </c>
      <c r="L455" s="235">
        <f>IFERROR(Таблица4[[#This Row],[S ПП]]-Таблица4[[#This Row],[S ДДУ]],)</f>
        <v>0</v>
      </c>
      <c r="M455" s="235">
        <f>ROUND(_xlfn.XLOOKUP(Таблица4[[#This Row],[№]],Реестр_Д4[№],Реестр_Д4[Итоговая сумма скидки],"",0),2)</f>
        <v>0</v>
      </c>
      <c r="N455" s="235" cm="1">
        <f t="array" ref="N45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55" s="235">
        <f>IFERROR(Таблица4[[#This Row],[ППС]]-Таблица4[[#This Row],[ДДУС]],)</f>
        <v>0</v>
      </c>
      <c r="P455" s="611"/>
      <c r="Q455" s="234">
        <f>VLOOKUP(ППД5!A452,Реестр_Д5[№],1,0)</f>
        <v>451</v>
      </c>
      <c r="R455" s="234" t="str">
        <f>VLOOKUP(ППД5!CH452,Реестр_Д5[Статус],1,0)</f>
        <v>Продажа</v>
      </c>
      <c r="S455" s="612">
        <f>VLOOKUP(ППД5!BZ452,Реестр_Д5[Стоимость ОН без отделки со скидкой],1,0)</f>
        <v>6283339.8799999999</v>
      </c>
      <c r="T455" s="612" cm="1">
        <f t="array" ref="T455">IFERROR(INDEX(РД[Стоимость без отделки итог],MATCH($Q$3&amp;Таблица10[[#This Row],[№]]&amp;"Продажа",РД[Дом]&amp;РД[№ кв]&amp;РД[Состояние],0),1),Таблица10[[#This Row],[Статус]])</f>
        <v>6283339.8799999999</v>
      </c>
      <c r="U455" s="235">
        <f>IFERROR((Таблица10[[#This Row],[ПП]]-Таблица10[[#This Row],[ДДУ]])*1,)</f>
        <v>0</v>
      </c>
      <c r="V455" s="235" cm="1">
        <f t="array" ref="V455">IFERROR(INDEX(РД[Стоимость с отделкой итог],MATCH($Q$3&amp;Таблица10[[#This Row],[№]]&amp;"Продажа",РД[Дом]&amp;РД[№ кв]&amp;РД[Состояние],0),1),Таблица10[[#This Row],[Статус]])</f>
        <v>6283339.8799999999</v>
      </c>
      <c r="W455" s="235">
        <f>_xlfn.XLOOKUP(Таблица10[[#This Row],[№]],Реестр_Д5[№],Реестр_Д5[Стоимость квартиры с отделкой],"-",0)</f>
        <v>6283339.8799999999</v>
      </c>
      <c r="X455" s="235">
        <f>IFERROR(Таблица10[[#This Row],[СО ПП]]-Таблица10[[#This Row],[СО ДДУ]],"")</f>
        <v>0</v>
      </c>
      <c r="Y455" s="233" cm="1">
        <f t="array" ref="Y455">IFERROR(INDEX(РД[S],MATCH($Q$3&amp;Таблица10[[#This Row],[№]]&amp;"Продажа",РД[Дом]&amp;РД[№ кв]&amp;РД[Состояние],0),1),Таблица10[[#This Row],[Статус]])</f>
        <v>79.44</v>
      </c>
      <c r="Z455" s="233">
        <f>IF(Таблица10[[#This Row],[№]]&amp;"ДДУ"=ППД5!A452&amp;ППД5!CR452,ППД5!U452,ППД5!V452)</f>
        <v>79.44</v>
      </c>
      <c r="AA455" s="285">
        <f>IFERROR(Таблица10[[#This Row],[S ПП]]-Таблица10[[#This Row],[S ДДУ]],)</f>
        <v>0</v>
      </c>
      <c r="AB455" s="235">
        <f>ROUND(_xlfn.XLOOKUP(Таблица10[[#This Row],[№]],Реестр_Д5[№],Реестр_Д5[Итоговая сумма скидки],"",0),2)</f>
        <v>401064.25</v>
      </c>
      <c r="AC455" s="235" cm="1">
        <f t="array" ref="AC455">IFERROR(ROUND(_xlfn.XLOOKUP($Q$3&amp;Таблица10[[#This Row],[№]]&amp;"Продажа",РД[Дом]&amp;РД[№ кв]&amp;РД[Состояние],РД[Сумма скидки],"",0,-1),2),Таблица10[[#This Row],[Статус]])</f>
        <v>401064.25</v>
      </c>
      <c r="AD455" s="285">
        <f>IFERROR(Таблица10[[#This Row],[ППС]]-Таблица10[[#This Row],[ДДУС]],)</f>
        <v>0</v>
      </c>
      <c r="AE455" s="611"/>
      <c r="AT455" s="611"/>
    </row>
    <row r="456" spans="1:46" x14ac:dyDescent="0.2">
      <c r="A456" s="611"/>
      <c r="B456" s="234">
        <f>VLOOKUP(ППД4!A453,Реестр_Д4[№],1,0)</f>
        <v>452</v>
      </c>
      <c r="C456" s="234" t="str">
        <f>VLOOKUP(ППД4!CO453,Реестр_Д4[Статус],1,0)</f>
        <v>Продажа</v>
      </c>
      <c r="D456" s="612">
        <f>VLOOKUP(ППД4!CE453,Реестр_Д4[Стоимость ОН без отделки со скидкой],1,0)</f>
        <v>4389569.87</v>
      </c>
      <c r="E456" s="612" cm="1">
        <f t="array" ref="E456">IFERROR(INDEX(РД[Стоимость без отделки итог],MATCH($B$3&amp;Таблица4[[#This Row],[№]]&amp;"Продажа",РД[Дом]&amp;РД[№ кв]&amp;РД[Состояние],0),1),Таблица4[[#This Row],[Статус]])</f>
        <v>4389569.8699999992</v>
      </c>
      <c r="F456" s="235">
        <f>IFERROR((Таблица4[[#This Row],[ПП]]-Таблица4[[#This Row],[ДДУ]])*1,"")</f>
        <v>9.3132257461547852E-10</v>
      </c>
      <c r="G456" s="235" cm="1">
        <f t="array" ref="G456">IFERROR(INDEX(РД[Стоимость с отделкой итог],MATCH($B$3&amp;Таблица4[[#This Row],[№]]&amp;"Продажа",РД[Дом]&amp;РД[№ кв]&amp;РД[Состояние],0),1),Таблица4[[#This Row],[Статус]])</f>
        <v>4624049.87</v>
      </c>
      <c r="H456" s="235">
        <f>_xlfn.XLOOKUP(Таблица4[[#This Row],[№]],Реестр_Д4[№],Реестр_Д4[Стоимость квартиры с отделкой],"-",0)</f>
        <v>4624049.87</v>
      </c>
      <c r="I456" s="235">
        <f>IFERROR(Таблица4[[#This Row],[СО ПП]]-Таблица4[[#This Row],[СО ДДУ]],"")</f>
        <v>0</v>
      </c>
      <c r="J456" s="233" cm="1">
        <f t="array" ref="J456">IFERROR(INDEX(РД[S],MATCH($B$3&amp;Таблица4[[#This Row],[№]]&amp;"Продажа",РД[Дом]&amp;РД[№ кв]&amp;РД[Состояние],0),1),Таблица4[[#This Row],[Статус]])</f>
        <v>58.62</v>
      </c>
      <c r="K456" s="233">
        <f>VLOOKUP(Таблица4[[#This Row],[№]],Реестр_Д4[],20,0)</f>
        <v>58.62</v>
      </c>
      <c r="L456" s="235">
        <f>IFERROR(Таблица4[[#This Row],[S ПП]]-Таблица4[[#This Row],[S ДДУ]],)</f>
        <v>0</v>
      </c>
      <c r="M456" s="235">
        <f>ROUND(_xlfn.XLOOKUP(Таблица4[[#This Row],[№]],Реестр_Д4[№],Реестр_Д4[Итоговая сумма скидки],"",0),2)</f>
        <v>135759.89000000001</v>
      </c>
      <c r="N456" s="235" cm="1">
        <f t="array" ref="N456">IFERROR(ROUND(_xlfn.XLOOKUP($B$3&amp;Таблица4[[#This Row],[№]]&amp;"Продажа",РД[Дом]&amp;РД[№ кв]&amp;РД[Состояние],РД[Сумма скидки],"",0),2),Таблица4[[#This Row],[Статус]])</f>
        <v>135759.89000000001</v>
      </c>
      <c r="O456" s="235">
        <f>IFERROR(Таблица4[[#This Row],[ППС]]-Таблица4[[#This Row],[ДДУС]],)</f>
        <v>0</v>
      </c>
      <c r="P456" s="611"/>
      <c r="Q456" s="234">
        <f>VLOOKUP(ППД5!A453,Реестр_Д5[№],1,0)</f>
        <v>452</v>
      </c>
      <c r="R456" s="234" t="str">
        <f>VLOOKUP(ППД5!CH453,Реестр_Д5[Статус],1,0)</f>
        <v>Свободно</v>
      </c>
      <c r="S456" s="612">
        <f>VLOOKUP(ППД5!BZ453,Реестр_Д5[Стоимость ОН без отделки со скидкой],1,0)</f>
        <v>5387800</v>
      </c>
      <c r="T456" s="612" t="str" cm="1">
        <f t="array" ref="T45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56" s="235">
        <f>IFERROR((Таблица10[[#This Row],[ПП]]-Таблица10[[#This Row],[ДДУ]])*1,)</f>
        <v>0</v>
      </c>
      <c r="V456" s="235" t="str" cm="1">
        <f t="array" ref="V45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56" s="235">
        <f>_xlfn.XLOOKUP(Таблица10[[#This Row],[№]],Реестр_Д5[№],Реестр_Д5[Стоимость квартиры с отделкой],"-",0)</f>
        <v>5387800</v>
      </c>
      <c r="X456" s="235" t="str">
        <f>IFERROR(Таблица10[[#This Row],[СО ПП]]-Таблица10[[#This Row],[СО ДДУ]],"")</f>
        <v/>
      </c>
      <c r="Y456" s="233" t="str" cm="1">
        <f t="array" ref="Y456">IFERROR(INDEX(РД[S],MATCH($Q$3&amp;Таблица10[[#This Row],[№]]&amp;"Продажа",РД[Дом]&amp;РД[№ кв]&amp;РД[Состояние],0),1),Таблица10[[#This Row],[Статус]])</f>
        <v>Свободно</v>
      </c>
      <c r="Z456" s="233">
        <f>IF(Таблица10[[#This Row],[№]]&amp;"ДДУ"=ППД5!A453&amp;ППД5!CR453,ППД5!U453,ППД5!V453)</f>
        <v>39.549999999999997</v>
      </c>
      <c r="AA456" s="285">
        <f>IFERROR(Таблица10[[#This Row],[S ПП]]-Таблица10[[#This Row],[S ДДУ]],)</f>
        <v>0</v>
      </c>
      <c r="AB456" s="235">
        <f>ROUND(_xlfn.XLOOKUP(Таблица10[[#This Row],[№]],Реестр_Д5[№],Реестр_Д5[Итоговая сумма скидки],"",0),2)</f>
        <v>0</v>
      </c>
      <c r="AC456" s="235" t="str" cm="1">
        <f t="array" ref="AC45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56" s="285">
        <f>IFERROR(Таблица10[[#This Row],[ППС]]-Таблица10[[#This Row],[ДДУС]],)</f>
        <v>0</v>
      </c>
      <c r="AE456" s="611"/>
      <c r="AT456" s="611"/>
    </row>
    <row r="457" spans="1:46" x14ac:dyDescent="0.2">
      <c r="A457" s="611"/>
      <c r="B457" s="234">
        <f>VLOOKUP(ППД4!A454,Реестр_Д4[№],1,0)</f>
        <v>453</v>
      </c>
      <c r="C457" s="234" t="str">
        <f>VLOOKUP(ППД4!CO454,Реестр_Д4[Статус],1,0)</f>
        <v>Продажа</v>
      </c>
      <c r="D457" s="612">
        <f>VLOOKUP(ППД4!CE454,Реестр_Д4[Стоимость ОН без отделки со скидкой],1,0)</f>
        <v>6516460</v>
      </c>
      <c r="E457" s="612" cm="1">
        <f t="array" ref="E457">IFERROR(INDEX(РД[Стоимость без отделки итог],MATCH($B$3&amp;Таблица4[[#This Row],[№]]&amp;"Продажа",РД[Дом]&amp;РД[№ кв]&amp;РД[Состояние],0),1),Таблица4[[#This Row],[Статус]])</f>
        <v>6516460</v>
      </c>
      <c r="F457" s="235">
        <f>IFERROR((Таблица4[[#This Row],[ПП]]-Таблица4[[#This Row],[ДДУ]])*1,"")</f>
        <v>0</v>
      </c>
      <c r="G457" s="235" cm="1">
        <f t="array" ref="G457">IFERROR(INDEX(РД[Стоимость с отделкой итог],MATCH($B$3&amp;Таблица4[[#This Row],[№]]&amp;"Продажа",РД[Дом]&amp;РД[№ кв]&amp;РД[Состояние],0),1),Таблица4[[#This Row],[Статус]])</f>
        <v>7022635</v>
      </c>
      <c r="H457" s="235">
        <f>_xlfn.XLOOKUP(Таблица4[[#This Row],[№]],Реестр_Д4[№],Реестр_Д4[Стоимость квартиры с отделкой],"-",0)</f>
        <v>7022635</v>
      </c>
      <c r="I457" s="235">
        <f>IFERROR(Таблица4[[#This Row],[СО ПП]]-Таблица4[[#This Row],[СО ДДУ]],"")</f>
        <v>0</v>
      </c>
      <c r="J457" s="233" cm="1">
        <f t="array" ref="J457">IFERROR(INDEX(РД[S],MATCH($B$3&amp;Таблица4[[#This Row],[№]]&amp;"Продажа",РД[Дом]&amp;РД[№ кв]&amp;РД[Состояние],0),1),Таблица4[[#This Row],[Статус]])</f>
        <v>67.489999999999995</v>
      </c>
      <c r="K457" s="233">
        <f>VLOOKUP(Таблица4[[#This Row],[№]],Реестр_Д4[],20,0)</f>
        <v>67.489999999999995</v>
      </c>
      <c r="L457" s="235">
        <f>IFERROR(Таблица4[[#This Row],[S ПП]]-Таблица4[[#This Row],[S ДДУ]],)</f>
        <v>0</v>
      </c>
      <c r="M457" s="235">
        <f>ROUND(_xlfn.XLOOKUP(Таблица4[[#This Row],[№]],Реестр_Д4[№],Реестр_Д4[Итоговая сумма скидки],"",0),2)</f>
        <v>201540</v>
      </c>
      <c r="N457" s="235" cm="1">
        <f t="array" ref="N457">IFERROR(ROUND(_xlfn.XLOOKUP($B$3&amp;Таблица4[[#This Row],[№]]&amp;"Продажа",РД[Дом]&amp;РД[№ кв]&amp;РД[Состояние],РД[Сумма скидки],"",0),2),Таблица4[[#This Row],[Статус]])</f>
        <v>201540</v>
      </c>
      <c r="O457" s="235">
        <f>IFERROR(Таблица4[[#This Row],[ППС]]-Таблица4[[#This Row],[ДДУС]],)</f>
        <v>0</v>
      </c>
      <c r="P457" s="611"/>
      <c r="Q457" s="234">
        <f>VLOOKUP(ППД5!A454,Реестр_Д5[№],1,0)</f>
        <v>453</v>
      </c>
      <c r="R457" s="234" t="str">
        <f>VLOOKUP(ППД5!CH454,Реестр_Д5[Статус],1,0)</f>
        <v>Продажа</v>
      </c>
      <c r="S457" s="612">
        <f>VLOOKUP(ППД5!BZ454,Реестр_Д5[Стоимость ОН без отделки со скидкой],1,0)</f>
        <v>2626993.7799999998</v>
      </c>
      <c r="T457" s="612" cm="1">
        <f t="array" ref="T457">IFERROR(INDEX(РД[Стоимость без отделки итог],MATCH($Q$3&amp;Таблица10[[#This Row],[№]]&amp;"Продажа",РД[Дом]&amp;РД[№ кв]&amp;РД[Состояние],0),1),Таблица10[[#This Row],[Статус]])</f>
        <v>2626993.7799999998</v>
      </c>
      <c r="U457" s="235">
        <f>IFERROR((Таблица10[[#This Row],[ПП]]-Таблица10[[#This Row],[ДДУ]])*1,)</f>
        <v>0</v>
      </c>
      <c r="V457" s="235" cm="1">
        <f t="array" ref="V457">IFERROR(INDEX(РД[Стоимость с отделкой итог],MATCH($Q$3&amp;Таблица10[[#This Row],[№]]&amp;"Продажа",РД[Дом]&amp;РД[№ кв]&amp;РД[Состояние],0),1),Таблица10[[#This Row],[Статус]])</f>
        <v>2626993.7799999998</v>
      </c>
      <c r="W457" s="235">
        <f>_xlfn.XLOOKUP(Таблица10[[#This Row],[№]],Реестр_Д5[№],Реестр_Д5[Стоимость квартиры с отделкой],"-",0)</f>
        <v>2626993.7799999998</v>
      </c>
      <c r="X457" s="235">
        <f>IFERROR(Таблица10[[#This Row],[СО ПП]]-Таблица10[[#This Row],[СО ДДУ]],"")</f>
        <v>0</v>
      </c>
      <c r="Y457" s="233" cm="1">
        <f t="array" ref="Y457">IFERROR(INDEX(РД[S],MATCH($Q$3&amp;Таблица10[[#This Row],[№]]&amp;"Продажа",РД[Дом]&amp;РД[№ кв]&amp;РД[Состояние],0),1),Таблица10[[#This Row],[Статус]])</f>
        <v>29.4</v>
      </c>
      <c r="Z457" s="233">
        <f>IF(Таблица10[[#This Row],[№]]&amp;"ДДУ"=ППД5!A454&amp;ППД5!CR454,ППД5!U454,ППД5!V454)</f>
        <v>29.4</v>
      </c>
      <c r="AA457" s="285">
        <f>IFERROR(Таблица10[[#This Row],[S ПП]]-Таблица10[[#This Row],[S ДДУ]],)</f>
        <v>0</v>
      </c>
      <c r="AB457" s="235">
        <f>ROUND(_xlfn.XLOOKUP(Таблица10[[#This Row],[№]],Реестр_Д5[№],Реестр_Д5[Итоговая сумма скидки],"",0),2)</f>
        <v>0</v>
      </c>
      <c r="AC457" s="235" cm="1">
        <f t="array" ref="AC45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7" s="285">
        <f>IFERROR(Таблица10[[#This Row],[ППС]]-Таблица10[[#This Row],[ДДУС]],)</f>
        <v>0</v>
      </c>
      <c r="AE457" s="611"/>
      <c r="AT457" s="611"/>
    </row>
    <row r="458" spans="1:46" x14ac:dyDescent="0.2">
      <c r="A458" s="611"/>
      <c r="B458" s="234">
        <f>VLOOKUP(ППД4!A455,Реестр_Д4[№],1,0)</f>
        <v>454</v>
      </c>
      <c r="C458" s="234" t="str">
        <f>VLOOKUP(ППД4!CO455,Реестр_Д4[Статус],1,0)</f>
        <v>Продажа</v>
      </c>
      <c r="D458" s="612">
        <f>VLOOKUP(ППД4!CE455,Реестр_Д4[Стоимость ОН без отделки со скидкой],1,0)</f>
        <v>5377896.7800000003</v>
      </c>
      <c r="E458" s="612" cm="1">
        <f t="array" ref="E458">IFERROR(INDEX(РД[Стоимость без отделки итог],MATCH($B$3&amp;Таблица4[[#This Row],[№]]&amp;"Продажа",РД[Дом]&amp;РД[№ кв]&amp;РД[Состояние],0),1),Таблица4[[#This Row],[Статус]])</f>
        <v>5377896.7800000003</v>
      </c>
      <c r="F458" s="235">
        <f>IFERROR((Таблица4[[#This Row],[ПП]]-Таблица4[[#This Row],[ДДУ]])*1,"")</f>
        <v>0</v>
      </c>
      <c r="G458" s="235" cm="1">
        <f t="array" ref="G458">IFERROR(INDEX(РД[Стоимость с отделкой итог],MATCH($B$3&amp;Таблица4[[#This Row],[№]]&amp;"Продажа",РД[Дом]&amp;РД[№ кв]&amp;РД[Состояние],0),1),Таблица4[[#This Row],[Статус]])</f>
        <v>5664726.7800000003</v>
      </c>
      <c r="H458" s="235">
        <f>_xlfn.XLOOKUP(Таблица4[[#This Row],[№]],Реестр_Д4[№],Реестр_Д4[Стоимость квартиры с отделкой],"-",0)</f>
        <v>5664726.7800000003</v>
      </c>
      <c r="I458" s="235">
        <f>IFERROR(Таблица4[[#This Row],[СО ПП]]-Таблица4[[#This Row],[СО ДДУ]],"")</f>
        <v>0</v>
      </c>
      <c r="J458" s="233" cm="1">
        <f t="array" ref="J458">IFERROR(INDEX(РД[S],MATCH($B$3&amp;Таблица4[[#This Row],[№]]&amp;"Продажа",РД[Дом]&amp;РД[№ кв]&amp;РД[Состояние],0),1),Таблица4[[#This Row],[Статус]])</f>
        <v>63.74</v>
      </c>
      <c r="K458" s="233">
        <f>VLOOKUP(Таблица4[[#This Row],[№]],Реестр_Д4[],20,0)</f>
        <v>63.74</v>
      </c>
      <c r="L458" s="235">
        <f>IFERROR(Таблица4[[#This Row],[S ПП]]-Таблица4[[#This Row],[S ДДУ]],)</f>
        <v>0</v>
      </c>
      <c r="M458" s="235">
        <f>ROUND(_xlfn.XLOOKUP(Таблица4[[#This Row],[№]],Реестр_Д4[№],Реестр_Д4[Итоговая сумма скидки],"",0),2)</f>
        <v>0</v>
      </c>
      <c r="N458" s="235" cm="1">
        <f t="array" ref="N45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58" s="235">
        <f>IFERROR(Таблица4[[#This Row],[ППС]]-Таблица4[[#This Row],[ДДУС]],)</f>
        <v>0</v>
      </c>
      <c r="P458" s="611"/>
      <c r="Q458" s="234">
        <f>VLOOKUP(ППД5!A455,Реестр_Д5[№],1,0)</f>
        <v>454</v>
      </c>
      <c r="R458" s="234" t="str">
        <f>VLOOKUP(ППД5!CH455,Реестр_Д5[Статус],1,0)</f>
        <v>Продажа</v>
      </c>
      <c r="S458" s="612">
        <f>VLOOKUP(ППД5!BZ455,Реестр_Д5[Стоимость ОН без отделки со скидкой],1,0)</f>
        <v>3680114.9</v>
      </c>
      <c r="T458" s="612" cm="1">
        <f t="array" ref="T458">IFERROR(INDEX(РД[Стоимость без отделки итог],MATCH($Q$3&amp;Таблица10[[#This Row],[№]]&amp;"Продажа",РД[Дом]&amp;РД[№ кв]&amp;РД[Состояние],0),1),Таблица10[[#This Row],[Статус]])</f>
        <v>3680114.9</v>
      </c>
      <c r="U458" s="235">
        <f>IFERROR((Таблица10[[#This Row],[ПП]]-Таблица10[[#This Row],[ДДУ]])*1,)</f>
        <v>0</v>
      </c>
      <c r="V458" s="235" cm="1">
        <f t="array" ref="V458">IFERROR(INDEX(РД[Стоимость с отделкой итог],MATCH($Q$3&amp;Таблица10[[#This Row],[№]]&amp;"Продажа",РД[Дом]&amp;РД[№ кв]&amp;РД[Состояние],0),1),Таблица10[[#This Row],[Статус]])</f>
        <v>3680114.9</v>
      </c>
      <c r="W458" s="235">
        <f>_xlfn.XLOOKUP(Таблица10[[#This Row],[№]],Реестр_Д5[№],Реестр_Д5[Стоимость квартиры с отделкой],"-",0)</f>
        <v>3680114.9</v>
      </c>
      <c r="X458" s="235">
        <f>IFERROR(Таблица10[[#This Row],[СО ПП]]-Таблица10[[#This Row],[СО ДДУ]],"")</f>
        <v>0</v>
      </c>
      <c r="Y458" s="233" cm="1">
        <f t="array" ref="Y458">IFERROR(INDEX(РД[S],MATCH($Q$3&amp;Таблица10[[#This Row],[№]]&amp;"Продажа",РД[Дом]&amp;РД[№ кв]&amp;РД[Состояние],0),1),Таблица10[[#This Row],[Статус]])</f>
        <v>43.21</v>
      </c>
      <c r="Z458" s="233">
        <f>IF(Таблица10[[#This Row],[№]]&amp;"ДДУ"=ППД5!A455&amp;ППД5!CR455,ППД5!U455,ППД5!V455)</f>
        <v>43.21</v>
      </c>
      <c r="AA458" s="285">
        <f>IFERROR(Таблица10[[#This Row],[S ПП]]-Таблица10[[#This Row],[S ДДУ]],)</f>
        <v>0</v>
      </c>
      <c r="AB458" s="235">
        <f>ROUND(_xlfn.XLOOKUP(Таблица10[[#This Row],[№]],Реестр_Д5[№],Реестр_Д5[Итоговая сумма скидки],"",0),2)</f>
        <v>0</v>
      </c>
      <c r="AC458" s="235" cm="1">
        <f t="array" ref="AC45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8" s="285">
        <f>IFERROR(Таблица10[[#This Row],[ППС]]-Таблица10[[#This Row],[ДДУС]],)</f>
        <v>0</v>
      </c>
      <c r="AE458" s="611"/>
      <c r="AT458" s="611"/>
    </row>
    <row r="459" spans="1:46" x14ac:dyDescent="0.2">
      <c r="A459" s="611"/>
      <c r="B459" s="234">
        <f>VLOOKUP(ППД4!A456,Реестр_Д4[№],1,0)</f>
        <v>455</v>
      </c>
      <c r="C459" s="234" t="str">
        <f>VLOOKUP(ППД4!CO456,Реестр_Д4[Статус],1,0)</f>
        <v>Продажа</v>
      </c>
      <c r="D459" s="612">
        <f>VLOOKUP(ППД4!CE456,Реестр_Д4[Стоимость ОН без отделки со скидкой],1,0)</f>
        <v>4252843.6500000004</v>
      </c>
      <c r="E459" s="612" cm="1">
        <f t="array" ref="E459">IFERROR(INDEX(РД[Стоимость без отделки итог],MATCH($B$3&amp;Таблица4[[#This Row],[№]]&amp;"Продажа",РД[Дом]&amp;РД[№ кв]&amp;РД[Состояние],0),1),Таблица4[[#This Row],[Статус]])</f>
        <v>4252843.6500000004</v>
      </c>
      <c r="F459" s="235">
        <f>IFERROR((Таблица4[[#This Row],[ПП]]-Таблица4[[#This Row],[ДДУ]])*1,"")</f>
        <v>0</v>
      </c>
      <c r="G459" s="235" cm="1">
        <f t="array" ref="G459">IFERROR(INDEX(РД[Стоимость с отделкой итог],MATCH($B$3&amp;Таблица4[[#This Row],[№]]&amp;"Продажа",РД[Дом]&amp;РД[№ кв]&amp;РД[Состояние],0),1),Таблица4[[#This Row],[Статус]])</f>
        <v>4252843.6500000004</v>
      </c>
      <c r="H459" s="235">
        <f>_xlfn.XLOOKUP(Таблица4[[#This Row],[№]],Реестр_Д4[№],Реестр_Д4[Стоимость квартиры с отделкой],"-",0)</f>
        <v>4252843.6500000004</v>
      </c>
      <c r="I459" s="235">
        <f>IFERROR(Таблица4[[#This Row],[СО ПП]]-Таблица4[[#This Row],[СО ДДУ]],"")</f>
        <v>0</v>
      </c>
      <c r="J459" s="233" cm="1">
        <f t="array" ref="J459">IFERROR(INDEX(РД[S],MATCH($B$3&amp;Таблица4[[#This Row],[№]]&amp;"Продажа",РД[Дом]&amp;РД[№ кв]&amp;РД[Состояние],0),1),Таблица4[[#This Row],[Статус]])</f>
        <v>44.37</v>
      </c>
      <c r="K459" s="233">
        <f>VLOOKUP(Таблица4[[#This Row],[№]],Реестр_Д4[],20,0)</f>
        <v>44.37</v>
      </c>
      <c r="L459" s="235">
        <f>IFERROR(Таблица4[[#This Row],[S ПП]]-Таблица4[[#This Row],[S ДДУ]],)</f>
        <v>0</v>
      </c>
      <c r="M459" s="235">
        <f>ROUND(_xlfn.XLOOKUP(Таблица4[[#This Row],[№]],Реестр_Д4[№],Реестр_Д4[Итоговая сумма скидки],"",0),2)</f>
        <v>0</v>
      </c>
      <c r="N459" s="235" cm="1">
        <f t="array" ref="N45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59" s="235">
        <f>IFERROR(Таблица4[[#This Row],[ППС]]-Таблица4[[#This Row],[ДДУС]],)</f>
        <v>0</v>
      </c>
      <c r="P459" s="611"/>
      <c r="Q459" s="234">
        <f>VLOOKUP(ППД5!A456,Реестр_Д5[№],1,0)</f>
        <v>455</v>
      </c>
      <c r="R459" s="234" t="str">
        <f>VLOOKUP(ППД5!CH456,Реестр_Д5[Статус],1,0)</f>
        <v>Продажа</v>
      </c>
      <c r="S459" s="612">
        <f>VLOOKUP(ППД5!BZ456,Реестр_Д5[Стоимость ОН без отделки со скидкой],1,0)</f>
        <v>2874200</v>
      </c>
      <c r="T459" s="612" cm="1">
        <f t="array" ref="T459">IFERROR(INDEX(РД[Стоимость без отделки итог],MATCH($Q$3&amp;Таблица10[[#This Row],[№]]&amp;"Продажа",РД[Дом]&amp;РД[№ кв]&amp;РД[Состояние],0),1),Таблица10[[#This Row],[Статус]])</f>
        <v>2874200</v>
      </c>
      <c r="U459" s="235">
        <f>IFERROR((Таблица10[[#This Row],[ПП]]-Таблица10[[#This Row],[ДДУ]])*1,)</f>
        <v>0</v>
      </c>
      <c r="V459" s="235" cm="1">
        <f t="array" ref="V459">IFERROR(INDEX(РД[Стоимость с отделкой итог],MATCH($Q$3&amp;Таблица10[[#This Row],[№]]&amp;"Продажа",РД[Дом]&amp;РД[№ кв]&amp;РД[Состояние],0),1),Таблица10[[#This Row],[Статус]])</f>
        <v>3364200</v>
      </c>
      <c r="W459" s="235">
        <f>_xlfn.XLOOKUP(Таблица10[[#This Row],[№]],Реестр_Д5[№],Реестр_Д5[Стоимость квартиры с отделкой],"-",0)</f>
        <v>3364200</v>
      </c>
      <c r="X459" s="235">
        <f>IFERROR(Таблица10[[#This Row],[СО ПП]]-Таблица10[[#This Row],[СО ДДУ]],"")</f>
        <v>0</v>
      </c>
      <c r="Y459" s="233" cm="1">
        <f t="array" ref="Y459">IFERROR(INDEX(РД[S],MATCH($Q$3&amp;Таблица10[[#This Row],[№]]&amp;"Продажа",РД[Дом]&amp;РД[№ кв]&amp;РД[Состояние],0),1),Таблица10[[#This Row],[Статус]])</f>
        <v>24.5</v>
      </c>
      <c r="Z459" s="233">
        <f>IF(Таблица10[[#This Row],[№]]&amp;"ДДУ"=ППД5!A456&amp;ППД5!CR456,ППД5!U456,ППД5!V456)</f>
        <v>24.5</v>
      </c>
      <c r="AA459" s="285">
        <f>IFERROR(Таблица10[[#This Row],[S ПП]]-Таблица10[[#This Row],[S ДДУ]],)</f>
        <v>0</v>
      </c>
      <c r="AB459" s="235">
        <f>ROUND(_xlfn.XLOOKUP(Таблица10[[#This Row],[№]],Реестр_Д5[№],Реестр_Д5[Итоговая сумма скидки],"",0),2)</f>
        <v>0</v>
      </c>
      <c r="AC459" s="235" cm="1">
        <f t="array" ref="AC45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59" s="285">
        <f>IFERROR(Таблица10[[#This Row],[ППС]]-Таблица10[[#This Row],[ДДУС]],)</f>
        <v>0</v>
      </c>
      <c r="AE459" s="611"/>
      <c r="AT459" s="611"/>
    </row>
    <row r="460" spans="1:46" x14ac:dyDescent="0.2">
      <c r="A460" s="611"/>
      <c r="B460" s="234">
        <f>VLOOKUP(ППД4!A457,Реестр_Д4[№],1,0)</f>
        <v>456</v>
      </c>
      <c r="C460" s="234" t="str">
        <f>VLOOKUP(ППД4!CO457,Реестр_Д4[Статус],1,0)</f>
        <v>Продажа</v>
      </c>
      <c r="D460" s="612">
        <f>VLOOKUP(ППД4!CE457,Реестр_Д4[Стоимость ОН без отделки со скидкой],1,0)</f>
        <v>3734020.87</v>
      </c>
      <c r="E460" s="612" cm="1">
        <f t="array" ref="E460">IFERROR(INDEX(РД[Стоимость без отделки итог],MATCH($B$3&amp;Таблица4[[#This Row],[№]]&amp;"Продажа",РД[Дом]&amp;РД[№ кв]&amp;РД[Состояние],0),1),Таблица4[[#This Row],[Статус]])</f>
        <v>3734020.87</v>
      </c>
      <c r="F460" s="235">
        <f>IFERROR((Таблица4[[#This Row],[ПП]]-Таблица4[[#This Row],[ДДУ]])*1,"")</f>
        <v>0</v>
      </c>
      <c r="G460" s="235" cm="1">
        <f t="array" ref="G460">IFERROR(INDEX(РД[Стоимость с отделкой итог],MATCH($B$3&amp;Таблица4[[#This Row],[№]]&amp;"Продажа",РД[Дом]&amp;РД[№ кв]&amp;РД[Состояние],0),1),Таблица4[[#This Row],[Статус]])</f>
        <v>4330120.87</v>
      </c>
      <c r="H460" s="235">
        <f>_xlfn.XLOOKUP(Таблица4[[#This Row],[№]],Реестр_Д4[№],Реестр_Д4[Стоимость квартиры с отделкой],"-",0)</f>
        <v>4330120.87</v>
      </c>
      <c r="I460" s="235">
        <f>IFERROR(Таблица4[[#This Row],[СО ПП]]-Таблица4[[#This Row],[СО ДДУ]],"")</f>
        <v>0</v>
      </c>
      <c r="J460" s="233" cm="1">
        <f t="array" ref="J460">IFERROR(INDEX(РД[S],MATCH($B$3&amp;Таблица4[[#This Row],[№]]&amp;"Продажа",РД[Дом]&amp;РД[№ кв]&amp;РД[Состояние],0),1),Таблица4[[#This Row],[Статус]])</f>
        <v>39.74</v>
      </c>
      <c r="K460" s="233">
        <f>VLOOKUP(Таблица4[[#This Row],[№]],Реестр_Д4[],20,0)</f>
        <v>39.74</v>
      </c>
      <c r="L460" s="235">
        <f>IFERROR(Таблица4[[#This Row],[S ПП]]-Таблица4[[#This Row],[S ДДУ]],)</f>
        <v>0</v>
      </c>
      <c r="M460" s="235">
        <f>ROUND(_xlfn.XLOOKUP(Таблица4[[#This Row],[№]],Реестр_Д4[№],Реестр_Д4[Итоговая сумма скидки],"",0),2)</f>
        <v>0</v>
      </c>
      <c r="N460" s="235" cm="1">
        <f t="array" ref="N46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60" s="235">
        <f>IFERROR(Таблица4[[#This Row],[ППС]]-Таблица4[[#This Row],[ДДУС]],)</f>
        <v>0</v>
      </c>
      <c r="P460" s="611"/>
      <c r="Q460" s="234">
        <f>VLOOKUP(ППД5!A457,Реестр_Д5[№],1,0)</f>
        <v>456</v>
      </c>
      <c r="R460" s="234" t="str">
        <f>VLOOKUP(ППД5!CH457,Реестр_Д5[Статус],1,0)</f>
        <v>Продажа</v>
      </c>
      <c r="S460" s="612">
        <f>VLOOKUP(ППД5!BZ457,Реестр_Д5[Стоимость ОН без отделки со скидкой],1,0)</f>
        <v>5582700</v>
      </c>
      <c r="T460" s="612" cm="1">
        <f t="array" ref="T460">IFERROR(INDEX(РД[Стоимость без отделки итог],MATCH($Q$3&amp;Таблица10[[#This Row],[№]]&amp;"Продажа",РД[Дом]&amp;РД[№ кв]&amp;РД[Состояние],0),1),Таблица10[[#This Row],[Статус]])</f>
        <v>5582700</v>
      </c>
      <c r="U460" s="235">
        <f>IFERROR((Таблица10[[#This Row],[ПП]]-Таблица10[[#This Row],[ДДУ]])*1,)</f>
        <v>0</v>
      </c>
      <c r="V460" s="235" cm="1">
        <f t="array" ref="V460">IFERROR(INDEX(РД[Стоимость с отделкой итог],MATCH($Q$3&amp;Таблица10[[#This Row],[№]]&amp;"Продажа",РД[Дом]&amp;РД[№ кв]&amp;РД[Состояние],0),1),Таблица10[[#This Row],[Статус]])</f>
        <v>5990380</v>
      </c>
      <c r="W460" s="235">
        <f>_xlfn.XLOOKUP(Таблица10[[#This Row],[№]],Реестр_Д5[№],Реестр_Д5[Стоимость квартиры с отделкой],"-",0)</f>
        <v>5990380</v>
      </c>
      <c r="X460" s="235">
        <f>IFERROR(Таблица10[[#This Row],[СО ПП]]-Таблица10[[#This Row],[СО ДДУ]],"")</f>
        <v>0</v>
      </c>
      <c r="Y460" s="233" cm="1">
        <f t="array" ref="Y460">IFERROR(INDEX(РД[S],MATCH($Q$3&amp;Таблица10[[#This Row],[№]]&amp;"Продажа",РД[Дом]&amp;РД[№ кв]&amp;РД[Состояние],0),1),Таблица10[[#This Row],[Статус]])</f>
        <v>58.24</v>
      </c>
      <c r="Z460" s="233">
        <f>IF(Таблица10[[#This Row],[№]]&amp;"ДДУ"=ППД5!A457&amp;ППД5!CR457,ППД5!U457,ППД5!V457)</f>
        <v>58.24</v>
      </c>
      <c r="AA460" s="285">
        <f>IFERROR(Таблица10[[#This Row],[S ПП]]-Таблица10[[#This Row],[S ДДУ]],)</f>
        <v>0</v>
      </c>
      <c r="AB460" s="235">
        <f>ROUND(_xlfn.XLOOKUP(Таблица10[[#This Row],[№]],Реестр_Д5[№],Реестр_Д5[Итоговая сумма скидки],"",0),2)</f>
        <v>0</v>
      </c>
      <c r="AC460" s="235" cm="1">
        <f t="array" ref="AC46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60" s="285">
        <f>IFERROR(Таблица10[[#This Row],[ППС]]-Таблица10[[#This Row],[ДДУС]],)</f>
        <v>0</v>
      </c>
      <c r="AE460" s="611"/>
      <c r="AT460" s="611"/>
    </row>
    <row r="461" spans="1:46" x14ac:dyDescent="0.2">
      <c r="A461" s="611"/>
      <c r="B461" s="234">
        <f>VLOOKUP(ППД4!A458,Реестр_Д4[№],1,0)</f>
        <v>457</v>
      </c>
      <c r="C461" s="234" t="str">
        <f>VLOOKUP(ППД4!CO458,Реестр_Д4[Статус],1,0)</f>
        <v>Продажа</v>
      </c>
      <c r="D461" s="612">
        <f>VLOOKUP(ППД4!CE458,Реестр_Д4[Стоимость ОН без отделки со скидкой],1,0)</f>
        <v>3699442.91</v>
      </c>
      <c r="E461" s="612" cm="1">
        <f t="array" ref="E461">IFERROR(INDEX(РД[Стоимость без отделки итог],MATCH($B$3&amp;Таблица4[[#This Row],[№]]&amp;"Продажа",РД[Дом]&amp;РД[№ кв]&amp;РД[Состояние],0),1),Таблица4[[#This Row],[Статус]])</f>
        <v>3699442.91</v>
      </c>
      <c r="F461" s="235">
        <f>IFERROR((Таблица4[[#This Row],[ПП]]-Таблица4[[#This Row],[ДДУ]])*1,"")</f>
        <v>0</v>
      </c>
      <c r="G461" s="235" cm="1">
        <f t="array" ref="G461">IFERROR(INDEX(РД[Стоимость с отделкой итог],MATCH($B$3&amp;Таблица4[[#This Row],[№]]&amp;"Продажа",РД[Дом]&amp;РД[№ кв]&amp;РД[Состояние],0),1),Таблица4[[#This Row],[Статус]])</f>
        <v>3699442.91</v>
      </c>
      <c r="H461" s="235">
        <f>_xlfn.XLOOKUP(Таблица4[[#This Row],[№]],Реестр_Д4[№],Реестр_Д4[Стоимость квартиры с отделкой],"-",0)</f>
        <v>3699442.91</v>
      </c>
      <c r="I461" s="235">
        <f>IFERROR(Таблица4[[#This Row],[СО ПП]]-Таблица4[[#This Row],[СО ДДУ]],"")</f>
        <v>0</v>
      </c>
      <c r="J461" s="233" cm="1">
        <f t="array" ref="J461">IFERROR(INDEX(РД[S],MATCH($B$3&amp;Таблица4[[#This Row],[№]]&amp;"Продажа",РД[Дом]&amp;РД[№ кв]&amp;РД[Состояние],0),1),Таблица4[[#This Row],[Статус]])</f>
        <v>38.6</v>
      </c>
      <c r="K461" s="233">
        <f>VLOOKUP(Таблица4[[#This Row],[№]],Реестр_Д4[],20,0)</f>
        <v>38.6</v>
      </c>
      <c r="L461" s="235">
        <f>IFERROR(Таблица4[[#This Row],[S ПП]]-Таблица4[[#This Row],[S ДДУ]],)</f>
        <v>0</v>
      </c>
      <c r="M461" s="235">
        <f>ROUND(_xlfn.XLOOKUP(Таблица4[[#This Row],[№]],Реестр_Д4[№],Реестр_Д4[Итоговая сумма скидки],"",0),2)</f>
        <v>0</v>
      </c>
      <c r="N461" s="235" cm="1">
        <f t="array" ref="N46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61" s="235">
        <f>IFERROR(Таблица4[[#This Row],[ППС]]-Таблица4[[#This Row],[ДДУС]],)</f>
        <v>0</v>
      </c>
      <c r="P461" s="611"/>
      <c r="Q461" s="234">
        <f>VLOOKUP(ППД5!A458,Реестр_Д5[№],1,0)</f>
        <v>457</v>
      </c>
      <c r="R461" s="234" t="str">
        <f>VLOOKUP(ППД5!CH458,Реестр_Д5[Статус],1,0)</f>
        <v>Продажа</v>
      </c>
      <c r="S461" s="612">
        <f>VLOOKUP(ППД5!BZ458,Реестр_Д5[Стоимость ОН без отделки со скидкой],1,0)</f>
        <v>6709500</v>
      </c>
      <c r="T461" s="612" cm="1">
        <f t="array" ref="T461">IFERROR(INDEX(РД[Стоимость без отделки итог],MATCH($Q$3&amp;Таблица10[[#This Row],[№]]&amp;"Продажа",РД[Дом]&amp;РД[№ кв]&amp;РД[Состояние],0),1),Таблица10[[#This Row],[Статус]])</f>
        <v>6709500</v>
      </c>
      <c r="U461" s="235">
        <f>IFERROR((Таблица10[[#This Row],[ПП]]-Таблица10[[#This Row],[ДДУ]])*1,)</f>
        <v>0</v>
      </c>
      <c r="V461" s="235" cm="1">
        <f t="array" ref="V461">IFERROR(INDEX(РД[Стоимость с отделкой итог],MATCH($Q$3&amp;Таблица10[[#This Row],[№]]&amp;"Продажа",РД[Дом]&amp;РД[№ кв]&amp;РД[Состояние],0),1),Таблица10[[#This Row],[Статус]])</f>
        <v>7287500</v>
      </c>
      <c r="W461" s="235">
        <f>_xlfn.XLOOKUP(Таблица10[[#This Row],[№]],Реестр_Д5[№],Реестр_Д5[Стоимость квартиры с отделкой],"-",0)</f>
        <v>7287500</v>
      </c>
      <c r="X461" s="235">
        <f>IFERROR(Таблица10[[#This Row],[СО ПП]]-Таблица10[[#This Row],[СО ДДУ]],"")</f>
        <v>0</v>
      </c>
      <c r="Y461" s="233" cm="1">
        <f t="array" ref="Y461">IFERROR(INDEX(РД[S],MATCH($Q$3&amp;Таблица10[[#This Row],[№]]&amp;"Продажа",РД[Дом]&amp;РД[№ кв]&amp;РД[Состояние],0),1),Таблица10[[#This Row],[Статус]])</f>
        <v>57.8</v>
      </c>
      <c r="Z461" s="233">
        <f>IF(Таблица10[[#This Row],[№]]&amp;"ДДУ"=ППД5!A458&amp;ППД5!CR458,ППД5!U458,ППД5!V458)</f>
        <v>57.8</v>
      </c>
      <c r="AA461" s="285">
        <f>IFERROR(Таблица10[[#This Row],[S ПП]]-Таблица10[[#This Row],[S ДДУ]],)</f>
        <v>0</v>
      </c>
      <c r="AB461" s="235">
        <f>ROUND(_xlfn.XLOOKUP(Таблица10[[#This Row],[№]],Реестр_Д5[№],Реестр_Д5[Итоговая сумма скидки],"",0),2)</f>
        <v>300000</v>
      </c>
      <c r="AC461" s="235" cm="1">
        <f t="array" ref="AC461">IFERROR(ROUND(_xlfn.XLOOKUP($Q$3&amp;Таблица10[[#This Row],[№]]&amp;"Продажа",РД[Дом]&amp;РД[№ кв]&amp;РД[Состояние],РД[Сумма скидки],"",0,-1),2),Таблица10[[#This Row],[Статус]])</f>
        <v>300000</v>
      </c>
      <c r="AD461" s="285">
        <f>IFERROR(Таблица10[[#This Row],[ППС]]-Таблица10[[#This Row],[ДДУС]],)</f>
        <v>0</v>
      </c>
      <c r="AE461" s="611"/>
      <c r="AT461" s="611"/>
    </row>
    <row r="462" spans="1:46" x14ac:dyDescent="0.2">
      <c r="A462" s="611"/>
      <c r="B462" s="234">
        <f>VLOOKUP(ППД4!A459,Реестр_Д4[№],1,0)</f>
        <v>458</v>
      </c>
      <c r="C462" s="234" t="str">
        <f>VLOOKUP(ППД4!CO459,Реестр_Д4[Статус],1,0)</f>
        <v>Продажа</v>
      </c>
      <c r="D462" s="612">
        <f>VLOOKUP(ППД4!CE459,Реестр_Д4[Стоимость ОН без отделки со скидкой],1,0)</f>
        <v>4973109.92</v>
      </c>
      <c r="E462" s="612" cm="1">
        <f t="array" ref="E462">IFERROR(INDEX(РД[Стоимость без отделки итог],MATCH($B$3&amp;Таблица4[[#This Row],[№]]&amp;"Продажа",РД[Дом]&amp;РД[№ кв]&amp;РД[Состояние],0),1),Таблица4[[#This Row],[Статус]])</f>
        <v>4973109.92</v>
      </c>
      <c r="F462" s="235">
        <f>IFERROR((Таблица4[[#This Row],[ПП]]-Таблица4[[#This Row],[ДДУ]])*1,"")</f>
        <v>0</v>
      </c>
      <c r="G462" s="235" cm="1">
        <f t="array" ref="G462">IFERROR(INDEX(РД[Стоимость с отделкой итог],MATCH($B$3&amp;Таблица4[[#This Row],[№]]&amp;"Продажа",РД[Дом]&amp;РД[№ кв]&amp;РД[Состояние],0),1),Таблица4[[#This Row],[Статус]])</f>
        <v>5270229.92</v>
      </c>
      <c r="H462" s="235">
        <f>_xlfn.XLOOKUP(Таблица4[[#This Row],[№]],Реестр_Д4[№],Реестр_Д4[Стоимость квартиры с отделкой],"-",0)</f>
        <v>5270229.92</v>
      </c>
      <c r="I462" s="235">
        <f>IFERROR(Таблица4[[#This Row],[СО ПП]]-Таблица4[[#This Row],[СО ДДУ]],"")</f>
        <v>0</v>
      </c>
      <c r="J462" s="233" cm="1">
        <f t="array" ref="J462">IFERROR(INDEX(РД[S],MATCH($B$3&amp;Таблица4[[#This Row],[№]]&amp;"Продажа",РД[Дом]&amp;РД[№ кв]&amp;РД[Состояние],0),1),Таблица4[[#This Row],[Статус]])</f>
        <v>74.28</v>
      </c>
      <c r="K462" s="233">
        <f>VLOOKUP(Таблица4[[#This Row],[№]],Реестр_Д4[],20,0)</f>
        <v>74.28</v>
      </c>
      <c r="L462" s="235">
        <f>IFERROR(Таблица4[[#This Row],[S ПП]]-Таблица4[[#This Row],[S ДДУ]],)</f>
        <v>0</v>
      </c>
      <c r="M462" s="235">
        <f>ROUND(_xlfn.XLOOKUP(Таблица4[[#This Row],[№]],Реестр_Д4[№],Реестр_Д4[Итоговая сумма скидки],"",0),2)</f>
        <v>261742.63</v>
      </c>
      <c r="N462" s="235" cm="1">
        <f t="array" ref="N462">IFERROR(ROUND(_xlfn.XLOOKUP($B$3&amp;Таблица4[[#This Row],[№]]&amp;"Продажа",РД[Дом]&amp;РД[№ кв]&amp;РД[Состояние],РД[Сумма скидки],"",0),2),Таблица4[[#This Row],[Статус]])</f>
        <v>261742.63</v>
      </c>
      <c r="O462" s="235">
        <f>IFERROR(Таблица4[[#This Row],[ППС]]-Таблица4[[#This Row],[ДДУС]],)</f>
        <v>0</v>
      </c>
      <c r="P462" s="611"/>
      <c r="Q462" s="234">
        <f>VLOOKUP(ППД5!A459,Реестр_Д5[№],1,0)</f>
        <v>458</v>
      </c>
      <c r="R462" s="234" t="str">
        <f>VLOOKUP(ППД5!CH459,Реестр_Д5[Статус],1,0)</f>
        <v>Продажа</v>
      </c>
      <c r="S462" s="612">
        <f>VLOOKUP(ППД5!BZ459,Реестр_Д5[Стоимость ОН без отделки со скидкой],1,0)</f>
        <v>4118038</v>
      </c>
      <c r="T462" s="612" cm="1">
        <f t="array" ref="T462">IFERROR(INDEX(РД[Стоимость без отделки итог],MATCH($Q$3&amp;Таблица10[[#This Row],[№]]&amp;"Продажа",РД[Дом]&amp;РД[№ кв]&amp;РД[Состояние],0),1),Таблица10[[#This Row],[Статус]])</f>
        <v>4118038</v>
      </c>
      <c r="U462" s="235">
        <f>IFERROR((Таблица10[[#This Row],[ПП]]-Таблица10[[#This Row],[ДДУ]])*1,)</f>
        <v>0</v>
      </c>
      <c r="V462" s="235" cm="1">
        <f t="array" ref="V462">IFERROR(INDEX(РД[Стоимость с отделкой итог],MATCH($Q$3&amp;Таблица10[[#This Row],[№]]&amp;"Продажа",РД[Дом]&amp;РД[№ кв]&amp;РД[Состояние],0),1),Таблица10[[#This Row],[Статус]])</f>
        <v>4386138</v>
      </c>
      <c r="W462" s="235">
        <f>_xlfn.XLOOKUP(Таблица10[[#This Row],[№]],Реестр_Д5[№],Реестр_Д5[Стоимость квартиры с отделкой],"-",0)</f>
        <v>4386138</v>
      </c>
      <c r="X462" s="235">
        <f>IFERROR(Таблица10[[#This Row],[СО ПП]]-Таблица10[[#This Row],[СО ДДУ]],"")</f>
        <v>0</v>
      </c>
      <c r="Y462" s="233" cm="1">
        <f t="array" ref="Y462">IFERROR(INDEX(РД[S],MATCH($Q$3&amp;Таблица10[[#This Row],[№]]&amp;"Продажа",РД[Дом]&amp;РД[№ кв]&amp;РД[Состояние],0),1),Таблица10[[#This Row],[Статус]])</f>
        <v>38.299999999999997</v>
      </c>
      <c r="Z462" s="233">
        <f>IF(Таблица10[[#This Row],[№]]&amp;"ДДУ"=ППД5!A459&amp;ППД5!CR459,ППД5!U459,ППД5!V459)</f>
        <v>38.299999999999997</v>
      </c>
      <c r="AA462" s="285">
        <f>IFERROR(Таблица10[[#This Row],[S ПП]]-Таблица10[[#This Row],[S ДДУ]],)</f>
        <v>0</v>
      </c>
      <c r="AB462" s="235">
        <f>ROUND(_xlfn.XLOOKUP(Таблица10[[#This Row],[№]],Реестр_Д5[№],Реестр_Д5[Итоговая сумма скидки],"",0),2)</f>
        <v>127362</v>
      </c>
      <c r="AC462" s="235" cm="1">
        <f t="array" ref="AC462">IFERROR(ROUND(_xlfn.XLOOKUP($Q$3&amp;Таблица10[[#This Row],[№]]&amp;"Продажа",РД[Дом]&amp;РД[№ кв]&amp;РД[Состояние],РД[Сумма скидки],"",0,-1),2),Таблица10[[#This Row],[Статус]])</f>
        <v>127362</v>
      </c>
      <c r="AD462" s="285">
        <f>IFERROR(Таблица10[[#This Row],[ППС]]-Таблица10[[#This Row],[ДДУС]],)</f>
        <v>0</v>
      </c>
      <c r="AE462" s="611"/>
      <c r="AT462" s="611"/>
    </row>
    <row r="463" spans="1:46" x14ac:dyDescent="0.2">
      <c r="A463" s="611"/>
      <c r="B463" s="234">
        <f>VLOOKUP(ППД4!A460,Реестр_Д4[№],1,0)</f>
        <v>459</v>
      </c>
      <c r="C463" s="234" t="str">
        <f>VLOOKUP(ППД4!CO460,Реестр_Д4[Статус],1,0)</f>
        <v>Продажа</v>
      </c>
      <c r="D463" s="612">
        <f>VLOOKUP(ППД4!CE460,Реестр_Д4[Стоимость ОН без отделки со скидкой],1,0)</f>
        <v>4547600</v>
      </c>
      <c r="E463" s="612" cm="1">
        <f t="array" ref="E463">IFERROR(INDEX(РД[Стоимость без отделки итог],MATCH($B$3&amp;Таблица4[[#This Row],[№]]&amp;"Продажа",РД[Дом]&amp;РД[№ кв]&amp;РД[Состояние],0),1),Таблица4[[#This Row],[Статус]])</f>
        <v>4547600</v>
      </c>
      <c r="F463" s="235">
        <f>IFERROR((Таблица4[[#This Row],[ПП]]-Таблица4[[#This Row],[ДДУ]])*1,"")</f>
        <v>0</v>
      </c>
      <c r="G463" s="235" cm="1">
        <f t="array" ref="G463">IFERROR(INDEX(РД[Стоимость с отделкой итог],MATCH($B$3&amp;Таблица4[[#This Row],[№]]&amp;"Продажа",РД[Дом]&amp;РД[№ кв]&amp;РД[Состояние],0),1),Таблица4[[#This Row],[Статус]])</f>
        <v>5350600</v>
      </c>
      <c r="H463" s="235">
        <f>_xlfn.XLOOKUP(Таблица4[[#This Row],[№]],Реестр_Д4[№],Реестр_Д4[Стоимость квартиры с отделкой],"-",0)</f>
        <v>5350600</v>
      </c>
      <c r="I463" s="235">
        <f>IFERROR(Таблица4[[#This Row],[СО ПП]]-Таблица4[[#This Row],[СО ДДУ]],"")</f>
        <v>0</v>
      </c>
      <c r="J463" s="233" cm="1">
        <f t="array" ref="J463">IFERROR(INDEX(РД[S],MATCH($B$3&amp;Таблица4[[#This Row],[№]]&amp;"Продажа",РД[Дом]&amp;РД[№ кв]&amp;РД[Состояние],0),1),Таблица4[[#This Row],[Статус]])</f>
        <v>36.5</v>
      </c>
      <c r="K463" s="233">
        <f>VLOOKUP(Таблица4[[#This Row],[№]],Реестр_Д4[],20,0)</f>
        <v>36.5</v>
      </c>
      <c r="L463" s="235">
        <f>IFERROR(Таблица4[[#This Row],[S ПП]]-Таблица4[[#This Row],[S ДДУ]],)</f>
        <v>0</v>
      </c>
      <c r="M463" s="235">
        <f>ROUND(_xlfn.XLOOKUP(Таблица4[[#This Row],[№]],Реестр_Д4[№],Реестр_Д4[Итоговая сумма скидки],"",0),2)</f>
        <v>0</v>
      </c>
      <c r="N463" s="235" cm="1">
        <f t="array" ref="N46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63" s="235">
        <f>IFERROR(Таблица4[[#This Row],[ППС]]-Таблица4[[#This Row],[ДДУС]],)</f>
        <v>0</v>
      </c>
      <c r="P463" s="611"/>
      <c r="Q463" s="234">
        <f>VLOOKUP(ППД5!A460,Реестр_Д5[№],1,0)</f>
        <v>459</v>
      </c>
      <c r="R463" s="234" t="str">
        <f>VLOOKUP(ППД5!CH460,Реестр_Д5[Статус],1,0)</f>
        <v>Продажа</v>
      </c>
      <c r="S463" s="612">
        <f>VLOOKUP(ППД5!BZ460,Реестр_Д5[Стоимость ОН без отделки со скидкой],1,0)</f>
        <v>7375686</v>
      </c>
      <c r="T463" s="612" cm="1">
        <f t="array" ref="T463">IFERROR(INDEX(РД[Стоимость без отделки итог],MATCH($Q$3&amp;Таблица10[[#This Row],[№]]&amp;"Продажа",РД[Дом]&amp;РД[№ кв]&amp;РД[Состояние],0),1),Таблица10[[#This Row],[Статус]])</f>
        <v>7375686</v>
      </c>
      <c r="U463" s="235">
        <f>IFERROR((Таблица10[[#This Row],[ПП]]-Таблица10[[#This Row],[ДДУ]])*1,)</f>
        <v>0</v>
      </c>
      <c r="V463" s="235" cm="1">
        <f t="array" ref="V463">IFERROR(INDEX(РД[Стоимость с отделкой итог],MATCH($Q$3&amp;Таблица10[[#This Row],[№]]&amp;"Продажа",РД[Дом]&amp;РД[№ кв]&amp;РД[Состояние],0),1),Таблица10[[#This Row],[Статус]])</f>
        <v>7931766</v>
      </c>
      <c r="W463" s="235">
        <f>_xlfn.XLOOKUP(Таблица10[[#This Row],[№]],Реестр_Д5[№],Реестр_Д5[Стоимость квартиры с отделкой],"-",0)</f>
        <v>7931766</v>
      </c>
      <c r="X463" s="235">
        <f>IFERROR(Таблица10[[#This Row],[СО ПП]]-Таблица10[[#This Row],[СО ДДУ]],"")</f>
        <v>0</v>
      </c>
      <c r="Y463" s="233" cm="1">
        <f t="array" ref="Y463">IFERROR(INDEX(РД[S],MATCH($Q$3&amp;Таблица10[[#This Row],[№]]&amp;"Продажа",РД[Дом]&amp;РД[№ кв]&amp;РД[Состояние],0),1),Таблица10[[#This Row],[Статус]])</f>
        <v>79.44</v>
      </c>
      <c r="Z463" s="233">
        <f>IF(Таблица10[[#This Row],[№]]&amp;"ДДУ"=ППД5!A460&amp;ППД5!CR460,ППД5!U460,ППД5!V460)</f>
        <v>79.44</v>
      </c>
      <c r="AA463" s="285">
        <f>IFERROR(Таблица10[[#This Row],[S ПП]]-Таблица10[[#This Row],[S ДДУ]],)</f>
        <v>0</v>
      </c>
      <c r="AB463" s="235">
        <f>ROUND(_xlfn.XLOOKUP(Таблица10[[#This Row],[№]],Реестр_Д5[№],Реестр_Д5[Итоговая сумма скидки],"",0),2)</f>
        <v>228114</v>
      </c>
      <c r="AC463" s="235" cm="1">
        <f t="array" ref="AC463">IFERROR(ROUND(_xlfn.XLOOKUP($Q$3&amp;Таблица10[[#This Row],[№]]&amp;"Продажа",РД[Дом]&amp;РД[№ кв]&amp;РД[Состояние],РД[Сумма скидки],"",0,-1),2),Таблица10[[#This Row],[Статус]])</f>
        <v>228114</v>
      </c>
      <c r="AD463" s="285">
        <f>IFERROR(Таблица10[[#This Row],[ППС]]-Таблица10[[#This Row],[ДДУС]],)</f>
        <v>0</v>
      </c>
      <c r="AE463" s="611"/>
      <c r="AT463" s="611"/>
    </row>
    <row r="464" spans="1:46" x14ac:dyDescent="0.2">
      <c r="A464" s="611"/>
      <c r="B464" s="234">
        <f>VLOOKUP(ППД4!A461,Реестр_Д4[№],1,0)</f>
        <v>460</v>
      </c>
      <c r="C464" s="234" t="str">
        <f>VLOOKUP(ППД4!CO461,Реестр_Д4[Статус],1,0)</f>
        <v>Продажа</v>
      </c>
      <c r="D464" s="612">
        <f>VLOOKUP(ППД4!CE461,Реестр_Д4[Стоимость ОН без отделки со скидкой],1,0)</f>
        <v>4501377.6900000004</v>
      </c>
      <c r="E464" s="612" cm="1">
        <f t="array" ref="E464">IFERROR(INDEX(РД[Стоимость без отделки итог],MATCH($B$3&amp;Таблица4[[#This Row],[№]]&amp;"Продажа",РД[Дом]&amp;РД[№ кв]&amp;РД[Состояние],0),1),Таблица4[[#This Row],[Статус]])</f>
        <v>4501377.6900000004</v>
      </c>
      <c r="F464" s="235">
        <f>IFERROR((Таблица4[[#This Row],[ПП]]-Таблица4[[#This Row],[ДДУ]])*1,"")</f>
        <v>0</v>
      </c>
      <c r="G464" s="235" cm="1">
        <f t="array" ref="G464">IFERROR(INDEX(РД[Стоимость с отделкой итог],MATCH($B$3&amp;Таблица4[[#This Row],[№]]&amp;"Продажа",РД[Дом]&amp;РД[№ кв]&amp;РД[Состояние],0),1),Таблица4[[#This Row],[Статус]])</f>
        <v>5341977.6900000004</v>
      </c>
      <c r="H464" s="235">
        <f>_xlfn.XLOOKUP(Таблица4[[#This Row],[№]],Реестр_Д4[№],Реестр_Д4[Стоимость квартиры с отделкой],"-",0)</f>
        <v>5341977.6900000004</v>
      </c>
      <c r="I464" s="235">
        <f>IFERROR(Таблица4[[#This Row],[СО ПП]]-Таблица4[[#This Row],[СО ДДУ]],"")</f>
        <v>0</v>
      </c>
      <c r="J464" s="233" cm="1">
        <f t="array" ref="J464">IFERROR(INDEX(РД[S],MATCH($B$3&amp;Таблица4[[#This Row],[№]]&amp;"Продажа",РД[Дом]&amp;РД[№ кв]&amp;РД[Состояние],0),1),Таблица4[[#This Row],[Статус]])</f>
        <v>56.04</v>
      </c>
      <c r="K464" s="233">
        <f>VLOOKUP(Таблица4[[#This Row],[№]],Реестр_Д4[],20,0)</f>
        <v>56.04</v>
      </c>
      <c r="L464" s="235">
        <f>IFERROR(Таблица4[[#This Row],[S ПП]]-Таблица4[[#This Row],[S ДДУ]],)</f>
        <v>0</v>
      </c>
      <c r="M464" s="235">
        <f>ROUND(_xlfn.XLOOKUP(Таблица4[[#This Row],[№]],Реестр_Д4[№],Реестр_Д4[Итоговая сумма скидки],"",0),2)</f>
        <v>0</v>
      </c>
      <c r="N464" s="235" cm="1">
        <f t="array" ref="N46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64" s="235">
        <f>IFERROR(Таблица4[[#This Row],[ППС]]-Таблица4[[#This Row],[ДДУС]],)</f>
        <v>0</v>
      </c>
      <c r="P464" s="611"/>
      <c r="Q464" s="234">
        <f>VLOOKUP(ППД5!A461,Реестр_Д5[№],1,0)</f>
        <v>460</v>
      </c>
      <c r="R464" s="234" t="str">
        <f>VLOOKUP(ППД5!CH461,Реестр_Д5[Статус],1,0)</f>
        <v>Продажа</v>
      </c>
      <c r="S464" s="612">
        <f>VLOOKUP(ППД5!BZ461,Реестр_Д5[Стоимость ОН без отделки со скидкой],1,0)</f>
        <v>3865265</v>
      </c>
      <c r="T464" s="612" cm="1">
        <f t="array" ref="T464">IFERROR(INDEX(РД[Стоимость без отделки итог],MATCH($Q$3&amp;Таблица10[[#This Row],[№]]&amp;"Продажа",РД[Дом]&amp;РД[№ кв]&amp;РД[Состояние],0),1),Таблица10[[#This Row],[Статус]])</f>
        <v>3865265</v>
      </c>
      <c r="U464" s="235">
        <f>IFERROR((Таблица10[[#This Row],[ПП]]-Таблица10[[#This Row],[ДДУ]])*1,)</f>
        <v>0</v>
      </c>
      <c r="V464" s="235" cm="1">
        <f t="array" ref="V464">IFERROR(INDEX(РД[Стоимость с отделкой итог],MATCH($Q$3&amp;Таблица10[[#This Row],[№]]&amp;"Продажа",РД[Дом]&amp;РД[№ кв]&amp;РД[Состояние],0),1),Таблица10[[#This Row],[Статус]])</f>
        <v>4738445</v>
      </c>
      <c r="W464" s="235">
        <f>_xlfn.XLOOKUP(Таблица10[[#This Row],[№]],Реестр_Д5[№],Реестр_Д5[Стоимость квартиры с отделкой],"-",0)</f>
        <v>4738445</v>
      </c>
      <c r="X464" s="235">
        <f>IFERROR(Таблица10[[#This Row],[СО ПП]]-Таблица10[[#This Row],[СО ДДУ]],"")</f>
        <v>0</v>
      </c>
      <c r="Y464" s="233" cm="1">
        <f t="array" ref="Y464">IFERROR(INDEX(РД[S],MATCH($Q$3&amp;Таблица10[[#This Row],[№]]&amp;"Продажа",РД[Дом]&amp;РД[№ кв]&amp;РД[Состояние],0),1),Таблица10[[#This Row],[Статус]])</f>
        <v>39.69</v>
      </c>
      <c r="Z464" s="233">
        <f>IF(Таблица10[[#This Row],[№]]&amp;"ДДУ"=ППД5!A461&amp;ППД5!CR461,ППД5!U461,ППД5!V461)</f>
        <v>39.69</v>
      </c>
      <c r="AA464" s="285">
        <f>IFERROR(Таблица10[[#This Row],[S ПП]]-Таблица10[[#This Row],[S ДДУ]],)</f>
        <v>0</v>
      </c>
      <c r="AB464" s="235">
        <f>ROUND(_xlfn.XLOOKUP(Таблица10[[#This Row],[№]],Реестр_Д5[№],Реестр_Д5[Итоговая сумма скидки],"",0),2)</f>
        <v>203435</v>
      </c>
      <c r="AC464" s="235" cm="1">
        <f t="array" ref="AC464">IFERROR(ROUND(_xlfn.XLOOKUP($Q$3&amp;Таблица10[[#This Row],[№]]&amp;"Продажа",РД[Дом]&amp;РД[№ кв]&amp;РД[Состояние],РД[Сумма скидки],"",0,-1),2),Таблица10[[#This Row],[Статус]])</f>
        <v>203435</v>
      </c>
      <c r="AD464" s="285">
        <f>IFERROR(Таблица10[[#This Row],[ППС]]-Таблица10[[#This Row],[ДДУС]],)</f>
        <v>0</v>
      </c>
      <c r="AE464" s="611"/>
      <c r="AT464" s="611"/>
    </row>
    <row r="465" spans="1:46" x14ac:dyDescent="0.2">
      <c r="A465" s="611"/>
      <c r="B465" s="234">
        <f>VLOOKUP(ППД4!A462,Реестр_Д4[№],1,0)</f>
        <v>461</v>
      </c>
      <c r="C465" s="234" t="str">
        <f>VLOOKUP(ППД4!CO462,Реестр_Д4[Статус],1,0)</f>
        <v>Продажа</v>
      </c>
      <c r="D465" s="612">
        <f>VLOOKUP(ППД4!CE462,Реестр_Д4[Стоимость ОН без отделки со скидкой],1,0)</f>
        <v>4183793.81</v>
      </c>
      <c r="E465" s="612" cm="1">
        <f t="array" ref="E465">IFERROR(INDEX(РД[Стоимость без отделки итог],MATCH($B$3&amp;Таблица4[[#This Row],[№]]&amp;"Продажа",РД[Дом]&amp;РД[№ кв]&amp;РД[Состояние],0),1),Таблица4[[#This Row],[Статус]])</f>
        <v>4183793.8099999996</v>
      </c>
      <c r="F465" s="235">
        <f>IFERROR((Таблица4[[#This Row],[ПП]]-Таблица4[[#This Row],[ДДУ]])*1,"")</f>
        <v>4.6566128730773926E-10</v>
      </c>
      <c r="G465" s="235" cm="1">
        <f t="array" ref="G465">IFERROR(INDEX(РД[Стоимость с отделкой итог],MATCH($B$3&amp;Таблица4[[#This Row],[№]]&amp;"Продажа",РД[Дом]&amp;РД[№ кв]&amp;РД[Состояние],0),1),Таблица4[[#This Row],[Статус]])</f>
        <v>4623443.8099999996</v>
      </c>
      <c r="H465" s="235">
        <f>_xlfn.XLOOKUP(Таблица4[[#This Row],[№]],Реестр_Д4[№],Реестр_Д4[Стоимость квартиры с отделкой],"-",0)</f>
        <v>4623443.8099999996</v>
      </c>
      <c r="I465" s="235">
        <f>IFERROR(Таблица4[[#This Row],[СО ПП]]-Таблица4[[#This Row],[СО ДДУ]],"")</f>
        <v>0</v>
      </c>
      <c r="J465" s="233" cm="1">
        <f t="array" ref="J465">IFERROR(INDEX(РД[S],MATCH($B$3&amp;Таблица4[[#This Row],[№]]&amp;"Продажа",РД[Дом]&amp;РД[№ кв]&amp;РД[Состояние],0),1),Таблица4[[#This Row],[Статус]])</f>
        <v>58.62</v>
      </c>
      <c r="K465" s="233">
        <f>VLOOKUP(Таблица4[[#This Row],[№]],Реестр_Д4[],20,0)</f>
        <v>58.62</v>
      </c>
      <c r="L465" s="235">
        <f>IFERROR(Таблица4[[#This Row],[S ПП]]-Таблица4[[#This Row],[S ДДУ]],)</f>
        <v>0</v>
      </c>
      <c r="M465" s="235">
        <f>ROUND(_xlfn.XLOOKUP(Таблица4[[#This Row],[№]],Реестр_Д4[№],Реестр_Д4[Итоговая сумма скидки],"",0),2)</f>
        <v>0</v>
      </c>
      <c r="N465" s="235" cm="1">
        <f t="array" ref="N46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65" s="235">
        <f>IFERROR(Таблица4[[#This Row],[ППС]]-Таблица4[[#This Row],[ДДУС]],)</f>
        <v>0</v>
      </c>
      <c r="P465" s="611"/>
      <c r="Q465" s="234">
        <f>VLOOKUP(ППД5!A462,Реестр_Д5[№],1,0)</f>
        <v>461</v>
      </c>
      <c r="R465" s="234" t="str">
        <f>VLOOKUP(ППД5!CH462,Реестр_Д5[Статус],1,0)</f>
        <v>Продажа</v>
      </c>
      <c r="S465" s="612">
        <f>VLOOKUP(ППД5!BZ462,Реестр_Д5[Стоимость ОН без отделки со скидкой],1,0)</f>
        <v>3475300</v>
      </c>
      <c r="T465" s="612" cm="1">
        <f t="array" ref="T465">IFERROR(INDEX(РД[Стоимость без отделки итог],MATCH($Q$3&amp;Таблица10[[#This Row],[№]]&amp;"Продажа",РД[Дом]&amp;РД[№ кв]&amp;РД[Состояние],0),1),Таблица10[[#This Row],[Статус]])</f>
        <v>3475300</v>
      </c>
      <c r="U465" s="235">
        <f>IFERROR((Таблица10[[#This Row],[ПП]]-Таблица10[[#This Row],[ДДУ]])*1,)</f>
        <v>0</v>
      </c>
      <c r="V465" s="235" cm="1">
        <f t="array" ref="V465">IFERROR(INDEX(РД[Стоимость с отделкой итог],MATCH($Q$3&amp;Таблица10[[#This Row],[№]]&amp;"Продажа",РД[Дом]&amp;РД[№ кв]&amp;РД[Состояние],0),1),Таблица10[[#This Row],[Статус]])</f>
        <v>4063300</v>
      </c>
      <c r="W465" s="235">
        <f>_xlfn.XLOOKUP(Таблица10[[#This Row],[№]],Реестр_Д5[№],Реестр_Д5[Стоимость квартиры с отделкой],"-",0)</f>
        <v>4063300</v>
      </c>
      <c r="X465" s="235">
        <f>IFERROR(Таблица10[[#This Row],[СО ПП]]-Таблица10[[#This Row],[СО ДДУ]],"")</f>
        <v>0</v>
      </c>
      <c r="Y465" s="233" cm="1">
        <f t="array" ref="Y465">IFERROR(INDEX(РД[S],MATCH($Q$3&amp;Таблица10[[#This Row],[№]]&amp;"Продажа",РД[Дом]&amp;РД[№ кв]&amp;РД[Состояние],0),1),Таблица10[[#This Row],[Статус]])</f>
        <v>29.4</v>
      </c>
      <c r="Z465" s="233">
        <f>IF(Таблица10[[#This Row],[№]]&amp;"ДДУ"=ППД5!A462&amp;ППД5!CR462,ППД5!U462,ППД5!V462)</f>
        <v>29.4</v>
      </c>
      <c r="AA465" s="285">
        <f>IFERROR(Таблица10[[#This Row],[S ПП]]-Таблица10[[#This Row],[S ДДУ]],)</f>
        <v>0</v>
      </c>
      <c r="AB465" s="235">
        <f>ROUND(_xlfn.XLOOKUP(Таблица10[[#This Row],[№]],Реестр_Д5[№],Реестр_Д5[Итоговая сумма скидки],"",0),2)</f>
        <v>0</v>
      </c>
      <c r="AC465" s="235" cm="1">
        <f t="array" ref="AC46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65" s="285">
        <f>IFERROR(Таблица10[[#This Row],[ППС]]-Таблица10[[#This Row],[ДДУС]],)</f>
        <v>0</v>
      </c>
      <c r="AE465" s="611"/>
      <c r="AT465" s="611"/>
    </row>
    <row r="466" spans="1:46" x14ac:dyDescent="0.2">
      <c r="A466" s="611"/>
      <c r="B466" s="234">
        <f>VLOOKUP(ППД4!A463,Реестр_Д4[№],1,0)</f>
        <v>462</v>
      </c>
      <c r="C466" s="234" t="str">
        <f>VLOOKUP(ППД4!CO463,Реестр_Д4[Статус],1,0)</f>
        <v>Продажа</v>
      </c>
      <c r="D466" s="612">
        <f>VLOOKUP(ППД4!CE463,Реестр_Д4[Стоимость ОН без отделки со скидкой],1,0)</f>
        <v>5040966.42</v>
      </c>
      <c r="E466" s="612" cm="1">
        <f t="array" ref="E466">IFERROR(INDEX(РД[Стоимость без отделки итог],MATCH($B$3&amp;Таблица4[[#This Row],[№]]&amp;"Продажа",РД[Дом]&amp;РД[№ кв]&amp;РД[Состояние],0),1),Таблица4[[#This Row],[Статус]])</f>
        <v>5040966.42</v>
      </c>
      <c r="F466" s="235">
        <f>IFERROR((Таблица4[[#This Row],[ПП]]-Таблица4[[#This Row],[ДДУ]])*1,"")</f>
        <v>0</v>
      </c>
      <c r="G466" s="235" cm="1">
        <f t="array" ref="G466">IFERROR(INDEX(РД[Стоимость с отделкой итог],MATCH($B$3&amp;Таблица4[[#This Row],[№]]&amp;"Продажа",РД[Дом]&amp;РД[№ кв]&amp;РД[Состояние],0),1),Таблица4[[#This Row],[Статус]])</f>
        <v>5310926.42</v>
      </c>
      <c r="H466" s="235">
        <f>_xlfn.XLOOKUP(Таблица4[[#This Row],[№]],Реестр_Д4[№],Реестр_Д4[Стоимость квартиры с отделкой],"-",0)</f>
        <v>5310926.42</v>
      </c>
      <c r="I466" s="235">
        <f>IFERROR(Таблица4[[#This Row],[СО ПП]]-Таблица4[[#This Row],[СО ДДУ]],"")</f>
        <v>0</v>
      </c>
      <c r="J466" s="233" cm="1">
        <f t="array" ref="J466">IFERROR(INDEX(РД[S],MATCH($B$3&amp;Таблица4[[#This Row],[№]]&amp;"Продажа",РД[Дом]&amp;РД[№ кв]&amp;РД[Состояние],0),1),Таблица4[[#This Row],[Статус]])</f>
        <v>67.489999999999995</v>
      </c>
      <c r="K466" s="233">
        <f>VLOOKUP(Таблица4[[#This Row],[№]],Реестр_Д4[],20,0)</f>
        <v>67.489999999999995</v>
      </c>
      <c r="L466" s="235">
        <f>IFERROR(Таблица4[[#This Row],[S ПП]]-Таблица4[[#This Row],[S ДДУ]],)</f>
        <v>0</v>
      </c>
      <c r="M466" s="235">
        <f>ROUND(_xlfn.XLOOKUP(Таблица4[[#This Row],[№]],Реестр_Д4[№],Реестр_Д4[Итоговая сумма скидки],"",0),2)</f>
        <v>265314.02</v>
      </c>
      <c r="N466" s="235" cm="1">
        <f t="array" ref="N466">IFERROR(ROUND(_xlfn.XLOOKUP($B$3&amp;Таблица4[[#This Row],[№]]&amp;"Продажа",РД[Дом]&amp;РД[№ кв]&amp;РД[Состояние],РД[Сумма скидки],"",0),2),Таблица4[[#This Row],[Статус]])</f>
        <v>265314.02</v>
      </c>
      <c r="O466" s="235">
        <f>IFERROR(Таблица4[[#This Row],[ППС]]-Таблица4[[#This Row],[ДДУС]],)</f>
        <v>0</v>
      </c>
      <c r="P466" s="611"/>
      <c r="Q466" s="234">
        <f>VLOOKUP(ППД5!A463,Реестр_Д5[№],1,0)</f>
        <v>462</v>
      </c>
      <c r="R466" s="234" t="str">
        <f>VLOOKUP(ППД5!CH463,Реестр_Д5[Статус],1,0)</f>
        <v>Продажа</v>
      </c>
      <c r="S466" s="612">
        <f>VLOOKUP(ППД5!BZ463,Реестр_Д5[Стоимость ОН без отделки со скидкой],1,0)</f>
        <v>4476200</v>
      </c>
      <c r="T466" s="612" cm="1">
        <f t="array" ref="T466">IFERROR(INDEX(РД[Стоимость без отделки итог],MATCH($Q$3&amp;Таблица10[[#This Row],[№]]&amp;"Продажа",РД[Дом]&amp;РД[№ кв]&amp;РД[Состояние],0),1),Таблица10[[#This Row],[Статус]])</f>
        <v>4476200</v>
      </c>
      <c r="U466" s="235">
        <f>IFERROR((Таблица10[[#This Row],[ПП]]-Таблица10[[#This Row],[ДДУ]])*1,)</f>
        <v>0</v>
      </c>
      <c r="V466" s="235" cm="1">
        <f t="array" ref="V466">IFERROR(INDEX(РД[Стоимость с отделкой итог],MATCH($Q$3&amp;Таблица10[[#This Row],[№]]&amp;"Продажа",РД[Дом]&amp;РД[№ кв]&amp;РД[Состояние],0),1),Таблица10[[#This Row],[Статус]])</f>
        <v>4476200</v>
      </c>
      <c r="W466" s="235">
        <f>_xlfn.XLOOKUP(Таблица10[[#This Row],[№]],Реестр_Д5[№],Реестр_Д5[Стоимость квартиры с отделкой],"-",0)</f>
        <v>4476200</v>
      </c>
      <c r="X466" s="235">
        <f>IFERROR(Таблица10[[#This Row],[СО ПП]]-Таблица10[[#This Row],[СО ДДУ]],"")</f>
        <v>0</v>
      </c>
      <c r="Y466" s="233" cm="1">
        <f t="array" ref="Y466">IFERROR(INDEX(РД[S],MATCH($Q$3&amp;Таблица10[[#This Row],[№]]&amp;"Продажа",РД[Дом]&amp;РД[№ кв]&amp;РД[Состояние],0),1),Таблица10[[#This Row],[Статус]])</f>
        <v>43.21</v>
      </c>
      <c r="Z466" s="233">
        <f>IF(Таблица10[[#This Row],[№]]&amp;"ДДУ"=ППД5!A463&amp;ППД5!CR463,ППД5!U463,ППД5!V463)</f>
        <v>43.21</v>
      </c>
      <c r="AA466" s="285">
        <f>IFERROR(Таблица10[[#This Row],[S ПП]]-Таблица10[[#This Row],[S ДДУ]],)</f>
        <v>0</v>
      </c>
      <c r="AB466" s="235">
        <f>ROUND(_xlfn.XLOOKUP(Таблица10[[#This Row],[№]],Реестр_Д5[№],Реестр_Д5[Итоговая сумма скидки],"",0),2)</f>
        <v>0</v>
      </c>
      <c r="AC466" s="235" cm="1">
        <f t="array" ref="AC46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66" s="285">
        <f>IFERROR(Таблица10[[#This Row],[ППС]]-Таблица10[[#This Row],[ДДУС]],)</f>
        <v>0</v>
      </c>
      <c r="AE466" s="611"/>
      <c r="AT466" s="611"/>
    </row>
    <row r="467" spans="1:46" x14ac:dyDescent="0.2">
      <c r="A467" s="611"/>
      <c r="B467" s="234">
        <f>VLOOKUP(ППД4!A464,Реестр_Д4[№],1,0)</f>
        <v>463</v>
      </c>
      <c r="C467" s="234" t="str">
        <f>VLOOKUP(ППД4!CO464,Реестр_Д4[Статус],1,0)</f>
        <v>Продажа</v>
      </c>
      <c r="D467" s="612">
        <f>VLOOKUP(ППД4!CE464,Реестр_Д4[Стоимость ОН без отделки со скидкой],1,0)</f>
        <v>5822512</v>
      </c>
      <c r="E467" s="612" cm="1">
        <f t="array" ref="E467">IFERROR(INDEX(РД[Стоимость без отделки итог],MATCH($B$3&amp;Таблица4[[#This Row],[№]]&amp;"Продажа",РД[Дом]&amp;РД[№ кв]&amp;РД[Состояние],0),1),Таблица4[[#This Row],[Статус]])</f>
        <v>5822512</v>
      </c>
      <c r="F467" s="235">
        <f>IFERROR((Таблица4[[#This Row],[ПП]]-Таблица4[[#This Row],[ДДУ]])*1,"")</f>
        <v>0</v>
      </c>
      <c r="G467" s="235" cm="1">
        <f t="array" ref="G467">IFERROR(INDEX(РД[Стоимость с отделкой итог],MATCH($B$3&amp;Таблица4[[#This Row],[№]]&amp;"Продажа",РД[Дом]&amp;РД[№ кв]&amp;РД[Состояние],0),1),Таблица4[[#This Row],[Статус]])</f>
        <v>5822512</v>
      </c>
      <c r="H467" s="235">
        <f>_xlfn.XLOOKUP(Таблица4[[#This Row],[№]],Реестр_Д4[№],Реестр_Д4[Стоимость квартиры с отделкой],"-",0)</f>
        <v>5822512</v>
      </c>
      <c r="I467" s="235">
        <f>IFERROR(Таблица4[[#This Row],[СО ПП]]-Таблица4[[#This Row],[СО ДДУ]],"")</f>
        <v>0</v>
      </c>
      <c r="J467" s="233" cm="1">
        <f t="array" ref="J467">IFERROR(INDEX(РД[S],MATCH($B$3&amp;Таблица4[[#This Row],[№]]&amp;"Продажа",РД[Дом]&amp;РД[№ кв]&amp;РД[Состояние],0),1),Таблица4[[#This Row],[Статус]])</f>
        <v>63.74</v>
      </c>
      <c r="K467" s="233">
        <f>VLOOKUP(Таблица4[[#This Row],[№]],Реестр_Д4[],20,0)</f>
        <v>63.74</v>
      </c>
      <c r="L467" s="235">
        <f>IFERROR(Таблица4[[#This Row],[S ПП]]-Таблица4[[#This Row],[S ДДУ]],)</f>
        <v>0</v>
      </c>
      <c r="M467" s="235">
        <f>ROUND(_xlfn.XLOOKUP(Таблица4[[#This Row],[№]],Реестр_Д4[№],Реестр_Д4[Итоговая сумма скидки],"",0),2)</f>
        <v>88888</v>
      </c>
      <c r="N467" s="235" cm="1">
        <f t="array" ref="N467">IFERROR(ROUND(_xlfn.XLOOKUP($B$3&amp;Таблица4[[#This Row],[№]]&amp;"Продажа",РД[Дом]&amp;РД[№ кв]&amp;РД[Состояние],РД[Сумма скидки],"",0),2),Таблица4[[#This Row],[Статус]])</f>
        <v>88888</v>
      </c>
      <c r="O467" s="235">
        <f>IFERROR(Таблица4[[#This Row],[ППС]]-Таблица4[[#This Row],[ДДУС]],)</f>
        <v>0</v>
      </c>
      <c r="P467" s="611"/>
      <c r="Q467" s="234">
        <f>VLOOKUP(ППД5!A464,Реестр_Д5[№],1,0)</f>
        <v>463</v>
      </c>
      <c r="R467" s="234" t="str">
        <f>VLOOKUP(ППД5!CH464,Реестр_Д5[Статус],1,0)</f>
        <v>Продажа</v>
      </c>
      <c r="S467" s="612">
        <f>VLOOKUP(ППД5!BZ464,Реестр_Д5[Стоимость ОН без отделки со скидкой],1,0)</f>
        <v>2343690.58</v>
      </c>
      <c r="T467" s="612" cm="1">
        <f t="array" ref="T467">IFERROR(INDEX(РД[Стоимость без отделки итог],MATCH($Q$3&amp;Таблица10[[#This Row],[№]]&amp;"Продажа",РД[Дом]&amp;РД[№ кв]&amp;РД[Состояние],0),1),Таблица10[[#This Row],[Статус]])</f>
        <v>2343690.58</v>
      </c>
      <c r="U467" s="235">
        <f>IFERROR((Таблица10[[#This Row],[ПП]]-Таблица10[[#This Row],[ДДУ]])*1,)</f>
        <v>0</v>
      </c>
      <c r="V467" s="235" cm="1">
        <f t="array" ref="V467">IFERROR(INDEX(РД[Стоимость с отделкой итог],MATCH($Q$3&amp;Таблица10[[#This Row],[№]]&amp;"Продажа",РД[Дом]&amp;РД[№ кв]&amp;РД[Состояние],0),1),Таблица10[[#This Row],[Статус]])</f>
        <v>2343690.58</v>
      </c>
      <c r="W467" s="235">
        <f>_xlfn.XLOOKUP(Таблица10[[#This Row],[№]],Реестр_Д5[№],Реестр_Д5[Стоимость квартиры с отделкой],"-",0)</f>
        <v>2343690.58</v>
      </c>
      <c r="X467" s="235">
        <f>IFERROR(Таблица10[[#This Row],[СО ПП]]-Таблица10[[#This Row],[СО ДДУ]],"")</f>
        <v>0</v>
      </c>
      <c r="Y467" s="233" cm="1">
        <f t="array" ref="Y467">IFERROR(INDEX(РД[S],MATCH($Q$3&amp;Таблица10[[#This Row],[№]]&amp;"Продажа",РД[Дом]&amp;РД[№ кв]&amp;РД[Состояние],0),1),Таблица10[[#This Row],[Статус]])</f>
        <v>24.5</v>
      </c>
      <c r="Z467" s="233">
        <f>IF(Таблица10[[#This Row],[№]]&amp;"ДДУ"=ППД5!A464&amp;ППД5!CR464,ППД5!U464,ППД5!V464)</f>
        <v>24.5</v>
      </c>
      <c r="AA467" s="285">
        <f>IFERROR(Таблица10[[#This Row],[S ПП]]-Таблица10[[#This Row],[S ДДУ]],)</f>
        <v>0</v>
      </c>
      <c r="AB467" s="235">
        <f>ROUND(_xlfn.XLOOKUP(Таблица10[[#This Row],[№]],Реестр_Д5[№],Реестр_Д5[Итоговая сумма скидки],"",0),2)</f>
        <v>0</v>
      </c>
      <c r="AC467" s="235" cm="1">
        <f t="array" ref="AC46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67" s="285">
        <f>IFERROR(Таблица10[[#This Row],[ППС]]-Таблица10[[#This Row],[ДДУС]],)</f>
        <v>0</v>
      </c>
      <c r="AE467" s="611"/>
      <c r="AT467" s="611"/>
    </row>
    <row r="468" spans="1:46" x14ac:dyDescent="0.2">
      <c r="A468" s="611"/>
      <c r="B468" s="234">
        <f>VLOOKUP(ППД4!A465,Реестр_Д4[№],1,0)</f>
        <v>464</v>
      </c>
      <c r="C468" s="234" t="str">
        <f>VLOOKUP(ППД4!CO465,Реестр_Д4[Статус],1,0)</f>
        <v>Продажа</v>
      </c>
      <c r="D468" s="612">
        <f>VLOOKUP(ППД4!CE465,Реестр_Д4[Стоимость ОН без отделки со скидкой],1,0)</f>
        <v>4075500</v>
      </c>
      <c r="E468" s="612" cm="1">
        <f t="array" ref="E468">IFERROR(INDEX(РД[Стоимость без отделки итог],MATCH($B$3&amp;Таблица4[[#This Row],[№]]&amp;"Продажа",РД[Дом]&amp;РД[№ кв]&amp;РД[Состояние],0),1),Таблица4[[#This Row],[Статус]])</f>
        <v>4075500</v>
      </c>
      <c r="F468" s="235">
        <f>IFERROR((Таблица4[[#This Row],[ПП]]-Таблица4[[#This Row],[ДДУ]])*1,"")</f>
        <v>0</v>
      </c>
      <c r="G468" s="235" cm="1">
        <f t="array" ref="G468">IFERROR(INDEX(РД[Стоимость с отделкой итог],MATCH($B$3&amp;Таблица4[[#This Row],[№]]&amp;"Продажа",РД[Дом]&amp;РД[№ кв]&amp;РД[Состояние],0),1),Таблица4[[#This Row],[Статус]])</f>
        <v>5051640</v>
      </c>
      <c r="H468" s="235">
        <f>_xlfn.XLOOKUP(Таблица4[[#This Row],[№]],Реестр_Д4[№],Реестр_Д4[Стоимость квартиры с отделкой],"-",0)</f>
        <v>5051640</v>
      </c>
      <c r="I468" s="235">
        <f>IFERROR(Таблица4[[#This Row],[СО ПП]]-Таблица4[[#This Row],[СО ДДУ]],"")</f>
        <v>0</v>
      </c>
      <c r="J468" s="233" cm="1">
        <f t="array" ref="J468">IFERROR(INDEX(РД[S],MATCH($B$3&amp;Таблица4[[#This Row],[№]]&amp;"Продажа",РД[Дом]&amp;РД[№ кв]&amp;РД[Состояние],0),1),Таблица4[[#This Row],[Статус]])</f>
        <v>44.37</v>
      </c>
      <c r="K468" s="233">
        <f>VLOOKUP(Таблица4[[#This Row],[№]],Реестр_Д4[],20,0)</f>
        <v>44.37</v>
      </c>
      <c r="L468" s="235">
        <f>IFERROR(Таблица4[[#This Row],[S ПП]]-Таблица4[[#This Row],[S ДДУ]],)</f>
        <v>0</v>
      </c>
      <c r="M468" s="235">
        <f>ROUND(_xlfn.XLOOKUP(Таблица4[[#This Row],[№]],Реестр_Д4[№],Реестр_Д4[Итоговая сумма скидки],"",0),2)</f>
        <v>214500</v>
      </c>
      <c r="N468" s="235" cm="1">
        <f t="array" ref="N468">IFERROR(ROUND(_xlfn.XLOOKUP($B$3&amp;Таблица4[[#This Row],[№]]&amp;"Продажа",РД[Дом]&amp;РД[№ кв]&amp;РД[Состояние],РД[Сумма скидки],"",0),2),Таблица4[[#This Row],[Статус]])</f>
        <v>214500</v>
      </c>
      <c r="O468" s="235">
        <f>IFERROR(Таблица4[[#This Row],[ППС]]-Таблица4[[#This Row],[ДДУС]],)</f>
        <v>0</v>
      </c>
      <c r="P468" s="611"/>
      <c r="Q468" s="234">
        <f>VLOOKUP(ППД5!A465,Реестр_Д5[№],1,0)</f>
        <v>464</v>
      </c>
      <c r="R468" s="234" t="str">
        <f>VLOOKUP(ППД5!CH465,Реестр_Д5[Статус],1,0)</f>
        <v>Продажа</v>
      </c>
      <c r="S468" s="612">
        <f>VLOOKUP(ППД5!BZ465,Реестр_Д5[Стоимость ОН без отделки со скидкой],1,0)</f>
        <v>5496505</v>
      </c>
      <c r="T468" s="612" cm="1">
        <f t="array" ref="T468">IFERROR(INDEX(РД[Стоимость без отделки итог],MATCH($Q$3&amp;Таблица10[[#This Row],[№]]&amp;"Продажа",РД[Дом]&amp;РД[№ кв]&amp;РД[Состояние],0),1),Таблица10[[#This Row],[Статус]])</f>
        <v>5496505</v>
      </c>
      <c r="U468" s="235">
        <f>IFERROR((Таблица10[[#This Row],[ПП]]-Таблица10[[#This Row],[ДДУ]])*1,)</f>
        <v>0</v>
      </c>
      <c r="V468" s="235" cm="1">
        <f t="array" ref="V468">IFERROR(INDEX(РД[Стоимость с отделкой итог],MATCH($Q$3&amp;Таблица10[[#This Row],[№]]&amp;"Продажа",РД[Дом]&amp;РД[№ кв]&amp;РД[Состояние],0),1),Таблица10[[#This Row],[Статус]])</f>
        <v>6661305</v>
      </c>
      <c r="W468" s="235">
        <f>_xlfn.XLOOKUP(Таблица10[[#This Row],[№]],Реестр_Д5[№],Реестр_Д5[Стоимость квартиры с отделкой],"-",0)</f>
        <v>6661305</v>
      </c>
      <c r="X468" s="235">
        <f>IFERROR(Таблица10[[#This Row],[СО ПП]]-Таблица10[[#This Row],[СО ДДУ]],"")</f>
        <v>0</v>
      </c>
      <c r="Y468" s="233" cm="1">
        <f t="array" ref="Y468">IFERROR(INDEX(РД[S],MATCH($Q$3&amp;Таблица10[[#This Row],[№]]&amp;"Продажа",РД[Дом]&amp;РД[№ кв]&amp;РД[Состояние],0),1),Таблица10[[#This Row],[Статус]])</f>
        <v>58.24</v>
      </c>
      <c r="Z468" s="233">
        <f>IF(Таблица10[[#This Row],[№]]&amp;"ДДУ"=ППД5!A465&amp;ППД5!CR465,ППД5!U465,ППД5!V465)</f>
        <v>58.24</v>
      </c>
      <c r="AA468" s="285">
        <f>IFERROR(Таблица10[[#This Row],[S ПП]]-Таблица10[[#This Row],[S ДДУ]],)</f>
        <v>0</v>
      </c>
      <c r="AB468" s="235">
        <f>ROUND(_xlfn.XLOOKUP(Таблица10[[#This Row],[№]],Реестр_Д5[№],Реестр_Д5[Итоговая сумма скидки],"",0),2)</f>
        <v>169995</v>
      </c>
      <c r="AC468" s="235" cm="1">
        <f t="array" ref="AC468">IFERROR(ROUND(_xlfn.XLOOKUP($Q$3&amp;Таблица10[[#This Row],[№]]&amp;"Продажа",РД[Дом]&amp;РД[№ кв]&amp;РД[Состояние],РД[Сумма скидки],"",0,-1),2),Таблица10[[#This Row],[Статус]])</f>
        <v>169995</v>
      </c>
      <c r="AD468" s="285">
        <f>IFERROR(Таблица10[[#This Row],[ППС]]-Таблица10[[#This Row],[ДДУС]],)</f>
        <v>0</v>
      </c>
      <c r="AE468" s="611"/>
      <c r="AT468" s="611"/>
    </row>
    <row r="469" spans="1:46" x14ac:dyDescent="0.2">
      <c r="A469" s="611"/>
      <c r="B469" s="234">
        <f>VLOOKUP(ППД4!A466,Реестр_Д4[№],1,0)</f>
        <v>465</v>
      </c>
      <c r="C469" s="234" t="str">
        <f>VLOOKUP(ППД4!CO466,Реестр_Д4[Статус],1,0)</f>
        <v>Свободно</v>
      </c>
      <c r="D469" s="612">
        <f>VLOOKUP(ППД4!CE466,Реестр_Д4[Стоимость ОН без отделки со скидкой],1,0)</f>
        <v>4908000</v>
      </c>
      <c r="E469" s="612" t="str" cm="1">
        <f t="array" ref="E469">IFERROR(INDEX(РД[Стоимость без отделки итог],MATCH($B$3&amp;Таблица4[[#This Row],[№]]&amp;"Продажа",РД[Дом]&amp;РД[№ кв]&amp;РД[Состояние],0),1),Таблица4[[#This Row],[Статус]])</f>
        <v>Свободно</v>
      </c>
      <c r="F469" s="235" t="str">
        <f>IFERROR((Таблица4[[#This Row],[ПП]]-Таблица4[[#This Row],[ДДУ]])*1,"")</f>
        <v/>
      </c>
      <c r="G469" s="235" t="str" cm="1">
        <f t="array" ref="G469">IFERROR(INDEX(РД[Стоимость с отделкой итог],MATCH($B$3&amp;Таблица4[[#This Row],[№]]&amp;"Продажа",РД[Дом]&amp;РД[№ кв]&amp;РД[Состояние],0),1),Таблица4[[#This Row],[Статус]])</f>
        <v>Свободно</v>
      </c>
      <c r="H469" s="235">
        <f>_xlfn.XLOOKUP(Таблица4[[#This Row],[№]],Реестр_Д4[№],Реестр_Д4[Стоимость квартиры с отделкой],"-",0)</f>
        <v>4908000</v>
      </c>
      <c r="I469" s="235" t="str">
        <f>IFERROR(Таблица4[[#This Row],[СО ПП]]-Таблица4[[#This Row],[СО ДДУ]],"")</f>
        <v/>
      </c>
      <c r="J469" s="233" t="str" cm="1">
        <f t="array" ref="J469">IFERROR(INDEX(РД[S],MATCH($B$3&amp;Таблица4[[#This Row],[№]]&amp;"Продажа",РД[Дом]&amp;РД[№ кв]&amp;РД[Состояние],0),1),Таблица4[[#This Row],[Статус]])</f>
        <v>Свободно</v>
      </c>
      <c r="K469" s="233">
        <f>VLOOKUP(Таблица4[[#This Row],[№]],Реестр_Д4[],21,0)</f>
        <v>40.9</v>
      </c>
      <c r="L469" s="235">
        <f>IFERROR(Таблица4[[#This Row],[S ПП]]-Таблица4[[#This Row],[S ДДУ]],)</f>
        <v>0</v>
      </c>
      <c r="M469" s="235">
        <f>ROUND(_xlfn.XLOOKUP(Таблица4[[#This Row],[№]],Реестр_Д4[№],Реестр_Д4[Итоговая сумма скидки],"",0),2)</f>
        <v>0</v>
      </c>
      <c r="N469" s="235" t="str" cm="1">
        <f t="array" ref="N469">IFERROR(ROUND(_xlfn.XLOOKUP($B$3&amp;Таблица4[[#This Row],[№]]&amp;"Продажа",РД[Дом]&amp;РД[№ кв]&amp;РД[Состояние],РД[Сумма скидки],"",0),2),Таблица4[[#This Row],[Статус]])</f>
        <v>Свободно</v>
      </c>
      <c r="O469" s="235">
        <f>IFERROR(Таблица4[[#This Row],[ППС]]-Таблица4[[#This Row],[ДДУС]],)</f>
        <v>0</v>
      </c>
      <c r="P469" s="611"/>
      <c r="Q469" s="234">
        <f>VLOOKUP(ППД5!A466,Реестр_Д5[№],1,0)</f>
        <v>465</v>
      </c>
      <c r="R469" s="234" t="str">
        <f>VLOOKUP(ППД5!CH466,Реестр_Д5[Статус],1,0)</f>
        <v>Продажа</v>
      </c>
      <c r="S469" s="612">
        <f>VLOOKUP(ППД5!BZ466,Реестр_Д5[Стоимость ОН без отделки со скидкой],1,0)</f>
        <v>6499215</v>
      </c>
      <c r="T469" s="612" cm="1">
        <f t="array" ref="T469">IFERROR(INDEX(РД[Стоимость без отделки итог],MATCH($Q$3&amp;Таблица10[[#This Row],[№]]&amp;"Продажа",РД[Дом]&amp;РД[№ кв]&amp;РД[Состояние],0),1),Таблица10[[#This Row],[Статус]])</f>
        <v>6499215</v>
      </c>
      <c r="U469" s="235">
        <f>IFERROR((Таблица10[[#This Row],[ПП]]-Таблица10[[#This Row],[ДДУ]])*1,)</f>
        <v>0</v>
      </c>
      <c r="V469" s="235" cm="1">
        <f t="array" ref="V469">IFERROR(INDEX(РД[Стоимость с отделкой итог],MATCH($Q$3&amp;Таблица10[[#This Row],[№]]&amp;"Продажа",РД[Дом]&amp;РД[№ кв]&amp;РД[Состояние],0),1),Таблица10[[#This Row],[Статус]])</f>
        <v>7077215</v>
      </c>
      <c r="W469" s="235">
        <f>_xlfn.XLOOKUP(Таблица10[[#This Row],[№]],Реестр_Д5[№],Реестр_Д5[Стоимость квартиры с отделкой],"-",0)</f>
        <v>7077215</v>
      </c>
      <c r="X469" s="235">
        <f>IFERROR(Таблица10[[#This Row],[СО ПП]]-Таблица10[[#This Row],[СО ДДУ]],"")</f>
        <v>0</v>
      </c>
      <c r="Y469" s="233" cm="1">
        <f t="array" ref="Y469">IFERROR(INDEX(РД[S],MATCH($Q$3&amp;Таблица10[[#This Row],[№]]&amp;"Продажа",РД[Дом]&amp;РД[№ кв]&amp;РД[Состояние],0),1),Таблица10[[#This Row],[Статус]])</f>
        <v>57.8</v>
      </c>
      <c r="Z469" s="233">
        <f>IF(Таблица10[[#This Row],[№]]&amp;"ДДУ"=ППД5!A466&amp;ППД5!CR466,ППД5!U466,ППД5!V466)</f>
        <v>57.8</v>
      </c>
      <c r="AA469" s="285">
        <f>IFERROR(Таблица10[[#This Row],[S ПП]]-Таблица10[[#This Row],[S ДДУ]],)</f>
        <v>0</v>
      </c>
      <c r="AB469" s="235">
        <f>ROUND(_xlfn.XLOOKUP(Таблица10[[#This Row],[№]],Реестр_Д5[№],Реестр_Д5[Итоговая сумма скидки],"",0),2)</f>
        <v>510285</v>
      </c>
      <c r="AC469" s="235" cm="1">
        <f t="array" ref="AC469">IFERROR(ROUND(_xlfn.XLOOKUP($Q$3&amp;Таблица10[[#This Row],[№]]&amp;"Продажа",РД[Дом]&amp;РД[№ кв]&amp;РД[Состояние],РД[Сумма скидки],"",0,-1),2),Таблица10[[#This Row],[Статус]])</f>
        <v>510285</v>
      </c>
      <c r="AD469" s="285">
        <f>IFERROR(Таблица10[[#This Row],[ППС]]-Таблица10[[#This Row],[ДДУС]],)</f>
        <v>0</v>
      </c>
      <c r="AE469" s="611"/>
      <c r="AT469" s="611"/>
    </row>
    <row r="470" spans="1:46" x14ac:dyDescent="0.2">
      <c r="A470" s="611"/>
      <c r="B470" s="234">
        <f>VLOOKUP(ППД4!A467,Реестр_Д4[№],1,0)</f>
        <v>466</v>
      </c>
      <c r="C470" s="234" t="str">
        <f>VLOOKUP(ППД4!CO467,Реестр_Д4[Статус],1,0)</f>
        <v>Продажа</v>
      </c>
      <c r="D470" s="612">
        <f>VLOOKUP(ППД4!CE467,Реестр_Д4[Стоимость ОН без отделки со скидкой],1,0)</f>
        <v>4036170</v>
      </c>
      <c r="E470" s="612" cm="1">
        <f t="array" ref="E470">IFERROR(INDEX(РД[Стоимость без отделки итог],MATCH($B$3&amp;Таблица4[[#This Row],[№]]&amp;"Продажа",РД[Дом]&amp;РД[№ кв]&amp;РД[Состояние],0),1),Таблица4[[#This Row],[Статус]])</f>
        <v>4036170</v>
      </c>
      <c r="F470" s="235">
        <f>IFERROR((Таблица4[[#This Row],[ПП]]-Таблица4[[#This Row],[ДДУ]])*1,"")</f>
        <v>0</v>
      </c>
      <c r="G470" s="235" cm="1">
        <f t="array" ref="G470">IFERROR(INDEX(РД[Стоимость с отделкой итог],MATCH($B$3&amp;Таблица4[[#This Row],[№]]&amp;"Продажа",РД[Дом]&amp;РД[№ кв]&amp;РД[Состояние],0),1),Таблица4[[#This Row],[Статус]])</f>
        <v>4036170</v>
      </c>
      <c r="H470" s="235">
        <f>_xlfn.XLOOKUP(Таблица4[[#This Row],[№]],Реестр_Д4[№],Реестр_Д4[Стоимость квартиры с отделкой],"-",0)</f>
        <v>4036170</v>
      </c>
      <c r="I470" s="235">
        <f>IFERROR(Таблица4[[#This Row],[СО ПП]]-Таблица4[[#This Row],[СО ДДУ]],"")</f>
        <v>0</v>
      </c>
      <c r="J470" s="233" cm="1">
        <f t="array" ref="J470">IFERROR(INDEX(РД[S],MATCH($B$3&amp;Таблица4[[#This Row],[№]]&amp;"Продажа",РД[Дом]&amp;РД[№ кв]&amp;РД[Состояние],0),1),Таблица4[[#This Row],[Статус]])</f>
        <v>38.6</v>
      </c>
      <c r="K470" s="233">
        <f>VLOOKUP(Таблица4[[#This Row],[№]],Реестр_Д4[],20,0)</f>
        <v>38.6</v>
      </c>
      <c r="L470" s="235">
        <f>IFERROR(Таблица4[[#This Row],[S ПП]]-Таблица4[[#This Row],[S ДДУ]],)</f>
        <v>0</v>
      </c>
      <c r="M470" s="235">
        <f>ROUND(_xlfn.XLOOKUP(Таблица4[[#This Row],[№]],Реестр_Д4[№],Реестр_Д4[Итоговая сумма скидки],"",0),2)</f>
        <v>124830</v>
      </c>
      <c r="N470" s="235" cm="1">
        <f t="array" ref="N470">IFERROR(ROUND(_xlfn.XLOOKUP($B$3&amp;Таблица4[[#This Row],[№]]&amp;"Продажа",РД[Дом]&amp;РД[№ кв]&amp;РД[Состояние],РД[Сумма скидки],"",0),2),Таблица4[[#This Row],[Статус]])</f>
        <v>124830</v>
      </c>
      <c r="O470" s="235">
        <f>IFERROR(Таблица4[[#This Row],[ППС]]-Таблица4[[#This Row],[ДДУС]],)</f>
        <v>0</v>
      </c>
      <c r="P470" s="611"/>
      <c r="Q470" s="234">
        <f>VLOOKUP(ППД5!A467,Реестр_Д5[№],1,0)</f>
        <v>466</v>
      </c>
      <c r="R470" s="234" t="str">
        <f>VLOOKUP(ППД5!CH467,Реестр_Д5[Статус],1,0)</f>
        <v>Продажа</v>
      </c>
      <c r="S470" s="612">
        <f>VLOOKUP(ППД5!BZ467,Реестр_Д5[Стоимость ОН без отделки со скидкой],1,0)</f>
        <v>3522894.51</v>
      </c>
      <c r="T470" s="612" cm="1">
        <f t="array" ref="T470">IFERROR(INDEX(РД[Стоимость без отделки итог],MATCH($Q$3&amp;Таблица10[[#This Row],[№]]&amp;"Продажа",РД[Дом]&amp;РД[№ кв]&amp;РД[Состояние],0),1),Таблица10[[#This Row],[Статус]])</f>
        <v>3522894.51</v>
      </c>
      <c r="U470" s="235">
        <f>IFERROR((Таблица10[[#This Row],[ПП]]-Таблица10[[#This Row],[ДДУ]])*1,)</f>
        <v>0</v>
      </c>
      <c r="V470" s="235" cm="1">
        <f t="array" ref="V470">IFERROR(INDEX(РД[Стоимость с отделкой итог],MATCH($Q$3&amp;Таблица10[[#This Row],[№]]&amp;"Продажа",РД[Дом]&amp;РД[№ кв]&amp;РД[Состояние],0),1),Таблица10[[#This Row],[Статус]])</f>
        <v>3522894.51</v>
      </c>
      <c r="W470" s="235">
        <f>_xlfn.XLOOKUP(Таблица10[[#This Row],[№]],Реестр_Д5[№],Реестр_Д5[Стоимость квартиры с отделкой],"-",0)</f>
        <v>3522894.51</v>
      </c>
      <c r="X470" s="235">
        <f>IFERROR(Таблица10[[#This Row],[СО ПП]]-Таблица10[[#This Row],[СО ДДУ]],"")</f>
        <v>0</v>
      </c>
      <c r="Y470" s="233" cm="1">
        <f t="array" ref="Y470">IFERROR(INDEX(РД[S],MATCH($Q$3&amp;Таблица10[[#This Row],[№]]&amp;"Продажа",РД[Дом]&amp;РД[№ кв]&amp;РД[Состояние],0),1),Таблица10[[#This Row],[Статус]])</f>
        <v>38.299999999999997</v>
      </c>
      <c r="Z470" s="233">
        <f>IF(Таблица10[[#This Row],[№]]&amp;"ДДУ"=ППД5!A467&amp;ППД5!CR467,ППД5!U467,ППД5!V467)</f>
        <v>38.299999999999997</v>
      </c>
      <c r="AA470" s="285">
        <f>IFERROR(Таблица10[[#This Row],[S ПП]]-Таблица10[[#This Row],[S ДДУ]],)</f>
        <v>0</v>
      </c>
      <c r="AB470" s="235">
        <f>ROUND(_xlfn.XLOOKUP(Таблица10[[#This Row],[№]],Реестр_Д5[№],Реестр_Д5[Итоговая сумма скидки],"",0),2)</f>
        <v>0</v>
      </c>
      <c r="AC470" s="235" cm="1">
        <f t="array" ref="AC47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70" s="285">
        <f>IFERROR(Таблица10[[#This Row],[ППС]]-Таблица10[[#This Row],[ДДУС]],)</f>
        <v>0</v>
      </c>
      <c r="AE470" s="611"/>
      <c r="AT470" s="611"/>
    </row>
    <row r="471" spans="1:46" x14ac:dyDescent="0.2">
      <c r="A471" s="611"/>
      <c r="B471" s="234">
        <f>VLOOKUP(ППД4!A468,Реестр_Д4[№],1,0)</f>
        <v>467</v>
      </c>
      <c r="C471" s="234" t="str">
        <f>VLOOKUP(ППД4!CO468,Реестр_Д4[Статус],1,0)</f>
        <v>Продажа</v>
      </c>
      <c r="D471" s="612">
        <f>VLOOKUP(ППД4!CE468,Реестр_Д4[Стоимость ОН без отделки со скидкой],1,0)</f>
        <v>5019587.5</v>
      </c>
      <c r="E471" s="612" cm="1">
        <f t="array" ref="E471">IFERROR(INDEX(РД[Стоимость без отделки итог],MATCH($B$3&amp;Таблица4[[#This Row],[№]]&amp;"Продажа",РД[Дом]&amp;РД[№ кв]&amp;РД[Состояние],0),1),Таблица4[[#This Row],[Статус]])</f>
        <v>5019587.5</v>
      </c>
      <c r="F471" s="235">
        <f>IFERROR((Таблица4[[#This Row],[ПП]]-Таблица4[[#This Row],[ДДУ]])*1,"")</f>
        <v>0</v>
      </c>
      <c r="G471" s="235" cm="1">
        <f t="array" ref="G471">IFERROR(INDEX(РД[Стоимость с отделкой итог],MATCH($B$3&amp;Таблица4[[#This Row],[№]]&amp;"Продажа",РД[Дом]&amp;РД[№ кв]&amp;РД[Состояние],0),1),Таблица4[[#This Row],[Статус]])</f>
        <v>5316707.5</v>
      </c>
      <c r="H471" s="235">
        <f>_xlfn.XLOOKUP(Таблица4[[#This Row],[№]],Реестр_Д4[№],Реестр_Д4[Стоимость квартиры с отделкой],"-",0)</f>
        <v>5316707.5</v>
      </c>
      <c r="I471" s="235">
        <f>IFERROR(Таблица4[[#This Row],[СО ПП]]-Таблица4[[#This Row],[СО ДДУ]],"")</f>
        <v>0</v>
      </c>
      <c r="J471" s="233" cm="1">
        <f t="array" ref="J471">IFERROR(INDEX(РД[S],MATCH($B$3&amp;Таблица4[[#This Row],[№]]&amp;"Продажа",РД[Дом]&amp;РД[№ кв]&amp;РД[Состояние],0),1),Таблица4[[#This Row],[Статус]])</f>
        <v>74.28</v>
      </c>
      <c r="K471" s="233">
        <f>VLOOKUP(Таблица4[[#This Row],[№]],Реестр_Д4[],20,0)</f>
        <v>74.28</v>
      </c>
      <c r="L471" s="235">
        <f>IFERROR(Таблица4[[#This Row],[S ПП]]-Таблица4[[#This Row],[S ДДУ]],)</f>
        <v>0</v>
      </c>
      <c r="M471" s="235">
        <f>ROUND(_xlfn.XLOOKUP(Таблица4[[#This Row],[№]],Реестр_Д4[№],Реестр_Д4[Итоговая сумма скидки],"",0),2)</f>
        <v>264188.82</v>
      </c>
      <c r="N471" s="235" cm="1">
        <f t="array" ref="N471">IFERROR(ROUND(_xlfn.XLOOKUP($B$3&amp;Таблица4[[#This Row],[№]]&amp;"Продажа",РД[Дом]&amp;РД[№ кв]&amp;РД[Состояние],РД[Сумма скидки],"",0),2),Таблица4[[#This Row],[Статус]])</f>
        <v>264188.82</v>
      </c>
      <c r="O471" s="235">
        <f>IFERROR(Таблица4[[#This Row],[ППС]]-Таблица4[[#This Row],[ДДУС]],)</f>
        <v>0</v>
      </c>
      <c r="P471" s="611"/>
      <c r="Q471" s="234">
        <f>VLOOKUP(ППД5!A468,Реестр_Д5[№],1,0)</f>
        <v>467</v>
      </c>
      <c r="R471" s="234" t="str">
        <f>VLOOKUP(ППД5!CH468,Реестр_Д5[Статус],1,0)</f>
        <v>Продажа</v>
      </c>
      <c r="S471" s="612">
        <f>VLOOKUP(ППД5!BZ468,Реестр_Д5[Стоимость ОН без отделки со скидкой],1,0)</f>
        <v>6561755.1200000001</v>
      </c>
      <c r="T471" s="612" cm="1">
        <f t="array" ref="T471">IFERROR(INDEX(РД[Стоимость без отделки итог],MATCH($Q$3&amp;Таблица10[[#This Row],[№]]&amp;"Продажа",РД[Дом]&amp;РД[№ кв]&amp;РД[Состояние],0),1),Таблица10[[#This Row],[Статус]])</f>
        <v>6561755.1200000001</v>
      </c>
      <c r="U471" s="235">
        <f>IFERROR((Таблица10[[#This Row],[ПП]]-Таблица10[[#This Row],[ДДУ]])*1,)</f>
        <v>0</v>
      </c>
      <c r="V471" s="235" cm="1">
        <f t="array" ref="V471">IFERROR(INDEX(РД[Стоимость с отделкой итог],MATCH($Q$3&amp;Таблица10[[#This Row],[№]]&amp;"Продажа",РД[Дом]&amp;РД[№ кв]&amp;РД[Состояние],0),1),Таблица10[[#This Row],[Статус]])</f>
        <v>6958955.1200000001</v>
      </c>
      <c r="W471" s="235">
        <f>_xlfn.XLOOKUP(Таблица10[[#This Row],[№]],Реестр_Д5[№],Реестр_Д5[Стоимость квартиры с отделкой],"-",0)</f>
        <v>6958955.1200000001</v>
      </c>
      <c r="X471" s="235">
        <f>IFERROR(Таблица10[[#This Row],[СО ПП]]-Таблица10[[#This Row],[СО ДДУ]],"")</f>
        <v>0</v>
      </c>
      <c r="Y471" s="233" cm="1">
        <f t="array" ref="Y471">IFERROR(INDEX(РД[S],MATCH($Q$3&amp;Таблица10[[#This Row],[№]]&amp;"Продажа",РД[Дом]&amp;РД[№ кв]&amp;РД[Состояние],0),1),Таблица10[[#This Row],[Статус]])</f>
        <v>79.44</v>
      </c>
      <c r="Z471" s="233">
        <f>IF(Таблица10[[#This Row],[№]]&amp;"ДДУ"=ППД5!A468&amp;ППД5!CR468,ППД5!U468,ППД5!V468)</f>
        <v>79.44</v>
      </c>
      <c r="AA471" s="285">
        <f>IFERROR(Таблица10[[#This Row],[S ПП]]-Таблица10[[#This Row],[S ДДУ]],)</f>
        <v>0</v>
      </c>
      <c r="AB471" s="235">
        <f>ROUND(_xlfn.XLOOKUP(Таблица10[[#This Row],[№]],Реестр_Д5[№],Реестр_Д5[Итоговая сумма скидки],"",0),2)</f>
        <v>0</v>
      </c>
      <c r="AC471" s="235" cm="1">
        <f t="array" ref="AC47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71" s="285">
        <f>IFERROR(Таблица10[[#This Row],[ППС]]-Таблица10[[#This Row],[ДДУС]],)</f>
        <v>0</v>
      </c>
      <c r="AE471" s="611"/>
      <c r="AT471" s="611"/>
    </row>
    <row r="472" spans="1:46" x14ac:dyDescent="0.2">
      <c r="A472" s="611"/>
      <c r="B472" s="234">
        <f>VLOOKUP(ППД4!A469,Реестр_Д4[№],1,0)</f>
        <v>468</v>
      </c>
      <c r="C472" s="234" t="str">
        <f>VLOOKUP(ППД4!CO469,Реестр_Д4[Статус],1,0)</f>
        <v>Продажа</v>
      </c>
      <c r="D472" s="612">
        <f>VLOOKUP(ППД4!CE469,Реестр_Д4[Стоимость ОН без отделки со скидкой],1,0)</f>
        <v>4049592.51</v>
      </c>
      <c r="E472" s="612" cm="1">
        <f t="array" ref="E472">IFERROR(INDEX(РД[Стоимость без отделки итог],MATCH($B$3&amp;Таблица4[[#This Row],[№]]&amp;"Продажа",РД[Дом]&amp;РД[№ кв]&amp;РД[Состояние],0),1),Таблица4[[#This Row],[Статус]])</f>
        <v>4049592.51</v>
      </c>
      <c r="F472" s="235">
        <f>IFERROR((Таблица4[[#This Row],[ПП]]-Таблица4[[#This Row],[ДДУ]])*1,"")</f>
        <v>0</v>
      </c>
      <c r="G472" s="235" cm="1">
        <f t="array" ref="G472">IFERROR(INDEX(РД[Стоимость с отделкой итог],MATCH($B$3&amp;Таблица4[[#This Row],[№]]&amp;"Продажа",РД[Дом]&amp;РД[№ кв]&amp;РД[Состояние],0),1),Таблица4[[#This Row],[Статус]])</f>
        <v>4852592.51</v>
      </c>
      <c r="H472" s="235">
        <f>_xlfn.XLOOKUP(Таблица4[[#This Row],[№]],Реестр_Д4[№],Реестр_Д4[Стоимость квартиры с отделкой],"-",0)</f>
        <v>4852592.51</v>
      </c>
      <c r="I472" s="235">
        <f>IFERROR(Таблица4[[#This Row],[СО ПП]]-Таблица4[[#This Row],[СО ДДУ]],"")</f>
        <v>0</v>
      </c>
      <c r="J472" s="233" cm="1">
        <f t="array" ref="J472">IFERROR(INDEX(РД[S],MATCH($B$3&amp;Таблица4[[#This Row],[№]]&amp;"Продажа",РД[Дом]&amp;РД[№ кв]&amp;РД[Состояние],0),1),Таблица4[[#This Row],[Статус]])</f>
        <v>36.5</v>
      </c>
      <c r="K472" s="233">
        <f>VLOOKUP(Таблица4[[#This Row],[№]],Реестр_Д4[],20,0)</f>
        <v>36.5</v>
      </c>
      <c r="L472" s="235">
        <f>IFERROR(Таблица4[[#This Row],[S ПП]]-Таблица4[[#This Row],[S ДДУ]],)</f>
        <v>0</v>
      </c>
      <c r="M472" s="235">
        <f>ROUND(_xlfn.XLOOKUP(Таблица4[[#This Row],[№]],Реестр_Д4[№],Реестр_Д4[Итоговая сумма скидки],"",0),2)</f>
        <v>0</v>
      </c>
      <c r="N472" s="235" cm="1">
        <f t="array" ref="N47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72" s="235">
        <f>IFERROR(Таблица4[[#This Row],[ППС]]-Таблица4[[#This Row],[ДДУС]],)</f>
        <v>0</v>
      </c>
      <c r="P472" s="611"/>
      <c r="Q472" s="234">
        <f>VLOOKUP(ППД5!A469,Реестр_Д5[№],1,0)</f>
        <v>468</v>
      </c>
      <c r="R472" s="234" t="str">
        <f>VLOOKUP(ППД5!CH469,Реестр_Д5[Статус],1,0)</f>
        <v>Продажа</v>
      </c>
      <c r="S472" s="612">
        <f>VLOOKUP(ППД5!BZ469,Реестр_Д5[Стоимость ОН без отделки со скидкой],1,0)</f>
        <v>4987880</v>
      </c>
      <c r="T472" s="612" cm="1">
        <f t="array" ref="T472">IFERROR(INDEX(РД[Стоимость без отделки итог],MATCH($Q$3&amp;Таблица10[[#This Row],[№]]&amp;"Продажа",РД[Дом]&amp;РД[№ кв]&amp;РД[Состояние],0),1),Таблица10[[#This Row],[Статус]])</f>
        <v>4987880</v>
      </c>
      <c r="U472" s="235">
        <f>IFERROR((Таблица10[[#This Row],[ПП]]-Таблица10[[#This Row],[ДДУ]])*1,)</f>
        <v>0</v>
      </c>
      <c r="V472" s="235" cm="1">
        <f t="array" ref="V472">IFERROR(INDEX(РД[Стоимость с отделкой итог],MATCH($Q$3&amp;Таблица10[[#This Row],[№]]&amp;"Продажа",РД[Дом]&amp;РД[№ кв]&amp;РД[Состояние],0),1),Таблица10[[#This Row],[Статус]])</f>
        <v>5980130</v>
      </c>
      <c r="W472" s="235">
        <f>_xlfn.XLOOKUP(Таблица10[[#This Row],[№]],Реестр_Д5[№],Реестр_Д5[Стоимость квартиры с отделкой],"-",0)</f>
        <v>5980130</v>
      </c>
      <c r="X472" s="235">
        <f>IFERROR(Таблица10[[#This Row],[СО ПП]]-Таблица10[[#This Row],[СО ДДУ]],"")</f>
        <v>0</v>
      </c>
      <c r="Y472" s="233" cm="1">
        <f t="array" ref="Y472">IFERROR(INDEX(РД[S],MATCH($Q$3&amp;Таблица10[[#This Row],[№]]&amp;"Продажа",РД[Дом]&amp;РД[№ кв]&amp;РД[Состояние],0),1),Таблица10[[#This Row],[Статус]])</f>
        <v>39.69</v>
      </c>
      <c r="Z472" s="233">
        <f>IF(Таблица10[[#This Row],[№]]&amp;"ДДУ"=ППД5!A469&amp;ППД5!CR469,ППД5!U469,ППД5!V469)</f>
        <v>39.69</v>
      </c>
      <c r="AA472" s="285">
        <f>IFERROR(Таблица10[[#This Row],[S ПП]]-Таблица10[[#This Row],[S ДДУ]],)</f>
        <v>0</v>
      </c>
      <c r="AB472" s="235">
        <f>ROUND(_xlfn.XLOOKUP(Таблица10[[#This Row],[№]],Реестр_Д5[№],Реестр_Д5[Итоговая сумма скидки],"",0),2)</f>
        <v>317520</v>
      </c>
      <c r="AC472" s="235" cm="1">
        <f t="array" ref="AC472">IFERROR(ROUND(_xlfn.XLOOKUP($Q$3&amp;Таблица10[[#This Row],[№]]&amp;"Продажа",РД[Дом]&amp;РД[№ кв]&amp;РД[Состояние],РД[Сумма скидки],"",0,-1),2),Таблица10[[#This Row],[Статус]])</f>
        <v>317520</v>
      </c>
      <c r="AD472" s="285">
        <f>IFERROR(Таблица10[[#This Row],[ППС]]-Таблица10[[#This Row],[ДДУС]],)</f>
        <v>0</v>
      </c>
      <c r="AE472" s="611"/>
      <c r="AT472" s="611"/>
    </row>
    <row r="473" spans="1:46" x14ac:dyDescent="0.2">
      <c r="A473" s="611"/>
      <c r="B473" s="465">
        <f>VLOOKUP(ППД4!A470,Реестр_Д4[№],1,0)</f>
        <v>469</v>
      </c>
      <c r="C473" s="465" t="str">
        <f>VLOOKUP(ППД4!CO470,Реестр_Д4[Статус],1,0)</f>
        <v>Продажа</v>
      </c>
      <c r="D473" s="616">
        <f>VLOOKUP(ППД4!CE470,Реестр_Д4[Стоимость ОН без отделки со скидкой],1,0)</f>
        <v>4160154.85</v>
      </c>
      <c r="E473" s="616" cm="1">
        <f t="array" ref="E473">IFERROR(INDEX(РД[Стоимость без отделки итог],MATCH($B$3&amp;Таблица4[[#This Row],[№]]&amp;"Продажа",РД[Дом]&amp;РД[№ кв]&amp;РД[Состояние],0),1),Таблица4[[#This Row],[Статус]])</f>
        <v>4160154.8499999996</v>
      </c>
      <c r="F473" s="466">
        <f>IFERROR((Таблица4[[#This Row],[ПП]]-Таблица4[[#This Row],[ДДУ]])*1,"")</f>
        <v>4.6566128730773926E-10</v>
      </c>
      <c r="G473" s="466" cm="1">
        <f t="array" ref="G473">IFERROR(INDEX(РД[Стоимость с отделкой итог],MATCH($B$3&amp;Таблица4[[#This Row],[№]]&amp;"Продажа",РД[Дом]&amp;РД[№ кв]&amp;РД[Состояние],0),1),Таблица4[[#This Row],[Статус]])</f>
        <v>4384314.8499999996</v>
      </c>
      <c r="H473" s="466">
        <f>_xlfn.XLOOKUP(Таблица4[[#This Row],[№]],Реестр_Д4[№],Реестр_Д4[Стоимость квартиры с отделкой],"-",0)</f>
        <v>4384314.8499999996</v>
      </c>
      <c r="I473" s="466">
        <f>IFERROR(Таблица4[[#This Row],[СО ПП]]-Таблица4[[#This Row],[СО ДДУ]],"")</f>
        <v>0</v>
      </c>
      <c r="J473" s="233" cm="1">
        <f t="array" ref="J473">IFERROR(INDEX(РД[S],MATCH($B$3&amp;Таблица4[[#This Row],[№]]&amp;"Продажа",РД[Дом]&amp;РД[№ кв]&amp;РД[Состояние],0),1),Таблица4[[#This Row],[Статус]])</f>
        <v>56.04</v>
      </c>
      <c r="K473" s="233">
        <f>VLOOKUP(Таблица4[[#This Row],[№]],Реестр_Д4[],20,0)</f>
        <v>56.04</v>
      </c>
      <c r="L473" s="466">
        <f>IFERROR(Таблица4[[#This Row],[S ПП]]-Таблица4[[#This Row],[S ДДУ]],)</f>
        <v>0</v>
      </c>
      <c r="M473" s="235">
        <f>ROUND(_xlfn.XLOOKUP(Таблица4[[#This Row],[№]],Реестр_Д4[№],Реестр_Д4[Итоговая сумма скидки],"",0),2)</f>
        <v>40000</v>
      </c>
      <c r="N473" s="235" cm="1">
        <f t="array" ref="N473">IFERROR(ROUND(_xlfn.XLOOKUP($B$3&amp;Таблица4[[#This Row],[№]]&amp;"Продажа",РД[Дом]&amp;РД[№ кв]&amp;РД[Состояние],РД[Сумма скидки],"",0),2),Таблица4[[#This Row],[Статус]])</f>
        <v>40000</v>
      </c>
      <c r="O473" s="466">
        <f>IFERROR(Таблица4[[#This Row],[ППС]]-Таблица4[[#This Row],[ДДУС]],)</f>
        <v>0</v>
      </c>
      <c r="P473" s="611"/>
      <c r="Q473" s="234">
        <f>VLOOKUP(ППД5!A470,Реестр_Д5[№],1,0)</f>
        <v>469</v>
      </c>
      <c r="R473" s="234" t="str">
        <f>VLOOKUP(ППД5!CH470,Реестр_Д5[Статус],1,0)</f>
        <v>Продажа</v>
      </c>
      <c r="S473" s="612">
        <f>VLOOKUP(ППД5!BZ470,Реестр_Д5[Стоимость ОН без отделки со скидкой],1,0)</f>
        <v>3993794</v>
      </c>
      <c r="T473" s="612" cm="1">
        <f t="array" ref="T473">IFERROR(INDEX(РД[Стоимость без отделки итог],MATCH($Q$3&amp;Таблица10[[#This Row],[№]]&amp;"Продажа",РД[Дом]&amp;РД[№ кв]&amp;РД[Состояние],0),1),Таблица10[[#This Row],[Статус]])</f>
        <v>3993794</v>
      </c>
      <c r="U473" s="235">
        <f>IFERROR((Таблица10[[#This Row],[ПП]]-Таблица10[[#This Row],[ДДУ]])*1,)</f>
        <v>0</v>
      </c>
      <c r="V473" s="235" cm="1">
        <f t="array" ref="V473">IFERROR(INDEX(РД[Стоимость с отделкой итог],MATCH($Q$3&amp;Таблица10[[#This Row],[№]]&amp;"Продажа",РД[Дом]&amp;РД[№ кв]&amp;РД[Состояние],0),1),Таблица10[[#This Row],[Статус]])</f>
        <v>3993794</v>
      </c>
      <c r="W473" s="235">
        <f>_xlfn.XLOOKUP(Таблица10[[#This Row],[№]],Реестр_Д5[№],Реестр_Д5[Стоимость квартиры с отделкой],"-",0)</f>
        <v>3993794</v>
      </c>
      <c r="X473" s="235">
        <f>IFERROR(Таблица10[[#This Row],[СО ПП]]-Таблица10[[#This Row],[СО ДДУ]],"")</f>
        <v>0</v>
      </c>
      <c r="Y473" s="233" cm="1">
        <f t="array" ref="Y473">IFERROR(INDEX(РД[S],MATCH($Q$3&amp;Таблица10[[#This Row],[№]]&amp;"Продажа",РД[Дом]&amp;РД[№ кв]&amp;РД[Состояние],0),1),Таблица10[[#This Row],[Статус]])</f>
        <v>29.4</v>
      </c>
      <c r="Z473" s="233">
        <f>IF(Таблица10[[#This Row],[№]]&amp;"ДДУ"=ППД5!A470&amp;ППД5!CR470,ППД5!U470,ППД5!V470)</f>
        <v>29.4</v>
      </c>
      <c r="AA473" s="285">
        <f>IFERROR(Таблица10[[#This Row],[S ПП]]-Таблица10[[#This Row],[S ДДУ]],)</f>
        <v>0</v>
      </c>
      <c r="AB473" s="235">
        <f>ROUND(_xlfn.XLOOKUP(Таблица10[[#This Row],[№]],Реестр_Д5[№],Реестр_Д5[Итоговая сумма скидки],"",0),2)</f>
        <v>81506</v>
      </c>
      <c r="AC473" s="235" cm="1">
        <f t="array" ref="AC473">IFERROR(ROUND(_xlfn.XLOOKUP($Q$3&amp;Таблица10[[#This Row],[№]]&amp;"Продажа",РД[Дом]&amp;РД[№ кв]&amp;РД[Состояние],РД[Сумма скидки],"",0,-1),2),Таблица10[[#This Row],[Статус]])</f>
        <v>81506</v>
      </c>
      <c r="AD473" s="285">
        <f>IFERROR(Таблица10[[#This Row],[ППС]]-Таблица10[[#This Row],[ДДУС]],)</f>
        <v>0</v>
      </c>
      <c r="AE473" s="611"/>
      <c r="AT473" s="611"/>
    </row>
    <row r="474" spans="1:46" x14ac:dyDescent="0.2">
      <c r="A474" s="611"/>
      <c r="B474" s="234">
        <f>VLOOKUP(ППД4!A471,Реестр_Д4[№],1,0)</f>
        <v>470</v>
      </c>
      <c r="C474" s="234" t="str">
        <f>VLOOKUP(ППД4!CO471,Реестр_Д4[Статус],1,0)</f>
        <v>Продажа</v>
      </c>
      <c r="D474" s="612">
        <f>VLOOKUP(ППД4!CE471,Реестр_Д4[Стоимость ОН без отделки со скидкой],1,0)</f>
        <v>6044600</v>
      </c>
      <c r="E474" s="612" cm="1">
        <f t="array" ref="E474">IFERROR(INDEX(РД[Стоимость без отделки итог],MATCH($B$3&amp;Таблица4[[#This Row],[№]]&amp;"Продажа",РД[Дом]&amp;РД[№ кв]&amp;РД[Состояние],0),1),Таблица4[[#This Row],[Статус]])</f>
        <v>6044600</v>
      </c>
      <c r="F474" s="235">
        <f>IFERROR((Таблица4[[#This Row],[ПП]]-Таблица4[[#This Row],[ДДУ]])*1,"")</f>
        <v>0</v>
      </c>
      <c r="G474" s="235" cm="1">
        <f t="array" ref="G474">IFERROR(INDEX(РД[Стоимость с отделкой итог],MATCH($B$3&amp;Таблица4[[#This Row],[№]]&amp;"Продажа",РД[Дом]&amp;РД[№ кв]&amp;РД[Состояние],0),1),Таблица4[[#This Row],[Статус]])</f>
        <v>6484250</v>
      </c>
      <c r="H474" s="235">
        <f>_xlfn.XLOOKUP(Таблица4[[#This Row],[№]],Реестр_Д4[№],Реестр_Д4[Стоимость квартиры с отделкой],"-",0)</f>
        <v>6484250</v>
      </c>
      <c r="I474" s="235">
        <f>IFERROR(Таблица4[[#This Row],[СО ПП]]-Таблица4[[#This Row],[СО ДДУ]],"")</f>
        <v>0</v>
      </c>
      <c r="J474" s="233" cm="1">
        <f t="array" ref="J474">IFERROR(INDEX(РД[S],MATCH($B$3&amp;Таблица4[[#This Row],[№]]&amp;"Продажа",РД[Дом]&amp;РД[№ кв]&amp;РД[Состояние],0),1),Таблица4[[#This Row],[Статус]])</f>
        <v>58.62</v>
      </c>
      <c r="K474" s="233">
        <f>VLOOKUP(Таблица4[[#This Row],[№]],Реестр_Д4[],20,0)</f>
        <v>58.62</v>
      </c>
      <c r="L474" s="235">
        <f>IFERROR(Таблица4[[#This Row],[S ПП]]-Таблица4[[#This Row],[S ДДУ]],)</f>
        <v>0</v>
      </c>
      <c r="M474" s="235">
        <f>ROUND(_xlfn.XLOOKUP(Таблица4[[#This Row],[№]],Реестр_Д4[№],Реестр_Д4[Итоговая сумма скидки],"",0),2)</f>
        <v>0</v>
      </c>
      <c r="N474" s="235" cm="1">
        <f t="array" ref="N47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74" s="235">
        <f>IFERROR(Таблица4[[#This Row],[ППС]]-Таблица4[[#This Row],[ДДУС]],)</f>
        <v>0</v>
      </c>
      <c r="P474" s="611"/>
      <c r="Q474" s="234">
        <f>VLOOKUP(ППД5!A471,Реестр_Д5[№],1,0)</f>
        <v>470</v>
      </c>
      <c r="R474" s="234" t="str">
        <f>VLOOKUP(ППД5!CH471,Реестр_Д5[Статус],1,0)</f>
        <v>Свободно</v>
      </c>
      <c r="S474" s="612">
        <f>VLOOKUP(ППД5!BZ471,Реестр_Д5[Стоимость ОН без отделки со скидкой],1,0)</f>
        <v>5710200</v>
      </c>
      <c r="T474" s="612" t="str" cm="1">
        <f t="array" ref="T47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74" s="235">
        <f>IFERROR((Таблица10[[#This Row],[ПП]]-Таблица10[[#This Row],[ДДУ]])*1,)</f>
        <v>0</v>
      </c>
      <c r="V474" s="235" t="str" cm="1">
        <f t="array" ref="V47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74" s="235">
        <f>_xlfn.XLOOKUP(Таблица10[[#This Row],[№]],Реестр_Д5[№],Реестр_Д5[Стоимость квартиры с отделкой],"-",0)</f>
        <v>5710200</v>
      </c>
      <c r="X474" s="235" t="str">
        <f>IFERROR(Таблица10[[#This Row],[СО ПП]]-Таблица10[[#This Row],[СО ДДУ]],"")</f>
        <v/>
      </c>
      <c r="Y474" s="233" t="str" cm="1">
        <f t="array" ref="Y474">IFERROR(INDEX(РД[S],MATCH($Q$3&amp;Таблица10[[#This Row],[№]]&amp;"Продажа",РД[Дом]&amp;РД[№ кв]&amp;РД[Состояние],0),1),Таблица10[[#This Row],[Статус]])</f>
        <v>Свободно</v>
      </c>
      <c r="Z474" s="233">
        <f>IF(Таблица10[[#This Row],[№]]&amp;"ДДУ"=ППД5!A471&amp;ППД5!CR471,ППД5!U471,ППД5!V471)</f>
        <v>42.15</v>
      </c>
      <c r="AA474" s="285">
        <f>IFERROR(Таблица10[[#This Row],[S ПП]]-Таблица10[[#This Row],[S ДДУ]],)</f>
        <v>0</v>
      </c>
      <c r="AB474" s="235">
        <f>ROUND(_xlfn.XLOOKUP(Таблица10[[#This Row],[№]],Реестр_Д5[№],Реестр_Д5[Итоговая сумма скидки],"",0),2)</f>
        <v>0</v>
      </c>
      <c r="AC474" s="235" t="str" cm="1">
        <f t="array" ref="AC47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74" s="285">
        <f>IFERROR(Таблица10[[#This Row],[ППС]]-Таблица10[[#This Row],[ДДУС]],)</f>
        <v>0</v>
      </c>
      <c r="AE474" s="611"/>
      <c r="AT474" s="611"/>
    </row>
    <row r="475" spans="1:46" x14ac:dyDescent="0.2">
      <c r="A475" s="611"/>
      <c r="B475" s="234">
        <f>VLOOKUP(ППД4!A472,Реестр_Д4[№],1,0)</f>
        <v>471</v>
      </c>
      <c r="C475" s="234" t="str">
        <f>VLOOKUP(ППД4!CO472,Реестр_Д4[Статус],1,0)</f>
        <v>Продажа</v>
      </c>
      <c r="D475" s="612">
        <f>VLOOKUP(ППД4!CE472,Реестр_Д4[Стоимость ОН без отделки со скидкой],1,0)</f>
        <v>5904695</v>
      </c>
      <c r="E475" s="612" cm="1">
        <f t="array" ref="E475">IFERROR(INDEX(РД[Стоимость без отделки итог],MATCH($B$3&amp;Таблица4[[#This Row],[№]]&amp;"Продажа",РД[Дом]&amp;РД[№ кв]&amp;РД[Состояние],0),1),Таблица4[[#This Row],[Статус]])</f>
        <v>5904695</v>
      </c>
      <c r="F475" s="235">
        <f>IFERROR((Таблица4[[#This Row],[ПП]]-Таблица4[[#This Row],[ДДУ]])*1,"")</f>
        <v>0</v>
      </c>
      <c r="G475" s="235" cm="1">
        <f t="array" ref="G475">IFERROR(INDEX(РД[Стоимость с отделкой итог],MATCH($B$3&amp;Таблица4[[#This Row],[№]]&amp;"Продажа",РД[Дом]&amp;РД[№ кв]&amp;РД[Состояние],0),1),Таблица4[[#This Row],[Статус]])</f>
        <v>6410870</v>
      </c>
      <c r="H475" s="235">
        <f>_xlfn.XLOOKUP(Таблица4[[#This Row],[№]],Реестр_Д4[№],Реестр_Д4[Стоимость квартиры с отделкой],"-",0)</f>
        <v>6410870</v>
      </c>
      <c r="I475" s="235">
        <f>IFERROR(Таблица4[[#This Row],[СО ПП]]-Таблица4[[#This Row],[СО ДДУ]],"")</f>
        <v>0</v>
      </c>
      <c r="J475" s="233" cm="1">
        <f t="array" ref="J475">IFERROR(INDEX(РД[S],MATCH($B$3&amp;Таблица4[[#This Row],[№]]&amp;"Продажа",РД[Дом]&amp;РД[№ кв]&amp;РД[Состояние],0),1),Таблица4[[#This Row],[Статус]])</f>
        <v>67.489999999999995</v>
      </c>
      <c r="K475" s="233">
        <f>VLOOKUP(Таблица4[[#This Row],[№]],Реестр_Д4[],20,0)</f>
        <v>67.489999999999995</v>
      </c>
      <c r="L475" s="235">
        <f>IFERROR(Таблица4[[#This Row],[S ПП]]-Таблица4[[#This Row],[S ДДУ]],)</f>
        <v>0</v>
      </c>
      <c r="M475" s="235">
        <f>ROUND(_xlfn.XLOOKUP(Таблица4[[#This Row],[№]],Реестр_Д4[№],Реестр_Д4[Итоговая сумма скидки],"",0),2)</f>
        <v>303705</v>
      </c>
      <c r="N475" s="235" cm="1">
        <f t="array" ref="N475">IFERROR(ROUND(_xlfn.XLOOKUP($B$3&amp;Таблица4[[#This Row],[№]]&amp;"Продажа",РД[Дом]&amp;РД[№ кв]&amp;РД[Состояние],РД[Сумма скидки],"",0),2),Таблица4[[#This Row],[Статус]])</f>
        <v>303705</v>
      </c>
      <c r="O475" s="235">
        <f>IFERROR(Таблица4[[#This Row],[ППС]]-Таблица4[[#This Row],[ДДУС]],)</f>
        <v>0</v>
      </c>
      <c r="P475" s="611"/>
      <c r="Q475" s="234">
        <f>VLOOKUP(ППД5!A472,Реестр_Д5[№],1,0)</f>
        <v>471</v>
      </c>
      <c r="R475" s="234" t="str">
        <f>VLOOKUP(ППД5!CH472,Реестр_Д5[Статус],1,0)</f>
        <v>Продажа</v>
      </c>
      <c r="S475" s="612">
        <f>VLOOKUP(ППД5!BZ472,Реестр_Д5[Стоимость ОН без отделки со скидкой],1,0)</f>
        <v>2232086.2200000002</v>
      </c>
      <c r="T475" s="612" cm="1">
        <f t="array" ref="T475">IFERROR(INDEX(РД[Стоимость без отделки итог],MATCH($Q$3&amp;Таблица10[[#This Row],[№]]&amp;"Продажа",РД[Дом]&amp;РД[№ кв]&amp;РД[Состояние],0),1),Таблица10[[#This Row],[Статус]])</f>
        <v>2232086.2200000002</v>
      </c>
      <c r="U475" s="235">
        <f>IFERROR((Таблица10[[#This Row],[ПП]]-Таблица10[[#This Row],[ДДУ]])*1,)</f>
        <v>0</v>
      </c>
      <c r="V475" s="235" cm="1">
        <f t="array" ref="V475">IFERROR(INDEX(РД[Стоимость с отделкой итог],MATCH($Q$3&amp;Таблица10[[#This Row],[№]]&amp;"Продажа",РД[Дом]&amp;РД[№ кв]&amp;РД[Состояние],0),1),Таблица10[[#This Row],[Статус]])</f>
        <v>2232086.2200000002</v>
      </c>
      <c r="W475" s="235">
        <f>_xlfn.XLOOKUP(Таблица10[[#This Row],[№]],Реестр_Д5[№],Реестр_Д5[Стоимость квартиры с отделкой],"-",0)</f>
        <v>2232086.2200000002</v>
      </c>
      <c r="X475" s="235">
        <f>IFERROR(Таблица10[[#This Row],[СО ПП]]-Таблица10[[#This Row],[СО ДДУ]],"")</f>
        <v>0</v>
      </c>
      <c r="Y475" s="233" cm="1">
        <f t="array" ref="Y475">IFERROR(INDEX(РД[S],MATCH($Q$3&amp;Таблица10[[#This Row],[№]]&amp;"Продажа",РД[Дом]&amp;РД[№ кв]&amp;РД[Состояние],0),1),Таблица10[[#This Row],[Статус]])</f>
        <v>24.5</v>
      </c>
      <c r="Z475" s="233">
        <f>IF(Таблица10[[#This Row],[№]]&amp;"ДДУ"=ППД5!A472&amp;ППД5!CR472,ППД5!U472,ППД5!V472)</f>
        <v>24.5</v>
      </c>
      <c r="AA475" s="285">
        <f>IFERROR(Таблица10[[#This Row],[S ПП]]-Таблица10[[#This Row],[S ДДУ]],)</f>
        <v>0</v>
      </c>
      <c r="AB475" s="235">
        <f>ROUND(_xlfn.XLOOKUP(Таблица10[[#This Row],[№]],Реестр_Д5[№],Реестр_Д5[Итоговая сумма скидки],"",0),2)</f>
        <v>0</v>
      </c>
      <c r="AC475" s="235" cm="1">
        <f t="array" ref="AC47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75" s="285">
        <f>IFERROR(Таблица10[[#This Row],[ППС]]-Таблица10[[#This Row],[ДДУС]],)</f>
        <v>0</v>
      </c>
      <c r="AE475" s="611"/>
      <c r="AT475" s="611"/>
    </row>
    <row r="476" spans="1:46" x14ac:dyDescent="0.2">
      <c r="A476" s="611"/>
      <c r="B476" s="234">
        <f>VLOOKUP(ППД4!A473,Реестр_Д4[№],1,0)</f>
        <v>472</v>
      </c>
      <c r="C476" s="234" t="str">
        <f>VLOOKUP(ППД4!CO473,Реестр_Д4[Статус],1,0)</f>
        <v>Продажа</v>
      </c>
      <c r="D476" s="612">
        <f>VLOOKUP(ППД4!CE473,Реестр_Д4[Стоимость ОН без отделки со скидкой],1,0)</f>
        <v>4814223.5599999996</v>
      </c>
      <c r="E476" s="612" cm="1">
        <f t="array" ref="E476">IFERROR(INDEX(РД[Стоимость без отделки итог],MATCH($B$3&amp;Таблица4[[#This Row],[№]]&amp;"Продажа",РД[Дом]&amp;РД[№ кв]&amp;РД[Состояние],0),1),Таблица4[[#This Row],[Статус]])</f>
        <v>4814223.5599999996</v>
      </c>
      <c r="F476" s="235">
        <f>IFERROR((Таблица4[[#This Row],[ПП]]-Таблица4[[#This Row],[ДДУ]])*1,"")</f>
        <v>0</v>
      </c>
      <c r="G476" s="235" cm="1">
        <f t="array" ref="G476">IFERROR(INDEX(РД[Стоимость с отделкой итог],MATCH($B$3&amp;Таблица4[[#This Row],[№]]&amp;"Продажа",РД[Дом]&amp;РД[№ кв]&amp;РД[Состояние],0),1),Таблица4[[#This Row],[Статус]])</f>
        <v>5069183.5599999996</v>
      </c>
      <c r="H476" s="235">
        <f>_xlfn.XLOOKUP(Таблица4[[#This Row],[№]],Реестр_Д4[№],Реестр_Д4[Стоимость квартиры с отделкой],"-",0)</f>
        <v>5069183.5599999996</v>
      </c>
      <c r="I476" s="235">
        <f>IFERROR(Таблица4[[#This Row],[СО ПП]]-Таблица4[[#This Row],[СО ДДУ]],"")</f>
        <v>0</v>
      </c>
      <c r="J476" s="233" cm="1">
        <f t="array" ref="J476">IFERROR(INDEX(РД[S],MATCH($B$3&amp;Таблица4[[#This Row],[№]]&amp;"Продажа",РД[Дом]&amp;РД[№ кв]&amp;РД[Состояние],0),1),Таблица4[[#This Row],[Статус]])</f>
        <v>63.74</v>
      </c>
      <c r="K476" s="233">
        <f>VLOOKUP(Таблица4[[#This Row],[№]],Реестр_Д4[],20,0)</f>
        <v>63.74</v>
      </c>
      <c r="L476" s="235">
        <f>IFERROR(Таблица4[[#This Row],[S ПП]]-Таблица4[[#This Row],[S ДДУ]],)</f>
        <v>0</v>
      </c>
      <c r="M476" s="235">
        <f>ROUND(_xlfn.XLOOKUP(Таблица4[[#This Row],[№]],Реестр_Д4[№],Реестр_Д4[Итоговая сумма скидки],"",0),2)</f>
        <v>254960</v>
      </c>
      <c r="N476" s="235" cm="1">
        <f t="array" ref="N476">IFERROR(ROUND(_xlfn.XLOOKUP($B$3&amp;Таблица4[[#This Row],[№]]&amp;"Продажа",РД[Дом]&amp;РД[№ кв]&amp;РД[Состояние],РД[Сумма скидки],"",0),2),Таблица4[[#This Row],[Статус]])</f>
        <v>254960</v>
      </c>
      <c r="O476" s="235">
        <f>IFERROR(Таблица4[[#This Row],[ППС]]-Таблица4[[#This Row],[ДДУС]],)</f>
        <v>0</v>
      </c>
      <c r="P476" s="611"/>
      <c r="Q476" s="234">
        <f>VLOOKUP(ППД5!A473,Реестр_Д5[№],1,0)</f>
        <v>472</v>
      </c>
      <c r="R476" s="234" t="str">
        <f>VLOOKUP(ППД5!CH473,Реестр_Д5[Статус],1,0)</f>
        <v>Продажа</v>
      </c>
      <c r="S476" s="612">
        <f>VLOOKUP(ППД5!BZ473,Реестр_Д5[Стоимость ОН без отделки со скидкой],1,0)</f>
        <v>4759194.5</v>
      </c>
      <c r="T476" s="612" cm="1">
        <f t="array" ref="T476">IFERROR(INDEX(РД[Стоимость без отделки итог],MATCH($Q$3&amp;Таблица10[[#This Row],[№]]&amp;"Продажа",РД[Дом]&amp;РД[№ кв]&amp;РД[Состояние],0),1),Таблица10[[#This Row],[Статус]])</f>
        <v>4759194.5</v>
      </c>
      <c r="U476" s="235">
        <f>IFERROR((Таблица10[[#This Row],[ПП]]-Таблица10[[#This Row],[ДДУ]])*1,)</f>
        <v>0</v>
      </c>
      <c r="V476" s="235" cm="1">
        <f t="array" ref="V476">IFERROR(INDEX(РД[Стоимость с отделкой итог],MATCH($Q$3&amp;Таблица10[[#This Row],[№]]&amp;"Продажа",РД[Дом]&amp;РД[№ кв]&amp;РД[Состояние],0),1),Таблица10[[#This Row],[Статус]])</f>
        <v>4759194.5</v>
      </c>
      <c r="W476" s="235">
        <f>_xlfn.XLOOKUP(Таблица10[[#This Row],[№]],Реестр_Д5[№],Реестр_Д5[Стоимость квартиры с отделкой],"-",0)</f>
        <v>4759194.5</v>
      </c>
      <c r="X476" s="235">
        <f>IFERROR(Таблица10[[#This Row],[СО ПП]]-Таблица10[[#This Row],[СО ДДУ]],"")</f>
        <v>0</v>
      </c>
      <c r="Y476" s="233" cm="1">
        <f t="array" ref="Y476">IFERROR(INDEX(РД[S],MATCH($Q$3&amp;Таблица10[[#This Row],[№]]&amp;"Продажа",РД[Дом]&amp;РД[№ кв]&amp;РД[Состояние],0),1),Таблица10[[#This Row],[Статус]])</f>
        <v>58.24</v>
      </c>
      <c r="Z476" s="233">
        <f>IF(Таблица10[[#This Row],[№]]&amp;"ДДУ"=ППД5!A473&amp;ППД5!CR473,ППД5!U473,ППД5!V473)</f>
        <v>58.24</v>
      </c>
      <c r="AA476" s="285">
        <f>IFERROR(Таблица10[[#This Row],[S ПП]]-Таблица10[[#This Row],[S ДДУ]],)</f>
        <v>0</v>
      </c>
      <c r="AB476" s="235">
        <f>ROUND(_xlfn.XLOOKUP(Таблица10[[#This Row],[№]],Реестр_Д5[№],Реестр_Д5[Итоговая сумма скидки],"",0),2)</f>
        <v>250483.92</v>
      </c>
      <c r="AC476" s="235" cm="1">
        <f t="array" ref="AC476">IFERROR(ROUND(_xlfn.XLOOKUP($Q$3&amp;Таблица10[[#This Row],[№]]&amp;"Продажа",РД[Дом]&amp;РД[№ кв]&amp;РД[Состояние],РД[Сумма скидки],"",0,-1),2),Таблица10[[#This Row],[Статус]])</f>
        <v>250483.92</v>
      </c>
      <c r="AD476" s="285">
        <f>IFERROR(Таблица10[[#This Row],[ППС]]-Таблица10[[#This Row],[ДДУС]],)</f>
        <v>0</v>
      </c>
      <c r="AE476" s="611"/>
      <c r="AT476" s="611"/>
    </row>
    <row r="477" spans="1:46" x14ac:dyDescent="0.2">
      <c r="A477" s="611"/>
      <c r="B477" s="234">
        <f>VLOOKUP(ППД4!A474,Реестр_Д4[№],1,0)</f>
        <v>473</v>
      </c>
      <c r="C477" s="234" t="str">
        <f>VLOOKUP(ППД4!CO474,Реестр_Д4[Статус],1,0)</f>
        <v>Продажа</v>
      </c>
      <c r="D477" s="612">
        <f>VLOOKUP(ППД4!CE474,Реестр_Д4[Стоимость ОН без отделки со скидкой],1,0)</f>
        <v>3675569.54</v>
      </c>
      <c r="E477" s="612" cm="1">
        <f t="array" ref="E477">IFERROR(INDEX(РД[Стоимость без отделки итог],MATCH($B$3&amp;Таблица4[[#This Row],[№]]&amp;"Продажа",РД[Дом]&amp;РД[№ кв]&amp;РД[Состояние],0),1),Таблица4[[#This Row],[Статус]])</f>
        <v>3675569.54</v>
      </c>
      <c r="F477" s="235">
        <f>IFERROR((Таблица4[[#This Row],[ПП]]-Таблица4[[#This Row],[ДДУ]])*1,"")</f>
        <v>0</v>
      </c>
      <c r="G477" s="235" cm="1">
        <f t="array" ref="G477">IFERROR(INDEX(РД[Стоимость с отделкой итог],MATCH($B$3&amp;Таблица4[[#This Row],[№]]&amp;"Продажа",РД[Дом]&amp;РД[№ кв]&amp;РД[Состояние],0),1),Таблица4[[#This Row],[Статус]])</f>
        <v>3853049.54</v>
      </c>
      <c r="H477" s="235">
        <f>_xlfn.XLOOKUP(Таблица4[[#This Row],[№]],Реестр_Д4[№],Реестр_Д4[Стоимость квартиры с отделкой],"-",0)</f>
        <v>3853049.54</v>
      </c>
      <c r="I477" s="235">
        <f>IFERROR(Таблица4[[#This Row],[СО ПП]]-Таблица4[[#This Row],[СО ДДУ]],"")</f>
        <v>0</v>
      </c>
      <c r="J477" s="233" cm="1">
        <f t="array" ref="J477">IFERROR(INDEX(РД[S],MATCH($B$3&amp;Таблица4[[#This Row],[№]]&amp;"Продажа",РД[Дом]&amp;РД[№ кв]&amp;РД[Состояние],0),1),Таблица4[[#This Row],[Статус]])</f>
        <v>44.37</v>
      </c>
      <c r="K477" s="233">
        <f>VLOOKUP(Таблица4[[#This Row],[№]],Реестр_Д4[],20,0)</f>
        <v>44.37</v>
      </c>
      <c r="L477" s="235">
        <f>IFERROR(Таблица4[[#This Row],[S ПП]]-Таблица4[[#This Row],[S ДДУ]],)</f>
        <v>0</v>
      </c>
      <c r="M477" s="235">
        <f>ROUND(_xlfn.XLOOKUP(Таблица4[[#This Row],[№]],Реестр_Д4[№],Реестр_Д4[Итоговая сумма скидки],"",0),2)</f>
        <v>177480</v>
      </c>
      <c r="N477" s="235" cm="1">
        <f t="array" ref="N477">IFERROR(ROUND(_xlfn.XLOOKUP($B$3&amp;Таблица4[[#This Row],[№]]&amp;"Продажа",РД[Дом]&amp;РД[№ кв]&amp;РД[Состояние],РД[Сумма скидки],"",0),2),Таблица4[[#This Row],[Статус]])</f>
        <v>177480</v>
      </c>
      <c r="O477" s="235">
        <f>IFERROR(Таблица4[[#This Row],[ППС]]-Таблица4[[#This Row],[ДДУС]],)</f>
        <v>0</v>
      </c>
      <c r="P477" s="611"/>
      <c r="Q477" s="234">
        <f>VLOOKUP(ППД5!A474,Реестр_Д5[№],1,0)</f>
        <v>473</v>
      </c>
      <c r="R477" s="234" t="str">
        <f>VLOOKUP(ППД5!CH474,Реестр_Д5[Статус],1,0)</f>
        <v>Продажа</v>
      </c>
      <c r="S477" s="612">
        <f>VLOOKUP(ППД5!BZ474,Реестр_Д5[Стоимость ОН без отделки со скидкой],1,0)</f>
        <v>5142158</v>
      </c>
      <c r="T477" s="612" cm="1">
        <f t="array" ref="T477">IFERROR(INDEX(РД[Стоимость без отделки итог],MATCH($Q$3&amp;Таблица10[[#This Row],[№]]&amp;"Продажа",РД[Дом]&amp;РД[№ кв]&amp;РД[Состояние],0),1),Таблица10[[#This Row],[Статус]])</f>
        <v>5142158</v>
      </c>
      <c r="U477" s="235">
        <f>IFERROR((Таблица10[[#This Row],[ПП]]-Таблица10[[#This Row],[ДДУ]])*1,)</f>
        <v>0</v>
      </c>
      <c r="V477" s="235" cm="1">
        <f t="array" ref="V477">IFERROR(INDEX(РД[Стоимость с отделкой итог],MATCH($Q$3&amp;Таблица10[[#This Row],[№]]&amp;"Продажа",РД[Дом]&amp;РД[№ кв]&amp;РД[Состояние],0),1),Таблица10[[#This Row],[Статус]])</f>
        <v>5546758</v>
      </c>
      <c r="W477" s="235">
        <f>_xlfn.XLOOKUP(Таблица10[[#This Row],[№]],Реестр_Д5[№],Реестр_Д5[Стоимость квартиры с отделкой],"-",0)</f>
        <v>5546758</v>
      </c>
      <c r="X477" s="235">
        <f>IFERROR(Таблица10[[#This Row],[СО ПП]]-Таблица10[[#This Row],[СО ДДУ]],"")</f>
        <v>0</v>
      </c>
      <c r="Y477" s="233" cm="1">
        <f t="array" ref="Y477">IFERROR(INDEX(РД[S],MATCH($Q$3&amp;Таблица10[[#This Row],[№]]&amp;"Продажа",РД[Дом]&amp;РД[№ кв]&amp;РД[Состояние],0),1),Таблица10[[#This Row],[Статус]])</f>
        <v>57.8</v>
      </c>
      <c r="Z477" s="233">
        <f>IF(Таблица10[[#This Row],[№]]&amp;"ДДУ"=ППД5!A474&amp;ППД5!CR474,ППД5!U474,ППД5!V474)</f>
        <v>57.8</v>
      </c>
      <c r="AA477" s="285">
        <f>IFERROR(Таблица10[[#This Row],[S ПП]]-Таблица10[[#This Row],[S ДДУ]],)</f>
        <v>0</v>
      </c>
      <c r="AB477" s="235">
        <f>ROUND(_xlfn.XLOOKUP(Таблица10[[#This Row],[№]],Реестр_Д5[№],Реестр_Д5[Итоговая сумма скидки],"",0),2)</f>
        <v>104942</v>
      </c>
      <c r="AC477" s="235" cm="1">
        <f t="array" ref="AC477">IFERROR(ROUND(_xlfn.XLOOKUP($Q$3&amp;Таблица10[[#This Row],[№]]&amp;"Продажа",РД[Дом]&amp;РД[№ кв]&amp;РД[Состояние],РД[Сумма скидки],"",0,-1),2),Таблица10[[#This Row],[Статус]])</f>
        <v>104942</v>
      </c>
      <c r="AD477" s="285">
        <f>IFERROR(Таблица10[[#This Row],[ППС]]-Таблица10[[#This Row],[ДДУС]],)</f>
        <v>0</v>
      </c>
      <c r="AE477" s="611"/>
      <c r="AT477" s="611"/>
    </row>
    <row r="478" spans="1:46" x14ac:dyDescent="0.2">
      <c r="A478" s="611"/>
      <c r="B478" s="234">
        <f>VLOOKUP(ППД4!A475,Реестр_Д4[№],1,0)</f>
        <v>474</v>
      </c>
      <c r="C478" s="234" t="str">
        <f>VLOOKUP(ППД4!CO475,Реестр_Д4[Статус],1,0)</f>
        <v>Продажа</v>
      </c>
      <c r="D478" s="612">
        <f>VLOOKUP(ППД4!CE475,Реестр_Д4[Стоимость ОН без отделки со скидкой],1,0)</f>
        <v>3524179.09</v>
      </c>
      <c r="E478" s="612" cm="1">
        <f t="array" ref="E478">IFERROR(INDEX(РД[Стоимость без отделки итог],MATCH($B$3&amp;Таблица4[[#This Row],[№]]&amp;"Продажа",РД[Дом]&amp;РД[№ кв]&amp;РД[Состояние],0),1),Таблица4[[#This Row],[Статус]])</f>
        <v>3524179.09</v>
      </c>
      <c r="F478" s="235">
        <f>IFERROR((Таблица4[[#This Row],[ПП]]-Таблица4[[#This Row],[ДДУ]])*1,"")</f>
        <v>0</v>
      </c>
      <c r="G478" s="235" cm="1">
        <f t="array" ref="G478">IFERROR(INDEX(РД[Стоимость с отделкой итог],MATCH($B$3&amp;Таблица4[[#This Row],[№]]&amp;"Продажа",РД[Дом]&amp;РД[№ кв]&amp;РД[Состояние],0),1),Таблица4[[#This Row],[Статус]])</f>
        <v>3683139.09</v>
      </c>
      <c r="H478" s="235">
        <f>_xlfn.XLOOKUP(Таблица4[[#This Row],[№]],Реестр_Д4[№],Реестр_Д4[Стоимость квартиры с отделкой],"-",0)</f>
        <v>3683139.09</v>
      </c>
      <c r="I478" s="235">
        <f>IFERROR(Таблица4[[#This Row],[СО ПП]]-Таблица4[[#This Row],[СО ДДУ]],"")</f>
        <v>0</v>
      </c>
      <c r="J478" s="233" cm="1">
        <f t="array" ref="J478">IFERROR(INDEX(РД[S],MATCH($B$3&amp;Таблица4[[#This Row],[№]]&amp;"Продажа",РД[Дом]&amp;РД[№ кв]&amp;РД[Состояние],0),1),Таблица4[[#This Row],[Статус]])</f>
        <v>39.74</v>
      </c>
      <c r="K478" s="233">
        <f>VLOOKUP(Таблица4[[#This Row],[№]],Реестр_Д4[],20,0)</f>
        <v>39.74</v>
      </c>
      <c r="L478" s="235">
        <f>IFERROR(Таблица4[[#This Row],[S ПП]]-Таблица4[[#This Row],[S ДДУ]],)</f>
        <v>0</v>
      </c>
      <c r="M478" s="235">
        <f>ROUND(_xlfn.XLOOKUP(Таблица4[[#This Row],[№]],Реестр_Д4[№],Реестр_Д4[Итоговая сумма скидки],"",0),2)</f>
        <v>30000</v>
      </c>
      <c r="N478" s="235" cm="1">
        <f t="array" ref="N478">IFERROR(ROUND(_xlfn.XLOOKUP($B$3&amp;Таблица4[[#This Row],[№]]&amp;"Продажа",РД[Дом]&amp;РД[№ кв]&amp;РД[Состояние],РД[Сумма скидки],"",0),2),Таблица4[[#This Row],[Статус]])</f>
        <v>30000</v>
      </c>
      <c r="O478" s="235">
        <f>IFERROR(Таблица4[[#This Row],[ППС]]-Таблица4[[#This Row],[ДДУС]],)</f>
        <v>0</v>
      </c>
      <c r="P478" s="611"/>
      <c r="Q478" s="234">
        <f>VLOOKUP(ППД5!A475,Реестр_Д5[№],1,0)</f>
        <v>474</v>
      </c>
      <c r="R478" s="234" t="str">
        <f>VLOOKUP(ППД5!CH475,Реестр_Д5[Статус],1,0)</f>
        <v>Продажа</v>
      </c>
      <c r="S478" s="612">
        <f>VLOOKUP(ППД5!BZ475,Реестр_Д5[Стоимость ОН без отделки со скидкой],1,0)</f>
        <v>3655790</v>
      </c>
      <c r="T478" s="612" cm="1">
        <f t="array" ref="T478">IFERROR(INDEX(РД[Стоимость без отделки итог],MATCH($Q$3&amp;Таблица10[[#This Row],[№]]&amp;"Продажа",РД[Дом]&amp;РД[№ кв]&amp;РД[Состояние],0),1),Таблица10[[#This Row],[Статус]])</f>
        <v>3655790</v>
      </c>
      <c r="U478" s="235">
        <f>IFERROR((Таблица10[[#This Row],[ПП]]-Таблица10[[#This Row],[ДДУ]])*1,)</f>
        <v>0</v>
      </c>
      <c r="V478" s="235" cm="1">
        <f t="array" ref="V478">IFERROR(INDEX(РД[Стоимость с отделкой итог],MATCH($Q$3&amp;Таблица10[[#This Row],[№]]&amp;"Продажа",РД[Дом]&amp;РД[№ кв]&amp;РД[Состояние],0),1),Таблица10[[#This Row],[Статус]])</f>
        <v>4498390</v>
      </c>
      <c r="W478" s="235">
        <f>_xlfn.XLOOKUP(Таблица10[[#This Row],[№]],Реестр_Д5[№],Реестр_Д5[Стоимость квартиры с отделкой],"-",0)</f>
        <v>4498390</v>
      </c>
      <c r="X478" s="235">
        <f>IFERROR(Таблица10[[#This Row],[СО ПП]]-Таблица10[[#This Row],[СО ДДУ]],"")</f>
        <v>0</v>
      </c>
      <c r="Y478" s="233" cm="1">
        <f t="array" ref="Y478">IFERROR(INDEX(РД[S],MATCH($Q$3&amp;Таблица10[[#This Row],[№]]&amp;"Продажа",РД[Дом]&amp;РД[№ кв]&amp;РД[Состояние],0),1),Таблица10[[#This Row],[Статус]])</f>
        <v>38.299999999999997</v>
      </c>
      <c r="Z478" s="233">
        <f>IF(Таблица10[[#This Row],[№]]&amp;"ДДУ"=ППД5!A475&amp;ППД5!CR475,ППД5!U475,ППД5!V475)</f>
        <v>38.299999999999997</v>
      </c>
      <c r="AA478" s="285">
        <f>IFERROR(Таблица10[[#This Row],[S ПП]]-Таблица10[[#This Row],[S ДДУ]],)</f>
        <v>0</v>
      </c>
      <c r="AB478" s="235">
        <f>ROUND(_xlfn.XLOOKUP(Таблица10[[#This Row],[№]],Реестр_Д5[№],Реестр_Д5[Итоговая сумма скидки],"",0),2)</f>
        <v>192410</v>
      </c>
      <c r="AC478" s="235" cm="1">
        <f t="array" ref="AC478">IFERROR(ROUND(_xlfn.XLOOKUP($Q$3&amp;Таблица10[[#This Row],[№]]&amp;"Продажа",РД[Дом]&amp;РД[№ кв]&amp;РД[Состояние],РД[Сумма скидки],"",0,-1),2),Таблица10[[#This Row],[Статус]])</f>
        <v>192410</v>
      </c>
      <c r="AD478" s="285">
        <f>IFERROR(Таблица10[[#This Row],[ППС]]-Таблица10[[#This Row],[ДДУС]],)</f>
        <v>0</v>
      </c>
      <c r="AE478" s="611"/>
      <c r="AT478" s="611"/>
    </row>
    <row r="479" spans="1:46" x14ac:dyDescent="0.2">
      <c r="A479" s="611"/>
      <c r="B479" s="234">
        <f>VLOOKUP(ППД4!A476,Реестр_Д4[№],1,0)</f>
        <v>475</v>
      </c>
      <c r="C479" s="234" t="str">
        <f>VLOOKUP(ППД4!CO476,Реестр_Д4[Статус],1,0)</f>
        <v>Продажа</v>
      </c>
      <c r="D479" s="612">
        <f>VLOOKUP(ППД4!CE476,Реестр_Д4[Стоимость ОН без отделки со скидкой],1,0)</f>
        <v>3699442.91</v>
      </c>
      <c r="E479" s="612" cm="1">
        <f t="array" ref="E479">IFERROR(INDEX(РД[Стоимость без отделки итог],MATCH($B$3&amp;Таблица4[[#This Row],[№]]&amp;"Продажа",РД[Дом]&amp;РД[№ кв]&amp;РД[Состояние],0),1),Таблица4[[#This Row],[Статус]])</f>
        <v>3699442.91</v>
      </c>
      <c r="F479" s="235">
        <f>IFERROR((Таблица4[[#This Row],[ПП]]-Таблица4[[#This Row],[ДДУ]])*1,"")</f>
        <v>0</v>
      </c>
      <c r="G479" s="235" cm="1">
        <f t="array" ref="G479">IFERROR(INDEX(РД[Стоимость с отделкой итог],MATCH($B$3&amp;Таблица4[[#This Row],[№]]&amp;"Продажа",РД[Дом]&amp;РД[№ кв]&amp;РД[Состояние],0),1),Таблица4[[#This Row],[Статус]])</f>
        <v>4297742.91</v>
      </c>
      <c r="H479" s="235">
        <f>_xlfn.XLOOKUP(Таблица4[[#This Row],[№]],Реестр_Д4[№],Реестр_Д4[Стоимость квартиры с отделкой],"-",0)</f>
        <v>4297742.91</v>
      </c>
      <c r="I479" s="235">
        <f>IFERROR(Таблица4[[#This Row],[СО ПП]]-Таблица4[[#This Row],[СО ДДУ]],"")</f>
        <v>0</v>
      </c>
      <c r="J479" s="233" cm="1">
        <f t="array" ref="J479">IFERROR(INDEX(РД[S],MATCH($B$3&amp;Таблица4[[#This Row],[№]]&amp;"Продажа",РД[Дом]&amp;РД[№ кв]&amp;РД[Состояние],0),1),Таблица4[[#This Row],[Статус]])</f>
        <v>38.6</v>
      </c>
      <c r="K479" s="233">
        <f>VLOOKUP(Таблица4[[#This Row],[№]],Реестр_Д4[],20,0)</f>
        <v>38.6</v>
      </c>
      <c r="L479" s="235">
        <f>IFERROR(Таблица4[[#This Row],[S ПП]]-Таблица4[[#This Row],[S ДДУ]],)</f>
        <v>0</v>
      </c>
      <c r="M479" s="235">
        <f>ROUND(_xlfn.XLOOKUP(Таблица4[[#This Row],[№]],Реестр_Д4[№],Реестр_Д4[Итоговая сумма скидки],"",0),2)</f>
        <v>0</v>
      </c>
      <c r="N479" s="235" cm="1">
        <f t="array" ref="N47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79" s="235">
        <f>IFERROR(Таблица4[[#This Row],[ППС]]-Таблица4[[#This Row],[ДДУС]],)</f>
        <v>0</v>
      </c>
      <c r="P479" s="611"/>
      <c r="Q479" s="234">
        <f>VLOOKUP(ППД5!A476,Реестр_Д5[№],1,0)</f>
        <v>475</v>
      </c>
      <c r="R479" s="234" t="str">
        <f>VLOOKUP(ППД5!CH476,Реестр_Д5[Статус],1,0)</f>
        <v>Продажа</v>
      </c>
      <c r="S479" s="612">
        <f>VLOOKUP(ППД5!BZ476,Реестр_Д5[Стоимость ОН без отделки со скидкой],1,0)</f>
        <v>7711306</v>
      </c>
      <c r="T479" s="612" cm="1">
        <f t="array" ref="T479">IFERROR(INDEX(РД[Стоимость без отделки итог],MATCH($Q$3&amp;Таблица10[[#This Row],[№]]&amp;"Продажа",РД[Дом]&amp;РД[№ кв]&amp;РД[Состояние],0),1),Таблица10[[#This Row],[Статус]])</f>
        <v>7711306</v>
      </c>
      <c r="U479" s="235">
        <f>IFERROR((Таблица10[[#This Row],[ПП]]-Таблица10[[#This Row],[ДДУ]])*1,)</f>
        <v>0</v>
      </c>
      <c r="V479" s="235" cm="1">
        <f t="array" ref="V479">IFERROR(INDEX(РД[Стоимость с отделкой итог],MATCH($Q$3&amp;Таблица10[[#This Row],[№]]&amp;"Продажа",РД[Дом]&amp;РД[№ кв]&amp;РД[Состояние],0),1),Таблица10[[#This Row],[Статус]])</f>
        <v>9300106</v>
      </c>
      <c r="W479" s="235">
        <f>_xlfn.XLOOKUP(Таблица10[[#This Row],[№]],Реестр_Д5[№],Реестр_Д5[Стоимость квартиры с отделкой],"-",0)</f>
        <v>9300106</v>
      </c>
      <c r="X479" s="235">
        <f>IFERROR(Таблица10[[#This Row],[СО ПП]]-Таблица10[[#This Row],[СО ДДУ]],"")</f>
        <v>0</v>
      </c>
      <c r="Y479" s="233" cm="1">
        <f t="array" ref="Y479">IFERROR(INDEX(РД[S],MATCH($Q$3&amp;Таблица10[[#This Row],[№]]&amp;"Продажа",РД[Дом]&amp;РД[№ кв]&amp;РД[Состояние],0),1),Таблица10[[#This Row],[Статус]])</f>
        <v>79.44</v>
      </c>
      <c r="Z479" s="233">
        <f>IF(Таблица10[[#This Row],[№]]&amp;"ДДУ"=ППД5!A476&amp;ППД5!CR476,ППД5!U476,ППД5!V476)</f>
        <v>79.44</v>
      </c>
      <c r="AA479" s="285">
        <f>IFERROR(Таблица10[[#This Row],[S ПП]]-Таблица10[[#This Row],[S ДДУ]],)</f>
        <v>0</v>
      </c>
      <c r="AB479" s="235">
        <f>ROUND(_xlfn.XLOOKUP(Таблица10[[#This Row],[№]],Реестр_Д5[№],Реестр_Д5[Итоговая сумма скидки],"",0),2)</f>
        <v>238494</v>
      </c>
      <c r="AC479" s="235" cm="1">
        <f t="array" ref="AC479">IFERROR(ROUND(_xlfn.XLOOKUP($Q$3&amp;Таблица10[[#This Row],[№]]&amp;"Продажа",РД[Дом]&amp;РД[№ кв]&amp;РД[Состояние],РД[Сумма скидки],"",0,-1),2),Таблица10[[#This Row],[Статус]])</f>
        <v>238494</v>
      </c>
      <c r="AD479" s="285">
        <f>IFERROR(Таблица10[[#This Row],[ППС]]-Таблица10[[#This Row],[ДДУС]],)</f>
        <v>0</v>
      </c>
      <c r="AE479" s="611"/>
      <c r="AT479" s="611"/>
    </row>
    <row r="480" spans="1:46" x14ac:dyDescent="0.2">
      <c r="A480" s="611"/>
      <c r="B480" s="234">
        <f>VLOOKUP(ППД4!A477,Реестр_Д4[№],1,0)</f>
        <v>476</v>
      </c>
      <c r="C480" s="234" t="str">
        <f>VLOOKUP(ППД4!CO477,Реестр_Д4[Статус],1,0)</f>
        <v>Продажа</v>
      </c>
      <c r="D480" s="612">
        <f>VLOOKUP(ППД4!CE477,Реестр_Д4[Стоимость ОН без отделки со скидкой],1,0)</f>
        <v>5605558.0300000003</v>
      </c>
      <c r="E480" s="612" cm="1">
        <f t="array" ref="E480">IFERROR(INDEX(РД[Стоимость без отделки итог],MATCH($B$3&amp;Таблица4[[#This Row],[№]]&amp;"Продажа",РД[Дом]&amp;РД[№ кв]&amp;РД[Состояние],0),1),Таблица4[[#This Row],[Статус]])</f>
        <v>5605558.0300000003</v>
      </c>
      <c r="F480" s="235">
        <f>IFERROR((Таблица4[[#This Row],[ПП]]-Таблица4[[#This Row],[ДДУ]])*1,"")</f>
        <v>0</v>
      </c>
      <c r="G480" s="235" cm="1">
        <f t="array" ref="G480">IFERROR(INDEX(РД[Стоимость с отделкой итог],MATCH($B$3&amp;Таблица4[[#This Row],[№]]&amp;"Продажа",РД[Дом]&amp;РД[№ кв]&amp;РД[Состояние],0),1),Таблица4[[#This Row],[Статус]])</f>
        <v>5902678.0300000003</v>
      </c>
      <c r="H480" s="235">
        <f>_xlfn.XLOOKUP(Таблица4[[#This Row],[№]],Реестр_Д4[№],Реестр_Д4[Стоимость квартиры с отделкой],"-",0)</f>
        <v>5902678.0300000003</v>
      </c>
      <c r="I480" s="235">
        <f>IFERROR(Таблица4[[#This Row],[СО ПП]]-Таблица4[[#This Row],[СО ДДУ]],"")</f>
        <v>0</v>
      </c>
      <c r="J480" s="233" cm="1">
        <f t="array" ref="J480">IFERROR(INDEX(РД[S],MATCH($B$3&amp;Таблица4[[#This Row],[№]]&amp;"Продажа",РД[Дом]&amp;РД[№ кв]&amp;РД[Состояние],0),1),Таблица4[[#This Row],[Статус]])</f>
        <v>74.28</v>
      </c>
      <c r="K480" s="233">
        <f>VLOOKUP(Таблица4[[#This Row],[№]],Реестр_Д4[],20,0)</f>
        <v>74.28</v>
      </c>
      <c r="L480" s="235">
        <f>IFERROR(Таблица4[[#This Row],[S ПП]]-Таблица4[[#This Row],[S ДДУ]],)</f>
        <v>0</v>
      </c>
      <c r="M480" s="235">
        <f>ROUND(_xlfn.XLOOKUP(Таблица4[[#This Row],[№]],Реестр_Д4[№],Реестр_Д4[Итоговая сумма скидки],"",0),2)</f>
        <v>0</v>
      </c>
      <c r="N480" s="235" cm="1">
        <f t="array" ref="N48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0" s="235">
        <f>IFERROR(Таблица4[[#This Row],[ППС]]-Таблица4[[#This Row],[ДДУС]],)</f>
        <v>0</v>
      </c>
      <c r="P480" s="611"/>
      <c r="Q480" s="234">
        <f>VLOOKUP(ППД5!A477,Реестр_Д5[№],1,0)</f>
        <v>476</v>
      </c>
      <c r="R480" s="234" t="str">
        <f>VLOOKUP(ППД5!CH477,Реестр_Д5[Статус],1,0)</f>
        <v>Продажа</v>
      </c>
      <c r="S480" s="612">
        <f>VLOOKUP(ППД5!BZ477,Реестр_Д5[Стоимость ОН без отделки со скидкой],1,0)</f>
        <v>5297390</v>
      </c>
      <c r="T480" s="612" cm="1">
        <f t="array" ref="T480">IFERROR(INDEX(РД[Стоимость без отделки итог],MATCH($Q$3&amp;Таблица10[[#This Row],[№]]&amp;"Продажа",РД[Дом]&amp;РД[№ кв]&amp;РД[Состояние],0),1),Таблица10[[#This Row],[Статус]])</f>
        <v>5297390</v>
      </c>
      <c r="U480" s="235">
        <f>IFERROR((Таблица10[[#This Row],[ПП]]-Таблица10[[#This Row],[ДДУ]])*1,)</f>
        <v>0</v>
      </c>
      <c r="V480" s="235" cm="1">
        <f t="array" ref="V480">IFERROR(INDEX(РД[Стоимость с отделкой итог],MATCH($Q$3&amp;Таблица10[[#This Row],[№]]&amp;"Продажа",РД[Дом]&amp;РД[№ кв]&amp;РД[Состояние],0),1),Таблица10[[#This Row],[Статус]])</f>
        <v>6289640</v>
      </c>
      <c r="W480" s="235">
        <f>_xlfn.XLOOKUP(Таблица10[[#This Row],[№]],Реестр_Д5[№],Реестр_Д5[Стоимость квартиры с отделкой],"-",0)</f>
        <v>6289639.9999999991</v>
      </c>
      <c r="X480" s="235">
        <f>IFERROR(Таблица10[[#This Row],[СО ПП]]-Таблица10[[#This Row],[СО ДДУ]],"")</f>
        <v>-9.3132257461547852E-10</v>
      </c>
      <c r="Y480" s="233" cm="1">
        <f t="array" ref="Y480">IFERROR(INDEX(РД[S],MATCH($Q$3&amp;Таблица10[[#This Row],[№]]&amp;"Продажа",РД[Дом]&amp;РД[№ кв]&amp;РД[Состояние],0),1),Таблица10[[#This Row],[Статус]])</f>
        <v>39.69</v>
      </c>
      <c r="Z480" s="233">
        <f>IF(Таблица10[[#This Row],[№]]&amp;"ДДУ"=ППД5!A477&amp;ППД5!CR477,ППД5!U477,ППД5!V477)</f>
        <v>39.69</v>
      </c>
      <c r="AA480" s="285">
        <f>IFERROR(Таблица10[[#This Row],[S ПП]]-Таблица10[[#This Row],[S ДДУ]],)</f>
        <v>0</v>
      </c>
      <c r="AB480" s="235">
        <f>ROUND(_xlfn.XLOOKUP(Таблица10[[#This Row],[№]],Реестр_Д5[№],Реестр_Д5[Итоговая сумма скидки],"",0),2)</f>
        <v>108110</v>
      </c>
      <c r="AC480" s="235" cm="1">
        <f t="array" ref="AC480">IFERROR(ROUND(_xlfn.XLOOKUP($Q$3&amp;Таблица10[[#This Row],[№]]&amp;"Продажа",РД[Дом]&amp;РД[№ кв]&amp;РД[Состояние],РД[Сумма скидки],"",0,-1),2),Таблица10[[#This Row],[Статус]])</f>
        <v>108110</v>
      </c>
      <c r="AD480" s="285">
        <f>IFERROR(Таблица10[[#This Row],[ППС]]-Таблица10[[#This Row],[ДДУС]],)</f>
        <v>0</v>
      </c>
      <c r="AE480" s="611"/>
      <c r="AT480" s="611"/>
    </row>
    <row r="481" spans="1:46" x14ac:dyDescent="0.2">
      <c r="A481" s="611"/>
      <c r="B481" s="234">
        <f>VLOOKUP(ППД4!A478,Реестр_Д4[№],1,0)</f>
        <v>477</v>
      </c>
      <c r="C481" s="234" t="str">
        <f>VLOOKUP(ППД4!CO478,Реестр_Д4[Статус],1,0)</f>
        <v>Продажа</v>
      </c>
      <c r="D481" s="612">
        <f>VLOOKUP(ППД4!CE478,Реестр_Д4[Стоимость ОН без отделки со скидкой],1,0)</f>
        <v>3847120</v>
      </c>
      <c r="E481" s="612" cm="1">
        <f t="array" ref="E481">IFERROR(INDEX(РД[Стоимость без отделки итог],MATCH($B$3&amp;Таблица4[[#This Row],[№]]&amp;"Продажа",РД[Дом]&amp;РД[№ кв]&amp;РД[Состояние],0),1),Таблица4[[#This Row],[Статус]])</f>
        <v>3847120</v>
      </c>
      <c r="F481" s="235">
        <f>IFERROR((Таблица4[[#This Row],[ПП]]-Таблица4[[#This Row],[ДДУ]])*1,"")</f>
        <v>0</v>
      </c>
      <c r="G481" s="235" cm="1">
        <f t="array" ref="G481">IFERROR(INDEX(РД[Стоимость с отделкой итог],MATCH($B$3&amp;Таблица4[[#This Row],[№]]&amp;"Продажа",РД[Дом]&amp;РД[№ кв]&amp;РД[Состояние],0),1),Таблица4[[#This Row],[Статус]])</f>
        <v>3847120</v>
      </c>
      <c r="H481" s="235">
        <f>_xlfn.XLOOKUP(Таблица4[[#This Row],[№]],Реестр_Д4[№],Реестр_Д4[Стоимость квартиры с отделкой],"-",0)</f>
        <v>3847120</v>
      </c>
      <c r="I481" s="235">
        <f>IFERROR(Таблица4[[#This Row],[СО ПП]]-Таблица4[[#This Row],[СО ДДУ]],"")</f>
        <v>0</v>
      </c>
      <c r="J481" s="233" cm="1">
        <f t="array" ref="J481">IFERROR(INDEX(РД[S],MATCH($B$3&amp;Таблица4[[#This Row],[№]]&amp;"Продажа",РД[Дом]&amp;РД[№ кв]&amp;РД[Состояние],0),1),Таблица4[[#This Row],[Статус]])</f>
        <v>36.5</v>
      </c>
      <c r="K481" s="233">
        <f>VLOOKUP(Таблица4[[#This Row],[№]],Реестр_Д4[],20,0)</f>
        <v>36.5</v>
      </c>
      <c r="L481" s="235">
        <f>IFERROR(Таблица4[[#This Row],[S ПП]]-Таблица4[[#This Row],[S ДДУ]],)</f>
        <v>0</v>
      </c>
      <c r="M481" s="235">
        <f>ROUND(_xlfn.XLOOKUP(Таблица4[[#This Row],[№]],Реестр_Д4[№],Реестр_Д4[Итоговая сумма скидки],"",0),2)</f>
        <v>202480</v>
      </c>
      <c r="N481" s="235" cm="1">
        <f t="array" ref="N481">IFERROR(ROUND(_xlfn.XLOOKUP($B$3&amp;Таблица4[[#This Row],[№]]&amp;"Продажа",РД[Дом]&amp;РД[№ кв]&amp;РД[Состояние],РД[Сумма скидки],"",0),2),Таблица4[[#This Row],[Статус]])</f>
        <v>202480</v>
      </c>
      <c r="O481" s="235">
        <f>IFERROR(Таблица4[[#This Row],[ППС]]-Таблица4[[#This Row],[ДДУС]],)</f>
        <v>0</v>
      </c>
      <c r="P481" s="611"/>
      <c r="Q481" s="234">
        <f>VLOOKUP(ППД5!A478,Реестр_Д5[№],1,0)</f>
        <v>477</v>
      </c>
      <c r="R481" s="234" t="str">
        <f>VLOOKUP(ППД5!CH478,Реестр_Д5[Статус],1,0)</f>
        <v>Продажа</v>
      </c>
      <c r="S481" s="612">
        <f>VLOOKUP(ППД5!BZ478,Реестр_Д5[Стоимость ОН без отделки со скидкой],1,0)</f>
        <v>3096792.26</v>
      </c>
      <c r="T481" s="612" cm="1">
        <f t="array" ref="T481">IFERROR(INDEX(РД[Стоимость без отделки итог],MATCH($Q$3&amp;Таблица10[[#This Row],[№]]&amp;"Продажа",РД[Дом]&amp;РД[№ кв]&amp;РД[Состояние],0),1),Таблица10[[#This Row],[Статус]])</f>
        <v>3096792.26</v>
      </c>
      <c r="U481" s="235">
        <f>IFERROR((Таблица10[[#This Row],[ПП]]-Таблица10[[#This Row],[ДДУ]])*1,)</f>
        <v>0</v>
      </c>
      <c r="V481" s="235" cm="1">
        <f t="array" ref="V481">IFERROR(INDEX(РД[Стоимость с отделкой итог],MATCH($Q$3&amp;Таблица10[[#This Row],[№]]&amp;"Продажа",РД[Дом]&amp;РД[№ кв]&amp;РД[Состояние],0),1),Таблица10[[#This Row],[Статус]])</f>
        <v>3096792.26</v>
      </c>
      <c r="W481" s="235">
        <f>_xlfn.XLOOKUP(Таблица10[[#This Row],[№]],Реестр_Д5[№],Реестр_Д5[Стоимость квартиры с отделкой],"-",0)</f>
        <v>3096792.26</v>
      </c>
      <c r="X481" s="235">
        <f>IFERROR(Таблица10[[#This Row],[СО ПП]]-Таблица10[[#This Row],[СО ДДУ]],"")</f>
        <v>0</v>
      </c>
      <c r="Y481" s="233" cm="1">
        <f t="array" ref="Y481">IFERROR(INDEX(РД[S],MATCH($Q$3&amp;Таблица10[[#This Row],[№]]&amp;"Продажа",РД[Дом]&amp;РД[№ кв]&amp;РД[Состояние],0),1),Таблица10[[#This Row],[Статус]])</f>
        <v>29.4</v>
      </c>
      <c r="Z481" s="233">
        <f>IF(Таблица10[[#This Row],[№]]&amp;"ДДУ"=ППД5!A478&amp;ППД5!CR478,ППД5!U478,ППД5!V478)</f>
        <v>29.4</v>
      </c>
      <c r="AA481" s="285">
        <f>IFERROR(Таблица10[[#This Row],[S ПП]]-Таблица10[[#This Row],[S ДДУ]],)</f>
        <v>0</v>
      </c>
      <c r="AB481" s="235">
        <f>ROUND(_xlfn.XLOOKUP(Таблица10[[#This Row],[№]],Реестр_Д5[№],Реестр_Д5[Итоговая сумма скидки],"",0),2)</f>
        <v>0</v>
      </c>
      <c r="AC481" s="235" cm="1">
        <f t="array" ref="AC48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81" s="285">
        <f>IFERROR(Таблица10[[#This Row],[ППС]]-Таблица10[[#This Row],[ДДУС]],)</f>
        <v>0</v>
      </c>
      <c r="AE481" s="611"/>
      <c r="AT481" s="611"/>
    </row>
    <row r="482" spans="1:46" x14ac:dyDescent="0.2">
      <c r="A482" s="611"/>
      <c r="B482" s="234">
        <f>VLOOKUP(ППД4!A479,Реестр_Д4[№],1,0)</f>
        <v>478</v>
      </c>
      <c r="C482" s="234" t="str">
        <f>VLOOKUP(ППД4!CO479,Реестр_Д4[Статус],1,0)</f>
        <v>Продажа</v>
      </c>
      <c r="D482" s="612">
        <f>VLOOKUP(ППД4!CE479,Реестр_Д4[Стоимость ОН без отделки со скидкой],1,0)</f>
        <v>4326999.71</v>
      </c>
      <c r="E482" s="612" cm="1">
        <f t="array" ref="E482">IFERROR(INDEX(РД[Стоимость без отделки итог],MATCH($B$3&amp;Таблица4[[#This Row],[№]]&amp;"Продажа",РД[Дом]&amp;РД[№ кв]&amp;РД[Состояние],0),1),Таблица4[[#This Row],[Статус]])</f>
        <v>4326999.71</v>
      </c>
      <c r="F482" s="235">
        <f>IFERROR((Таблица4[[#This Row],[ПП]]-Таблица4[[#This Row],[ДДУ]])*1,"")</f>
        <v>0</v>
      </c>
      <c r="G482" s="235" cm="1">
        <f t="array" ref="G482">IFERROR(INDEX(РД[Стоимость с отделкой итог],MATCH($B$3&amp;Таблица4[[#This Row],[№]]&amp;"Продажа",РД[Дом]&amp;РД[№ кв]&amp;РД[Состояние],0),1),Таблица4[[#This Row],[Статус]])</f>
        <v>4551159.71</v>
      </c>
      <c r="H482" s="235">
        <f>_xlfn.XLOOKUP(Таблица4[[#This Row],[№]],Реестр_Д4[№],Реестр_Д4[Стоимость квартиры с отделкой],"-",0)</f>
        <v>4551159.71</v>
      </c>
      <c r="I482" s="235">
        <f>IFERROR(Таблица4[[#This Row],[СО ПП]]-Таблица4[[#This Row],[СО ДДУ]],"")</f>
        <v>0</v>
      </c>
      <c r="J482" s="233" cm="1">
        <f t="array" ref="J482">IFERROR(INDEX(РД[S],MATCH($B$3&amp;Таблица4[[#This Row],[№]]&amp;"Продажа",РД[Дом]&amp;РД[№ кв]&amp;РД[Состояние],0),1),Таблица4[[#This Row],[Статус]])</f>
        <v>56.04</v>
      </c>
      <c r="K482" s="233">
        <f>VLOOKUP(Таблица4[[#This Row],[№]],Реестр_Д4[],20,0)</f>
        <v>56.04</v>
      </c>
      <c r="L482" s="235">
        <f>IFERROR(Таблица4[[#This Row],[S ПП]]-Таблица4[[#This Row],[S ДДУ]],)</f>
        <v>0</v>
      </c>
      <c r="M482" s="235">
        <f>ROUND(_xlfn.XLOOKUP(Таблица4[[#This Row],[№]],Реестр_Д4[№],Реестр_Д4[Итоговая сумма скидки],"",0),2)</f>
        <v>0</v>
      </c>
      <c r="N482" s="235" cm="1">
        <f t="array" ref="N48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2" s="235">
        <f>IFERROR(Таблица4[[#This Row],[ППС]]-Таблица4[[#This Row],[ДДУС]],)</f>
        <v>0</v>
      </c>
      <c r="P482" s="611"/>
      <c r="Q482" s="234">
        <f>VLOOKUP(ППД5!A479,Реестр_Д5[№],1,0)</f>
        <v>478</v>
      </c>
      <c r="R482" s="234" t="str">
        <f>VLOOKUP(ППД5!CH479,Реестр_Д5[Статус],1,0)</f>
        <v>Продажа</v>
      </c>
      <c r="S482" s="612">
        <f>VLOOKUP(ППД5!BZ479,Реестр_Д5[Стоимость ОН без отделки со скидкой],1,0)</f>
        <v>4521612</v>
      </c>
      <c r="T482" s="612" cm="1">
        <f t="array" ref="T482">IFERROR(INDEX(РД[Стоимость без отделки итог],MATCH($Q$3&amp;Таблица10[[#This Row],[№]]&amp;"Продажа",РД[Дом]&amp;РД[№ кв]&amp;РД[Состояние],0),1),Таблица10[[#This Row],[Статус]])</f>
        <v>4521612</v>
      </c>
      <c r="U482" s="235">
        <f>IFERROR((Таблица10[[#This Row],[ПП]]-Таблица10[[#This Row],[ДДУ]])*1,)</f>
        <v>0</v>
      </c>
      <c r="V482" s="235" cm="1">
        <f t="array" ref="V482">IFERROR(INDEX(РД[Стоимость с отделкой итог],MATCH($Q$3&amp;Таблица10[[#This Row],[№]]&amp;"Продажа",РД[Дом]&amp;РД[№ кв]&amp;РД[Состояние],0),1),Таблица10[[#This Row],[Статус]])</f>
        <v>4521612</v>
      </c>
      <c r="W482" s="235">
        <f>_xlfn.XLOOKUP(Таблица10[[#This Row],[№]],Реестр_Д5[№],Реестр_Д5[Стоимость квартиры с отделкой],"-",0)</f>
        <v>4521612</v>
      </c>
      <c r="X482" s="235">
        <f>IFERROR(Таблица10[[#This Row],[СО ПП]]-Таблица10[[#This Row],[СО ДДУ]],"")</f>
        <v>0</v>
      </c>
      <c r="Y482" s="233" cm="1">
        <f t="array" ref="Y482">IFERROR(INDEX(РД[S],MATCH($Q$3&amp;Таблица10[[#This Row],[№]]&amp;"Продажа",РД[Дом]&amp;РД[№ кв]&amp;РД[Состояние],0),1),Таблица10[[#This Row],[Статус]])</f>
        <v>43.21</v>
      </c>
      <c r="Z482" s="233">
        <f>IF(Таблица10[[#This Row],[№]]&amp;"ДДУ"=ППД5!A479&amp;ППД5!CR479,ППД5!U479,ППД5!V479)</f>
        <v>43.21</v>
      </c>
      <c r="AA482" s="285">
        <f>IFERROR(Таблица10[[#This Row],[S ПП]]-Таблица10[[#This Row],[S ДДУ]],)</f>
        <v>0</v>
      </c>
      <c r="AB482" s="235">
        <f>ROUND(_xlfn.XLOOKUP(Таблица10[[#This Row],[№]],Реестр_Д5[№],Реестр_Д5[Итоговая сумма скидки],"",0),2)</f>
        <v>88888</v>
      </c>
      <c r="AC482" s="235" cm="1">
        <f t="array" ref="AC482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482" s="285">
        <f>IFERROR(Таблица10[[#This Row],[ППС]]-Таблица10[[#This Row],[ДДУС]],)</f>
        <v>0</v>
      </c>
      <c r="AE482" s="611"/>
      <c r="AT482" s="611"/>
    </row>
    <row r="483" spans="1:46" x14ac:dyDescent="0.2">
      <c r="A483" s="611"/>
      <c r="B483" s="234">
        <f>VLOOKUP(ППД4!A480,Реестр_Д4[№],1,0)</f>
        <v>479</v>
      </c>
      <c r="C483" s="234" t="str">
        <f>VLOOKUP(ППД4!CO480,Реестр_Д4[Статус],1,0)</f>
        <v>Продажа</v>
      </c>
      <c r="D483" s="612">
        <f>VLOOKUP(ППД4!CE480,Реестр_Д4[Стоимость ОН без отделки со скидкой],1,0)</f>
        <v>4235284.95</v>
      </c>
      <c r="E483" s="612" cm="1">
        <f t="array" ref="E483">IFERROR(INDEX(РД[Стоимость без отделки итог],MATCH($B$3&amp;Таблица4[[#This Row],[№]]&amp;"Продажа",РД[Дом]&amp;РД[№ кв]&amp;РД[Состояние],0),1),Таблица4[[#This Row],[Статус]])</f>
        <v>4235284.95</v>
      </c>
      <c r="F483" s="235">
        <f>IFERROR((Таблица4[[#This Row],[ПП]]-Таблица4[[#This Row],[ДДУ]])*1,"")</f>
        <v>0</v>
      </c>
      <c r="G483" s="235" cm="1">
        <f t="array" ref="G483">IFERROR(INDEX(РД[Стоимость с отделкой итог],MATCH($B$3&amp;Таблица4[[#This Row],[№]]&amp;"Продажа",РД[Дом]&amp;РД[№ кв]&amp;РД[Состояние],0),1),Таблица4[[#This Row],[Статус]])</f>
        <v>5114584.95</v>
      </c>
      <c r="H483" s="235">
        <f>_xlfn.XLOOKUP(Таблица4[[#This Row],[№]],Реестр_Д4[№],Реестр_Д4[Стоимость квартиры с отделкой],"-",0)</f>
        <v>5114584.95</v>
      </c>
      <c r="I483" s="235">
        <f>IFERROR(Таблица4[[#This Row],[СО ПП]]-Таблица4[[#This Row],[СО ДДУ]],"")</f>
        <v>0</v>
      </c>
      <c r="J483" s="233" cm="1">
        <f t="array" ref="J483">IFERROR(INDEX(РД[S],MATCH($B$3&amp;Таблица4[[#This Row],[№]]&amp;"Продажа",РД[Дом]&amp;РД[№ кв]&amp;РД[Состояние],0),1),Таблица4[[#This Row],[Статус]])</f>
        <v>58.62</v>
      </c>
      <c r="K483" s="233">
        <f>VLOOKUP(Таблица4[[#This Row],[№]],Реестр_Д4[],20,0)</f>
        <v>58.62</v>
      </c>
      <c r="L483" s="235">
        <f>IFERROR(Таблица4[[#This Row],[S ПП]]-Таблица4[[#This Row],[S ДДУ]],)</f>
        <v>0</v>
      </c>
      <c r="M483" s="235">
        <f>ROUND(_xlfn.XLOOKUP(Таблица4[[#This Row],[№]],Реестр_Д4[№],Реестр_Д4[Итоговая сумма скидки],"",0),2)</f>
        <v>201312.89</v>
      </c>
      <c r="N483" s="235" cm="1">
        <f t="array" ref="N483">IFERROR(ROUND(_xlfn.XLOOKUP($B$3&amp;Таблица4[[#This Row],[№]]&amp;"Продажа",РД[Дом]&amp;РД[№ кв]&amp;РД[Состояние],РД[Сумма скидки],"",0),2),Таблица4[[#This Row],[Статус]])</f>
        <v>201312.89</v>
      </c>
      <c r="O483" s="235">
        <f>IFERROR(Таблица4[[#This Row],[ППС]]-Таблица4[[#This Row],[ДДУС]],)</f>
        <v>0</v>
      </c>
      <c r="P483" s="611"/>
      <c r="Q483" s="234">
        <f>VLOOKUP(ППД5!A480,Реестр_Д5[№],1,0)</f>
        <v>479</v>
      </c>
      <c r="R483" s="234" t="str">
        <f>VLOOKUP(ППД5!CH480,Реестр_Д5[Статус],1,0)</f>
        <v>Продажа</v>
      </c>
      <c r="S483" s="612">
        <f>VLOOKUP(ППД5!BZ480,Реестр_Д5[Стоимость ОН без отделки со скидкой],1,0)</f>
        <v>3319200</v>
      </c>
      <c r="T483" s="612" cm="1">
        <f t="array" ref="T483">IFERROR(INDEX(РД[Стоимость без отделки итог],MATCH($Q$3&amp;Таблица10[[#This Row],[№]]&amp;"Продажа",РД[Дом]&amp;РД[№ кв]&amp;РД[Состояние],0),1),Таблица10[[#This Row],[Статус]])</f>
        <v>3319200</v>
      </c>
      <c r="U483" s="235">
        <f>IFERROR((Таблица10[[#This Row],[ПП]]-Таблица10[[#This Row],[ДДУ]])*1,)</f>
        <v>0</v>
      </c>
      <c r="V483" s="235" cm="1">
        <f t="array" ref="V483">IFERROR(INDEX(РД[Стоимость с отделкой итог],MATCH($Q$3&amp;Таблица10[[#This Row],[№]]&amp;"Продажа",РД[Дом]&amp;РД[№ кв]&amp;РД[Состояние],0),1),Таблица10[[#This Row],[Статус]])</f>
        <v>3319200</v>
      </c>
      <c r="W483" s="235">
        <f>_xlfn.XLOOKUP(Таблица10[[#This Row],[№]],Реестр_Д5[№],Реестр_Д5[Стоимость квартиры с отделкой],"-",0)</f>
        <v>3319200</v>
      </c>
      <c r="X483" s="235">
        <f>IFERROR(Таблица10[[#This Row],[СО ПП]]-Таблица10[[#This Row],[СО ДДУ]],"")</f>
        <v>0</v>
      </c>
      <c r="Y483" s="233" cm="1">
        <f t="array" ref="Y483">IFERROR(INDEX(РД[S],MATCH($Q$3&amp;Таблица10[[#This Row],[№]]&amp;"Продажа",РД[Дом]&amp;РД[№ кв]&amp;РД[Состояние],0),1),Таблица10[[#This Row],[Статус]])</f>
        <v>24.5</v>
      </c>
      <c r="Z483" s="233">
        <f>IF(Таблица10[[#This Row],[№]]&amp;"ДДУ"=ППД5!A480&amp;ППД5!CR480,ППД5!U480,ППД5!V480)</f>
        <v>24.5</v>
      </c>
      <c r="AA483" s="285">
        <f>IFERROR(Таблица10[[#This Row],[S ПП]]-Таблица10[[#This Row],[S ДДУ]],)</f>
        <v>0</v>
      </c>
      <c r="AB483" s="235">
        <f>ROUND(_xlfn.XLOOKUP(Таблица10[[#This Row],[№]],Реестр_Д5[№],Реестр_Д5[Итоговая сумма скидки],"",0),2)</f>
        <v>196000</v>
      </c>
      <c r="AC483" s="235" cm="1">
        <f t="array" ref="AC483">IFERROR(ROUND(_xlfn.XLOOKUP($Q$3&amp;Таблица10[[#This Row],[№]]&amp;"Продажа",РД[Дом]&amp;РД[№ кв]&amp;РД[Состояние],РД[Сумма скидки],"",0,-1),2),Таблица10[[#This Row],[Статус]])</f>
        <v>196000</v>
      </c>
      <c r="AD483" s="285">
        <f>IFERROR(Таблица10[[#This Row],[ППС]]-Таблица10[[#This Row],[ДДУС]],)</f>
        <v>0</v>
      </c>
      <c r="AE483" s="611"/>
      <c r="AT483" s="611"/>
    </row>
    <row r="484" spans="1:46" x14ac:dyDescent="0.2">
      <c r="A484" s="611"/>
      <c r="B484" s="234">
        <f>VLOOKUP(ППД4!A481,Реестр_Д4[№],1,0)</f>
        <v>480</v>
      </c>
      <c r="C484" s="234" t="str">
        <f>VLOOKUP(ППД4!CO481,Реестр_Д4[Статус],1,0)</f>
        <v>Продажа</v>
      </c>
      <c r="D484" s="612">
        <f>VLOOKUP(ППД4!CE481,Реестр_Д4[Стоимость ОН без отделки со скидкой],1,0)</f>
        <v>5757553</v>
      </c>
      <c r="E484" s="612" cm="1">
        <f t="array" ref="E484">IFERROR(INDEX(РД[Стоимость без отделки итог],MATCH($B$3&amp;Таблица4[[#This Row],[№]]&amp;"Продажа",РД[Дом]&amp;РД[№ кв]&amp;РД[Состояние],0),1),Таблица4[[#This Row],[Статус]])</f>
        <v>5757553</v>
      </c>
      <c r="F484" s="235">
        <f>IFERROR((Таблица4[[#This Row],[ПП]]-Таблица4[[#This Row],[ДДУ]])*1,"")</f>
        <v>0</v>
      </c>
      <c r="G484" s="235" cm="1">
        <f t="array" ref="G484">IFERROR(INDEX(РД[Стоимость с отделкой итог],MATCH($B$3&amp;Таблица4[[#This Row],[№]]&amp;"Продажа",РД[Дом]&amp;РД[№ кв]&amp;РД[Состояние],0),1),Таблица4[[#This Row],[Статус]])</f>
        <v>6027513</v>
      </c>
      <c r="H484" s="235">
        <f>_xlfn.XLOOKUP(Таблица4[[#This Row],[№]],Реестр_Д4[№],Реестр_Д4[Стоимость квартиры с отделкой],"-",0)</f>
        <v>6027513</v>
      </c>
      <c r="I484" s="235">
        <f>IFERROR(Таблица4[[#This Row],[СО ПП]]-Таблица4[[#This Row],[СО ДДУ]],"")</f>
        <v>0</v>
      </c>
      <c r="J484" s="233" cm="1">
        <f t="array" ref="J484">IFERROR(INDEX(РД[S],MATCH($B$3&amp;Таблица4[[#This Row],[№]]&amp;"Продажа",РД[Дом]&amp;РД[№ кв]&amp;РД[Состояние],0),1),Таблица4[[#This Row],[Статус]])</f>
        <v>67.489999999999995</v>
      </c>
      <c r="K484" s="233">
        <f>VLOOKUP(Таблица4[[#This Row],[№]],Реестр_Д4[],20,0)</f>
        <v>67.489999999999995</v>
      </c>
      <c r="L484" s="235">
        <f>IFERROR(Таблица4[[#This Row],[S ПП]]-Таблица4[[#This Row],[S ДДУ]],)</f>
        <v>0</v>
      </c>
      <c r="M484" s="235">
        <f>ROUND(_xlfn.XLOOKUP(Таблица4[[#This Row],[№]],Реестр_Д4[№],Реестр_Д4[Итоговая сумма скидки],"",0),2)</f>
        <v>269960</v>
      </c>
      <c r="N484" s="235" cm="1">
        <f t="array" ref="N484">IFERROR(ROUND(_xlfn.XLOOKUP($B$3&amp;Таблица4[[#This Row],[№]]&amp;"Продажа",РД[Дом]&amp;РД[№ кв]&amp;РД[Состояние],РД[Сумма скидки],"",0),2),Таблица4[[#This Row],[Статус]])</f>
        <v>269960</v>
      </c>
      <c r="O484" s="235">
        <f>IFERROR(Таблица4[[#This Row],[ППС]]-Таблица4[[#This Row],[ДДУС]],)</f>
        <v>0</v>
      </c>
      <c r="P484" s="611"/>
      <c r="Q484" s="234">
        <f>VLOOKUP(ППД5!A481,Реестр_Д5[№],1,0)</f>
        <v>480</v>
      </c>
      <c r="R484" s="234" t="str">
        <f>VLOOKUP(ППД5!CH481,Реестр_Д5[Статус],1,0)</f>
        <v>Продажа</v>
      </c>
      <c r="S484" s="612">
        <f>VLOOKUP(ППД5!BZ481,Реестр_Д5[Стоимость ОН без отделки со скидкой],1,0)</f>
        <v>5775238</v>
      </c>
      <c r="T484" s="612" cm="1">
        <f t="array" ref="T484">IFERROR(INDEX(РД[Стоимость без отделки итог],MATCH($Q$3&amp;Таблица10[[#This Row],[№]]&amp;"Продажа",РД[Дом]&amp;РД[№ кв]&amp;РД[Состояние],0),1),Таблица10[[#This Row],[Статус]])</f>
        <v>5775238</v>
      </c>
      <c r="U484" s="235">
        <f>IFERROR((Таблица10[[#This Row],[ПП]]-Таблица10[[#This Row],[ДДУ]])*1,)</f>
        <v>0</v>
      </c>
      <c r="V484" s="235" cm="1">
        <f t="array" ref="V484">IFERROR(INDEX(РД[Стоимость с отделкой итог],MATCH($Q$3&amp;Таблица10[[#This Row],[№]]&amp;"Продажа",РД[Дом]&amp;РД[№ кв]&amp;РД[Состояние],0),1),Таблица10[[#This Row],[Статус]])</f>
        <v>5775238</v>
      </c>
      <c r="W484" s="235">
        <f>_xlfn.XLOOKUP(Таблица10[[#This Row],[№]],Реестр_Д5[№],Реестр_Д5[Стоимость квартиры с отделкой],"-",0)</f>
        <v>5775238</v>
      </c>
      <c r="X484" s="235">
        <f>IFERROR(Таблица10[[#This Row],[СО ПП]]-Таблица10[[#This Row],[СО ДДУ]],"")</f>
        <v>0</v>
      </c>
      <c r="Y484" s="233" cm="1">
        <f t="array" ref="Y484">IFERROR(INDEX(РД[S],MATCH($Q$3&amp;Таблица10[[#This Row],[№]]&amp;"Продажа",РД[Дом]&amp;РД[№ кв]&amp;РД[Состояние],0),1),Таблица10[[#This Row],[Статус]])</f>
        <v>58.24</v>
      </c>
      <c r="Z484" s="233">
        <f>IF(Таблица10[[#This Row],[№]]&amp;"ДДУ"=ППД5!A481&amp;ППД5!CR481,ППД5!U481,ППД5!V481)</f>
        <v>58.24</v>
      </c>
      <c r="AA484" s="285">
        <f>IFERROR(Таблица10[[#This Row],[S ПП]]-Таблица10[[#This Row],[S ДДУ]],)</f>
        <v>0</v>
      </c>
      <c r="AB484" s="235">
        <f>ROUND(_xlfn.XLOOKUP(Таблица10[[#This Row],[№]],Реестр_Д5[№],Реестр_Д5[Итоговая сумма скидки],"",0),2)</f>
        <v>117862</v>
      </c>
      <c r="AC484" s="235" cm="1">
        <f t="array" ref="AC484">IFERROR(ROUND(_xlfn.XLOOKUP($Q$3&amp;Таблица10[[#This Row],[№]]&amp;"Продажа",РД[Дом]&amp;РД[№ кв]&amp;РД[Состояние],РД[Сумма скидки],"",0,-1),2),Таблица10[[#This Row],[Статус]])</f>
        <v>117862</v>
      </c>
      <c r="AD484" s="285">
        <f>IFERROR(Таблица10[[#This Row],[ППС]]-Таблица10[[#This Row],[ДДУС]],)</f>
        <v>0</v>
      </c>
      <c r="AE484" s="611"/>
      <c r="AT484" s="611"/>
    </row>
    <row r="485" spans="1:46" x14ac:dyDescent="0.2">
      <c r="A485" s="611"/>
      <c r="B485" s="234">
        <f>VLOOKUP(ППД4!A482,Реестр_Д4[№],1,0)</f>
        <v>481</v>
      </c>
      <c r="C485" s="234" t="str">
        <f>VLOOKUP(ППД4!CO482,Реестр_Д4[Статус],1,0)</f>
        <v>Продажа</v>
      </c>
      <c r="D485" s="612">
        <f>VLOOKUP(ППД4!CE482,Реестр_Д4[Стоимость ОН без отделки со скидкой],1,0)</f>
        <v>5377896.7800000003</v>
      </c>
      <c r="E485" s="612" cm="1">
        <f t="array" ref="E485">IFERROR(INDEX(РД[Стоимость без отделки итог],MATCH($B$3&amp;Таблица4[[#This Row],[№]]&amp;"Продажа",РД[Дом]&amp;РД[№ кв]&amp;РД[Состояние],0),1),Таблица4[[#This Row],[Статус]])</f>
        <v>5377896.7800000003</v>
      </c>
      <c r="F485" s="235">
        <f>IFERROR((Таблица4[[#This Row],[ПП]]-Таблица4[[#This Row],[ДДУ]])*1,"")</f>
        <v>0</v>
      </c>
      <c r="G485" s="235" cm="1">
        <f t="array" ref="G485">IFERROR(INDEX(РД[Стоимость с отделкой итог],MATCH($B$3&amp;Таблица4[[#This Row],[№]]&amp;"Продажа",РД[Дом]&amp;РД[№ кв]&amp;РД[Состояние],0),1),Таблица4[[#This Row],[Статус]])</f>
        <v>5377896.7800000003</v>
      </c>
      <c r="H485" s="235">
        <f>_xlfn.XLOOKUP(Таблица4[[#This Row],[№]],Реестр_Д4[№],Реестр_Д4[Стоимость квартиры с отделкой],"-",0)</f>
        <v>5377896.7800000003</v>
      </c>
      <c r="I485" s="235">
        <f>IFERROR(Таблица4[[#This Row],[СО ПП]]-Таблица4[[#This Row],[СО ДДУ]],"")</f>
        <v>0</v>
      </c>
      <c r="J485" s="233" cm="1">
        <f t="array" ref="J485">IFERROR(INDEX(РД[S],MATCH($B$3&amp;Таблица4[[#This Row],[№]]&amp;"Продажа",РД[Дом]&amp;РД[№ кв]&amp;РД[Состояние],0),1),Таблица4[[#This Row],[Статус]])</f>
        <v>63.74</v>
      </c>
      <c r="K485" s="233">
        <f>VLOOKUP(Таблица4[[#This Row],[№]],Реестр_Д4[],20,0)</f>
        <v>63.74</v>
      </c>
      <c r="L485" s="235">
        <f>IFERROR(Таблица4[[#This Row],[S ПП]]-Таблица4[[#This Row],[S ДДУ]],)</f>
        <v>0</v>
      </c>
      <c r="M485" s="235">
        <f>ROUND(_xlfn.XLOOKUP(Таблица4[[#This Row],[№]],Реестр_Д4[№],Реестр_Д4[Итоговая сумма скидки],"",0),2)</f>
        <v>0</v>
      </c>
      <c r="N485" s="235" cm="1">
        <f t="array" ref="N48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5" s="235">
        <f>IFERROR(Таблица4[[#This Row],[ППС]]-Таблица4[[#This Row],[ДДУС]],)</f>
        <v>0</v>
      </c>
      <c r="P485" s="611"/>
      <c r="Q485" s="234">
        <f>VLOOKUP(ППД5!A482,Реестр_Д5[№],1,0)</f>
        <v>481</v>
      </c>
      <c r="R485" s="234" t="str">
        <f>VLOOKUP(ППД5!CH482,Реестр_Д5[Статус],1,0)</f>
        <v>Продажа</v>
      </c>
      <c r="S485" s="612">
        <f>VLOOKUP(ППД5!BZ482,Реестр_Д5[Стоимость ОН без отделки со скидкой],1,0)</f>
        <v>5513700</v>
      </c>
      <c r="T485" s="612" cm="1">
        <f t="array" ref="T485">IFERROR(INDEX(РД[Стоимость без отделки итог],MATCH($Q$3&amp;Таблица10[[#This Row],[№]]&amp;"Продажа",РД[Дом]&amp;РД[№ кв]&amp;РД[Состояние],0),1),Таблица10[[#This Row],[Статус]])</f>
        <v>5513700</v>
      </c>
      <c r="U485" s="235">
        <f>IFERROR((Таблица10[[#This Row],[ПП]]-Таблица10[[#This Row],[ДДУ]])*1,)</f>
        <v>0</v>
      </c>
      <c r="V485" s="235" cm="1">
        <f t="array" ref="V485">IFERROR(INDEX(РД[Стоимость с отделкой итог],MATCH($Q$3&amp;Таблица10[[#This Row],[№]]&amp;"Продажа",РД[Дом]&amp;РД[№ кв]&amp;РД[Состояние],0),1),Таблица10[[#This Row],[Статус]])</f>
        <v>6669700</v>
      </c>
      <c r="W485" s="235">
        <f>_xlfn.XLOOKUP(Таблица10[[#This Row],[№]],Реестр_Д5[№],Реестр_Д5[Стоимость квартиры с отделкой],"-",0)</f>
        <v>6669700</v>
      </c>
      <c r="X485" s="235">
        <f>IFERROR(Таблица10[[#This Row],[СО ПП]]-Таблица10[[#This Row],[СО ДДУ]],"")</f>
        <v>0</v>
      </c>
      <c r="Y485" s="233" cm="1">
        <f t="array" ref="Y485">IFERROR(INDEX(РД[S],MATCH($Q$3&amp;Таблица10[[#This Row],[№]]&amp;"Продажа",РД[Дом]&amp;РД[№ кв]&amp;РД[Состояние],0),1),Таблица10[[#This Row],[Статус]])</f>
        <v>57.8</v>
      </c>
      <c r="Z485" s="233">
        <f>IF(Таблица10[[#This Row],[№]]&amp;"ДДУ"=ППД5!A482&amp;ППД5!CR482,ППД5!U482,ППД5!V482)</f>
        <v>57.8</v>
      </c>
      <c r="AA485" s="285">
        <f>IFERROR(Таблица10[[#This Row],[S ПП]]-Таблица10[[#This Row],[S ДДУ]],)</f>
        <v>0</v>
      </c>
      <c r="AB485" s="235">
        <f>ROUND(_xlfn.XLOOKUP(Таблица10[[#This Row],[№]],Реестр_Д5[№],Реестр_Д5[Итоговая сумма скидки],"",0),2)</f>
        <v>0</v>
      </c>
      <c r="AC485" s="235" cm="1">
        <f t="array" ref="AC48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85" s="285">
        <f>IFERROR(Таблица10[[#This Row],[ППС]]-Таблица10[[#This Row],[ДДУС]],)</f>
        <v>0</v>
      </c>
      <c r="AE485" s="611"/>
      <c r="AT485" s="611"/>
    </row>
    <row r="486" spans="1:46" x14ac:dyDescent="0.2">
      <c r="A486" s="611"/>
      <c r="B486" s="234">
        <f>VLOOKUP(ППД4!A483,Реестр_Д4[№],1,0)</f>
        <v>482</v>
      </c>
      <c r="C486" s="234" t="str">
        <f>VLOOKUP(ППД4!CO483,Реестр_Д4[Статус],1,0)</f>
        <v>Продажа</v>
      </c>
      <c r="D486" s="612">
        <f>VLOOKUP(ППД4!CE483,Реестр_Д4[Стоимость ОН без отделки со скидкой],1,0)</f>
        <v>4270000</v>
      </c>
      <c r="E486" s="612" cm="1">
        <f t="array" ref="E486">IFERROR(INDEX(РД[Стоимость без отделки итог],MATCH($B$3&amp;Таблица4[[#This Row],[№]]&amp;"Продажа",РД[Дом]&amp;РД[№ кв]&amp;РД[Состояние],0),1),Таблица4[[#This Row],[Статус]])</f>
        <v>4270000</v>
      </c>
      <c r="F486" s="235">
        <f>IFERROR((Таблица4[[#This Row],[ПП]]-Таблица4[[#This Row],[ДДУ]])*1,"")</f>
        <v>0</v>
      </c>
      <c r="G486" s="235" cm="1">
        <f t="array" ref="G486">IFERROR(INDEX(РД[Стоимость с отделкой итог],MATCH($B$3&amp;Таблица4[[#This Row],[№]]&amp;"Продажа",РД[Дом]&amp;РД[№ кв]&amp;РД[Состояние],0),1),Таблица4[[#This Row],[Статус]])</f>
        <v>5246140</v>
      </c>
      <c r="H486" s="235">
        <f>_xlfn.XLOOKUP(Таблица4[[#This Row],[№]],Реестр_Д4[№],Реестр_Д4[Стоимость квартиры с отделкой],"-",0)</f>
        <v>5246140</v>
      </c>
      <c r="I486" s="235">
        <f>IFERROR(Таблица4[[#This Row],[СО ПП]]-Таблица4[[#This Row],[СО ДДУ]],"")</f>
        <v>0</v>
      </c>
      <c r="J486" s="233" cm="1">
        <f t="array" ref="J486">IFERROR(INDEX(РД[S],MATCH($B$3&amp;Таблица4[[#This Row],[№]]&amp;"Продажа",РД[Дом]&amp;РД[№ кв]&amp;РД[Состояние],0),1),Таблица4[[#This Row],[Статус]])</f>
        <v>44.37</v>
      </c>
      <c r="K486" s="233">
        <f>VLOOKUP(Таблица4[[#This Row],[№]],Реестр_Д4[],20,0)</f>
        <v>44.37</v>
      </c>
      <c r="L486" s="235">
        <f>IFERROR(Таблица4[[#This Row],[S ПП]]-Таблица4[[#This Row],[S ДДУ]],)</f>
        <v>0</v>
      </c>
      <c r="M486" s="235">
        <f>ROUND(_xlfn.XLOOKUP(Таблица4[[#This Row],[№]],Реестр_Д4[№],Реестр_Д4[Итоговая сумма скидки],"",0),2)</f>
        <v>20000</v>
      </c>
      <c r="N486" s="235" cm="1">
        <f t="array" ref="N486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486" s="235">
        <f>IFERROR(Таблица4[[#This Row],[ППС]]-Таблица4[[#This Row],[ДДУС]],)</f>
        <v>0</v>
      </c>
      <c r="P486" s="611"/>
      <c r="Q486" s="234">
        <f>VLOOKUP(ППД5!A483,Реестр_Д5[№],1,0)</f>
        <v>482</v>
      </c>
      <c r="R486" s="234" t="str">
        <f>VLOOKUP(ППД5!CH483,Реестр_Д5[Статус],1,0)</f>
        <v>Свободно</v>
      </c>
      <c r="S486" s="612">
        <f>VLOOKUP(ППД5!BZ483,Реестр_Д5[Стоимость ОН без отделки со скидкой],1,0)</f>
        <v>5238800</v>
      </c>
      <c r="T486" s="612" t="str" cm="1">
        <f t="array" ref="T48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86" s="235">
        <f>IFERROR((Таблица10[[#This Row],[ПП]]-Таблица10[[#This Row],[ДДУ]])*1,)</f>
        <v>0</v>
      </c>
      <c r="V486" s="235" t="str" cm="1">
        <f t="array" ref="V48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86" s="235">
        <f>_xlfn.XLOOKUP(Таблица10[[#This Row],[№]],Реестр_Д5[№],Реестр_Д5[Стоимость квартиры с отделкой],"-",0)</f>
        <v>5238800</v>
      </c>
      <c r="X486" s="235" t="str">
        <f>IFERROR(Таблица10[[#This Row],[СО ПП]]-Таблица10[[#This Row],[СО ДДУ]],"")</f>
        <v/>
      </c>
      <c r="Y486" s="233" t="str" cm="1">
        <f t="array" ref="Y486">IFERROR(INDEX(РД[S],MATCH($Q$3&amp;Таблица10[[#This Row],[№]]&amp;"Продажа",РД[Дом]&amp;РД[№ кв]&amp;РД[Состояние],0),1),Таблица10[[#This Row],[Статус]])</f>
        <v>Свободно</v>
      </c>
      <c r="Z486" s="233">
        <f>IF(Таблица10[[#This Row],[№]]&amp;"ДДУ"=ППД5!A483&amp;ППД5!CR483,ППД5!U483,ППД5!V483)</f>
        <v>37.9</v>
      </c>
      <c r="AA486" s="285">
        <f>IFERROR(Таблица10[[#This Row],[S ПП]]-Таблица10[[#This Row],[S ДДУ]],)</f>
        <v>0</v>
      </c>
      <c r="AB486" s="235">
        <f>ROUND(_xlfn.XLOOKUP(Таблица10[[#This Row],[№]],Реестр_Д5[№],Реестр_Д5[Итоговая сумма скидки],"",0),2)</f>
        <v>0</v>
      </c>
      <c r="AC486" s="235" t="str" cm="1">
        <f t="array" ref="AC48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86" s="285">
        <f>IFERROR(Таблица10[[#This Row],[ППС]]-Таблица10[[#This Row],[ДДУС]],)</f>
        <v>0</v>
      </c>
      <c r="AE486" s="611"/>
      <c r="AT486" s="611"/>
    </row>
    <row r="487" spans="1:46" x14ac:dyDescent="0.2">
      <c r="A487" s="611"/>
      <c r="B487" s="234">
        <f>VLOOKUP(ППД4!A484,Реестр_Д4[№],1,0)</f>
        <v>483</v>
      </c>
      <c r="C487" s="234" t="str">
        <f>VLOOKUP(ППД4!CO484,Реестр_Д4[Статус],1,0)</f>
        <v>Продажа</v>
      </c>
      <c r="D487" s="612">
        <f>VLOOKUP(ППД4!CE484,Реестр_Д4[Стоимость ОН без отделки со скидкой],1,0)</f>
        <v>3734020.87</v>
      </c>
      <c r="E487" s="612" cm="1">
        <f t="array" ref="E487">IFERROR(INDEX(РД[Стоимость без отделки итог],MATCH($B$3&amp;Таблица4[[#This Row],[№]]&amp;"Продажа",РД[Дом]&amp;РД[№ кв]&amp;РД[Состояние],0),1),Таблица4[[#This Row],[Статус]])</f>
        <v>3734020.87</v>
      </c>
      <c r="F487" s="235">
        <f>IFERROR((Таблица4[[#This Row],[ПП]]-Таблица4[[#This Row],[ДДУ]])*1,"")</f>
        <v>0</v>
      </c>
      <c r="G487" s="235" cm="1">
        <f t="array" ref="G487">IFERROR(INDEX(РД[Стоимость с отделкой итог],MATCH($B$3&amp;Таблица4[[#This Row],[№]]&amp;"Продажа",РД[Дом]&amp;РД[№ кв]&amp;РД[Состояние],0),1),Таблица4[[#This Row],[Статус]])</f>
        <v>4349990.87</v>
      </c>
      <c r="H487" s="235">
        <f>_xlfn.XLOOKUP(Таблица4[[#This Row],[№]],Реестр_Д4[№],Реестр_Д4[Стоимость квартиры с отделкой],"-",0)</f>
        <v>4349990.87</v>
      </c>
      <c r="I487" s="235">
        <f>IFERROR(Таблица4[[#This Row],[СО ПП]]-Таблица4[[#This Row],[СО ДДУ]],"")</f>
        <v>0</v>
      </c>
      <c r="J487" s="233" cm="1">
        <f t="array" ref="J487">IFERROR(INDEX(РД[S],MATCH($B$3&amp;Таблица4[[#This Row],[№]]&amp;"Продажа",РД[Дом]&amp;РД[№ кв]&amp;РД[Состояние],0),1),Таблица4[[#This Row],[Статус]])</f>
        <v>39.74</v>
      </c>
      <c r="K487" s="233">
        <f>VLOOKUP(Таблица4[[#This Row],[№]],Реестр_Д4[],20,0)</f>
        <v>39.74</v>
      </c>
      <c r="L487" s="235">
        <f>IFERROR(Таблица4[[#This Row],[S ПП]]-Таблица4[[#This Row],[S ДДУ]],)</f>
        <v>0</v>
      </c>
      <c r="M487" s="235">
        <f>ROUND(_xlfn.XLOOKUP(Таблица4[[#This Row],[№]],Реестр_Д4[№],Реестр_Д4[Итоговая сумма скидки],"",0),2)</f>
        <v>0</v>
      </c>
      <c r="N487" s="235" cm="1">
        <f t="array" ref="N48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7" s="235">
        <f>IFERROR(Таблица4[[#This Row],[ППС]]-Таблица4[[#This Row],[ДДУС]],)</f>
        <v>0</v>
      </c>
      <c r="P487" s="611"/>
      <c r="Q487" s="234">
        <f>VLOOKUP(ППД5!A484,Реестр_Д5[№],1,0)</f>
        <v>483</v>
      </c>
      <c r="R487" s="234" t="str">
        <f>VLOOKUP(ППД5!CH484,Реестр_Д5[Статус],1,0)</f>
        <v>Продажа</v>
      </c>
      <c r="S487" s="612">
        <f>VLOOKUP(ППД5!BZ484,Реестр_Д5[Стоимость ОН без отделки со скидкой],1,0)</f>
        <v>7285200</v>
      </c>
      <c r="T487" s="612" cm="1">
        <f t="array" ref="T487">IFERROR(INDEX(РД[Стоимость без отделки итог],MATCH($Q$3&amp;Таблица10[[#This Row],[№]]&amp;"Продажа",РД[Дом]&amp;РД[№ кв]&amp;РД[Состояние],0),1),Таблица10[[#This Row],[Статус]])</f>
        <v>7285200</v>
      </c>
      <c r="U487" s="235">
        <f>IFERROR((Таблица10[[#This Row],[ПП]]-Таблица10[[#This Row],[ДДУ]])*1,)</f>
        <v>0</v>
      </c>
      <c r="V487" s="235" cm="1">
        <f t="array" ref="V487">IFERROR(INDEX(РД[Стоимость с отделкой итог],MATCH($Q$3&amp;Таблица10[[#This Row],[№]]&amp;"Продажа",РД[Дом]&amp;РД[№ кв]&amp;РД[Состояние],0),1),Таблица10[[#This Row],[Статус]])</f>
        <v>7285200</v>
      </c>
      <c r="W487" s="235">
        <f>_xlfn.XLOOKUP(Таблица10[[#This Row],[№]],Реестр_Д5[№],Реестр_Д5[Стоимость квартиры с отделкой],"-",0)</f>
        <v>7285200</v>
      </c>
      <c r="X487" s="235">
        <f>IFERROR(Таблица10[[#This Row],[СО ПП]]-Таблица10[[#This Row],[СО ДДУ]],"")</f>
        <v>0</v>
      </c>
      <c r="Y487" s="233" cm="1">
        <f t="array" ref="Y487">IFERROR(INDEX(РД[S],MATCH($Q$3&amp;Таблица10[[#This Row],[№]]&amp;"Продажа",РД[Дом]&amp;РД[№ кв]&amp;РД[Состояние],0),1),Таблица10[[#This Row],[Статус]])</f>
        <v>79.44</v>
      </c>
      <c r="Z487" s="233">
        <f>IF(Таблица10[[#This Row],[№]]&amp;"ДДУ"=ППД5!A484&amp;ППД5!CR484,ППД5!U484,ППД5!V484)</f>
        <v>79.44</v>
      </c>
      <c r="AA487" s="285">
        <f>IFERROR(Таблица10[[#This Row],[S ПП]]-Таблица10[[#This Row],[S ДДУ]],)</f>
        <v>0</v>
      </c>
      <c r="AB487" s="235">
        <f>ROUND(_xlfn.XLOOKUP(Таблица10[[#This Row],[№]],Реестр_Д5[№],Реестр_Д5[Итоговая сумма скидки],"",0),2)</f>
        <v>90000</v>
      </c>
      <c r="AC487" s="235" cm="1">
        <f t="array" ref="AC487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87" s="285">
        <f>IFERROR(Таблица10[[#This Row],[ППС]]-Таблица10[[#This Row],[ДДУС]],)</f>
        <v>0</v>
      </c>
      <c r="AE487" s="611"/>
      <c r="AT487" s="611"/>
    </row>
    <row r="488" spans="1:46" x14ac:dyDescent="0.2">
      <c r="A488" s="611"/>
      <c r="B488" s="234">
        <f>VLOOKUP(ППД4!A485,Реестр_Д4[№],1,0)</f>
        <v>484</v>
      </c>
      <c r="C488" s="234" t="str">
        <f>VLOOKUP(ППД4!CO485,Реестр_Д4[Статус],1,0)</f>
        <v>Продажа</v>
      </c>
      <c r="D488" s="612">
        <f>VLOOKUP(ППД4!CE485,Реестр_Д4[Стоимость ОН без отделки со скидкой],1,0)</f>
        <v>3009595.68</v>
      </c>
      <c r="E488" s="612" cm="1">
        <f t="array" ref="E488">IFERROR(INDEX(РД[Стоимость без отделки итог],MATCH($B$3&amp;Таблица4[[#This Row],[№]]&amp;"Продажа",РД[Дом]&amp;РД[№ кв]&amp;РД[Состояние],0),1),Таблица4[[#This Row],[Статус]])</f>
        <v>3009595.68</v>
      </c>
      <c r="F488" s="235">
        <f>IFERROR((Таблица4[[#This Row],[ПП]]-Таблица4[[#This Row],[ДДУ]])*1,"")</f>
        <v>0</v>
      </c>
      <c r="G488" s="235" cm="1">
        <f t="array" ref="G488">IFERROR(INDEX(РД[Стоимость с отделкой итог],MATCH($B$3&amp;Таблица4[[#This Row],[№]]&amp;"Продажа",РД[Дом]&amp;РД[№ кв]&amp;РД[Состояние],0),1),Таблица4[[#This Row],[Статус]])</f>
        <v>3299095.68</v>
      </c>
      <c r="H488" s="235">
        <f>_xlfn.XLOOKUP(Таблица4[[#This Row],[№]],Реестр_Д4[№],Реестр_Д4[Стоимость квартиры с отделкой],"-",0)</f>
        <v>3299095.68</v>
      </c>
      <c r="I488" s="235">
        <f>IFERROR(Таблица4[[#This Row],[СО ПП]]-Таблица4[[#This Row],[СО ДДУ]],"")</f>
        <v>0</v>
      </c>
      <c r="J488" s="233" cm="1">
        <f t="array" ref="J488">IFERROR(INDEX(РД[S],MATCH($B$3&amp;Таблица4[[#This Row],[№]]&amp;"Продажа",РД[Дом]&amp;РД[№ кв]&amp;РД[Состояние],0),1),Таблица4[[#This Row],[Статус]])</f>
        <v>38.6</v>
      </c>
      <c r="K488" s="233">
        <f>VLOOKUP(Таблица4[[#This Row],[№]],Реестр_Д4[],20,0)</f>
        <v>38.6</v>
      </c>
      <c r="L488" s="235">
        <f>IFERROR(Таблица4[[#This Row],[S ПП]]-Таблица4[[#This Row],[S ДДУ]],)</f>
        <v>0</v>
      </c>
      <c r="M488" s="235">
        <f>ROUND(_xlfn.XLOOKUP(Таблица4[[#This Row],[№]],Реестр_Д4[№],Реестр_Д4[Итоговая сумма скидки],"",0),2)</f>
        <v>0</v>
      </c>
      <c r="N488" s="235" cm="1">
        <f t="array" ref="N48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88" s="235">
        <f>IFERROR(Таблица4[[#This Row],[ППС]]-Таблица4[[#This Row],[ДДУС]],)</f>
        <v>0</v>
      </c>
      <c r="P488" s="611"/>
      <c r="Q488" s="234">
        <f>VLOOKUP(ППД5!A485,Реестр_Д5[№],1,0)</f>
        <v>484</v>
      </c>
      <c r="R488" s="234" t="str">
        <f>VLOOKUP(ППД5!CH485,Реестр_Д5[Статус],1,0)</f>
        <v>Продажа</v>
      </c>
      <c r="S488" s="612">
        <f>VLOOKUP(ППД5!BZ485,Реестр_Д5[Стоимость ОН без отделки со скидкой],1,0)</f>
        <v>3874907.31</v>
      </c>
      <c r="T488" s="612" cm="1">
        <f t="array" ref="T488">IFERROR(INDEX(РД[Стоимость без отделки итог],MATCH($Q$3&amp;Таблица10[[#This Row],[№]]&amp;"Продажа",РД[Дом]&amp;РД[№ кв]&amp;РД[Состояние],0),1),Таблица10[[#This Row],[Статус]])</f>
        <v>3874907.31</v>
      </c>
      <c r="U488" s="235">
        <f>IFERROR((Таблица10[[#This Row],[ПП]]-Таблица10[[#This Row],[ДДУ]])*1,)</f>
        <v>0</v>
      </c>
      <c r="V488" s="235" cm="1">
        <f t="array" ref="V488">IFERROR(INDEX(РД[Стоимость с отделкой итог],MATCH($Q$3&amp;Таблица10[[#This Row],[№]]&amp;"Продажа",РД[Дом]&amp;РД[№ кв]&amp;РД[Состояние],0),1),Таблица10[[#This Row],[Статус]])</f>
        <v>3874907.31</v>
      </c>
      <c r="W488" s="235">
        <f>_xlfn.XLOOKUP(Таблица10[[#This Row],[№]],Реестр_Д5[№],Реестр_Д5[Стоимость квартиры с отделкой],"-",0)</f>
        <v>3874907.31</v>
      </c>
      <c r="X488" s="235">
        <f>IFERROR(Таблица10[[#This Row],[СО ПП]]-Таблица10[[#This Row],[СО ДДУ]],"")</f>
        <v>0</v>
      </c>
      <c r="Y488" s="233" cm="1">
        <f t="array" ref="Y488">IFERROR(INDEX(РД[S],MATCH($Q$3&amp;Таблица10[[#This Row],[№]]&amp;"Продажа",РД[Дом]&amp;РД[№ кв]&amp;РД[Состояние],0),1),Таблица10[[#This Row],[Статус]])</f>
        <v>39.69</v>
      </c>
      <c r="Z488" s="233">
        <f>IF(Таблица10[[#This Row],[№]]&amp;"ДДУ"=ППД5!A485&amp;ППД5!CR485,ППД5!U485,ППД5!V485)</f>
        <v>39.69</v>
      </c>
      <c r="AA488" s="285">
        <f>IFERROR(Таблица10[[#This Row],[S ПП]]-Таблица10[[#This Row],[S ДДУ]],)</f>
        <v>0</v>
      </c>
      <c r="AB488" s="235">
        <f>ROUND(_xlfn.XLOOKUP(Таблица10[[#This Row],[№]],Реестр_Д5[№],Реестр_Д5[Итоговая сумма скидки],"",0),2)</f>
        <v>0</v>
      </c>
      <c r="AC488" s="235" cm="1">
        <f t="array" ref="AC48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88" s="285">
        <f>IFERROR(Таблица10[[#This Row],[ППС]]-Таблица10[[#This Row],[ДДУС]],)</f>
        <v>0</v>
      </c>
      <c r="AE488" s="611"/>
      <c r="AT488" s="611"/>
    </row>
    <row r="489" spans="1:46" x14ac:dyDescent="0.2">
      <c r="A489" s="611"/>
      <c r="B489" s="234">
        <f>VLOOKUP(ППД4!A486,Реестр_Д4[№],1,0)</f>
        <v>485</v>
      </c>
      <c r="C489" s="234" t="str">
        <f>VLOOKUP(ППД4!CO486,Реестр_Д4[Статус],1,0)</f>
        <v>Продажа</v>
      </c>
      <c r="D489" s="612">
        <f>VLOOKUP(ППД4!CE486,Реестр_Д4[Стоимость ОН без отделки со скидкой],1,0)</f>
        <v>4973109.92</v>
      </c>
      <c r="E489" s="612" cm="1">
        <f t="array" ref="E489">IFERROR(INDEX(РД[Стоимость без отделки итог],MATCH($B$3&amp;Таблица4[[#This Row],[№]]&amp;"Продажа",РД[Дом]&amp;РД[№ кв]&amp;РД[Состояние],0),1),Таблица4[[#This Row],[Статус]])</f>
        <v>4973109.92</v>
      </c>
      <c r="F489" s="235">
        <f>IFERROR((Таблица4[[#This Row],[ПП]]-Таблица4[[#This Row],[ДДУ]])*1,"")</f>
        <v>0</v>
      </c>
      <c r="G489" s="235" cm="1">
        <f t="array" ref="G489">IFERROR(INDEX(РД[Стоимость с отделкой итог],MATCH($B$3&amp;Таблица4[[#This Row],[№]]&amp;"Продажа",РД[Дом]&amp;РД[№ кв]&amp;РД[Состояние],0),1),Таблица4[[#This Row],[Статус]])</f>
        <v>5270229.92</v>
      </c>
      <c r="H489" s="235">
        <f>_xlfn.XLOOKUP(Таблица4[[#This Row],[№]],Реестр_Д4[№],Реестр_Д4[Стоимость квартиры с отделкой],"-",0)</f>
        <v>5270229.92</v>
      </c>
      <c r="I489" s="235">
        <f>IFERROR(Таблица4[[#This Row],[СО ПП]]-Таблица4[[#This Row],[СО ДДУ]],"")</f>
        <v>0</v>
      </c>
      <c r="J489" s="233" cm="1">
        <f t="array" ref="J489">IFERROR(INDEX(РД[S],MATCH($B$3&amp;Таблица4[[#This Row],[№]]&amp;"Продажа",РД[Дом]&amp;РД[№ кв]&amp;РД[Состояние],0),1),Таблица4[[#This Row],[Статус]])</f>
        <v>74.28</v>
      </c>
      <c r="K489" s="233">
        <f>VLOOKUP(Таблица4[[#This Row],[№]],Реестр_Д4[],20,0)</f>
        <v>74.28</v>
      </c>
      <c r="L489" s="235">
        <f>IFERROR(Таблица4[[#This Row],[S ПП]]-Таблица4[[#This Row],[S ДДУ]],)</f>
        <v>0</v>
      </c>
      <c r="M489" s="235">
        <f>ROUND(_xlfn.XLOOKUP(Таблица4[[#This Row],[№]],Реестр_Д4[№],Реестр_Д4[Итоговая сумма скидки],"",0),2)</f>
        <v>261742.63</v>
      </c>
      <c r="N489" s="235" cm="1">
        <f t="array" ref="N489">IFERROR(ROUND(_xlfn.XLOOKUP($B$3&amp;Таблица4[[#This Row],[№]]&amp;"Продажа",РД[Дом]&amp;РД[№ кв]&amp;РД[Состояние],РД[Сумма скидки],"",0),2),Таблица4[[#This Row],[Статус]])</f>
        <v>261742.63</v>
      </c>
      <c r="O489" s="235">
        <f>IFERROR(Таблица4[[#This Row],[ППС]]-Таблица4[[#This Row],[ДДУС]],)</f>
        <v>0</v>
      </c>
      <c r="P489" s="611"/>
      <c r="Q489" s="234">
        <f>VLOOKUP(ППД5!A486,Реестр_Д5[№],1,0)</f>
        <v>485</v>
      </c>
      <c r="R489" s="234" t="str">
        <f>VLOOKUP(ППД5!CH486,Реестр_Д5[Статус],1,0)</f>
        <v>Продажа</v>
      </c>
      <c r="S489" s="612">
        <f>VLOOKUP(ППД5!BZ486,Реестр_Д5[Стоимость ОН без отделки со скидкой],1,0)</f>
        <v>2626993.7799999998</v>
      </c>
      <c r="T489" s="612" cm="1">
        <f t="array" ref="T489">IFERROR(INDEX(РД[Стоимость без отделки итог],MATCH($Q$3&amp;Таблица10[[#This Row],[№]]&amp;"Продажа",РД[Дом]&amp;РД[№ кв]&amp;РД[Состояние],0),1),Таблица10[[#This Row],[Статус]])</f>
        <v>2626993.7799999998</v>
      </c>
      <c r="U489" s="235">
        <f>IFERROR((Таблица10[[#This Row],[ПП]]-Таблица10[[#This Row],[ДДУ]])*1,)</f>
        <v>0</v>
      </c>
      <c r="V489" s="235" cm="1">
        <f t="array" ref="V489">IFERROR(INDEX(РД[Стоимость с отделкой итог],MATCH($Q$3&amp;Таблица10[[#This Row],[№]]&amp;"Продажа",РД[Дом]&amp;РД[№ кв]&amp;РД[Состояние],0),1),Таблица10[[#This Row],[Статус]])</f>
        <v>2626993.7799999998</v>
      </c>
      <c r="W489" s="235">
        <f>_xlfn.XLOOKUP(Таблица10[[#This Row],[№]],Реестр_Д5[№],Реестр_Д5[Стоимость квартиры с отделкой],"-",0)</f>
        <v>2626993.7799999998</v>
      </c>
      <c r="X489" s="235">
        <f>IFERROR(Таблица10[[#This Row],[СО ПП]]-Таблица10[[#This Row],[СО ДДУ]],"")</f>
        <v>0</v>
      </c>
      <c r="Y489" s="233" cm="1">
        <f t="array" ref="Y489">IFERROR(INDEX(РД[S],MATCH($Q$3&amp;Таблица10[[#This Row],[№]]&amp;"Продажа",РД[Дом]&amp;РД[№ кв]&amp;РД[Состояние],0),1),Таблица10[[#This Row],[Статус]])</f>
        <v>29.4</v>
      </c>
      <c r="Z489" s="233">
        <f>IF(Таблица10[[#This Row],[№]]&amp;"ДДУ"=ППД5!A486&amp;ППД5!CR486,ППД5!U486,ППД5!V486)</f>
        <v>29.4</v>
      </c>
      <c r="AA489" s="285">
        <f>IFERROR(Таблица10[[#This Row],[S ПП]]-Таблица10[[#This Row],[S ДДУ]],)</f>
        <v>0</v>
      </c>
      <c r="AB489" s="235">
        <f>ROUND(_xlfn.XLOOKUP(Таблица10[[#This Row],[№]],Реестр_Д5[№],Реестр_Д5[Итоговая сумма скидки],"",0),2)</f>
        <v>0</v>
      </c>
      <c r="AC489" s="235" cm="1">
        <f t="array" ref="AC48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89" s="285">
        <f>IFERROR(Таблица10[[#This Row],[ППС]]-Таблица10[[#This Row],[ДДУС]],)</f>
        <v>0</v>
      </c>
      <c r="AE489" s="611"/>
      <c r="AT489" s="611"/>
    </row>
    <row r="490" spans="1:46" x14ac:dyDescent="0.2">
      <c r="A490" s="611"/>
      <c r="B490" s="234">
        <f>VLOOKUP(ППД4!A487,Реестр_Д4[№],1,0)</f>
        <v>486</v>
      </c>
      <c r="C490" s="234" t="str">
        <f>VLOOKUP(ППД4!CO487,Реестр_Д4[Статус],1,0)</f>
        <v>Продажа</v>
      </c>
      <c r="D490" s="612">
        <f>VLOOKUP(ППД4!CE487,Реестр_Д4[Стоимость ОН без отделки со скидкой],1,0)</f>
        <v>2981050.67</v>
      </c>
      <c r="E490" s="612" cm="1">
        <f t="array" ref="E490">IFERROR(INDEX(РД[Стоимость без отделки итог],MATCH($B$3&amp;Таблица4[[#This Row],[№]]&amp;"Продажа",РД[Дом]&amp;РД[№ кв]&amp;РД[Состояние],0),1),Таблица4[[#This Row],[Статус]])</f>
        <v>2981050.67</v>
      </c>
      <c r="F490" s="235">
        <f>IFERROR((Таблица4[[#This Row],[ПП]]-Таблица4[[#This Row],[ДДУ]])*1,"")</f>
        <v>0</v>
      </c>
      <c r="G490" s="235" cm="1">
        <f t="array" ref="G490">IFERROR(INDEX(РД[Стоимость с отделкой итог],MATCH($B$3&amp;Таблица4[[#This Row],[№]]&amp;"Продажа",РД[Дом]&amp;РД[№ кв]&amp;РД[Состояние],0),1),Таблица4[[#This Row],[Статус]])</f>
        <v>3127050.67</v>
      </c>
      <c r="H490" s="235">
        <f>_xlfn.XLOOKUP(Таблица4[[#This Row],[№]],Реестр_Д4[№],Реестр_Д4[Стоимость квартиры с отделкой],"-",0)</f>
        <v>3127050.67</v>
      </c>
      <c r="I490" s="235">
        <f>IFERROR(Таблица4[[#This Row],[СО ПП]]-Таблица4[[#This Row],[СО ДДУ]],"")</f>
        <v>0</v>
      </c>
      <c r="J490" s="233" cm="1">
        <f t="array" ref="J490">IFERROR(INDEX(РД[S],MATCH($B$3&amp;Таблица4[[#This Row],[№]]&amp;"Продажа",РД[Дом]&amp;РД[№ кв]&amp;РД[Состояние],0),1),Таблица4[[#This Row],[Статус]])</f>
        <v>36.5</v>
      </c>
      <c r="K490" s="233">
        <f>VLOOKUP(Таблица4[[#This Row],[№]],Реестр_Д4[],20,0)</f>
        <v>36.5</v>
      </c>
      <c r="L490" s="235">
        <f>IFERROR(Таблица4[[#This Row],[S ПП]]-Таблица4[[#This Row],[S ДДУ]],)</f>
        <v>0</v>
      </c>
      <c r="M490" s="235">
        <f>ROUND(_xlfn.XLOOKUP(Таблица4[[#This Row],[№]],Реестр_Д4[№],Реестр_Д4[Итоговая сумма скидки],"",0),2)</f>
        <v>156897.4</v>
      </c>
      <c r="N490" s="235" cm="1">
        <f t="array" ref="N490">IFERROR(ROUND(_xlfn.XLOOKUP($B$3&amp;Таблица4[[#This Row],[№]]&amp;"Продажа",РД[Дом]&amp;РД[№ кв]&amp;РД[Состояние],РД[Сумма скидки],"",0),2),Таблица4[[#This Row],[Статус]])</f>
        <v>156897.4</v>
      </c>
      <c r="O490" s="235">
        <f>IFERROR(Таблица4[[#This Row],[ППС]]-Таблица4[[#This Row],[ДДУС]],)</f>
        <v>0</v>
      </c>
      <c r="P490" s="611"/>
      <c r="Q490" s="234">
        <f>VLOOKUP(ППД5!A487,Реестр_Д5[№],1,0)</f>
        <v>486</v>
      </c>
      <c r="R490" s="234" t="str">
        <f>VLOOKUP(ППД5!CH487,Реестр_Д5[Статус],1,0)</f>
        <v>Продажа</v>
      </c>
      <c r="S490" s="612">
        <f>VLOOKUP(ППД5!BZ487,Реестр_Д5[Стоимость ОН без отделки со скидкой],1,0)</f>
        <v>4795400</v>
      </c>
      <c r="T490" s="612" cm="1">
        <f t="array" ref="T490">IFERROR(INDEX(РД[Стоимость без отделки итог],MATCH($Q$3&amp;Таблица10[[#This Row],[№]]&amp;"Продажа",РД[Дом]&amp;РД[№ кв]&amp;РД[Состояние],0),1),Таблица10[[#This Row],[Статус]])</f>
        <v>4795400</v>
      </c>
      <c r="U490" s="235">
        <f>IFERROR((Таблица10[[#This Row],[ПП]]-Таблица10[[#This Row],[ДДУ]])*1,)</f>
        <v>0</v>
      </c>
      <c r="V490" s="235" cm="1">
        <f t="array" ref="V490">IFERROR(INDEX(РД[Стоимость с отделкой итог],MATCH($Q$3&amp;Таблица10[[#This Row],[№]]&amp;"Продажа",РД[Дом]&amp;РД[№ кв]&amp;РД[Состояние],0),1),Таблица10[[#This Row],[Статус]])</f>
        <v>5141080</v>
      </c>
      <c r="W490" s="235">
        <f>_xlfn.XLOOKUP(Таблица10[[#This Row],[№]],Реестр_Д5[№],Реестр_Д5[Стоимость квартиры с отделкой],"-",0)</f>
        <v>5141080</v>
      </c>
      <c r="X490" s="235">
        <f>IFERROR(Таблица10[[#This Row],[СО ПП]]-Таблица10[[#This Row],[СО ДДУ]],"")</f>
        <v>0</v>
      </c>
      <c r="Y490" s="233" cm="1">
        <f t="array" ref="Y490">IFERROR(INDEX(РД[S],MATCH($Q$3&amp;Таблица10[[#This Row],[№]]&amp;"Продажа",РД[Дом]&amp;РД[№ кв]&amp;РД[Состояние],0),1),Таблица10[[#This Row],[Статус]])</f>
        <v>43.21</v>
      </c>
      <c r="Z490" s="233">
        <f>IF(Таблица10[[#This Row],[№]]&amp;"ДДУ"=ППД5!A487&amp;ППД5!CR487,ППД5!U487,ППД5!V487)</f>
        <v>43.21</v>
      </c>
      <c r="AA490" s="285">
        <f>IFERROR(Таблица10[[#This Row],[S ПП]]-Таблица10[[#This Row],[S ДДУ]],)</f>
        <v>0</v>
      </c>
      <c r="AB490" s="235">
        <f>ROUND(_xlfn.XLOOKUP(Таблица10[[#This Row],[№]],Реестр_Д5[№],Реестр_Д5[Итоговая сумма скидки],"",0),2)</f>
        <v>0</v>
      </c>
      <c r="AC490" s="235" cm="1">
        <f t="array" ref="AC49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90" s="285">
        <f>IFERROR(Таблица10[[#This Row],[ППС]]-Таблица10[[#This Row],[ДДУС]],)</f>
        <v>0</v>
      </c>
      <c r="AE490" s="611"/>
      <c r="AT490" s="611"/>
    </row>
    <row r="491" spans="1:46" x14ac:dyDescent="0.2">
      <c r="A491" s="611"/>
      <c r="B491" s="234">
        <f>VLOOKUP(ППД4!A488,Реестр_Д4[№],1,0)</f>
        <v>487</v>
      </c>
      <c r="C491" s="234" t="str">
        <f>VLOOKUP(ППД4!CO488,Реестр_Д4[Статус],1,0)</f>
        <v>Продажа</v>
      </c>
      <c r="D491" s="612">
        <f>VLOOKUP(ППД4!CE488,Реестр_Д4[Стоимость ОН без отделки со скидкой],1,0)</f>
        <v>4868239.63</v>
      </c>
      <c r="E491" s="612" cm="1">
        <f t="array" ref="E491">IFERROR(INDEX(РД[Стоимость без отделки итог],MATCH($B$3&amp;Таблица4[[#This Row],[№]]&amp;"Продажа",РД[Дом]&amp;РД[№ кв]&amp;РД[Состояние],0),1),Таблица4[[#This Row],[Статус]])</f>
        <v>4868239.63</v>
      </c>
      <c r="F491" s="235">
        <f>IFERROR((Таблица4[[#This Row],[ПП]]-Таблица4[[#This Row],[ДДУ]])*1,"")</f>
        <v>0</v>
      </c>
      <c r="G491" s="235" cm="1">
        <f t="array" ref="G491">IFERROR(INDEX(РД[Стоимость с отделкой итог],MATCH($B$3&amp;Таблица4[[#This Row],[№]]&amp;"Продажа",РД[Дом]&amp;РД[№ кв]&amp;РД[Состояние],0),1),Таблица4[[#This Row],[Статус]])</f>
        <v>4868239.63</v>
      </c>
      <c r="H491" s="235">
        <f>_xlfn.XLOOKUP(Таблица4[[#This Row],[№]],Реестр_Д4[№],Реестр_Д4[Стоимость квартиры с отделкой],"-",0)</f>
        <v>4868239.63</v>
      </c>
      <c r="I491" s="235">
        <f>IFERROR(Таблица4[[#This Row],[СО ПП]]-Таблица4[[#This Row],[СО ДДУ]],"")</f>
        <v>0</v>
      </c>
      <c r="J491" s="233" cm="1">
        <f t="array" ref="J491">IFERROR(INDEX(РД[S],MATCH($B$3&amp;Таблица4[[#This Row],[№]]&amp;"Продажа",РД[Дом]&amp;РД[№ кв]&amp;РД[Состояние],0),1),Таблица4[[#This Row],[Статус]])</f>
        <v>56.04</v>
      </c>
      <c r="K491" s="233">
        <f>VLOOKUP(Таблица4[[#This Row],[№]],Реестр_Д4[],20,0)</f>
        <v>56.04</v>
      </c>
      <c r="L491" s="235">
        <f>IFERROR(Таблица4[[#This Row],[S ПП]]-Таблица4[[#This Row],[S ДДУ]],)</f>
        <v>0</v>
      </c>
      <c r="M491" s="235">
        <f>ROUND(_xlfn.XLOOKUP(Таблица4[[#This Row],[№]],Реестр_Д4[№],Реестр_Д4[Итоговая сумма скидки],"",0),2)</f>
        <v>0</v>
      </c>
      <c r="N491" s="235" cm="1">
        <f t="array" ref="N49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1" s="235">
        <f>IFERROR(Таблица4[[#This Row],[ППС]]-Таблица4[[#This Row],[ДДУС]],)</f>
        <v>0</v>
      </c>
      <c r="P491" s="611"/>
      <c r="Q491" s="234">
        <f>VLOOKUP(ППД5!A488,Реестр_Д5[№],1,0)</f>
        <v>487</v>
      </c>
      <c r="R491" s="234" t="str">
        <f>VLOOKUP(ППД5!CH488,Реестр_Д5[Статус],1,0)</f>
        <v>Продажа</v>
      </c>
      <c r="S491" s="612">
        <f>VLOOKUP(ППД5!BZ488,Реестр_Д5[Стоимость ОН без отделки со скидкой],1,0)</f>
        <v>3111500</v>
      </c>
      <c r="T491" s="612" cm="1">
        <f t="array" ref="T491">IFERROR(INDEX(РД[Стоимость без отделки итог],MATCH($Q$3&amp;Таблица10[[#This Row],[№]]&amp;"Продажа",РД[Дом]&amp;РД[№ кв]&amp;РД[Состояние],0),1),Таблица10[[#This Row],[Статус]])</f>
        <v>3111500</v>
      </c>
      <c r="U491" s="235">
        <f>IFERROR((Таблица10[[#This Row],[ПП]]-Таблица10[[#This Row],[ДДУ]])*1,)</f>
        <v>0</v>
      </c>
      <c r="V491" s="235" cm="1">
        <f t="array" ref="V491">IFERROR(INDEX(РД[Стоимость с отделкой итог],MATCH($Q$3&amp;Таблица10[[#This Row],[№]]&amp;"Продажа",РД[Дом]&amp;РД[№ кв]&amp;РД[Состояние],0),1),Таблица10[[#This Row],[Статус]])</f>
        <v>3356500</v>
      </c>
      <c r="W491" s="235">
        <f>_xlfn.XLOOKUP(Таблица10[[#This Row],[№]],Реестр_Д5[№],Реестр_Д5[Стоимость квартиры с отделкой],"-",0)</f>
        <v>3356500</v>
      </c>
      <c r="X491" s="235">
        <f>IFERROR(Таблица10[[#This Row],[СО ПП]]-Таблица10[[#This Row],[СО ДДУ]],"")</f>
        <v>0</v>
      </c>
      <c r="Y491" s="233" cm="1">
        <f t="array" ref="Y491">IFERROR(INDEX(РД[S],MATCH($Q$3&amp;Таблица10[[#This Row],[№]]&amp;"Продажа",РД[Дом]&amp;РД[№ кв]&amp;РД[Состояние],0),1),Таблица10[[#This Row],[Статус]])</f>
        <v>24.5</v>
      </c>
      <c r="Z491" s="233">
        <f>IF(Таблица10[[#This Row],[№]]&amp;"ДДУ"=ППД5!A488&amp;ППД5!CR488,ППД5!U488,ППД5!V488)</f>
        <v>24.5</v>
      </c>
      <c r="AA491" s="285">
        <f>IFERROR(Таблица10[[#This Row],[S ПП]]-Таблица10[[#This Row],[S ДДУ]],)</f>
        <v>0</v>
      </c>
      <c r="AB491" s="235">
        <f>ROUND(_xlfn.XLOOKUP(Таблица10[[#This Row],[№]],Реестр_Д5[№],Реестр_Д5[Итоговая сумма скидки],"",0),2)</f>
        <v>196000</v>
      </c>
      <c r="AC491" s="235" cm="1">
        <f t="array" ref="AC491">IFERROR(ROUND(_xlfn.XLOOKUP($Q$3&amp;Таблица10[[#This Row],[№]]&amp;"Продажа",РД[Дом]&amp;РД[№ кв]&amp;РД[Состояние],РД[Сумма скидки],"",0,-1),2),Таблица10[[#This Row],[Статус]])</f>
        <v>196000</v>
      </c>
      <c r="AD491" s="285">
        <f>IFERROR(Таблица10[[#This Row],[ППС]]-Таблица10[[#This Row],[ДДУС]],)</f>
        <v>0</v>
      </c>
      <c r="AE491" s="611"/>
      <c r="AT491" s="611"/>
    </row>
    <row r="492" spans="1:46" x14ac:dyDescent="0.2">
      <c r="A492" s="611"/>
      <c r="B492" s="234">
        <f>VLOOKUP(ППД4!A489,Реестр_Д4[№],1,0)</f>
        <v>488</v>
      </c>
      <c r="C492" s="234" t="str">
        <f>VLOOKUP(ППД4!CO489,Реестр_Д4[Статус],1,0)</f>
        <v>Продажа</v>
      </c>
      <c r="D492" s="612">
        <f>VLOOKUP(ППД4!CE489,Реестр_Д4[Стоимость ОН без отделки со скидкой],1,0)</f>
        <v>4616732.41</v>
      </c>
      <c r="E492" s="612" cm="1">
        <f t="array" ref="E492">IFERROR(INDEX(РД[Стоимость без отделки итог],MATCH($B$3&amp;Таблица4[[#This Row],[№]]&amp;"Продажа",РД[Дом]&amp;РД[№ кв]&amp;РД[Состояние],0),1),Таблица4[[#This Row],[Статус]])</f>
        <v>4616732.41</v>
      </c>
      <c r="F492" s="235">
        <f>IFERROR((Таблица4[[#This Row],[ПП]]-Таблица4[[#This Row],[ДДУ]])*1,"")</f>
        <v>0</v>
      </c>
      <c r="G492" s="235" cm="1">
        <f t="array" ref="G492">IFERROR(INDEX(РД[Стоимость с отделкой итог],MATCH($B$3&amp;Таблица4[[#This Row],[№]]&amp;"Продажа",РД[Дом]&amp;РД[№ кв]&amp;РД[Состояние],0),1),Таблица4[[#This Row],[Статус]])</f>
        <v>4851212.41</v>
      </c>
      <c r="H492" s="235">
        <f>_xlfn.XLOOKUP(Таблица4[[#This Row],[№]],Реестр_Д4[№],Реестр_Д4[Стоимость квартиры с отделкой],"-",0)</f>
        <v>4851212.41</v>
      </c>
      <c r="I492" s="235">
        <f>IFERROR(Таблица4[[#This Row],[СО ПП]]-Таблица4[[#This Row],[СО ДДУ]],"")</f>
        <v>0</v>
      </c>
      <c r="J492" s="233" cm="1">
        <f t="array" ref="J492">IFERROR(INDEX(РД[S],MATCH($B$3&amp;Таблица4[[#This Row],[№]]&amp;"Продажа",РД[Дом]&amp;РД[№ кв]&amp;РД[Состояние],0),1),Таблица4[[#This Row],[Статус]])</f>
        <v>58.62</v>
      </c>
      <c r="K492" s="233">
        <f>VLOOKUP(Таблица4[[#This Row],[№]],Реестр_Д4[],20,0)</f>
        <v>58.62</v>
      </c>
      <c r="L492" s="235">
        <f>IFERROR(Таблица4[[#This Row],[S ПП]]-Таблица4[[#This Row],[S ДДУ]],)</f>
        <v>0</v>
      </c>
      <c r="M492" s="235">
        <f>ROUND(_xlfn.XLOOKUP(Таблица4[[#This Row],[№]],Реестр_Д4[№],Реестр_Д4[Итоговая сумма скидки],"",0),2)</f>
        <v>0</v>
      </c>
      <c r="N492" s="235" cm="1">
        <f t="array" ref="N49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2" s="235">
        <f>IFERROR(Таблица4[[#This Row],[ППС]]-Таблица4[[#This Row],[ДДУС]],)</f>
        <v>0</v>
      </c>
      <c r="P492" s="611"/>
      <c r="Q492" s="234">
        <f>VLOOKUP(ППД5!A489,Реестр_Д5[№],1,0)</f>
        <v>488</v>
      </c>
      <c r="R492" s="234" t="str">
        <f>VLOOKUP(ППД5!CH489,Реестр_Д5[Статус],1,0)</f>
        <v>Продажа</v>
      </c>
      <c r="S492" s="612">
        <f>VLOOKUP(ППД5!BZ489,Реестр_Д5[Стоимость ОН без отделки со скидкой],1,0)</f>
        <v>5437400</v>
      </c>
      <c r="T492" s="612" cm="1">
        <f t="array" ref="T492">IFERROR(INDEX(РД[Стоимость без отделки итог],MATCH($Q$3&amp;Таблица10[[#This Row],[№]]&amp;"Продажа",РД[Дом]&amp;РД[№ кв]&amp;РД[Состояние],0),1),Таблица10[[#This Row],[Статус]])</f>
        <v>5437400</v>
      </c>
      <c r="U492" s="235">
        <f>IFERROR((Таблица10[[#This Row],[ПП]]-Таблица10[[#This Row],[ДДУ]])*1,)</f>
        <v>0</v>
      </c>
      <c r="V492" s="235" cm="1">
        <f t="array" ref="V492">IFERROR(INDEX(РД[Стоимость с отделкой итог],MATCH($Q$3&amp;Таблица10[[#This Row],[№]]&amp;"Продажа",РД[Дом]&amp;РД[№ кв]&amp;РД[Состояние],0),1),Таблица10[[#This Row],[Статус]])</f>
        <v>5437400</v>
      </c>
      <c r="W492" s="235">
        <f>_xlfn.XLOOKUP(Таблица10[[#This Row],[№]],Реестр_Д5[№],Реестр_Д5[Стоимость квартиры с отделкой],"-",0)</f>
        <v>5437400</v>
      </c>
      <c r="X492" s="235">
        <f>IFERROR(Таблица10[[#This Row],[СО ПП]]-Таблица10[[#This Row],[СО ДДУ]],"")</f>
        <v>0</v>
      </c>
      <c r="Y492" s="233" cm="1">
        <f t="array" ref="Y492">IFERROR(INDEX(РД[S],MATCH($Q$3&amp;Таблица10[[#This Row],[№]]&amp;"Продажа",РД[Дом]&amp;РД[№ кв]&amp;РД[Состояние],0),1),Таблица10[[#This Row],[Статус]])</f>
        <v>58.24</v>
      </c>
      <c r="Z492" s="233">
        <f>IF(Таблица10[[#This Row],[№]]&amp;"ДДУ"=ППД5!A489&amp;ППД5!CR489,ППД5!U489,ППД5!V489)</f>
        <v>58.24</v>
      </c>
      <c r="AA492" s="285">
        <f>IFERROR(Таблица10[[#This Row],[S ПП]]-Таблица10[[#This Row],[S ДДУ]],)</f>
        <v>0</v>
      </c>
      <c r="AB492" s="235">
        <f>ROUND(_xlfn.XLOOKUP(Таблица10[[#This Row],[№]],Реестр_Д5[№],Реестр_Д5[Итоговая сумма скидки],"",0),2)</f>
        <v>90000</v>
      </c>
      <c r="AC492" s="235" cm="1">
        <f t="array" ref="AC492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492" s="285">
        <f>IFERROR(Таблица10[[#This Row],[ППС]]-Таблица10[[#This Row],[ДДУС]],)</f>
        <v>0</v>
      </c>
      <c r="AE492" s="611"/>
      <c r="AT492" s="611"/>
    </row>
    <row r="493" spans="1:46" x14ac:dyDescent="0.2">
      <c r="A493" s="611"/>
      <c r="B493" s="234">
        <f>VLOOKUP(ППД4!A490,Реестр_Д4[№],1,0)</f>
        <v>489</v>
      </c>
      <c r="C493" s="234" t="str">
        <f>VLOOKUP(ППД4!CO490,Реестр_Д4[Статус],1,0)</f>
        <v>Продажа</v>
      </c>
      <c r="D493" s="612">
        <f>VLOOKUP(ППД4!CE490,Реестр_Д4[Стоимость ОН без отделки со скидкой],1,0)</f>
        <v>6027836.6100000003</v>
      </c>
      <c r="E493" s="612" cm="1">
        <f t="array" ref="E493">IFERROR(INDEX(РД[Стоимость без отделки итог],MATCH($B$3&amp;Таблица4[[#This Row],[№]]&amp;"Продажа",РД[Дом]&amp;РД[№ кв]&amp;РД[Состояние],0),1),Таблица4[[#This Row],[Статус]])</f>
        <v>6027836.6100000003</v>
      </c>
      <c r="F493" s="235">
        <f>IFERROR((Таблица4[[#This Row],[ПП]]-Таблица4[[#This Row],[ДДУ]])*1,"")</f>
        <v>0</v>
      </c>
      <c r="G493" s="235" cm="1">
        <f t="array" ref="G493">IFERROR(INDEX(РД[Стоимость с отделкой итог],MATCH($B$3&amp;Таблица4[[#This Row],[№]]&amp;"Продажа",РД[Дом]&amp;РД[№ кв]&amp;РД[Состояние],0),1),Таблица4[[#This Row],[Статус]])</f>
        <v>6027836.6100000003</v>
      </c>
      <c r="H493" s="235">
        <f>_xlfn.XLOOKUP(Таблица4[[#This Row],[№]],Реестр_Д4[№],Реестр_Д4[Стоимость квартиры с отделкой],"-",0)</f>
        <v>6027836.6100000003</v>
      </c>
      <c r="I493" s="235">
        <f>IFERROR(Таблица4[[#This Row],[СО ПП]]-Таблица4[[#This Row],[СО ДДУ]],"")</f>
        <v>0</v>
      </c>
      <c r="J493" s="233" cm="1">
        <f t="array" ref="J493">IFERROR(INDEX(РД[S],MATCH($B$3&amp;Таблица4[[#This Row],[№]]&amp;"Продажа",РД[Дом]&amp;РД[№ кв]&amp;РД[Состояние],0),1),Таблица4[[#This Row],[Статус]])</f>
        <v>67.489999999999995</v>
      </c>
      <c r="K493" s="233">
        <f>VLOOKUP(Таблица4[[#This Row],[№]],Реестр_Д4[],20,0)</f>
        <v>67.489999999999995</v>
      </c>
      <c r="L493" s="235">
        <f>IFERROR(Таблица4[[#This Row],[S ПП]]-Таблица4[[#This Row],[S ДДУ]],)</f>
        <v>0</v>
      </c>
      <c r="M493" s="235">
        <f>ROUND(_xlfn.XLOOKUP(Таблица4[[#This Row],[№]],Реестр_Д4[№],Реестр_Д4[Итоговая сумма скидки],"",0),2)</f>
        <v>123017.07</v>
      </c>
      <c r="N493" s="235" cm="1">
        <f t="array" ref="N493">IFERROR(ROUND(_xlfn.XLOOKUP($B$3&amp;Таблица4[[#This Row],[№]]&amp;"Продажа",РД[Дом]&amp;РД[№ кв]&amp;РД[Состояние],РД[Сумма скидки],"",0),2),Таблица4[[#This Row],[Статус]])</f>
        <v>123017.07</v>
      </c>
      <c r="O493" s="235">
        <f>IFERROR(Таблица4[[#This Row],[ППС]]-Таблица4[[#This Row],[ДДУС]],)</f>
        <v>0</v>
      </c>
      <c r="P493" s="611"/>
      <c r="Q493" s="234">
        <f>VLOOKUP(ППД5!A490,Реестр_Д5[№],1,0)</f>
        <v>489</v>
      </c>
      <c r="R493" s="234" t="str">
        <f>VLOOKUP(ППД5!CH490,Реестр_Д5[Статус],1,0)</f>
        <v>Продажа</v>
      </c>
      <c r="S493" s="612">
        <f>VLOOKUP(ППД5!BZ490,Реестр_Д5[Стоимость ОН без отделки со скидкой],1,0)</f>
        <v>4848741.7</v>
      </c>
      <c r="T493" s="612" cm="1">
        <f t="array" ref="T493">IFERROR(INDEX(РД[Стоимость без отделки итог],MATCH($Q$3&amp;Таблица10[[#This Row],[№]]&amp;"Продажа",РД[Дом]&amp;РД[№ кв]&amp;РД[Состояние],0),1),Таблица10[[#This Row],[Статус]])</f>
        <v>4848741.7</v>
      </c>
      <c r="U493" s="235">
        <f>IFERROR((Таблица10[[#This Row],[ПП]]-Таблица10[[#This Row],[ДДУ]])*1,)</f>
        <v>0</v>
      </c>
      <c r="V493" s="235" cm="1">
        <f t="array" ref="V493">IFERROR(INDEX(РД[Стоимость с отделкой итог],MATCH($Q$3&amp;Таблица10[[#This Row],[№]]&amp;"Продажа",РД[Дом]&amp;РД[№ кв]&amp;РД[Состояние],0),1),Таблица10[[#This Row],[Статус]])</f>
        <v>6120341.7000000002</v>
      </c>
      <c r="W493" s="235">
        <f>_xlfn.XLOOKUP(Таблица10[[#This Row],[№]],Реестр_Д5[№],Реестр_Д5[Стоимость квартиры с отделкой],"-",0)</f>
        <v>6120341.7000000002</v>
      </c>
      <c r="X493" s="235">
        <f>IFERROR(Таблица10[[#This Row],[СО ПП]]-Таблица10[[#This Row],[СО ДДУ]],"")</f>
        <v>0</v>
      </c>
      <c r="Y493" s="233" cm="1">
        <f t="array" ref="Y493">IFERROR(INDEX(РД[S],MATCH($Q$3&amp;Таблица10[[#This Row],[№]]&amp;"Продажа",РД[Дом]&amp;РД[№ кв]&amp;РД[Состояние],0),1),Таблица10[[#This Row],[Статус]])</f>
        <v>57.8</v>
      </c>
      <c r="Z493" s="233">
        <f>IF(Таблица10[[#This Row],[№]]&amp;"ДДУ"=ППД5!A490&amp;ППД5!CR490,ППД5!U490,ППД5!V490)</f>
        <v>57.8</v>
      </c>
      <c r="AA493" s="285">
        <f>IFERROR(Таблица10[[#This Row],[S ПП]]-Таблица10[[#This Row],[S ДДУ]],)</f>
        <v>0</v>
      </c>
      <c r="AB493" s="235">
        <f>ROUND(_xlfn.XLOOKUP(Таблица10[[#This Row],[№]],Реестр_Д5[№],Реестр_Д5[Итоговая сумма скидки],"",0),2)</f>
        <v>98953.91</v>
      </c>
      <c r="AC493" s="235" cm="1">
        <f t="array" ref="AC493">IFERROR(ROUND(_xlfn.XLOOKUP($Q$3&amp;Таблица10[[#This Row],[№]]&amp;"Продажа",РД[Дом]&amp;РД[№ кв]&amp;РД[Состояние],РД[Сумма скидки],"",0,-1),2),Таблица10[[#This Row],[Статус]])</f>
        <v>98953.91</v>
      </c>
      <c r="AD493" s="285">
        <f>IFERROR(Таблица10[[#This Row],[ППС]]-Таблица10[[#This Row],[ДДУС]],)</f>
        <v>0</v>
      </c>
      <c r="AE493" s="611"/>
      <c r="AT493" s="611"/>
    </row>
    <row r="494" spans="1:46" x14ac:dyDescent="0.2">
      <c r="A494" s="611"/>
      <c r="B494" s="234">
        <f>VLOOKUP(ППД4!A491,Реестр_Д4[№],1,0)</f>
        <v>490</v>
      </c>
      <c r="C494" s="234" t="str">
        <f>VLOOKUP(ППД4!CO491,Реестр_Д4[Статус],1,0)</f>
        <v>Продажа</v>
      </c>
      <c r="D494" s="612">
        <f>VLOOKUP(ППД4!CE491,Реестр_Д4[Стоимость ОН без отделки со скидкой],1,0)</f>
        <v>4814223.5599999996</v>
      </c>
      <c r="E494" s="612" cm="1">
        <f t="array" ref="E494">IFERROR(INDEX(РД[Стоимость без отделки итог],MATCH($B$3&amp;Таблица4[[#This Row],[№]]&amp;"Продажа",РД[Дом]&amp;РД[№ кв]&amp;РД[Состояние],0),1),Таблица4[[#This Row],[Статус]])</f>
        <v>4814223.5599999996</v>
      </c>
      <c r="F494" s="235">
        <f>IFERROR((Таблица4[[#This Row],[ПП]]-Таблица4[[#This Row],[ДДУ]])*1,"")</f>
        <v>0</v>
      </c>
      <c r="G494" s="235" cm="1">
        <f t="array" ref="G494">IFERROR(INDEX(РД[Стоимость с отделкой итог],MATCH($B$3&amp;Таблица4[[#This Row],[№]]&amp;"Продажа",РД[Дом]&amp;РД[№ кв]&amp;РД[Состояние],0),1),Таблица4[[#This Row],[Статус]])</f>
        <v>5069183.5599999996</v>
      </c>
      <c r="H494" s="235">
        <f>_xlfn.XLOOKUP(Таблица4[[#This Row],[№]],Реестр_Д4[№],Реестр_Д4[Стоимость квартиры с отделкой],"-",0)</f>
        <v>5069183.5599999996</v>
      </c>
      <c r="I494" s="235">
        <f>IFERROR(Таблица4[[#This Row],[СО ПП]]-Таблица4[[#This Row],[СО ДДУ]],"")</f>
        <v>0</v>
      </c>
      <c r="J494" s="233" cm="1">
        <f t="array" ref="J494">IFERROR(INDEX(РД[S],MATCH($B$3&amp;Таблица4[[#This Row],[№]]&amp;"Продажа",РД[Дом]&amp;РД[№ кв]&amp;РД[Состояние],0),1),Таблица4[[#This Row],[Статус]])</f>
        <v>63.74</v>
      </c>
      <c r="K494" s="233">
        <f>VLOOKUP(Таблица4[[#This Row],[№]],Реестр_Д4[],20,0)</f>
        <v>63.74</v>
      </c>
      <c r="L494" s="235">
        <f>IFERROR(Таблица4[[#This Row],[S ПП]]-Таблица4[[#This Row],[S ДДУ]],)</f>
        <v>0</v>
      </c>
      <c r="M494" s="235">
        <f>ROUND(_xlfn.XLOOKUP(Таблица4[[#This Row],[№]],Реестр_Д4[№],Реестр_Д4[Итоговая сумма скидки],"",0),2)</f>
        <v>254960</v>
      </c>
      <c r="N494" s="235" cm="1">
        <f t="array" ref="N494">IFERROR(ROUND(_xlfn.XLOOKUP($B$3&amp;Таблица4[[#This Row],[№]]&amp;"Продажа",РД[Дом]&amp;РД[№ кв]&amp;РД[Состояние],РД[Сумма скидки],"",0),2),Таблица4[[#This Row],[Статус]])</f>
        <v>254960</v>
      </c>
      <c r="O494" s="235">
        <f>IFERROR(Таблица4[[#This Row],[ППС]]-Таблица4[[#This Row],[ДДУС]],)</f>
        <v>0</v>
      </c>
      <c r="P494" s="611"/>
      <c r="Q494" s="234">
        <f>VLOOKUP(ППД5!A491,Реестр_Д5[№],1,0)</f>
        <v>490</v>
      </c>
      <c r="R494" s="234" t="str">
        <f>VLOOKUP(ППД5!CH491,Реестр_Д5[Статус],1,0)</f>
        <v>Свободно</v>
      </c>
      <c r="S494" s="612">
        <f>VLOOKUP(ППД5!BZ491,Реестр_Д5[Стоимость ОН без отделки со скидкой],1,0)</f>
        <v>5238800</v>
      </c>
      <c r="T494" s="612" t="str" cm="1">
        <f t="array" ref="T49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494" s="235">
        <f>IFERROR((Таблица10[[#This Row],[ПП]]-Таблица10[[#This Row],[ДДУ]])*1,)</f>
        <v>0</v>
      </c>
      <c r="V494" s="235" t="str" cm="1">
        <f t="array" ref="V49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494" s="235">
        <f>_xlfn.XLOOKUP(Таблица10[[#This Row],[№]],Реестр_Д5[№],Реестр_Д5[Стоимость квартиры с отделкой],"-",0)</f>
        <v>5238800</v>
      </c>
      <c r="X494" s="235" t="str">
        <f>IFERROR(Таблица10[[#This Row],[СО ПП]]-Таблица10[[#This Row],[СО ДДУ]],"")</f>
        <v/>
      </c>
      <c r="Y494" s="233" t="str" cm="1">
        <f t="array" ref="Y494">IFERROR(INDEX(РД[S],MATCH($Q$3&amp;Таблица10[[#This Row],[№]]&amp;"Продажа",РД[Дом]&amp;РД[№ кв]&amp;РД[Состояние],0),1),Таблица10[[#This Row],[Статус]])</f>
        <v>Свободно</v>
      </c>
      <c r="Z494" s="233">
        <f>IF(Таблица10[[#This Row],[№]]&amp;"ДДУ"=ППД5!A491&amp;ППД5!CR491,ППД5!U491,ППД5!V491)</f>
        <v>37.899999999999991</v>
      </c>
      <c r="AA494" s="285">
        <f>IFERROR(Таблица10[[#This Row],[S ПП]]-Таблица10[[#This Row],[S ДДУ]],)</f>
        <v>0</v>
      </c>
      <c r="AB494" s="235">
        <f>ROUND(_xlfn.XLOOKUP(Таблица10[[#This Row],[№]],Реестр_Д5[№],Реестр_Д5[Итоговая сумма скидки],"",0),2)</f>
        <v>0</v>
      </c>
      <c r="AC494" s="235" t="str" cm="1">
        <f t="array" ref="AC49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494" s="285">
        <f>IFERROR(Таблица10[[#This Row],[ППС]]-Таблица10[[#This Row],[ДДУС]],)</f>
        <v>0</v>
      </c>
      <c r="AE494" s="611"/>
      <c r="AT494" s="611"/>
    </row>
    <row r="495" spans="1:46" x14ac:dyDescent="0.2">
      <c r="A495" s="611"/>
      <c r="B495" s="234">
        <f>VLOOKUP(ППД4!A492,Реестр_Д4[№],1,0)</f>
        <v>491</v>
      </c>
      <c r="C495" s="234" t="str">
        <f>VLOOKUP(ППД4!CO492,Реестр_Д4[Статус],1,0)</f>
        <v>Продажа</v>
      </c>
      <c r="D495" s="612">
        <f>VLOOKUP(ППД4!CE492,Реестр_Д4[Стоимость ОН без отделки со скидкой],1,0)</f>
        <v>4192843.65</v>
      </c>
      <c r="E495" s="612" cm="1">
        <f t="array" ref="E495">IFERROR(INDEX(РД[Стоимость без отделки итог],MATCH($B$3&amp;Таблица4[[#This Row],[№]]&amp;"Продажа",РД[Дом]&amp;РД[№ кв]&amp;РД[Состояние],0),1),Таблица4[[#This Row],[Статус]])</f>
        <v>4192843.65</v>
      </c>
      <c r="F495" s="235">
        <f>IFERROR((Таблица4[[#This Row],[ПП]]-Таблица4[[#This Row],[ДДУ]])*1,"")</f>
        <v>0</v>
      </c>
      <c r="G495" s="235" cm="1">
        <f t="array" ref="G495">IFERROR(INDEX(РД[Стоимость с отделкой итог],MATCH($B$3&amp;Таблица4[[#This Row],[№]]&amp;"Продажа",РД[Дом]&amp;РД[№ кв]&amp;РД[Состояние],0),1),Таблица4[[#This Row],[Статус]])</f>
        <v>4192843.65</v>
      </c>
      <c r="H495" s="235">
        <f>_xlfn.XLOOKUP(Таблица4[[#This Row],[№]],Реестр_Д4[№],Реестр_Д4[Стоимость квартиры с отделкой],"-",0)</f>
        <v>4192843.65</v>
      </c>
      <c r="I495" s="235">
        <f>IFERROR(Таблица4[[#This Row],[СО ПП]]-Таблица4[[#This Row],[СО ДДУ]],"")</f>
        <v>0</v>
      </c>
      <c r="J495" s="233" cm="1">
        <f t="array" ref="J495">IFERROR(INDEX(РД[S],MATCH($B$3&amp;Таблица4[[#This Row],[№]]&amp;"Продажа",РД[Дом]&amp;РД[№ кв]&amp;РД[Состояние],0),1),Таблица4[[#This Row],[Статус]])</f>
        <v>44.37</v>
      </c>
      <c r="K495" s="233">
        <f>VLOOKUP(Таблица4[[#This Row],[№]],Реестр_Д4[],20,0)</f>
        <v>44.37</v>
      </c>
      <c r="L495" s="235">
        <f>IFERROR(Таблица4[[#This Row],[S ПП]]-Таблица4[[#This Row],[S ДДУ]],)</f>
        <v>0</v>
      </c>
      <c r="M495" s="235">
        <f>ROUND(_xlfn.XLOOKUP(Таблица4[[#This Row],[№]],Реестр_Д4[№],Реестр_Д4[Итоговая сумма скидки],"",0),2)</f>
        <v>60000</v>
      </c>
      <c r="N495" s="235" cm="1">
        <f t="array" ref="N495">IFERROR(ROUND(_xlfn.XLOOKUP($B$3&amp;Таблица4[[#This Row],[№]]&amp;"Продажа",РД[Дом]&amp;РД[№ кв]&amp;РД[Состояние],РД[Сумма скидки],"",0),2),Таблица4[[#This Row],[Статус]])</f>
        <v>60000</v>
      </c>
      <c r="O495" s="235">
        <f>IFERROR(Таблица4[[#This Row],[ППС]]-Таблица4[[#This Row],[ДДУС]],)</f>
        <v>0</v>
      </c>
      <c r="P495" s="611"/>
      <c r="Q495" s="234">
        <f>VLOOKUP(ППД5!A492,Реестр_Д5[№],1,0)</f>
        <v>491</v>
      </c>
      <c r="R495" s="234" t="str">
        <f>VLOOKUP(ППД5!CH492,Реестр_Д5[Статус],1,0)</f>
        <v>Продажа</v>
      </c>
      <c r="S495" s="612">
        <f>VLOOKUP(ППД5!BZ492,Реестр_Д5[Стоимость ОН без отделки со скидкой],1,0)</f>
        <v>6561755.1200000001</v>
      </c>
      <c r="T495" s="612" cm="1">
        <f t="array" ref="T495">IFERROR(INDEX(РД[Стоимость без отделки итог],MATCH($Q$3&amp;Таблица10[[#This Row],[№]]&amp;"Продажа",РД[Дом]&amp;РД[№ кв]&amp;РД[Состояние],0),1),Таблица10[[#This Row],[Статус]])</f>
        <v>6561755.1200000001</v>
      </c>
      <c r="U495" s="235">
        <f>IFERROR((Таблица10[[#This Row],[ПП]]-Таблица10[[#This Row],[ДДУ]])*1,)</f>
        <v>0</v>
      </c>
      <c r="V495" s="235" cm="1">
        <f t="array" ref="V495">IFERROR(INDEX(РД[Стоимость с отделкой итог],MATCH($Q$3&amp;Таблица10[[#This Row],[№]]&amp;"Продажа",РД[Дом]&amp;РД[№ кв]&amp;РД[Состояние],0),1),Таблица10[[#This Row],[Статус]])</f>
        <v>6561755.1200000001</v>
      </c>
      <c r="W495" s="235">
        <f>_xlfn.XLOOKUP(Таблица10[[#This Row],[№]],Реестр_Д5[№],Реестр_Д5[Стоимость квартиры с отделкой],"-",0)</f>
        <v>6561755.1200000001</v>
      </c>
      <c r="X495" s="235">
        <f>IFERROR(Таблица10[[#This Row],[СО ПП]]-Таблица10[[#This Row],[СО ДДУ]],"")</f>
        <v>0</v>
      </c>
      <c r="Y495" s="233" cm="1">
        <f t="array" ref="Y495">IFERROR(INDEX(РД[S],MATCH($Q$3&amp;Таблица10[[#This Row],[№]]&amp;"Продажа",РД[Дом]&amp;РД[№ кв]&amp;РД[Состояние],0),1),Таблица10[[#This Row],[Статус]])</f>
        <v>79.44</v>
      </c>
      <c r="Z495" s="233">
        <f>IF(Таблица10[[#This Row],[№]]&amp;"ДДУ"=ППД5!A492&amp;ППД5!CR492,ППД5!U492,ППД5!V492)</f>
        <v>79.44</v>
      </c>
      <c r="AA495" s="285">
        <f>IFERROR(Таблица10[[#This Row],[S ПП]]-Таблица10[[#This Row],[S ДДУ]],)</f>
        <v>0</v>
      </c>
      <c r="AB495" s="235">
        <f>ROUND(_xlfn.XLOOKUP(Таблица10[[#This Row],[№]],Реестр_Д5[№],Реестр_Д5[Итоговая сумма скидки],"",0),2)</f>
        <v>0</v>
      </c>
      <c r="AC495" s="235" cm="1">
        <f t="array" ref="AC49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495" s="285">
        <f>IFERROR(Таблица10[[#This Row],[ППС]]-Таблица10[[#This Row],[ДДУС]],)</f>
        <v>0</v>
      </c>
      <c r="AE495" s="611"/>
      <c r="AT495" s="611"/>
    </row>
    <row r="496" spans="1:46" x14ac:dyDescent="0.2">
      <c r="A496" s="611"/>
      <c r="B496" s="234">
        <f>VLOOKUP(ППД4!A493,Реестр_Д4[№],1,0)</f>
        <v>492</v>
      </c>
      <c r="C496" s="234" t="str">
        <f>VLOOKUP(ППД4!CO493,Реестр_Д4[Статус],1,0)</f>
        <v>Продажа</v>
      </c>
      <c r="D496" s="612">
        <f>VLOOKUP(ППД4!CE493,Реестр_Д4[Стоимость ОН без отделки со скидкой],1,0)</f>
        <v>3501844.69</v>
      </c>
      <c r="E496" s="612" cm="1">
        <f t="array" ref="E496">IFERROR(INDEX(РД[Стоимость без отделки итог],MATCH($B$3&amp;Таблица4[[#This Row],[№]]&amp;"Продажа",РД[Дом]&amp;РД[№ кв]&amp;РД[Состояние],0),1),Таблица4[[#This Row],[Статус]])</f>
        <v>3501844.6900000004</v>
      </c>
      <c r="F496" s="235">
        <f>IFERROR((Таблица4[[#This Row],[ПП]]-Таблица4[[#This Row],[ДДУ]])*1,"")</f>
        <v>-4.6566128730773926E-10</v>
      </c>
      <c r="G496" s="235" cm="1">
        <f t="array" ref="G496">IFERROR(INDEX(РД[Стоимость с отделкой итог],MATCH($B$3&amp;Таблица4[[#This Row],[№]]&amp;"Продажа",РД[Дом]&amp;РД[№ кв]&amp;РД[Состояние],0),1),Таблица4[[#This Row],[Статус]])</f>
        <v>3660804.69</v>
      </c>
      <c r="H496" s="235">
        <f>_xlfn.XLOOKUP(Таблица4[[#This Row],[№]],Реестр_Д4[№],Реестр_Д4[Стоимость квартиры с отделкой],"-",0)</f>
        <v>3660804.69</v>
      </c>
      <c r="I496" s="235">
        <f>IFERROR(Таблица4[[#This Row],[СО ПП]]-Таблица4[[#This Row],[СО ДДУ]],"")</f>
        <v>0</v>
      </c>
      <c r="J496" s="233" cm="1">
        <f t="array" ref="J496">IFERROR(INDEX(РД[S],MATCH($B$3&amp;Таблица4[[#This Row],[№]]&amp;"Продажа",РД[Дом]&amp;РД[№ кв]&amp;РД[Состояние],0),1),Таблица4[[#This Row],[Статус]])</f>
        <v>39.74</v>
      </c>
      <c r="K496" s="233">
        <f>VLOOKUP(Таблица4[[#This Row],[№]],Реестр_Д4[],20,0)</f>
        <v>39.74</v>
      </c>
      <c r="L496" s="235">
        <f>IFERROR(Таблица4[[#This Row],[S ПП]]-Таблица4[[#This Row],[S ДДУ]],)</f>
        <v>0</v>
      </c>
      <c r="M496" s="235">
        <f>ROUND(_xlfn.XLOOKUP(Таблица4[[#This Row],[№]],Реестр_Д4[№],Реестр_Д4[Итоговая сумма скидки],"",0),2)</f>
        <v>158960</v>
      </c>
      <c r="N496" s="235" cm="1">
        <f t="array" ref="N496">IFERROR(ROUND(_xlfn.XLOOKUP($B$3&amp;Таблица4[[#This Row],[№]]&amp;"Продажа",РД[Дом]&amp;РД[№ кв]&amp;РД[Состояние],РД[Сумма скидки],"",0),2),Таблица4[[#This Row],[Статус]])</f>
        <v>158960</v>
      </c>
      <c r="O496" s="235">
        <f>IFERROR(Таблица4[[#This Row],[ППС]]-Таблица4[[#This Row],[ДДУС]],)</f>
        <v>0</v>
      </c>
      <c r="P496" s="611"/>
      <c r="Q496" s="234">
        <f>VLOOKUP(ППД5!A493,Реестр_Д5[№],1,0)</f>
        <v>492</v>
      </c>
      <c r="R496" s="234" t="str">
        <f>VLOOKUP(ППД5!CH493,Реестр_Д5[Статус],1,0)</f>
        <v>Продажа</v>
      </c>
      <c r="S496" s="612">
        <f>VLOOKUP(ППД5!BZ493,Реестр_Д5[Стоимость ОН без отделки со скидкой],1,0)</f>
        <v>4889612</v>
      </c>
      <c r="T496" s="612" cm="1">
        <f t="array" ref="T496">IFERROR(INDEX(РД[Стоимость без отделки итог],MATCH($Q$3&amp;Таблица10[[#This Row],[№]]&amp;"Продажа",РД[Дом]&amp;РД[№ кв]&amp;РД[Состояние],0),1),Таблица10[[#This Row],[Статус]])</f>
        <v>4889612.0000000009</v>
      </c>
      <c r="U496" s="235">
        <f>IFERROR((Таблица10[[#This Row],[ПП]]-Таблица10[[#This Row],[ДДУ]])*1,)</f>
        <v>-9.3132257461547852E-10</v>
      </c>
      <c r="V496" s="235" cm="1">
        <f t="array" ref="V496">IFERROR(INDEX(РД[Стоимость с отделкой итог],MATCH($Q$3&amp;Таблица10[[#This Row],[№]]&amp;"Продажа",РД[Дом]&amp;РД[№ кв]&amp;РД[Состояние],0),1),Таблица10[[#This Row],[Статус]])</f>
        <v>5287112</v>
      </c>
      <c r="W496" s="235">
        <f>_xlfn.XLOOKUP(Таблица10[[#This Row],[№]],Реестр_Д5[№],Реестр_Д5[Стоимость квартиры с отделкой],"-",0)</f>
        <v>5287111.9999999991</v>
      </c>
      <c r="X496" s="235">
        <f>IFERROR(Таблица10[[#This Row],[СО ПП]]-Таблица10[[#This Row],[СО ДДУ]],"")</f>
        <v>-9.3132257461547852E-10</v>
      </c>
      <c r="Y496" s="233" cm="1">
        <f t="array" ref="Y496">IFERROR(INDEX(РД[S],MATCH($Q$3&amp;Таблица10[[#This Row],[№]]&amp;"Продажа",РД[Дом]&amp;РД[№ кв]&amp;РД[Состояние],0),1),Таблица10[[#This Row],[Статус]])</f>
        <v>39.75</v>
      </c>
      <c r="Z496" s="233">
        <f>IF(Таблица10[[#This Row],[№]]&amp;"ДДУ"=ППД5!A493&amp;ППД5!CR493,ППД5!U493,ППД5!V493)</f>
        <v>39.75</v>
      </c>
      <c r="AA496" s="285">
        <f>IFERROR(Таблица10[[#This Row],[S ПП]]-Таблица10[[#This Row],[S ДДУ]],)</f>
        <v>0</v>
      </c>
      <c r="AB496" s="235">
        <f>ROUND(_xlfn.XLOOKUP(Таблица10[[#This Row],[№]],Реестр_Д5[№],Реестр_Д5[Итоговая сумма скидки],"",0),2)</f>
        <v>423788</v>
      </c>
      <c r="AC496" s="235" cm="1">
        <f t="array" ref="AC496">IFERROR(ROUND(_xlfn.XLOOKUP($Q$3&amp;Таблица10[[#This Row],[№]]&amp;"Продажа",РД[Дом]&amp;РД[№ кв]&amp;РД[Состояние],РД[Сумма скидки],"",0,-1),2),Таблица10[[#This Row],[Статус]])</f>
        <v>423788</v>
      </c>
      <c r="AD496" s="285">
        <f>IFERROR(Таблица10[[#This Row],[ППС]]-Таблица10[[#This Row],[ДДУС]],)</f>
        <v>0</v>
      </c>
      <c r="AE496" s="611"/>
      <c r="AT496" s="611"/>
    </row>
    <row r="497" spans="1:46" x14ac:dyDescent="0.2">
      <c r="A497" s="611"/>
      <c r="B497" s="234">
        <f>VLOOKUP(ППД4!A494,Реестр_Д4[№],1,0)</f>
        <v>493</v>
      </c>
      <c r="C497" s="234" t="str">
        <f>VLOOKUP(ППД4!CO494,Реестр_Д4[Статус],1,0)</f>
        <v>Продажа</v>
      </c>
      <c r="D497" s="612">
        <f>VLOOKUP(ППД4!CE494,Реестр_Д4[Стоимость ОН без отделки со скидкой],1,0)</f>
        <v>4001694.81</v>
      </c>
      <c r="E497" s="612" cm="1">
        <f t="array" ref="E497">IFERROR(INDEX(РД[Стоимость без отделки итог],MATCH($B$3&amp;Таблица4[[#This Row],[№]]&amp;"Продажа",РД[Дом]&amp;РД[№ кв]&amp;РД[Состояние],0),1),Таблица4[[#This Row],[Статус]])</f>
        <v>4001694.8099999996</v>
      </c>
      <c r="F497" s="235">
        <f>IFERROR((Таблица4[[#This Row],[ПП]]-Таблица4[[#This Row],[ДДУ]])*1,"")</f>
        <v>4.6566128730773926E-10</v>
      </c>
      <c r="G497" s="235" cm="1">
        <f t="array" ref="G497">IFERROR(INDEX(РД[Стоимость с отделкой итог],MATCH($B$3&amp;Таблица4[[#This Row],[№]]&amp;"Продажа",РД[Дом]&amp;РД[№ кв]&amp;РД[Состояние],0),1),Таблица4[[#This Row],[Статус]])</f>
        <v>4291194.8099999996</v>
      </c>
      <c r="H497" s="235">
        <f>_xlfn.XLOOKUP(Таблица4[[#This Row],[№]],Реестр_Д4[№],Реестр_Д4[Стоимость квартиры с отделкой],"-",0)</f>
        <v>4291194.8099999996</v>
      </c>
      <c r="I497" s="235">
        <f>IFERROR(Таблица4[[#This Row],[СО ПП]]-Таблица4[[#This Row],[СО ДДУ]],"")</f>
        <v>0</v>
      </c>
      <c r="J497" s="233" cm="1">
        <f t="array" ref="J497">IFERROR(INDEX(РД[S],MATCH($B$3&amp;Таблица4[[#This Row],[№]]&amp;"Продажа",РД[Дом]&amp;РД[№ кв]&amp;РД[Состояние],0),1),Таблица4[[#This Row],[Статус]])</f>
        <v>38.6</v>
      </c>
      <c r="K497" s="233">
        <f>VLOOKUP(Таблица4[[#This Row],[№]],Реестр_Д4[],20,0)</f>
        <v>38.6</v>
      </c>
      <c r="L497" s="235">
        <f>IFERROR(Таблица4[[#This Row],[S ПП]]-Таблица4[[#This Row],[S ДДУ]],)</f>
        <v>0</v>
      </c>
      <c r="M497" s="235">
        <f>ROUND(_xlfn.XLOOKUP(Таблица4[[#This Row],[№]],Реестр_Д4[№],Реестр_Д4[Итоговая сумма скидки],"",0),2)</f>
        <v>0</v>
      </c>
      <c r="N497" s="235" cm="1">
        <f t="array" ref="N49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7" s="235">
        <f>IFERROR(Таблица4[[#This Row],[ППС]]-Таблица4[[#This Row],[ДДУС]],)</f>
        <v>0</v>
      </c>
      <c r="P497" s="611"/>
      <c r="Q497" s="234">
        <f>VLOOKUP(ППД5!A494,Реестр_Д5[№],1,0)</f>
        <v>493</v>
      </c>
      <c r="R497" s="234" t="str">
        <f>VLOOKUP(ППД5!CH494,Реестр_Д5[Статус],1,0)</f>
        <v>Продажа</v>
      </c>
      <c r="S497" s="612">
        <f>VLOOKUP(ППД5!BZ494,Реестр_Д5[Стоимость ОН без отделки со скидкой],1,0)</f>
        <v>3993794</v>
      </c>
      <c r="T497" s="612" cm="1">
        <f t="array" ref="T497">IFERROR(INDEX(РД[Стоимость без отделки итог],MATCH($Q$3&amp;Таблица10[[#This Row],[№]]&amp;"Продажа",РД[Дом]&amp;РД[№ кв]&amp;РД[Состояние],0),1),Таблица10[[#This Row],[Статус]])</f>
        <v>3993794</v>
      </c>
      <c r="U497" s="235">
        <f>IFERROR((Таблица10[[#This Row],[ПП]]-Таблица10[[#This Row],[ДДУ]])*1,)</f>
        <v>0</v>
      </c>
      <c r="V497" s="235" cm="1">
        <f t="array" ref="V497">IFERROR(INDEX(РД[Стоимость с отделкой итог],MATCH($Q$3&amp;Таблица10[[#This Row],[№]]&amp;"Продажа",РД[Дом]&amp;РД[№ кв]&amp;РД[Состояние],0),1),Таблица10[[#This Row],[Статус]])</f>
        <v>3993794</v>
      </c>
      <c r="W497" s="235">
        <f>_xlfn.XLOOKUP(Таблица10[[#This Row],[№]],Реестр_Д5[№],Реестр_Д5[Стоимость квартиры с отделкой],"-",0)</f>
        <v>3993794</v>
      </c>
      <c r="X497" s="235">
        <f>IFERROR(Таблица10[[#This Row],[СО ПП]]-Таблица10[[#This Row],[СО ДДУ]],"")</f>
        <v>0</v>
      </c>
      <c r="Y497" s="233" cm="1">
        <f t="array" ref="Y497">IFERROR(INDEX(РД[S],MATCH($Q$3&amp;Таблица10[[#This Row],[№]]&amp;"Продажа",РД[Дом]&amp;РД[№ кв]&amp;РД[Состояние],0),1),Таблица10[[#This Row],[Статус]])</f>
        <v>29.4</v>
      </c>
      <c r="Z497" s="233">
        <f>IF(Таблица10[[#This Row],[№]]&amp;"ДДУ"=ППД5!A494&amp;ППД5!CR494,ППД5!U494,ППД5!V494)</f>
        <v>29.4</v>
      </c>
      <c r="AA497" s="285">
        <f>IFERROR(Таблица10[[#This Row],[S ПП]]-Таблица10[[#This Row],[S ДДУ]],)</f>
        <v>0</v>
      </c>
      <c r="AB497" s="235">
        <f>ROUND(_xlfn.XLOOKUP(Таблица10[[#This Row],[№]],Реестр_Д5[№],Реестр_Д5[Итоговая сумма скидки],"",0),2)</f>
        <v>81506</v>
      </c>
      <c r="AC497" s="235" cm="1">
        <f t="array" ref="AC497">IFERROR(ROUND(_xlfn.XLOOKUP($Q$3&amp;Таблица10[[#This Row],[№]]&amp;"Продажа",РД[Дом]&amp;РД[№ кв]&amp;РД[Состояние],РД[Сумма скидки],"",0,-1),2),Таблица10[[#This Row],[Статус]])</f>
        <v>81506</v>
      </c>
      <c r="AD497" s="285">
        <f>IFERROR(Таблица10[[#This Row],[ППС]]-Таблица10[[#This Row],[ДДУС]],)</f>
        <v>0</v>
      </c>
      <c r="AE497" s="611"/>
      <c r="AT497" s="611"/>
    </row>
    <row r="498" spans="1:46" x14ac:dyDescent="0.2">
      <c r="A498" s="611"/>
      <c r="B498" s="234">
        <f>VLOOKUP(ППД4!A495,Реестр_Д4[№],1,0)</f>
        <v>494</v>
      </c>
      <c r="C498" s="234" t="str">
        <f>VLOOKUP(ППД4!CO495,Реестр_Д4[Статус],1,0)</f>
        <v>Продажа</v>
      </c>
      <c r="D498" s="612">
        <f>VLOOKUP(ППД4!CE495,Реестр_Д4[Стоимость ОН без отделки со скидкой],1,0)</f>
        <v>6004674.1200000001</v>
      </c>
      <c r="E498" s="612" cm="1">
        <f t="array" ref="E498">IFERROR(INDEX(РД[Стоимость без отделки итог],MATCH($B$3&amp;Таблица4[[#This Row],[№]]&amp;"Продажа",РД[Дом]&amp;РД[№ кв]&amp;РД[Состояние],0),1),Таблица4[[#This Row],[Статус]])</f>
        <v>6004674.1200000001</v>
      </c>
      <c r="F498" s="235">
        <f>IFERROR((Таблица4[[#This Row],[ПП]]-Таблица4[[#This Row],[ДДУ]])*1,"")</f>
        <v>0</v>
      </c>
      <c r="G498" s="235" cm="1">
        <f t="array" ref="G498">IFERROR(INDEX(РД[Стоимость с отделкой итог],MATCH($B$3&amp;Таблица4[[#This Row],[№]]&amp;"Продажа",РД[Дом]&amp;РД[№ кв]&amp;РД[Состояние],0),1),Таблица4[[#This Row],[Статус]])</f>
        <v>6301794.1200000001</v>
      </c>
      <c r="H498" s="235">
        <f>_xlfn.XLOOKUP(Таблица4[[#This Row],[№]],Реестр_Д4[№],Реестр_Д4[Стоимость квартиры с отделкой],"-",0)</f>
        <v>6301794.1200000001</v>
      </c>
      <c r="I498" s="235">
        <f>IFERROR(Таблица4[[#This Row],[СО ПП]]-Таблица4[[#This Row],[СО ДДУ]],"")</f>
        <v>0</v>
      </c>
      <c r="J498" s="233" cm="1">
        <f t="array" ref="J498">IFERROR(INDEX(РД[S],MATCH($B$3&amp;Таблица4[[#This Row],[№]]&amp;"Продажа",РД[Дом]&amp;РД[№ кв]&amp;РД[Состояние],0),1),Таблица4[[#This Row],[Статус]])</f>
        <v>74.28</v>
      </c>
      <c r="K498" s="233">
        <f>VLOOKUP(Таблица4[[#This Row],[№]],Реестр_Д4[],20,0)</f>
        <v>74.28</v>
      </c>
      <c r="L498" s="235">
        <f>IFERROR(Таблица4[[#This Row],[S ПП]]-Таблица4[[#This Row],[S ДДУ]],)</f>
        <v>0</v>
      </c>
      <c r="M498" s="235">
        <f>ROUND(_xlfn.XLOOKUP(Таблица4[[#This Row],[№]],Реестр_Д4[№],Реестр_Д4[Итоговая сумма скидки],"",0),2)</f>
        <v>0</v>
      </c>
      <c r="N498" s="235" cm="1">
        <f t="array" ref="N49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8" s="235">
        <f>IFERROR(Таблица4[[#This Row],[ППС]]-Таблица4[[#This Row],[ДДУС]],)</f>
        <v>0</v>
      </c>
      <c r="P498" s="611"/>
      <c r="Q498" s="234">
        <f>VLOOKUP(ППД5!A495,Реестр_Д5[№],1,0)</f>
        <v>494</v>
      </c>
      <c r="R498" s="234" t="str">
        <f>VLOOKUP(ППД5!CH495,Реестр_Д5[Статус],1,0)</f>
        <v>Продажа</v>
      </c>
      <c r="S498" s="612">
        <f>VLOOKUP(ППД5!BZ495,Реестр_Д5[Стоимость ОН без отделки со скидкой],1,0)</f>
        <v>4136482</v>
      </c>
      <c r="T498" s="612" cm="1">
        <f t="array" ref="T498">IFERROR(INDEX(РД[Стоимость без отделки итог],MATCH($Q$3&amp;Таблица10[[#This Row],[№]]&amp;"Продажа",РД[Дом]&amp;РД[№ кв]&amp;РД[Состояние],0),1),Таблица10[[#This Row],[Статус]])</f>
        <v>4136482</v>
      </c>
      <c r="U498" s="235">
        <f>IFERROR((Таблица10[[#This Row],[ПП]]-Таблица10[[#This Row],[ДДУ]])*1,)</f>
        <v>0</v>
      </c>
      <c r="V498" s="235" cm="1">
        <f t="array" ref="V498">IFERROR(INDEX(РД[Стоимость с отделкой итог],MATCH($Q$3&amp;Таблица10[[#This Row],[№]]&amp;"Продажа",РД[Дом]&amp;РД[№ кв]&amp;РД[Состояние],0),1),Таблица10[[#This Row],[Статус]])</f>
        <v>4136482</v>
      </c>
      <c r="W498" s="235">
        <f>_xlfn.XLOOKUP(Таблица10[[#This Row],[№]],Реестр_Д5[№],Реестр_Д5[Стоимость квартиры с отделкой],"-",0)</f>
        <v>4136482.0000000009</v>
      </c>
      <c r="X498" s="235">
        <f>IFERROR(Таблица10[[#This Row],[СО ПП]]-Таблица10[[#This Row],[СО ДДУ]],"")</f>
        <v>9.3132257461547852E-10</v>
      </c>
      <c r="Y498" s="233" cm="1">
        <f t="array" ref="Y498">IFERROR(INDEX(РД[S],MATCH($Q$3&amp;Таблица10[[#This Row],[№]]&amp;"Продажа",РД[Дом]&amp;РД[№ кв]&amp;РД[Состояние],0),1),Таблица10[[#This Row],[Статус]])</f>
        <v>43.21</v>
      </c>
      <c r="Z498" s="233">
        <f>IF(Таблица10[[#This Row],[№]]&amp;"ДДУ"=ППД5!A495&amp;ППД5!CR495,ППД5!U495,ППД5!V495)</f>
        <v>43.21</v>
      </c>
      <c r="AA498" s="285">
        <f>IFERROR(Таблица10[[#This Row],[S ПП]]-Таблица10[[#This Row],[S ДДУ]],)</f>
        <v>0</v>
      </c>
      <c r="AB498" s="235">
        <f>ROUND(_xlfn.XLOOKUP(Таблица10[[#This Row],[№]],Реестр_Д5[№],Реестр_Д5[Итоговая сумма скидки],"",0),2)</f>
        <v>84418</v>
      </c>
      <c r="AC498" s="235" cm="1">
        <f t="array" ref="AC498">IFERROR(ROUND(_xlfn.XLOOKUP($Q$3&amp;Таблица10[[#This Row],[№]]&amp;"Продажа",РД[Дом]&amp;РД[№ кв]&amp;РД[Состояние],РД[Сумма скидки],"",0,-1),2),Таблица10[[#This Row],[Статус]])</f>
        <v>84418</v>
      </c>
      <c r="AD498" s="285">
        <f>IFERROR(Таблица10[[#This Row],[ППС]]-Таблица10[[#This Row],[ДДУС]],)</f>
        <v>0</v>
      </c>
      <c r="AE498" s="611"/>
      <c r="AT498" s="611"/>
    </row>
    <row r="499" spans="1:46" x14ac:dyDescent="0.2">
      <c r="A499" s="611"/>
      <c r="B499" s="234">
        <f>VLOOKUP(ППД4!A496,Реестр_Д4[№],1,0)</f>
        <v>495</v>
      </c>
      <c r="C499" s="234" t="str">
        <f>VLOOKUP(ППД4!CO496,Реестр_Д4[Статус],1,0)</f>
        <v>Продажа</v>
      </c>
      <c r="D499" s="612">
        <f>VLOOKUP(ППД4!CE496,Реестр_Д4[Стоимость ОН без отделки со скидкой],1,0)</f>
        <v>3017449.89</v>
      </c>
      <c r="E499" s="612" cm="1">
        <f t="array" ref="E499">IFERROR(INDEX(РД[Стоимость без отделки итог],MATCH($B$3&amp;Таблица4[[#This Row],[№]]&amp;"Продажа",РД[Дом]&amp;РД[№ кв]&amp;РД[Состояние],0),1),Таблица4[[#This Row],[Статус]])</f>
        <v>3017449.89</v>
      </c>
      <c r="F499" s="235">
        <f>IFERROR((Таблица4[[#This Row],[ПП]]-Таблица4[[#This Row],[ДДУ]])*1,"")</f>
        <v>0</v>
      </c>
      <c r="G499" s="235" cm="1">
        <f t="array" ref="G499">IFERROR(INDEX(РД[Стоимость с отделкой итог],MATCH($B$3&amp;Таблица4[[#This Row],[№]]&amp;"Продажа",РД[Дом]&amp;РД[№ кв]&amp;РД[Состояние],0),1),Таблица4[[#This Row],[Статус]])</f>
        <v>3291199.89</v>
      </c>
      <c r="H499" s="235">
        <f>_xlfn.XLOOKUP(Таблица4[[#This Row],[№]],Реестр_Д4[№],Реестр_Д4[Стоимость квартиры с отделкой],"-",0)</f>
        <v>3291199.89</v>
      </c>
      <c r="I499" s="235">
        <f>IFERROR(Таблица4[[#This Row],[СО ПП]]-Таблица4[[#This Row],[СО ДДУ]],"")</f>
        <v>0</v>
      </c>
      <c r="J499" s="233" cm="1">
        <f t="array" ref="J499">IFERROR(INDEX(РД[S],MATCH($B$3&amp;Таблица4[[#This Row],[№]]&amp;"Продажа",РД[Дом]&amp;РД[№ кв]&amp;РД[Состояние],0),1),Таблица4[[#This Row],[Статус]])</f>
        <v>36.5</v>
      </c>
      <c r="K499" s="233">
        <f>VLOOKUP(Таблица4[[#This Row],[№]],Реестр_Д4[],20,0)</f>
        <v>36.5</v>
      </c>
      <c r="L499" s="235">
        <f>IFERROR(Таблица4[[#This Row],[S ПП]]-Таблица4[[#This Row],[S ДДУ]],)</f>
        <v>0</v>
      </c>
      <c r="M499" s="235">
        <f>ROUND(_xlfn.XLOOKUP(Таблица4[[#This Row],[№]],Реестр_Д4[№],Реестр_Д4[Итоговая сумма скидки],"",0),2)</f>
        <v>0</v>
      </c>
      <c r="N499" s="235" cm="1">
        <f t="array" ref="N499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499" s="235">
        <f>IFERROR(Таблица4[[#This Row],[ППС]]-Таблица4[[#This Row],[ДДУС]],)</f>
        <v>0</v>
      </c>
      <c r="P499" s="611"/>
      <c r="Q499" s="234">
        <f>VLOOKUP(ППД5!A496,Реестр_Д5[№],1,0)</f>
        <v>495</v>
      </c>
      <c r="R499" s="234" t="str">
        <f>VLOOKUP(ППД5!CH496,Реестр_Д5[Статус],1,0)</f>
        <v>Продажа</v>
      </c>
      <c r="S499" s="612">
        <f>VLOOKUP(ППД5!BZ496,Реестр_Д5[Стоимость ОН без отделки со скидкой],1,0)</f>
        <v>3444014</v>
      </c>
      <c r="T499" s="612" cm="1">
        <f t="array" ref="T499">IFERROR(INDEX(РД[Стоимость без отделки итог],MATCH($Q$3&amp;Таблица10[[#This Row],[№]]&amp;"Продажа",РД[Дом]&amp;РД[№ кв]&amp;РД[Состояние],0),1),Таблица10[[#This Row],[Статус]])</f>
        <v>3444014</v>
      </c>
      <c r="U499" s="235">
        <f>IFERROR((Таблица10[[#This Row],[ПП]]-Таблица10[[#This Row],[ДДУ]])*1,)</f>
        <v>0</v>
      </c>
      <c r="V499" s="235" cm="1">
        <f t="array" ref="V499">IFERROR(INDEX(РД[Стоимость с отделкой итог],MATCH($Q$3&amp;Таблица10[[#This Row],[№]]&amp;"Продажа",РД[Дом]&amp;РД[№ кв]&amp;РД[Состояние],0),1),Таблица10[[#This Row],[Статус]])</f>
        <v>3444014</v>
      </c>
      <c r="W499" s="235">
        <f>_xlfn.XLOOKUP(Таблица10[[#This Row],[№]],Реестр_Д5[№],Реестр_Д5[Стоимость квартиры с отделкой],"-",0)</f>
        <v>3444014</v>
      </c>
      <c r="X499" s="235">
        <f>IFERROR(Таблица10[[#This Row],[СО ПП]]-Таблица10[[#This Row],[СО ДДУ]],"")</f>
        <v>0</v>
      </c>
      <c r="Y499" s="233" cm="1">
        <f t="array" ref="Y499">IFERROR(INDEX(РД[S],MATCH($Q$3&amp;Таблица10[[#This Row],[№]]&amp;"Продажа",РД[Дом]&amp;РД[№ кв]&amp;РД[Состояние],0),1),Таблица10[[#This Row],[Статус]])</f>
        <v>24.5</v>
      </c>
      <c r="Z499" s="233">
        <f>IF(Таблица10[[#This Row],[№]]&amp;"ДДУ"=ППД5!A496&amp;ППД5!CR496,ППД5!U496,ППД5!V496)</f>
        <v>24.5</v>
      </c>
      <c r="AA499" s="285">
        <f>IFERROR(Таблица10[[#This Row],[S ПП]]-Таблица10[[#This Row],[S ДДУ]],)</f>
        <v>0</v>
      </c>
      <c r="AB499" s="235">
        <f>ROUND(_xlfn.XLOOKUP(Таблица10[[#This Row],[№]],Реестр_Д5[№],Реестр_Д5[Итоговая сумма скидки],"",0),2)</f>
        <v>70286</v>
      </c>
      <c r="AC499" s="235" cm="1">
        <f t="array" ref="AC499">IFERROR(ROUND(_xlfn.XLOOKUP($Q$3&amp;Таблица10[[#This Row],[№]]&amp;"Продажа",РД[Дом]&amp;РД[№ кв]&amp;РД[Состояние],РД[Сумма скидки],"",0,-1),2),Таблица10[[#This Row],[Статус]])</f>
        <v>70286</v>
      </c>
      <c r="AD499" s="285">
        <f>IFERROR(Таблица10[[#This Row],[ППС]]-Таблица10[[#This Row],[ДДУС]],)</f>
        <v>0</v>
      </c>
      <c r="AE499" s="611"/>
      <c r="AT499" s="611"/>
    </row>
    <row r="500" spans="1:46" x14ac:dyDescent="0.2">
      <c r="A500" s="611"/>
      <c r="B500" s="234">
        <f>VLOOKUP(ППД4!A497,Реестр_Д4[№],1,0)</f>
        <v>496</v>
      </c>
      <c r="C500" s="234" t="str">
        <f>VLOOKUP(ППД4!CO497,Реестр_Д4[Статус],1,0)</f>
        <v>Продажа</v>
      </c>
      <c r="D500" s="612">
        <f>VLOOKUP(ППД4!CE497,Реестр_Д4[Стоимость ОН без отделки со скидкой],1,0)</f>
        <v>4200154.8499999996</v>
      </c>
      <c r="E500" s="612" cm="1">
        <f t="array" ref="E500">IFERROR(INDEX(РД[Стоимость без отделки итог],MATCH($B$3&amp;Таблица4[[#This Row],[№]]&amp;"Продажа",РД[Дом]&amp;РД[№ кв]&amp;РД[Состояние],0),1),Таблица4[[#This Row],[Статус]])</f>
        <v>4200154.8499999996</v>
      </c>
      <c r="F500" s="235">
        <f>IFERROR((Таблица4[[#This Row],[ПП]]-Таблица4[[#This Row],[ДДУ]])*1,"")</f>
        <v>0</v>
      </c>
      <c r="G500" s="235" cm="1">
        <f t="array" ref="G500">IFERROR(INDEX(РД[Стоимость с отделкой итог],MATCH($B$3&amp;Таблица4[[#This Row],[№]]&amp;"Продажа",РД[Дом]&amp;РД[№ кв]&amp;РД[Состояние],0),1),Таблица4[[#This Row],[Статус]])</f>
        <v>4424314.8499999996</v>
      </c>
      <c r="H500" s="235">
        <f>_xlfn.XLOOKUP(Таблица4[[#This Row],[№]],Реестр_Д4[№],Реестр_Д4[Стоимость квартиры с отделкой],"-",0)</f>
        <v>4424314.8499999996</v>
      </c>
      <c r="I500" s="235">
        <f>IFERROR(Таблица4[[#This Row],[СО ПП]]-Таблица4[[#This Row],[СО ДДУ]],"")</f>
        <v>0</v>
      </c>
      <c r="J500" s="233" cm="1">
        <f t="array" ref="J500">IFERROR(INDEX(РД[S],MATCH($B$3&amp;Таблица4[[#This Row],[№]]&amp;"Продажа",РД[Дом]&amp;РД[№ кв]&amp;РД[Состояние],0),1),Таблица4[[#This Row],[Статус]])</f>
        <v>56.04</v>
      </c>
      <c r="K500" s="233">
        <f>VLOOKUP(Таблица4[[#This Row],[№]],Реестр_Д4[],20,0)</f>
        <v>56.04</v>
      </c>
      <c r="L500" s="235">
        <f>IFERROR(Таблица4[[#This Row],[S ПП]]-Таблица4[[#This Row],[S ДДУ]],)</f>
        <v>0</v>
      </c>
      <c r="M500" s="235">
        <f>ROUND(_xlfn.XLOOKUP(Таблица4[[#This Row],[№]],Реестр_Д4[№],Реестр_Д4[Итоговая сумма скидки],"",0),2)</f>
        <v>0</v>
      </c>
      <c r="N500" s="235" cm="1">
        <f t="array" ref="N50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00" s="235">
        <f>IFERROR(Таблица4[[#This Row],[ППС]]-Таблица4[[#This Row],[ДДУС]],)</f>
        <v>0</v>
      </c>
      <c r="P500" s="611"/>
      <c r="Q500" s="234">
        <f>VLOOKUP(ППД5!A497,Реестр_Д5[№],1,0)</f>
        <v>496</v>
      </c>
      <c r="R500" s="234" t="str">
        <f>VLOOKUP(ППД5!CH497,Реестр_Д5[Статус],1,0)</f>
        <v>Гарантированная бронь</v>
      </c>
      <c r="S500" s="612">
        <f>VLOOKUP(ППД5!BZ497,Реестр_Д5[Стоимость ОН без отделки со скидкой],1,0)</f>
        <v>7037800</v>
      </c>
      <c r="T500" s="612" t="str" cm="1">
        <f t="array" ref="T500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500" s="235">
        <f>IFERROR((Таблица10[[#This Row],[ПП]]-Таблица10[[#This Row],[ДДУ]])*1,)</f>
        <v>0</v>
      </c>
      <c r="V500" s="235" t="str" cm="1">
        <f t="array" ref="V500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500" s="235">
        <f>_xlfn.XLOOKUP(Таблица10[[#This Row],[№]],Реестр_Д5[№],Реестр_Д5[Стоимость квартиры с отделкой],"-",0)</f>
        <v>7618300</v>
      </c>
      <c r="X500" s="235" t="str">
        <f>IFERROR(Таблица10[[#This Row],[СО ПП]]-Таблица10[[#This Row],[СО ДДУ]],"")</f>
        <v/>
      </c>
      <c r="Y500" s="233" t="str" cm="1">
        <f t="array" ref="Y500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500" s="233">
        <f>IF(Таблица10[[#This Row],[№]]&amp;"ДДУ"=ППД5!A497&amp;ППД5!CR497,ППД5!U497,ППД5!V497)</f>
        <v>58.05</v>
      </c>
      <c r="AA500" s="285">
        <f>IFERROR(Таблица10[[#This Row],[S ПП]]-Таблица10[[#This Row],[S ДДУ]],)</f>
        <v>0</v>
      </c>
      <c r="AB500" s="235">
        <f>ROUND(_xlfn.XLOOKUP(Таблица10[[#This Row],[№]],Реестр_Д5[№],Реестр_Д5[Итоговая сумма скидки],"",0),2)</f>
        <v>0</v>
      </c>
      <c r="AC500" s="235" t="str" cm="1">
        <f t="array" ref="AC500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500" s="285">
        <f>IFERROR(Таблица10[[#This Row],[ППС]]-Таблица10[[#This Row],[ДДУС]],)</f>
        <v>0</v>
      </c>
      <c r="AE500" s="611"/>
      <c r="AT500" s="611"/>
    </row>
    <row r="501" spans="1:46" x14ac:dyDescent="0.2">
      <c r="A501" s="611"/>
      <c r="B501" s="234">
        <f>VLOOKUP(ППД4!A498,Реестр_Д4[№],1,0)</f>
        <v>497</v>
      </c>
      <c r="C501" s="234" t="str">
        <f>VLOOKUP(ППД4!CO498,Реестр_Д4[Статус],1,0)</f>
        <v>Продажа</v>
      </c>
      <c r="D501" s="612">
        <f>VLOOKUP(ППД4!CE498,Реестр_Д4[Стоимость ОН без отделки со скидкой],1,0)</f>
        <v>5329100</v>
      </c>
      <c r="E501" s="612" cm="1">
        <f t="array" ref="E501">IFERROR(INDEX(РД[Стоимость без отделки итог],MATCH($B$3&amp;Таблица4[[#This Row],[№]]&amp;"Продажа",РД[Дом]&amp;РД[№ кв]&amp;РД[Состояние],0),1),Таблица4[[#This Row],[Статус]])</f>
        <v>5329100</v>
      </c>
      <c r="F501" s="235">
        <f>IFERROR((Таблица4[[#This Row],[ПП]]-Таблица4[[#This Row],[ДДУ]])*1,"")</f>
        <v>0</v>
      </c>
      <c r="G501" s="235" cm="1">
        <f t="array" ref="G501">IFERROR(INDEX(РД[Стоимость с отделкой итог],MATCH($B$3&amp;Таблица4[[#This Row],[№]]&amp;"Продажа",РД[Дом]&amp;РД[№ кв]&amp;РД[Состояние],0),1),Таблица4[[#This Row],[Статус]])</f>
        <v>5329100</v>
      </c>
      <c r="H501" s="235">
        <f>_xlfn.XLOOKUP(Таблица4[[#This Row],[№]],Реестр_Д4[№],Реестр_Д4[Стоимость квартиры с отделкой],"-",0)</f>
        <v>5329100</v>
      </c>
      <c r="I501" s="235">
        <f>IFERROR(Таблица4[[#This Row],[СО ПП]]-Таблица4[[#This Row],[СО ДДУ]],"")</f>
        <v>0</v>
      </c>
      <c r="J501" s="233" cm="1">
        <f t="array" ref="J501">IFERROR(INDEX(РД[S],MATCH($B$3&amp;Таблица4[[#This Row],[№]]&amp;"Продажа",РД[Дом]&amp;РД[№ кв]&amp;РД[Состояние],0),1),Таблица4[[#This Row],[Статус]])</f>
        <v>58.62</v>
      </c>
      <c r="K501" s="233">
        <f>VLOOKUP(Таблица4[[#This Row],[№]],Реестр_Д4[],20,0)</f>
        <v>58.62</v>
      </c>
      <c r="L501" s="235">
        <f>IFERROR(Таблица4[[#This Row],[S ПП]]-Таблица4[[#This Row],[S ДДУ]],)</f>
        <v>0</v>
      </c>
      <c r="M501" s="235">
        <f>ROUND(_xlfn.XLOOKUP(Таблица4[[#This Row],[№]],Реестр_Д4[№],Реестр_Д4[Итоговая сумма скидки],"",0),2)</f>
        <v>20000</v>
      </c>
      <c r="N501" s="235" cm="1">
        <f t="array" ref="N501">IFERROR(ROUND(_xlfn.XLOOKUP($B$3&amp;Таблица4[[#This Row],[№]]&amp;"Продажа",РД[Дом]&amp;РД[№ кв]&amp;РД[Состояние],РД[Сумма скидки],"",0),2),Таблица4[[#This Row],[Статус]])</f>
        <v>20000</v>
      </c>
      <c r="O501" s="235">
        <f>IFERROR(Таблица4[[#This Row],[ППС]]-Таблица4[[#This Row],[ДДУС]],)</f>
        <v>0</v>
      </c>
      <c r="P501" s="611"/>
      <c r="Q501" s="234">
        <f>VLOOKUP(ППД5!A498,Реестр_Д5[№],1,0)</f>
        <v>497</v>
      </c>
      <c r="R501" s="234" t="str">
        <f>VLOOKUP(ППД5!CH498,Реестр_Д5[Статус],1,0)</f>
        <v>Продажа</v>
      </c>
      <c r="S501" s="612">
        <f>VLOOKUP(ППД5!BZ498,Реестр_Д5[Стоимость ОН без отделки со скидкой],1,0)</f>
        <v>4848741.7</v>
      </c>
      <c r="T501" s="612" cm="1">
        <f t="array" ref="T501">IFERROR(INDEX(РД[Стоимость без отделки итог],MATCH($Q$3&amp;Таблица10[[#This Row],[№]]&amp;"Продажа",РД[Дом]&amp;РД[№ кв]&amp;РД[Состояние],0),1),Таблица10[[#This Row],[Статус]])</f>
        <v>4848741.7</v>
      </c>
      <c r="U501" s="235">
        <f>IFERROR((Таблица10[[#This Row],[ПП]]-Таблица10[[#This Row],[ДДУ]])*1,)</f>
        <v>0</v>
      </c>
      <c r="V501" s="235" cm="1">
        <f t="array" ref="V501">IFERROR(INDEX(РД[Стоимость с отделкой итог],MATCH($Q$3&amp;Таблица10[[#This Row],[№]]&amp;"Продажа",РД[Дом]&amp;РД[№ кв]&amp;РД[Состояние],0),1),Таблица10[[#This Row],[Статус]])</f>
        <v>4848741.7</v>
      </c>
      <c r="W501" s="235">
        <f>_xlfn.XLOOKUP(Таблица10[[#This Row],[№]],Реестр_Д5[№],Реестр_Д5[Стоимость квартиры с отделкой],"-",0)</f>
        <v>4848741.7</v>
      </c>
      <c r="X501" s="235">
        <f>IFERROR(Таблица10[[#This Row],[СО ПП]]-Таблица10[[#This Row],[СО ДДУ]],"")</f>
        <v>0</v>
      </c>
      <c r="Y501" s="233" cm="1">
        <f t="array" ref="Y501">IFERROR(INDEX(РД[S],MATCH($Q$3&amp;Таблица10[[#This Row],[№]]&amp;"Продажа",РД[Дом]&amp;РД[№ кв]&amp;РД[Состояние],0),1),Таблица10[[#This Row],[Статус]])</f>
        <v>57.8</v>
      </c>
      <c r="Z501" s="233">
        <f>IF(Таблица10[[#This Row],[№]]&amp;"ДДУ"=ППД5!A498&amp;ППД5!CR498,ППД5!U498,ППД5!V498)</f>
        <v>57.8</v>
      </c>
      <c r="AA501" s="285">
        <f>IFERROR(Таблица10[[#This Row],[S ПП]]-Таблица10[[#This Row],[S ДДУ]],)</f>
        <v>0</v>
      </c>
      <c r="AB501" s="235">
        <f>ROUND(_xlfn.XLOOKUP(Таблица10[[#This Row],[№]],Реестр_Д5[№],Реестр_Д5[Итоговая сумма скидки],"",0),2)</f>
        <v>98953.91</v>
      </c>
      <c r="AC501" s="235" cm="1">
        <f t="array" ref="AC501">IFERROR(ROUND(_xlfn.XLOOKUP($Q$3&amp;Таблица10[[#This Row],[№]]&amp;"Продажа",РД[Дом]&amp;РД[№ кв]&amp;РД[Состояние],РД[Сумма скидки],"",0,-1),2),Таблица10[[#This Row],[Статус]])</f>
        <v>98953.91</v>
      </c>
      <c r="AD501" s="285">
        <f>IFERROR(Таблица10[[#This Row],[ППС]]-Таблица10[[#This Row],[ДДУС]],)</f>
        <v>0</v>
      </c>
      <c r="AE501" s="611"/>
      <c r="AT501" s="611"/>
    </row>
    <row r="502" spans="1:46" x14ac:dyDescent="0.2">
      <c r="A502" s="611"/>
      <c r="B502" s="234">
        <f>VLOOKUP(ППД4!A499,Реестр_Д4[№],1,0)</f>
        <v>498</v>
      </c>
      <c r="C502" s="234" t="str">
        <f>VLOOKUP(ППД4!CO499,Реестр_Д4[Статус],1,0)</f>
        <v>Продажа</v>
      </c>
      <c r="D502" s="612">
        <f>VLOOKUP(ППД4!CE499,Реестр_Д4[Стоимость ОН без отделки со скидкой],1,0)</f>
        <v>6084232</v>
      </c>
      <c r="E502" s="612" cm="1">
        <f t="array" ref="E502">IFERROR(INDEX(РД[Стоимость без отделки итог],MATCH($B$3&amp;Таблица4[[#This Row],[№]]&amp;"Продажа",РД[Дом]&amp;РД[№ кв]&amp;РД[Состояние],0),1),Таблица4[[#This Row],[Статус]])</f>
        <v>6084232</v>
      </c>
      <c r="F502" s="235">
        <f>IFERROR((Таблица4[[#This Row],[ПП]]-Таблица4[[#This Row],[ДДУ]])*1,"")</f>
        <v>0</v>
      </c>
      <c r="G502" s="235" cm="1">
        <f t="array" ref="G502">IFERROR(INDEX(РД[Стоимость с отделкой итог],MATCH($B$3&amp;Таблица4[[#This Row],[№]]&amp;"Продажа",РД[Дом]&amp;РД[№ кв]&amp;РД[Состояние],0),1),Таблица4[[#This Row],[Статус]])</f>
        <v>7569012</v>
      </c>
      <c r="H502" s="235">
        <f>_xlfn.XLOOKUP(Таблица4[[#This Row],[№]],Реестр_Д4[№],Реестр_Д4[Стоимость квартиры с отделкой],"-",0)</f>
        <v>7569012</v>
      </c>
      <c r="I502" s="235">
        <f>IFERROR(Таблица4[[#This Row],[СО ПП]]-Таблица4[[#This Row],[СО ДДУ]],"")</f>
        <v>0</v>
      </c>
      <c r="J502" s="233" cm="1">
        <f t="array" ref="J502">IFERROR(INDEX(РД[S],MATCH($B$3&amp;Таблица4[[#This Row],[№]]&amp;"Продажа",РД[Дом]&amp;РД[№ кв]&amp;РД[Состояние],0),1),Таблица4[[#This Row],[Статус]])</f>
        <v>67.489999999999995</v>
      </c>
      <c r="K502" s="233">
        <f>VLOOKUP(Таблица4[[#This Row],[№]],Реестр_Д4[],20,0)</f>
        <v>67.489999999999995</v>
      </c>
      <c r="L502" s="235">
        <f>IFERROR(Таблица4[[#This Row],[S ПП]]-Таблица4[[#This Row],[S ДДУ]],)</f>
        <v>0</v>
      </c>
      <c r="M502" s="235">
        <f>ROUND(_xlfn.XLOOKUP(Таблица4[[#This Row],[№]],Реестр_Д4[№],Реестр_Д4[Итоговая сумма скидки],"",0),2)</f>
        <v>124168</v>
      </c>
      <c r="N502" s="235" cm="1">
        <f t="array" ref="N502">IFERROR(ROUND(_xlfn.XLOOKUP($B$3&amp;Таблица4[[#This Row],[№]]&amp;"Продажа",РД[Дом]&amp;РД[№ кв]&amp;РД[Состояние],РД[Сумма скидки],"",0),2),Таблица4[[#This Row],[Статус]])</f>
        <v>124168</v>
      </c>
      <c r="O502" s="235">
        <f>IFERROR(Таблица4[[#This Row],[ППС]]-Таблица4[[#This Row],[ДДУС]],)</f>
        <v>0</v>
      </c>
      <c r="P502" s="611"/>
      <c r="Q502" s="234">
        <f>VLOOKUP(ППД5!A499,Реестр_Д5[№],1,0)</f>
        <v>498</v>
      </c>
      <c r="R502" s="234" t="str">
        <f>VLOOKUP(ППД5!CH499,Реестр_Д5[Статус],1,0)</f>
        <v>Продажа</v>
      </c>
      <c r="S502" s="612">
        <f>VLOOKUP(ППД5!BZ499,Реестр_Д5[Стоимость ОН без отделки со скидкой],1,0)</f>
        <v>4203400</v>
      </c>
      <c r="T502" s="612" cm="1">
        <f t="array" ref="T502">IFERROR(INDEX(РД[Стоимость без отделки итог],MATCH($Q$3&amp;Таблица10[[#This Row],[№]]&amp;"Продажа",РД[Дом]&amp;РД[№ кв]&amp;РД[Состояние],0),1),Таблица10[[#This Row],[Статус]])</f>
        <v>4203400</v>
      </c>
      <c r="U502" s="235">
        <f>IFERROR((Таблица10[[#This Row],[ПП]]-Таблица10[[#This Row],[ДДУ]])*1,)</f>
        <v>0</v>
      </c>
      <c r="V502" s="235" cm="1">
        <f t="array" ref="V502">IFERROR(INDEX(РД[Стоимость с отделкой итог],MATCH($Q$3&amp;Таблица10[[#This Row],[№]]&amp;"Продажа",РД[Дом]&amp;РД[№ кв]&amp;РД[Состояние],0),1),Таблица10[[#This Row],[Статус]])</f>
        <v>4471500</v>
      </c>
      <c r="W502" s="235">
        <f>_xlfn.XLOOKUP(Таблица10[[#This Row],[№]],Реестр_Д5[№],Реестр_Д5[Стоимость квартиры с отделкой],"-",0)</f>
        <v>4471500</v>
      </c>
      <c r="X502" s="235">
        <f>IFERROR(Таблица10[[#This Row],[СО ПП]]-Таблица10[[#This Row],[СО ДДУ]],"")</f>
        <v>0</v>
      </c>
      <c r="Y502" s="233" cm="1">
        <f t="array" ref="Y502">IFERROR(INDEX(РД[S],MATCH($Q$3&amp;Таблица10[[#This Row],[№]]&amp;"Продажа",РД[Дом]&amp;РД[№ кв]&amp;РД[Состояние],0),1),Таблица10[[#This Row],[Статус]])</f>
        <v>38.299999999999997</v>
      </c>
      <c r="Z502" s="233">
        <f>IF(Таблица10[[#This Row],[№]]&amp;"ДДУ"=ППД5!A499&amp;ППД5!CR499,ППД5!U499,ППД5!V499)</f>
        <v>38.299999999999997</v>
      </c>
      <c r="AA502" s="285">
        <f>IFERROR(Таблица10[[#This Row],[S ПП]]-Таблица10[[#This Row],[S ДДУ]],)</f>
        <v>0</v>
      </c>
      <c r="AB502" s="235">
        <f>ROUND(_xlfn.XLOOKUP(Таблица10[[#This Row],[№]],Реестр_Д5[№],Реестр_Д5[Итоговая сумма скидки],"",0),2)</f>
        <v>0</v>
      </c>
      <c r="AC502" s="235" cm="1">
        <f t="array" ref="AC50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02" s="285">
        <f>IFERROR(Таблица10[[#This Row],[ППС]]-Таблица10[[#This Row],[ДДУС]],)</f>
        <v>0</v>
      </c>
      <c r="AE502" s="611"/>
      <c r="AT502" s="611"/>
    </row>
    <row r="503" spans="1:46" x14ac:dyDescent="0.2">
      <c r="A503" s="611"/>
      <c r="B503" s="234">
        <f>VLOOKUP(ППД4!A500,Реестр_Д4[№],1,0)</f>
        <v>499</v>
      </c>
      <c r="C503" s="234" t="str">
        <f>VLOOKUP(ППД4!CO500,Реестр_Д4[Статус],1,0)</f>
        <v>Продажа</v>
      </c>
      <c r="D503" s="612">
        <f>VLOOKUP(ППД4!CE500,Реестр_Д4[Стоимость ОН без отделки со скидкой],1,0)</f>
        <v>5321507.21</v>
      </c>
      <c r="E503" s="612" cm="1">
        <f t="array" ref="E503">IFERROR(INDEX(РД[Стоимость без отделки итог],MATCH($B$3&amp;Таблица4[[#This Row],[№]]&amp;"Продажа",РД[Дом]&amp;РД[№ кв]&amp;РД[Состояние],0),1),Таблица4[[#This Row],[Статус]])</f>
        <v>5321507.21</v>
      </c>
      <c r="F503" s="235">
        <f>IFERROR((Таблица4[[#This Row],[ПП]]-Таблица4[[#This Row],[ДДУ]])*1,"")</f>
        <v>0</v>
      </c>
      <c r="G503" s="235" cm="1">
        <f t="array" ref="G503">IFERROR(INDEX(РД[Стоимость с отделкой итог],MATCH($B$3&amp;Таблица4[[#This Row],[№]]&amp;"Продажа",РД[Дом]&amp;РД[№ кв]&amp;РД[Состояние],0),1),Таблица4[[#This Row],[Статус]])</f>
        <v>6723787.21</v>
      </c>
      <c r="H503" s="235">
        <f>_xlfn.XLOOKUP(Таблица4[[#This Row],[№]],Реестр_Д4[№],Реестр_Д4[Стоимость квартиры с отделкой],"-",0)</f>
        <v>6723787.21</v>
      </c>
      <c r="I503" s="235">
        <f>IFERROR(Таблица4[[#This Row],[СО ПП]]-Таблица4[[#This Row],[СО ДДУ]],"")</f>
        <v>0</v>
      </c>
      <c r="J503" s="233" cm="1">
        <f t="array" ref="J503">IFERROR(INDEX(РД[S],MATCH($B$3&amp;Таблица4[[#This Row],[№]]&amp;"Продажа",РД[Дом]&amp;РД[№ кв]&amp;РД[Состояние],0),1),Таблица4[[#This Row],[Статус]])</f>
        <v>63.74</v>
      </c>
      <c r="K503" s="233">
        <f>VLOOKUP(Таблица4[[#This Row],[№]],Реестр_Д4[],20,0)</f>
        <v>63.74</v>
      </c>
      <c r="L503" s="235">
        <f>IFERROR(Таблица4[[#This Row],[S ПП]]-Таблица4[[#This Row],[S ДДУ]],)</f>
        <v>0</v>
      </c>
      <c r="M503" s="235">
        <f>ROUND(_xlfn.XLOOKUP(Таблица4[[#This Row],[№]],Реестр_Д4[№],Реестр_Д4[Итоговая сумма скидки],"",0),2)</f>
        <v>108602.19</v>
      </c>
      <c r="N503" s="235" cm="1">
        <f t="array" ref="N503">IFERROR(ROUND(_xlfn.XLOOKUP($B$3&amp;Таблица4[[#This Row],[№]]&amp;"Продажа",РД[Дом]&amp;РД[№ кв]&amp;РД[Состояние],РД[Сумма скидки],"",0),2),Таблица4[[#This Row],[Статус]])</f>
        <v>108602.19</v>
      </c>
      <c r="O503" s="235">
        <f>IFERROR(Таблица4[[#This Row],[ППС]]-Таблица4[[#This Row],[ДДУС]],)</f>
        <v>0</v>
      </c>
      <c r="P503" s="611"/>
      <c r="Q503" s="234">
        <f>VLOOKUP(ППД5!A500,Реестр_Д5[№],1,0)</f>
        <v>499</v>
      </c>
      <c r="R503" s="234" t="str">
        <f>VLOOKUP(ППД5!CH500,Реестр_Д5[Статус],1,0)</f>
        <v>Продажа</v>
      </c>
      <c r="S503" s="612">
        <f>VLOOKUP(ППД5!BZ500,Реестр_Д5[Стоимость ОН без отделки со скидкой],1,0)</f>
        <v>6876233</v>
      </c>
      <c r="T503" s="612" cm="1">
        <f t="array" ref="T503">IFERROR(INDEX(РД[Стоимость без отделки итог],MATCH($Q$3&amp;Таблица10[[#This Row],[№]]&amp;"Продажа",РД[Дом]&amp;РД[№ кв]&amp;РД[Состояние],0),1),Таблица10[[#This Row],[Статус]])</f>
        <v>6876233</v>
      </c>
      <c r="U503" s="235">
        <f>IFERROR((Таблица10[[#This Row],[ПП]]-Таблица10[[#This Row],[ДДУ]])*1,)</f>
        <v>0</v>
      </c>
      <c r="V503" s="235" cm="1">
        <f t="array" ref="V503">IFERROR(INDEX(РД[Стоимость с отделкой итог],MATCH($Q$3&amp;Таблица10[[#This Row],[№]]&amp;"Продажа",РД[Дом]&amp;РД[№ кв]&amp;РД[Состояние],0),1),Таблица10[[#This Row],[Статус]])</f>
        <v>6876233</v>
      </c>
      <c r="W503" s="235">
        <f>_xlfn.XLOOKUP(Таблица10[[#This Row],[№]],Реестр_Д5[№],Реестр_Д5[Стоимость квартиры с отделкой],"-",0)</f>
        <v>6876233</v>
      </c>
      <c r="X503" s="235">
        <f>IFERROR(Таблица10[[#This Row],[СО ПП]]-Таблица10[[#This Row],[СО ДДУ]],"")</f>
        <v>0</v>
      </c>
      <c r="Y503" s="233" cm="1">
        <f t="array" ref="Y503">IFERROR(INDEX(РД[S],MATCH($Q$3&amp;Таблица10[[#This Row],[№]]&amp;"Продажа",РД[Дом]&amp;РД[№ кв]&amp;РД[Состояние],0),1),Таблица10[[#This Row],[Статус]])</f>
        <v>79.44</v>
      </c>
      <c r="Z503" s="233">
        <f>IF(Таблица10[[#This Row],[№]]&amp;"ДДУ"=ППД5!A500&amp;ППД5!CR500,ППД5!U500,ППД5!V500)</f>
        <v>79.44</v>
      </c>
      <c r="AA503" s="285">
        <f>IFERROR(Таблица10[[#This Row],[S ПП]]-Таблица10[[#This Row],[S ДДУ]],)</f>
        <v>0</v>
      </c>
      <c r="AB503" s="235">
        <f>ROUND(_xlfn.XLOOKUP(Таблица10[[#This Row],[№]],Реестр_Д5[№],Реестр_Д5[Итоговая сумма скидки],"",0),2)</f>
        <v>212667</v>
      </c>
      <c r="AC503" s="235" cm="1">
        <f t="array" ref="AC503">IFERROR(ROUND(_xlfn.XLOOKUP($Q$3&amp;Таблица10[[#This Row],[№]]&amp;"Продажа",РД[Дом]&amp;РД[№ кв]&amp;РД[Состояние],РД[Сумма скидки],"",0,-1),2),Таблица10[[#This Row],[Статус]])</f>
        <v>212667</v>
      </c>
      <c r="AD503" s="285">
        <f>IFERROR(Таблица10[[#This Row],[ППС]]-Таблица10[[#This Row],[ДДУС]],)</f>
        <v>0</v>
      </c>
      <c r="AE503" s="611"/>
      <c r="AT503" s="611"/>
    </row>
    <row r="504" spans="1:46" x14ac:dyDescent="0.2">
      <c r="A504" s="611"/>
      <c r="B504" s="234">
        <f>VLOOKUP(ППД4!A501,Реестр_Д4[№],1,0)</f>
        <v>500</v>
      </c>
      <c r="C504" s="234" t="str">
        <f>VLOOKUP(ППД4!CO501,Реестр_Д4[Статус],1,0)</f>
        <v>Продажа</v>
      </c>
      <c r="D504" s="612">
        <f>VLOOKUP(ППД4!CE501,Реестр_Д4[Стоимость ОН без отделки со скидкой],1,0)</f>
        <v>4047632.4</v>
      </c>
      <c r="E504" s="612" cm="1">
        <f t="array" ref="E504">IFERROR(INDEX(РД[Стоимость без отделки итог],MATCH($B$3&amp;Таблица4[[#This Row],[№]]&amp;"Продажа",РД[Дом]&amp;РД[№ кв]&amp;РД[Состояние],0),1),Таблица4[[#This Row],[Статус]])</f>
        <v>4047632.4000000004</v>
      </c>
      <c r="F504" s="235">
        <f>IFERROR((Таблица4[[#This Row],[ПП]]-Таблица4[[#This Row],[ДДУ]])*1,"")</f>
        <v>-4.6566128730773926E-10</v>
      </c>
      <c r="G504" s="235" cm="1">
        <f t="array" ref="G504">IFERROR(INDEX(РД[Стоимость с отделкой итог],MATCH($B$3&amp;Таблица4[[#This Row],[№]]&amp;"Продажа",РД[Дом]&amp;РД[№ кв]&amp;РД[Состояние],0),1),Таблица4[[#This Row],[Статус]])</f>
        <v>4225112.4000000004</v>
      </c>
      <c r="H504" s="235">
        <f>_xlfn.XLOOKUP(Таблица4[[#This Row],[№]],Реестр_Д4[№],Реестр_Д4[Стоимость квартиры с отделкой],"-",0)</f>
        <v>4225112.4000000004</v>
      </c>
      <c r="I504" s="235">
        <f>IFERROR(Таблица4[[#This Row],[СО ПП]]-Таблица4[[#This Row],[СО ДДУ]],"")</f>
        <v>0</v>
      </c>
      <c r="J504" s="233" cm="1">
        <f t="array" ref="J504">IFERROR(INDEX(РД[S],MATCH($B$3&amp;Таблица4[[#This Row],[№]]&amp;"Продажа",РД[Дом]&amp;РД[№ кв]&amp;РД[Состояние],0),1),Таблица4[[#This Row],[Статус]])</f>
        <v>44.37</v>
      </c>
      <c r="K504" s="233">
        <f>VLOOKUP(Таблица4[[#This Row],[№]],Реестр_Д4[],20,0)</f>
        <v>44.37</v>
      </c>
      <c r="L504" s="235">
        <f>IFERROR(Таблица4[[#This Row],[S ПП]]-Таблица4[[#This Row],[S ДДУ]],)</f>
        <v>0</v>
      </c>
      <c r="M504" s="235">
        <f>ROUND(_xlfn.XLOOKUP(Таблица4[[#This Row],[№]],Реестр_Д4[№],Реестр_Д4[Итоговая сумма скидки],"",0),2)</f>
        <v>0</v>
      </c>
      <c r="N504" s="235" cm="1">
        <f t="array" ref="N50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04" s="235">
        <f>IFERROR(Таблица4[[#This Row],[ППС]]-Таблица4[[#This Row],[ДДУС]],)</f>
        <v>0</v>
      </c>
      <c r="P504" s="611"/>
      <c r="Q504" s="234">
        <f>VLOOKUP(ППД5!A501,Реестр_Д5[№],1,0)</f>
        <v>500</v>
      </c>
      <c r="R504" s="234" t="str">
        <f>VLOOKUP(ППД5!CH501,Реестр_Д5[Статус],1,0)</f>
        <v>Продажа</v>
      </c>
      <c r="S504" s="612">
        <f>VLOOKUP(ППД5!BZ501,Реестр_Д5[Стоимость ОН без отделки со скидкой],1,0)</f>
        <v>4555900</v>
      </c>
      <c r="T504" s="612" cm="1">
        <f t="array" ref="T504">IFERROR(INDEX(РД[Стоимость без отделки итог],MATCH($Q$3&amp;Таблица10[[#This Row],[№]]&amp;"Продажа",РД[Дом]&amp;РД[№ кв]&amp;РД[Состояние],0),1),Таблица10[[#This Row],[Статус]])</f>
        <v>4555900</v>
      </c>
      <c r="U504" s="235">
        <f>IFERROR((Таблица10[[#This Row],[ПП]]-Таблица10[[#This Row],[ДДУ]])*1,)</f>
        <v>0</v>
      </c>
      <c r="V504" s="235" cm="1">
        <f t="array" ref="V504">IFERROR(INDEX(РД[Стоимость с отделкой итог],MATCH($Q$3&amp;Таблица10[[#This Row],[№]]&amp;"Продажа",РД[Дом]&amp;РД[№ кв]&amp;РД[Состояние],0),1),Таблица10[[#This Row],[Статус]])</f>
        <v>4555900</v>
      </c>
      <c r="W504" s="235">
        <f>_xlfn.XLOOKUP(Таблица10[[#This Row],[№]],Реестр_Д5[№],Реестр_Д5[Стоимость квартиры с отделкой],"-",0)</f>
        <v>4555900</v>
      </c>
      <c r="X504" s="235">
        <f>IFERROR(Таблица10[[#This Row],[СО ПП]]-Таблица10[[#This Row],[СО ДДУ]],"")</f>
        <v>0</v>
      </c>
      <c r="Y504" s="233" cm="1">
        <f t="array" ref="Y504">IFERROR(INDEX(РД[S],MATCH($Q$3&amp;Таблица10[[#This Row],[№]]&amp;"Продажа",РД[Дом]&amp;РД[№ кв]&amp;РД[Состояние],0),1),Таблица10[[#This Row],[Статус]])</f>
        <v>39.69</v>
      </c>
      <c r="Z504" s="233">
        <f>IF(Таблица10[[#This Row],[№]]&amp;"ДДУ"=ППД5!A501&amp;ППД5!CR501,ППД5!U501,ППД5!V501)</f>
        <v>39.69</v>
      </c>
      <c r="AA504" s="285">
        <f>IFERROR(Таблица10[[#This Row],[S ПП]]-Таблица10[[#This Row],[S ДДУ]],)</f>
        <v>0</v>
      </c>
      <c r="AB504" s="235">
        <f>ROUND(_xlfn.XLOOKUP(Таблица10[[#This Row],[№]],Реестр_Д5[№],Реестр_Д5[Итоговая сумма скидки],"",0),2)</f>
        <v>0</v>
      </c>
      <c r="AC504" s="235" cm="1">
        <f t="array" ref="AC50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04" s="285">
        <f>IFERROR(Таблица10[[#This Row],[ППС]]-Таблица10[[#This Row],[ДДУС]],)</f>
        <v>0</v>
      </c>
      <c r="AE504" s="611"/>
      <c r="AT504" s="611"/>
    </row>
    <row r="505" spans="1:46" x14ac:dyDescent="0.2">
      <c r="A505" s="611"/>
      <c r="B505" s="234">
        <f>VLOOKUP(ППД4!A502,Реестр_Д4[№],1,0)</f>
        <v>501</v>
      </c>
      <c r="C505" s="234" t="str">
        <f>VLOOKUP(ППД4!CO502,Реестр_Д4[Статус],1,0)</f>
        <v>Продажа</v>
      </c>
      <c r="D505" s="612">
        <f>VLOOKUP(ППД4!CE502,Реестр_Д4[Стоимость ОН без отделки со скидкой],1,0)</f>
        <v>3710628.56</v>
      </c>
      <c r="E505" s="612" cm="1">
        <f t="array" ref="E505">IFERROR(INDEX(РД[Стоимость без отделки итог],MATCH($B$3&amp;Таблица4[[#This Row],[№]]&amp;"Продажа",РД[Дом]&amp;РД[№ кв]&amp;РД[Состояние],0),1),Таблица4[[#This Row],[Статус]])</f>
        <v>3710628.56</v>
      </c>
      <c r="F505" s="235">
        <f>IFERROR((Таблица4[[#This Row],[ПП]]-Таблица4[[#This Row],[ДДУ]])*1,"")</f>
        <v>0</v>
      </c>
      <c r="G505" s="235" cm="1">
        <f t="array" ref="G505">IFERROR(INDEX(РД[Стоимость с отделкой итог],MATCH($B$3&amp;Таблица4[[#This Row],[№]]&amp;"Продажа",РД[Дом]&amp;РД[№ кв]&amp;РД[Состояние],0),1),Таблица4[[#This Row],[Статус]])</f>
        <v>3889458.56</v>
      </c>
      <c r="H505" s="235">
        <f>_xlfn.XLOOKUP(Таблица4[[#This Row],[№]],Реестр_Д4[№],Реестр_Д4[Стоимость квартиры с отделкой],"-",0)</f>
        <v>3889458.56</v>
      </c>
      <c r="I505" s="235">
        <f>IFERROR(Таблица4[[#This Row],[СО ПП]]-Таблица4[[#This Row],[СО ДДУ]],"")</f>
        <v>0</v>
      </c>
      <c r="J505" s="233" cm="1">
        <f t="array" ref="J505">IFERROR(INDEX(РД[S],MATCH($B$3&amp;Таблица4[[#This Row],[№]]&amp;"Продажа",РД[Дом]&amp;РД[№ кв]&amp;РД[Состояние],0),1),Таблица4[[#This Row],[Статус]])</f>
        <v>39.74</v>
      </c>
      <c r="K505" s="233">
        <f>VLOOKUP(Таблица4[[#This Row],[№]],Реестр_Д4[],20,0)</f>
        <v>39.74</v>
      </c>
      <c r="L505" s="235">
        <f>IFERROR(Таблица4[[#This Row],[S ПП]]-Таблица4[[#This Row],[S ДДУ]],)</f>
        <v>0</v>
      </c>
      <c r="M505" s="235">
        <f>ROUND(_xlfn.XLOOKUP(Таблица4[[#This Row],[№]],Реестр_Д4[№],Реестр_Д4[Итоговая сумма скидки],"",0),2)</f>
        <v>60000</v>
      </c>
      <c r="N505" s="235" cm="1">
        <f t="array" ref="N505">IFERROR(ROUND(_xlfn.XLOOKUP($B$3&amp;Таблица4[[#This Row],[№]]&amp;"Продажа",РД[Дом]&amp;РД[№ кв]&amp;РД[Состояние],РД[Сумма скидки],"",0),2),Таблица4[[#This Row],[Статус]])</f>
        <v>60000</v>
      </c>
      <c r="O505" s="235">
        <f>IFERROR(Таблица4[[#This Row],[ППС]]-Таблица4[[#This Row],[ДДУС]],)</f>
        <v>0</v>
      </c>
      <c r="P505" s="611"/>
      <c r="Q505" s="234">
        <f>VLOOKUP(ППД5!A502,Реестр_Д5[№],1,0)</f>
        <v>501</v>
      </c>
      <c r="R505" s="234" t="str">
        <f>VLOOKUP(ППД5!CH502,Реестр_Д5[Статус],1,0)</f>
        <v>Продажа</v>
      </c>
      <c r="S505" s="612">
        <f>VLOOKUP(ППД5!BZ502,Реестр_Д5[Стоимость ОН без отделки со скидкой],1,0)</f>
        <v>3417800</v>
      </c>
      <c r="T505" s="612" cm="1">
        <f t="array" ref="T505">IFERROR(INDEX(РД[Стоимость без отделки итог],MATCH($Q$3&amp;Таблица10[[#This Row],[№]]&amp;"Продажа",РД[Дом]&amp;РД[№ кв]&amp;РД[Состояние],0),1),Таблица10[[#This Row],[Статус]])</f>
        <v>3417800.0000000005</v>
      </c>
      <c r="U505" s="235">
        <f>IFERROR((Таблица10[[#This Row],[ПП]]-Таблица10[[#This Row],[ДДУ]])*1,)</f>
        <v>-4.6566128730773926E-10</v>
      </c>
      <c r="V505" s="235" cm="1">
        <f t="array" ref="V505">IFERROR(INDEX(РД[Стоимость с отделкой итог],MATCH($Q$3&amp;Таблица10[[#This Row],[№]]&amp;"Продажа",РД[Дом]&amp;РД[№ кв]&amp;РД[Состояние],0),1),Таблица10[[#This Row],[Статус]])</f>
        <v>4123400.0000000005</v>
      </c>
      <c r="W505" s="235">
        <f>_xlfn.XLOOKUP(Таблица10[[#This Row],[№]],Реестр_Д5[№],Реестр_Д5[Стоимость квартиры с отделкой],"-",0)</f>
        <v>4123400.0000000009</v>
      </c>
      <c r="X505" s="235">
        <f>IFERROR(Таблица10[[#This Row],[СО ПП]]-Таблица10[[#This Row],[СО ДДУ]],"")</f>
        <v>4.6566128730773926E-10</v>
      </c>
      <c r="Y505" s="233" cm="1">
        <f t="array" ref="Y505">IFERROR(INDEX(РД[S],MATCH($Q$3&amp;Таблица10[[#This Row],[№]]&amp;"Продажа",РД[Дом]&amp;РД[№ кв]&amp;РД[Состояние],0),1),Таблица10[[#This Row],[Статус]])</f>
        <v>29.4</v>
      </c>
      <c r="Z505" s="233">
        <f>IF(Таблица10[[#This Row],[№]]&amp;"ДДУ"=ППД5!A502&amp;ППД5!CR502,ППД5!U502,ППД5!V502)</f>
        <v>29.4</v>
      </c>
      <c r="AA505" s="285">
        <f>IFERROR(Таблица10[[#This Row],[S ПП]]-Таблица10[[#This Row],[S ДДУ]],)</f>
        <v>0</v>
      </c>
      <c r="AB505" s="235">
        <f>ROUND(_xlfn.XLOOKUP(Таблица10[[#This Row],[№]],Реестр_Д5[№],Реестр_Д5[Итоговая сумма скидки],"",0),2)</f>
        <v>50000</v>
      </c>
      <c r="AC505" s="235" cm="1">
        <f t="array" ref="AC505">IFERROR(ROUND(_xlfn.XLOOKUP($Q$3&amp;Таблица10[[#This Row],[№]]&amp;"Продажа",РД[Дом]&amp;РД[№ кв]&amp;РД[Состояние],РД[Сумма скидки],"",0,-1),2),Таблица10[[#This Row],[Статус]])</f>
        <v>50000</v>
      </c>
      <c r="AD505" s="285">
        <f>IFERROR(Таблица10[[#This Row],[ППС]]-Таблица10[[#This Row],[ДДУС]],)</f>
        <v>0</v>
      </c>
      <c r="AE505" s="611"/>
      <c r="AT505" s="611"/>
    </row>
    <row r="506" spans="1:46" x14ac:dyDescent="0.2">
      <c r="A506" s="611"/>
      <c r="B506" s="234">
        <f>VLOOKUP(ППД4!A503,Реестр_Д4[№],1,0)</f>
        <v>502</v>
      </c>
      <c r="C506" s="234" t="str">
        <f>VLOOKUP(ППД4!CO503,Реестр_Д4[Статус],1,0)</f>
        <v>Продажа</v>
      </c>
      <c r="D506" s="612">
        <f>VLOOKUP(ППД4!CE503,Реестр_Д4[Стоимость ОН без отделки со скидкой],1,0)</f>
        <v>3770827.82</v>
      </c>
      <c r="E506" s="612" cm="1">
        <f t="array" ref="E506">IFERROR(INDEX(РД[Стоимость без отделки итог],MATCH($B$3&amp;Таблица4[[#This Row],[№]]&amp;"Продажа",РД[Дом]&amp;РД[№ кв]&amp;РД[Состояние],0),1),Таблица4[[#This Row],[Статус]])</f>
        <v>3770827.8200000003</v>
      </c>
      <c r="F506" s="235">
        <f>IFERROR((Таблица4[[#This Row],[ПП]]-Таблица4[[#This Row],[ДДУ]])*1,"")</f>
        <v>-4.6566128730773926E-10</v>
      </c>
      <c r="G506" s="235" cm="1">
        <f t="array" ref="G506">IFERROR(INDEX(РД[Стоимость с отделкой итог],MATCH($B$3&amp;Таблица4[[#This Row],[№]]&amp;"Продажа",РД[Дом]&amp;РД[№ кв]&amp;РД[Состояние],0),1),Таблица4[[#This Row],[Статус]])</f>
        <v>4369127.82</v>
      </c>
      <c r="H506" s="235">
        <f>_xlfn.XLOOKUP(Таблица4[[#This Row],[№]],Реестр_Д4[№],Реестр_Д4[Стоимость квартиры с отделкой],"-",0)</f>
        <v>4369127.82</v>
      </c>
      <c r="I506" s="235">
        <f>IFERROR(Таблица4[[#This Row],[СО ПП]]-Таблица4[[#This Row],[СО ДДУ]],"")</f>
        <v>0</v>
      </c>
      <c r="J506" s="233" cm="1">
        <f t="array" ref="J506">IFERROR(INDEX(РД[S],MATCH($B$3&amp;Таблица4[[#This Row],[№]]&amp;"Продажа",РД[Дом]&amp;РД[№ кв]&amp;РД[Состояние],0),1),Таблица4[[#This Row],[Статус]])</f>
        <v>38.6</v>
      </c>
      <c r="K506" s="233">
        <f>VLOOKUP(Таблица4[[#This Row],[№]],Реестр_Д4[],20,0)</f>
        <v>38.6</v>
      </c>
      <c r="L506" s="235">
        <f>IFERROR(Таблица4[[#This Row],[S ПП]]-Таблица4[[#This Row],[S ДДУ]],)</f>
        <v>0</v>
      </c>
      <c r="M506" s="235">
        <f>ROUND(_xlfn.XLOOKUP(Таблица4[[#This Row],[№]],Реестр_Д4[№],Реестр_Д4[Итоговая сумма скидки],"",0),2)</f>
        <v>76955.67</v>
      </c>
      <c r="N506" s="235" cm="1">
        <f t="array" ref="N506">IFERROR(ROUND(_xlfn.XLOOKUP($B$3&amp;Таблица4[[#This Row],[№]]&amp;"Продажа",РД[Дом]&amp;РД[№ кв]&amp;РД[Состояние],РД[Сумма скидки],"",0),2),Таблица4[[#This Row],[Статус]])</f>
        <v>76955.67</v>
      </c>
      <c r="O506" s="235">
        <f>IFERROR(Таблица4[[#This Row],[ППС]]-Таблица4[[#This Row],[ДДУС]],)</f>
        <v>0</v>
      </c>
      <c r="P506" s="611"/>
      <c r="Q506" s="234">
        <f>VLOOKUP(ППД5!A503,Реестр_Д5[№],1,0)</f>
        <v>502</v>
      </c>
      <c r="R506" s="234" t="str">
        <f>VLOOKUP(ППД5!CH503,Реестр_Д5[Статус],1,0)</f>
        <v>Продажа</v>
      </c>
      <c r="S506" s="612">
        <f>VLOOKUP(ППД5!BZ503,Реестр_Д5[Стоимость ОН без отделки со скидкой],1,0)</f>
        <v>4521612</v>
      </c>
      <c r="T506" s="612" cm="1">
        <f t="array" ref="T506">IFERROR(INDEX(РД[Стоимость без отделки итог],MATCH($Q$3&amp;Таблица10[[#This Row],[№]]&amp;"Продажа",РД[Дом]&amp;РД[№ кв]&amp;РД[Состояние],0),1),Таблица10[[#This Row],[Статус]])</f>
        <v>4521612</v>
      </c>
      <c r="U506" s="235">
        <f>IFERROR((Таблица10[[#This Row],[ПП]]-Таблица10[[#This Row],[ДДУ]])*1,)</f>
        <v>0</v>
      </c>
      <c r="V506" s="235" cm="1">
        <f t="array" ref="V506">IFERROR(INDEX(РД[Стоимость с отделкой итог],MATCH($Q$3&amp;Таблица10[[#This Row],[№]]&amp;"Продажа",РД[Дом]&amp;РД[№ кв]&amp;РД[Состояние],0),1),Таблица10[[#This Row],[Статус]])</f>
        <v>4521612</v>
      </c>
      <c r="W506" s="235">
        <f>_xlfn.XLOOKUP(Таблица10[[#This Row],[№]],Реестр_Д5[№],Реестр_Д5[Стоимость квартиры с отделкой],"-",0)</f>
        <v>4521612</v>
      </c>
      <c r="X506" s="235">
        <f>IFERROR(Таблица10[[#This Row],[СО ПП]]-Таблица10[[#This Row],[СО ДДУ]],"")</f>
        <v>0</v>
      </c>
      <c r="Y506" s="233" cm="1">
        <f t="array" ref="Y506">IFERROR(INDEX(РД[S],MATCH($Q$3&amp;Таблица10[[#This Row],[№]]&amp;"Продажа",РД[Дом]&amp;РД[№ кв]&amp;РД[Состояние],0),1),Таблица10[[#This Row],[Статус]])</f>
        <v>43.21</v>
      </c>
      <c r="Z506" s="233">
        <f>IF(Таблица10[[#This Row],[№]]&amp;"ДДУ"=ППД5!A503&amp;ППД5!CR503,ППД5!U503,ППД5!V503)</f>
        <v>43.21</v>
      </c>
      <c r="AA506" s="285">
        <f>IFERROR(Таблица10[[#This Row],[S ПП]]-Таблица10[[#This Row],[S ДДУ]],)</f>
        <v>0</v>
      </c>
      <c r="AB506" s="235">
        <f>ROUND(_xlfn.XLOOKUP(Таблица10[[#This Row],[№]],Реестр_Д5[№],Реестр_Д5[Итоговая сумма скидки],"",0),2)</f>
        <v>88888</v>
      </c>
      <c r="AC506" s="235" cm="1">
        <f t="array" ref="AC506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506" s="285">
        <f>IFERROR(Таблица10[[#This Row],[ППС]]-Таблица10[[#This Row],[ДДУС]],)</f>
        <v>0</v>
      </c>
      <c r="AE506" s="611"/>
      <c r="AT506" s="611"/>
    </row>
    <row r="507" spans="1:46" x14ac:dyDescent="0.2">
      <c r="A507" s="611"/>
      <c r="B507" s="234">
        <f>VLOOKUP(ППД4!A504,Реестр_Д4[№],1,0)</f>
        <v>503</v>
      </c>
      <c r="C507" s="234" t="str">
        <f>VLOOKUP(ППД4!CO504,Реестр_Д4[Статус],1,0)</f>
        <v>Продажа</v>
      </c>
      <c r="D507" s="612">
        <f>VLOOKUP(ППД4!CE504,Реестр_Д4[Стоимость ОН без отделки со скидкой],1,0)</f>
        <v>5283776.32</v>
      </c>
      <c r="E507" s="612" cm="1">
        <f t="array" ref="E507">IFERROR(INDEX(РД[Стоимость без отделки итог],MATCH($B$3&amp;Таблица4[[#This Row],[№]]&amp;"Продажа",РД[Дом]&amp;РД[№ кв]&amp;РД[Состояние],0),1),Таблица4[[#This Row],[Статус]])</f>
        <v>5283776.32</v>
      </c>
      <c r="F507" s="235">
        <f>IFERROR((Таблица4[[#This Row],[ПП]]-Таблица4[[#This Row],[ДДУ]])*1,"")</f>
        <v>0</v>
      </c>
      <c r="G507" s="235" cm="1">
        <f t="array" ref="G507">IFERROR(INDEX(РД[Стоимость с отделкой итог],MATCH($B$3&amp;Таблица4[[#This Row],[№]]&amp;"Продажа",РД[Дом]&amp;РД[№ кв]&amp;РД[Состояние],0),1),Таблица4[[#This Row],[Статус]])</f>
        <v>5580896.3200000003</v>
      </c>
      <c r="H507" s="235">
        <f>_xlfn.XLOOKUP(Таблица4[[#This Row],[№]],Реестр_Д4[№],Реестр_Д4[Стоимость квартиры с отделкой],"-",0)</f>
        <v>5580896.3200000003</v>
      </c>
      <c r="I507" s="235">
        <f>IFERROR(Таблица4[[#This Row],[СО ПП]]-Таблица4[[#This Row],[СО ДДУ]],"")</f>
        <v>0</v>
      </c>
      <c r="J507" s="233" cm="1">
        <f t="array" ref="J507">IFERROR(INDEX(РД[S],MATCH($B$3&amp;Таблица4[[#This Row],[№]]&amp;"Продажа",РД[Дом]&amp;РД[№ кв]&amp;РД[Состояние],0),1),Таблица4[[#This Row],[Статус]])</f>
        <v>74.28</v>
      </c>
      <c r="K507" s="233">
        <f>VLOOKUP(Таблица4[[#This Row],[№]],Реестр_Д4[],20,0)</f>
        <v>74.28</v>
      </c>
      <c r="L507" s="235">
        <f>IFERROR(Таблица4[[#This Row],[S ПП]]-Таблица4[[#This Row],[S ДДУ]],)</f>
        <v>0</v>
      </c>
      <c r="M507" s="235">
        <f>ROUND(_xlfn.XLOOKUP(Таблица4[[#This Row],[№]],Реестр_Д4[№],Реестр_Д4[Итоговая сумма скидки],"",0),2)</f>
        <v>0</v>
      </c>
      <c r="N507" s="235" cm="1">
        <f t="array" ref="N50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07" s="235">
        <f>IFERROR(Таблица4[[#This Row],[ППС]]-Таблица4[[#This Row],[ДДУС]],)</f>
        <v>0</v>
      </c>
      <c r="P507" s="611"/>
      <c r="Q507" s="234">
        <f>VLOOKUP(ППД5!A504,Реестр_Д5[№],1,0)</f>
        <v>503</v>
      </c>
      <c r="R507" s="234" t="str">
        <f>VLOOKUP(ППД5!CH504,Реестр_Д5[Статус],1,0)</f>
        <v>Продажа</v>
      </c>
      <c r="S507" s="612">
        <f>VLOOKUP(ППД5!BZ504,Реестр_Д5[Стоимость ОН без отделки со скидкой],1,0)</f>
        <v>3515200</v>
      </c>
      <c r="T507" s="612" cm="1">
        <f t="array" ref="T507">IFERROR(INDEX(РД[Стоимость без отделки итог],MATCH($Q$3&amp;Таблица10[[#This Row],[№]]&amp;"Продажа",РД[Дом]&amp;РД[№ кв]&amp;РД[Состояние],0),1),Таблица10[[#This Row],[Статус]])</f>
        <v>3515200</v>
      </c>
      <c r="U507" s="235">
        <f>IFERROR((Таблица10[[#This Row],[ПП]]-Таблица10[[#This Row],[ДДУ]])*1,)</f>
        <v>0</v>
      </c>
      <c r="V507" s="235" cm="1">
        <f t="array" ref="V507">IFERROR(INDEX(РД[Стоимость с отделкой итог],MATCH($Q$3&amp;Таблица10[[#This Row],[№]]&amp;"Продажа",РД[Дом]&amp;РД[№ кв]&amp;РД[Состояние],0),1),Таблица10[[#This Row],[Статус]])</f>
        <v>4127700</v>
      </c>
      <c r="W507" s="235">
        <f>_xlfn.XLOOKUP(Таблица10[[#This Row],[№]],Реестр_Д5[№],Реестр_Д5[Стоимость квартиры с отделкой],"-",0)</f>
        <v>4127700</v>
      </c>
      <c r="X507" s="235">
        <f>IFERROR(Таблица10[[#This Row],[СО ПП]]-Таблица10[[#This Row],[СО ДДУ]],"")</f>
        <v>0</v>
      </c>
      <c r="Y507" s="233" cm="1">
        <f t="array" ref="Y507">IFERROR(INDEX(РД[S],MATCH($Q$3&amp;Таблица10[[#This Row],[№]]&amp;"Продажа",РД[Дом]&amp;РД[№ кв]&amp;РД[Состояние],0),1),Таблица10[[#This Row],[Статус]])</f>
        <v>24.5</v>
      </c>
      <c r="Z507" s="233">
        <f>IF(Таблица10[[#This Row],[№]]&amp;"ДДУ"=ППД5!A504&amp;ППД5!CR504,ППД5!U504,ППД5!V504)</f>
        <v>24.5</v>
      </c>
      <c r="AA507" s="285">
        <f>IFERROR(Таблица10[[#This Row],[S ПП]]-Таблица10[[#This Row],[S ДДУ]],)</f>
        <v>0</v>
      </c>
      <c r="AB507" s="235">
        <f>ROUND(_xlfn.XLOOKUP(Таблица10[[#This Row],[№]],Реестр_Д5[№],Реестр_Д5[Итоговая сумма скидки],"",0),2)</f>
        <v>0</v>
      </c>
      <c r="AC507" s="235" cm="1">
        <f t="array" ref="AC50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07" s="285">
        <f>IFERROR(Таблица10[[#This Row],[ППС]]-Таблица10[[#This Row],[ДДУС]],)</f>
        <v>0</v>
      </c>
      <c r="AE507" s="611"/>
      <c r="AT507" s="611"/>
    </row>
    <row r="508" spans="1:46" x14ac:dyDescent="0.2">
      <c r="A508" s="611"/>
      <c r="B508" s="234">
        <f>VLOOKUP(ППД4!A505,Реестр_Д4[№],1,0)</f>
        <v>504</v>
      </c>
      <c r="C508" s="234" t="str">
        <f>VLOOKUP(ППД4!CO505,Реестр_Д4[Статус],1,0)</f>
        <v>Продажа</v>
      </c>
      <c r="D508" s="612">
        <f>VLOOKUP(ППД4!CE505,Реестр_Д4[Стоимость ОН без отделки со скидкой],1,0)</f>
        <v>4270400</v>
      </c>
      <c r="E508" s="612" cm="1">
        <f t="array" ref="E508">IFERROR(INDEX(РД[Стоимость без отделки итог],MATCH($B$3&amp;Таблица4[[#This Row],[№]]&amp;"Продажа",РД[Дом]&amp;РД[№ кв]&amp;РД[Состояние],0),1),Таблица4[[#This Row],[Статус]])</f>
        <v>4270400</v>
      </c>
      <c r="F508" s="235">
        <f>IFERROR((Таблица4[[#This Row],[ПП]]-Таблица4[[#This Row],[ДДУ]])*1,"")</f>
        <v>0</v>
      </c>
      <c r="G508" s="235" cm="1">
        <f t="array" ref="G508">IFERROR(INDEX(РД[Стоимость с отделкой итог],MATCH($B$3&amp;Таблица4[[#This Row],[№]]&amp;"Продажа",РД[Дом]&amp;РД[№ кв]&amp;РД[Состояние],0),1),Таблица4[[#This Row],[Статус]])</f>
        <v>4270400</v>
      </c>
      <c r="H508" s="235">
        <f>_xlfn.XLOOKUP(Таблица4[[#This Row],[№]],Реестр_Д4[№],Реестр_Д4[Стоимость квартиры с отделкой],"-",0)</f>
        <v>4270400</v>
      </c>
      <c r="I508" s="235">
        <f>IFERROR(Таблица4[[#This Row],[СО ПП]]-Таблица4[[#This Row],[СО ДДУ]],"")</f>
        <v>0</v>
      </c>
      <c r="J508" s="233" cm="1">
        <f t="array" ref="J508">IFERROR(INDEX(РД[S],MATCH($B$3&amp;Таблица4[[#This Row],[№]]&amp;"Продажа",РД[Дом]&amp;РД[№ кв]&amp;РД[Состояние],0),1),Таблица4[[#This Row],[Статус]])</f>
        <v>36.5</v>
      </c>
      <c r="K508" s="233">
        <f>VLOOKUP(Таблица4[[#This Row],[№]],Реестр_Д4[],20,0)</f>
        <v>36.5</v>
      </c>
      <c r="L508" s="235">
        <f>IFERROR(Таблица4[[#This Row],[S ПП]]-Таблица4[[#This Row],[S ДДУ]],)</f>
        <v>0</v>
      </c>
      <c r="M508" s="235">
        <f>ROUND(_xlfn.XLOOKUP(Таблица4[[#This Row],[№]],Реестр_Д4[№],Реестр_Д4[Итоговая сумма скидки],"",0),2)</f>
        <v>0</v>
      </c>
      <c r="N508" s="235" cm="1">
        <f t="array" ref="N50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08" s="235">
        <f>IFERROR(Таблица4[[#This Row],[ППС]]-Таблица4[[#This Row],[ДДУС]],)</f>
        <v>0</v>
      </c>
      <c r="P508" s="611"/>
      <c r="Q508" s="234">
        <f>VLOOKUP(ППД5!A505,Реестр_Д5[№],1,0)</f>
        <v>504</v>
      </c>
      <c r="R508" s="234" t="str">
        <f>VLOOKUP(ППД5!CH505,Реестр_Д5[Статус],1,0)</f>
        <v>Продажа</v>
      </c>
      <c r="S508" s="612">
        <f>VLOOKUP(ППД5!BZ505,Реестр_Д5[Стоимость ОН без отделки со скидкой],1,0)</f>
        <v>5009678.42</v>
      </c>
      <c r="T508" s="612" cm="1">
        <f t="array" ref="T508">IFERROR(INDEX(РД[Стоимость без отделки итог],MATCH($Q$3&amp;Таблица10[[#This Row],[№]]&amp;"Продажа",РД[Дом]&amp;РД[№ кв]&amp;РД[Состояние],0),1),Таблица10[[#This Row],[Статус]])</f>
        <v>5009678.42</v>
      </c>
      <c r="U508" s="235">
        <f>IFERROR((Таблица10[[#This Row],[ПП]]-Таблица10[[#This Row],[ДДУ]])*1,)</f>
        <v>0</v>
      </c>
      <c r="V508" s="235" cm="1">
        <f t="array" ref="V508">IFERROR(INDEX(РД[Стоимость с отделкой итог],MATCH($Q$3&amp;Таблица10[[#This Row],[№]]&amp;"Продажа",РД[Дом]&amp;РД[№ кв]&amp;РД[Состояние],0),1),Таблица10[[#This Row],[Статус]])</f>
        <v>6290958.4199999999</v>
      </c>
      <c r="W508" s="235">
        <f>_xlfn.XLOOKUP(Таблица10[[#This Row],[№]],Реестр_Д5[№],Реестр_Д5[Стоимость квартиры с отделкой],"-",0)</f>
        <v>6290958.4199999999</v>
      </c>
      <c r="X508" s="235">
        <f>IFERROR(Таблица10[[#This Row],[СО ПП]]-Таблица10[[#This Row],[СО ДДУ]],"")</f>
        <v>0</v>
      </c>
      <c r="Y508" s="233" cm="1">
        <f t="array" ref="Y508">IFERROR(INDEX(РД[S],MATCH($Q$3&amp;Таблица10[[#This Row],[№]]&amp;"Продажа",РД[Дом]&amp;РД[№ кв]&amp;РД[Состояние],0),1),Таблица10[[#This Row],[Статус]])</f>
        <v>58.24</v>
      </c>
      <c r="Z508" s="233">
        <f>IF(Таблица10[[#This Row],[№]]&amp;"ДДУ"=ППД5!A505&amp;ППД5!CR505,ППД5!U505,ППД5!V505)</f>
        <v>58.24</v>
      </c>
      <c r="AA508" s="285">
        <f>IFERROR(Таблица10[[#This Row],[S ПП]]-Таблица10[[#This Row],[S ДДУ]],)</f>
        <v>0</v>
      </c>
      <c r="AB508" s="235">
        <f>ROUND(_xlfn.XLOOKUP(Таблица10[[#This Row],[№]],Реестр_Д5[№],Реестр_Д5[Итоговая сумма скидки],"",0),2)</f>
        <v>0</v>
      </c>
      <c r="AC508" s="235" cm="1">
        <f t="array" ref="AC50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08" s="285">
        <f>IFERROR(Таблица10[[#This Row],[ППС]]-Таблица10[[#This Row],[ДДУС]],)</f>
        <v>0</v>
      </c>
      <c r="AE508" s="611"/>
      <c r="AT508" s="611"/>
    </row>
    <row r="509" spans="1:46" x14ac:dyDescent="0.2">
      <c r="A509" s="611"/>
      <c r="B509" s="234">
        <f>VLOOKUP(ППД4!A506,Реестр_Д4[№],1,0)</f>
        <v>505</v>
      </c>
      <c r="C509" s="234" t="str">
        <f>VLOOKUP(ППД4!CO506,Реестр_Д4[Статус],1,0)</f>
        <v>Продажа</v>
      </c>
      <c r="D509" s="612">
        <f>VLOOKUP(ППД4!CE506,Реестр_Д4[Стоимость ОН без отделки со скидкой],1,0)</f>
        <v>4067379.73</v>
      </c>
      <c r="E509" s="612" cm="1">
        <f t="array" ref="E509">IFERROR(INDEX(РД[Стоимость без отделки итог],MATCH($B$3&amp;Таблица4[[#This Row],[№]]&amp;"Продажа",РД[Дом]&amp;РД[№ кв]&amp;РД[Состояние],0),1),Таблица4[[#This Row],[Статус]])</f>
        <v>4067379.7300000004</v>
      </c>
      <c r="F509" s="235">
        <f>IFERROR((Таблица4[[#This Row],[ПП]]-Таблица4[[#This Row],[ДДУ]])*1,"")</f>
        <v>-4.6566128730773926E-10</v>
      </c>
      <c r="G509" s="235" cm="1">
        <f t="array" ref="G509">IFERROR(INDEX(РД[Стоимость с отделкой итог],MATCH($B$3&amp;Таблица4[[#This Row],[№]]&amp;"Продажа",РД[Дом]&amp;РД[№ кв]&amp;РД[Состояние],0),1),Таблица4[[#This Row],[Статус]])</f>
        <v>4291539.7300000004</v>
      </c>
      <c r="H509" s="235">
        <f>_xlfn.XLOOKUP(Таблица4[[#This Row],[№]],Реестр_Д4[№],Реестр_Д4[Стоимость квартиры с отделкой],"-",0)</f>
        <v>4291539.7300000004</v>
      </c>
      <c r="I509" s="235">
        <f>IFERROR(Таблица4[[#This Row],[СО ПП]]-Таблица4[[#This Row],[СО ДДУ]],"")</f>
        <v>0</v>
      </c>
      <c r="J509" s="233" cm="1">
        <f t="array" ref="J509">IFERROR(INDEX(РД[S],MATCH($B$3&amp;Таблица4[[#This Row],[№]]&amp;"Продажа",РД[Дом]&amp;РД[№ кв]&amp;РД[Состояние],0),1),Таблица4[[#This Row],[Статус]])</f>
        <v>56.04</v>
      </c>
      <c r="K509" s="233">
        <f>VLOOKUP(Таблица4[[#This Row],[№]],Реестр_Д4[],20,0)</f>
        <v>56.04</v>
      </c>
      <c r="L509" s="235">
        <f>IFERROR(Таблица4[[#This Row],[S ПП]]-Таблица4[[#This Row],[S ДДУ]],)</f>
        <v>0</v>
      </c>
      <c r="M509" s="235">
        <f>ROUND(_xlfn.XLOOKUP(Таблица4[[#This Row],[№]],Реестр_Д4[№],Реестр_Д4[Итоговая сумма скидки],"",0),2)</f>
        <v>259619.98</v>
      </c>
      <c r="N509" s="235" cm="1">
        <f t="array" ref="N509">IFERROR(ROUND(_xlfn.XLOOKUP($B$3&amp;Таблица4[[#This Row],[№]]&amp;"Продажа",РД[Дом]&amp;РД[№ кв]&amp;РД[Состояние],РД[Сумма скидки],"",0),2),Таблица4[[#This Row],[Статус]])</f>
        <v>259619.98</v>
      </c>
      <c r="O509" s="235">
        <f>IFERROR(Таблица4[[#This Row],[ППС]]-Таблица4[[#This Row],[ДДУС]],)</f>
        <v>0</v>
      </c>
      <c r="P509" s="611"/>
      <c r="Q509" s="234">
        <f>VLOOKUP(ППД5!A506,Реестр_Д5[№],1,0)</f>
        <v>505</v>
      </c>
      <c r="R509" s="234" t="str">
        <f>VLOOKUP(ППД5!CH506,Реестр_Д5[Статус],1,0)</f>
        <v>Продажа</v>
      </c>
      <c r="S509" s="612">
        <f>VLOOKUP(ППД5!BZ506,Реестр_Д5[Стоимость ОН без отделки со скидкой],1,0)</f>
        <v>4799264.74</v>
      </c>
      <c r="T509" s="612" cm="1">
        <f t="array" ref="T509">IFERROR(INDEX(РД[Стоимость без отделки итог],MATCH($Q$3&amp;Таблица10[[#This Row],[№]]&amp;"Продажа",РД[Дом]&amp;РД[№ кв]&amp;РД[Состояние],0),1),Таблица10[[#This Row],[Статус]])</f>
        <v>4799264.74</v>
      </c>
      <c r="U509" s="235">
        <f>IFERROR((Таблица10[[#This Row],[ПП]]-Таблица10[[#This Row],[ДДУ]])*1,)</f>
        <v>0</v>
      </c>
      <c r="V509" s="235" cm="1">
        <f t="array" ref="V509">IFERROR(INDEX(РД[Стоимость с отделкой итог],MATCH($Q$3&amp;Таблица10[[#This Row],[№]]&amp;"Продажа",РД[Дом]&amp;РД[№ кв]&amp;РД[Состояние],0),1),Таблица10[[#This Row],[Статус]])</f>
        <v>4799264.74</v>
      </c>
      <c r="W509" s="235">
        <f>_xlfn.XLOOKUP(Таблица10[[#This Row],[№]],Реестр_Д5[№],Реестр_Д5[Стоимость квартиры с отделкой],"-",0)</f>
        <v>4799264.74</v>
      </c>
      <c r="X509" s="235">
        <f>IFERROR(Таблица10[[#This Row],[СО ПП]]-Таблица10[[#This Row],[СО ДДУ]],"")</f>
        <v>0</v>
      </c>
      <c r="Y509" s="233" cm="1">
        <f t="array" ref="Y509">IFERROR(INDEX(РД[S],MATCH($Q$3&amp;Таблица10[[#This Row],[№]]&amp;"Продажа",РД[Дом]&amp;РД[№ кв]&amp;РД[Состояние],0),1),Таблица10[[#This Row],[Статус]])</f>
        <v>57.8</v>
      </c>
      <c r="Z509" s="233">
        <f>IF(Таблица10[[#This Row],[№]]&amp;"ДДУ"=ППД5!A506&amp;ППД5!CR506,ППД5!U506,ППД5!V506)</f>
        <v>57.8</v>
      </c>
      <c r="AA509" s="285">
        <f>IFERROR(Таблица10[[#This Row],[S ПП]]-Таблица10[[#This Row],[S ДДУ]],)</f>
        <v>0</v>
      </c>
      <c r="AB509" s="235">
        <f>ROUND(_xlfn.XLOOKUP(Таблица10[[#This Row],[№]],Реестр_Д5[№],Реестр_Д5[Итоговая сумма скидки],"",0),2)</f>
        <v>148430.87</v>
      </c>
      <c r="AC509" s="235" cm="1">
        <f t="array" ref="AC509">IFERROR(ROUND(_xlfn.XLOOKUP($Q$3&amp;Таблица10[[#This Row],[№]]&amp;"Продажа",РД[Дом]&amp;РД[№ кв]&amp;РД[Состояние],РД[Сумма скидки],"",0,-1),2),Таблица10[[#This Row],[Статус]])</f>
        <v>148430.87</v>
      </c>
      <c r="AD509" s="285">
        <f>IFERROR(Таблица10[[#This Row],[ППС]]-Таблица10[[#This Row],[ДДУС]],)</f>
        <v>0</v>
      </c>
      <c r="AE509" s="611"/>
      <c r="AT509" s="611"/>
    </row>
    <row r="510" spans="1:46" x14ac:dyDescent="0.2">
      <c r="A510" s="611"/>
      <c r="B510" s="234">
        <f>VLOOKUP(ППД4!A507,Реестр_Д4[№],1,0)</f>
        <v>506</v>
      </c>
      <c r="C510" s="234" t="str">
        <f>VLOOKUP(ППД4!CO507,Реестр_Д4[Статус],1,0)</f>
        <v>Продажа</v>
      </c>
      <c r="D510" s="612">
        <f>VLOOKUP(ППД4!CE507,Реестр_Д4[Стоимость ОН без отделки со скидкой],1,0)</f>
        <v>4224811.4000000004</v>
      </c>
      <c r="E510" s="612" cm="1">
        <f t="array" ref="E510">IFERROR(INDEX(РД[Стоимость без отделки итог],MATCH($B$3&amp;Таблица4[[#This Row],[№]]&amp;"Продажа",РД[Дом]&amp;РД[№ кв]&amp;РД[Состояние],0),1),Таблица4[[#This Row],[Статус]])</f>
        <v>4224811.3999999985</v>
      </c>
      <c r="F510" s="235">
        <f>IFERROR((Таблица4[[#This Row],[ПП]]-Таблица4[[#This Row],[ДДУ]])*1,"")</f>
        <v>1.862645149230957E-9</v>
      </c>
      <c r="G510" s="235" cm="1">
        <f t="array" ref="G510">IFERROR(INDEX(РД[Стоимость с отделкой итог],MATCH($B$3&amp;Таблица4[[#This Row],[№]]&amp;"Продажа",РД[Дом]&amp;РД[№ кв]&amp;РД[Состояние],0),1),Таблица4[[#This Row],[Статус]])</f>
        <v>5514451.4000000004</v>
      </c>
      <c r="H510" s="235">
        <f>_xlfn.XLOOKUP(Таблица4[[#This Row],[№]],Реестр_Д4[№],Реестр_Д4[Стоимость квартиры с отделкой],"-",0)</f>
        <v>5514451.4000000004</v>
      </c>
      <c r="I510" s="235">
        <f>IFERROR(Таблица4[[#This Row],[СО ПП]]-Таблица4[[#This Row],[СО ДДУ]],"")</f>
        <v>0</v>
      </c>
      <c r="J510" s="233" cm="1">
        <f t="array" ref="J510">IFERROR(INDEX(РД[S],MATCH($B$3&amp;Таблица4[[#This Row],[№]]&amp;"Продажа",РД[Дом]&amp;РД[№ кв]&amp;РД[Состояние],0),1),Таблица4[[#This Row],[Статус]])</f>
        <v>58.62</v>
      </c>
      <c r="K510" s="233">
        <f>VLOOKUP(Таблица4[[#This Row],[№]],Реестр_Д4[],20,0)</f>
        <v>58.62</v>
      </c>
      <c r="L510" s="235">
        <f>IFERROR(Таблица4[[#This Row],[S ПП]]-Таблица4[[#This Row],[S ДДУ]],)</f>
        <v>0</v>
      </c>
      <c r="M510" s="235">
        <f>ROUND(_xlfn.XLOOKUP(Таблица4[[#This Row],[№]],Реестр_Д4[№],Реестр_Д4[Итоговая сумма скидки],"",0),2)</f>
        <v>0</v>
      </c>
      <c r="N510" s="235" cm="1">
        <f t="array" ref="N51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10" s="235">
        <f>IFERROR(Таблица4[[#This Row],[ППС]]-Таблица4[[#This Row],[ДДУС]],)</f>
        <v>0</v>
      </c>
      <c r="P510" s="611"/>
      <c r="Q510" s="234">
        <f>VLOOKUP(ППД5!A507,Реестр_Д5[№],1,0)</f>
        <v>506</v>
      </c>
      <c r="R510" s="234" t="str">
        <f>VLOOKUP(ППД5!CH507,Реестр_Д5[Статус],1,0)</f>
        <v>Продажа</v>
      </c>
      <c r="S510" s="612">
        <f>VLOOKUP(ППД5!BZ507,Реестр_Д5[Стоимость ОН без отделки со скидкой],1,0)</f>
        <v>4266700</v>
      </c>
      <c r="T510" s="612" cm="1">
        <f t="array" ref="T510">IFERROR(INDEX(РД[Стоимость без отделки итог],MATCH($Q$3&amp;Таблица10[[#This Row],[№]]&amp;"Продажа",РД[Дом]&amp;РД[№ кв]&amp;РД[Состояние],0),1),Таблица10[[#This Row],[Статус]])</f>
        <v>4266700</v>
      </c>
      <c r="U510" s="235">
        <f>IFERROR((Таблица10[[#This Row],[ПП]]-Таблица10[[#This Row],[ДДУ]])*1,)</f>
        <v>0</v>
      </c>
      <c r="V510" s="235" cm="1">
        <f t="array" ref="V510">IFERROR(INDEX(РД[Стоимость с отделкой итог],MATCH($Q$3&amp;Таблица10[[#This Row],[№]]&amp;"Продажа",РД[Дом]&amp;РД[№ кв]&amp;РД[Состояние],0),1),Таблица10[[#This Row],[Статус]])</f>
        <v>4266700</v>
      </c>
      <c r="W510" s="235">
        <f>_xlfn.XLOOKUP(Таблица10[[#This Row],[№]],Реестр_Д5[№],Реестр_Д5[Стоимость квартиры с отделкой],"-",0)</f>
        <v>4266700</v>
      </c>
      <c r="X510" s="235">
        <f>IFERROR(Таблица10[[#This Row],[СО ПП]]-Таблица10[[#This Row],[СО ДДУ]],"")</f>
        <v>0</v>
      </c>
      <c r="Y510" s="233" cm="1">
        <f t="array" ref="Y510">IFERROR(INDEX(РД[S],MATCH($Q$3&amp;Таблица10[[#This Row],[№]]&amp;"Продажа",РД[Дом]&amp;РД[№ кв]&amp;РД[Состояние],0),1),Таблица10[[#This Row],[Статус]])</f>
        <v>38.299999999999997</v>
      </c>
      <c r="Z510" s="233">
        <f>IF(Таблица10[[#This Row],[№]]&amp;"ДДУ"=ППД5!A507&amp;ППД5!CR507,ППД5!U507,ППД5!V507)</f>
        <v>38.299999999999997</v>
      </c>
      <c r="AA510" s="285">
        <f>IFERROR(Таблица10[[#This Row],[S ПП]]-Таблица10[[#This Row],[S ДДУ]],)</f>
        <v>0</v>
      </c>
      <c r="AB510" s="235">
        <f>ROUND(_xlfn.XLOOKUP(Таблица10[[#This Row],[№]],Реестр_Д5[№],Реестр_Д5[Итоговая сумма скидки],"",0),2)</f>
        <v>0</v>
      </c>
      <c r="AC510" s="235" cm="1">
        <f t="array" ref="AC51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0" s="285">
        <f>IFERROR(Таблица10[[#This Row],[ППС]]-Таблица10[[#This Row],[ДДУС]],)</f>
        <v>0</v>
      </c>
      <c r="AE510" s="611"/>
      <c r="AT510" s="611"/>
    </row>
    <row r="511" spans="1:46" x14ac:dyDescent="0.2">
      <c r="A511" s="611"/>
      <c r="B511" s="234">
        <f>VLOOKUP(ППД4!A508,Реестр_Д4[№],1,0)</f>
        <v>507</v>
      </c>
      <c r="C511" s="234" t="str">
        <f>VLOOKUP(ППД4!CO508,Реестр_Д4[Статус],1,0)</f>
        <v>Продажа</v>
      </c>
      <c r="D511" s="612">
        <f>VLOOKUP(ППД4!CE508,Реестр_Д4[Стоимость ОН без отделки со скидкой],1,0)</f>
        <v>6945946</v>
      </c>
      <c r="E511" s="612" cm="1">
        <f t="array" ref="E511">IFERROR(INDEX(РД[Стоимость без отделки итог],MATCH($B$3&amp;Таблица4[[#This Row],[№]]&amp;"Продажа",РД[Дом]&amp;РД[№ кв]&amp;РД[Состояние],0),1),Таблица4[[#This Row],[Статус]])</f>
        <v>6945946</v>
      </c>
      <c r="F511" s="235">
        <f>IFERROR((Таблица4[[#This Row],[ПП]]-Таблица4[[#This Row],[ДДУ]])*1,"")</f>
        <v>0</v>
      </c>
      <c r="G511" s="235" cm="1">
        <f t="array" ref="G511">IFERROR(INDEX(РД[Стоимость с отделкой итог],MATCH($B$3&amp;Таблица4[[#This Row],[№]]&amp;"Продажа",РД[Дом]&amp;РД[№ кв]&amp;РД[Состояние],0),1),Таблица4[[#This Row],[Статус]])</f>
        <v>8430726</v>
      </c>
      <c r="H511" s="235">
        <f>_xlfn.XLOOKUP(Таблица4[[#This Row],[№]],Реестр_Д4[№],Реестр_Д4[Стоимость квартиры с отделкой],"-",0)</f>
        <v>8430726</v>
      </c>
      <c r="I511" s="235">
        <f>IFERROR(Таблица4[[#This Row],[СО ПП]]-Таблица4[[#This Row],[СО ДДУ]],"")</f>
        <v>0</v>
      </c>
      <c r="J511" s="233" cm="1">
        <f t="array" ref="J511">IFERROR(INDEX(РД[S],MATCH($B$3&amp;Таблица4[[#This Row],[№]]&amp;"Продажа",РД[Дом]&amp;РД[№ кв]&amp;РД[Состояние],0),1),Таблица4[[#This Row],[Статус]])</f>
        <v>67.489999999999995</v>
      </c>
      <c r="K511" s="233">
        <f>VLOOKUP(Таблица4[[#This Row],[№]],Реестр_Д4[],20,0)</f>
        <v>67.489999999999995</v>
      </c>
      <c r="L511" s="235">
        <f>IFERROR(Таблица4[[#This Row],[S ПП]]-Таблица4[[#This Row],[S ДДУ]],)</f>
        <v>0</v>
      </c>
      <c r="M511" s="235">
        <f>ROUND(_xlfn.XLOOKUP(Таблица4[[#This Row],[№]],Реестр_Д4[№],Реестр_Д4[Итоговая сумма скидки],"",0),2)</f>
        <v>141754</v>
      </c>
      <c r="N511" s="235" cm="1">
        <f t="array" ref="N511">IFERROR(ROUND(_xlfn.XLOOKUP($B$3&amp;Таблица4[[#This Row],[№]]&amp;"Продажа",РД[Дом]&amp;РД[№ кв]&amp;РД[Состояние],РД[Сумма скидки],"",0),2),Таблица4[[#This Row],[Статус]])</f>
        <v>141754</v>
      </c>
      <c r="O511" s="235">
        <f>IFERROR(Таблица4[[#This Row],[ППС]]-Таблица4[[#This Row],[ДДУС]],)</f>
        <v>0</v>
      </c>
      <c r="P511" s="611"/>
      <c r="Q511" s="234">
        <f>VLOOKUP(ППД5!A508,Реестр_Д5[№],1,0)</f>
        <v>507</v>
      </c>
      <c r="R511" s="234" t="str">
        <f>VLOOKUP(ППД5!CH508,Реестр_Д5[Статус],1,0)</f>
        <v>Продажа</v>
      </c>
      <c r="S511" s="612">
        <f>VLOOKUP(ППД5!BZ508,Реестр_Д5[Стоимость ОН без отделки со скидкой],1,0)</f>
        <v>7949800</v>
      </c>
      <c r="T511" s="612" cm="1">
        <f t="array" ref="T511">IFERROR(INDEX(РД[Стоимость без отделки итог],MATCH($Q$3&amp;Таблица10[[#This Row],[№]]&amp;"Продажа",РД[Дом]&amp;РД[№ кв]&amp;РД[Состояние],0),1),Таблица10[[#This Row],[Статус]])</f>
        <v>7949800</v>
      </c>
      <c r="U511" s="235">
        <f>IFERROR((Таблица10[[#This Row],[ПП]]-Таблица10[[#This Row],[ДДУ]])*1,)</f>
        <v>0</v>
      </c>
      <c r="V511" s="235" cm="1">
        <f t="array" ref="V511">IFERROR(INDEX(РД[Стоимость с отделкой итог],MATCH($Q$3&amp;Таблица10[[#This Row],[№]]&amp;"Продажа",РД[Дом]&amp;РД[№ кв]&amp;РД[Состояние],0),1),Таблица10[[#This Row],[Статус]])</f>
        <v>9538600</v>
      </c>
      <c r="W511" s="235">
        <f>_xlfn.XLOOKUP(Таблица10[[#This Row],[№]],Реестр_Д5[№],Реестр_Д5[Стоимость квартиры с отделкой],"-",0)</f>
        <v>9538600</v>
      </c>
      <c r="X511" s="235">
        <f>IFERROR(Таблица10[[#This Row],[СО ПП]]-Таблица10[[#This Row],[СО ДДУ]],"")</f>
        <v>0</v>
      </c>
      <c r="Y511" s="233" cm="1">
        <f t="array" ref="Y511">IFERROR(INDEX(РД[S],MATCH($Q$3&amp;Таблица10[[#This Row],[№]]&amp;"Продажа",РД[Дом]&amp;РД[№ кв]&amp;РД[Состояние],0),1),Таблица10[[#This Row],[Статус]])</f>
        <v>79.44</v>
      </c>
      <c r="Z511" s="233">
        <f>IF(Таблица10[[#This Row],[№]]&amp;"ДДУ"=ППД5!A508&amp;ППД5!CR508,ППД5!U508,ППД5!V508)</f>
        <v>79.44</v>
      </c>
      <c r="AA511" s="285">
        <f>IFERROR(Таблица10[[#This Row],[S ПП]]-Таблица10[[#This Row],[S ДДУ]],)</f>
        <v>0</v>
      </c>
      <c r="AB511" s="235">
        <f>ROUND(_xlfn.XLOOKUP(Таблица10[[#This Row],[№]],Реестр_Д5[№],Реестр_Д5[Итоговая сумма скидки],"",0),2)</f>
        <v>0</v>
      </c>
      <c r="AC511" s="235" cm="1">
        <f t="array" ref="AC51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1" s="285">
        <f>IFERROR(Таблица10[[#This Row],[ППС]]-Таблица10[[#This Row],[ДДУС]],)</f>
        <v>0</v>
      </c>
      <c r="AE511" s="611"/>
      <c r="AT511" s="611"/>
    </row>
    <row r="512" spans="1:46" x14ac:dyDescent="0.2">
      <c r="A512" s="611"/>
      <c r="B512" s="234">
        <f>VLOOKUP(ППД4!A509,Реестр_Д4[№],1,0)</f>
        <v>508</v>
      </c>
      <c r="C512" s="234" t="str">
        <f>VLOOKUP(ППД4!CO509,Реестр_Д4[Статус],1,0)</f>
        <v>Продажа</v>
      </c>
      <c r="D512" s="612">
        <f>VLOOKUP(ППД4!CE509,Реестр_Д4[Стоимость ОН без отделки со скидкой],1,0)</f>
        <v>5016990.7</v>
      </c>
      <c r="E512" s="612" cm="1">
        <f t="array" ref="E512">IFERROR(INDEX(РД[Стоимость без отделки итог],MATCH($B$3&amp;Таблица4[[#This Row],[№]]&amp;"Продажа",РД[Дом]&amp;РД[№ кв]&amp;РД[Состояние],0),1),Таблица4[[#This Row],[Статус]])</f>
        <v>5016990.7</v>
      </c>
      <c r="F512" s="235">
        <f>IFERROR((Таблица4[[#This Row],[ПП]]-Таблица4[[#This Row],[ДДУ]])*1,"")</f>
        <v>0</v>
      </c>
      <c r="G512" s="235" cm="1">
        <f t="array" ref="G512">IFERROR(INDEX(РД[Стоимость с отделкой итог],MATCH($B$3&amp;Таблица4[[#This Row],[№]]&amp;"Продажа",РД[Дом]&amp;РД[№ кв]&amp;РД[Состояние],0),1),Таблица4[[#This Row],[Статус]])</f>
        <v>5271950.7</v>
      </c>
      <c r="H512" s="235">
        <f>_xlfn.XLOOKUP(Таблица4[[#This Row],[№]],Реестр_Д4[№],Реестр_Д4[Стоимость квартиры с отделкой],"-",0)</f>
        <v>5271950.7</v>
      </c>
      <c r="I512" s="235">
        <f>IFERROR(Таблица4[[#This Row],[СО ПП]]-Таблица4[[#This Row],[СО ДДУ]],"")</f>
        <v>0</v>
      </c>
      <c r="J512" s="233" cm="1">
        <f t="array" ref="J512">IFERROR(INDEX(РД[S],MATCH($B$3&amp;Таблица4[[#This Row],[№]]&amp;"Продажа",РД[Дом]&amp;РД[№ кв]&amp;РД[Состояние],0),1),Таблица4[[#This Row],[Статус]])</f>
        <v>63.74</v>
      </c>
      <c r="K512" s="233">
        <f>VLOOKUP(Таблица4[[#This Row],[№]],Реестр_Д4[],20,0)</f>
        <v>63.74</v>
      </c>
      <c r="L512" s="235">
        <f>IFERROR(Таблица4[[#This Row],[S ПП]]-Таблица4[[#This Row],[S ДДУ]],)</f>
        <v>0</v>
      </c>
      <c r="M512" s="235">
        <f>ROUND(_xlfn.XLOOKUP(Таблица4[[#This Row],[№]],Реестр_Д4[№],Реестр_Д4[Итоговая сумма скидки],"",0),2)</f>
        <v>254960</v>
      </c>
      <c r="N512" s="235" cm="1">
        <f t="array" ref="N512">IFERROR(ROUND(_xlfn.XLOOKUP($B$3&amp;Таблица4[[#This Row],[№]]&amp;"Продажа",РД[Дом]&amp;РД[№ кв]&amp;РД[Состояние],РД[Сумма скидки],"",0),2),Таблица4[[#This Row],[Статус]])</f>
        <v>254960</v>
      </c>
      <c r="O512" s="235">
        <f>IFERROR(Таблица4[[#This Row],[ППС]]-Таблица4[[#This Row],[ДДУС]],)</f>
        <v>0</v>
      </c>
      <c r="P512" s="611"/>
      <c r="Q512" s="234">
        <f>VLOOKUP(ППД5!A509,Реестр_Д5[№],1,0)</f>
        <v>508</v>
      </c>
      <c r="R512" s="234" t="str">
        <f>VLOOKUP(ППД5!CH509,Реестр_Д5[Статус],1,0)</f>
        <v>Продажа</v>
      </c>
      <c r="S512" s="612">
        <f>VLOOKUP(ППД5!BZ509,Реестр_Д5[Стоимость ОН без отделки со скидкой],1,0)</f>
        <v>3708045</v>
      </c>
      <c r="T512" s="612" cm="1">
        <f t="array" ref="T512">IFERROR(INDEX(РД[Стоимость без отделки итог],MATCH($Q$3&amp;Таблица10[[#This Row],[№]]&amp;"Продажа",РД[Дом]&amp;РД[№ кв]&amp;РД[Состояние],0),1),Таблица10[[#This Row],[Статус]])</f>
        <v>3708045</v>
      </c>
      <c r="U512" s="235">
        <f>IFERROR((Таблица10[[#This Row],[ПП]]-Таблица10[[#This Row],[ДДУ]])*1,)</f>
        <v>0</v>
      </c>
      <c r="V512" s="235" cm="1">
        <f t="array" ref="V512">IFERROR(INDEX(РД[Стоимость с отделкой итог],MATCH($Q$3&amp;Таблица10[[#This Row],[№]]&amp;"Продажа",РД[Дом]&amp;РД[№ кв]&amp;РД[Состояние],0),1),Таблица10[[#This Row],[Статус]])</f>
        <v>4343085</v>
      </c>
      <c r="W512" s="235">
        <f>_xlfn.XLOOKUP(Таблица10[[#This Row],[№]],Реестр_Д5[№],Реестр_Д5[Стоимость квартиры с отделкой],"-",0)</f>
        <v>4343085</v>
      </c>
      <c r="X512" s="235">
        <f>IFERROR(Таблица10[[#This Row],[СО ПП]]-Таблица10[[#This Row],[СО ДДУ]],"")</f>
        <v>0</v>
      </c>
      <c r="Y512" s="233" cm="1">
        <f t="array" ref="Y512">IFERROR(INDEX(РД[S],MATCH($Q$3&amp;Таблица10[[#This Row],[№]]&amp;"Продажа",РД[Дом]&amp;РД[№ кв]&amp;РД[Состояние],0),1),Таблица10[[#This Row],[Статус]])</f>
        <v>39.69</v>
      </c>
      <c r="Z512" s="233">
        <f>IF(Таблица10[[#This Row],[№]]&amp;"ДДУ"=ППД5!A509&amp;ППД5!CR509,ППД5!U509,ППД5!V509)</f>
        <v>39.69</v>
      </c>
      <c r="AA512" s="285">
        <f>IFERROR(Таблица10[[#This Row],[S ПП]]-Таблица10[[#This Row],[S ДДУ]],)</f>
        <v>0</v>
      </c>
      <c r="AB512" s="235">
        <f>ROUND(_xlfn.XLOOKUP(Таблица10[[#This Row],[№]],Реестр_Д5[№],Реестр_Д5[Итоговая сумма скидки],"",0),2)</f>
        <v>0</v>
      </c>
      <c r="AC512" s="235" cm="1">
        <f t="array" ref="AC512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2" s="285">
        <f>IFERROR(Таблица10[[#This Row],[ППС]]-Таблица10[[#This Row],[ДДУС]],)</f>
        <v>0</v>
      </c>
      <c r="AE512" s="611"/>
      <c r="AT512" s="611"/>
    </row>
    <row r="513" spans="1:46" x14ac:dyDescent="0.2">
      <c r="A513" s="611"/>
      <c r="B513" s="234">
        <f>VLOOKUP(ППД4!A510,Реестр_Д4[№],1,0)</f>
        <v>509</v>
      </c>
      <c r="C513" s="234" t="str">
        <f>VLOOKUP(ППД4!CO510,Реестр_Д4[Статус],1,0)</f>
        <v>Продажа</v>
      </c>
      <c r="D513" s="612">
        <f>VLOOKUP(ППД4!CE510,Реестр_Д4[Стоимость ОН без отделки со скидкой],1,0)</f>
        <v>4294133.04</v>
      </c>
      <c r="E513" s="612" cm="1">
        <f t="array" ref="E513">IFERROR(INDEX(РД[Стоимость без отделки итог],MATCH($B$3&amp;Таблица4[[#This Row],[№]]&amp;"Продажа",РД[Дом]&amp;РД[№ кв]&amp;РД[Состояние],0),1),Таблица4[[#This Row],[Статус]])</f>
        <v>4294133.04</v>
      </c>
      <c r="F513" s="235">
        <f>IFERROR((Таблица4[[#This Row],[ПП]]-Таблица4[[#This Row],[ДДУ]])*1,"")</f>
        <v>0</v>
      </c>
      <c r="G513" s="235" cm="1">
        <f t="array" ref="G513">IFERROR(INDEX(РД[Стоимость с отделкой итог],MATCH($B$3&amp;Таблица4[[#This Row],[№]]&amp;"Продажа",РД[Дом]&amp;РД[№ кв]&amp;РД[Состояние],0),1),Таблица4[[#This Row],[Статус]])</f>
        <v>4626908.04</v>
      </c>
      <c r="H513" s="235">
        <f>_xlfn.XLOOKUP(Таблица4[[#This Row],[№]],Реестр_Д4[№],Реестр_Д4[Стоимость квартиры с отделкой],"-",0)</f>
        <v>4626908.04</v>
      </c>
      <c r="I513" s="235">
        <f>IFERROR(Таблица4[[#This Row],[СО ПП]]-Таблица4[[#This Row],[СО ДДУ]],"")</f>
        <v>0</v>
      </c>
      <c r="J513" s="233" cm="1">
        <f t="array" ref="J513">IFERROR(INDEX(РД[S],MATCH($B$3&amp;Таблица4[[#This Row],[№]]&amp;"Продажа",РД[Дом]&amp;РД[№ кв]&amp;РД[Состояние],0),1),Таблица4[[#This Row],[Статус]])</f>
        <v>44.37</v>
      </c>
      <c r="K513" s="233">
        <f>VLOOKUP(Таблица4[[#This Row],[№]],Реестр_Д4[],20,0)</f>
        <v>44.37</v>
      </c>
      <c r="L513" s="235">
        <f>IFERROR(Таблица4[[#This Row],[S ПП]]-Таблица4[[#This Row],[S ДДУ]],)</f>
        <v>0</v>
      </c>
      <c r="M513" s="235">
        <f>ROUND(_xlfn.XLOOKUP(Таблица4[[#This Row],[№]],Реестр_Д4[№],Реестр_Д4[Итоговая сумма скидки],"",0),2)</f>
        <v>0</v>
      </c>
      <c r="N513" s="235" cm="1">
        <f t="array" ref="N51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13" s="235">
        <f>IFERROR(Таблица4[[#This Row],[ППС]]-Таблица4[[#This Row],[ДДУС]],)</f>
        <v>0</v>
      </c>
      <c r="P513" s="611"/>
      <c r="Q513" s="234">
        <f>VLOOKUP(ППД5!A510,Реестр_Д5[№],1,0)</f>
        <v>509</v>
      </c>
      <c r="R513" s="234" t="str">
        <f>VLOOKUP(ППД5!CH510,Реестр_Д5[Статус],1,0)</f>
        <v>Продажа</v>
      </c>
      <c r="S513" s="612">
        <f>VLOOKUP(ППД5!BZ510,Реестр_Д5[Стоимость ОН без отделки со скидкой],1,0)</f>
        <v>3382700</v>
      </c>
      <c r="T513" s="612" cm="1">
        <f t="array" ref="T513">IFERROR(INDEX(РД[Стоимость без отделки итог],MATCH($Q$3&amp;Таблица10[[#This Row],[№]]&amp;"Продажа",РД[Дом]&amp;РД[№ кв]&amp;РД[Состояние],0),1),Таблица10[[#This Row],[Статус]])</f>
        <v>3382700.0000000005</v>
      </c>
      <c r="U513" s="235">
        <f>IFERROR((Таблица10[[#This Row],[ПП]]-Таблица10[[#This Row],[ДДУ]])*1,)</f>
        <v>-4.6566128730773926E-10</v>
      </c>
      <c r="V513" s="235" cm="1">
        <f t="array" ref="V513">IFERROR(INDEX(РД[Стоимость с отделкой итог],MATCH($Q$3&amp;Таблица10[[#This Row],[№]]&amp;"Продажа",РД[Дом]&amp;РД[№ кв]&amp;РД[Состояние],0),1),Таблица10[[#This Row],[Статус]])</f>
        <v>3970700</v>
      </c>
      <c r="W513" s="235">
        <f>_xlfn.XLOOKUP(Таблица10[[#This Row],[№]],Реестр_Д5[№],Реестр_Д5[Стоимость квартиры с отделкой],"-",0)</f>
        <v>3970700.0000000009</v>
      </c>
      <c r="X513" s="235">
        <f>IFERROR(Таблица10[[#This Row],[СО ПП]]-Таблица10[[#This Row],[СО ДДУ]],"")</f>
        <v>9.3132257461547852E-10</v>
      </c>
      <c r="Y513" s="233" cm="1">
        <f t="array" ref="Y513">IFERROR(INDEX(РД[S],MATCH($Q$3&amp;Таблица10[[#This Row],[№]]&amp;"Продажа",РД[Дом]&amp;РД[№ кв]&amp;РД[Состояние],0),1),Таблица10[[#This Row],[Статус]])</f>
        <v>29.4</v>
      </c>
      <c r="Z513" s="233">
        <f>IF(Таблица10[[#This Row],[№]]&amp;"ДДУ"=ППД5!A510&amp;ППД5!CR510,ППД5!U510,ППД5!V510)</f>
        <v>29.4</v>
      </c>
      <c r="AA513" s="285">
        <f>IFERROR(Таблица10[[#This Row],[S ПП]]-Таблица10[[#This Row],[S ДДУ]],)</f>
        <v>0</v>
      </c>
      <c r="AB513" s="235">
        <f>ROUND(_xlfn.XLOOKUP(Таблица10[[#This Row],[№]],Реестр_Д5[№],Реестр_Д5[Итоговая сумма скидки],"",0),2)</f>
        <v>0</v>
      </c>
      <c r="AC513" s="235" cm="1">
        <f t="array" ref="AC51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3" s="285">
        <f>IFERROR(Таблица10[[#This Row],[ППС]]-Таблица10[[#This Row],[ДДУС]],)</f>
        <v>0</v>
      </c>
      <c r="AE513" s="611"/>
      <c r="AT513" s="611"/>
    </row>
    <row r="514" spans="1:46" x14ac:dyDescent="0.2">
      <c r="A514" s="611"/>
      <c r="B514" s="234">
        <f>VLOOKUP(ППД4!A511,Реестр_Д4[№],1,0)</f>
        <v>510</v>
      </c>
      <c r="C514" s="234" t="str">
        <f>VLOOKUP(ППД4!CO511,Реестр_Д4[Статус],1,0)</f>
        <v>Продажа</v>
      </c>
      <c r="D514" s="612">
        <f>VLOOKUP(ППД4!CE511,Реестр_Д4[Стоимость ОН без отделки со скидкой],1,0)</f>
        <v>4066665</v>
      </c>
      <c r="E514" s="612" cm="1">
        <f t="array" ref="E514">IFERROR(INDEX(РД[Стоимость без отделки итог],MATCH($B$3&amp;Таблица4[[#This Row],[№]]&amp;"Продажа",РД[Дом]&amp;РД[№ кв]&amp;РД[Состояние],0),1),Таблица4[[#This Row],[Статус]])</f>
        <v>4066665</v>
      </c>
      <c r="F514" s="235">
        <f>IFERROR((Таблица4[[#This Row],[ПП]]-Таблица4[[#This Row],[ДДУ]])*1,"")</f>
        <v>0</v>
      </c>
      <c r="G514" s="235" cm="1">
        <f t="array" ref="G514">IFERROR(INDEX(РД[Стоимость с отделкой итог],MATCH($B$3&amp;Таблица4[[#This Row],[№]]&amp;"Продажа",РД[Дом]&amp;РД[№ кв]&amp;РД[Состояние],0),1),Таблица4[[#This Row],[Статус]])</f>
        <v>4066665</v>
      </c>
      <c r="H514" s="235">
        <f>_xlfn.XLOOKUP(Таблица4[[#This Row],[№]],Реестр_Д4[№],Реестр_Д4[Стоимость квартиры с отделкой],"-",0)</f>
        <v>4066665</v>
      </c>
      <c r="I514" s="235">
        <f>IFERROR(Таблица4[[#This Row],[СО ПП]]-Таблица4[[#This Row],[СО ДДУ]],"")</f>
        <v>0</v>
      </c>
      <c r="J514" s="233" cm="1">
        <f t="array" ref="J514">IFERROR(INDEX(РД[S],MATCH($B$3&amp;Таблица4[[#This Row],[№]]&amp;"Продажа",РД[Дом]&amp;РД[№ кв]&amp;РД[Состояние],0),1),Таблица4[[#This Row],[Статус]])</f>
        <v>39.74</v>
      </c>
      <c r="K514" s="233">
        <f>VLOOKUP(Таблица4[[#This Row],[№]],Реестр_Д4[],20,0)</f>
        <v>39.74</v>
      </c>
      <c r="L514" s="235">
        <f>IFERROR(Таблица4[[#This Row],[S ПП]]-Таблица4[[#This Row],[S ДДУ]],)</f>
        <v>0</v>
      </c>
      <c r="M514" s="235">
        <f>ROUND(_xlfn.XLOOKUP(Таблица4[[#This Row],[№]],Реестр_Д4[№],Реестр_Д4[Итоговая сумма скидки],"",0),2)</f>
        <v>214035</v>
      </c>
      <c r="N514" s="235" cm="1">
        <f t="array" ref="N514">IFERROR(ROUND(_xlfn.XLOOKUP($B$3&amp;Таблица4[[#This Row],[№]]&amp;"Продажа",РД[Дом]&amp;РД[№ кв]&amp;РД[Состояние],РД[Сумма скидки],"",0),2),Таблица4[[#This Row],[Статус]])</f>
        <v>214035</v>
      </c>
      <c r="O514" s="235">
        <f>IFERROR(Таблица4[[#This Row],[ППС]]-Таблица4[[#This Row],[ДДУС]],)</f>
        <v>0</v>
      </c>
      <c r="P514" s="611"/>
      <c r="Q514" s="234">
        <f>VLOOKUP(ППД5!A511,Реестр_Д5[№],1,0)</f>
        <v>510</v>
      </c>
      <c r="R514" s="234" t="str">
        <f>VLOOKUP(ППД5!CH511,Реестр_Д5[Статус],1,0)</f>
        <v>Свободно</v>
      </c>
      <c r="S514" s="612">
        <f>VLOOKUP(ППД5!BZ511,Реестр_Д5[Стоимость ОН без отделки со скидкой],1,0)</f>
        <v>5723800</v>
      </c>
      <c r="T514" s="612" t="str" cm="1">
        <f t="array" ref="T51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14" s="235">
        <f>IFERROR((Таблица10[[#This Row],[ПП]]-Таблица10[[#This Row],[ДДУ]])*1,)</f>
        <v>0</v>
      </c>
      <c r="V514" s="235" t="str" cm="1">
        <f t="array" ref="V51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14" s="235">
        <f>_xlfn.XLOOKUP(Таблица10[[#This Row],[№]],Реестр_Д5[№],Реестр_Д5[Стоимость квартиры с отделкой],"-",0)</f>
        <v>5723800</v>
      </c>
      <c r="X514" s="235" t="str">
        <f>IFERROR(Таблица10[[#This Row],[СО ПП]]-Таблица10[[#This Row],[СО ДДУ]],"")</f>
        <v/>
      </c>
      <c r="Y514" s="233" t="str" cm="1">
        <f t="array" ref="Y514">IFERROR(INDEX(РД[S],MATCH($Q$3&amp;Таблица10[[#This Row],[№]]&amp;"Продажа",РД[Дом]&amp;РД[№ кв]&amp;РД[Состояние],0),1),Таблица10[[#This Row],[Статус]])</f>
        <v>Свободно</v>
      </c>
      <c r="Z514" s="233">
        <f>IF(Таблица10[[#This Row],[№]]&amp;"ДДУ"=ППД5!A511&amp;ППД5!CR511,ППД5!U511,ППД5!V511)</f>
        <v>42.25</v>
      </c>
      <c r="AA514" s="285">
        <f>IFERROR(Таблица10[[#This Row],[S ПП]]-Таблица10[[#This Row],[S ДДУ]],)</f>
        <v>0</v>
      </c>
      <c r="AB514" s="235">
        <f>ROUND(_xlfn.XLOOKUP(Таблица10[[#This Row],[№]],Реестр_Д5[№],Реестр_Д5[Итоговая сумма скидки],"",0),2)</f>
        <v>0</v>
      </c>
      <c r="AC514" s="235" t="str" cm="1">
        <f t="array" ref="AC51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14" s="285">
        <f>IFERROR(Таблица10[[#This Row],[ППС]]-Таблица10[[#This Row],[ДДУС]],)</f>
        <v>0</v>
      </c>
      <c r="AE514" s="611"/>
      <c r="AT514" s="611"/>
    </row>
    <row r="515" spans="1:46" x14ac:dyDescent="0.2">
      <c r="A515" s="611"/>
      <c r="B515" s="234">
        <f>VLOOKUP(ППД4!A512,Реестр_Д4[№],1,0)</f>
        <v>511</v>
      </c>
      <c r="C515" s="234" t="str">
        <f>VLOOKUP(ППД4!CO512,Реестр_Д4[Статус],1,0)</f>
        <v>Продажа</v>
      </c>
      <c r="D515" s="612">
        <f>VLOOKUP(ППД4!CE512,Реестр_Д4[Стоимость ОН без отделки со скидкой],1,0)</f>
        <v>3437292.17</v>
      </c>
      <c r="E515" s="612" cm="1">
        <f t="array" ref="E515">IFERROR(INDEX(РД[Стоимость без отделки итог],MATCH($B$3&amp;Таблица4[[#This Row],[№]]&amp;"Продажа",РД[Дом]&amp;РД[№ кв]&amp;РД[Состояние],0),1),Таблица4[[#This Row],[Статус]])</f>
        <v>3437292.17</v>
      </c>
      <c r="F515" s="235">
        <f>IFERROR((Таблица4[[#This Row],[ПП]]-Таблица4[[#This Row],[ДДУ]])*1,"")</f>
        <v>0</v>
      </c>
      <c r="G515" s="235" cm="1">
        <f t="array" ref="G515">IFERROR(INDEX(РД[Стоимость с отделкой итог],MATCH($B$3&amp;Таблица4[[#This Row],[№]]&amp;"Продажа",РД[Дом]&amp;РД[№ кв]&amp;РД[Состояние],0),1),Таблица4[[#This Row],[Статус]])</f>
        <v>3591692.17</v>
      </c>
      <c r="H515" s="235">
        <f>_xlfn.XLOOKUP(Таблица4[[#This Row],[№]],Реестр_Д4[№],Реестр_Д4[Стоимость квартиры с отделкой],"-",0)</f>
        <v>3591692.17</v>
      </c>
      <c r="I515" s="235">
        <f>IFERROR(Таблица4[[#This Row],[СО ПП]]-Таблица4[[#This Row],[СО ДДУ]],"")</f>
        <v>0</v>
      </c>
      <c r="J515" s="233" cm="1">
        <f t="array" ref="J515">IFERROR(INDEX(РД[S],MATCH($B$3&amp;Таблица4[[#This Row],[№]]&amp;"Продажа",РД[Дом]&amp;РД[№ кв]&amp;РД[Состояние],0),1),Таблица4[[#This Row],[Статус]])</f>
        <v>38.6</v>
      </c>
      <c r="K515" s="233">
        <f>VLOOKUP(Таблица4[[#This Row],[№]],Реестр_Д4[],20,0)</f>
        <v>38.6</v>
      </c>
      <c r="L515" s="235">
        <f>IFERROR(Таблица4[[#This Row],[S ПП]]-Таблица4[[#This Row],[S ДДУ]],)</f>
        <v>0</v>
      </c>
      <c r="M515" s="235">
        <f>ROUND(_xlfn.XLOOKUP(Таблица4[[#This Row],[№]],Реестр_Д4[№],Реестр_Д4[Итоговая сумма скидки],"",0),2)</f>
        <v>154400</v>
      </c>
      <c r="N515" s="235" cm="1">
        <f t="array" ref="N515">IFERROR(ROUND(_xlfn.XLOOKUP($B$3&amp;Таблица4[[#This Row],[№]]&amp;"Продажа",РД[Дом]&amp;РД[№ кв]&amp;РД[Состояние],РД[Сумма скидки],"",0),2),Таблица4[[#This Row],[Статус]])</f>
        <v>154400</v>
      </c>
      <c r="O515" s="235">
        <f>IFERROR(Таблица4[[#This Row],[ППС]]-Таблица4[[#This Row],[ДДУС]],)</f>
        <v>0</v>
      </c>
      <c r="P515" s="611"/>
      <c r="Q515" s="234">
        <f>VLOOKUP(ППД5!A512,Реестр_Д5[№],1,0)</f>
        <v>511</v>
      </c>
      <c r="R515" s="234" t="str">
        <f>VLOOKUP(ППД5!CH512,Реестр_Д5[Статус],1,0)</f>
        <v>Продажа</v>
      </c>
      <c r="S515" s="612">
        <f>VLOOKUP(ППД5!BZ512,Реестр_Д5[Стоимость ОН без отделки со скидкой],1,0)</f>
        <v>2631300</v>
      </c>
      <c r="T515" s="612" cm="1">
        <f t="array" ref="T515">IFERROR(INDEX(РД[Стоимость без отделки итог],MATCH($Q$3&amp;Таблица10[[#This Row],[№]]&amp;"Продажа",РД[Дом]&amp;РД[№ кв]&amp;РД[Состояние],0),1),Таблица10[[#This Row],[Статус]])</f>
        <v>2631300</v>
      </c>
      <c r="U515" s="235">
        <f>IFERROR((Таблица10[[#This Row],[ПП]]-Таблица10[[#This Row],[ДДУ]])*1,)</f>
        <v>0</v>
      </c>
      <c r="V515" s="235" cm="1">
        <f t="array" ref="V515">IFERROR(INDEX(РД[Стоимость с отделкой итог],MATCH($Q$3&amp;Таблица10[[#This Row],[№]]&amp;"Продажа",РД[Дом]&amp;РД[№ кв]&amp;РД[Состояние],0),1),Таблица10[[#This Row],[Статус]])</f>
        <v>2815050</v>
      </c>
      <c r="W515" s="235">
        <f>_xlfn.XLOOKUP(Таблица10[[#This Row],[№]],Реестр_Д5[№],Реестр_Д5[Стоимость квартиры с отделкой],"-",0)</f>
        <v>2815050</v>
      </c>
      <c r="X515" s="235">
        <f>IFERROR(Таблица10[[#This Row],[СО ПП]]-Таблица10[[#This Row],[СО ДДУ]],"")</f>
        <v>0</v>
      </c>
      <c r="Y515" s="233" cm="1">
        <f t="array" ref="Y515">IFERROR(INDEX(РД[S],MATCH($Q$3&amp;Таблица10[[#This Row],[№]]&amp;"Продажа",РД[Дом]&amp;РД[№ кв]&amp;РД[Состояние],0),1),Таблица10[[#This Row],[Статус]])</f>
        <v>24.5</v>
      </c>
      <c r="Z515" s="233">
        <f>IF(Таблица10[[#This Row],[№]]&amp;"ДДУ"=ППД5!A512&amp;ППД5!CR512,ППД5!U512,ППД5!V512)</f>
        <v>24.5</v>
      </c>
      <c r="AA515" s="285">
        <f>IFERROR(Таблица10[[#This Row],[S ПП]]-Таблица10[[#This Row],[S ДДУ]],)</f>
        <v>0</v>
      </c>
      <c r="AB515" s="235">
        <f>ROUND(_xlfn.XLOOKUP(Таблица10[[#This Row],[№]],Реестр_Д5[№],Реестр_Д5[Итоговая сумма скидки],"",0),2)</f>
        <v>0</v>
      </c>
      <c r="AC515" s="235" cm="1">
        <f t="array" ref="AC51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15" s="285">
        <f>IFERROR(Таблица10[[#This Row],[ППС]]-Таблица10[[#This Row],[ДДУС]],)</f>
        <v>0</v>
      </c>
      <c r="AE515" s="611"/>
      <c r="AT515" s="611"/>
    </row>
    <row r="516" spans="1:46" x14ac:dyDescent="0.2">
      <c r="A516" s="611"/>
      <c r="B516" s="234">
        <f>VLOOKUP(ППД4!A513,Реестр_Д4[№],1,0)</f>
        <v>512</v>
      </c>
      <c r="C516" s="234" t="str">
        <f>VLOOKUP(ППД4!CO513,Реестр_Д4[Статус],1,0)</f>
        <v>Продажа</v>
      </c>
      <c r="D516" s="612">
        <f>VLOOKUP(ППД4!CE513,Реестр_Д4[Стоимость ОН без отделки со скидкой],1,0)</f>
        <v>8374500</v>
      </c>
      <c r="E516" s="612" cm="1">
        <f t="array" ref="E516">IFERROR(INDEX(РД[Стоимость без отделки итог],MATCH($B$3&amp;Таблица4[[#This Row],[№]]&amp;"Продажа",РД[Дом]&amp;РД[№ кв]&amp;РД[Состояние],0),1),Таблица4[[#This Row],[Статус]])</f>
        <v>8374500</v>
      </c>
      <c r="F516" s="235">
        <f>IFERROR((Таблица4[[#This Row],[ПП]]-Таблица4[[#This Row],[ДДУ]])*1,"")</f>
        <v>0</v>
      </c>
      <c r="G516" s="235" cm="1">
        <f t="array" ref="G516">IFERROR(INDEX(РД[Стоимость с отделкой итог],MATCH($B$3&amp;Таблица4[[#This Row],[№]]&amp;"Продажа",РД[Дом]&amp;РД[№ кв]&amp;РД[Состояние],0),1),Таблица4[[#This Row],[Статус]])</f>
        <v>8374500</v>
      </c>
      <c r="H516" s="235">
        <f>_xlfn.XLOOKUP(Таблица4[[#This Row],[№]],Реестр_Д4[№],Реестр_Д4[Стоимость квартиры с отделкой],"-",0)</f>
        <v>8374500</v>
      </c>
      <c r="I516" s="235">
        <f>IFERROR(Таблица4[[#This Row],[СО ПП]]-Таблица4[[#This Row],[СО ДДУ]],"")</f>
        <v>0</v>
      </c>
      <c r="J516" s="233" cm="1">
        <f t="array" ref="J516">IFERROR(INDEX(РД[S],MATCH($B$3&amp;Таблица4[[#This Row],[№]]&amp;"Продажа",РД[Дом]&amp;РД[№ кв]&amp;РД[Состояние],0),1),Таблица4[[#This Row],[Статус]])</f>
        <v>75.7</v>
      </c>
      <c r="K516" s="233">
        <f>VLOOKUP(Таблица4[[#This Row],[№]],Реестр_Д4[],21,0)</f>
        <v>75.7</v>
      </c>
      <c r="L516" s="235">
        <f>IFERROR(Таблица4[[#This Row],[S ПП]]-Таблица4[[#This Row],[S ДДУ]],)</f>
        <v>0</v>
      </c>
      <c r="M516" s="235">
        <f>ROUND(_xlfn.XLOOKUP(Таблица4[[#This Row],[№]],Реестр_Д4[№],Реестр_Д4[Итоговая сумма скидки],"",0),2)</f>
        <v>500000</v>
      </c>
      <c r="N516" s="235" cm="1">
        <f t="array" ref="N516">IFERROR(ROUND(_xlfn.XLOOKUP($B$3&amp;Таблица4[[#This Row],[№]]&amp;"Продажа",РД[Дом]&amp;РД[№ кв]&amp;РД[Состояние],РД[Сумма скидки],"",0),2),Таблица4[[#This Row],[Статус]])</f>
        <v>500000</v>
      </c>
      <c r="O516" s="235">
        <f>IFERROR(Таблица4[[#This Row],[ППС]]-Таблица4[[#This Row],[ДДУС]],)</f>
        <v>0</v>
      </c>
      <c r="P516" s="611"/>
      <c r="Q516" s="234">
        <f>VLOOKUP(ППД5!A513,Реестр_Д5[№],1,0)</f>
        <v>512</v>
      </c>
      <c r="R516" s="234" t="str">
        <f>VLOOKUP(ППД5!CH513,Реестр_Д5[Статус],1,0)</f>
        <v>Продажа</v>
      </c>
      <c r="S516" s="612">
        <f>VLOOKUP(ППД5!BZ513,Реестр_Д5[Стоимость ОН без отделки со скидкой],1,0)</f>
        <v>5496505</v>
      </c>
      <c r="T516" s="612" cm="1">
        <f t="array" ref="T516">IFERROR(INDEX(РД[Стоимость без отделки итог],MATCH($Q$3&amp;Таблица10[[#This Row],[№]]&amp;"Продажа",РД[Дом]&amp;РД[№ кв]&amp;РД[Состояние],0),1),Таблица10[[#This Row],[Статус]])</f>
        <v>5496505</v>
      </c>
      <c r="U516" s="235">
        <f>IFERROR((Таблица10[[#This Row],[ПП]]-Таблица10[[#This Row],[ДДУ]])*1,)</f>
        <v>0</v>
      </c>
      <c r="V516" s="235" cm="1">
        <f t="array" ref="V516">IFERROR(INDEX(РД[Стоимость с отделкой итог],MATCH($Q$3&amp;Таблица10[[#This Row],[№]]&amp;"Продажа",РД[Дом]&amp;РД[№ кв]&amp;РД[Состояние],0),1),Таблица10[[#This Row],[Статус]])</f>
        <v>5496505</v>
      </c>
      <c r="W516" s="235">
        <f>_xlfn.XLOOKUP(Таблица10[[#This Row],[№]],Реестр_Д5[№],Реестр_Д5[Стоимость квартиры с отделкой],"-",0)</f>
        <v>5496505</v>
      </c>
      <c r="X516" s="235">
        <f>IFERROR(Таблица10[[#This Row],[СО ПП]]-Таблица10[[#This Row],[СО ДДУ]],"")</f>
        <v>0</v>
      </c>
      <c r="Y516" s="233" cm="1">
        <f t="array" ref="Y516">IFERROR(INDEX(РД[S],MATCH($Q$3&amp;Таблица10[[#This Row],[№]]&amp;"Продажа",РД[Дом]&amp;РД[№ кв]&amp;РД[Состояние],0),1),Таблица10[[#This Row],[Статус]])</f>
        <v>58.24</v>
      </c>
      <c r="Z516" s="233">
        <f>IF(Таблица10[[#This Row],[№]]&amp;"ДДУ"=ППД5!A513&amp;ППД5!CR513,ППД5!U513,ППД5!V513)</f>
        <v>58.24</v>
      </c>
      <c r="AA516" s="285">
        <f>IFERROR(Таблица10[[#This Row],[S ПП]]-Таблица10[[#This Row],[S ДДУ]],)</f>
        <v>0</v>
      </c>
      <c r="AB516" s="235">
        <f>ROUND(_xlfn.XLOOKUP(Таблица10[[#This Row],[№]],Реестр_Д5[№],Реестр_Д5[Итоговая сумма скидки],"",0),2)</f>
        <v>169995</v>
      </c>
      <c r="AC516" s="235" cm="1">
        <f t="array" ref="AC516">IFERROR(ROUND(_xlfn.XLOOKUP($Q$3&amp;Таблица10[[#This Row],[№]]&amp;"Продажа",РД[Дом]&amp;РД[№ кв]&amp;РД[Состояние],РД[Сумма скидки],"",0,-1),2),Таблица10[[#This Row],[Статус]])</f>
        <v>169995</v>
      </c>
      <c r="AD516" s="285">
        <f>IFERROR(Таблица10[[#This Row],[ППС]]-Таблица10[[#This Row],[ДДУС]],)</f>
        <v>0</v>
      </c>
      <c r="AE516" s="611"/>
      <c r="AT516" s="611"/>
    </row>
    <row r="517" spans="1:46" x14ac:dyDescent="0.2">
      <c r="A517" s="611"/>
      <c r="B517" s="234">
        <f>VLOOKUP(ППД4!A514,Реестр_Д4[№],1,0)</f>
        <v>513</v>
      </c>
      <c r="C517" s="234" t="str">
        <f>VLOOKUP(ППД4!CO514,Реестр_Д4[Статус],1,0)</f>
        <v>Продажа</v>
      </c>
      <c r="D517" s="612">
        <f>VLOOKUP(ППД4!CE514,Реестр_Д4[Стоимость ОН без отделки со скидкой],1,0)</f>
        <v>3673086.98</v>
      </c>
      <c r="E517" s="612" cm="1">
        <f t="array" ref="E517">IFERROR(INDEX(РД[Стоимость без отделки итог],MATCH($B$3&amp;Таблица4[[#This Row],[№]]&amp;"Продажа",РД[Дом]&amp;РД[№ кв]&amp;РД[Состояние],0),1),Таблица4[[#This Row],[Статус]])</f>
        <v>3673086.98</v>
      </c>
      <c r="F517" s="235">
        <f>IFERROR((Таблица4[[#This Row],[ПП]]-Таблица4[[#This Row],[ДДУ]])*1,"")</f>
        <v>0</v>
      </c>
      <c r="G517" s="235" cm="1">
        <f t="array" ref="G517">IFERROR(INDEX(РД[Стоимость с отделкой итог],MATCH($B$3&amp;Таблица4[[#This Row],[№]]&amp;"Продажа",РД[Дом]&amp;РД[№ кв]&amp;РД[Состояние],0),1),Таблица4[[#This Row],[Статус]])</f>
        <v>3673086.98</v>
      </c>
      <c r="H517" s="235">
        <f>_xlfn.XLOOKUP(Таблица4[[#This Row],[№]],Реестр_Д4[№],Реестр_Д4[Стоимость квартиры с отделкой],"-",0)</f>
        <v>3673086.98</v>
      </c>
      <c r="I517" s="235">
        <f>IFERROR(Таблица4[[#This Row],[СО ПП]]-Таблица4[[#This Row],[СО ДДУ]],"")</f>
        <v>0</v>
      </c>
      <c r="J517" s="233" cm="1">
        <f t="array" ref="J517">IFERROR(INDEX(РД[S],MATCH($B$3&amp;Таблица4[[#This Row],[№]]&amp;"Продажа",РД[Дом]&amp;РД[№ кв]&amp;РД[Состояние],0),1),Таблица4[[#This Row],[Статус]])</f>
        <v>36.5</v>
      </c>
      <c r="K517" s="233">
        <f>VLOOKUP(Таблица4[[#This Row],[№]],Реестр_Д4[],20,0)</f>
        <v>36.5</v>
      </c>
      <c r="L517" s="235">
        <f>IFERROR(Таблица4[[#This Row],[S ПП]]-Таблица4[[#This Row],[S ДДУ]],)</f>
        <v>0</v>
      </c>
      <c r="M517" s="235">
        <f>ROUND(_xlfn.XLOOKUP(Таблица4[[#This Row],[№]],Реестр_Д4[№],Реестр_Д4[Итоговая сумма скидки],"",0),2)</f>
        <v>0</v>
      </c>
      <c r="N517" s="235" cm="1">
        <f t="array" ref="N51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17" s="235">
        <f>IFERROR(Таблица4[[#This Row],[ППС]]-Таблица4[[#This Row],[ДДУС]],)</f>
        <v>0</v>
      </c>
      <c r="P517" s="611"/>
      <c r="Q517" s="234">
        <f>VLOOKUP(ППД5!A514,Реестр_Д5[№],1,0)</f>
        <v>513</v>
      </c>
      <c r="R517" s="234" t="str">
        <f>VLOOKUP(ППД5!CH514,Реестр_Д5[Статус],1,0)</f>
        <v>Продажа</v>
      </c>
      <c r="S517" s="612">
        <f>VLOOKUP(ППД5!BZ514,Реестр_Д5[Стоимость ОН без отделки со скидкой],1,0)</f>
        <v>6867252</v>
      </c>
      <c r="T517" s="612" cm="1">
        <f t="array" ref="T517">IFERROR(INDEX(РД[Стоимость без отделки итог],MATCH($Q$3&amp;Таблица10[[#This Row],[№]]&amp;"Продажа",РД[Дом]&amp;РД[№ кв]&amp;РД[Состояние],0),1),Таблица10[[#This Row],[Статус]])</f>
        <v>6867252</v>
      </c>
      <c r="U517" s="235">
        <f>IFERROR((Таблица10[[#This Row],[ПП]]-Таблица10[[#This Row],[ДДУ]])*1,)</f>
        <v>0</v>
      </c>
      <c r="V517" s="235" cm="1">
        <f t="array" ref="V517">IFERROR(INDEX(РД[Стоимость с отделкой итог],MATCH($Q$3&amp;Таблица10[[#This Row],[№]]&amp;"Продажа",РД[Дом]&amp;РД[№ кв]&amp;РД[Состояние],0),1),Таблица10[[#This Row],[Статус]])</f>
        <v>8312252</v>
      </c>
      <c r="W517" s="235">
        <f>_xlfn.XLOOKUP(Таблица10[[#This Row],[№]],Реестр_Д5[№],Реестр_Д5[Стоимость квартиры с отделкой],"-",0)</f>
        <v>8312252</v>
      </c>
      <c r="X517" s="235">
        <f>IFERROR(Таблица10[[#This Row],[СО ПП]]-Таблица10[[#This Row],[СО ДДУ]],"")</f>
        <v>0</v>
      </c>
      <c r="Y517" s="233" cm="1">
        <f t="array" ref="Y517">IFERROR(INDEX(РД[S],MATCH($Q$3&amp;Таблица10[[#This Row],[№]]&amp;"Продажа",РД[Дом]&amp;РД[№ кв]&amp;РД[Состояние],0),1),Таблица10[[#This Row],[Статус]])</f>
        <v>57.8</v>
      </c>
      <c r="Z517" s="233">
        <f>IF(Таблица10[[#This Row],[№]]&amp;"ДДУ"=ППД5!A514&amp;ППД5!CR514,ППД5!U514,ППД5!V514)</f>
        <v>57.8</v>
      </c>
      <c r="AA517" s="285">
        <f>IFERROR(Таблица10[[#This Row],[S ПП]]-Таблица10[[#This Row],[S ДДУ]],)</f>
        <v>0</v>
      </c>
      <c r="AB517" s="235">
        <f>ROUND(_xlfn.XLOOKUP(Таблица10[[#This Row],[№]],Реестр_Д5[№],Реестр_Д5[Итоговая сумма скидки],"",0),2)</f>
        <v>140148</v>
      </c>
      <c r="AC517" s="235" cm="1">
        <f t="array" ref="AC517">IFERROR(ROUND(_xlfn.XLOOKUP($Q$3&amp;Таблица10[[#This Row],[№]]&amp;"Продажа",РД[Дом]&amp;РД[№ кв]&amp;РД[Состояние],РД[Сумма скидки],"",0,-1),2),Таблица10[[#This Row],[Статус]])</f>
        <v>140148</v>
      </c>
      <c r="AD517" s="285">
        <f>IFERROR(Таблица10[[#This Row],[ППС]]-Таблица10[[#This Row],[ДДУС]],)</f>
        <v>0</v>
      </c>
      <c r="AE517" s="611"/>
      <c r="AT517" s="611"/>
    </row>
    <row r="518" spans="1:46" x14ac:dyDescent="0.2">
      <c r="A518" s="611"/>
      <c r="B518" s="234">
        <f>VLOOKUP(ППД4!A515,Реестр_Д4[№],1,0)</f>
        <v>514</v>
      </c>
      <c r="C518" s="234" t="str">
        <f>VLOOKUP(ППД4!CO515,Реестр_Д4[Статус],1,0)</f>
        <v>Продажа</v>
      </c>
      <c r="D518" s="612">
        <f>VLOOKUP(ППД4!CE515,Реестр_Д4[Стоимость ОН без отделки со скидкой],1,0)</f>
        <v>3951027.83</v>
      </c>
      <c r="E518" s="612" cm="1">
        <f t="array" ref="E518">IFERROR(INDEX(РД[Стоимость без отделки итог],MATCH($B$3&amp;Таблица4[[#This Row],[№]]&amp;"Продажа",РД[Дом]&amp;РД[№ кв]&amp;РД[Состояние],0),1),Таблица4[[#This Row],[Статус]])</f>
        <v>3951027.83</v>
      </c>
      <c r="F518" s="235">
        <f>IFERROR((Таблица4[[#This Row],[ПП]]-Таблица4[[#This Row],[ДДУ]])*1,"")</f>
        <v>0</v>
      </c>
      <c r="G518" s="235" cm="1">
        <f t="array" ref="G518">IFERROR(INDEX(РД[Стоимость с отделкой итог],MATCH($B$3&amp;Таблица4[[#This Row],[№]]&amp;"Продажа",РД[Дом]&amp;РД[№ кв]&amp;РД[Состояние],0),1),Таблица4[[#This Row],[Статус]])</f>
        <v>4791627.83</v>
      </c>
      <c r="H518" s="235">
        <f>_xlfn.XLOOKUP(Таблица4[[#This Row],[№]],Реестр_Д4[№],Реестр_Д4[Стоимость квартиры с отделкой],"-",0)</f>
        <v>4791627.83</v>
      </c>
      <c r="I518" s="235">
        <f>IFERROR(Таблица4[[#This Row],[СО ПП]]-Таблица4[[#This Row],[СО ДДУ]],"")</f>
        <v>0</v>
      </c>
      <c r="J518" s="233" cm="1">
        <f t="array" ref="J518">IFERROR(INDEX(РД[S],MATCH($B$3&amp;Таблица4[[#This Row],[№]]&amp;"Продажа",РД[Дом]&amp;РД[№ кв]&amp;РД[Состояние],0),1),Таблица4[[#This Row],[Статус]])</f>
        <v>56.04</v>
      </c>
      <c r="K518" s="233">
        <f>VLOOKUP(Таблица4[[#This Row],[№]],Реестр_Д4[],20,0)</f>
        <v>56.04</v>
      </c>
      <c r="L518" s="235">
        <f>IFERROR(Таблица4[[#This Row],[S ПП]]-Таблица4[[#This Row],[S ДДУ]],)</f>
        <v>0</v>
      </c>
      <c r="M518" s="235">
        <f>ROUND(_xlfn.XLOOKUP(Таблица4[[#This Row],[№]],Реестр_Д4[№],Реестр_Д4[Итоговая сумма скидки],"",0),2)</f>
        <v>207948.83</v>
      </c>
      <c r="N518" s="235" cm="1">
        <f t="array" ref="N518">IFERROR(ROUND(_xlfn.XLOOKUP($B$3&amp;Таблица4[[#This Row],[№]]&amp;"Продажа",РД[Дом]&amp;РД[№ кв]&amp;РД[Состояние],РД[Сумма скидки],"",0),2),Таблица4[[#This Row],[Статус]])</f>
        <v>207948.83</v>
      </c>
      <c r="O518" s="235">
        <f>IFERROR(Таблица4[[#This Row],[ППС]]-Таблица4[[#This Row],[ДДУС]],)</f>
        <v>0</v>
      </c>
      <c r="P518" s="611"/>
      <c r="Q518" s="234">
        <f>VLOOKUP(ППД5!A515,Реестр_Д5[№],1,0)</f>
        <v>514</v>
      </c>
      <c r="R518" s="234" t="str">
        <f>VLOOKUP(ППД5!CH515,Реестр_Д5[Статус],1,0)</f>
        <v>Продажа</v>
      </c>
      <c r="S518" s="612">
        <f>VLOOKUP(ППД5!BZ515,Реестр_Д5[Стоимость ОН без отделки со скидкой],1,0)</f>
        <v>4639401</v>
      </c>
      <c r="T518" s="612" cm="1">
        <f t="array" ref="T518">IFERROR(INDEX(РД[Стоимость без отделки итог],MATCH($Q$3&amp;Таблица10[[#This Row],[№]]&amp;"Продажа",РД[Дом]&amp;РД[№ кв]&amp;РД[Состояние],0),1),Таблица10[[#This Row],[Статус]])</f>
        <v>4639401</v>
      </c>
      <c r="U518" s="235">
        <f>IFERROR((Таблица10[[#This Row],[ПП]]-Таблица10[[#This Row],[ДДУ]])*1,)</f>
        <v>0</v>
      </c>
      <c r="V518" s="235" cm="1">
        <f t="array" ref="V518">IFERROR(INDEX(РД[Стоимость с отделкой итог],MATCH($Q$3&amp;Таблица10[[#This Row],[№]]&amp;"Продажа",РД[Дом]&amp;РД[№ кв]&amp;РД[Состояние],0),1),Таблица10[[#This Row],[Статус]])</f>
        <v>5585651</v>
      </c>
      <c r="W518" s="235">
        <f>_xlfn.XLOOKUP(Таблица10[[#This Row],[№]],Реестр_Д5[№],Реестр_Д5[Стоимость квартиры с отделкой],"-",0)</f>
        <v>5585651</v>
      </c>
      <c r="X518" s="235">
        <f>IFERROR(Таблица10[[#This Row],[СО ПП]]-Таблица10[[#This Row],[СО ДДУ]],"")</f>
        <v>0</v>
      </c>
      <c r="Y518" s="233" cm="1">
        <f t="array" ref="Y518">IFERROR(INDEX(РД[S],MATCH($Q$3&amp;Таблица10[[#This Row],[№]]&amp;"Продажа",РД[Дом]&amp;РД[№ кв]&amp;РД[Состояние],0),1),Таблица10[[#This Row],[Статус]])</f>
        <v>37.85</v>
      </c>
      <c r="Z518" s="233">
        <f>IF(Таблица10[[#This Row],[№]]&amp;"ДДУ"=ППД5!A515&amp;ППД5!CR515,ППД5!U515,ППД5!V515)</f>
        <v>37.85</v>
      </c>
      <c r="AA518" s="285">
        <f>IFERROR(Таблица10[[#This Row],[S ПП]]-Таблица10[[#This Row],[S ДДУ]],)</f>
        <v>0</v>
      </c>
      <c r="AB518" s="235">
        <f>ROUND(_xlfn.XLOOKUP(Таблица10[[#This Row],[№]],Реестр_Д5[№],Реестр_Д5[Итоговая сумма скидки],"",0),2)</f>
        <v>592499</v>
      </c>
      <c r="AC518" s="235" cm="1">
        <f t="array" ref="AC518">IFERROR(ROUND(_xlfn.XLOOKUP($Q$3&amp;Таблица10[[#This Row],[№]]&amp;"Продажа",РД[Дом]&amp;РД[№ кв]&amp;РД[Состояние],РД[Сумма скидки],"",0,-1),2),Таблица10[[#This Row],[Статус]])</f>
        <v>592499</v>
      </c>
      <c r="AD518" s="285">
        <f>IFERROR(Таблица10[[#This Row],[ППС]]-Таблица10[[#This Row],[ДДУС]],)</f>
        <v>0</v>
      </c>
      <c r="AE518" s="611"/>
      <c r="AT518" s="611"/>
    </row>
    <row r="519" spans="1:46" x14ac:dyDescent="0.2">
      <c r="A519" s="611"/>
      <c r="B519" s="234">
        <f>VLOOKUP(ППД4!A516,Реестр_Д4[№],1,0)</f>
        <v>515</v>
      </c>
      <c r="C519" s="234" t="str">
        <f>VLOOKUP(ППД4!CO516,Реестр_Д4[Статус],1,0)</f>
        <v>Продажа</v>
      </c>
      <c r="D519" s="612">
        <f>VLOOKUP(ППД4!CE516,Реестр_Д4[Стоимость ОН без отделки со скидкой],1,0)</f>
        <v>4173847.67</v>
      </c>
      <c r="E519" s="612" cm="1">
        <f t="array" ref="E519">IFERROR(INDEX(РД[Стоимость без отделки итог],MATCH($B$3&amp;Таблица4[[#This Row],[№]]&amp;"Продажа",РД[Дом]&amp;РД[№ кв]&amp;РД[Состояние],0),1),Таблица4[[#This Row],[Статус]])</f>
        <v>4173847.67</v>
      </c>
      <c r="F519" s="235">
        <f>IFERROR((Таблица4[[#This Row],[ПП]]-Таблица4[[#This Row],[ДДУ]])*1,"")</f>
        <v>0</v>
      </c>
      <c r="G519" s="235" cm="1">
        <f t="array" ref="G519">IFERROR(INDEX(РД[Стоимость с отделкой итог],MATCH($B$3&amp;Таблица4[[#This Row],[№]]&amp;"Продажа",РД[Дом]&amp;РД[№ кв]&amp;РД[Состояние],0),1),Таблица4[[#This Row],[Статус]])</f>
        <v>5053147.67</v>
      </c>
      <c r="H519" s="235">
        <f>_xlfn.XLOOKUP(Таблица4[[#This Row],[№]],Реестр_Д4[№],Реестр_Д4[Стоимость квартиры с отделкой],"-",0)</f>
        <v>5053147.67</v>
      </c>
      <c r="I519" s="235">
        <f>IFERROR(Таблица4[[#This Row],[СО ПП]]-Таблица4[[#This Row],[СО ДДУ]],"")</f>
        <v>0</v>
      </c>
      <c r="J519" s="233" cm="1">
        <f t="array" ref="J519">IFERROR(INDEX(РД[S],MATCH($B$3&amp;Таблица4[[#This Row],[№]]&amp;"Продажа",РД[Дом]&amp;РД[№ кв]&amp;РД[Состояние],0),1),Таблица4[[#This Row],[Статус]])</f>
        <v>58.62</v>
      </c>
      <c r="K519" s="233">
        <f>VLOOKUP(Таблица4[[#This Row],[№]],Реестр_Д4[],20,0)</f>
        <v>58.62</v>
      </c>
      <c r="L519" s="235">
        <f>IFERROR(Таблица4[[#This Row],[S ПП]]-Таблица4[[#This Row],[S ДДУ]],)</f>
        <v>0</v>
      </c>
      <c r="M519" s="235">
        <f>ROUND(_xlfn.XLOOKUP(Таблица4[[#This Row],[№]],Реестр_Д4[№],Реестр_Д4[Итоговая сумма скидки],"",0),2)</f>
        <v>219676.19</v>
      </c>
      <c r="N519" s="235" cm="1">
        <f t="array" ref="N519">IFERROR(ROUND(_xlfn.XLOOKUP($B$3&amp;Таблица4[[#This Row],[№]]&amp;"Продажа",РД[Дом]&amp;РД[№ кв]&amp;РД[Состояние],РД[Сумма скидки],"",0),2),Таблица4[[#This Row],[Статус]])</f>
        <v>219676.19</v>
      </c>
      <c r="O519" s="235">
        <f>IFERROR(Таблица4[[#This Row],[ППС]]-Таблица4[[#This Row],[ДДУС]],)</f>
        <v>0</v>
      </c>
      <c r="P519" s="611"/>
      <c r="Q519" s="234">
        <f>VLOOKUP(ППД5!A516,Реестр_Д5[№],1,0)</f>
        <v>515</v>
      </c>
      <c r="R519" s="234" t="str">
        <f>VLOOKUP(ППД5!CH516,Реестр_Д5[Статус],1,0)</f>
        <v>Продажа</v>
      </c>
      <c r="S519" s="612">
        <f>VLOOKUP(ППД5!BZ516,Реестр_Д5[Стоимость ОН без отделки со скидкой],1,0)</f>
        <v>7149900</v>
      </c>
      <c r="T519" s="612" cm="1">
        <f t="array" ref="T519">IFERROR(INDEX(РД[Стоимость без отделки итог],MATCH($Q$3&amp;Таблица10[[#This Row],[№]]&amp;"Продажа",РД[Дом]&amp;РД[№ кв]&amp;РД[Состояние],0),1),Таблица10[[#This Row],[Статус]])</f>
        <v>7149900</v>
      </c>
      <c r="U519" s="235">
        <f>IFERROR((Таблица10[[#This Row],[ПП]]-Таблица10[[#This Row],[ДДУ]])*1,)</f>
        <v>0</v>
      </c>
      <c r="V519" s="235" cm="1">
        <f t="array" ref="V519">IFERROR(INDEX(РД[Стоимость с отделкой итог],MATCH($Q$3&amp;Таблица10[[#This Row],[№]]&amp;"Продажа",РД[Дом]&amp;РД[№ кв]&amp;РД[Состояние],0),1),Таблица10[[#This Row],[Статус]])</f>
        <v>7149900</v>
      </c>
      <c r="W519" s="235">
        <f>_xlfn.XLOOKUP(Таблица10[[#This Row],[№]],Реестр_Д5[№],Реестр_Д5[Стоимость квартиры с отделкой],"-",0)</f>
        <v>7149900</v>
      </c>
      <c r="X519" s="235">
        <f>IFERROR(Таблица10[[#This Row],[СО ПП]]-Таблица10[[#This Row],[СО ДДУ]],"")</f>
        <v>0</v>
      </c>
      <c r="Y519" s="233" cm="1">
        <f t="array" ref="Y519">IFERROR(INDEX(РД[S],MATCH($Q$3&amp;Таблица10[[#This Row],[№]]&amp;"Продажа",РД[Дом]&amp;РД[№ кв]&amp;РД[Состояние],0),1),Таблица10[[#This Row],[Статус]])</f>
        <v>79.44</v>
      </c>
      <c r="Z519" s="233">
        <f>IF(Таблица10[[#This Row],[№]]&amp;"ДДУ"=ППД5!A516&amp;ППД5!CR516,ППД5!U516,ППД5!V516)</f>
        <v>79.44</v>
      </c>
      <c r="AA519" s="285">
        <f>IFERROR(Таблица10[[#This Row],[S ПП]]-Таблица10[[#This Row],[S ДДУ]],)</f>
        <v>0</v>
      </c>
      <c r="AB519" s="235">
        <f>ROUND(_xlfn.XLOOKUP(Таблица10[[#This Row],[№]],Реестр_Д5[№],Реестр_Д5[Итоговая сумма скидки],"",0),2)</f>
        <v>90000</v>
      </c>
      <c r="AC519" s="235" cm="1">
        <f t="array" ref="AC519">IFERROR(ROUND(_xlfn.XLOOKUP($Q$3&amp;Таблица10[[#This Row],[№]]&amp;"Продажа",РД[Дом]&amp;РД[№ кв]&amp;РД[Состояние],РД[Сумма скидки],"",0,-1),2),Таблица10[[#This Row],[Статус]])</f>
        <v>90000</v>
      </c>
      <c r="AD519" s="285">
        <f>IFERROR(Таблица10[[#This Row],[ППС]]-Таблица10[[#This Row],[ДДУС]],)</f>
        <v>0</v>
      </c>
      <c r="AE519" s="611"/>
      <c r="AT519" s="611"/>
    </row>
    <row r="520" spans="1:46" x14ac:dyDescent="0.2">
      <c r="A520" s="611"/>
      <c r="B520" s="234">
        <f>VLOOKUP(ППД4!A517,Реестр_Д4[№],1,0)</f>
        <v>516</v>
      </c>
      <c r="C520" s="234" t="str">
        <f>VLOOKUP(ППД4!CO517,Реестр_Д4[Статус],1,0)</f>
        <v>Продажа</v>
      </c>
      <c r="D520" s="612">
        <f>VLOOKUP(ППД4!CE517,Реестр_Д4[Стоимость ОН без отделки со скидкой],1,0)</f>
        <v>6000900</v>
      </c>
      <c r="E520" s="612" cm="1">
        <f t="array" ref="E520">IFERROR(INDEX(РД[Стоимость без отделки итог],MATCH($B$3&amp;Таблица4[[#This Row],[№]]&amp;"Продажа",РД[Дом]&amp;РД[№ кв]&amp;РД[Состояние],0),1),Таблица4[[#This Row],[Статус]])</f>
        <v>6000900</v>
      </c>
      <c r="F520" s="235">
        <f>IFERROR((Таблица4[[#This Row],[ПП]]-Таблица4[[#This Row],[ДДУ]])*1,"")</f>
        <v>0</v>
      </c>
      <c r="G520" s="235" cm="1">
        <f t="array" ref="G520">IFERROR(INDEX(РД[Стоимость с отделкой итог],MATCH($B$3&amp;Таблица4[[#This Row],[№]]&amp;"Продажа",РД[Дом]&amp;РД[№ кв]&amp;РД[Состояние],0),1),Таблица4[[#This Row],[Статус]])</f>
        <v>6000900</v>
      </c>
      <c r="H520" s="235">
        <f>_xlfn.XLOOKUP(Таблица4[[#This Row],[№]],Реестр_Д4[№],Реестр_Д4[Стоимость квартиры с отделкой],"-",0)</f>
        <v>6000900</v>
      </c>
      <c r="I520" s="235">
        <f>IFERROR(Таблица4[[#This Row],[СО ПП]]-Таблица4[[#This Row],[СО ДДУ]],"")</f>
        <v>0</v>
      </c>
      <c r="J520" s="233" cm="1">
        <f t="array" ref="J520">IFERROR(INDEX(РД[S],MATCH($B$3&amp;Таблица4[[#This Row],[№]]&amp;"Продажа",РД[Дом]&amp;РД[№ кв]&amp;РД[Состояние],0),1),Таблица4[[#This Row],[Статус]])</f>
        <v>67.489999999999995</v>
      </c>
      <c r="K520" s="233">
        <f>VLOOKUP(Таблица4[[#This Row],[№]],Реестр_Д4[],20,0)</f>
        <v>67.489999999999995</v>
      </c>
      <c r="L520" s="235">
        <f>IFERROR(Таблица4[[#This Row],[S ПП]]-Таблица4[[#This Row],[S ДДУ]],)</f>
        <v>0</v>
      </c>
      <c r="M520" s="235">
        <f>ROUND(_xlfn.XLOOKUP(Таблица4[[#This Row],[№]],Реестр_Д4[№],Реестр_Д4[Итоговая сумма скидки],"",0),2)</f>
        <v>150000</v>
      </c>
      <c r="N520" s="235" cm="1">
        <f t="array" ref="N520">IFERROR(ROUND(_xlfn.XLOOKUP($B$3&amp;Таблица4[[#This Row],[№]]&amp;"Продажа",РД[Дом]&amp;РД[№ кв]&amp;РД[Состояние],РД[Сумма скидки],"",0),2),Таблица4[[#This Row],[Статус]])</f>
        <v>150000</v>
      </c>
      <c r="O520" s="235">
        <f>IFERROR(Таблица4[[#This Row],[ППС]]-Таблица4[[#This Row],[ДДУС]],)</f>
        <v>0</v>
      </c>
      <c r="P520" s="611"/>
      <c r="Q520" s="234">
        <f>VLOOKUP(ППД5!A517,Реестр_Д5[№],1,0)</f>
        <v>516</v>
      </c>
      <c r="R520" s="234" t="str">
        <f>VLOOKUP(ППД5!CH517,Реестр_Д5[Статус],1,0)</f>
        <v>Продажа</v>
      </c>
      <c r="S520" s="612">
        <f>VLOOKUP(ППД5!BZ517,Реестр_Д5[Стоимость ОН без отделки со скидкой],1,0)</f>
        <v>4382600</v>
      </c>
      <c r="T520" s="612" cm="1">
        <f t="array" ref="T520">IFERROR(INDEX(РД[Стоимость без отделки итог],MATCH($Q$3&amp;Таблица10[[#This Row],[№]]&amp;"Продажа",РД[Дом]&amp;РД[№ кв]&amp;РД[Состояние],0),1),Таблица10[[#This Row],[Статус]])</f>
        <v>4382600</v>
      </c>
      <c r="U520" s="235">
        <f>IFERROR((Таблица10[[#This Row],[ПП]]-Таблица10[[#This Row],[ДДУ]])*1,)</f>
        <v>0</v>
      </c>
      <c r="V520" s="235" cm="1">
        <f t="array" ref="V520">IFERROR(INDEX(РД[Стоимость с отделкой итог],MATCH($Q$3&amp;Таблица10[[#This Row],[№]]&amp;"Продажа",РД[Дом]&amp;РД[№ кв]&amp;РД[Состояние],0),1),Таблица10[[#This Row],[Статус]])</f>
        <v>4660430</v>
      </c>
      <c r="W520" s="235">
        <f>_xlfn.XLOOKUP(Таблица10[[#This Row],[№]],Реестр_Д5[№],Реестр_Д5[Стоимость квартиры с отделкой],"-",0)</f>
        <v>4660430</v>
      </c>
      <c r="X520" s="235">
        <f>IFERROR(Таблица10[[#This Row],[СО ПП]]-Таблица10[[#This Row],[СО ДДУ]],"")</f>
        <v>0</v>
      </c>
      <c r="Y520" s="233" cm="1">
        <f t="array" ref="Y520">IFERROR(INDEX(РД[S],MATCH($Q$3&amp;Таблица10[[#This Row],[№]]&amp;"Продажа",РД[Дом]&amp;РД[№ кв]&amp;РД[Состояние],0),1),Таблица10[[#This Row],[Статус]])</f>
        <v>39.69</v>
      </c>
      <c r="Z520" s="233">
        <f>IF(Таблица10[[#This Row],[№]]&amp;"ДДУ"=ППД5!A517&amp;ППД5!CR517,ППД5!U517,ППД5!V517)</f>
        <v>39.69</v>
      </c>
      <c r="AA520" s="285">
        <f>IFERROR(Таблица10[[#This Row],[S ПП]]-Таблица10[[#This Row],[S ДДУ]],)</f>
        <v>0</v>
      </c>
      <c r="AB520" s="235">
        <f>ROUND(_xlfn.XLOOKUP(Таблица10[[#This Row],[№]],Реестр_Д5[№],Реестр_Д5[Итоговая сумма скидки],"",0),2)</f>
        <v>0</v>
      </c>
      <c r="AC520" s="235" cm="1">
        <f t="array" ref="AC52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20" s="285">
        <f>IFERROR(Таблица10[[#This Row],[ППС]]-Таблица10[[#This Row],[ДДУС]],)</f>
        <v>0</v>
      </c>
      <c r="AE520" s="611"/>
      <c r="AT520" s="611"/>
    </row>
    <row r="521" spans="1:46" x14ac:dyDescent="0.2">
      <c r="A521" s="611"/>
      <c r="B521" s="234">
        <f>VLOOKUP(ППД4!A518,Реестр_Д4[№],1,0)</f>
        <v>517</v>
      </c>
      <c r="C521" s="234" t="str">
        <f>VLOOKUP(ППД4!CO518,Реестр_Д4[Статус],1,0)</f>
        <v>Продажа</v>
      </c>
      <c r="D521" s="612">
        <f>VLOOKUP(ППД4!CE518,Реестр_Д4[Стоимость ОН без отделки со скидкой],1,0)</f>
        <v>6362900</v>
      </c>
      <c r="E521" s="612" cm="1">
        <f t="array" ref="E521">IFERROR(INDEX(РД[Стоимость без отделки итог],MATCH($B$3&amp;Таблица4[[#This Row],[№]]&amp;"Продажа",РД[Дом]&amp;РД[№ кв]&amp;РД[Состояние],0),1),Таблица4[[#This Row],[Статус]])</f>
        <v>6362900</v>
      </c>
      <c r="F521" s="235">
        <f>IFERROR((Таблица4[[#This Row],[ПП]]-Таблица4[[#This Row],[ДДУ]])*1,"")</f>
        <v>0</v>
      </c>
      <c r="G521" s="235" cm="1">
        <f t="array" ref="G521">IFERROR(INDEX(РД[Стоимость с отделкой итог],MATCH($B$3&amp;Таблица4[[#This Row],[№]]&amp;"Продажа",РД[Дом]&amp;РД[№ кв]&amp;РД[Состояние],0),1),Таблица4[[#This Row],[Статус]])</f>
        <v>6362900</v>
      </c>
      <c r="H521" s="235">
        <f>_xlfn.XLOOKUP(Таблица4[[#This Row],[№]],Реестр_Д4[№],Реестр_Д4[Стоимость квартиры с отделкой],"-",0)</f>
        <v>6362900</v>
      </c>
      <c r="I521" s="235">
        <f>IFERROR(Таблица4[[#This Row],[СО ПП]]-Таблица4[[#This Row],[СО ДДУ]],"")</f>
        <v>0</v>
      </c>
      <c r="J521" s="233" cm="1">
        <f t="array" ref="J521">IFERROR(INDEX(РД[S],MATCH($B$3&amp;Таблица4[[#This Row],[№]]&amp;"Продажа",РД[Дом]&amp;РД[№ кв]&amp;РД[Состояние],0),1),Таблица4[[#This Row],[Статус]])</f>
        <v>63.74</v>
      </c>
      <c r="K521" s="233">
        <f>VLOOKUP(Таблица4[[#This Row],[№]],Реестр_Д4[],20,0)</f>
        <v>63.74</v>
      </c>
      <c r="L521" s="235">
        <f>IFERROR(Таблица4[[#This Row],[S ПП]]-Таблица4[[#This Row],[S ДДУ]],)</f>
        <v>0</v>
      </c>
      <c r="M521" s="235">
        <f>ROUND(_xlfn.XLOOKUP(Таблица4[[#This Row],[№]],Реестр_Д4[№],Реестр_Д4[Итоговая сумма скидки],"",0),2)</f>
        <v>0</v>
      </c>
      <c r="N521" s="235" cm="1">
        <f t="array" ref="N521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1" s="235">
        <f>IFERROR(Таблица4[[#This Row],[ППС]]-Таблица4[[#This Row],[ДДУС]],)</f>
        <v>0</v>
      </c>
      <c r="P521" s="611"/>
      <c r="Q521" s="234">
        <f>VLOOKUP(ППД5!A518,Реестр_Д5[№],1,0)</f>
        <v>517</v>
      </c>
      <c r="R521" s="234" t="str">
        <f>VLOOKUP(ППД5!CH518,Реестр_Д5[Статус],1,0)</f>
        <v>Продажа</v>
      </c>
      <c r="S521" s="612">
        <f>VLOOKUP(ППД5!BZ518,Реестр_Д5[Стоимость ОН без отделки со скидкой],1,0)</f>
        <v>3828100</v>
      </c>
      <c r="T521" s="612" cm="1">
        <f t="array" ref="T521">IFERROR(INDEX(РД[Стоимость без отделки итог],MATCH($Q$3&amp;Таблица10[[#This Row],[№]]&amp;"Продажа",РД[Дом]&amp;РД[№ кв]&amp;РД[Состояние],0),1),Таблица10[[#This Row],[Статус]])</f>
        <v>3828100</v>
      </c>
      <c r="U521" s="235">
        <f>IFERROR((Таблица10[[#This Row],[ПП]]-Таблица10[[#This Row],[ДДУ]])*1,)</f>
        <v>0</v>
      </c>
      <c r="V521" s="235" cm="1">
        <f t="array" ref="V521">IFERROR(INDEX(РД[Стоимость с отделкой итог],MATCH($Q$3&amp;Таблица10[[#This Row],[№]]&amp;"Продажа",РД[Дом]&amp;РД[№ кв]&amp;РД[Состояние],0),1),Таблица10[[#This Row],[Статус]])</f>
        <v>4707100</v>
      </c>
      <c r="W521" s="235">
        <f>_xlfn.XLOOKUP(Таблица10[[#This Row],[№]],Реестр_Д5[№],Реестр_Д5[Стоимость квартиры с отделкой],"-",0)</f>
        <v>4707100</v>
      </c>
      <c r="X521" s="235">
        <f>IFERROR(Таблица10[[#This Row],[СО ПП]]-Таблица10[[#This Row],[СО ДДУ]],"")</f>
        <v>0</v>
      </c>
      <c r="Y521" s="233" cm="1">
        <f t="array" ref="Y521">IFERROR(INDEX(РД[S],MATCH($Q$3&amp;Таблица10[[#This Row],[№]]&amp;"Продажа",РД[Дом]&amp;РД[№ кв]&amp;РД[Состояние],0),1),Таблица10[[#This Row],[Статус]])</f>
        <v>29.3</v>
      </c>
      <c r="Z521" s="233">
        <f>IF(Таблица10[[#This Row],[№]]&amp;"ДДУ"=ППД5!A518&amp;ППД5!CR518,ППД5!U518,ППД5!V518)</f>
        <v>29.3</v>
      </c>
      <c r="AA521" s="285">
        <f>IFERROR(Таблица10[[#This Row],[S ПП]]-Таблица10[[#This Row],[S ДДУ]],)</f>
        <v>0</v>
      </c>
      <c r="AB521" s="235">
        <f>ROUND(_xlfn.XLOOKUP(Таблица10[[#This Row],[№]],Реестр_Д5[№],Реестр_Д5[Итоговая сумма скидки],"",0),2)</f>
        <v>234400</v>
      </c>
      <c r="AC521" s="235" cm="1">
        <f t="array" ref="AC521">IFERROR(ROUND(_xlfn.XLOOKUP($Q$3&amp;Таблица10[[#This Row],[№]]&amp;"Продажа",РД[Дом]&amp;РД[№ кв]&amp;РД[Состояние],РД[Сумма скидки],"",0,-1),2),Таблица10[[#This Row],[Статус]])</f>
        <v>234400</v>
      </c>
      <c r="AD521" s="285">
        <f>IFERROR(Таблица10[[#This Row],[ППС]]-Таблица10[[#This Row],[ДДУС]],)</f>
        <v>0</v>
      </c>
      <c r="AE521" s="611"/>
      <c r="AT521" s="611"/>
    </row>
    <row r="522" spans="1:46" x14ac:dyDescent="0.2">
      <c r="A522" s="611"/>
      <c r="B522" s="234">
        <f>VLOOKUP(ППД4!A519,Реестр_Д4[№],1,0)</f>
        <v>518</v>
      </c>
      <c r="C522" s="234" t="str">
        <f>VLOOKUP(ППД4!CO519,Реестр_Д4[Статус],1,0)</f>
        <v>Продажа</v>
      </c>
      <c r="D522" s="612">
        <f>VLOOKUP(ППД4!CE519,Реестр_Д4[Стоимость ОН без отделки со скидкой],1,0)</f>
        <v>3930110.46</v>
      </c>
      <c r="E522" s="612" cm="1">
        <f t="array" ref="E522">IFERROR(INDEX(РД[Стоимость без отделки итог],MATCH($B$3&amp;Таблица4[[#This Row],[№]]&amp;"Продажа",РД[Дом]&amp;РД[№ кв]&amp;РД[Состояние],0),1),Таблица4[[#This Row],[Статус]])</f>
        <v>3930110.46</v>
      </c>
      <c r="F522" s="235">
        <f>IFERROR((Таблица4[[#This Row],[ПП]]-Таблица4[[#This Row],[ДДУ]])*1,"")</f>
        <v>0</v>
      </c>
      <c r="G522" s="235" cm="1">
        <f t="array" ref="G522">IFERROR(INDEX(РД[Стоимость с отделкой итог],MATCH($B$3&amp;Таблица4[[#This Row],[№]]&amp;"Продажа",РД[Дом]&amp;РД[№ кв]&amp;РД[Состояние],0),1),Таблица4[[#This Row],[Статус]])</f>
        <v>4595660.46</v>
      </c>
      <c r="H522" s="235">
        <f>_xlfn.XLOOKUP(Таблица4[[#This Row],[№]],Реестр_Д4[№],Реестр_Д4[Стоимость квартиры с отделкой],"-",0)</f>
        <v>4595660.46</v>
      </c>
      <c r="I522" s="235">
        <f>IFERROR(Таблица4[[#This Row],[СО ПП]]-Таблица4[[#This Row],[СО ДДУ]],"")</f>
        <v>0</v>
      </c>
      <c r="J522" s="233" cm="1">
        <f t="array" ref="J522">IFERROR(INDEX(РД[S],MATCH($B$3&amp;Таблица4[[#This Row],[№]]&amp;"Продажа",РД[Дом]&amp;РД[№ кв]&amp;РД[Состояние],0),1),Таблица4[[#This Row],[Статус]])</f>
        <v>44.37</v>
      </c>
      <c r="K522" s="233">
        <f>VLOOKUP(Таблица4[[#This Row],[№]],Реестр_Д4[],20,0)</f>
        <v>44.37</v>
      </c>
      <c r="L522" s="235">
        <f>IFERROR(Таблица4[[#This Row],[S ПП]]-Таблица4[[#This Row],[S ДДУ]],)</f>
        <v>0</v>
      </c>
      <c r="M522" s="235">
        <f>ROUND(_xlfn.XLOOKUP(Таблица4[[#This Row],[№]],Реестр_Д4[№],Реестр_Д4[Итоговая сумма скидки],"",0),2)</f>
        <v>0</v>
      </c>
      <c r="N522" s="235" cm="1">
        <f t="array" ref="N522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2" s="235">
        <f>IFERROR(Таблица4[[#This Row],[ППС]]-Таблица4[[#This Row],[ДДУС]],)</f>
        <v>0</v>
      </c>
      <c r="P522" s="611"/>
      <c r="Q522" s="234">
        <f>VLOOKUP(ППД5!A519,Реестр_Д5[№],1,0)</f>
        <v>518</v>
      </c>
      <c r="R522" s="234" t="str">
        <f>VLOOKUP(ППД5!CH519,Реестр_Д5[Статус],1,0)</f>
        <v>Продажа</v>
      </c>
      <c r="S522" s="612">
        <f>VLOOKUP(ППД5!BZ519,Реестр_Д5[Стоимость ОН без отделки со скидкой],1,0)</f>
        <v>5735254</v>
      </c>
      <c r="T522" s="612" cm="1">
        <f t="array" ref="T522">IFERROR(INDEX(РД[Стоимость без отделки итог],MATCH($Q$3&amp;Таблица10[[#This Row],[№]]&amp;"Продажа",РД[Дом]&amp;РД[№ кв]&amp;РД[Состояние],0),1),Таблица10[[#This Row],[Статус]])</f>
        <v>5735254</v>
      </c>
      <c r="U522" s="235">
        <f>IFERROR((Таблица10[[#This Row],[ПП]]-Таблица10[[#This Row],[ДДУ]])*1,)</f>
        <v>0</v>
      </c>
      <c r="V522" s="235" cm="1">
        <f t="array" ref="V522">IFERROR(INDEX(РД[Стоимость с отделкой итог],MATCH($Q$3&amp;Таблица10[[#This Row],[№]]&amp;"Продажа",РД[Дом]&amp;РД[№ кв]&amp;РД[Состояние],0),1),Таблица10[[#This Row],[Статус]])</f>
        <v>6167354</v>
      </c>
      <c r="W522" s="235">
        <f>_xlfn.XLOOKUP(Таблица10[[#This Row],[№]],Реестр_Д5[№],Реестр_Д5[Стоимость квартиры с отделкой],"-",0)</f>
        <v>6167353.9999999991</v>
      </c>
      <c r="X522" s="235">
        <f>IFERROR(Таблица10[[#This Row],[СО ПП]]-Таблица10[[#This Row],[СО ДДУ]],"")</f>
        <v>-9.3132257461547852E-10</v>
      </c>
      <c r="Y522" s="233" cm="1">
        <f t="array" ref="Y522">IFERROR(INDEX(РД[S],MATCH($Q$3&amp;Таблица10[[#This Row],[№]]&amp;"Продажа",РД[Дом]&amp;РД[№ кв]&amp;РД[Состояние],0),1),Таблица10[[#This Row],[Статус]])</f>
        <v>43.21</v>
      </c>
      <c r="Z522" s="233">
        <f>IF(Таблица10[[#This Row],[№]]&amp;"ДДУ"=ППД5!A519&amp;ППД5!CR519,ППД5!U519,ППД5!V519)</f>
        <v>43.21</v>
      </c>
      <c r="AA522" s="285">
        <f>IFERROR(Таблица10[[#This Row],[S ПП]]-Таблица10[[#This Row],[S ДДУ]],)</f>
        <v>0</v>
      </c>
      <c r="AB522" s="235">
        <f>ROUND(_xlfn.XLOOKUP(Таблица10[[#This Row],[№]],Реестр_Д5[№],Реестр_Д5[Итоговая сумма скидки],"",0),2)</f>
        <v>117046</v>
      </c>
      <c r="AC522" s="235" cm="1">
        <f t="array" ref="AC522">IFERROR(ROUND(_xlfn.XLOOKUP($Q$3&amp;Таблица10[[#This Row],[№]]&amp;"Продажа",РД[Дом]&amp;РД[№ кв]&amp;РД[Состояние],РД[Сумма скидки],"",0,-1),2),Таблица10[[#This Row],[Статус]])</f>
        <v>117046</v>
      </c>
      <c r="AD522" s="285">
        <f>IFERROR(Таблица10[[#This Row],[ППС]]-Таблица10[[#This Row],[ДДУС]],)</f>
        <v>0</v>
      </c>
      <c r="AE522" s="611"/>
      <c r="AT522" s="611"/>
    </row>
    <row r="523" spans="1:46" x14ac:dyDescent="0.2">
      <c r="A523" s="611"/>
      <c r="B523" s="234">
        <f>VLOOKUP(ППД4!A520,Реестр_Д4[№],1,0)</f>
        <v>519</v>
      </c>
      <c r="C523" s="234" t="str">
        <f>VLOOKUP(ППД4!CO520,Реестр_Д4[Статус],1,0)</f>
        <v>Продажа</v>
      </c>
      <c r="D523" s="612">
        <f>VLOOKUP(ППД4!CE520,Реестр_Д4[Стоимость ОН без отделки со скидкой],1,0)</f>
        <v>3770628.56</v>
      </c>
      <c r="E523" s="612" cm="1">
        <f t="array" ref="E523">IFERROR(INDEX(РД[Стоимость без отделки итог],MATCH($B$3&amp;Таблица4[[#This Row],[№]]&amp;"Продажа",РД[Дом]&amp;РД[№ кв]&amp;РД[Состояние],0),1),Таблица4[[#This Row],[Статус]])</f>
        <v>3770628.5599999996</v>
      </c>
      <c r="F523" s="235">
        <f>IFERROR((Таблица4[[#This Row],[ПП]]-Таблица4[[#This Row],[ДДУ]])*1,"")</f>
        <v>4.6566128730773926E-10</v>
      </c>
      <c r="G523" s="235" cm="1">
        <f t="array" ref="G523">IFERROR(INDEX(РД[Стоимость с отделкой итог],MATCH($B$3&amp;Таблица4[[#This Row],[№]]&amp;"Продажа",РД[Дом]&amp;РД[№ кв]&amp;РД[Состояние],0),1),Таблица4[[#This Row],[Статус]])</f>
        <v>4386598.5599999996</v>
      </c>
      <c r="H523" s="235">
        <f>_xlfn.XLOOKUP(Таблица4[[#This Row],[№]],Реестр_Д4[№],Реестр_Д4[Стоимость квартиры с отделкой],"-",0)</f>
        <v>4386598.5599999996</v>
      </c>
      <c r="I523" s="235">
        <f>IFERROR(Таблица4[[#This Row],[СО ПП]]-Таблица4[[#This Row],[СО ДДУ]],"")</f>
        <v>0</v>
      </c>
      <c r="J523" s="233" cm="1">
        <f t="array" ref="J523">IFERROR(INDEX(РД[S],MATCH($B$3&amp;Таблица4[[#This Row],[№]]&amp;"Продажа",РД[Дом]&amp;РД[№ кв]&amp;РД[Состояние],0),1),Таблица4[[#This Row],[Статус]])</f>
        <v>39.74</v>
      </c>
      <c r="K523" s="233">
        <f>VLOOKUP(Таблица4[[#This Row],[№]],Реестр_Д4[],20,0)</f>
        <v>39.74</v>
      </c>
      <c r="L523" s="235">
        <f>IFERROR(Таблица4[[#This Row],[S ПП]]-Таблица4[[#This Row],[S ДДУ]],)</f>
        <v>0</v>
      </c>
      <c r="M523" s="235">
        <f>ROUND(_xlfn.XLOOKUP(Таблица4[[#This Row],[№]],Реестр_Д4[№],Реестр_Д4[Итоговая сумма скидки],"",0),2)</f>
        <v>0</v>
      </c>
      <c r="N523" s="235" cm="1">
        <f t="array" ref="N52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3" s="235">
        <f>IFERROR(Таблица4[[#This Row],[ППС]]-Таблица4[[#This Row],[ДДУС]],)</f>
        <v>0</v>
      </c>
      <c r="P523" s="611"/>
      <c r="Q523" s="234">
        <f>VLOOKUP(ППД5!A520,Реестр_Д5[№],1,0)</f>
        <v>519</v>
      </c>
      <c r="R523" s="234" t="str">
        <f>VLOOKUP(ППД5!CH520,Реестр_Д5[Статус],1,0)</f>
        <v>Продажа</v>
      </c>
      <c r="S523" s="612">
        <f>VLOOKUP(ППД5!BZ520,Реестр_Д5[Стоимость ОН без отделки со скидкой],1,0)</f>
        <v>2790500</v>
      </c>
      <c r="T523" s="612" cm="1">
        <f t="array" ref="T523">IFERROR(INDEX(РД[Стоимость без отделки итог],MATCH($Q$3&amp;Таблица10[[#This Row],[№]]&amp;"Продажа",РД[Дом]&amp;РД[№ кв]&amp;РД[Состояние],0),1),Таблица10[[#This Row],[Статус]])</f>
        <v>2790499.9999999995</v>
      </c>
      <c r="U523" s="235">
        <f>IFERROR((Таблица10[[#This Row],[ПП]]-Таблица10[[#This Row],[ДДУ]])*1,)</f>
        <v>4.6566128730773926E-10</v>
      </c>
      <c r="V523" s="235" cm="1">
        <f t="array" ref="V523">IFERROR(INDEX(РД[Стоимость с отделкой итог],MATCH($Q$3&amp;Таблица10[[#This Row],[№]]&amp;"Продажа",РД[Дом]&amp;РД[№ кв]&amp;РД[Состояние],0),1),Таблица10[[#This Row],[Статус]])</f>
        <v>3280500</v>
      </c>
      <c r="W523" s="235">
        <f>_xlfn.XLOOKUP(Таблица10[[#This Row],[№]],Реестр_Д5[№],Реестр_Д5[Стоимость квартиры с отделкой],"-",0)</f>
        <v>3280500.0000000005</v>
      </c>
      <c r="X523" s="235">
        <f>IFERROR(Таблица10[[#This Row],[СО ПП]]-Таблица10[[#This Row],[СО ДДУ]],"")</f>
        <v>4.6566128730773926E-10</v>
      </c>
      <c r="Y523" s="233" cm="1">
        <f t="array" ref="Y523">IFERROR(INDEX(РД[S],MATCH($Q$3&amp;Таблица10[[#This Row],[№]]&amp;"Продажа",РД[Дом]&amp;РД[№ кв]&amp;РД[Состояние],0),1),Таблица10[[#This Row],[Статус]])</f>
        <v>24.5</v>
      </c>
      <c r="Z523" s="233">
        <f>IF(Таблица10[[#This Row],[№]]&amp;"ДДУ"=ППД5!A520&amp;ППД5!CR520,ППД5!U520,ППД5!V520)</f>
        <v>24.5</v>
      </c>
      <c r="AA523" s="285">
        <f>IFERROR(Таблица10[[#This Row],[S ПП]]-Таблица10[[#This Row],[S ДДУ]],)</f>
        <v>0</v>
      </c>
      <c r="AB523" s="235">
        <f>ROUND(_xlfn.XLOOKUP(Таблица10[[#This Row],[№]],Реестр_Д5[№],Реестр_Д5[Итоговая сумма скидки],"",0),2)</f>
        <v>0</v>
      </c>
      <c r="AC523" s="235" cm="1">
        <f t="array" ref="AC52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23" s="285">
        <f>IFERROR(Таблица10[[#This Row],[ППС]]-Таблица10[[#This Row],[ДДУС]],)</f>
        <v>0</v>
      </c>
      <c r="AE523" s="611"/>
      <c r="AT523" s="611"/>
    </row>
    <row r="524" spans="1:46" x14ac:dyDescent="0.2">
      <c r="A524" s="611"/>
      <c r="B524" s="234">
        <f>VLOOKUP(ППД4!A521,Реестр_Д4[№],1,0)</f>
        <v>520</v>
      </c>
      <c r="C524" s="234" t="str">
        <f>VLOOKUP(ППД4!CO521,Реестр_Д4[Статус],1,0)</f>
        <v>Продажа</v>
      </c>
      <c r="D524" s="612">
        <f>VLOOKUP(ППД4!CE521,Реестр_Д4[Стоимость ОН без отделки со скидкой],1,0)</f>
        <v>4001694.81</v>
      </c>
      <c r="E524" s="612" cm="1">
        <f t="array" ref="E524">IFERROR(INDEX(РД[Стоимость без отделки итог],MATCH($B$3&amp;Таблица4[[#This Row],[№]]&amp;"Продажа",РД[Дом]&amp;РД[№ кв]&amp;РД[Состояние],0),1),Таблица4[[#This Row],[Статус]])</f>
        <v>4001694.8099999996</v>
      </c>
      <c r="F524" s="235">
        <f>IFERROR((Таблица4[[#This Row],[ПП]]-Таблица4[[#This Row],[ДДУ]])*1,"")</f>
        <v>4.6566128730773926E-10</v>
      </c>
      <c r="G524" s="235" cm="1">
        <f t="array" ref="G524">IFERROR(INDEX(РД[Стоимость с отделкой итог],MATCH($B$3&amp;Таблица4[[#This Row],[№]]&amp;"Продажа",РД[Дом]&amp;РД[№ кв]&amp;РД[Состояние],0),1),Таблица4[[#This Row],[Статус]])</f>
        <v>4291194.8099999996</v>
      </c>
      <c r="H524" s="235">
        <f>_xlfn.XLOOKUP(Таблица4[[#This Row],[№]],Реестр_Д4[№],Реестр_Д4[Стоимость квартиры с отделкой],"-",0)</f>
        <v>4291194.8099999996</v>
      </c>
      <c r="I524" s="235">
        <f>IFERROR(Таблица4[[#This Row],[СО ПП]]-Таблица4[[#This Row],[СО ДДУ]],"")</f>
        <v>0</v>
      </c>
      <c r="J524" s="233" cm="1">
        <f t="array" ref="J524">IFERROR(INDEX(РД[S],MATCH($B$3&amp;Таблица4[[#This Row],[№]]&amp;"Продажа",РД[Дом]&amp;РД[№ кв]&amp;РД[Состояние],0),1),Таблица4[[#This Row],[Статус]])</f>
        <v>38.6</v>
      </c>
      <c r="K524" s="233">
        <f>VLOOKUP(Таблица4[[#This Row],[№]],Реестр_Д4[],20,0)</f>
        <v>38.6</v>
      </c>
      <c r="L524" s="235">
        <f>IFERROR(Таблица4[[#This Row],[S ПП]]-Таблица4[[#This Row],[S ДДУ]],)</f>
        <v>0</v>
      </c>
      <c r="M524" s="235">
        <f>ROUND(_xlfn.XLOOKUP(Таблица4[[#This Row],[№]],Реестр_Д4[№],Реестр_Д4[Итоговая сумма скидки],"",0),2)</f>
        <v>0</v>
      </c>
      <c r="N524" s="235" cm="1">
        <f t="array" ref="N524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4" s="235">
        <f>IFERROR(Таблица4[[#This Row],[ППС]]-Таблица4[[#This Row],[ДДУС]],)</f>
        <v>0</v>
      </c>
      <c r="P524" s="611"/>
      <c r="Q524" s="234">
        <f>VLOOKUP(ППД5!A521,Реестр_Д5[№],1,0)</f>
        <v>520</v>
      </c>
      <c r="R524" s="234" t="str">
        <f>VLOOKUP(ППД5!CH521,Реестр_Д5[Статус],1,0)</f>
        <v>Продажа</v>
      </c>
      <c r="S524" s="612">
        <f>VLOOKUP(ППД5!BZ521,Реестр_Д5[Стоимость ОН без отделки со скидкой],1,0)</f>
        <v>5666500</v>
      </c>
      <c r="T524" s="612" cm="1">
        <f t="array" ref="T524">IFERROR(INDEX(РД[Стоимость без отделки итог],MATCH($Q$3&amp;Таблица10[[#This Row],[№]]&amp;"Продажа",РД[Дом]&amp;РД[№ кв]&amp;РД[Состояние],0),1),Таблица10[[#This Row],[Статус]])</f>
        <v>5666500</v>
      </c>
      <c r="U524" s="235">
        <f>IFERROR((Таблица10[[#This Row],[ПП]]-Таблица10[[#This Row],[ДДУ]])*1,)</f>
        <v>0</v>
      </c>
      <c r="V524" s="235" cm="1">
        <f t="array" ref="V524">IFERROR(INDEX(РД[Стоимость с отделкой итог],MATCH($Q$3&amp;Таблица10[[#This Row],[№]]&amp;"Продажа",РД[Дом]&amp;РД[№ кв]&amp;РД[Состояние],0),1),Таблица10[[#This Row],[Статус]])</f>
        <v>6831300</v>
      </c>
      <c r="W524" s="235">
        <f>_xlfn.XLOOKUP(Таблица10[[#This Row],[№]],Реестр_Д5[№],Реестр_Д5[Стоимость квартиры с отделкой],"-",0)</f>
        <v>6831300</v>
      </c>
      <c r="X524" s="235">
        <f>IFERROR(Таблица10[[#This Row],[СО ПП]]-Таблица10[[#This Row],[СО ДДУ]],"")</f>
        <v>0</v>
      </c>
      <c r="Y524" s="233" cm="1">
        <f t="array" ref="Y524">IFERROR(INDEX(РД[S],MATCH($Q$3&amp;Таблица10[[#This Row],[№]]&amp;"Продажа",РД[Дом]&amp;РД[№ кв]&amp;РД[Состояние],0),1),Таблица10[[#This Row],[Статус]])</f>
        <v>58.24</v>
      </c>
      <c r="Z524" s="233">
        <f>IF(Таблица10[[#This Row],[№]]&amp;"ДДУ"=ППД5!A521&amp;ППД5!CR521,ППД5!U521,ППД5!V521)</f>
        <v>58.24</v>
      </c>
      <c r="AA524" s="285">
        <f>IFERROR(Таблица10[[#This Row],[S ПП]]-Таблица10[[#This Row],[S ДДУ]],)</f>
        <v>0</v>
      </c>
      <c r="AB524" s="235">
        <f>ROUND(_xlfn.XLOOKUP(Таблица10[[#This Row],[№]],Реестр_Д5[№],Реестр_Д5[Итоговая сумма скидки],"",0),2)</f>
        <v>0</v>
      </c>
      <c r="AC524" s="235" cm="1">
        <f t="array" ref="AC52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24" s="285">
        <f>IFERROR(Таблица10[[#This Row],[ППС]]-Таблица10[[#This Row],[ДДУС]],)</f>
        <v>0</v>
      </c>
      <c r="AE524" s="611"/>
      <c r="AT524" s="611"/>
    </row>
    <row r="525" spans="1:46" x14ac:dyDescent="0.2">
      <c r="A525" s="611"/>
      <c r="B525" s="234">
        <f>VLOOKUP(ППД4!A522,Реестр_Д4[№],1,0)</f>
        <v>521</v>
      </c>
      <c r="C525" s="234" t="str">
        <f>VLOOKUP(ППД4!CO522,Реестр_Д4[Статус],1,0)</f>
        <v>Продажа</v>
      </c>
      <c r="D525" s="612">
        <f>VLOOKUP(ППД4!CE522,Реестр_Д4[Стоимость ОН без отделки со скидкой],1,0)</f>
        <v>5283776.32</v>
      </c>
      <c r="E525" s="612" cm="1">
        <f t="array" ref="E525">IFERROR(INDEX(РД[Стоимость без отделки итог],MATCH($B$3&amp;Таблица4[[#This Row],[№]]&amp;"Продажа",РД[Дом]&amp;РД[№ кв]&amp;РД[Состояние],0),1),Таблица4[[#This Row],[Статус]])</f>
        <v>5283776.3200000012</v>
      </c>
      <c r="F525" s="235">
        <f>IFERROR((Таблица4[[#This Row],[ПП]]-Таблица4[[#This Row],[ДДУ]])*1,"")</f>
        <v>-9.3132257461547852E-10</v>
      </c>
      <c r="G525" s="235" cm="1">
        <f t="array" ref="G525">IFERROR(INDEX(РД[Стоимость с отделкой итог],MATCH($B$3&amp;Таблица4[[#This Row],[№]]&amp;"Продажа",РД[Дом]&amp;РД[№ кв]&amp;РД[Состояние],0),1),Таблица4[[#This Row],[Статус]])</f>
        <v>6397976.3200000003</v>
      </c>
      <c r="H525" s="235">
        <f>_xlfn.XLOOKUP(Таблица4[[#This Row],[№]],Реестр_Д4[№],Реестр_Д4[Стоимость квартиры с отделкой],"-",0)</f>
        <v>6397976.3200000003</v>
      </c>
      <c r="I525" s="235">
        <f>IFERROR(Таблица4[[#This Row],[СО ПП]]-Таблица4[[#This Row],[СО ДДУ]],"")</f>
        <v>0</v>
      </c>
      <c r="J525" s="233" cm="1">
        <f t="array" ref="J525">IFERROR(INDEX(РД[S],MATCH($B$3&amp;Таблица4[[#This Row],[№]]&amp;"Продажа",РД[Дом]&amp;РД[№ кв]&amp;РД[Состояние],0),1),Таблица4[[#This Row],[Статус]])</f>
        <v>74.28</v>
      </c>
      <c r="K525" s="233">
        <f>VLOOKUP(Таблица4[[#This Row],[№]],Реестр_Д4[],20,0)</f>
        <v>74.28</v>
      </c>
      <c r="L525" s="235">
        <f>IFERROR(Таблица4[[#This Row],[S ПП]]-Таблица4[[#This Row],[S ДДУ]],)</f>
        <v>0</v>
      </c>
      <c r="M525" s="235">
        <f>ROUND(_xlfn.XLOOKUP(Таблица4[[#This Row],[№]],Реестр_Д4[№],Реестр_Д4[Итоговая сумма скидки],"",0),2)</f>
        <v>0</v>
      </c>
      <c r="N525" s="235" cm="1">
        <f t="array" ref="N52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5" s="235">
        <f>IFERROR(Таблица4[[#This Row],[ППС]]-Таблица4[[#This Row],[ДДУС]],)</f>
        <v>0</v>
      </c>
      <c r="P525" s="611"/>
      <c r="Q525" s="234">
        <f>VLOOKUP(ППД5!A522,Реестр_Д5[№],1,0)</f>
        <v>521</v>
      </c>
      <c r="R525" s="234" t="str">
        <f>VLOOKUP(ППД5!CH522,Реестр_Д5[Статус],1,0)</f>
        <v>Продажа</v>
      </c>
      <c r="S525" s="612">
        <f>VLOOKUP(ППД5!BZ522,Реестр_Д5[Стоимость ОН без отделки со скидкой],1,0)</f>
        <v>5513700</v>
      </c>
      <c r="T525" s="612" cm="1">
        <f t="array" ref="T525">IFERROR(INDEX(РД[Стоимость без отделки итог],MATCH($Q$3&amp;Таблица10[[#This Row],[№]]&amp;"Продажа",РД[Дом]&amp;РД[№ кв]&amp;РД[Состояние],0),1),Таблица10[[#This Row],[Статус]])</f>
        <v>5513700</v>
      </c>
      <c r="U525" s="235">
        <f>IFERROR((Таблица10[[#This Row],[ПП]]-Таблица10[[#This Row],[ДДУ]])*1,)</f>
        <v>0</v>
      </c>
      <c r="V525" s="235" cm="1">
        <f t="array" ref="V525">IFERROR(INDEX(РД[Стоимость с отделкой итог],MATCH($Q$3&amp;Таблица10[[#This Row],[№]]&amp;"Продажа",РД[Дом]&amp;РД[№ кв]&amp;РД[Состояние],0),1),Таблица10[[#This Row],[Статус]])</f>
        <v>6669700</v>
      </c>
      <c r="W525" s="235">
        <f>_xlfn.XLOOKUP(Таблица10[[#This Row],[№]],Реестр_Д5[№],Реестр_Д5[Стоимость квартиры с отделкой],"-",0)</f>
        <v>6669700</v>
      </c>
      <c r="X525" s="235">
        <f>IFERROR(Таблица10[[#This Row],[СО ПП]]-Таблица10[[#This Row],[СО ДДУ]],"")</f>
        <v>0</v>
      </c>
      <c r="Y525" s="233" cm="1">
        <f t="array" ref="Y525">IFERROR(INDEX(РД[S],MATCH($Q$3&amp;Таблица10[[#This Row],[№]]&amp;"Продажа",РД[Дом]&amp;РД[№ кв]&amp;РД[Состояние],0),1),Таблица10[[#This Row],[Статус]])</f>
        <v>57.8</v>
      </c>
      <c r="Z525" s="233">
        <f>IF(Таблица10[[#This Row],[№]]&amp;"ДДУ"=ППД5!A522&amp;ППД5!CR522,ППД5!U522,ППД5!V522)</f>
        <v>57.8</v>
      </c>
      <c r="AA525" s="285">
        <f>IFERROR(Таблица10[[#This Row],[S ПП]]-Таблица10[[#This Row],[S ДДУ]],)</f>
        <v>0</v>
      </c>
      <c r="AB525" s="235">
        <f>ROUND(_xlfn.XLOOKUP(Таблица10[[#This Row],[№]],Реестр_Д5[№],Реестр_Д5[Итоговая сумма скидки],"",0),2)</f>
        <v>0</v>
      </c>
      <c r="AC525" s="235" cm="1">
        <f t="array" ref="AC52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25" s="285">
        <f>IFERROR(Таблица10[[#This Row],[ППС]]-Таблица10[[#This Row],[ДДУС]],)</f>
        <v>0</v>
      </c>
      <c r="AE525" s="611"/>
      <c r="AT525" s="611"/>
    </row>
    <row r="526" spans="1:46" x14ac:dyDescent="0.2">
      <c r="A526" s="611"/>
      <c r="B526" s="234">
        <f>VLOOKUP(ППД4!A523,Реестр_Д4[№],1,0)</f>
        <v>522</v>
      </c>
      <c r="C526" s="234" t="str">
        <f>VLOOKUP(ППД4!CO523,Реестр_Д4[Статус],1,0)</f>
        <v>Продажа</v>
      </c>
      <c r="D526" s="612">
        <f>VLOOKUP(ППД4!CE523,Реестр_Д4[Стоимость ОН без отделки со скидкой],1,0)</f>
        <v>4591800</v>
      </c>
      <c r="E526" s="612" cm="1">
        <f t="array" ref="E526">IFERROR(INDEX(РД[Стоимость без отделки итог],MATCH($B$3&amp;Таблица4[[#This Row],[№]]&amp;"Продажа",РД[Дом]&amp;РД[№ кв]&amp;РД[Состояние],0),1),Таблица4[[#This Row],[Статус]])</f>
        <v>4591800</v>
      </c>
      <c r="F526" s="235">
        <f>IFERROR((Таблица4[[#This Row],[ПП]]-Таблица4[[#This Row],[ДДУ]])*1,"")</f>
        <v>0</v>
      </c>
      <c r="G526" s="235" cm="1">
        <f t="array" ref="G526">IFERROR(INDEX(РД[Стоимость с отделкой итог],MATCH($B$3&amp;Таблица4[[#This Row],[№]]&amp;"Продажа",РД[Дом]&amp;РД[№ кв]&amp;РД[Состояние],0),1),Таблица4[[#This Row],[Статус]])</f>
        <v>4865550</v>
      </c>
      <c r="H526" s="235">
        <f>_xlfn.XLOOKUP(Таблица4[[#This Row],[№]],Реестр_Д4[№],Реестр_Д4[Стоимость квартиры с отделкой],"-",0)</f>
        <v>4865550</v>
      </c>
      <c r="I526" s="235">
        <f>IFERROR(Таблица4[[#This Row],[СО ПП]]-Таблица4[[#This Row],[СО ДДУ]],"")</f>
        <v>0</v>
      </c>
      <c r="J526" s="233" cm="1">
        <f t="array" ref="J526">IFERROR(INDEX(РД[S],MATCH($B$3&amp;Таблица4[[#This Row],[№]]&amp;"Продажа",РД[Дом]&amp;РД[№ кв]&amp;РД[Состояние],0),1),Таблица4[[#This Row],[Статус]])</f>
        <v>36.5</v>
      </c>
      <c r="K526" s="233">
        <f>VLOOKUP(Таблица4[[#This Row],[№]],Реестр_Д4[],20,0)</f>
        <v>36.5</v>
      </c>
      <c r="L526" s="235">
        <f>IFERROR(Таблица4[[#This Row],[S ПП]]-Таблица4[[#This Row],[S ДДУ]],)</f>
        <v>0</v>
      </c>
      <c r="M526" s="235">
        <f>ROUND(_xlfn.XLOOKUP(Таблица4[[#This Row],[№]],Реестр_Д4[№],Реестр_Д4[Итоговая сумма скидки],"",0),2)</f>
        <v>0</v>
      </c>
      <c r="N526" s="235" cm="1">
        <f t="array" ref="N52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6" s="235">
        <f>IFERROR(Таблица4[[#This Row],[ППС]]-Таблица4[[#This Row],[ДДУС]],)</f>
        <v>0</v>
      </c>
      <c r="P526" s="611"/>
      <c r="Q526" s="234">
        <f>VLOOKUP(ППД5!A523,Реестр_Д5[№],1,0)</f>
        <v>522</v>
      </c>
      <c r="R526" s="234" t="str">
        <f>VLOOKUP(ППД5!CH523,Реестр_Д5[Статус],1,0)</f>
        <v>Продажа</v>
      </c>
      <c r="S526" s="612">
        <f>VLOOKUP(ППД5!BZ523,Реестр_Д5[Стоимость ОН без отделки со скидкой],1,0)</f>
        <v>3771236</v>
      </c>
      <c r="T526" s="612" cm="1">
        <f t="array" ref="T526">IFERROR(INDEX(РД[Стоимость без отделки итог],MATCH($Q$3&amp;Таблица10[[#This Row],[№]]&amp;"Продажа",РД[Дом]&amp;РД[№ кв]&amp;РД[Состояние],0),1),Таблица10[[#This Row],[Статус]])</f>
        <v>3771236</v>
      </c>
      <c r="U526" s="235">
        <f>IFERROR((Таблица10[[#This Row],[ПП]]-Таблица10[[#This Row],[ДДУ]])*1,)</f>
        <v>0</v>
      </c>
      <c r="V526" s="235" cm="1">
        <f t="array" ref="V526">IFERROR(INDEX(РД[Стоимость с отделкой итог],MATCH($Q$3&amp;Таблица10[[#This Row],[№]]&amp;"Продажа",РД[Дом]&amp;РД[№ кв]&amp;РД[Состояние],0),1),Таблица10[[#This Row],[Статус]])</f>
        <v>4058486</v>
      </c>
      <c r="W526" s="235">
        <f>_xlfn.XLOOKUP(Таблица10[[#This Row],[№]],Реестр_Д5[№],Реестр_Д5[Стоимость квартиры с отделкой],"-",0)</f>
        <v>4058486</v>
      </c>
      <c r="X526" s="235">
        <f>IFERROR(Таблица10[[#This Row],[СО ПП]]-Таблица10[[#This Row],[СО ДДУ]],"")</f>
        <v>0</v>
      </c>
      <c r="Y526" s="233" cm="1">
        <f t="array" ref="Y526">IFERROR(INDEX(РД[S],MATCH($Q$3&amp;Таблица10[[#This Row],[№]]&amp;"Продажа",РД[Дом]&amp;РД[№ кв]&amp;РД[Состояние],0),1),Таблица10[[#This Row],[Статус]])</f>
        <v>38.299999999999997</v>
      </c>
      <c r="Z526" s="233">
        <f>IF(Таблица10[[#This Row],[№]]&amp;"ДДУ"=ППД5!A523&amp;ППД5!CR523,ППД5!U523,ППД5!V523)</f>
        <v>38.299999999999997</v>
      </c>
      <c r="AA526" s="285">
        <f>IFERROR(Таблица10[[#This Row],[S ПП]]-Таблица10[[#This Row],[S ДДУ]],)</f>
        <v>0</v>
      </c>
      <c r="AB526" s="235">
        <f>ROUND(_xlfn.XLOOKUP(Таблица10[[#This Row],[№]],Реестр_Д5[№],Реестр_Д5[Итоговая сумма скидки],"",0),2)</f>
        <v>76964</v>
      </c>
      <c r="AC526" s="235" cm="1">
        <f t="array" ref="AC526">IFERROR(ROUND(_xlfn.XLOOKUP($Q$3&amp;Таблица10[[#This Row],[№]]&amp;"Продажа",РД[Дом]&amp;РД[№ кв]&amp;РД[Состояние],РД[Сумма скидки],"",0,-1),2),Таблица10[[#This Row],[Статус]])</f>
        <v>76964</v>
      </c>
      <c r="AD526" s="285">
        <f>IFERROR(Таблица10[[#This Row],[ППС]]-Таблица10[[#This Row],[ДДУС]],)</f>
        <v>0</v>
      </c>
      <c r="AE526" s="611"/>
      <c r="AT526" s="611"/>
    </row>
    <row r="527" spans="1:46" x14ac:dyDescent="0.2">
      <c r="A527" s="611"/>
      <c r="B527" s="234">
        <f>VLOOKUP(ППД4!A524,Реестр_Д4[№],1,0)</f>
        <v>523</v>
      </c>
      <c r="C527" s="234" t="str">
        <f>VLOOKUP(ППД4!CO524,Реестр_Д4[Статус],1,0)</f>
        <v>Продажа</v>
      </c>
      <c r="D527" s="612">
        <f>VLOOKUP(ППД4!CE524,Реестр_Д4[Стоимость ОН без отделки со скидкой],1,0)</f>
        <v>4200154.8499999996</v>
      </c>
      <c r="E527" s="612" cm="1">
        <f t="array" ref="E527">IFERROR(INDEX(РД[Стоимость без отделки итог],MATCH($B$3&amp;Таблица4[[#This Row],[№]]&amp;"Продажа",РД[Дом]&amp;РД[№ кв]&amp;РД[Состояние],0),1),Таблица4[[#This Row],[Статус]])</f>
        <v>4200154.8499999996</v>
      </c>
      <c r="F527" s="235">
        <f>IFERROR((Таблица4[[#This Row],[ПП]]-Таблица4[[#This Row],[ДДУ]])*1,"")</f>
        <v>0</v>
      </c>
      <c r="G527" s="235" cm="1">
        <f t="array" ref="G527">IFERROR(INDEX(РД[Стоимость с отделкой итог],MATCH($B$3&amp;Таблица4[[#This Row],[№]]&amp;"Продажа",РД[Дом]&amp;РД[№ кв]&amp;РД[Состояние],0),1),Таблица4[[#This Row],[Статус]])</f>
        <v>4424314.8499999996</v>
      </c>
      <c r="H527" s="235">
        <f>_xlfn.XLOOKUP(Таблица4[[#This Row],[№]],Реестр_Д4[№],Реестр_Д4[Стоимость квартиры с отделкой],"-",0)</f>
        <v>4424314.8499999996</v>
      </c>
      <c r="I527" s="235">
        <f>IFERROR(Таблица4[[#This Row],[СО ПП]]-Таблица4[[#This Row],[СО ДДУ]],"")</f>
        <v>0</v>
      </c>
      <c r="J527" s="233" cm="1">
        <f t="array" ref="J527">IFERROR(INDEX(РД[S],MATCH($B$3&amp;Таблица4[[#This Row],[№]]&amp;"Продажа",РД[Дом]&amp;РД[№ кв]&amp;РД[Состояние],0),1),Таблица4[[#This Row],[Статус]])</f>
        <v>56.04</v>
      </c>
      <c r="K527" s="233">
        <f>VLOOKUP(Таблица4[[#This Row],[№]],Реестр_Д4[],20,0)</f>
        <v>56.04</v>
      </c>
      <c r="L527" s="235">
        <f>IFERROR(Таблица4[[#This Row],[S ПП]]-Таблица4[[#This Row],[S ДДУ]],)</f>
        <v>0</v>
      </c>
      <c r="M527" s="235">
        <f>ROUND(_xlfn.XLOOKUP(Таблица4[[#This Row],[№]],Реестр_Д4[№],Реестр_Д4[Итоговая сумма скидки],"",0),2)</f>
        <v>0</v>
      </c>
      <c r="N527" s="235" cm="1">
        <f t="array" ref="N52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7" s="235">
        <f>IFERROR(Таблица4[[#This Row],[ППС]]-Таблица4[[#This Row],[ДДУС]],)</f>
        <v>0</v>
      </c>
      <c r="P527" s="611"/>
      <c r="Q527" s="234">
        <f>VLOOKUP(ППД5!A524,Реестр_Д5[№],1,0)</f>
        <v>523</v>
      </c>
      <c r="R527" s="234" t="str">
        <f>VLOOKUP(ППД5!CH524,Реестр_Д5[Статус],1,0)</f>
        <v>Продажа</v>
      </c>
      <c r="S527" s="612">
        <f>VLOOKUP(ППД5!BZ524,Реестр_Д5[Стоимость ОН без отделки со скидкой],1,0)</f>
        <v>9613506</v>
      </c>
      <c r="T527" s="612" cm="1">
        <f t="array" ref="T527">IFERROR(INDEX(РД[Стоимость без отделки итог],MATCH($Q$3&amp;Таблица10[[#This Row],[№]]&amp;"Продажа",РД[Дом]&amp;РД[№ кв]&amp;РД[Состояние],0),1),Таблица10[[#This Row],[Статус]])</f>
        <v>9613506</v>
      </c>
      <c r="U527" s="235">
        <f>IFERROR((Таблица10[[#This Row],[ПП]]-Таблица10[[#This Row],[ДДУ]])*1,)</f>
        <v>0</v>
      </c>
      <c r="V527" s="235" cm="1">
        <f t="array" ref="V527">IFERROR(INDEX(РД[Стоимость с отделкой итог],MATCH($Q$3&amp;Таблица10[[#This Row],[№]]&amp;"Продажа",РД[Дом]&amp;РД[№ кв]&amp;РД[Состояние],0),1),Таблица10[[#This Row],[Статус]])</f>
        <v>10407906</v>
      </c>
      <c r="W527" s="235">
        <f>_xlfn.XLOOKUP(Таблица10[[#This Row],[№]],Реестр_Д5[№],Реестр_Д5[Стоимость квартиры с отделкой],"-",0)</f>
        <v>10407906</v>
      </c>
      <c r="X527" s="235">
        <f>IFERROR(Таблица10[[#This Row],[СО ПП]]-Таблица10[[#This Row],[СО ДДУ]],"")</f>
        <v>0</v>
      </c>
      <c r="Y527" s="233" cm="1">
        <f t="array" ref="Y527">IFERROR(INDEX(РД[S],MATCH($Q$3&amp;Таблица10[[#This Row],[№]]&amp;"Продажа",РД[Дом]&amp;РД[№ кв]&amp;РД[Состояние],0),1),Таблица10[[#This Row],[Статус]])</f>
        <v>79.44</v>
      </c>
      <c r="Z527" s="233">
        <f>IF(Таблица10[[#This Row],[№]]&amp;"ДДУ"=ППД5!A524&amp;ППД5!CR524,ППД5!U524,ППД5!V524)</f>
        <v>79.44</v>
      </c>
      <c r="AA527" s="285">
        <f>IFERROR(Таблица10[[#This Row],[S ПП]]-Таблица10[[#This Row],[S ДДУ]],)</f>
        <v>0</v>
      </c>
      <c r="AB527" s="235">
        <f>ROUND(_xlfn.XLOOKUP(Таблица10[[#This Row],[№]],Реестр_Д5[№],Реестр_Д5[Итоговая сумма скидки],"",0),2)</f>
        <v>196194</v>
      </c>
      <c r="AC527" s="235" cm="1">
        <f t="array" ref="AC527">IFERROR(ROUND(_xlfn.XLOOKUP($Q$3&amp;Таблица10[[#This Row],[№]]&amp;"Продажа",РД[Дом]&amp;РД[№ кв]&amp;РД[Состояние],РД[Сумма скидки],"",0,-1),2),Таблица10[[#This Row],[Статус]])</f>
        <v>196194</v>
      </c>
      <c r="AD527" s="285">
        <f>IFERROR(Таблица10[[#This Row],[ППС]]-Таблица10[[#This Row],[ДДУС]],)</f>
        <v>0</v>
      </c>
      <c r="AE527" s="611"/>
      <c r="AT527" s="611"/>
    </row>
    <row r="528" spans="1:46" x14ac:dyDescent="0.2">
      <c r="A528" s="611"/>
      <c r="B528" s="234">
        <f>VLOOKUP(ППД4!A525,Реестр_Д4[№],1,0)</f>
        <v>524</v>
      </c>
      <c r="C528" s="234" t="str">
        <f>VLOOKUP(ППД4!CO525,Реестр_Д4[Статус],1,0)</f>
        <v>Продажа</v>
      </c>
      <c r="D528" s="612">
        <f>VLOOKUP(ППД4!CE525,Реестр_Д4[Стоимость ОН без отделки со скидкой],1,0)</f>
        <v>4436597.84</v>
      </c>
      <c r="E528" s="612" cm="1">
        <f t="array" ref="E528">IFERROR(INDEX(РД[Стоимость без отделки итог],MATCH($B$3&amp;Таблица4[[#This Row],[№]]&amp;"Продажа",РД[Дом]&amp;РД[№ кв]&amp;РД[Состояние],0),1),Таблица4[[#This Row],[Статус]])</f>
        <v>4436597.84</v>
      </c>
      <c r="F528" s="235">
        <f>IFERROR((Таблица4[[#This Row],[ПП]]-Таблица4[[#This Row],[ДДУ]])*1,"")</f>
        <v>0</v>
      </c>
      <c r="G528" s="235" cm="1">
        <f t="array" ref="G528">IFERROR(INDEX(РД[Стоимость с отделкой итог],MATCH($B$3&amp;Таблица4[[#This Row],[№]]&amp;"Продажа",РД[Дом]&amp;РД[№ кв]&amp;РД[Состояние],0),1),Таблица4[[#This Row],[Статус]])</f>
        <v>4671077.84</v>
      </c>
      <c r="H528" s="235">
        <f>_xlfn.XLOOKUP(Таблица4[[#This Row],[№]],Реестр_Д4[№],Реестр_Д4[Стоимость квартиры с отделкой],"-",0)</f>
        <v>4671077.84</v>
      </c>
      <c r="I528" s="235">
        <f>IFERROR(Таблица4[[#This Row],[СО ПП]]-Таблица4[[#This Row],[СО ДДУ]],"")</f>
        <v>0</v>
      </c>
      <c r="J528" s="233" cm="1">
        <f t="array" ref="J528">IFERROR(INDEX(РД[S],MATCH($B$3&amp;Таблица4[[#This Row],[№]]&amp;"Продажа",РД[Дом]&amp;РД[№ кв]&amp;РД[Состояние],0),1),Таблица4[[#This Row],[Статус]])</f>
        <v>58.62</v>
      </c>
      <c r="K528" s="233">
        <f>VLOOKUP(Таблица4[[#This Row],[№]],Реестр_Д4[],20,0)</f>
        <v>58.62</v>
      </c>
      <c r="L528" s="235">
        <f>IFERROR(Таблица4[[#This Row],[S ПП]]-Таблица4[[#This Row],[S ДДУ]],)</f>
        <v>0</v>
      </c>
      <c r="M528" s="235">
        <f>ROUND(_xlfn.XLOOKUP(Таблица4[[#This Row],[№]],Реестр_Д4[№],Реестр_Д4[Итоговая сумма скидки],"",0),2)</f>
        <v>0</v>
      </c>
      <c r="N528" s="235" cm="1">
        <f t="array" ref="N528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28" s="235">
        <f>IFERROR(Таблица4[[#This Row],[ППС]]-Таблица4[[#This Row],[ДДУС]],)</f>
        <v>0</v>
      </c>
      <c r="P528" s="611"/>
      <c r="Q528" s="234">
        <f>VLOOKUP(ППД5!A525,Реестр_Д5[№],1,0)</f>
        <v>524</v>
      </c>
      <c r="R528" s="234" t="str">
        <f>VLOOKUP(ППД5!CH525,Реестр_Д5[Статус],1,0)</f>
        <v>Продажа</v>
      </c>
      <c r="S528" s="612">
        <f>VLOOKUP(ППД5!BZ525,Реестр_Д5[Стоимость ОН без отделки со скидкой],1,0)</f>
        <v>3797409.16</v>
      </c>
      <c r="T528" s="612" cm="1">
        <f t="array" ref="T528">IFERROR(INDEX(РД[Стоимость без отделки итог],MATCH($Q$3&amp;Таблица10[[#This Row],[№]]&amp;"Продажа",РД[Дом]&amp;РД[№ кв]&amp;РД[Состояние],0),1),Таблица10[[#This Row],[Статус]])</f>
        <v>3797409.16</v>
      </c>
      <c r="U528" s="235">
        <f>IFERROR((Таблица10[[#This Row],[ПП]]-Таблица10[[#This Row],[ДДУ]])*1,)</f>
        <v>0</v>
      </c>
      <c r="V528" s="235" cm="1">
        <f t="array" ref="V528">IFERROR(INDEX(РД[Стоимость с отделкой итог],MATCH($Q$3&amp;Таблица10[[#This Row],[№]]&amp;"Продажа",РД[Дом]&amp;РД[№ кв]&amp;РД[Состояние],0),1),Таблица10[[#This Row],[Статус]])</f>
        <v>3797409.16</v>
      </c>
      <c r="W528" s="235">
        <f>_xlfn.XLOOKUP(Таблица10[[#This Row],[№]],Реестр_Д5[№],Реестр_Д5[Стоимость квартиры с отделкой],"-",0)</f>
        <v>3797409.16</v>
      </c>
      <c r="X528" s="235">
        <f>IFERROR(Таблица10[[#This Row],[СО ПП]]-Таблица10[[#This Row],[СО ДДУ]],"")</f>
        <v>0</v>
      </c>
      <c r="Y528" s="233" cm="1">
        <f t="array" ref="Y528">IFERROR(INDEX(РД[S],MATCH($Q$3&amp;Таблица10[[#This Row],[№]]&amp;"Продажа",РД[Дом]&amp;РД[№ кв]&amp;РД[Состояние],0),1),Таблица10[[#This Row],[Статус]])</f>
        <v>39.69</v>
      </c>
      <c r="Z528" s="233">
        <f>IF(Таблица10[[#This Row],[№]]&amp;"ДДУ"=ППД5!A525&amp;ППД5!CR525,ППД5!U525,ППД5!V525)</f>
        <v>39.69</v>
      </c>
      <c r="AA528" s="285">
        <f>IFERROR(Таблица10[[#This Row],[S ПП]]-Таблица10[[#This Row],[S ДДУ]],)</f>
        <v>0</v>
      </c>
      <c r="AB528" s="235">
        <f>ROUND(_xlfn.XLOOKUP(Таблица10[[#This Row],[№]],Реестр_Д5[№],Реестр_Д5[Итоговая сумма скидки],"",0),2)</f>
        <v>77498.149999999994</v>
      </c>
      <c r="AC528" s="235" cm="1">
        <f t="array" ref="AC528">IFERROR(ROUND(_xlfn.XLOOKUP($Q$3&amp;Таблица10[[#This Row],[№]]&amp;"Продажа",РД[Дом]&amp;РД[№ кв]&amp;РД[Состояние],РД[Сумма скидки],"",0,-1),2),Таблица10[[#This Row],[Статус]])</f>
        <v>77498.149999999994</v>
      </c>
      <c r="AD528" s="285">
        <f>IFERROR(Таблица10[[#This Row],[ППС]]-Таблица10[[#This Row],[ДДУС]],)</f>
        <v>0</v>
      </c>
      <c r="AE528" s="611"/>
      <c r="AT528" s="611"/>
    </row>
    <row r="529" spans="1:46" x14ac:dyDescent="0.2">
      <c r="A529" s="611"/>
      <c r="B529" s="234">
        <f>VLOOKUP(ППД4!A526,Реестр_Д4[№],1,0)</f>
        <v>525</v>
      </c>
      <c r="C529" s="234" t="str">
        <f>VLOOKUP(ППД4!CO526,Реестр_Д4[Статус],1,0)</f>
        <v>Продажа</v>
      </c>
      <c r="D529" s="612">
        <f>VLOOKUP(ППД4!CE526,Реестр_Д4[Стоимость ОН без отделки со скидкой],1,0)</f>
        <v>5757553</v>
      </c>
      <c r="E529" s="612" cm="1">
        <f t="array" ref="E529">IFERROR(INDEX(РД[Стоимость без отделки итог],MATCH($B$3&amp;Таблица4[[#This Row],[№]]&amp;"Продажа",РД[Дом]&amp;РД[№ кв]&amp;РД[Состояние],0),1),Таблица4[[#This Row],[Статус]])</f>
        <v>5757553</v>
      </c>
      <c r="F529" s="235">
        <f>IFERROR((Таблица4[[#This Row],[ПП]]-Таблица4[[#This Row],[ДДУ]])*1,"")</f>
        <v>0</v>
      </c>
      <c r="G529" s="235" cm="1">
        <f t="array" ref="G529">IFERROR(INDEX(РД[Стоимость с отделкой итог],MATCH($B$3&amp;Таблица4[[#This Row],[№]]&amp;"Продажа",РД[Дом]&amp;РД[№ кв]&amp;РД[Состояние],0),1),Таблица4[[#This Row],[Статус]])</f>
        <v>6027513</v>
      </c>
      <c r="H529" s="235">
        <f>_xlfn.XLOOKUP(Таблица4[[#This Row],[№]],Реестр_Д4[№],Реестр_Д4[Стоимость квартиры с отделкой],"-",0)</f>
        <v>6027513</v>
      </c>
      <c r="I529" s="235">
        <f>IFERROR(Таблица4[[#This Row],[СО ПП]]-Таблица4[[#This Row],[СО ДДУ]],"")</f>
        <v>0</v>
      </c>
      <c r="J529" s="233" cm="1">
        <f t="array" ref="J529">IFERROR(INDEX(РД[S],MATCH($B$3&amp;Таблица4[[#This Row],[№]]&amp;"Продажа",РД[Дом]&amp;РД[№ кв]&amp;РД[Состояние],0),1),Таблица4[[#This Row],[Статус]])</f>
        <v>67.489999999999995</v>
      </c>
      <c r="K529" s="233">
        <f>VLOOKUP(Таблица4[[#This Row],[№]],Реестр_Д4[],20,0)</f>
        <v>67.489999999999995</v>
      </c>
      <c r="L529" s="235">
        <f>IFERROR(Таблица4[[#This Row],[S ПП]]-Таблица4[[#This Row],[S ДДУ]],)</f>
        <v>0</v>
      </c>
      <c r="M529" s="235">
        <f>ROUND(_xlfn.XLOOKUP(Таблица4[[#This Row],[№]],Реестр_Д4[№],Реестр_Д4[Итоговая сумма скидки],"",0),2)</f>
        <v>269960</v>
      </c>
      <c r="N529" s="235" cm="1">
        <f t="array" ref="N529">IFERROR(ROUND(_xlfn.XLOOKUP($B$3&amp;Таблица4[[#This Row],[№]]&amp;"Продажа",РД[Дом]&amp;РД[№ кв]&amp;РД[Состояние],РД[Сумма скидки],"",0),2),Таблица4[[#This Row],[Статус]])</f>
        <v>269960</v>
      </c>
      <c r="O529" s="235">
        <f>IFERROR(Таблица4[[#This Row],[ППС]]-Таблица4[[#This Row],[ДДУС]],)</f>
        <v>0</v>
      </c>
      <c r="P529" s="611"/>
      <c r="Q529" s="234">
        <f>VLOOKUP(ППД5!A526,Реестр_Д5[№],1,0)</f>
        <v>525</v>
      </c>
      <c r="R529" s="234" t="str">
        <f>VLOOKUP(ППД5!CH526,Реестр_Д5[Статус],1,0)</f>
        <v>Продажа</v>
      </c>
      <c r="S529" s="612">
        <f>VLOOKUP(ППД5!BZ526,Реестр_Д5[Стоимость ОН без отделки со скидкой],1,0)</f>
        <v>3841200</v>
      </c>
      <c r="T529" s="612" cm="1">
        <f t="array" ref="T529">IFERROR(INDEX(РД[Стоимость без отделки итог],MATCH($Q$3&amp;Таблица10[[#This Row],[№]]&amp;"Продажа",РД[Дом]&amp;РД[№ кв]&amp;РД[Состояние],0),1),Таблица10[[#This Row],[Статус]])</f>
        <v>3841200</v>
      </c>
      <c r="U529" s="235">
        <f>IFERROR((Таблица10[[#This Row],[ПП]]-Таблица10[[#This Row],[ДДУ]])*1,)</f>
        <v>0</v>
      </c>
      <c r="V529" s="235" cm="1">
        <f t="array" ref="V529">IFERROR(INDEX(РД[Стоимость с отделкой итог],MATCH($Q$3&amp;Таблица10[[#This Row],[№]]&amp;"Продажа",РД[Дом]&amp;РД[№ кв]&amp;РД[Состояние],0),1),Таблица10[[#This Row],[Статус]])</f>
        <v>4576200</v>
      </c>
      <c r="W529" s="235">
        <f>_xlfn.XLOOKUP(Таблица10[[#This Row],[№]],Реестр_Д5[№],Реестр_Д5[Стоимость квартиры с отделкой],"-",0)</f>
        <v>4576200.0000000009</v>
      </c>
      <c r="X529" s="235">
        <f>IFERROR(Таблица10[[#This Row],[СО ПП]]-Таблица10[[#This Row],[СО ДДУ]],"")</f>
        <v>9.3132257461547852E-10</v>
      </c>
      <c r="Y529" s="233" cm="1">
        <f t="array" ref="Y529">IFERROR(INDEX(РД[S],MATCH($Q$3&amp;Таблица10[[#This Row],[№]]&amp;"Продажа",РД[Дом]&amp;РД[№ кв]&amp;РД[Состояние],0),1),Таблица10[[#This Row],[Статус]])</f>
        <v>29.4</v>
      </c>
      <c r="Z529" s="233">
        <f>IF(Таблица10[[#This Row],[№]]&amp;"ДДУ"=ППД5!A526&amp;ППД5!CR526,ППД5!U526,ППД5!V526)</f>
        <v>29.4</v>
      </c>
      <c r="AA529" s="285">
        <f>IFERROR(Таблица10[[#This Row],[S ПП]]-Таблица10[[#This Row],[S ДДУ]],)</f>
        <v>0</v>
      </c>
      <c r="AB529" s="235">
        <f>ROUND(_xlfn.XLOOKUP(Таблица10[[#This Row],[№]],Реестр_Д5[№],Реестр_Д5[Итоговая сумма скидки],"",0),2)</f>
        <v>235200</v>
      </c>
      <c r="AC529" s="235" cm="1">
        <f t="array" ref="AC529">IFERROR(ROUND(_xlfn.XLOOKUP($Q$3&amp;Таблица10[[#This Row],[№]]&amp;"Продажа",РД[Дом]&amp;РД[№ кв]&amp;РД[Состояние],РД[Сумма скидки],"",0,-1),2),Таблица10[[#This Row],[Статус]])</f>
        <v>235200</v>
      </c>
      <c r="AD529" s="285">
        <f>IFERROR(Таблица10[[#This Row],[ППС]]-Таблица10[[#This Row],[ДДУС]],)</f>
        <v>0</v>
      </c>
      <c r="AE529" s="611"/>
      <c r="AT529" s="611"/>
    </row>
    <row r="530" spans="1:46" x14ac:dyDescent="0.2">
      <c r="A530" s="611"/>
      <c r="B530" s="234">
        <f>VLOOKUP(ППД4!A527,Реестр_Д4[№],1,0)</f>
        <v>526</v>
      </c>
      <c r="C530" s="234" t="str">
        <f>VLOOKUP(ППД4!CO527,Реестр_Д4[Статус],1,0)</f>
        <v>Продажа</v>
      </c>
      <c r="D530" s="612">
        <f>VLOOKUP(ППД4!CE527,Реестр_Д4[Стоимость ОН без отделки со скидкой],1,0)</f>
        <v>5784352</v>
      </c>
      <c r="E530" s="612" cm="1">
        <f t="array" ref="E530">IFERROR(INDEX(РД[Стоимость без отделки итог],MATCH($B$3&amp;Таблица4[[#This Row],[№]]&amp;"Продажа",РД[Дом]&amp;РД[№ кв]&amp;РД[Состояние],0),1),Таблица4[[#This Row],[Статус]])</f>
        <v>5784352</v>
      </c>
      <c r="F530" s="235">
        <f>IFERROR((Таблица4[[#This Row],[ПП]]-Таблица4[[#This Row],[ДДУ]])*1,"")</f>
        <v>0</v>
      </c>
      <c r="G530" s="235" cm="1">
        <f t="array" ref="G530">IFERROR(INDEX(РД[Стоимость с отделкой итог],MATCH($B$3&amp;Таблица4[[#This Row],[№]]&amp;"Продажа",РД[Дом]&amp;РД[№ кв]&amp;РД[Состояние],0),1),Таблица4[[#This Row],[Статус]])</f>
        <v>5784352</v>
      </c>
      <c r="H530" s="235">
        <f>_xlfn.XLOOKUP(Таблица4[[#This Row],[№]],Реестр_Д4[№],Реестр_Д4[Стоимость квартиры с отделкой],"-",0)</f>
        <v>5784352</v>
      </c>
      <c r="I530" s="235">
        <f>IFERROR(Таблица4[[#This Row],[СО ПП]]-Таблица4[[#This Row],[СО ДДУ]],"")</f>
        <v>0</v>
      </c>
      <c r="J530" s="233" cm="1">
        <f t="array" ref="J530">IFERROR(INDEX(РД[S],MATCH($B$3&amp;Таблица4[[#This Row],[№]]&amp;"Продажа",РД[Дом]&amp;РД[№ кв]&amp;РД[Состояние],0),1),Таблица4[[#This Row],[Статус]])</f>
        <v>63.74</v>
      </c>
      <c r="K530" s="233">
        <f>VLOOKUP(Таблица4[[#This Row],[№]],Реестр_Д4[],20,0)</f>
        <v>63.74</v>
      </c>
      <c r="L530" s="235">
        <f>IFERROR(Таблица4[[#This Row],[S ПП]]-Таблица4[[#This Row],[S ДДУ]],)</f>
        <v>0</v>
      </c>
      <c r="M530" s="235">
        <f>ROUND(_xlfn.XLOOKUP(Таблица4[[#This Row],[№]],Реестр_Д4[№],Реестр_Д4[Итоговая сумма скидки],"",0),2)</f>
        <v>118048</v>
      </c>
      <c r="N530" s="235" cm="1">
        <f t="array" ref="N530">IFERROR(ROUND(_xlfn.XLOOKUP($B$3&amp;Таблица4[[#This Row],[№]]&amp;"Продажа",РД[Дом]&amp;РД[№ кв]&amp;РД[Состояние],РД[Сумма скидки],"",0),2),Таблица4[[#This Row],[Статус]])</f>
        <v>118048</v>
      </c>
      <c r="O530" s="235">
        <f>IFERROR(Таблица4[[#This Row],[ППС]]-Таблица4[[#This Row],[ДДУС]],)</f>
        <v>0</v>
      </c>
      <c r="P530" s="611"/>
      <c r="Q530" s="234">
        <f>VLOOKUP(ППД5!A527,Реестр_Д5[№],1,0)</f>
        <v>526</v>
      </c>
      <c r="R530" s="234" t="str">
        <f>VLOOKUP(ППД5!CH527,Реестр_Д5[Статус],1,0)</f>
        <v>Продажа</v>
      </c>
      <c r="S530" s="612">
        <f>VLOOKUP(ППД5!BZ527,Реестр_Д5[Стоимость ОН без отделки со скидкой],1,0)</f>
        <v>4543212</v>
      </c>
      <c r="T530" s="612" cm="1">
        <f t="array" ref="T530">IFERROR(INDEX(РД[Стоимость без отделки итог],MATCH($Q$3&amp;Таблица10[[#This Row],[№]]&amp;"Продажа",РД[Дом]&amp;РД[№ кв]&amp;РД[Состояние],0),1),Таблица10[[#This Row],[Статус]])</f>
        <v>4543212</v>
      </c>
      <c r="U530" s="235">
        <f>IFERROR((Таблица10[[#This Row],[ПП]]-Таблица10[[#This Row],[ДДУ]])*1,)</f>
        <v>0</v>
      </c>
      <c r="V530" s="235" cm="1">
        <f t="array" ref="V530">IFERROR(INDEX(РД[Стоимость с отделкой итог],MATCH($Q$3&amp;Таблица10[[#This Row],[№]]&amp;"Продажа",РД[Дом]&amp;РД[№ кв]&amp;РД[Состояние],0),1),Таблица10[[#This Row],[Статус]])</f>
        <v>5407412</v>
      </c>
      <c r="W530" s="235">
        <f>_xlfn.XLOOKUP(Таблица10[[#This Row],[№]],Реестр_Д5[№],Реестр_Д5[Стоимость квартиры с отделкой],"-",0)</f>
        <v>5407412</v>
      </c>
      <c r="X530" s="235">
        <f>IFERROR(Таблица10[[#This Row],[СО ПП]]-Таблица10[[#This Row],[СО ДДУ]],"")</f>
        <v>0</v>
      </c>
      <c r="Y530" s="233" cm="1">
        <f t="array" ref="Y530">IFERROR(INDEX(РД[S],MATCH($Q$3&amp;Таблица10[[#This Row],[№]]&amp;"Продажа",РД[Дом]&amp;РД[№ кв]&amp;РД[Состояние],0),1),Таблица10[[#This Row],[Статус]])</f>
        <v>43.21</v>
      </c>
      <c r="Z530" s="233">
        <f>IF(Таблица10[[#This Row],[№]]&amp;"ДДУ"=ППД5!A527&amp;ППД5!CR527,ППД5!U527,ППД5!V527)</f>
        <v>43.21</v>
      </c>
      <c r="AA530" s="285">
        <f>IFERROR(Таблица10[[#This Row],[S ПП]]-Таблица10[[#This Row],[S ДДУ]],)</f>
        <v>0</v>
      </c>
      <c r="AB530" s="235">
        <f>ROUND(_xlfn.XLOOKUP(Таблица10[[#This Row],[№]],Реестр_Д5[№],Реестр_Д5[Итоговая сумма скидки],"",0),2)</f>
        <v>88888</v>
      </c>
      <c r="AC530" s="235" cm="1">
        <f t="array" ref="AC530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530" s="285">
        <f>IFERROR(Таблица10[[#This Row],[ППС]]-Таблица10[[#This Row],[ДДУС]],)</f>
        <v>0</v>
      </c>
      <c r="AE530" s="611"/>
      <c r="AT530" s="611"/>
    </row>
    <row r="531" spans="1:46" x14ac:dyDescent="0.2">
      <c r="A531" s="611"/>
      <c r="B531" s="234">
        <f>VLOOKUP(ППД4!A528,Реестр_Д4[№],1,0)</f>
        <v>527</v>
      </c>
      <c r="C531" s="234" t="str">
        <f>VLOOKUP(ППД4!CO528,Реестр_Д4[Статус],1,0)</f>
        <v>Продажа</v>
      </c>
      <c r="D531" s="612">
        <f>VLOOKUP(ППД4!CE528,Реестр_Д4[Стоимость ОН без отделки со скидкой],1,0)</f>
        <v>3712977.88</v>
      </c>
      <c r="E531" s="612" cm="1">
        <f t="array" ref="E531">IFERROR(INDEX(РД[Стоимость без отделки итог],MATCH($B$3&amp;Таблица4[[#This Row],[№]]&amp;"Продажа",РД[Дом]&amp;РД[№ кв]&amp;РД[Состояние],0),1),Таблица4[[#This Row],[Статус]])</f>
        <v>3712977.88</v>
      </c>
      <c r="F531" s="235">
        <f>IFERROR((Таблица4[[#This Row],[ПП]]-Таблица4[[#This Row],[ДДУ]])*1,"")</f>
        <v>0</v>
      </c>
      <c r="G531" s="235" cm="1">
        <f t="array" ref="G531">IFERROR(INDEX(РД[Стоимость с отделкой итог],MATCH($B$3&amp;Таблица4[[#This Row],[№]]&amp;"Продажа",РД[Дом]&amp;РД[№ кв]&amp;РД[Состояние],0),1),Таблица4[[#This Row],[Статус]])</f>
        <v>3890457.88</v>
      </c>
      <c r="H531" s="235">
        <f>_xlfn.XLOOKUP(Таблица4[[#This Row],[№]],Реестр_Д4[№],Реестр_Д4[Стоимость квартиры с отделкой],"-",0)</f>
        <v>3890457.88</v>
      </c>
      <c r="I531" s="235">
        <f>IFERROR(Таблица4[[#This Row],[СО ПП]]-Таблица4[[#This Row],[СО ДДУ]],"")</f>
        <v>0</v>
      </c>
      <c r="J531" s="233" cm="1">
        <f t="array" ref="J531">IFERROR(INDEX(РД[S],MATCH($B$3&amp;Таблица4[[#This Row],[№]]&amp;"Продажа",РД[Дом]&amp;РД[№ кв]&amp;РД[Состояние],0),1),Таблица4[[#This Row],[Статус]])</f>
        <v>44.37</v>
      </c>
      <c r="K531" s="233">
        <f>VLOOKUP(Таблица4[[#This Row],[№]],Реестр_Д4[],20,0)</f>
        <v>44.37</v>
      </c>
      <c r="L531" s="235">
        <f>IFERROR(Таблица4[[#This Row],[S ПП]]-Таблица4[[#This Row],[S ДДУ]],)</f>
        <v>0</v>
      </c>
      <c r="M531" s="235">
        <f>ROUND(_xlfn.XLOOKUP(Таблица4[[#This Row],[№]],Реестр_Д4[№],Реестр_Д4[Итоговая сумма скидки],"",0),2)</f>
        <v>177480</v>
      </c>
      <c r="N531" s="235" cm="1">
        <f t="array" ref="N531">IFERROR(ROUND(_xlfn.XLOOKUP($B$3&amp;Таблица4[[#This Row],[№]]&amp;"Продажа",РД[Дом]&amp;РД[№ кв]&amp;РД[Состояние],РД[Сумма скидки],"",0),2),Таблица4[[#This Row],[Статус]])</f>
        <v>177480</v>
      </c>
      <c r="O531" s="235">
        <f>IFERROR(Таблица4[[#This Row],[ППС]]-Таблица4[[#This Row],[ДДУС]],)</f>
        <v>0</v>
      </c>
      <c r="P531" s="611"/>
      <c r="Q531" s="234">
        <f>VLOOKUP(ППД5!A528,Реестр_Д5[№],1,0)</f>
        <v>527</v>
      </c>
      <c r="R531" s="234" t="str">
        <f>VLOOKUP(ППД5!CH528,Реестр_Д5[Статус],1,0)</f>
        <v>Свободно</v>
      </c>
      <c r="S531" s="612">
        <f>VLOOKUP(ППД5!BZ528,Реестр_Д5[Стоимость ОН без отделки со скидкой],1,0)</f>
        <v>3529500</v>
      </c>
      <c r="T531" s="612" t="str" cm="1">
        <f t="array" ref="T53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31" s="235">
        <f>IFERROR((Таблица10[[#This Row],[ПП]]-Таблица10[[#This Row],[ДДУ]])*1,)</f>
        <v>0</v>
      </c>
      <c r="V531" s="235" t="str" cm="1">
        <f t="array" ref="V53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31" s="235">
        <f>_xlfn.XLOOKUP(Таблица10[[#This Row],[№]],Реестр_Д5[№],Реестр_Д5[Стоимость квартиры с отделкой],"-",0)</f>
        <v>3775500</v>
      </c>
      <c r="X531" s="235" t="str">
        <f>IFERROR(Таблица10[[#This Row],[СО ПП]]-Таблица10[[#This Row],[СО ДДУ]],"")</f>
        <v/>
      </c>
      <c r="Y531" s="233" t="str" cm="1">
        <f t="array" ref="Y531">IFERROR(INDEX(РД[S],MATCH($Q$3&amp;Таблица10[[#This Row],[№]]&amp;"Продажа",РД[Дом]&amp;РД[№ кв]&amp;РД[Состояние],0),1),Таблица10[[#This Row],[Статус]])</f>
        <v>Свободно</v>
      </c>
      <c r="Z531" s="233">
        <f>IF(Таблица10[[#This Row],[№]]&amp;"ДДУ"=ППД5!A528&amp;ППД5!CR528,ППД5!U528,ППД5!V528)</f>
        <v>24.6</v>
      </c>
      <c r="AA531" s="285">
        <f>IFERROR(Таблица10[[#This Row],[S ПП]]-Таблица10[[#This Row],[S ДДУ]],)</f>
        <v>0</v>
      </c>
      <c r="AB531" s="235">
        <f>ROUND(_xlfn.XLOOKUP(Таблица10[[#This Row],[№]],Реестр_Д5[№],Реестр_Д5[Итоговая сумма скидки],"",0),2)</f>
        <v>0</v>
      </c>
      <c r="AC531" s="235" t="str" cm="1">
        <f t="array" ref="AC53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31" s="285">
        <f>IFERROR(Таблица10[[#This Row],[ППС]]-Таблица10[[#This Row],[ДДУС]],)</f>
        <v>0</v>
      </c>
      <c r="AE531" s="611"/>
      <c r="AT531" s="611"/>
    </row>
    <row r="532" spans="1:46" x14ac:dyDescent="0.2">
      <c r="A532" s="611"/>
      <c r="B532" s="234">
        <f>VLOOKUP(ППД4!A529,Реестр_Д4[№],1,0)</f>
        <v>528</v>
      </c>
      <c r="C532" s="234" t="str">
        <f>VLOOKUP(ППД4!CO529,Реестр_Д4[Статус],1,0)</f>
        <v>Продажа</v>
      </c>
      <c r="D532" s="612">
        <f>VLOOKUP(ППД4!CE529,Реестр_Д4[Стоимость ОН без отделки со скидкой],1,0)</f>
        <v>3501844.69</v>
      </c>
      <c r="E532" s="612" cm="1">
        <f t="array" ref="E532">IFERROR(INDEX(РД[Стоимость без отделки итог],MATCH($B$3&amp;Таблица4[[#This Row],[№]]&amp;"Продажа",РД[Дом]&amp;РД[№ кв]&amp;РД[Состояние],0),1),Таблица4[[#This Row],[Статус]])</f>
        <v>3501844.6900000004</v>
      </c>
      <c r="F532" s="235">
        <f>IFERROR((Таблица4[[#This Row],[ПП]]-Таблица4[[#This Row],[ДДУ]])*1,"")</f>
        <v>-4.6566128730773926E-10</v>
      </c>
      <c r="G532" s="235" cm="1">
        <f t="array" ref="G532">IFERROR(INDEX(РД[Стоимость с отделкой итог],MATCH($B$3&amp;Таблица4[[#This Row],[№]]&amp;"Продажа",РД[Дом]&amp;РД[№ кв]&amp;РД[Состояние],0),1),Таблица4[[#This Row],[Статус]])</f>
        <v>3660804.69</v>
      </c>
      <c r="H532" s="235">
        <f>_xlfn.XLOOKUP(Таблица4[[#This Row],[№]],Реестр_Д4[№],Реестр_Д4[Стоимость квартиры с отделкой],"-",0)</f>
        <v>3660804.69</v>
      </c>
      <c r="I532" s="235">
        <f>IFERROR(Таблица4[[#This Row],[СО ПП]]-Таблица4[[#This Row],[СО ДДУ]],"")</f>
        <v>0</v>
      </c>
      <c r="J532" s="233" cm="1">
        <f t="array" ref="J532">IFERROR(INDEX(РД[S],MATCH($B$3&amp;Таблица4[[#This Row],[№]]&amp;"Продажа",РД[Дом]&amp;РД[№ кв]&amp;РД[Состояние],0),1),Таблица4[[#This Row],[Статус]])</f>
        <v>39.74</v>
      </c>
      <c r="K532" s="233">
        <f>VLOOKUP(Таблица4[[#This Row],[№]],Реестр_Д4[],20,0)</f>
        <v>39.74</v>
      </c>
      <c r="L532" s="235">
        <f>IFERROR(Таблица4[[#This Row],[S ПП]]-Таблица4[[#This Row],[S ДДУ]],)</f>
        <v>0</v>
      </c>
      <c r="M532" s="235">
        <f>ROUND(_xlfn.XLOOKUP(Таблица4[[#This Row],[№]],Реестр_Д4[№],Реестр_Д4[Итоговая сумма скидки],"",0),2)</f>
        <v>158960</v>
      </c>
      <c r="N532" s="235" cm="1">
        <f t="array" ref="N532">IFERROR(ROUND(_xlfn.XLOOKUP($B$3&amp;Таблица4[[#This Row],[№]]&amp;"Продажа",РД[Дом]&amp;РД[№ кв]&amp;РД[Состояние],РД[Сумма скидки],"",0),2),Таблица4[[#This Row],[Статус]])</f>
        <v>158960</v>
      </c>
      <c r="O532" s="235">
        <f>IFERROR(Таблица4[[#This Row],[ППС]]-Таблица4[[#This Row],[ДДУС]],)</f>
        <v>0</v>
      </c>
      <c r="P532" s="611"/>
      <c r="Q532" s="234">
        <f>VLOOKUP(ППД5!A529,Реестр_Д5[№],1,0)</f>
        <v>528</v>
      </c>
      <c r="R532" s="234" t="str">
        <f>VLOOKUP(ППД5!CH529,Реестр_Д5[Статус],1,0)</f>
        <v>Продажа</v>
      </c>
      <c r="S532" s="612">
        <f>VLOOKUP(ППД5!BZ529,Реестр_Д5[Стоимость ОН без отделки со скидкой],1,0)</f>
        <v>6548976</v>
      </c>
      <c r="T532" s="612" cm="1">
        <f t="array" ref="T532">IFERROR(INDEX(РД[Стоимость без отделки итог],MATCH($Q$3&amp;Таблица10[[#This Row],[№]]&amp;"Продажа",РД[Дом]&amp;РД[№ кв]&amp;РД[Состояние],0),1),Таблица10[[#This Row],[Статус]])</f>
        <v>6548976</v>
      </c>
      <c r="U532" s="235">
        <f>IFERROR((Таблица10[[#This Row],[ПП]]-Таблица10[[#This Row],[ДДУ]])*1,)</f>
        <v>0</v>
      </c>
      <c r="V532" s="235" cm="1">
        <f t="array" ref="V532">IFERROR(INDEX(РД[Стоимость с отделкой итог],MATCH($Q$3&amp;Таблица10[[#This Row],[№]]&amp;"Продажа",РД[Дом]&amp;РД[№ кв]&amp;РД[Состояние],0),1),Таблица10[[#This Row],[Статус]])</f>
        <v>8004976.0000000009</v>
      </c>
      <c r="W532" s="235">
        <f>_xlfn.XLOOKUP(Таблица10[[#This Row],[№]],Реестр_Д5[№],Реестр_Д5[Стоимость квартиры с отделкой],"-",0)</f>
        <v>8004976.0000000019</v>
      </c>
      <c r="X532" s="235">
        <f>IFERROR(Таблица10[[#This Row],[СО ПП]]-Таблица10[[#This Row],[СО ДДУ]],"")</f>
        <v>9.3132257461547852E-10</v>
      </c>
      <c r="Y532" s="233" cm="1">
        <f t="array" ref="Y532">IFERROR(INDEX(РД[S],MATCH($Q$3&amp;Таблица10[[#This Row],[№]]&amp;"Продажа",РД[Дом]&amp;РД[№ кв]&amp;РД[Состояние],0),1),Таблица10[[#This Row],[Статус]])</f>
        <v>58.24</v>
      </c>
      <c r="Z532" s="233">
        <f>IF(Таблица10[[#This Row],[№]]&amp;"ДДУ"=ППД5!A529&amp;ППД5!CR529,ППД5!U529,ППД5!V529)</f>
        <v>58.24</v>
      </c>
      <c r="AA532" s="285">
        <f>IFERROR(Таблица10[[#This Row],[S ПП]]-Таблица10[[#This Row],[S ДДУ]],)</f>
        <v>0</v>
      </c>
      <c r="AB532" s="235">
        <f>ROUND(_xlfn.XLOOKUP(Таблица10[[#This Row],[№]],Реестр_Д5[№],Реестр_Д5[Итоговая сумма скидки],"",0),2)</f>
        <v>511824</v>
      </c>
      <c r="AC532" s="235" cm="1">
        <f t="array" ref="AC532">IFERROR(ROUND(_xlfn.XLOOKUP($Q$3&amp;Таблица10[[#This Row],[№]]&amp;"Продажа",РД[Дом]&amp;РД[№ кв]&amp;РД[Состояние],РД[Сумма скидки],"",0,-1),2),Таблица10[[#This Row],[Статус]])</f>
        <v>511824</v>
      </c>
      <c r="AD532" s="285">
        <f>IFERROR(Таблица10[[#This Row],[ППС]]-Таблица10[[#This Row],[ДДУС]],)</f>
        <v>0</v>
      </c>
      <c r="AE532" s="611"/>
      <c r="AT532" s="611"/>
    </row>
    <row r="533" spans="1:46" x14ac:dyDescent="0.2">
      <c r="A533" s="611"/>
      <c r="B533" s="234">
        <f>VLOOKUP(ППД4!A530,Реестр_Д4[№],1,0)</f>
        <v>529</v>
      </c>
      <c r="C533" s="234" t="str">
        <f>VLOOKUP(ППД4!CO530,Реестр_Д4[Статус],1,0)</f>
        <v>Продажа</v>
      </c>
      <c r="D533" s="612">
        <f>VLOOKUP(ППД4!CE530,Реестр_Д4[Стоимость ОН без отделки со скидкой],1,0)</f>
        <v>3847783.49</v>
      </c>
      <c r="E533" s="612" cm="1">
        <f t="array" ref="E533">IFERROR(INDEX(РД[Стоимость без отделки итог],MATCH($B$3&amp;Таблица4[[#This Row],[№]]&amp;"Продажа",РД[Дом]&amp;РД[№ кв]&amp;РД[Состояние],0),1),Таблица4[[#This Row],[Статус]])</f>
        <v>3847783.49</v>
      </c>
      <c r="F533" s="235">
        <f>IFERROR((Таблица4[[#This Row],[ПП]]-Таблица4[[#This Row],[ДДУ]])*1,"")</f>
        <v>0</v>
      </c>
      <c r="G533" s="235" cm="1">
        <f t="array" ref="G533">IFERROR(INDEX(РД[Стоимость с отделкой итог],MATCH($B$3&amp;Таблица4[[#This Row],[№]]&amp;"Продажа",РД[Дом]&amp;РД[№ кв]&amp;РД[Состояние],0),1),Таблица4[[#This Row],[Статус]])</f>
        <v>4021483.49</v>
      </c>
      <c r="H533" s="235">
        <f>_xlfn.XLOOKUP(Таблица4[[#This Row],[№]],Реестр_Д4[№],Реестр_Д4[Стоимость квартиры с отделкой],"-",0)</f>
        <v>4021483.49</v>
      </c>
      <c r="I533" s="235">
        <f>IFERROR(Таблица4[[#This Row],[СО ПП]]-Таблица4[[#This Row],[СО ДДУ]],"")</f>
        <v>0</v>
      </c>
      <c r="J533" s="233" cm="1">
        <f t="array" ref="J533">IFERROR(INDEX(РД[S],MATCH($B$3&amp;Таблица4[[#This Row],[№]]&amp;"Продажа",РД[Дом]&amp;РД[№ кв]&amp;РД[Состояние],0),1),Таблица4[[#This Row],[Статус]])</f>
        <v>38.6</v>
      </c>
      <c r="K533" s="233">
        <f>VLOOKUP(Таблица4[[#This Row],[№]],Реестр_Д4[],20,0)</f>
        <v>38.6</v>
      </c>
      <c r="L533" s="235">
        <f>IFERROR(Таблица4[[#This Row],[S ПП]]-Таблица4[[#This Row],[S ДДУ]],)</f>
        <v>0</v>
      </c>
      <c r="M533" s="235">
        <f>ROUND(_xlfn.XLOOKUP(Таблица4[[#This Row],[№]],Реестр_Д4[№],Реестр_Д4[Итоговая сумма скидки],"",0),2)</f>
        <v>0</v>
      </c>
      <c r="N533" s="235" cm="1">
        <f t="array" ref="N533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33" s="235">
        <f>IFERROR(Таблица4[[#This Row],[ППС]]-Таблица4[[#This Row],[ДДУС]],)</f>
        <v>0</v>
      </c>
      <c r="P533" s="611"/>
      <c r="Q533" s="234">
        <f>VLOOKUP(ППД5!A530,Реестр_Д5[№],1,0)</f>
        <v>529</v>
      </c>
      <c r="R533" s="234" t="str">
        <f>VLOOKUP(ППД5!CH530,Реестр_Д5[Статус],1,0)</f>
        <v>Продажа</v>
      </c>
      <c r="S533" s="612">
        <f>VLOOKUP(ППД5!BZ530,Реестр_Д5[Стоимость ОН без отделки со скидкой],1,0)</f>
        <v>4799264.74</v>
      </c>
      <c r="T533" s="612" cm="1">
        <f t="array" ref="T533">IFERROR(INDEX(РД[Стоимость без отделки итог],MATCH($Q$3&amp;Таблица10[[#This Row],[№]]&amp;"Продажа",РД[Дом]&amp;РД[№ кв]&amp;РД[Состояние],0),1),Таблица10[[#This Row],[Статус]])</f>
        <v>4799264.74</v>
      </c>
      <c r="U533" s="235">
        <f>IFERROR((Таблица10[[#This Row],[ПП]]-Таблица10[[#This Row],[ДДУ]])*1,)</f>
        <v>0</v>
      </c>
      <c r="V533" s="235" cm="1">
        <f t="array" ref="V533">IFERROR(INDEX(РД[Стоимость с отделкой итог],MATCH($Q$3&amp;Таблица10[[#This Row],[№]]&amp;"Продажа",РД[Дом]&amp;РД[№ кв]&amp;РД[Состояние],0),1),Таблица10[[#This Row],[Статус]])</f>
        <v>5232764.74</v>
      </c>
      <c r="W533" s="235">
        <f>_xlfn.XLOOKUP(Таблица10[[#This Row],[№]],Реестр_Д5[№],Реестр_Д5[Стоимость квартиры с отделкой],"-",0)</f>
        <v>5232764.74</v>
      </c>
      <c r="X533" s="235">
        <f>IFERROR(Таблица10[[#This Row],[СО ПП]]-Таблица10[[#This Row],[СО ДДУ]],"")</f>
        <v>0</v>
      </c>
      <c r="Y533" s="233" cm="1">
        <f t="array" ref="Y533">IFERROR(INDEX(РД[S],MATCH($Q$3&amp;Таблица10[[#This Row],[№]]&amp;"Продажа",РД[Дом]&amp;РД[№ кв]&amp;РД[Состояние],0),1),Таблица10[[#This Row],[Статус]])</f>
        <v>57.8</v>
      </c>
      <c r="Z533" s="233">
        <f>IF(Таблица10[[#This Row],[№]]&amp;"ДДУ"=ППД5!A530&amp;ППД5!CR530,ППД5!U530,ППД5!V530)</f>
        <v>57.8</v>
      </c>
      <c r="AA533" s="285">
        <f>IFERROR(Таблица10[[#This Row],[S ПП]]-Таблица10[[#This Row],[S ДДУ]],)</f>
        <v>0</v>
      </c>
      <c r="AB533" s="235">
        <f>ROUND(_xlfn.XLOOKUP(Таблица10[[#This Row],[№]],Реестр_Д5[№],Реестр_Д5[Итоговая сумма скидки],"",0),2)</f>
        <v>148430.87</v>
      </c>
      <c r="AC533" s="235" cm="1">
        <f t="array" ref="AC533">IFERROR(ROUND(_xlfn.XLOOKUP($Q$3&amp;Таблица10[[#This Row],[№]]&amp;"Продажа",РД[Дом]&amp;РД[№ кв]&amp;РД[Состояние],РД[Сумма скидки],"",0,-1),2),Таблица10[[#This Row],[Статус]])</f>
        <v>148430.87</v>
      </c>
      <c r="AD533" s="285">
        <f>IFERROR(Таблица10[[#This Row],[ППС]]-Таблица10[[#This Row],[ДДУС]],)</f>
        <v>0</v>
      </c>
      <c r="AE533" s="611"/>
      <c r="AT533" s="611"/>
    </row>
    <row r="534" spans="1:46" x14ac:dyDescent="0.2">
      <c r="A534" s="611"/>
      <c r="B534" s="234">
        <f>VLOOKUP(ППД4!A531,Реестр_Д4[№],1,0)</f>
        <v>530</v>
      </c>
      <c r="C534" s="234" t="str">
        <f>VLOOKUP(ППД4!CO531,Реестр_Д4[Статус],1,0)</f>
        <v>Продажа</v>
      </c>
      <c r="D534" s="612">
        <f>VLOOKUP(ППД4!CE531,Реестр_Д4[Стоимость ОН без отделки со скидкой],1,0)</f>
        <v>4861074.21</v>
      </c>
      <c r="E534" s="612" cm="1">
        <f t="array" ref="E534">IFERROR(INDEX(РД[Стоимость без отделки итог],MATCH($B$3&amp;Таблица4[[#This Row],[№]]&amp;"Продажа",РД[Дом]&amp;РД[№ кв]&amp;РД[Состояние],0),1),Таблица4[[#This Row],[Статус]])</f>
        <v>4861074.2100000018</v>
      </c>
      <c r="F534" s="235">
        <f>IFERROR((Таблица4[[#This Row],[ПП]]-Таблица4[[#This Row],[ДДУ]])*1,"")</f>
        <v>-1.862645149230957E-9</v>
      </c>
      <c r="G534" s="235" cm="1">
        <f t="array" ref="G534">IFERROR(INDEX(РД[Стоимость с отделкой итог],MATCH($B$3&amp;Таблица4[[#This Row],[№]]&amp;"Продажа",РД[Дом]&amp;РД[№ кв]&amp;РД[Состояние],0),1),Таблица4[[#This Row],[Статус]])</f>
        <v>6495234.21</v>
      </c>
      <c r="H534" s="235">
        <f>_xlfn.XLOOKUP(Таблица4[[#This Row],[№]],Реестр_Д4[№],Реестр_Д4[Стоимость квартиры с отделкой],"-",0)</f>
        <v>6495234.21</v>
      </c>
      <c r="I534" s="235">
        <f>IFERROR(Таблица4[[#This Row],[СО ПП]]-Таблица4[[#This Row],[СО ДДУ]],"")</f>
        <v>0</v>
      </c>
      <c r="J534" s="233" cm="1">
        <f t="array" ref="J534">IFERROR(INDEX(РД[S],MATCH($B$3&amp;Таблица4[[#This Row],[№]]&amp;"Продажа",РД[Дом]&amp;РД[№ кв]&amp;РД[Состояние],0),1),Таблица4[[#This Row],[Статус]])</f>
        <v>74.28</v>
      </c>
      <c r="K534" s="233">
        <f>VLOOKUP(Таблица4[[#This Row],[№]],Реестр_Д4[],20,0)</f>
        <v>74.28</v>
      </c>
      <c r="L534" s="235">
        <f>IFERROR(Таблица4[[#This Row],[S ПП]]-Таблица4[[#This Row],[S ДДУ]],)</f>
        <v>0</v>
      </c>
      <c r="M534" s="235">
        <f>ROUND(_xlfn.XLOOKUP(Таблица4[[#This Row],[№]],Реестр_Д4[№],Реестр_Д4[Итоговая сумма скидки],"",0),2)</f>
        <v>422702.11</v>
      </c>
      <c r="N534" s="235" cm="1">
        <f t="array" ref="N534">IFERROR(ROUND(_xlfn.XLOOKUP($B$3&amp;Таблица4[[#This Row],[№]]&amp;"Продажа",РД[Дом]&amp;РД[№ кв]&amp;РД[Состояние],РД[Сумма скидки],"",0),2),Таблица4[[#This Row],[Статус]])</f>
        <v>422702.11</v>
      </c>
      <c r="O534" s="235">
        <f>IFERROR(Таблица4[[#This Row],[ППС]]-Таблица4[[#This Row],[ДДУС]],)</f>
        <v>0</v>
      </c>
      <c r="P534" s="611"/>
      <c r="Q534" s="234">
        <f>VLOOKUP(ППД5!A531,Реестр_Д5[№],1,0)</f>
        <v>530</v>
      </c>
      <c r="R534" s="234" t="str">
        <f>VLOOKUP(ППД5!CH531,Реестр_Д5[Статус],1,0)</f>
        <v>Продажа</v>
      </c>
      <c r="S534" s="612">
        <f>VLOOKUP(ППД5!BZ531,Реестр_Д5[Стоимость ОН без отделки со скидкой],1,0)</f>
        <v>5188218</v>
      </c>
      <c r="T534" s="612" cm="1">
        <f t="array" ref="T534">IFERROR(INDEX(РД[Стоимость без отделки итог],MATCH($Q$3&amp;Таблица10[[#This Row],[№]]&amp;"Продажа",РД[Дом]&amp;РД[№ кв]&amp;РД[Состояние],0),1),Таблица10[[#This Row],[Статус]])</f>
        <v>5188218</v>
      </c>
      <c r="U534" s="235">
        <f>IFERROR((Таблица10[[#This Row],[ПП]]-Таблица10[[#This Row],[ДДУ]])*1,)</f>
        <v>0</v>
      </c>
      <c r="V534" s="235" cm="1">
        <f t="array" ref="V534">IFERROR(INDEX(РД[Стоимость с отделкой итог],MATCH($Q$3&amp;Таблица10[[#This Row],[№]]&amp;"Продажа",РД[Дом]&amp;РД[№ кв]&amp;РД[Состояние],0),1),Таблица10[[#This Row],[Статус]])</f>
        <v>6145718</v>
      </c>
      <c r="W534" s="235">
        <f>_xlfn.XLOOKUP(Таблица10[[#This Row],[№]],Реестр_Д5[№],Реестр_Д5[Стоимость квартиры с отделкой],"-",0)</f>
        <v>6145718</v>
      </c>
      <c r="X534" s="235">
        <f>IFERROR(Таблица10[[#This Row],[СО ПП]]-Таблица10[[#This Row],[СО ДДУ]],"")</f>
        <v>0</v>
      </c>
      <c r="Y534" s="233" cm="1">
        <f t="array" ref="Y534">IFERROR(INDEX(РД[S],MATCH($Q$3&amp;Таблица10[[#This Row],[№]]&amp;"Продажа",РД[Дом]&amp;РД[№ кв]&amp;РД[Состояние],0),1),Таблица10[[#This Row],[Статус]])</f>
        <v>38.299999999999997</v>
      </c>
      <c r="Z534" s="233">
        <f>IF(Таблица10[[#This Row],[№]]&amp;"ДДУ"=ППД5!A531&amp;ППД5!CR531,ППД5!U531,ППД5!V531)</f>
        <v>38.299999999999997</v>
      </c>
      <c r="AA534" s="285">
        <f>IFERROR(Таблица10[[#This Row],[S ПП]]-Таблица10[[#This Row],[S ДДУ]],)</f>
        <v>0</v>
      </c>
      <c r="AB534" s="235">
        <f>ROUND(_xlfn.XLOOKUP(Таблица10[[#This Row],[№]],Реестр_Д5[№],Реестр_Д5[Итоговая сумма скидки],"",0),2)</f>
        <v>105882</v>
      </c>
      <c r="AC534" s="235" cm="1">
        <f t="array" ref="AC534">IFERROR(ROUND(_xlfn.XLOOKUP($Q$3&amp;Таблица10[[#This Row],[№]]&amp;"Продажа",РД[Дом]&amp;РД[№ кв]&amp;РД[Состояние],РД[Сумма скидки],"",0,-1),2),Таблица10[[#This Row],[Статус]])</f>
        <v>105882</v>
      </c>
      <c r="AD534" s="285">
        <f>IFERROR(Таблица10[[#This Row],[ППС]]-Таблица10[[#This Row],[ДДУС]],)</f>
        <v>0</v>
      </c>
      <c r="AE534" s="611"/>
      <c r="AT534" s="611"/>
    </row>
    <row r="535" spans="1:46" x14ac:dyDescent="0.2">
      <c r="A535" s="611"/>
      <c r="B535" s="234">
        <f>VLOOKUP(ППД4!A532,Реестр_Д4[№],1,0)</f>
        <v>531</v>
      </c>
      <c r="C535" s="234" t="str">
        <f>VLOOKUP(ППД4!CO532,Реестр_Д4[Статус],1,0)</f>
        <v>Продажа</v>
      </c>
      <c r="D535" s="612">
        <f>VLOOKUP(ППД4!CE532,Реестр_Д4[Стоимость ОН без отделки со скидкой],1,0)</f>
        <v>3461231.86</v>
      </c>
      <c r="E535" s="612" cm="1">
        <f t="array" ref="E535">IFERROR(INDEX(РД[Стоимость без отделки итог],MATCH($B$3&amp;Таблица4[[#This Row],[№]]&amp;"Продажа",РД[Дом]&amp;РД[№ кв]&amp;РД[Состояние],0),1),Таблица4[[#This Row],[Статус]])</f>
        <v>3461231.8600000003</v>
      </c>
      <c r="F535" s="235">
        <f>IFERROR((Таблица4[[#This Row],[ПП]]-Таблица4[[#This Row],[ДДУ]])*1,"")</f>
        <v>-4.6566128730773926E-10</v>
      </c>
      <c r="G535" s="235" cm="1">
        <f t="array" ref="G535">IFERROR(INDEX(РД[Стоимость с отделкой итог],MATCH($B$3&amp;Таблица4[[#This Row],[№]]&amp;"Продажа",РД[Дом]&amp;РД[№ кв]&amp;РД[Состояние],0),1),Таблица4[[#This Row],[Статус]])</f>
        <v>4008731.86</v>
      </c>
      <c r="H535" s="235">
        <f>_xlfn.XLOOKUP(Таблица4[[#This Row],[№]],Реестр_Д4[№],Реестр_Д4[Стоимость квартиры с отделкой],"-",0)</f>
        <v>4008731.86</v>
      </c>
      <c r="I535" s="235">
        <f>IFERROR(Таблица4[[#This Row],[СО ПП]]-Таблица4[[#This Row],[СО ДДУ]],"")</f>
        <v>0</v>
      </c>
      <c r="J535" s="233" cm="1">
        <f t="array" ref="J535">IFERROR(INDEX(РД[S],MATCH($B$3&amp;Таблица4[[#This Row],[№]]&amp;"Продажа",РД[Дом]&amp;РД[№ кв]&amp;РД[Состояние],0),1),Таблица4[[#This Row],[Статус]])</f>
        <v>36.5</v>
      </c>
      <c r="K535" s="233">
        <f>VLOOKUP(Таблица4[[#This Row],[№]],Реестр_Д4[],20,0)</f>
        <v>36.5</v>
      </c>
      <c r="L535" s="235">
        <f>IFERROR(Таблица4[[#This Row],[S ПП]]-Таблица4[[#This Row],[S ДДУ]],)</f>
        <v>0</v>
      </c>
      <c r="M535" s="235">
        <f>ROUND(_xlfn.XLOOKUP(Таблица4[[#This Row],[№]],Реестр_Д4[№],Реестр_Д4[Итоговая сумма скидки],"",0),2)</f>
        <v>0</v>
      </c>
      <c r="N535" s="235" cm="1">
        <f t="array" ref="N535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35" s="235">
        <f>IFERROR(Таблица4[[#This Row],[ППС]]-Таблица4[[#This Row],[ДДУС]],)</f>
        <v>0</v>
      </c>
      <c r="P535" s="611"/>
      <c r="Q535" s="234">
        <f>VLOOKUP(ППД5!A532,Реестр_Д5[№],1,0)</f>
        <v>531</v>
      </c>
      <c r="R535" s="234" t="str">
        <f>VLOOKUP(ППД5!CH532,Реестр_Д5[Статус],1,0)</f>
        <v>Продажа</v>
      </c>
      <c r="S535" s="612">
        <f>VLOOKUP(ППД5!BZ532,Реестр_Д5[Стоимость ОН без отделки со скидкой],1,0)</f>
        <v>7088900</v>
      </c>
      <c r="T535" s="612" cm="1">
        <f t="array" ref="T535">IFERROR(INDEX(РД[Стоимость без отделки итог],MATCH($Q$3&amp;Таблица10[[#This Row],[№]]&amp;"Продажа",РД[Дом]&amp;РД[№ кв]&amp;РД[Состояние],0),1),Таблица10[[#This Row],[Статус]])</f>
        <v>7088900</v>
      </c>
      <c r="U535" s="235">
        <f>IFERROR((Таблица10[[#This Row],[ПП]]-Таблица10[[#This Row],[ДДУ]])*1,)</f>
        <v>0</v>
      </c>
      <c r="V535" s="235" cm="1">
        <f t="array" ref="V535">IFERROR(INDEX(РД[Стоимость с отделкой итог],MATCH($Q$3&amp;Таблица10[[#This Row],[№]]&amp;"Продажа",РД[Дом]&amp;РД[№ кв]&amp;РД[Состояние],0),1),Таблица10[[#This Row],[Статус]])</f>
        <v>7644980</v>
      </c>
      <c r="W535" s="235">
        <f>_xlfn.XLOOKUP(Таблица10[[#This Row],[№]],Реестр_Д5[№],Реестр_Д5[Стоимость квартиры с отделкой],"-",0)</f>
        <v>7644980</v>
      </c>
      <c r="X535" s="235">
        <f>IFERROR(Таблица10[[#This Row],[СО ПП]]-Таблица10[[#This Row],[СО ДДУ]],"")</f>
        <v>0</v>
      </c>
      <c r="Y535" s="233" cm="1">
        <f t="array" ref="Y535">IFERROR(INDEX(РД[S],MATCH($Q$3&amp;Таблица10[[#This Row],[№]]&amp;"Продажа",РД[Дом]&amp;РД[№ кв]&amp;РД[Состояние],0),1),Таблица10[[#This Row],[Статус]])</f>
        <v>79.44</v>
      </c>
      <c r="Z535" s="233">
        <f>IF(Таблица10[[#This Row],[№]]&amp;"ДДУ"=ППД5!A532&amp;ППД5!CR532,ППД5!U532,ППД5!V532)</f>
        <v>79.44</v>
      </c>
      <c r="AA535" s="285">
        <f>IFERROR(Таблица10[[#This Row],[S ПП]]-Таблица10[[#This Row],[S ДДУ]],)</f>
        <v>0</v>
      </c>
      <c r="AB535" s="235">
        <f>ROUND(_xlfn.XLOOKUP(Таблица10[[#This Row],[№]],Реестр_Д5[№],Реестр_Д5[Итоговая сумма скидки],"",0),2)</f>
        <v>0</v>
      </c>
      <c r="AC535" s="235" cm="1">
        <f t="array" ref="AC53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35" s="285">
        <f>IFERROR(Таблица10[[#This Row],[ППС]]-Таблица10[[#This Row],[ДДУС]],)</f>
        <v>0</v>
      </c>
      <c r="AE535" s="611"/>
      <c r="AT535" s="611"/>
    </row>
    <row r="536" spans="1:46" x14ac:dyDescent="0.2">
      <c r="A536" s="611"/>
      <c r="B536" s="234">
        <f>VLOOKUP(ППД4!A533,Реестр_Д4[№],1,0)</f>
        <v>532</v>
      </c>
      <c r="C536" s="234" t="str">
        <f>VLOOKUP(ППД4!CO533,Реестр_Д4[Статус],1,0)</f>
        <v>Продажа</v>
      </c>
      <c r="D536" s="612">
        <f>VLOOKUP(ППД4!CE533,Реестр_Д4[Стоимость ОН без отделки со скидкой],1,0)</f>
        <v>4326999.71</v>
      </c>
      <c r="E536" s="612" cm="1">
        <f t="array" ref="E536">IFERROR(INDEX(РД[Стоимость без отделки итог],MATCH($B$3&amp;Таблица4[[#This Row],[№]]&amp;"Продажа",РД[Дом]&amp;РД[№ кв]&amp;РД[Состояние],0),1),Таблица4[[#This Row],[Статус]])</f>
        <v>4326999.71</v>
      </c>
      <c r="F536" s="235">
        <f>IFERROR((Таблица4[[#This Row],[ПП]]-Таблица4[[#This Row],[ДДУ]])*1,"")</f>
        <v>0</v>
      </c>
      <c r="G536" s="235" cm="1">
        <f t="array" ref="G536">IFERROR(INDEX(РД[Стоимость с отделкой итог],MATCH($B$3&amp;Таблица4[[#This Row],[№]]&amp;"Продажа",РД[Дом]&amp;РД[№ кв]&amp;РД[Состояние],0),1),Таблица4[[#This Row],[Статус]])</f>
        <v>5167599.71</v>
      </c>
      <c r="H536" s="235">
        <f>_xlfn.XLOOKUP(Таблица4[[#This Row],[№]],Реестр_Д4[№],Реестр_Д4[Стоимость квартиры с отделкой],"-",0)</f>
        <v>5167599.71</v>
      </c>
      <c r="I536" s="235">
        <f>IFERROR(Таблица4[[#This Row],[СО ПП]]-Таблица4[[#This Row],[СО ДДУ]],"")</f>
        <v>0</v>
      </c>
      <c r="J536" s="233" cm="1">
        <f t="array" ref="J536">IFERROR(INDEX(РД[S],MATCH($B$3&amp;Таблица4[[#This Row],[№]]&amp;"Продажа",РД[Дом]&amp;РД[№ кв]&amp;РД[Состояние],0),1),Таблица4[[#This Row],[Статус]])</f>
        <v>56.04</v>
      </c>
      <c r="K536" s="233">
        <f>VLOOKUP(Таблица4[[#This Row],[№]],Реестр_Д4[],20,0)</f>
        <v>56.04</v>
      </c>
      <c r="L536" s="235">
        <f>IFERROR(Таблица4[[#This Row],[S ПП]]-Таблица4[[#This Row],[S ДДУ]],)</f>
        <v>0</v>
      </c>
      <c r="M536" s="235">
        <f>ROUND(_xlfn.XLOOKUP(Таблица4[[#This Row],[№]],Реестр_Д4[№],Реестр_Д4[Итоговая сумма скидки],"",0),2)</f>
        <v>0</v>
      </c>
      <c r="N536" s="235" cm="1">
        <f t="array" ref="N536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36" s="235">
        <f>IFERROR(Таблица4[[#This Row],[ППС]]-Таблица4[[#This Row],[ДДУС]],)</f>
        <v>0</v>
      </c>
      <c r="P536" s="611"/>
      <c r="Q536" s="234">
        <f>VLOOKUP(ППД5!A533,Реестр_Д5[№],1,0)</f>
        <v>532</v>
      </c>
      <c r="R536" s="234" t="str">
        <f>VLOOKUP(ППД5!CH533,Реестр_Д5[Статус],1,0)</f>
        <v>Продажа</v>
      </c>
      <c r="S536" s="612">
        <f>VLOOKUP(ППД5!BZ533,Реестр_Д5[Стоимость ОН без отделки со скидкой],1,0)</f>
        <v>4466500</v>
      </c>
      <c r="T536" s="612" cm="1">
        <f t="array" ref="T536">IFERROR(INDEX(РД[Стоимость без отделки итог],MATCH($Q$3&amp;Таблица10[[#This Row],[№]]&amp;"Продажа",РД[Дом]&amp;РД[№ кв]&amp;РД[Состояние],0),1),Таблица10[[#This Row],[Статус]])</f>
        <v>4466500</v>
      </c>
      <c r="U536" s="235">
        <f>IFERROR((Таблица10[[#This Row],[ПП]]-Таблица10[[#This Row],[ДДУ]])*1,)</f>
        <v>0</v>
      </c>
      <c r="V536" s="235" cm="1">
        <f t="array" ref="V536">IFERROR(INDEX(РД[Стоимость с отделкой итог],MATCH($Q$3&amp;Таблица10[[#This Row],[№]]&amp;"Продажа",РД[Дом]&amp;РД[№ кв]&amp;РД[Состояние],0),1),Таблица10[[#This Row],[Статус]])</f>
        <v>4466500</v>
      </c>
      <c r="W536" s="235">
        <f>_xlfn.XLOOKUP(Таблица10[[#This Row],[№]],Реестр_Д5[№],Реестр_Д5[Стоимость квартиры с отделкой],"-",0)</f>
        <v>4466500</v>
      </c>
      <c r="X536" s="235">
        <f>IFERROR(Таблица10[[#This Row],[СО ПП]]-Таблица10[[#This Row],[СО ДДУ]],"")</f>
        <v>0</v>
      </c>
      <c r="Y536" s="233" cm="1">
        <f t="array" ref="Y536">IFERROR(INDEX(РД[S],MATCH($Q$3&amp;Таблица10[[#This Row],[№]]&amp;"Продажа",РД[Дом]&amp;РД[№ кв]&amp;РД[Состояние],0),1),Таблица10[[#This Row],[Статус]])</f>
        <v>39.69</v>
      </c>
      <c r="Z536" s="233">
        <f>IF(Таблица10[[#This Row],[№]]&amp;"ДДУ"=ППД5!A533&amp;ППД5!CR533,ППД5!U533,ППД5!V533)</f>
        <v>39.69</v>
      </c>
      <c r="AA536" s="285">
        <f>IFERROR(Таблица10[[#This Row],[S ПП]]-Таблица10[[#This Row],[S ДДУ]],)</f>
        <v>0</v>
      </c>
      <c r="AB536" s="235">
        <f>ROUND(_xlfn.XLOOKUP(Таблица10[[#This Row],[№]],Реестр_Д5[№],Реестр_Д5[Итоговая сумма скидки],"",0),2)</f>
        <v>0</v>
      </c>
      <c r="AC536" s="235" cm="1">
        <f t="array" ref="AC536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36" s="285">
        <f>IFERROR(Таблица10[[#This Row],[ППС]]-Таблица10[[#This Row],[ДДУС]],)</f>
        <v>0</v>
      </c>
      <c r="AE536" s="611"/>
      <c r="AT536" s="611"/>
    </row>
    <row r="537" spans="1:46" x14ac:dyDescent="0.2">
      <c r="A537" s="611"/>
      <c r="B537" s="234">
        <f>VLOOKUP(ППД4!A534,Реестр_Д4[№],1,0)</f>
        <v>533</v>
      </c>
      <c r="C537" s="234" t="str">
        <f>VLOOKUP(ППД4!CO534,Реестр_Д4[Статус],1,0)</f>
        <v>Продажа</v>
      </c>
      <c r="D537" s="612">
        <f>VLOOKUP(ППД4!CE534,Реестр_Д4[Стоимость ОН без отделки со скидкой],1,0)</f>
        <v>5349001.7300000004</v>
      </c>
      <c r="E537" s="612" cm="1">
        <f t="array" ref="E537">IFERROR(INDEX(РД[Стоимость без отделки итог],MATCH($B$3&amp;Таблица4[[#This Row],[№]]&amp;"Продажа",РД[Дом]&amp;РД[№ кв]&amp;РД[Состояние],0),1),Таблица4[[#This Row],[Статус]])</f>
        <v>5349001.7300000004</v>
      </c>
      <c r="F537" s="235">
        <f>IFERROR((Таблица4[[#This Row],[ПП]]-Таблица4[[#This Row],[ДДУ]])*1,"")</f>
        <v>0</v>
      </c>
      <c r="G537" s="235" cm="1">
        <f t="array" ref="G537">IFERROR(INDEX(РД[Стоимость с отделкой итог],MATCH($B$3&amp;Таблица4[[#This Row],[№]]&amp;"Продажа",РД[Дом]&amp;РД[№ кв]&amp;РД[Состояние],0),1),Таблица4[[#This Row],[Статус]])</f>
        <v>5349001.7300000004</v>
      </c>
      <c r="H537" s="235">
        <f>_xlfn.XLOOKUP(Таблица4[[#This Row],[№]],Реестр_Д4[№],Реестр_Д4[Стоимость квартиры с отделкой],"-",0)</f>
        <v>5349001.7300000004</v>
      </c>
      <c r="I537" s="235">
        <f>IFERROR(Таблица4[[#This Row],[СО ПП]]-Таблица4[[#This Row],[СО ДДУ]],"")</f>
        <v>0</v>
      </c>
      <c r="J537" s="233" cm="1">
        <f t="array" ref="J537">IFERROR(INDEX(РД[S],MATCH($B$3&amp;Таблица4[[#This Row],[№]]&amp;"Продажа",РД[Дом]&amp;РД[№ кв]&amp;РД[Состояние],0),1),Таблица4[[#This Row],[Статус]])</f>
        <v>58.62</v>
      </c>
      <c r="K537" s="233">
        <f>VLOOKUP(Таблица4[[#This Row],[№]],Реестр_Д4[],20,0)</f>
        <v>58.62</v>
      </c>
      <c r="L537" s="235">
        <f>IFERROR(Таблица4[[#This Row],[S ПП]]-Таблица4[[#This Row],[S ДДУ]],)</f>
        <v>0</v>
      </c>
      <c r="M537" s="235">
        <f>ROUND(_xlfn.XLOOKUP(Таблица4[[#This Row],[№]],Реестр_Д4[№],Реестр_Д4[Итоговая сумма скидки],"",0),2)</f>
        <v>0</v>
      </c>
      <c r="N537" s="235" cm="1">
        <f t="array" ref="N537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37" s="235">
        <f>IFERROR(Таблица4[[#This Row],[ППС]]-Таблица4[[#This Row],[ДДУС]],)</f>
        <v>0</v>
      </c>
      <c r="P537" s="611"/>
      <c r="Q537" s="234">
        <f>VLOOKUP(ППД5!A534,Реестр_Д5[№],1,0)</f>
        <v>533</v>
      </c>
      <c r="R537" s="234" t="str">
        <f>VLOOKUP(ППД5!CH534,Реестр_Д5[Статус],1,0)</f>
        <v>Свободно</v>
      </c>
      <c r="S537" s="612">
        <f>VLOOKUP(ППД5!BZ534,Реестр_Д5[Стоимость ОН без отделки со скидкой],1,0)</f>
        <v>4366100</v>
      </c>
      <c r="T537" s="612" t="str" cm="1">
        <f t="array" ref="T53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37" s="235">
        <f>IFERROR((Таблица10[[#This Row],[ПП]]-Таблица10[[#This Row],[ДДУ]])*1,)</f>
        <v>0</v>
      </c>
      <c r="V537" s="235" t="str" cm="1">
        <f t="array" ref="V53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37" s="235">
        <f>_xlfn.XLOOKUP(Таблица10[[#This Row],[№]],Реестр_Д5[№],Реестр_Д5[Стоимость квартиры с отделкой],"-",0)</f>
        <v>4366100</v>
      </c>
      <c r="X537" s="235" t="str">
        <f>IFERROR(Таблица10[[#This Row],[СО ПП]]-Таблица10[[#This Row],[СО ДДУ]],"")</f>
        <v/>
      </c>
      <c r="Y537" s="233" t="str" cm="1">
        <f t="array" ref="Y537">IFERROR(INDEX(РД[S],MATCH($Q$3&amp;Таблица10[[#This Row],[№]]&amp;"Продажа",РД[Дом]&amp;РД[№ кв]&amp;РД[Состояние],0),1),Таблица10[[#This Row],[Статус]])</f>
        <v>Свободно</v>
      </c>
      <c r="Z537" s="233">
        <f>IF(Таблица10[[#This Row],[№]]&amp;"ДДУ"=ППД5!A534&amp;ППД5!CR534,ППД5!U534,ППД5!V534)</f>
        <v>29.2</v>
      </c>
      <c r="AA537" s="285">
        <f>IFERROR(Таблица10[[#This Row],[S ПП]]-Таблица10[[#This Row],[S ДДУ]],)</f>
        <v>0</v>
      </c>
      <c r="AB537" s="235">
        <f>ROUND(_xlfn.XLOOKUP(Таблица10[[#This Row],[№]],Реестр_Д5[№],Реестр_Д5[Итоговая сумма скидки],"",0),2)</f>
        <v>0</v>
      </c>
      <c r="AC537" s="235" t="str" cm="1">
        <f t="array" ref="AC53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37" s="285">
        <f>IFERROR(Таблица10[[#This Row],[ППС]]-Таблица10[[#This Row],[ДДУС]],)</f>
        <v>0</v>
      </c>
      <c r="AE537" s="611"/>
      <c r="AT537" s="611"/>
    </row>
    <row r="538" spans="1:46" x14ac:dyDescent="0.2">
      <c r="A538" s="611"/>
      <c r="B538" s="234">
        <f>VLOOKUP(ППД4!A535,Реестр_Д4[№],1,0)</f>
        <v>534</v>
      </c>
      <c r="C538" s="234" t="str">
        <f>VLOOKUP(ППД4!CO535,Реестр_Д4[Статус],1,0)</f>
        <v>Свободно</v>
      </c>
      <c r="D538" s="612">
        <f>VLOOKUP(ППД4!CE535,Реестр_Д4[Стоимость ОН без отделки со скидкой],1,0)</f>
        <v>8251800</v>
      </c>
      <c r="E538" s="612" t="str" cm="1">
        <f t="array" ref="E538">IFERROR(INDEX(РД[Стоимость без отделки итог],MATCH($B$3&amp;Таблица4[[#This Row],[№]]&amp;"Продажа",РД[Дом]&amp;РД[№ кв]&amp;РД[Состояние],0),1),Таблица4[[#This Row],[Статус]])</f>
        <v>Свободно</v>
      </c>
      <c r="F538" s="235" t="str">
        <f>IFERROR((Таблица4[[#This Row],[ПП]]-Таблица4[[#This Row],[ДДУ]])*1,"")</f>
        <v/>
      </c>
      <c r="G538" s="235" t="str" cm="1">
        <f t="array" ref="G538">IFERROR(INDEX(РД[Стоимость с отделкой итог],MATCH($B$3&amp;Таблица4[[#This Row],[№]]&amp;"Продажа",РД[Дом]&amp;РД[№ кв]&amp;РД[Состояние],0),1),Таблица4[[#This Row],[Статус]])</f>
        <v>Свободно</v>
      </c>
      <c r="H538" s="235">
        <f>_xlfn.XLOOKUP(Таблица4[[#This Row],[№]],Реестр_Д4[№],Реестр_Д4[Стоимость квартиры с отделкой],"-",0)</f>
        <v>8251800</v>
      </c>
      <c r="I538" s="235" t="str">
        <f>IFERROR(Таблица4[[#This Row],[СО ПП]]-Таблица4[[#This Row],[СО ДДУ]],"")</f>
        <v/>
      </c>
      <c r="J538" s="233" t="str" cm="1">
        <f t="array" ref="J538">IFERROR(INDEX(РД[S],MATCH($B$3&amp;Таблица4[[#This Row],[№]]&amp;"Продажа",РД[Дом]&amp;РД[№ кв]&amp;РД[Состояние],0),1),Таблица4[[#This Row],[Статус]])</f>
        <v>Свободно</v>
      </c>
      <c r="K538" s="233">
        <f>VLOOKUP(Таблица4[[#This Row],[№]],Реестр_Д4[],21,0)</f>
        <v>69.100000000000009</v>
      </c>
      <c r="L538" s="235">
        <f>IFERROR(Таблица4[[#This Row],[S ПП]]-Таблица4[[#This Row],[S ДДУ]],)</f>
        <v>0</v>
      </c>
      <c r="M538" s="235">
        <f>ROUND(_xlfn.XLOOKUP(Таблица4[[#This Row],[№]],Реестр_Д4[№],Реестр_Д4[Итоговая сумма скидки],"",0),2)</f>
        <v>0</v>
      </c>
      <c r="N538" s="235" t="str" cm="1">
        <f t="array" ref="N538">IFERROR(ROUND(_xlfn.XLOOKUP($B$3&amp;Таблица4[[#This Row],[№]]&amp;"Продажа",РД[Дом]&amp;РД[№ кв]&amp;РД[Состояние],РД[Сумма скидки],"",0),2),Таблица4[[#This Row],[Статус]])</f>
        <v>Свободно</v>
      </c>
      <c r="O538" s="235">
        <f>IFERROR(Таблица4[[#This Row],[ППС]]-Таблица4[[#This Row],[ДДУС]],)</f>
        <v>0</v>
      </c>
      <c r="P538" s="611"/>
      <c r="Q538" s="234">
        <f>VLOOKUP(ППД5!A535,Реестр_Д5[№],1,0)</f>
        <v>534</v>
      </c>
      <c r="R538" s="234" t="str">
        <f>VLOOKUP(ППД5!CH535,Реестр_Д5[Статус],1,0)</f>
        <v>Продажа</v>
      </c>
      <c r="S538" s="612">
        <f>VLOOKUP(ППД5!BZ535,Реестр_Д5[Стоимость ОН без отделки со скидкой],1,0)</f>
        <v>4817300</v>
      </c>
      <c r="T538" s="612" cm="1">
        <f t="array" ref="T538">IFERROR(INDEX(РД[Стоимость без отделки итог],MATCH($Q$3&amp;Таблица10[[#This Row],[№]]&amp;"Продажа",РД[Дом]&amp;РД[№ кв]&amp;РД[Состояние],0),1),Таблица10[[#This Row],[Статус]])</f>
        <v>4817300</v>
      </c>
      <c r="U538" s="235">
        <f>IFERROR((Таблица10[[#This Row],[ПП]]-Таблица10[[#This Row],[ДДУ]])*1,)</f>
        <v>0</v>
      </c>
      <c r="V538" s="235" cm="1">
        <f t="array" ref="V538">IFERROR(INDEX(РД[Стоимость с отделкой итог],MATCH($Q$3&amp;Таблица10[[#This Row],[№]]&amp;"Продажа",РД[Дом]&amp;РД[№ кв]&amp;РД[Состояние],0),1),Таблица10[[#This Row],[Статус]])</f>
        <v>4817300</v>
      </c>
      <c r="W538" s="235">
        <f>_xlfn.XLOOKUP(Таблица10[[#This Row],[№]],Реестр_Д5[№],Реестр_Д5[Стоимость квартиры с отделкой],"-",0)</f>
        <v>4817300</v>
      </c>
      <c r="X538" s="235">
        <f>IFERROR(Таблица10[[#This Row],[СО ПП]]-Таблица10[[#This Row],[СО ДДУ]],"")</f>
        <v>0</v>
      </c>
      <c r="Y538" s="233" cm="1">
        <f t="array" ref="Y538">IFERROR(INDEX(РД[S],MATCH($Q$3&amp;Таблица10[[#This Row],[№]]&amp;"Продажа",РД[Дом]&amp;РД[№ кв]&amp;РД[Состояние],0),1),Таблица10[[#This Row],[Статус]])</f>
        <v>43.21</v>
      </c>
      <c r="Z538" s="233">
        <f>IF(Таблица10[[#This Row],[№]]&amp;"ДДУ"=ППД5!A535&amp;ППД5!CR535,ППД5!U535,ППД5!V535)</f>
        <v>43.21</v>
      </c>
      <c r="AA538" s="285">
        <f>IFERROR(Таблица10[[#This Row],[S ПП]]-Таблица10[[#This Row],[S ДДУ]],)</f>
        <v>0</v>
      </c>
      <c r="AB538" s="235">
        <f>ROUND(_xlfn.XLOOKUP(Таблица10[[#This Row],[№]],Реестр_Д5[№],Реестр_Д5[Итоговая сумма скидки],"",0),2)</f>
        <v>0</v>
      </c>
      <c r="AC538" s="235" cm="1">
        <f t="array" ref="AC538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38" s="285">
        <f>IFERROR(Таблица10[[#This Row],[ППС]]-Таблица10[[#This Row],[ДДУС]],)</f>
        <v>0</v>
      </c>
      <c r="AE538" s="611"/>
      <c r="AT538" s="611"/>
    </row>
    <row r="539" spans="1:46" x14ac:dyDescent="0.2">
      <c r="A539" s="611"/>
      <c r="B539" s="234">
        <f>VLOOKUP(ППД4!A536,Реестр_Д4[№],1,0)</f>
        <v>535</v>
      </c>
      <c r="C539" s="234" t="str">
        <f>VLOOKUP(ППД4!CO536,Реестр_Д4[Статус],1,0)</f>
        <v>Продажа</v>
      </c>
      <c r="D539" s="612">
        <f>VLOOKUP(ППД4!CE536,Реестр_Д4[Стоимость ОН без отделки со скидкой],1,0)</f>
        <v>6229049</v>
      </c>
      <c r="E539" s="612" cm="1">
        <f t="array" ref="E539">IFERROR(INDEX(РД[Стоимость без отделки итог],MATCH($B$3&amp;Таблица4[[#This Row],[№]]&amp;"Продажа",РД[Дом]&amp;РД[№ кв]&amp;РД[Состояние],0),1),Таблица4[[#This Row],[Статус]])</f>
        <v>6229049</v>
      </c>
      <c r="F539" s="235">
        <f>IFERROR((Таблица4[[#This Row],[ПП]]-Таблица4[[#This Row],[ДДУ]])*1,"")</f>
        <v>0</v>
      </c>
      <c r="G539" s="235" cm="1">
        <f t="array" ref="G539">IFERROR(INDEX(РД[Стоимость с отделкой итог],MATCH($B$3&amp;Таблица4[[#This Row],[№]]&amp;"Продажа",РД[Дом]&amp;РД[№ кв]&amp;РД[Состояние],0),1),Таблица4[[#This Row],[Статус]])</f>
        <v>7631329</v>
      </c>
      <c r="H539" s="235">
        <f>_xlfn.XLOOKUP(Таблица4[[#This Row],[№]],Реестр_Д4[№],Реестр_Д4[Стоимость квартиры с отделкой],"-",0)</f>
        <v>7631329</v>
      </c>
      <c r="I539" s="235">
        <f>IFERROR(Таблица4[[#This Row],[СО ПП]]-Таблица4[[#This Row],[СО ДДУ]],"")</f>
        <v>0</v>
      </c>
      <c r="J539" s="233" cm="1">
        <f t="array" ref="J539">IFERROR(INDEX(РД[S],MATCH($B$3&amp;Таблица4[[#This Row],[№]]&amp;"Продажа",РД[Дом]&amp;РД[№ кв]&amp;РД[Состояние],0),1),Таблица4[[#This Row],[Статус]])</f>
        <v>63.74</v>
      </c>
      <c r="K539" s="233">
        <f>VLOOKUP(Таблица4[[#This Row],[№]],Реестр_Д4[],20,0)</f>
        <v>63.74</v>
      </c>
      <c r="L539" s="235">
        <f>IFERROR(Таблица4[[#This Row],[S ПП]]-Таблица4[[#This Row],[S ДДУ]],)</f>
        <v>0</v>
      </c>
      <c r="M539" s="235">
        <f>ROUND(_xlfn.XLOOKUP(Таблица4[[#This Row],[№]],Реестр_Д4[№],Реестр_Д4[Итоговая сумма скидки],"",0),2)</f>
        <v>192651</v>
      </c>
      <c r="N539" s="235" cm="1">
        <f t="array" ref="N539">IFERROR(ROUND(_xlfn.XLOOKUP($B$3&amp;Таблица4[[#This Row],[№]]&amp;"Продажа",РД[Дом]&amp;РД[№ кв]&amp;РД[Состояние],РД[Сумма скидки],"",0),2),Таблица4[[#This Row],[Статус]])</f>
        <v>192651</v>
      </c>
      <c r="O539" s="235">
        <f>IFERROR(Таблица4[[#This Row],[ППС]]-Таблица4[[#This Row],[ДДУС]],)</f>
        <v>0</v>
      </c>
      <c r="P539" s="611"/>
      <c r="Q539" s="234">
        <f>VLOOKUP(ППД5!A536,Реестр_Д5[№],1,0)</f>
        <v>535</v>
      </c>
      <c r="R539" s="234" t="str">
        <f>VLOOKUP(ППД5!CH536,Реестр_Д5[Статус],1,0)</f>
        <v>Свободно</v>
      </c>
      <c r="S539" s="612">
        <f>VLOOKUP(ППД5!BZ536,Реестр_Д5[Стоимость ОН без отделки со скидкой],1,0)</f>
        <v>3739200</v>
      </c>
      <c r="T539" s="612" t="str" cm="1">
        <f t="array" ref="T53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39" s="235">
        <f>IFERROR((Таблица10[[#This Row],[ПП]]-Таблица10[[#This Row],[ДДУ]])*1,)</f>
        <v>0</v>
      </c>
      <c r="V539" s="235" t="str" cm="1">
        <f t="array" ref="V53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39" s="235">
        <f>_xlfn.XLOOKUP(Таблица10[[#This Row],[№]],Реестр_Д5[№],Реестр_Д5[Стоимость квартиры с отделкой],"-",0)</f>
        <v>3739199.9999999991</v>
      </c>
      <c r="X539" s="235" t="str">
        <f>IFERROR(Таблица10[[#This Row],[СО ПП]]-Таблица10[[#This Row],[СО ДДУ]],"")</f>
        <v/>
      </c>
      <c r="Y539" s="233" t="str" cm="1">
        <f t="array" ref="Y539">IFERROR(INDEX(РД[S],MATCH($Q$3&amp;Таблица10[[#This Row],[№]]&amp;"Продажа",РД[Дом]&amp;РД[№ кв]&amp;РД[Состояние],0),1),Таблица10[[#This Row],[Статус]])</f>
        <v>Свободно</v>
      </c>
      <c r="Z539" s="233">
        <f>IF(Таблица10[[#This Row],[№]]&amp;"ДДУ"=ППД5!A536&amp;ППД5!CR536,ППД5!U536,ППД5!V536)</f>
        <v>24.2</v>
      </c>
      <c r="AA539" s="285">
        <f>IFERROR(Таблица10[[#This Row],[S ПП]]-Таблица10[[#This Row],[S ДДУ]],)</f>
        <v>0</v>
      </c>
      <c r="AB539" s="235">
        <f>ROUND(_xlfn.XLOOKUP(Таблица10[[#This Row],[№]],Реестр_Д5[№],Реестр_Д5[Итоговая сумма скидки],"",0),2)</f>
        <v>0</v>
      </c>
      <c r="AC539" s="235" t="str" cm="1">
        <f t="array" ref="AC53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39" s="285">
        <f>IFERROR(Таблица10[[#This Row],[ППС]]-Таблица10[[#This Row],[ДДУС]],)</f>
        <v>0</v>
      </c>
      <c r="AE539" s="611"/>
      <c r="AT539" s="611"/>
    </row>
    <row r="540" spans="1:46" x14ac:dyDescent="0.2">
      <c r="A540" s="611"/>
      <c r="B540" s="234">
        <f>VLOOKUP(ППД4!A537,Реестр_Д4[№],1,0)</f>
        <v>536</v>
      </c>
      <c r="C540" s="234" t="str">
        <f>VLOOKUP(ППД4!CO537,Реестр_Д4[Статус],1,0)</f>
        <v>Продажа</v>
      </c>
      <c r="D540" s="612">
        <f>VLOOKUP(ППД4!CE537,Реестр_Д4[Стоимость ОН без отделки со скидкой],1,0)</f>
        <v>3968266.89</v>
      </c>
      <c r="E540" s="612" cm="1">
        <f t="array" ref="E540">IFERROR(INDEX(РД[Стоимость без отделки итог],MATCH($B$3&amp;Таблица4[[#This Row],[№]]&amp;"Продажа",РД[Дом]&amp;РД[№ кв]&amp;РД[Состояние],0),1),Таблица4[[#This Row],[Статус]])</f>
        <v>3968266.89</v>
      </c>
      <c r="F540" s="235">
        <f>IFERROR((Таблица4[[#This Row],[ПП]]-Таблица4[[#This Row],[ДДУ]])*1,"")</f>
        <v>0</v>
      </c>
      <c r="G540" s="235" cm="1">
        <f t="array" ref="G540">IFERROR(INDEX(РД[Стоимость с отделкой итог],MATCH($B$3&amp;Таблица4[[#This Row],[№]]&amp;"Продажа",РД[Дом]&amp;РД[№ кв]&amp;РД[Состояние],0),1),Таблица4[[#This Row],[Статус]])</f>
        <v>4145746.89</v>
      </c>
      <c r="H540" s="235">
        <f>_xlfn.XLOOKUP(Таблица4[[#This Row],[№]],Реестр_Д4[№],Реестр_Д4[Стоимость квартиры с отделкой],"-",0)</f>
        <v>4145746.89</v>
      </c>
      <c r="I540" s="235">
        <f>IFERROR(Таблица4[[#This Row],[СО ПП]]-Таблица4[[#This Row],[СО ДДУ]],"")</f>
        <v>0</v>
      </c>
      <c r="J540" s="233" cm="1">
        <f t="array" ref="J540">IFERROR(INDEX(РД[S],MATCH($B$3&amp;Таблица4[[#This Row],[№]]&amp;"Продажа",РД[Дом]&amp;РД[№ кв]&amp;РД[Состояние],0),1),Таблица4[[#This Row],[Статус]])</f>
        <v>44.37</v>
      </c>
      <c r="K540" s="233">
        <f>VLOOKUP(Таблица4[[#This Row],[№]],Реестр_Д4[],20,0)</f>
        <v>44.37</v>
      </c>
      <c r="L540" s="235">
        <f>IFERROR(Таблица4[[#This Row],[S ПП]]-Таблица4[[#This Row],[S ДДУ]],)</f>
        <v>0</v>
      </c>
      <c r="M540" s="235">
        <f>ROUND(_xlfn.XLOOKUP(Таблица4[[#This Row],[№]],Реестр_Д4[№],Реестр_Д4[Итоговая сумма скидки],"",0),2)</f>
        <v>0</v>
      </c>
      <c r="N540" s="235" cm="1">
        <f t="array" ref="N540">IFERROR(ROUND(_xlfn.XLOOKUP($B$3&amp;Таблица4[[#This Row],[№]]&amp;"Продажа",РД[Дом]&amp;РД[№ кв]&amp;РД[Состояние],РД[Сумма скидки],"",0),2),Таблица4[[#This Row],[Статус]])</f>
        <v>0</v>
      </c>
      <c r="O540" s="235">
        <f>IFERROR(Таблица4[[#This Row],[ППС]]-Таблица4[[#This Row],[ДДУС]],)</f>
        <v>0</v>
      </c>
      <c r="P540" s="611"/>
      <c r="Q540" s="234">
        <f>VLOOKUP(ППД5!A537,Реестр_Д5[№],1,0)</f>
        <v>536</v>
      </c>
      <c r="R540" s="234" t="str">
        <f>VLOOKUP(ППД5!CH537,Реестр_Д5[Статус],1,0)</f>
        <v>Свободно</v>
      </c>
      <c r="S540" s="612">
        <f>VLOOKUP(ППД5!BZ537,Реестр_Д5[Стоимость ОН без отделки со скидкой],1,0)</f>
        <v>7616900</v>
      </c>
      <c r="T540" s="612" t="str" cm="1">
        <f t="array" ref="T54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0" s="235">
        <f>IFERROR((Таблица10[[#This Row],[ПП]]-Таблица10[[#This Row],[ДДУ]])*1,)</f>
        <v>0</v>
      </c>
      <c r="V540" s="235" t="str" cm="1">
        <f t="array" ref="V54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0" s="235">
        <f>_xlfn.XLOOKUP(Таблица10[[#This Row],[№]],Реестр_Д5[№],Реестр_Д5[Стоимость квартиры с отделкой],"-",0)</f>
        <v>7616900</v>
      </c>
      <c r="X540" s="235" t="str">
        <f>IFERROR(Таблица10[[#This Row],[СО ПП]]-Таблица10[[#This Row],[СО ДДУ]],"")</f>
        <v/>
      </c>
      <c r="Y540" s="233" t="str" cm="1">
        <f t="array" ref="Y540">IFERROR(INDEX(РД[S],MATCH($Q$3&amp;Таблица10[[#This Row],[№]]&amp;"Продажа",РД[Дом]&amp;РД[№ кв]&amp;РД[Состояние],0),1),Таблица10[[#This Row],[Статус]])</f>
        <v>Свободно</v>
      </c>
      <c r="Z540" s="233">
        <f>IF(Таблица10[[#This Row],[№]]&amp;"ДДУ"=ППД5!A537&amp;ППД5!CR537,ППД5!U537,ППД5!V537)</f>
        <v>58.3</v>
      </c>
      <c r="AA540" s="285">
        <f>IFERROR(Таблица10[[#This Row],[S ПП]]-Таблица10[[#This Row],[S ДДУ]],)</f>
        <v>0</v>
      </c>
      <c r="AB540" s="235">
        <f>ROUND(_xlfn.XLOOKUP(Таблица10[[#This Row],[№]],Реестр_Д5[№],Реестр_Д5[Итоговая сумма скидки],"",0),2)</f>
        <v>0</v>
      </c>
      <c r="AC540" s="235" t="str" cm="1">
        <f t="array" ref="AC54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0" s="285">
        <f>IFERROR(Таблица10[[#This Row],[ППС]]-Таблица10[[#This Row],[ДДУС]],)</f>
        <v>0</v>
      </c>
      <c r="AE540" s="611"/>
      <c r="AT540" s="611"/>
    </row>
    <row r="541" spans="1:46" x14ac:dyDescent="0.2">
      <c r="A541" s="611"/>
      <c r="P541" s="611"/>
      <c r="Q541" s="234">
        <f>VLOOKUP(ППД5!A538,Реестр_Д5[№],1,0)</f>
        <v>537</v>
      </c>
      <c r="R541" s="234" t="str">
        <f>VLOOKUP(ППД5!CH538,Реестр_Д5[Статус],1,0)</f>
        <v>Свободно</v>
      </c>
      <c r="S541" s="612">
        <f>VLOOKUP(ППД5!BZ538,Реестр_Д5[Стоимость ОН без отделки со скидкой],1,0)</f>
        <v>7527400</v>
      </c>
      <c r="T541" s="612" t="str" cm="1">
        <f t="array" ref="T54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1" s="235">
        <f>IFERROR((Таблица10[[#This Row],[ПП]]-Таблица10[[#This Row],[ДДУ]])*1,)</f>
        <v>0</v>
      </c>
      <c r="V541" s="235" t="str" cm="1">
        <f t="array" ref="V54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1" s="235">
        <f>_xlfn.XLOOKUP(Таблица10[[#This Row],[№]],Реестр_Д5[№],Реестр_Д5[Стоимость квартиры с отделкой],"-",0)</f>
        <v>8103400</v>
      </c>
      <c r="X541" s="235" t="str">
        <f>IFERROR(Таблица10[[#This Row],[СО ПП]]-Таблица10[[#This Row],[СО ДДУ]],"")</f>
        <v/>
      </c>
      <c r="Y541" s="233" t="str" cm="1">
        <f t="array" ref="Y541">IFERROR(INDEX(РД[S],MATCH($Q$3&amp;Таблица10[[#This Row],[№]]&amp;"Продажа",РД[Дом]&amp;РД[№ кв]&amp;РД[Состояние],0),1),Таблица10[[#This Row],[Статус]])</f>
        <v>Свободно</v>
      </c>
      <c r="Z541" s="233">
        <f>IF(Таблица10[[#This Row],[№]]&amp;"ДДУ"=ППД5!A538&amp;ППД5!CR538,ППД5!U538,ППД5!V538)</f>
        <v>57.6</v>
      </c>
      <c r="AA541" s="285">
        <f>IFERROR(Таблица10[[#This Row],[S ПП]]-Таблица10[[#This Row],[S ДДУ]],)</f>
        <v>0</v>
      </c>
      <c r="AB541" s="235">
        <f>ROUND(_xlfn.XLOOKUP(Таблица10[[#This Row],[№]],Реестр_Д5[№],Реестр_Д5[Итоговая сумма скидки],"",0),2)</f>
        <v>0</v>
      </c>
      <c r="AC541" s="235" t="str" cm="1">
        <f t="array" ref="AC54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1" s="285">
        <f>IFERROR(Таблица10[[#This Row],[ППС]]-Таблица10[[#This Row],[ДДУС]],)</f>
        <v>0</v>
      </c>
      <c r="AE541" s="611"/>
      <c r="AT541" s="611"/>
    </row>
    <row r="542" spans="1:46" x14ac:dyDescent="0.2">
      <c r="A542" s="611"/>
      <c r="P542" s="611"/>
      <c r="Q542" s="234">
        <f>VLOOKUP(ППД5!A539,Реестр_Д5[№],1,0)</f>
        <v>538</v>
      </c>
      <c r="R542" s="234" t="str">
        <f>VLOOKUP(ППД5!CH539,Реестр_Д5[Статус],1,0)</f>
        <v>Свободно</v>
      </c>
      <c r="S542" s="612">
        <f>VLOOKUP(ППД5!BZ539,Реестр_Д5[Стоимость ОН без отделки со скидкой],1,0)</f>
        <v>5634100</v>
      </c>
      <c r="T542" s="612" t="str" cm="1">
        <f t="array" ref="T54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2" s="235">
        <f>IFERROR((Таблица10[[#This Row],[ПП]]-Таблица10[[#This Row],[ДДУ]])*1,)</f>
        <v>0</v>
      </c>
      <c r="V542" s="235" t="str" cm="1">
        <f t="array" ref="V54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2" s="235">
        <f>_xlfn.XLOOKUP(Таблица10[[#This Row],[№]],Реестр_Д5[№],Реестр_Д5[Стоимость квартиры с отделкой],"-",0)</f>
        <v>5634100</v>
      </c>
      <c r="X542" s="235" t="str">
        <f>IFERROR(Таблица10[[#This Row],[СО ПП]]-Таблица10[[#This Row],[СО ДДУ]],"")</f>
        <v/>
      </c>
      <c r="Y542" s="233" t="str" cm="1">
        <f t="array" ref="Y542">IFERROR(INDEX(РД[S],MATCH($Q$3&amp;Таблица10[[#This Row],[№]]&amp;"Продажа",РД[Дом]&amp;РД[№ кв]&amp;РД[Состояние],0),1),Таблица10[[#This Row],[Статус]])</f>
        <v>Свободно</v>
      </c>
      <c r="Z542" s="233">
        <f>IF(Таблица10[[#This Row],[№]]&amp;"ДДУ"=ППД5!A539&amp;ППД5!CR539,ППД5!U539,ППД5!V539)</f>
        <v>37.950000000000003</v>
      </c>
      <c r="AA542" s="285">
        <f>IFERROR(Таблица10[[#This Row],[S ПП]]-Таблица10[[#This Row],[S ДДУ]],)</f>
        <v>0</v>
      </c>
      <c r="AB542" s="235">
        <f>ROUND(_xlfn.XLOOKUP(Таблица10[[#This Row],[№]],Реестр_Д5[№],Реестр_Д5[Итоговая сумма скидки],"",0),2)</f>
        <v>0</v>
      </c>
      <c r="AC542" s="235" t="str" cm="1">
        <f t="array" ref="AC54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2" s="285">
        <f>IFERROR(Таблица10[[#This Row],[ППС]]-Таблица10[[#This Row],[ДДУС]],)</f>
        <v>0</v>
      </c>
      <c r="AE542" s="611"/>
      <c r="AT542" s="611"/>
    </row>
    <row r="543" spans="1:46" x14ac:dyDescent="0.2">
      <c r="A543" s="611"/>
      <c r="P543" s="611"/>
      <c r="Q543" s="234">
        <f>VLOOKUP(ППД5!A540,Реестр_Д5[№],1,0)</f>
        <v>539</v>
      </c>
      <c r="R543" s="234" t="str">
        <f>VLOOKUP(ППД5!CH540,Реестр_Д5[Статус],1,0)</f>
        <v>Свободно</v>
      </c>
      <c r="S543" s="612">
        <f>VLOOKUP(ППД5!BZ540,Реестр_Д5[Стоимость ОН без отделки со скидкой],1,0)</f>
        <v>10359300</v>
      </c>
      <c r="T543" s="612" t="str" cm="1">
        <f t="array" ref="T54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3" s="235">
        <f>IFERROR((Таблица10[[#This Row],[ПП]]-Таблица10[[#This Row],[ДДУ]])*1,)</f>
        <v>0</v>
      </c>
      <c r="V543" s="235" t="str" cm="1">
        <f t="array" ref="V54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3" s="235">
        <f>_xlfn.XLOOKUP(Таблица10[[#This Row],[№]],Реестр_Д5[№],Реестр_Д5[Стоимость квартиры с отделкой],"-",0)</f>
        <v>10359300</v>
      </c>
      <c r="X543" s="235" t="str">
        <f>IFERROR(Таблица10[[#This Row],[СО ПП]]-Таблица10[[#This Row],[СО ДДУ]],"")</f>
        <v/>
      </c>
      <c r="Y543" s="233" t="str" cm="1">
        <f t="array" ref="Y543">IFERROR(INDEX(РД[S],MATCH($Q$3&amp;Таблица10[[#This Row],[№]]&amp;"Продажа",РД[Дом]&amp;РД[№ кв]&amp;РД[Состояние],0),1),Таблица10[[#This Row],[Статус]])</f>
        <v>Свободно</v>
      </c>
      <c r="Z543" s="233">
        <f>IF(Таблица10[[#This Row],[№]]&amp;"ДДУ"=ППД5!A540&amp;ППД5!CR540,ППД5!U540,ППД5!V540)</f>
        <v>78.749999999999986</v>
      </c>
      <c r="AA543" s="285">
        <f>IFERROR(Таблица10[[#This Row],[S ПП]]-Таблица10[[#This Row],[S ДДУ]],)</f>
        <v>0</v>
      </c>
      <c r="AB543" s="235">
        <f>ROUND(_xlfn.XLOOKUP(Таблица10[[#This Row],[№]],Реестр_Д5[№],Реестр_Д5[Итоговая сумма скидки],"",0),2)</f>
        <v>0</v>
      </c>
      <c r="AC543" s="235" t="str" cm="1">
        <f t="array" ref="AC54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3" s="285">
        <f>IFERROR(Таблица10[[#This Row],[ППС]]-Таблица10[[#This Row],[ДДУС]],)</f>
        <v>0</v>
      </c>
      <c r="AE543" s="611"/>
      <c r="AT543" s="611"/>
    </row>
    <row r="544" spans="1:46" x14ac:dyDescent="0.2">
      <c r="A544" s="611"/>
      <c r="P544" s="611"/>
      <c r="Q544" s="234">
        <f>VLOOKUP(ППД5!A541,Реестр_Д5[№],1,0)</f>
        <v>540</v>
      </c>
      <c r="R544" s="234" t="str">
        <f>VLOOKUP(ППД5!CH541,Реестр_Д5[Статус],1,0)</f>
        <v>Продажа</v>
      </c>
      <c r="S544" s="612">
        <f>VLOOKUP(ППД5!BZ541,Реестр_Д5[Стоимость ОН без отделки со скидкой],1,0)</f>
        <v>4812500</v>
      </c>
      <c r="T544" s="612" cm="1">
        <f t="array" ref="T544">IFERROR(INDEX(РД[Стоимость без отделки итог],MATCH($Q$3&amp;Таблица10[[#This Row],[№]]&amp;"Продажа",РД[Дом]&amp;РД[№ кв]&amp;РД[Состояние],0),1),Таблица10[[#This Row],[Статус]])</f>
        <v>4812500</v>
      </c>
      <c r="U544" s="235">
        <f>IFERROR((Таблица10[[#This Row],[ПП]]-Таблица10[[#This Row],[ДДУ]])*1,)</f>
        <v>0</v>
      </c>
      <c r="V544" s="235" cm="1">
        <f t="array" ref="V544">IFERROR(INDEX(РД[Стоимость с отделкой итог],MATCH($Q$3&amp;Таблица10[[#This Row],[№]]&amp;"Продажа",РД[Дом]&amp;РД[№ кв]&amp;РД[Состояние],0),1),Таблица10[[#This Row],[Статус]])</f>
        <v>5765060</v>
      </c>
      <c r="W544" s="235">
        <f>_xlfn.XLOOKUP(Таблица10[[#This Row],[№]],Реестр_Д5[№],Реестр_Д5[Стоимость квартиры с отделкой],"-",0)</f>
        <v>5765060</v>
      </c>
      <c r="X544" s="235">
        <f>IFERROR(Таблица10[[#This Row],[СО ПП]]-Таблица10[[#This Row],[СО ДДУ]],"")</f>
        <v>0</v>
      </c>
      <c r="Y544" s="233" cm="1">
        <f t="array" ref="Y544">IFERROR(INDEX(РД[S],MATCH($Q$3&amp;Таблица10[[#This Row],[№]]&amp;"Продажа",РД[Дом]&amp;РД[№ кв]&amp;РД[Состояние],0),1),Таблица10[[#This Row],[Статус]])</f>
        <v>39.69</v>
      </c>
      <c r="Z544" s="233">
        <f>IF(Таблица10[[#This Row],[№]]&amp;"ДДУ"=ППД5!A541&amp;ППД5!CR541,ППД5!U541,ППД5!V541)</f>
        <v>39.69</v>
      </c>
      <c r="AA544" s="285">
        <f>IFERROR(Таблица10[[#This Row],[S ПП]]-Таблица10[[#This Row],[S ДДУ]],)</f>
        <v>0</v>
      </c>
      <c r="AB544" s="235">
        <f>ROUND(_xlfn.XLOOKUP(Таблица10[[#This Row],[№]],Реестр_Д5[№],Реестр_Д5[Итоговая сумма скидки],"",0),2)</f>
        <v>0</v>
      </c>
      <c r="AC544" s="235" cm="1">
        <f t="array" ref="AC544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44" s="285">
        <f>IFERROR(Таблица10[[#This Row],[ППС]]-Таблица10[[#This Row],[ДДУС]],)</f>
        <v>0</v>
      </c>
      <c r="AE544" s="611"/>
      <c r="AT544" s="611"/>
    </row>
    <row r="545" spans="1:46" x14ac:dyDescent="0.2">
      <c r="A545" s="611"/>
      <c r="P545" s="611"/>
      <c r="Q545" s="234">
        <f>VLOOKUP(ППД5!A542,Реестр_Д5[№],1,0)</f>
        <v>541</v>
      </c>
      <c r="R545" s="234" t="str">
        <f>VLOOKUP(ППД5!CH542,Реестр_Д5[Статус],1,0)</f>
        <v>Продажа</v>
      </c>
      <c r="S545" s="612">
        <f>VLOOKUP(ППД5!BZ542,Реестр_Д5[Стоимость ОН без отделки со скидкой],1,0)</f>
        <v>3739800</v>
      </c>
      <c r="T545" s="612" cm="1">
        <f t="array" ref="T545">IFERROR(INDEX(РД[Стоимость без отделки итог],MATCH($Q$3&amp;Таблица10[[#This Row],[№]]&amp;"Продажа",РД[Дом]&amp;РД[№ кв]&amp;РД[Состояние],0),1),Таблица10[[#This Row],[Статус]])</f>
        <v>3739800</v>
      </c>
      <c r="U545" s="235">
        <f>IFERROR((Таблица10[[#This Row],[ПП]]-Таблица10[[#This Row],[ДДУ]])*1,)</f>
        <v>0</v>
      </c>
      <c r="V545" s="235" cm="1">
        <f t="array" ref="V545">IFERROR(INDEX(РД[Стоимость с отделкой итог],MATCH($Q$3&amp;Таблица10[[#This Row],[№]]&amp;"Продажа",РД[Дом]&amp;РД[№ кв]&amp;РД[Состояние],0),1),Таблица10[[#This Row],[Статус]])</f>
        <v>3975000</v>
      </c>
      <c r="W545" s="235">
        <f>_xlfn.XLOOKUP(Таблица10[[#This Row],[№]],Реестр_Д5[№],Реестр_Д5[Стоимость квартиры с отделкой],"-",0)</f>
        <v>3975000.0000000009</v>
      </c>
      <c r="X545" s="235">
        <f>IFERROR(Таблица10[[#This Row],[СО ПП]]-Таблица10[[#This Row],[СО ДДУ]],"")</f>
        <v>9.3132257461547852E-10</v>
      </c>
      <c r="Y545" s="233" cm="1">
        <f t="array" ref="Y545">IFERROR(INDEX(РД[S],MATCH($Q$3&amp;Таблица10[[#This Row],[№]]&amp;"Продажа",РД[Дом]&amp;РД[№ кв]&amp;РД[Состояние],0),1),Таблица10[[#This Row],[Статус]])</f>
        <v>29.4</v>
      </c>
      <c r="Z545" s="233">
        <f>IF(Таблица10[[#This Row],[№]]&amp;"ДДУ"=ППД5!A542&amp;ППД5!CR542,ППД5!U542,ППД5!V542)</f>
        <v>29.4</v>
      </c>
      <c r="AA545" s="285">
        <f>IFERROR(Таблица10[[#This Row],[S ПП]]-Таблица10[[#This Row],[S ДДУ]],)</f>
        <v>0</v>
      </c>
      <c r="AB545" s="235">
        <f>ROUND(_xlfn.XLOOKUP(Таблица10[[#This Row],[№]],Реестр_Д5[№],Реестр_Д5[Итоговая сумма скидки],"",0),2)</f>
        <v>0</v>
      </c>
      <c r="AC545" s="235" cm="1">
        <f t="array" ref="AC545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45" s="285">
        <f>IFERROR(Таблица10[[#This Row],[ППС]]-Таблица10[[#This Row],[ДДУС]],)</f>
        <v>0</v>
      </c>
      <c r="AE545" s="611"/>
      <c r="AT545" s="611"/>
    </row>
    <row r="546" spans="1:46" x14ac:dyDescent="0.2">
      <c r="A546" s="611"/>
      <c r="P546" s="611"/>
      <c r="Q546" s="234">
        <f>VLOOKUP(ППД5!A543,Реестр_Д5[№],1,0)</f>
        <v>542</v>
      </c>
      <c r="R546" s="234" t="str">
        <f>VLOOKUP(ППД5!CH543,Реестр_Д5[Статус],1,0)</f>
        <v>Продажа</v>
      </c>
      <c r="S546" s="612">
        <f>VLOOKUP(ППД5!BZ543,Реестр_Д5[Стоимость ОН без отделки со скидкой],1,0)</f>
        <v>5772000</v>
      </c>
      <c r="T546" s="612" cm="1">
        <f t="array" ref="T546">IFERROR(INDEX(РД[Стоимость без отделки итог],MATCH($Q$3&amp;Таблица10[[#This Row],[№]]&amp;"Продажа",РД[Дом]&amp;РД[№ кв]&amp;РД[Состояние],0),1),Таблица10[[#This Row],[Статус]])</f>
        <v>5772000</v>
      </c>
      <c r="U546" s="235">
        <f>IFERROR((Таблица10[[#This Row],[ПП]]-Таблица10[[#This Row],[ДДУ]])*1,)</f>
        <v>0</v>
      </c>
      <c r="V546" s="235" cm="1">
        <f t="array" ref="V546">IFERROR(INDEX(РД[Стоимость с отделкой итог],MATCH($Q$3&amp;Таблица10[[#This Row],[№]]&amp;"Продажа",РД[Дом]&amp;РД[№ кв]&amp;РД[Состояние],0),1),Таблица10[[#This Row],[Статус]])</f>
        <v>5772000</v>
      </c>
      <c r="W546" s="235">
        <f>_xlfn.XLOOKUP(Таблица10[[#This Row],[№]],Реестр_Д5[№],Реестр_Д5[Стоимость квартиры с отделкой],"-",0)</f>
        <v>5771999.9999999991</v>
      </c>
      <c r="X546" s="235">
        <f>IFERROR(Таблица10[[#This Row],[СО ПП]]-Таблица10[[#This Row],[СО ДДУ]],"")</f>
        <v>-9.3132257461547852E-10</v>
      </c>
      <c r="Y546" s="233" cm="1">
        <f t="array" ref="Y546">IFERROR(INDEX(РД[S],MATCH($Q$3&amp;Таблица10[[#This Row],[№]]&amp;"Продажа",РД[Дом]&amp;РД[№ кв]&amp;РД[Состояние],0),1),Таблица10[[#This Row],[Статус]])</f>
        <v>43.21</v>
      </c>
      <c r="Z546" s="233">
        <f>IF(Таблица10[[#This Row],[№]]&amp;"ДДУ"=ППД5!A543&amp;ППД5!CR543,ППД5!U543,ППД5!V543)</f>
        <v>43.21</v>
      </c>
      <c r="AA546" s="285">
        <f>IFERROR(Таблица10[[#This Row],[S ПП]]-Таблица10[[#This Row],[S ДДУ]],)</f>
        <v>0</v>
      </c>
      <c r="AB546" s="235">
        <f>ROUND(_xlfn.XLOOKUP(Таблица10[[#This Row],[№]],Реестр_Д5[№],Реестр_Д5[Итоговая сумма скидки],"",0),2)</f>
        <v>525600</v>
      </c>
      <c r="AC546" s="235" cm="1">
        <f t="array" ref="AC546">IFERROR(ROUND(_xlfn.XLOOKUP($Q$3&amp;Таблица10[[#This Row],[№]]&amp;"Продажа",РД[Дом]&amp;РД[№ кв]&amp;РД[Состояние],РД[Сумма скидки],"",0,-1),2),Таблица10[[#This Row],[Статус]])</f>
        <v>525600</v>
      </c>
      <c r="AD546" s="285">
        <f>IFERROR(Таблица10[[#This Row],[ППС]]-Таблица10[[#This Row],[ДДУС]],)</f>
        <v>0</v>
      </c>
      <c r="AE546" s="611"/>
      <c r="AT546" s="611"/>
    </row>
    <row r="547" spans="1:46" x14ac:dyDescent="0.2">
      <c r="A547" s="611"/>
      <c r="P547" s="611"/>
      <c r="Q547" s="234">
        <f>VLOOKUP(ППД5!A544,Реестр_Д5[№],1,0)</f>
        <v>543</v>
      </c>
      <c r="R547" s="234" t="str">
        <f>VLOOKUP(ППД5!CH544,Реестр_Д5[Статус],1,0)</f>
        <v>Свободно</v>
      </c>
      <c r="S547" s="612">
        <f>VLOOKUP(ППД5!BZ544,Реестр_Д5[Стоимость ОН без отделки со скидкой],1,0)</f>
        <v>3777800</v>
      </c>
      <c r="T547" s="612" t="str" cm="1">
        <f t="array" ref="T54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7" s="235">
        <f>IFERROR((Таблица10[[#This Row],[ПП]]-Таблица10[[#This Row],[ДДУ]])*1,)</f>
        <v>0</v>
      </c>
      <c r="V547" s="235" t="str" cm="1">
        <f t="array" ref="V54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7" s="235">
        <f>_xlfn.XLOOKUP(Таблица10[[#This Row],[№]],Реестр_Д5[№],Реестр_Д5[Стоимость квартиры с отделкой],"-",0)</f>
        <v>3777800</v>
      </c>
      <c r="X547" s="235" t="str">
        <f>IFERROR(Таблица10[[#This Row],[СО ПП]]-Таблица10[[#This Row],[СО ДДУ]],"")</f>
        <v/>
      </c>
      <c r="Y547" s="233" t="str" cm="1">
        <f t="array" ref="Y547">IFERROR(INDEX(РД[S],MATCH($Q$3&amp;Таблица10[[#This Row],[№]]&amp;"Продажа",РД[Дом]&amp;РД[№ кв]&amp;РД[Состояние],0),1),Таблица10[[#This Row],[Статус]])</f>
        <v>Свободно</v>
      </c>
      <c r="Z547" s="233">
        <f>IF(Таблица10[[#This Row],[№]]&amp;"ДДУ"=ППД5!A544&amp;ППД5!CR544,ППД5!U544,ППД5!V544)</f>
        <v>24.45</v>
      </c>
      <c r="AA547" s="285">
        <f>IFERROR(Таблица10[[#This Row],[S ПП]]-Таблица10[[#This Row],[S ДДУ]],)</f>
        <v>0</v>
      </c>
      <c r="AB547" s="235">
        <f>ROUND(_xlfn.XLOOKUP(Таблица10[[#This Row],[№]],Реестр_Д5[№],Реестр_Д5[Итоговая сумма скидки],"",0),2)</f>
        <v>0</v>
      </c>
      <c r="AC547" s="235" t="str" cm="1">
        <f t="array" ref="AC54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7" s="285">
        <f>IFERROR(Таблица10[[#This Row],[ППС]]-Таблица10[[#This Row],[ДДУС]],)</f>
        <v>0</v>
      </c>
      <c r="AE547" s="611"/>
      <c r="AT547" s="611"/>
    </row>
    <row r="548" spans="1:46" x14ac:dyDescent="0.2">
      <c r="A548" s="611"/>
      <c r="P548" s="611"/>
      <c r="Q548" s="234">
        <f>VLOOKUP(ППД5!A545,Реестр_Д5[№],1,0)</f>
        <v>544</v>
      </c>
      <c r="R548" s="234" t="str">
        <f>VLOOKUP(ППД5!CH545,Реестр_Д5[Статус],1,0)</f>
        <v>Свободно</v>
      </c>
      <c r="S548" s="612">
        <f>VLOOKUP(ППД5!BZ545,Реестр_Д5[Стоимость ОН без отделки со скидкой],1,0)</f>
        <v>7597300</v>
      </c>
      <c r="T548" s="612" t="str" cm="1">
        <f t="array" ref="T54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8" s="235">
        <f>IFERROR((Таблица10[[#This Row],[ПП]]-Таблица10[[#This Row],[ДДУ]])*1,)</f>
        <v>0</v>
      </c>
      <c r="V548" s="235" t="str" cm="1">
        <f t="array" ref="V54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8" s="235">
        <f>_xlfn.XLOOKUP(Таблица10[[#This Row],[№]],Реестр_Д5[№],Реестр_Д5[Стоимость квартиры с отделкой],"-",0)</f>
        <v>8178800</v>
      </c>
      <c r="X548" s="235" t="str">
        <f>IFERROR(Таблица10[[#This Row],[СО ПП]]-Таблица10[[#This Row],[СО ДДУ]],"")</f>
        <v/>
      </c>
      <c r="Y548" s="233" t="str" cm="1">
        <f t="array" ref="Y548">IFERROR(INDEX(РД[S],MATCH($Q$3&amp;Таблица10[[#This Row],[№]]&amp;"Продажа",РД[Дом]&amp;РД[№ кв]&amp;РД[Состояние],0),1),Таблица10[[#This Row],[Статус]])</f>
        <v>Свободно</v>
      </c>
      <c r="Z548" s="233">
        <f>IF(Таблица10[[#This Row],[№]]&amp;"ДДУ"=ППД5!A545&amp;ППД5!CR545,ППД5!U545,ППД5!V545)</f>
        <v>58.150000000000006</v>
      </c>
      <c r="AA548" s="285">
        <f>IFERROR(Таблица10[[#This Row],[S ПП]]-Таблица10[[#This Row],[S ДДУ]],)</f>
        <v>0</v>
      </c>
      <c r="AB548" s="235">
        <f>ROUND(_xlfn.XLOOKUP(Таблица10[[#This Row],[№]],Реестр_Д5[№],Реестр_Д5[Итоговая сумма скидки],"",0),2)</f>
        <v>0</v>
      </c>
      <c r="AC548" s="235" t="str" cm="1">
        <f t="array" ref="AC54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8" s="285">
        <f>IFERROR(Таблица10[[#This Row],[ППС]]-Таблица10[[#This Row],[ДДУС]],)</f>
        <v>0</v>
      </c>
      <c r="AE548" s="611"/>
      <c r="AT548" s="611"/>
    </row>
    <row r="549" spans="1:46" x14ac:dyDescent="0.2">
      <c r="A549" s="611"/>
      <c r="P549" s="611"/>
      <c r="Q549" s="234">
        <f>VLOOKUP(ППД5!A546,Реестр_Д5[№],1,0)</f>
        <v>545</v>
      </c>
      <c r="R549" s="234" t="str">
        <f>VLOOKUP(ППД5!CH546,Реестр_Д5[Статус],1,0)</f>
        <v>Свободно</v>
      </c>
      <c r="S549" s="612">
        <f>VLOOKUP(ППД5!BZ546,Реестр_Д5[Стоимость ОН без отделки со скидкой],1,0)</f>
        <v>7520900</v>
      </c>
      <c r="T549" s="612" t="str" cm="1">
        <f t="array" ref="T54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49" s="235">
        <f>IFERROR((Таблица10[[#This Row],[ПП]]-Таблица10[[#This Row],[ДДУ]])*1,)</f>
        <v>0</v>
      </c>
      <c r="V549" s="235" t="str" cm="1">
        <f t="array" ref="V54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49" s="235">
        <f>_xlfn.XLOOKUP(Таблица10[[#This Row],[№]],Реестр_Д5[№],Реестр_Д5[Стоимость квартиры с отделкой],"-",0)</f>
        <v>7520900</v>
      </c>
      <c r="X549" s="235" t="str">
        <f>IFERROR(Таблица10[[#This Row],[СО ПП]]-Таблица10[[#This Row],[СО ДДУ]],"")</f>
        <v/>
      </c>
      <c r="Y549" s="233" t="str" cm="1">
        <f t="array" ref="Y549">IFERROR(INDEX(РД[S],MATCH($Q$3&amp;Таблица10[[#This Row],[№]]&amp;"Продажа",РД[Дом]&amp;РД[№ кв]&amp;РД[Состояние],0),1),Таблица10[[#This Row],[Статус]])</f>
        <v>Свободно</v>
      </c>
      <c r="Z549" s="233">
        <f>IF(Таблица10[[#This Row],[№]]&amp;"ДДУ"=ППД5!A546&amp;ППД5!CR546,ППД5!U546,ППД5!V546)</f>
        <v>57.55</v>
      </c>
      <c r="AA549" s="285">
        <f>IFERROR(Таблица10[[#This Row],[S ПП]]-Таблица10[[#This Row],[S ДДУ]],)</f>
        <v>0</v>
      </c>
      <c r="AB549" s="235">
        <f>ROUND(_xlfn.XLOOKUP(Таблица10[[#This Row],[№]],Реестр_Д5[№],Реестр_Д5[Итоговая сумма скидки],"",0),2)</f>
        <v>0</v>
      </c>
      <c r="AC549" s="235" t="str" cm="1">
        <f t="array" ref="AC54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49" s="285">
        <f>IFERROR(Таблица10[[#This Row],[ППС]]-Таблица10[[#This Row],[ДДУС]],)</f>
        <v>0</v>
      </c>
      <c r="AE549" s="611"/>
      <c r="AT549" s="611"/>
    </row>
    <row r="550" spans="1:46" x14ac:dyDescent="0.2">
      <c r="A550" s="611"/>
      <c r="P550" s="611"/>
      <c r="Q550" s="234">
        <f>VLOOKUP(ППД5!A547,Реестр_Д5[№],1,0)</f>
        <v>546</v>
      </c>
      <c r="R550" s="234" t="str">
        <f>VLOOKUP(ППД5!CH547,Реестр_Д5[Статус],1,0)</f>
        <v>Продажа</v>
      </c>
      <c r="S550" s="612">
        <f>VLOOKUP(ППД5!BZ547,Реестр_Д5[Стоимость ОН без отделки со скидкой],1,0)</f>
        <v>4514800</v>
      </c>
      <c r="T550" s="612" cm="1">
        <f t="array" ref="T550">IFERROR(INDEX(РД[Стоимость без отделки итог],MATCH($Q$3&amp;Таблица10[[#This Row],[№]]&amp;"Продажа",РД[Дом]&amp;РД[№ кв]&amp;РД[Состояние],0),1),Таблица10[[#This Row],[Статус]])</f>
        <v>4514800</v>
      </c>
      <c r="U550" s="235">
        <f>IFERROR((Таблица10[[#This Row],[ПП]]-Таблица10[[#This Row],[ДДУ]])*1,)</f>
        <v>0</v>
      </c>
      <c r="V550" s="235" cm="1">
        <f t="array" ref="V550">IFERROR(INDEX(РД[Стоимость с отделкой итог],MATCH($Q$3&amp;Таблица10[[#This Row],[№]]&amp;"Продажа",РД[Дом]&amp;РД[№ кв]&amp;РД[Состояние],0),1),Таблица10[[#This Row],[Статус]])</f>
        <v>4782900</v>
      </c>
      <c r="W550" s="235">
        <f>_xlfn.XLOOKUP(Таблица10[[#This Row],[№]],Реестр_Д5[№],Реестр_Д5[Стоимость квартиры с отделкой],"-",0)</f>
        <v>4782900</v>
      </c>
      <c r="X550" s="235">
        <f>IFERROR(Таблица10[[#This Row],[СО ПП]]-Таблица10[[#This Row],[СО ДДУ]],"")</f>
        <v>0</v>
      </c>
      <c r="Y550" s="233" cm="1">
        <f t="array" ref="Y550">IFERROR(INDEX(РД[S],MATCH($Q$3&amp;Таблица10[[#This Row],[№]]&amp;"Продажа",РД[Дом]&amp;РД[№ кв]&amp;РД[Состояние],0),1),Таблица10[[#This Row],[Статус]])</f>
        <v>38.299999999999997</v>
      </c>
      <c r="Z550" s="233">
        <f>IF(Таблица10[[#This Row],[№]]&amp;"ДДУ"=ППД5!A547&amp;ППД5!CR547,ППД5!U547,ППД5!V547)</f>
        <v>38.299999999999997</v>
      </c>
      <c r="AA550" s="285">
        <f>IFERROR(Таблица10[[#This Row],[S ПП]]-Таблица10[[#This Row],[S ДДУ]],)</f>
        <v>0</v>
      </c>
      <c r="AB550" s="235">
        <f>ROUND(_xlfn.XLOOKUP(Таблица10[[#This Row],[№]],Реестр_Д5[№],Реестр_Д5[Итоговая сумма скидки],"",0),2)</f>
        <v>0</v>
      </c>
      <c r="AC550" s="235" cm="1">
        <f t="array" ref="AC550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50" s="285">
        <f>IFERROR(Таблица10[[#This Row],[ППС]]-Таблица10[[#This Row],[ДДУС]],)</f>
        <v>0</v>
      </c>
      <c r="AE550" s="611"/>
      <c r="AT550" s="611"/>
    </row>
    <row r="551" spans="1:46" x14ac:dyDescent="0.2">
      <c r="A551" s="611"/>
      <c r="P551" s="611"/>
      <c r="Q551" s="234">
        <f>VLOOKUP(ППД5!A548,Реестр_Д5[№],1,0)</f>
        <v>547</v>
      </c>
      <c r="R551" s="234" t="str">
        <f>VLOOKUP(ППД5!CH548,Реестр_Д5[Статус],1,0)</f>
        <v>Продажа</v>
      </c>
      <c r="S551" s="612">
        <f>VLOOKUP(ППД5!BZ548,Реестр_Д5[Стоимость ОН без отделки со скидкой],1,0)</f>
        <v>6634306.8799999999</v>
      </c>
      <c r="T551" s="612" cm="1">
        <f t="array" ref="T551">IFERROR(INDEX(РД[Стоимость без отделки итог],MATCH($Q$3&amp;Таблица10[[#This Row],[№]]&amp;"Продажа",РД[Дом]&amp;РД[№ кв]&amp;РД[Состояние],0),1),Таблица10[[#This Row],[Статус]])</f>
        <v>6634306.8799999999</v>
      </c>
      <c r="U551" s="235">
        <f>IFERROR((Таблица10[[#This Row],[ПП]]-Таблица10[[#This Row],[ДДУ]])*1,)</f>
        <v>0</v>
      </c>
      <c r="V551" s="235" cm="1">
        <f t="array" ref="V551">IFERROR(INDEX(РД[Стоимость с отделкой итог],MATCH($Q$3&amp;Таблица10[[#This Row],[№]]&amp;"Продажа",РД[Дом]&amp;РД[№ кв]&amp;РД[Состояние],0),1),Таблица10[[#This Row],[Статус]])</f>
        <v>7865626.8799999999</v>
      </c>
      <c r="W551" s="235">
        <f>_xlfn.XLOOKUP(Таблица10[[#This Row],[№]],Реестр_Д5[№],Реестр_Д5[Стоимость квартиры с отделкой],"-",0)</f>
        <v>7865626.8799999999</v>
      </c>
      <c r="X551" s="235">
        <f>IFERROR(Таблица10[[#This Row],[СО ПП]]-Таблица10[[#This Row],[СО ДДУ]],"")</f>
        <v>0</v>
      </c>
      <c r="Y551" s="233" cm="1">
        <f t="array" ref="Y551">IFERROR(INDEX(РД[S],MATCH($Q$3&amp;Таблица10[[#This Row],[№]]&amp;"Продажа",РД[Дом]&amp;РД[№ кв]&amp;РД[Состояние],0),1),Таблица10[[#This Row],[Статус]])</f>
        <v>79.44</v>
      </c>
      <c r="Z551" s="233">
        <f>IF(Таблица10[[#This Row],[№]]&amp;"ДДУ"=ППД5!A548&amp;ППД5!CR548,ППД5!U548,ППД5!V548)</f>
        <v>79.44</v>
      </c>
      <c r="AA551" s="285">
        <f>IFERROR(Таблица10[[#This Row],[S ПП]]-Таблица10[[#This Row],[S ДДУ]],)</f>
        <v>0</v>
      </c>
      <c r="AB551" s="235">
        <f>ROUND(_xlfn.XLOOKUP(Таблица10[[#This Row],[№]],Реестр_Д5[№],Реестр_Д5[Итоговая сумма скидки],"",0),2)</f>
        <v>0</v>
      </c>
      <c r="AC551" s="235" cm="1">
        <f t="array" ref="AC55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51" s="285">
        <f>IFERROR(Таблица10[[#This Row],[ППС]]-Таблица10[[#This Row],[ДДУС]],)</f>
        <v>0</v>
      </c>
      <c r="AE551" s="611"/>
      <c r="AT551" s="611"/>
    </row>
    <row r="552" spans="1:46" x14ac:dyDescent="0.2">
      <c r="A552" s="611"/>
      <c r="P552" s="611"/>
      <c r="Q552" s="234">
        <f>VLOOKUP(ППД5!A549,Реестр_Д5[№],1,0)</f>
        <v>548</v>
      </c>
      <c r="R552" s="234" t="str">
        <f>VLOOKUP(ППД5!CH549,Реестр_Д5[Статус],1,0)</f>
        <v>Продажа</v>
      </c>
      <c r="S552" s="612">
        <f>VLOOKUP(ППД5!BZ549,Реестр_Д5[Стоимость ОН без отделки со скидкой],1,0)</f>
        <v>4689212</v>
      </c>
      <c r="T552" s="612" cm="1">
        <f t="array" ref="T552">IFERROR(INDEX(РД[Стоимость без отделки итог],MATCH($Q$3&amp;Таблица10[[#This Row],[№]]&amp;"Продажа",РД[Дом]&amp;РД[№ кв]&amp;РД[Состояние],0),1),Таблица10[[#This Row],[Статус]])</f>
        <v>4689212</v>
      </c>
      <c r="U552" s="235">
        <f>IFERROR((Таблица10[[#This Row],[ПП]]-Таблица10[[#This Row],[ДДУ]])*1,)</f>
        <v>0</v>
      </c>
      <c r="V552" s="235" cm="1">
        <f t="array" ref="V552">IFERROR(INDEX(РД[Стоимость с отделкой итог],MATCH($Q$3&amp;Таблица10[[#This Row],[№]]&amp;"Продажа",РД[Дом]&amp;РД[№ кв]&amp;РД[Состояние],0),1),Таблица10[[#This Row],[Статус]])</f>
        <v>4689212</v>
      </c>
      <c r="W552" s="235">
        <f>_xlfn.XLOOKUP(Таблица10[[#This Row],[№]],Реестр_Д5[№],Реестр_Д5[Стоимость квартиры с отделкой],"-",0)</f>
        <v>4689212</v>
      </c>
      <c r="X552" s="235">
        <f>IFERROR(Таблица10[[#This Row],[СО ПП]]-Таблица10[[#This Row],[СО ДДУ]],"")</f>
        <v>0</v>
      </c>
      <c r="Y552" s="233" cm="1">
        <f t="array" ref="Y552">IFERROR(INDEX(РД[S],MATCH($Q$3&amp;Таблица10[[#This Row],[№]]&amp;"Продажа",РД[Дом]&amp;РД[№ кв]&amp;РД[Состояние],0),1),Таблица10[[#This Row],[Статус]])</f>
        <v>39.69</v>
      </c>
      <c r="Z552" s="233">
        <f>IF(Таблица10[[#This Row],[№]]&amp;"ДДУ"=ППД5!A549&amp;ППД5!CR549,ППД5!U549,ППД5!V549)</f>
        <v>39.69</v>
      </c>
      <c r="AA552" s="285">
        <f>IFERROR(Таблица10[[#This Row],[S ПП]]-Таблица10[[#This Row],[S ДДУ]],)</f>
        <v>0</v>
      </c>
      <c r="AB552" s="235">
        <f>ROUND(_xlfn.XLOOKUP(Таблица10[[#This Row],[№]],Реестр_Д5[№],Реестр_Д5[Итоговая сумма скидки],"",0),2)</f>
        <v>88888</v>
      </c>
      <c r="AC552" s="235" cm="1">
        <f t="array" ref="AC552">IFERROR(ROUND(_xlfn.XLOOKUP($Q$3&amp;Таблица10[[#This Row],[№]]&amp;"Продажа",РД[Дом]&amp;РД[№ кв]&amp;РД[Состояние],РД[Сумма скидки],"",0,-1),2),Таблица10[[#This Row],[Статус]])</f>
        <v>88888</v>
      </c>
      <c r="AD552" s="285">
        <f>IFERROR(Таблица10[[#This Row],[ППС]]-Таблица10[[#This Row],[ДДУС]],)</f>
        <v>0</v>
      </c>
      <c r="AE552" s="611"/>
      <c r="AT552" s="611"/>
    </row>
    <row r="553" spans="1:46" x14ac:dyDescent="0.2">
      <c r="A553" s="611"/>
      <c r="P553" s="611"/>
      <c r="Q553" s="234">
        <f>VLOOKUP(ППД5!A550,Реестр_Д5[№],1,0)</f>
        <v>549</v>
      </c>
      <c r="R553" s="234" t="str">
        <f>VLOOKUP(ППД5!CH550,Реестр_Д5[Статус],1,0)</f>
        <v>Продажа</v>
      </c>
      <c r="S553" s="612">
        <f>VLOOKUP(ППД5!BZ550,Реестр_Д5[Стоимость ОН без отделки со скидкой],1,0)</f>
        <v>3648000</v>
      </c>
      <c r="T553" s="612" cm="1">
        <f t="array" ref="T553">IFERROR(INDEX(РД[Стоимость без отделки итог],MATCH($Q$3&amp;Таблица10[[#This Row],[№]]&amp;"Продажа",РД[Дом]&amp;РД[№ кв]&amp;РД[Состояние],0),1),Таблица10[[#This Row],[Статус]])</f>
        <v>3648000.0000000005</v>
      </c>
      <c r="U553" s="235">
        <f>IFERROR((Таблица10[[#This Row],[ПП]]-Таблица10[[#This Row],[ДДУ]])*1,)</f>
        <v>-4.6566128730773926E-10</v>
      </c>
      <c r="V553" s="235" cm="1">
        <f t="array" ref="V553">IFERROR(INDEX(РД[Стоимость с отделкой итог],MATCH($Q$3&amp;Таблица10[[#This Row],[№]]&amp;"Продажа",РД[Дом]&amp;РД[№ кв]&amp;РД[Состояние],0),1),Таблица10[[#This Row],[Статус]])</f>
        <v>4236000</v>
      </c>
      <c r="W553" s="235">
        <f>_xlfn.XLOOKUP(Таблица10[[#This Row],[№]],Реестр_Д5[№],Реестр_Д5[Стоимость квартиры с отделкой],"-",0)</f>
        <v>4236000</v>
      </c>
      <c r="X553" s="235">
        <f>IFERROR(Таблица10[[#This Row],[СО ПП]]-Таблица10[[#This Row],[СО ДДУ]],"")</f>
        <v>0</v>
      </c>
      <c r="Y553" s="233" cm="1">
        <f t="array" ref="Y553">IFERROR(INDEX(РД[S],MATCH($Q$3&amp;Таблица10[[#This Row],[№]]&amp;"Продажа",РД[Дом]&amp;РД[№ кв]&amp;РД[Состояние],0),1),Таблица10[[#This Row],[Статус]])</f>
        <v>29.4</v>
      </c>
      <c r="Z553" s="233">
        <f>IF(Таблица10[[#This Row],[№]]&amp;"ДДУ"=ППД5!A550&amp;ППД5!CR550,ППД5!U550,ППД5!V550)</f>
        <v>29.4</v>
      </c>
      <c r="AA553" s="285">
        <f>IFERROR(Таблица10[[#This Row],[S ПП]]-Таблица10[[#This Row],[S ДДУ]],)</f>
        <v>0</v>
      </c>
      <c r="AB553" s="235">
        <f>ROUND(_xlfn.XLOOKUP(Таблица10[[#This Row],[№]],Реестр_Д5[№],Реестр_Д5[Итоговая сумма скидки],"",0),2)</f>
        <v>0</v>
      </c>
      <c r="AC553" s="235" cm="1">
        <f t="array" ref="AC553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53" s="285">
        <f>IFERROR(Таблица10[[#This Row],[ППС]]-Таблица10[[#This Row],[ДДУС]],)</f>
        <v>0</v>
      </c>
      <c r="AE553" s="611"/>
      <c r="AT553" s="611"/>
    </row>
    <row r="554" spans="1:46" x14ac:dyDescent="0.2">
      <c r="A554" s="611"/>
      <c r="P554" s="611"/>
      <c r="Q554" s="234">
        <f>VLOOKUP(ППД5!A551,Реестр_Д5[№],1,0)</f>
        <v>550</v>
      </c>
      <c r="R554" s="234" t="str">
        <f>VLOOKUP(ППД5!CH551,Реестр_Д5[Статус],1,0)</f>
        <v>Продажа</v>
      </c>
      <c r="S554" s="612">
        <f>VLOOKUP(ППД5!BZ551,Реестр_Д5[Стоимость ОН без отделки со скидкой],1,0)</f>
        <v>5055918</v>
      </c>
      <c r="T554" s="612" cm="1">
        <f t="array" ref="T554">IFERROR(INDEX(РД[Стоимость без отделки итог],MATCH($Q$3&amp;Таблица10[[#This Row],[№]]&amp;"Продажа",РД[Дом]&amp;РД[№ кв]&amp;РД[Состояние],0),1),Таблица10[[#This Row],[Статус]])</f>
        <v>5055918</v>
      </c>
      <c r="U554" s="235">
        <f>IFERROR((Таблица10[[#This Row],[ПП]]-Таблица10[[#This Row],[ДДУ]])*1,)</f>
        <v>0</v>
      </c>
      <c r="V554" s="235" cm="1">
        <f t="array" ref="V554">IFERROR(INDEX(РД[Стоимость с отделкой итог],MATCH($Q$3&amp;Таблица10[[#This Row],[№]]&amp;"Продажа",РД[Дом]&amp;РД[№ кв]&amp;РД[Состояние],0),1),Таблица10[[#This Row],[Статус]])</f>
        <v>5055918</v>
      </c>
      <c r="W554" s="235">
        <f>_xlfn.XLOOKUP(Таблица10[[#This Row],[№]],Реестр_Д5[№],Реестр_Д5[Стоимость квартиры с отделкой],"-",0)</f>
        <v>5055918</v>
      </c>
      <c r="X554" s="235">
        <f>IFERROR(Таблица10[[#This Row],[СО ПП]]-Таблица10[[#This Row],[СО ДДУ]],"")</f>
        <v>0</v>
      </c>
      <c r="Y554" s="233" cm="1">
        <f t="array" ref="Y554">IFERROR(INDEX(РД[S],MATCH($Q$3&amp;Таблица10[[#This Row],[№]]&amp;"Продажа",РД[Дом]&amp;РД[№ кв]&amp;РД[Состояние],0),1),Таблица10[[#This Row],[Статус]])</f>
        <v>43.21</v>
      </c>
      <c r="Z554" s="233">
        <f>IF(Таблица10[[#This Row],[№]]&amp;"ДДУ"=ППД5!A551&amp;ППД5!CR551,ППД5!U551,ППД5!V551)</f>
        <v>43.21</v>
      </c>
      <c r="AA554" s="285">
        <f>IFERROR(Таблица10[[#This Row],[S ПП]]-Таблица10[[#This Row],[S ДДУ]],)</f>
        <v>0</v>
      </c>
      <c r="AB554" s="235">
        <f>ROUND(_xlfn.XLOOKUP(Таблица10[[#This Row],[№]],Реестр_Д5[№],Реестр_Д5[Итоговая сумма скидки],"",0),2)</f>
        <v>103182</v>
      </c>
      <c r="AC554" s="235" cm="1">
        <f t="array" ref="AC554">IFERROR(ROUND(_xlfn.XLOOKUP($Q$3&amp;Таблица10[[#This Row],[№]]&amp;"Продажа",РД[Дом]&amp;РД[№ кв]&amp;РД[Состояние],РД[Сумма скидки],"",0,-1),2),Таблица10[[#This Row],[Статус]])</f>
        <v>103182</v>
      </c>
      <c r="AD554" s="285">
        <f>IFERROR(Таблица10[[#This Row],[ППС]]-Таблица10[[#This Row],[ДДУС]],)</f>
        <v>0</v>
      </c>
      <c r="AE554" s="611"/>
      <c r="AT554" s="611"/>
    </row>
    <row r="555" spans="1:46" x14ac:dyDescent="0.2">
      <c r="A555" s="611"/>
      <c r="P555" s="611"/>
      <c r="Q555" s="234">
        <f>VLOOKUP(ППД5!A552,Реестр_Д5[№],1,0)</f>
        <v>551</v>
      </c>
      <c r="R555" s="234" t="str">
        <f>VLOOKUP(ППД5!CH552,Реестр_Д5[Статус],1,0)</f>
        <v>Свободно</v>
      </c>
      <c r="S555" s="612">
        <f>VLOOKUP(ППД5!BZ552,Реестр_Д5[Стоимость ОН без отделки со скидкой],1,0)</f>
        <v>3746900</v>
      </c>
      <c r="T555" s="612" t="str" cm="1">
        <f t="array" ref="T55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55" s="235">
        <f>IFERROR((Таблица10[[#This Row],[ПП]]-Таблица10[[#This Row],[ДДУ]])*1,)</f>
        <v>0</v>
      </c>
      <c r="V555" s="235" t="str" cm="1">
        <f t="array" ref="V55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55" s="235">
        <f>_xlfn.XLOOKUP(Таблица10[[#This Row],[№]],Реестр_Д5[№],Реестр_Д5[Стоимость квартиры с отделкой],"-",0)</f>
        <v>3746900</v>
      </c>
      <c r="X555" s="235" t="str">
        <f>IFERROR(Таблица10[[#This Row],[СО ПП]]-Таблица10[[#This Row],[СО ДДУ]],"")</f>
        <v/>
      </c>
      <c r="Y555" s="233" t="str" cm="1">
        <f t="array" ref="Y555">IFERROR(INDEX(РД[S],MATCH($Q$3&amp;Таблица10[[#This Row],[№]]&amp;"Продажа",РД[Дом]&amp;РД[№ кв]&amp;РД[Состояние],0),1),Таблица10[[#This Row],[Статус]])</f>
        <v>Свободно</v>
      </c>
      <c r="Z555" s="233">
        <f>IF(Таблица10[[#This Row],[№]]&amp;"ДДУ"=ППД5!A552&amp;ППД5!CR552,ППД5!U552,ППД5!V552)</f>
        <v>24.249999999999996</v>
      </c>
      <c r="AA555" s="285">
        <f>IFERROR(Таблица10[[#This Row],[S ПП]]-Таблица10[[#This Row],[S ДДУ]],)</f>
        <v>0</v>
      </c>
      <c r="AB555" s="235">
        <f>ROUND(_xlfn.XLOOKUP(Таблица10[[#This Row],[№]],Реестр_Д5[№],Реестр_Д5[Итоговая сумма скидки],"",0),2)</f>
        <v>0</v>
      </c>
      <c r="AC555" s="235" t="str" cm="1">
        <f t="array" ref="AC55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55" s="285">
        <f>IFERROR(Таблица10[[#This Row],[ППС]]-Таблица10[[#This Row],[ДДУС]],)</f>
        <v>0</v>
      </c>
      <c r="AE555" s="611"/>
      <c r="AT555" s="611"/>
    </row>
    <row r="556" spans="1:46" x14ac:dyDescent="0.2">
      <c r="A556" s="611"/>
      <c r="P556" s="611"/>
      <c r="Q556" s="234">
        <f>VLOOKUP(ППД5!A553,Реестр_Д5[№],1,0)</f>
        <v>552</v>
      </c>
      <c r="R556" s="234" t="str">
        <f>VLOOKUP(ППД5!CH553,Реестр_Д5[Статус],1,0)</f>
        <v>Свободно</v>
      </c>
      <c r="S556" s="612">
        <f>VLOOKUP(ППД5!BZ553,Реестр_Д5[Стоимость ОН без отделки со скидкой],1,0)</f>
        <v>7571200</v>
      </c>
      <c r="T556" s="612" t="str" cm="1">
        <f t="array" ref="T55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56" s="235">
        <f>IFERROR((Таблица10[[#This Row],[ПП]]-Таблица10[[#This Row],[ДДУ]])*1,)</f>
        <v>0</v>
      </c>
      <c r="V556" s="235" t="str" cm="1">
        <f t="array" ref="V55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56" s="235">
        <f>_xlfn.XLOOKUP(Таблица10[[#This Row],[№]],Реестр_Д5[№],Реестр_Д5[Стоимость квартиры с отделкой],"-",0)</f>
        <v>7571200</v>
      </c>
      <c r="X556" s="235" t="str">
        <f>IFERROR(Таблица10[[#This Row],[СО ПП]]-Таблица10[[#This Row],[СО ДДУ]],"")</f>
        <v/>
      </c>
      <c r="Y556" s="233" t="str" cm="1">
        <f t="array" ref="Y556">IFERROR(INDEX(РД[S],MATCH($Q$3&amp;Таблица10[[#This Row],[№]]&amp;"Продажа",РД[Дом]&amp;РД[№ кв]&amp;РД[Состояние],0),1),Таблица10[[#This Row],[Статус]])</f>
        <v>Свободно</v>
      </c>
      <c r="Z556" s="233">
        <f>IF(Таблица10[[#This Row],[№]]&amp;"ДДУ"=ППД5!A553&amp;ППД5!CR553,ППД5!U553,ППД5!V553)</f>
        <v>57.95</v>
      </c>
      <c r="AA556" s="285">
        <f>IFERROR(Таблица10[[#This Row],[S ПП]]-Таблица10[[#This Row],[S ДДУ]],)</f>
        <v>0</v>
      </c>
      <c r="AB556" s="235">
        <f>ROUND(_xlfn.XLOOKUP(Таблица10[[#This Row],[№]],Реестр_Д5[№],Реестр_Д5[Итоговая сумма скидки],"",0),2)</f>
        <v>0</v>
      </c>
      <c r="AC556" s="235" t="str" cm="1">
        <f t="array" ref="AC55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56" s="285">
        <f>IFERROR(Таблица10[[#This Row],[ППС]]-Таблица10[[#This Row],[ДДУС]],)</f>
        <v>0</v>
      </c>
      <c r="AE556" s="611"/>
      <c r="AT556" s="611"/>
    </row>
    <row r="557" spans="1:46" x14ac:dyDescent="0.2">
      <c r="A557" s="611"/>
      <c r="P557" s="611"/>
      <c r="Q557" s="234">
        <f>VLOOKUP(ППД5!A554,Реестр_Д5[№],1,0)</f>
        <v>553</v>
      </c>
      <c r="R557" s="234" t="str">
        <f>VLOOKUP(ППД5!CH554,Реестр_Д5[Статус],1,0)</f>
        <v>Свободно</v>
      </c>
      <c r="S557" s="612">
        <f>VLOOKUP(ППД5!BZ554,Реестр_Д5[Стоимость ОН без отделки со скидкой],1,0)</f>
        <v>7494800</v>
      </c>
      <c r="T557" s="612" t="str" cm="1">
        <f t="array" ref="T55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57" s="235">
        <f>IFERROR((Таблица10[[#This Row],[ПП]]-Таблица10[[#This Row],[ДДУ]])*1,)</f>
        <v>0</v>
      </c>
      <c r="V557" s="235" t="str" cm="1">
        <f t="array" ref="V55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57" s="235">
        <f>_xlfn.XLOOKUP(Таблица10[[#This Row],[№]],Реестр_Д5[№],Реестр_Д5[Стоимость квартиры с отделкой],"-",0)</f>
        <v>7494800</v>
      </c>
      <c r="X557" s="235" t="str">
        <f>IFERROR(Таблица10[[#This Row],[СО ПП]]-Таблица10[[#This Row],[СО ДДУ]],"")</f>
        <v/>
      </c>
      <c r="Y557" s="233" t="str" cm="1">
        <f t="array" ref="Y557">IFERROR(INDEX(РД[S],MATCH($Q$3&amp;Таблица10[[#This Row],[№]]&amp;"Продажа",РД[Дом]&amp;РД[№ кв]&amp;РД[Состояние],0),1),Таблица10[[#This Row],[Статус]])</f>
        <v>Свободно</v>
      </c>
      <c r="Z557" s="233">
        <f>IF(Таблица10[[#This Row],[№]]&amp;"ДДУ"=ППД5!A554&amp;ППД5!CR554,ППД5!U554,ППД5!V554)</f>
        <v>57.35</v>
      </c>
      <c r="AA557" s="285">
        <f>IFERROR(Таблица10[[#This Row],[S ПП]]-Таблица10[[#This Row],[S ДДУ]],)</f>
        <v>0</v>
      </c>
      <c r="AB557" s="235">
        <f>ROUND(_xlfn.XLOOKUP(Таблица10[[#This Row],[№]],Реестр_Д5[№],Реестр_Д5[Итоговая сумма скидки],"",0),2)</f>
        <v>0</v>
      </c>
      <c r="AC557" s="235" t="str" cm="1">
        <f t="array" ref="AC55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57" s="285">
        <f>IFERROR(Таблица10[[#This Row],[ППС]]-Таблица10[[#This Row],[ДДУС]],)</f>
        <v>0</v>
      </c>
      <c r="AE557" s="611"/>
      <c r="AT557" s="611"/>
    </row>
    <row r="558" spans="1:46" x14ac:dyDescent="0.2">
      <c r="A558" s="611"/>
      <c r="P558" s="611"/>
      <c r="Q558" s="234">
        <f>VLOOKUP(ППД5!A555,Реестр_Д5[№],1,0)</f>
        <v>554</v>
      </c>
      <c r="R558" s="234" t="str">
        <f>VLOOKUP(ППД5!CH555,Реестр_Д5[Статус],1,0)</f>
        <v>Свободно</v>
      </c>
      <c r="S558" s="612">
        <f>VLOOKUP(ППД5!BZ555,Реестр_Д5[Стоимость ОН без отделки со скидкой],1,0)</f>
        <v>5604500</v>
      </c>
      <c r="T558" s="612" t="str" cm="1">
        <f t="array" ref="T55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58" s="235">
        <f>IFERROR((Таблица10[[#This Row],[ПП]]-Таблица10[[#This Row],[ДДУ]])*1,)</f>
        <v>0</v>
      </c>
      <c r="V558" s="235" t="str" cm="1">
        <f t="array" ref="V55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58" s="235">
        <f>_xlfn.XLOOKUP(Таблица10[[#This Row],[№]],Реестр_Д5[№],Реестр_Д5[Стоимость квартиры с отделкой],"-",0)</f>
        <v>5604499.9999999991</v>
      </c>
      <c r="X558" s="235" t="str">
        <f>IFERROR(Таблица10[[#This Row],[СО ПП]]-Таблица10[[#This Row],[СО ДДУ]],"")</f>
        <v/>
      </c>
      <c r="Y558" s="233" t="str" cm="1">
        <f t="array" ref="Y558">IFERROR(INDEX(РД[S],MATCH($Q$3&amp;Таблица10[[#This Row],[№]]&amp;"Продажа",РД[Дом]&amp;РД[№ кв]&amp;РД[Состояние],0),1),Таблица10[[#This Row],[Статус]])</f>
        <v>Свободно</v>
      </c>
      <c r="Z558" s="233">
        <f>IF(Таблица10[[#This Row],[№]]&amp;"ДДУ"=ППД5!A555&amp;ППД5!CR555,ППД5!U555,ППД5!V555)</f>
        <v>37.75</v>
      </c>
      <c r="AA558" s="285">
        <f>IFERROR(Таблица10[[#This Row],[S ПП]]-Таблица10[[#This Row],[S ДДУ]],)</f>
        <v>0</v>
      </c>
      <c r="AB558" s="235">
        <f>ROUND(_xlfn.XLOOKUP(Таблица10[[#This Row],[№]],Реестр_Д5[№],Реестр_Д5[Итоговая сумма скидки],"",0),2)</f>
        <v>0</v>
      </c>
      <c r="AC558" s="235" t="str" cm="1">
        <f t="array" ref="AC55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58" s="285">
        <f>IFERROR(Таблица10[[#This Row],[ППС]]-Таблица10[[#This Row],[ДДУС]],)</f>
        <v>0</v>
      </c>
      <c r="AE558" s="611"/>
      <c r="AT558" s="611"/>
    </row>
    <row r="559" spans="1:46" x14ac:dyDescent="0.2">
      <c r="A559" s="611"/>
      <c r="P559" s="611"/>
      <c r="Q559" s="234">
        <f>VLOOKUP(ППД5!A556,Реестр_Д5[№],1,0)</f>
        <v>555</v>
      </c>
      <c r="R559" s="234" t="str">
        <f>VLOOKUP(ППД5!CH556,Реестр_Д5[Статус],1,0)</f>
        <v>Свободно</v>
      </c>
      <c r="S559" s="612">
        <f>VLOOKUP(ППД5!BZ556,Реестр_Д5[Стоимость ОН без отделки со скидкой],1,0)</f>
        <v>10413500</v>
      </c>
      <c r="T559" s="612" t="str" cm="1">
        <f t="array" ref="T559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59" s="235">
        <f>IFERROR((Таблица10[[#This Row],[ПП]]-Таблица10[[#This Row],[ДДУ]])*1,)</f>
        <v>0</v>
      </c>
      <c r="V559" s="235" t="str" cm="1">
        <f t="array" ref="V559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59" s="235">
        <f>_xlfn.XLOOKUP(Таблица10[[#This Row],[№]],Реестр_Д5[№],Реестр_Д5[Стоимость квартиры с отделкой],"-",0)</f>
        <v>12771500</v>
      </c>
      <c r="X559" s="235" t="str">
        <f>IFERROR(Таблица10[[#This Row],[СО ПП]]-Таблица10[[#This Row],[СО ДДУ]],"")</f>
        <v/>
      </c>
      <c r="Y559" s="233" t="str" cm="1">
        <f t="array" ref="Y559">IFERROR(INDEX(РД[S],MATCH($Q$3&amp;Таблица10[[#This Row],[№]]&amp;"Продажа",РД[Дом]&amp;РД[№ кв]&amp;РД[Состояние],0),1),Таблица10[[#This Row],[Статус]])</f>
        <v>Свободно</v>
      </c>
      <c r="Z559" s="233">
        <f>IF(Таблица10[[#This Row],[№]]&amp;"ДДУ"=ППД5!A556&amp;ППД5!CR556,ППД5!U556,ППД5!V556)</f>
        <v>78.600000000000023</v>
      </c>
      <c r="AA559" s="285">
        <f>IFERROR(Таблица10[[#This Row],[S ПП]]-Таблица10[[#This Row],[S ДДУ]],)</f>
        <v>0</v>
      </c>
      <c r="AB559" s="235">
        <f>ROUND(_xlfn.XLOOKUP(Таблица10[[#This Row],[№]],Реестр_Д5[№],Реестр_Д5[Итоговая сумма скидки],"",0),2)</f>
        <v>0</v>
      </c>
      <c r="AC559" s="235" t="str" cm="1">
        <f t="array" ref="AC559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59" s="285">
        <f>IFERROR(Таблица10[[#This Row],[ППС]]-Таблица10[[#This Row],[ДДУС]],)</f>
        <v>0</v>
      </c>
      <c r="AE559" s="611"/>
      <c r="AT559" s="611"/>
    </row>
    <row r="560" spans="1:46" x14ac:dyDescent="0.2">
      <c r="A560" s="611"/>
      <c r="P560" s="611"/>
      <c r="Q560" s="234">
        <f>VLOOKUP(ППД5!A557,Реестр_Д5[№],1,0)</f>
        <v>556</v>
      </c>
      <c r="R560" s="234" t="str">
        <f>VLOOKUP(ППД5!CH557,Реестр_Д5[Статус],1,0)</f>
        <v>Свободно</v>
      </c>
      <c r="S560" s="612">
        <f>VLOOKUP(ППД5!BZ557,Реестр_Д5[Стоимость ОН без отделки со скидкой],1,0)</f>
        <v>5777800</v>
      </c>
      <c r="T560" s="612" t="str" cm="1">
        <f t="array" ref="T56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0" s="235">
        <f>IFERROR((Таблица10[[#This Row],[ПП]]-Таблица10[[#This Row],[ДДУ]])*1,)</f>
        <v>0</v>
      </c>
      <c r="V560" s="235" t="str" cm="1">
        <f t="array" ref="V56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0" s="235">
        <f>_xlfn.XLOOKUP(Таблица10[[#This Row],[№]],Реестр_Д5[№],Реестр_Д5[Стоимость квартиры с отделкой],"-",0)</f>
        <v>5777800.0000000009</v>
      </c>
      <c r="X560" s="235" t="str">
        <f>IFERROR(Таблица10[[#This Row],[СО ПП]]-Таблица10[[#This Row],[СО ДДУ]],"")</f>
        <v/>
      </c>
      <c r="Y560" s="233" t="str" cm="1">
        <f t="array" ref="Y560">IFERROR(INDEX(РД[S],MATCH($Q$3&amp;Таблица10[[#This Row],[№]]&amp;"Продажа",РД[Дом]&amp;РД[№ кв]&amp;РД[Состояние],0),1),Таблица10[[#This Row],[Статус]])</f>
        <v>Свободно</v>
      </c>
      <c r="Z560" s="233">
        <f>IF(Таблица10[[#This Row],[№]]&amp;"ДДУ"=ППД5!A557&amp;ППД5!CR557,ППД5!U557,ППД5!V557)</f>
        <v>39.450000000000003</v>
      </c>
      <c r="AA560" s="285">
        <f>IFERROR(Таблица10[[#This Row],[S ПП]]-Таблица10[[#This Row],[S ДДУ]],)</f>
        <v>0</v>
      </c>
      <c r="AB560" s="235">
        <f>ROUND(_xlfn.XLOOKUP(Таблица10[[#This Row],[№]],Реестр_Д5[№],Реестр_Д5[Итоговая сумма скидки],"",0),2)</f>
        <v>0</v>
      </c>
      <c r="AC560" s="235" t="str" cm="1">
        <f t="array" ref="AC56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0" s="285">
        <f>IFERROR(Таблица10[[#This Row],[ППС]]-Таблица10[[#This Row],[ДДУС]],)</f>
        <v>0</v>
      </c>
      <c r="AE560" s="611"/>
      <c r="AT560" s="611"/>
    </row>
    <row r="561" spans="1:46" x14ac:dyDescent="0.2">
      <c r="A561" s="611"/>
      <c r="P561" s="611"/>
      <c r="Q561" s="234">
        <f>VLOOKUP(ППД5!A558,Реестр_Д5[№],1,0)</f>
        <v>557</v>
      </c>
      <c r="R561" s="234" t="str">
        <f>VLOOKUP(ППД5!CH558,Реестр_Д5[Статус],1,0)</f>
        <v>Свободно</v>
      </c>
      <c r="S561" s="612">
        <f>VLOOKUP(ППД5!BZ558,Реестр_Д5[Стоимость ОН без отделки со скидкой],1,0)</f>
        <v>4366100</v>
      </c>
      <c r="T561" s="612" t="str" cm="1">
        <f t="array" ref="T56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1" s="235">
        <f>IFERROR((Таблица10[[#This Row],[ПП]]-Таблица10[[#This Row],[ДДУ]])*1,)</f>
        <v>0</v>
      </c>
      <c r="V561" s="235" t="str" cm="1">
        <f t="array" ref="V56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1" s="235">
        <f>_xlfn.XLOOKUP(Таблица10[[#This Row],[№]],Реестр_Д5[№],Реестр_Д5[Стоимость квартиры с отделкой],"-",0)</f>
        <v>4366100</v>
      </c>
      <c r="X561" s="235" t="str">
        <f>IFERROR(Таблица10[[#This Row],[СО ПП]]-Таблица10[[#This Row],[СО ДДУ]],"")</f>
        <v/>
      </c>
      <c r="Y561" s="233" t="str" cm="1">
        <f t="array" ref="Y561">IFERROR(INDEX(РД[S],MATCH($Q$3&amp;Таблица10[[#This Row],[№]]&amp;"Продажа",РД[Дом]&amp;РД[№ кв]&amp;РД[Состояние],0),1),Таблица10[[#This Row],[Статус]])</f>
        <v>Свободно</v>
      </c>
      <c r="Z561" s="233">
        <f>IF(Таблица10[[#This Row],[№]]&amp;"ДДУ"=ППД5!A558&amp;ППД5!CR558,ППД5!U558,ППД5!V558)</f>
        <v>29.2</v>
      </c>
      <c r="AA561" s="285">
        <f>IFERROR(Таблица10[[#This Row],[S ПП]]-Таблица10[[#This Row],[S ДДУ]],)</f>
        <v>0</v>
      </c>
      <c r="AB561" s="235">
        <f>ROUND(_xlfn.XLOOKUP(Таблица10[[#This Row],[№]],Реестр_Д5[№],Реестр_Д5[Итоговая сумма скидки],"",0),2)</f>
        <v>0</v>
      </c>
      <c r="AC561" s="235" t="str" cm="1">
        <f t="array" ref="AC56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1" s="285">
        <f>IFERROR(Таблица10[[#This Row],[ППС]]-Таблица10[[#This Row],[ДДУС]],)</f>
        <v>0</v>
      </c>
      <c r="AE561" s="611"/>
      <c r="AT561" s="611"/>
    </row>
    <row r="562" spans="1:46" x14ac:dyDescent="0.2">
      <c r="A562" s="611"/>
      <c r="P562" s="611"/>
      <c r="Q562" s="234">
        <f>VLOOKUP(ППД5!A559,Реестр_Д5[№],1,0)</f>
        <v>558</v>
      </c>
      <c r="R562" s="234" t="str">
        <f>VLOOKUP(ППД5!CH559,Реестр_Д5[Статус],1,0)</f>
        <v>Продажа</v>
      </c>
      <c r="S562" s="612">
        <f>VLOOKUP(ППД5!BZ559,Реестр_Д5[Стоимость ОН без отделки со скидкой],1,0)</f>
        <v>4224525</v>
      </c>
      <c r="T562" s="612" cm="1">
        <f t="array" ref="T562">IFERROR(INDEX(РД[Стоимость без отделки итог],MATCH($Q$3&amp;Таблица10[[#This Row],[№]]&amp;"Продажа",РД[Дом]&amp;РД[№ кв]&amp;РД[Состояние],0),1),Таблица10[[#This Row],[Статус]])</f>
        <v>4224525</v>
      </c>
      <c r="U562" s="235">
        <f>IFERROR((Таблица10[[#This Row],[ПП]]-Таблица10[[#This Row],[ДДУ]])*1,)</f>
        <v>0</v>
      </c>
      <c r="V562" s="235" cm="1">
        <f t="array" ref="V562">IFERROR(INDEX(РД[Стоимость с отделкой итог],MATCH($Q$3&amp;Таблица10[[#This Row],[№]]&amp;"Продажа",РД[Дом]&amp;РД[№ кв]&amp;РД[Состояние],0),1),Таблица10[[#This Row],[Статус]])</f>
        <v>5175145</v>
      </c>
      <c r="W562" s="235">
        <f>_xlfn.XLOOKUP(Таблица10[[#This Row],[№]],Реестр_Д5[№],Реестр_Д5[Стоимость квартиры с отделкой],"-",0)</f>
        <v>5175145</v>
      </c>
      <c r="X562" s="235">
        <f>IFERROR(Таблица10[[#This Row],[СО ПП]]-Таблица10[[#This Row],[СО ДДУ]],"")</f>
        <v>0</v>
      </c>
      <c r="Y562" s="233" cm="1">
        <f t="array" ref="Y562">IFERROR(INDEX(РД[S],MATCH($Q$3&amp;Таблица10[[#This Row],[№]]&amp;"Продажа",РД[Дом]&amp;РД[№ кв]&amp;РД[Состояние],0),1),Таблица10[[#This Row],[Статус]])</f>
        <v>43.21</v>
      </c>
      <c r="Z562" s="233">
        <f>IF(Таблица10[[#This Row],[№]]&amp;"ДДУ"=ППД5!A559&amp;ППД5!CR559,ППД5!U559,ППД5!V559)</f>
        <v>43.21</v>
      </c>
      <c r="AA562" s="285">
        <f>IFERROR(Таблица10[[#This Row],[S ПП]]-Таблица10[[#This Row],[S ДДУ]],)</f>
        <v>0</v>
      </c>
      <c r="AB562" s="235">
        <f>ROUND(_xlfn.XLOOKUP(Таблица10[[#This Row],[№]],Реестр_Д5[№],Реестр_Д5[Итоговая сумма скидки],"",0),2)</f>
        <v>317975</v>
      </c>
      <c r="AC562" s="235" cm="1">
        <f t="array" ref="AC562">IFERROR(ROUND(_xlfn.XLOOKUP($Q$3&amp;Таблица10[[#This Row],[№]]&amp;"Продажа",РД[Дом]&amp;РД[№ кв]&amp;РД[Состояние],РД[Сумма скидки],"",0,-1),2),Таблица10[[#This Row],[Статус]])</f>
        <v>317975</v>
      </c>
      <c r="AD562" s="285">
        <f>IFERROR(Таблица10[[#This Row],[ППС]]-Таблица10[[#This Row],[ДДУС]],)</f>
        <v>0</v>
      </c>
      <c r="AE562" s="611"/>
      <c r="AT562" s="611"/>
    </row>
    <row r="563" spans="1:46" x14ac:dyDescent="0.2">
      <c r="A563" s="611"/>
      <c r="P563" s="611"/>
      <c r="Q563" s="234">
        <f>VLOOKUP(ППД5!A560,Реестр_Д5[№],1,0)</f>
        <v>559</v>
      </c>
      <c r="R563" s="234" t="str">
        <f>VLOOKUP(ППД5!CH560,Реестр_Д5[Статус],1,0)</f>
        <v>Свободно</v>
      </c>
      <c r="S563" s="612">
        <f>VLOOKUP(ППД5!BZ560,Реестр_Д5[Стоимость ОН без отделки со скидкой],1,0)</f>
        <v>3746900</v>
      </c>
      <c r="T563" s="612" t="str" cm="1">
        <f t="array" ref="T56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3" s="235">
        <f>IFERROR((Таблица10[[#This Row],[ПП]]-Таблица10[[#This Row],[ДДУ]])*1,)</f>
        <v>0</v>
      </c>
      <c r="V563" s="235" t="str" cm="1">
        <f t="array" ref="V56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3" s="235">
        <f>_xlfn.XLOOKUP(Таблица10[[#This Row],[№]],Реестр_Д5[№],Реестр_Д5[Стоимость квартиры с отделкой],"-",0)</f>
        <v>3746899.9999999991</v>
      </c>
      <c r="X563" s="235" t="str">
        <f>IFERROR(Таблица10[[#This Row],[СО ПП]]-Таблица10[[#This Row],[СО ДДУ]],"")</f>
        <v/>
      </c>
      <c r="Y563" s="233" t="str" cm="1">
        <f t="array" ref="Y563">IFERROR(INDEX(РД[S],MATCH($Q$3&amp;Таблица10[[#This Row],[№]]&amp;"Продажа",РД[Дом]&amp;РД[№ кв]&amp;РД[Состояние],0),1),Таблица10[[#This Row],[Статус]])</f>
        <v>Свободно</v>
      </c>
      <c r="Z563" s="233">
        <f>IF(Таблица10[[#This Row],[№]]&amp;"ДДУ"=ППД5!A560&amp;ППД5!CR560,ППД5!U560,ППД5!V560)</f>
        <v>24.250000000000004</v>
      </c>
      <c r="AA563" s="285">
        <f>IFERROR(Таблица10[[#This Row],[S ПП]]-Таблица10[[#This Row],[S ДДУ]],)</f>
        <v>0</v>
      </c>
      <c r="AB563" s="235">
        <f>ROUND(_xlfn.XLOOKUP(Таблица10[[#This Row],[№]],Реестр_Д5[№],Реестр_Д5[Итоговая сумма скидки],"",0),2)</f>
        <v>0</v>
      </c>
      <c r="AC563" s="235" t="str" cm="1">
        <f t="array" ref="AC56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3" s="285">
        <f>IFERROR(Таблица10[[#This Row],[ППС]]-Таблица10[[#This Row],[ДДУС]],)</f>
        <v>0</v>
      </c>
      <c r="AE563" s="611"/>
      <c r="AT563" s="611"/>
    </row>
    <row r="564" spans="1:46" x14ac:dyDescent="0.2">
      <c r="A564" s="611"/>
      <c r="P564" s="611"/>
      <c r="Q564" s="234">
        <f>VLOOKUP(ППД5!A561,Реестр_Д5[№],1,0)</f>
        <v>560</v>
      </c>
      <c r="R564" s="234" t="str">
        <f>VLOOKUP(ППД5!CH561,Реестр_Д5[Статус],1,0)</f>
        <v>Свободно</v>
      </c>
      <c r="S564" s="612">
        <f>VLOOKUP(ППД5!BZ561,Реестр_Д5[Стоимость ОН без отделки со скидкой],1,0)</f>
        <v>7571200</v>
      </c>
      <c r="T564" s="612" t="str" cm="1">
        <f t="array" ref="T56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4" s="235">
        <f>IFERROR((Таблица10[[#This Row],[ПП]]-Таблица10[[#This Row],[ДДУ]])*1,)</f>
        <v>0</v>
      </c>
      <c r="V564" s="235" t="str" cm="1">
        <f t="array" ref="V56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4" s="235">
        <f>_xlfn.XLOOKUP(Таблица10[[#This Row],[№]],Реестр_Д5[№],Реестр_Д5[Стоимость квартиры с отделкой],"-",0)</f>
        <v>7571200</v>
      </c>
      <c r="X564" s="235" t="str">
        <f>IFERROR(Таблица10[[#This Row],[СО ПП]]-Таблица10[[#This Row],[СО ДДУ]],"")</f>
        <v/>
      </c>
      <c r="Y564" s="233" t="str" cm="1">
        <f t="array" ref="Y564">IFERROR(INDEX(РД[S],MATCH($Q$3&amp;Таблица10[[#This Row],[№]]&amp;"Продажа",РД[Дом]&amp;РД[№ кв]&amp;РД[Состояние],0),1),Таблица10[[#This Row],[Статус]])</f>
        <v>Свободно</v>
      </c>
      <c r="Z564" s="233">
        <f>IF(Таблица10[[#This Row],[№]]&amp;"ДДУ"=ППД5!A561&amp;ППД5!CR561,ППД5!U561,ППД5!V561)</f>
        <v>57.95</v>
      </c>
      <c r="AA564" s="285">
        <f>IFERROR(Таблица10[[#This Row],[S ПП]]-Таблица10[[#This Row],[S ДДУ]],)</f>
        <v>0</v>
      </c>
      <c r="AB564" s="235">
        <f>ROUND(_xlfn.XLOOKUP(Таблица10[[#This Row],[№]],Реестр_Д5[№],Реестр_Д5[Итоговая сумма скидки],"",0),2)</f>
        <v>0</v>
      </c>
      <c r="AC564" s="235" t="str" cm="1">
        <f t="array" ref="AC56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4" s="285">
        <f>IFERROR(Таблица10[[#This Row],[ППС]]-Таблица10[[#This Row],[ДДУС]],)</f>
        <v>0</v>
      </c>
      <c r="AE564" s="611"/>
      <c r="AT564" s="611"/>
    </row>
    <row r="565" spans="1:46" x14ac:dyDescent="0.2">
      <c r="A565" s="611"/>
      <c r="P565" s="611"/>
      <c r="Q565" s="234">
        <f>VLOOKUP(ППД5!A562,Реестр_Д5[№],1,0)</f>
        <v>561</v>
      </c>
      <c r="R565" s="234" t="str">
        <f>VLOOKUP(ППД5!CH562,Реестр_Д5[Статус],1,0)</f>
        <v>Свободно</v>
      </c>
      <c r="S565" s="612">
        <f>VLOOKUP(ППД5!BZ562,Реестр_Д5[Стоимость ОН без отделки со скидкой],1,0)</f>
        <v>7501300</v>
      </c>
      <c r="T565" s="612" t="str" cm="1">
        <f t="array" ref="T565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5" s="235">
        <f>IFERROR((Таблица10[[#This Row],[ПП]]-Таблица10[[#This Row],[ДДУ]])*1,)</f>
        <v>0</v>
      </c>
      <c r="V565" s="235" t="str" cm="1">
        <f t="array" ref="V565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5" s="235">
        <f>_xlfn.XLOOKUP(Таблица10[[#This Row],[№]],Реестр_Д5[№],Реестр_Д5[Стоимость квартиры с отделкой],"-",0)</f>
        <v>9223299.9999999981</v>
      </c>
      <c r="X565" s="235" t="str">
        <f>IFERROR(Таблица10[[#This Row],[СО ПП]]-Таблица10[[#This Row],[СО ДДУ]],"")</f>
        <v/>
      </c>
      <c r="Y565" s="233" t="str" cm="1">
        <f t="array" ref="Y565">IFERROR(INDEX(РД[S],MATCH($Q$3&amp;Таблица10[[#This Row],[№]]&amp;"Продажа",РД[Дом]&amp;РД[№ кв]&amp;РД[Состояние],0),1),Таблица10[[#This Row],[Статус]])</f>
        <v>Свободно</v>
      </c>
      <c r="Z565" s="233">
        <f>IF(Таблица10[[#This Row],[№]]&amp;"ДДУ"=ППД5!A562&amp;ППД5!CR562,ППД5!U562,ППД5!V562)</f>
        <v>57.400000000000006</v>
      </c>
      <c r="AA565" s="285">
        <f>IFERROR(Таблица10[[#This Row],[S ПП]]-Таблица10[[#This Row],[S ДДУ]],)</f>
        <v>0</v>
      </c>
      <c r="AB565" s="235">
        <f>ROUND(_xlfn.XLOOKUP(Таблица10[[#This Row],[№]],Реестр_Д5[№],Реестр_Д5[Итоговая сумма скидки],"",0),2)</f>
        <v>0</v>
      </c>
      <c r="AC565" s="235" t="str" cm="1">
        <f t="array" ref="AC565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5" s="285">
        <f>IFERROR(Таблица10[[#This Row],[ППС]]-Таблица10[[#This Row],[ДДУС]],)</f>
        <v>0</v>
      </c>
      <c r="AE565" s="611"/>
      <c r="AT565" s="611"/>
    </row>
    <row r="566" spans="1:46" x14ac:dyDescent="0.2">
      <c r="A566" s="611"/>
      <c r="P566" s="611"/>
      <c r="Q566" s="234">
        <f>VLOOKUP(ППД5!A563,Реестр_Д5[№],1,0)</f>
        <v>562</v>
      </c>
      <c r="R566" s="234" t="str">
        <f>VLOOKUP(ППД5!CH563,Реестр_Д5[Статус],1,0)</f>
        <v>Свободно</v>
      </c>
      <c r="S566" s="612">
        <f>VLOOKUP(ППД5!BZ563,Реестр_Д5[Стоимость ОН без отделки со скидкой],1,0)</f>
        <v>5604500</v>
      </c>
      <c r="T566" s="612" t="str" cm="1">
        <f t="array" ref="T566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6" s="235">
        <f>IFERROR((Таблица10[[#This Row],[ПП]]-Таблица10[[#This Row],[ДДУ]])*1,)</f>
        <v>0</v>
      </c>
      <c r="V566" s="235" t="str" cm="1">
        <f t="array" ref="V566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6" s="235">
        <f>_xlfn.XLOOKUP(Таблица10[[#This Row],[№]],Реестр_Д5[№],Реестр_Д5[Стоимость квартиры с отделкой],"-",0)</f>
        <v>5604499.9999999991</v>
      </c>
      <c r="X566" s="235" t="str">
        <f>IFERROR(Таблица10[[#This Row],[СО ПП]]-Таблица10[[#This Row],[СО ДДУ]],"")</f>
        <v/>
      </c>
      <c r="Y566" s="233" t="str" cm="1">
        <f t="array" ref="Y566">IFERROR(INDEX(РД[S],MATCH($Q$3&amp;Таблица10[[#This Row],[№]]&amp;"Продажа",РД[Дом]&amp;РД[№ кв]&amp;РД[Состояние],0),1),Таблица10[[#This Row],[Статус]])</f>
        <v>Свободно</v>
      </c>
      <c r="Z566" s="233">
        <f>IF(Таблица10[[#This Row],[№]]&amp;"ДДУ"=ППД5!A563&amp;ППД5!CR563,ППД5!U563,ППД5!V563)</f>
        <v>37.750000000000007</v>
      </c>
      <c r="AA566" s="285">
        <f>IFERROR(Таблица10[[#This Row],[S ПП]]-Таблица10[[#This Row],[S ДДУ]],)</f>
        <v>0</v>
      </c>
      <c r="AB566" s="235">
        <f>ROUND(_xlfn.XLOOKUP(Таблица10[[#This Row],[№]],Реестр_Д5[№],Реестр_Д5[Итоговая сумма скидки],"",0),2)</f>
        <v>0</v>
      </c>
      <c r="AC566" s="235" t="str" cm="1">
        <f t="array" ref="AC566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6" s="285">
        <f>IFERROR(Таблица10[[#This Row],[ППС]]-Таблица10[[#This Row],[ДДУС]],)</f>
        <v>0</v>
      </c>
      <c r="AE566" s="611"/>
      <c r="AT566" s="611"/>
    </row>
    <row r="567" spans="1:46" x14ac:dyDescent="0.2">
      <c r="A567" s="611"/>
      <c r="P567" s="611"/>
      <c r="Q567" s="234">
        <f>VLOOKUP(ППД5!A564,Реестр_Д5[№],1,0)</f>
        <v>563</v>
      </c>
      <c r="R567" s="234" t="str">
        <f>VLOOKUP(ППД5!CH564,Реестр_Д5[Статус],1,0)</f>
        <v>Свободно</v>
      </c>
      <c r="S567" s="612">
        <f>VLOOKUP(ППД5!BZ564,Реестр_Д5[Стоимость ОН без отделки со скидкой],1,0)</f>
        <v>10224200</v>
      </c>
      <c r="T567" s="612" t="str" cm="1">
        <f t="array" ref="T567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7" s="235">
        <f>IFERROR((Таблица10[[#This Row],[ПП]]-Таблица10[[#This Row],[ДДУ]])*1,)</f>
        <v>0</v>
      </c>
      <c r="V567" s="235" t="str" cm="1">
        <f t="array" ref="V567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7" s="235">
        <f>_xlfn.XLOOKUP(Таблица10[[#This Row],[№]],Реестр_Д5[№],Реестр_Д5[Стоимость квартиры с отделкой],"-",0)</f>
        <v>11009200</v>
      </c>
      <c r="X567" s="235" t="str">
        <f>IFERROR(Таблица10[[#This Row],[СО ПП]]-Таблица10[[#This Row],[СО ДДУ]],"")</f>
        <v/>
      </c>
      <c r="Y567" s="233" t="str" cm="1">
        <f t="array" ref="Y567">IFERROR(INDEX(РД[S],MATCH($Q$3&amp;Таблица10[[#This Row],[№]]&amp;"Продажа",РД[Дом]&amp;РД[№ кв]&amp;РД[Состояние],0),1),Таблица10[[#This Row],[Статус]])</f>
        <v>Свободно</v>
      </c>
      <c r="Z567" s="233">
        <f>IF(Таблица10[[#This Row],[№]]&amp;"ДДУ"=ППД5!A564&amp;ППД5!CR564,ППД5!U564,ППД5!V564)</f>
        <v>78.500000000000014</v>
      </c>
      <c r="AA567" s="285">
        <f>IFERROR(Таблица10[[#This Row],[S ПП]]-Таблица10[[#This Row],[S ДДУ]],)</f>
        <v>0</v>
      </c>
      <c r="AB567" s="235">
        <f>ROUND(_xlfn.XLOOKUP(Таблица10[[#This Row],[№]],Реестр_Д5[№],Реестр_Д5[Итоговая сумма скидки],"",0),2)</f>
        <v>0</v>
      </c>
      <c r="AC567" s="235" t="str" cm="1">
        <f t="array" ref="AC567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7" s="285">
        <f>IFERROR(Таблица10[[#This Row],[ППС]]-Таблица10[[#This Row],[ДДУС]],)</f>
        <v>0</v>
      </c>
      <c r="AE567" s="611"/>
      <c r="AT567" s="611"/>
    </row>
    <row r="568" spans="1:46" x14ac:dyDescent="0.2">
      <c r="A568" s="611"/>
      <c r="P568" s="611"/>
      <c r="Q568" s="234">
        <f>VLOOKUP(ППД5!A565,Реестр_Д5[№],1,0)</f>
        <v>564</v>
      </c>
      <c r="R568" s="234" t="str">
        <f>VLOOKUP(ППД5!CH565,Реестр_Д5[Статус],1,0)</f>
        <v>Свободно</v>
      </c>
      <c r="S568" s="612">
        <f>VLOOKUP(ППД5!BZ565,Реестр_Д5[Стоимость ОН без отделки со скидкой],1,0)</f>
        <v>5676900</v>
      </c>
      <c r="T568" s="612" t="str" cm="1">
        <f t="array" ref="T56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68" s="235">
        <f>IFERROR((Таблица10[[#This Row],[ПП]]-Таблица10[[#This Row],[ДДУ]])*1,)</f>
        <v>0</v>
      </c>
      <c r="V568" s="235" t="str" cm="1">
        <f t="array" ref="V56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68" s="235">
        <f>_xlfn.XLOOKUP(Таблица10[[#This Row],[№]],Реестр_Д5[№],Реестр_Д5[Стоимость квартиры с отделкой],"-",0)</f>
        <v>5676900</v>
      </c>
      <c r="X568" s="235" t="str">
        <f>IFERROR(Таблица10[[#This Row],[СО ПП]]-Таблица10[[#This Row],[СО ДДУ]],"")</f>
        <v/>
      </c>
      <c r="Y568" s="233" t="str" cm="1">
        <f t="array" ref="Y568">IFERROR(INDEX(РД[S],MATCH($Q$3&amp;Таблица10[[#This Row],[№]]&amp;"Продажа",РД[Дом]&amp;РД[№ кв]&amp;РД[Состояние],0),1),Таблица10[[#This Row],[Статус]])</f>
        <v>Свободно</v>
      </c>
      <c r="Z568" s="233">
        <f>IF(Таблица10[[#This Row],[№]]&amp;"ДДУ"=ППД5!A565&amp;ППД5!CR565,ППД5!U565,ППД5!V565)</f>
        <v>39.450000000000003</v>
      </c>
      <c r="AA568" s="285">
        <f>IFERROR(Таблица10[[#This Row],[S ПП]]-Таблица10[[#This Row],[S ДДУ]],)</f>
        <v>0</v>
      </c>
      <c r="AB568" s="235">
        <f>ROUND(_xlfn.XLOOKUP(Таблица10[[#This Row],[№]],Реестр_Д5[№],Реестр_Д5[Итоговая сумма скидки],"",0),2)</f>
        <v>0</v>
      </c>
      <c r="AC568" s="235" t="str" cm="1">
        <f t="array" ref="AC56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68" s="285">
        <f>IFERROR(Таблица10[[#This Row],[ППС]]-Таблица10[[#This Row],[ДДУС]],)</f>
        <v>0</v>
      </c>
      <c r="AE568" s="611"/>
      <c r="AT568" s="611"/>
    </row>
    <row r="569" spans="1:46" x14ac:dyDescent="0.2">
      <c r="A569" s="611"/>
      <c r="P569" s="611"/>
      <c r="Q569" s="234">
        <f>VLOOKUP(ППД5!A566,Реестр_Д5[№],1,0)</f>
        <v>565</v>
      </c>
      <c r="R569" s="234" t="str">
        <f>VLOOKUP(ППД5!CH566,Реестр_Д5[Статус],1,0)</f>
        <v>Продажа</v>
      </c>
      <c r="S569" s="612">
        <f>VLOOKUP(ППД5!BZ566,Реестр_Д5[Стоимость ОН без отделки со скидкой],1,0)</f>
        <v>3063924.53</v>
      </c>
      <c r="T569" s="612" cm="1">
        <f t="array" ref="T569">IFERROR(INDEX(РД[Стоимость без отделки итог],MATCH($Q$3&amp;Таблица10[[#This Row],[№]]&amp;"Продажа",РД[Дом]&amp;РД[№ кв]&amp;РД[Состояние],0),1),Таблица10[[#This Row],[Статус]])</f>
        <v>3063924.53</v>
      </c>
      <c r="U569" s="235">
        <f>IFERROR((Таблица10[[#This Row],[ПП]]-Таблица10[[#This Row],[ДДУ]])*1,)</f>
        <v>0</v>
      </c>
      <c r="V569" s="235" cm="1">
        <f t="array" ref="V569">IFERROR(INDEX(РД[Стоимость с отделкой итог],MATCH($Q$3&amp;Таблица10[[#This Row],[№]]&amp;"Продажа",РД[Дом]&amp;РД[№ кв]&amp;РД[Состояние],0),1),Таблица10[[#This Row],[Статус]])</f>
        <v>3063924.53</v>
      </c>
      <c r="W569" s="235">
        <f>_xlfn.XLOOKUP(Таблица10[[#This Row],[№]],Реестр_Д5[№],Реестр_Д5[Стоимость квартиры с отделкой],"-",0)</f>
        <v>3063924.53</v>
      </c>
      <c r="X569" s="235">
        <f>IFERROR(Таблица10[[#This Row],[СО ПП]]-Таблица10[[#This Row],[СО ДДУ]],"")</f>
        <v>0</v>
      </c>
      <c r="Y569" s="233" cm="1">
        <f t="array" ref="Y569">IFERROR(INDEX(РД[S],MATCH($Q$3&amp;Таблица10[[#This Row],[№]]&amp;"Продажа",РД[Дом]&amp;РД[№ кв]&amp;РД[Состояние],0),1),Таблица10[[#This Row],[Статус]])</f>
        <v>29.4</v>
      </c>
      <c r="Z569" s="233">
        <f>IF(Таблица10[[#This Row],[№]]&amp;"ДДУ"=ППД5!A566&amp;ППД5!CR566,ППД5!U566,ППД5!V566)</f>
        <v>29.4</v>
      </c>
      <c r="AA569" s="285">
        <f>IFERROR(Таблица10[[#This Row],[S ПП]]-Таблица10[[#This Row],[S ДДУ]],)</f>
        <v>0</v>
      </c>
      <c r="AB569" s="235">
        <f>ROUND(_xlfn.XLOOKUP(Таблица10[[#This Row],[№]],Реестр_Д5[№],Реестр_Д5[Итоговая сумма скидки],"",0),2)</f>
        <v>0</v>
      </c>
      <c r="AC569" s="235" cm="1">
        <f t="array" ref="AC569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69" s="285">
        <f>IFERROR(Таблица10[[#This Row],[ППС]]-Таблица10[[#This Row],[ДДУС]],)</f>
        <v>0</v>
      </c>
      <c r="AE569" s="611"/>
      <c r="AT569" s="611"/>
    </row>
    <row r="570" spans="1:46" x14ac:dyDescent="0.2">
      <c r="A570" s="611"/>
      <c r="P570" s="611"/>
      <c r="Q570" s="234">
        <f>VLOOKUP(ППД5!A567,Реестр_Д5[№],1,0)</f>
        <v>566</v>
      </c>
      <c r="R570" s="234" t="str">
        <f>VLOOKUP(ППД5!CH567,Реестр_Д5[Статус],1,0)</f>
        <v>Свободно</v>
      </c>
      <c r="S570" s="612">
        <f>VLOOKUP(ППД5!BZ567,Реестр_Д5[Стоимость ОН без отделки со скидкой],1,0)</f>
        <v>6165000</v>
      </c>
      <c r="T570" s="612" t="str" cm="1">
        <f t="array" ref="T57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70" s="235">
        <f>IFERROR((Таблица10[[#This Row],[ПП]]-Таблица10[[#This Row],[ДДУ]])*1,)</f>
        <v>0</v>
      </c>
      <c r="V570" s="235" t="str" cm="1">
        <f t="array" ref="V57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70" s="235">
        <f>_xlfn.XLOOKUP(Таблица10[[#This Row],[№]],Реестр_Д5[№],Реестр_Д5[Стоимость квартиры с отделкой],"-",0)</f>
        <v>6165000</v>
      </c>
      <c r="X570" s="235" t="str">
        <f>IFERROR(Таблица10[[#This Row],[СО ПП]]-Таблица10[[#This Row],[СО ДДУ]],"")</f>
        <v/>
      </c>
      <c r="Y570" s="233" t="str" cm="1">
        <f t="array" ref="Y570">IFERROR(INDEX(РД[S],MATCH($Q$3&amp;Таблица10[[#This Row],[№]]&amp;"Продажа",РД[Дом]&amp;РД[№ кв]&amp;РД[Состояние],0),1),Таблица10[[#This Row],[Статус]])</f>
        <v>Свободно</v>
      </c>
      <c r="Z570" s="233">
        <f>IF(Таблица10[[#This Row],[№]]&amp;"ДДУ"=ППД5!A567&amp;ППД5!CR567,ППД5!U567,ППД5!V567)</f>
        <v>42.3</v>
      </c>
      <c r="AA570" s="285">
        <f>IFERROR(Таблица10[[#This Row],[S ПП]]-Таблица10[[#This Row],[S ДДУ]],)</f>
        <v>0</v>
      </c>
      <c r="AB570" s="235">
        <f>ROUND(_xlfn.XLOOKUP(Таблица10[[#This Row],[№]],Реестр_Д5[№],Реестр_Д5[Итоговая сумма скидки],"",0),2)</f>
        <v>0</v>
      </c>
      <c r="AC570" s="235" t="str" cm="1">
        <f t="array" ref="AC57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70" s="285">
        <f>IFERROR(Таблица10[[#This Row],[ППС]]-Таблица10[[#This Row],[ДДУС]],)</f>
        <v>0</v>
      </c>
      <c r="AE570" s="611"/>
      <c r="AT570" s="611"/>
    </row>
    <row r="571" spans="1:46" x14ac:dyDescent="0.2">
      <c r="A571" s="611"/>
      <c r="P571" s="611"/>
      <c r="Q571" s="234">
        <f>VLOOKUP(ППД5!A568,Реестр_Д5[№],1,0)</f>
        <v>567</v>
      </c>
      <c r="R571" s="234" t="str">
        <f>VLOOKUP(ППД5!CH568,Реестр_Д5[Статус],1,0)</f>
        <v>Продажа</v>
      </c>
      <c r="S571" s="612">
        <f>VLOOKUP(ППД5!BZ568,Реестр_Д5[Стоимость ОН без отделки со скидкой],1,0)</f>
        <v>3126300</v>
      </c>
      <c r="T571" s="612" cm="1">
        <f t="array" ref="T571">IFERROR(INDEX(РД[Стоимость без отделки итог],MATCH($Q$3&amp;Таблица10[[#This Row],[№]]&amp;"Продажа",РД[Дом]&amp;РД[№ кв]&amp;РД[Состояние],0),1),Таблица10[[#This Row],[Статус]])</f>
        <v>3126300</v>
      </c>
      <c r="U571" s="235">
        <f>IFERROR((Таблица10[[#This Row],[ПП]]-Таблица10[[#This Row],[ДДУ]])*1,)</f>
        <v>0</v>
      </c>
      <c r="V571" s="235" cm="1">
        <f t="array" ref="V571">IFERROR(INDEX(РД[Стоимость с отделкой итог],MATCH($Q$3&amp;Таблица10[[#This Row],[№]]&amp;"Продажа",РД[Дом]&amp;РД[№ кв]&amp;РД[Состояние],0),1),Таблица10[[#This Row],[Статус]])</f>
        <v>3616300</v>
      </c>
      <c r="W571" s="235">
        <f>_xlfn.XLOOKUP(Таблица10[[#This Row],[№]],Реестр_Д5[№],Реестр_Д5[Стоимость квартиры с отделкой],"-",0)</f>
        <v>3616300.0000000009</v>
      </c>
      <c r="X571" s="235">
        <f>IFERROR(Таблица10[[#This Row],[СО ПП]]-Таблица10[[#This Row],[СО ДДУ]],"")</f>
        <v>9.3132257461547852E-10</v>
      </c>
      <c r="Y571" s="233" cm="1">
        <f t="array" ref="Y571">IFERROR(INDEX(РД[S],MATCH($Q$3&amp;Таблица10[[#This Row],[№]]&amp;"Продажа",РД[Дом]&amp;РД[№ кв]&amp;РД[Состояние],0),1),Таблица10[[#This Row],[Статус]])</f>
        <v>24.5</v>
      </c>
      <c r="Z571" s="233">
        <f>IF(Таблица10[[#This Row],[№]]&amp;"ДДУ"=ППД5!A568&amp;ППД5!CR568,ППД5!U568,ППД5!V568)</f>
        <v>24.5</v>
      </c>
      <c r="AA571" s="285">
        <f>IFERROR(Таблица10[[#This Row],[S ПП]]-Таблица10[[#This Row],[S ДДУ]],)</f>
        <v>0</v>
      </c>
      <c r="AB571" s="235">
        <f>ROUND(_xlfn.XLOOKUP(Таблица10[[#This Row],[№]],Реестр_Д5[№],Реестр_Д5[Итоговая сумма скидки],"",0),2)</f>
        <v>0</v>
      </c>
      <c r="AC571" s="235" cm="1">
        <f t="array" ref="AC571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71" s="285">
        <f>IFERROR(Таблица10[[#This Row],[ППС]]-Таблица10[[#This Row],[ДДУС]],)</f>
        <v>0</v>
      </c>
      <c r="AE571" s="611"/>
      <c r="AT571" s="611"/>
    </row>
    <row r="572" spans="1:46" x14ac:dyDescent="0.2">
      <c r="A572" s="611"/>
      <c r="P572" s="611"/>
      <c r="Q572" s="234">
        <f>VLOOKUP(ППД5!A569,Реестр_Д5[№],1,0)</f>
        <v>568</v>
      </c>
      <c r="R572" s="234" t="str">
        <f>VLOOKUP(ППД5!CH569,Реестр_Д5[Статус],1,0)</f>
        <v>Продажа</v>
      </c>
      <c r="S572" s="612">
        <f>VLOOKUP(ППД5!BZ569,Реестр_Д5[Стоимость ОН без отделки со скидкой],1,0)</f>
        <v>5290824</v>
      </c>
      <c r="T572" s="612" cm="1">
        <f t="array" ref="T572">IFERROR(INDEX(РД[Стоимость без отделки итог],MATCH($Q$3&amp;Таблица10[[#This Row],[№]]&amp;"Продажа",РД[Дом]&amp;РД[№ кв]&amp;РД[Состояние],0),1),Таблица10[[#This Row],[Статус]])</f>
        <v>5290824</v>
      </c>
      <c r="U572" s="235">
        <f>IFERROR((Таблица10[[#This Row],[ПП]]-Таблица10[[#This Row],[ДДУ]])*1,)</f>
        <v>0</v>
      </c>
      <c r="V572" s="235" cm="1">
        <f t="array" ref="V572">IFERROR(INDEX(РД[Стоимость с отделкой итог],MATCH($Q$3&amp;Таблица10[[#This Row],[№]]&amp;"Продажа",РД[Дом]&amp;РД[№ кв]&amp;РД[Состояние],0),1),Таблица10[[#This Row],[Статус]])</f>
        <v>6572104</v>
      </c>
      <c r="W572" s="235">
        <f>_xlfn.XLOOKUP(Таблица10[[#This Row],[№]],Реестр_Д5[№],Реестр_Д5[Стоимость квартиры с отделкой],"-",0)</f>
        <v>6572104</v>
      </c>
      <c r="X572" s="235">
        <f>IFERROR(Таблица10[[#This Row],[СО ПП]]-Таблица10[[#This Row],[СО ДДУ]],"")</f>
        <v>0</v>
      </c>
      <c r="Y572" s="233" cm="1">
        <f t="array" ref="Y572">IFERROR(INDEX(РД[S],MATCH($Q$3&amp;Таблица10[[#This Row],[№]]&amp;"Продажа",РД[Дом]&amp;РД[№ кв]&amp;РД[Состояние],0),1),Таблица10[[#This Row],[Статус]])</f>
        <v>58.24</v>
      </c>
      <c r="Z572" s="233">
        <f>IF(Таблица10[[#This Row],[№]]&amp;"ДДУ"=ППД5!A569&amp;ППД5!CR569,ППД5!U569,ППД5!V569)</f>
        <v>58.24</v>
      </c>
      <c r="AA572" s="285">
        <f>IFERROR(Таблица10[[#This Row],[S ПП]]-Таблица10[[#This Row],[S ДДУ]],)</f>
        <v>0</v>
      </c>
      <c r="AB572" s="235">
        <f>ROUND(_xlfn.XLOOKUP(Таблица10[[#This Row],[№]],Реестр_Д5[№],Реестр_Д5[Итоговая сумма скидки],"",0),2)</f>
        <v>107976</v>
      </c>
      <c r="AC572" s="235" cm="1">
        <f t="array" ref="AC572">IFERROR(ROUND(_xlfn.XLOOKUP($Q$3&amp;Таблица10[[#This Row],[№]]&amp;"Продажа",РД[Дом]&amp;РД[№ кв]&amp;РД[Состояние],РД[Сумма скидки],"",0,-1),2),Таблица10[[#This Row],[Статус]])</f>
        <v>107976</v>
      </c>
      <c r="AD572" s="285">
        <f>IFERROR(Таблица10[[#This Row],[ППС]]-Таблица10[[#This Row],[ДДУС]],)</f>
        <v>0</v>
      </c>
      <c r="AE572" s="611"/>
      <c r="AT572" s="611"/>
    </row>
    <row r="573" spans="1:46" x14ac:dyDescent="0.2">
      <c r="A573" s="611"/>
      <c r="P573" s="611"/>
      <c r="Q573" s="234">
        <f>VLOOKUP(ППД5!A570,Реестр_Д5[№],1,0)</f>
        <v>569</v>
      </c>
      <c r="R573" s="234" t="str">
        <f>VLOOKUP(ППД5!CH570,Реестр_Д5[Статус],1,0)</f>
        <v>Свободно</v>
      </c>
      <c r="S573" s="612">
        <f>VLOOKUP(ППД5!BZ570,Реестр_Д5[Стоимость ОН без отделки со скидкой],1,0)</f>
        <v>7573200</v>
      </c>
      <c r="T573" s="612" t="str" cm="1">
        <f t="array" ref="T57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73" s="235">
        <f>IFERROR((Таблица10[[#This Row],[ПП]]-Таблица10[[#This Row],[ДДУ]])*1,)</f>
        <v>0</v>
      </c>
      <c r="V573" s="235" t="str" cm="1">
        <f t="array" ref="V57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73" s="235">
        <f>_xlfn.XLOOKUP(Таблица10[[#This Row],[№]],Реестр_Д5[№],Реестр_Д5[Стоимость квартиры с отделкой],"-",0)</f>
        <v>7573200</v>
      </c>
      <c r="X573" s="235" t="str">
        <f>IFERROR(Таблица10[[#This Row],[СО ПП]]-Таблица10[[#This Row],[СО ДДУ]],"")</f>
        <v/>
      </c>
      <c r="Y573" s="233" t="str" cm="1">
        <f t="array" ref="Y573">IFERROR(INDEX(РД[S],MATCH($Q$3&amp;Таблица10[[#This Row],[№]]&amp;"Продажа",РД[Дом]&amp;РД[№ кв]&amp;РД[Состояние],0),1),Таблица10[[#This Row],[Статус]])</f>
        <v>Свободно</v>
      </c>
      <c r="Z573" s="233">
        <f>IF(Таблица10[[#This Row],[№]]&amp;"ДДУ"=ППД5!A570&amp;ППД5!CR570,ППД5!U570,ППД5!V570)</f>
        <v>57.95</v>
      </c>
      <c r="AA573" s="285">
        <f>IFERROR(Таблица10[[#This Row],[S ПП]]-Таблица10[[#This Row],[S ДДУ]],)</f>
        <v>0</v>
      </c>
      <c r="AB573" s="235">
        <f>ROUND(_xlfn.XLOOKUP(Таблица10[[#This Row],[№]],Реестр_Д5[№],Реестр_Д5[Итоговая сумма скидки],"",0),2)</f>
        <v>0</v>
      </c>
      <c r="AC573" s="235" t="str" cm="1">
        <f t="array" ref="AC57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73" s="285">
        <f>IFERROR(Таблица10[[#This Row],[ППС]]-Таблица10[[#This Row],[ДДУС]],)</f>
        <v>0</v>
      </c>
      <c r="AE573" s="611"/>
      <c r="AT573" s="611"/>
    </row>
    <row r="574" spans="1:46" x14ac:dyDescent="0.2">
      <c r="A574" s="611"/>
      <c r="P574" s="611"/>
      <c r="Q574" s="234">
        <f>VLOOKUP(ППД5!A571,Реестр_Д5[№],1,0)</f>
        <v>570</v>
      </c>
      <c r="R574" s="234" t="str">
        <f>VLOOKUP(ППД5!CH571,Реестр_Д5[Статус],1,0)</f>
        <v>Продажа</v>
      </c>
      <c r="S574" s="612">
        <f>VLOOKUP(ППД5!BZ571,Реестр_Д5[Стоимость ОН без отделки со скидкой],1,0)</f>
        <v>3857611.65</v>
      </c>
      <c r="T574" s="612" cm="1">
        <f t="array" ref="T574">IFERROR(INDEX(РД[Стоимость без отделки итог],MATCH($Q$3&amp;Таблица10[[#This Row],[№]]&amp;"Продажа",РД[Дом]&amp;РД[№ кв]&amp;РД[Состояние],0),1),Таблица10[[#This Row],[Статус]])</f>
        <v>3857611.65</v>
      </c>
      <c r="U574" s="235">
        <f>IFERROR((Таблица10[[#This Row],[ПП]]-Таблица10[[#This Row],[ДДУ]])*1,)</f>
        <v>0</v>
      </c>
      <c r="V574" s="235" cm="1">
        <f t="array" ref="V574">IFERROR(INDEX(РД[Стоимость с отделкой итог],MATCH($Q$3&amp;Таблица10[[#This Row],[№]]&amp;"Продажа",РД[Дом]&amp;РД[№ кв]&amp;РД[Состояние],0),1),Таблица10[[#This Row],[Статус]])</f>
        <v>4144861.65</v>
      </c>
      <c r="W574" s="235">
        <f>_xlfn.XLOOKUP(Таблица10[[#This Row],[№]],Реестр_Д5[№],Реестр_Д5[Стоимость квартиры с отделкой],"-",0)</f>
        <v>4144861.649999999</v>
      </c>
      <c r="X574" s="235">
        <f>IFERROR(Таблица10[[#This Row],[СО ПП]]-Таблица10[[#This Row],[СО ДДУ]],"")</f>
        <v>-9.3132257461547852E-10</v>
      </c>
      <c r="Y574" s="233" cm="1">
        <f t="array" ref="Y574">IFERROR(INDEX(РД[S],MATCH($Q$3&amp;Таблица10[[#This Row],[№]]&amp;"Продажа",РД[Дом]&amp;РД[№ кв]&amp;РД[Состояние],0),1),Таблица10[[#This Row],[Статус]])</f>
        <v>38.299999999999997</v>
      </c>
      <c r="Z574" s="233">
        <f>IF(Таблица10[[#This Row],[№]]&amp;"ДДУ"=ППД5!A571&amp;ППД5!CR571,ППД5!U571,ППД5!V571)</f>
        <v>38.299999999999997</v>
      </c>
      <c r="AA574" s="285">
        <f>IFERROR(Таблица10[[#This Row],[S ПП]]-Таблица10[[#This Row],[S ДДУ]],)</f>
        <v>0</v>
      </c>
      <c r="AB574" s="235">
        <f>ROUND(_xlfn.XLOOKUP(Таблица10[[#This Row],[№]],Реестр_Д5[№],Реестр_Д5[Итоговая сумма скидки],"",0),2)</f>
        <v>78726.77</v>
      </c>
      <c r="AC574" s="235" cm="1">
        <f t="array" ref="AC574">IFERROR(ROUND(_xlfn.XLOOKUP($Q$3&amp;Таблица10[[#This Row],[№]]&amp;"Продажа",РД[Дом]&amp;РД[№ кв]&amp;РД[Состояние],РД[Сумма скидки],"",0,-1),2),Таблица10[[#This Row],[Статус]])</f>
        <v>78726.77</v>
      </c>
      <c r="AD574" s="285">
        <f>IFERROR(Таблица10[[#This Row],[ППС]]-Таблица10[[#This Row],[ДДУС]],)</f>
        <v>0</v>
      </c>
      <c r="AE574" s="611"/>
      <c r="AT574" s="611"/>
    </row>
    <row r="575" spans="1:46" x14ac:dyDescent="0.2">
      <c r="A575" s="611"/>
      <c r="P575" s="611"/>
      <c r="Q575" s="234">
        <f>VLOOKUP(ППД5!A572,Реестр_Д5[№],1,0)</f>
        <v>571</v>
      </c>
      <c r="R575" s="234" t="str">
        <f>VLOOKUP(ППД5!CH572,Реестр_Д5[Статус],1,0)</f>
        <v>Продажа</v>
      </c>
      <c r="S575" s="612">
        <f>VLOOKUP(ППД5!BZ572,Реестр_Д5[Стоимость ОН без отделки со скидкой],1,0)</f>
        <v>8602057</v>
      </c>
      <c r="T575" s="612" cm="1">
        <f t="array" ref="T575">IFERROR(INDEX(РД[Стоимость без отделки итог],MATCH($Q$3&amp;Таблица10[[#This Row],[№]]&amp;"Продажа",РД[Дом]&amp;РД[№ кв]&amp;РД[Состояние],0),1),Таблица10[[#This Row],[Статус]])</f>
        <v>8602057</v>
      </c>
      <c r="U575" s="235">
        <f>IFERROR((Таблица10[[#This Row],[ПП]]-Таблица10[[#This Row],[ДДУ]])*1,)</f>
        <v>0</v>
      </c>
      <c r="V575" s="235" cm="1">
        <f t="array" ref="V575">IFERROR(INDEX(РД[Стоимость с отделкой итог],MATCH($Q$3&amp;Таблица10[[#This Row],[№]]&amp;"Продажа",РД[Дом]&amp;РД[№ кв]&amp;РД[Состояние],0),1),Таблица10[[#This Row],[Статус]])</f>
        <v>8602057</v>
      </c>
      <c r="W575" s="235">
        <f>_xlfn.XLOOKUP(Таблица10[[#This Row],[№]],Реестр_Д5[№],Реестр_Д5[Стоимость квартиры с отделкой],"-",0)</f>
        <v>8602057</v>
      </c>
      <c r="X575" s="235">
        <f>IFERROR(Таблица10[[#This Row],[СО ПП]]-Таблица10[[#This Row],[СО ДДУ]],"")</f>
        <v>0</v>
      </c>
      <c r="Y575" s="233" cm="1">
        <f t="array" ref="Y575">IFERROR(INDEX(РД[S],MATCH($Q$3&amp;Таблица10[[#This Row],[№]]&amp;"Продажа",РД[Дом]&amp;РД[№ кв]&amp;РД[Состояние],0),1),Таблица10[[#This Row],[Статус]])</f>
        <v>79.44</v>
      </c>
      <c r="Z575" s="233">
        <f>IF(Таблица10[[#This Row],[№]]&amp;"ДДУ"=ППД5!A572&amp;ППД5!CR572,ППД5!U572,ППД5!V572)</f>
        <v>79.44</v>
      </c>
      <c r="AA575" s="285">
        <f>IFERROR(Таблица10[[#This Row],[S ПП]]-Таблица10[[#This Row],[S ДДУ]],)</f>
        <v>0</v>
      </c>
      <c r="AB575" s="235">
        <f>ROUND(_xlfn.XLOOKUP(Таблица10[[#This Row],[№]],Реестр_Д5[№],Реестр_Д5[Итоговая сумма скидки],"",0),2)</f>
        <v>266043</v>
      </c>
      <c r="AC575" s="235" cm="1">
        <f t="array" ref="AC575">IFERROR(ROUND(_xlfn.XLOOKUP($Q$3&amp;Таблица10[[#This Row],[№]]&amp;"Продажа",РД[Дом]&amp;РД[№ кв]&amp;РД[Состояние],РД[Сумма скидки],"",0,-1),2),Таблица10[[#This Row],[Статус]])</f>
        <v>266043</v>
      </c>
      <c r="AD575" s="285">
        <f>IFERROR(Таблица10[[#This Row],[ППС]]-Таблица10[[#This Row],[ДДУС]],)</f>
        <v>0</v>
      </c>
      <c r="AE575" s="611"/>
      <c r="AT575" s="611"/>
    </row>
    <row r="576" spans="1:46" x14ac:dyDescent="0.2">
      <c r="A576" s="611"/>
      <c r="P576" s="611"/>
      <c r="Q576" s="234">
        <f>VLOOKUP(ППД5!A573,Реестр_Д5[№],1,0)</f>
        <v>572</v>
      </c>
      <c r="R576" s="234" t="str">
        <f>VLOOKUP(ППД5!CH573,Реестр_Д5[Статус],1,0)</f>
        <v>Гарантированная бронь</v>
      </c>
      <c r="S576" s="612">
        <f>VLOOKUP(ППД5!BZ573,Реестр_Д5[Стоимость ОН без отделки со скидкой],1,0)</f>
        <v>5255300</v>
      </c>
      <c r="T576" s="612" t="str" cm="1">
        <f t="array" ref="T576">IFERROR(INDEX(РД[Стоимость без отделки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U576" s="235">
        <f>IFERROR((Таблица10[[#This Row],[ПП]]-Таблица10[[#This Row],[ДДУ]])*1,)</f>
        <v>0</v>
      </c>
      <c r="V576" s="235" t="str" cm="1">
        <f t="array" ref="V576">IFERROR(INDEX(РД[Стоимость с отделкой итог],MATCH($Q$3&amp;Таблица10[[#This Row],[№]]&amp;"Продажа",РД[Дом]&amp;РД[№ кв]&amp;РД[Состояние],0),1),Таблица10[[#This Row],[Статус]])</f>
        <v>Гарантированная бронь</v>
      </c>
      <c r="W576" s="235">
        <f>_xlfn.XLOOKUP(Таблица10[[#This Row],[№]],Реестр_Д5[№],Реестр_Д5[Стоимость квартиры с отделкой],"-",0)</f>
        <v>6240300</v>
      </c>
      <c r="X576" s="235" t="str">
        <f>IFERROR(Таблица10[[#This Row],[СО ПП]]-Таблица10[[#This Row],[СО ДДУ]],"")</f>
        <v/>
      </c>
      <c r="Y576" s="233" t="str" cm="1">
        <f t="array" ref="Y576">IFERROR(INDEX(РД[S],MATCH($Q$3&amp;Таблица10[[#This Row],[№]]&amp;"Продажа",РД[Дом]&amp;РД[№ кв]&amp;РД[Состояние],0),1),Таблица10[[#This Row],[Статус]])</f>
        <v>Гарантированная бронь</v>
      </c>
      <c r="Z576" s="233">
        <f>IF(Таблица10[[#This Row],[№]]&amp;"ДДУ"=ППД5!A573&amp;ППД5!CR573,ППД5!U573,ППД5!V573)</f>
        <v>39.400000000000006</v>
      </c>
      <c r="AA576" s="285">
        <f>IFERROR(Таблица10[[#This Row],[S ПП]]-Таблица10[[#This Row],[S ДДУ]],)</f>
        <v>0</v>
      </c>
      <c r="AB576" s="235">
        <f>ROUND(_xlfn.XLOOKUP(Таблица10[[#This Row],[№]],Реестр_Д5[№],Реестр_Д5[Итоговая сумма скидки],"",0),2)</f>
        <v>515200</v>
      </c>
      <c r="AC576" s="235" t="str" cm="1">
        <f t="array" ref="AC576">IFERROR(ROUND(_xlfn.XLOOKUP($Q$3&amp;Таблица10[[#This Row],[№]]&amp;"Продажа",РД[Дом]&amp;РД[№ кв]&amp;РД[Состояние],РД[Сумма скидки],"",0,-1),2),Таблица10[[#This Row],[Статус]])</f>
        <v>Гарантированная бронь</v>
      </c>
      <c r="AD576" s="285">
        <f>IFERROR(Таблица10[[#This Row],[ППС]]-Таблица10[[#This Row],[ДДУС]],)</f>
        <v>0</v>
      </c>
      <c r="AE576" s="611"/>
      <c r="AT576" s="611"/>
    </row>
    <row r="577" spans="1:46" x14ac:dyDescent="0.2">
      <c r="A577" s="611"/>
      <c r="P577" s="611"/>
      <c r="Q577" s="234">
        <f>VLOOKUP(ППД5!A574,Реестр_Д5[№],1,0)</f>
        <v>573</v>
      </c>
      <c r="R577" s="234" t="str">
        <f>VLOOKUP(ППД5!CH574,Реестр_Д5[Статус],1,0)</f>
        <v>Продажа</v>
      </c>
      <c r="S577" s="612">
        <f>VLOOKUP(ППД5!BZ574,Реестр_Д5[Стоимость ОН без отделки со скидкой],1,0)</f>
        <v>3739800</v>
      </c>
      <c r="T577" s="612" cm="1">
        <f t="array" ref="T577">IFERROR(INDEX(РД[Стоимость без отделки итог],MATCH($Q$3&amp;Таблица10[[#This Row],[№]]&amp;"Продажа",РД[Дом]&amp;РД[№ кв]&amp;РД[Состояние],0),1),Таблица10[[#This Row],[Статус]])</f>
        <v>3739800</v>
      </c>
      <c r="U577" s="235">
        <f>IFERROR((Таблица10[[#This Row],[ПП]]-Таблица10[[#This Row],[ДДУ]])*1,)</f>
        <v>0</v>
      </c>
      <c r="V577" s="235" cm="1">
        <f t="array" ref="V577">IFERROR(INDEX(РД[Стоимость с отделкой итог],MATCH($Q$3&amp;Таблица10[[#This Row],[№]]&amp;"Продажа",РД[Дом]&amp;РД[№ кв]&amp;РД[Состояние],0),1),Таблица10[[#This Row],[Статус]])</f>
        <v>4327800</v>
      </c>
      <c r="W577" s="235">
        <f>_xlfn.XLOOKUP(Таблица10[[#This Row],[№]],Реестр_Д5[№],Реестр_Д5[Стоимость квартиры с отделкой],"-",0)</f>
        <v>4327800</v>
      </c>
      <c r="X577" s="235">
        <f>IFERROR(Таблица10[[#This Row],[СО ПП]]-Таблица10[[#This Row],[СО ДДУ]],"")</f>
        <v>0</v>
      </c>
      <c r="Y577" s="233" cm="1">
        <f t="array" ref="Y577">IFERROR(INDEX(РД[S],MATCH($Q$3&amp;Таблица10[[#This Row],[№]]&amp;"Продажа",РД[Дом]&amp;РД[№ кв]&amp;РД[Состояние],0),1),Таблица10[[#This Row],[Статус]])</f>
        <v>29.4</v>
      </c>
      <c r="Z577" s="233">
        <f>IF(Таблица10[[#This Row],[№]]&amp;"ДДУ"=ППД5!A574&amp;ППД5!CR574,ППД5!U574,ППД5!V574)</f>
        <v>29.4</v>
      </c>
      <c r="AA577" s="285">
        <f>IFERROR(Таблица10[[#This Row],[S ПП]]-Таблица10[[#This Row],[S ДДУ]],)</f>
        <v>0</v>
      </c>
      <c r="AB577" s="235">
        <f>ROUND(_xlfn.XLOOKUP(Таблица10[[#This Row],[№]],Реестр_Д5[№],Реестр_Д5[Итоговая сумма скидки],"",0),2)</f>
        <v>0</v>
      </c>
      <c r="AC577" s="235" cm="1">
        <f t="array" ref="AC577">IFERROR(ROUND(_xlfn.XLOOKUP($Q$3&amp;Таблица10[[#This Row],[№]]&amp;"Продажа",РД[Дом]&amp;РД[№ кв]&amp;РД[Состояние],РД[Сумма скидки],"",0,-1),2),Таблица10[[#This Row],[Статус]])</f>
        <v>0</v>
      </c>
      <c r="AD577" s="285">
        <f>IFERROR(Таблица10[[#This Row],[ППС]]-Таблица10[[#This Row],[ДДУС]],)</f>
        <v>0</v>
      </c>
      <c r="AE577" s="611"/>
      <c r="AT577" s="611"/>
    </row>
    <row r="578" spans="1:46" x14ac:dyDescent="0.2">
      <c r="A578" s="611"/>
      <c r="P578" s="611"/>
      <c r="Q578" s="234">
        <f>VLOOKUP(ППД5!A575,Реестр_Д5[№],1,0)</f>
        <v>574</v>
      </c>
      <c r="R578" s="234" t="str">
        <f>VLOOKUP(ППД5!CH575,Реестр_Д5[Статус],1,0)</f>
        <v>Свободно</v>
      </c>
      <c r="S578" s="612">
        <f>VLOOKUP(ППД5!BZ575,Реестр_Д5[Стоимость ОН без отделки со скидкой],1,0)</f>
        <v>6157700</v>
      </c>
      <c r="T578" s="612" t="str" cm="1">
        <f t="array" ref="T578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78" s="235">
        <f>IFERROR((Таблица10[[#This Row],[ПП]]-Таблица10[[#This Row],[ДДУ]])*1,)</f>
        <v>0</v>
      </c>
      <c r="V578" s="235" t="str" cm="1">
        <f t="array" ref="V578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78" s="235">
        <f>_xlfn.XLOOKUP(Таблица10[[#This Row],[№]],Реестр_Д5[№],Реестр_Д5[Стоимость квартиры с отделкой],"-",0)</f>
        <v>6157700</v>
      </c>
      <c r="X578" s="235" t="str">
        <f>IFERROR(Таблица10[[#This Row],[СО ПП]]-Таблица10[[#This Row],[СО ДДУ]],"")</f>
        <v/>
      </c>
      <c r="Y578" s="233" t="str" cm="1">
        <f t="array" ref="Y578">IFERROR(INDEX(РД[S],MATCH($Q$3&amp;Таблица10[[#This Row],[№]]&amp;"Продажа",РД[Дом]&amp;РД[№ кв]&amp;РД[Состояние],0),1),Таблица10[[#This Row],[Статус]])</f>
        <v>Свободно</v>
      </c>
      <c r="Z578" s="233">
        <f>IF(Таблица10[[#This Row],[№]]&amp;"ДДУ"=ППД5!A575&amp;ППД5!CR575,ППД5!U575,ППД5!V575)</f>
        <v>42.25</v>
      </c>
      <c r="AA578" s="285">
        <f>IFERROR(Таблица10[[#This Row],[S ПП]]-Таблица10[[#This Row],[S ДДУ]],)</f>
        <v>0</v>
      </c>
      <c r="AB578" s="235">
        <f>ROUND(_xlfn.XLOOKUP(Таблица10[[#This Row],[№]],Реестр_Д5[№],Реестр_Д5[Итоговая сумма скидки],"",0),2)</f>
        <v>0</v>
      </c>
      <c r="AC578" s="235" t="str" cm="1">
        <f t="array" ref="AC578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78" s="285">
        <f>IFERROR(Таблица10[[#This Row],[ППС]]-Таблица10[[#This Row],[ДДУС]],)</f>
        <v>0</v>
      </c>
      <c r="AE578" s="611"/>
      <c r="AT578" s="611"/>
    </row>
    <row r="579" spans="1:46" x14ac:dyDescent="0.2">
      <c r="A579" s="611"/>
      <c r="P579" s="611"/>
      <c r="Q579" s="234">
        <f>VLOOKUP(ППД5!A576,Реестр_Д5[№],1,0)</f>
        <v>575</v>
      </c>
      <c r="R579" s="234" t="str">
        <f>VLOOKUP(ППД5!CH576,Реестр_Д5[Статус],1,0)</f>
        <v>Продажа</v>
      </c>
      <c r="S579" s="612">
        <f>VLOOKUP(ППД5!BZ576,Реестр_Д5[Стоимость ОН без отделки со скидкой],1,0)</f>
        <v>3123788</v>
      </c>
      <c r="T579" s="612" cm="1">
        <f t="array" ref="T579">IFERROR(INDEX(РД[Стоимость без отделки итог],MATCH($Q$3&amp;Таблица10[[#This Row],[№]]&amp;"Продажа",РД[Дом]&amp;РД[№ кв]&amp;РД[Состояние],0),1),Таблица10[[#This Row],[Статус]])</f>
        <v>3123788</v>
      </c>
      <c r="U579" s="235">
        <f>IFERROR((Таблица10[[#This Row],[ПП]]-Таблица10[[#This Row],[ДДУ]])*1,)</f>
        <v>0</v>
      </c>
      <c r="V579" s="235" cm="1">
        <f t="array" ref="V579">IFERROR(INDEX(РД[Стоимость с отделкой итог],MATCH($Q$3&amp;Таблица10[[#This Row],[№]]&amp;"Продажа",РД[Дом]&amp;РД[№ кв]&amp;РД[Состояние],0),1),Таблица10[[#This Row],[Статус]])</f>
        <v>3711788</v>
      </c>
      <c r="W579" s="235">
        <f>_xlfn.XLOOKUP(Таблица10[[#This Row],[№]],Реестр_Д5[№],Реестр_Д5[Стоимость квартиры с отделкой],"-",0)</f>
        <v>3711788</v>
      </c>
      <c r="X579" s="235">
        <f>IFERROR(Таблица10[[#This Row],[СО ПП]]-Таблица10[[#This Row],[СО ДДУ]],"")</f>
        <v>0</v>
      </c>
      <c r="Y579" s="233" cm="1">
        <f t="array" ref="Y579">IFERROR(INDEX(РД[S],MATCH($Q$3&amp;Таблица10[[#This Row],[№]]&amp;"Продажа",РД[Дом]&amp;РД[№ кв]&amp;РД[Состояние],0),1),Таблица10[[#This Row],[Статус]])</f>
        <v>24.5</v>
      </c>
      <c r="Z579" s="233">
        <f>IF(Таблица10[[#This Row],[№]]&amp;"ДДУ"=ППД5!A576&amp;ППД5!CR576,ППД5!U576,ППД5!V576)</f>
        <v>24.5</v>
      </c>
      <c r="AA579" s="285">
        <f>IFERROR(Таблица10[[#This Row],[S ПП]]-Таблица10[[#This Row],[S ДДУ]],)</f>
        <v>0</v>
      </c>
      <c r="AB579" s="235">
        <f>ROUND(_xlfn.XLOOKUP(Таблица10[[#This Row],[№]],Реестр_Д5[№],Реестр_Д5[Итоговая сумма скидки],"",0),2)</f>
        <v>96612</v>
      </c>
      <c r="AC579" s="235" cm="1">
        <f t="array" ref="AC579">IFERROR(ROUND(_xlfn.XLOOKUP($Q$3&amp;Таблица10[[#This Row],[№]]&amp;"Продажа",РД[Дом]&amp;РД[№ кв]&amp;РД[Состояние],РД[Сумма скидки],"",0,-1),2),Таблица10[[#This Row],[Статус]])</f>
        <v>96612</v>
      </c>
      <c r="AD579" s="285">
        <f>IFERROR(Таблица10[[#This Row],[ППС]]-Таблица10[[#This Row],[ДДУС]],)</f>
        <v>0</v>
      </c>
      <c r="AE579" s="611"/>
      <c r="AT579" s="611"/>
    </row>
    <row r="580" spans="1:46" x14ac:dyDescent="0.2">
      <c r="A580" s="611"/>
      <c r="P580" s="611"/>
      <c r="Q580" s="234">
        <f>VLOOKUP(ППД5!A577,Реестр_Д5[№],1,0)</f>
        <v>576</v>
      </c>
      <c r="R580" s="234" t="str">
        <f>VLOOKUP(ППД5!CH577,Реестр_Д5[Статус],1,0)</f>
        <v>Свободно</v>
      </c>
      <c r="S580" s="612">
        <f>VLOOKUP(ППД5!BZ577,Реестр_Д5[Стоимость ОН без отделки со скидкой],1,0)</f>
        <v>7597300</v>
      </c>
      <c r="T580" s="612" t="str" cm="1">
        <f t="array" ref="T580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80" s="235">
        <f>IFERROR((Таблица10[[#This Row],[ПП]]-Таблица10[[#This Row],[ДДУ]])*1,)</f>
        <v>0</v>
      </c>
      <c r="V580" s="235" t="str" cm="1">
        <f t="array" ref="V580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80" s="235">
        <f>_xlfn.XLOOKUP(Таблица10[[#This Row],[№]],Реестр_Д5[№],Реестр_Д5[Стоимость квартиры с отделкой],"-",0)</f>
        <v>7597300</v>
      </c>
      <c r="X580" s="235" t="str">
        <f>IFERROR(Таблица10[[#This Row],[СО ПП]]-Таблица10[[#This Row],[СО ДДУ]],"")</f>
        <v/>
      </c>
      <c r="Y580" s="233" t="str" cm="1">
        <f t="array" ref="Y580">IFERROR(INDEX(РД[S],MATCH($Q$3&amp;Таблица10[[#This Row],[№]]&amp;"Продажа",РД[Дом]&amp;РД[№ кв]&amp;РД[Состояние],0),1),Таблица10[[#This Row],[Статус]])</f>
        <v>Свободно</v>
      </c>
      <c r="Z580" s="233">
        <f>IF(Таблица10[[#This Row],[№]]&amp;"ДДУ"=ППД5!A577&amp;ППД5!CR577,ППД5!U577,ППД5!V577)</f>
        <v>58.150000000000006</v>
      </c>
      <c r="AA580" s="285">
        <f>IFERROR(Таблица10[[#This Row],[S ПП]]-Таблица10[[#This Row],[S ДДУ]],)</f>
        <v>0</v>
      </c>
      <c r="AB580" s="235">
        <f>ROUND(_xlfn.XLOOKUP(Таблица10[[#This Row],[№]],Реестр_Д5[№],Реестр_Д5[Итоговая сумма скидки],"",0),2)</f>
        <v>0</v>
      </c>
      <c r="AC580" s="235" t="str" cm="1">
        <f t="array" ref="AC580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80" s="285">
        <f>IFERROR(Таблица10[[#This Row],[ППС]]-Таблица10[[#This Row],[ДДУС]],)</f>
        <v>0</v>
      </c>
      <c r="AE580" s="611"/>
      <c r="AT580" s="611"/>
    </row>
    <row r="581" spans="1:46" x14ac:dyDescent="0.2">
      <c r="A581" s="611"/>
      <c r="P581" s="611"/>
      <c r="Q581" s="234">
        <f>VLOOKUP(ППД5!A578,Реестр_Д5[№],1,0)</f>
        <v>577</v>
      </c>
      <c r="R581" s="234" t="str">
        <f>VLOOKUP(ППД5!CH578,Реестр_Д5[Статус],1,0)</f>
        <v>Свободно</v>
      </c>
      <c r="S581" s="612">
        <f>VLOOKUP(ППД5!BZ578,Реестр_Д5[Стоимость ОН без отделки со скидкой],1,0)</f>
        <v>7514400</v>
      </c>
      <c r="T581" s="612" t="str" cm="1">
        <f t="array" ref="T581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81" s="235">
        <f>IFERROR((Таблица10[[#This Row],[ПП]]-Таблица10[[#This Row],[ДДУ]])*1,)</f>
        <v>0</v>
      </c>
      <c r="V581" s="235" t="str" cm="1">
        <f t="array" ref="V581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81" s="235">
        <f>_xlfn.XLOOKUP(Таблица10[[#This Row],[№]],Реестр_Д5[№],Реестр_Д5[Стоимость квартиры с отделкой],"-",0)</f>
        <v>7514400</v>
      </c>
      <c r="X581" s="235" t="str">
        <f>IFERROR(Таблица10[[#This Row],[СО ПП]]-Таблица10[[#This Row],[СО ДДУ]],"")</f>
        <v/>
      </c>
      <c r="Y581" s="233" t="str" cm="1">
        <f t="array" ref="Y581">IFERROR(INDEX(РД[S],MATCH($Q$3&amp;Таблица10[[#This Row],[№]]&amp;"Продажа",РД[Дом]&amp;РД[№ кв]&amp;РД[Состояние],0),1),Таблица10[[#This Row],[Статус]])</f>
        <v>Свободно</v>
      </c>
      <c r="Z581" s="233">
        <f>IF(Таблица10[[#This Row],[№]]&amp;"ДДУ"=ППД5!A578&amp;ППД5!CR578,ППД5!U578,ППД5!V578)</f>
        <v>57.5</v>
      </c>
      <c r="AA581" s="285">
        <f>IFERROR(Таблица10[[#This Row],[S ПП]]-Таблица10[[#This Row],[S ДДУ]],)</f>
        <v>0</v>
      </c>
      <c r="AB581" s="235">
        <f>ROUND(_xlfn.XLOOKUP(Таблица10[[#This Row],[№]],Реестр_Д5[№],Реестр_Д5[Итоговая сумма скидки],"",0),2)</f>
        <v>0</v>
      </c>
      <c r="AC581" s="235" t="str" cm="1">
        <f t="array" ref="AC581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81" s="285">
        <f>IFERROR(Таблица10[[#This Row],[ППС]]-Таблица10[[#This Row],[ДДУС]],)</f>
        <v>0</v>
      </c>
      <c r="AE581" s="611"/>
      <c r="AT581" s="611"/>
    </row>
    <row r="582" spans="1:46" x14ac:dyDescent="0.2">
      <c r="A582" s="611"/>
      <c r="P582" s="611"/>
      <c r="Q582" s="234">
        <f>VLOOKUP(ППД5!A579,Реестр_Д5[№],1,0)</f>
        <v>578</v>
      </c>
      <c r="R582" s="234" t="str">
        <f>VLOOKUP(ППД5!CH579,Реестр_Д5[Статус],1,0)</f>
        <v>Свободно</v>
      </c>
      <c r="S582" s="612">
        <f>VLOOKUP(ППД5!BZ579,Реестр_Д5[Стоимость ОН без отделки со скидкой],1,0)</f>
        <v>5597000</v>
      </c>
      <c r="T582" s="612" t="str" cm="1">
        <f t="array" ref="T582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82" s="235">
        <f>IFERROR((Таблица10[[#This Row],[ПП]]-Таблица10[[#This Row],[ДДУ]])*1,)</f>
        <v>0</v>
      </c>
      <c r="V582" s="235" t="str" cm="1">
        <f t="array" ref="V582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82" s="235">
        <f>_xlfn.XLOOKUP(Таблица10[[#This Row],[№]],Реестр_Д5[№],Реестр_Д5[Стоимость квартиры с отделкой],"-",0)</f>
        <v>5597000</v>
      </c>
      <c r="X582" s="235" t="str">
        <f>IFERROR(Таблица10[[#This Row],[СО ПП]]-Таблица10[[#This Row],[СО ДДУ]],"")</f>
        <v/>
      </c>
      <c r="Y582" s="233" t="str" cm="1">
        <f t="array" ref="Y582">IFERROR(INDEX(РД[S],MATCH($Q$3&amp;Таблица10[[#This Row],[№]]&amp;"Продажа",РД[Дом]&amp;РД[№ кв]&amp;РД[Состояние],0),1),Таблица10[[#This Row],[Статус]])</f>
        <v>Свободно</v>
      </c>
      <c r="Z582" s="233">
        <f>IF(Таблица10[[#This Row],[№]]&amp;"ДДУ"=ППД5!A579&amp;ППД5!CR579,ППД5!U579,ППД5!V579)</f>
        <v>37.700000000000003</v>
      </c>
      <c r="AA582" s="285">
        <f>IFERROR(Таблица10[[#This Row],[S ПП]]-Таблица10[[#This Row],[S ДДУ]],)</f>
        <v>0</v>
      </c>
      <c r="AB582" s="235">
        <f>ROUND(_xlfn.XLOOKUP(Таблица10[[#This Row],[№]],Реестр_Д5[№],Реестр_Д5[Итоговая сумма скидки],"",0),2)</f>
        <v>0</v>
      </c>
      <c r="AC582" s="235" t="str" cm="1">
        <f t="array" ref="AC582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82" s="285">
        <f>IFERROR(Таблица10[[#This Row],[ППС]]-Таблица10[[#This Row],[ДДУС]],)</f>
        <v>0</v>
      </c>
      <c r="AE582" s="611"/>
      <c r="AT582" s="611"/>
    </row>
    <row r="583" spans="1:46" x14ac:dyDescent="0.2">
      <c r="A583" s="611"/>
      <c r="P583" s="611"/>
      <c r="Q583" s="234">
        <f>VLOOKUP(ППД5!A580,Реестр_Д5[№],1,0)</f>
        <v>579</v>
      </c>
      <c r="R583" s="234" t="str">
        <f>VLOOKUP(ППД5!CH580,Реестр_Д5[Статус],1,0)</f>
        <v>Свободно</v>
      </c>
      <c r="S583" s="612">
        <f>VLOOKUP(ППД5!BZ580,Реестр_Д5[Стоимость ОН без отделки со скидкой],1,0)</f>
        <v>10367100</v>
      </c>
      <c r="T583" s="612" t="str" cm="1">
        <f t="array" ref="T583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83" s="235">
        <f>IFERROR((Таблица10[[#This Row],[ПП]]-Таблица10[[#This Row],[ДДУ]])*1,)</f>
        <v>0</v>
      </c>
      <c r="V583" s="235" t="str" cm="1">
        <f t="array" ref="V583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83" s="235">
        <f>_xlfn.XLOOKUP(Таблица10[[#This Row],[№]],Реестр_Д5[№],Реестр_Д5[Стоимость квартиры с отделкой],"-",0)</f>
        <v>10367100</v>
      </c>
      <c r="X583" s="235" t="str">
        <f>IFERROR(Таблица10[[#This Row],[СО ПП]]-Таблица10[[#This Row],[СО ДДУ]],"")</f>
        <v/>
      </c>
      <c r="Y583" s="233" t="str" cm="1">
        <f t="array" ref="Y583">IFERROR(INDEX(РД[S],MATCH($Q$3&amp;Таблица10[[#This Row],[№]]&amp;"Продажа",РД[Дом]&amp;РД[№ кв]&amp;РД[Состояние],0),1),Таблица10[[#This Row],[Статус]])</f>
        <v>Свободно</v>
      </c>
      <c r="Z583" s="233">
        <f>IF(Таблица10[[#This Row],[№]]&amp;"ДДУ"=ППД5!A580&amp;ППД5!CR580,ППД5!U580,ППД5!V580)</f>
        <v>78.249999999999986</v>
      </c>
      <c r="AA583" s="285">
        <f>IFERROR(Таблица10[[#This Row],[S ПП]]-Таблица10[[#This Row],[S ДДУ]],)</f>
        <v>0</v>
      </c>
      <c r="AB583" s="235">
        <f>ROUND(_xlfn.XLOOKUP(Таблица10[[#This Row],[№]],Реестр_Д5[№],Реестр_Д5[Итоговая сумма скидки],"",0),2)</f>
        <v>0</v>
      </c>
      <c r="AC583" s="235" t="str" cm="1">
        <f t="array" ref="AC583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83" s="285">
        <f>IFERROR(Таблица10[[#This Row],[ППС]]-Таблица10[[#This Row],[ДДУС]],)</f>
        <v>0</v>
      </c>
      <c r="AE583" s="611"/>
      <c r="AT583" s="611"/>
    </row>
    <row r="584" spans="1:46" x14ac:dyDescent="0.2">
      <c r="A584" s="611"/>
      <c r="P584" s="611"/>
      <c r="Q584" s="234">
        <f>VLOOKUP(ППД5!A581,Реестр_Д5[№],1,0)</f>
        <v>580</v>
      </c>
      <c r="R584" s="234" t="str">
        <f>VLOOKUP(ППД5!CH581,Реестр_Д5[Статус],1,0)</f>
        <v>Свободно</v>
      </c>
      <c r="S584" s="612">
        <f>VLOOKUP(ППД5!BZ581,Реестр_Д5[Стоимость ОН без отделки со скидкой],1,0)</f>
        <v>5792400</v>
      </c>
      <c r="T584" s="612" t="str" cm="1">
        <f t="array" ref="T584">IFERROR(INDEX(РД[Стоимость без отделки итог],MATCH($Q$3&amp;Таблица10[[#This Row],[№]]&amp;"Продажа",РД[Дом]&amp;РД[№ кв]&amp;РД[Состояние],0),1),Таблица10[[#This Row],[Статус]])</f>
        <v>Свободно</v>
      </c>
      <c r="U584" s="235">
        <f>IFERROR((Таблица10[[#This Row],[ПП]]-Таблица10[[#This Row],[ДДУ]])*1,)</f>
        <v>0</v>
      </c>
      <c r="V584" s="235" t="str" cm="1">
        <f t="array" ref="V584">IFERROR(INDEX(РД[Стоимость с отделкой итог],MATCH($Q$3&amp;Таблица10[[#This Row],[№]]&amp;"Продажа",РД[Дом]&amp;РД[№ кв]&amp;РД[Состояние],0),1),Таблица10[[#This Row],[Статус]])</f>
        <v>Свободно</v>
      </c>
      <c r="W584" s="235">
        <f>_xlfn.XLOOKUP(Таблица10[[#This Row],[№]],Реестр_Д5[№],Реестр_Д5[Стоимость квартиры с отделкой],"-",0)</f>
        <v>5792400</v>
      </c>
      <c r="X584" s="235" t="str">
        <f>IFERROR(Таблица10[[#This Row],[СО ПП]]-Таблица10[[#This Row],[СО ДДУ]],"")</f>
        <v/>
      </c>
      <c r="Y584" s="233" t="str" cm="1">
        <f t="array" ref="Y584">IFERROR(INDEX(РД[S],MATCH($Q$3&amp;Таблица10[[#This Row],[№]]&amp;"Продажа",РД[Дом]&amp;РД[№ кв]&amp;РД[Состояние],0),1),Таблица10[[#This Row],[Статус]])</f>
        <v>Свободно</v>
      </c>
      <c r="Z584" s="233">
        <f>IF(Таблица10[[#This Row],[№]]&amp;"ДДУ"=ППД5!A581&amp;ППД5!CR581,ППД5!U581,ППД5!V581)</f>
        <v>39.549999999999997</v>
      </c>
      <c r="AA584" s="285">
        <f>IFERROR(Таблица10[[#This Row],[S ПП]]-Таблица10[[#This Row],[S ДДУ]],)</f>
        <v>0</v>
      </c>
      <c r="AB584" s="235">
        <f>ROUND(_xlfn.XLOOKUP(Таблица10[[#This Row],[№]],Реестр_Д5[№],Реестр_Д5[Итоговая сумма скидки],"",0),2)</f>
        <v>0</v>
      </c>
      <c r="AC584" s="235" t="str" cm="1">
        <f t="array" ref="AC584">IFERROR(ROUND(_xlfn.XLOOKUP($Q$3&amp;Таблица10[[#This Row],[№]]&amp;"Продажа",РД[Дом]&amp;РД[№ кв]&amp;РД[Состояние],РД[Сумма скидки],"",0,-1),2),Таблица10[[#This Row],[Статус]])</f>
        <v>Свободно</v>
      </c>
      <c r="AD584" s="285">
        <f>IFERROR(Таблица10[[#This Row],[ППС]]-Таблица10[[#This Row],[ДДУС]],)</f>
        <v>0</v>
      </c>
      <c r="AE584" s="611"/>
      <c r="AT584" s="611"/>
    </row>
    <row r="585" spans="1:46" x14ac:dyDescent="0.2">
      <c r="A585" s="611"/>
      <c r="P585" s="611"/>
      <c r="AE585" s="611"/>
      <c r="AT585" s="611"/>
    </row>
    <row r="586" spans="1:46" x14ac:dyDescent="0.2">
      <c r="A586" s="611"/>
      <c r="P586" s="611"/>
      <c r="AE586" s="611"/>
      <c r="AT586" s="611"/>
    </row>
    <row r="587" spans="1:46" x14ac:dyDescent="0.2">
      <c r="A587" s="611"/>
      <c r="P587" s="611"/>
      <c r="AE587" s="611"/>
      <c r="AT587" s="611"/>
    </row>
    <row r="588" spans="1:46" x14ac:dyDescent="0.2">
      <c r="A588" s="611"/>
      <c r="P588" s="611"/>
      <c r="AE588" s="611"/>
      <c r="AT588" s="611"/>
    </row>
    <row r="589" spans="1:46" x14ac:dyDescent="0.2">
      <c r="A589" s="611"/>
      <c r="P589" s="611"/>
      <c r="AE589" s="611"/>
      <c r="AT589" s="611"/>
    </row>
    <row r="590" spans="1:46" x14ac:dyDescent="0.2">
      <c r="A590" s="611"/>
      <c r="P590" s="611"/>
      <c r="AE590" s="611"/>
      <c r="AT590" s="611"/>
    </row>
    <row r="591" spans="1:46" x14ac:dyDescent="0.2">
      <c r="A591" s="611"/>
      <c r="P591" s="611"/>
      <c r="AE591" s="611"/>
      <c r="AT591" s="611"/>
    </row>
    <row r="592" spans="1:46" x14ac:dyDescent="0.2">
      <c r="A592" s="611"/>
      <c r="P592" s="611"/>
      <c r="AE592" s="611"/>
      <c r="AT592" s="611"/>
    </row>
    <row r="593" spans="1:46" x14ac:dyDescent="0.2">
      <c r="A593" s="611"/>
      <c r="P593" s="611"/>
      <c r="AE593" s="611"/>
      <c r="AT593" s="611"/>
    </row>
    <row r="594" spans="1:46" x14ac:dyDescent="0.2">
      <c r="A594" s="611"/>
      <c r="P594" s="611"/>
      <c r="AE594" s="611"/>
      <c r="AT594" s="611"/>
    </row>
    <row r="595" spans="1:46" x14ac:dyDescent="0.2">
      <c r="A595" s="611"/>
      <c r="P595" s="611"/>
      <c r="AE595" s="611"/>
      <c r="AT595" s="611"/>
    </row>
    <row r="596" spans="1:46" x14ac:dyDescent="0.2">
      <c r="A596" s="611"/>
      <c r="P596" s="611"/>
      <c r="AE596" s="611"/>
      <c r="AT596" s="611"/>
    </row>
    <row r="597" spans="1:46" x14ac:dyDescent="0.2">
      <c r="A597" s="611"/>
      <c r="P597" s="611"/>
      <c r="AE597" s="611"/>
      <c r="AT597" s="611"/>
    </row>
    <row r="598" spans="1:46" x14ac:dyDescent="0.2">
      <c r="A598" s="611"/>
      <c r="P598" s="611"/>
      <c r="AE598" s="611"/>
      <c r="AT598" s="611"/>
    </row>
    <row r="599" spans="1:46" x14ac:dyDescent="0.2">
      <c r="A599" s="611"/>
      <c r="P599" s="611"/>
      <c r="AE599" s="611"/>
      <c r="AT599" s="611"/>
    </row>
    <row r="600" spans="1:46" x14ac:dyDescent="0.2">
      <c r="A600" s="611"/>
      <c r="P600" s="611"/>
      <c r="AE600" s="611"/>
      <c r="AT600" s="611"/>
    </row>
    <row r="601" spans="1:46" x14ac:dyDescent="0.2">
      <c r="A601" s="611"/>
      <c r="P601" s="611"/>
      <c r="AE601" s="611"/>
      <c r="AT601" s="611"/>
    </row>
    <row r="602" spans="1:46" x14ac:dyDescent="0.2">
      <c r="A602" s="611"/>
      <c r="P602" s="611"/>
      <c r="AE602" s="611"/>
      <c r="AT602" s="611"/>
    </row>
    <row r="603" spans="1:46" x14ac:dyDescent="0.2">
      <c r="A603" s="611"/>
      <c r="P603" s="611"/>
      <c r="AE603" s="611"/>
      <c r="AT603" s="611"/>
    </row>
    <row r="604" spans="1:46" x14ac:dyDescent="0.2">
      <c r="A604" s="611"/>
      <c r="P604" s="611"/>
      <c r="AE604" s="611"/>
      <c r="AT604" s="611"/>
    </row>
    <row r="605" spans="1:46" x14ac:dyDescent="0.2">
      <c r="A605" s="611"/>
      <c r="P605" s="611"/>
      <c r="AE605" s="611"/>
      <c r="AT605" s="611"/>
    </row>
    <row r="606" spans="1:46" x14ac:dyDescent="0.2">
      <c r="A606" s="611"/>
      <c r="P606" s="611"/>
      <c r="AE606" s="611"/>
      <c r="AT606" s="611"/>
    </row>
    <row r="607" spans="1:46" x14ac:dyDescent="0.2">
      <c r="A607" s="611"/>
      <c r="P607" s="611"/>
      <c r="AE607" s="611"/>
      <c r="AT607" s="611"/>
    </row>
    <row r="608" spans="1:46" x14ac:dyDescent="0.2">
      <c r="A608" s="611"/>
      <c r="P608" s="611"/>
      <c r="AE608" s="611"/>
      <c r="AT608" s="611"/>
    </row>
    <row r="609" spans="1:46" x14ac:dyDescent="0.2">
      <c r="A609" s="611"/>
      <c r="P609" s="611"/>
      <c r="AE609" s="611"/>
      <c r="AT609" s="611"/>
    </row>
    <row r="610" spans="1:46" x14ac:dyDescent="0.2">
      <c r="A610" s="611"/>
      <c r="P610" s="611"/>
      <c r="AE610" s="611"/>
      <c r="AT610" s="611"/>
    </row>
    <row r="611" spans="1:46" x14ac:dyDescent="0.2">
      <c r="A611" s="611"/>
      <c r="P611" s="611"/>
      <c r="AE611" s="611"/>
      <c r="AT611" s="611"/>
    </row>
    <row r="612" spans="1:46" x14ac:dyDescent="0.2">
      <c r="A612" s="611"/>
      <c r="P612" s="611"/>
      <c r="AE612" s="611"/>
      <c r="AT612" s="611"/>
    </row>
    <row r="613" spans="1:46" x14ac:dyDescent="0.2">
      <c r="A613" s="611"/>
      <c r="P613" s="611"/>
      <c r="AE613" s="611"/>
      <c r="AT613" s="611"/>
    </row>
    <row r="614" spans="1:46" x14ac:dyDescent="0.2">
      <c r="A614" s="611"/>
      <c r="P614" s="611"/>
      <c r="AE614" s="611"/>
      <c r="AT614" s="611"/>
    </row>
    <row r="615" spans="1:46" x14ac:dyDescent="0.2">
      <c r="A615" s="611"/>
      <c r="P615" s="611"/>
      <c r="AE615" s="611"/>
      <c r="AT615" s="611"/>
    </row>
    <row r="616" spans="1:46" x14ac:dyDescent="0.2">
      <c r="A616" s="611"/>
      <c r="P616" s="611"/>
      <c r="AE616" s="611"/>
      <c r="AT616" s="611"/>
    </row>
    <row r="617" spans="1:46" x14ac:dyDescent="0.2">
      <c r="A617" s="611"/>
      <c r="P617" s="611"/>
      <c r="AE617" s="611"/>
      <c r="AT617" s="611"/>
    </row>
    <row r="618" spans="1:46" x14ac:dyDescent="0.2">
      <c r="A618" s="611"/>
      <c r="P618" s="611"/>
      <c r="AE618" s="611"/>
      <c r="AT618" s="611"/>
    </row>
    <row r="619" spans="1:46" x14ac:dyDescent="0.2">
      <c r="A619" s="611"/>
      <c r="P619" s="611"/>
      <c r="AE619" s="611"/>
      <c r="AT619" s="611"/>
    </row>
    <row r="620" spans="1:46" x14ac:dyDescent="0.2">
      <c r="A620" s="611"/>
      <c r="P620" s="611"/>
      <c r="AE620" s="611"/>
      <c r="AT620" s="611"/>
    </row>
    <row r="621" spans="1:46" x14ac:dyDescent="0.2">
      <c r="A621" s="611"/>
      <c r="P621" s="611"/>
      <c r="AE621" s="611"/>
      <c r="AT621" s="611"/>
    </row>
    <row r="622" spans="1:46" x14ac:dyDescent="0.2">
      <c r="A622" s="611"/>
      <c r="P622" s="611"/>
      <c r="AE622" s="611"/>
      <c r="AT622" s="611"/>
    </row>
    <row r="623" spans="1:46" x14ac:dyDescent="0.2">
      <c r="A623" s="611"/>
      <c r="P623" s="611"/>
      <c r="AE623" s="611"/>
      <c r="AT623" s="611"/>
    </row>
    <row r="624" spans="1:46" x14ac:dyDescent="0.2">
      <c r="A624" s="611"/>
      <c r="P624" s="611"/>
      <c r="AE624" s="611"/>
      <c r="AT624" s="611"/>
    </row>
    <row r="625" spans="1:46" x14ac:dyDescent="0.2">
      <c r="A625" s="611"/>
      <c r="P625" s="611"/>
      <c r="AE625" s="611"/>
      <c r="AT625" s="611"/>
    </row>
    <row r="626" spans="1:46" x14ac:dyDescent="0.2">
      <c r="A626" s="611"/>
      <c r="P626" s="611"/>
      <c r="AE626" s="611"/>
      <c r="AT626" s="611"/>
    </row>
    <row r="627" spans="1:46" x14ac:dyDescent="0.2">
      <c r="A627" s="611"/>
      <c r="P627" s="611"/>
      <c r="AE627" s="611"/>
      <c r="AT627" s="611"/>
    </row>
    <row r="628" spans="1:46" x14ac:dyDescent="0.2">
      <c r="A628" s="611"/>
      <c r="P628" s="611"/>
      <c r="AE628" s="611"/>
      <c r="AT628" s="611"/>
    </row>
    <row r="629" spans="1:46" x14ac:dyDescent="0.2">
      <c r="A629" s="611"/>
      <c r="P629" s="611"/>
      <c r="AE629" s="611"/>
      <c r="AT629" s="611"/>
    </row>
    <row r="630" spans="1:46" x14ac:dyDescent="0.2">
      <c r="A630" s="611"/>
      <c r="P630" s="611"/>
      <c r="AE630" s="611"/>
      <c r="AT630" s="611"/>
    </row>
    <row r="631" spans="1:46" x14ac:dyDescent="0.2">
      <c r="A631" s="611"/>
      <c r="P631" s="611"/>
      <c r="AE631" s="611"/>
      <c r="AT631" s="611"/>
    </row>
    <row r="632" spans="1:46" x14ac:dyDescent="0.2">
      <c r="A632" s="611"/>
      <c r="P632" s="611"/>
      <c r="AE632" s="611"/>
      <c r="AT632" s="611"/>
    </row>
    <row r="633" spans="1:46" x14ac:dyDescent="0.2">
      <c r="A633" s="611"/>
      <c r="P633" s="611"/>
      <c r="AE633" s="611"/>
      <c r="AT633" s="611"/>
    </row>
    <row r="634" spans="1:46" x14ac:dyDescent="0.2">
      <c r="A634" s="611"/>
      <c r="P634" s="611"/>
      <c r="AE634" s="611"/>
      <c r="AT634" s="611"/>
    </row>
    <row r="635" spans="1:46" x14ac:dyDescent="0.2">
      <c r="A635" s="611"/>
      <c r="P635" s="611"/>
      <c r="AE635" s="611"/>
      <c r="AT635" s="611"/>
    </row>
    <row r="636" spans="1:46" x14ac:dyDescent="0.2">
      <c r="A636" s="611"/>
      <c r="P636" s="611"/>
      <c r="AE636" s="611"/>
      <c r="AT636" s="611"/>
    </row>
    <row r="637" spans="1:46" x14ac:dyDescent="0.2">
      <c r="A637" s="611"/>
      <c r="P637" s="611"/>
      <c r="AE637" s="611"/>
      <c r="AT637" s="611"/>
    </row>
    <row r="638" spans="1:46" x14ac:dyDescent="0.2">
      <c r="A638" s="611"/>
      <c r="P638" s="611"/>
      <c r="AE638" s="611"/>
      <c r="AT638" s="611"/>
    </row>
    <row r="639" spans="1:46" x14ac:dyDescent="0.2">
      <c r="A639" s="611"/>
      <c r="P639" s="611"/>
      <c r="AE639" s="611"/>
      <c r="AT639" s="611"/>
    </row>
    <row r="640" spans="1:46" x14ac:dyDescent="0.2">
      <c r="A640" s="611"/>
      <c r="P640" s="611"/>
      <c r="AE640" s="611"/>
      <c r="AT640" s="611"/>
    </row>
    <row r="641" spans="1:46" x14ac:dyDescent="0.2">
      <c r="A641" s="611"/>
      <c r="P641" s="611"/>
      <c r="AE641" s="611"/>
      <c r="AT641" s="611"/>
    </row>
    <row r="642" spans="1:46" x14ac:dyDescent="0.2">
      <c r="A642" s="611"/>
      <c r="P642" s="611"/>
      <c r="AE642" s="611"/>
      <c r="AT642" s="611"/>
    </row>
    <row r="643" spans="1:46" x14ac:dyDescent="0.2">
      <c r="A643" s="611"/>
      <c r="P643" s="611"/>
      <c r="AE643" s="611"/>
      <c r="AT643" s="611"/>
    </row>
    <row r="644" spans="1:46" x14ac:dyDescent="0.2">
      <c r="A644" s="611"/>
      <c r="P644" s="611"/>
      <c r="AE644" s="611"/>
      <c r="AT644" s="611"/>
    </row>
    <row r="645" spans="1:46" x14ac:dyDescent="0.2">
      <c r="A645" s="611"/>
      <c r="P645" s="611"/>
      <c r="AE645" s="611"/>
      <c r="AT645" s="611"/>
    </row>
    <row r="646" spans="1:46" x14ac:dyDescent="0.2">
      <c r="A646" s="611"/>
      <c r="P646" s="611"/>
      <c r="AE646" s="611"/>
      <c r="AT646" s="611"/>
    </row>
    <row r="647" spans="1:46" x14ac:dyDescent="0.2">
      <c r="A647" s="611"/>
      <c r="P647" s="611"/>
      <c r="AE647" s="611"/>
      <c r="AT647" s="611"/>
    </row>
    <row r="648" spans="1:46" x14ac:dyDescent="0.2">
      <c r="A648" s="611"/>
      <c r="P648" s="611"/>
      <c r="AE648" s="611"/>
      <c r="AT648" s="611"/>
    </row>
    <row r="649" spans="1:46" x14ac:dyDescent="0.2">
      <c r="A649" s="611"/>
      <c r="P649" s="611"/>
      <c r="AE649" s="611"/>
      <c r="AT649" s="611"/>
    </row>
    <row r="650" spans="1:46" x14ac:dyDescent="0.2">
      <c r="A650" s="611"/>
      <c r="P650" s="611"/>
      <c r="AE650" s="611"/>
      <c r="AT650" s="611"/>
    </row>
    <row r="651" spans="1:46" x14ac:dyDescent="0.2">
      <c r="A651" s="611"/>
      <c r="P651" s="611"/>
      <c r="AE651" s="611"/>
      <c r="AT651" s="611"/>
    </row>
    <row r="652" spans="1:46" x14ac:dyDescent="0.2">
      <c r="A652" s="611"/>
      <c r="P652" s="611"/>
      <c r="AE652" s="611"/>
      <c r="AT652" s="611"/>
    </row>
    <row r="653" spans="1:46" x14ac:dyDescent="0.2">
      <c r="A653" s="611"/>
      <c r="P653" s="611"/>
      <c r="AE653" s="611"/>
      <c r="AT653" s="611"/>
    </row>
    <row r="654" spans="1:46" x14ac:dyDescent="0.2">
      <c r="A654" s="611"/>
      <c r="P654" s="611"/>
      <c r="AE654" s="611"/>
      <c r="AT654" s="611"/>
    </row>
    <row r="655" spans="1:46" x14ac:dyDescent="0.2">
      <c r="A655" s="611"/>
      <c r="P655" s="611"/>
      <c r="AE655" s="611"/>
      <c r="AT655" s="611"/>
    </row>
    <row r="656" spans="1:46" x14ac:dyDescent="0.2">
      <c r="A656" s="611"/>
      <c r="P656" s="611"/>
      <c r="AE656" s="611"/>
      <c r="AT656" s="611"/>
    </row>
    <row r="657" spans="1:46" x14ac:dyDescent="0.2">
      <c r="A657" s="611"/>
      <c r="P657" s="611"/>
      <c r="AE657" s="611"/>
      <c r="AT657" s="611"/>
    </row>
    <row r="658" spans="1:46" x14ac:dyDescent="0.2">
      <c r="A658" s="611"/>
      <c r="P658" s="611"/>
      <c r="AE658" s="611"/>
      <c r="AT658" s="611"/>
    </row>
    <row r="659" spans="1:46" x14ac:dyDescent="0.2">
      <c r="A659" s="611"/>
      <c r="P659" s="611"/>
      <c r="AE659" s="611"/>
      <c r="AT659" s="611"/>
    </row>
    <row r="660" spans="1:46" x14ac:dyDescent="0.2">
      <c r="A660" s="611"/>
      <c r="P660" s="611"/>
      <c r="AE660" s="611"/>
      <c r="AT660" s="611"/>
    </row>
    <row r="661" spans="1:46" x14ac:dyDescent="0.2">
      <c r="A661" s="611"/>
      <c r="P661" s="611"/>
      <c r="AE661" s="611"/>
      <c r="AT661" s="611"/>
    </row>
    <row r="662" spans="1:46" x14ac:dyDescent="0.2">
      <c r="A662" s="611"/>
      <c r="P662" s="611"/>
      <c r="AE662" s="611"/>
      <c r="AT662" s="611"/>
    </row>
    <row r="663" spans="1:46" x14ac:dyDescent="0.2">
      <c r="A663" s="611"/>
      <c r="P663" s="611"/>
      <c r="AE663" s="611"/>
      <c r="AT663" s="611"/>
    </row>
    <row r="664" spans="1:46" x14ac:dyDescent="0.2">
      <c r="A664" s="611"/>
      <c r="P664" s="611"/>
      <c r="AE664" s="611"/>
      <c r="AT664" s="611"/>
    </row>
    <row r="665" spans="1:46" x14ac:dyDescent="0.2">
      <c r="A665" s="611"/>
      <c r="P665" s="611"/>
      <c r="AE665" s="611"/>
      <c r="AT665" s="611"/>
    </row>
    <row r="666" spans="1:46" x14ac:dyDescent="0.2">
      <c r="A666" s="611"/>
      <c r="P666" s="611"/>
      <c r="AE666" s="611"/>
      <c r="AT666" s="611"/>
    </row>
    <row r="667" spans="1:46" x14ac:dyDescent="0.2">
      <c r="A667" s="611"/>
      <c r="P667" s="611"/>
      <c r="AE667" s="611"/>
      <c r="AT667" s="611"/>
    </row>
    <row r="668" spans="1:46" x14ac:dyDescent="0.2">
      <c r="A668" s="611"/>
      <c r="P668" s="611"/>
      <c r="AE668" s="611"/>
      <c r="AT668" s="611"/>
    </row>
    <row r="669" spans="1:46" x14ac:dyDescent="0.2">
      <c r="A669" s="611"/>
      <c r="P669" s="611"/>
      <c r="AE669" s="611"/>
      <c r="AT669" s="611"/>
    </row>
    <row r="670" spans="1:46" x14ac:dyDescent="0.2">
      <c r="A670" s="611"/>
      <c r="P670" s="611"/>
      <c r="AE670" s="611"/>
      <c r="AT670" s="611"/>
    </row>
    <row r="671" spans="1:46" x14ac:dyDescent="0.2">
      <c r="A671" s="611"/>
      <c r="P671" s="611"/>
      <c r="AE671" s="611"/>
      <c r="AT671" s="611"/>
    </row>
    <row r="672" spans="1:46" x14ac:dyDescent="0.2">
      <c r="A672" s="611"/>
      <c r="P672" s="611"/>
      <c r="AE672" s="611"/>
      <c r="AT672" s="611"/>
    </row>
    <row r="673" spans="1:46" x14ac:dyDescent="0.2">
      <c r="A673" s="611"/>
      <c r="P673" s="611"/>
      <c r="AE673" s="611"/>
      <c r="AT673" s="611"/>
    </row>
    <row r="674" spans="1:46" x14ac:dyDescent="0.2">
      <c r="A674" s="611"/>
      <c r="P674" s="611"/>
      <c r="AE674" s="611"/>
      <c r="AT674" s="611"/>
    </row>
    <row r="675" spans="1:46" x14ac:dyDescent="0.2">
      <c r="A675" s="611"/>
      <c r="P675" s="611"/>
      <c r="AE675" s="611"/>
      <c r="AT675" s="611"/>
    </row>
    <row r="676" spans="1:46" x14ac:dyDescent="0.2">
      <c r="A676" s="611"/>
      <c r="P676" s="611"/>
      <c r="AE676" s="611"/>
      <c r="AT676" s="611"/>
    </row>
    <row r="677" spans="1:46" x14ac:dyDescent="0.2">
      <c r="A677" s="611"/>
      <c r="P677" s="611"/>
      <c r="AE677" s="611"/>
      <c r="AT677" s="611"/>
    </row>
    <row r="678" spans="1:46" x14ac:dyDescent="0.2">
      <c r="A678" s="611"/>
      <c r="P678" s="611"/>
      <c r="AE678" s="611"/>
      <c r="AT678" s="611"/>
    </row>
    <row r="679" spans="1:46" x14ac:dyDescent="0.2">
      <c r="A679" s="611"/>
      <c r="P679" s="611"/>
      <c r="AE679" s="611"/>
      <c r="AT679" s="611"/>
    </row>
    <row r="680" spans="1:46" x14ac:dyDescent="0.2">
      <c r="A680" s="611"/>
      <c r="P680" s="611"/>
      <c r="AE680" s="611"/>
      <c r="AT680" s="611"/>
    </row>
    <row r="681" spans="1:46" x14ac:dyDescent="0.2">
      <c r="A681" s="611"/>
      <c r="P681" s="611"/>
      <c r="AE681" s="611"/>
      <c r="AT681" s="611"/>
    </row>
    <row r="682" spans="1:46" x14ac:dyDescent="0.2">
      <c r="A682" s="611"/>
      <c r="P682" s="611"/>
      <c r="AE682" s="611"/>
      <c r="AT682" s="611"/>
    </row>
    <row r="683" spans="1:46" x14ac:dyDescent="0.2">
      <c r="A683" s="611"/>
      <c r="P683" s="611"/>
      <c r="AE683" s="611"/>
      <c r="AT683" s="611"/>
    </row>
    <row r="684" spans="1:46" x14ac:dyDescent="0.2">
      <c r="A684" s="611"/>
      <c r="P684" s="611"/>
      <c r="AE684" s="611"/>
      <c r="AT684" s="611"/>
    </row>
    <row r="685" spans="1:46" x14ac:dyDescent="0.2">
      <c r="A685" s="611"/>
      <c r="P685" s="611"/>
      <c r="AE685" s="611"/>
      <c r="AT685" s="611"/>
    </row>
    <row r="686" spans="1:46" x14ac:dyDescent="0.2">
      <c r="A686" s="611"/>
      <c r="P686" s="611"/>
      <c r="AE686" s="611"/>
      <c r="AT686" s="611"/>
    </row>
    <row r="687" spans="1:46" x14ac:dyDescent="0.2">
      <c r="A687" s="611"/>
      <c r="P687" s="611"/>
      <c r="AE687" s="611"/>
      <c r="AT687" s="611"/>
    </row>
    <row r="688" spans="1:46" x14ac:dyDescent="0.2">
      <c r="A688" s="611"/>
      <c r="P688" s="611"/>
      <c r="AE688" s="611"/>
      <c r="AT688" s="611"/>
    </row>
    <row r="689" spans="1:46" x14ac:dyDescent="0.2">
      <c r="A689" s="611"/>
      <c r="P689" s="611"/>
      <c r="AE689" s="611"/>
      <c r="AT689" s="611"/>
    </row>
    <row r="690" spans="1:46" x14ac:dyDescent="0.2">
      <c r="A690" s="611"/>
      <c r="P690" s="611"/>
      <c r="AE690" s="611"/>
      <c r="AT690" s="611"/>
    </row>
    <row r="691" spans="1:46" x14ac:dyDescent="0.2">
      <c r="A691" s="611"/>
      <c r="P691" s="611"/>
      <c r="AE691" s="611"/>
      <c r="AT691" s="611"/>
    </row>
    <row r="692" spans="1:46" x14ac:dyDescent="0.2">
      <c r="A692" s="611"/>
      <c r="P692" s="611"/>
      <c r="AE692" s="611"/>
      <c r="AT692" s="611"/>
    </row>
    <row r="693" spans="1:46" x14ac:dyDescent="0.2">
      <c r="A693" s="611"/>
      <c r="P693" s="611"/>
      <c r="AE693" s="611"/>
      <c r="AT693" s="611"/>
    </row>
    <row r="694" spans="1:46" x14ac:dyDescent="0.2">
      <c r="A694" s="611"/>
      <c r="P694" s="611"/>
      <c r="AE694" s="611"/>
      <c r="AT694" s="611"/>
    </row>
    <row r="695" spans="1:46" x14ac:dyDescent="0.2">
      <c r="A695" s="611"/>
      <c r="P695" s="611"/>
      <c r="AE695" s="611"/>
      <c r="AT695" s="611"/>
    </row>
    <row r="696" spans="1:46" x14ac:dyDescent="0.2">
      <c r="A696" s="611"/>
      <c r="P696" s="611"/>
      <c r="AE696" s="611"/>
      <c r="AT696" s="611"/>
    </row>
    <row r="697" spans="1:46" x14ac:dyDescent="0.2">
      <c r="A697" s="611"/>
      <c r="P697" s="611"/>
      <c r="AE697" s="611"/>
      <c r="AT697" s="611"/>
    </row>
    <row r="698" spans="1:46" x14ac:dyDescent="0.2">
      <c r="A698" s="611"/>
      <c r="P698" s="611"/>
      <c r="AE698" s="611"/>
      <c r="AT698" s="611"/>
    </row>
    <row r="699" spans="1:46" x14ac:dyDescent="0.2">
      <c r="A699" s="611"/>
      <c r="P699" s="611"/>
      <c r="AE699" s="611"/>
      <c r="AT699" s="611"/>
    </row>
    <row r="700" spans="1:46" x14ac:dyDescent="0.2">
      <c r="A700" s="611"/>
      <c r="P700" s="611"/>
      <c r="AE700" s="611"/>
      <c r="AT700" s="611"/>
    </row>
    <row r="701" spans="1:46" x14ac:dyDescent="0.2">
      <c r="A701" s="611"/>
      <c r="P701" s="611"/>
      <c r="AE701" s="611"/>
      <c r="AT701" s="611"/>
    </row>
    <row r="702" spans="1:46" x14ac:dyDescent="0.2">
      <c r="A702" s="611"/>
      <c r="P702" s="611"/>
      <c r="AE702" s="611"/>
      <c r="AT702" s="611"/>
    </row>
    <row r="703" spans="1:46" x14ac:dyDescent="0.2">
      <c r="A703" s="611"/>
      <c r="P703" s="611"/>
      <c r="AE703" s="611"/>
      <c r="AT703" s="611"/>
    </row>
    <row r="704" spans="1:46" x14ac:dyDescent="0.2">
      <c r="A704" s="611"/>
      <c r="P704" s="611"/>
      <c r="AE704" s="611"/>
      <c r="AT704" s="611"/>
    </row>
    <row r="705" spans="1:46" x14ac:dyDescent="0.2">
      <c r="A705" s="611"/>
      <c r="P705" s="611"/>
      <c r="AE705" s="611"/>
      <c r="AT705" s="611"/>
    </row>
    <row r="706" spans="1:46" x14ac:dyDescent="0.2">
      <c r="A706" s="611"/>
      <c r="P706" s="611"/>
      <c r="AE706" s="611"/>
      <c r="AT706" s="611"/>
    </row>
    <row r="707" spans="1:46" x14ac:dyDescent="0.2">
      <c r="A707" s="611"/>
      <c r="P707" s="611"/>
      <c r="AE707" s="611"/>
      <c r="AT707" s="611"/>
    </row>
    <row r="708" spans="1:46" x14ac:dyDescent="0.2">
      <c r="A708" s="611"/>
      <c r="P708" s="611"/>
      <c r="AE708" s="611"/>
      <c r="AT708" s="611"/>
    </row>
    <row r="709" spans="1:46" x14ac:dyDescent="0.2">
      <c r="A709" s="611"/>
      <c r="P709" s="611"/>
      <c r="AE709" s="611"/>
      <c r="AT709" s="611"/>
    </row>
    <row r="710" spans="1:46" x14ac:dyDescent="0.2">
      <c r="A710" s="611"/>
      <c r="P710" s="611"/>
      <c r="AE710" s="611"/>
      <c r="AT710" s="611"/>
    </row>
    <row r="711" spans="1:46" x14ac:dyDescent="0.2">
      <c r="A711" s="611"/>
      <c r="P711" s="611"/>
      <c r="AE711" s="611"/>
      <c r="AT711" s="611"/>
    </row>
    <row r="712" spans="1:46" x14ac:dyDescent="0.2">
      <c r="A712" s="611"/>
      <c r="P712" s="611"/>
      <c r="AE712" s="611"/>
      <c r="AT712" s="611"/>
    </row>
    <row r="713" spans="1:46" x14ac:dyDescent="0.2">
      <c r="A713" s="611"/>
      <c r="P713" s="611"/>
      <c r="AE713" s="611"/>
      <c r="AT713" s="611"/>
    </row>
    <row r="714" spans="1:46" x14ac:dyDescent="0.2">
      <c r="A714" s="611"/>
      <c r="P714" s="611"/>
      <c r="AE714" s="611"/>
      <c r="AT714" s="611"/>
    </row>
    <row r="715" spans="1:46" x14ac:dyDescent="0.2">
      <c r="A715" s="611"/>
      <c r="P715" s="611"/>
      <c r="AE715" s="611"/>
      <c r="AT715" s="611"/>
    </row>
    <row r="716" spans="1:46" x14ac:dyDescent="0.2">
      <c r="A716" s="611"/>
      <c r="P716" s="611"/>
      <c r="AE716" s="611"/>
      <c r="AT716" s="611"/>
    </row>
    <row r="717" spans="1:46" x14ac:dyDescent="0.2">
      <c r="A717" s="611"/>
      <c r="P717" s="611"/>
      <c r="AE717" s="611"/>
      <c r="AT717" s="611"/>
    </row>
    <row r="718" spans="1:46" x14ac:dyDescent="0.2">
      <c r="A718" s="611"/>
      <c r="P718" s="611"/>
      <c r="AE718" s="611"/>
      <c r="AT718" s="611"/>
    </row>
    <row r="719" spans="1:46" x14ac:dyDescent="0.2">
      <c r="A719" s="611"/>
      <c r="P719" s="611"/>
      <c r="AE719" s="611"/>
      <c r="AT719" s="611"/>
    </row>
    <row r="720" spans="1:46" x14ac:dyDescent="0.2">
      <c r="A720" s="611"/>
      <c r="P720" s="611"/>
      <c r="AE720" s="611"/>
      <c r="AT720" s="611"/>
    </row>
    <row r="721" spans="1:46" x14ac:dyDescent="0.2">
      <c r="A721" s="611"/>
      <c r="P721" s="611"/>
      <c r="AE721" s="611"/>
      <c r="AT721" s="611"/>
    </row>
    <row r="722" spans="1:46" x14ac:dyDescent="0.2">
      <c r="A722" s="611"/>
      <c r="P722" s="611"/>
      <c r="AE722" s="611"/>
      <c r="AT722" s="611"/>
    </row>
    <row r="723" spans="1:46" x14ac:dyDescent="0.2">
      <c r="A723" s="611"/>
      <c r="P723" s="611"/>
      <c r="AE723" s="611"/>
      <c r="AT723" s="611"/>
    </row>
    <row r="724" spans="1:46" x14ac:dyDescent="0.2">
      <c r="A724" s="611"/>
      <c r="P724" s="611"/>
      <c r="AE724" s="611"/>
      <c r="AT724" s="611"/>
    </row>
    <row r="725" spans="1:46" x14ac:dyDescent="0.2">
      <c r="A725" s="611"/>
      <c r="P725" s="611"/>
      <c r="AE725" s="611"/>
      <c r="AT725" s="611"/>
    </row>
    <row r="726" spans="1:46" x14ac:dyDescent="0.2">
      <c r="A726" s="611"/>
      <c r="P726" s="611"/>
      <c r="AE726" s="611"/>
      <c r="AT726" s="611"/>
    </row>
    <row r="727" spans="1:46" x14ac:dyDescent="0.2">
      <c r="A727" s="611"/>
      <c r="P727" s="611"/>
      <c r="AE727" s="611"/>
      <c r="AT727" s="611"/>
    </row>
    <row r="728" spans="1:46" x14ac:dyDescent="0.2">
      <c r="A728" s="611"/>
      <c r="P728" s="611"/>
      <c r="AE728" s="611"/>
      <c r="AT728" s="611"/>
    </row>
    <row r="729" spans="1:46" x14ac:dyDescent="0.2">
      <c r="A729" s="611"/>
      <c r="P729" s="611"/>
      <c r="AE729" s="611"/>
      <c r="AT729" s="611"/>
    </row>
    <row r="730" spans="1:46" x14ac:dyDescent="0.2">
      <c r="A730" s="611"/>
      <c r="P730" s="611"/>
      <c r="AE730" s="611"/>
      <c r="AT730" s="611"/>
    </row>
    <row r="731" spans="1:46" x14ac:dyDescent="0.2">
      <c r="A731" s="611"/>
      <c r="P731" s="611"/>
      <c r="AE731" s="611"/>
      <c r="AT731" s="611"/>
    </row>
    <row r="732" spans="1:46" x14ac:dyDescent="0.2">
      <c r="A732" s="611"/>
      <c r="P732" s="611"/>
      <c r="AE732" s="611"/>
      <c r="AT732" s="611"/>
    </row>
    <row r="733" spans="1:46" x14ac:dyDescent="0.2">
      <c r="A733" s="611"/>
      <c r="P733" s="611"/>
      <c r="AE733" s="611"/>
      <c r="AT733" s="611"/>
    </row>
    <row r="734" spans="1:46" x14ac:dyDescent="0.2">
      <c r="A734" s="611"/>
      <c r="P734" s="611"/>
      <c r="AE734" s="611"/>
      <c r="AT734" s="611"/>
    </row>
    <row r="735" spans="1:46" x14ac:dyDescent="0.2">
      <c r="A735" s="611"/>
      <c r="P735" s="611"/>
      <c r="AE735" s="611"/>
      <c r="AT735" s="611"/>
    </row>
    <row r="736" spans="1:46" x14ac:dyDescent="0.2">
      <c r="A736" s="611"/>
      <c r="P736" s="611"/>
      <c r="AE736" s="611"/>
      <c r="AT736" s="611"/>
    </row>
    <row r="737" spans="1:46" x14ac:dyDescent="0.2">
      <c r="A737" s="611"/>
      <c r="P737" s="611"/>
      <c r="AE737" s="611"/>
      <c r="AT737" s="611"/>
    </row>
    <row r="738" spans="1:46" x14ac:dyDescent="0.2">
      <c r="A738" s="611"/>
      <c r="P738" s="611"/>
      <c r="AE738" s="611"/>
      <c r="AT738" s="611"/>
    </row>
    <row r="739" spans="1:46" x14ac:dyDescent="0.2">
      <c r="A739" s="611"/>
      <c r="P739" s="611"/>
      <c r="AE739" s="611"/>
      <c r="AT739" s="611"/>
    </row>
    <row r="740" spans="1:46" x14ac:dyDescent="0.2">
      <c r="A740" s="611"/>
      <c r="P740" s="611"/>
      <c r="AE740" s="611"/>
      <c r="AT740" s="611"/>
    </row>
    <row r="741" spans="1:46" x14ac:dyDescent="0.2">
      <c r="A741" s="611"/>
      <c r="P741" s="611"/>
      <c r="AE741" s="611"/>
      <c r="AT741" s="611"/>
    </row>
    <row r="742" spans="1:46" x14ac:dyDescent="0.2">
      <c r="A742" s="611"/>
      <c r="P742" s="611"/>
      <c r="AE742" s="611"/>
      <c r="AT742" s="611"/>
    </row>
    <row r="743" spans="1:46" x14ac:dyDescent="0.2">
      <c r="A743" s="611"/>
      <c r="P743" s="611"/>
      <c r="AE743" s="611"/>
      <c r="AT743" s="611"/>
    </row>
    <row r="744" spans="1:46" x14ac:dyDescent="0.2">
      <c r="A744" s="611"/>
      <c r="P744" s="611"/>
      <c r="AE744" s="611"/>
      <c r="AT744" s="611"/>
    </row>
    <row r="745" spans="1:46" x14ac:dyDescent="0.2">
      <c r="A745" s="611"/>
      <c r="P745" s="611"/>
      <c r="AE745" s="611"/>
      <c r="AT745" s="611"/>
    </row>
    <row r="746" spans="1:46" x14ac:dyDescent="0.2">
      <c r="A746" s="611"/>
      <c r="P746" s="611"/>
      <c r="AE746" s="611"/>
      <c r="AT746" s="611"/>
    </row>
    <row r="747" spans="1:46" x14ac:dyDescent="0.2">
      <c r="A747" s="611"/>
      <c r="P747" s="611"/>
      <c r="AE747" s="611"/>
      <c r="AT747" s="611"/>
    </row>
    <row r="748" spans="1:46" x14ac:dyDescent="0.2">
      <c r="A748" s="611"/>
      <c r="P748" s="611"/>
      <c r="AE748" s="611"/>
      <c r="AT748" s="611"/>
    </row>
    <row r="749" spans="1:46" x14ac:dyDescent="0.2">
      <c r="A749" s="611"/>
      <c r="P749" s="611"/>
      <c r="AE749" s="611"/>
      <c r="AT749" s="611"/>
    </row>
    <row r="750" spans="1:46" x14ac:dyDescent="0.2">
      <c r="A750" s="611"/>
      <c r="P750" s="611"/>
      <c r="AE750" s="611"/>
      <c r="AT750" s="611"/>
    </row>
    <row r="751" spans="1:46" x14ac:dyDescent="0.2">
      <c r="A751" s="611"/>
      <c r="P751" s="611"/>
      <c r="AE751" s="611"/>
      <c r="AT751" s="611"/>
    </row>
    <row r="752" spans="1:46" x14ac:dyDescent="0.2">
      <c r="A752" s="611"/>
      <c r="P752" s="611"/>
      <c r="AE752" s="611"/>
      <c r="AT752" s="611"/>
    </row>
    <row r="753" spans="1:46" x14ac:dyDescent="0.2">
      <c r="A753" s="611"/>
      <c r="P753" s="611"/>
      <c r="AE753" s="611"/>
      <c r="AT753" s="611"/>
    </row>
    <row r="754" spans="1:46" x14ac:dyDescent="0.2">
      <c r="A754" s="611"/>
      <c r="P754" s="611"/>
      <c r="AE754" s="611"/>
      <c r="AT754" s="611"/>
    </row>
    <row r="755" spans="1:46" x14ac:dyDescent="0.2">
      <c r="A755" s="611"/>
      <c r="P755" s="611"/>
      <c r="AE755" s="611"/>
      <c r="AT755" s="611"/>
    </row>
    <row r="756" spans="1:46" x14ac:dyDescent="0.2">
      <c r="A756" s="611"/>
      <c r="P756" s="611"/>
      <c r="AE756" s="611"/>
      <c r="AT756" s="611"/>
    </row>
    <row r="757" spans="1:46" x14ac:dyDescent="0.2">
      <c r="A757" s="611"/>
      <c r="P757" s="611"/>
      <c r="AE757" s="611"/>
      <c r="AT757" s="611"/>
    </row>
    <row r="758" spans="1:46" x14ac:dyDescent="0.2">
      <c r="A758" s="611"/>
      <c r="P758" s="611"/>
      <c r="AE758" s="611"/>
      <c r="AT758" s="611"/>
    </row>
    <row r="759" spans="1:46" x14ac:dyDescent="0.2">
      <c r="A759" s="611"/>
      <c r="P759" s="611"/>
      <c r="AE759" s="611"/>
      <c r="AT759" s="611"/>
    </row>
    <row r="760" spans="1:46" x14ac:dyDescent="0.2">
      <c r="A760" s="611"/>
      <c r="P760" s="611"/>
      <c r="AE760" s="611"/>
      <c r="AT760" s="611"/>
    </row>
    <row r="761" spans="1:46" x14ac:dyDescent="0.2">
      <c r="A761" s="611"/>
      <c r="P761" s="611"/>
      <c r="AE761" s="611"/>
      <c r="AT761" s="611"/>
    </row>
    <row r="762" spans="1:46" x14ac:dyDescent="0.2">
      <c r="A762" s="611"/>
      <c r="P762" s="611"/>
      <c r="AE762" s="611"/>
      <c r="AT762" s="611"/>
    </row>
    <row r="763" spans="1:46" x14ac:dyDescent="0.2">
      <c r="A763" s="611"/>
      <c r="P763" s="611"/>
      <c r="AE763" s="611"/>
      <c r="AT763" s="611"/>
    </row>
    <row r="764" spans="1:46" x14ac:dyDescent="0.2">
      <c r="A764" s="611"/>
      <c r="P764" s="611"/>
      <c r="AE764" s="611"/>
      <c r="AT764" s="611"/>
    </row>
    <row r="765" spans="1:46" x14ac:dyDescent="0.2">
      <c r="A765" s="611"/>
      <c r="P765" s="611"/>
      <c r="AE765" s="611"/>
      <c r="AT765" s="611"/>
    </row>
    <row r="766" spans="1:46" x14ac:dyDescent="0.2">
      <c r="A766" s="611"/>
      <c r="P766" s="611"/>
      <c r="AE766" s="611"/>
      <c r="AT766" s="611"/>
    </row>
    <row r="767" spans="1:46" x14ac:dyDescent="0.2">
      <c r="A767" s="611"/>
      <c r="P767" s="611"/>
      <c r="AE767" s="611"/>
      <c r="AT767" s="611"/>
    </row>
    <row r="768" spans="1:46" x14ac:dyDescent="0.2">
      <c r="A768" s="611"/>
      <c r="P768" s="611"/>
      <c r="AE768" s="611"/>
      <c r="AT768" s="611"/>
    </row>
    <row r="769" spans="1:46" x14ac:dyDescent="0.2">
      <c r="A769" s="611"/>
      <c r="P769" s="611"/>
      <c r="AE769" s="611"/>
      <c r="AT769" s="611"/>
    </row>
    <row r="770" spans="1:46" x14ac:dyDescent="0.2">
      <c r="A770" s="611"/>
      <c r="P770" s="611"/>
      <c r="AE770" s="611"/>
      <c r="AT770" s="611"/>
    </row>
    <row r="771" spans="1:46" x14ac:dyDescent="0.2">
      <c r="A771" s="611"/>
      <c r="P771" s="611"/>
      <c r="AE771" s="611"/>
      <c r="AT771" s="611"/>
    </row>
    <row r="772" spans="1:46" x14ac:dyDescent="0.2">
      <c r="A772" s="611"/>
      <c r="P772" s="611"/>
      <c r="AE772" s="611"/>
      <c r="AT772" s="611"/>
    </row>
    <row r="773" spans="1:46" x14ac:dyDescent="0.2">
      <c r="A773" s="611"/>
      <c r="P773" s="611"/>
      <c r="AE773" s="611"/>
      <c r="AT773" s="611"/>
    </row>
    <row r="774" spans="1:46" x14ac:dyDescent="0.2">
      <c r="A774" s="611"/>
      <c r="P774" s="611"/>
      <c r="AE774" s="611"/>
      <c r="AT774" s="611"/>
    </row>
    <row r="775" spans="1:46" x14ac:dyDescent="0.2">
      <c r="A775" s="611"/>
      <c r="P775" s="611"/>
      <c r="AE775" s="611"/>
      <c r="AT775" s="611"/>
    </row>
    <row r="776" spans="1:46" x14ac:dyDescent="0.2">
      <c r="A776" s="611"/>
      <c r="P776" s="611"/>
      <c r="AE776" s="611"/>
      <c r="AT776" s="611"/>
    </row>
    <row r="777" spans="1:46" x14ac:dyDescent="0.2">
      <c r="A777" s="611"/>
      <c r="P777" s="611"/>
      <c r="AE777" s="611"/>
      <c r="AT777" s="611"/>
    </row>
    <row r="778" spans="1:46" x14ac:dyDescent="0.2">
      <c r="A778" s="611"/>
      <c r="P778" s="611"/>
      <c r="AE778" s="611"/>
      <c r="AT778" s="611"/>
    </row>
    <row r="779" spans="1:46" x14ac:dyDescent="0.2">
      <c r="A779" s="611"/>
      <c r="P779" s="611"/>
      <c r="AE779" s="611"/>
      <c r="AT779" s="611"/>
    </row>
    <row r="780" spans="1:46" x14ac:dyDescent="0.2">
      <c r="A780" s="611"/>
      <c r="P780" s="611"/>
      <c r="AE780" s="611"/>
      <c r="AT780" s="611"/>
    </row>
    <row r="781" spans="1:46" x14ac:dyDescent="0.2">
      <c r="A781" s="611"/>
      <c r="P781" s="611"/>
      <c r="AE781" s="611"/>
      <c r="AT781" s="611"/>
    </row>
    <row r="782" spans="1:46" x14ac:dyDescent="0.2">
      <c r="A782" s="611"/>
      <c r="P782" s="611"/>
      <c r="AE782" s="611"/>
      <c r="AT782" s="611"/>
    </row>
    <row r="783" spans="1:46" x14ac:dyDescent="0.2">
      <c r="A783" s="611"/>
      <c r="P783" s="611"/>
      <c r="AE783" s="611"/>
      <c r="AT783" s="611"/>
    </row>
    <row r="784" spans="1:46" x14ac:dyDescent="0.2">
      <c r="A784" s="611"/>
      <c r="P784" s="611"/>
      <c r="AE784" s="611"/>
      <c r="AT784" s="611"/>
    </row>
    <row r="785" spans="1:46" x14ac:dyDescent="0.2">
      <c r="A785" s="611"/>
      <c r="P785" s="611"/>
      <c r="AE785" s="611"/>
      <c r="AT785" s="611"/>
    </row>
    <row r="786" spans="1:46" x14ac:dyDescent="0.2">
      <c r="A786" s="611"/>
      <c r="P786" s="611"/>
      <c r="AE786" s="611"/>
      <c r="AT786" s="611"/>
    </row>
    <row r="787" spans="1:46" x14ac:dyDescent="0.2">
      <c r="A787" s="611"/>
      <c r="P787" s="611"/>
      <c r="AE787" s="611"/>
      <c r="AT787" s="611"/>
    </row>
    <row r="788" spans="1:46" x14ac:dyDescent="0.2">
      <c r="A788" s="611"/>
      <c r="P788" s="611"/>
      <c r="AE788" s="611"/>
      <c r="AT788" s="611"/>
    </row>
    <row r="789" spans="1:46" x14ac:dyDescent="0.2">
      <c r="A789" s="611"/>
      <c r="P789" s="611"/>
      <c r="AE789" s="611"/>
      <c r="AT789" s="611"/>
    </row>
    <row r="790" spans="1:46" x14ac:dyDescent="0.2">
      <c r="A790" s="611"/>
      <c r="P790" s="611"/>
      <c r="AE790" s="611"/>
      <c r="AT790" s="611"/>
    </row>
    <row r="791" spans="1:46" x14ac:dyDescent="0.2">
      <c r="A791" s="611"/>
      <c r="P791" s="611"/>
      <c r="AE791" s="611"/>
      <c r="AT791" s="611"/>
    </row>
    <row r="792" spans="1:46" x14ac:dyDescent="0.2">
      <c r="A792" s="611"/>
      <c r="P792" s="611"/>
      <c r="AE792" s="611"/>
      <c r="AT792" s="611"/>
    </row>
    <row r="793" spans="1:46" x14ac:dyDescent="0.2">
      <c r="A793" s="611"/>
      <c r="P793" s="611"/>
      <c r="AE793" s="611"/>
      <c r="AT793" s="611"/>
    </row>
    <row r="794" spans="1:46" x14ac:dyDescent="0.2">
      <c r="A794" s="611"/>
      <c r="P794" s="611"/>
      <c r="AE794" s="611"/>
      <c r="AT794" s="611"/>
    </row>
    <row r="795" spans="1:46" x14ac:dyDescent="0.2">
      <c r="A795" s="611"/>
      <c r="P795" s="611"/>
      <c r="AE795" s="611"/>
      <c r="AT795" s="611"/>
    </row>
    <row r="796" spans="1:46" x14ac:dyDescent="0.2">
      <c r="A796" s="611"/>
      <c r="P796" s="611"/>
      <c r="AE796" s="611"/>
      <c r="AT796" s="611"/>
    </row>
    <row r="797" spans="1:46" x14ac:dyDescent="0.2">
      <c r="A797" s="611"/>
      <c r="P797" s="611"/>
      <c r="AE797" s="611"/>
      <c r="AT797" s="611"/>
    </row>
    <row r="798" spans="1:46" x14ac:dyDescent="0.2">
      <c r="A798" s="611"/>
      <c r="P798" s="611"/>
      <c r="AE798" s="611"/>
      <c r="AT798" s="611"/>
    </row>
    <row r="799" spans="1:46" x14ac:dyDescent="0.2">
      <c r="A799" s="611"/>
      <c r="P799" s="611"/>
      <c r="AE799" s="611"/>
      <c r="AT799" s="611"/>
    </row>
    <row r="800" spans="1:46" x14ac:dyDescent="0.2">
      <c r="A800" s="611"/>
      <c r="P800" s="611"/>
      <c r="AE800" s="611"/>
      <c r="AT800" s="611"/>
    </row>
    <row r="801" spans="1:46" x14ac:dyDescent="0.2">
      <c r="A801" s="611"/>
      <c r="P801" s="611"/>
      <c r="AE801" s="611"/>
      <c r="AT801" s="611"/>
    </row>
    <row r="802" spans="1:46" x14ac:dyDescent="0.2">
      <c r="A802" s="611"/>
      <c r="P802" s="611"/>
      <c r="AE802" s="611"/>
      <c r="AT802" s="611"/>
    </row>
    <row r="803" spans="1:46" x14ac:dyDescent="0.2">
      <c r="A803" s="611"/>
      <c r="P803" s="611"/>
      <c r="AE803" s="611"/>
      <c r="AT803" s="611"/>
    </row>
    <row r="804" spans="1:46" x14ac:dyDescent="0.2">
      <c r="A804" s="611"/>
      <c r="P804" s="611"/>
      <c r="AE804" s="611"/>
      <c r="AT804" s="611"/>
    </row>
    <row r="805" spans="1:46" x14ac:dyDescent="0.2">
      <c r="A805" s="611"/>
      <c r="P805" s="611"/>
      <c r="AE805" s="611"/>
      <c r="AT805" s="611"/>
    </row>
    <row r="806" spans="1:46" x14ac:dyDescent="0.2">
      <c r="A806" s="611"/>
      <c r="P806" s="611"/>
      <c r="AE806" s="611"/>
      <c r="AT806" s="611"/>
    </row>
    <row r="807" spans="1:46" x14ac:dyDescent="0.2">
      <c r="A807" s="611"/>
      <c r="P807" s="611"/>
      <c r="AE807" s="611"/>
      <c r="AT807" s="611"/>
    </row>
    <row r="808" spans="1:46" x14ac:dyDescent="0.2">
      <c r="A808" s="611"/>
      <c r="P808" s="611"/>
      <c r="AE808" s="611"/>
      <c r="AT808" s="611"/>
    </row>
    <row r="809" spans="1:46" x14ac:dyDescent="0.2">
      <c r="A809" s="611"/>
      <c r="P809" s="611"/>
      <c r="AE809" s="611"/>
      <c r="AT809" s="611"/>
    </row>
    <row r="810" spans="1:46" x14ac:dyDescent="0.2">
      <c r="A810" s="611"/>
      <c r="P810" s="611"/>
      <c r="AE810" s="611"/>
      <c r="AT810" s="611"/>
    </row>
    <row r="811" spans="1:46" x14ac:dyDescent="0.2">
      <c r="A811" s="611"/>
      <c r="P811" s="611"/>
      <c r="AE811" s="611"/>
      <c r="AT811" s="611"/>
    </row>
    <row r="812" spans="1:46" x14ac:dyDescent="0.2">
      <c r="A812" s="611"/>
      <c r="P812" s="611"/>
      <c r="AE812" s="611"/>
      <c r="AT812" s="611"/>
    </row>
    <row r="813" spans="1:46" x14ac:dyDescent="0.2">
      <c r="A813" s="611"/>
      <c r="P813" s="611"/>
      <c r="AE813" s="611"/>
      <c r="AT813" s="611"/>
    </row>
    <row r="814" spans="1:46" x14ac:dyDescent="0.2">
      <c r="A814" s="611"/>
      <c r="P814" s="611"/>
      <c r="AE814" s="611"/>
      <c r="AT814" s="611"/>
    </row>
    <row r="815" spans="1:46" x14ac:dyDescent="0.2">
      <c r="A815" s="611"/>
      <c r="P815" s="611"/>
      <c r="AE815" s="611"/>
      <c r="AT815" s="611"/>
    </row>
    <row r="816" spans="1:46" x14ac:dyDescent="0.2">
      <c r="A816" s="611"/>
      <c r="P816" s="611"/>
      <c r="AE816" s="611"/>
      <c r="AT816" s="611"/>
    </row>
    <row r="817" spans="1:46" x14ac:dyDescent="0.2">
      <c r="A817" s="611"/>
      <c r="P817" s="611"/>
      <c r="AE817" s="611"/>
      <c r="AT817" s="611"/>
    </row>
    <row r="818" spans="1:46" x14ac:dyDescent="0.2">
      <c r="A818" s="611"/>
      <c r="P818" s="611"/>
      <c r="AE818" s="611"/>
      <c r="AT818" s="611"/>
    </row>
    <row r="819" spans="1:46" x14ac:dyDescent="0.2">
      <c r="A819" s="611"/>
      <c r="P819" s="611"/>
      <c r="AE819" s="611"/>
      <c r="AT819" s="611"/>
    </row>
    <row r="820" spans="1:46" x14ac:dyDescent="0.2">
      <c r="A820" s="611"/>
      <c r="P820" s="611"/>
      <c r="AE820" s="611"/>
      <c r="AT820" s="611"/>
    </row>
    <row r="821" spans="1:46" x14ac:dyDescent="0.2">
      <c r="A821" s="611"/>
      <c r="P821" s="611"/>
      <c r="AE821" s="611"/>
      <c r="AT821" s="611"/>
    </row>
    <row r="822" spans="1:46" x14ac:dyDescent="0.2">
      <c r="A822" s="611"/>
      <c r="P822" s="611"/>
      <c r="AE822" s="611"/>
      <c r="AT822" s="611"/>
    </row>
    <row r="823" spans="1:46" x14ac:dyDescent="0.2">
      <c r="A823" s="611"/>
      <c r="P823" s="611"/>
      <c r="AE823" s="611"/>
      <c r="AT823" s="611"/>
    </row>
    <row r="824" spans="1:46" x14ac:dyDescent="0.2">
      <c r="A824" s="611"/>
      <c r="P824" s="611"/>
      <c r="AE824" s="611"/>
      <c r="AT824" s="611"/>
    </row>
    <row r="825" spans="1:46" x14ac:dyDescent="0.2">
      <c r="A825" s="611"/>
      <c r="P825" s="611"/>
      <c r="AE825" s="611"/>
      <c r="AT825" s="611"/>
    </row>
    <row r="826" spans="1:46" x14ac:dyDescent="0.2">
      <c r="A826" s="611"/>
      <c r="P826" s="611"/>
      <c r="AE826" s="611"/>
      <c r="AT826" s="611"/>
    </row>
    <row r="827" spans="1:46" x14ac:dyDescent="0.2">
      <c r="A827" s="611"/>
      <c r="P827" s="611"/>
      <c r="AE827" s="611"/>
      <c r="AT827" s="611"/>
    </row>
    <row r="828" spans="1:46" x14ac:dyDescent="0.2">
      <c r="A828" s="611"/>
      <c r="P828" s="611"/>
      <c r="AE828" s="611"/>
      <c r="AT828" s="611"/>
    </row>
    <row r="829" spans="1:46" x14ac:dyDescent="0.2">
      <c r="A829" s="611"/>
      <c r="P829" s="611"/>
      <c r="AE829" s="611"/>
      <c r="AT829" s="611"/>
    </row>
    <row r="830" spans="1:46" x14ac:dyDescent="0.2">
      <c r="A830" s="611"/>
      <c r="P830" s="611"/>
      <c r="AE830" s="611"/>
      <c r="AT830" s="611"/>
    </row>
    <row r="831" spans="1:46" x14ac:dyDescent="0.2">
      <c r="A831" s="611"/>
      <c r="P831" s="611"/>
      <c r="AE831" s="611"/>
      <c r="AT831" s="611"/>
    </row>
    <row r="832" spans="1:46" x14ac:dyDescent="0.2">
      <c r="A832" s="611"/>
      <c r="P832" s="611"/>
      <c r="AE832" s="611"/>
      <c r="AT832" s="611"/>
    </row>
    <row r="833" spans="1:46" x14ac:dyDescent="0.2">
      <c r="A833" s="611"/>
      <c r="P833" s="611"/>
      <c r="AE833" s="611"/>
      <c r="AT833" s="611"/>
    </row>
    <row r="834" spans="1:46" x14ac:dyDescent="0.2">
      <c r="A834" s="611"/>
      <c r="P834" s="611"/>
      <c r="AE834" s="611"/>
      <c r="AT834" s="611"/>
    </row>
    <row r="835" spans="1:46" x14ac:dyDescent="0.2">
      <c r="A835" s="611"/>
      <c r="P835" s="611"/>
      <c r="AE835" s="611"/>
      <c r="AT835" s="611"/>
    </row>
    <row r="836" spans="1:46" x14ac:dyDescent="0.2">
      <c r="A836" s="611"/>
      <c r="P836" s="611"/>
      <c r="AE836" s="611"/>
      <c r="AT836" s="611"/>
    </row>
    <row r="837" spans="1:46" x14ac:dyDescent="0.2">
      <c r="A837" s="611"/>
      <c r="P837" s="611"/>
      <c r="AE837" s="611"/>
      <c r="AT837" s="611"/>
    </row>
    <row r="838" spans="1:46" x14ac:dyDescent="0.2">
      <c r="A838" s="611"/>
      <c r="P838" s="611"/>
      <c r="AE838" s="611"/>
      <c r="AT838" s="611"/>
    </row>
    <row r="839" spans="1:46" x14ac:dyDescent="0.2">
      <c r="A839" s="611"/>
      <c r="P839" s="611"/>
      <c r="AE839" s="611"/>
      <c r="AT839" s="611"/>
    </row>
    <row r="840" spans="1:46" x14ac:dyDescent="0.2">
      <c r="A840" s="611"/>
      <c r="P840" s="611"/>
      <c r="AE840" s="611"/>
      <c r="AT840" s="611"/>
    </row>
    <row r="841" spans="1:46" x14ac:dyDescent="0.2">
      <c r="A841" s="611"/>
      <c r="P841" s="611"/>
      <c r="AE841" s="611"/>
      <c r="AT841" s="611"/>
    </row>
    <row r="842" spans="1:46" x14ac:dyDescent="0.2">
      <c r="A842" s="611"/>
      <c r="P842" s="611"/>
      <c r="AE842" s="611"/>
      <c r="AT842" s="611"/>
    </row>
    <row r="843" spans="1:46" x14ac:dyDescent="0.2">
      <c r="A843" s="611"/>
      <c r="P843" s="611"/>
      <c r="AE843" s="611"/>
      <c r="AT843" s="611"/>
    </row>
    <row r="844" spans="1:46" x14ac:dyDescent="0.2">
      <c r="A844" s="611"/>
      <c r="P844" s="611"/>
      <c r="AE844" s="611"/>
      <c r="AT844" s="611"/>
    </row>
    <row r="845" spans="1:46" x14ac:dyDescent="0.2">
      <c r="A845" s="611"/>
      <c r="P845" s="611"/>
      <c r="AE845" s="611"/>
      <c r="AT845" s="611"/>
    </row>
    <row r="846" spans="1:46" x14ac:dyDescent="0.2">
      <c r="A846" s="611"/>
      <c r="P846" s="611"/>
      <c r="AE846" s="611"/>
      <c r="AT846" s="611"/>
    </row>
    <row r="847" spans="1:46" x14ac:dyDescent="0.2">
      <c r="A847" s="611"/>
      <c r="P847" s="611"/>
      <c r="AE847" s="611"/>
      <c r="AT847" s="611"/>
    </row>
    <row r="848" spans="1:46" x14ac:dyDescent="0.2">
      <c r="A848" s="611"/>
      <c r="P848" s="611"/>
      <c r="AE848" s="611"/>
      <c r="AT848" s="611"/>
    </row>
    <row r="849" spans="1:46" x14ac:dyDescent="0.2">
      <c r="A849" s="611"/>
      <c r="P849" s="611"/>
      <c r="AE849" s="611"/>
      <c r="AT849" s="611"/>
    </row>
    <row r="850" spans="1:46" x14ac:dyDescent="0.2">
      <c r="A850" s="611"/>
      <c r="P850" s="611"/>
      <c r="AE850" s="611"/>
      <c r="AT850" s="611"/>
    </row>
    <row r="851" spans="1:46" x14ac:dyDescent="0.2">
      <c r="A851" s="611"/>
      <c r="P851" s="611"/>
      <c r="AE851" s="611"/>
      <c r="AT851" s="611"/>
    </row>
    <row r="852" spans="1:46" x14ac:dyDescent="0.2">
      <c r="A852" s="611"/>
      <c r="P852" s="611"/>
      <c r="AE852" s="611"/>
      <c r="AT852" s="611"/>
    </row>
    <row r="853" spans="1:46" x14ac:dyDescent="0.2">
      <c r="A853" s="611"/>
      <c r="P853" s="611"/>
      <c r="AE853" s="611"/>
      <c r="AT853" s="611"/>
    </row>
    <row r="854" spans="1:46" x14ac:dyDescent="0.2">
      <c r="A854" s="611"/>
      <c r="P854" s="611"/>
      <c r="AE854" s="611"/>
      <c r="AT854" s="611"/>
    </row>
    <row r="855" spans="1:46" x14ac:dyDescent="0.2">
      <c r="A855" s="611"/>
      <c r="P855" s="611"/>
      <c r="AE855" s="611"/>
      <c r="AT855" s="611"/>
    </row>
    <row r="856" spans="1:46" x14ac:dyDescent="0.2">
      <c r="A856" s="611"/>
      <c r="P856" s="611"/>
      <c r="AE856" s="611"/>
      <c r="AT856" s="611"/>
    </row>
    <row r="857" spans="1:46" x14ac:dyDescent="0.2">
      <c r="A857" s="611"/>
      <c r="P857" s="611"/>
      <c r="AE857" s="611"/>
      <c r="AT857" s="611"/>
    </row>
    <row r="858" spans="1:46" x14ac:dyDescent="0.2">
      <c r="A858" s="611"/>
      <c r="P858" s="611"/>
      <c r="AE858" s="611"/>
      <c r="AT858" s="611"/>
    </row>
    <row r="859" spans="1:46" x14ac:dyDescent="0.2">
      <c r="A859" s="611"/>
      <c r="P859" s="611"/>
      <c r="AE859" s="611"/>
      <c r="AT859" s="611"/>
    </row>
    <row r="860" spans="1:46" x14ac:dyDescent="0.2">
      <c r="A860" s="611"/>
      <c r="P860" s="611"/>
      <c r="AE860" s="611"/>
      <c r="AT860" s="611"/>
    </row>
    <row r="861" spans="1:46" x14ac:dyDescent="0.2">
      <c r="A861" s="611"/>
      <c r="P861" s="611"/>
      <c r="AE861" s="611"/>
      <c r="AT861" s="611"/>
    </row>
    <row r="862" spans="1:46" x14ac:dyDescent="0.2">
      <c r="A862" s="611"/>
      <c r="P862" s="611"/>
      <c r="AE862" s="611"/>
      <c r="AT862" s="611"/>
    </row>
    <row r="863" spans="1:46" x14ac:dyDescent="0.2">
      <c r="A863" s="611"/>
      <c r="P863" s="611"/>
      <c r="AE863" s="611"/>
      <c r="AT863" s="611"/>
    </row>
    <row r="864" spans="1:46" x14ac:dyDescent="0.2">
      <c r="A864" s="611"/>
      <c r="P864" s="611"/>
      <c r="AE864" s="611"/>
      <c r="AT864" s="611"/>
    </row>
    <row r="865" spans="1:46" x14ac:dyDescent="0.2">
      <c r="A865" s="611"/>
      <c r="P865" s="611"/>
      <c r="AE865" s="611"/>
      <c r="AT865" s="611"/>
    </row>
    <row r="866" spans="1:46" x14ac:dyDescent="0.2">
      <c r="A866" s="611"/>
      <c r="P866" s="611"/>
      <c r="AE866" s="611"/>
      <c r="AT866" s="611"/>
    </row>
    <row r="867" spans="1:46" x14ac:dyDescent="0.2">
      <c r="A867" s="611"/>
      <c r="P867" s="611"/>
      <c r="AE867" s="611"/>
      <c r="AT867" s="611"/>
    </row>
    <row r="868" spans="1:46" x14ac:dyDescent="0.2">
      <c r="A868" s="611"/>
      <c r="P868" s="611"/>
      <c r="AE868" s="611"/>
      <c r="AT868" s="611"/>
    </row>
    <row r="869" spans="1:46" x14ac:dyDescent="0.2">
      <c r="A869" s="611"/>
      <c r="P869" s="611"/>
      <c r="AE869" s="611"/>
      <c r="AT869" s="611"/>
    </row>
    <row r="870" spans="1:46" x14ac:dyDescent="0.2">
      <c r="A870" s="611"/>
      <c r="P870" s="611"/>
      <c r="AE870" s="611"/>
      <c r="AT870" s="611"/>
    </row>
    <row r="871" spans="1:46" x14ac:dyDescent="0.2">
      <c r="A871" s="611"/>
      <c r="P871" s="611"/>
      <c r="AE871" s="611"/>
      <c r="AT871" s="611"/>
    </row>
    <row r="872" spans="1:46" x14ac:dyDescent="0.2">
      <c r="A872" s="611"/>
      <c r="P872" s="611"/>
      <c r="AE872" s="611"/>
      <c r="AT872" s="611"/>
    </row>
    <row r="873" spans="1:46" x14ac:dyDescent="0.2">
      <c r="A873" s="611"/>
      <c r="P873" s="611"/>
      <c r="AE873" s="611"/>
      <c r="AT873" s="611"/>
    </row>
    <row r="874" spans="1:46" x14ac:dyDescent="0.2">
      <c r="A874" s="611"/>
      <c r="P874" s="611"/>
      <c r="AE874" s="611"/>
      <c r="AT874" s="611"/>
    </row>
    <row r="875" spans="1:46" x14ac:dyDescent="0.2">
      <c r="A875" s="611"/>
      <c r="P875" s="611"/>
      <c r="AE875" s="611"/>
      <c r="AT875" s="611"/>
    </row>
    <row r="876" spans="1:46" x14ac:dyDescent="0.2">
      <c r="A876" s="611"/>
      <c r="P876" s="611"/>
      <c r="AE876" s="611"/>
      <c r="AT876" s="611"/>
    </row>
    <row r="877" spans="1:46" x14ac:dyDescent="0.2">
      <c r="A877" s="611"/>
      <c r="P877" s="611"/>
      <c r="AE877" s="611"/>
      <c r="AT877" s="611"/>
    </row>
    <row r="878" spans="1:46" x14ac:dyDescent="0.2">
      <c r="A878" s="611"/>
      <c r="P878" s="611"/>
      <c r="AE878" s="611"/>
      <c r="AT878" s="611"/>
    </row>
    <row r="879" spans="1:46" x14ac:dyDescent="0.2">
      <c r="A879" s="611"/>
      <c r="P879" s="611"/>
      <c r="AE879" s="611"/>
      <c r="AT879" s="611"/>
    </row>
    <row r="880" spans="1:46" x14ac:dyDescent="0.2">
      <c r="A880" s="611"/>
      <c r="P880" s="611"/>
      <c r="AE880" s="611"/>
      <c r="AT880" s="611"/>
    </row>
    <row r="881" spans="1:46" x14ac:dyDescent="0.2">
      <c r="A881" s="611"/>
      <c r="P881" s="611"/>
      <c r="AE881" s="611"/>
      <c r="AT881" s="611"/>
    </row>
    <row r="882" spans="1:46" x14ac:dyDescent="0.2">
      <c r="A882" s="611"/>
      <c r="P882" s="611"/>
      <c r="AE882" s="611"/>
      <c r="AT882" s="611"/>
    </row>
    <row r="883" spans="1:46" x14ac:dyDescent="0.2">
      <c r="A883" s="611"/>
      <c r="P883" s="611"/>
      <c r="AE883" s="611"/>
      <c r="AT883" s="611"/>
    </row>
    <row r="884" spans="1:46" x14ac:dyDescent="0.2">
      <c r="A884" s="611"/>
      <c r="P884" s="611"/>
      <c r="AE884" s="611"/>
      <c r="AT884" s="611"/>
    </row>
    <row r="885" spans="1:46" x14ac:dyDescent="0.2">
      <c r="A885" s="611"/>
      <c r="P885" s="611"/>
      <c r="AE885" s="611"/>
      <c r="AT885" s="611"/>
    </row>
    <row r="886" spans="1:46" x14ac:dyDescent="0.2">
      <c r="A886" s="611"/>
      <c r="P886" s="611"/>
      <c r="AE886" s="611"/>
      <c r="AT886" s="611"/>
    </row>
    <row r="887" spans="1:46" x14ac:dyDescent="0.2">
      <c r="A887" s="611"/>
      <c r="P887" s="611"/>
      <c r="AE887" s="611"/>
      <c r="AT887" s="611"/>
    </row>
    <row r="888" spans="1:46" x14ac:dyDescent="0.2">
      <c r="A888" s="611"/>
      <c r="P888" s="611"/>
      <c r="AE888" s="611"/>
      <c r="AT888" s="611"/>
    </row>
    <row r="889" spans="1:46" x14ac:dyDescent="0.2">
      <c r="A889" s="611"/>
      <c r="P889" s="611"/>
      <c r="AE889" s="611"/>
      <c r="AT889" s="611"/>
    </row>
    <row r="890" spans="1:46" x14ac:dyDescent="0.2">
      <c r="A890" s="611"/>
      <c r="P890" s="611"/>
      <c r="AE890" s="611"/>
      <c r="AT890" s="611"/>
    </row>
    <row r="891" spans="1:46" x14ac:dyDescent="0.2">
      <c r="A891" s="611"/>
      <c r="P891" s="611"/>
      <c r="AE891" s="611"/>
      <c r="AT891" s="611"/>
    </row>
    <row r="892" spans="1:46" x14ac:dyDescent="0.2">
      <c r="A892" s="611"/>
      <c r="P892" s="611"/>
      <c r="AE892" s="611"/>
      <c r="AT892" s="611"/>
    </row>
    <row r="893" spans="1:46" x14ac:dyDescent="0.2">
      <c r="A893" s="611"/>
      <c r="P893" s="611"/>
      <c r="AE893" s="611"/>
      <c r="AT893" s="611"/>
    </row>
    <row r="894" spans="1:46" x14ac:dyDescent="0.2">
      <c r="A894" s="611"/>
      <c r="P894" s="611"/>
      <c r="AE894" s="611"/>
      <c r="AT894" s="611"/>
    </row>
    <row r="895" spans="1:46" x14ac:dyDescent="0.2">
      <c r="A895" s="611"/>
      <c r="P895" s="611"/>
      <c r="AE895" s="611"/>
      <c r="AT895" s="611"/>
    </row>
    <row r="896" spans="1:46" x14ac:dyDescent="0.2">
      <c r="A896" s="611"/>
      <c r="P896" s="611"/>
      <c r="AE896" s="611"/>
      <c r="AT896" s="611"/>
    </row>
    <row r="897" spans="1:46" x14ac:dyDescent="0.2">
      <c r="A897" s="611"/>
      <c r="P897" s="611"/>
      <c r="AE897" s="611"/>
      <c r="AT897" s="611"/>
    </row>
    <row r="898" spans="1:46" x14ac:dyDescent="0.2">
      <c r="A898" s="611"/>
      <c r="P898" s="611"/>
      <c r="AE898" s="611"/>
      <c r="AT898" s="611"/>
    </row>
    <row r="899" spans="1:46" x14ac:dyDescent="0.2">
      <c r="A899" s="611"/>
      <c r="P899" s="611"/>
      <c r="AE899" s="611"/>
      <c r="AT899" s="611"/>
    </row>
    <row r="900" spans="1:46" x14ac:dyDescent="0.2">
      <c r="A900" s="611"/>
      <c r="P900" s="611"/>
      <c r="AE900" s="611"/>
      <c r="AT900" s="611"/>
    </row>
    <row r="901" spans="1:46" x14ac:dyDescent="0.2">
      <c r="A901" s="611"/>
      <c r="P901" s="611"/>
      <c r="AE901" s="611"/>
      <c r="AT901" s="611"/>
    </row>
    <row r="902" spans="1:46" x14ac:dyDescent="0.2">
      <c r="A902" s="611"/>
      <c r="P902" s="611"/>
      <c r="AE902" s="611"/>
      <c r="AT902" s="611"/>
    </row>
    <row r="903" spans="1:46" x14ac:dyDescent="0.2">
      <c r="A903" s="611"/>
      <c r="P903" s="611"/>
      <c r="AE903" s="611"/>
      <c r="AT903" s="611"/>
    </row>
    <row r="904" spans="1:46" x14ac:dyDescent="0.2">
      <c r="A904" s="611"/>
      <c r="P904" s="611"/>
      <c r="AE904" s="611"/>
      <c r="AT904" s="611"/>
    </row>
    <row r="905" spans="1:46" x14ac:dyDescent="0.2">
      <c r="A905" s="611"/>
      <c r="P905" s="611"/>
      <c r="AE905" s="611"/>
      <c r="AT905" s="611"/>
    </row>
    <row r="906" spans="1:46" x14ac:dyDescent="0.2">
      <c r="A906" s="611"/>
      <c r="P906" s="611"/>
      <c r="AE906" s="611"/>
      <c r="AT906" s="611"/>
    </row>
    <row r="907" spans="1:46" x14ac:dyDescent="0.2">
      <c r="A907" s="611"/>
      <c r="P907" s="611"/>
      <c r="AE907" s="611"/>
      <c r="AT907" s="611"/>
    </row>
    <row r="908" spans="1:46" x14ac:dyDescent="0.2">
      <c r="A908" s="611"/>
      <c r="P908" s="611"/>
      <c r="AE908" s="611"/>
      <c r="AT908" s="611"/>
    </row>
    <row r="909" spans="1:46" x14ac:dyDescent="0.2">
      <c r="A909" s="611"/>
      <c r="P909" s="611"/>
      <c r="AE909" s="611"/>
      <c r="AT909" s="611"/>
    </row>
    <row r="910" spans="1:46" x14ac:dyDescent="0.2">
      <c r="A910" s="611"/>
      <c r="P910" s="611"/>
      <c r="AE910" s="611"/>
      <c r="AT910" s="611"/>
    </row>
    <row r="911" spans="1:46" x14ac:dyDescent="0.2">
      <c r="A911" s="611"/>
      <c r="P911" s="611"/>
      <c r="AE911" s="611"/>
      <c r="AT911" s="611"/>
    </row>
    <row r="912" spans="1:46" x14ac:dyDescent="0.2">
      <c r="A912" s="611"/>
      <c r="P912" s="611"/>
      <c r="AE912" s="611"/>
      <c r="AT912" s="611"/>
    </row>
    <row r="913" spans="1:46" x14ac:dyDescent="0.2">
      <c r="A913" s="611"/>
      <c r="P913" s="611"/>
      <c r="AE913" s="611"/>
      <c r="AT913" s="611"/>
    </row>
    <row r="914" spans="1:46" x14ac:dyDescent="0.2">
      <c r="A914" s="611"/>
      <c r="P914" s="611"/>
      <c r="AE914" s="611"/>
      <c r="AT914" s="611"/>
    </row>
    <row r="915" spans="1:46" x14ac:dyDescent="0.2">
      <c r="A915" s="611"/>
      <c r="P915" s="611"/>
      <c r="AE915" s="611"/>
      <c r="AT915" s="611"/>
    </row>
  </sheetData>
  <sheetProtection formatCells="0" formatColumns="0" formatRows="0" sort="0" autoFilter="0" pivotTables="0"/>
  <mergeCells count="24">
    <mergeCell ref="B1:C1"/>
    <mergeCell ref="Q1:R1"/>
    <mergeCell ref="S3:U3"/>
    <mergeCell ref="AH3:AJ3"/>
    <mergeCell ref="AN3:AP3"/>
    <mergeCell ref="Y3:AA3"/>
    <mergeCell ref="AB3:AD3"/>
    <mergeCell ref="M3:O3"/>
    <mergeCell ref="B3:C3"/>
    <mergeCell ref="D3:F3"/>
    <mergeCell ref="J3:L3"/>
    <mergeCell ref="Q3:R3"/>
    <mergeCell ref="G3:I3"/>
    <mergeCell ref="V3:X3"/>
    <mergeCell ref="AQ3:AS3"/>
    <mergeCell ref="BF3:BH3"/>
    <mergeCell ref="AF1:AG1"/>
    <mergeCell ref="AK3:AM3"/>
    <mergeCell ref="AF3:AG3"/>
    <mergeCell ref="AU1:AV1"/>
    <mergeCell ref="AU3:AV3"/>
    <mergeCell ref="AW3:AY3"/>
    <mergeCell ref="AZ3:BB3"/>
    <mergeCell ref="BC3:BE3"/>
  </mergeCells>
  <phoneticPr fontId="7" type="noConversion"/>
  <pageMargins left="0.7" right="0.7" top="0.75" bottom="0.75" header="0.3" footer="0.3"/>
  <pageSetup paperSize="9" orientation="portrait" r:id="rId1"/>
  <ignoredErrors>
    <ignoredError sqref="AV6:AX292 AV5:AX5 AZ5:BD5 AZ6:BD292 BF5:BG5 BF6:BG292" calculatedColumn="1"/>
  </ignoredErrors>
  <drawing r:id="rId2"/>
  <tableParts count="4">
    <tablePart r:id="rId3"/>
    <tablePart r:id="rId4"/>
    <tablePart r:id="rId5"/>
    <tablePart r:id="rId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8B42-C7FB-4895-84AF-2740E23C17AB}">
  <sheetPr>
    <tabColor rgb="FFFFFF00"/>
  </sheetPr>
  <dimension ref="B2:O85"/>
  <sheetViews>
    <sheetView topLeftCell="A35" workbookViewId="0">
      <selection activeCell="D41" sqref="D41"/>
    </sheetView>
  </sheetViews>
  <sheetFormatPr defaultColWidth="9.140625" defaultRowHeight="15" x14ac:dyDescent="0.25"/>
  <cols>
    <col min="1" max="1" width="3.42578125" customWidth="1"/>
    <col min="2" max="2" width="7.42578125" hidden="1" customWidth="1"/>
    <col min="3" max="3" width="17.85546875" bestFit="1" customWidth="1"/>
    <col min="4" max="4" width="9.28515625" bestFit="1" customWidth="1"/>
    <col min="5" max="5" width="11.140625" bestFit="1" customWidth="1"/>
    <col min="6" max="6" width="12" bestFit="1" customWidth="1"/>
    <col min="7" max="7" width="16" customWidth="1"/>
    <col min="8" max="8" width="14.42578125" customWidth="1"/>
    <col min="9" max="9" width="18.85546875" customWidth="1"/>
    <col min="10" max="10" width="19.85546875" bestFit="1" customWidth="1"/>
    <col min="11" max="11" width="19.85546875" style="66" bestFit="1" customWidth="1"/>
    <col min="12" max="12" width="17.7109375" style="4" customWidth="1"/>
    <col min="13" max="13" width="19" style="4" customWidth="1"/>
    <col min="15" max="15" width="9.140625" style="346"/>
  </cols>
  <sheetData>
    <row r="2" spans="3:13" x14ac:dyDescent="0.25">
      <c r="C2" s="111" t="s">
        <v>8422</v>
      </c>
      <c r="K2" s="30"/>
    </row>
    <row r="3" spans="3:13" ht="15.75" thickBot="1" x14ac:dyDescent="0.3">
      <c r="C3" s="2"/>
      <c r="K3" s="755">
        <v>115000</v>
      </c>
      <c r="L3" s="755"/>
      <c r="M3" s="755"/>
    </row>
    <row r="4" spans="3:13" ht="15.75" customHeight="1" thickBot="1" x14ac:dyDescent="0.3">
      <c r="C4" s="756" t="s">
        <v>104</v>
      </c>
      <c r="D4" s="757"/>
      <c r="E4" s="757"/>
      <c r="F4" s="757"/>
      <c r="G4" s="83" t="s">
        <v>71</v>
      </c>
      <c r="H4" s="77" t="s">
        <v>70</v>
      </c>
      <c r="I4" s="241" t="s">
        <v>69</v>
      </c>
      <c r="J4" s="84" t="s">
        <v>68</v>
      </c>
      <c r="K4" s="757" t="s">
        <v>105</v>
      </c>
      <c r="L4" s="757"/>
      <c r="M4" s="758"/>
    </row>
    <row r="5" spans="3:13" ht="30.75" thickBot="1" x14ac:dyDescent="0.3">
      <c r="C5" s="759" t="s">
        <v>11</v>
      </c>
      <c r="D5" s="760"/>
      <c r="E5" s="503" t="s">
        <v>103</v>
      </c>
      <c r="F5" s="126" t="s">
        <v>101</v>
      </c>
      <c r="G5" s="761"/>
      <c r="H5" s="762"/>
      <c r="I5" s="762"/>
      <c r="J5" s="763"/>
      <c r="K5" s="127" t="s">
        <v>12</v>
      </c>
      <c r="L5" s="503" t="s">
        <v>102</v>
      </c>
      <c r="M5" s="128" t="s">
        <v>100</v>
      </c>
    </row>
    <row r="6" spans="3:13" ht="16.5" hidden="1" customHeight="1" x14ac:dyDescent="0.25">
      <c r="C6" s="120">
        <v>0</v>
      </c>
      <c r="D6" s="135"/>
      <c r="E6" s="121" t="e">
        <f>D6/H6</f>
        <v>#DIV/0!</v>
      </c>
      <c r="F6" s="122">
        <f>D6/$D$10</f>
        <v>0</v>
      </c>
      <c r="G6" s="31"/>
      <c r="H6" s="80">
        <f>G6-I6</f>
        <v>0</v>
      </c>
      <c r="I6" s="81">
        <v>0</v>
      </c>
      <c r="J6" s="82" t="e">
        <f>I6/G6</f>
        <v>#DIV/0!</v>
      </c>
      <c r="K6" s="123"/>
      <c r="L6" s="63" t="e">
        <f>K6/H6</f>
        <v>#DIV/0!</v>
      </c>
      <c r="M6" s="124">
        <f>K6/$K$10</f>
        <v>0</v>
      </c>
    </row>
    <row r="7" spans="3:13" ht="16.5" hidden="1" customHeight="1" x14ac:dyDescent="0.25">
      <c r="C7" s="119">
        <v>1</v>
      </c>
      <c r="D7" s="135"/>
      <c r="E7" s="27" t="e">
        <f>D7/H7</f>
        <v>#DIV/0!</v>
      </c>
      <c r="F7" s="52">
        <f>D7/$D$10</f>
        <v>0</v>
      </c>
      <c r="G7" s="31"/>
      <c r="H7" s="73">
        <f>G7-I7</f>
        <v>0</v>
      </c>
      <c r="I7" s="81">
        <v>0</v>
      </c>
      <c r="J7" s="74" t="e">
        <f>I7/G7</f>
        <v>#DIV/0!</v>
      </c>
      <c r="K7" s="123"/>
      <c r="L7" s="51" t="e">
        <f>K7/H7</f>
        <v>#DIV/0!</v>
      </c>
      <c r="M7" s="29">
        <f>K7/$K$10</f>
        <v>0</v>
      </c>
    </row>
    <row r="8" spans="3:13" ht="16.5" hidden="1" customHeight="1" x14ac:dyDescent="0.25">
      <c r="C8" s="119">
        <v>2</v>
      </c>
      <c r="D8" s="135">
        <v>40000</v>
      </c>
      <c r="E8" s="27">
        <f>D8/H8</f>
        <v>50</v>
      </c>
      <c r="F8" s="52">
        <f>D8/$D$10</f>
        <v>1</v>
      </c>
      <c r="G8" s="31">
        <v>800</v>
      </c>
      <c r="H8" s="73">
        <f>G8-I8</f>
        <v>800</v>
      </c>
      <c r="I8" s="81">
        <v>0</v>
      </c>
      <c r="J8" s="74">
        <f>I8/G8</f>
        <v>0</v>
      </c>
      <c r="K8" s="123">
        <f>K3*D10</f>
        <v>4600000000</v>
      </c>
      <c r="L8" s="51">
        <f>K8/H8</f>
        <v>5750000</v>
      </c>
      <c r="M8" s="29">
        <f>K8/$K$10</f>
        <v>1</v>
      </c>
    </row>
    <row r="9" spans="3:13" ht="16.5" hidden="1" customHeight="1" thickBot="1" x14ac:dyDescent="0.3">
      <c r="C9" s="119">
        <v>3</v>
      </c>
      <c r="D9" s="135"/>
      <c r="E9" s="27" t="e">
        <f>D9/H9</f>
        <v>#DIV/0!</v>
      </c>
      <c r="F9" s="52">
        <f>D9/$D$10</f>
        <v>0</v>
      </c>
      <c r="G9" s="31"/>
      <c r="H9" s="75">
        <f>G9-I9</f>
        <v>0</v>
      </c>
      <c r="I9" s="81">
        <v>0</v>
      </c>
      <c r="J9" s="76" t="e">
        <f>I9/G9</f>
        <v>#DIV/0!</v>
      </c>
      <c r="K9" s="123"/>
      <c r="L9" s="51" t="e">
        <f>K9/H9</f>
        <v>#DIV/0!</v>
      </c>
      <c r="M9" s="29">
        <f>K9/$K$10</f>
        <v>0</v>
      </c>
    </row>
    <row r="10" spans="3:13" ht="15.75" thickBot="1" x14ac:dyDescent="0.3">
      <c r="C10" s="286" t="s">
        <v>49</v>
      </c>
      <c r="D10" s="287">
        <f>SUM(D6:D9)</f>
        <v>40000</v>
      </c>
      <c r="E10" s="288">
        <f>D10/H10</f>
        <v>50</v>
      </c>
      <c r="F10" s="289"/>
      <c r="G10" s="286">
        <f>SUM(G6:G9)</f>
        <v>800</v>
      </c>
      <c r="H10" s="290">
        <f>SUM(H6:H9)</f>
        <v>800</v>
      </c>
      <c r="I10" s="290">
        <f>G10-H10</f>
        <v>0</v>
      </c>
      <c r="J10" s="291">
        <f>I10/G10</f>
        <v>0</v>
      </c>
      <c r="K10" s="292">
        <f>SUM(K6:K9)</f>
        <v>4600000000</v>
      </c>
      <c r="L10" s="293">
        <f>K10/H10</f>
        <v>5750000</v>
      </c>
      <c r="M10" s="291">
        <f>K10/$K$10</f>
        <v>1</v>
      </c>
    </row>
    <row r="11" spans="3:13" x14ac:dyDescent="0.25">
      <c r="E11" s="8"/>
      <c r="I11" s="3"/>
      <c r="J11" s="3"/>
      <c r="K11" s="67"/>
      <c r="L11" s="18"/>
      <c r="M11" s="10"/>
    </row>
    <row r="12" spans="3:13" x14ac:dyDescent="0.25">
      <c r="C12" s="93" t="s">
        <v>92</v>
      </c>
      <c r="D12" s="94" t="s">
        <v>4</v>
      </c>
      <c r="E12" s="95" t="s">
        <v>22</v>
      </c>
      <c r="F12" s="95" t="s">
        <v>23</v>
      </c>
      <c r="G12" s="95" t="s">
        <v>24</v>
      </c>
      <c r="H12" s="72" t="s">
        <v>25</v>
      </c>
      <c r="I12" s="96" t="s">
        <v>51</v>
      </c>
      <c r="J12" s="96" t="s">
        <v>52</v>
      </c>
      <c r="K12"/>
      <c r="L12" s="15"/>
      <c r="M12" s="65"/>
    </row>
    <row r="13" spans="3:13" x14ac:dyDescent="0.25">
      <c r="C13" s="118" t="s">
        <v>2</v>
      </c>
      <c r="D13" s="116"/>
      <c r="E13" s="116"/>
      <c r="F13" s="116"/>
      <c r="G13" s="116"/>
      <c r="H13" s="116">
        <f>SUM(D13:G13)</f>
        <v>0</v>
      </c>
      <c r="I13" s="117"/>
      <c r="J13" s="117"/>
      <c r="K13" s="15"/>
      <c r="L13"/>
      <c r="M13" s="65"/>
    </row>
    <row r="14" spans="3:13" x14ac:dyDescent="0.25">
      <c r="C14" s="100" t="s">
        <v>26</v>
      </c>
      <c r="D14" s="98">
        <f>D31+D47+D63+D79</f>
        <v>0</v>
      </c>
      <c r="E14" s="98">
        <f t="shared" ref="E14:J14" si="0">E31+E47+E63+E79</f>
        <v>0</v>
      </c>
      <c r="F14" s="98">
        <f t="shared" si="0"/>
        <v>800</v>
      </c>
      <c r="G14" s="98">
        <f t="shared" si="0"/>
        <v>0</v>
      </c>
      <c r="H14" s="98">
        <f t="shared" si="0"/>
        <v>800</v>
      </c>
      <c r="I14" s="188">
        <f t="shared" si="0"/>
        <v>40000</v>
      </c>
      <c r="J14" s="188">
        <f t="shared" si="0"/>
        <v>4600000000</v>
      </c>
      <c r="K14" s="18"/>
      <c r="L14" s="4">
        <f>L31+L47+L63+L79</f>
        <v>4795212500</v>
      </c>
      <c r="M14" s="65"/>
    </row>
    <row r="15" spans="3:13" x14ac:dyDescent="0.25">
      <c r="C15" s="145" t="s">
        <v>93</v>
      </c>
      <c r="D15" s="147"/>
      <c r="E15" s="147"/>
      <c r="F15" s="147"/>
      <c r="G15" s="147"/>
      <c r="H15" s="147"/>
      <c r="I15" s="146"/>
      <c r="J15" s="146"/>
      <c r="K15" s="25"/>
      <c r="L15"/>
      <c r="M15" s="65"/>
    </row>
    <row r="16" spans="3:13" ht="14.25" customHeight="1" x14ac:dyDescent="0.25">
      <c r="C16" s="101" t="s">
        <v>1</v>
      </c>
      <c r="D16" s="97">
        <f>D14-D13</f>
        <v>0</v>
      </c>
      <c r="E16" s="97">
        <f t="shared" ref="E16:J16" si="1">E14-E13</f>
        <v>0</v>
      </c>
      <c r="F16" s="97">
        <f t="shared" si="1"/>
        <v>800</v>
      </c>
      <c r="G16" s="97">
        <f t="shared" si="1"/>
        <v>0</v>
      </c>
      <c r="H16" s="97">
        <f t="shared" si="1"/>
        <v>800</v>
      </c>
      <c r="I16" s="97">
        <f t="shared" si="1"/>
        <v>40000</v>
      </c>
      <c r="J16" s="97">
        <f t="shared" si="1"/>
        <v>4600000000</v>
      </c>
      <c r="K16" s="4"/>
      <c r="L16" s="18"/>
      <c r="M16" s="65"/>
    </row>
    <row r="17" spans="3:15" ht="14.25" customHeight="1" x14ac:dyDescent="0.25">
      <c r="C17" s="2"/>
      <c r="D17" s="6"/>
      <c r="E17" s="6"/>
      <c r="F17" s="6"/>
      <c r="G17" s="6"/>
      <c r="H17" s="6"/>
      <c r="I17" s="6"/>
      <c r="J17" s="6"/>
      <c r="K17" s="62"/>
      <c r="L17" s="6"/>
    </row>
    <row r="18" spans="3:15" ht="24" x14ac:dyDescent="0.25">
      <c r="C18" s="102" t="s">
        <v>0</v>
      </c>
      <c r="D18" s="103" t="s">
        <v>4</v>
      </c>
      <c r="E18" s="104" t="s">
        <v>22</v>
      </c>
      <c r="F18" s="524" t="s">
        <v>23</v>
      </c>
      <c r="G18" s="104" t="s">
        <v>24</v>
      </c>
      <c r="H18" s="105" t="s">
        <v>59</v>
      </c>
      <c r="I18" s="106" t="s">
        <v>51</v>
      </c>
      <c r="J18" s="107" t="s">
        <v>33</v>
      </c>
      <c r="K18" s="107" t="s">
        <v>108</v>
      </c>
      <c r="L18" s="107" t="s">
        <v>107</v>
      </c>
      <c r="M18" s="108" t="s">
        <v>17</v>
      </c>
    </row>
    <row r="19" spans="3:15" hidden="1" x14ac:dyDescent="0.25">
      <c r="C19" s="136">
        <v>45658</v>
      </c>
      <c r="D19" s="39"/>
      <c r="E19" s="39"/>
      <c r="F19" s="39"/>
      <c r="G19" s="39"/>
      <c r="H19" s="39">
        <f t="shared" ref="H19:H26" si="2">SUM(D19:G19)</f>
        <v>0</v>
      </c>
      <c r="I19" s="69">
        <f t="shared" ref="I19:I21" si="3">F19*$E$8</f>
        <v>0</v>
      </c>
      <c r="J19" s="59">
        <f t="shared" ref="J19:J21" si="4">F19*$L$8</f>
        <v>0</v>
      </c>
      <c r="K19" s="373"/>
      <c r="L19" s="60">
        <f>J19+J19*SUM(SUM($K$19))</f>
        <v>0</v>
      </c>
      <c r="M19" s="59" t="str">
        <f>IFERROR(L19/I19,"")</f>
        <v/>
      </c>
    </row>
    <row r="20" spans="3:15" hidden="1" x14ac:dyDescent="0.25">
      <c r="C20" s="136">
        <v>45689</v>
      </c>
      <c r="D20" s="39"/>
      <c r="E20" s="39"/>
      <c r="F20" s="39"/>
      <c r="G20" s="39"/>
      <c r="H20" s="39">
        <f t="shared" si="2"/>
        <v>0</v>
      </c>
      <c r="I20" s="69">
        <f t="shared" si="3"/>
        <v>0</v>
      </c>
      <c r="J20" s="59">
        <f t="shared" si="4"/>
        <v>0</v>
      </c>
      <c r="K20" s="373"/>
      <c r="L20" s="60">
        <f>J20+J20*SUM(SUM($K$19:K20))</f>
        <v>0</v>
      </c>
      <c r="M20" s="59" t="str">
        <f t="shared" ref="M20:M30" si="5">IFERROR(L20/I20,"")</f>
        <v/>
      </c>
    </row>
    <row r="21" spans="3:15" hidden="1" x14ac:dyDescent="0.25">
      <c r="C21" s="136">
        <v>45717</v>
      </c>
      <c r="D21" s="39"/>
      <c r="E21" s="39"/>
      <c r="F21" s="39"/>
      <c r="G21" s="39"/>
      <c r="H21" s="39">
        <f t="shared" si="2"/>
        <v>0</v>
      </c>
      <c r="I21" s="69">
        <f t="shared" si="3"/>
        <v>0</v>
      </c>
      <c r="J21" s="59">
        <f t="shared" si="4"/>
        <v>0</v>
      </c>
      <c r="K21" s="294"/>
      <c r="L21" s="60">
        <f>J21+J21*SUM(SUM($K$19:K21))</f>
        <v>0</v>
      </c>
      <c r="M21" s="59" t="str">
        <f t="shared" si="5"/>
        <v/>
      </c>
    </row>
    <row r="22" spans="3:15" hidden="1" x14ac:dyDescent="0.25">
      <c r="C22" s="136">
        <v>45748</v>
      </c>
      <c r="D22" s="39"/>
      <c r="E22" s="39"/>
      <c r="F22" s="39"/>
      <c r="G22" s="39"/>
      <c r="H22" s="39">
        <f t="shared" si="2"/>
        <v>0</v>
      </c>
      <c r="I22" s="69">
        <f>F22*$E$8</f>
        <v>0</v>
      </c>
      <c r="J22" s="59">
        <f>F22*$L$8</f>
        <v>0</v>
      </c>
      <c r="K22" s="294"/>
      <c r="L22" s="60">
        <f>J22+J22*SUM(SUM($K$19:K22))</f>
        <v>0</v>
      </c>
      <c r="M22" s="59" t="str">
        <f t="shared" si="5"/>
        <v/>
      </c>
    </row>
    <row r="23" spans="3:15" hidden="1" x14ac:dyDescent="0.25">
      <c r="C23" s="136">
        <v>45778</v>
      </c>
      <c r="D23" s="39"/>
      <c r="E23" s="39"/>
      <c r="F23" s="39"/>
      <c r="G23" s="39"/>
      <c r="H23" s="39">
        <f t="shared" si="2"/>
        <v>0</v>
      </c>
      <c r="I23" s="69">
        <f t="shared" ref="I23:I30" si="6">F23*$E$8</f>
        <v>0</v>
      </c>
      <c r="J23" s="59">
        <f t="shared" ref="J23:J30" si="7">F23*$L$8</f>
        <v>0</v>
      </c>
      <c r="K23" s="356"/>
      <c r="L23" s="60">
        <f>J23+J23*SUM(SUM($K$19:K23))</f>
        <v>0</v>
      </c>
      <c r="M23" s="59" t="str">
        <f t="shared" si="5"/>
        <v/>
      </c>
    </row>
    <row r="24" spans="3:15" hidden="1" x14ac:dyDescent="0.25">
      <c r="C24" s="136">
        <v>45809</v>
      </c>
      <c r="D24" s="39"/>
      <c r="E24" s="39"/>
      <c r="F24" s="39"/>
      <c r="G24" s="39"/>
      <c r="H24" s="39">
        <f t="shared" si="2"/>
        <v>0</v>
      </c>
      <c r="I24" s="69">
        <f t="shared" si="6"/>
        <v>0</v>
      </c>
      <c r="J24" s="59">
        <f t="shared" si="7"/>
        <v>0</v>
      </c>
      <c r="K24" s="356"/>
      <c r="L24" s="60">
        <f>J24+J24*SUM(SUM($K$19:K23))</f>
        <v>0</v>
      </c>
      <c r="M24" s="59" t="str">
        <f t="shared" si="5"/>
        <v/>
      </c>
    </row>
    <row r="25" spans="3:15" hidden="1" x14ac:dyDescent="0.25">
      <c r="C25" s="136">
        <v>45839</v>
      </c>
      <c r="D25" s="39"/>
      <c r="E25" s="39"/>
      <c r="F25" s="39"/>
      <c r="G25" s="39"/>
      <c r="H25" s="39">
        <f t="shared" si="2"/>
        <v>0</v>
      </c>
      <c r="I25" s="69">
        <f t="shared" si="6"/>
        <v>0</v>
      </c>
      <c r="J25" s="59">
        <f t="shared" si="7"/>
        <v>0</v>
      </c>
      <c r="K25" s="356"/>
      <c r="L25" s="60">
        <f>J25+J25*SUM(SUM($K$19:K23))</f>
        <v>0</v>
      </c>
      <c r="M25" s="59" t="str">
        <f t="shared" si="5"/>
        <v/>
      </c>
    </row>
    <row r="26" spans="3:15" hidden="1" x14ac:dyDescent="0.25">
      <c r="C26" s="136">
        <v>45870</v>
      </c>
      <c r="D26" s="39"/>
      <c r="E26" s="39"/>
      <c r="F26" s="39"/>
      <c r="G26" s="39"/>
      <c r="H26" s="39">
        <f t="shared" si="2"/>
        <v>0</v>
      </c>
      <c r="I26" s="69">
        <f t="shared" si="6"/>
        <v>0</v>
      </c>
      <c r="J26" s="59">
        <f t="shared" si="7"/>
        <v>0</v>
      </c>
      <c r="K26" s="356"/>
      <c r="L26" s="60">
        <f>J26+J26*SUM(SUM($K$19:K26))</f>
        <v>0</v>
      </c>
      <c r="M26" s="59" t="str">
        <f t="shared" si="5"/>
        <v/>
      </c>
    </row>
    <row r="27" spans="3:15" hidden="1" x14ac:dyDescent="0.25">
      <c r="C27" s="136">
        <v>45901</v>
      </c>
      <c r="D27" s="39"/>
      <c r="E27" s="39"/>
      <c r="F27" s="39"/>
      <c r="G27" s="39"/>
      <c r="H27" s="39">
        <f>SUM(D27:G27)</f>
        <v>0</v>
      </c>
      <c r="I27" s="69">
        <f t="shared" si="6"/>
        <v>0</v>
      </c>
      <c r="J27" s="59">
        <f t="shared" si="7"/>
        <v>0</v>
      </c>
      <c r="K27" s="356"/>
      <c r="L27" s="60">
        <f>J27+J27*SUM(SUM($K$19:K27))</f>
        <v>0</v>
      </c>
      <c r="M27" s="59" t="str">
        <f t="shared" si="5"/>
        <v/>
      </c>
    </row>
    <row r="28" spans="3:15" hidden="1" x14ac:dyDescent="0.25">
      <c r="C28" s="136">
        <v>45931</v>
      </c>
      <c r="D28" s="39"/>
      <c r="E28" s="39"/>
      <c r="F28" s="39"/>
      <c r="G28" s="39"/>
      <c r="H28" s="39">
        <f>SUM(D28:G28)</f>
        <v>0</v>
      </c>
      <c r="I28" s="69">
        <f t="shared" si="6"/>
        <v>0</v>
      </c>
      <c r="J28" s="59">
        <f t="shared" si="7"/>
        <v>0</v>
      </c>
      <c r="K28" s="356"/>
      <c r="L28" s="60">
        <f>J28+J28*SUM(SUM($K$19:K28))</f>
        <v>0</v>
      </c>
      <c r="M28" s="59" t="str">
        <f t="shared" si="5"/>
        <v/>
      </c>
    </row>
    <row r="29" spans="3:15" x14ac:dyDescent="0.25">
      <c r="C29" s="136">
        <v>45962</v>
      </c>
      <c r="D29" s="39"/>
      <c r="E29" s="39"/>
      <c r="F29" s="39">
        <v>17</v>
      </c>
      <c r="G29" s="39"/>
      <c r="H29" s="39">
        <f>SUM(D29:G29)</f>
        <v>17</v>
      </c>
      <c r="I29" s="69">
        <f t="shared" si="6"/>
        <v>850</v>
      </c>
      <c r="J29" s="59">
        <f t="shared" si="7"/>
        <v>97750000</v>
      </c>
      <c r="K29" s="356">
        <v>-0.03</v>
      </c>
      <c r="L29" s="60">
        <f>J29+J29*SUM(SUM($K$19:K29))</f>
        <v>94817500</v>
      </c>
      <c r="M29" s="59">
        <f t="shared" si="5"/>
        <v>111550</v>
      </c>
      <c r="O29" s="346">
        <v>500</v>
      </c>
    </row>
    <row r="30" spans="3:15" x14ac:dyDescent="0.25">
      <c r="C30" s="136">
        <v>45992</v>
      </c>
      <c r="D30" s="39"/>
      <c r="E30" s="39"/>
      <c r="F30" s="39">
        <v>17</v>
      </c>
      <c r="G30" s="39"/>
      <c r="H30" s="39">
        <f>SUM(D30:G30)</f>
        <v>17</v>
      </c>
      <c r="I30" s="69">
        <f t="shared" si="6"/>
        <v>850</v>
      </c>
      <c r="J30" s="59">
        <f t="shared" si="7"/>
        <v>97750000</v>
      </c>
      <c r="K30" s="356">
        <v>0.01</v>
      </c>
      <c r="L30" s="60">
        <f>J30+J30*SUM(SUM($K$19:K30))</f>
        <v>95795000</v>
      </c>
      <c r="M30" s="59">
        <f t="shared" si="5"/>
        <v>112700</v>
      </c>
      <c r="O30" s="346">
        <v>500</v>
      </c>
    </row>
    <row r="31" spans="3:15" x14ac:dyDescent="0.25">
      <c r="C31" s="336" t="s">
        <v>4561</v>
      </c>
      <c r="D31" s="337">
        <f>SUM(D19:D30)</f>
        <v>0</v>
      </c>
      <c r="E31" s="337">
        <f>SUM(E19:E30)</f>
        <v>0</v>
      </c>
      <c r="F31" s="337">
        <f>SUM(F19:F30)</f>
        <v>34</v>
      </c>
      <c r="G31" s="337">
        <f>SUM(G19:G30)</f>
        <v>0</v>
      </c>
      <c r="H31" s="337">
        <f t="shared" ref="H31:L31" si="8">SUM(H19:H30)</f>
        <v>34</v>
      </c>
      <c r="I31" s="338">
        <f t="shared" si="8"/>
        <v>1700</v>
      </c>
      <c r="J31" s="338">
        <f t="shared" si="8"/>
        <v>195500000</v>
      </c>
      <c r="K31" s="339">
        <f t="shared" si="8"/>
        <v>-1.9999999999999997E-2</v>
      </c>
      <c r="L31" s="338">
        <f t="shared" si="8"/>
        <v>190612500</v>
      </c>
      <c r="M31" s="338">
        <f>L31/I31</f>
        <v>112125</v>
      </c>
    </row>
    <row r="32" spans="3:15" x14ac:dyDescent="0.25">
      <c r="C32" s="131" t="s">
        <v>106</v>
      </c>
      <c r="D32" s="132" t="e">
        <f>D31/$G$6</f>
        <v>#DIV/0!</v>
      </c>
      <c r="E32" s="132" t="e">
        <f>E31/$G$7</f>
        <v>#DIV/0!</v>
      </c>
      <c r="F32" s="132">
        <f>F31/$G$8</f>
        <v>4.2500000000000003E-2</v>
      </c>
      <c r="G32" s="132" t="e">
        <f>G31/$G$9</f>
        <v>#DIV/0!</v>
      </c>
      <c r="H32" s="133">
        <f>H31/$G$10</f>
        <v>4.2500000000000003E-2</v>
      </c>
      <c r="J32" s="66"/>
      <c r="K32" s="4"/>
      <c r="M32" s="65"/>
    </row>
    <row r="34" spans="3:15" ht="24" x14ac:dyDescent="0.25">
      <c r="C34" s="102" t="s">
        <v>0</v>
      </c>
      <c r="D34" s="103" t="s">
        <v>4</v>
      </c>
      <c r="E34" s="104" t="s">
        <v>22</v>
      </c>
      <c r="F34" s="104" t="s">
        <v>23</v>
      </c>
      <c r="G34" s="104" t="s">
        <v>24</v>
      </c>
      <c r="H34" s="105" t="s">
        <v>59</v>
      </c>
      <c r="I34" s="106" t="s">
        <v>51</v>
      </c>
      <c r="J34" s="107" t="s">
        <v>33</v>
      </c>
      <c r="K34" s="107" t="s">
        <v>108</v>
      </c>
      <c r="L34" s="107" t="s">
        <v>107</v>
      </c>
      <c r="M34" s="108" t="s">
        <v>17</v>
      </c>
    </row>
    <row r="35" spans="3:15" x14ac:dyDescent="0.25">
      <c r="C35" s="136">
        <v>46023</v>
      </c>
      <c r="D35" s="39"/>
      <c r="E35" s="39"/>
      <c r="F35" s="39">
        <v>20</v>
      </c>
      <c r="G35" s="39"/>
      <c r="H35" s="39">
        <f t="shared" ref="H35:H46" si="9">SUM(D35:G35)</f>
        <v>20</v>
      </c>
      <c r="I35" s="69">
        <f t="shared" ref="I35:I37" si="10">F35*$E$8</f>
        <v>1000</v>
      </c>
      <c r="J35" s="59">
        <f t="shared" ref="J35:J37" si="11">F35*$L$8</f>
        <v>115000000</v>
      </c>
      <c r="K35" s="525"/>
      <c r="L35" s="60">
        <f>J35+J35*SUM($K$31+SUM($K$35:K35))</f>
        <v>112700000</v>
      </c>
      <c r="M35" s="59">
        <f>IFERROR(L35/I35,"")</f>
        <v>112700</v>
      </c>
      <c r="O35" s="346">
        <v>1000</v>
      </c>
    </row>
    <row r="36" spans="3:15" x14ac:dyDescent="0.25">
      <c r="C36" s="136">
        <v>46054</v>
      </c>
      <c r="D36" s="39"/>
      <c r="E36" s="39"/>
      <c r="F36" s="39">
        <v>20</v>
      </c>
      <c r="G36" s="39"/>
      <c r="H36" s="39">
        <f t="shared" si="9"/>
        <v>20</v>
      </c>
      <c r="I36" s="69">
        <f t="shared" si="10"/>
        <v>1000</v>
      </c>
      <c r="J36" s="59">
        <f t="shared" si="11"/>
        <v>115000000</v>
      </c>
      <c r="K36" s="525">
        <v>0.01</v>
      </c>
      <c r="L36" s="60">
        <f>J36+J36*SUM($K$31+SUM($K$35:K36))</f>
        <v>113850000</v>
      </c>
      <c r="M36" s="59">
        <f t="shared" ref="M36:M47" si="12">IFERROR(L36/I36,"")</f>
        <v>113850</v>
      </c>
      <c r="O36" s="346">
        <v>1000</v>
      </c>
    </row>
    <row r="37" spans="3:15" x14ac:dyDescent="0.25">
      <c r="C37" s="136">
        <v>46082</v>
      </c>
      <c r="D37" s="39"/>
      <c r="E37" s="39"/>
      <c r="F37" s="39">
        <v>20</v>
      </c>
      <c r="G37" s="39"/>
      <c r="H37" s="39">
        <f t="shared" si="9"/>
        <v>20</v>
      </c>
      <c r="I37" s="69">
        <f t="shared" si="10"/>
        <v>1000</v>
      </c>
      <c r="J37" s="59">
        <f t="shared" si="11"/>
        <v>115000000</v>
      </c>
      <c r="K37" s="525"/>
      <c r="L37" s="60">
        <f>J37+J37*SUM($K$31+SUM($K$35:K37))</f>
        <v>113850000</v>
      </c>
      <c r="M37" s="59">
        <f t="shared" si="12"/>
        <v>113850</v>
      </c>
      <c r="O37" s="346">
        <v>1000</v>
      </c>
    </row>
    <row r="38" spans="3:15" x14ac:dyDescent="0.25">
      <c r="C38" s="136">
        <v>46113</v>
      </c>
      <c r="D38" s="39"/>
      <c r="E38" s="39"/>
      <c r="F38" s="39">
        <v>30</v>
      </c>
      <c r="G38" s="39"/>
      <c r="H38" s="39">
        <f t="shared" si="9"/>
        <v>30</v>
      </c>
      <c r="I38" s="69">
        <f>F38*$E$8</f>
        <v>1500</v>
      </c>
      <c r="J38" s="59">
        <f>F38*$L$8</f>
        <v>172500000</v>
      </c>
      <c r="K38" s="525">
        <v>0.01</v>
      </c>
      <c r="L38" s="60">
        <f>J38+J38*SUM($K$31+SUM($K$35:K38))</f>
        <v>172500000</v>
      </c>
      <c r="M38" s="59">
        <f t="shared" si="12"/>
        <v>115000</v>
      </c>
      <c r="O38" s="346">
        <v>1500</v>
      </c>
    </row>
    <row r="39" spans="3:15" x14ac:dyDescent="0.25">
      <c r="C39" s="136">
        <v>46143</v>
      </c>
      <c r="D39" s="39"/>
      <c r="E39" s="39"/>
      <c r="F39" s="39">
        <v>30</v>
      </c>
      <c r="G39" s="39"/>
      <c r="H39" s="39">
        <f t="shared" si="9"/>
        <v>30</v>
      </c>
      <c r="I39" s="69">
        <f t="shared" ref="I39:I46" si="13">F39*$E$8</f>
        <v>1500</v>
      </c>
      <c r="J39" s="59">
        <f t="shared" ref="J39:J46" si="14">F39*$L$8</f>
        <v>172500000</v>
      </c>
      <c r="K39" s="525"/>
      <c r="L39" s="60">
        <f>J39+J39*SUM($K$31+SUM($K$35:K39))</f>
        <v>172500000</v>
      </c>
      <c r="M39" s="59">
        <f t="shared" si="12"/>
        <v>115000</v>
      </c>
      <c r="O39" s="346">
        <v>1500</v>
      </c>
    </row>
    <row r="40" spans="3:15" x14ac:dyDescent="0.25">
      <c r="C40" s="136">
        <v>46174</v>
      </c>
      <c r="D40" s="39"/>
      <c r="E40" s="39"/>
      <c r="F40" s="39">
        <v>30</v>
      </c>
      <c r="G40" s="39"/>
      <c r="H40" s="39">
        <f t="shared" si="9"/>
        <v>30</v>
      </c>
      <c r="I40" s="69">
        <f t="shared" si="13"/>
        <v>1500</v>
      </c>
      <c r="J40" s="59">
        <f t="shared" si="14"/>
        <v>172500000</v>
      </c>
      <c r="K40" s="525">
        <v>0.01</v>
      </c>
      <c r="L40" s="60">
        <f>J40+J40*SUM($K$31+SUM($K$35:K40))</f>
        <v>174225000</v>
      </c>
      <c r="M40" s="59">
        <f t="shared" si="12"/>
        <v>116150</v>
      </c>
      <c r="O40" s="346">
        <v>1500</v>
      </c>
    </row>
    <row r="41" spans="3:15" x14ac:dyDescent="0.25">
      <c r="C41" s="136">
        <v>46204</v>
      </c>
      <c r="D41" s="39"/>
      <c r="E41" s="39"/>
      <c r="F41" s="39">
        <v>30</v>
      </c>
      <c r="G41" s="39"/>
      <c r="H41" s="39">
        <f t="shared" si="9"/>
        <v>30</v>
      </c>
      <c r="I41" s="69">
        <f t="shared" si="13"/>
        <v>1500</v>
      </c>
      <c r="J41" s="59">
        <f t="shared" si="14"/>
        <v>172500000</v>
      </c>
      <c r="K41" s="525"/>
      <c r="L41" s="60">
        <f>J41+J41*SUM($K$31+SUM($K$35:K41))</f>
        <v>174225000</v>
      </c>
      <c r="M41" s="59">
        <f t="shared" si="12"/>
        <v>116150</v>
      </c>
      <c r="O41" s="346">
        <v>1500</v>
      </c>
    </row>
    <row r="42" spans="3:15" x14ac:dyDescent="0.25">
      <c r="C42" s="136">
        <v>46235</v>
      </c>
      <c r="D42" s="39"/>
      <c r="E42" s="39"/>
      <c r="F42" s="39">
        <v>30</v>
      </c>
      <c r="G42" s="39"/>
      <c r="H42" s="39">
        <f t="shared" si="9"/>
        <v>30</v>
      </c>
      <c r="I42" s="69">
        <f t="shared" si="13"/>
        <v>1500</v>
      </c>
      <c r="J42" s="59">
        <f t="shared" si="14"/>
        <v>172500000</v>
      </c>
      <c r="K42" s="525">
        <v>0.01</v>
      </c>
      <c r="L42" s="60">
        <f>J42+J42*SUM($K$31+SUM($K$35:K42))</f>
        <v>175950000</v>
      </c>
      <c r="M42" s="59">
        <f t="shared" si="12"/>
        <v>117300</v>
      </c>
      <c r="O42" s="346">
        <v>1500</v>
      </c>
    </row>
    <row r="43" spans="3:15" x14ac:dyDescent="0.25">
      <c r="C43" s="136">
        <v>46266</v>
      </c>
      <c r="D43" s="39"/>
      <c r="E43" s="39"/>
      <c r="F43" s="39">
        <v>30</v>
      </c>
      <c r="G43" s="39"/>
      <c r="H43" s="39">
        <f t="shared" si="9"/>
        <v>30</v>
      </c>
      <c r="I43" s="69">
        <f t="shared" si="13"/>
        <v>1500</v>
      </c>
      <c r="J43" s="59">
        <f t="shared" si="14"/>
        <v>172500000</v>
      </c>
      <c r="K43" s="525"/>
      <c r="L43" s="60">
        <f>J43+J43*SUM($K$31+SUM($K$35:K43))</f>
        <v>175950000</v>
      </c>
      <c r="M43" s="59">
        <f t="shared" si="12"/>
        <v>117300</v>
      </c>
      <c r="O43" s="346">
        <v>1500</v>
      </c>
    </row>
    <row r="44" spans="3:15" x14ac:dyDescent="0.25">
      <c r="C44" s="136">
        <v>46296</v>
      </c>
      <c r="D44" s="39"/>
      <c r="E44" s="39"/>
      <c r="F44" s="39">
        <v>30</v>
      </c>
      <c r="G44" s="39"/>
      <c r="H44" s="39">
        <f t="shared" si="9"/>
        <v>30</v>
      </c>
      <c r="I44" s="69">
        <f t="shared" si="13"/>
        <v>1500</v>
      </c>
      <c r="J44" s="59">
        <f t="shared" si="14"/>
        <v>172500000</v>
      </c>
      <c r="K44" s="525">
        <v>0.01</v>
      </c>
      <c r="L44" s="60">
        <f>J44+J44*SUM($K$31+SUM($K$35:K44))</f>
        <v>177675000</v>
      </c>
      <c r="M44" s="59">
        <f t="shared" si="12"/>
        <v>118450</v>
      </c>
      <c r="O44" s="346">
        <v>1500</v>
      </c>
    </row>
    <row r="45" spans="3:15" x14ac:dyDescent="0.25">
      <c r="C45" s="136">
        <v>46327</v>
      </c>
      <c r="D45" s="39"/>
      <c r="E45" s="39"/>
      <c r="F45" s="39">
        <v>30</v>
      </c>
      <c r="G45" s="39"/>
      <c r="H45" s="39">
        <f t="shared" si="9"/>
        <v>30</v>
      </c>
      <c r="I45" s="69">
        <f t="shared" si="13"/>
        <v>1500</v>
      </c>
      <c r="J45" s="59">
        <f t="shared" si="14"/>
        <v>172500000</v>
      </c>
      <c r="K45" s="526"/>
      <c r="L45" s="60">
        <f>J45+J45*SUM($K$31+SUM($K$35:K45))</f>
        <v>177675000</v>
      </c>
      <c r="M45" s="59">
        <f t="shared" si="12"/>
        <v>118450</v>
      </c>
      <c r="O45" s="346">
        <v>1500</v>
      </c>
    </row>
    <row r="46" spans="3:15" x14ac:dyDescent="0.25">
      <c r="C46" s="136">
        <v>46357</v>
      </c>
      <c r="D46" s="39"/>
      <c r="E46" s="39"/>
      <c r="F46" s="39">
        <v>30</v>
      </c>
      <c r="G46" s="39"/>
      <c r="H46" s="39">
        <f t="shared" si="9"/>
        <v>30</v>
      </c>
      <c r="I46" s="69">
        <f t="shared" si="13"/>
        <v>1500</v>
      </c>
      <c r="J46" s="59">
        <f t="shared" si="14"/>
        <v>172500000</v>
      </c>
      <c r="K46" s="526">
        <v>0.01</v>
      </c>
      <c r="L46" s="60">
        <f>J46+J46*SUM($K$31+SUM($K$35:K46))</f>
        <v>179400000</v>
      </c>
      <c r="M46" s="59">
        <f t="shared" si="12"/>
        <v>119600</v>
      </c>
      <c r="O46" s="346">
        <v>1500</v>
      </c>
    </row>
    <row r="47" spans="3:15" x14ac:dyDescent="0.25">
      <c r="C47" s="336" t="s">
        <v>4890</v>
      </c>
      <c r="D47" s="337">
        <f t="shared" ref="D47:L47" si="15">SUM(D35:D46)</f>
        <v>0</v>
      </c>
      <c r="E47" s="337">
        <f t="shared" si="15"/>
        <v>0</v>
      </c>
      <c r="F47" s="337">
        <f t="shared" si="15"/>
        <v>330</v>
      </c>
      <c r="G47" s="337">
        <f t="shared" si="15"/>
        <v>0</v>
      </c>
      <c r="H47" s="337">
        <f t="shared" si="15"/>
        <v>330</v>
      </c>
      <c r="I47" s="338">
        <f t="shared" si="15"/>
        <v>16500</v>
      </c>
      <c r="J47" s="338">
        <f t="shared" si="15"/>
        <v>1897500000</v>
      </c>
      <c r="K47" s="475">
        <f t="shared" si="15"/>
        <v>6.0000000000000005E-2</v>
      </c>
      <c r="L47" s="340">
        <f t="shared" si="15"/>
        <v>1920500000</v>
      </c>
      <c r="M47" s="338">
        <f t="shared" si="12"/>
        <v>116393.93939393939</v>
      </c>
    </row>
    <row r="48" spans="3:15" x14ac:dyDescent="0.25">
      <c r="C48" s="131" t="s">
        <v>106</v>
      </c>
      <c r="D48" s="132" t="e">
        <f>D47/$G$6</f>
        <v>#DIV/0!</v>
      </c>
      <c r="E48" s="132" t="e">
        <f>E47/$G$7</f>
        <v>#DIV/0!</v>
      </c>
      <c r="F48" s="132">
        <f>F47/$G$8</f>
        <v>0.41249999999999998</v>
      </c>
      <c r="G48" s="132" t="e">
        <f>G47/$G$9</f>
        <v>#DIV/0!</v>
      </c>
      <c r="H48" s="133">
        <f>H47/$G$10</f>
        <v>0.41249999999999998</v>
      </c>
      <c r="J48" s="66"/>
      <c r="K48" s="4"/>
      <c r="M48" s="65"/>
    </row>
    <row r="50" spans="3:15" ht="24" x14ac:dyDescent="0.25">
      <c r="C50" s="102" t="s">
        <v>0</v>
      </c>
      <c r="D50" s="103" t="s">
        <v>4</v>
      </c>
      <c r="E50" s="104" t="s">
        <v>22</v>
      </c>
      <c r="F50" s="104" t="s">
        <v>23</v>
      </c>
      <c r="G50" s="104" t="s">
        <v>24</v>
      </c>
      <c r="H50" s="105" t="s">
        <v>59</v>
      </c>
      <c r="I50" s="106" t="s">
        <v>51</v>
      </c>
      <c r="J50" s="107" t="s">
        <v>33</v>
      </c>
      <c r="K50" s="107" t="s">
        <v>108</v>
      </c>
      <c r="L50" s="107" t="s">
        <v>107</v>
      </c>
      <c r="M50" s="108" t="s">
        <v>17</v>
      </c>
    </row>
    <row r="51" spans="3:15" x14ac:dyDescent="0.25">
      <c r="C51" s="136">
        <v>46388</v>
      </c>
      <c r="D51" s="39"/>
      <c r="E51" s="39"/>
      <c r="F51" s="39">
        <v>30</v>
      </c>
      <c r="G51" s="39"/>
      <c r="H51" s="39">
        <f t="shared" ref="H51:H62" si="16">SUM(D51:G51)</f>
        <v>30</v>
      </c>
      <c r="I51" s="69">
        <f t="shared" ref="I51:I53" si="17">F51*$E$8</f>
        <v>1500</v>
      </c>
      <c r="J51" s="59">
        <f t="shared" ref="J51:J53" si="18">F51*$L$8</f>
        <v>172500000</v>
      </c>
      <c r="K51" s="526"/>
      <c r="L51" s="60">
        <f>J51+J51*SUM($K$31+$K$47+SUM($K$51:K51))</f>
        <v>179400000</v>
      </c>
      <c r="M51" s="59">
        <f>IFERROR(L51/I51,"")</f>
        <v>119600</v>
      </c>
      <c r="O51" s="346">
        <v>1500</v>
      </c>
    </row>
    <row r="52" spans="3:15" x14ac:dyDescent="0.25">
      <c r="C52" s="136">
        <v>46419</v>
      </c>
      <c r="D52" s="39"/>
      <c r="E52" s="39"/>
      <c r="F52" s="39">
        <v>30</v>
      </c>
      <c r="G52" s="39"/>
      <c r="H52" s="39">
        <f t="shared" si="16"/>
        <v>30</v>
      </c>
      <c r="I52" s="69">
        <f t="shared" si="17"/>
        <v>1500</v>
      </c>
      <c r="J52" s="59">
        <f t="shared" si="18"/>
        <v>172500000</v>
      </c>
      <c r="K52" s="294">
        <v>0.01</v>
      </c>
      <c r="L52" s="60">
        <f>J52+J52*SUM($K$31+$K$47+SUM($K$51:K52))</f>
        <v>181125000</v>
      </c>
      <c r="M52" s="59">
        <f t="shared" ref="M52:M63" si="19">IFERROR(L52/I52,"")</f>
        <v>120750</v>
      </c>
      <c r="O52" s="346">
        <v>1500</v>
      </c>
    </row>
    <row r="53" spans="3:15" x14ac:dyDescent="0.25">
      <c r="C53" s="136">
        <v>46447</v>
      </c>
      <c r="D53" s="39"/>
      <c r="E53" s="39"/>
      <c r="F53" s="39">
        <v>30</v>
      </c>
      <c r="G53" s="39"/>
      <c r="H53" s="39">
        <f t="shared" si="16"/>
        <v>30</v>
      </c>
      <c r="I53" s="69">
        <f t="shared" si="17"/>
        <v>1500</v>
      </c>
      <c r="J53" s="59">
        <f t="shared" si="18"/>
        <v>172500000</v>
      </c>
      <c r="K53" s="294"/>
      <c r="L53" s="60">
        <f>J53+J53*SUM($K$31+$K$47+SUM($K$51:K53))</f>
        <v>181125000</v>
      </c>
      <c r="M53" s="59">
        <f t="shared" si="19"/>
        <v>120750</v>
      </c>
      <c r="O53" s="346">
        <v>1500</v>
      </c>
    </row>
    <row r="54" spans="3:15" x14ac:dyDescent="0.25">
      <c r="C54" s="136">
        <v>46478</v>
      </c>
      <c r="D54" s="39"/>
      <c r="E54" s="39"/>
      <c r="F54" s="39">
        <v>40</v>
      </c>
      <c r="G54" s="39"/>
      <c r="H54" s="39">
        <f t="shared" si="16"/>
        <v>40</v>
      </c>
      <c r="I54" s="69">
        <f>F54*$E$8</f>
        <v>2000</v>
      </c>
      <c r="J54" s="59">
        <f>F54*$L$8</f>
        <v>230000000</v>
      </c>
      <c r="K54" s="294">
        <v>0.01</v>
      </c>
      <c r="L54" s="60">
        <f>J54+J54*SUM($K$31+$K$47+SUM($K$51:K54))</f>
        <v>243800000</v>
      </c>
      <c r="M54" s="59">
        <f t="shared" si="19"/>
        <v>121900</v>
      </c>
      <c r="O54" s="346">
        <v>2000</v>
      </c>
    </row>
    <row r="55" spans="3:15" x14ac:dyDescent="0.25">
      <c r="C55" s="136">
        <v>46508</v>
      </c>
      <c r="D55" s="39"/>
      <c r="E55" s="39"/>
      <c r="F55" s="39">
        <v>40</v>
      </c>
      <c r="G55" s="39"/>
      <c r="H55" s="39">
        <f t="shared" si="16"/>
        <v>40</v>
      </c>
      <c r="I55" s="69">
        <f t="shared" ref="I55:I62" si="20">F55*$E$8</f>
        <v>2000</v>
      </c>
      <c r="J55" s="59">
        <f t="shared" ref="J55:J62" si="21">F55*$L$8</f>
        <v>230000000</v>
      </c>
      <c r="K55" s="294"/>
      <c r="L55" s="60">
        <f>J55+J55*SUM($K$31+$K$47+SUM($K$51:K55))</f>
        <v>243800000</v>
      </c>
      <c r="M55" s="59">
        <f t="shared" si="19"/>
        <v>121900</v>
      </c>
      <c r="O55" s="346">
        <v>2000</v>
      </c>
    </row>
    <row r="56" spans="3:15" x14ac:dyDescent="0.25">
      <c r="C56" s="136">
        <v>46539</v>
      </c>
      <c r="D56" s="39"/>
      <c r="E56" s="39"/>
      <c r="F56" s="39">
        <v>40</v>
      </c>
      <c r="G56" s="39"/>
      <c r="H56" s="39">
        <f t="shared" si="16"/>
        <v>40</v>
      </c>
      <c r="I56" s="69">
        <f t="shared" si="20"/>
        <v>2000</v>
      </c>
      <c r="J56" s="59">
        <f t="shared" si="21"/>
        <v>230000000</v>
      </c>
      <c r="K56" s="294">
        <v>0.01</v>
      </c>
      <c r="L56" s="60">
        <f>J56+J56*SUM($K$31+$K$47+SUM($K$51:K56))</f>
        <v>246100000</v>
      </c>
      <c r="M56" s="59">
        <f t="shared" si="19"/>
        <v>123050</v>
      </c>
      <c r="O56" s="346">
        <v>2000</v>
      </c>
    </row>
    <row r="57" spans="3:15" x14ac:dyDescent="0.25">
      <c r="C57" s="136">
        <v>46569</v>
      </c>
      <c r="D57" s="39"/>
      <c r="E57" s="39"/>
      <c r="F57" s="39">
        <v>40</v>
      </c>
      <c r="G57" s="39"/>
      <c r="H57" s="39">
        <f t="shared" si="16"/>
        <v>40</v>
      </c>
      <c r="I57" s="69">
        <f t="shared" si="20"/>
        <v>2000</v>
      </c>
      <c r="J57" s="59">
        <f t="shared" si="21"/>
        <v>230000000</v>
      </c>
      <c r="K57" s="374"/>
      <c r="L57" s="60">
        <f>J57+J57*SUM($K$31+$K$47+SUM($K$51:K57))</f>
        <v>246100000</v>
      </c>
      <c r="M57" s="59">
        <f t="shared" si="19"/>
        <v>123050</v>
      </c>
      <c r="O57" s="346">
        <v>2000</v>
      </c>
    </row>
    <row r="58" spans="3:15" x14ac:dyDescent="0.25">
      <c r="C58" s="136">
        <v>46600</v>
      </c>
      <c r="D58" s="39"/>
      <c r="E58" s="39"/>
      <c r="F58" s="39">
        <v>40</v>
      </c>
      <c r="G58" s="39"/>
      <c r="H58" s="39">
        <f t="shared" si="16"/>
        <v>40</v>
      </c>
      <c r="I58" s="69">
        <f t="shared" si="20"/>
        <v>2000</v>
      </c>
      <c r="J58" s="59">
        <f t="shared" si="21"/>
        <v>230000000</v>
      </c>
      <c r="K58" s="294">
        <v>0.01</v>
      </c>
      <c r="L58" s="60">
        <f>J58+J58*SUM($K$31+$K$47+SUM($K$51:K58))</f>
        <v>248400000</v>
      </c>
      <c r="M58" s="59">
        <f t="shared" si="19"/>
        <v>124200</v>
      </c>
      <c r="O58" s="346">
        <v>2000</v>
      </c>
    </row>
    <row r="59" spans="3:15" x14ac:dyDescent="0.25">
      <c r="C59" s="136">
        <v>46631</v>
      </c>
      <c r="D59" s="39"/>
      <c r="E59" s="39"/>
      <c r="F59" s="39">
        <v>40</v>
      </c>
      <c r="G59" s="39"/>
      <c r="H59" s="39">
        <f t="shared" si="16"/>
        <v>40</v>
      </c>
      <c r="I59" s="69">
        <f t="shared" si="20"/>
        <v>2000</v>
      </c>
      <c r="J59" s="59">
        <f t="shared" si="21"/>
        <v>230000000</v>
      </c>
      <c r="K59" s="374"/>
      <c r="L59" s="60">
        <f>J59+J59*SUM($K$31+$K$47+SUM($K$51:K59))</f>
        <v>248400000</v>
      </c>
      <c r="M59" s="59">
        <f t="shared" si="19"/>
        <v>124200</v>
      </c>
      <c r="O59" s="346">
        <v>2000</v>
      </c>
    </row>
    <row r="60" spans="3:15" x14ac:dyDescent="0.25">
      <c r="C60" s="136">
        <v>46661</v>
      </c>
      <c r="D60" s="39"/>
      <c r="E60" s="39"/>
      <c r="F60" s="39">
        <v>40</v>
      </c>
      <c r="G60" s="39"/>
      <c r="H60" s="39">
        <f t="shared" si="16"/>
        <v>40</v>
      </c>
      <c r="I60" s="69">
        <f t="shared" si="20"/>
        <v>2000</v>
      </c>
      <c r="J60" s="59">
        <f t="shared" si="21"/>
        <v>230000000</v>
      </c>
      <c r="K60" s="374">
        <v>0.01</v>
      </c>
      <c r="L60" s="60">
        <f>J60+J60*SUM($K$31+$K$47+SUM($K$51:K60))</f>
        <v>250700000</v>
      </c>
      <c r="M60" s="59">
        <f t="shared" si="19"/>
        <v>125350</v>
      </c>
      <c r="O60" s="346">
        <v>2000</v>
      </c>
    </row>
    <row r="61" spans="3:15" x14ac:dyDescent="0.25">
      <c r="C61" s="136">
        <v>46692</v>
      </c>
      <c r="D61" s="39"/>
      <c r="E61" s="39"/>
      <c r="F61" s="39">
        <v>40</v>
      </c>
      <c r="G61" s="39"/>
      <c r="H61" s="39">
        <f t="shared" si="16"/>
        <v>40</v>
      </c>
      <c r="I61" s="69">
        <f t="shared" si="20"/>
        <v>2000</v>
      </c>
      <c r="J61" s="59">
        <f t="shared" si="21"/>
        <v>230000000</v>
      </c>
      <c r="K61" s="373"/>
      <c r="L61" s="60">
        <f>J61+J61*SUM($K$31+$K$47+SUM($K$51:K61))</f>
        <v>250700000</v>
      </c>
      <c r="M61" s="59">
        <f t="shared" si="19"/>
        <v>125350</v>
      </c>
      <c r="O61" s="346">
        <v>2000</v>
      </c>
    </row>
    <row r="62" spans="3:15" x14ac:dyDescent="0.25">
      <c r="C62" s="136">
        <v>46722</v>
      </c>
      <c r="D62" s="39"/>
      <c r="E62" s="39"/>
      <c r="F62" s="39">
        <v>16</v>
      </c>
      <c r="G62" s="39"/>
      <c r="H62" s="39">
        <f t="shared" si="16"/>
        <v>16</v>
      </c>
      <c r="I62" s="69">
        <f t="shared" si="20"/>
        <v>800</v>
      </c>
      <c r="J62" s="59">
        <f t="shared" si="21"/>
        <v>92000000</v>
      </c>
      <c r="K62" s="294">
        <v>0.01</v>
      </c>
      <c r="L62" s="60">
        <f>J62+J62*SUM($K$31+$K$47+SUM($K$51:K62))</f>
        <v>101200000</v>
      </c>
      <c r="M62" s="59">
        <f t="shared" si="19"/>
        <v>126500</v>
      </c>
      <c r="O62" s="346">
        <v>1000</v>
      </c>
    </row>
    <row r="63" spans="3:15" x14ac:dyDescent="0.25">
      <c r="C63" s="36" t="s">
        <v>7854</v>
      </c>
      <c r="D63" s="64">
        <f t="shared" ref="D63:L63" si="22">SUM(D51:D62)</f>
        <v>0</v>
      </c>
      <c r="E63" s="64">
        <f t="shared" si="22"/>
        <v>0</v>
      </c>
      <c r="F63" s="64">
        <f t="shared" si="22"/>
        <v>426</v>
      </c>
      <c r="G63" s="64">
        <f t="shared" si="22"/>
        <v>0</v>
      </c>
      <c r="H63" s="64">
        <f t="shared" si="22"/>
        <v>426</v>
      </c>
      <c r="I63" s="48">
        <f t="shared" si="22"/>
        <v>21300</v>
      </c>
      <c r="J63" s="48">
        <f t="shared" si="22"/>
        <v>2449500000</v>
      </c>
      <c r="K63" s="37">
        <f t="shared" si="22"/>
        <v>6.0000000000000005E-2</v>
      </c>
      <c r="L63" s="49">
        <f t="shared" si="22"/>
        <v>2620850000</v>
      </c>
      <c r="M63" s="48">
        <f t="shared" si="19"/>
        <v>123044.60093896714</v>
      </c>
    </row>
    <row r="64" spans="3:15" x14ac:dyDescent="0.25">
      <c r="C64" s="131" t="s">
        <v>106</v>
      </c>
      <c r="D64" s="132" t="e">
        <f>D63/$G$6</f>
        <v>#DIV/0!</v>
      </c>
      <c r="E64" s="132" t="e">
        <f>E63/$G$7</f>
        <v>#DIV/0!</v>
      </c>
      <c r="F64" s="132">
        <f>F63/$G$8</f>
        <v>0.53249999999999997</v>
      </c>
      <c r="G64" s="132" t="e">
        <f>G63/$G$9</f>
        <v>#DIV/0!</v>
      </c>
      <c r="H64" s="133">
        <f>H63/$G$10</f>
        <v>0.53249999999999997</v>
      </c>
      <c r="J64" s="66"/>
      <c r="K64" s="4"/>
      <c r="M64" s="65"/>
    </row>
    <row r="66" spans="3:15" ht="24" x14ac:dyDescent="0.25">
      <c r="C66" s="102" t="s">
        <v>0</v>
      </c>
      <c r="D66" s="103" t="s">
        <v>4</v>
      </c>
      <c r="E66" s="104" t="s">
        <v>22</v>
      </c>
      <c r="F66" s="104" t="s">
        <v>23</v>
      </c>
      <c r="G66" s="104" t="s">
        <v>24</v>
      </c>
      <c r="H66" s="105" t="s">
        <v>59</v>
      </c>
      <c r="I66" s="106" t="s">
        <v>51</v>
      </c>
      <c r="J66" s="107" t="s">
        <v>33</v>
      </c>
      <c r="K66" s="107" t="s">
        <v>108</v>
      </c>
      <c r="L66" s="107" t="s">
        <v>107</v>
      </c>
      <c r="M66" s="108" t="s">
        <v>17</v>
      </c>
    </row>
    <row r="67" spans="3:15" x14ac:dyDescent="0.25">
      <c r="C67" s="136">
        <v>46753</v>
      </c>
      <c r="D67" s="39"/>
      <c r="E67" s="39"/>
      <c r="F67" s="39">
        <v>10</v>
      </c>
      <c r="G67" s="39"/>
      <c r="H67" s="39">
        <f t="shared" ref="H67:H78" si="23">SUM(D67:G67)</f>
        <v>10</v>
      </c>
      <c r="I67" s="69">
        <f t="shared" ref="I67:I69" si="24">F67*$E$8</f>
        <v>500</v>
      </c>
      <c r="J67" s="59">
        <f t="shared" ref="J67:J69" si="25">F67*$L$8</f>
        <v>57500000</v>
      </c>
      <c r="K67" s="526"/>
      <c r="L67" s="60">
        <f>J67+J67*SUM($K$31+$K$47+$K$63+SUM($K$67:K67))</f>
        <v>63250000</v>
      </c>
      <c r="M67" s="59">
        <f>IFERROR(L67/I67,"")</f>
        <v>126500</v>
      </c>
      <c r="O67" s="346">
        <v>1000</v>
      </c>
    </row>
    <row r="68" spans="3:15" hidden="1" x14ac:dyDescent="0.25">
      <c r="C68" s="136">
        <v>46784</v>
      </c>
      <c r="D68" s="39"/>
      <c r="E68" s="39"/>
      <c r="F68" s="39"/>
      <c r="G68" s="39"/>
      <c r="H68" s="39">
        <f t="shared" si="23"/>
        <v>0</v>
      </c>
      <c r="I68" s="69">
        <f t="shared" si="24"/>
        <v>0</v>
      </c>
      <c r="J68" s="59">
        <f t="shared" si="25"/>
        <v>0</v>
      </c>
      <c r="K68" s="294"/>
      <c r="L68" s="60">
        <f>J68+J68*SUM($K$31+$K$47+$K$63+SUM($K$67:K68))</f>
        <v>0</v>
      </c>
      <c r="M68" s="59" t="str">
        <f t="shared" ref="M68:M79" si="26">IFERROR(L68/I68,"")</f>
        <v/>
      </c>
    </row>
    <row r="69" spans="3:15" hidden="1" x14ac:dyDescent="0.25">
      <c r="C69" s="136">
        <v>46813</v>
      </c>
      <c r="D69" s="39"/>
      <c r="E69" s="39"/>
      <c r="F69" s="39"/>
      <c r="G69" s="39"/>
      <c r="H69" s="39">
        <f t="shared" si="23"/>
        <v>0</v>
      </c>
      <c r="I69" s="69">
        <f t="shared" si="24"/>
        <v>0</v>
      </c>
      <c r="J69" s="59">
        <f t="shared" si="25"/>
        <v>0</v>
      </c>
      <c r="K69" s="294"/>
      <c r="L69" s="60">
        <f>J69+J69*SUM($K$31+$K$47+$K$63+SUM($K$67:K69))</f>
        <v>0</v>
      </c>
      <c r="M69" s="59" t="str">
        <f t="shared" si="26"/>
        <v/>
      </c>
    </row>
    <row r="70" spans="3:15" hidden="1" x14ac:dyDescent="0.25">
      <c r="C70" s="136">
        <v>46844</v>
      </c>
      <c r="D70" s="39"/>
      <c r="E70" s="39"/>
      <c r="F70" s="39"/>
      <c r="G70" s="39"/>
      <c r="H70" s="39">
        <f t="shared" si="23"/>
        <v>0</v>
      </c>
      <c r="I70" s="69">
        <f>F70*$E$8</f>
        <v>0</v>
      </c>
      <c r="J70" s="59">
        <f>F70*$L$8</f>
        <v>0</v>
      </c>
      <c r="K70" s="294"/>
      <c r="L70" s="60">
        <f>J70+J70*SUM($K$31+$K$47+$K$63+SUM($K$67:K70))</f>
        <v>0</v>
      </c>
      <c r="M70" s="59" t="str">
        <f t="shared" si="26"/>
        <v/>
      </c>
    </row>
    <row r="71" spans="3:15" hidden="1" x14ac:dyDescent="0.25">
      <c r="C71" s="136">
        <v>46874</v>
      </c>
      <c r="D71" s="39"/>
      <c r="E71" s="39"/>
      <c r="F71" s="39"/>
      <c r="G71" s="39"/>
      <c r="H71" s="39">
        <f t="shared" si="23"/>
        <v>0</v>
      </c>
      <c r="I71" s="69">
        <f t="shared" ref="I71:I78" si="27">F71*$E$8</f>
        <v>0</v>
      </c>
      <c r="J71" s="59">
        <f t="shared" ref="J71:J78" si="28">F71*$L$8</f>
        <v>0</v>
      </c>
      <c r="K71" s="294"/>
      <c r="L71" s="60">
        <f>J71+J71*SUM($K$31+$K$47+$K$63+SUM($K$67:K71))</f>
        <v>0</v>
      </c>
      <c r="M71" s="59" t="str">
        <f t="shared" si="26"/>
        <v/>
      </c>
    </row>
    <row r="72" spans="3:15" hidden="1" x14ac:dyDescent="0.25">
      <c r="C72" s="136">
        <v>46905</v>
      </c>
      <c r="D72" s="39"/>
      <c r="E72" s="39"/>
      <c r="F72" s="39"/>
      <c r="G72" s="39"/>
      <c r="H72" s="39">
        <f t="shared" si="23"/>
        <v>0</v>
      </c>
      <c r="I72" s="69">
        <f t="shared" si="27"/>
        <v>0</v>
      </c>
      <c r="J72" s="59">
        <f t="shared" si="28"/>
        <v>0</v>
      </c>
      <c r="K72" s="373"/>
      <c r="L72" s="60">
        <f>J72+J72*SUM($K$31+$K$47+$K$63+SUM($K$67:K72))</f>
        <v>0</v>
      </c>
      <c r="M72" s="59" t="str">
        <f t="shared" si="26"/>
        <v/>
      </c>
    </row>
    <row r="73" spans="3:15" hidden="1" x14ac:dyDescent="0.25">
      <c r="C73" s="136">
        <v>46935</v>
      </c>
      <c r="D73" s="39"/>
      <c r="E73" s="39"/>
      <c r="F73" s="39"/>
      <c r="G73" s="39"/>
      <c r="H73" s="39">
        <f t="shared" si="23"/>
        <v>0</v>
      </c>
      <c r="I73" s="69">
        <f t="shared" si="27"/>
        <v>0</v>
      </c>
      <c r="J73" s="59">
        <f t="shared" si="28"/>
        <v>0</v>
      </c>
      <c r="K73" s="374"/>
      <c r="L73" s="60">
        <f>J73+J73*SUM($K$31+$K$47+$K$63+SUM($K$67:K73))</f>
        <v>0</v>
      </c>
      <c r="M73" s="59" t="str">
        <f t="shared" si="26"/>
        <v/>
      </c>
    </row>
    <row r="74" spans="3:15" hidden="1" x14ac:dyDescent="0.25">
      <c r="C74" s="136">
        <v>46966</v>
      </c>
      <c r="D74" s="39"/>
      <c r="E74" s="39"/>
      <c r="F74" s="39"/>
      <c r="G74" s="39"/>
      <c r="H74" s="39">
        <f t="shared" si="23"/>
        <v>0</v>
      </c>
      <c r="I74" s="69">
        <f t="shared" si="27"/>
        <v>0</v>
      </c>
      <c r="J74" s="59">
        <f t="shared" si="28"/>
        <v>0</v>
      </c>
      <c r="K74" s="374"/>
      <c r="L74" s="60">
        <f>J74+J74*SUM($K$31+$K$47+$K$63+SUM($K$67:K74))</f>
        <v>0</v>
      </c>
      <c r="M74" s="59" t="str">
        <f t="shared" si="26"/>
        <v/>
      </c>
    </row>
    <row r="75" spans="3:15" hidden="1" x14ac:dyDescent="0.25">
      <c r="C75" s="136">
        <v>46997</v>
      </c>
      <c r="D75" s="39"/>
      <c r="E75" s="39"/>
      <c r="F75" s="39"/>
      <c r="G75" s="39"/>
      <c r="H75" s="39">
        <f t="shared" si="23"/>
        <v>0</v>
      </c>
      <c r="I75" s="69">
        <f t="shared" si="27"/>
        <v>0</v>
      </c>
      <c r="J75" s="59">
        <f t="shared" si="28"/>
        <v>0</v>
      </c>
      <c r="K75" s="374"/>
      <c r="L75" s="60">
        <f>J75+J75*SUM($K$31+$K$47+$K$63+SUM($K$67:K75))</f>
        <v>0</v>
      </c>
      <c r="M75" s="59" t="str">
        <f t="shared" si="26"/>
        <v/>
      </c>
    </row>
    <row r="76" spans="3:15" hidden="1" x14ac:dyDescent="0.25">
      <c r="C76" s="136">
        <v>47027</v>
      </c>
      <c r="D76" s="39"/>
      <c r="E76" s="39"/>
      <c r="F76" s="39"/>
      <c r="G76" s="39"/>
      <c r="H76" s="39">
        <f t="shared" si="23"/>
        <v>0</v>
      </c>
      <c r="I76" s="69">
        <f t="shared" si="27"/>
        <v>0</v>
      </c>
      <c r="J76" s="59">
        <f t="shared" si="28"/>
        <v>0</v>
      </c>
      <c r="K76" s="374"/>
      <c r="L76" s="60">
        <f>J76+J76*SUM($K$31+$K$47+$K$63+SUM($K$67:K76))</f>
        <v>0</v>
      </c>
      <c r="M76" s="59" t="str">
        <f t="shared" si="26"/>
        <v/>
      </c>
    </row>
    <row r="77" spans="3:15" hidden="1" x14ac:dyDescent="0.25">
      <c r="C77" s="136">
        <v>47058</v>
      </c>
      <c r="D77" s="39"/>
      <c r="E77" s="39"/>
      <c r="F77" s="39"/>
      <c r="G77" s="39"/>
      <c r="H77" s="39">
        <f t="shared" si="23"/>
        <v>0</v>
      </c>
      <c r="I77" s="69">
        <f t="shared" si="27"/>
        <v>0</v>
      </c>
      <c r="J77" s="59">
        <f t="shared" si="28"/>
        <v>0</v>
      </c>
      <c r="K77" s="373"/>
      <c r="L77" s="60">
        <f>J77+J77*SUM($K$31+$K$47+$K$63+SUM($K$67:K77))</f>
        <v>0</v>
      </c>
      <c r="M77" s="59" t="str">
        <f t="shared" si="26"/>
        <v/>
      </c>
    </row>
    <row r="78" spans="3:15" hidden="1" x14ac:dyDescent="0.25">
      <c r="C78" s="136">
        <v>47088</v>
      </c>
      <c r="D78" s="39"/>
      <c r="E78" s="39"/>
      <c r="F78" s="39"/>
      <c r="G78" s="39"/>
      <c r="H78" s="39">
        <f t="shared" si="23"/>
        <v>0</v>
      </c>
      <c r="I78" s="69">
        <f t="shared" si="27"/>
        <v>0</v>
      </c>
      <c r="J78" s="59">
        <f t="shared" si="28"/>
        <v>0</v>
      </c>
      <c r="K78" s="294"/>
      <c r="L78" s="60">
        <f>J78+J78*SUM($K$31+$K$47+$K$63+SUM($K$67:K78))</f>
        <v>0</v>
      </c>
      <c r="M78" s="59" t="str">
        <f t="shared" si="26"/>
        <v/>
      </c>
    </row>
    <row r="79" spans="3:15" x14ac:dyDescent="0.25">
      <c r="C79" s="36" t="s">
        <v>8423</v>
      </c>
      <c r="D79" s="64">
        <f t="shared" ref="D79:L79" si="29">SUM(D67:D78)</f>
        <v>0</v>
      </c>
      <c r="E79" s="64">
        <f t="shared" si="29"/>
        <v>0</v>
      </c>
      <c r="F79" s="64">
        <f t="shared" si="29"/>
        <v>10</v>
      </c>
      <c r="G79" s="64">
        <f t="shared" si="29"/>
        <v>0</v>
      </c>
      <c r="H79" s="64">
        <f t="shared" si="29"/>
        <v>10</v>
      </c>
      <c r="I79" s="48">
        <f t="shared" si="29"/>
        <v>500</v>
      </c>
      <c r="J79" s="48">
        <f t="shared" si="29"/>
        <v>57500000</v>
      </c>
      <c r="K79" s="37">
        <f t="shared" si="29"/>
        <v>0</v>
      </c>
      <c r="L79" s="49">
        <f t="shared" si="29"/>
        <v>63250000</v>
      </c>
      <c r="M79" s="48">
        <f t="shared" si="26"/>
        <v>126500</v>
      </c>
    </row>
    <row r="80" spans="3:15" x14ac:dyDescent="0.25">
      <c r="C80" s="131" t="s">
        <v>106</v>
      </c>
      <c r="D80" s="132" t="e">
        <f>D79/$G$6</f>
        <v>#DIV/0!</v>
      </c>
      <c r="E80" s="132" t="e">
        <f>E79/$G$7</f>
        <v>#DIV/0!</v>
      </c>
      <c r="F80" s="132">
        <f>F79/$G$8</f>
        <v>1.2500000000000001E-2</v>
      </c>
      <c r="G80" s="132" t="e">
        <f>G79/$G$9</f>
        <v>#DIV/0!</v>
      </c>
      <c r="H80" s="133">
        <f>H79/$G$10</f>
        <v>1.2500000000000001E-2</v>
      </c>
      <c r="J80" s="66"/>
      <c r="K80" s="4"/>
      <c r="M80" s="65"/>
    </row>
    <row r="85" spans="4:13" s="346" customFormat="1" x14ac:dyDescent="0.25">
      <c r="D85" s="436">
        <f>D16</f>
        <v>0</v>
      </c>
      <c r="E85" s="436">
        <f t="shared" ref="E85:F85" si="30">E16</f>
        <v>0</v>
      </c>
      <c r="F85" s="436">
        <f t="shared" si="30"/>
        <v>800</v>
      </c>
      <c r="G85" s="436">
        <f>G16</f>
        <v>0</v>
      </c>
      <c r="I85" s="331">
        <f>I31+I47+I63+I79</f>
        <v>40000</v>
      </c>
      <c r="K85" s="66"/>
      <c r="L85" s="474"/>
      <c r="M85" s="474"/>
    </row>
  </sheetData>
  <mergeCells count="5">
    <mergeCell ref="K3:M3"/>
    <mergeCell ref="C4:F4"/>
    <mergeCell ref="K4:M4"/>
    <mergeCell ref="C5:D5"/>
    <mergeCell ref="G5:J5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2C67C5F8-53EA-4101-A7B9-82DAB07091D4}">
            <x14:iconSet iconSet="3Triangles" reverse="1">
              <x14:cfvo type="percent">
                <xm:f>0</xm:f>
              </x14:cfvo>
              <x14:cfvo type="num">
                <xm:f>-1</xm:f>
              </x14:cfvo>
              <x14:cfvo type="num">
                <xm:f>1</xm:f>
              </x14:cfvo>
            </x14:iconSet>
          </x14:cfRule>
          <xm:sqref>D16:J16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76CF-6B4A-4A26-8E3B-27C65608F2F1}">
  <dimension ref="A1:BK182"/>
  <sheetViews>
    <sheetView workbookViewId="0"/>
  </sheetViews>
  <sheetFormatPr defaultRowHeight="15" x14ac:dyDescent="0.25"/>
  <cols>
    <col min="1" max="1" width="5.5703125" bestFit="1" customWidth="1"/>
    <col min="2" max="2" width="11.4257812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2.5703125" bestFit="1" customWidth="1"/>
    <col min="14" max="14" width="11.42578125" bestFit="1" customWidth="1"/>
    <col min="15" max="15" width="15.42578125" bestFit="1" customWidth="1"/>
    <col min="16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29.5703125" bestFit="1" customWidth="1"/>
    <col min="24" max="24" width="17.5703125" bestFit="1" customWidth="1"/>
    <col min="25" max="25" width="15" bestFit="1" customWidth="1"/>
    <col min="26" max="26" width="15.5703125" bestFit="1" customWidth="1"/>
    <col min="27" max="27" width="15" bestFit="1" customWidth="1"/>
    <col min="28" max="28" width="15.5703125" bestFit="1" customWidth="1"/>
    <col min="29" max="29" width="12" bestFit="1" customWidth="1"/>
    <col min="30" max="30" width="15.5703125" bestFit="1" customWidth="1"/>
    <col min="31" max="31" width="27.85546875" bestFit="1" customWidth="1"/>
    <col min="32" max="32" width="15.5703125" bestFit="1" customWidth="1"/>
    <col min="33" max="33" width="15" bestFit="1" customWidth="1"/>
    <col min="34" max="34" width="15.5703125" bestFit="1" customWidth="1"/>
    <col min="35" max="35" width="15" bestFit="1" customWidth="1"/>
    <col min="36" max="36" width="15.5703125" bestFit="1" customWidth="1"/>
    <col min="37" max="37" width="31.5703125" bestFit="1" customWidth="1"/>
    <col min="38" max="38" width="15.5703125" bestFit="1" customWidth="1"/>
    <col min="39" max="39" width="14" bestFit="1" customWidth="1"/>
    <col min="40" max="40" width="23" bestFit="1" customWidth="1"/>
    <col min="41" max="41" width="24.85546875" bestFit="1" customWidth="1"/>
    <col min="42" max="42" width="11.85546875" bestFit="1" customWidth="1"/>
    <col min="43" max="43" width="25.28515625" bestFit="1" customWidth="1"/>
    <col min="44" max="44" width="33.85546875" bestFit="1" customWidth="1"/>
    <col min="45" max="45" width="39.140625" bestFit="1" customWidth="1"/>
    <col min="46" max="46" width="11.140625" bestFit="1" customWidth="1"/>
    <col min="47" max="47" width="21.42578125" bestFit="1" customWidth="1"/>
    <col min="48" max="48" width="22.85546875" bestFit="1" customWidth="1"/>
    <col min="49" max="49" width="17.85546875" bestFit="1" customWidth="1"/>
    <col min="50" max="50" width="33.5703125" bestFit="1" customWidth="1"/>
    <col min="51" max="51" width="20.5703125" bestFit="1" customWidth="1"/>
    <col min="52" max="53" width="23.140625" bestFit="1" customWidth="1"/>
    <col min="54" max="54" width="14.42578125" bestFit="1" customWidth="1"/>
    <col min="55" max="55" width="16.85546875" bestFit="1" customWidth="1"/>
    <col min="56" max="56" width="19" bestFit="1" customWidth="1"/>
    <col min="57" max="57" width="40.7109375" bestFit="1" customWidth="1"/>
    <col min="58" max="58" width="15.7109375" bestFit="1" customWidth="1"/>
    <col min="59" max="59" width="17.7109375" bestFit="1" customWidth="1"/>
    <col min="60" max="62" width="8" bestFit="1" customWidth="1"/>
    <col min="63" max="63" width="22.28515625" customWidth="1"/>
  </cols>
  <sheetData>
    <row r="1" spans="1:63" x14ac:dyDescent="0.25">
      <c r="A1" t="s">
        <v>10</v>
      </c>
      <c r="B1" t="s">
        <v>7404</v>
      </c>
      <c r="C1" t="s">
        <v>41</v>
      </c>
      <c r="D1" t="s">
        <v>3149</v>
      </c>
      <c r="E1" t="s">
        <v>32</v>
      </c>
      <c r="F1" t="s">
        <v>3372</v>
      </c>
      <c r="G1" t="s">
        <v>3373</v>
      </c>
      <c r="H1" t="s">
        <v>3374</v>
      </c>
      <c r="I1" t="s">
        <v>4620</v>
      </c>
      <c r="J1" t="s">
        <v>3375</v>
      </c>
      <c r="K1" t="s">
        <v>3376</v>
      </c>
      <c r="L1" t="s">
        <v>3377</v>
      </c>
      <c r="M1" t="s">
        <v>9040</v>
      </c>
      <c r="N1" t="s">
        <v>3379</v>
      </c>
      <c r="O1" t="s">
        <v>3378</v>
      </c>
      <c r="P1" t="s">
        <v>3380</v>
      </c>
      <c r="Q1" t="s">
        <v>3381</v>
      </c>
      <c r="R1" t="s">
        <v>85</v>
      </c>
      <c r="S1" t="s">
        <v>4621</v>
      </c>
      <c r="T1" t="s">
        <v>4622</v>
      </c>
      <c r="U1" t="s">
        <v>113</v>
      </c>
      <c r="V1" t="s">
        <v>3386</v>
      </c>
      <c r="W1" t="s">
        <v>9080</v>
      </c>
      <c r="X1" t="s">
        <v>9081</v>
      </c>
      <c r="Y1" t="s">
        <v>9082</v>
      </c>
      <c r="Z1" t="s">
        <v>9083</v>
      </c>
      <c r="AA1" t="s">
        <v>9063</v>
      </c>
      <c r="AB1" t="s">
        <v>9064</v>
      </c>
      <c r="AC1" t="s">
        <v>9084</v>
      </c>
      <c r="AD1" t="s">
        <v>9017</v>
      </c>
      <c r="AE1" t="s">
        <v>9085</v>
      </c>
      <c r="AF1" t="s">
        <v>9069</v>
      </c>
      <c r="AG1" t="s">
        <v>9070</v>
      </c>
      <c r="AH1" t="s">
        <v>9071</v>
      </c>
      <c r="AI1" t="s">
        <v>9086</v>
      </c>
      <c r="AJ1" t="s">
        <v>9087</v>
      </c>
      <c r="AK1" t="s">
        <v>9104</v>
      </c>
      <c r="AL1" t="s">
        <v>9105</v>
      </c>
      <c r="AM1" t="s">
        <v>3383</v>
      </c>
      <c r="AN1" t="s">
        <v>3387</v>
      </c>
      <c r="AO1" t="s">
        <v>114</v>
      </c>
      <c r="AP1" t="s">
        <v>86</v>
      </c>
      <c r="AQ1" t="s">
        <v>115</v>
      </c>
      <c r="AR1" t="s">
        <v>87</v>
      </c>
      <c r="AS1" t="s">
        <v>88</v>
      </c>
      <c r="AT1" t="s">
        <v>9</v>
      </c>
      <c r="AU1" t="s">
        <v>46</v>
      </c>
      <c r="AV1" t="s">
        <v>3384</v>
      </c>
      <c r="AW1" t="s">
        <v>89</v>
      </c>
      <c r="AX1" t="s">
        <v>48</v>
      </c>
      <c r="AY1" t="s">
        <v>56</v>
      </c>
      <c r="AZ1" t="s">
        <v>8</v>
      </c>
      <c r="BA1" t="s">
        <v>7</v>
      </c>
      <c r="BB1" t="s">
        <v>8945</v>
      </c>
      <c r="BC1" t="s">
        <v>8946</v>
      </c>
      <c r="BD1" t="s">
        <v>3385</v>
      </c>
      <c r="BE1" t="s">
        <v>8943</v>
      </c>
      <c r="BF1" t="s">
        <v>8969</v>
      </c>
      <c r="BG1" t="s">
        <v>6979</v>
      </c>
      <c r="BH1" t="s">
        <v>8999</v>
      </c>
      <c r="BI1" t="s">
        <v>9000</v>
      </c>
      <c r="BJ1" t="s">
        <v>9001</v>
      </c>
      <c r="BK1" t="s">
        <v>8058</v>
      </c>
    </row>
    <row r="2" spans="1:63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12.41</v>
      </c>
      <c r="I2">
        <v>12.41</v>
      </c>
      <c r="J2">
        <v>14.8</v>
      </c>
      <c r="K2">
        <v>4.97</v>
      </c>
      <c r="M2">
        <v>3.88</v>
      </c>
      <c r="P2">
        <v>3.11</v>
      </c>
      <c r="R2">
        <v>3.11</v>
      </c>
      <c r="S2">
        <v>39.17</v>
      </c>
      <c r="T2">
        <v>36.06</v>
      </c>
      <c r="U2">
        <v>37.619999999999997</v>
      </c>
      <c r="V2">
        <v>121521.92</v>
      </c>
      <c r="X2">
        <v>121521.92</v>
      </c>
      <c r="Y2">
        <v>0.46805970149580389</v>
      </c>
      <c r="Z2">
        <v>121522.38805970149</v>
      </c>
      <c r="AA2">
        <v>0</v>
      </c>
      <c r="AB2">
        <v>121522.38805970149</v>
      </c>
      <c r="AC2">
        <v>3645.264586160105</v>
      </c>
      <c r="AD2">
        <v>125167.6526458616</v>
      </c>
      <c r="AE2">
        <v>2.4696295238391031</v>
      </c>
      <c r="AF2">
        <v>125170.12227538544</v>
      </c>
      <c r="AG2">
        <v>499.86709197235177</v>
      </c>
      <c r="AH2">
        <v>125669.98936735779</v>
      </c>
      <c r="AI2">
        <v>0</v>
      </c>
      <c r="AJ2">
        <v>125669.98936735779</v>
      </c>
      <c r="AK2">
        <v>0</v>
      </c>
      <c r="AL2">
        <v>125669.9893673578</v>
      </c>
      <c r="AM2">
        <v>125669.98936735779</v>
      </c>
      <c r="AN2">
        <v>4727705</v>
      </c>
      <c r="AQ2">
        <v>0</v>
      </c>
      <c r="AR2">
        <v>125669.98936735779</v>
      </c>
      <c r="AS2">
        <v>4727705</v>
      </c>
      <c r="AT2" s="238" t="s">
        <v>36</v>
      </c>
      <c r="AV2">
        <v>125669.98936735779</v>
      </c>
      <c r="AW2">
        <v>0</v>
      </c>
      <c r="AX2">
        <v>4727705</v>
      </c>
      <c r="AY2" s="238"/>
      <c r="AZ2" s="238" t="s">
        <v>35</v>
      </c>
      <c r="BA2" s="238" t="s">
        <v>35</v>
      </c>
      <c r="BB2" s="238" t="s">
        <v>8953</v>
      </c>
      <c r="BC2" s="238" t="s">
        <v>8954</v>
      </c>
      <c r="BD2" t="b">
        <v>1</v>
      </c>
      <c r="BE2" s="238" t="s">
        <v>9088</v>
      </c>
      <c r="BF2" s="238" t="s">
        <v>8972</v>
      </c>
      <c r="BG2">
        <v>4727705</v>
      </c>
      <c r="BH2">
        <v>4727705</v>
      </c>
      <c r="BI2">
        <v>0</v>
      </c>
      <c r="BJ2">
        <v>0</v>
      </c>
      <c r="BK2">
        <v>0</v>
      </c>
    </row>
    <row r="3" spans="1:63" x14ac:dyDescent="0.25">
      <c r="A3">
        <v>2</v>
      </c>
      <c r="B3">
        <v>1</v>
      </c>
      <c r="C3">
        <v>1</v>
      </c>
      <c r="D3">
        <v>2</v>
      </c>
      <c r="E3">
        <v>2</v>
      </c>
      <c r="F3">
        <v>14.66</v>
      </c>
      <c r="G3">
        <v>10.58</v>
      </c>
      <c r="I3">
        <v>25.240000000000002</v>
      </c>
      <c r="J3">
        <v>17.63</v>
      </c>
      <c r="K3">
        <v>4.37</v>
      </c>
      <c r="L3">
        <v>3.38</v>
      </c>
      <c r="M3">
        <v>3.48</v>
      </c>
      <c r="N3">
        <v>3.77</v>
      </c>
      <c r="P3">
        <v>3.11</v>
      </c>
      <c r="R3">
        <v>3.11</v>
      </c>
      <c r="S3">
        <v>60.98</v>
      </c>
      <c r="T3">
        <v>57.87</v>
      </c>
      <c r="U3">
        <v>59.43</v>
      </c>
      <c r="V3">
        <v>120710.95999999999</v>
      </c>
      <c r="X3">
        <v>120710.95999999999</v>
      </c>
      <c r="Y3">
        <v>1.7233477135450812</v>
      </c>
      <c r="Z3">
        <v>120712.68334771354</v>
      </c>
      <c r="AA3">
        <v>0</v>
      </c>
      <c r="AB3">
        <v>120712.68334771354</v>
      </c>
      <c r="AC3">
        <v>3621.7083692838642</v>
      </c>
      <c r="AD3">
        <v>124334.3917169974</v>
      </c>
      <c r="AE3">
        <v>0.1194726374669699</v>
      </c>
      <c r="AF3">
        <v>124334.51118963487</v>
      </c>
      <c r="AG3">
        <v>0</v>
      </c>
      <c r="AH3">
        <v>124334.51118963487</v>
      </c>
      <c r="AI3">
        <v>0</v>
      </c>
      <c r="AJ3">
        <v>124334.51118963487</v>
      </c>
      <c r="AK3">
        <v>1243.8330809355541</v>
      </c>
      <c r="AL3">
        <v>125578.34427057042</v>
      </c>
      <c r="AM3">
        <v>125578.34427057042</v>
      </c>
      <c r="AN3">
        <v>7463121</v>
      </c>
      <c r="AQ3">
        <v>0</v>
      </c>
      <c r="AR3">
        <v>125578.34427057042</v>
      </c>
      <c r="AS3">
        <v>7463121</v>
      </c>
      <c r="AT3" s="238" t="s">
        <v>36</v>
      </c>
      <c r="AV3">
        <v>125578.34427057042</v>
      </c>
      <c r="AW3">
        <v>0</v>
      </c>
      <c r="AX3">
        <v>7463121</v>
      </c>
      <c r="AY3" s="238"/>
      <c r="AZ3" s="238" t="s">
        <v>35</v>
      </c>
      <c r="BA3" s="238" t="s">
        <v>35</v>
      </c>
      <c r="BB3" s="238" t="s">
        <v>8953</v>
      </c>
      <c r="BC3" s="238" t="s">
        <v>8954</v>
      </c>
      <c r="BD3" t="b">
        <v>1</v>
      </c>
      <c r="BE3" s="238" t="s">
        <v>9088</v>
      </c>
      <c r="BF3" s="238" t="s">
        <v>8971</v>
      </c>
      <c r="BG3">
        <v>7463121</v>
      </c>
      <c r="BH3">
        <v>7463121</v>
      </c>
      <c r="BI3">
        <v>0</v>
      </c>
      <c r="BJ3">
        <v>0</v>
      </c>
      <c r="BK3">
        <v>0</v>
      </c>
    </row>
    <row r="4" spans="1:63" x14ac:dyDescent="0.25">
      <c r="A4">
        <v>3</v>
      </c>
      <c r="B4">
        <v>1</v>
      </c>
      <c r="C4">
        <v>1</v>
      </c>
      <c r="D4">
        <v>3</v>
      </c>
      <c r="E4">
        <v>2</v>
      </c>
      <c r="F4">
        <v>11.63</v>
      </c>
      <c r="G4">
        <v>10.93</v>
      </c>
      <c r="I4">
        <v>22.560000000000002</v>
      </c>
      <c r="J4">
        <v>16.28</v>
      </c>
      <c r="K4">
        <v>5.09</v>
      </c>
      <c r="M4">
        <v>3.77</v>
      </c>
      <c r="N4">
        <v>1.81</v>
      </c>
      <c r="R4">
        <v>0</v>
      </c>
      <c r="S4">
        <v>49.51</v>
      </c>
      <c r="T4">
        <v>49.51</v>
      </c>
      <c r="U4">
        <v>49.51</v>
      </c>
      <c r="V4">
        <v>115173.75999999999</v>
      </c>
      <c r="X4">
        <v>115173.75999999999</v>
      </c>
      <c r="Y4">
        <v>500.24809716599702</v>
      </c>
      <c r="Z4">
        <v>115674.00809716599</v>
      </c>
      <c r="AA4">
        <v>0</v>
      </c>
      <c r="AB4">
        <v>115674.00809716599</v>
      </c>
      <c r="AC4">
        <v>3470.2024291497946</v>
      </c>
      <c r="AD4">
        <v>119144.21052631579</v>
      </c>
      <c r="AE4">
        <v>1.4166197153244866</v>
      </c>
      <c r="AF4">
        <v>119145.62714603111</v>
      </c>
      <c r="AG4">
        <v>0</v>
      </c>
      <c r="AH4">
        <v>119145.62714603111</v>
      </c>
      <c r="AI4">
        <v>0</v>
      </c>
      <c r="AJ4">
        <v>119145.62714603111</v>
      </c>
      <c r="AK4">
        <v>1191.8400323167009</v>
      </c>
      <c r="AL4">
        <v>120337.4671783478</v>
      </c>
      <c r="AM4">
        <v>120337.46717834781</v>
      </c>
      <c r="AN4">
        <v>5957908</v>
      </c>
      <c r="AQ4">
        <v>0</v>
      </c>
      <c r="AR4">
        <v>120337.46717834781</v>
      </c>
      <c r="AS4">
        <v>5957908</v>
      </c>
      <c r="AT4" s="238" t="s">
        <v>36</v>
      </c>
      <c r="AV4">
        <v>120337.46717834781</v>
      </c>
      <c r="AW4">
        <v>0</v>
      </c>
      <c r="AX4">
        <v>5957908</v>
      </c>
      <c r="AY4" s="238"/>
      <c r="AZ4" s="238" t="s">
        <v>35</v>
      </c>
      <c r="BA4" s="238" t="s">
        <v>35</v>
      </c>
      <c r="BB4" s="238" t="s">
        <v>8953</v>
      </c>
      <c r="BC4" s="238" t="s">
        <v>8954</v>
      </c>
      <c r="BD4" t="b">
        <v>1</v>
      </c>
      <c r="BE4" s="238" t="s">
        <v>9088</v>
      </c>
      <c r="BF4" s="238" t="s">
        <v>8971</v>
      </c>
      <c r="BG4">
        <v>5957908</v>
      </c>
      <c r="BH4">
        <v>5957908</v>
      </c>
      <c r="BI4">
        <v>0</v>
      </c>
      <c r="BJ4">
        <v>0</v>
      </c>
      <c r="BK4">
        <v>0</v>
      </c>
    </row>
    <row r="5" spans="1:63" x14ac:dyDescent="0.25">
      <c r="A5">
        <v>4</v>
      </c>
      <c r="B5">
        <v>1</v>
      </c>
      <c r="C5">
        <v>1</v>
      </c>
      <c r="D5">
        <v>4</v>
      </c>
      <c r="E5">
        <v>2</v>
      </c>
      <c r="F5">
        <v>9.9700000000000006</v>
      </c>
      <c r="G5">
        <v>16.350000000000001</v>
      </c>
      <c r="I5">
        <v>26.32</v>
      </c>
      <c r="J5">
        <v>19.39</v>
      </c>
      <c r="K5">
        <v>6.55</v>
      </c>
      <c r="M5">
        <v>7.66</v>
      </c>
      <c r="R5">
        <v>0</v>
      </c>
      <c r="S5">
        <v>59.92</v>
      </c>
      <c r="T5">
        <v>59.92</v>
      </c>
      <c r="U5">
        <v>59.92</v>
      </c>
      <c r="V5">
        <v>115173.75999999999</v>
      </c>
      <c r="X5">
        <v>115173.75999999999</v>
      </c>
      <c r="Y5">
        <v>0.81627118644246366</v>
      </c>
      <c r="Z5">
        <v>115174.57627118644</v>
      </c>
      <c r="AA5">
        <v>0</v>
      </c>
      <c r="AB5">
        <v>115174.57627118644</v>
      </c>
      <c r="AC5">
        <v>3455.6779661016917</v>
      </c>
      <c r="AD5">
        <v>118630.25423728813</v>
      </c>
      <c r="AE5">
        <v>1.2544409495167201</v>
      </c>
      <c r="AF5">
        <v>118631.50867823765</v>
      </c>
      <c r="AG5">
        <v>0</v>
      </c>
      <c r="AH5">
        <v>118631.50867823765</v>
      </c>
      <c r="AI5">
        <v>0</v>
      </c>
      <c r="AJ5">
        <v>118631.50867823765</v>
      </c>
      <c r="AK5">
        <v>1186.8157543391137</v>
      </c>
      <c r="AL5">
        <v>119818.32443257676</v>
      </c>
      <c r="AM5">
        <v>119818.32443257676</v>
      </c>
      <c r="AN5">
        <v>7179514</v>
      </c>
      <c r="AQ5">
        <v>0</v>
      </c>
      <c r="AR5">
        <v>119818.32443257676</v>
      </c>
      <c r="AS5">
        <v>7179514</v>
      </c>
      <c r="AT5" s="238" t="s">
        <v>36</v>
      </c>
      <c r="AV5">
        <v>119818.32443257676</v>
      </c>
      <c r="AW5">
        <v>0</v>
      </c>
      <c r="AX5">
        <v>7179514</v>
      </c>
      <c r="AY5" s="238"/>
      <c r="AZ5" s="238" t="s">
        <v>35</v>
      </c>
      <c r="BA5" s="238" t="s">
        <v>35</v>
      </c>
      <c r="BB5" s="238" t="s">
        <v>8953</v>
      </c>
      <c r="BC5" s="238" t="s">
        <v>8954</v>
      </c>
      <c r="BD5" t="b">
        <v>1</v>
      </c>
      <c r="BE5" s="238" t="s">
        <v>9088</v>
      </c>
      <c r="BF5" s="238" t="s">
        <v>8971</v>
      </c>
      <c r="BG5">
        <v>7179514</v>
      </c>
      <c r="BH5">
        <v>7179514</v>
      </c>
      <c r="BI5">
        <v>0</v>
      </c>
      <c r="BJ5">
        <v>0</v>
      </c>
      <c r="BK5">
        <v>0</v>
      </c>
    </row>
    <row r="6" spans="1:63" x14ac:dyDescent="0.25">
      <c r="A6">
        <v>5</v>
      </c>
      <c r="B6">
        <v>1</v>
      </c>
      <c r="C6">
        <v>1</v>
      </c>
      <c r="D6">
        <v>5</v>
      </c>
      <c r="E6">
        <v>1</v>
      </c>
      <c r="F6">
        <v>14.95</v>
      </c>
      <c r="I6">
        <v>14.95</v>
      </c>
      <c r="J6">
        <v>17.670000000000002</v>
      </c>
      <c r="K6">
        <v>5.16</v>
      </c>
      <c r="M6">
        <v>4</v>
      </c>
      <c r="P6">
        <v>3.36</v>
      </c>
      <c r="R6">
        <v>3.36</v>
      </c>
      <c r="S6">
        <v>45.14</v>
      </c>
      <c r="T6">
        <v>41.78</v>
      </c>
      <c r="U6">
        <v>43.46</v>
      </c>
      <c r="V6">
        <v>120353.44</v>
      </c>
      <c r="X6">
        <v>120353.44</v>
      </c>
      <c r="Y6">
        <v>0.7768674698745599</v>
      </c>
      <c r="Z6">
        <v>120354.21686746988</v>
      </c>
      <c r="AA6">
        <v>499.78313253012311</v>
      </c>
      <c r="AB6">
        <v>120854</v>
      </c>
      <c r="AC6">
        <v>3625.6144578313251</v>
      </c>
      <c r="AD6">
        <v>124479.61445783133</v>
      </c>
      <c r="AE6">
        <v>0.36713443743065</v>
      </c>
      <c r="AF6">
        <v>124479.98159226876</v>
      </c>
      <c r="AG6">
        <v>0</v>
      </c>
      <c r="AH6">
        <v>124479.98159226876</v>
      </c>
      <c r="AI6">
        <v>0</v>
      </c>
      <c r="AJ6">
        <v>124479.98159226876</v>
      </c>
      <c r="AK6">
        <v>0</v>
      </c>
      <c r="AL6">
        <v>124479.98159226876</v>
      </c>
      <c r="AM6">
        <v>124479.98159226876</v>
      </c>
      <c r="AN6">
        <v>5409900</v>
      </c>
      <c r="AQ6">
        <v>0</v>
      </c>
      <c r="AR6">
        <v>124479.98159226876</v>
      </c>
      <c r="AS6">
        <v>5409900</v>
      </c>
      <c r="AT6" s="238" t="s">
        <v>36</v>
      </c>
      <c r="AV6">
        <v>124479.98159226876</v>
      </c>
      <c r="AW6">
        <v>0</v>
      </c>
      <c r="AX6">
        <v>5409900</v>
      </c>
      <c r="AY6" s="238"/>
      <c r="AZ6" s="238" t="s">
        <v>35</v>
      </c>
      <c r="BA6" s="238" t="s">
        <v>35</v>
      </c>
      <c r="BB6" s="238" t="s">
        <v>8953</v>
      </c>
      <c r="BC6" s="238" t="s">
        <v>8954</v>
      </c>
      <c r="BD6" t="b">
        <v>1</v>
      </c>
      <c r="BE6" s="238" t="s">
        <v>9088</v>
      </c>
      <c r="BF6" s="238" t="s">
        <v>8972</v>
      </c>
      <c r="BG6">
        <v>5409900</v>
      </c>
      <c r="BH6">
        <v>5409900</v>
      </c>
      <c r="BI6">
        <v>0</v>
      </c>
      <c r="BJ6">
        <v>0</v>
      </c>
      <c r="BK6">
        <v>0</v>
      </c>
    </row>
    <row r="7" spans="1:63" x14ac:dyDescent="0.25">
      <c r="A7">
        <v>6</v>
      </c>
      <c r="B7">
        <v>1</v>
      </c>
      <c r="C7">
        <v>2</v>
      </c>
      <c r="D7">
        <v>1</v>
      </c>
      <c r="E7">
        <v>1</v>
      </c>
      <c r="F7">
        <v>14.95</v>
      </c>
      <c r="I7">
        <v>14.95</v>
      </c>
      <c r="J7">
        <v>16.68</v>
      </c>
      <c r="K7">
        <v>5.19</v>
      </c>
      <c r="M7">
        <v>3.96</v>
      </c>
      <c r="P7">
        <v>3.36</v>
      </c>
      <c r="R7">
        <v>3.36</v>
      </c>
      <c r="S7">
        <v>44.14</v>
      </c>
      <c r="T7">
        <v>40.78</v>
      </c>
      <c r="U7">
        <v>42.46</v>
      </c>
      <c r="V7">
        <v>120353.44</v>
      </c>
      <c r="X7">
        <v>120353.44</v>
      </c>
      <c r="Y7">
        <v>0.9289320388197666</v>
      </c>
      <c r="Z7">
        <v>120354.36893203882</v>
      </c>
      <c r="AA7">
        <v>0</v>
      </c>
      <c r="AB7">
        <v>120354.36893203882</v>
      </c>
      <c r="AC7">
        <v>3610.2427184466069</v>
      </c>
      <c r="AD7">
        <v>123964.61165048543</v>
      </c>
      <c r="AE7">
        <v>1.4740772583318176</v>
      </c>
      <c r="AF7">
        <v>123966.08572774376</v>
      </c>
      <c r="AG7">
        <v>0</v>
      </c>
      <c r="AH7">
        <v>123966.08572774376</v>
      </c>
      <c r="AI7">
        <v>0</v>
      </c>
      <c r="AJ7">
        <v>123966.08572774376</v>
      </c>
      <c r="AK7">
        <v>0</v>
      </c>
      <c r="AL7">
        <v>123966.08572774376</v>
      </c>
      <c r="AM7">
        <v>123966.08572774376</v>
      </c>
      <c r="AN7">
        <v>5263600</v>
      </c>
      <c r="AQ7">
        <v>0</v>
      </c>
      <c r="AR7">
        <v>123966.08572774376</v>
      </c>
      <c r="AS7">
        <v>5263600</v>
      </c>
      <c r="AT7" s="238" t="s">
        <v>36</v>
      </c>
      <c r="AV7">
        <v>123966.08572774376</v>
      </c>
      <c r="AW7">
        <v>0</v>
      </c>
      <c r="AX7">
        <v>5263600</v>
      </c>
      <c r="AY7" s="238"/>
      <c r="AZ7" s="238" t="s">
        <v>3</v>
      </c>
      <c r="BA7" s="238" t="s">
        <v>3</v>
      </c>
      <c r="BB7" s="238" t="s">
        <v>8951</v>
      </c>
      <c r="BC7" s="238" t="s">
        <v>1167</v>
      </c>
      <c r="BD7" t="b">
        <v>1</v>
      </c>
      <c r="BE7" s="238" t="s">
        <v>9088</v>
      </c>
      <c r="BF7" s="238" t="s">
        <v>8972</v>
      </c>
      <c r="BG7">
        <v>5263600</v>
      </c>
      <c r="BH7">
        <v>5263600</v>
      </c>
      <c r="BI7">
        <v>0</v>
      </c>
      <c r="BJ7">
        <v>0</v>
      </c>
      <c r="BK7">
        <v>0</v>
      </c>
    </row>
    <row r="8" spans="1:63" x14ac:dyDescent="0.25">
      <c r="A8">
        <v>7</v>
      </c>
      <c r="B8">
        <v>1</v>
      </c>
      <c r="C8">
        <v>2</v>
      </c>
      <c r="D8">
        <v>2</v>
      </c>
      <c r="E8">
        <v>3</v>
      </c>
      <c r="F8">
        <v>18.46</v>
      </c>
      <c r="G8">
        <v>10.53</v>
      </c>
      <c r="H8">
        <v>9.9700000000000006</v>
      </c>
      <c r="I8">
        <v>38.96</v>
      </c>
      <c r="J8">
        <v>17.02</v>
      </c>
      <c r="K8">
        <v>4.72</v>
      </c>
      <c r="L8">
        <v>3.58</v>
      </c>
      <c r="M8">
        <v>4.18</v>
      </c>
      <c r="N8">
        <v>6.27</v>
      </c>
      <c r="P8">
        <v>3.04</v>
      </c>
      <c r="Q8">
        <v>3.41</v>
      </c>
      <c r="R8">
        <v>6.45</v>
      </c>
      <c r="S8">
        <v>81.180000000000007</v>
      </c>
      <c r="T8">
        <v>74.73</v>
      </c>
      <c r="U8">
        <v>77.959999999999994</v>
      </c>
      <c r="V8">
        <v>108232.64</v>
      </c>
      <c r="X8">
        <v>108232.64</v>
      </c>
      <c r="Y8">
        <v>0.22759813704760745</v>
      </c>
      <c r="Z8">
        <v>108232.86759813705</v>
      </c>
      <c r="AA8">
        <v>500.13306719894172</v>
      </c>
      <c r="AB8">
        <v>108733.00066533599</v>
      </c>
      <c r="AC8">
        <v>3261.9827012641326</v>
      </c>
      <c r="AD8">
        <v>111994.98336660012</v>
      </c>
      <c r="AE8">
        <v>0.91196433882578276</v>
      </c>
      <c r="AF8">
        <v>111995.89533093895</v>
      </c>
      <c r="AG8">
        <v>0</v>
      </c>
      <c r="AH8">
        <v>111995.89533093895</v>
      </c>
      <c r="AI8">
        <v>0</v>
      </c>
      <c r="AJ8">
        <v>111995.89533093895</v>
      </c>
      <c r="AK8">
        <v>2251.2698819907673</v>
      </c>
      <c r="AL8">
        <v>114247.16521292971</v>
      </c>
      <c r="AM8">
        <v>114247.16521292971</v>
      </c>
      <c r="AN8">
        <v>8906709</v>
      </c>
      <c r="AQ8">
        <v>0</v>
      </c>
      <c r="AR8">
        <v>114247.16521292971</v>
      </c>
      <c r="AS8">
        <v>8906709</v>
      </c>
      <c r="AT8" s="238" t="s">
        <v>36</v>
      </c>
      <c r="AV8">
        <v>114247.16521292971</v>
      </c>
      <c r="AW8">
        <v>0</v>
      </c>
      <c r="AX8">
        <v>8906709</v>
      </c>
      <c r="AY8" s="238"/>
      <c r="AZ8" s="238" t="s">
        <v>3</v>
      </c>
      <c r="BA8" s="238" t="s">
        <v>3</v>
      </c>
      <c r="BB8" s="238" t="s">
        <v>8951</v>
      </c>
      <c r="BC8" s="238" t="s">
        <v>1167</v>
      </c>
      <c r="BD8" t="b">
        <v>1</v>
      </c>
      <c r="BE8" s="238" t="s">
        <v>9088</v>
      </c>
      <c r="BF8" s="238" t="s">
        <v>8990</v>
      </c>
      <c r="BG8">
        <v>8906709</v>
      </c>
      <c r="BH8">
        <v>8906709</v>
      </c>
      <c r="BI8">
        <v>0</v>
      </c>
      <c r="BJ8">
        <v>0</v>
      </c>
      <c r="BK8">
        <v>0</v>
      </c>
    </row>
    <row r="9" spans="1:63" x14ac:dyDescent="0.25">
      <c r="A9">
        <v>8</v>
      </c>
      <c r="B9">
        <v>1</v>
      </c>
      <c r="C9">
        <v>2</v>
      </c>
      <c r="D9">
        <v>3</v>
      </c>
      <c r="E9">
        <v>1</v>
      </c>
      <c r="F9">
        <v>12.41</v>
      </c>
      <c r="I9">
        <v>12.41</v>
      </c>
      <c r="J9">
        <v>14.95</v>
      </c>
      <c r="K9">
        <v>4.97</v>
      </c>
      <c r="M9">
        <v>3.88</v>
      </c>
      <c r="P9">
        <v>2.93</v>
      </c>
      <c r="R9">
        <v>2.93</v>
      </c>
      <c r="S9">
        <v>39.14</v>
      </c>
      <c r="T9">
        <v>36.21</v>
      </c>
      <c r="U9">
        <v>37.68</v>
      </c>
      <c r="V9">
        <v>121521.92</v>
      </c>
      <c r="X9">
        <v>121521.92</v>
      </c>
      <c r="Y9">
        <v>0.30222222222073469</v>
      </c>
      <c r="Z9">
        <v>121522.22222222222</v>
      </c>
      <c r="AA9">
        <v>0</v>
      </c>
      <c r="AB9">
        <v>121522.22222222222</v>
      </c>
      <c r="AC9">
        <v>3645.4444444444525</v>
      </c>
      <c r="AD9">
        <v>125167.66666666667</v>
      </c>
      <c r="AE9">
        <v>2.1847133757983102</v>
      </c>
      <c r="AF9">
        <v>125169.85138004247</v>
      </c>
      <c r="AG9">
        <v>0</v>
      </c>
      <c r="AH9">
        <v>125169.85138004247</v>
      </c>
      <c r="AI9">
        <v>500.15923566879064</v>
      </c>
      <c r="AJ9">
        <v>125670.01061571126</v>
      </c>
      <c r="AK9">
        <v>0</v>
      </c>
      <c r="AL9">
        <v>125670.01061571126</v>
      </c>
      <c r="AM9">
        <v>125670.01061571126</v>
      </c>
      <c r="AN9">
        <v>4735246</v>
      </c>
      <c r="AQ9">
        <v>0</v>
      </c>
      <c r="AR9">
        <v>125670.01061571126</v>
      </c>
      <c r="AS9">
        <v>4735246</v>
      </c>
      <c r="AT9" s="238" t="s">
        <v>36</v>
      </c>
      <c r="AV9">
        <v>125670.01061571126</v>
      </c>
      <c r="AW9">
        <v>0</v>
      </c>
      <c r="AX9">
        <v>4735246</v>
      </c>
      <c r="AY9" s="238"/>
      <c r="AZ9" s="238" t="s">
        <v>3</v>
      </c>
      <c r="BA9" s="238" t="s">
        <v>3</v>
      </c>
      <c r="BB9" s="238" t="s">
        <v>8951</v>
      </c>
      <c r="BC9" s="238" t="s">
        <v>1167</v>
      </c>
      <c r="BD9" t="b">
        <v>1</v>
      </c>
      <c r="BE9" s="238" t="s">
        <v>9088</v>
      </c>
      <c r="BF9" s="238" t="s">
        <v>8972</v>
      </c>
      <c r="BG9">
        <v>4735246</v>
      </c>
      <c r="BH9">
        <v>4735246</v>
      </c>
      <c r="BI9">
        <v>0</v>
      </c>
      <c r="BJ9">
        <v>0</v>
      </c>
      <c r="BK9">
        <v>0</v>
      </c>
    </row>
    <row r="10" spans="1:63" x14ac:dyDescent="0.25">
      <c r="A10">
        <v>9</v>
      </c>
      <c r="B10">
        <v>1</v>
      </c>
      <c r="C10">
        <v>2</v>
      </c>
      <c r="D10">
        <v>4</v>
      </c>
      <c r="E10">
        <v>1</v>
      </c>
      <c r="F10">
        <v>12.41</v>
      </c>
      <c r="I10">
        <v>12.41</v>
      </c>
      <c r="J10">
        <v>14.8</v>
      </c>
      <c r="K10">
        <v>4.97</v>
      </c>
      <c r="M10">
        <v>3.88</v>
      </c>
      <c r="P10">
        <v>3.11</v>
      </c>
      <c r="R10">
        <v>3.11</v>
      </c>
      <c r="S10">
        <v>39.17</v>
      </c>
      <c r="T10">
        <v>36.06</v>
      </c>
      <c r="U10">
        <v>37.619999999999997</v>
      </c>
      <c r="V10">
        <v>121521.92</v>
      </c>
      <c r="X10">
        <v>121521.92</v>
      </c>
      <c r="Y10">
        <v>2.4193602225277573</v>
      </c>
      <c r="Z10">
        <v>121524.33936022253</v>
      </c>
      <c r="AA10">
        <v>0</v>
      </c>
      <c r="AB10">
        <v>121524.33936022253</v>
      </c>
      <c r="AC10">
        <v>3645.3685674547887</v>
      </c>
      <c r="AD10">
        <v>125169.70792767731</v>
      </c>
      <c r="AE10">
        <v>0.41434770812338684</v>
      </c>
      <c r="AF10">
        <v>125170.12227538544</v>
      </c>
      <c r="AG10">
        <v>499.86709197235177</v>
      </c>
      <c r="AH10">
        <v>125669.98936735779</v>
      </c>
      <c r="AI10">
        <v>0</v>
      </c>
      <c r="AJ10">
        <v>125669.98936735779</v>
      </c>
      <c r="AK10">
        <v>0</v>
      </c>
      <c r="AL10">
        <v>125669.9893673578</v>
      </c>
      <c r="AM10">
        <v>125669.98936735779</v>
      </c>
      <c r="AN10">
        <v>4727705</v>
      </c>
      <c r="AQ10">
        <v>0</v>
      </c>
      <c r="AR10">
        <v>125669.98936735779</v>
      </c>
      <c r="AS10">
        <v>4727705</v>
      </c>
      <c r="AT10" s="238" t="s">
        <v>36</v>
      </c>
      <c r="AV10">
        <v>125669.98936735779</v>
      </c>
      <c r="AW10">
        <v>0</v>
      </c>
      <c r="AX10">
        <v>4727705</v>
      </c>
      <c r="AY10" s="238"/>
      <c r="AZ10" s="238" t="s">
        <v>3</v>
      </c>
      <c r="BA10" s="238" t="s">
        <v>3</v>
      </c>
      <c r="BB10" s="238" t="s">
        <v>8951</v>
      </c>
      <c r="BC10" s="238" t="s">
        <v>1167</v>
      </c>
      <c r="BD10" t="b">
        <v>1</v>
      </c>
      <c r="BE10" s="238" t="s">
        <v>9088</v>
      </c>
      <c r="BF10" s="238" t="s">
        <v>8972</v>
      </c>
      <c r="BG10">
        <v>4727705</v>
      </c>
      <c r="BH10">
        <v>4727705</v>
      </c>
      <c r="BI10">
        <v>0</v>
      </c>
      <c r="BJ10">
        <v>0</v>
      </c>
      <c r="BK10">
        <v>0</v>
      </c>
    </row>
    <row r="11" spans="1:63" x14ac:dyDescent="0.25">
      <c r="A11">
        <v>10</v>
      </c>
      <c r="B11">
        <v>1</v>
      </c>
      <c r="C11">
        <v>2</v>
      </c>
      <c r="D11">
        <v>5</v>
      </c>
      <c r="E11">
        <v>2</v>
      </c>
      <c r="F11">
        <v>14.66</v>
      </c>
      <c r="G11">
        <v>10.58</v>
      </c>
      <c r="I11">
        <v>25.240000000000002</v>
      </c>
      <c r="J11">
        <v>17.63</v>
      </c>
      <c r="K11">
        <v>4.37</v>
      </c>
      <c r="L11">
        <v>3.38</v>
      </c>
      <c r="M11">
        <v>3.48</v>
      </c>
      <c r="N11">
        <v>3.77</v>
      </c>
      <c r="P11">
        <v>3.11</v>
      </c>
      <c r="R11">
        <v>3.11</v>
      </c>
      <c r="S11">
        <v>60.98</v>
      </c>
      <c r="T11">
        <v>57.87</v>
      </c>
      <c r="U11">
        <v>59.43</v>
      </c>
      <c r="V11">
        <v>120710.95999999999</v>
      </c>
      <c r="X11">
        <v>120710.95999999999</v>
      </c>
      <c r="Y11">
        <v>0.46109851787332445</v>
      </c>
      <c r="Z11">
        <v>120711.42109851787</v>
      </c>
      <c r="AA11">
        <v>0</v>
      </c>
      <c r="AB11">
        <v>120711.42109851787</v>
      </c>
      <c r="AC11">
        <v>3620.9067131647753</v>
      </c>
      <c r="AD11">
        <v>124332.32781168264</v>
      </c>
      <c r="AE11">
        <v>0.50072609289782122</v>
      </c>
      <c r="AF11">
        <v>124332.82853777554</v>
      </c>
      <c r="AG11">
        <v>0</v>
      </c>
      <c r="AH11">
        <v>124332.82853777554</v>
      </c>
      <c r="AI11">
        <v>0</v>
      </c>
      <c r="AJ11">
        <v>124332.82853777554</v>
      </c>
      <c r="AK11">
        <v>1243.4965505636792</v>
      </c>
      <c r="AL11">
        <v>125576.32508833922</v>
      </c>
      <c r="AM11">
        <v>125576.32508833922</v>
      </c>
      <c r="AN11">
        <v>7463001</v>
      </c>
      <c r="AQ11">
        <v>0</v>
      </c>
      <c r="AR11">
        <v>125576.32508833922</v>
      </c>
      <c r="AS11">
        <v>7463001</v>
      </c>
      <c r="AT11" s="238" t="s">
        <v>36</v>
      </c>
      <c r="AV11">
        <v>125576.32508833922</v>
      </c>
      <c r="AW11">
        <v>0</v>
      </c>
      <c r="AX11">
        <v>7463001</v>
      </c>
      <c r="AY11" s="238"/>
      <c r="AZ11" s="238" t="s">
        <v>3</v>
      </c>
      <c r="BA11" s="238" t="s">
        <v>3</v>
      </c>
      <c r="BB11" s="238" t="s">
        <v>8951</v>
      </c>
      <c r="BC11" s="238" t="s">
        <v>1167</v>
      </c>
      <c r="BD11" t="b">
        <v>1</v>
      </c>
      <c r="BE11" s="238" t="s">
        <v>9088</v>
      </c>
      <c r="BF11" s="238" t="s">
        <v>8971</v>
      </c>
      <c r="BG11">
        <v>7463001</v>
      </c>
      <c r="BH11">
        <v>7463001</v>
      </c>
      <c r="BI11">
        <v>0</v>
      </c>
      <c r="BJ11">
        <v>0</v>
      </c>
      <c r="BK11">
        <v>0</v>
      </c>
    </row>
    <row r="12" spans="1:63" x14ac:dyDescent="0.25">
      <c r="A12">
        <v>11</v>
      </c>
      <c r="B12">
        <v>1</v>
      </c>
      <c r="C12">
        <v>2</v>
      </c>
      <c r="D12">
        <v>6</v>
      </c>
      <c r="E12">
        <v>2</v>
      </c>
      <c r="F12">
        <v>11.63</v>
      </c>
      <c r="G12">
        <v>10.93</v>
      </c>
      <c r="I12">
        <v>22.560000000000002</v>
      </c>
      <c r="J12">
        <v>16.28</v>
      </c>
      <c r="K12">
        <v>4.9000000000000004</v>
      </c>
      <c r="M12">
        <v>4.3899999999999997</v>
      </c>
      <c r="N12">
        <v>1.81</v>
      </c>
      <c r="P12">
        <v>4.4000000000000004</v>
      </c>
      <c r="R12">
        <v>4.4000000000000004</v>
      </c>
      <c r="S12">
        <v>54.34</v>
      </c>
      <c r="T12">
        <v>49.94</v>
      </c>
      <c r="U12">
        <v>52.14</v>
      </c>
      <c r="V12">
        <v>118496.08</v>
      </c>
      <c r="X12">
        <v>118496.08</v>
      </c>
      <c r="Y12">
        <v>500.91307616222184</v>
      </c>
      <c r="Z12">
        <v>118996.99307616222</v>
      </c>
      <c r="AA12">
        <v>0</v>
      </c>
      <c r="AB12">
        <v>118996.99307616222</v>
      </c>
      <c r="AC12">
        <v>3569.9109792284871</v>
      </c>
      <c r="AD12">
        <v>122566.90405539071</v>
      </c>
      <c r="AE12">
        <v>1.1818671255896334</v>
      </c>
      <c r="AF12">
        <v>122568.0859225163</v>
      </c>
      <c r="AG12">
        <v>0</v>
      </c>
      <c r="AH12">
        <v>122568.0859225163</v>
      </c>
      <c r="AI12">
        <v>0</v>
      </c>
      <c r="AJ12">
        <v>122568.0859225163</v>
      </c>
      <c r="AK12">
        <v>1225.5849635596533</v>
      </c>
      <c r="AL12">
        <v>123793.67088607595</v>
      </c>
      <c r="AM12">
        <v>123793.67088607595</v>
      </c>
      <c r="AN12">
        <v>6454602</v>
      </c>
      <c r="AQ12">
        <v>0</v>
      </c>
      <c r="AR12">
        <v>123793.67088607595</v>
      </c>
      <c r="AS12">
        <v>6454602</v>
      </c>
      <c r="AT12" s="238" t="s">
        <v>36</v>
      </c>
      <c r="AV12">
        <v>123793.67088607595</v>
      </c>
      <c r="AW12">
        <v>0</v>
      </c>
      <c r="AX12">
        <v>6454602</v>
      </c>
      <c r="AY12" s="238"/>
      <c r="AZ12" s="238" t="s">
        <v>3</v>
      </c>
      <c r="BA12" s="238" t="s">
        <v>3</v>
      </c>
      <c r="BB12" s="238" t="s">
        <v>8951</v>
      </c>
      <c r="BC12" s="238" t="s">
        <v>1167</v>
      </c>
      <c r="BD12" t="b">
        <v>1</v>
      </c>
      <c r="BE12" s="238" t="s">
        <v>9088</v>
      </c>
      <c r="BF12" s="238" t="s">
        <v>8971</v>
      </c>
      <c r="BG12">
        <v>6454602</v>
      </c>
      <c r="BH12">
        <v>6454602</v>
      </c>
      <c r="BI12">
        <v>0</v>
      </c>
      <c r="BJ12">
        <v>0</v>
      </c>
      <c r="BK12">
        <v>0</v>
      </c>
    </row>
    <row r="13" spans="1:63" x14ac:dyDescent="0.25">
      <c r="A13">
        <v>12</v>
      </c>
      <c r="B13">
        <v>1</v>
      </c>
      <c r="C13">
        <v>2</v>
      </c>
      <c r="D13">
        <v>7</v>
      </c>
      <c r="E13">
        <v>2</v>
      </c>
      <c r="F13">
        <v>10.86</v>
      </c>
      <c r="G13">
        <v>14.01</v>
      </c>
      <c r="I13">
        <v>24.869999999999997</v>
      </c>
      <c r="J13">
        <v>19.21</v>
      </c>
      <c r="K13">
        <v>3.96</v>
      </c>
      <c r="M13">
        <v>3.24</v>
      </c>
      <c r="N13">
        <v>3.83</v>
      </c>
      <c r="O13">
        <v>4.6399999999999997</v>
      </c>
      <c r="P13">
        <v>3.91</v>
      </c>
      <c r="R13">
        <v>3.91</v>
      </c>
      <c r="S13">
        <v>63.66</v>
      </c>
      <c r="T13">
        <v>59.75</v>
      </c>
      <c r="U13">
        <v>61.71</v>
      </c>
      <c r="V13">
        <v>119603.52</v>
      </c>
      <c r="X13">
        <v>119603.52</v>
      </c>
      <c r="Y13">
        <v>0.20565622353751678</v>
      </c>
      <c r="Z13">
        <v>119603.72565622354</v>
      </c>
      <c r="AA13">
        <v>0</v>
      </c>
      <c r="AB13">
        <v>119603.72565622354</v>
      </c>
      <c r="AC13">
        <v>3588.3996613039781</v>
      </c>
      <c r="AD13">
        <v>123192.12531752752</v>
      </c>
      <c r="AE13">
        <v>0.22600316604075488</v>
      </c>
      <c r="AF13">
        <v>123192.35132069356</v>
      </c>
      <c r="AG13">
        <v>0</v>
      </c>
      <c r="AH13">
        <v>123192.35132069356</v>
      </c>
      <c r="AI13">
        <v>0</v>
      </c>
      <c r="AJ13">
        <v>123192.35132069356</v>
      </c>
      <c r="AK13">
        <v>1231.5670069680782</v>
      </c>
      <c r="AL13">
        <v>124423.91832766164</v>
      </c>
      <c r="AM13">
        <v>124423.91832766164</v>
      </c>
      <c r="AN13">
        <v>7678200</v>
      </c>
      <c r="AQ13">
        <v>0</v>
      </c>
      <c r="AR13">
        <v>124423.91832766164</v>
      </c>
      <c r="AS13">
        <v>7678200</v>
      </c>
      <c r="AT13" s="238" t="s">
        <v>36</v>
      </c>
      <c r="AV13">
        <v>124423.91832766164</v>
      </c>
      <c r="AW13">
        <v>0</v>
      </c>
      <c r="AX13">
        <v>7678200</v>
      </c>
      <c r="AY13" s="238"/>
      <c r="AZ13" s="238" t="s">
        <v>3</v>
      </c>
      <c r="BA13" s="238" t="s">
        <v>3</v>
      </c>
      <c r="BB13" s="238" t="s">
        <v>8951</v>
      </c>
      <c r="BC13" s="238" t="s">
        <v>1167</v>
      </c>
      <c r="BD13" t="b">
        <v>1</v>
      </c>
      <c r="BE13" s="238" t="s">
        <v>9088</v>
      </c>
      <c r="BF13" s="238" t="s">
        <v>8971</v>
      </c>
      <c r="BG13">
        <v>7678200</v>
      </c>
      <c r="BH13">
        <v>7678200</v>
      </c>
      <c r="BI13">
        <v>0</v>
      </c>
      <c r="BJ13">
        <v>0</v>
      </c>
      <c r="BK13">
        <v>0</v>
      </c>
    </row>
    <row r="14" spans="1:63" x14ac:dyDescent="0.25">
      <c r="A14">
        <v>13</v>
      </c>
      <c r="B14">
        <v>1</v>
      </c>
      <c r="C14">
        <v>2</v>
      </c>
      <c r="D14">
        <v>8</v>
      </c>
      <c r="E14">
        <v>1</v>
      </c>
      <c r="F14">
        <v>14.95</v>
      </c>
      <c r="I14">
        <v>14.95</v>
      </c>
      <c r="J14">
        <v>17.670000000000002</v>
      </c>
      <c r="K14">
        <v>5.16</v>
      </c>
      <c r="M14">
        <v>4</v>
      </c>
      <c r="P14">
        <v>3.36</v>
      </c>
      <c r="R14">
        <v>3.36</v>
      </c>
      <c r="S14">
        <v>45.14</v>
      </c>
      <c r="T14">
        <v>41.78</v>
      </c>
      <c r="U14">
        <v>43.46</v>
      </c>
      <c r="V14">
        <v>120353.44</v>
      </c>
      <c r="X14">
        <v>120353.44</v>
      </c>
      <c r="Y14">
        <v>1.3595139732642565</v>
      </c>
      <c r="Z14">
        <v>120354.79951397327</v>
      </c>
      <c r="AA14">
        <v>500.19441069259483</v>
      </c>
      <c r="AB14">
        <v>120854.99392466586</v>
      </c>
      <c r="AC14">
        <v>3625.6622114216298</v>
      </c>
      <c r="AD14">
        <v>124480.65613608749</v>
      </c>
      <c r="AE14">
        <v>1.6264225871564122</v>
      </c>
      <c r="AF14">
        <v>124482.28255867465</v>
      </c>
      <c r="AG14">
        <v>0</v>
      </c>
      <c r="AH14">
        <v>124482.28255867465</v>
      </c>
      <c r="AI14">
        <v>0</v>
      </c>
      <c r="AJ14">
        <v>124482.28255867465</v>
      </c>
      <c r="AK14">
        <v>0</v>
      </c>
      <c r="AL14">
        <v>124482.28255867463</v>
      </c>
      <c r="AM14">
        <v>124482.28255867465</v>
      </c>
      <c r="AN14">
        <v>5410000</v>
      </c>
      <c r="AQ14">
        <v>0</v>
      </c>
      <c r="AR14">
        <v>124482.28255867465</v>
      </c>
      <c r="AS14">
        <v>5410000</v>
      </c>
      <c r="AT14" s="238" t="s">
        <v>36</v>
      </c>
      <c r="AV14">
        <v>124482.28255867465</v>
      </c>
      <c r="AW14">
        <v>0</v>
      </c>
      <c r="AX14">
        <v>5410000</v>
      </c>
      <c r="AY14" s="238"/>
      <c r="AZ14" s="238" t="s">
        <v>3</v>
      </c>
      <c r="BA14" s="238" t="s">
        <v>3</v>
      </c>
      <c r="BB14" s="238" t="s">
        <v>8951</v>
      </c>
      <c r="BC14" s="238" t="s">
        <v>1167</v>
      </c>
      <c r="BD14" t="b">
        <v>1</v>
      </c>
      <c r="BE14" s="238" t="s">
        <v>9088</v>
      </c>
      <c r="BF14" s="238" t="s">
        <v>8972</v>
      </c>
      <c r="BG14">
        <v>5410000</v>
      </c>
      <c r="BH14">
        <v>5410000</v>
      </c>
      <c r="BI14">
        <v>0</v>
      </c>
      <c r="BJ14">
        <v>0</v>
      </c>
      <c r="BK14">
        <v>0</v>
      </c>
    </row>
    <row r="15" spans="1:63" x14ac:dyDescent="0.25">
      <c r="A15">
        <v>14</v>
      </c>
      <c r="B15">
        <v>1</v>
      </c>
      <c r="C15">
        <v>3</v>
      </c>
      <c r="D15">
        <v>1</v>
      </c>
      <c r="E15">
        <v>1</v>
      </c>
      <c r="F15">
        <v>14.95</v>
      </c>
      <c r="I15">
        <v>14.95</v>
      </c>
      <c r="J15">
        <v>16.68</v>
      </c>
      <c r="K15">
        <v>5.19</v>
      </c>
      <c r="M15">
        <v>3.96</v>
      </c>
      <c r="P15">
        <v>3.36</v>
      </c>
      <c r="R15">
        <v>3.36</v>
      </c>
      <c r="S15">
        <v>44.14</v>
      </c>
      <c r="T15">
        <v>40.78</v>
      </c>
      <c r="U15">
        <v>42.46</v>
      </c>
      <c r="V15">
        <v>120353.44</v>
      </c>
      <c r="X15">
        <v>120353.44</v>
      </c>
      <c r="Y15">
        <v>0.9289320388197666</v>
      </c>
      <c r="Z15">
        <v>120354.36893203882</v>
      </c>
      <c r="AA15">
        <v>0</v>
      </c>
      <c r="AB15">
        <v>120354.36893203882</v>
      </c>
      <c r="AC15">
        <v>3610.2427184466069</v>
      </c>
      <c r="AD15">
        <v>123964.61165048543</v>
      </c>
      <c r="AE15">
        <v>1.4740772583318176</v>
      </c>
      <c r="AF15">
        <v>123966.08572774376</v>
      </c>
      <c r="AG15">
        <v>0</v>
      </c>
      <c r="AH15">
        <v>123966.08572774376</v>
      </c>
      <c r="AI15">
        <v>0</v>
      </c>
      <c r="AJ15">
        <v>123966.08572774376</v>
      </c>
      <c r="AK15">
        <v>0</v>
      </c>
      <c r="AL15">
        <v>123966.08572774376</v>
      </c>
      <c r="AM15">
        <v>123966.08572774376</v>
      </c>
      <c r="AN15">
        <v>5263600</v>
      </c>
      <c r="AQ15">
        <v>0</v>
      </c>
      <c r="AR15">
        <v>123966.08572774376</v>
      </c>
      <c r="AS15">
        <v>5263600</v>
      </c>
      <c r="AT15" s="238" t="s">
        <v>36</v>
      </c>
      <c r="AV15">
        <v>123966.08572774376</v>
      </c>
      <c r="AW15">
        <v>0</v>
      </c>
      <c r="AX15">
        <v>5263600</v>
      </c>
      <c r="AY15" s="238"/>
      <c r="AZ15" s="238" t="s">
        <v>3</v>
      </c>
      <c r="BA15" s="238" t="s">
        <v>3</v>
      </c>
      <c r="BB15" s="238" t="s">
        <v>8951</v>
      </c>
      <c r="BC15" s="238" t="s">
        <v>1167</v>
      </c>
      <c r="BD15" t="b">
        <v>1</v>
      </c>
      <c r="BE15" s="238" t="s">
        <v>9088</v>
      </c>
      <c r="BF15" s="238" t="s">
        <v>8972</v>
      </c>
      <c r="BG15">
        <v>5263600</v>
      </c>
      <c r="BH15">
        <v>5263600</v>
      </c>
      <c r="BI15">
        <v>0</v>
      </c>
      <c r="BJ15">
        <v>0</v>
      </c>
      <c r="BK15">
        <v>0</v>
      </c>
    </row>
    <row r="16" spans="1:63" x14ac:dyDescent="0.25">
      <c r="A16">
        <v>15</v>
      </c>
      <c r="B16">
        <v>1</v>
      </c>
      <c r="C16">
        <v>3</v>
      </c>
      <c r="D16">
        <v>2</v>
      </c>
      <c r="E16">
        <v>3</v>
      </c>
      <c r="F16">
        <v>18.46</v>
      </c>
      <c r="G16">
        <v>10.53</v>
      </c>
      <c r="H16">
        <v>9.9700000000000006</v>
      </c>
      <c r="I16">
        <v>38.96</v>
      </c>
      <c r="J16">
        <v>17.02</v>
      </c>
      <c r="K16">
        <v>4.72</v>
      </c>
      <c r="L16">
        <v>3.58</v>
      </c>
      <c r="M16">
        <v>4.18</v>
      </c>
      <c r="N16">
        <v>6.27</v>
      </c>
      <c r="P16">
        <v>3.04</v>
      </c>
      <c r="Q16">
        <v>3.41</v>
      </c>
      <c r="R16">
        <v>6.45</v>
      </c>
      <c r="S16">
        <v>81.180000000000007</v>
      </c>
      <c r="T16">
        <v>74.73</v>
      </c>
      <c r="U16">
        <v>77.959999999999994</v>
      </c>
      <c r="V16">
        <v>108232.64</v>
      </c>
      <c r="X16">
        <v>108232.64</v>
      </c>
      <c r="Y16">
        <v>0.22759813704760745</v>
      </c>
      <c r="Z16">
        <v>108232.86759813705</v>
      </c>
      <c r="AA16">
        <v>500.13306719894172</v>
      </c>
      <c r="AB16">
        <v>108733.00066533599</v>
      </c>
      <c r="AC16">
        <v>3261.9827012641326</v>
      </c>
      <c r="AD16">
        <v>111994.98336660012</v>
      </c>
      <c r="AE16">
        <v>0.91196433882578276</v>
      </c>
      <c r="AF16">
        <v>111995.89533093895</v>
      </c>
      <c r="AG16">
        <v>0</v>
      </c>
      <c r="AH16">
        <v>111995.89533093895</v>
      </c>
      <c r="AI16">
        <v>0</v>
      </c>
      <c r="AJ16">
        <v>111995.89533093895</v>
      </c>
      <c r="AK16">
        <v>2251.2698819907673</v>
      </c>
      <c r="AL16">
        <v>114247.16521292971</v>
      </c>
      <c r="AM16">
        <v>114247.16521292971</v>
      </c>
      <c r="AN16">
        <v>8906709</v>
      </c>
      <c r="AQ16">
        <v>0</v>
      </c>
      <c r="AR16">
        <v>114247.16521292971</v>
      </c>
      <c r="AS16">
        <v>8906709</v>
      </c>
      <c r="AT16" s="238" t="s">
        <v>36</v>
      </c>
      <c r="AV16">
        <v>114247.16521292971</v>
      </c>
      <c r="AW16">
        <v>0</v>
      </c>
      <c r="AX16">
        <v>8906709</v>
      </c>
      <c r="AY16" s="238"/>
      <c r="AZ16" s="238" t="s">
        <v>3</v>
      </c>
      <c r="BA16" s="238" t="s">
        <v>3</v>
      </c>
      <c r="BB16" s="238" t="s">
        <v>8951</v>
      </c>
      <c r="BC16" s="238" t="s">
        <v>1167</v>
      </c>
      <c r="BD16" t="b">
        <v>1</v>
      </c>
      <c r="BE16" s="238" t="s">
        <v>9088</v>
      </c>
      <c r="BF16" s="238" t="s">
        <v>8990</v>
      </c>
      <c r="BG16">
        <v>8906709</v>
      </c>
      <c r="BH16">
        <v>8906709</v>
      </c>
      <c r="BI16">
        <v>0</v>
      </c>
      <c r="BJ16">
        <v>0</v>
      </c>
      <c r="BK16">
        <v>0</v>
      </c>
    </row>
    <row r="17" spans="1:63" x14ac:dyDescent="0.25">
      <c r="A17">
        <v>16</v>
      </c>
      <c r="B17">
        <v>1</v>
      </c>
      <c r="C17">
        <v>3</v>
      </c>
      <c r="D17">
        <v>3</v>
      </c>
      <c r="E17">
        <v>1</v>
      </c>
      <c r="F17">
        <v>12.41</v>
      </c>
      <c r="I17">
        <v>12.41</v>
      </c>
      <c r="J17">
        <v>14.95</v>
      </c>
      <c r="K17">
        <v>4.97</v>
      </c>
      <c r="M17">
        <v>3.88</v>
      </c>
      <c r="P17">
        <v>2.93</v>
      </c>
      <c r="R17">
        <v>2.93</v>
      </c>
      <c r="S17">
        <v>39.14</v>
      </c>
      <c r="T17">
        <v>36.21</v>
      </c>
      <c r="U17">
        <v>37.68</v>
      </c>
      <c r="V17">
        <v>121521.92</v>
      </c>
      <c r="X17">
        <v>121521.92</v>
      </c>
      <c r="Y17">
        <v>0.30222222222073469</v>
      </c>
      <c r="Z17">
        <v>121522.22222222222</v>
      </c>
      <c r="AA17">
        <v>0</v>
      </c>
      <c r="AB17">
        <v>121522.22222222222</v>
      </c>
      <c r="AC17">
        <v>3645.4444444444525</v>
      </c>
      <c r="AD17">
        <v>125167.66666666667</v>
      </c>
      <c r="AE17">
        <v>2.1847133757983102</v>
      </c>
      <c r="AF17">
        <v>125169.85138004247</v>
      </c>
      <c r="AG17">
        <v>0</v>
      </c>
      <c r="AH17">
        <v>125169.85138004247</v>
      </c>
      <c r="AI17">
        <v>500.15923566879064</v>
      </c>
      <c r="AJ17">
        <v>125670.01061571126</v>
      </c>
      <c r="AK17">
        <v>0</v>
      </c>
      <c r="AL17">
        <v>125670.01061571126</v>
      </c>
      <c r="AM17">
        <v>125670.01061571126</v>
      </c>
      <c r="AN17">
        <v>4735246</v>
      </c>
      <c r="AQ17">
        <v>0</v>
      </c>
      <c r="AR17">
        <v>125670.01061571126</v>
      </c>
      <c r="AS17">
        <v>4735246</v>
      </c>
      <c r="AT17" s="238" t="s">
        <v>36</v>
      </c>
      <c r="AV17">
        <v>125670.01061571126</v>
      </c>
      <c r="AW17">
        <v>0</v>
      </c>
      <c r="AX17">
        <v>4735246</v>
      </c>
      <c r="AY17" s="238"/>
      <c r="AZ17" s="238" t="s">
        <v>3</v>
      </c>
      <c r="BA17" s="238" t="s">
        <v>3</v>
      </c>
      <c r="BB17" s="238" t="s">
        <v>8951</v>
      </c>
      <c r="BC17" s="238" t="s">
        <v>1167</v>
      </c>
      <c r="BD17" t="b">
        <v>1</v>
      </c>
      <c r="BE17" s="238" t="s">
        <v>9088</v>
      </c>
      <c r="BF17" s="238" t="s">
        <v>8972</v>
      </c>
      <c r="BG17">
        <v>4735246</v>
      </c>
      <c r="BH17">
        <v>4735246</v>
      </c>
      <c r="BI17">
        <v>0</v>
      </c>
      <c r="BJ17">
        <v>0</v>
      </c>
      <c r="BK17">
        <v>0</v>
      </c>
    </row>
    <row r="18" spans="1:63" x14ac:dyDescent="0.25">
      <c r="A18">
        <v>17</v>
      </c>
      <c r="B18">
        <v>1</v>
      </c>
      <c r="C18">
        <v>3</v>
      </c>
      <c r="D18">
        <v>4</v>
      </c>
      <c r="E18">
        <v>1</v>
      </c>
      <c r="F18">
        <v>12.41</v>
      </c>
      <c r="I18">
        <v>12.41</v>
      </c>
      <c r="J18">
        <v>14.8</v>
      </c>
      <c r="K18">
        <v>4.97</v>
      </c>
      <c r="M18">
        <v>3.88</v>
      </c>
      <c r="P18">
        <v>3.11</v>
      </c>
      <c r="R18">
        <v>3.11</v>
      </c>
      <c r="S18">
        <v>39.17</v>
      </c>
      <c r="T18">
        <v>36.06</v>
      </c>
      <c r="U18">
        <v>37.619999999999997</v>
      </c>
      <c r="V18">
        <v>121521.92</v>
      </c>
      <c r="X18">
        <v>121521.92</v>
      </c>
      <c r="Y18">
        <v>2.4193602225277573</v>
      </c>
      <c r="Z18">
        <v>121524.33936022253</v>
      </c>
      <c r="AA18">
        <v>0</v>
      </c>
      <c r="AB18">
        <v>121524.33936022253</v>
      </c>
      <c r="AC18">
        <v>3645.3685674547887</v>
      </c>
      <c r="AD18">
        <v>125169.70792767731</v>
      </c>
      <c r="AE18">
        <v>0.41434770812338684</v>
      </c>
      <c r="AF18">
        <v>125170.12227538544</v>
      </c>
      <c r="AG18">
        <v>499.86709197235177</v>
      </c>
      <c r="AH18">
        <v>125669.98936735779</v>
      </c>
      <c r="AI18">
        <v>0</v>
      </c>
      <c r="AJ18">
        <v>125669.98936735779</v>
      </c>
      <c r="AK18">
        <v>0</v>
      </c>
      <c r="AL18">
        <v>125669.9893673578</v>
      </c>
      <c r="AM18">
        <v>125669.98936735779</v>
      </c>
      <c r="AN18">
        <v>4727705</v>
      </c>
      <c r="AQ18">
        <v>0</v>
      </c>
      <c r="AR18">
        <v>125669.98936735779</v>
      </c>
      <c r="AS18">
        <v>4727705</v>
      </c>
      <c r="AT18" s="238" t="s">
        <v>36</v>
      </c>
      <c r="AV18">
        <v>125669.98936735779</v>
      </c>
      <c r="AW18">
        <v>0</v>
      </c>
      <c r="AX18">
        <v>4727705</v>
      </c>
      <c r="AY18" s="238"/>
      <c r="AZ18" s="238" t="s">
        <v>3</v>
      </c>
      <c r="BA18" s="238" t="s">
        <v>3</v>
      </c>
      <c r="BB18" s="238" t="s">
        <v>8951</v>
      </c>
      <c r="BC18" s="238" t="s">
        <v>1167</v>
      </c>
      <c r="BD18" t="b">
        <v>1</v>
      </c>
      <c r="BE18" s="238" t="s">
        <v>9088</v>
      </c>
      <c r="BF18" s="238" t="s">
        <v>8972</v>
      </c>
      <c r="BG18">
        <v>4727705</v>
      </c>
      <c r="BH18">
        <v>4727705</v>
      </c>
      <c r="BI18">
        <v>0</v>
      </c>
      <c r="BJ18">
        <v>0</v>
      </c>
      <c r="BK18">
        <v>0</v>
      </c>
    </row>
    <row r="19" spans="1:63" x14ac:dyDescent="0.25">
      <c r="A19">
        <v>18</v>
      </c>
      <c r="B19">
        <v>1</v>
      </c>
      <c r="C19">
        <v>3</v>
      </c>
      <c r="D19">
        <v>5</v>
      </c>
      <c r="E19">
        <v>2</v>
      </c>
      <c r="F19">
        <v>14.66</v>
      </c>
      <c r="G19">
        <v>10.58</v>
      </c>
      <c r="I19">
        <v>25.240000000000002</v>
      </c>
      <c r="J19">
        <v>17.63</v>
      </c>
      <c r="K19">
        <v>4.37</v>
      </c>
      <c r="L19">
        <v>3.38</v>
      </c>
      <c r="M19">
        <v>3.48</v>
      </c>
      <c r="N19">
        <v>3.77</v>
      </c>
      <c r="P19">
        <v>3.11</v>
      </c>
      <c r="R19">
        <v>3.11</v>
      </c>
      <c r="S19">
        <v>60.98</v>
      </c>
      <c r="T19">
        <v>57.87</v>
      </c>
      <c r="U19">
        <v>59.43</v>
      </c>
      <c r="V19">
        <v>120710.95999999999</v>
      </c>
      <c r="X19">
        <v>120710.95999999999</v>
      </c>
      <c r="Y19">
        <v>0.46109851787332445</v>
      </c>
      <c r="Z19">
        <v>120711.42109851787</v>
      </c>
      <c r="AA19">
        <v>0</v>
      </c>
      <c r="AB19">
        <v>120711.42109851787</v>
      </c>
      <c r="AC19">
        <v>3620.9067131647753</v>
      </c>
      <c r="AD19">
        <v>124332.32781168264</v>
      </c>
      <c r="AE19">
        <v>0.50072609289782122</v>
      </c>
      <c r="AF19">
        <v>124332.82853777554</v>
      </c>
      <c r="AG19">
        <v>0</v>
      </c>
      <c r="AH19">
        <v>124332.82853777554</v>
      </c>
      <c r="AI19">
        <v>0</v>
      </c>
      <c r="AJ19">
        <v>124332.82853777554</v>
      </c>
      <c r="AK19">
        <v>1243.4965505636792</v>
      </c>
      <c r="AL19">
        <v>125576.32508833922</v>
      </c>
      <c r="AM19">
        <v>125576.32508833922</v>
      </c>
      <c r="AN19">
        <v>7463001</v>
      </c>
      <c r="AQ19">
        <v>0</v>
      </c>
      <c r="AR19">
        <v>125576.32508833922</v>
      </c>
      <c r="AS19">
        <v>7463001</v>
      </c>
      <c r="AT19" s="238" t="s">
        <v>36</v>
      </c>
      <c r="AV19">
        <v>125576.32508833922</v>
      </c>
      <c r="AW19">
        <v>0</v>
      </c>
      <c r="AX19">
        <v>7463001</v>
      </c>
      <c r="AY19" s="238"/>
      <c r="AZ19" s="238" t="s">
        <v>3</v>
      </c>
      <c r="BA19" s="238" t="s">
        <v>3</v>
      </c>
      <c r="BB19" s="238" t="s">
        <v>8951</v>
      </c>
      <c r="BC19" s="238" t="s">
        <v>1167</v>
      </c>
      <c r="BD19" t="b">
        <v>1</v>
      </c>
      <c r="BE19" s="238" t="s">
        <v>9088</v>
      </c>
      <c r="BF19" s="238" t="s">
        <v>8971</v>
      </c>
      <c r="BG19">
        <v>7463001</v>
      </c>
      <c r="BH19">
        <v>7463001</v>
      </c>
      <c r="BI19">
        <v>0</v>
      </c>
      <c r="BJ19">
        <v>0</v>
      </c>
      <c r="BK19">
        <v>0</v>
      </c>
    </row>
    <row r="20" spans="1:63" x14ac:dyDescent="0.25">
      <c r="A20">
        <v>19</v>
      </c>
      <c r="B20">
        <v>1</v>
      </c>
      <c r="C20">
        <v>3</v>
      </c>
      <c r="D20">
        <v>6</v>
      </c>
      <c r="E20">
        <v>2</v>
      </c>
      <c r="F20">
        <v>11.63</v>
      </c>
      <c r="G20">
        <v>10.93</v>
      </c>
      <c r="I20">
        <v>22.560000000000002</v>
      </c>
      <c r="J20">
        <v>16.28</v>
      </c>
      <c r="K20">
        <v>4.9000000000000004</v>
      </c>
      <c r="M20">
        <v>4.3899999999999997</v>
      </c>
      <c r="N20">
        <v>1.81</v>
      </c>
      <c r="P20">
        <v>4.4000000000000004</v>
      </c>
      <c r="R20">
        <v>4.4000000000000004</v>
      </c>
      <c r="S20">
        <v>54.34</v>
      </c>
      <c r="T20">
        <v>49.94</v>
      </c>
      <c r="U20">
        <v>52.14</v>
      </c>
      <c r="V20">
        <v>118496.08</v>
      </c>
      <c r="X20">
        <v>118496.08</v>
      </c>
      <c r="Y20">
        <v>500.91307616222184</v>
      </c>
      <c r="Z20">
        <v>118996.99307616222</v>
      </c>
      <c r="AA20">
        <v>0</v>
      </c>
      <c r="AB20">
        <v>118996.99307616222</v>
      </c>
      <c r="AC20">
        <v>3569.9109792284871</v>
      </c>
      <c r="AD20">
        <v>122566.90405539071</v>
      </c>
      <c r="AE20">
        <v>1.1818671255896334</v>
      </c>
      <c r="AF20">
        <v>122568.0859225163</v>
      </c>
      <c r="AG20">
        <v>0</v>
      </c>
      <c r="AH20">
        <v>122568.0859225163</v>
      </c>
      <c r="AI20">
        <v>0</v>
      </c>
      <c r="AJ20">
        <v>122568.0859225163</v>
      </c>
      <c r="AK20">
        <v>1225.5849635596533</v>
      </c>
      <c r="AL20">
        <v>123793.67088607595</v>
      </c>
      <c r="AM20">
        <v>123793.67088607595</v>
      </c>
      <c r="AN20">
        <v>6454602</v>
      </c>
      <c r="AQ20">
        <v>0</v>
      </c>
      <c r="AR20">
        <v>123793.67088607595</v>
      </c>
      <c r="AS20">
        <v>6454602</v>
      </c>
      <c r="AT20" s="238" t="s">
        <v>36</v>
      </c>
      <c r="AV20">
        <v>123793.67088607595</v>
      </c>
      <c r="AW20">
        <v>0</v>
      </c>
      <c r="AX20">
        <v>6454602</v>
      </c>
      <c r="AY20" s="238"/>
      <c r="AZ20" s="238" t="s">
        <v>3</v>
      </c>
      <c r="BA20" s="238" t="s">
        <v>3</v>
      </c>
      <c r="BB20" s="238" t="s">
        <v>8951</v>
      </c>
      <c r="BC20" s="238" t="s">
        <v>1167</v>
      </c>
      <c r="BD20" t="b">
        <v>1</v>
      </c>
      <c r="BE20" s="238" t="s">
        <v>9088</v>
      </c>
      <c r="BF20" s="238" t="s">
        <v>8971</v>
      </c>
      <c r="BG20">
        <v>6454602</v>
      </c>
      <c r="BH20">
        <v>6454602</v>
      </c>
      <c r="BI20">
        <v>0</v>
      </c>
      <c r="BJ20">
        <v>0</v>
      </c>
      <c r="BK20">
        <v>0</v>
      </c>
    </row>
    <row r="21" spans="1:63" x14ac:dyDescent="0.25">
      <c r="A21">
        <v>20</v>
      </c>
      <c r="B21">
        <v>1</v>
      </c>
      <c r="C21">
        <v>3</v>
      </c>
      <c r="D21">
        <v>7</v>
      </c>
      <c r="E21">
        <v>2</v>
      </c>
      <c r="F21">
        <v>10.86</v>
      </c>
      <c r="G21">
        <v>14.01</v>
      </c>
      <c r="I21">
        <v>24.869999999999997</v>
      </c>
      <c r="J21">
        <v>19.21</v>
      </c>
      <c r="K21">
        <v>3.96</v>
      </c>
      <c r="M21">
        <v>3.24</v>
      </c>
      <c r="N21">
        <v>3.83</v>
      </c>
      <c r="O21">
        <v>4.6399999999999997</v>
      </c>
      <c r="P21">
        <v>3.91</v>
      </c>
      <c r="R21">
        <v>3.91</v>
      </c>
      <c r="S21">
        <v>63.66</v>
      </c>
      <c r="T21">
        <v>59.75</v>
      </c>
      <c r="U21">
        <v>61.71</v>
      </c>
      <c r="V21">
        <v>119603.52</v>
      </c>
      <c r="X21">
        <v>119603.52</v>
      </c>
      <c r="Y21">
        <v>0.20565622353751678</v>
      </c>
      <c r="Z21">
        <v>119603.72565622354</v>
      </c>
      <c r="AA21">
        <v>0</v>
      </c>
      <c r="AB21">
        <v>119603.72565622354</v>
      </c>
      <c r="AC21">
        <v>3588.3996613039781</v>
      </c>
      <c r="AD21">
        <v>123192.12531752752</v>
      </c>
      <c r="AE21">
        <v>0.22600316604075488</v>
      </c>
      <c r="AF21">
        <v>123192.35132069356</v>
      </c>
      <c r="AG21">
        <v>0</v>
      </c>
      <c r="AH21">
        <v>123192.35132069356</v>
      </c>
      <c r="AI21">
        <v>0</v>
      </c>
      <c r="AJ21">
        <v>123192.35132069356</v>
      </c>
      <c r="AK21">
        <v>1231.5670069680782</v>
      </c>
      <c r="AL21">
        <v>124423.91832766164</v>
      </c>
      <c r="AM21">
        <v>124423.91832766164</v>
      </c>
      <c r="AN21">
        <v>7678200</v>
      </c>
      <c r="AQ21">
        <v>0</v>
      </c>
      <c r="AR21">
        <v>124423.91832766164</v>
      </c>
      <c r="AS21">
        <v>7678200</v>
      </c>
      <c r="AT21" s="238" t="s">
        <v>36</v>
      </c>
      <c r="AV21">
        <v>124423.91832766164</v>
      </c>
      <c r="AW21">
        <v>0</v>
      </c>
      <c r="AX21">
        <v>7678200</v>
      </c>
      <c r="AY21" s="238"/>
      <c r="AZ21" s="238" t="s">
        <v>3</v>
      </c>
      <c r="BA21" s="238" t="s">
        <v>3</v>
      </c>
      <c r="BB21" s="238" t="s">
        <v>8951</v>
      </c>
      <c r="BC21" s="238" t="s">
        <v>1167</v>
      </c>
      <c r="BD21" t="b">
        <v>1</v>
      </c>
      <c r="BE21" s="238" t="s">
        <v>9088</v>
      </c>
      <c r="BF21" s="238" t="s">
        <v>8971</v>
      </c>
      <c r="BG21">
        <v>7678200</v>
      </c>
      <c r="BH21">
        <v>7678200</v>
      </c>
      <c r="BI21">
        <v>0</v>
      </c>
      <c r="BJ21">
        <v>0</v>
      </c>
      <c r="BK21">
        <v>0</v>
      </c>
    </row>
    <row r="22" spans="1:63" x14ac:dyDescent="0.25">
      <c r="A22">
        <v>21</v>
      </c>
      <c r="B22">
        <v>1</v>
      </c>
      <c r="C22">
        <v>3</v>
      </c>
      <c r="D22">
        <v>8</v>
      </c>
      <c r="E22">
        <v>1</v>
      </c>
      <c r="F22">
        <v>14.95</v>
      </c>
      <c r="I22">
        <v>14.95</v>
      </c>
      <c r="J22">
        <v>17.670000000000002</v>
      </c>
      <c r="K22">
        <v>5.16</v>
      </c>
      <c r="M22">
        <v>4</v>
      </c>
      <c r="P22">
        <v>3.36</v>
      </c>
      <c r="R22">
        <v>3.36</v>
      </c>
      <c r="S22">
        <v>45.14</v>
      </c>
      <c r="T22">
        <v>41.78</v>
      </c>
      <c r="U22">
        <v>43.46</v>
      </c>
      <c r="V22">
        <v>120353.44</v>
      </c>
      <c r="X22">
        <v>120353.44</v>
      </c>
      <c r="Y22">
        <v>1.3595139732642565</v>
      </c>
      <c r="Z22">
        <v>120354.79951397327</v>
      </c>
      <c r="AA22">
        <v>500.19441069259483</v>
      </c>
      <c r="AB22">
        <v>120854.99392466586</v>
      </c>
      <c r="AC22">
        <v>3625.6622114216298</v>
      </c>
      <c r="AD22">
        <v>124480.65613608749</v>
      </c>
      <c r="AE22">
        <v>1.6264225871564122</v>
      </c>
      <c r="AF22">
        <v>124482.28255867465</v>
      </c>
      <c r="AG22">
        <v>0</v>
      </c>
      <c r="AH22">
        <v>124482.28255867465</v>
      </c>
      <c r="AI22">
        <v>0</v>
      </c>
      <c r="AJ22">
        <v>124482.28255867465</v>
      </c>
      <c r="AK22">
        <v>0</v>
      </c>
      <c r="AL22">
        <v>124482.28255867463</v>
      </c>
      <c r="AM22">
        <v>124482.28255867465</v>
      </c>
      <c r="AN22">
        <v>5410000</v>
      </c>
      <c r="AQ22">
        <v>0</v>
      </c>
      <c r="AR22">
        <v>124482.28255867465</v>
      </c>
      <c r="AS22">
        <v>5410000</v>
      </c>
      <c r="AT22" s="238" t="s">
        <v>36</v>
      </c>
      <c r="AV22">
        <v>124482.28255867465</v>
      </c>
      <c r="AW22">
        <v>0</v>
      </c>
      <c r="AX22">
        <v>5410000</v>
      </c>
      <c r="AY22" s="238"/>
      <c r="AZ22" s="238" t="s">
        <v>3</v>
      </c>
      <c r="BA22" s="238" t="s">
        <v>3</v>
      </c>
      <c r="BB22" s="238" t="s">
        <v>8951</v>
      </c>
      <c r="BC22" s="238" t="s">
        <v>1167</v>
      </c>
      <c r="BD22" t="b">
        <v>1</v>
      </c>
      <c r="BE22" s="238" t="s">
        <v>9088</v>
      </c>
      <c r="BF22" s="238" t="s">
        <v>8972</v>
      </c>
      <c r="BG22">
        <v>5410000</v>
      </c>
      <c r="BH22">
        <v>5410000</v>
      </c>
      <c r="BI22">
        <v>0</v>
      </c>
      <c r="BJ22">
        <v>0</v>
      </c>
      <c r="BK22">
        <v>0</v>
      </c>
    </row>
    <row r="23" spans="1:63" x14ac:dyDescent="0.25">
      <c r="A23">
        <v>22</v>
      </c>
      <c r="B23">
        <v>1</v>
      </c>
      <c r="C23">
        <v>4</v>
      </c>
      <c r="D23">
        <v>1</v>
      </c>
      <c r="E23">
        <v>1</v>
      </c>
      <c r="F23">
        <v>14.95</v>
      </c>
      <c r="I23">
        <v>14.95</v>
      </c>
      <c r="J23">
        <v>16.68</v>
      </c>
      <c r="K23">
        <v>5.19</v>
      </c>
      <c r="M23">
        <v>3.96</v>
      </c>
      <c r="P23">
        <v>3.36</v>
      </c>
      <c r="R23">
        <v>3.36</v>
      </c>
      <c r="S23">
        <v>44.14</v>
      </c>
      <c r="T23">
        <v>40.78</v>
      </c>
      <c r="U23">
        <v>42.46</v>
      </c>
      <c r="V23">
        <v>120353.44</v>
      </c>
      <c r="X23">
        <v>120353.44</v>
      </c>
      <c r="Y23">
        <v>0.9289320388197666</v>
      </c>
      <c r="Z23">
        <v>120354.36893203882</v>
      </c>
      <c r="AA23">
        <v>0</v>
      </c>
      <c r="AB23">
        <v>120354.36893203882</v>
      </c>
      <c r="AC23">
        <v>3610.2427184466069</v>
      </c>
      <c r="AD23">
        <v>123964.61165048543</v>
      </c>
      <c r="AE23">
        <v>1.4740772583318176</v>
      </c>
      <c r="AF23">
        <v>123966.08572774376</v>
      </c>
      <c r="AG23">
        <v>0</v>
      </c>
      <c r="AH23">
        <v>123966.08572774376</v>
      </c>
      <c r="AI23">
        <v>0</v>
      </c>
      <c r="AJ23">
        <v>123966.08572774376</v>
      </c>
      <c r="AK23">
        <v>0</v>
      </c>
      <c r="AL23">
        <v>123966.08572774376</v>
      </c>
      <c r="AM23">
        <v>123966.08572774376</v>
      </c>
      <c r="AN23">
        <v>5263600</v>
      </c>
      <c r="AQ23">
        <v>0</v>
      </c>
      <c r="AR23">
        <v>123966.08572774376</v>
      </c>
      <c r="AS23">
        <v>5263600</v>
      </c>
      <c r="AT23" s="238" t="s">
        <v>36</v>
      </c>
      <c r="AV23">
        <v>123966.08572774376</v>
      </c>
      <c r="AW23">
        <v>0</v>
      </c>
      <c r="AX23">
        <v>5263600</v>
      </c>
      <c r="AY23" s="238"/>
      <c r="AZ23" s="238" t="s">
        <v>3</v>
      </c>
      <c r="BA23" s="238" t="s">
        <v>3</v>
      </c>
      <c r="BB23" s="238" t="s">
        <v>8951</v>
      </c>
      <c r="BC23" s="238" t="s">
        <v>1167</v>
      </c>
      <c r="BD23" t="b">
        <v>1</v>
      </c>
      <c r="BE23" s="238" t="s">
        <v>9088</v>
      </c>
      <c r="BF23" s="238" t="s">
        <v>8972</v>
      </c>
      <c r="BG23">
        <v>5263600</v>
      </c>
      <c r="BH23">
        <v>5263600</v>
      </c>
      <c r="BI23">
        <v>0</v>
      </c>
      <c r="BJ23">
        <v>0</v>
      </c>
      <c r="BK23">
        <v>0</v>
      </c>
    </row>
    <row r="24" spans="1:63" x14ac:dyDescent="0.25">
      <c r="A24">
        <v>23</v>
      </c>
      <c r="B24">
        <v>1</v>
      </c>
      <c r="C24">
        <v>4</v>
      </c>
      <c r="D24">
        <v>2</v>
      </c>
      <c r="E24">
        <v>3</v>
      </c>
      <c r="F24">
        <v>18.46</v>
      </c>
      <c r="G24">
        <v>10.53</v>
      </c>
      <c r="H24">
        <v>9.9700000000000006</v>
      </c>
      <c r="I24">
        <v>38.96</v>
      </c>
      <c r="J24">
        <v>17.02</v>
      </c>
      <c r="K24">
        <v>4.72</v>
      </c>
      <c r="L24">
        <v>3.58</v>
      </c>
      <c r="M24">
        <v>4.18</v>
      </c>
      <c r="N24">
        <v>6.27</v>
      </c>
      <c r="P24">
        <v>3.04</v>
      </c>
      <c r="Q24">
        <v>3.41</v>
      </c>
      <c r="R24">
        <v>6.45</v>
      </c>
      <c r="S24">
        <v>81.180000000000007</v>
      </c>
      <c r="T24">
        <v>74.73</v>
      </c>
      <c r="U24">
        <v>77.959999999999994</v>
      </c>
      <c r="V24">
        <v>108232.64</v>
      </c>
      <c r="X24">
        <v>108232.64</v>
      </c>
      <c r="Y24">
        <v>0.22759813704760745</v>
      </c>
      <c r="Z24">
        <v>108232.86759813705</v>
      </c>
      <c r="AA24">
        <v>500.13306719894172</v>
      </c>
      <c r="AB24">
        <v>108733.00066533599</v>
      </c>
      <c r="AC24">
        <v>3261.9827012641326</v>
      </c>
      <c r="AD24">
        <v>111994.98336660012</v>
      </c>
      <c r="AE24">
        <v>0.91196433882578276</v>
      </c>
      <c r="AF24">
        <v>111995.89533093895</v>
      </c>
      <c r="AG24">
        <v>0</v>
      </c>
      <c r="AH24">
        <v>111995.89533093895</v>
      </c>
      <c r="AI24">
        <v>0</v>
      </c>
      <c r="AJ24">
        <v>111995.89533093895</v>
      </c>
      <c r="AK24">
        <v>2251.2698819907673</v>
      </c>
      <c r="AL24">
        <v>114247.16521292971</v>
      </c>
      <c r="AM24">
        <v>114247.16521292971</v>
      </c>
      <c r="AN24">
        <v>8906709</v>
      </c>
      <c r="AQ24">
        <v>0</v>
      </c>
      <c r="AR24">
        <v>114247.16521292971</v>
      </c>
      <c r="AS24">
        <v>8906709</v>
      </c>
      <c r="AT24" s="238" t="s">
        <v>36</v>
      </c>
      <c r="AV24">
        <v>114247.16521292971</v>
      </c>
      <c r="AW24">
        <v>0</v>
      </c>
      <c r="AX24">
        <v>8906709</v>
      </c>
      <c r="AY24" s="238"/>
      <c r="AZ24" s="238" t="s">
        <v>3</v>
      </c>
      <c r="BA24" s="238" t="s">
        <v>3</v>
      </c>
      <c r="BB24" s="238" t="s">
        <v>8951</v>
      </c>
      <c r="BC24" s="238" t="s">
        <v>1167</v>
      </c>
      <c r="BD24" t="b">
        <v>1</v>
      </c>
      <c r="BE24" s="238" t="s">
        <v>9088</v>
      </c>
      <c r="BF24" s="238" t="s">
        <v>8990</v>
      </c>
      <c r="BG24">
        <v>8906709</v>
      </c>
      <c r="BH24">
        <v>8906709</v>
      </c>
      <c r="BI24">
        <v>0</v>
      </c>
      <c r="BJ24">
        <v>0</v>
      </c>
      <c r="BK24">
        <v>0</v>
      </c>
    </row>
    <row r="25" spans="1:63" x14ac:dyDescent="0.25">
      <c r="A25">
        <v>24</v>
      </c>
      <c r="B25">
        <v>1</v>
      </c>
      <c r="C25">
        <v>4</v>
      </c>
      <c r="D25">
        <v>3</v>
      </c>
      <c r="E25">
        <v>1</v>
      </c>
      <c r="F25">
        <v>12.41</v>
      </c>
      <c r="I25">
        <v>12.41</v>
      </c>
      <c r="J25">
        <v>14.95</v>
      </c>
      <c r="K25">
        <v>4.97</v>
      </c>
      <c r="M25">
        <v>3.88</v>
      </c>
      <c r="P25">
        <v>2.93</v>
      </c>
      <c r="R25">
        <v>2.93</v>
      </c>
      <c r="S25">
        <v>39.14</v>
      </c>
      <c r="T25">
        <v>36.21</v>
      </c>
      <c r="U25">
        <v>37.68</v>
      </c>
      <c r="V25">
        <v>121521.92</v>
      </c>
      <c r="X25">
        <v>121521.92</v>
      </c>
      <c r="Y25">
        <v>0.30222222222073469</v>
      </c>
      <c r="Z25">
        <v>121522.22222222222</v>
      </c>
      <c r="AA25">
        <v>0</v>
      </c>
      <c r="AB25">
        <v>121522.22222222222</v>
      </c>
      <c r="AC25">
        <v>3645.4444444444525</v>
      </c>
      <c r="AD25">
        <v>125167.66666666667</v>
      </c>
      <c r="AE25">
        <v>2.1847133757983102</v>
      </c>
      <c r="AF25">
        <v>125169.85138004247</v>
      </c>
      <c r="AG25">
        <v>0</v>
      </c>
      <c r="AH25">
        <v>125169.85138004247</v>
      </c>
      <c r="AI25">
        <v>500.15923566879064</v>
      </c>
      <c r="AJ25">
        <v>125670.01061571126</v>
      </c>
      <c r="AK25">
        <v>0</v>
      </c>
      <c r="AL25">
        <v>125670.01061571126</v>
      </c>
      <c r="AM25">
        <v>125670.01061571126</v>
      </c>
      <c r="AN25">
        <v>4735246</v>
      </c>
      <c r="AQ25">
        <v>0</v>
      </c>
      <c r="AR25">
        <v>125670.01061571126</v>
      </c>
      <c r="AS25">
        <v>4735246</v>
      </c>
      <c r="AT25" s="238" t="s">
        <v>36</v>
      </c>
      <c r="AV25">
        <v>125670.01061571126</v>
      </c>
      <c r="AW25">
        <v>0</v>
      </c>
      <c r="AX25">
        <v>4735246</v>
      </c>
      <c r="AY25" s="238"/>
      <c r="AZ25" s="238" t="s">
        <v>3</v>
      </c>
      <c r="BA25" s="238" t="s">
        <v>3</v>
      </c>
      <c r="BB25" s="238" t="s">
        <v>8951</v>
      </c>
      <c r="BC25" s="238" t="s">
        <v>1167</v>
      </c>
      <c r="BD25" t="b">
        <v>1</v>
      </c>
      <c r="BE25" s="238" t="s">
        <v>9088</v>
      </c>
      <c r="BF25" s="238" t="s">
        <v>8972</v>
      </c>
      <c r="BG25">
        <v>4735246</v>
      </c>
      <c r="BH25">
        <v>4735246</v>
      </c>
      <c r="BI25">
        <v>0</v>
      </c>
      <c r="BJ25">
        <v>0</v>
      </c>
      <c r="BK25">
        <v>0</v>
      </c>
    </row>
    <row r="26" spans="1:63" x14ac:dyDescent="0.25">
      <c r="A26">
        <v>25</v>
      </c>
      <c r="B26">
        <v>1</v>
      </c>
      <c r="C26">
        <v>4</v>
      </c>
      <c r="D26">
        <v>4</v>
      </c>
      <c r="E26">
        <v>1</v>
      </c>
      <c r="F26">
        <v>12.41</v>
      </c>
      <c r="I26">
        <v>12.41</v>
      </c>
      <c r="J26">
        <v>14.8</v>
      </c>
      <c r="K26">
        <v>4.97</v>
      </c>
      <c r="M26">
        <v>3.88</v>
      </c>
      <c r="P26">
        <v>3.11</v>
      </c>
      <c r="R26">
        <v>3.11</v>
      </c>
      <c r="S26">
        <v>39.17</v>
      </c>
      <c r="T26">
        <v>36.06</v>
      </c>
      <c r="U26">
        <v>37.619999999999997</v>
      </c>
      <c r="V26">
        <v>121521.92</v>
      </c>
      <c r="X26">
        <v>121521.92</v>
      </c>
      <c r="Y26">
        <v>2.4193602225277573</v>
      </c>
      <c r="Z26">
        <v>121524.33936022253</v>
      </c>
      <c r="AA26">
        <v>0</v>
      </c>
      <c r="AB26">
        <v>121524.33936022253</v>
      </c>
      <c r="AC26">
        <v>3645.3685674547887</v>
      </c>
      <c r="AD26">
        <v>125169.70792767731</v>
      </c>
      <c r="AE26">
        <v>0.41434770812338684</v>
      </c>
      <c r="AF26">
        <v>125170.12227538544</v>
      </c>
      <c r="AG26">
        <v>499.86709197235177</v>
      </c>
      <c r="AH26">
        <v>125669.98936735779</v>
      </c>
      <c r="AI26">
        <v>0</v>
      </c>
      <c r="AJ26">
        <v>125669.98936735779</v>
      </c>
      <c r="AK26">
        <v>0</v>
      </c>
      <c r="AL26">
        <v>125669.9893673578</v>
      </c>
      <c r="AM26">
        <v>125669.98936735779</v>
      </c>
      <c r="AN26">
        <v>4727705</v>
      </c>
      <c r="AQ26">
        <v>0</v>
      </c>
      <c r="AR26">
        <v>125669.98936735779</v>
      </c>
      <c r="AS26">
        <v>4727705</v>
      </c>
      <c r="AT26" s="238" t="s">
        <v>36</v>
      </c>
      <c r="AV26">
        <v>125669.98936735779</v>
      </c>
      <c r="AW26">
        <v>0</v>
      </c>
      <c r="AX26">
        <v>4727705</v>
      </c>
      <c r="AY26" s="238"/>
      <c r="AZ26" s="238" t="s">
        <v>3</v>
      </c>
      <c r="BA26" s="238" t="s">
        <v>3</v>
      </c>
      <c r="BB26" s="238" t="s">
        <v>8951</v>
      </c>
      <c r="BC26" s="238" t="s">
        <v>1167</v>
      </c>
      <c r="BD26" t="b">
        <v>1</v>
      </c>
      <c r="BE26" s="238" t="s">
        <v>9088</v>
      </c>
      <c r="BF26" s="238" t="s">
        <v>8972</v>
      </c>
      <c r="BG26">
        <v>4727705</v>
      </c>
      <c r="BH26">
        <v>4727705</v>
      </c>
      <c r="BI26">
        <v>0</v>
      </c>
      <c r="BJ26">
        <v>0</v>
      </c>
      <c r="BK26">
        <v>0</v>
      </c>
    </row>
    <row r="27" spans="1:63" x14ac:dyDescent="0.25">
      <c r="A27">
        <v>26</v>
      </c>
      <c r="B27">
        <v>1</v>
      </c>
      <c r="C27">
        <v>4</v>
      </c>
      <c r="D27">
        <v>5</v>
      </c>
      <c r="E27">
        <v>2</v>
      </c>
      <c r="F27">
        <v>14.66</v>
      </c>
      <c r="G27">
        <v>10.58</v>
      </c>
      <c r="I27">
        <v>25.240000000000002</v>
      </c>
      <c r="J27">
        <v>17.63</v>
      </c>
      <c r="K27">
        <v>4.37</v>
      </c>
      <c r="L27">
        <v>3.38</v>
      </c>
      <c r="M27">
        <v>3.48</v>
      </c>
      <c r="N27">
        <v>3.77</v>
      </c>
      <c r="P27">
        <v>3.11</v>
      </c>
      <c r="R27">
        <v>3.11</v>
      </c>
      <c r="S27">
        <v>60.98</v>
      </c>
      <c r="T27">
        <v>57.87</v>
      </c>
      <c r="U27">
        <v>59.43</v>
      </c>
      <c r="V27">
        <v>120710.95999999999</v>
      </c>
      <c r="X27">
        <v>120710.95999999999</v>
      </c>
      <c r="Y27">
        <v>0.46109851787332445</v>
      </c>
      <c r="Z27">
        <v>120711.42109851787</v>
      </c>
      <c r="AA27">
        <v>0</v>
      </c>
      <c r="AB27">
        <v>120711.42109851787</v>
      </c>
      <c r="AC27">
        <v>3620.9067131647753</v>
      </c>
      <c r="AD27">
        <v>124332.32781168264</v>
      </c>
      <c r="AE27">
        <v>0.50072609289782122</v>
      </c>
      <c r="AF27">
        <v>124332.82853777554</v>
      </c>
      <c r="AG27">
        <v>0</v>
      </c>
      <c r="AH27">
        <v>124332.82853777554</v>
      </c>
      <c r="AI27">
        <v>0</v>
      </c>
      <c r="AJ27">
        <v>124332.82853777554</v>
      </c>
      <c r="AK27">
        <v>1243.4965505636792</v>
      </c>
      <c r="AL27">
        <v>125576.32508833922</v>
      </c>
      <c r="AM27">
        <v>125576.32508833922</v>
      </c>
      <c r="AN27">
        <v>7463001</v>
      </c>
      <c r="AQ27">
        <v>0</v>
      </c>
      <c r="AR27">
        <v>125576.32508833922</v>
      </c>
      <c r="AS27">
        <v>7463001</v>
      </c>
      <c r="AT27" s="238" t="s">
        <v>36</v>
      </c>
      <c r="AV27">
        <v>125576.32508833922</v>
      </c>
      <c r="AW27">
        <v>0</v>
      </c>
      <c r="AX27">
        <v>7463001</v>
      </c>
      <c r="AY27" s="238"/>
      <c r="AZ27" s="238" t="s">
        <v>3</v>
      </c>
      <c r="BA27" s="238" t="s">
        <v>3</v>
      </c>
      <c r="BB27" s="238" t="s">
        <v>8951</v>
      </c>
      <c r="BC27" s="238" t="s">
        <v>1167</v>
      </c>
      <c r="BD27" t="b">
        <v>1</v>
      </c>
      <c r="BE27" s="238" t="s">
        <v>9088</v>
      </c>
      <c r="BF27" s="238" t="s">
        <v>8971</v>
      </c>
      <c r="BG27">
        <v>7463001</v>
      </c>
      <c r="BH27">
        <v>7463001</v>
      </c>
      <c r="BI27">
        <v>0</v>
      </c>
      <c r="BJ27">
        <v>0</v>
      </c>
      <c r="BK27">
        <v>0</v>
      </c>
    </row>
    <row r="28" spans="1:63" x14ac:dyDescent="0.25">
      <c r="A28">
        <v>27</v>
      </c>
      <c r="B28">
        <v>1</v>
      </c>
      <c r="C28">
        <v>4</v>
      </c>
      <c r="D28">
        <v>6</v>
      </c>
      <c r="E28">
        <v>2</v>
      </c>
      <c r="F28">
        <v>11.63</v>
      </c>
      <c r="G28">
        <v>10.93</v>
      </c>
      <c r="I28">
        <v>22.560000000000002</v>
      </c>
      <c r="J28">
        <v>16.28</v>
      </c>
      <c r="K28">
        <v>4.9000000000000004</v>
      </c>
      <c r="M28">
        <v>4.3899999999999997</v>
      </c>
      <c r="N28">
        <v>1.81</v>
      </c>
      <c r="P28">
        <v>4.4000000000000004</v>
      </c>
      <c r="R28">
        <v>4.4000000000000004</v>
      </c>
      <c r="S28">
        <v>54.34</v>
      </c>
      <c r="T28">
        <v>49.94</v>
      </c>
      <c r="U28">
        <v>52.14</v>
      </c>
      <c r="V28">
        <v>118496.08</v>
      </c>
      <c r="X28">
        <v>118496.08</v>
      </c>
      <c r="Y28">
        <v>500.91307616222184</v>
      </c>
      <c r="Z28">
        <v>118996.99307616222</v>
      </c>
      <c r="AA28">
        <v>0</v>
      </c>
      <c r="AB28">
        <v>118996.99307616222</v>
      </c>
      <c r="AC28">
        <v>3569.9109792284871</v>
      </c>
      <c r="AD28">
        <v>122566.90405539071</v>
      </c>
      <c r="AE28">
        <v>1.1818671255896334</v>
      </c>
      <c r="AF28">
        <v>122568.0859225163</v>
      </c>
      <c r="AG28">
        <v>0</v>
      </c>
      <c r="AH28">
        <v>122568.0859225163</v>
      </c>
      <c r="AI28">
        <v>0</v>
      </c>
      <c r="AJ28">
        <v>122568.0859225163</v>
      </c>
      <c r="AK28">
        <v>1225.5849635596533</v>
      </c>
      <c r="AL28">
        <v>123793.67088607595</v>
      </c>
      <c r="AM28">
        <v>123793.67088607595</v>
      </c>
      <c r="AN28">
        <v>6454602</v>
      </c>
      <c r="AQ28">
        <v>0</v>
      </c>
      <c r="AR28">
        <v>123793.67088607595</v>
      </c>
      <c r="AS28">
        <v>6454602</v>
      </c>
      <c r="AT28" s="238" t="s">
        <v>36</v>
      </c>
      <c r="AV28">
        <v>123793.67088607595</v>
      </c>
      <c r="AW28">
        <v>0</v>
      </c>
      <c r="AX28">
        <v>6454602</v>
      </c>
      <c r="AY28" s="238"/>
      <c r="AZ28" s="238" t="s">
        <v>3</v>
      </c>
      <c r="BA28" s="238" t="s">
        <v>3</v>
      </c>
      <c r="BB28" s="238" t="s">
        <v>8951</v>
      </c>
      <c r="BC28" s="238" t="s">
        <v>1167</v>
      </c>
      <c r="BD28" t="b">
        <v>1</v>
      </c>
      <c r="BE28" s="238" t="s">
        <v>9088</v>
      </c>
      <c r="BF28" s="238" t="s">
        <v>8971</v>
      </c>
      <c r="BG28">
        <v>6454602</v>
      </c>
      <c r="BH28">
        <v>6454602</v>
      </c>
      <c r="BI28">
        <v>0</v>
      </c>
      <c r="BJ28">
        <v>0</v>
      </c>
      <c r="BK28">
        <v>0</v>
      </c>
    </row>
    <row r="29" spans="1:63" x14ac:dyDescent="0.25">
      <c r="A29">
        <v>28</v>
      </c>
      <c r="B29">
        <v>1</v>
      </c>
      <c r="C29">
        <v>4</v>
      </c>
      <c r="D29">
        <v>7</v>
      </c>
      <c r="E29">
        <v>2</v>
      </c>
      <c r="F29">
        <v>10.86</v>
      </c>
      <c r="G29">
        <v>14.01</v>
      </c>
      <c r="I29">
        <v>24.869999999999997</v>
      </c>
      <c r="J29">
        <v>19.21</v>
      </c>
      <c r="K29">
        <v>3.96</v>
      </c>
      <c r="M29">
        <v>3.24</v>
      </c>
      <c r="N29">
        <v>3.83</v>
      </c>
      <c r="O29">
        <v>4.6399999999999997</v>
      </c>
      <c r="P29">
        <v>3.91</v>
      </c>
      <c r="R29">
        <v>3.91</v>
      </c>
      <c r="S29">
        <v>63.66</v>
      </c>
      <c r="T29">
        <v>59.75</v>
      </c>
      <c r="U29">
        <v>61.71</v>
      </c>
      <c r="V29">
        <v>119603.52</v>
      </c>
      <c r="X29">
        <v>119603.52</v>
      </c>
      <c r="Y29">
        <v>0.20565622353751678</v>
      </c>
      <c r="Z29">
        <v>119603.72565622354</v>
      </c>
      <c r="AA29">
        <v>0</v>
      </c>
      <c r="AB29">
        <v>119603.72565622354</v>
      </c>
      <c r="AC29">
        <v>3588.3996613039781</v>
      </c>
      <c r="AD29">
        <v>123192.12531752752</v>
      </c>
      <c r="AE29">
        <v>0.22600316604075488</v>
      </c>
      <c r="AF29">
        <v>123192.35132069356</v>
      </c>
      <c r="AG29">
        <v>0</v>
      </c>
      <c r="AH29">
        <v>123192.35132069356</v>
      </c>
      <c r="AI29">
        <v>0</v>
      </c>
      <c r="AJ29">
        <v>123192.35132069356</v>
      </c>
      <c r="AK29">
        <v>1231.5670069680782</v>
      </c>
      <c r="AL29">
        <v>124423.91832766164</v>
      </c>
      <c r="AM29">
        <v>124423.91832766164</v>
      </c>
      <c r="AN29">
        <v>7678200</v>
      </c>
      <c r="AQ29">
        <v>0</v>
      </c>
      <c r="AR29">
        <v>124423.91832766164</v>
      </c>
      <c r="AS29">
        <v>7678200</v>
      </c>
      <c r="AT29" s="238" t="s">
        <v>36</v>
      </c>
      <c r="AV29">
        <v>124423.91832766164</v>
      </c>
      <c r="AW29">
        <v>0</v>
      </c>
      <c r="AX29">
        <v>7678200</v>
      </c>
      <c r="AY29" s="238"/>
      <c r="AZ29" s="238" t="s">
        <v>3</v>
      </c>
      <c r="BA29" s="238" t="s">
        <v>3</v>
      </c>
      <c r="BB29" s="238" t="s">
        <v>8951</v>
      </c>
      <c r="BC29" s="238" t="s">
        <v>1167</v>
      </c>
      <c r="BD29" t="b">
        <v>1</v>
      </c>
      <c r="BE29" s="238" t="s">
        <v>9088</v>
      </c>
      <c r="BF29" s="238" t="s">
        <v>8971</v>
      </c>
      <c r="BG29">
        <v>7678200</v>
      </c>
      <c r="BH29">
        <v>7678200</v>
      </c>
      <c r="BI29">
        <v>0</v>
      </c>
      <c r="BJ29">
        <v>0</v>
      </c>
      <c r="BK29">
        <v>0</v>
      </c>
    </row>
    <row r="30" spans="1:63" x14ac:dyDescent="0.25">
      <c r="A30">
        <v>29</v>
      </c>
      <c r="B30">
        <v>1</v>
      </c>
      <c r="C30">
        <v>4</v>
      </c>
      <c r="D30">
        <v>8</v>
      </c>
      <c r="E30">
        <v>1</v>
      </c>
      <c r="F30">
        <v>14.95</v>
      </c>
      <c r="I30">
        <v>14.95</v>
      </c>
      <c r="J30">
        <v>17.670000000000002</v>
      </c>
      <c r="K30">
        <v>5.16</v>
      </c>
      <c r="M30">
        <v>4</v>
      </c>
      <c r="P30">
        <v>3.36</v>
      </c>
      <c r="R30">
        <v>3.36</v>
      </c>
      <c r="S30">
        <v>45.14</v>
      </c>
      <c r="T30">
        <v>41.78</v>
      </c>
      <c r="U30">
        <v>43.46</v>
      </c>
      <c r="V30">
        <v>120353.44</v>
      </c>
      <c r="X30">
        <v>120353.44</v>
      </c>
      <c r="Y30">
        <v>1.3595139732642565</v>
      </c>
      <c r="Z30">
        <v>120354.79951397327</v>
      </c>
      <c r="AA30">
        <v>500.19441069259483</v>
      </c>
      <c r="AB30">
        <v>120854.99392466586</v>
      </c>
      <c r="AC30">
        <v>3625.6622114216298</v>
      </c>
      <c r="AD30">
        <v>124480.65613608749</v>
      </c>
      <c r="AE30">
        <v>1.6264225871564122</v>
      </c>
      <c r="AF30">
        <v>124482.28255867465</v>
      </c>
      <c r="AG30">
        <v>0</v>
      </c>
      <c r="AH30">
        <v>124482.28255867465</v>
      </c>
      <c r="AI30">
        <v>0</v>
      </c>
      <c r="AJ30">
        <v>124482.28255867465</v>
      </c>
      <c r="AK30">
        <v>0</v>
      </c>
      <c r="AL30">
        <v>124482.28255867463</v>
      </c>
      <c r="AM30">
        <v>124482.28255867465</v>
      </c>
      <c r="AN30">
        <v>5410000</v>
      </c>
      <c r="AQ30">
        <v>0</v>
      </c>
      <c r="AR30">
        <v>124482.28255867465</v>
      </c>
      <c r="AS30">
        <v>5410000</v>
      </c>
      <c r="AT30" s="238" t="s">
        <v>36</v>
      </c>
      <c r="AV30">
        <v>124482.28255867465</v>
      </c>
      <c r="AW30">
        <v>0</v>
      </c>
      <c r="AX30">
        <v>5410000</v>
      </c>
      <c r="AY30" s="238"/>
      <c r="AZ30" s="238" t="s">
        <v>3</v>
      </c>
      <c r="BA30" s="238" t="s">
        <v>3</v>
      </c>
      <c r="BB30" s="238" t="s">
        <v>8951</v>
      </c>
      <c r="BC30" s="238" t="s">
        <v>1167</v>
      </c>
      <c r="BD30" t="b">
        <v>1</v>
      </c>
      <c r="BE30" s="238" t="s">
        <v>9088</v>
      </c>
      <c r="BF30" s="238" t="s">
        <v>8972</v>
      </c>
      <c r="BG30">
        <v>5410000</v>
      </c>
      <c r="BH30">
        <v>5410000</v>
      </c>
      <c r="BI30">
        <v>0</v>
      </c>
      <c r="BJ30">
        <v>0</v>
      </c>
      <c r="BK30">
        <v>0</v>
      </c>
    </row>
    <row r="31" spans="1:63" x14ac:dyDescent="0.25">
      <c r="A31">
        <v>30</v>
      </c>
      <c r="B31">
        <v>1</v>
      </c>
      <c r="C31">
        <v>5</v>
      </c>
      <c r="D31">
        <v>1</v>
      </c>
      <c r="E31">
        <v>1</v>
      </c>
      <c r="F31">
        <v>14.95</v>
      </c>
      <c r="I31">
        <v>14.95</v>
      </c>
      <c r="J31">
        <v>16.68</v>
      </c>
      <c r="K31">
        <v>5.19</v>
      </c>
      <c r="M31">
        <v>3.96</v>
      </c>
      <c r="P31">
        <v>3.36</v>
      </c>
      <c r="R31">
        <v>3.36</v>
      </c>
      <c r="S31">
        <v>44.14</v>
      </c>
      <c r="T31">
        <v>40.78</v>
      </c>
      <c r="U31">
        <v>42.46</v>
      </c>
      <c r="V31">
        <v>119184.96000000001</v>
      </c>
      <c r="X31">
        <v>119184.96000000001</v>
      </c>
      <c r="Y31">
        <v>1.9332038834836567</v>
      </c>
      <c r="Z31">
        <v>119186.89320388349</v>
      </c>
      <c r="AA31">
        <v>0</v>
      </c>
      <c r="AB31">
        <v>119186.89320388349</v>
      </c>
      <c r="AC31">
        <v>3575.7281553398061</v>
      </c>
      <c r="AD31">
        <v>122762.6213592233</v>
      </c>
      <c r="AE31">
        <v>2.3338927785807755</v>
      </c>
      <c r="AF31">
        <v>122764.95525200188</v>
      </c>
      <c r="AG31">
        <v>0</v>
      </c>
      <c r="AH31">
        <v>122764.95525200188</v>
      </c>
      <c r="AI31">
        <v>0</v>
      </c>
      <c r="AJ31">
        <v>122764.95525200188</v>
      </c>
      <c r="AK31">
        <v>0</v>
      </c>
      <c r="AL31">
        <v>122764.95525200188</v>
      </c>
      <c r="AM31">
        <v>122764.95525200188</v>
      </c>
      <c r="AN31">
        <v>5212600</v>
      </c>
      <c r="AQ31">
        <v>0</v>
      </c>
      <c r="AR31">
        <v>122764.95525200188</v>
      </c>
      <c r="AS31">
        <v>5212600</v>
      </c>
      <c r="AT31" s="238" t="s">
        <v>36</v>
      </c>
      <c r="AV31">
        <v>122764.95525200188</v>
      </c>
      <c r="AW31">
        <v>0</v>
      </c>
      <c r="AX31">
        <v>5212600</v>
      </c>
      <c r="AY31" s="238"/>
      <c r="AZ31" s="238" t="s">
        <v>3</v>
      </c>
      <c r="BA31" s="238" t="s">
        <v>3</v>
      </c>
      <c r="BB31" s="238" t="s">
        <v>8951</v>
      </c>
      <c r="BC31" s="238" t="s">
        <v>1167</v>
      </c>
      <c r="BD31" t="b">
        <v>1</v>
      </c>
      <c r="BE31" s="238" t="s">
        <v>9088</v>
      </c>
      <c r="BF31" s="238" t="s">
        <v>8972</v>
      </c>
      <c r="BG31">
        <v>5212600</v>
      </c>
      <c r="BH31">
        <v>5212600</v>
      </c>
      <c r="BI31">
        <v>0</v>
      </c>
      <c r="BJ31">
        <v>0</v>
      </c>
      <c r="BK31">
        <v>0</v>
      </c>
    </row>
    <row r="32" spans="1:63" x14ac:dyDescent="0.25">
      <c r="A32">
        <v>31</v>
      </c>
      <c r="B32">
        <v>1</v>
      </c>
      <c r="C32">
        <v>5</v>
      </c>
      <c r="D32">
        <v>2</v>
      </c>
      <c r="E32">
        <v>3</v>
      </c>
      <c r="F32">
        <v>18.46</v>
      </c>
      <c r="G32">
        <v>10.53</v>
      </c>
      <c r="H32">
        <v>9.9700000000000006</v>
      </c>
      <c r="I32">
        <v>38.96</v>
      </c>
      <c r="J32">
        <v>17.02</v>
      </c>
      <c r="K32">
        <v>4.72</v>
      </c>
      <c r="L32">
        <v>3.58</v>
      </c>
      <c r="M32">
        <v>4.18</v>
      </c>
      <c r="N32">
        <v>6.27</v>
      </c>
      <c r="P32">
        <v>3.04</v>
      </c>
      <c r="Q32">
        <v>3.41</v>
      </c>
      <c r="R32">
        <v>6.45</v>
      </c>
      <c r="S32">
        <v>81.180000000000007</v>
      </c>
      <c r="T32">
        <v>74.73</v>
      </c>
      <c r="U32">
        <v>77.959999999999994</v>
      </c>
      <c r="V32">
        <v>105198.08</v>
      </c>
      <c r="X32">
        <v>105198.08</v>
      </c>
      <c r="Y32">
        <v>0.85546240850817412</v>
      </c>
      <c r="Z32">
        <v>105198.93546240851</v>
      </c>
      <c r="AA32">
        <v>500.06653359947086</v>
      </c>
      <c r="AB32">
        <v>105699.00199600798</v>
      </c>
      <c r="AC32">
        <v>3170.9647371922765</v>
      </c>
      <c r="AD32">
        <v>108869.96673320026</v>
      </c>
      <c r="AE32">
        <v>1.2492750090896152</v>
      </c>
      <c r="AF32">
        <v>108871.21600820935</v>
      </c>
      <c r="AG32">
        <v>0</v>
      </c>
      <c r="AH32">
        <v>108871.21600820935</v>
      </c>
      <c r="AI32">
        <v>0</v>
      </c>
      <c r="AJ32">
        <v>108871.21600820935</v>
      </c>
      <c r="AK32">
        <v>2188.3786557208805</v>
      </c>
      <c r="AL32">
        <v>111059.59466393024</v>
      </c>
      <c r="AM32">
        <v>111059.59466393023</v>
      </c>
      <c r="AN32">
        <v>8658206</v>
      </c>
      <c r="AQ32">
        <v>0</v>
      </c>
      <c r="AR32">
        <v>111059.59466393023</v>
      </c>
      <c r="AS32">
        <v>8658206</v>
      </c>
      <c r="AT32" s="238" t="s">
        <v>36</v>
      </c>
      <c r="AV32">
        <v>111059.59466393023</v>
      </c>
      <c r="AW32">
        <v>0</v>
      </c>
      <c r="AX32">
        <v>8658206</v>
      </c>
      <c r="AY32" s="238"/>
      <c r="AZ32" s="238" t="s">
        <v>3</v>
      </c>
      <c r="BA32" s="238" t="s">
        <v>3</v>
      </c>
      <c r="BB32" s="238" t="s">
        <v>8951</v>
      </c>
      <c r="BC32" s="238" t="s">
        <v>1167</v>
      </c>
      <c r="BD32" t="b">
        <v>1</v>
      </c>
      <c r="BE32" s="238" t="s">
        <v>9088</v>
      </c>
      <c r="BF32" s="238" t="s">
        <v>8990</v>
      </c>
      <c r="BG32">
        <v>8658206</v>
      </c>
      <c r="BH32">
        <v>8658206</v>
      </c>
      <c r="BI32">
        <v>0</v>
      </c>
      <c r="BJ32">
        <v>0</v>
      </c>
      <c r="BK32">
        <v>0</v>
      </c>
    </row>
    <row r="33" spans="1:63" x14ac:dyDescent="0.25">
      <c r="A33">
        <v>32</v>
      </c>
      <c r="B33">
        <v>1</v>
      </c>
      <c r="C33">
        <v>5</v>
      </c>
      <c r="D33">
        <v>3</v>
      </c>
      <c r="E33">
        <v>1</v>
      </c>
      <c r="F33">
        <v>12.41</v>
      </c>
      <c r="I33">
        <v>12.41</v>
      </c>
      <c r="J33">
        <v>14.95</v>
      </c>
      <c r="K33">
        <v>4.97</v>
      </c>
      <c r="M33">
        <v>3.88</v>
      </c>
      <c r="P33">
        <v>2.93</v>
      </c>
      <c r="R33">
        <v>2.93</v>
      </c>
      <c r="S33">
        <v>39.14</v>
      </c>
      <c r="T33">
        <v>36.21</v>
      </c>
      <c r="U33">
        <v>37.68</v>
      </c>
      <c r="V33">
        <v>120353.44</v>
      </c>
      <c r="X33">
        <v>120353.44</v>
      </c>
      <c r="Y33">
        <v>2.1155555555596948</v>
      </c>
      <c r="Z33">
        <v>120355.55555555556</v>
      </c>
      <c r="AA33">
        <v>0</v>
      </c>
      <c r="AB33">
        <v>120355.55555555556</v>
      </c>
      <c r="AC33">
        <v>3611.1111111111095</v>
      </c>
      <c r="AD33">
        <v>123966.66666666667</v>
      </c>
      <c r="AE33">
        <v>0.95541401272930671</v>
      </c>
      <c r="AF33">
        <v>123967.6220806794</v>
      </c>
      <c r="AG33">
        <v>0</v>
      </c>
      <c r="AH33">
        <v>123967.6220806794</v>
      </c>
      <c r="AI33">
        <v>500.37154989385454</v>
      </c>
      <c r="AJ33">
        <v>124467.99363057326</v>
      </c>
      <c r="AK33">
        <v>0</v>
      </c>
      <c r="AL33">
        <v>124467.99363057326</v>
      </c>
      <c r="AM33">
        <v>124467.99363057326</v>
      </c>
      <c r="AN33">
        <v>4689954</v>
      </c>
      <c r="AQ33">
        <v>0</v>
      </c>
      <c r="AR33">
        <v>124467.99363057326</v>
      </c>
      <c r="AS33">
        <v>4689954</v>
      </c>
      <c r="AT33" s="238" t="s">
        <v>36</v>
      </c>
      <c r="AV33">
        <v>124467.99363057326</v>
      </c>
      <c r="AW33">
        <v>0</v>
      </c>
      <c r="AX33">
        <v>4689954</v>
      </c>
      <c r="AY33" s="238"/>
      <c r="AZ33" s="238" t="s">
        <v>3</v>
      </c>
      <c r="BA33" s="238" t="s">
        <v>3</v>
      </c>
      <c r="BB33" s="238" t="s">
        <v>8951</v>
      </c>
      <c r="BC33" s="238" t="s">
        <v>1167</v>
      </c>
      <c r="BD33" t="b">
        <v>1</v>
      </c>
      <c r="BE33" s="238" t="s">
        <v>9088</v>
      </c>
      <c r="BF33" s="238" t="s">
        <v>8972</v>
      </c>
      <c r="BG33">
        <v>4689954</v>
      </c>
      <c r="BH33">
        <v>4689954</v>
      </c>
      <c r="BI33">
        <v>0</v>
      </c>
      <c r="BJ33">
        <v>0</v>
      </c>
      <c r="BK33">
        <v>0</v>
      </c>
    </row>
    <row r="34" spans="1:63" x14ac:dyDescent="0.25">
      <c r="A34">
        <v>33</v>
      </c>
      <c r="B34">
        <v>1</v>
      </c>
      <c r="C34">
        <v>5</v>
      </c>
      <c r="D34">
        <v>4</v>
      </c>
      <c r="E34">
        <v>1</v>
      </c>
      <c r="F34">
        <v>12.41</v>
      </c>
      <c r="I34">
        <v>12.41</v>
      </c>
      <c r="J34">
        <v>14.8</v>
      </c>
      <c r="K34">
        <v>4.97</v>
      </c>
      <c r="M34">
        <v>3.88</v>
      </c>
      <c r="P34">
        <v>3.11</v>
      </c>
      <c r="R34">
        <v>3.11</v>
      </c>
      <c r="S34">
        <v>39.17</v>
      </c>
      <c r="T34">
        <v>36.06</v>
      </c>
      <c r="U34">
        <v>37.619999999999997</v>
      </c>
      <c r="V34">
        <v>120353.44</v>
      </c>
      <c r="X34">
        <v>120353.44</v>
      </c>
      <c r="Y34">
        <v>2.6100695410132175</v>
      </c>
      <c r="Z34">
        <v>120356.05006954102</v>
      </c>
      <c r="AA34">
        <v>0</v>
      </c>
      <c r="AB34">
        <v>120356.05006954102</v>
      </c>
      <c r="AC34">
        <v>3610.6258692628762</v>
      </c>
      <c r="AD34">
        <v>123966.67593880389</v>
      </c>
      <c r="AE34">
        <v>1.9577666719269473</v>
      </c>
      <c r="AF34">
        <v>123968.63370547582</v>
      </c>
      <c r="AG34">
        <v>500.37214247741213</v>
      </c>
      <c r="AH34">
        <v>124469.00584795323</v>
      </c>
      <c r="AI34">
        <v>0</v>
      </c>
      <c r="AJ34">
        <v>124469.00584795323</v>
      </c>
      <c r="AK34">
        <v>0</v>
      </c>
      <c r="AL34">
        <v>124469.00584795325</v>
      </c>
      <c r="AM34">
        <v>124469.00584795323</v>
      </c>
      <c r="AN34">
        <v>4682524</v>
      </c>
      <c r="AQ34">
        <v>0</v>
      </c>
      <c r="AR34">
        <v>124469.00584795323</v>
      </c>
      <c r="AS34">
        <v>4682524</v>
      </c>
      <c r="AT34" s="238" t="s">
        <v>36</v>
      </c>
      <c r="AV34">
        <v>124469.00584795323</v>
      </c>
      <c r="AW34">
        <v>0</v>
      </c>
      <c r="AX34">
        <v>4682524</v>
      </c>
      <c r="AY34" s="238"/>
      <c r="AZ34" s="238" t="s">
        <v>3</v>
      </c>
      <c r="BA34" s="238" t="s">
        <v>3</v>
      </c>
      <c r="BB34" s="238" t="s">
        <v>8951</v>
      </c>
      <c r="BC34" s="238" t="s">
        <v>1167</v>
      </c>
      <c r="BD34" t="b">
        <v>1</v>
      </c>
      <c r="BE34" s="238" t="s">
        <v>9088</v>
      </c>
      <c r="BF34" s="238" t="s">
        <v>8972</v>
      </c>
      <c r="BG34">
        <v>4682524</v>
      </c>
      <c r="BH34">
        <v>4682524</v>
      </c>
      <c r="BI34">
        <v>0</v>
      </c>
      <c r="BJ34">
        <v>0</v>
      </c>
      <c r="BK34">
        <v>0</v>
      </c>
    </row>
    <row r="35" spans="1:63" x14ac:dyDescent="0.25">
      <c r="A35">
        <v>34</v>
      </c>
      <c r="B35">
        <v>1</v>
      </c>
      <c r="C35">
        <v>5</v>
      </c>
      <c r="D35">
        <v>5</v>
      </c>
      <c r="E35">
        <v>2</v>
      </c>
      <c r="F35">
        <v>14.66</v>
      </c>
      <c r="G35">
        <v>10.58</v>
      </c>
      <c r="I35">
        <v>25.240000000000002</v>
      </c>
      <c r="J35">
        <v>17.63</v>
      </c>
      <c r="K35">
        <v>4.37</v>
      </c>
      <c r="L35">
        <v>3.38</v>
      </c>
      <c r="M35">
        <v>3.48</v>
      </c>
      <c r="N35">
        <v>3.77</v>
      </c>
      <c r="P35">
        <v>3.11</v>
      </c>
      <c r="R35">
        <v>3.11</v>
      </c>
      <c r="S35">
        <v>60.98</v>
      </c>
      <c r="T35">
        <v>57.87</v>
      </c>
      <c r="U35">
        <v>59.43</v>
      </c>
      <c r="V35">
        <v>118496.08</v>
      </c>
      <c r="X35">
        <v>118496.08</v>
      </c>
      <c r="Y35">
        <v>0.86856146468198858</v>
      </c>
      <c r="Z35">
        <v>118496.94856146468</v>
      </c>
      <c r="AA35">
        <v>0</v>
      </c>
      <c r="AB35">
        <v>118496.94856146468</v>
      </c>
      <c r="AC35">
        <v>3554.9607672188286</v>
      </c>
      <c r="AD35">
        <v>122051.90932868351</v>
      </c>
      <c r="AE35">
        <v>0.92593969946028665</v>
      </c>
      <c r="AF35">
        <v>122052.83526838297</v>
      </c>
      <c r="AG35">
        <v>0</v>
      </c>
      <c r="AH35">
        <v>122052.83526838297</v>
      </c>
      <c r="AI35">
        <v>0</v>
      </c>
      <c r="AJ35">
        <v>122052.83526838297</v>
      </c>
      <c r="AK35">
        <v>1220.6966178697619</v>
      </c>
      <c r="AL35">
        <v>123273.53188625272</v>
      </c>
      <c r="AM35">
        <v>123273.53188625273</v>
      </c>
      <c r="AN35">
        <v>7326146</v>
      </c>
      <c r="AQ35">
        <v>0</v>
      </c>
      <c r="AR35">
        <v>123273.53188625273</v>
      </c>
      <c r="AS35">
        <v>7326146</v>
      </c>
      <c r="AT35" s="238" t="s">
        <v>36</v>
      </c>
      <c r="AV35">
        <v>123273.53188625273</v>
      </c>
      <c r="AW35">
        <v>0</v>
      </c>
      <c r="AX35">
        <v>7326146</v>
      </c>
      <c r="AY35" s="238"/>
      <c r="AZ35" s="238" t="s">
        <v>3</v>
      </c>
      <c r="BA35" s="238" t="s">
        <v>3</v>
      </c>
      <c r="BB35" s="238" t="s">
        <v>8951</v>
      </c>
      <c r="BC35" s="238" t="s">
        <v>1167</v>
      </c>
      <c r="BD35" t="b">
        <v>1</v>
      </c>
      <c r="BE35" s="238" t="s">
        <v>9088</v>
      </c>
      <c r="BF35" s="238" t="s">
        <v>8971</v>
      </c>
      <c r="BG35">
        <v>7326146</v>
      </c>
      <c r="BH35">
        <v>7326146</v>
      </c>
      <c r="BI35">
        <v>0</v>
      </c>
      <c r="BJ35">
        <v>0</v>
      </c>
      <c r="BK35">
        <v>0</v>
      </c>
    </row>
    <row r="36" spans="1:63" x14ac:dyDescent="0.25">
      <c r="A36">
        <v>35</v>
      </c>
      <c r="B36">
        <v>1</v>
      </c>
      <c r="C36">
        <v>5</v>
      </c>
      <c r="D36">
        <v>6</v>
      </c>
      <c r="E36">
        <v>2</v>
      </c>
      <c r="F36">
        <v>11.63</v>
      </c>
      <c r="G36">
        <v>10.93</v>
      </c>
      <c r="I36">
        <v>22.560000000000002</v>
      </c>
      <c r="J36">
        <v>16.28</v>
      </c>
      <c r="K36">
        <v>4.9000000000000004</v>
      </c>
      <c r="M36">
        <v>4.3899999999999997</v>
      </c>
      <c r="N36">
        <v>1.81</v>
      </c>
      <c r="P36">
        <v>4.4000000000000004</v>
      </c>
      <c r="R36">
        <v>4.4000000000000004</v>
      </c>
      <c r="S36">
        <v>54.34</v>
      </c>
      <c r="T36">
        <v>49.94</v>
      </c>
      <c r="U36">
        <v>52.14</v>
      </c>
      <c r="V36">
        <v>116281.2</v>
      </c>
      <c r="X36">
        <v>116281.2</v>
      </c>
      <c r="Y36">
        <v>501.80692383779387</v>
      </c>
      <c r="Z36">
        <v>116783.00692383779</v>
      </c>
      <c r="AA36">
        <v>0</v>
      </c>
      <c r="AB36">
        <v>116783.00692383779</v>
      </c>
      <c r="AC36">
        <v>3503.4817012858548</v>
      </c>
      <c r="AD36">
        <v>120286.48862512365</v>
      </c>
      <c r="AE36">
        <v>1.198371424106881</v>
      </c>
      <c r="AF36">
        <v>120287.68699654775</v>
      </c>
      <c r="AG36">
        <v>0</v>
      </c>
      <c r="AH36">
        <v>120287.68699654775</v>
      </c>
      <c r="AI36">
        <v>0</v>
      </c>
      <c r="AJ36">
        <v>120287.68699654775</v>
      </c>
      <c r="AK36">
        <v>1203.1837360951322</v>
      </c>
      <c r="AL36">
        <v>121490.87073264288</v>
      </c>
      <c r="AM36">
        <v>121490.87073264288</v>
      </c>
      <c r="AN36">
        <v>6334534</v>
      </c>
      <c r="AQ36">
        <v>0</v>
      </c>
      <c r="AR36">
        <v>121490.87073264288</v>
      </c>
      <c r="AS36">
        <v>6334534</v>
      </c>
      <c r="AT36" s="238" t="s">
        <v>36</v>
      </c>
      <c r="AV36">
        <v>121490.87073264288</v>
      </c>
      <c r="AW36">
        <v>0</v>
      </c>
      <c r="AX36">
        <v>6334534</v>
      </c>
      <c r="AY36" s="238"/>
      <c r="AZ36" s="238" t="s">
        <v>8963</v>
      </c>
      <c r="BA36" s="238" t="s">
        <v>8963</v>
      </c>
      <c r="BB36" s="238" t="s">
        <v>8953</v>
      </c>
      <c r="BC36" s="238" t="s">
        <v>8964</v>
      </c>
      <c r="BD36" t="b">
        <v>1</v>
      </c>
      <c r="BE36" s="238" t="s">
        <v>9088</v>
      </c>
      <c r="BF36" s="238" t="s">
        <v>8971</v>
      </c>
      <c r="BG36">
        <v>6334534</v>
      </c>
      <c r="BH36">
        <v>6334534</v>
      </c>
      <c r="BI36">
        <v>6334534</v>
      </c>
      <c r="BJ36">
        <v>0</v>
      </c>
      <c r="BK36">
        <v>0</v>
      </c>
    </row>
    <row r="37" spans="1:63" x14ac:dyDescent="0.25">
      <c r="A37">
        <v>36</v>
      </c>
      <c r="B37">
        <v>1</v>
      </c>
      <c r="C37">
        <v>5</v>
      </c>
      <c r="D37">
        <v>7</v>
      </c>
      <c r="E37">
        <v>2</v>
      </c>
      <c r="F37">
        <v>10.86</v>
      </c>
      <c r="G37">
        <v>14.01</v>
      </c>
      <c r="I37">
        <v>24.869999999999997</v>
      </c>
      <c r="J37">
        <v>19.21</v>
      </c>
      <c r="K37">
        <v>3.96</v>
      </c>
      <c r="M37">
        <v>3.24</v>
      </c>
      <c r="N37">
        <v>3.83</v>
      </c>
      <c r="O37">
        <v>4.6399999999999997</v>
      </c>
      <c r="P37">
        <v>3.91</v>
      </c>
      <c r="R37">
        <v>3.91</v>
      </c>
      <c r="S37">
        <v>63.66</v>
      </c>
      <c r="T37">
        <v>59.75</v>
      </c>
      <c r="U37">
        <v>61.71</v>
      </c>
      <c r="V37">
        <v>117388.64</v>
      </c>
      <c r="X37">
        <v>117388.64</v>
      </c>
      <c r="Y37">
        <v>1.3683319222764112E-2</v>
      </c>
      <c r="Z37">
        <v>117388.65368331922</v>
      </c>
      <c r="AA37">
        <v>0</v>
      </c>
      <c r="AB37">
        <v>117388.65368331922</v>
      </c>
      <c r="AC37">
        <v>3522.0152413209144</v>
      </c>
      <c r="AD37">
        <v>120910.66892464014</v>
      </c>
      <c r="AE37">
        <v>4.2467354680411518E-2</v>
      </c>
      <c r="AF37">
        <v>120910.71139199482</v>
      </c>
      <c r="AG37">
        <v>0</v>
      </c>
      <c r="AH37">
        <v>120910.71139199482</v>
      </c>
      <c r="AI37">
        <v>0</v>
      </c>
      <c r="AJ37">
        <v>120910.71139199482</v>
      </c>
      <c r="AK37">
        <v>1209.3988008426531</v>
      </c>
      <c r="AL37">
        <v>122120.11019283748</v>
      </c>
      <c r="AM37">
        <v>122120.11019283747</v>
      </c>
      <c r="AN37">
        <v>7536032</v>
      </c>
      <c r="AQ37">
        <v>0</v>
      </c>
      <c r="AR37">
        <v>122120.11019283747</v>
      </c>
      <c r="AS37">
        <v>7536032</v>
      </c>
      <c r="AT37" s="238" t="s">
        <v>36</v>
      </c>
      <c r="AV37">
        <v>122120.11019283747</v>
      </c>
      <c r="AW37">
        <v>0</v>
      </c>
      <c r="AX37">
        <v>7536032</v>
      </c>
      <c r="AY37" s="238"/>
      <c r="AZ37" s="238" t="s">
        <v>3</v>
      </c>
      <c r="BA37" s="238" t="s">
        <v>3</v>
      </c>
      <c r="BB37" s="238" t="s">
        <v>8951</v>
      </c>
      <c r="BC37" s="238" t="s">
        <v>1167</v>
      </c>
      <c r="BD37" t="b">
        <v>1</v>
      </c>
      <c r="BE37" s="238" t="s">
        <v>9088</v>
      </c>
      <c r="BF37" s="238" t="s">
        <v>8971</v>
      </c>
      <c r="BG37">
        <v>7536032</v>
      </c>
      <c r="BH37">
        <v>7536032</v>
      </c>
      <c r="BI37">
        <v>0</v>
      </c>
      <c r="BJ37">
        <v>0</v>
      </c>
      <c r="BK37">
        <v>0</v>
      </c>
    </row>
    <row r="38" spans="1:63" x14ac:dyDescent="0.25">
      <c r="A38">
        <v>37</v>
      </c>
      <c r="B38">
        <v>1</v>
      </c>
      <c r="C38">
        <v>5</v>
      </c>
      <c r="D38">
        <v>8</v>
      </c>
      <c r="E38">
        <v>1</v>
      </c>
      <c r="F38">
        <v>14.95</v>
      </c>
      <c r="I38">
        <v>14.95</v>
      </c>
      <c r="J38">
        <v>17.670000000000002</v>
      </c>
      <c r="K38">
        <v>5.16</v>
      </c>
      <c r="M38">
        <v>4</v>
      </c>
      <c r="P38">
        <v>3.36</v>
      </c>
      <c r="R38">
        <v>3.36</v>
      </c>
      <c r="S38">
        <v>45.14</v>
      </c>
      <c r="T38">
        <v>41.78</v>
      </c>
      <c r="U38">
        <v>43.46</v>
      </c>
      <c r="V38">
        <v>119184.96000000001</v>
      </c>
      <c r="X38">
        <v>119184.96000000001</v>
      </c>
      <c r="Y38">
        <v>0.9452247873559827</v>
      </c>
      <c r="Z38">
        <v>119185.90522478736</v>
      </c>
      <c r="AA38">
        <v>0</v>
      </c>
      <c r="AB38">
        <v>119185.90522478736</v>
      </c>
      <c r="AC38">
        <v>0</v>
      </c>
      <c r="AD38">
        <v>119185.90522478736</v>
      </c>
      <c r="AE38">
        <v>-6335.0078478890646</v>
      </c>
      <c r="AF38">
        <v>112850.8973768983</v>
      </c>
      <c r="AG38">
        <v>0</v>
      </c>
      <c r="AH38">
        <v>112850.8973768983</v>
      </c>
      <c r="AI38">
        <v>0</v>
      </c>
      <c r="AJ38">
        <v>112850.8973768983</v>
      </c>
      <c r="AK38">
        <v>0</v>
      </c>
      <c r="AL38">
        <v>112850.8973768983</v>
      </c>
      <c r="AM38">
        <v>112850.8973768983</v>
      </c>
      <c r="AN38">
        <v>4904500</v>
      </c>
      <c r="AQ38">
        <v>0</v>
      </c>
      <c r="AR38">
        <v>112850.8973768983</v>
      </c>
      <c r="AS38">
        <v>4904500</v>
      </c>
      <c r="AT38" s="238" t="s">
        <v>36</v>
      </c>
      <c r="AV38">
        <v>112850.8973768983</v>
      </c>
      <c r="AW38">
        <v>0</v>
      </c>
      <c r="AX38">
        <v>4904500</v>
      </c>
      <c r="AY38" s="238"/>
      <c r="AZ38" s="238" t="s">
        <v>8963</v>
      </c>
      <c r="BA38" s="238" t="s">
        <v>8963</v>
      </c>
      <c r="BB38" s="238" t="s">
        <v>8953</v>
      </c>
      <c r="BC38" s="238" t="s">
        <v>8964</v>
      </c>
      <c r="BD38" t="b">
        <v>1</v>
      </c>
      <c r="BE38" s="238" t="s">
        <v>9088</v>
      </c>
      <c r="BF38" s="238" t="s">
        <v>8972</v>
      </c>
      <c r="BG38">
        <v>4904500</v>
      </c>
      <c r="BH38">
        <v>5179900</v>
      </c>
      <c r="BI38">
        <v>4904500</v>
      </c>
      <c r="BJ38">
        <v>4904500</v>
      </c>
      <c r="BK38">
        <v>0</v>
      </c>
    </row>
    <row r="39" spans="1:63" x14ac:dyDescent="0.25">
      <c r="A39">
        <v>38</v>
      </c>
      <c r="B39">
        <v>1</v>
      </c>
      <c r="C39">
        <v>6</v>
      </c>
      <c r="D39">
        <v>1</v>
      </c>
      <c r="E39">
        <v>1</v>
      </c>
      <c r="F39">
        <v>14.95</v>
      </c>
      <c r="I39">
        <v>14.95</v>
      </c>
      <c r="J39">
        <v>16.68</v>
      </c>
      <c r="K39">
        <v>5.19</v>
      </c>
      <c r="M39">
        <v>3.96</v>
      </c>
      <c r="P39">
        <v>3.36</v>
      </c>
      <c r="R39">
        <v>3.36</v>
      </c>
      <c r="S39">
        <v>44.14</v>
      </c>
      <c r="T39">
        <v>40.78</v>
      </c>
      <c r="U39">
        <v>42.46</v>
      </c>
      <c r="V39">
        <v>119184.96000000001</v>
      </c>
      <c r="X39">
        <v>119184.96000000001</v>
      </c>
      <c r="Y39">
        <v>1.9332038834836567</v>
      </c>
      <c r="Z39">
        <v>119186.89320388349</v>
      </c>
      <c r="AA39">
        <v>0</v>
      </c>
      <c r="AB39">
        <v>119186.89320388349</v>
      </c>
      <c r="AC39">
        <v>3575.7281553398061</v>
      </c>
      <c r="AD39">
        <v>122762.6213592233</v>
      </c>
      <c r="AE39">
        <v>2.3338927785807755</v>
      </c>
      <c r="AF39">
        <v>122764.95525200188</v>
      </c>
      <c r="AG39">
        <v>0</v>
      </c>
      <c r="AH39">
        <v>122764.95525200188</v>
      </c>
      <c r="AI39">
        <v>0</v>
      </c>
      <c r="AJ39">
        <v>122764.95525200188</v>
      </c>
      <c r="AK39">
        <v>0</v>
      </c>
      <c r="AL39">
        <v>122764.95525200188</v>
      </c>
      <c r="AM39">
        <v>122764.95525200188</v>
      </c>
      <c r="AN39">
        <v>5212600</v>
      </c>
      <c r="AQ39">
        <v>0</v>
      </c>
      <c r="AR39">
        <v>122764.95525200188</v>
      </c>
      <c r="AS39">
        <v>5212600</v>
      </c>
      <c r="AT39" s="238" t="s">
        <v>36</v>
      </c>
      <c r="AV39">
        <v>122764.95525200188</v>
      </c>
      <c r="AW39">
        <v>0</v>
      </c>
      <c r="AX39">
        <v>5212600</v>
      </c>
      <c r="AY39" s="238"/>
      <c r="AZ39" s="238" t="s">
        <v>3</v>
      </c>
      <c r="BA39" s="238" t="s">
        <v>3</v>
      </c>
      <c r="BB39" s="238" t="s">
        <v>8951</v>
      </c>
      <c r="BC39" s="238" t="s">
        <v>1167</v>
      </c>
      <c r="BD39" t="b">
        <v>1</v>
      </c>
      <c r="BE39" s="238" t="s">
        <v>9088</v>
      </c>
      <c r="BF39" s="238" t="s">
        <v>8972</v>
      </c>
      <c r="BG39">
        <v>5212600</v>
      </c>
      <c r="BH39">
        <v>5212600</v>
      </c>
      <c r="BI39">
        <v>0</v>
      </c>
      <c r="BJ39">
        <v>0</v>
      </c>
      <c r="BK39">
        <v>0</v>
      </c>
    </row>
    <row r="40" spans="1:63" x14ac:dyDescent="0.25">
      <c r="A40">
        <v>39</v>
      </c>
      <c r="B40">
        <v>1</v>
      </c>
      <c r="C40">
        <v>6</v>
      </c>
      <c r="D40">
        <v>2</v>
      </c>
      <c r="E40">
        <v>3</v>
      </c>
      <c r="F40">
        <v>18.46</v>
      </c>
      <c r="G40">
        <v>10.53</v>
      </c>
      <c r="H40">
        <v>9.9700000000000006</v>
      </c>
      <c r="I40">
        <v>38.96</v>
      </c>
      <c r="J40">
        <v>17.02</v>
      </c>
      <c r="K40">
        <v>4.72</v>
      </c>
      <c r="L40">
        <v>3.58</v>
      </c>
      <c r="M40">
        <v>4.18</v>
      </c>
      <c r="N40">
        <v>6.27</v>
      </c>
      <c r="P40">
        <v>3.04</v>
      </c>
      <c r="Q40">
        <v>3.41</v>
      </c>
      <c r="R40">
        <v>6.45</v>
      </c>
      <c r="S40">
        <v>81.180000000000007</v>
      </c>
      <c r="T40">
        <v>74.73</v>
      </c>
      <c r="U40">
        <v>77.959999999999994</v>
      </c>
      <c r="V40">
        <v>105198.08</v>
      </c>
      <c r="X40">
        <v>105198.08</v>
      </c>
      <c r="Y40">
        <v>0.85546240850817412</v>
      </c>
      <c r="Z40">
        <v>105198.93546240851</v>
      </c>
      <c r="AA40">
        <v>500.06653359947086</v>
      </c>
      <c r="AB40">
        <v>105699.00199600798</v>
      </c>
      <c r="AC40">
        <v>3170.9647371922765</v>
      </c>
      <c r="AD40">
        <v>108869.96673320026</v>
      </c>
      <c r="AE40">
        <v>1.2492750090896152</v>
      </c>
      <c r="AF40">
        <v>108871.21600820935</v>
      </c>
      <c r="AG40">
        <v>0</v>
      </c>
      <c r="AH40">
        <v>108871.21600820935</v>
      </c>
      <c r="AI40">
        <v>0</v>
      </c>
      <c r="AJ40">
        <v>108871.21600820935</v>
      </c>
      <c r="AK40">
        <v>2188.3786557208805</v>
      </c>
      <c r="AL40">
        <v>111059.59466393024</v>
      </c>
      <c r="AM40">
        <v>111059.59466393023</v>
      </c>
      <c r="AN40">
        <v>8658206</v>
      </c>
      <c r="AQ40">
        <v>0</v>
      </c>
      <c r="AR40">
        <v>111059.59466393023</v>
      </c>
      <c r="AS40">
        <v>8658206</v>
      </c>
      <c r="AT40" s="238" t="s">
        <v>36</v>
      </c>
      <c r="AV40">
        <v>111059.59466393023</v>
      </c>
      <c r="AW40">
        <v>0</v>
      </c>
      <c r="AX40">
        <v>8658206</v>
      </c>
      <c r="AY40" s="238"/>
      <c r="AZ40" s="238" t="s">
        <v>3</v>
      </c>
      <c r="BA40" s="238" t="s">
        <v>3</v>
      </c>
      <c r="BB40" s="238" t="s">
        <v>8951</v>
      </c>
      <c r="BC40" s="238" t="s">
        <v>1167</v>
      </c>
      <c r="BD40" t="b">
        <v>1</v>
      </c>
      <c r="BE40" s="238" t="s">
        <v>9088</v>
      </c>
      <c r="BF40" s="238" t="s">
        <v>8990</v>
      </c>
      <c r="BG40">
        <v>8658206</v>
      </c>
      <c r="BH40">
        <v>8658206</v>
      </c>
      <c r="BI40">
        <v>0</v>
      </c>
      <c r="BJ40">
        <v>0</v>
      </c>
      <c r="BK40">
        <v>0</v>
      </c>
    </row>
    <row r="41" spans="1:63" x14ac:dyDescent="0.25">
      <c r="A41">
        <v>40</v>
      </c>
      <c r="B41">
        <v>1</v>
      </c>
      <c r="C41">
        <v>6</v>
      </c>
      <c r="D41">
        <v>3</v>
      </c>
      <c r="E41">
        <v>1</v>
      </c>
      <c r="F41">
        <v>12.41</v>
      </c>
      <c r="I41">
        <v>12.41</v>
      </c>
      <c r="J41">
        <v>14.95</v>
      </c>
      <c r="K41">
        <v>4.97</v>
      </c>
      <c r="M41">
        <v>3.88</v>
      </c>
      <c r="P41">
        <v>2.93</v>
      </c>
      <c r="R41">
        <v>2.93</v>
      </c>
      <c r="S41">
        <v>39.14</v>
      </c>
      <c r="T41">
        <v>36.21</v>
      </c>
      <c r="U41">
        <v>37.68</v>
      </c>
      <c r="V41">
        <v>120353.44</v>
      </c>
      <c r="X41">
        <v>120353.44</v>
      </c>
      <c r="Y41">
        <v>2.1155555555596948</v>
      </c>
      <c r="Z41">
        <v>120355.55555555556</v>
      </c>
      <c r="AA41">
        <v>0</v>
      </c>
      <c r="AB41">
        <v>120355.55555555556</v>
      </c>
      <c r="AC41">
        <v>3611.1111111111095</v>
      </c>
      <c r="AD41">
        <v>123966.66666666667</v>
      </c>
      <c r="AE41">
        <v>0.95541401272930671</v>
      </c>
      <c r="AF41">
        <v>123967.6220806794</v>
      </c>
      <c r="AG41">
        <v>0</v>
      </c>
      <c r="AH41">
        <v>123967.6220806794</v>
      </c>
      <c r="AI41">
        <v>500.37154989385454</v>
      </c>
      <c r="AJ41">
        <v>124467.99363057326</v>
      </c>
      <c r="AK41">
        <v>0</v>
      </c>
      <c r="AL41">
        <v>124467.99363057326</v>
      </c>
      <c r="AM41">
        <v>124467.99363057326</v>
      </c>
      <c r="AN41">
        <v>4689954</v>
      </c>
      <c r="AQ41">
        <v>0</v>
      </c>
      <c r="AR41">
        <v>124467.99363057326</v>
      </c>
      <c r="AS41">
        <v>4689954</v>
      </c>
      <c r="AT41" s="238" t="s">
        <v>36</v>
      </c>
      <c r="AV41">
        <v>124467.99363057326</v>
      </c>
      <c r="AW41">
        <v>0</v>
      </c>
      <c r="AX41">
        <v>4689954</v>
      </c>
      <c r="AY41" s="238"/>
      <c r="AZ41" s="238" t="s">
        <v>3</v>
      </c>
      <c r="BA41" s="238" t="s">
        <v>3</v>
      </c>
      <c r="BB41" s="238" t="s">
        <v>8951</v>
      </c>
      <c r="BC41" s="238" t="s">
        <v>1167</v>
      </c>
      <c r="BD41" t="b">
        <v>1</v>
      </c>
      <c r="BE41" s="238" t="s">
        <v>9088</v>
      </c>
      <c r="BF41" s="238" t="s">
        <v>8972</v>
      </c>
      <c r="BG41">
        <v>4689954</v>
      </c>
      <c r="BH41">
        <v>4689954</v>
      </c>
      <c r="BI41">
        <v>0</v>
      </c>
      <c r="BJ41">
        <v>0</v>
      </c>
      <c r="BK41">
        <v>0</v>
      </c>
    </row>
    <row r="42" spans="1:63" x14ac:dyDescent="0.25">
      <c r="A42">
        <v>41</v>
      </c>
      <c r="B42">
        <v>1</v>
      </c>
      <c r="C42">
        <v>6</v>
      </c>
      <c r="D42">
        <v>4</v>
      </c>
      <c r="E42">
        <v>1</v>
      </c>
      <c r="F42">
        <v>12.41</v>
      </c>
      <c r="I42">
        <v>12.41</v>
      </c>
      <c r="J42">
        <v>14.8</v>
      </c>
      <c r="K42">
        <v>4.97</v>
      </c>
      <c r="M42">
        <v>3.88</v>
      </c>
      <c r="P42">
        <v>3.11</v>
      </c>
      <c r="R42">
        <v>3.11</v>
      </c>
      <c r="S42">
        <v>39.17</v>
      </c>
      <c r="T42">
        <v>36.06</v>
      </c>
      <c r="U42">
        <v>37.619999999999997</v>
      </c>
      <c r="V42">
        <v>120353.44</v>
      </c>
      <c r="X42">
        <v>120353.44</v>
      </c>
      <c r="Y42">
        <v>2.6100695410132175</v>
      </c>
      <c r="Z42">
        <v>120356.05006954102</v>
      </c>
      <c r="AA42">
        <v>0</v>
      </c>
      <c r="AB42">
        <v>120356.05006954102</v>
      </c>
      <c r="AC42">
        <v>3610.6258692628762</v>
      </c>
      <c r="AD42">
        <v>123966.67593880389</v>
      </c>
      <c r="AE42">
        <v>1.9577666719269473</v>
      </c>
      <c r="AF42">
        <v>123968.63370547582</v>
      </c>
      <c r="AG42">
        <v>500.37214247741213</v>
      </c>
      <c r="AH42">
        <v>124469.00584795323</v>
      </c>
      <c r="AI42">
        <v>0</v>
      </c>
      <c r="AJ42">
        <v>124469.00584795323</v>
      </c>
      <c r="AK42">
        <v>0</v>
      </c>
      <c r="AL42">
        <v>124469.00584795325</v>
      </c>
      <c r="AM42">
        <v>124469.00584795323</v>
      </c>
      <c r="AN42">
        <v>4682524</v>
      </c>
      <c r="AQ42">
        <v>0</v>
      </c>
      <c r="AR42">
        <v>124469.00584795323</v>
      </c>
      <c r="AS42">
        <v>4682524</v>
      </c>
      <c r="AT42" s="238" t="s">
        <v>36</v>
      </c>
      <c r="AV42">
        <v>124469.00584795323</v>
      </c>
      <c r="AW42">
        <v>0</v>
      </c>
      <c r="AX42">
        <v>4682524</v>
      </c>
      <c r="AY42" s="238"/>
      <c r="AZ42" s="238" t="s">
        <v>3</v>
      </c>
      <c r="BA42" s="238" t="s">
        <v>3</v>
      </c>
      <c r="BB42" s="238" t="s">
        <v>8951</v>
      </c>
      <c r="BC42" s="238" t="s">
        <v>1167</v>
      </c>
      <c r="BD42" t="b">
        <v>1</v>
      </c>
      <c r="BE42" s="238" t="s">
        <v>9088</v>
      </c>
      <c r="BF42" s="238" t="s">
        <v>8972</v>
      </c>
      <c r="BG42">
        <v>4682524</v>
      </c>
      <c r="BH42">
        <v>4682524</v>
      </c>
      <c r="BI42">
        <v>0</v>
      </c>
      <c r="BJ42">
        <v>0</v>
      </c>
      <c r="BK42">
        <v>0</v>
      </c>
    </row>
    <row r="43" spans="1:63" x14ac:dyDescent="0.25">
      <c r="A43">
        <v>42</v>
      </c>
      <c r="B43">
        <v>1</v>
      </c>
      <c r="C43">
        <v>6</v>
      </c>
      <c r="D43">
        <v>5</v>
      </c>
      <c r="E43">
        <v>2</v>
      </c>
      <c r="F43">
        <v>14.66</v>
      </c>
      <c r="G43">
        <v>10.58</v>
      </c>
      <c r="I43">
        <v>25.240000000000002</v>
      </c>
      <c r="J43">
        <v>17.63</v>
      </c>
      <c r="K43">
        <v>4.37</v>
      </c>
      <c r="L43">
        <v>3.38</v>
      </c>
      <c r="M43">
        <v>3.48</v>
      </c>
      <c r="N43">
        <v>3.77</v>
      </c>
      <c r="P43">
        <v>3.11</v>
      </c>
      <c r="R43">
        <v>3.11</v>
      </c>
      <c r="S43">
        <v>60.98</v>
      </c>
      <c r="T43">
        <v>57.87</v>
      </c>
      <c r="U43">
        <v>59.43</v>
      </c>
      <c r="V43">
        <v>118496.08</v>
      </c>
      <c r="X43">
        <v>118496.08</v>
      </c>
      <c r="Y43">
        <v>0.86856146468198858</v>
      </c>
      <c r="Z43">
        <v>118496.94856146468</v>
      </c>
      <c r="AA43">
        <v>0</v>
      </c>
      <c r="AB43">
        <v>118496.94856146468</v>
      </c>
      <c r="AC43">
        <v>3554.9607672188286</v>
      </c>
      <c r="AD43">
        <v>122051.90932868351</v>
      </c>
      <c r="AE43">
        <v>0.92593969946028665</v>
      </c>
      <c r="AF43">
        <v>122052.83526838297</v>
      </c>
      <c r="AG43">
        <v>0</v>
      </c>
      <c r="AH43">
        <v>122052.83526838297</v>
      </c>
      <c r="AI43">
        <v>0</v>
      </c>
      <c r="AJ43">
        <v>122052.83526838297</v>
      </c>
      <c r="AK43">
        <v>1220.6966178697619</v>
      </c>
      <c r="AL43">
        <v>123273.53188625272</v>
      </c>
      <c r="AM43">
        <v>123273.53188625273</v>
      </c>
      <c r="AN43">
        <v>7326146</v>
      </c>
      <c r="AQ43">
        <v>0</v>
      </c>
      <c r="AR43">
        <v>123273.53188625273</v>
      </c>
      <c r="AS43">
        <v>7326146</v>
      </c>
      <c r="AT43" s="238" t="s">
        <v>36</v>
      </c>
      <c r="AV43">
        <v>123273.53188625273</v>
      </c>
      <c r="AW43">
        <v>0</v>
      </c>
      <c r="AX43">
        <v>7326146</v>
      </c>
      <c r="AY43" s="238"/>
      <c r="AZ43" s="238" t="s">
        <v>3</v>
      </c>
      <c r="BA43" s="238" t="s">
        <v>3</v>
      </c>
      <c r="BB43" s="238" t="s">
        <v>8951</v>
      </c>
      <c r="BC43" s="238" t="s">
        <v>1167</v>
      </c>
      <c r="BD43" t="b">
        <v>1</v>
      </c>
      <c r="BE43" s="238" t="s">
        <v>9088</v>
      </c>
      <c r="BF43" s="238" t="s">
        <v>8971</v>
      </c>
      <c r="BG43">
        <v>7326146</v>
      </c>
      <c r="BH43">
        <v>7326146</v>
      </c>
      <c r="BI43">
        <v>0</v>
      </c>
      <c r="BJ43">
        <v>0</v>
      </c>
      <c r="BK43">
        <v>0</v>
      </c>
    </row>
    <row r="44" spans="1:63" x14ac:dyDescent="0.25">
      <c r="A44">
        <v>43</v>
      </c>
      <c r="B44">
        <v>1</v>
      </c>
      <c r="C44">
        <v>6</v>
      </c>
      <c r="D44">
        <v>6</v>
      </c>
      <c r="E44">
        <v>2</v>
      </c>
      <c r="F44">
        <v>11.63</v>
      </c>
      <c r="G44">
        <v>10.93</v>
      </c>
      <c r="I44">
        <v>22.560000000000002</v>
      </c>
      <c r="J44">
        <v>16.28</v>
      </c>
      <c r="K44">
        <v>4.9000000000000004</v>
      </c>
      <c r="M44">
        <v>4.3899999999999997</v>
      </c>
      <c r="N44">
        <v>1.81</v>
      </c>
      <c r="P44">
        <v>4.4000000000000004</v>
      </c>
      <c r="R44">
        <v>4.4000000000000004</v>
      </c>
      <c r="S44">
        <v>54.34</v>
      </c>
      <c r="T44">
        <v>49.94</v>
      </c>
      <c r="U44">
        <v>52.14</v>
      </c>
      <c r="V44">
        <v>116281.2</v>
      </c>
      <c r="X44">
        <v>116281.2</v>
      </c>
      <c r="Z44">
        <v>116783.00692383779</v>
      </c>
      <c r="AA44">
        <v>-500.11869436201232</v>
      </c>
      <c r="AB44">
        <v>116282.88822947578</v>
      </c>
      <c r="AC44">
        <v>0</v>
      </c>
      <c r="AD44">
        <v>116282.88822947578</v>
      </c>
      <c r="AE44">
        <v>-3546.025935651458</v>
      </c>
      <c r="AF44">
        <v>112736.86229382432</v>
      </c>
      <c r="AG44">
        <v>0</v>
      </c>
      <c r="AH44">
        <v>112736.86229382432</v>
      </c>
      <c r="AI44">
        <v>0</v>
      </c>
      <c r="AJ44">
        <v>112736.86229382432</v>
      </c>
      <c r="AK44">
        <v>0</v>
      </c>
      <c r="AL44">
        <v>112736.86229382432</v>
      </c>
      <c r="AM44">
        <v>112736.86229382432</v>
      </c>
      <c r="AN44">
        <v>5878100</v>
      </c>
      <c r="AP44">
        <v>0.02</v>
      </c>
      <c r="AQ44">
        <v>117562</v>
      </c>
      <c r="AR44">
        <v>110482.12504794783</v>
      </c>
      <c r="AS44">
        <v>5760538</v>
      </c>
      <c r="AT44" s="238" t="s">
        <v>36</v>
      </c>
      <c r="AV44">
        <v>110482.12504794783</v>
      </c>
      <c r="AW44">
        <v>0</v>
      </c>
      <c r="AX44">
        <v>5760538</v>
      </c>
      <c r="AY44" s="238" t="s">
        <v>3540</v>
      </c>
      <c r="AZ44" s="238" t="s">
        <v>8963</v>
      </c>
      <c r="BA44" s="238" t="s">
        <v>8963</v>
      </c>
      <c r="BB44" s="238" t="s">
        <v>8953</v>
      </c>
      <c r="BC44" s="238" t="s">
        <v>8964</v>
      </c>
      <c r="BD44" t="b">
        <v>1</v>
      </c>
      <c r="BE44" s="238" t="s">
        <v>9088</v>
      </c>
      <c r="BF44" s="238" t="s">
        <v>8971</v>
      </c>
      <c r="BG44">
        <v>5878100</v>
      </c>
      <c r="BH44">
        <v>6123626</v>
      </c>
      <c r="BI44">
        <v>5878100</v>
      </c>
      <c r="BJ44">
        <v>5878100</v>
      </c>
      <c r="BK44">
        <v>0</v>
      </c>
    </row>
    <row r="45" spans="1:63" x14ac:dyDescent="0.25">
      <c r="A45">
        <v>44</v>
      </c>
      <c r="B45">
        <v>1</v>
      </c>
      <c r="C45">
        <v>6</v>
      </c>
      <c r="D45">
        <v>7</v>
      </c>
      <c r="E45">
        <v>2</v>
      </c>
      <c r="F45">
        <v>10.86</v>
      </c>
      <c r="G45">
        <v>14.01</v>
      </c>
      <c r="I45">
        <v>24.869999999999997</v>
      </c>
      <c r="J45">
        <v>19.21</v>
      </c>
      <c r="K45">
        <v>3.96</v>
      </c>
      <c r="M45">
        <v>3.24</v>
      </c>
      <c r="N45">
        <v>3.83</v>
      </c>
      <c r="O45">
        <v>4.6399999999999997</v>
      </c>
      <c r="P45">
        <v>3.91</v>
      </c>
      <c r="R45">
        <v>3.91</v>
      </c>
      <c r="S45">
        <v>63.66</v>
      </c>
      <c r="T45">
        <v>59.75</v>
      </c>
      <c r="U45">
        <v>61.71</v>
      </c>
      <c r="V45">
        <v>117388.64</v>
      </c>
      <c r="X45">
        <v>117388.64</v>
      </c>
      <c r="Y45">
        <v>1.3683319222764112E-2</v>
      </c>
      <c r="Z45">
        <v>117388.65368331922</v>
      </c>
      <c r="AA45">
        <v>0</v>
      </c>
      <c r="AB45">
        <v>117388.65368331922</v>
      </c>
      <c r="AC45">
        <v>3522.0152413209144</v>
      </c>
      <c r="AD45">
        <v>120910.66892464014</v>
      </c>
      <c r="AE45">
        <v>4.2467354680411518E-2</v>
      </c>
      <c r="AF45">
        <v>120910.71139199482</v>
      </c>
      <c r="AG45">
        <v>0</v>
      </c>
      <c r="AH45">
        <v>120910.71139199482</v>
      </c>
      <c r="AI45">
        <v>0</v>
      </c>
      <c r="AJ45">
        <v>120910.71139199482</v>
      </c>
      <c r="AK45">
        <v>1209.3988008426531</v>
      </c>
      <c r="AL45">
        <v>122120.11019283748</v>
      </c>
      <c r="AM45">
        <v>122120.11019283747</v>
      </c>
      <c r="AN45">
        <v>7536032</v>
      </c>
      <c r="AQ45">
        <v>0</v>
      </c>
      <c r="AR45">
        <v>122120.11019283747</v>
      </c>
      <c r="AS45">
        <v>7536032</v>
      </c>
      <c r="AT45" s="238" t="s">
        <v>36</v>
      </c>
      <c r="AV45">
        <v>122120.11019283747</v>
      </c>
      <c r="AW45">
        <v>0</v>
      </c>
      <c r="AX45">
        <v>7536032</v>
      </c>
      <c r="AY45" s="238"/>
      <c r="AZ45" s="238" t="s">
        <v>3</v>
      </c>
      <c r="BA45" s="238" t="s">
        <v>3</v>
      </c>
      <c r="BB45" s="238" t="s">
        <v>8951</v>
      </c>
      <c r="BC45" s="238" t="s">
        <v>1167</v>
      </c>
      <c r="BD45" t="b">
        <v>1</v>
      </c>
      <c r="BE45" s="238" t="s">
        <v>9088</v>
      </c>
      <c r="BF45" s="238" t="s">
        <v>8971</v>
      </c>
      <c r="BG45">
        <v>7536032</v>
      </c>
      <c r="BH45">
        <v>7536032</v>
      </c>
      <c r="BI45">
        <v>0</v>
      </c>
      <c r="BJ45">
        <v>0</v>
      </c>
      <c r="BK45">
        <v>0</v>
      </c>
    </row>
    <row r="46" spans="1:63" x14ac:dyDescent="0.25">
      <c r="A46">
        <v>45</v>
      </c>
      <c r="B46">
        <v>1</v>
      </c>
      <c r="C46">
        <v>6</v>
      </c>
      <c r="D46">
        <v>8</v>
      </c>
      <c r="E46">
        <v>1</v>
      </c>
      <c r="F46">
        <v>14.95</v>
      </c>
      <c r="I46">
        <v>14.95</v>
      </c>
      <c r="J46">
        <v>17.670000000000002</v>
      </c>
      <c r="K46">
        <v>5.16</v>
      </c>
      <c r="M46">
        <v>4</v>
      </c>
      <c r="P46">
        <v>3.36</v>
      </c>
      <c r="R46">
        <v>3.36</v>
      </c>
      <c r="S46">
        <v>45.14</v>
      </c>
      <c r="T46">
        <v>41.78</v>
      </c>
      <c r="U46">
        <v>43.46</v>
      </c>
      <c r="V46">
        <v>119184.96000000001</v>
      </c>
      <c r="X46">
        <v>119184.96000000001</v>
      </c>
      <c r="Y46">
        <v>0.9452247873559827</v>
      </c>
      <c r="Z46">
        <v>119185.90522478736</v>
      </c>
      <c r="AA46">
        <v>500.09720534630469</v>
      </c>
      <c r="AB46">
        <v>119686.00243013367</v>
      </c>
      <c r="AC46">
        <v>3590.5710814094782</v>
      </c>
      <c r="AD46">
        <v>123276.57351154315</v>
      </c>
      <c r="AE46">
        <v>2.6504448906052858E-3</v>
      </c>
      <c r="AF46">
        <v>123276.57616198804</v>
      </c>
      <c r="AG46">
        <v>0</v>
      </c>
      <c r="AH46">
        <v>123276.57616198804</v>
      </c>
      <c r="AI46">
        <v>0</v>
      </c>
      <c r="AJ46">
        <v>123276.57616198804</v>
      </c>
      <c r="AK46">
        <v>0</v>
      </c>
      <c r="AL46">
        <v>123276.57616198804</v>
      </c>
      <c r="AM46">
        <v>123276.57616198804</v>
      </c>
      <c r="AN46">
        <v>5357600</v>
      </c>
      <c r="AQ46">
        <v>0</v>
      </c>
      <c r="AR46">
        <v>123276.57616198804</v>
      </c>
      <c r="AS46">
        <v>5357600</v>
      </c>
      <c r="AT46" s="238" t="s">
        <v>36</v>
      </c>
      <c r="AV46">
        <v>123276.57616198804</v>
      </c>
      <c r="AW46">
        <v>0</v>
      </c>
      <c r="AX46">
        <v>5357600</v>
      </c>
      <c r="AY46" s="238"/>
      <c r="AZ46" s="238" t="s">
        <v>3</v>
      </c>
      <c r="BA46" s="238" t="s">
        <v>3</v>
      </c>
      <c r="BB46" s="238" t="s">
        <v>8951</v>
      </c>
      <c r="BC46" s="238" t="s">
        <v>1167</v>
      </c>
      <c r="BD46" t="b">
        <v>1</v>
      </c>
      <c r="BE46" s="238" t="s">
        <v>9088</v>
      </c>
      <c r="BF46" s="238" t="s">
        <v>8972</v>
      </c>
      <c r="BG46">
        <v>5357600</v>
      </c>
      <c r="BH46">
        <v>5357600</v>
      </c>
      <c r="BI46">
        <v>0</v>
      </c>
      <c r="BJ46">
        <v>0</v>
      </c>
      <c r="BK46">
        <v>0</v>
      </c>
    </row>
    <row r="47" spans="1:63" x14ac:dyDescent="0.25">
      <c r="A47">
        <v>46</v>
      </c>
      <c r="B47">
        <v>1</v>
      </c>
      <c r="C47">
        <v>7</v>
      </c>
      <c r="D47">
        <v>1</v>
      </c>
      <c r="E47">
        <v>1</v>
      </c>
      <c r="F47">
        <v>14.95</v>
      </c>
      <c r="I47">
        <v>14.95</v>
      </c>
      <c r="J47">
        <v>16.68</v>
      </c>
      <c r="K47">
        <v>5.19</v>
      </c>
      <c r="M47">
        <v>3.96</v>
      </c>
      <c r="P47">
        <v>3.36</v>
      </c>
      <c r="R47">
        <v>3.36</v>
      </c>
      <c r="S47">
        <v>44.14</v>
      </c>
      <c r="T47">
        <v>40.78</v>
      </c>
      <c r="U47">
        <v>42.46</v>
      </c>
      <c r="V47">
        <v>119184.96000000001</v>
      </c>
      <c r="X47">
        <v>119184.96000000001</v>
      </c>
      <c r="Y47">
        <v>1.9332038834836567</v>
      </c>
      <c r="Z47">
        <v>119186.89320388349</v>
      </c>
      <c r="AA47">
        <v>0</v>
      </c>
      <c r="AB47">
        <v>119186.89320388349</v>
      </c>
      <c r="AC47">
        <v>3575.7281553398061</v>
      </c>
      <c r="AD47">
        <v>122762.6213592233</v>
      </c>
      <c r="AE47">
        <v>2.3338927785807755</v>
      </c>
      <c r="AF47">
        <v>122764.95525200188</v>
      </c>
      <c r="AG47">
        <v>0</v>
      </c>
      <c r="AH47">
        <v>122764.95525200188</v>
      </c>
      <c r="AI47">
        <v>0</v>
      </c>
      <c r="AJ47">
        <v>122764.95525200188</v>
      </c>
      <c r="AK47">
        <v>0</v>
      </c>
      <c r="AL47">
        <v>122764.95525200188</v>
      </c>
      <c r="AM47">
        <v>122764.95525200188</v>
      </c>
      <c r="AN47">
        <v>5212600</v>
      </c>
      <c r="AQ47">
        <v>0</v>
      </c>
      <c r="AR47">
        <v>122764.95525200188</v>
      </c>
      <c r="AS47">
        <v>5212600</v>
      </c>
      <c r="AT47" s="238" t="s">
        <v>36</v>
      </c>
      <c r="AV47">
        <v>122764.95525200188</v>
      </c>
      <c r="AW47">
        <v>0</v>
      </c>
      <c r="AX47">
        <v>5212600</v>
      </c>
      <c r="AY47" s="238"/>
      <c r="AZ47" s="238" t="s">
        <v>3</v>
      </c>
      <c r="BA47" s="238" t="s">
        <v>3</v>
      </c>
      <c r="BB47" s="238" t="s">
        <v>8951</v>
      </c>
      <c r="BC47" s="238" t="s">
        <v>1167</v>
      </c>
      <c r="BD47" t="b">
        <v>1</v>
      </c>
      <c r="BE47" s="238" t="s">
        <v>9088</v>
      </c>
      <c r="BF47" s="238" t="s">
        <v>8972</v>
      </c>
      <c r="BG47">
        <v>5212600</v>
      </c>
      <c r="BH47">
        <v>5212600</v>
      </c>
      <c r="BI47">
        <v>0</v>
      </c>
      <c r="BJ47">
        <v>0</v>
      </c>
      <c r="BK47">
        <v>0</v>
      </c>
    </row>
    <row r="48" spans="1:63" x14ac:dyDescent="0.25">
      <c r="A48">
        <v>47</v>
      </c>
      <c r="B48">
        <v>1</v>
      </c>
      <c r="C48">
        <v>7</v>
      </c>
      <c r="D48">
        <v>2</v>
      </c>
      <c r="E48">
        <v>3</v>
      </c>
      <c r="F48">
        <v>18.46</v>
      </c>
      <c r="G48">
        <v>10.53</v>
      </c>
      <c r="H48">
        <v>9.9700000000000006</v>
      </c>
      <c r="I48">
        <v>38.96</v>
      </c>
      <c r="J48">
        <v>17.02</v>
      </c>
      <c r="K48">
        <v>4.72</v>
      </c>
      <c r="L48">
        <v>3.58</v>
      </c>
      <c r="M48">
        <v>4.18</v>
      </c>
      <c r="N48">
        <v>6.27</v>
      </c>
      <c r="P48">
        <v>3.04</v>
      </c>
      <c r="Q48">
        <v>3.41</v>
      </c>
      <c r="R48">
        <v>6.45</v>
      </c>
      <c r="S48">
        <v>81.180000000000007</v>
      </c>
      <c r="T48">
        <v>74.73</v>
      </c>
      <c r="U48">
        <v>77.959999999999994</v>
      </c>
      <c r="V48">
        <v>105198.08</v>
      </c>
      <c r="X48">
        <v>105198.08</v>
      </c>
      <c r="Y48">
        <v>0.85546240850817412</v>
      </c>
      <c r="Z48">
        <v>105198.93546240851</v>
      </c>
      <c r="AA48">
        <v>0</v>
      </c>
      <c r="AB48">
        <v>105198.93546240851</v>
      </c>
      <c r="AC48">
        <v>0</v>
      </c>
      <c r="AD48">
        <v>105198.93546240851</v>
      </c>
      <c r="AE48">
        <v>-3791.8035999149142</v>
      </c>
      <c r="AF48">
        <v>101407.1318624936</v>
      </c>
      <c r="AG48">
        <v>0</v>
      </c>
      <c r="AH48">
        <v>101407.1318624936</v>
      </c>
      <c r="AI48">
        <v>0</v>
      </c>
      <c r="AJ48">
        <v>101407.1318624936</v>
      </c>
      <c r="AK48">
        <v>0</v>
      </c>
      <c r="AL48">
        <v>101407.1318624936</v>
      </c>
      <c r="AM48">
        <v>101407.1318624936</v>
      </c>
      <c r="AN48">
        <v>7905700</v>
      </c>
      <c r="AQ48">
        <v>0</v>
      </c>
      <c r="AR48">
        <v>101407.1318624936</v>
      </c>
      <c r="AS48">
        <v>7905700</v>
      </c>
      <c r="AT48" s="238" t="s">
        <v>36</v>
      </c>
      <c r="AV48">
        <v>101407.1318624936</v>
      </c>
      <c r="AW48">
        <v>0</v>
      </c>
      <c r="AX48">
        <v>7905700</v>
      </c>
      <c r="AY48" s="238"/>
      <c r="AZ48" s="238" t="s">
        <v>8963</v>
      </c>
      <c r="BA48" s="238" t="s">
        <v>8963</v>
      </c>
      <c r="BB48" s="238" t="s">
        <v>8953</v>
      </c>
      <c r="BC48" s="238" t="s">
        <v>8964</v>
      </c>
      <c r="BD48" t="b">
        <v>1</v>
      </c>
      <c r="BE48" s="238" t="s">
        <v>9088</v>
      </c>
      <c r="BF48" s="238" t="s">
        <v>8990</v>
      </c>
      <c r="BG48">
        <v>7905700</v>
      </c>
      <c r="BH48">
        <v>8366240</v>
      </c>
      <c r="BI48">
        <v>7905700</v>
      </c>
      <c r="BJ48">
        <v>0</v>
      </c>
      <c r="BK48">
        <v>0</v>
      </c>
    </row>
    <row r="49" spans="1:63" x14ac:dyDescent="0.25">
      <c r="A49">
        <v>48</v>
      </c>
      <c r="B49">
        <v>1</v>
      </c>
      <c r="C49">
        <v>7</v>
      </c>
      <c r="D49">
        <v>3</v>
      </c>
      <c r="E49">
        <v>1</v>
      </c>
      <c r="F49">
        <v>12.41</v>
      </c>
      <c r="I49">
        <v>12.41</v>
      </c>
      <c r="J49">
        <v>14.95</v>
      </c>
      <c r="K49">
        <v>4.97</v>
      </c>
      <c r="M49">
        <v>3.88</v>
      </c>
      <c r="P49">
        <v>2.93</v>
      </c>
      <c r="R49">
        <v>2.93</v>
      </c>
      <c r="S49">
        <v>39.14</v>
      </c>
      <c r="T49">
        <v>36.21</v>
      </c>
      <c r="U49">
        <v>37.68</v>
      </c>
      <c r="V49">
        <v>120353.44</v>
      </c>
      <c r="X49">
        <v>120353.44</v>
      </c>
      <c r="Y49">
        <v>2.1155555555596948</v>
      </c>
      <c r="Z49">
        <v>120355.55555555556</v>
      </c>
      <c r="AA49">
        <v>0</v>
      </c>
      <c r="AB49">
        <v>120355.55555555556</v>
      </c>
      <c r="AC49">
        <v>3611.1111111111095</v>
      </c>
      <c r="AD49">
        <v>123966.66666666667</v>
      </c>
      <c r="AE49">
        <v>0.95541401272930671</v>
      </c>
      <c r="AF49">
        <v>123967.6220806794</v>
      </c>
      <c r="AG49">
        <v>0</v>
      </c>
      <c r="AH49">
        <v>123967.6220806794</v>
      </c>
      <c r="AI49">
        <v>500.37154989385454</v>
      </c>
      <c r="AJ49">
        <v>124467.99363057326</v>
      </c>
      <c r="AK49">
        <v>0</v>
      </c>
      <c r="AL49">
        <v>124467.99363057326</v>
      </c>
      <c r="AM49">
        <v>124467.99363057326</v>
      </c>
      <c r="AN49">
        <v>4689954</v>
      </c>
      <c r="AQ49">
        <v>0</v>
      </c>
      <c r="AR49">
        <v>124467.99363057326</v>
      </c>
      <c r="AS49">
        <v>4689954</v>
      </c>
      <c r="AT49" s="238" t="s">
        <v>36</v>
      </c>
      <c r="AV49">
        <v>124467.99363057326</v>
      </c>
      <c r="AW49">
        <v>0</v>
      </c>
      <c r="AX49">
        <v>4689954</v>
      </c>
      <c r="AY49" s="238"/>
      <c r="AZ49" s="238" t="s">
        <v>3</v>
      </c>
      <c r="BA49" s="238" t="s">
        <v>3</v>
      </c>
      <c r="BB49" s="238" t="s">
        <v>8951</v>
      </c>
      <c r="BC49" s="238" t="s">
        <v>1167</v>
      </c>
      <c r="BD49" t="b">
        <v>1</v>
      </c>
      <c r="BE49" s="238" t="s">
        <v>9088</v>
      </c>
      <c r="BF49" s="238" t="s">
        <v>8972</v>
      </c>
      <c r="BG49">
        <v>4689954</v>
      </c>
      <c r="BH49">
        <v>4689954</v>
      </c>
      <c r="BI49">
        <v>0</v>
      </c>
      <c r="BJ49">
        <v>0</v>
      </c>
      <c r="BK49">
        <v>0</v>
      </c>
    </row>
    <row r="50" spans="1:63" x14ac:dyDescent="0.25">
      <c r="A50">
        <v>49</v>
      </c>
      <c r="B50">
        <v>1</v>
      </c>
      <c r="C50">
        <v>7</v>
      </c>
      <c r="D50">
        <v>4</v>
      </c>
      <c r="E50">
        <v>1</v>
      </c>
      <c r="F50">
        <v>12.41</v>
      </c>
      <c r="I50">
        <v>12.41</v>
      </c>
      <c r="J50">
        <v>14.8</v>
      </c>
      <c r="K50">
        <v>4.97</v>
      </c>
      <c r="M50">
        <v>3.88</v>
      </c>
      <c r="P50">
        <v>3.11</v>
      </c>
      <c r="R50">
        <v>3.11</v>
      </c>
      <c r="S50">
        <v>39.17</v>
      </c>
      <c r="T50">
        <v>36.06</v>
      </c>
      <c r="U50">
        <v>37.619999999999997</v>
      </c>
      <c r="V50">
        <v>120353.44</v>
      </c>
      <c r="X50">
        <v>120353.44</v>
      </c>
      <c r="Y50">
        <v>2.6100695410132175</v>
      </c>
      <c r="Z50">
        <v>120356.05006954102</v>
      </c>
      <c r="AA50">
        <v>0</v>
      </c>
      <c r="AB50">
        <v>120356.05006954102</v>
      </c>
      <c r="AC50">
        <v>3610.6258692628762</v>
      </c>
      <c r="AD50">
        <v>123966.67593880389</v>
      </c>
      <c r="AE50">
        <v>1.9577666719269473</v>
      </c>
      <c r="AF50">
        <v>123968.63370547582</v>
      </c>
      <c r="AG50">
        <v>500.37214247741213</v>
      </c>
      <c r="AH50">
        <v>124469.00584795323</v>
      </c>
      <c r="AI50">
        <v>0</v>
      </c>
      <c r="AJ50">
        <v>124469.00584795323</v>
      </c>
      <c r="AK50">
        <v>0</v>
      </c>
      <c r="AL50">
        <v>124469.00584795325</v>
      </c>
      <c r="AM50">
        <v>124469.00584795323</v>
      </c>
      <c r="AN50">
        <v>4682524</v>
      </c>
      <c r="AQ50">
        <v>0</v>
      </c>
      <c r="AR50">
        <v>124469.00584795323</v>
      </c>
      <c r="AS50">
        <v>4682524</v>
      </c>
      <c r="AT50" s="238" t="s">
        <v>36</v>
      </c>
      <c r="AV50">
        <v>124469.00584795323</v>
      </c>
      <c r="AW50">
        <v>0</v>
      </c>
      <c r="AX50">
        <v>4682524</v>
      </c>
      <c r="AY50" s="238"/>
      <c r="AZ50" s="238" t="s">
        <v>3</v>
      </c>
      <c r="BA50" s="238" t="s">
        <v>3</v>
      </c>
      <c r="BB50" s="238" t="s">
        <v>8951</v>
      </c>
      <c r="BC50" s="238" t="s">
        <v>1167</v>
      </c>
      <c r="BD50" t="b">
        <v>1</v>
      </c>
      <c r="BE50" s="238" t="s">
        <v>9088</v>
      </c>
      <c r="BF50" s="238" t="s">
        <v>8972</v>
      </c>
      <c r="BG50">
        <v>4682524</v>
      </c>
      <c r="BH50">
        <v>4682524</v>
      </c>
      <c r="BI50">
        <v>0</v>
      </c>
      <c r="BJ50">
        <v>0</v>
      </c>
      <c r="BK50">
        <v>0</v>
      </c>
    </row>
    <row r="51" spans="1:63" x14ac:dyDescent="0.25">
      <c r="A51">
        <v>50</v>
      </c>
      <c r="B51">
        <v>1</v>
      </c>
      <c r="C51">
        <v>7</v>
      </c>
      <c r="D51">
        <v>5</v>
      </c>
      <c r="E51">
        <v>2</v>
      </c>
      <c r="F51">
        <v>14.66</v>
      </c>
      <c r="G51">
        <v>10.58</v>
      </c>
      <c r="I51">
        <v>25.240000000000002</v>
      </c>
      <c r="J51">
        <v>17.63</v>
      </c>
      <c r="K51">
        <v>4.37</v>
      </c>
      <c r="L51">
        <v>3.38</v>
      </c>
      <c r="M51">
        <v>3.48</v>
      </c>
      <c r="N51">
        <v>3.77</v>
      </c>
      <c r="P51">
        <v>3.11</v>
      </c>
      <c r="R51">
        <v>3.11</v>
      </c>
      <c r="S51">
        <v>60.98</v>
      </c>
      <c r="T51">
        <v>57.87</v>
      </c>
      <c r="U51">
        <v>59.43</v>
      </c>
      <c r="V51">
        <v>118496.08</v>
      </c>
      <c r="X51">
        <v>118496.08</v>
      </c>
      <c r="Y51">
        <v>0.86856146468198858</v>
      </c>
      <c r="Z51">
        <v>118496.94856146468</v>
      </c>
      <c r="AA51">
        <v>0</v>
      </c>
      <c r="AB51">
        <v>118496.94856146468</v>
      </c>
      <c r="AC51">
        <v>3554.9607672188286</v>
      </c>
      <c r="AD51">
        <v>122051.90932868351</v>
      </c>
      <c r="AE51">
        <v>0.92593969946028665</v>
      </c>
      <c r="AF51">
        <v>122052.83526838297</v>
      </c>
      <c r="AG51">
        <v>0</v>
      </c>
      <c r="AH51">
        <v>122052.83526838297</v>
      </c>
      <c r="AI51">
        <v>0</v>
      </c>
      <c r="AJ51">
        <v>122052.83526838297</v>
      </c>
      <c r="AK51">
        <v>1220.6966178697619</v>
      </c>
      <c r="AL51">
        <v>123273.53188625272</v>
      </c>
      <c r="AM51">
        <v>123273.53188625273</v>
      </c>
      <c r="AN51">
        <v>7326146</v>
      </c>
      <c r="AQ51">
        <v>0</v>
      </c>
      <c r="AR51">
        <v>123273.53188625273</v>
      </c>
      <c r="AS51">
        <v>7326146</v>
      </c>
      <c r="AT51" s="238" t="s">
        <v>36</v>
      </c>
      <c r="AV51">
        <v>123273.53188625273</v>
      </c>
      <c r="AW51">
        <v>0</v>
      </c>
      <c r="AX51">
        <v>7326146</v>
      </c>
      <c r="AY51" s="238"/>
      <c r="AZ51" s="238" t="s">
        <v>3</v>
      </c>
      <c r="BA51" s="238" t="s">
        <v>3</v>
      </c>
      <c r="BB51" s="238" t="s">
        <v>8951</v>
      </c>
      <c r="BC51" s="238" t="s">
        <v>1167</v>
      </c>
      <c r="BD51" t="b">
        <v>1</v>
      </c>
      <c r="BE51" s="238" t="s">
        <v>9088</v>
      </c>
      <c r="BF51" s="238" t="s">
        <v>8971</v>
      </c>
      <c r="BG51">
        <v>7326146</v>
      </c>
      <c r="BH51">
        <v>7326146</v>
      </c>
      <c r="BI51">
        <v>0</v>
      </c>
      <c r="BJ51">
        <v>0</v>
      </c>
      <c r="BK51">
        <v>0</v>
      </c>
    </row>
    <row r="52" spans="1:63" x14ac:dyDescent="0.25">
      <c r="A52">
        <v>51</v>
      </c>
      <c r="B52">
        <v>1</v>
      </c>
      <c r="C52">
        <v>7</v>
      </c>
      <c r="D52">
        <v>6</v>
      </c>
      <c r="E52">
        <v>2</v>
      </c>
      <c r="F52">
        <v>11.63</v>
      </c>
      <c r="G52">
        <v>10.93</v>
      </c>
      <c r="I52">
        <v>22.560000000000002</v>
      </c>
      <c r="J52">
        <v>16.28</v>
      </c>
      <c r="K52">
        <v>4.9000000000000004</v>
      </c>
      <c r="M52">
        <v>4.3899999999999997</v>
      </c>
      <c r="N52">
        <v>1.81</v>
      </c>
      <c r="P52">
        <v>4.4000000000000004</v>
      </c>
      <c r="R52">
        <v>4.4000000000000004</v>
      </c>
      <c r="S52">
        <v>54.34</v>
      </c>
      <c r="T52">
        <v>49.94</v>
      </c>
      <c r="U52">
        <v>52.14</v>
      </c>
      <c r="V52">
        <v>116281.2</v>
      </c>
      <c r="X52">
        <v>116281.2</v>
      </c>
      <c r="Z52">
        <v>116783.00692383779</v>
      </c>
      <c r="AA52">
        <v>-500.11869436201232</v>
      </c>
      <c r="AB52">
        <v>116282.88822947578</v>
      </c>
      <c r="AC52">
        <v>0</v>
      </c>
      <c r="AD52">
        <v>116282.88822947578</v>
      </c>
      <c r="AE52">
        <v>-3546.025935651458</v>
      </c>
      <c r="AF52">
        <v>112736.86229382432</v>
      </c>
      <c r="AG52">
        <v>0</v>
      </c>
      <c r="AH52">
        <v>112736.86229382432</v>
      </c>
      <c r="AI52">
        <v>0</v>
      </c>
      <c r="AJ52">
        <v>112736.86229382432</v>
      </c>
      <c r="AK52">
        <v>0</v>
      </c>
      <c r="AL52">
        <v>112736.86229382432</v>
      </c>
      <c r="AM52">
        <v>112736.86229382432</v>
      </c>
      <c r="AN52">
        <v>5878100</v>
      </c>
      <c r="AQ52">
        <v>0</v>
      </c>
      <c r="AR52">
        <v>112736.86229382432</v>
      </c>
      <c r="AS52">
        <v>5878100</v>
      </c>
      <c r="AT52" s="238" t="s">
        <v>36</v>
      </c>
      <c r="AV52">
        <v>112736.86229382432</v>
      </c>
      <c r="AW52">
        <v>0</v>
      </c>
      <c r="AX52">
        <v>5878100</v>
      </c>
      <c r="AY52" s="238"/>
      <c r="AZ52" s="238" t="s">
        <v>8963</v>
      </c>
      <c r="BA52" s="238" t="s">
        <v>8963</v>
      </c>
      <c r="BB52" s="238" t="s">
        <v>8953</v>
      </c>
      <c r="BC52" s="238" t="s">
        <v>8964</v>
      </c>
      <c r="BD52" t="b">
        <v>1</v>
      </c>
      <c r="BE52" s="238" t="s">
        <v>9088</v>
      </c>
      <c r="BF52" s="238" t="s">
        <v>8971</v>
      </c>
      <c r="BG52">
        <v>5878100</v>
      </c>
      <c r="BH52">
        <v>6123626</v>
      </c>
      <c r="BI52">
        <v>5878100</v>
      </c>
      <c r="BJ52">
        <v>5878100</v>
      </c>
      <c r="BK52">
        <v>0</v>
      </c>
    </row>
    <row r="53" spans="1:63" x14ac:dyDescent="0.25">
      <c r="A53">
        <v>52</v>
      </c>
      <c r="B53">
        <v>1</v>
      </c>
      <c r="C53">
        <v>7</v>
      </c>
      <c r="D53">
        <v>7</v>
      </c>
      <c r="E53">
        <v>2</v>
      </c>
      <c r="F53">
        <v>10.86</v>
      </c>
      <c r="G53">
        <v>14.01</v>
      </c>
      <c r="I53">
        <v>24.869999999999997</v>
      </c>
      <c r="J53">
        <v>19.21</v>
      </c>
      <c r="K53">
        <v>3.96</v>
      </c>
      <c r="M53">
        <v>3.24</v>
      </c>
      <c r="N53">
        <v>3.83</v>
      </c>
      <c r="O53">
        <v>4.6399999999999997</v>
      </c>
      <c r="P53">
        <v>3.91</v>
      </c>
      <c r="R53">
        <v>3.91</v>
      </c>
      <c r="S53">
        <v>63.66</v>
      </c>
      <c r="T53">
        <v>59.75</v>
      </c>
      <c r="U53">
        <v>61.71</v>
      </c>
      <c r="V53">
        <v>117388.64</v>
      </c>
      <c r="X53">
        <v>117388.64</v>
      </c>
      <c r="Y53">
        <v>1.3683319222764112E-2</v>
      </c>
      <c r="Z53">
        <v>117388.65368331922</v>
      </c>
      <c r="AA53">
        <v>0</v>
      </c>
      <c r="AB53">
        <v>117388.65368331922</v>
      </c>
      <c r="AC53">
        <v>3522.0152413209144</v>
      </c>
      <c r="AD53">
        <v>120910.66892464014</v>
      </c>
      <c r="AE53">
        <v>4.2467354680411518E-2</v>
      </c>
      <c r="AF53">
        <v>120910.71139199482</v>
      </c>
      <c r="AG53">
        <v>0</v>
      </c>
      <c r="AH53">
        <v>120910.71139199482</v>
      </c>
      <c r="AI53">
        <v>0</v>
      </c>
      <c r="AJ53">
        <v>120910.71139199482</v>
      </c>
      <c r="AK53">
        <v>1209.3988008426531</v>
      </c>
      <c r="AL53">
        <v>122120.11019283748</v>
      </c>
      <c r="AM53">
        <v>122120.11019283747</v>
      </c>
      <c r="AN53">
        <v>7536032</v>
      </c>
      <c r="AQ53">
        <v>0</v>
      </c>
      <c r="AR53">
        <v>122120.11019283747</v>
      </c>
      <c r="AS53">
        <v>7536032</v>
      </c>
      <c r="AT53" s="238" t="s">
        <v>36</v>
      </c>
      <c r="AV53">
        <v>122120.11019283747</v>
      </c>
      <c r="AW53">
        <v>0</v>
      </c>
      <c r="AX53">
        <v>7536032</v>
      </c>
      <c r="AY53" s="238"/>
      <c r="AZ53" s="238" t="s">
        <v>3</v>
      </c>
      <c r="BA53" s="238" t="s">
        <v>3</v>
      </c>
      <c r="BB53" s="238" t="s">
        <v>8951</v>
      </c>
      <c r="BC53" s="238" t="s">
        <v>1167</v>
      </c>
      <c r="BD53" t="b">
        <v>1</v>
      </c>
      <c r="BE53" s="238" t="s">
        <v>9088</v>
      </c>
      <c r="BF53" s="238" t="s">
        <v>8971</v>
      </c>
      <c r="BG53">
        <v>7536032</v>
      </c>
      <c r="BH53">
        <v>7536032</v>
      </c>
      <c r="BI53">
        <v>0</v>
      </c>
      <c r="BJ53">
        <v>0</v>
      </c>
      <c r="BK53">
        <v>0</v>
      </c>
    </row>
    <row r="54" spans="1:63" x14ac:dyDescent="0.25">
      <c r="A54">
        <v>53</v>
      </c>
      <c r="B54">
        <v>1</v>
      </c>
      <c r="C54">
        <v>7</v>
      </c>
      <c r="D54">
        <v>8</v>
      </c>
      <c r="E54">
        <v>1</v>
      </c>
      <c r="F54">
        <v>14.95</v>
      </c>
      <c r="I54">
        <v>14.95</v>
      </c>
      <c r="J54">
        <v>17.670000000000002</v>
      </c>
      <c r="K54">
        <v>5.16</v>
      </c>
      <c r="M54">
        <v>4</v>
      </c>
      <c r="P54">
        <v>3.36</v>
      </c>
      <c r="R54">
        <v>3.36</v>
      </c>
      <c r="S54">
        <v>45.14</v>
      </c>
      <c r="T54">
        <v>41.78</v>
      </c>
      <c r="U54">
        <v>43.46</v>
      </c>
      <c r="V54">
        <v>119184.96000000001</v>
      </c>
      <c r="X54">
        <v>119184.96000000001</v>
      </c>
      <c r="Y54">
        <v>0.9452247873559827</v>
      </c>
      <c r="Z54">
        <v>119185.90522478736</v>
      </c>
      <c r="AA54">
        <v>500.09720534630469</v>
      </c>
      <c r="AB54">
        <v>119686.00243013367</v>
      </c>
      <c r="AC54">
        <v>3590.5710814094782</v>
      </c>
      <c r="AD54">
        <v>123276.57351154315</v>
      </c>
      <c r="AE54">
        <v>2.6504448906052858E-3</v>
      </c>
      <c r="AF54">
        <v>123276.57616198804</v>
      </c>
      <c r="AG54">
        <v>0</v>
      </c>
      <c r="AH54">
        <v>123276.57616198804</v>
      </c>
      <c r="AI54">
        <v>0</v>
      </c>
      <c r="AJ54">
        <v>123276.57616198804</v>
      </c>
      <c r="AK54">
        <v>0</v>
      </c>
      <c r="AL54">
        <v>123276.57616198804</v>
      </c>
      <c r="AM54">
        <v>123276.57616198804</v>
      </c>
      <c r="AN54">
        <v>5357600</v>
      </c>
      <c r="AQ54">
        <v>0</v>
      </c>
      <c r="AR54">
        <v>123276.57616198804</v>
      </c>
      <c r="AS54">
        <v>5357600</v>
      </c>
      <c r="AT54" s="238" t="s">
        <v>36</v>
      </c>
      <c r="AV54">
        <v>123276.57616198804</v>
      </c>
      <c r="AW54">
        <v>0</v>
      </c>
      <c r="AX54">
        <v>5357600</v>
      </c>
      <c r="AY54" s="238"/>
      <c r="AZ54" s="238" t="s">
        <v>3</v>
      </c>
      <c r="BA54" s="238" t="s">
        <v>3</v>
      </c>
      <c r="BB54" s="238" t="s">
        <v>8951</v>
      </c>
      <c r="BC54" s="238" t="s">
        <v>1167</v>
      </c>
      <c r="BD54" t="b">
        <v>1</v>
      </c>
      <c r="BE54" s="238" t="s">
        <v>9088</v>
      </c>
      <c r="BF54" s="238" t="s">
        <v>8972</v>
      </c>
      <c r="BG54">
        <v>5357600</v>
      </c>
      <c r="BH54">
        <v>5357600</v>
      </c>
      <c r="BI54">
        <v>0</v>
      </c>
      <c r="BJ54">
        <v>0</v>
      </c>
      <c r="BK54">
        <v>0</v>
      </c>
    </row>
    <row r="55" spans="1:63" x14ac:dyDescent="0.25">
      <c r="A55">
        <v>54</v>
      </c>
      <c r="B55">
        <v>1</v>
      </c>
      <c r="C55">
        <v>8</v>
      </c>
      <c r="D55">
        <v>1</v>
      </c>
      <c r="E55">
        <v>1</v>
      </c>
      <c r="F55">
        <v>14.95</v>
      </c>
      <c r="I55">
        <v>14.95</v>
      </c>
      <c r="J55">
        <v>16.68</v>
      </c>
      <c r="K55">
        <v>5.19</v>
      </c>
      <c r="M55">
        <v>3.96</v>
      </c>
      <c r="P55">
        <v>3.36</v>
      </c>
      <c r="R55">
        <v>3.36</v>
      </c>
      <c r="S55">
        <v>44.14</v>
      </c>
      <c r="T55">
        <v>40.78</v>
      </c>
      <c r="U55">
        <v>42.46</v>
      </c>
      <c r="V55">
        <v>119184.96000000001</v>
      </c>
      <c r="X55">
        <v>119184.96000000001</v>
      </c>
      <c r="Y55">
        <v>1.9332038834836567</v>
      </c>
      <c r="Z55">
        <v>119186.89320388349</v>
      </c>
      <c r="AA55">
        <v>0</v>
      </c>
      <c r="AB55">
        <v>119186.89320388349</v>
      </c>
      <c r="AC55">
        <v>3575.7281553398061</v>
      </c>
      <c r="AD55">
        <v>122762.6213592233</v>
      </c>
      <c r="AE55">
        <v>2.3338927785807755</v>
      </c>
      <c r="AF55">
        <v>122764.95525200188</v>
      </c>
      <c r="AG55">
        <v>0</v>
      </c>
      <c r="AH55">
        <v>122764.95525200188</v>
      </c>
      <c r="AI55">
        <v>0</v>
      </c>
      <c r="AJ55">
        <v>122764.95525200188</v>
      </c>
      <c r="AK55">
        <v>0</v>
      </c>
      <c r="AL55">
        <v>122764.95525200188</v>
      </c>
      <c r="AM55">
        <v>122764.95525200188</v>
      </c>
      <c r="AN55">
        <v>5212600</v>
      </c>
      <c r="AQ55">
        <v>0</v>
      </c>
      <c r="AR55">
        <v>122764.95525200188</v>
      </c>
      <c r="AS55">
        <v>5212600</v>
      </c>
      <c r="AT55" s="238" t="s">
        <v>36</v>
      </c>
      <c r="AV55">
        <v>122764.95525200188</v>
      </c>
      <c r="AW55">
        <v>0</v>
      </c>
      <c r="AX55">
        <v>5212600</v>
      </c>
      <c r="AY55" s="238"/>
      <c r="AZ55" s="238" t="s">
        <v>3</v>
      </c>
      <c r="BA55" s="238" t="s">
        <v>3</v>
      </c>
      <c r="BB55" s="238" t="s">
        <v>8951</v>
      </c>
      <c r="BC55" s="238" t="s">
        <v>1167</v>
      </c>
      <c r="BD55" t="b">
        <v>1</v>
      </c>
      <c r="BE55" s="238" t="s">
        <v>9088</v>
      </c>
      <c r="BF55" s="238" t="s">
        <v>8972</v>
      </c>
      <c r="BG55">
        <v>5212600</v>
      </c>
      <c r="BH55">
        <v>5212600</v>
      </c>
      <c r="BI55">
        <v>0</v>
      </c>
      <c r="BJ55">
        <v>0</v>
      </c>
      <c r="BK55">
        <v>0</v>
      </c>
    </row>
    <row r="56" spans="1:63" x14ac:dyDescent="0.25">
      <c r="A56">
        <v>55</v>
      </c>
      <c r="B56">
        <v>1</v>
      </c>
      <c r="C56">
        <v>8</v>
      </c>
      <c r="D56">
        <v>2</v>
      </c>
      <c r="E56">
        <v>3</v>
      </c>
      <c r="F56">
        <v>18.46</v>
      </c>
      <c r="G56">
        <v>10.53</v>
      </c>
      <c r="H56">
        <v>9.9700000000000006</v>
      </c>
      <c r="I56">
        <v>38.96</v>
      </c>
      <c r="J56">
        <v>17.02</v>
      </c>
      <c r="K56">
        <v>4.72</v>
      </c>
      <c r="L56">
        <v>3.58</v>
      </c>
      <c r="M56">
        <v>4.18</v>
      </c>
      <c r="N56">
        <v>6.27</v>
      </c>
      <c r="P56">
        <v>3.04</v>
      </c>
      <c r="Q56">
        <v>3.41</v>
      </c>
      <c r="R56">
        <v>6.45</v>
      </c>
      <c r="S56">
        <v>81.180000000000007</v>
      </c>
      <c r="T56">
        <v>74.73</v>
      </c>
      <c r="U56">
        <v>77.959999999999994</v>
      </c>
      <c r="V56">
        <v>105198.08</v>
      </c>
      <c r="X56">
        <v>105198.08</v>
      </c>
      <c r="Y56">
        <v>0.85546240850817412</v>
      </c>
      <c r="Z56">
        <v>105198.93546240851</v>
      </c>
      <c r="AA56">
        <v>500.06653359947086</v>
      </c>
      <c r="AB56">
        <v>105699.00199600798</v>
      </c>
      <c r="AC56">
        <v>3170.9647371922765</v>
      </c>
      <c r="AD56">
        <v>108869.96673320026</v>
      </c>
      <c r="AE56">
        <v>1.2492750090896152</v>
      </c>
      <c r="AF56">
        <v>108871.21600820935</v>
      </c>
      <c r="AG56">
        <v>0</v>
      </c>
      <c r="AH56">
        <v>108871.21600820935</v>
      </c>
      <c r="AI56">
        <v>0</v>
      </c>
      <c r="AJ56">
        <v>108871.21600820935</v>
      </c>
      <c r="AK56">
        <v>0</v>
      </c>
      <c r="AL56">
        <v>108871.21600820936</v>
      </c>
      <c r="AM56">
        <v>108871.21600820935</v>
      </c>
      <c r="AN56">
        <v>8487600</v>
      </c>
      <c r="AQ56">
        <v>0</v>
      </c>
      <c r="AR56">
        <v>108871.21600820935</v>
      </c>
      <c r="AS56">
        <v>8487600</v>
      </c>
      <c r="AT56" s="238" t="s">
        <v>36</v>
      </c>
      <c r="AV56">
        <v>108871.21600820935</v>
      </c>
      <c r="AW56">
        <v>0</v>
      </c>
      <c r="AX56">
        <v>8487600</v>
      </c>
      <c r="AY56" s="238"/>
      <c r="AZ56" s="238" t="s">
        <v>8956</v>
      </c>
      <c r="BA56" s="238" t="s">
        <v>8956</v>
      </c>
      <c r="BB56" s="238" t="s">
        <v>8953</v>
      </c>
      <c r="BC56" s="238" t="s">
        <v>8957</v>
      </c>
      <c r="BD56" t="b">
        <v>1</v>
      </c>
      <c r="BE56" s="238" t="s">
        <v>9088</v>
      </c>
      <c r="BF56" s="238" t="s">
        <v>8990</v>
      </c>
      <c r="BG56">
        <v>8658206</v>
      </c>
      <c r="BH56">
        <v>8658206</v>
      </c>
      <c r="BI56">
        <v>0</v>
      </c>
      <c r="BJ56">
        <v>0</v>
      </c>
      <c r="BK56">
        <v>170606</v>
      </c>
    </row>
    <row r="57" spans="1:63" x14ac:dyDescent="0.25">
      <c r="A57">
        <v>56</v>
      </c>
      <c r="B57">
        <v>1</v>
      </c>
      <c r="C57">
        <v>8</v>
      </c>
      <c r="D57">
        <v>3</v>
      </c>
      <c r="E57">
        <v>1</v>
      </c>
      <c r="F57">
        <v>12.41</v>
      </c>
      <c r="I57">
        <v>12.41</v>
      </c>
      <c r="J57">
        <v>14.95</v>
      </c>
      <c r="K57">
        <v>4.97</v>
      </c>
      <c r="M57">
        <v>3.88</v>
      </c>
      <c r="P57">
        <v>2.93</v>
      </c>
      <c r="R57">
        <v>2.93</v>
      </c>
      <c r="S57">
        <v>39.14</v>
      </c>
      <c r="T57">
        <v>36.21</v>
      </c>
      <c r="U57">
        <v>37.68</v>
      </c>
      <c r="V57">
        <v>120353.44</v>
      </c>
      <c r="X57">
        <v>120353.44</v>
      </c>
      <c r="Y57">
        <v>2.1155555555596948</v>
      </c>
      <c r="Z57">
        <v>120355.55555555556</v>
      </c>
      <c r="AA57">
        <v>0</v>
      </c>
      <c r="AB57">
        <v>120355.55555555556</v>
      </c>
      <c r="AC57">
        <v>3611.1111111111095</v>
      </c>
      <c r="AD57">
        <v>123966.66666666667</v>
      </c>
      <c r="AE57">
        <v>0.95541401272930671</v>
      </c>
      <c r="AF57">
        <v>123967.6220806794</v>
      </c>
      <c r="AG57">
        <v>0</v>
      </c>
      <c r="AH57">
        <v>123967.6220806794</v>
      </c>
      <c r="AI57">
        <v>500.37154989385454</v>
      </c>
      <c r="AJ57">
        <v>124467.99363057326</v>
      </c>
      <c r="AK57">
        <v>0</v>
      </c>
      <c r="AL57">
        <v>124467.99363057326</v>
      </c>
      <c r="AM57">
        <v>124467.99363057326</v>
      </c>
      <c r="AN57">
        <v>4689954</v>
      </c>
      <c r="AQ57">
        <v>0</v>
      </c>
      <c r="AR57">
        <v>124467.99363057326</v>
      </c>
      <c r="AS57">
        <v>4689954</v>
      </c>
      <c r="AT57" s="238" t="s">
        <v>36</v>
      </c>
      <c r="AV57">
        <v>124467.99363057326</v>
      </c>
      <c r="AW57">
        <v>0</v>
      </c>
      <c r="AX57">
        <v>4689954</v>
      </c>
      <c r="AY57" s="238"/>
      <c r="AZ57" s="238" t="s">
        <v>3</v>
      </c>
      <c r="BA57" s="238" t="s">
        <v>3</v>
      </c>
      <c r="BB57" s="238" t="s">
        <v>8951</v>
      </c>
      <c r="BC57" s="238" t="s">
        <v>1167</v>
      </c>
      <c r="BD57" t="b">
        <v>1</v>
      </c>
      <c r="BE57" s="238" t="s">
        <v>9088</v>
      </c>
      <c r="BF57" s="238" t="s">
        <v>8972</v>
      </c>
      <c r="BG57">
        <v>4689954</v>
      </c>
      <c r="BH57">
        <v>4689954</v>
      </c>
      <c r="BI57">
        <v>0</v>
      </c>
      <c r="BJ57">
        <v>0</v>
      </c>
      <c r="BK57">
        <v>0</v>
      </c>
    </row>
    <row r="58" spans="1:63" x14ac:dyDescent="0.25">
      <c r="A58">
        <v>57</v>
      </c>
      <c r="B58">
        <v>1</v>
      </c>
      <c r="C58">
        <v>8</v>
      </c>
      <c r="D58">
        <v>4</v>
      </c>
      <c r="E58">
        <v>1</v>
      </c>
      <c r="F58">
        <v>12.41</v>
      </c>
      <c r="I58">
        <v>12.41</v>
      </c>
      <c r="J58">
        <v>14.8</v>
      </c>
      <c r="K58">
        <v>4.97</v>
      </c>
      <c r="M58">
        <v>3.88</v>
      </c>
      <c r="P58">
        <v>3.11</v>
      </c>
      <c r="R58">
        <v>3.11</v>
      </c>
      <c r="S58">
        <v>39.17</v>
      </c>
      <c r="T58">
        <v>36.06</v>
      </c>
      <c r="U58">
        <v>37.619999999999997</v>
      </c>
      <c r="V58">
        <v>120353.44</v>
      </c>
      <c r="X58">
        <v>120353.44</v>
      </c>
      <c r="Y58">
        <v>2.6100695410132175</v>
      </c>
      <c r="Z58">
        <v>120356.05006954102</v>
      </c>
      <c r="AA58">
        <v>0</v>
      </c>
      <c r="AB58">
        <v>120356.05006954102</v>
      </c>
      <c r="AC58">
        <v>3610.6258692628762</v>
      </c>
      <c r="AD58">
        <v>123966.67593880389</v>
      </c>
      <c r="AE58">
        <v>1.9577666719269473</v>
      </c>
      <c r="AF58">
        <v>123968.63370547582</v>
      </c>
      <c r="AG58">
        <v>500.37214247741213</v>
      </c>
      <c r="AH58">
        <v>124469.00584795323</v>
      </c>
      <c r="AI58">
        <v>0</v>
      </c>
      <c r="AJ58">
        <v>124469.00584795323</v>
      </c>
      <c r="AK58">
        <v>0</v>
      </c>
      <c r="AL58">
        <v>124469.00584795325</v>
      </c>
      <c r="AM58">
        <v>124469.00584795323</v>
      </c>
      <c r="AN58">
        <v>4682524</v>
      </c>
      <c r="AQ58">
        <v>0</v>
      </c>
      <c r="AR58">
        <v>124469.00584795323</v>
      </c>
      <c r="AS58">
        <v>4682524</v>
      </c>
      <c r="AT58" s="238" t="s">
        <v>36</v>
      </c>
      <c r="AV58">
        <v>124469.00584795323</v>
      </c>
      <c r="AW58">
        <v>0</v>
      </c>
      <c r="AX58">
        <v>4682524</v>
      </c>
      <c r="AY58" s="238"/>
      <c r="AZ58" s="238" t="s">
        <v>3</v>
      </c>
      <c r="BA58" s="238" t="s">
        <v>3</v>
      </c>
      <c r="BB58" s="238" t="s">
        <v>8951</v>
      </c>
      <c r="BC58" s="238" t="s">
        <v>1167</v>
      </c>
      <c r="BD58" t="b">
        <v>1</v>
      </c>
      <c r="BE58" s="238" t="s">
        <v>9088</v>
      </c>
      <c r="BF58" s="238" t="s">
        <v>8972</v>
      </c>
      <c r="BG58">
        <v>4682524</v>
      </c>
      <c r="BH58">
        <v>4682524</v>
      </c>
      <c r="BI58">
        <v>0</v>
      </c>
      <c r="BJ58">
        <v>0</v>
      </c>
      <c r="BK58">
        <v>0</v>
      </c>
    </row>
    <row r="59" spans="1:63" x14ac:dyDescent="0.25">
      <c r="A59">
        <v>58</v>
      </c>
      <c r="B59">
        <v>1</v>
      </c>
      <c r="C59">
        <v>8</v>
      </c>
      <c r="D59">
        <v>5</v>
      </c>
      <c r="E59">
        <v>2</v>
      </c>
      <c r="F59">
        <v>14.66</v>
      </c>
      <c r="G59">
        <v>10.58</v>
      </c>
      <c r="I59">
        <v>25.240000000000002</v>
      </c>
      <c r="J59">
        <v>17.63</v>
      </c>
      <c r="K59">
        <v>4.37</v>
      </c>
      <c r="L59">
        <v>3.38</v>
      </c>
      <c r="M59">
        <v>3.48</v>
      </c>
      <c r="N59">
        <v>3.77</v>
      </c>
      <c r="P59">
        <v>3.11</v>
      </c>
      <c r="R59">
        <v>3.11</v>
      </c>
      <c r="S59">
        <v>60.98</v>
      </c>
      <c r="T59">
        <v>57.87</v>
      </c>
      <c r="U59">
        <v>59.43</v>
      </c>
      <c r="V59">
        <v>118496.08</v>
      </c>
      <c r="X59">
        <v>118496.08</v>
      </c>
      <c r="Y59">
        <v>0.86856146468198858</v>
      </c>
      <c r="Z59">
        <v>118496.94856146468</v>
      </c>
      <c r="AA59">
        <v>0</v>
      </c>
      <c r="AB59">
        <v>118496.94856146468</v>
      </c>
      <c r="AC59">
        <v>3554.9607672188286</v>
      </c>
      <c r="AD59">
        <v>122051.90932868351</v>
      </c>
      <c r="AE59">
        <v>0.92593969946028665</v>
      </c>
      <c r="AF59">
        <v>122052.83526838297</v>
      </c>
      <c r="AG59">
        <v>0</v>
      </c>
      <c r="AH59">
        <v>122052.83526838297</v>
      </c>
      <c r="AI59">
        <v>0</v>
      </c>
      <c r="AJ59">
        <v>122052.83526838297</v>
      </c>
      <c r="AK59">
        <v>1220.6966178697619</v>
      </c>
      <c r="AL59">
        <v>123273.53188625272</v>
      </c>
      <c r="AM59">
        <v>123273.53188625273</v>
      </c>
      <c r="AN59">
        <v>7326146</v>
      </c>
      <c r="AQ59">
        <v>0</v>
      </c>
      <c r="AR59">
        <v>123273.53188625273</v>
      </c>
      <c r="AS59">
        <v>7326146</v>
      </c>
      <c r="AT59" s="238" t="s">
        <v>36</v>
      </c>
      <c r="AV59">
        <v>123273.53188625273</v>
      </c>
      <c r="AW59">
        <v>0</v>
      </c>
      <c r="AX59">
        <v>7326146</v>
      </c>
      <c r="AY59" s="238"/>
      <c r="AZ59" s="238" t="s">
        <v>3</v>
      </c>
      <c r="BA59" s="238" t="s">
        <v>3</v>
      </c>
      <c r="BB59" s="238" t="s">
        <v>8951</v>
      </c>
      <c r="BC59" s="238" t="s">
        <v>1167</v>
      </c>
      <c r="BD59" t="b">
        <v>1</v>
      </c>
      <c r="BE59" s="238" t="s">
        <v>9088</v>
      </c>
      <c r="BF59" s="238" t="s">
        <v>8971</v>
      </c>
      <c r="BG59">
        <v>7326146</v>
      </c>
      <c r="BH59">
        <v>7326146</v>
      </c>
      <c r="BI59">
        <v>0</v>
      </c>
      <c r="BJ59">
        <v>0</v>
      </c>
      <c r="BK59">
        <v>0</v>
      </c>
    </row>
    <row r="60" spans="1:63" x14ac:dyDescent="0.25">
      <c r="A60">
        <v>59</v>
      </c>
      <c r="B60">
        <v>1</v>
      </c>
      <c r="C60">
        <v>8</v>
      </c>
      <c r="D60">
        <v>6</v>
      </c>
      <c r="E60">
        <v>2</v>
      </c>
      <c r="F60">
        <v>11.63</v>
      </c>
      <c r="G60">
        <v>10.93</v>
      </c>
      <c r="I60">
        <v>22.560000000000002</v>
      </c>
      <c r="J60">
        <v>16.28</v>
      </c>
      <c r="K60">
        <v>4.9000000000000004</v>
      </c>
      <c r="M60">
        <v>4.3899999999999997</v>
      </c>
      <c r="N60">
        <v>1.81</v>
      </c>
      <c r="P60">
        <v>4.4000000000000004</v>
      </c>
      <c r="R60">
        <v>4.4000000000000004</v>
      </c>
      <c r="S60">
        <v>54.34</v>
      </c>
      <c r="T60">
        <v>49.94</v>
      </c>
      <c r="U60">
        <v>52.14</v>
      </c>
      <c r="V60">
        <v>116281.2</v>
      </c>
      <c r="X60">
        <v>116281.2</v>
      </c>
      <c r="Y60">
        <v>501.80692383779387</v>
      </c>
      <c r="Z60">
        <v>116783.00692383779</v>
      </c>
      <c r="AA60">
        <v>0</v>
      </c>
      <c r="AB60">
        <v>116783.00692383779</v>
      </c>
      <c r="AC60">
        <v>3503.4817012858548</v>
      </c>
      <c r="AD60">
        <v>120286.48862512365</v>
      </c>
      <c r="AE60">
        <v>1.198371424106881</v>
      </c>
      <c r="AF60">
        <v>120287.68699654775</v>
      </c>
      <c r="AG60">
        <v>0</v>
      </c>
      <c r="AH60">
        <v>120287.68699654775</v>
      </c>
      <c r="AI60">
        <v>0</v>
      </c>
      <c r="AJ60">
        <v>120287.68699654775</v>
      </c>
      <c r="AK60">
        <v>1203.1837360951322</v>
      </c>
      <c r="AL60">
        <v>121490.87073264288</v>
      </c>
      <c r="AM60">
        <v>121490.87073264288</v>
      </c>
      <c r="AN60">
        <v>6334534</v>
      </c>
      <c r="AQ60">
        <v>0</v>
      </c>
      <c r="AR60">
        <v>121490.87073264288</v>
      </c>
      <c r="AS60">
        <v>6334534</v>
      </c>
      <c r="AT60" s="238" t="s">
        <v>36</v>
      </c>
      <c r="AV60">
        <v>121490.87073264288</v>
      </c>
      <c r="AW60">
        <v>0</v>
      </c>
      <c r="AX60">
        <v>6334534</v>
      </c>
      <c r="AY60" s="238"/>
      <c r="AZ60" s="238" t="s">
        <v>3</v>
      </c>
      <c r="BA60" s="238" t="s">
        <v>3</v>
      </c>
      <c r="BB60" s="238" t="s">
        <v>8951</v>
      </c>
      <c r="BC60" s="238" t="s">
        <v>1167</v>
      </c>
      <c r="BD60" t="b">
        <v>1</v>
      </c>
      <c r="BE60" s="238" t="s">
        <v>9088</v>
      </c>
      <c r="BF60" s="238" t="s">
        <v>8971</v>
      </c>
      <c r="BG60">
        <v>6334534</v>
      </c>
      <c r="BH60">
        <v>6334534</v>
      </c>
      <c r="BI60">
        <v>0</v>
      </c>
      <c r="BJ60">
        <v>0</v>
      </c>
      <c r="BK60">
        <v>0</v>
      </c>
    </row>
    <row r="61" spans="1:63" x14ac:dyDescent="0.25">
      <c r="A61">
        <v>60</v>
      </c>
      <c r="B61">
        <v>1</v>
      </c>
      <c r="C61">
        <v>8</v>
      </c>
      <c r="D61">
        <v>7</v>
      </c>
      <c r="E61">
        <v>2</v>
      </c>
      <c r="F61">
        <v>10.86</v>
      </c>
      <c r="G61">
        <v>14.01</v>
      </c>
      <c r="I61">
        <v>24.869999999999997</v>
      </c>
      <c r="J61">
        <v>19.21</v>
      </c>
      <c r="K61">
        <v>3.96</v>
      </c>
      <c r="M61">
        <v>3.24</v>
      </c>
      <c r="N61">
        <v>3.83</v>
      </c>
      <c r="O61">
        <v>4.6399999999999997</v>
      </c>
      <c r="P61">
        <v>3.91</v>
      </c>
      <c r="R61">
        <v>3.91</v>
      </c>
      <c r="S61">
        <v>63.66</v>
      </c>
      <c r="T61">
        <v>59.75</v>
      </c>
      <c r="U61">
        <v>61.71</v>
      </c>
      <c r="V61">
        <v>117388.64</v>
      </c>
      <c r="X61">
        <v>117388.64</v>
      </c>
      <c r="Y61">
        <v>1.3683319222764112E-2</v>
      </c>
      <c r="Z61">
        <v>117388.65368331922</v>
      </c>
      <c r="AA61">
        <v>0</v>
      </c>
      <c r="AB61">
        <v>117388.65368331922</v>
      </c>
      <c r="AC61">
        <v>3522.0152413209144</v>
      </c>
      <c r="AD61">
        <v>120910.66892464014</v>
      </c>
      <c r="AE61">
        <v>4.2467354680411518E-2</v>
      </c>
      <c r="AF61">
        <v>120910.71139199482</v>
      </c>
      <c r="AG61">
        <v>0</v>
      </c>
      <c r="AH61">
        <v>120910.71139199482</v>
      </c>
      <c r="AI61">
        <v>0</v>
      </c>
      <c r="AJ61">
        <v>120910.71139199482</v>
      </c>
      <c r="AK61">
        <v>1209.3988008426531</v>
      </c>
      <c r="AL61">
        <v>122120.11019283748</v>
      </c>
      <c r="AM61">
        <v>122120.11019283747</v>
      </c>
      <c r="AN61">
        <v>7536032</v>
      </c>
      <c r="AQ61">
        <v>0</v>
      </c>
      <c r="AR61">
        <v>122120.11019283747</v>
      </c>
      <c r="AS61">
        <v>7536032</v>
      </c>
      <c r="AT61" s="238" t="s">
        <v>36</v>
      </c>
      <c r="AV61">
        <v>122120.11019283747</v>
      </c>
      <c r="AW61">
        <v>0</v>
      </c>
      <c r="AX61">
        <v>7536032</v>
      </c>
      <c r="AY61" s="238"/>
      <c r="AZ61" s="238" t="s">
        <v>3</v>
      </c>
      <c r="BA61" s="238" t="s">
        <v>3</v>
      </c>
      <c r="BB61" s="238" t="s">
        <v>8951</v>
      </c>
      <c r="BC61" s="238" t="s">
        <v>1167</v>
      </c>
      <c r="BD61" t="b">
        <v>1</v>
      </c>
      <c r="BE61" s="238" t="s">
        <v>9088</v>
      </c>
      <c r="BF61" s="238" t="s">
        <v>8971</v>
      </c>
      <c r="BG61">
        <v>7536032</v>
      </c>
      <c r="BH61">
        <v>7536032</v>
      </c>
      <c r="BI61">
        <v>0</v>
      </c>
      <c r="BJ61">
        <v>0</v>
      </c>
      <c r="BK61">
        <v>0</v>
      </c>
    </row>
    <row r="62" spans="1:63" x14ac:dyDescent="0.25">
      <c r="A62">
        <v>61</v>
      </c>
      <c r="B62">
        <v>1</v>
      </c>
      <c r="C62">
        <v>8</v>
      </c>
      <c r="D62">
        <v>8</v>
      </c>
      <c r="E62">
        <v>1</v>
      </c>
      <c r="F62">
        <v>14.95</v>
      </c>
      <c r="I62">
        <v>14.95</v>
      </c>
      <c r="J62">
        <v>17.670000000000002</v>
      </c>
      <c r="K62">
        <v>5.16</v>
      </c>
      <c r="M62">
        <v>4</v>
      </c>
      <c r="P62">
        <v>3.36</v>
      </c>
      <c r="R62">
        <v>3.36</v>
      </c>
      <c r="S62">
        <v>45.14</v>
      </c>
      <c r="T62">
        <v>41.78</v>
      </c>
      <c r="U62">
        <v>43.46</v>
      </c>
      <c r="V62">
        <v>119184.96000000001</v>
      </c>
      <c r="X62">
        <v>119184.96000000001</v>
      </c>
      <c r="Y62">
        <v>0.9452247873559827</v>
      </c>
      <c r="Z62">
        <v>119185.90522478736</v>
      </c>
      <c r="AA62">
        <v>0</v>
      </c>
      <c r="AB62">
        <v>119185.90522478736</v>
      </c>
      <c r="AC62">
        <v>0</v>
      </c>
      <c r="AD62">
        <v>119185.90522478736</v>
      </c>
      <c r="AE62">
        <v>-6335.0078478890646</v>
      </c>
      <c r="AF62">
        <v>112850.8973768983</v>
      </c>
      <c r="AG62">
        <v>0</v>
      </c>
      <c r="AH62">
        <v>112850.8973768983</v>
      </c>
      <c r="AI62">
        <v>0</v>
      </c>
      <c r="AJ62">
        <v>112850.8973768983</v>
      </c>
      <c r="AK62">
        <v>0</v>
      </c>
      <c r="AL62">
        <v>112850.8973768983</v>
      </c>
      <c r="AM62">
        <v>112850.8973768983</v>
      </c>
      <c r="AN62">
        <v>4904500</v>
      </c>
      <c r="AP62">
        <v>0.02</v>
      </c>
      <c r="AQ62">
        <v>98090</v>
      </c>
      <c r="AR62">
        <v>110593.87942936033</v>
      </c>
      <c r="AS62">
        <v>4806410</v>
      </c>
      <c r="AT62" s="238" t="s">
        <v>36</v>
      </c>
      <c r="AV62">
        <v>110593.87942936033</v>
      </c>
      <c r="AW62">
        <v>0</v>
      </c>
      <c r="AX62">
        <v>4806410</v>
      </c>
      <c r="AY62" s="238" t="s">
        <v>3540</v>
      </c>
      <c r="AZ62" s="238" t="s">
        <v>8963</v>
      </c>
      <c r="BA62" s="238" t="s">
        <v>8963</v>
      </c>
      <c r="BB62" s="238" t="s">
        <v>8953</v>
      </c>
      <c r="BC62" s="238" t="s">
        <v>8964</v>
      </c>
      <c r="BD62" t="b">
        <v>1</v>
      </c>
      <c r="BE62" s="238" t="s">
        <v>9088</v>
      </c>
      <c r="BF62" s="238" t="s">
        <v>8972</v>
      </c>
      <c r="BG62">
        <v>4904500</v>
      </c>
      <c r="BH62">
        <v>5179900</v>
      </c>
      <c r="BI62">
        <v>4904500</v>
      </c>
      <c r="BJ62">
        <v>4904500</v>
      </c>
      <c r="BK62">
        <v>0</v>
      </c>
    </row>
    <row r="63" spans="1:63" x14ac:dyDescent="0.25">
      <c r="A63">
        <v>62</v>
      </c>
      <c r="B63">
        <v>1</v>
      </c>
      <c r="C63">
        <v>9</v>
      </c>
      <c r="D63">
        <v>1</v>
      </c>
      <c r="E63">
        <v>1</v>
      </c>
      <c r="F63">
        <v>14.95</v>
      </c>
      <c r="I63">
        <v>14.95</v>
      </c>
      <c r="J63">
        <v>16.68</v>
      </c>
      <c r="K63">
        <v>5.19</v>
      </c>
      <c r="M63">
        <v>3.96</v>
      </c>
      <c r="P63">
        <v>3.36</v>
      </c>
      <c r="R63">
        <v>3.36</v>
      </c>
      <c r="S63">
        <v>44.14</v>
      </c>
      <c r="T63">
        <v>40.78</v>
      </c>
      <c r="U63">
        <v>42.46</v>
      </c>
      <c r="V63">
        <v>119184.96000000001</v>
      </c>
      <c r="X63">
        <v>119184.96000000001</v>
      </c>
      <c r="Y63">
        <v>1.9332038834836567</v>
      </c>
      <c r="Z63">
        <v>119186.89320388349</v>
      </c>
      <c r="AA63">
        <v>0</v>
      </c>
      <c r="AB63">
        <v>119186.89320388349</v>
      </c>
      <c r="AC63">
        <v>3575.7281553398061</v>
      </c>
      <c r="AD63">
        <v>122762.6213592233</v>
      </c>
      <c r="AE63">
        <v>2.3338927785807755</v>
      </c>
      <c r="AF63">
        <v>122764.95525200188</v>
      </c>
      <c r="AG63">
        <v>0</v>
      </c>
      <c r="AH63">
        <v>122764.95525200188</v>
      </c>
      <c r="AI63">
        <v>0</v>
      </c>
      <c r="AJ63">
        <v>122764.95525200188</v>
      </c>
      <c r="AK63">
        <v>0</v>
      </c>
      <c r="AL63">
        <v>122764.95525200188</v>
      </c>
      <c r="AM63">
        <v>122764.95525200188</v>
      </c>
      <c r="AN63">
        <v>5212600</v>
      </c>
      <c r="AQ63">
        <v>0</v>
      </c>
      <c r="AR63">
        <v>122764.95525200188</v>
      </c>
      <c r="AS63">
        <v>5212600</v>
      </c>
      <c r="AT63" s="238" t="s">
        <v>36</v>
      </c>
      <c r="AV63">
        <v>122764.95525200188</v>
      </c>
      <c r="AW63">
        <v>0</v>
      </c>
      <c r="AX63">
        <v>5212600</v>
      </c>
      <c r="AY63" s="238"/>
      <c r="AZ63" s="238" t="s">
        <v>3</v>
      </c>
      <c r="BA63" s="238" t="s">
        <v>3</v>
      </c>
      <c r="BB63" s="238" t="s">
        <v>8951</v>
      </c>
      <c r="BC63" s="238" t="s">
        <v>1167</v>
      </c>
      <c r="BD63" t="b">
        <v>1</v>
      </c>
      <c r="BE63" s="238" t="s">
        <v>9088</v>
      </c>
      <c r="BF63" s="238" t="s">
        <v>8972</v>
      </c>
      <c r="BG63">
        <v>5212600</v>
      </c>
      <c r="BH63">
        <v>5212600</v>
      </c>
      <c r="BI63">
        <v>0</v>
      </c>
      <c r="BJ63">
        <v>0</v>
      </c>
      <c r="BK63">
        <v>0</v>
      </c>
    </row>
    <row r="64" spans="1:63" x14ac:dyDescent="0.25">
      <c r="A64">
        <v>63</v>
      </c>
      <c r="B64">
        <v>1</v>
      </c>
      <c r="C64">
        <v>9</v>
      </c>
      <c r="D64">
        <v>2</v>
      </c>
      <c r="E64">
        <v>3</v>
      </c>
      <c r="F64">
        <v>18.46</v>
      </c>
      <c r="G64">
        <v>10.53</v>
      </c>
      <c r="H64">
        <v>9.9700000000000006</v>
      </c>
      <c r="I64">
        <v>38.96</v>
      </c>
      <c r="J64">
        <v>17.02</v>
      </c>
      <c r="K64">
        <v>4.72</v>
      </c>
      <c r="L64">
        <v>3.58</v>
      </c>
      <c r="M64">
        <v>4.18</v>
      </c>
      <c r="N64">
        <v>6.27</v>
      </c>
      <c r="P64">
        <v>3.04</v>
      </c>
      <c r="Q64">
        <v>3.41</v>
      </c>
      <c r="R64">
        <v>6.45</v>
      </c>
      <c r="S64">
        <v>81.180000000000007</v>
      </c>
      <c r="T64">
        <v>74.73</v>
      </c>
      <c r="U64">
        <v>77.959999999999994</v>
      </c>
      <c r="V64">
        <v>105198.08</v>
      </c>
      <c r="X64">
        <v>105198.08</v>
      </c>
      <c r="Y64">
        <v>0.85546240850817412</v>
      </c>
      <c r="Z64">
        <v>105198.93546240851</v>
      </c>
      <c r="AA64">
        <v>500.06653359947086</v>
      </c>
      <c r="AB64">
        <v>105699.00199600798</v>
      </c>
      <c r="AC64">
        <v>3170.9647371922765</v>
      </c>
      <c r="AD64">
        <v>108869.96673320026</v>
      </c>
      <c r="AE64">
        <v>1.2492750090896152</v>
      </c>
      <c r="AF64">
        <v>108871.21600820935</v>
      </c>
      <c r="AG64">
        <v>0</v>
      </c>
      <c r="AH64">
        <v>108871.21600820935</v>
      </c>
      <c r="AI64">
        <v>0</v>
      </c>
      <c r="AJ64">
        <v>108871.21600820935</v>
      </c>
      <c r="AK64">
        <v>2188.3786557208805</v>
      </c>
      <c r="AL64">
        <v>111059.59466393024</v>
      </c>
      <c r="AM64">
        <v>111059.59466393023</v>
      </c>
      <c r="AN64">
        <v>8658206</v>
      </c>
      <c r="AQ64">
        <v>0</v>
      </c>
      <c r="AR64">
        <v>111059.59466393023</v>
      </c>
      <c r="AS64">
        <v>8658206</v>
      </c>
      <c r="AT64" s="238" t="s">
        <v>36</v>
      </c>
      <c r="AV64">
        <v>111059.59466393023</v>
      </c>
      <c r="AW64">
        <v>0</v>
      </c>
      <c r="AX64">
        <v>8658206</v>
      </c>
      <c r="AY64" s="238"/>
      <c r="AZ64" s="238" t="s">
        <v>3</v>
      </c>
      <c r="BA64" s="238" t="s">
        <v>3</v>
      </c>
      <c r="BB64" s="238" t="s">
        <v>8951</v>
      </c>
      <c r="BC64" s="238" t="s">
        <v>1167</v>
      </c>
      <c r="BD64" t="b">
        <v>1</v>
      </c>
      <c r="BE64" s="238" t="s">
        <v>9088</v>
      </c>
      <c r="BF64" s="238" t="s">
        <v>8990</v>
      </c>
      <c r="BG64">
        <v>8658206</v>
      </c>
      <c r="BH64">
        <v>8658206</v>
      </c>
      <c r="BI64">
        <v>0</v>
      </c>
      <c r="BJ64">
        <v>0</v>
      </c>
      <c r="BK64">
        <v>0</v>
      </c>
    </row>
    <row r="65" spans="1:63" x14ac:dyDescent="0.25">
      <c r="A65">
        <v>64</v>
      </c>
      <c r="B65">
        <v>1</v>
      </c>
      <c r="C65">
        <v>9</v>
      </c>
      <c r="D65">
        <v>3</v>
      </c>
      <c r="E65">
        <v>1</v>
      </c>
      <c r="F65">
        <v>12.41</v>
      </c>
      <c r="I65">
        <v>12.41</v>
      </c>
      <c r="J65">
        <v>14.95</v>
      </c>
      <c r="K65">
        <v>4.97</v>
      </c>
      <c r="M65">
        <v>3.88</v>
      </c>
      <c r="P65">
        <v>2.93</v>
      </c>
      <c r="R65">
        <v>2.93</v>
      </c>
      <c r="S65">
        <v>39.14</v>
      </c>
      <c r="T65">
        <v>36.21</v>
      </c>
      <c r="U65">
        <v>37.68</v>
      </c>
      <c r="V65">
        <v>120353.44</v>
      </c>
      <c r="X65">
        <v>120353.44</v>
      </c>
      <c r="Y65">
        <v>2.1155555555596948</v>
      </c>
      <c r="Z65">
        <v>120355.55555555556</v>
      </c>
      <c r="AA65">
        <v>0</v>
      </c>
      <c r="AB65">
        <v>120355.55555555556</v>
      </c>
      <c r="AC65">
        <v>3611.1111111111095</v>
      </c>
      <c r="AD65">
        <v>123966.66666666667</v>
      </c>
      <c r="AE65">
        <v>0.95541401272930671</v>
      </c>
      <c r="AF65">
        <v>123967.6220806794</v>
      </c>
      <c r="AG65">
        <v>0</v>
      </c>
      <c r="AH65">
        <v>123967.6220806794</v>
      </c>
      <c r="AI65">
        <v>500.37154989385454</v>
      </c>
      <c r="AJ65">
        <v>124467.99363057326</v>
      </c>
      <c r="AK65">
        <v>0</v>
      </c>
      <c r="AL65">
        <v>124467.99363057326</v>
      </c>
      <c r="AM65">
        <v>124467.99363057326</v>
      </c>
      <c r="AN65">
        <v>4689954</v>
      </c>
      <c r="AQ65">
        <v>0</v>
      </c>
      <c r="AR65">
        <v>124467.99363057326</v>
      </c>
      <c r="AS65">
        <v>4689954</v>
      </c>
      <c r="AT65" s="238" t="s">
        <v>36</v>
      </c>
      <c r="AV65">
        <v>124467.99363057326</v>
      </c>
      <c r="AW65">
        <v>0</v>
      </c>
      <c r="AX65">
        <v>4689954</v>
      </c>
      <c r="AY65" s="238"/>
      <c r="AZ65" s="238" t="s">
        <v>3</v>
      </c>
      <c r="BA65" s="238" t="s">
        <v>3</v>
      </c>
      <c r="BB65" s="238" t="s">
        <v>8951</v>
      </c>
      <c r="BC65" s="238" t="s">
        <v>1167</v>
      </c>
      <c r="BD65" t="b">
        <v>1</v>
      </c>
      <c r="BE65" s="238" t="s">
        <v>9088</v>
      </c>
      <c r="BF65" s="238" t="s">
        <v>8972</v>
      </c>
      <c r="BG65">
        <v>4689954</v>
      </c>
      <c r="BH65">
        <v>4689954</v>
      </c>
      <c r="BI65">
        <v>0</v>
      </c>
      <c r="BJ65">
        <v>0</v>
      </c>
      <c r="BK65">
        <v>0</v>
      </c>
    </row>
    <row r="66" spans="1:63" x14ac:dyDescent="0.25">
      <c r="A66">
        <v>65</v>
      </c>
      <c r="B66">
        <v>1</v>
      </c>
      <c r="C66">
        <v>9</v>
      </c>
      <c r="D66">
        <v>4</v>
      </c>
      <c r="E66">
        <v>1</v>
      </c>
      <c r="F66">
        <v>12.41</v>
      </c>
      <c r="I66">
        <v>12.41</v>
      </c>
      <c r="J66">
        <v>14.8</v>
      </c>
      <c r="K66">
        <v>4.97</v>
      </c>
      <c r="M66">
        <v>3.88</v>
      </c>
      <c r="P66">
        <v>3.11</v>
      </c>
      <c r="R66">
        <v>3.11</v>
      </c>
      <c r="S66">
        <v>39.17</v>
      </c>
      <c r="T66">
        <v>36.06</v>
      </c>
      <c r="U66">
        <v>37.619999999999997</v>
      </c>
      <c r="V66">
        <v>120353.44</v>
      </c>
      <c r="X66">
        <v>120353.44</v>
      </c>
      <c r="Y66">
        <v>2.6100695410132175</v>
      </c>
      <c r="Z66">
        <v>120356.05006954102</v>
      </c>
      <c r="AA66">
        <v>0</v>
      </c>
      <c r="AB66">
        <v>120356.05006954102</v>
      </c>
      <c r="AC66">
        <v>3610.6258692628762</v>
      </c>
      <c r="AD66">
        <v>123966.67593880389</v>
      </c>
      <c r="AE66">
        <v>1.9577666719269473</v>
      </c>
      <c r="AF66">
        <v>123968.63370547582</v>
      </c>
      <c r="AG66">
        <v>500.37214247741213</v>
      </c>
      <c r="AH66">
        <v>124469.00584795323</v>
      </c>
      <c r="AI66">
        <v>0</v>
      </c>
      <c r="AJ66">
        <v>124469.00584795323</v>
      </c>
      <c r="AK66">
        <v>0</v>
      </c>
      <c r="AL66">
        <v>124469.00584795325</v>
      </c>
      <c r="AM66">
        <v>124469.00584795323</v>
      </c>
      <c r="AN66">
        <v>4682524</v>
      </c>
      <c r="AQ66">
        <v>0</v>
      </c>
      <c r="AR66">
        <v>124469.00584795323</v>
      </c>
      <c r="AS66">
        <v>4682524</v>
      </c>
      <c r="AT66" s="238" t="s">
        <v>36</v>
      </c>
      <c r="AV66">
        <v>124469.00584795323</v>
      </c>
      <c r="AW66">
        <v>0</v>
      </c>
      <c r="AX66">
        <v>4682524</v>
      </c>
      <c r="AY66" s="238"/>
      <c r="AZ66" s="238" t="s">
        <v>3</v>
      </c>
      <c r="BA66" s="238" t="s">
        <v>3</v>
      </c>
      <c r="BB66" s="238" t="s">
        <v>8951</v>
      </c>
      <c r="BC66" s="238" t="s">
        <v>1167</v>
      </c>
      <c r="BD66" t="b">
        <v>1</v>
      </c>
      <c r="BE66" s="238" t="s">
        <v>9088</v>
      </c>
      <c r="BF66" s="238" t="s">
        <v>8972</v>
      </c>
      <c r="BG66">
        <v>4682524</v>
      </c>
      <c r="BH66">
        <v>4682524</v>
      </c>
      <c r="BI66">
        <v>0</v>
      </c>
      <c r="BJ66">
        <v>0</v>
      </c>
      <c r="BK66">
        <v>0</v>
      </c>
    </row>
    <row r="67" spans="1:63" x14ac:dyDescent="0.25">
      <c r="A67">
        <v>66</v>
      </c>
      <c r="B67">
        <v>1</v>
      </c>
      <c r="C67">
        <v>9</v>
      </c>
      <c r="D67">
        <v>5</v>
      </c>
      <c r="E67">
        <v>2</v>
      </c>
      <c r="F67">
        <v>14.66</v>
      </c>
      <c r="G67">
        <v>10.58</v>
      </c>
      <c r="I67">
        <v>25.240000000000002</v>
      </c>
      <c r="J67">
        <v>17.63</v>
      </c>
      <c r="K67">
        <v>4.37</v>
      </c>
      <c r="L67">
        <v>3.38</v>
      </c>
      <c r="M67">
        <v>3.48</v>
      </c>
      <c r="N67">
        <v>3.77</v>
      </c>
      <c r="P67">
        <v>3.11</v>
      </c>
      <c r="R67">
        <v>3.11</v>
      </c>
      <c r="S67">
        <v>60.98</v>
      </c>
      <c r="T67">
        <v>57.87</v>
      </c>
      <c r="U67">
        <v>59.43</v>
      </c>
      <c r="V67">
        <v>118496.08</v>
      </c>
      <c r="X67">
        <v>118496.08</v>
      </c>
      <c r="Y67">
        <v>0.86856146468198858</v>
      </c>
      <c r="Z67">
        <v>118496.94856146468</v>
      </c>
      <c r="AA67">
        <v>0</v>
      </c>
      <c r="AB67">
        <v>118496.94856146468</v>
      </c>
      <c r="AC67">
        <v>3554.9607672188286</v>
      </c>
      <c r="AD67">
        <v>122051.90932868351</v>
      </c>
      <c r="AE67">
        <v>0.92593969946028665</v>
      </c>
      <c r="AF67">
        <v>122052.83526838297</v>
      </c>
      <c r="AG67">
        <v>0</v>
      </c>
      <c r="AH67">
        <v>122052.83526838297</v>
      </c>
      <c r="AI67">
        <v>0</v>
      </c>
      <c r="AJ67">
        <v>122052.83526838297</v>
      </c>
      <c r="AK67">
        <v>1220.6966178697619</v>
      </c>
      <c r="AL67">
        <v>123273.53188625272</v>
      </c>
      <c r="AM67">
        <v>123273.53188625273</v>
      </c>
      <c r="AN67">
        <v>7326146</v>
      </c>
      <c r="AQ67">
        <v>0</v>
      </c>
      <c r="AR67">
        <v>123273.53188625273</v>
      </c>
      <c r="AS67">
        <v>7326146</v>
      </c>
      <c r="AT67" s="238" t="s">
        <v>36</v>
      </c>
      <c r="AV67">
        <v>123273.53188625273</v>
      </c>
      <c r="AW67">
        <v>0</v>
      </c>
      <c r="AX67">
        <v>7326146</v>
      </c>
      <c r="AY67" s="238"/>
      <c r="AZ67" s="238" t="s">
        <v>3</v>
      </c>
      <c r="BA67" s="238" t="s">
        <v>3</v>
      </c>
      <c r="BB67" s="238" t="s">
        <v>8951</v>
      </c>
      <c r="BC67" s="238" t="s">
        <v>1167</v>
      </c>
      <c r="BD67" t="b">
        <v>1</v>
      </c>
      <c r="BE67" s="238" t="s">
        <v>9088</v>
      </c>
      <c r="BF67" s="238" t="s">
        <v>8971</v>
      </c>
      <c r="BG67">
        <v>7326146</v>
      </c>
      <c r="BH67">
        <v>7326146</v>
      </c>
      <c r="BI67">
        <v>0</v>
      </c>
      <c r="BJ67">
        <v>0</v>
      </c>
      <c r="BK67">
        <v>0</v>
      </c>
    </row>
    <row r="68" spans="1:63" x14ac:dyDescent="0.25">
      <c r="A68">
        <v>67</v>
      </c>
      <c r="B68">
        <v>1</v>
      </c>
      <c r="C68">
        <v>9</v>
      </c>
      <c r="D68">
        <v>6</v>
      </c>
      <c r="E68">
        <v>2</v>
      </c>
      <c r="F68">
        <v>11.63</v>
      </c>
      <c r="G68">
        <v>10.93</v>
      </c>
      <c r="I68">
        <v>22.560000000000002</v>
      </c>
      <c r="J68">
        <v>16.28</v>
      </c>
      <c r="K68">
        <v>4.9000000000000004</v>
      </c>
      <c r="M68">
        <v>4.3899999999999997</v>
      </c>
      <c r="N68">
        <v>1.81</v>
      </c>
      <c r="P68">
        <v>4.4000000000000004</v>
      </c>
      <c r="R68">
        <v>4.4000000000000004</v>
      </c>
      <c r="S68">
        <v>54.34</v>
      </c>
      <c r="T68">
        <v>49.94</v>
      </c>
      <c r="U68">
        <v>52.14</v>
      </c>
      <c r="V68">
        <v>116281.2</v>
      </c>
      <c r="X68">
        <v>116281.2</v>
      </c>
      <c r="Y68">
        <v>501.80692383779387</v>
      </c>
      <c r="Z68">
        <v>116783.00692383779</v>
      </c>
      <c r="AA68">
        <v>0</v>
      </c>
      <c r="AB68">
        <v>116783.00692383779</v>
      </c>
      <c r="AC68">
        <v>0</v>
      </c>
      <c r="AD68">
        <v>116783.00692383779</v>
      </c>
      <c r="AE68">
        <v>-3561.2769660318882</v>
      </c>
      <c r="AF68">
        <v>113221.7299578059</v>
      </c>
      <c r="AG68">
        <v>0</v>
      </c>
      <c r="AH68">
        <v>113221.7299578059</v>
      </c>
      <c r="AI68">
        <v>0</v>
      </c>
      <c r="AJ68">
        <v>113221.7299578059</v>
      </c>
      <c r="AK68">
        <v>0</v>
      </c>
      <c r="AL68">
        <v>113221.7299578059</v>
      </c>
      <c r="AM68">
        <v>113221.7299578059</v>
      </c>
      <c r="AN68">
        <v>5903381</v>
      </c>
      <c r="AQ68">
        <v>0</v>
      </c>
      <c r="AR68">
        <v>113221.7299578059</v>
      </c>
      <c r="AS68">
        <v>5903381</v>
      </c>
      <c r="AT68" s="238" t="s">
        <v>36</v>
      </c>
      <c r="AV68">
        <v>113221.7299578059</v>
      </c>
      <c r="AW68">
        <v>0</v>
      </c>
      <c r="AX68">
        <v>5903381</v>
      </c>
      <c r="AY68" s="238"/>
      <c r="AZ68" s="238" t="s">
        <v>8963</v>
      </c>
      <c r="BA68" s="238" t="s">
        <v>8963</v>
      </c>
      <c r="BB68" s="238" t="s">
        <v>8953</v>
      </c>
      <c r="BC68" s="238" t="s">
        <v>8964</v>
      </c>
      <c r="BD68" t="b">
        <v>1</v>
      </c>
      <c r="BE68" s="238" t="s">
        <v>9088</v>
      </c>
      <c r="BF68" s="238" t="s">
        <v>8971</v>
      </c>
      <c r="BG68">
        <v>5903381</v>
      </c>
      <c r="BH68">
        <v>6150009</v>
      </c>
      <c r="BI68">
        <v>5903381</v>
      </c>
      <c r="BJ68">
        <v>5903381</v>
      </c>
      <c r="BK68">
        <v>0</v>
      </c>
    </row>
    <row r="69" spans="1:63" x14ac:dyDescent="0.25">
      <c r="A69">
        <v>68</v>
      </c>
      <c r="B69">
        <v>1</v>
      </c>
      <c r="C69">
        <v>9</v>
      </c>
      <c r="D69">
        <v>7</v>
      </c>
      <c r="E69">
        <v>2</v>
      </c>
      <c r="F69">
        <v>10.86</v>
      </c>
      <c r="G69">
        <v>14.01</v>
      </c>
      <c r="I69">
        <v>24.869999999999997</v>
      </c>
      <c r="J69">
        <v>19.21</v>
      </c>
      <c r="K69">
        <v>3.96</v>
      </c>
      <c r="M69">
        <v>3.24</v>
      </c>
      <c r="N69">
        <v>3.83</v>
      </c>
      <c r="O69">
        <v>4.6399999999999997</v>
      </c>
      <c r="P69">
        <v>3.91</v>
      </c>
      <c r="R69">
        <v>3.91</v>
      </c>
      <c r="S69">
        <v>63.66</v>
      </c>
      <c r="T69">
        <v>59.75</v>
      </c>
      <c r="U69">
        <v>61.71</v>
      </c>
      <c r="V69">
        <v>117388.64</v>
      </c>
      <c r="X69">
        <v>117388.64</v>
      </c>
      <c r="Y69">
        <v>1.3683319222764112E-2</v>
      </c>
      <c r="Z69">
        <v>117388.65368331922</v>
      </c>
      <c r="AA69">
        <v>0</v>
      </c>
      <c r="AB69">
        <v>117388.65368331922</v>
      </c>
      <c r="AC69">
        <v>3522.0152413209144</v>
      </c>
      <c r="AD69">
        <v>120910.66892464014</v>
      </c>
      <c r="AE69">
        <v>4.2467354680411518E-2</v>
      </c>
      <c r="AF69">
        <v>120910.71139199482</v>
      </c>
      <c r="AG69">
        <v>0</v>
      </c>
      <c r="AH69">
        <v>120910.71139199482</v>
      </c>
      <c r="AI69">
        <v>0</v>
      </c>
      <c r="AJ69">
        <v>120910.71139199482</v>
      </c>
      <c r="AK69">
        <v>1209.3988008426531</v>
      </c>
      <c r="AL69">
        <v>122120.11019283748</v>
      </c>
      <c r="AM69">
        <v>122120.11019283747</v>
      </c>
      <c r="AN69">
        <v>7536032</v>
      </c>
      <c r="AQ69">
        <v>0</v>
      </c>
      <c r="AR69">
        <v>122120.11019283747</v>
      </c>
      <c r="AS69">
        <v>7536032</v>
      </c>
      <c r="AT69" s="238" t="s">
        <v>36</v>
      </c>
      <c r="AV69">
        <v>122120.11019283747</v>
      </c>
      <c r="AW69">
        <v>0</v>
      </c>
      <c r="AX69">
        <v>7536032</v>
      </c>
      <c r="AY69" s="238"/>
      <c r="AZ69" s="238" t="s">
        <v>3</v>
      </c>
      <c r="BA69" s="238" t="s">
        <v>3</v>
      </c>
      <c r="BB69" s="238" t="s">
        <v>8951</v>
      </c>
      <c r="BC69" s="238" t="s">
        <v>1167</v>
      </c>
      <c r="BD69" t="b">
        <v>1</v>
      </c>
      <c r="BE69" s="238" t="s">
        <v>9088</v>
      </c>
      <c r="BF69" s="238" t="s">
        <v>8971</v>
      </c>
      <c r="BG69">
        <v>7536032</v>
      </c>
      <c r="BH69">
        <v>7536032</v>
      </c>
      <c r="BI69">
        <v>0</v>
      </c>
      <c r="BJ69">
        <v>0</v>
      </c>
      <c r="BK69">
        <v>0</v>
      </c>
    </row>
    <row r="70" spans="1:63" x14ac:dyDescent="0.25">
      <c r="A70">
        <v>69</v>
      </c>
      <c r="B70">
        <v>1</v>
      </c>
      <c r="C70">
        <v>9</v>
      </c>
      <c r="D70">
        <v>8</v>
      </c>
      <c r="E70">
        <v>1</v>
      </c>
      <c r="F70">
        <v>14.95</v>
      </c>
      <c r="I70">
        <v>14.95</v>
      </c>
      <c r="J70">
        <v>17.670000000000002</v>
      </c>
      <c r="K70">
        <v>5.16</v>
      </c>
      <c r="M70">
        <v>4</v>
      </c>
      <c r="P70">
        <v>3.36</v>
      </c>
      <c r="R70">
        <v>3.36</v>
      </c>
      <c r="S70">
        <v>45.14</v>
      </c>
      <c r="T70">
        <v>41.78</v>
      </c>
      <c r="U70">
        <v>43.46</v>
      </c>
      <c r="V70">
        <v>119184.96000000001</v>
      </c>
      <c r="X70">
        <v>119184.96000000001</v>
      </c>
      <c r="Y70">
        <v>0.9452247873559827</v>
      </c>
      <c r="Z70">
        <v>119185.90522478736</v>
      </c>
      <c r="AA70">
        <v>500.09720534630469</v>
      </c>
      <c r="AB70">
        <v>119686.00243013367</v>
      </c>
      <c r="AC70">
        <v>3590.5710814094782</v>
      </c>
      <c r="AD70">
        <v>123276.57351154315</v>
      </c>
      <c r="AE70">
        <v>2.6504448906052858E-3</v>
      </c>
      <c r="AF70">
        <v>123276.57616198804</v>
      </c>
      <c r="AG70">
        <v>0</v>
      </c>
      <c r="AH70">
        <v>123276.57616198804</v>
      </c>
      <c r="AI70">
        <v>0</v>
      </c>
      <c r="AJ70">
        <v>123276.57616198804</v>
      </c>
      <c r="AK70">
        <v>0</v>
      </c>
      <c r="AL70">
        <v>123276.57616198804</v>
      </c>
      <c r="AM70">
        <v>123276.57616198804</v>
      </c>
      <c r="AN70">
        <v>5357600</v>
      </c>
      <c r="AQ70">
        <v>0</v>
      </c>
      <c r="AR70">
        <v>123276.57616198804</v>
      </c>
      <c r="AS70">
        <v>5357600</v>
      </c>
      <c r="AT70" s="238" t="s">
        <v>36</v>
      </c>
      <c r="AV70">
        <v>123276.57616198804</v>
      </c>
      <c r="AW70">
        <v>0</v>
      </c>
      <c r="AX70">
        <v>5357600</v>
      </c>
      <c r="AY70" s="238"/>
      <c r="AZ70" s="238" t="s">
        <v>3</v>
      </c>
      <c r="BA70" s="238" t="s">
        <v>3</v>
      </c>
      <c r="BB70" s="238" t="s">
        <v>8951</v>
      </c>
      <c r="BC70" s="238" t="s">
        <v>1167</v>
      </c>
      <c r="BD70" t="b">
        <v>1</v>
      </c>
      <c r="BE70" s="238" t="s">
        <v>9088</v>
      </c>
      <c r="BF70" s="238" t="s">
        <v>8972</v>
      </c>
      <c r="BG70">
        <v>5357600</v>
      </c>
      <c r="BH70">
        <v>5357600</v>
      </c>
      <c r="BI70">
        <v>0</v>
      </c>
      <c r="BJ70">
        <v>0</v>
      </c>
      <c r="BK70">
        <v>0</v>
      </c>
    </row>
    <row r="71" spans="1:63" x14ac:dyDescent="0.25">
      <c r="A71">
        <v>70</v>
      </c>
      <c r="B71">
        <v>1</v>
      </c>
      <c r="C71">
        <v>10</v>
      </c>
      <c r="D71">
        <v>1</v>
      </c>
      <c r="E71">
        <v>1</v>
      </c>
      <c r="F71">
        <v>14.95</v>
      </c>
      <c r="I71">
        <v>14.95</v>
      </c>
      <c r="J71">
        <v>16.68</v>
      </c>
      <c r="K71">
        <v>5.19</v>
      </c>
      <c r="M71">
        <v>3.96</v>
      </c>
      <c r="P71">
        <v>3.36</v>
      </c>
      <c r="R71">
        <v>3.36</v>
      </c>
      <c r="S71">
        <v>44.14</v>
      </c>
      <c r="T71">
        <v>40.78</v>
      </c>
      <c r="U71">
        <v>42.46</v>
      </c>
      <c r="V71">
        <v>119184.96000000001</v>
      </c>
      <c r="X71">
        <v>119184.96000000001</v>
      </c>
      <c r="Y71">
        <v>1.9332038834836567</v>
      </c>
      <c r="Z71">
        <v>119186.89320388349</v>
      </c>
      <c r="AA71">
        <v>0</v>
      </c>
      <c r="AB71">
        <v>119186.89320388349</v>
      </c>
      <c r="AC71">
        <v>3575.7281553398061</v>
      </c>
      <c r="AD71">
        <v>122762.6213592233</v>
      </c>
      <c r="AE71">
        <v>2.3338927785807755</v>
      </c>
      <c r="AF71">
        <v>122764.95525200188</v>
      </c>
      <c r="AG71">
        <v>0</v>
      </c>
      <c r="AH71">
        <v>122764.95525200188</v>
      </c>
      <c r="AI71">
        <v>0</v>
      </c>
      <c r="AJ71">
        <v>122764.95525200188</v>
      </c>
      <c r="AK71">
        <v>0</v>
      </c>
      <c r="AL71">
        <v>122764.95525200188</v>
      </c>
      <c r="AM71">
        <v>122764.95525200188</v>
      </c>
      <c r="AN71">
        <v>5212600</v>
      </c>
      <c r="AQ71">
        <v>0</v>
      </c>
      <c r="AR71">
        <v>122764.95525200188</v>
      </c>
      <c r="AS71">
        <v>5212600</v>
      </c>
      <c r="AT71" s="238" t="s">
        <v>36</v>
      </c>
      <c r="AV71">
        <v>122764.95525200188</v>
      </c>
      <c r="AW71">
        <v>0</v>
      </c>
      <c r="AX71">
        <v>5212600</v>
      </c>
      <c r="AY71" s="238"/>
      <c r="AZ71" s="238" t="s">
        <v>3</v>
      </c>
      <c r="BA71" s="238" t="s">
        <v>3</v>
      </c>
      <c r="BB71" s="238" t="s">
        <v>8951</v>
      </c>
      <c r="BC71" s="238" t="s">
        <v>1167</v>
      </c>
      <c r="BD71" t="b">
        <v>1</v>
      </c>
      <c r="BE71" s="238" t="s">
        <v>9088</v>
      </c>
      <c r="BF71" s="238" t="s">
        <v>8972</v>
      </c>
      <c r="BG71">
        <v>5212600</v>
      </c>
      <c r="BH71">
        <v>5212600</v>
      </c>
      <c r="BI71">
        <v>0</v>
      </c>
      <c r="BJ71">
        <v>0</v>
      </c>
      <c r="BK71">
        <v>0</v>
      </c>
    </row>
    <row r="72" spans="1:63" x14ac:dyDescent="0.25">
      <c r="A72">
        <v>71</v>
      </c>
      <c r="B72">
        <v>1</v>
      </c>
      <c r="C72">
        <v>10</v>
      </c>
      <c r="D72">
        <v>2</v>
      </c>
      <c r="E72">
        <v>3</v>
      </c>
      <c r="F72">
        <v>18.46</v>
      </c>
      <c r="G72">
        <v>10.53</v>
      </c>
      <c r="H72">
        <v>9.9700000000000006</v>
      </c>
      <c r="I72">
        <v>38.96</v>
      </c>
      <c r="J72">
        <v>17.02</v>
      </c>
      <c r="K72">
        <v>4.72</v>
      </c>
      <c r="L72">
        <v>3.58</v>
      </c>
      <c r="M72">
        <v>4.18</v>
      </c>
      <c r="N72">
        <v>6.27</v>
      </c>
      <c r="P72">
        <v>3.04</v>
      </c>
      <c r="Q72">
        <v>3.41</v>
      </c>
      <c r="R72">
        <v>6.45</v>
      </c>
      <c r="S72">
        <v>81.180000000000007</v>
      </c>
      <c r="T72">
        <v>74.73</v>
      </c>
      <c r="U72">
        <v>77.959999999999994</v>
      </c>
      <c r="V72">
        <v>105198.08</v>
      </c>
      <c r="X72">
        <v>105198.08</v>
      </c>
      <c r="Y72">
        <v>0.85546240850817412</v>
      </c>
      <c r="Z72">
        <v>105198.93546240851</v>
      </c>
      <c r="AA72">
        <v>500.06653359947086</v>
      </c>
      <c r="AB72">
        <v>105699.00199600798</v>
      </c>
      <c r="AC72">
        <v>3170.9647371922765</v>
      </c>
      <c r="AD72">
        <v>108869.96673320026</v>
      </c>
      <c r="AE72">
        <v>1.2492750090896152</v>
      </c>
      <c r="AF72">
        <v>108871.21600820935</v>
      </c>
      <c r="AG72">
        <v>0</v>
      </c>
      <c r="AH72">
        <v>108871.21600820935</v>
      </c>
      <c r="AI72">
        <v>0</v>
      </c>
      <c r="AJ72">
        <v>108871.21600820935</v>
      </c>
      <c r="AK72">
        <v>2188.3786557208805</v>
      </c>
      <c r="AL72">
        <v>111059.59466393024</v>
      </c>
      <c r="AM72">
        <v>111059.59466393023</v>
      </c>
      <c r="AN72">
        <v>8658206</v>
      </c>
      <c r="AQ72">
        <v>0</v>
      </c>
      <c r="AR72">
        <v>111059.59466393023</v>
      </c>
      <c r="AS72">
        <v>8658206</v>
      </c>
      <c r="AT72" s="238" t="s">
        <v>36</v>
      </c>
      <c r="AV72">
        <v>111059.59466393023</v>
      </c>
      <c r="AW72">
        <v>0</v>
      </c>
      <c r="AX72">
        <v>8658206</v>
      </c>
      <c r="AY72" s="238"/>
      <c r="AZ72" s="238" t="s">
        <v>3</v>
      </c>
      <c r="BA72" s="238" t="s">
        <v>3</v>
      </c>
      <c r="BB72" s="238" t="s">
        <v>8951</v>
      </c>
      <c r="BC72" s="238" t="s">
        <v>1167</v>
      </c>
      <c r="BD72" t="b">
        <v>1</v>
      </c>
      <c r="BE72" s="238" t="s">
        <v>9088</v>
      </c>
      <c r="BF72" s="238" t="s">
        <v>8990</v>
      </c>
      <c r="BG72">
        <v>8658206</v>
      </c>
      <c r="BH72">
        <v>8658206</v>
      </c>
      <c r="BI72">
        <v>0</v>
      </c>
      <c r="BJ72">
        <v>0</v>
      </c>
      <c r="BK72">
        <v>0</v>
      </c>
    </row>
    <row r="73" spans="1:63" x14ac:dyDescent="0.25">
      <c r="A73">
        <v>72</v>
      </c>
      <c r="B73">
        <v>1</v>
      </c>
      <c r="C73">
        <v>10</v>
      </c>
      <c r="D73">
        <v>3</v>
      </c>
      <c r="E73">
        <v>1</v>
      </c>
      <c r="F73">
        <v>12.41</v>
      </c>
      <c r="I73">
        <v>12.41</v>
      </c>
      <c r="J73">
        <v>14.95</v>
      </c>
      <c r="K73">
        <v>4.97</v>
      </c>
      <c r="M73">
        <v>3.88</v>
      </c>
      <c r="P73">
        <v>2.93</v>
      </c>
      <c r="R73">
        <v>2.93</v>
      </c>
      <c r="S73">
        <v>39.14</v>
      </c>
      <c r="T73">
        <v>36.21</v>
      </c>
      <c r="U73">
        <v>37.68</v>
      </c>
      <c r="V73">
        <v>120353.44</v>
      </c>
      <c r="X73">
        <v>120353.44</v>
      </c>
      <c r="Y73">
        <v>2.1155555555596948</v>
      </c>
      <c r="Z73">
        <v>120355.55555555556</v>
      </c>
      <c r="AA73">
        <v>0</v>
      </c>
      <c r="AB73">
        <v>120355.55555555556</v>
      </c>
      <c r="AC73">
        <v>3611.1111111111095</v>
      </c>
      <c r="AD73">
        <v>123966.66666666667</v>
      </c>
      <c r="AE73">
        <v>0.95541401272930671</v>
      </c>
      <c r="AF73">
        <v>123967.6220806794</v>
      </c>
      <c r="AG73">
        <v>0</v>
      </c>
      <c r="AH73">
        <v>123967.6220806794</v>
      </c>
      <c r="AI73">
        <v>500.37154989385454</v>
      </c>
      <c r="AJ73">
        <v>124467.99363057326</v>
      </c>
      <c r="AK73">
        <v>0</v>
      </c>
      <c r="AL73">
        <v>124467.99363057326</v>
      </c>
      <c r="AM73">
        <v>124467.99363057326</v>
      </c>
      <c r="AN73">
        <v>4689954</v>
      </c>
      <c r="AQ73">
        <v>0</v>
      </c>
      <c r="AR73">
        <v>124467.99363057326</v>
      </c>
      <c r="AS73">
        <v>4689954</v>
      </c>
      <c r="AT73" s="238" t="s">
        <v>36</v>
      </c>
      <c r="AV73">
        <v>124467.99363057326</v>
      </c>
      <c r="AW73">
        <v>0</v>
      </c>
      <c r="AX73">
        <v>4689954</v>
      </c>
      <c r="AY73" s="238"/>
      <c r="AZ73" s="238" t="s">
        <v>3</v>
      </c>
      <c r="BA73" s="238" t="s">
        <v>3</v>
      </c>
      <c r="BB73" s="238" t="s">
        <v>8951</v>
      </c>
      <c r="BC73" s="238" t="s">
        <v>1167</v>
      </c>
      <c r="BD73" t="b">
        <v>1</v>
      </c>
      <c r="BE73" s="238" t="s">
        <v>9088</v>
      </c>
      <c r="BF73" s="238" t="s">
        <v>8972</v>
      </c>
      <c r="BG73">
        <v>4689954</v>
      </c>
      <c r="BH73">
        <v>4689954</v>
      </c>
      <c r="BI73">
        <v>0</v>
      </c>
      <c r="BJ73">
        <v>0</v>
      </c>
      <c r="BK73">
        <v>0</v>
      </c>
    </row>
    <row r="74" spans="1:63" x14ac:dyDescent="0.25">
      <c r="A74">
        <v>73</v>
      </c>
      <c r="B74">
        <v>1</v>
      </c>
      <c r="C74">
        <v>10</v>
      </c>
      <c r="D74">
        <v>4</v>
      </c>
      <c r="E74">
        <v>1</v>
      </c>
      <c r="F74">
        <v>12.41</v>
      </c>
      <c r="I74">
        <v>12.41</v>
      </c>
      <c r="J74">
        <v>14.8</v>
      </c>
      <c r="K74">
        <v>4.97</v>
      </c>
      <c r="M74">
        <v>3.88</v>
      </c>
      <c r="P74">
        <v>3.11</v>
      </c>
      <c r="R74">
        <v>3.11</v>
      </c>
      <c r="S74">
        <v>39.17</v>
      </c>
      <c r="T74">
        <v>36.06</v>
      </c>
      <c r="U74">
        <v>37.619999999999997</v>
      </c>
      <c r="V74">
        <v>120353.44</v>
      </c>
      <c r="X74">
        <v>120353.44</v>
      </c>
      <c r="Y74">
        <v>2.6100695410132175</v>
      </c>
      <c r="Z74">
        <v>120356.05006954102</v>
      </c>
      <c r="AA74">
        <v>0</v>
      </c>
      <c r="AB74">
        <v>120356.05006954102</v>
      </c>
      <c r="AC74">
        <v>3610.6258692628762</v>
      </c>
      <c r="AD74">
        <v>123966.67593880389</v>
      </c>
      <c r="AE74">
        <v>1.9577666719269473</v>
      </c>
      <c r="AF74">
        <v>123968.63370547582</v>
      </c>
      <c r="AG74">
        <v>500.37214247741213</v>
      </c>
      <c r="AH74">
        <v>124469.00584795323</v>
      </c>
      <c r="AI74">
        <v>0</v>
      </c>
      <c r="AJ74">
        <v>124469.00584795323</v>
      </c>
      <c r="AK74">
        <v>0</v>
      </c>
      <c r="AL74">
        <v>124469.00584795325</v>
      </c>
      <c r="AM74">
        <v>124469.00584795323</v>
      </c>
      <c r="AN74">
        <v>4682524</v>
      </c>
      <c r="AQ74">
        <v>0</v>
      </c>
      <c r="AR74">
        <v>124469.00584795323</v>
      </c>
      <c r="AS74">
        <v>4682524</v>
      </c>
      <c r="AT74" s="238" t="s">
        <v>36</v>
      </c>
      <c r="AV74">
        <v>124469.00584795323</v>
      </c>
      <c r="AW74">
        <v>0</v>
      </c>
      <c r="AX74">
        <v>4682524</v>
      </c>
      <c r="AY74" s="238"/>
      <c r="AZ74" s="238" t="s">
        <v>3</v>
      </c>
      <c r="BA74" s="238" t="s">
        <v>3</v>
      </c>
      <c r="BB74" s="238" t="s">
        <v>8951</v>
      </c>
      <c r="BC74" s="238" t="s">
        <v>1167</v>
      </c>
      <c r="BD74" t="b">
        <v>1</v>
      </c>
      <c r="BE74" s="238" t="s">
        <v>9088</v>
      </c>
      <c r="BF74" s="238" t="s">
        <v>8972</v>
      </c>
      <c r="BG74">
        <v>4682524</v>
      </c>
      <c r="BH74">
        <v>4682524</v>
      </c>
      <c r="BI74">
        <v>0</v>
      </c>
      <c r="BJ74">
        <v>0</v>
      </c>
      <c r="BK74">
        <v>0</v>
      </c>
    </row>
    <row r="75" spans="1:63" x14ac:dyDescent="0.25">
      <c r="A75">
        <v>74</v>
      </c>
      <c r="B75">
        <v>1</v>
      </c>
      <c r="C75">
        <v>10</v>
      </c>
      <c r="D75">
        <v>5</v>
      </c>
      <c r="E75">
        <v>2</v>
      </c>
      <c r="F75">
        <v>14.66</v>
      </c>
      <c r="G75">
        <v>10.58</v>
      </c>
      <c r="I75">
        <v>25.240000000000002</v>
      </c>
      <c r="J75">
        <v>17.63</v>
      </c>
      <c r="K75">
        <v>4.37</v>
      </c>
      <c r="L75">
        <v>3.38</v>
      </c>
      <c r="M75">
        <v>3.48</v>
      </c>
      <c r="N75">
        <v>3.77</v>
      </c>
      <c r="P75">
        <v>3.11</v>
      </c>
      <c r="R75">
        <v>3.11</v>
      </c>
      <c r="S75">
        <v>60.98</v>
      </c>
      <c r="T75">
        <v>57.87</v>
      </c>
      <c r="U75">
        <v>59.43</v>
      </c>
      <c r="V75">
        <v>118496.08</v>
      </c>
      <c r="X75">
        <v>118496.08</v>
      </c>
      <c r="Y75">
        <v>0.86856146468198858</v>
      </c>
      <c r="Z75">
        <v>118496.94856146468</v>
      </c>
      <c r="AA75">
        <v>0</v>
      </c>
      <c r="AB75">
        <v>118496.94856146468</v>
      </c>
      <c r="AC75">
        <v>3554.9607672188286</v>
      </c>
      <c r="AD75">
        <v>122051.90932868351</v>
      </c>
      <c r="AE75">
        <v>0.92593969946028665</v>
      </c>
      <c r="AF75">
        <v>122052.83526838297</v>
      </c>
      <c r="AG75">
        <v>0</v>
      </c>
      <c r="AH75">
        <v>122052.83526838297</v>
      </c>
      <c r="AI75">
        <v>0</v>
      </c>
      <c r="AJ75">
        <v>122052.83526838297</v>
      </c>
      <c r="AK75">
        <v>1220.6966178697619</v>
      </c>
      <c r="AL75">
        <v>123273.53188625272</v>
      </c>
      <c r="AM75">
        <v>123273.53188625273</v>
      </c>
      <c r="AN75">
        <v>7326146</v>
      </c>
      <c r="AQ75">
        <v>0</v>
      </c>
      <c r="AR75">
        <v>123273.53188625273</v>
      </c>
      <c r="AS75">
        <v>7326146</v>
      </c>
      <c r="AT75" s="238" t="s">
        <v>36</v>
      </c>
      <c r="AV75">
        <v>123273.53188625273</v>
      </c>
      <c r="AW75">
        <v>0</v>
      </c>
      <c r="AX75">
        <v>7326146</v>
      </c>
      <c r="AY75" s="238"/>
      <c r="AZ75" s="238" t="s">
        <v>3</v>
      </c>
      <c r="BA75" s="238" t="s">
        <v>3</v>
      </c>
      <c r="BB75" s="238" t="s">
        <v>8951</v>
      </c>
      <c r="BC75" s="238" t="s">
        <v>1167</v>
      </c>
      <c r="BD75" t="b">
        <v>1</v>
      </c>
      <c r="BE75" s="238" t="s">
        <v>9088</v>
      </c>
      <c r="BF75" s="238" t="s">
        <v>8971</v>
      </c>
      <c r="BG75">
        <v>7326146</v>
      </c>
      <c r="BH75">
        <v>7326146</v>
      </c>
      <c r="BI75">
        <v>0</v>
      </c>
      <c r="BJ75">
        <v>0</v>
      </c>
      <c r="BK75">
        <v>0</v>
      </c>
    </row>
    <row r="76" spans="1:63" x14ac:dyDescent="0.25">
      <c r="A76">
        <v>75</v>
      </c>
      <c r="B76">
        <v>1</v>
      </c>
      <c r="C76">
        <v>10</v>
      </c>
      <c r="D76">
        <v>6</v>
      </c>
      <c r="E76">
        <v>2</v>
      </c>
      <c r="F76">
        <v>11.63</v>
      </c>
      <c r="G76">
        <v>10.93</v>
      </c>
      <c r="I76">
        <v>22.560000000000002</v>
      </c>
      <c r="J76">
        <v>16.28</v>
      </c>
      <c r="K76">
        <v>4.9000000000000004</v>
      </c>
      <c r="M76">
        <v>4.3899999999999997</v>
      </c>
      <c r="N76">
        <v>1.81</v>
      </c>
      <c r="P76">
        <v>4.4000000000000004</v>
      </c>
      <c r="R76">
        <v>4.4000000000000004</v>
      </c>
      <c r="S76">
        <v>54.34</v>
      </c>
      <c r="T76">
        <v>49.94</v>
      </c>
      <c r="U76">
        <v>52.14</v>
      </c>
      <c r="V76">
        <v>116281.2</v>
      </c>
      <c r="X76">
        <v>116281.2</v>
      </c>
      <c r="Y76">
        <v>501.80692383779387</v>
      </c>
      <c r="Z76">
        <v>116783.00692383779</v>
      </c>
      <c r="AA76">
        <v>0</v>
      </c>
      <c r="AB76">
        <v>116783.00692383779</v>
      </c>
      <c r="AC76">
        <v>0</v>
      </c>
      <c r="AD76">
        <v>116783.00692383779</v>
      </c>
      <c r="AE76">
        <v>-3561.2769660318882</v>
      </c>
      <c r="AF76">
        <v>113221.7299578059</v>
      </c>
      <c r="AG76">
        <v>0</v>
      </c>
      <c r="AH76">
        <v>113221.7299578059</v>
      </c>
      <c r="AI76">
        <v>0</v>
      </c>
      <c r="AJ76">
        <v>113221.7299578059</v>
      </c>
      <c r="AK76">
        <v>0</v>
      </c>
      <c r="AL76">
        <v>113221.7299578059</v>
      </c>
      <c r="AM76">
        <v>113221.7299578059</v>
      </c>
      <c r="AN76">
        <v>5903381</v>
      </c>
      <c r="AP76">
        <v>0.02</v>
      </c>
      <c r="AQ76">
        <v>118068</v>
      </c>
      <c r="AR76">
        <v>110957.2880705792</v>
      </c>
      <c r="AS76">
        <v>5785313</v>
      </c>
      <c r="AT76" s="238" t="s">
        <v>36</v>
      </c>
      <c r="AV76">
        <v>110957.2880705792</v>
      </c>
      <c r="AW76">
        <v>0</v>
      </c>
      <c r="AX76">
        <v>5785313</v>
      </c>
      <c r="AY76" s="238" t="s">
        <v>3540</v>
      </c>
      <c r="AZ76" s="238" t="s">
        <v>8963</v>
      </c>
      <c r="BA76" s="238" t="s">
        <v>8963</v>
      </c>
      <c r="BB76" s="238" t="s">
        <v>8953</v>
      </c>
      <c r="BC76" s="238" t="s">
        <v>8964</v>
      </c>
      <c r="BD76" t="b">
        <v>1</v>
      </c>
      <c r="BE76" s="238" t="s">
        <v>9088</v>
      </c>
      <c r="BF76" s="238" t="s">
        <v>8971</v>
      </c>
      <c r="BG76">
        <v>5903381</v>
      </c>
      <c r="BH76">
        <v>6150009</v>
      </c>
      <c r="BI76">
        <v>5903381</v>
      </c>
      <c r="BJ76">
        <v>0</v>
      </c>
      <c r="BK76">
        <v>0</v>
      </c>
    </row>
    <row r="77" spans="1:63" x14ac:dyDescent="0.25">
      <c r="A77">
        <v>76</v>
      </c>
      <c r="B77">
        <v>1</v>
      </c>
      <c r="C77">
        <v>10</v>
      </c>
      <c r="D77">
        <v>7</v>
      </c>
      <c r="E77">
        <v>2</v>
      </c>
      <c r="F77">
        <v>10.86</v>
      </c>
      <c r="G77">
        <v>14.01</v>
      </c>
      <c r="I77">
        <v>24.869999999999997</v>
      </c>
      <c r="J77">
        <v>19.21</v>
      </c>
      <c r="K77">
        <v>3.96</v>
      </c>
      <c r="M77">
        <v>3.24</v>
      </c>
      <c r="N77">
        <v>3.83</v>
      </c>
      <c r="O77">
        <v>4.6399999999999997</v>
      </c>
      <c r="P77">
        <v>3.91</v>
      </c>
      <c r="R77">
        <v>3.91</v>
      </c>
      <c r="S77">
        <v>63.66</v>
      </c>
      <c r="T77">
        <v>59.75</v>
      </c>
      <c r="U77">
        <v>61.71</v>
      </c>
      <c r="V77">
        <v>117388.64</v>
      </c>
      <c r="X77">
        <v>117388.64</v>
      </c>
      <c r="Y77">
        <v>1.3683319222764112E-2</v>
      </c>
      <c r="Z77">
        <v>117388.65368331922</v>
      </c>
      <c r="AA77">
        <v>0</v>
      </c>
      <c r="AB77">
        <v>117388.65368331922</v>
      </c>
      <c r="AC77">
        <v>3522.0152413209144</v>
      </c>
      <c r="AD77">
        <v>120910.66892464014</v>
      </c>
      <c r="AE77">
        <v>4.2467354680411518E-2</v>
      </c>
      <c r="AF77">
        <v>120910.71139199482</v>
      </c>
      <c r="AG77">
        <v>0</v>
      </c>
      <c r="AH77">
        <v>120910.71139199482</v>
      </c>
      <c r="AI77">
        <v>0</v>
      </c>
      <c r="AJ77">
        <v>120910.71139199482</v>
      </c>
      <c r="AK77">
        <v>1209.3988008426531</v>
      </c>
      <c r="AL77">
        <v>122120.11019283748</v>
      </c>
      <c r="AM77">
        <v>122120.11019283747</v>
      </c>
      <c r="AN77">
        <v>7536032</v>
      </c>
      <c r="AQ77">
        <v>0</v>
      </c>
      <c r="AR77">
        <v>122120.11019283747</v>
      </c>
      <c r="AS77">
        <v>7536032</v>
      </c>
      <c r="AT77" s="238" t="s">
        <v>36</v>
      </c>
      <c r="AV77">
        <v>122120.11019283747</v>
      </c>
      <c r="AW77">
        <v>0</v>
      </c>
      <c r="AX77">
        <v>7536032</v>
      </c>
      <c r="AY77" s="238"/>
      <c r="AZ77" s="238" t="s">
        <v>3</v>
      </c>
      <c r="BA77" s="238" t="s">
        <v>3</v>
      </c>
      <c r="BB77" s="238" t="s">
        <v>8951</v>
      </c>
      <c r="BC77" s="238" t="s">
        <v>1167</v>
      </c>
      <c r="BD77" t="b">
        <v>1</v>
      </c>
      <c r="BE77" s="238" t="s">
        <v>9088</v>
      </c>
      <c r="BF77" s="238" t="s">
        <v>8971</v>
      </c>
      <c r="BG77">
        <v>7536032</v>
      </c>
      <c r="BH77">
        <v>7536032</v>
      </c>
      <c r="BI77">
        <v>0</v>
      </c>
      <c r="BJ77">
        <v>0</v>
      </c>
      <c r="BK77">
        <v>0</v>
      </c>
    </row>
    <row r="78" spans="1:63" x14ac:dyDescent="0.25">
      <c r="A78">
        <v>77</v>
      </c>
      <c r="B78">
        <v>1</v>
      </c>
      <c r="C78">
        <v>10</v>
      </c>
      <c r="D78">
        <v>8</v>
      </c>
      <c r="E78">
        <v>1</v>
      </c>
      <c r="F78">
        <v>14.95</v>
      </c>
      <c r="I78">
        <v>14.95</v>
      </c>
      <c r="J78">
        <v>17.670000000000002</v>
      </c>
      <c r="K78">
        <v>5.16</v>
      </c>
      <c r="M78">
        <v>4</v>
      </c>
      <c r="P78">
        <v>3.36</v>
      </c>
      <c r="R78">
        <v>3.36</v>
      </c>
      <c r="S78">
        <v>45.14</v>
      </c>
      <c r="T78">
        <v>41.78</v>
      </c>
      <c r="U78">
        <v>43.46</v>
      </c>
      <c r="V78">
        <v>119184.96000000001</v>
      </c>
      <c r="X78">
        <v>119184.96000000001</v>
      </c>
      <c r="Y78">
        <v>0.9452247873559827</v>
      </c>
      <c r="Z78">
        <v>119185.90522478736</v>
      </c>
      <c r="AA78">
        <v>500.09720534630469</v>
      </c>
      <c r="AB78">
        <v>119686.00243013367</v>
      </c>
      <c r="AC78">
        <v>3590.5710814094782</v>
      </c>
      <c r="AD78">
        <v>123276.57351154315</v>
      </c>
      <c r="AE78">
        <v>2.6504448906052858E-3</v>
      </c>
      <c r="AF78">
        <v>123276.57616198804</v>
      </c>
      <c r="AG78">
        <v>0</v>
      </c>
      <c r="AH78">
        <v>123276.57616198804</v>
      </c>
      <c r="AI78">
        <v>0</v>
      </c>
      <c r="AJ78">
        <v>123276.57616198804</v>
      </c>
      <c r="AK78">
        <v>0</v>
      </c>
      <c r="AL78">
        <v>123276.57616198804</v>
      </c>
      <c r="AM78">
        <v>123276.57616198804</v>
      </c>
      <c r="AN78">
        <v>5357600</v>
      </c>
      <c r="AQ78">
        <v>0</v>
      </c>
      <c r="AR78">
        <v>123276.57616198804</v>
      </c>
      <c r="AS78">
        <v>5357600</v>
      </c>
      <c r="AT78" s="238" t="s">
        <v>36</v>
      </c>
      <c r="AV78">
        <v>123276.57616198804</v>
      </c>
      <c r="AW78">
        <v>0</v>
      </c>
      <c r="AX78">
        <v>5357600</v>
      </c>
      <c r="AY78" s="238"/>
      <c r="AZ78" s="238" t="s">
        <v>3</v>
      </c>
      <c r="BA78" s="238" t="s">
        <v>3</v>
      </c>
      <c r="BB78" s="238" t="s">
        <v>8951</v>
      </c>
      <c r="BC78" s="238" t="s">
        <v>1167</v>
      </c>
      <c r="BD78" t="b">
        <v>1</v>
      </c>
      <c r="BE78" s="238" t="s">
        <v>9088</v>
      </c>
      <c r="BF78" s="238" t="s">
        <v>8972</v>
      </c>
      <c r="BG78">
        <v>5357600</v>
      </c>
      <c r="BH78">
        <v>5357600</v>
      </c>
      <c r="BI78">
        <v>0</v>
      </c>
      <c r="BJ78">
        <v>0</v>
      </c>
      <c r="BK78">
        <v>0</v>
      </c>
    </row>
    <row r="79" spans="1:63" x14ac:dyDescent="0.25">
      <c r="A79">
        <v>78</v>
      </c>
      <c r="B79">
        <v>1</v>
      </c>
      <c r="C79">
        <v>11</v>
      </c>
      <c r="D79">
        <v>1</v>
      </c>
      <c r="E79">
        <v>1</v>
      </c>
      <c r="F79">
        <v>14.95</v>
      </c>
      <c r="I79">
        <v>14.95</v>
      </c>
      <c r="J79">
        <v>16.68</v>
      </c>
      <c r="K79">
        <v>5.19</v>
      </c>
      <c r="M79">
        <v>3.96</v>
      </c>
      <c r="P79">
        <v>3.36</v>
      </c>
      <c r="R79">
        <v>3.36</v>
      </c>
      <c r="S79">
        <v>44.14</v>
      </c>
      <c r="T79">
        <v>40.78</v>
      </c>
      <c r="U79">
        <v>42.46</v>
      </c>
      <c r="V79">
        <v>119184.96000000001</v>
      </c>
      <c r="X79">
        <v>119184.96000000001</v>
      </c>
      <c r="Y79">
        <v>1.9332038834836567</v>
      </c>
      <c r="Z79">
        <v>119186.89320388349</v>
      </c>
      <c r="AA79">
        <v>0</v>
      </c>
      <c r="AB79">
        <v>119186.89320388349</v>
      </c>
      <c r="AC79">
        <v>3575.7281553398061</v>
      </c>
      <c r="AD79">
        <v>122762.6213592233</v>
      </c>
      <c r="AE79">
        <v>2.3338927785807755</v>
      </c>
      <c r="AF79">
        <v>122764.95525200188</v>
      </c>
      <c r="AG79">
        <v>0</v>
      </c>
      <c r="AH79">
        <v>122764.95525200188</v>
      </c>
      <c r="AI79">
        <v>0</v>
      </c>
      <c r="AJ79">
        <v>122764.95525200188</v>
      </c>
      <c r="AK79">
        <v>0</v>
      </c>
      <c r="AL79">
        <v>122764.95525200188</v>
      </c>
      <c r="AM79">
        <v>122764.95525200188</v>
      </c>
      <c r="AN79">
        <v>5212600</v>
      </c>
      <c r="AQ79">
        <v>0</v>
      </c>
      <c r="AR79">
        <v>122764.95525200188</v>
      </c>
      <c r="AS79">
        <v>5212600</v>
      </c>
      <c r="AT79" s="238" t="s">
        <v>36</v>
      </c>
      <c r="AV79">
        <v>122764.95525200188</v>
      </c>
      <c r="AW79">
        <v>0</v>
      </c>
      <c r="AX79">
        <v>5212600</v>
      </c>
      <c r="AY79" s="238"/>
      <c r="AZ79" s="238" t="s">
        <v>3</v>
      </c>
      <c r="BA79" s="238" t="s">
        <v>3</v>
      </c>
      <c r="BB79" s="238" t="s">
        <v>8951</v>
      </c>
      <c r="BC79" s="238" t="s">
        <v>1167</v>
      </c>
      <c r="BD79" t="b">
        <v>1</v>
      </c>
      <c r="BE79" s="238" t="s">
        <v>9088</v>
      </c>
      <c r="BF79" s="238" t="s">
        <v>8972</v>
      </c>
      <c r="BG79">
        <v>5212600</v>
      </c>
      <c r="BH79">
        <v>5212600</v>
      </c>
      <c r="BI79">
        <v>0</v>
      </c>
      <c r="BJ79">
        <v>0</v>
      </c>
      <c r="BK79">
        <v>0</v>
      </c>
    </row>
    <row r="80" spans="1:63" x14ac:dyDescent="0.25">
      <c r="A80">
        <v>79</v>
      </c>
      <c r="B80">
        <v>1</v>
      </c>
      <c r="C80">
        <v>11</v>
      </c>
      <c r="D80">
        <v>2</v>
      </c>
      <c r="E80">
        <v>3</v>
      </c>
      <c r="F80">
        <v>18.46</v>
      </c>
      <c r="G80">
        <v>10.53</v>
      </c>
      <c r="H80">
        <v>9.9700000000000006</v>
      </c>
      <c r="I80">
        <v>38.96</v>
      </c>
      <c r="J80">
        <v>17.02</v>
      </c>
      <c r="K80">
        <v>4.72</v>
      </c>
      <c r="L80">
        <v>3.58</v>
      </c>
      <c r="M80">
        <v>4.18</v>
      </c>
      <c r="N80">
        <v>6.27</v>
      </c>
      <c r="P80">
        <v>3.04</v>
      </c>
      <c r="Q80">
        <v>3.41</v>
      </c>
      <c r="R80">
        <v>6.45</v>
      </c>
      <c r="S80">
        <v>81.180000000000007</v>
      </c>
      <c r="T80">
        <v>74.73</v>
      </c>
      <c r="U80">
        <v>77.959999999999994</v>
      </c>
      <c r="V80">
        <v>105198.08</v>
      </c>
      <c r="X80">
        <v>105198.08</v>
      </c>
      <c r="Y80">
        <v>0.85546240850817412</v>
      </c>
      <c r="Z80">
        <v>105198.93546240851</v>
      </c>
      <c r="AA80">
        <v>500.06653359947086</v>
      </c>
      <c r="AB80">
        <v>105699.00199600798</v>
      </c>
      <c r="AC80">
        <v>3170.9647371922765</v>
      </c>
      <c r="AD80">
        <v>108869.96673320026</v>
      </c>
      <c r="AE80">
        <v>1.2492750090896152</v>
      </c>
      <c r="AF80">
        <v>108871.21600820935</v>
      </c>
      <c r="AG80">
        <v>0</v>
      </c>
      <c r="AH80">
        <v>108871.21600820935</v>
      </c>
      <c r="AI80">
        <v>0</v>
      </c>
      <c r="AJ80">
        <v>108871.21600820935</v>
      </c>
      <c r="AK80">
        <v>2188.3786557208805</v>
      </c>
      <c r="AL80">
        <v>111059.59466393024</v>
      </c>
      <c r="AM80">
        <v>111059.59466393023</v>
      </c>
      <c r="AN80">
        <v>8658206</v>
      </c>
      <c r="AQ80">
        <v>0</v>
      </c>
      <c r="AR80">
        <v>111059.59466393023</v>
      </c>
      <c r="AS80">
        <v>8658206</v>
      </c>
      <c r="AT80" s="238" t="s">
        <v>36</v>
      </c>
      <c r="AV80">
        <v>111059.59466393023</v>
      </c>
      <c r="AW80">
        <v>0</v>
      </c>
      <c r="AX80">
        <v>8658206</v>
      </c>
      <c r="AY80" s="238"/>
      <c r="AZ80" s="238" t="s">
        <v>3</v>
      </c>
      <c r="BA80" s="238" t="s">
        <v>3</v>
      </c>
      <c r="BB80" s="238" t="s">
        <v>8951</v>
      </c>
      <c r="BC80" s="238" t="s">
        <v>1167</v>
      </c>
      <c r="BD80" t="b">
        <v>1</v>
      </c>
      <c r="BE80" s="238" t="s">
        <v>9088</v>
      </c>
      <c r="BF80" s="238" t="s">
        <v>8990</v>
      </c>
      <c r="BG80">
        <v>8658206</v>
      </c>
      <c r="BH80">
        <v>8658206</v>
      </c>
      <c r="BI80">
        <v>0</v>
      </c>
      <c r="BJ80">
        <v>0</v>
      </c>
      <c r="BK80">
        <v>0</v>
      </c>
    </row>
    <row r="81" spans="1:63" x14ac:dyDescent="0.25">
      <c r="A81">
        <v>80</v>
      </c>
      <c r="B81">
        <v>1</v>
      </c>
      <c r="C81">
        <v>11</v>
      </c>
      <c r="D81">
        <v>3</v>
      </c>
      <c r="E81">
        <v>1</v>
      </c>
      <c r="F81">
        <v>12.41</v>
      </c>
      <c r="I81">
        <v>12.41</v>
      </c>
      <c r="J81">
        <v>14.95</v>
      </c>
      <c r="K81">
        <v>4.97</v>
      </c>
      <c r="M81">
        <v>3.88</v>
      </c>
      <c r="P81">
        <v>2.93</v>
      </c>
      <c r="R81">
        <v>2.93</v>
      </c>
      <c r="S81">
        <v>39.14</v>
      </c>
      <c r="T81">
        <v>36.21</v>
      </c>
      <c r="U81">
        <v>37.68</v>
      </c>
      <c r="V81">
        <v>120353.44</v>
      </c>
      <c r="X81">
        <v>120353.44</v>
      </c>
      <c r="Y81">
        <v>2.1155555555596948</v>
      </c>
      <c r="Z81">
        <v>120355.55555555556</v>
      </c>
      <c r="AA81">
        <v>0</v>
      </c>
      <c r="AB81">
        <v>120355.55555555556</v>
      </c>
      <c r="AC81">
        <v>0</v>
      </c>
      <c r="AD81">
        <v>120355.55555555556</v>
      </c>
      <c r="AE81">
        <v>-5366.1712668082182</v>
      </c>
      <c r="AF81">
        <v>114989.38428874734</v>
      </c>
      <c r="AG81">
        <v>0</v>
      </c>
      <c r="AH81">
        <v>114989.38428874734</v>
      </c>
      <c r="AI81">
        <v>0</v>
      </c>
      <c r="AJ81">
        <v>114989.38428874734</v>
      </c>
      <c r="AK81">
        <v>0</v>
      </c>
      <c r="AL81">
        <v>114989.38428874734</v>
      </c>
      <c r="AM81">
        <v>114989.38428874734</v>
      </c>
      <c r="AN81">
        <v>4332800</v>
      </c>
      <c r="AQ81">
        <v>0</v>
      </c>
      <c r="AR81">
        <v>114989.38428874734</v>
      </c>
      <c r="AS81">
        <v>4332800</v>
      </c>
      <c r="AT81" s="238" t="s">
        <v>36</v>
      </c>
      <c r="AV81">
        <v>114989.38428874734</v>
      </c>
      <c r="AW81">
        <v>0</v>
      </c>
      <c r="AX81">
        <v>4332800</v>
      </c>
      <c r="AY81" s="238"/>
      <c r="AZ81" s="238" t="s">
        <v>8963</v>
      </c>
      <c r="BA81" s="238" t="s">
        <v>8963</v>
      </c>
      <c r="BB81" s="238" t="s">
        <v>8953</v>
      </c>
      <c r="BC81" s="238" t="s">
        <v>8964</v>
      </c>
      <c r="BD81" t="b">
        <v>1</v>
      </c>
      <c r="BE81" s="238" t="s">
        <v>9088</v>
      </c>
      <c r="BF81" s="238" t="s">
        <v>8972</v>
      </c>
      <c r="BG81">
        <v>4332800</v>
      </c>
      <c r="BH81">
        <v>4553854</v>
      </c>
      <c r="BI81">
        <v>4332800</v>
      </c>
      <c r="BJ81">
        <v>0</v>
      </c>
      <c r="BK81">
        <v>0</v>
      </c>
    </row>
    <row r="82" spans="1:63" x14ac:dyDescent="0.25">
      <c r="A82">
        <v>81</v>
      </c>
      <c r="B82">
        <v>1</v>
      </c>
      <c r="C82">
        <v>11</v>
      </c>
      <c r="D82">
        <v>4</v>
      </c>
      <c r="E82">
        <v>1</v>
      </c>
      <c r="F82">
        <v>12.41</v>
      </c>
      <c r="I82">
        <v>12.41</v>
      </c>
      <c r="J82">
        <v>14.8</v>
      </c>
      <c r="K82">
        <v>4.97</v>
      </c>
      <c r="M82">
        <v>3.88</v>
      </c>
      <c r="P82">
        <v>3.11</v>
      </c>
      <c r="R82">
        <v>3.11</v>
      </c>
      <c r="S82">
        <v>39.17</v>
      </c>
      <c r="T82">
        <v>36.06</v>
      </c>
      <c r="U82">
        <v>37.619999999999997</v>
      </c>
      <c r="V82">
        <v>120353.44</v>
      </c>
      <c r="X82">
        <v>120353.44</v>
      </c>
      <c r="Y82">
        <v>2.6100695410132175</v>
      </c>
      <c r="Z82">
        <v>120356.05006954102</v>
      </c>
      <c r="AA82">
        <v>0</v>
      </c>
      <c r="AB82">
        <v>120356.05006954102</v>
      </c>
      <c r="AC82">
        <v>3610.6258692628762</v>
      </c>
      <c r="AD82">
        <v>123966.67593880389</v>
      </c>
      <c r="AE82">
        <v>1.9577666719269473</v>
      </c>
      <c r="AF82">
        <v>123968.63370547582</v>
      </c>
      <c r="AG82">
        <v>500.37214247741213</v>
      </c>
      <c r="AH82">
        <v>124469.00584795323</v>
      </c>
      <c r="AI82">
        <v>0</v>
      </c>
      <c r="AJ82">
        <v>124469.00584795323</v>
      </c>
      <c r="AK82">
        <v>0</v>
      </c>
      <c r="AL82">
        <v>124469.00584795325</v>
      </c>
      <c r="AM82">
        <v>124469.00584795323</v>
      </c>
      <c r="AN82">
        <v>4682524</v>
      </c>
      <c r="AQ82">
        <v>0</v>
      </c>
      <c r="AR82">
        <v>124469.00584795323</v>
      </c>
      <c r="AS82">
        <v>4682524</v>
      </c>
      <c r="AT82" s="238" t="s">
        <v>36</v>
      </c>
      <c r="AV82">
        <v>124469.00584795323</v>
      </c>
      <c r="AW82">
        <v>0</v>
      </c>
      <c r="AX82">
        <v>4682524</v>
      </c>
      <c r="AY82" s="238"/>
      <c r="AZ82" s="238" t="s">
        <v>3</v>
      </c>
      <c r="BA82" s="238" t="s">
        <v>3</v>
      </c>
      <c r="BB82" s="238" t="s">
        <v>8951</v>
      </c>
      <c r="BC82" s="238" t="s">
        <v>1167</v>
      </c>
      <c r="BD82" t="b">
        <v>1</v>
      </c>
      <c r="BE82" s="238" t="s">
        <v>9088</v>
      </c>
      <c r="BF82" s="238" t="s">
        <v>8972</v>
      </c>
      <c r="BG82">
        <v>4682524</v>
      </c>
      <c r="BH82">
        <v>4682524</v>
      </c>
      <c r="BI82">
        <v>0</v>
      </c>
      <c r="BJ82">
        <v>0</v>
      </c>
      <c r="BK82">
        <v>0</v>
      </c>
    </row>
    <row r="83" spans="1:63" x14ac:dyDescent="0.25">
      <c r="A83">
        <v>82</v>
      </c>
      <c r="B83">
        <v>1</v>
      </c>
      <c r="C83">
        <v>11</v>
      </c>
      <c r="D83">
        <v>5</v>
      </c>
      <c r="E83">
        <v>2</v>
      </c>
      <c r="F83">
        <v>14.66</v>
      </c>
      <c r="G83">
        <v>10.58</v>
      </c>
      <c r="I83">
        <v>25.240000000000002</v>
      </c>
      <c r="J83">
        <v>17.63</v>
      </c>
      <c r="K83">
        <v>4.37</v>
      </c>
      <c r="L83">
        <v>3.38</v>
      </c>
      <c r="M83">
        <v>3.48</v>
      </c>
      <c r="N83">
        <v>3.77</v>
      </c>
      <c r="P83">
        <v>3.11</v>
      </c>
      <c r="R83">
        <v>3.11</v>
      </c>
      <c r="S83">
        <v>60.98</v>
      </c>
      <c r="T83">
        <v>57.87</v>
      </c>
      <c r="U83">
        <v>59.43</v>
      </c>
      <c r="V83">
        <v>118496.08</v>
      </c>
      <c r="X83">
        <v>118496.08</v>
      </c>
      <c r="Y83">
        <v>0.86856146468198858</v>
      </c>
      <c r="Z83">
        <v>118496.94856146468</v>
      </c>
      <c r="AA83">
        <v>0</v>
      </c>
      <c r="AB83">
        <v>118496.94856146468</v>
      </c>
      <c r="AC83">
        <v>3554.9607672188286</v>
      </c>
      <c r="AD83">
        <v>122051.90932868351</v>
      </c>
      <c r="AE83">
        <v>0.92593969946028665</v>
      </c>
      <c r="AF83">
        <v>122052.83526838297</v>
      </c>
      <c r="AG83">
        <v>0</v>
      </c>
      <c r="AH83">
        <v>122052.83526838297</v>
      </c>
      <c r="AI83">
        <v>0</v>
      </c>
      <c r="AJ83">
        <v>122052.83526838297</v>
      </c>
      <c r="AK83">
        <v>1220.6966178697619</v>
      </c>
      <c r="AL83">
        <v>123273.53188625272</v>
      </c>
      <c r="AM83">
        <v>123273.53188625273</v>
      </c>
      <c r="AN83">
        <v>7326146</v>
      </c>
      <c r="AQ83">
        <v>0</v>
      </c>
      <c r="AR83">
        <v>123273.53188625273</v>
      </c>
      <c r="AS83">
        <v>7326146</v>
      </c>
      <c r="AT83" s="238" t="s">
        <v>36</v>
      </c>
      <c r="AV83">
        <v>123273.53188625273</v>
      </c>
      <c r="AW83">
        <v>0</v>
      </c>
      <c r="AX83">
        <v>7326146</v>
      </c>
      <c r="AY83" s="238"/>
      <c r="AZ83" s="238" t="s">
        <v>3</v>
      </c>
      <c r="BA83" s="238" t="s">
        <v>3</v>
      </c>
      <c r="BB83" s="238" t="s">
        <v>8951</v>
      </c>
      <c r="BC83" s="238" t="s">
        <v>1167</v>
      </c>
      <c r="BD83" t="b">
        <v>1</v>
      </c>
      <c r="BE83" s="238" t="s">
        <v>9088</v>
      </c>
      <c r="BF83" s="238" t="s">
        <v>8971</v>
      </c>
      <c r="BG83">
        <v>7326146</v>
      </c>
      <c r="BH83">
        <v>7326146</v>
      </c>
      <c r="BI83">
        <v>0</v>
      </c>
      <c r="BJ83">
        <v>0</v>
      </c>
      <c r="BK83">
        <v>0</v>
      </c>
    </row>
    <row r="84" spans="1:63" x14ac:dyDescent="0.25">
      <c r="A84">
        <v>83</v>
      </c>
      <c r="B84">
        <v>1</v>
      </c>
      <c r="C84">
        <v>11</v>
      </c>
      <c r="D84">
        <v>6</v>
      </c>
      <c r="E84">
        <v>2</v>
      </c>
      <c r="F84">
        <v>11.63</v>
      </c>
      <c r="G84">
        <v>10.93</v>
      </c>
      <c r="I84">
        <v>22.560000000000002</v>
      </c>
      <c r="J84">
        <v>16.28</v>
      </c>
      <c r="K84">
        <v>4.9000000000000004</v>
      </c>
      <c r="M84">
        <v>4.3899999999999997</v>
      </c>
      <c r="N84">
        <v>1.81</v>
      </c>
      <c r="P84">
        <v>4.4000000000000004</v>
      </c>
      <c r="R84">
        <v>4.4000000000000004</v>
      </c>
      <c r="S84">
        <v>54.34</v>
      </c>
      <c r="T84">
        <v>49.94</v>
      </c>
      <c r="U84">
        <v>52.14</v>
      </c>
      <c r="V84">
        <v>116281.2</v>
      </c>
      <c r="X84">
        <v>116281.2</v>
      </c>
      <c r="Y84">
        <v>501.80692383779387</v>
      </c>
      <c r="Z84">
        <v>116783.00692383779</v>
      </c>
      <c r="AA84">
        <v>0</v>
      </c>
      <c r="AB84">
        <v>116783.00692383779</v>
      </c>
      <c r="AC84">
        <v>3503.4817012858548</v>
      </c>
      <c r="AD84">
        <v>120286.48862512365</v>
      </c>
      <c r="AE84">
        <v>1.198371424106881</v>
      </c>
      <c r="AF84">
        <v>120287.68699654775</v>
      </c>
      <c r="AG84">
        <v>0</v>
      </c>
      <c r="AH84">
        <v>120287.68699654775</v>
      </c>
      <c r="AI84">
        <v>0</v>
      </c>
      <c r="AJ84">
        <v>120287.68699654775</v>
      </c>
      <c r="AK84">
        <v>1203.1837360951322</v>
      </c>
      <c r="AL84">
        <v>121490.87073264288</v>
      </c>
      <c r="AM84">
        <v>121490.87073264288</v>
      </c>
      <c r="AN84">
        <v>6334534</v>
      </c>
      <c r="AQ84">
        <v>0</v>
      </c>
      <c r="AR84">
        <v>121490.87073264288</v>
      </c>
      <c r="AS84">
        <v>6334534</v>
      </c>
      <c r="AT84" s="238" t="s">
        <v>36</v>
      </c>
      <c r="AV84">
        <v>121490.87073264288</v>
      </c>
      <c r="AW84">
        <v>0</v>
      </c>
      <c r="AX84">
        <v>6334534</v>
      </c>
      <c r="AY84" s="238"/>
      <c r="AZ84" s="238" t="s">
        <v>3</v>
      </c>
      <c r="BA84" s="238" t="s">
        <v>3</v>
      </c>
      <c r="BB84" s="238" t="s">
        <v>8951</v>
      </c>
      <c r="BC84" s="238" t="s">
        <v>1167</v>
      </c>
      <c r="BD84" t="b">
        <v>1</v>
      </c>
      <c r="BE84" s="238" t="s">
        <v>9088</v>
      </c>
      <c r="BF84" s="238" t="s">
        <v>8971</v>
      </c>
      <c r="BG84">
        <v>6334534</v>
      </c>
      <c r="BH84">
        <v>6334534</v>
      </c>
      <c r="BI84">
        <v>0</v>
      </c>
      <c r="BJ84">
        <v>0</v>
      </c>
      <c r="BK84">
        <v>0</v>
      </c>
    </row>
    <row r="85" spans="1:63" x14ac:dyDescent="0.25">
      <c r="A85">
        <v>84</v>
      </c>
      <c r="B85">
        <v>1</v>
      </c>
      <c r="C85">
        <v>11</v>
      </c>
      <c r="D85">
        <v>7</v>
      </c>
      <c r="E85">
        <v>2</v>
      </c>
      <c r="F85">
        <v>10.86</v>
      </c>
      <c r="G85">
        <v>14.01</v>
      </c>
      <c r="I85">
        <v>24.869999999999997</v>
      </c>
      <c r="J85">
        <v>19.21</v>
      </c>
      <c r="K85">
        <v>3.96</v>
      </c>
      <c r="M85">
        <v>3.24</v>
      </c>
      <c r="N85">
        <v>3.83</v>
      </c>
      <c r="O85">
        <v>4.6399999999999997</v>
      </c>
      <c r="P85">
        <v>3.91</v>
      </c>
      <c r="R85">
        <v>3.91</v>
      </c>
      <c r="S85">
        <v>63.66</v>
      </c>
      <c r="T85">
        <v>59.75</v>
      </c>
      <c r="U85">
        <v>61.71</v>
      </c>
      <c r="V85">
        <v>117388.64</v>
      </c>
      <c r="X85">
        <v>117388.64</v>
      </c>
      <c r="Y85">
        <v>1.3683319222764112E-2</v>
      </c>
      <c r="Z85">
        <v>117388.65368331922</v>
      </c>
      <c r="AA85">
        <v>0</v>
      </c>
      <c r="AB85">
        <v>117388.65368331922</v>
      </c>
      <c r="AC85">
        <v>3522.0152413209144</v>
      </c>
      <c r="AD85">
        <v>120910.66892464014</v>
      </c>
      <c r="AE85">
        <v>4.2467354680411518E-2</v>
      </c>
      <c r="AF85">
        <v>120910.71139199482</v>
      </c>
      <c r="AG85">
        <v>0</v>
      </c>
      <c r="AH85">
        <v>120910.71139199482</v>
      </c>
      <c r="AI85">
        <v>0</v>
      </c>
      <c r="AJ85">
        <v>120910.71139199482</v>
      </c>
      <c r="AK85">
        <v>1209.3988008426531</v>
      </c>
      <c r="AL85">
        <v>122120.11019283748</v>
      </c>
      <c r="AM85">
        <v>122120.11019283747</v>
      </c>
      <c r="AN85">
        <v>7536032</v>
      </c>
      <c r="AQ85">
        <v>0</v>
      </c>
      <c r="AR85">
        <v>122120.11019283747</v>
      </c>
      <c r="AS85">
        <v>7536032</v>
      </c>
      <c r="AT85" s="238" t="s">
        <v>36</v>
      </c>
      <c r="AV85">
        <v>122120.11019283747</v>
      </c>
      <c r="AW85">
        <v>0</v>
      </c>
      <c r="AX85">
        <v>7536032</v>
      </c>
      <c r="AY85" s="238"/>
      <c r="AZ85" s="238" t="s">
        <v>3</v>
      </c>
      <c r="BA85" s="238" t="s">
        <v>3</v>
      </c>
      <c r="BB85" s="238" t="s">
        <v>8951</v>
      </c>
      <c r="BC85" s="238" t="s">
        <v>1167</v>
      </c>
      <c r="BD85" t="b">
        <v>1</v>
      </c>
      <c r="BE85" s="238" t="s">
        <v>9088</v>
      </c>
      <c r="BF85" s="238" t="s">
        <v>8971</v>
      </c>
      <c r="BG85">
        <v>7536032</v>
      </c>
      <c r="BH85">
        <v>7536032</v>
      </c>
      <c r="BI85">
        <v>0</v>
      </c>
      <c r="BJ85">
        <v>0</v>
      </c>
      <c r="BK85">
        <v>0</v>
      </c>
    </row>
    <row r="86" spans="1:63" x14ac:dyDescent="0.25">
      <c r="A86">
        <v>85</v>
      </c>
      <c r="B86">
        <v>1</v>
      </c>
      <c r="C86">
        <v>11</v>
      </c>
      <c r="D86">
        <v>8</v>
      </c>
      <c r="E86">
        <v>1</v>
      </c>
      <c r="F86">
        <v>14.95</v>
      </c>
      <c r="I86">
        <v>14.95</v>
      </c>
      <c r="J86">
        <v>17.670000000000002</v>
      </c>
      <c r="K86">
        <v>5.16</v>
      </c>
      <c r="M86">
        <v>4</v>
      </c>
      <c r="P86">
        <v>3.36</v>
      </c>
      <c r="R86">
        <v>3.36</v>
      </c>
      <c r="S86">
        <v>45.14</v>
      </c>
      <c r="T86">
        <v>41.78</v>
      </c>
      <c r="U86">
        <v>43.46</v>
      </c>
      <c r="V86">
        <v>119184.96000000001</v>
      </c>
      <c r="X86">
        <v>119184.96000000001</v>
      </c>
      <c r="Y86">
        <v>0.9452247873559827</v>
      </c>
      <c r="Z86">
        <v>119185.90522478736</v>
      </c>
      <c r="AA86">
        <v>500.09720534630469</v>
      </c>
      <c r="AB86">
        <v>119686.00243013367</v>
      </c>
      <c r="AC86">
        <v>3590.5710814094782</v>
      </c>
      <c r="AD86">
        <v>123276.57351154315</v>
      </c>
      <c r="AE86">
        <v>2.6504448906052858E-3</v>
      </c>
      <c r="AF86">
        <v>123276.57616198804</v>
      </c>
      <c r="AG86">
        <v>0</v>
      </c>
      <c r="AH86">
        <v>123276.57616198804</v>
      </c>
      <c r="AI86">
        <v>0</v>
      </c>
      <c r="AJ86">
        <v>123276.57616198804</v>
      </c>
      <c r="AK86">
        <v>0</v>
      </c>
      <c r="AL86">
        <v>123276.57616198804</v>
      </c>
      <c r="AM86">
        <v>123276.57616198804</v>
      </c>
      <c r="AN86">
        <v>5357600</v>
      </c>
      <c r="AQ86">
        <v>0</v>
      </c>
      <c r="AR86">
        <v>123276.57616198804</v>
      </c>
      <c r="AS86">
        <v>5357600</v>
      </c>
      <c r="AT86" s="238" t="s">
        <v>36</v>
      </c>
      <c r="AV86">
        <v>123276.57616198804</v>
      </c>
      <c r="AW86">
        <v>0</v>
      </c>
      <c r="AX86">
        <v>5357600</v>
      </c>
      <c r="AY86" s="238"/>
      <c r="AZ86" s="238" t="s">
        <v>3</v>
      </c>
      <c r="BA86" s="238" t="s">
        <v>3</v>
      </c>
      <c r="BB86" s="238" t="s">
        <v>8951</v>
      </c>
      <c r="BC86" s="238" t="s">
        <v>1167</v>
      </c>
      <c r="BD86" t="b">
        <v>1</v>
      </c>
      <c r="BE86" s="238" t="s">
        <v>9088</v>
      </c>
      <c r="BF86" s="238" t="s">
        <v>8972</v>
      </c>
      <c r="BG86">
        <v>5357600</v>
      </c>
      <c r="BH86">
        <v>5357600</v>
      </c>
      <c r="BI86">
        <v>0</v>
      </c>
      <c r="BJ86">
        <v>0</v>
      </c>
      <c r="BK86">
        <v>0</v>
      </c>
    </row>
    <row r="87" spans="1:63" x14ac:dyDescent="0.25">
      <c r="A87">
        <v>86</v>
      </c>
      <c r="B87">
        <v>1</v>
      </c>
      <c r="C87">
        <v>12</v>
      </c>
      <c r="D87">
        <v>1</v>
      </c>
      <c r="E87">
        <v>1</v>
      </c>
      <c r="F87">
        <v>14.95</v>
      </c>
      <c r="I87">
        <v>14.95</v>
      </c>
      <c r="J87">
        <v>16.48</v>
      </c>
      <c r="K87">
        <v>5.01</v>
      </c>
      <c r="M87">
        <v>3.96</v>
      </c>
      <c r="P87">
        <v>3.36</v>
      </c>
      <c r="R87">
        <v>3.36</v>
      </c>
      <c r="S87">
        <v>43.76</v>
      </c>
      <c r="T87">
        <v>40.4</v>
      </c>
      <c r="U87">
        <v>42.08</v>
      </c>
      <c r="V87">
        <v>119184.96000000001</v>
      </c>
      <c r="X87">
        <v>119184.96000000001</v>
      </c>
      <c r="Y87">
        <v>1.9332038834836567</v>
      </c>
      <c r="Z87">
        <v>119186.89320388349</v>
      </c>
      <c r="AA87">
        <v>0</v>
      </c>
      <c r="AB87">
        <v>119186.89320388349</v>
      </c>
      <c r="AC87">
        <v>3575.7281553398061</v>
      </c>
      <c r="AD87">
        <v>122762.6213592233</v>
      </c>
      <c r="AE87">
        <v>1.1619107386795804</v>
      </c>
      <c r="AF87">
        <v>122763.78326996198</v>
      </c>
      <c r="AG87">
        <v>0</v>
      </c>
      <c r="AH87">
        <v>122763.78326996198</v>
      </c>
      <c r="AI87">
        <v>0</v>
      </c>
      <c r="AJ87">
        <v>122763.78326996198</v>
      </c>
      <c r="AK87">
        <v>0</v>
      </c>
      <c r="AL87">
        <v>122763.78326996198</v>
      </c>
      <c r="AM87">
        <v>122763.78326996198</v>
      </c>
      <c r="AN87">
        <v>5165900</v>
      </c>
      <c r="AP87">
        <v>0.02</v>
      </c>
      <c r="AQ87">
        <v>103318</v>
      </c>
      <c r="AR87">
        <v>120308.50760456274</v>
      </c>
      <c r="AS87">
        <v>5062582</v>
      </c>
      <c r="AT87" s="238" t="s">
        <v>36</v>
      </c>
      <c r="AV87">
        <v>120308.50760456274</v>
      </c>
      <c r="AW87">
        <v>0</v>
      </c>
      <c r="AX87">
        <v>5062582</v>
      </c>
      <c r="AY87" s="238" t="s">
        <v>3540</v>
      </c>
      <c r="AZ87" s="238" t="s">
        <v>8963</v>
      </c>
      <c r="BA87" s="238" t="s">
        <v>8963</v>
      </c>
      <c r="BB87" s="238" t="s">
        <v>8953</v>
      </c>
      <c r="BC87" s="238" t="s">
        <v>8964</v>
      </c>
      <c r="BD87" t="b">
        <v>1</v>
      </c>
      <c r="BE87" s="238" t="s">
        <v>9088</v>
      </c>
      <c r="BF87" s="238" t="s">
        <v>8972</v>
      </c>
      <c r="BG87">
        <v>5165900</v>
      </c>
      <c r="BH87">
        <v>5165900</v>
      </c>
      <c r="BI87">
        <v>5165900</v>
      </c>
      <c r="BJ87">
        <v>0</v>
      </c>
      <c r="BK87">
        <v>0</v>
      </c>
    </row>
    <row r="88" spans="1:63" x14ac:dyDescent="0.25">
      <c r="A88">
        <v>87</v>
      </c>
      <c r="B88">
        <v>1</v>
      </c>
      <c r="C88">
        <v>12</v>
      </c>
      <c r="D88">
        <v>2</v>
      </c>
      <c r="E88">
        <v>3</v>
      </c>
      <c r="F88">
        <v>18.46</v>
      </c>
      <c r="G88">
        <v>10.53</v>
      </c>
      <c r="H88">
        <v>9.9700000000000006</v>
      </c>
      <c r="I88">
        <v>38.96</v>
      </c>
      <c r="J88">
        <v>17.02</v>
      </c>
      <c r="K88">
        <v>4.07</v>
      </c>
      <c r="L88">
        <v>3.58</v>
      </c>
      <c r="M88">
        <v>4.18</v>
      </c>
      <c r="N88">
        <v>6.27</v>
      </c>
      <c r="P88">
        <v>3.04</v>
      </c>
      <c r="Q88">
        <v>3.41</v>
      </c>
      <c r="R88">
        <v>6.45</v>
      </c>
      <c r="S88">
        <v>80.53</v>
      </c>
      <c r="T88">
        <v>74.08</v>
      </c>
      <c r="U88">
        <v>77.31</v>
      </c>
      <c r="V88">
        <v>105198.08</v>
      </c>
      <c r="X88">
        <v>105198.08</v>
      </c>
      <c r="Y88">
        <v>0.85546240850817412</v>
      </c>
      <c r="Z88">
        <v>105198.93546240851</v>
      </c>
      <c r="AA88">
        <v>500.06653359947086</v>
      </c>
      <c r="AB88">
        <v>105699.00199600798</v>
      </c>
      <c r="AC88">
        <v>3170.9647371922765</v>
      </c>
      <c r="AD88">
        <v>108869.96673320026</v>
      </c>
      <c r="AE88">
        <v>0.81324351685179863</v>
      </c>
      <c r="AF88">
        <v>108870.77997671711</v>
      </c>
      <c r="AG88">
        <v>0</v>
      </c>
      <c r="AH88">
        <v>108870.77997671711</v>
      </c>
      <c r="AI88">
        <v>0</v>
      </c>
      <c r="AJ88">
        <v>108870.77997671711</v>
      </c>
      <c r="AK88">
        <v>2188.8242142025556</v>
      </c>
      <c r="AL88">
        <v>111059.60419091966</v>
      </c>
      <c r="AM88">
        <v>111059.60419091966</v>
      </c>
      <c r="AN88">
        <v>8586018</v>
      </c>
      <c r="AQ88">
        <v>0</v>
      </c>
      <c r="AR88">
        <v>111059.60419091966</v>
      </c>
      <c r="AS88">
        <v>8586018</v>
      </c>
      <c r="AT88" s="238" t="s">
        <v>36</v>
      </c>
      <c r="AV88">
        <v>111059.60419091966</v>
      </c>
      <c r="AW88">
        <v>0</v>
      </c>
      <c r="AX88">
        <v>8586018</v>
      </c>
      <c r="AY88" s="238"/>
      <c r="AZ88" s="238" t="s">
        <v>3</v>
      </c>
      <c r="BA88" s="238" t="s">
        <v>3</v>
      </c>
      <c r="BB88" s="238" t="s">
        <v>8951</v>
      </c>
      <c r="BC88" s="238" t="s">
        <v>1167</v>
      </c>
      <c r="BD88" t="b">
        <v>1</v>
      </c>
      <c r="BE88" s="238" t="s">
        <v>9088</v>
      </c>
      <c r="BF88" s="238" t="s">
        <v>8990</v>
      </c>
      <c r="BG88">
        <v>8586018</v>
      </c>
      <c r="BH88">
        <v>8586018</v>
      </c>
      <c r="BI88">
        <v>0</v>
      </c>
      <c r="BJ88">
        <v>0</v>
      </c>
      <c r="BK88">
        <v>0</v>
      </c>
    </row>
    <row r="89" spans="1:63" x14ac:dyDescent="0.25">
      <c r="A89">
        <v>88</v>
      </c>
      <c r="B89">
        <v>1</v>
      </c>
      <c r="C89">
        <v>12</v>
      </c>
      <c r="D89">
        <v>3</v>
      </c>
      <c r="E89">
        <v>1</v>
      </c>
      <c r="F89">
        <v>12.41</v>
      </c>
      <c r="I89">
        <v>12.41</v>
      </c>
      <c r="J89">
        <v>14.77</v>
      </c>
      <c r="K89">
        <v>4.45</v>
      </c>
      <c r="M89">
        <v>3.88</v>
      </c>
      <c r="P89">
        <v>2.93</v>
      </c>
      <c r="R89">
        <v>2.93</v>
      </c>
      <c r="S89">
        <v>38.44</v>
      </c>
      <c r="T89">
        <v>35.51</v>
      </c>
      <c r="U89">
        <v>36.979999999999997</v>
      </c>
      <c r="V89">
        <v>120353.44</v>
      </c>
      <c r="X89">
        <v>120353.44</v>
      </c>
      <c r="Y89">
        <v>2.1155555555596948</v>
      </c>
      <c r="Z89">
        <v>120355.55555555556</v>
      </c>
      <c r="AA89">
        <v>0</v>
      </c>
      <c r="AB89">
        <v>120355.55555555556</v>
      </c>
      <c r="AC89">
        <v>3611.1111111111095</v>
      </c>
      <c r="AD89">
        <v>123966.66666666667</v>
      </c>
      <c r="AE89">
        <v>0.34252749235020019</v>
      </c>
      <c r="AF89">
        <v>123967.00919415902</v>
      </c>
      <c r="AG89">
        <v>0</v>
      </c>
      <c r="AH89">
        <v>123967.00919415902</v>
      </c>
      <c r="AI89">
        <v>500</v>
      </c>
      <c r="AJ89">
        <v>124467.00919415902</v>
      </c>
      <c r="AK89">
        <v>0</v>
      </c>
      <c r="AL89">
        <v>124467.00919415902</v>
      </c>
      <c r="AM89">
        <v>124467.00919415902</v>
      </c>
      <c r="AN89">
        <v>4602790</v>
      </c>
      <c r="AQ89">
        <v>0</v>
      </c>
      <c r="AR89">
        <v>124467.00919415902</v>
      </c>
      <c r="AS89">
        <v>4602790</v>
      </c>
      <c r="AT89" s="238" t="s">
        <v>36</v>
      </c>
      <c r="AV89">
        <v>124467.00919415902</v>
      </c>
      <c r="AW89">
        <v>0</v>
      </c>
      <c r="AX89">
        <v>4602790</v>
      </c>
      <c r="AY89" s="238"/>
      <c r="AZ89" s="238" t="s">
        <v>3</v>
      </c>
      <c r="BA89" s="238" t="s">
        <v>3</v>
      </c>
      <c r="BB89" s="238" t="s">
        <v>8951</v>
      </c>
      <c r="BC89" s="238" t="s">
        <v>1167</v>
      </c>
      <c r="BD89" t="b">
        <v>1</v>
      </c>
      <c r="BE89" s="238" t="s">
        <v>9088</v>
      </c>
      <c r="BF89" s="238" t="s">
        <v>8972</v>
      </c>
      <c r="BG89">
        <v>4602790</v>
      </c>
      <c r="BH89">
        <v>4602790</v>
      </c>
      <c r="BI89">
        <v>0</v>
      </c>
      <c r="BJ89">
        <v>0</v>
      </c>
      <c r="BK89">
        <v>0</v>
      </c>
    </row>
    <row r="90" spans="1:63" x14ac:dyDescent="0.25">
      <c r="A90">
        <v>89</v>
      </c>
      <c r="B90">
        <v>1</v>
      </c>
      <c r="C90">
        <v>12</v>
      </c>
      <c r="D90">
        <v>4</v>
      </c>
      <c r="E90">
        <v>1</v>
      </c>
      <c r="F90">
        <v>12.41</v>
      </c>
      <c r="I90">
        <v>12.41</v>
      </c>
      <c r="J90">
        <v>14.23</v>
      </c>
      <c r="K90">
        <v>4.45</v>
      </c>
      <c r="M90">
        <v>3.78</v>
      </c>
      <c r="P90">
        <v>3.11</v>
      </c>
      <c r="R90">
        <v>3.11</v>
      </c>
      <c r="S90">
        <v>37.979999999999997</v>
      </c>
      <c r="T90">
        <v>34.869999999999997</v>
      </c>
      <c r="U90">
        <v>36.43</v>
      </c>
      <c r="V90">
        <v>120353.44</v>
      </c>
      <c r="X90">
        <v>120353.44</v>
      </c>
      <c r="Y90">
        <v>2.6100695410132175</v>
      </c>
      <c r="Z90">
        <v>120356.05006954102</v>
      </c>
      <c r="AA90">
        <v>0</v>
      </c>
      <c r="AB90">
        <v>120356.05006954102</v>
      </c>
      <c r="AC90">
        <v>3610.6258692628762</v>
      </c>
      <c r="AD90">
        <v>123966.67593880389</v>
      </c>
      <c r="AE90">
        <v>2.5801687997300178</v>
      </c>
      <c r="AF90">
        <v>123969.25610760362</v>
      </c>
      <c r="AG90">
        <v>499.7529508646694</v>
      </c>
      <c r="AH90">
        <v>124469.00905846829</v>
      </c>
      <c r="AI90">
        <v>0</v>
      </c>
      <c r="AJ90">
        <v>124469.00905846829</v>
      </c>
      <c r="AK90">
        <v>0</v>
      </c>
      <c r="AL90">
        <v>124469.00905846828</v>
      </c>
      <c r="AM90">
        <v>124469.00905846829</v>
      </c>
      <c r="AN90">
        <v>4534406</v>
      </c>
      <c r="AQ90">
        <v>0</v>
      </c>
      <c r="AR90">
        <v>124469.00905846829</v>
      </c>
      <c r="AS90">
        <v>4534406</v>
      </c>
      <c r="AT90" s="238" t="s">
        <v>36</v>
      </c>
      <c r="AV90">
        <v>124469.00905846829</v>
      </c>
      <c r="AW90">
        <v>0</v>
      </c>
      <c r="AX90">
        <v>4534406</v>
      </c>
      <c r="AY90" s="238"/>
      <c r="AZ90" s="238" t="s">
        <v>3</v>
      </c>
      <c r="BA90" s="238" t="s">
        <v>3</v>
      </c>
      <c r="BB90" s="238" t="s">
        <v>8951</v>
      </c>
      <c r="BC90" s="238" t="s">
        <v>1167</v>
      </c>
      <c r="BD90" t="b">
        <v>1</v>
      </c>
      <c r="BE90" s="238" t="s">
        <v>9088</v>
      </c>
      <c r="BF90" s="238" t="s">
        <v>8972</v>
      </c>
      <c r="BG90">
        <v>4534406</v>
      </c>
      <c r="BH90">
        <v>4534406</v>
      </c>
      <c r="BI90">
        <v>0</v>
      </c>
      <c r="BJ90">
        <v>0</v>
      </c>
      <c r="BK90">
        <v>0</v>
      </c>
    </row>
    <row r="91" spans="1:63" x14ac:dyDescent="0.25">
      <c r="A91">
        <v>90</v>
      </c>
      <c r="B91">
        <v>1</v>
      </c>
      <c r="C91">
        <v>12</v>
      </c>
      <c r="D91">
        <v>5</v>
      </c>
      <c r="E91">
        <v>2</v>
      </c>
      <c r="F91">
        <v>14.66</v>
      </c>
      <c r="G91">
        <v>10.58</v>
      </c>
      <c r="I91">
        <v>25.240000000000002</v>
      </c>
      <c r="J91">
        <v>17.38</v>
      </c>
      <c r="K91">
        <v>4.07</v>
      </c>
      <c r="L91">
        <v>3.38</v>
      </c>
      <c r="M91">
        <v>3.48</v>
      </c>
      <c r="N91">
        <v>3.77</v>
      </c>
      <c r="P91">
        <v>3.11</v>
      </c>
      <c r="R91">
        <v>3.11</v>
      </c>
      <c r="S91">
        <v>60.43</v>
      </c>
      <c r="T91">
        <v>57.32</v>
      </c>
      <c r="U91">
        <v>58.88</v>
      </c>
      <c r="V91">
        <v>118496.08</v>
      </c>
      <c r="X91">
        <v>118496.08</v>
      </c>
      <c r="Y91">
        <v>0.86856146468198858</v>
      </c>
      <c r="Z91">
        <v>118496.94856146468</v>
      </c>
      <c r="AA91">
        <v>0</v>
      </c>
      <c r="AB91">
        <v>118496.94856146468</v>
      </c>
      <c r="AC91">
        <v>3554.9607672188286</v>
      </c>
      <c r="AD91">
        <v>122051.90932868351</v>
      </c>
      <c r="AE91">
        <v>1.4194756643119035</v>
      </c>
      <c r="AF91">
        <v>122053.32880434782</v>
      </c>
      <c r="AG91">
        <v>0</v>
      </c>
      <c r="AH91">
        <v>122053.32880434782</v>
      </c>
      <c r="AI91">
        <v>0</v>
      </c>
      <c r="AJ91">
        <v>122053.32880434782</v>
      </c>
      <c r="AK91">
        <v>1220.1936141304325</v>
      </c>
      <c r="AL91">
        <v>123273.52241847826</v>
      </c>
      <c r="AM91">
        <v>123273.52241847826</v>
      </c>
      <c r="AN91">
        <v>7258345</v>
      </c>
      <c r="AQ91">
        <v>0</v>
      </c>
      <c r="AR91">
        <v>123273.52241847826</v>
      </c>
      <c r="AS91">
        <v>7258345</v>
      </c>
      <c r="AT91" s="238" t="s">
        <v>36</v>
      </c>
      <c r="AV91">
        <v>123273.52241847826</v>
      </c>
      <c r="AW91">
        <v>0</v>
      </c>
      <c r="AX91">
        <v>7258345</v>
      </c>
      <c r="AY91" s="238"/>
      <c r="AZ91" s="238" t="s">
        <v>3</v>
      </c>
      <c r="BA91" s="238" t="s">
        <v>3</v>
      </c>
      <c r="BB91" s="238" t="s">
        <v>8951</v>
      </c>
      <c r="BC91" s="238" t="s">
        <v>1167</v>
      </c>
      <c r="BD91" t="b">
        <v>1</v>
      </c>
      <c r="BE91" s="238" t="s">
        <v>9088</v>
      </c>
      <c r="BF91" s="238" t="s">
        <v>8971</v>
      </c>
      <c r="BG91">
        <v>7258345</v>
      </c>
      <c r="BH91">
        <v>7258345</v>
      </c>
      <c r="BI91">
        <v>0</v>
      </c>
      <c r="BJ91">
        <v>0</v>
      </c>
      <c r="BK91">
        <v>0</v>
      </c>
    </row>
    <row r="92" spans="1:63" x14ac:dyDescent="0.25">
      <c r="A92">
        <v>91</v>
      </c>
      <c r="B92">
        <v>1</v>
      </c>
      <c r="C92">
        <v>12</v>
      </c>
      <c r="D92">
        <v>6</v>
      </c>
      <c r="E92">
        <v>2</v>
      </c>
      <c r="F92">
        <v>11.63</v>
      </c>
      <c r="G92">
        <v>10.93</v>
      </c>
      <c r="I92">
        <v>22.560000000000002</v>
      </c>
      <c r="J92">
        <v>16.28</v>
      </c>
      <c r="K92">
        <v>4.62</v>
      </c>
      <c r="M92">
        <v>4.3899999999999997</v>
      </c>
      <c r="N92">
        <v>1.81</v>
      </c>
      <c r="P92">
        <v>4.4000000000000004</v>
      </c>
      <c r="R92">
        <v>4.4000000000000004</v>
      </c>
      <c r="S92">
        <v>54.06</v>
      </c>
      <c r="T92">
        <v>49.66</v>
      </c>
      <c r="U92">
        <v>51.86</v>
      </c>
      <c r="V92">
        <v>116281.2</v>
      </c>
      <c r="X92">
        <v>116281.2</v>
      </c>
      <c r="Y92">
        <v>501.80692383779387</v>
      </c>
      <c r="Z92">
        <v>116783.00692383779</v>
      </c>
      <c r="AA92">
        <v>0</v>
      </c>
      <c r="AB92">
        <v>116783.00692383779</v>
      </c>
      <c r="AC92">
        <v>0</v>
      </c>
      <c r="AD92">
        <v>116783.00692383779</v>
      </c>
      <c r="AE92">
        <v>0.64136000332655385</v>
      </c>
      <c r="AF92">
        <v>116783.64828384112</v>
      </c>
      <c r="AG92">
        <v>-2950.6170458927954</v>
      </c>
      <c r="AH92">
        <v>113833.03123794832</v>
      </c>
      <c r="AI92">
        <v>0</v>
      </c>
      <c r="AJ92">
        <v>113833.03123794832</v>
      </c>
      <c r="AK92">
        <v>0</v>
      </c>
      <c r="AL92">
        <v>113833.03123794832</v>
      </c>
      <c r="AM92">
        <v>113833.03123794832</v>
      </c>
      <c r="AN92">
        <v>5903381</v>
      </c>
      <c r="AQ92">
        <v>0</v>
      </c>
      <c r="AR92">
        <v>113833.03123794832</v>
      </c>
      <c r="AS92">
        <v>5903381</v>
      </c>
      <c r="AT92" s="238" t="s">
        <v>36</v>
      </c>
      <c r="AV92">
        <v>113833.03123794832</v>
      </c>
      <c r="AW92">
        <v>0</v>
      </c>
      <c r="AX92">
        <v>5903381</v>
      </c>
      <c r="AY92" s="238"/>
      <c r="AZ92" s="238" t="s">
        <v>8956</v>
      </c>
      <c r="BA92" s="238" t="s">
        <v>8956</v>
      </c>
      <c r="BB92" s="238" t="s">
        <v>8953</v>
      </c>
      <c r="BC92" s="238" t="s">
        <v>8957</v>
      </c>
      <c r="BD92" t="b">
        <v>1</v>
      </c>
      <c r="BE92" s="238" t="s">
        <v>9088</v>
      </c>
      <c r="BF92" s="238" t="s">
        <v>8971</v>
      </c>
      <c r="BG92">
        <v>6116982</v>
      </c>
      <c r="BH92">
        <v>6116982</v>
      </c>
      <c r="BI92">
        <v>0</v>
      </c>
      <c r="BJ92">
        <v>0</v>
      </c>
      <c r="BK92">
        <v>213601</v>
      </c>
    </row>
    <row r="93" spans="1:63" x14ac:dyDescent="0.25">
      <c r="A93">
        <v>92</v>
      </c>
      <c r="B93">
        <v>1</v>
      </c>
      <c r="C93">
        <v>12</v>
      </c>
      <c r="D93">
        <v>7</v>
      </c>
      <c r="E93">
        <v>2</v>
      </c>
      <c r="F93">
        <v>10.86</v>
      </c>
      <c r="G93">
        <v>14.01</v>
      </c>
      <c r="I93">
        <v>24.869999999999997</v>
      </c>
      <c r="J93">
        <v>18.82</v>
      </c>
      <c r="K93">
        <v>3.96</v>
      </c>
      <c r="M93">
        <v>2.8</v>
      </c>
      <c r="N93">
        <v>3.83</v>
      </c>
      <c r="O93">
        <v>4.6399999999999997</v>
      </c>
      <c r="P93">
        <v>3.91</v>
      </c>
      <c r="R93">
        <v>3.91</v>
      </c>
      <c r="S93">
        <v>62.83</v>
      </c>
      <c r="T93">
        <v>58.92</v>
      </c>
      <c r="U93">
        <v>60.88</v>
      </c>
      <c r="V93">
        <v>117388.64</v>
      </c>
      <c r="X93">
        <v>117388.64</v>
      </c>
      <c r="Y93">
        <v>1.3683319222764112E-2</v>
      </c>
      <c r="Z93">
        <v>117388.65368331922</v>
      </c>
      <c r="AA93">
        <v>0</v>
      </c>
      <c r="AB93">
        <v>117388.65368331922</v>
      </c>
      <c r="AC93">
        <v>3522.0152413209144</v>
      </c>
      <c r="AD93">
        <v>120910.66892464014</v>
      </c>
      <c r="AE93">
        <v>0.96051031386014074</v>
      </c>
      <c r="AF93">
        <v>120911.629434954</v>
      </c>
      <c r="AG93">
        <v>0</v>
      </c>
      <c r="AH93">
        <v>120911.629434954</v>
      </c>
      <c r="AI93">
        <v>0</v>
      </c>
      <c r="AJ93">
        <v>120911.629434954</v>
      </c>
      <c r="AK93">
        <v>1209.4940867279947</v>
      </c>
      <c r="AL93">
        <v>122121.12352168201</v>
      </c>
      <c r="AM93">
        <v>122121.12352168199</v>
      </c>
      <c r="AN93">
        <v>7434734</v>
      </c>
      <c r="AQ93">
        <v>0</v>
      </c>
      <c r="AR93">
        <v>122121.12352168199</v>
      </c>
      <c r="AS93">
        <v>7434734</v>
      </c>
      <c r="AT93" s="238" t="s">
        <v>36</v>
      </c>
      <c r="AV93">
        <v>122121.12352168199</v>
      </c>
      <c r="AW93">
        <v>0</v>
      </c>
      <c r="AX93">
        <v>7434734</v>
      </c>
      <c r="AY93" s="238"/>
      <c r="AZ93" s="238" t="s">
        <v>3</v>
      </c>
      <c r="BA93" s="238" t="s">
        <v>3</v>
      </c>
      <c r="BB93" s="238" t="s">
        <v>8951</v>
      </c>
      <c r="BC93" s="238" t="s">
        <v>1167</v>
      </c>
      <c r="BD93" t="b">
        <v>1</v>
      </c>
      <c r="BE93" s="238" t="s">
        <v>9088</v>
      </c>
      <c r="BF93" s="238" t="s">
        <v>8971</v>
      </c>
      <c r="BG93">
        <v>7434734</v>
      </c>
      <c r="BH93">
        <v>7434734</v>
      </c>
      <c r="BI93">
        <v>0</v>
      </c>
      <c r="BJ93">
        <v>0</v>
      </c>
      <c r="BK93">
        <v>0</v>
      </c>
    </row>
    <row r="94" spans="1:63" x14ac:dyDescent="0.25">
      <c r="A94">
        <v>93</v>
      </c>
      <c r="B94">
        <v>1</v>
      </c>
      <c r="C94">
        <v>12</v>
      </c>
      <c r="D94">
        <v>8</v>
      </c>
      <c r="E94">
        <v>1</v>
      </c>
      <c r="F94">
        <v>14.95</v>
      </c>
      <c r="I94">
        <v>14.95</v>
      </c>
      <c r="J94">
        <v>17.47</v>
      </c>
      <c r="K94">
        <v>4.97</v>
      </c>
      <c r="M94">
        <v>4</v>
      </c>
      <c r="P94">
        <v>3.36</v>
      </c>
      <c r="R94">
        <v>3.36</v>
      </c>
      <c r="S94">
        <v>44.75</v>
      </c>
      <c r="T94">
        <v>41.39</v>
      </c>
      <c r="U94">
        <v>43.07</v>
      </c>
      <c r="V94">
        <v>119184.96000000001</v>
      </c>
      <c r="X94">
        <v>119184.96000000001</v>
      </c>
      <c r="Y94">
        <v>0.9452247873559827</v>
      </c>
      <c r="Z94">
        <v>119185.90522478736</v>
      </c>
      <c r="AA94">
        <v>500.09720534630469</v>
      </c>
      <c r="AB94">
        <v>119686.00243013367</v>
      </c>
      <c r="AC94">
        <v>3590.5710814094782</v>
      </c>
      <c r="AD94">
        <v>123276.57351154315</v>
      </c>
      <c r="AE94">
        <v>1.8105144610308344</v>
      </c>
      <c r="AF94">
        <v>123278.38402600418</v>
      </c>
      <c r="AG94">
        <v>0</v>
      </c>
      <c r="AH94">
        <v>123278.38402600418</v>
      </c>
      <c r="AI94">
        <v>0</v>
      </c>
      <c r="AJ94">
        <v>123278.38402600418</v>
      </c>
      <c r="AK94">
        <v>0</v>
      </c>
      <c r="AL94">
        <v>123278.38402600418</v>
      </c>
      <c r="AM94">
        <v>123278.38402600418</v>
      </c>
      <c r="AN94">
        <v>5309600</v>
      </c>
      <c r="AQ94">
        <v>0</v>
      </c>
      <c r="AR94">
        <v>123278.38402600418</v>
      </c>
      <c r="AS94">
        <v>5309600</v>
      </c>
      <c r="AT94" s="238" t="s">
        <v>36</v>
      </c>
      <c r="AV94">
        <v>123278.38402600418</v>
      </c>
      <c r="AW94">
        <v>0</v>
      </c>
      <c r="AX94">
        <v>5309600</v>
      </c>
      <c r="AY94" s="238"/>
      <c r="AZ94" s="238" t="s">
        <v>3</v>
      </c>
      <c r="BA94" s="238" t="s">
        <v>3</v>
      </c>
      <c r="BB94" s="238" t="s">
        <v>8951</v>
      </c>
      <c r="BC94" s="238" t="s">
        <v>1167</v>
      </c>
      <c r="BD94" t="b">
        <v>1</v>
      </c>
      <c r="BE94" s="238" t="s">
        <v>9088</v>
      </c>
      <c r="BF94" s="238" t="s">
        <v>8972</v>
      </c>
      <c r="BG94">
        <v>5309600</v>
      </c>
      <c r="BH94">
        <v>5309600</v>
      </c>
      <c r="BI94">
        <v>0</v>
      </c>
      <c r="BJ94">
        <v>0</v>
      </c>
      <c r="BK94">
        <v>0</v>
      </c>
    </row>
    <row r="95" spans="1:63" x14ac:dyDescent="0.25">
      <c r="A95">
        <v>94</v>
      </c>
      <c r="B95">
        <v>1</v>
      </c>
      <c r="C95">
        <v>13</v>
      </c>
      <c r="D95">
        <v>1</v>
      </c>
      <c r="E95">
        <v>1</v>
      </c>
      <c r="F95">
        <v>14.95</v>
      </c>
      <c r="I95">
        <v>14.95</v>
      </c>
      <c r="J95">
        <v>16.48</v>
      </c>
      <c r="K95">
        <v>5.01</v>
      </c>
      <c r="M95">
        <v>3.96</v>
      </c>
      <c r="P95">
        <v>3.36</v>
      </c>
      <c r="R95">
        <v>3.36</v>
      </c>
      <c r="S95">
        <v>43.76</v>
      </c>
      <c r="T95">
        <v>40.4</v>
      </c>
      <c r="U95">
        <v>42.08</v>
      </c>
      <c r="V95">
        <v>119184.96000000001</v>
      </c>
      <c r="X95">
        <v>119184.96000000001</v>
      </c>
      <c r="Y95">
        <v>1.9332038834836567</v>
      </c>
      <c r="Z95">
        <v>119186.89320388349</v>
      </c>
      <c r="AA95">
        <v>0</v>
      </c>
      <c r="AB95">
        <v>119186.89320388349</v>
      </c>
      <c r="AC95">
        <v>3575.7281553398061</v>
      </c>
      <c r="AD95">
        <v>122762.6213592233</v>
      </c>
      <c r="AE95">
        <v>1.1619107386795804</v>
      </c>
      <c r="AF95">
        <v>122763.78326996198</v>
      </c>
      <c r="AG95">
        <v>0</v>
      </c>
      <c r="AH95">
        <v>122763.78326996198</v>
      </c>
      <c r="AI95">
        <v>0</v>
      </c>
      <c r="AJ95">
        <v>122763.78326996198</v>
      </c>
      <c r="AK95">
        <v>0</v>
      </c>
      <c r="AL95">
        <v>122763.78326996198</v>
      </c>
      <c r="AM95">
        <v>122763.78326996198</v>
      </c>
      <c r="AN95">
        <v>5165900</v>
      </c>
      <c r="AQ95">
        <v>0</v>
      </c>
      <c r="AR95">
        <v>122763.78326996198</v>
      </c>
      <c r="AS95">
        <v>5165900</v>
      </c>
      <c r="AT95" s="238" t="s">
        <v>36</v>
      </c>
      <c r="AV95">
        <v>122763.78326996198</v>
      </c>
      <c r="AW95">
        <v>0</v>
      </c>
      <c r="AX95">
        <v>5165900</v>
      </c>
      <c r="AY95" s="238"/>
      <c r="AZ95" s="238" t="s">
        <v>3</v>
      </c>
      <c r="BA95" s="238" t="s">
        <v>3</v>
      </c>
      <c r="BB95" s="238" t="s">
        <v>8951</v>
      </c>
      <c r="BC95" s="238" t="s">
        <v>1167</v>
      </c>
      <c r="BD95" t="b">
        <v>1</v>
      </c>
      <c r="BE95" s="238" t="s">
        <v>9088</v>
      </c>
      <c r="BF95" s="238" t="s">
        <v>8972</v>
      </c>
      <c r="BG95">
        <v>5165900</v>
      </c>
      <c r="BH95">
        <v>5165900</v>
      </c>
      <c r="BI95">
        <v>0</v>
      </c>
      <c r="BJ95">
        <v>0</v>
      </c>
      <c r="BK95">
        <v>0</v>
      </c>
    </row>
    <row r="96" spans="1:63" x14ac:dyDescent="0.25">
      <c r="A96">
        <v>95</v>
      </c>
      <c r="B96">
        <v>1</v>
      </c>
      <c r="C96">
        <v>13</v>
      </c>
      <c r="D96">
        <v>2</v>
      </c>
      <c r="E96">
        <v>3</v>
      </c>
      <c r="F96">
        <v>18.46</v>
      </c>
      <c r="G96">
        <v>10.53</v>
      </c>
      <c r="H96">
        <v>9.9700000000000006</v>
      </c>
      <c r="I96">
        <v>38.96</v>
      </c>
      <c r="J96">
        <v>17.02</v>
      </c>
      <c r="K96">
        <v>4.07</v>
      </c>
      <c r="L96">
        <v>3.58</v>
      </c>
      <c r="M96">
        <v>4.18</v>
      </c>
      <c r="N96">
        <v>6.27</v>
      </c>
      <c r="P96">
        <v>3.04</v>
      </c>
      <c r="Q96">
        <v>3.41</v>
      </c>
      <c r="R96">
        <v>6.45</v>
      </c>
      <c r="S96">
        <v>80.53</v>
      </c>
      <c r="T96">
        <v>74.08</v>
      </c>
      <c r="U96">
        <v>77.31</v>
      </c>
      <c r="V96">
        <v>105198.08</v>
      </c>
      <c r="X96">
        <v>105198.08</v>
      </c>
      <c r="Y96">
        <v>0.85546240850817412</v>
      </c>
      <c r="Z96">
        <v>105198.93546240851</v>
      </c>
      <c r="AA96">
        <v>500.06653359947086</v>
      </c>
      <c r="AB96">
        <v>105699.00199600798</v>
      </c>
      <c r="AC96">
        <v>3170.9647371922765</v>
      </c>
      <c r="AD96">
        <v>108869.96673320026</v>
      </c>
      <c r="AE96">
        <v>0.81324351685179863</v>
      </c>
      <c r="AF96">
        <v>108870.77997671711</v>
      </c>
      <c r="AG96">
        <v>0</v>
      </c>
      <c r="AH96">
        <v>108870.77997671711</v>
      </c>
      <c r="AI96">
        <v>0</v>
      </c>
      <c r="AJ96">
        <v>108870.77997671711</v>
      </c>
      <c r="AK96">
        <v>2188.8242142025556</v>
      </c>
      <c r="AL96">
        <v>111059.60419091966</v>
      </c>
      <c r="AM96">
        <v>111059.60419091966</v>
      </c>
      <c r="AN96">
        <v>8586018</v>
      </c>
      <c r="AQ96">
        <v>0</v>
      </c>
      <c r="AR96">
        <v>111059.60419091966</v>
      </c>
      <c r="AS96">
        <v>8586018</v>
      </c>
      <c r="AT96" s="238" t="s">
        <v>36</v>
      </c>
      <c r="AV96">
        <v>111059.60419091966</v>
      </c>
      <c r="AW96">
        <v>0</v>
      </c>
      <c r="AX96">
        <v>8586018</v>
      </c>
      <c r="AY96" s="238"/>
      <c r="AZ96" s="238" t="s">
        <v>3</v>
      </c>
      <c r="BA96" s="238" t="s">
        <v>3</v>
      </c>
      <c r="BB96" s="238" t="s">
        <v>8951</v>
      </c>
      <c r="BC96" s="238" t="s">
        <v>1167</v>
      </c>
      <c r="BD96" t="b">
        <v>1</v>
      </c>
      <c r="BE96" s="238" t="s">
        <v>9088</v>
      </c>
      <c r="BF96" s="238" t="s">
        <v>8990</v>
      </c>
      <c r="BG96">
        <v>8586018</v>
      </c>
      <c r="BH96">
        <v>8586018</v>
      </c>
      <c r="BI96">
        <v>0</v>
      </c>
      <c r="BJ96">
        <v>0</v>
      </c>
      <c r="BK96">
        <v>0</v>
      </c>
    </row>
    <row r="97" spans="1:63" x14ac:dyDescent="0.25">
      <c r="A97">
        <v>96</v>
      </c>
      <c r="B97">
        <v>1</v>
      </c>
      <c r="C97">
        <v>13</v>
      </c>
      <c r="D97">
        <v>3</v>
      </c>
      <c r="E97">
        <v>1</v>
      </c>
      <c r="F97">
        <v>12.41</v>
      </c>
      <c r="I97">
        <v>12.41</v>
      </c>
      <c r="J97">
        <v>14.77</v>
      </c>
      <c r="K97">
        <v>4.45</v>
      </c>
      <c r="M97">
        <v>3.88</v>
      </c>
      <c r="P97">
        <v>2.93</v>
      </c>
      <c r="R97">
        <v>2.93</v>
      </c>
      <c r="S97">
        <v>38.44</v>
      </c>
      <c r="T97">
        <v>35.51</v>
      </c>
      <c r="U97">
        <v>36.979999999999997</v>
      </c>
      <c r="V97">
        <v>120353.44</v>
      </c>
      <c r="X97">
        <v>120353.44</v>
      </c>
      <c r="Y97">
        <v>2.1155555555596948</v>
      </c>
      <c r="Z97">
        <v>120355.55555555556</v>
      </c>
      <c r="AA97">
        <v>0</v>
      </c>
      <c r="AB97">
        <v>120355.55555555556</v>
      </c>
      <c r="AC97">
        <v>3611.1111111111095</v>
      </c>
      <c r="AD97">
        <v>123966.66666666667</v>
      </c>
      <c r="AE97">
        <v>0.34252749235020019</v>
      </c>
      <c r="AF97">
        <v>123967.00919415902</v>
      </c>
      <c r="AG97">
        <v>0</v>
      </c>
      <c r="AH97">
        <v>123967.00919415902</v>
      </c>
      <c r="AI97">
        <v>500</v>
      </c>
      <c r="AJ97">
        <v>124467.00919415902</v>
      </c>
      <c r="AK97">
        <v>0</v>
      </c>
      <c r="AL97">
        <v>124467.00919415902</v>
      </c>
      <c r="AM97">
        <v>124467.00919415902</v>
      </c>
      <c r="AN97">
        <v>4602790</v>
      </c>
      <c r="AQ97">
        <v>0</v>
      </c>
      <c r="AR97">
        <v>124467.00919415902</v>
      </c>
      <c r="AS97">
        <v>4602790</v>
      </c>
      <c r="AT97" s="238" t="s">
        <v>36</v>
      </c>
      <c r="AV97">
        <v>124467.00919415902</v>
      </c>
      <c r="AW97">
        <v>0</v>
      </c>
      <c r="AX97">
        <v>4602790</v>
      </c>
      <c r="AY97" s="238"/>
      <c r="AZ97" s="238" t="s">
        <v>3</v>
      </c>
      <c r="BA97" s="238" t="s">
        <v>3</v>
      </c>
      <c r="BB97" s="238" t="s">
        <v>8951</v>
      </c>
      <c r="BC97" s="238" t="s">
        <v>1167</v>
      </c>
      <c r="BD97" t="b">
        <v>1</v>
      </c>
      <c r="BE97" s="238" t="s">
        <v>9088</v>
      </c>
      <c r="BF97" s="238" t="s">
        <v>8972</v>
      </c>
      <c r="BG97">
        <v>4602790</v>
      </c>
      <c r="BH97">
        <v>4602790</v>
      </c>
      <c r="BI97">
        <v>0</v>
      </c>
      <c r="BJ97">
        <v>0</v>
      </c>
      <c r="BK97">
        <v>0</v>
      </c>
    </row>
    <row r="98" spans="1:63" x14ac:dyDescent="0.25">
      <c r="A98">
        <v>97</v>
      </c>
      <c r="B98">
        <v>1</v>
      </c>
      <c r="C98">
        <v>13</v>
      </c>
      <c r="D98">
        <v>4</v>
      </c>
      <c r="E98">
        <v>1</v>
      </c>
      <c r="F98">
        <v>12.41</v>
      </c>
      <c r="I98">
        <v>12.41</v>
      </c>
      <c r="J98">
        <v>14.23</v>
      </c>
      <c r="K98">
        <v>4.45</v>
      </c>
      <c r="M98">
        <v>3.78</v>
      </c>
      <c r="P98">
        <v>3.11</v>
      </c>
      <c r="R98">
        <v>3.11</v>
      </c>
      <c r="S98">
        <v>37.979999999999997</v>
      </c>
      <c r="T98">
        <v>34.869999999999997</v>
      </c>
      <c r="U98">
        <v>36.43</v>
      </c>
      <c r="V98">
        <v>120353.44</v>
      </c>
      <c r="X98">
        <v>120353.44</v>
      </c>
      <c r="Y98">
        <v>2.6100695410132175</v>
      </c>
      <c r="Z98">
        <v>120356.05006954102</v>
      </c>
      <c r="AA98">
        <v>0</v>
      </c>
      <c r="AB98">
        <v>120356.05006954102</v>
      </c>
      <c r="AC98">
        <v>3610.6258692628762</v>
      </c>
      <c r="AD98">
        <v>123966.67593880389</v>
      </c>
      <c r="AE98">
        <v>2.5801687997300178</v>
      </c>
      <c r="AF98">
        <v>123969.25610760362</v>
      </c>
      <c r="AG98">
        <v>499.7529508646694</v>
      </c>
      <c r="AH98">
        <v>124469.00905846829</v>
      </c>
      <c r="AI98">
        <v>0</v>
      </c>
      <c r="AJ98">
        <v>124469.00905846829</v>
      </c>
      <c r="AK98">
        <v>0</v>
      </c>
      <c r="AL98">
        <v>124469.00905846828</v>
      </c>
      <c r="AM98">
        <v>124469.00905846829</v>
      </c>
      <c r="AN98">
        <v>4534406</v>
      </c>
      <c r="AQ98">
        <v>0</v>
      </c>
      <c r="AR98">
        <v>124469.00905846829</v>
      </c>
      <c r="AS98">
        <v>4534406</v>
      </c>
      <c r="AT98" s="238" t="s">
        <v>36</v>
      </c>
      <c r="AV98">
        <v>124469.00905846829</v>
      </c>
      <c r="AW98">
        <v>0</v>
      </c>
      <c r="AX98">
        <v>4534406</v>
      </c>
      <c r="AY98" s="238"/>
      <c r="AZ98" s="238" t="s">
        <v>3</v>
      </c>
      <c r="BA98" s="238" t="s">
        <v>3</v>
      </c>
      <c r="BB98" s="238" t="s">
        <v>8951</v>
      </c>
      <c r="BC98" s="238" t="s">
        <v>1167</v>
      </c>
      <c r="BD98" t="b">
        <v>1</v>
      </c>
      <c r="BE98" s="238" t="s">
        <v>9088</v>
      </c>
      <c r="BF98" s="238" t="s">
        <v>8972</v>
      </c>
      <c r="BG98">
        <v>4534406</v>
      </c>
      <c r="BH98">
        <v>4534406</v>
      </c>
      <c r="BI98">
        <v>0</v>
      </c>
      <c r="BJ98">
        <v>0</v>
      </c>
      <c r="BK98">
        <v>0</v>
      </c>
    </row>
    <row r="99" spans="1:63" x14ac:dyDescent="0.25">
      <c r="A99">
        <v>98</v>
      </c>
      <c r="B99">
        <v>1</v>
      </c>
      <c r="C99">
        <v>13</v>
      </c>
      <c r="D99">
        <v>5</v>
      </c>
      <c r="E99">
        <v>2</v>
      </c>
      <c r="F99">
        <v>14.66</v>
      </c>
      <c r="G99">
        <v>10.58</v>
      </c>
      <c r="I99">
        <v>25.240000000000002</v>
      </c>
      <c r="J99">
        <v>17.38</v>
      </c>
      <c r="K99">
        <v>4.07</v>
      </c>
      <c r="L99">
        <v>3.38</v>
      </c>
      <c r="M99">
        <v>3.48</v>
      </c>
      <c r="N99">
        <v>3.77</v>
      </c>
      <c r="P99">
        <v>3.11</v>
      </c>
      <c r="R99">
        <v>3.11</v>
      </c>
      <c r="S99">
        <v>60.43</v>
      </c>
      <c r="T99">
        <v>57.32</v>
      </c>
      <c r="U99">
        <v>58.88</v>
      </c>
      <c r="V99">
        <v>118496.08</v>
      </c>
      <c r="X99">
        <v>118496.08</v>
      </c>
      <c r="Y99">
        <v>0.86856146468198858</v>
      </c>
      <c r="Z99">
        <v>118496.94856146468</v>
      </c>
      <c r="AA99">
        <v>0</v>
      </c>
      <c r="AB99">
        <v>118496.94856146468</v>
      </c>
      <c r="AC99">
        <v>3554.9607672188286</v>
      </c>
      <c r="AD99">
        <v>122051.90932868351</v>
      </c>
      <c r="AE99">
        <v>1.4194756643119035</v>
      </c>
      <c r="AF99">
        <v>122053.32880434782</v>
      </c>
      <c r="AG99">
        <v>0</v>
      </c>
      <c r="AH99">
        <v>122053.32880434782</v>
      </c>
      <c r="AI99">
        <v>0</v>
      </c>
      <c r="AJ99">
        <v>122053.32880434782</v>
      </c>
      <c r="AK99">
        <v>1220.1936141304325</v>
      </c>
      <c r="AL99">
        <v>123273.52241847826</v>
      </c>
      <c r="AM99">
        <v>123273.52241847826</v>
      </c>
      <c r="AN99">
        <v>7258345</v>
      </c>
      <c r="AQ99">
        <v>0</v>
      </c>
      <c r="AR99">
        <v>123273.52241847826</v>
      </c>
      <c r="AS99">
        <v>7258345</v>
      </c>
      <c r="AT99" s="238" t="s">
        <v>36</v>
      </c>
      <c r="AV99">
        <v>123273.52241847826</v>
      </c>
      <c r="AW99">
        <v>0</v>
      </c>
      <c r="AX99">
        <v>7258345</v>
      </c>
      <c r="AY99" s="238"/>
      <c r="AZ99" s="238" t="s">
        <v>3</v>
      </c>
      <c r="BA99" s="238" t="s">
        <v>3</v>
      </c>
      <c r="BB99" s="238" t="s">
        <v>8951</v>
      </c>
      <c r="BC99" s="238" t="s">
        <v>1167</v>
      </c>
      <c r="BD99" t="b">
        <v>1</v>
      </c>
      <c r="BE99" s="238" t="s">
        <v>9088</v>
      </c>
      <c r="BF99" s="238" t="s">
        <v>8971</v>
      </c>
      <c r="BG99">
        <v>7258345</v>
      </c>
      <c r="BH99">
        <v>7258345</v>
      </c>
      <c r="BI99">
        <v>0</v>
      </c>
      <c r="BJ99">
        <v>0</v>
      </c>
      <c r="BK99">
        <v>0</v>
      </c>
    </row>
    <row r="100" spans="1:63" x14ac:dyDescent="0.25">
      <c r="A100">
        <v>99</v>
      </c>
      <c r="B100">
        <v>1</v>
      </c>
      <c r="C100">
        <v>13</v>
      </c>
      <c r="D100">
        <v>6</v>
      </c>
      <c r="E100">
        <v>2</v>
      </c>
      <c r="F100">
        <v>11.63</v>
      </c>
      <c r="G100">
        <v>10.93</v>
      </c>
      <c r="I100">
        <v>22.560000000000002</v>
      </c>
      <c r="J100">
        <v>16.28</v>
      </c>
      <c r="K100">
        <v>4.62</v>
      </c>
      <c r="M100">
        <v>4.3899999999999997</v>
      </c>
      <c r="N100">
        <v>1.81</v>
      </c>
      <c r="P100">
        <v>4.4000000000000004</v>
      </c>
      <c r="R100">
        <v>4.4000000000000004</v>
      </c>
      <c r="S100">
        <v>54.06</v>
      </c>
      <c r="T100">
        <v>49.66</v>
      </c>
      <c r="U100">
        <v>51.86</v>
      </c>
      <c r="V100">
        <v>116281.2</v>
      </c>
      <c r="X100">
        <v>116281.2</v>
      </c>
      <c r="Y100">
        <v>501.80692383779387</v>
      </c>
      <c r="Z100">
        <v>116783.00692383779</v>
      </c>
      <c r="AA100">
        <v>0</v>
      </c>
      <c r="AB100">
        <v>116783.00692383779</v>
      </c>
      <c r="AC100">
        <v>3503.4817012858548</v>
      </c>
      <c r="AD100">
        <v>120286.48862512365</v>
      </c>
      <c r="AE100">
        <v>0.82336870589642785</v>
      </c>
      <c r="AF100">
        <v>120287.31199382954</v>
      </c>
      <c r="AG100">
        <v>0</v>
      </c>
      <c r="AH100">
        <v>120287.31199382954</v>
      </c>
      <c r="AI100">
        <v>0</v>
      </c>
      <c r="AJ100">
        <v>120287.31199382954</v>
      </c>
      <c r="AK100">
        <v>1202.5645969918987</v>
      </c>
      <c r="AL100">
        <v>121489.87659082144</v>
      </c>
      <c r="AM100">
        <v>121489.87659082144</v>
      </c>
      <c r="AN100">
        <v>6300465</v>
      </c>
      <c r="AQ100">
        <v>0</v>
      </c>
      <c r="AR100">
        <v>121489.87659082144</v>
      </c>
      <c r="AS100">
        <v>6300465</v>
      </c>
      <c r="AT100" s="238" t="s">
        <v>36</v>
      </c>
      <c r="AV100">
        <v>121489.87659082144</v>
      </c>
      <c r="AW100">
        <v>0</v>
      </c>
      <c r="AX100">
        <v>6300465</v>
      </c>
      <c r="AY100" s="238"/>
      <c r="AZ100" s="238" t="s">
        <v>3</v>
      </c>
      <c r="BA100" s="238" t="s">
        <v>3</v>
      </c>
      <c r="BB100" s="238" t="s">
        <v>8951</v>
      </c>
      <c r="BC100" s="238" t="s">
        <v>1167</v>
      </c>
      <c r="BD100" t="b">
        <v>1</v>
      </c>
      <c r="BE100" s="238" t="s">
        <v>9088</v>
      </c>
      <c r="BF100" s="238" t="s">
        <v>8971</v>
      </c>
      <c r="BG100">
        <v>6300465</v>
      </c>
      <c r="BH100">
        <v>6300465</v>
      </c>
      <c r="BI100">
        <v>0</v>
      </c>
      <c r="BJ100">
        <v>0</v>
      </c>
      <c r="BK100">
        <v>0</v>
      </c>
    </row>
    <row r="101" spans="1:63" x14ac:dyDescent="0.25">
      <c r="A101">
        <v>100</v>
      </c>
      <c r="B101">
        <v>1</v>
      </c>
      <c r="C101">
        <v>13</v>
      </c>
      <c r="D101">
        <v>7</v>
      </c>
      <c r="E101">
        <v>2</v>
      </c>
      <c r="F101">
        <v>10.86</v>
      </c>
      <c r="G101">
        <v>14.01</v>
      </c>
      <c r="I101">
        <v>24.869999999999997</v>
      </c>
      <c r="J101">
        <v>18.82</v>
      </c>
      <c r="K101">
        <v>3.96</v>
      </c>
      <c r="M101">
        <v>2.8</v>
      </c>
      <c r="N101">
        <v>3.83</v>
      </c>
      <c r="O101">
        <v>4.6399999999999997</v>
      </c>
      <c r="P101">
        <v>3.91</v>
      </c>
      <c r="R101">
        <v>3.91</v>
      </c>
      <c r="S101">
        <v>62.83</v>
      </c>
      <c r="T101">
        <v>58.92</v>
      </c>
      <c r="U101">
        <v>60.88</v>
      </c>
      <c r="V101">
        <v>117388.64</v>
      </c>
      <c r="X101">
        <v>117388.64</v>
      </c>
      <c r="Y101">
        <v>1.3683319222764112E-2</v>
      </c>
      <c r="Z101">
        <v>117388.65368331922</v>
      </c>
      <c r="AA101">
        <v>0</v>
      </c>
      <c r="AB101">
        <v>117388.65368331922</v>
      </c>
      <c r="AC101">
        <v>3522.0152413209144</v>
      </c>
      <c r="AD101">
        <v>120910.66892464014</v>
      </c>
      <c r="AE101">
        <v>0.96051031386014074</v>
      </c>
      <c r="AF101">
        <v>120911.629434954</v>
      </c>
      <c r="AG101">
        <v>0</v>
      </c>
      <c r="AH101">
        <v>120911.629434954</v>
      </c>
      <c r="AI101">
        <v>0</v>
      </c>
      <c r="AJ101">
        <v>120911.629434954</v>
      </c>
      <c r="AK101">
        <v>1209.4940867279947</v>
      </c>
      <c r="AL101">
        <v>122121.12352168201</v>
      </c>
      <c r="AM101">
        <v>122121.12352168199</v>
      </c>
      <c r="AN101">
        <v>7434734</v>
      </c>
      <c r="AQ101">
        <v>0</v>
      </c>
      <c r="AR101">
        <v>122121.12352168199</v>
      </c>
      <c r="AS101">
        <v>7434734</v>
      </c>
      <c r="AT101" s="238" t="s">
        <v>36</v>
      </c>
      <c r="AV101">
        <v>122121.12352168199</v>
      </c>
      <c r="AW101">
        <v>0</v>
      </c>
      <c r="AX101">
        <v>7434734</v>
      </c>
      <c r="AY101" s="238"/>
      <c r="AZ101" s="238" t="s">
        <v>3</v>
      </c>
      <c r="BA101" s="238" t="s">
        <v>3</v>
      </c>
      <c r="BB101" s="238" t="s">
        <v>8951</v>
      </c>
      <c r="BC101" s="238" t="s">
        <v>1167</v>
      </c>
      <c r="BD101" t="b">
        <v>1</v>
      </c>
      <c r="BE101" s="238" t="s">
        <v>9088</v>
      </c>
      <c r="BF101" s="238" t="s">
        <v>8971</v>
      </c>
      <c r="BG101">
        <v>7434734</v>
      </c>
      <c r="BH101">
        <v>7434734</v>
      </c>
      <c r="BI101">
        <v>0</v>
      </c>
      <c r="BJ101">
        <v>0</v>
      </c>
      <c r="BK101">
        <v>0</v>
      </c>
    </row>
    <row r="102" spans="1:63" x14ac:dyDescent="0.25">
      <c r="A102">
        <v>101</v>
      </c>
      <c r="B102">
        <v>1</v>
      </c>
      <c r="C102">
        <v>13</v>
      </c>
      <c r="D102">
        <v>8</v>
      </c>
      <c r="E102">
        <v>1</v>
      </c>
      <c r="F102">
        <v>14.95</v>
      </c>
      <c r="I102">
        <v>14.95</v>
      </c>
      <c r="J102">
        <v>17.47</v>
      </c>
      <c r="K102">
        <v>4.97</v>
      </c>
      <c r="M102">
        <v>4</v>
      </c>
      <c r="P102">
        <v>3.36</v>
      </c>
      <c r="R102">
        <v>3.36</v>
      </c>
      <c r="S102">
        <v>44.75</v>
      </c>
      <c r="T102">
        <v>41.39</v>
      </c>
      <c r="U102">
        <v>43.07</v>
      </c>
      <c r="V102">
        <v>119184.96000000001</v>
      </c>
      <c r="X102">
        <v>119184.96000000001</v>
      </c>
      <c r="Y102">
        <v>0.9452247873559827</v>
      </c>
      <c r="Z102">
        <v>119185.90522478736</v>
      </c>
      <c r="AA102">
        <v>500.09720534630469</v>
      </c>
      <c r="AB102">
        <v>119686.00243013367</v>
      </c>
      <c r="AC102">
        <v>3590.5710814094782</v>
      </c>
      <c r="AD102">
        <v>123276.57351154315</v>
      </c>
      <c r="AE102">
        <v>1.8105144610308344</v>
      </c>
      <c r="AF102">
        <v>123278.38402600418</v>
      </c>
      <c r="AG102">
        <v>0</v>
      </c>
      <c r="AH102">
        <v>123278.38402600418</v>
      </c>
      <c r="AI102">
        <v>0</v>
      </c>
      <c r="AJ102">
        <v>123278.38402600418</v>
      </c>
      <c r="AK102">
        <v>0</v>
      </c>
      <c r="AL102">
        <v>123278.38402600418</v>
      </c>
      <c r="AM102">
        <v>123278.38402600418</v>
      </c>
      <c r="AN102">
        <v>5309600</v>
      </c>
      <c r="AQ102">
        <v>0</v>
      </c>
      <c r="AR102">
        <v>123278.38402600418</v>
      </c>
      <c r="AS102">
        <v>5309600</v>
      </c>
      <c r="AT102" s="238" t="s">
        <v>36</v>
      </c>
      <c r="AV102">
        <v>123278.38402600418</v>
      </c>
      <c r="AW102">
        <v>0</v>
      </c>
      <c r="AX102">
        <v>5309600</v>
      </c>
      <c r="AY102" s="238"/>
      <c r="AZ102" s="238" t="s">
        <v>3</v>
      </c>
      <c r="BA102" s="238" t="s">
        <v>3</v>
      </c>
      <c r="BB102" s="238" t="s">
        <v>8951</v>
      </c>
      <c r="BC102" s="238" t="s">
        <v>1167</v>
      </c>
      <c r="BD102" t="b">
        <v>1</v>
      </c>
      <c r="BE102" s="238" t="s">
        <v>9088</v>
      </c>
      <c r="BF102" s="238" t="s">
        <v>8972</v>
      </c>
      <c r="BG102">
        <v>5309600</v>
      </c>
      <c r="BH102">
        <v>5309600</v>
      </c>
      <c r="BI102">
        <v>0</v>
      </c>
      <c r="BJ102">
        <v>0</v>
      </c>
      <c r="BK102">
        <v>0</v>
      </c>
    </row>
    <row r="103" spans="1:63" x14ac:dyDescent="0.25">
      <c r="A103">
        <v>102</v>
      </c>
      <c r="B103">
        <v>1</v>
      </c>
      <c r="C103">
        <v>14</v>
      </c>
      <c r="D103">
        <v>1</v>
      </c>
      <c r="E103">
        <v>1</v>
      </c>
      <c r="F103">
        <v>14.95</v>
      </c>
      <c r="I103">
        <v>14.95</v>
      </c>
      <c r="J103">
        <v>16.48</v>
      </c>
      <c r="K103">
        <v>5.01</v>
      </c>
      <c r="M103">
        <v>3.96</v>
      </c>
      <c r="P103">
        <v>3.36</v>
      </c>
      <c r="R103">
        <v>3.36</v>
      </c>
      <c r="S103">
        <v>43.76</v>
      </c>
      <c r="T103">
        <v>40.4</v>
      </c>
      <c r="U103">
        <v>42.08</v>
      </c>
      <c r="V103">
        <v>119184.96000000001</v>
      </c>
      <c r="X103">
        <v>119184.96000000001</v>
      </c>
      <c r="Y103">
        <v>1.9332038834836567</v>
      </c>
      <c r="Z103">
        <v>119186.89320388349</v>
      </c>
      <c r="AA103">
        <v>0</v>
      </c>
      <c r="AB103">
        <v>119186.89320388349</v>
      </c>
      <c r="AC103">
        <v>3575.7281553398061</v>
      </c>
      <c r="AD103">
        <v>122762.6213592233</v>
      </c>
      <c r="AE103">
        <v>1.1619107386795804</v>
      </c>
      <c r="AF103">
        <v>122763.78326996198</v>
      </c>
      <c r="AG103">
        <v>0</v>
      </c>
      <c r="AH103">
        <v>122763.78326996198</v>
      </c>
      <c r="AI103">
        <v>0</v>
      </c>
      <c r="AJ103">
        <v>122763.78326996198</v>
      </c>
      <c r="AK103">
        <v>0</v>
      </c>
      <c r="AL103">
        <v>122763.78326996198</v>
      </c>
      <c r="AM103">
        <v>122763.78326996198</v>
      </c>
      <c r="AN103">
        <v>5165900</v>
      </c>
      <c r="AQ103">
        <v>0</v>
      </c>
      <c r="AR103">
        <v>122763.78326996198</v>
      </c>
      <c r="AS103">
        <v>5165900</v>
      </c>
      <c r="AT103" s="238" t="s">
        <v>36</v>
      </c>
      <c r="AV103">
        <v>122763.78326996198</v>
      </c>
      <c r="AW103">
        <v>0</v>
      </c>
      <c r="AX103">
        <v>5165900</v>
      </c>
      <c r="AY103" s="238"/>
      <c r="AZ103" s="238" t="s">
        <v>3</v>
      </c>
      <c r="BA103" s="238" t="s">
        <v>3</v>
      </c>
      <c r="BB103" s="238" t="s">
        <v>8951</v>
      </c>
      <c r="BC103" s="238" t="s">
        <v>1167</v>
      </c>
      <c r="BD103" t="b">
        <v>1</v>
      </c>
      <c r="BE103" s="238" t="s">
        <v>9088</v>
      </c>
      <c r="BF103" s="238" t="s">
        <v>8972</v>
      </c>
      <c r="BG103">
        <v>5165900</v>
      </c>
      <c r="BH103">
        <v>5165900</v>
      </c>
      <c r="BI103">
        <v>0</v>
      </c>
      <c r="BJ103">
        <v>0</v>
      </c>
      <c r="BK103">
        <v>0</v>
      </c>
    </row>
    <row r="104" spans="1:63" x14ac:dyDescent="0.25">
      <c r="A104">
        <v>103</v>
      </c>
      <c r="B104">
        <v>1</v>
      </c>
      <c r="C104">
        <v>14</v>
      </c>
      <c r="D104">
        <v>2</v>
      </c>
      <c r="E104">
        <v>3</v>
      </c>
      <c r="F104">
        <v>18.46</v>
      </c>
      <c r="G104">
        <v>10.53</v>
      </c>
      <c r="H104">
        <v>9.9700000000000006</v>
      </c>
      <c r="I104">
        <v>38.96</v>
      </c>
      <c r="J104">
        <v>17.02</v>
      </c>
      <c r="K104">
        <v>4.07</v>
      </c>
      <c r="L104">
        <v>3.58</v>
      </c>
      <c r="M104">
        <v>4.18</v>
      </c>
      <c r="N104">
        <v>6.27</v>
      </c>
      <c r="P104">
        <v>3.04</v>
      </c>
      <c r="Q104">
        <v>3.41</v>
      </c>
      <c r="R104">
        <v>6.45</v>
      </c>
      <c r="S104">
        <v>80.53</v>
      </c>
      <c r="T104">
        <v>74.08</v>
      </c>
      <c r="U104">
        <v>77.31</v>
      </c>
      <c r="V104">
        <v>105198.08</v>
      </c>
      <c r="X104">
        <v>105198.08</v>
      </c>
      <c r="Y104">
        <v>0.85546240850817412</v>
      </c>
      <c r="Z104">
        <v>105198.93546240851</v>
      </c>
      <c r="AA104">
        <v>500.06653359947086</v>
      </c>
      <c r="AB104">
        <v>105699.00199600798</v>
      </c>
      <c r="AC104">
        <v>3170.9647371922765</v>
      </c>
      <c r="AD104">
        <v>108869.96673320026</v>
      </c>
      <c r="AE104">
        <v>0.81324351685179863</v>
      </c>
      <c r="AF104">
        <v>108870.77997671711</v>
      </c>
      <c r="AG104">
        <v>0</v>
      </c>
      <c r="AH104">
        <v>108870.77997671711</v>
      </c>
      <c r="AI104">
        <v>0</v>
      </c>
      <c r="AJ104">
        <v>108870.77997671711</v>
      </c>
      <c r="AK104">
        <v>2188.8242142025556</v>
      </c>
      <c r="AL104">
        <v>111059.60419091966</v>
      </c>
      <c r="AM104">
        <v>111059.60419091966</v>
      </c>
      <c r="AN104">
        <v>8586018</v>
      </c>
      <c r="AQ104">
        <v>0</v>
      </c>
      <c r="AR104">
        <v>111059.60419091966</v>
      </c>
      <c r="AS104">
        <v>8586018</v>
      </c>
      <c r="AT104" s="238" t="s">
        <v>36</v>
      </c>
      <c r="AV104">
        <v>111059.60419091966</v>
      </c>
      <c r="AW104">
        <v>0</v>
      </c>
      <c r="AX104">
        <v>8586018</v>
      </c>
      <c r="AY104" s="238"/>
      <c r="AZ104" s="238" t="s">
        <v>3</v>
      </c>
      <c r="BA104" s="238" t="s">
        <v>3</v>
      </c>
      <c r="BB104" s="238" t="s">
        <v>8951</v>
      </c>
      <c r="BC104" s="238" t="s">
        <v>1167</v>
      </c>
      <c r="BD104" t="b">
        <v>1</v>
      </c>
      <c r="BE104" s="238" t="s">
        <v>9088</v>
      </c>
      <c r="BF104" s="238" t="s">
        <v>8990</v>
      </c>
      <c r="BG104">
        <v>8586018</v>
      </c>
      <c r="BH104">
        <v>8586018</v>
      </c>
      <c r="BI104">
        <v>0</v>
      </c>
      <c r="BJ104">
        <v>0</v>
      </c>
      <c r="BK104">
        <v>0</v>
      </c>
    </row>
    <row r="105" spans="1:63" x14ac:dyDescent="0.25">
      <c r="A105">
        <v>104</v>
      </c>
      <c r="B105">
        <v>1</v>
      </c>
      <c r="C105">
        <v>14</v>
      </c>
      <c r="D105">
        <v>3</v>
      </c>
      <c r="E105">
        <v>1</v>
      </c>
      <c r="F105">
        <v>12.41</v>
      </c>
      <c r="I105">
        <v>12.41</v>
      </c>
      <c r="J105">
        <v>14.77</v>
      </c>
      <c r="K105">
        <v>4.45</v>
      </c>
      <c r="M105">
        <v>3.88</v>
      </c>
      <c r="P105">
        <v>2.93</v>
      </c>
      <c r="R105">
        <v>2.93</v>
      </c>
      <c r="S105">
        <v>38.44</v>
      </c>
      <c r="T105">
        <v>35.51</v>
      </c>
      <c r="U105">
        <v>36.979999999999997</v>
      </c>
      <c r="V105">
        <v>120353.44</v>
      </c>
      <c r="X105">
        <v>120353.44</v>
      </c>
      <c r="Y105">
        <v>2.1155555555596948</v>
      </c>
      <c r="Z105">
        <v>120355.55555555556</v>
      </c>
      <c r="AA105">
        <v>0</v>
      </c>
      <c r="AB105">
        <v>120355.55555555556</v>
      </c>
      <c r="AC105">
        <v>3611.1111111111095</v>
      </c>
      <c r="AD105">
        <v>123966.66666666667</v>
      </c>
      <c r="AE105">
        <v>0.34252749235020019</v>
      </c>
      <c r="AF105">
        <v>123967.00919415902</v>
      </c>
      <c r="AG105">
        <v>0</v>
      </c>
      <c r="AH105">
        <v>123967.00919415902</v>
      </c>
      <c r="AI105">
        <v>500</v>
      </c>
      <c r="AJ105">
        <v>124467.00919415902</v>
      </c>
      <c r="AK105">
        <v>0</v>
      </c>
      <c r="AL105">
        <v>124467.00919415902</v>
      </c>
      <c r="AM105">
        <v>124467.00919415902</v>
      </c>
      <c r="AN105">
        <v>4602790</v>
      </c>
      <c r="AQ105">
        <v>0</v>
      </c>
      <c r="AR105">
        <v>124467.00919415902</v>
      </c>
      <c r="AS105">
        <v>4602790</v>
      </c>
      <c r="AT105" s="238" t="s">
        <v>36</v>
      </c>
      <c r="AV105">
        <v>124467.00919415902</v>
      </c>
      <c r="AW105">
        <v>0</v>
      </c>
      <c r="AX105">
        <v>4602790</v>
      </c>
      <c r="AY105" s="238"/>
      <c r="AZ105" s="238" t="s">
        <v>3</v>
      </c>
      <c r="BA105" s="238" t="s">
        <v>3</v>
      </c>
      <c r="BB105" s="238" t="s">
        <v>8951</v>
      </c>
      <c r="BC105" s="238" t="s">
        <v>1167</v>
      </c>
      <c r="BD105" t="b">
        <v>1</v>
      </c>
      <c r="BE105" s="238" t="s">
        <v>9088</v>
      </c>
      <c r="BF105" s="238" t="s">
        <v>8972</v>
      </c>
      <c r="BG105">
        <v>4602790</v>
      </c>
      <c r="BH105">
        <v>4602790</v>
      </c>
      <c r="BI105">
        <v>0</v>
      </c>
      <c r="BJ105">
        <v>0</v>
      </c>
      <c r="BK105">
        <v>0</v>
      </c>
    </row>
    <row r="106" spans="1:63" x14ac:dyDescent="0.25">
      <c r="A106">
        <v>105</v>
      </c>
      <c r="B106">
        <v>1</v>
      </c>
      <c r="C106">
        <v>14</v>
      </c>
      <c r="D106">
        <v>4</v>
      </c>
      <c r="E106">
        <v>1</v>
      </c>
      <c r="F106">
        <v>12.41</v>
      </c>
      <c r="I106">
        <v>12.41</v>
      </c>
      <c r="J106">
        <v>14.23</v>
      </c>
      <c r="K106">
        <v>4.45</v>
      </c>
      <c r="M106">
        <v>3.78</v>
      </c>
      <c r="P106">
        <v>3.11</v>
      </c>
      <c r="R106">
        <v>3.11</v>
      </c>
      <c r="S106">
        <v>37.979999999999997</v>
      </c>
      <c r="T106">
        <v>34.869999999999997</v>
      </c>
      <c r="U106">
        <v>36.43</v>
      </c>
      <c r="V106">
        <v>120353.44</v>
      </c>
      <c r="X106">
        <v>120353.44</v>
      </c>
      <c r="Y106">
        <v>2.6100695410132175</v>
      </c>
      <c r="Z106">
        <v>120356.05006954102</v>
      </c>
      <c r="AA106">
        <v>0</v>
      </c>
      <c r="AB106">
        <v>120356.05006954102</v>
      </c>
      <c r="AC106">
        <v>0</v>
      </c>
      <c r="AD106">
        <v>120356.05006954102</v>
      </c>
      <c r="AE106">
        <v>-1585.8057653960859</v>
      </c>
      <c r="AF106">
        <v>118770.24430414493</v>
      </c>
      <c r="AG106">
        <v>0</v>
      </c>
      <c r="AH106">
        <v>118770.24430414493</v>
      </c>
      <c r="AI106">
        <v>0</v>
      </c>
      <c r="AJ106">
        <v>118770.24430414493</v>
      </c>
      <c r="AK106">
        <v>0</v>
      </c>
      <c r="AL106">
        <v>118770.24430414492</v>
      </c>
      <c r="AM106">
        <v>118770.24430414493</v>
      </c>
      <c r="AN106">
        <v>4326800</v>
      </c>
      <c r="AQ106">
        <v>0</v>
      </c>
      <c r="AR106">
        <v>118770.24430414493</v>
      </c>
      <c r="AS106">
        <v>4326800</v>
      </c>
      <c r="AT106" s="238" t="s">
        <v>36</v>
      </c>
      <c r="AV106">
        <v>118770.24430414493</v>
      </c>
      <c r="AW106">
        <v>0</v>
      </c>
      <c r="AX106">
        <v>4326800</v>
      </c>
      <c r="AY106" s="238"/>
      <c r="AZ106" s="238" t="s">
        <v>8963</v>
      </c>
      <c r="BA106" s="238" t="s">
        <v>8963</v>
      </c>
      <c r="BB106" s="238" t="s">
        <v>8953</v>
      </c>
      <c r="BC106" s="238" t="s">
        <v>8964</v>
      </c>
      <c r="BD106" t="b">
        <v>1</v>
      </c>
      <c r="BE106" s="238" t="s">
        <v>9088</v>
      </c>
      <c r="BF106" s="238" t="s">
        <v>8972</v>
      </c>
      <c r="BG106">
        <v>4326800</v>
      </c>
      <c r="BH106">
        <v>4402821</v>
      </c>
      <c r="BI106">
        <v>4326800</v>
      </c>
      <c r="BJ106">
        <v>0</v>
      </c>
      <c r="BK106">
        <v>0</v>
      </c>
    </row>
    <row r="107" spans="1:63" x14ac:dyDescent="0.25">
      <c r="A107">
        <v>106</v>
      </c>
      <c r="B107">
        <v>1</v>
      </c>
      <c r="C107">
        <v>14</v>
      </c>
      <c r="D107">
        <v>5</v>
      </c>
      <c r="E107">
        <v>2</v>
      </c>
      <c r="F107">
        <v>14.66</v>
      </c>
      <c r="G107">
        <v>10.58</v>
      </c>
      <c r="I107">
        <v>25.240000000000002</v>
      </c>
      <c r="J107">
        <v>17.38</v>
      </c>
      <c r="K107">
        <v>4.07</v>
      </c>
      <c r="L107">
        <v>3.38</v>
      </c>
      <c r="M107">
        <v>3.48</v>
      </c>
      <c r="N107">
        <v>3.77</v>
      </c>
      <c r="P107">
        <v>3.11</v>
      </c>
      <c r="R107">
        <v>3.11</v>
      </c>
      <c r="S107">
        <v>60.43</v>
      </c>
      <c r="T107">
        <v>57.32</v>
      </c>
      <c r="U107">
        <v>58.88</v>
      </c>
      <c r="V107">
        <v>118496.08</v>
      </c>
      <c r="X107">
        <v>118496.08</v>
      </c>
      <c r="Y107">
        <v>0.86856146468198858</v>
      </c>
      <c r="Z107">
        <v>118496.94856146468</v>
      </c>
      <c r="AA107">
        <v>0</v>
      </c>
      <c r="AB107">
        <v>118496.94856146468</v>
      </c>
      <c r="AC107">
        <v>3554.9607672188286</v>
      </c>
      <c r="AD107">
        <v>122051.90932868351</v>
      </c>
      <c r="AE107">
        <v>1.4194756643119035</v>
      </c>
      <c r="AF107">
        <v>122053.32880434782</v>
      </c>
      <c r="AG107">
        <v>0</v>
      </c>
      <c r="AH107">
        <v>122053.32880434782</v>
      </c>
      <c r="AI107">
        <v>0</v>
      </c>
      <c r="AJ107">
        <v>122053.32880434782</v>
      </c>
      <c r="AK107">
        <v>1220.1936141304325</v>
      </c>
      <c r="AL107">
        <v>123273.52241847826</v>
      </c>
      <c r="AM107">
        <v>123273.52241847826</v>
      </c>
      <c r="AN107">
        <v>7258345</v>
      </c>
      <c r="AQ107">
        <v>0</v>
      </c>
      <c r="AR107">
        <v>123273.52241847826</v>
      </c>
      <c r="AS107">
        <v>7258345</v>
      </c>
      <c r="AT107" s="238" t="s">
        <v>36</v>
      </c>
      <c r="AV107">
        <v>123273.52241847826</v>
      </c>
      <c r="AW107">
        <v>0</v>
      </c>
      <c r="AX107">
        <v>7258345</v>
      </c>
      <c r="AY107" s="238"/>
      <c r="AZ107" s="238" t="s">
        <v>3</v>
      </c>
      <c r="BA107" s="238" t="s">
        <v>3</v>
      </c>
      <c r="BB107" s="238" t="s">
        <v>8951</v>
      </c>
      <c r="BC107" s="238" t="s">
        <v>1167</v>
      </c>
      <c r="BD107" t="b">
        <v>1</v>
      </c>
      <c r="BE107" s="238" t="s">
        <v>9088</v>
      </c>
      <c r="BF107" s="238" t="s">
        <v>8971</v>
      </c>
      <c r="BG107">
        <v>7258345</v>
      </c>
      <c r="BH107">
        <v>7258345</v>
      </c>
      <c r="BI107">
        <v>0</v>
      </c>
      <c r="BJ107">
        <v>0</v>
      </c>
      <c r="BK107">
        <v>0</v>
      </c>
    </row>
    <row r="108" spans="1:63" x14ac:dyDescent="0.25">
      <c r="A108">
        <v>107</v>
      </c>
      <c r="B108">
        <v>1</v>
      </c>
      <c r="C108">
        <v>14</v>
      </c>
      <c r="D108">
        <v>6</v>
      </c>
      <c r="E108">
        <v>2</v>
      </c>
      <c r="F108">
        <v>11.63</v>
      </c>
      <c r="G108">
        <v>10.93</v>
      </c>
      <c r="I108">
        <v>22.560000000000002</v>
      </c>
      <c r="J108">
        <v>16.28</v>
      </c>
      <c r="K108">
        <v>4.62</v>
      </c>
      <c r="M108">
        <v>4.3899999999999997</v>
      </c>
      <c r="N108">
        <v>1.81</v>
      </c>
      <c r="P108">
        <v>4.4000000000000004</v>
      </c>
      <c r="R108">
        <v>4.4000000000000004</v>
      </c>
      <c r="S108">
        <v>54.06</v>
      </c>
      <c r="T108">
        <v>49.66</v>
      </c>
      <c r="U108">
        <v>51.86</v>
      </c>
      <c r="V108">
        <v>116281.2</v>
      </c>
      <c r="X108">
        <v>116281.2</v>
      </c>
      <c r="Y108">
        <v>501.80692383779387</v>
      </c>
      <c r="Z108">
        <v>116783.00692383779</v>
      </c>
      <c r="AA108">
        <v>0</v>
      </c>
      <c r="AB108">
        <v>116783.00692383779</v>
      </c>
      <c r="AC108">
        <v>3503.4817012858548</v>
      </c>
      <c r="AD108">
        <v>120286.48862512365</v>
      </c>
      <c r="AE108">
        <v>0.82336870589642785</v>
      </c>
      <c r="AF108">
        <v>120287.31199382954</v>
      </c>
      <c r="AG108">
        <v>0</v>
      </c>
      <c r="AH108">
        <v>120287.31199382954</v>
      </c>
      <c r="AI108">
        <v>0</v>
      </c>
      <c r="AJ108">
        <v>120287.31199382954</v>
      </c>
      <c r="AK108">
        <v>1202.5645969918987</v>
      </c>
      <c r="AL108">
        <v>121489.87659082144</v>
      </c>
      <c r="AM108">
        <v>121489.87659082144</v>
      </c>
      <c r="AN108">
        <v>6300465</v>
      </c>
      <c r="AQ108">
        <v>0</v>
      </c>
      <c r="AR108">
        <v>121489.87659082144</v>
      </c>
      <c r="AS108">
        <v>6300465</v>
      </c>
      <c r="AT108" s="238" t="s">
        <v>36</v>
      </c>
      <c r="AV108">
        <v>121489.87659082144</v>
      </c>
      <c r="AW108">
        <v>0</v>
      </c>
      <c r="AX108">
        <v>6300465</v>
      </c>
      <c r="AY108" s="238"/>
      <c r="AZ108" s="238" t="s">
        <v>3</v>
      </c>
      <c r="BA108" s="238" t="s">
        <v>3</v>
      </c>
      <c r="BB108" s="238" t="s">
        <v>8951</v>
      </c>
      <c r="BC108" s="238" t="s">
        <v>1167</v>
      </c>
      <c r="BD108" t="b">
        <v>1</v>
      </c>
      <c r="BE108" s="238" t="s">
        <v>9088</v>
      </c>
      <c r="BF108" s="238" t="s">
        <v>8971</v>
      </c>
      <c r="BG108">
        <v>6300465</v>
      </c>
      <c r="BH108">
        <v>6300465</v>
      </c>
      <c r="BI108">
        <v>0</v>
      </c>
      <c r="BJ108">
        <v>0</v>
      </c>
      <c r="BK108">
        <v>0</v>
      </c>
    </row>
    <row r="109" spans="1:63" x14ac:dyDescent="0.25">
      <c r="A109">
        <v>108</v>
      </c>
      <c r="B109">
        <v>1</v>
      </c>
      <c r="C109">
        <v>14</v>
      </c>
      <c r="D109">
        <v>7</v>
      </c>
      <c r="E109">
        <v>2</v>
      </c>
      <c r="F109">
        <v>10.86</v>
      </c>
      <c r="G109">
        <v>14.01</v>
      </c>
      <c r="I109">
        <v>24.869999999999997</v>
      </c>
      <c r="J109">
        <v>18.82</v>
      </c>
      <c r="K109">
        <v>3.96</v>
      </c>
      <c r="M109">
        <v>2.8</v>
      </c>
      <c r="N109">
        <v>3.83</v>
      </c>
      <c r="O109">
        <v>4.6399999999999997</v>
      </c>
      <c r="P109">
        <v>3.91</v>
      </c>
      <c r="R109">
        <v>3.91</v>
      </c>
      <c r="S109">
        <v>62.83</v>
      </c>
      <c r="T109">
        <v>58.92</v>
      </c>
      <c r="U109">
        <v>60.88</v>
      </c>
      <c r="V109">
        <v>117388.64</v>
      </c>
      <c r="X109">
        <v>117388.64</v>
      </c>
      <c r="Y109">
        <v>1.3683319222764112E-2</v>
      </c>
      <c r="Z109">
        <v>117388.65368331922</v>
      </c>
      <c r="AA109">
        <v>0</v>
      </c>
      <c r="AB109">
        <v>117388.65368331922</v>
      </c>
      <c r="AC109">
        <v>3522.0152413209144</v>
      </c>
      <c r="AD109">
        <v>120910.66892464014</v>
      </c>
      <c r="AE109">
        <v>0.96051031386014074</v>
      </c>
      <c r="AF109">
        <v>120911.629434954</v>
      </c>
      <c r="AG109">
        <v>0</v>
      </c>
      <c r="AH109">
        <v>120911.629434954</v>
      </c>
      <c r="AI109">
        <v>0</v>
      </c>
      <c r="AJ109">
        <v>120911.629434954</v>
      </c>
      <c r="AK109">
        <v>1209.4940867279947</v>
      </c>
      <c r="AL109">
        <v>122121.12352168201</v>
      </c>
      <c r="AM109">
        <v>122121.12352168199</v>
      </c>
      <c r="AN109">
        <v>7434734</v>
      </c>
      <c r="AQ109">
        <v>0</v>
      </c>
      <c r="AR109">
        <v>122121.12352168199</v>
      </c>
      <c r="AS109">
        <v>7434734</v>
      </c>
      <c r="AT109" s="238" t="s">
        <v>36</v>
      </c>
      <c r="AV109">
        <v>122121.12352168199</v>
      </c>
      <c r="AW109">
        <v>0</v>
      </c>
      <c r="AX109">
        <v>7434734</v>
      </c>
      <c r="AY109" s="238"/>
      <c r="AZ109" s="238" t="s">
        <v>3</v>
      </c>
      <c r="BA109" s="238" t="s">
        <v>3</v>
      </c>
      <c r="BB109" s="238" t="s">
        <v>8951</v>
      </c>
      <c r="BC109" s="238" t="s">
        <v>1167</v>
      </c>
      <c r="BD109" t="b">
        <v>1</v>
      </c>
      <c r="BE109" s="238" t="s">
        <v>9088</v>
      </c>
      <c r="BF109" s="238" t="s">
        <v>8971</v>
      </c>
      <c r="BG109">
        <v>7434734</v>
      </c>
      <c r="BH109">
        <v>7434734</v>
      </c>
      <c r="BI109">
        <v>0</v>
      </c>
      <c r="BJ109">
        <v>0</v>
      </c>
      <c r="BK109">
        <v>0</v>
      </c>
    </row>
    <row r="110" spans="1:63" x14ac:dyDescent="0.25">
      <c r="A110">
        <v>109</v>
      </c>
      <c r="B110">
        <v>1</v>
      </c>
      <c r="C110">
        <v>14</v>
      </c>
      <c r="D110">
        <v>8</v>
      </c>
      <c r="E110">
        <v>1</v>
      </c>
      <c r="F110">
        <v>14.95</v>
      </c>
      <c r="I110">
        <v>14.95</v>
      </c>
      <c r="J110">
        <v>17.47</v>
      </c>
      <c r="K110">
        <v>4.97</v>
      </c>
      <c r="M110">
        <v>4</v>
      </c>
      <c r="P110">
        <v>3.36</v>
      </c>
      <c r="R110">
        <v>3.36</v>
      </c>
      <c r="S110">
        <v>44.75</v>
      </c>
      <c r="T110">
        <v>41.39</v>
      </c>
      <c r="U110">
        <v>43.07</v>
      </c>
      <c r="V110">
        <v>119184.96000000001</v>
      </c>
      <c r="X110">
        <v>119184.96000000001</v>
      </c>
      <c r="Y110">
        <v>0.9452247873559827</v>
      </c>
      <c r="Z110">
        <v>119185.90522478736</v>
      </c>
      <c r="AA110">
        <v>500.09720534630469</v>
      </c>
      <c r="AB110">
        <v>119686.00243013367</v>
      </c>
      <c r="AC110">
        <v>3590.5710814094782</v>
      </c>
      <c r="AD110">
        <v>123276.57351154315</v>
      </c>
      <c r="AE110">
        <v>1.8105144610308344</v>
      </c>
      <c r="AF110">
        <v>123278.38402600418</v>
      </c>
      <c r="AG110">
        <v>0</v>
      </c>
      <c r="AH110">
        <v>123278.38402600418</v>
      </c>
      <c r="AI110">
        <v>0</v>
      </c>
      <c r="AJ110">
        <v>123278.38402600418</v>
      </c>
      <c r="AK110">
        <v>0</v>
      </c>
      <c r="AL110">
        <v>123278.38402600418</v>
      </c>
      <c r="AM110">
        <v>123278.38402600418</v>
      </c>
      <c r="AN110">
        <v>5309600</v>
      </c>
      <c r="AQ110">
        <v>0</v>
      </c>
      <c r="AR110">
        <v>123278.38402600418</v>
      </c>
      <c r="AS110">
        <v>5309600</v>
      </c>
      <c r="AT110" s="238" t="s">
        <v>36</v>
      </c>
      <c r="AV110">
        <v>123278.38402600418</v>
      </c>
      <c r="AW110">
        <v>0</v>
      </c>
      <c r="AX110">
        <v>5309600</v>
      </c>
      <c r="AY110" s="238"/>
      <c r="AZ110" s="238" t="s">
        <v>3</v>
      </c>
      <c r="BA110" s="238" t="s">
        <v>3</v>
      </c>
      <c r="BB110" s="238" t="s">
        <v>8951</v>
      </c>
      <c r="BC110" s="238" t="s">
        <v>1167</v>
      </c>
      <c r="BD110" t="b">
        <v>1</v>
      </c>
      <c r="BE110" s="238" t="s">
        <v>9088</v>
      </c>
      <c r="BF110" s="238" t="s">
        <v>8972</v>
      </c>
      <c r="BG110">
        <v>5309600</v>
      </c>
      <c r="BH110">
        <v>5309600</v>
      </c>
      <c r="BI110">
        <v>0</v>
      </c>
      <c r="BJ110">
        <v>0</v>
      </c>
      <c r="BK110">
        <v>0</v>
      </c>
    </row>
    <row r="111" spans="1:63" x14ac:dyDescent="0.25">
      <c r="A111">
        <v>110</v>
      </c>
      <c r="B111">
        <v>1</v>
      </c>
      <c r="C111">
        <v>15</v>
      </c>
      <c r="D111">
        <v>1</v>
      </c>
      <c r="E111">
        <v>1</v>
      </c>
      <c r="F111">
        <v>14.95</v>
      </c>
      <c r="I111">
        <v>14.95</v>
      </c>
      <c r="J111">
        <v>16.48</v>
      </c>
      <c r="K111">
        <v>5.01</v>
      </c>
      <c r="M111">
        <v>3.96</v>
      </c>
      <c r="P111">
        <v>3.36</v>
      </c>
      <c r="R111">
        <v>3.36</v>
      </c>
      <c r="S111">
        <v>43.76</v>
      </c>
      <c r="T111">
        <v>40.4</v>
      </c>
      <c r="U111">
        <v>42.08</v>
      </c>
      <c r="V111">
        <v>119184.96000000001</v>
      </c>
      <c r="X111">
        <v>119184.96000000001</v>
      </c>
      <c r="Y111">
        <v>1.9332038834836567</v>
      </c>
      <c r="Z111">
        <v>119186.89320388349</v>
      </c>
      <c r="AA111">
        <v>0</v>
      </c>
      <c r="AB111">
        <v>119186.89320388349</v>
      </c>
      <c r="AC111">
        <v>3575.7281553398061</v>
      </c>
      <c r="AD111">
        <v>122762.6213592233</v>
      </c>
      <c r="AE111">
        <v>1.1619107386795804</v>
      </c>
      <c r="AF111">
        <v>122763.78326996198</v>
      </c>
      <c r="AG111">
        <v>0</v>
      </c>
      <c r="AH111">
        <v>122763.78326996198</v>
      </c>
      <c r="AI111">
        <v>0</v>
      </c>
      <c r="AJ111">
        <v>122763.78326996198</v>
      </c>
      <c r="AK111">
        <v>0</v>
      </c>
      <c r="AL111">
        <v>122763.78326996198</v>
      </c>
      <c r="AM111">
        <v>122763.78326996198</v>
      </c>
      <c r="AN111">
        <v>5165900</v>
      </c>
      <c r="AQ111">
        <v>0</v>
      </c>
      <c r="AR111">
        <v>122763.78326996198</v>
      </c>
      <c r="AS111">
        <v>5165900</v>
      </c>
      <c r="AT111" s="238" t="s">
        <v>36</v>
      </c>
      <c r="AV111">
        <v>122763.78326996198</v>
      </c>
      <c r="AW111">
        <v>0</v>
      </c>
      <c r="AX111">
        <v>5165900</v>
      </c>
      <c r="AY111" s="238"/>
      <c r="AZ111" s="238" t="s">
        <v>3</v>
      </c>
      <c r="BA111" s="238" t="s">
        <v>3</v>
      </c>
      <c r="BB111" s="238" t="s">
        <v>8951</v>
      </c>
      <c r="BC111" s="238" t="s">
        <v>1167</v>
      </c>
      <c r="BD111" t="b">
        <v>1</v>
      </c>
      <c r="BE111" s="238" t="s">
        <v>9088</v>
      </c>
      <c r="BF111" s="238" t="s">
        <v>8972</v>
      </c>
      <c r="BG111">
        <v>5165900</v>
      </c>
      <c r="BH111">
        <v>5165900</v>
      </c>
      <c r="BI111">
        <v>0</v>
      </c>
      <c r="BJ111">
        <v>0</v>
      </c>
      <c r="BK111">
        <v>0</v>
      </c>
    </row>
    <row r="112" spans="1:63" x14ac:dyDescent="0.25">
      <c r="A112">
        <v>111</v>
      </c>
      <c r="B112">
        <v>1</v>
      </c>
      <c r="C112">
        <v>15</v>
      </c>
      <c r="D112">
        <v>2</v>
      </c>
      <c r="E112">
        <v>3</v>
      </c>
      <c r="F112">
        <v>18.46</v>
      </c>
      <c r="G112">
        <v>10.53</v>
      </c>
      <c r="H112">
        <v>9.9700000000000006</v>
      </c>
      <c r="I112">
        <v>38.96</v>
      </c>
      <c r="J112">
        <v>17.02</v>
      </c>
      <c r="K112">
        <v>4.07</v>
      </c>
      <c r="L112">
        <v>3.58</v>
      </c>
      <c r="M112">
        <v>4.18</v>
      </c>
      <c r="N112">
        <v>6.27</v>
      </c>
      <c r="P112">
        <v>3.04</v>
      </c>
      <c r="Q112">
        <v>3.41</v>
      </c>
      <c r="R112">
        <v>6.45</v>
      </c>
      <c r="S112">
        <v>80.53</v>
      </c>
      <c r="T112">
        <v>74.08</v>
      </c>
      <c r="U112">
        <v>77.31</v>
      </c>
      <c r="V112">
        <v>105198.08</v>
      </c>
      <c r="X112">
        <v>105198.08</v>
      </c>
      <c r="Y112">
        <v>0.85546240850817412</v>
      </c>
      <c r="Z112">
        <v>105198.93546240851</v>
      </c>
      <c r="AA112">
        <v>500.06653359947086</v>
      </c>
      <c r="AB112">
        <v>105699.00199600798</v>
      </c>
      <c r="AC112">
        <v>3170.9647371922765</v>
      </c>
      <c r="AD112">
        <v>108869.96673320026</v>
      </c>
      <c r="AE112">
        <v>0.81324351685179863</v>
      </c>
      <c r="AF112">
        <v>108870.77997671711</v>
      </c>
      <c r="AG112">
        <v>0</v>
      </c>
      <c r="AH112">
        <v>108870.77997671711</v>
      </c>
      <c r="AI112">
        <v>0</v>
      </c>
      <c r="AJ112">
        <v>108870.77997671711</v>
      </c>
      <c r="AK112">
        <v>2188.8242142025556</v>
      </c>
      <c r="AL112">
        <v>111059.60419091966</v>
      </c>
      <c r="AM112">
        <v>111059.60419091966</v>
      </c>
      <c r="AN112">
        <v>8586018</v>
      </c>
      <c r="AQ112">
        <v>0</v>
      </c>
      <c r="AR112">
        <v>111059.60419091966</v>
      </c>
      <c r="AS112">
        <v>8586018</v>
      </c>
      <c r="AT112" s="238" t="s">
        <v>36</v>
      </c>
      <c r="AV112">
        <v>111059.60419091966</v>
      </c>
      <c r="AW112">
        <v>0</v>
      </c>
      <c r="AX112">
        <v>8586018</v>
      </c>
      <c r="AY112" s="238"/>
      <c r="AZ112" s="238" t="s">
        <v>3</v>
      </c>
      <c r="BA112" s="238" t="s">
        <v>3</v>
      </c>
      <c r="BB112" s="238" t="s">
        <v>8951</v>
      </c>
      <c r="BC112" s="238" t="s">
        <v>1167</v>
      </c>
      <c r="BD112" t="b">
        <v>1</v>
      </c>
      <c r="BE112" s="238" t="s">
        <v>9088</v>
      </c>
      <c r="BF112" s="238" t="s">
        <v>8990</v>
      </c>
      <c r="BG112">
        <v>8586018</v>
      </c>
      <c r="BH112">
        <v>8586018</v>
      </c>
      <c r="BI112">
        <v>0</v>
      </c>
      <c r="BJ112">
        <v>0</v>
      </c>
      <c r="BK112">
        <v>0</v>
      </c>
    </row>
    <row r="113" spans="1:63" x14ac:dyDescent="0.25">
      <c r="A113">
        <v>112</v>
      </c>
      <c r="B113">
        <v>1</v>
      </c>
      <c r="C113">
        <v>15</v>
      </c>
      <c r="D113">
        <v>3</v>
      </c>
      <c r="E113">
        <v>1</v>
      </c>
      <c r="F113">
        <v>12.41</v>
      </c>
      <c r="I113">
        <v>12.41</v>
      </c>
      <c r="J113">
        <v>14.77</v>
      </c>
      <c r="K113">
        <v>4.45</v>
      </c>
      <c r="M113">
        <v>3.88</v>
      </c>
      <c r="P113">
        <v>2.93</v>
      </c>
      <c r="R113">
        <v>2.93</v>
      </c>
      <c r="S113">
        <v>38.44</v>
      </c>
      <c r="T113">
        <v>35.51</v>
      </c>
      <c r="U113">
        <v>36.979999999999997</v>
      </c>
      <c r="V113">
        <v>120353.44</v>
      </c>
      <c r="X113">
        <v>120353.44</v>
      </c>
      <c r="Y113">
        <v>2.1155555555596948</v>
      </c>
      <c r="Z113">
        <v>120355.55555555556</v>
      </c>
      <c r="AA113">
        <v>0</v>
      </c>
      <c r="AB113">
        <v>120355.55555555556</v>
      </c>
      <c r="AC113">
        <v>3611.1111111111095</v>
      </c>
      <c r="AD113">
        <v>123966.66666666667</v>
      </c>
      <c r="AE113">
        <v>0.34252749235020019</v>
      </c>
      <c r="AF113">
        <v>123967.00919415902</v>
      </c>
      <c r="AG113">
        <v>0</v>
      </c>
      <c r="AH113">
        <v>123967.00919415902</v>
      </c>
      <c r="AI113">
        <v>500</v>
      </c>
      <c r="AJ113">
        <v>124467.00919415902</v>
      </c>
      <c r="AK113">
        <v>0</v>
      </c>
      <c r="AL113">
        <v>124467.00919415902</v>
      </c>
      <c r="AM113">
        <v>124467.00919415902</v>
      </c>
      <c r="AN113">
        <v>4602790</v>
      </c>
      <c r="AQ113">
        <v>0</v>
      </c>
      <c r="AR113">
        <v>124467.00919415902</v>
      </c>
      <c r="AS113">
        <v>4602790</v>
      </c>
      <c r="AT113" s="238" t="s">
        <v>36</v>
      </c>
      <c r="AV113">
        <v>124467.00919415902</v>
      </c>
      <c r="AW113">
        <v>0</v>
      </c>
      <c r="AX113">
        <v>4602790</v>
      </c>
      <c r="AY113" s="238"/>
      <c r="AZ113" s="238" t="s">
        <v>3</v>
      </c>
      <c r="BA113" s="238" t="s">
        <v>3</v>
      </c>
      <c r="BB113" s="238" t="s">
        <v>8951</v>
      </c>
      <c r="BC113" s="238" t="s">
        <v>1167</v>
      </c>
      <c r="BD113" t="b">
        <v>1</v>
      </c>
      <c r="BE113" s="238" t="s">
        <v>9088</v>
      </c>
      <c r="BF113" s="238" t="s">
        <v>8972</v>
      </c>
      <c r="BG113">
        <v>4602790</v>
      </c>
      <c r="BH113">
        <v>4602790</v>
      </c>
      <c r="BI113">
        <v>0</v>
      </c>
      <c r="BJ113">
        <v>0</v>
      </c>
      <c r="BK113">
        <v>0</v>
      </c>
    </row>
    <row r="114" spans="1:63" x14ac:dyDescent="0.25">
      <c r="A114">
        <v>113</v>
      </c>
      <c r="B114">
        <v>1</v>
      </c>
      <c r="C114">
        <v>15</v>
      </c>
      <c r="D114">
        <v>4</v>
      </c>
      <c r="E114">
        <v>1</v>
      </c>
      <c r="F114">
        <v>12.41</v>
      </c>
      <c r="I114">
        <v>12.41</v>
      </c>
      <c r="J114">
        <v>14.23</v>
      </c>
      <c r="K114">
        <v>4.45</v>
      </c>
      <c r="M114">
        <v>3.78</v>
      </c>
      <c r="P114">
        <v>3.11</v>
      </c>
      <c r="R114">
        <v>3.11</v>
      </c>
      <c r="S114">
        <v>37.979999999999997</v>
      </c>
      <c r="T114">
        <v>34.869999999999997</v>
      </c>
      <c r="U114">
        <v>36.43</v>
      </c>
      <c r="V114">
        <v>120353.44</v>
      </c>
      <c r="X114">
        <v>120353.44</v>
      </c>
      <c r="Y114">
        <v>2.6100695410132175</v>
      </c>
      <c r="Z114">
        <v>120356.05006954102</v>
      </c>
      <c r="AA114">
        <v>0</v>
      </c>
      <c r="AB114">
        <v>120356.05006954102</v>
      </c>
      <c r="AC114">
        <v>3610.6258692628762</v>
      </c>
      <c r="AD114">
        <v>123966.67593880389</v>
      </c>
      <c r="AE114">
        <v>2.5801687997300178</v>
      </c>
      <c r="AF114">
        <v>123969.25610760362</v>
      </c>
      <c r="AG114">
        <v>499.7529508646694</v>
      </c>
      <c r="AH114">
        <v>124469.00905846829</v>
      </c>
      <c r="AI114">
        <v>0</v>
      </c>
      <c r="AJ114">
        <v>124469.00905846829</v>
      </c>
      <c r="AK114">
        <v>0</v>
      </c>
      <c r="AL114">
        <v>124469.00905846828</v>
      </c>
      <c r="AM114">
        <v>124469.00905846829</v>
      </c>
      <c r="AN114">
        <v>4534406</v>
      </c>
      <c r="AQ114">
        <v>0</v>
      </c>
      <c r="AR114">
        <v>124469.00905846829</v>
      </c>
      <c r="AS114">
        <v>4534406</v>
      </c>
      <c r="AT114" s="238" t="s">
        <v>36</v>
      </c>
      <c r="AV114">
        <v>124469.00905846829</v>
      </c>
      <c r="AW114">
        <v>0</v>
      </c>
      <c r="AX114">
        <v>4534406</v>
      </c>
      <c r="AY114" s="238"/>
      <c r="AZ114" s="238" t="s">
        <v>8956</v>
      </c>
      <c r="BA114" s="238" t="s">
        <v>8956</v>
      </c>
      <c r="BB114" s="238" t="s">
        <v>8953</v>
      </c>
      <c r="BC114" s="238" t="s">
        <v>8957</v>
      </c>
      <c r="BD114" t="b">
        <v>1</v>
      </c>
      <c r="BE114" s="238" t="s">
        <v>9088</v>
      </c>
      <c r="BF114" s="238" t="s">
        <v>8972</v>
      </c>
      <c r="BG114">
        <v>4534406</v>
      </c>
      <c r="BH114">
        <v>4534406</v>
      </c>
      <c r="BI114">
        <v>0</v>
      </c>
      <c r="BJ114">
        <v>0</v>
      </c>
      <c r="BK114">
        <v>0</v>
      </c>
    </row>
    <row r="115" spans="1:63" x14ac:dyDescent="0.25">
      <c r="A115">
        <v>114</v>
      </c>
      <c r="B115">
        <v>1</v>
      </c>
      <c r="C115">
        <v>15</v>
      </c>
      <c r="D115">
        <v>5</v>
      </c>
      <c r="E115">
        <v>2</v>
      </c>
      <c r="F115">
        <v>14.66</v>
      </c>
      <c r="G115">
        <v>10.58</v>
      </c>
      <c r="I115">
        <v>25.240000000000002</v>
      </c>
      <c r="J115">
        <v>17.38</v>
      </c>
      <c r="K115">
        <v>4.07</v>
      </c>
      <c r="L115">
        <v>3.38</v>
      </c>
      <c r="M115">
        <v>3.48</v>
      </c>
      <c r="N115">
        <v>3.77</v>
      </c>
      <c r="P115">
        <v>3.11</v>
      </c>
      <c r="R115">
        <v>3.11</v>
      </c>
      <c r="S115">
        <v>60.43</v>
      </c>
      <c r="T115">
        <v>57.32</v>
      </c>
      <c r="U115">
        <v>58.88</v>
      </c>
      <c r="V115">
        <v>118496.08</v>
      </c>
      <c r="X115">
        <v>118496.08</v>
      </c>
      <c r="Y115">
        <v>0.86856146468198858</v>
      </c>
      <c r="Z115">
        <v>118496.94856146468</v>
      </c>
      <c r="AA115">
        <v>0</v>
      </c>
      <c r="AB115">
        <v>118496.94856146468</v>
      </c>
      <c r="AC115">
        <v>3554.9607672188286</v>
      </c>
      <c r="AD115">
        <v>122051.90932868351</v>
      </c>
      <c r="AE115">
        <v>1.4194756643119035</v>
      </c>
      <c r="AF115">
        <v>122053.32880434782</v>
      </c>
      <c r="AG115">
        <v>0</v>
      </c>
      <c r="AH115">
        <v>122053.32880434782</v>
      </c>
      <c r="AI115">
        <v>0</v>
      </c>
      <c r="AJ115">
        <v>122053.32880434782</v>
      </c>
      <c r="AK115">
        <v>1220.1936141304325</v>
      </c>
      <c r="AL115">
        <v>123273.52241847826</v>
      </c>
      <c r="AM115">
        <v>123273.52241847826</v>
      </c>
      <c r="AN115">
        <v>7258345</v>
      </c>
      <c r="AQ115">
        <v>0</v>
      </c>
      <c r="AR115">
        <v>123273.52241847826</v>
      </c>
      <c r="AS115">
        <v>7258345</v>
      </c>
      <c r="AT115" s="238" t="s">
        <v>36</v>
      </c>
      <c r="AV115">
        <v>123273.52241847826</v>
      </c>
      <c r="AW115">
        <v>0</v>
      </c>
      <c r="AX115">
        <v>7258345</v>
      </c>
      <c r="AY115" s="238"/>
      <c r="AZ115" s="238" t="s">
        <v>3</v>
      </c>
      <c r="BA115" s="238" t="s">
        <v>3</v>
      </c>
      <c r="BB115" s="238" t="s">
        <v>8951</v>
      </c>
      <c r="BC115" s="238" t="s">
        <v>1167</v>
      </c>
      <c r="BD115" t="b">
        <v>1</v>
      </c>
      <c r="BE115" s="238" t="s">
        <v>9088</v>
      </c>
      <c r="BF115" s="238" t="s">
        <v>8971</v>
      </c>
      <c r="BG115">
        <v>7258345</v>
      </c>
      <c r="BH115">
        <v>7258345</v>
      </c>
      <c r="BI115">
        <v>0</v>
      </c>
      <c r="BJ115">
        <v>0</v>
      </c>
      <c r="BK115">
        <v>0</v>
      </c>
    </row>
    <row r="116" spans="1:63" x14ac:dyDescent="0.25">
      <c r="A116">
        <v>115</v>
      </c>
      <c r="B116">
        <v>1</v>
      </c>
      <c r="C116">
        <v>15</v>
      </c>
      <c r="D116">
        <v>6</v>
      </c>
      <c r="E116">
        <v>2</v>
      </c>
      <c r="F116">
        <v>11.63</v>
      </c>
      <c r="G116">
        <v>10.93</v>
      </c>
      <c r="I116">
        <v>22.560000000000002</v>
      </c>
      <c r="J116">
        <v>16.28</v>
      </c>
      <c r="K116">
        <v>4.62</v>
      </c>
      <c r="M116">
        <v>4.3899999999999997</v>
      </c>
      <c r="N116">
        <v>1.81</v>
      </c>
      <c r="P116">
        <v>4.4000000000000004</v>
      </c>
      <c r="R116">
        <v>4.4000000000000004</v>
      </c>
      <c r="S116">
        <v>54.06</v>
      </c>
      <c r="T116">
        <v>49.66</v>
      </c>
      <c r="U116">
        <v>51.86</v>
      </c>
      <c r="V116">
        <v>116281.2</v>
      </c>
      <c r="X116">
        <v>116281.2</v>
      </c>
      <c r="Y116">
        <v>501.80692383779387</v>
      </c>
      <c r="Z116">
        <v>116783.00692383779</v>
      </c>
      <c r="AA116">
        <v>0</v>
      </c>
      <c r="AB116">
        <v>116783.00692383779</v>
      </c>
      <c r="AC116">
        <v>0</v>
      </c>
      <c r="AD116">
        <v>116783.00692383779</v>
      </c>
      <c r="AE116">
        <v>-2949.9756858894689</v>
      </c>
      <c r="AF116">
        <v>113833.03123794832</v>
      </c>
      <c r="AG116">
        <v>0</v>
      </c>
      <c r="AH116">
        <v>113833.03123794832</v>
      </c>
      <c r="AI116">
        <v>0</v>
      </c>
      <c r="AJ116">
        <v>113833.03123794832</v>
      </c>
      <c r="AK116">
        <v>0</v>
      </c>
      <c r="AL116">
        <v>113833.03123794832</v>
      </c>
      <c r="AM116">
        <v>113833.03123794832</v>
      </c>
      <c r="AN116">
        <v>5903381</v>
      </c>
      <c r="AQ116">
        <v>0</v>
      </c>
      <c r="AR116">
        <v>113833.03123794832</v>
      </c>
      <c r="AS116">
        <v>5903381</v>
      </c>
      <c r="AT116" s="238" t="s">
        <v>36</v>
      </c>
      <c r="AV116">
        <v>113833.03123794832</v>
      </c>
      <c r="AW116">
        <v>0</v>
      </c>
      <c r="AX116">
        <v>5903381</v>
      </c>
      <c r="AY116" s="238"/>
      <c r="AZ116" s="238" t="s">
        <v>8963</v>
      </c>
      <c r="BA116" s="238" t="s">
        <v>8963</v>
      </c>
      <c r="BB116" s="238" t="s">
        <v>8953</v>
      </c>
      <c r="BC116" s="238" t="s">
        <v>8964</v>
      </c>
      <c r="BD116" t="b">
        <v>1</v>
      </c>
      <c r="BE116" s="238" t="s">
        <v>9088</v>
      </c>
      <c r="BF116" s="238" t="s">
        <v>8971</v>
      </c>
      <c r="BG116">
        <v>5903381</v>
      </c>
      <c r="BH116">
        <v>6116982</v>
      </c>
      <c r="BI116">
        <v>5903381</v>
      </c>
      <c r="BJ116">
        <v>0</v>
      </c>
      <c r="BK116">
        <v>0</v>
      </c>
    </row>
    <row r="117" spans="1:63" x14ac:dyDescent="0.25">
      <c r="A117">
        <v>116</v>
      </c>
      <c r="B117">
        <v>1</v>
      </c>
      <c r="C117">
        <v>15</v>
      </c>
      <c r="D117">
        <v>7</v>
      </c>
      <c r="E117">
        <v>2</v>
      </c>
      <c r="F117">
        <v>10.86</v>
      </c>
      <c r="G117">
        <v>14.01</v>
      </c>
      <c r="I117">
        <v>24.869999999999997</v>
      </c>
      <c r="J117">
        <v>18.82</v>
      </c>
      <c r="K117">
        <v>3.96</v>
      </c>
      <c r="M117">
        <v>2.8</v>
      </c>
      <c r="N117">
        <v>3.83</v>
      </c>
      <c r="O117">
        <v>4.6399999999999997</v>
      </c>
      <c r="P117">
        <v>3.91</v>
      </c>
      <c r="R117">
        <v>3.91</v>
      </c>
      <c r="S117">
        <v>62.83</v>
      </c>
      <c r="T117">
        <v>58.92</v>
      </c>
      <c r="U117">
        <v>60.88</v>
      </c>
      <c r="V117">
        <v>117388.64</v>
      </c>
      <c r="X117">
        <v>117388.64</v>
      </c>
      <c r="Y117">
        <v>1.3683319222764112E-2</v>
      </c>
      <c r="Z117">
        <v>117388.65368331922</v>
      </c>
      <c r="AA117">
        <v>0</v>
      </c>
      <c r="AB117">
        <v>117388.65368331922</v>
      </c>
      <c r="AC117">
        <v>3522.0152413209144</v>
      </c>
      <c r="AD117">
        <v>120910.66892464014</v>
      </c>
      <c r="AE117">
        <v>0.96051031386014074</v>
      </c>
      <c r="AF117">
        <v>120911.629434954</v>
      </c>
      <c r="AG117">
        <v>0</v>
      </c>
      <c r="AH117">
        <v>120911.629434954</v>
      </c>
      <c r="AI117">
        <v>0</v>
      </c>
      <c r="AJ117">
        <v>120911.629434954</v>
      </c>
      <c r="AK117">
        <v>1209.4940867279947</v>
      </c>
      <c r="AL117">
        <v>122121.12352168201</v>
      </c>
      <c r="AM117">
        <v>122121.12352168199</v>
      </c>
      <c r="AN117">
        <v>7434734</v>
      </c>
      <c r="AQ117">
        <v>0</v>
      </c>
      <c r="AR117">
        <v>122121.12352168199</v>
      </c>
      <c r="AS117">
        <v>7434734</v>
      </c>
      <c r="AT117" s="238" t="s">
        <v>36</v>
      </c>
      <c r="AV117">
        <v>122121.12352168199</v>
      </c>
      <c r="AW117">
        <v>0</v>
      </c>
      <c r="AX117">
        <v>7434734</v>
      </c>
      <c r="AY117" s="238"/>
      <c r="AZ117" s="238" t="s">
        <v>3</v>
      </c>
      <c r="BA117" s="238" t="s">
        <v>3</v>
      </c>
      <c r="BB117" s="238" t="s">
        <v>8951</v>
      </c>
      <c r="BC117" s="238" t="s">
        <v>1167</v>
      </c>
      <c r="BD117" t="b">
        <v>1</v>
      </c>
      <c r="BE117" s="238" t="s">
        <v>9088</v>
      </c>
      <c r="BF117" s="238" t="s">
        <v>8971</v>
      </c>
      <c r="BG117">
        <v>7434734</v>
      </c>
      <c r="BH117">
        <v>7434734</v>
      </c>
      <c r="BI117">
        <v>0</v>
      </c>
      <c r="BJ117">
        <v>0</v>
      </c>
      <c r="BK117">
        <v>0</v>
      </c>
    </row>
    <row r="118" spans="1:63" x14ac:dyDescent="0.25">
      <c r="A118">
        <v>117</v>
      </c>
      <c r="B118">
        <v>1</v>
      </c>
      <c r="C118">
        <v>15</v>
      </c>
      <c r="D118">
        <v>8</v>
      </c>
      <c r="E118">
        <v>1</v>
      </c>
      <c r="F118">
        <v>14.95</v>
      </c>
      <c r="I118">
        <v>14.95</v>
      </c>
      <c r="J118">
        <v>17.47</v>
      </c>
      <c r="K118">
        <v>4.97</v>
      </c>
      <c r="M118">
        <v>4</v>
      </c>
      <c r="P118">
        <v>3.36</v>
      </c>
      <c r="R118">
        <v>3.36</v>
      </c>
      <c r="S118">
        <v>44.75</v>
      </c>
      <c r="T118">
        <v>41.39</v>
      </c>
      <c r="U118">
        <v>43.07</v>
      </c>
      <c r="V118">
        <v>119184.96000000001</v>
      </c>
      <c r="X118">
        <v>119184.96000000001</v>
      </c>
      <c r="Y118">
        <v>0.9452247873559827</v>
      </c>
      <c r="Z118">
        <v>119185.90522478736</v>
      </c>
      <c r="AA118">
        <v>0</v>
      </c>
      <c r="AB118">
        <v>119185.90522478736</v>
      </c>
      <c r="AC118">
        <v>0</v>
      </c>
      <c r="AD118">
        <v>119185.90522478736</v>
      </c>
      <c r="AE118">
        <v>-5313.1399589410721</v>
      </c>
      <c r="AF118">
        <v>113872.76526584629</v>
      </c>
      <c r="AG118">
        <v>0</v>
      </c>
      <c r="AH118">
        <v>113872.76526584629</v>
      </c>
      <c r="AI118">
        <v>0</v>
      </c>
      <c r="AJ118">
        <v>113872.76526584629</v>
      </c>
      <c r="AK118">
        <v>0</v>
      </c>
      <c r="AL118">
        <v>113872.76526584628</v>
      </c>
      <c r="AM118">
        <v>113872.76526584629</v>
      </c>
      <c r="AN118">
        <v>4904500</v>
      </c>
      <c r="AP118">
        <v>0.02</v>
      </c>
      <c r="AQ118">
        <v>98090</v>
      </c>
      <c r="AR118">
        <v>111595.30996052937</v>
      </c>
      <c r="AS118">
        <v>4806410</v>
      </c>
      <c r="AT118" s="238" t="s">
        <v>36</v>
      </c>
      <c r="AV118">
        <v>111595.30996052937</v>
      </c>
      <c r="AW118">
        <v>0</v>
      </c>
      <c r="AX118">
        <v>4806410</v>
      </c>
      <c r="AY118" s="238" t="s">
        <v>9089</v>
      </c>
      <c r="AZ118" s="238" t="s">
        <v>8963</v>
      </c>
      <c r="BA118" s="238" t="s">
        <v>8963</v>
      </c>
      <c r="BB118" s="238" t="s">
        <v>8953</v>
      </c>
      <c r="BC118" s="238" t="s">
        <v>8964</v>
      </c>
      <c r="BD118" t="b">
        <v>1</v>
      </c>
      <c r="BE118" s="238" t="s">
        <v>9088</v>
      </c>
      <c r="BF118" s="238" t="s">
        <v>8972</v>
      </c>
      <c r="BG118">
        <v>4904500</v>
      </c>
      <c r="BH118">
        <v>5133400</v>
      </c>
      <c r="BI118">
        <v>4904500</v>
      </c>
      <c r="BJ118">
        <v>4904500</v>
      </c>
      <c r="BK118">
        <v>0</v>
      </c>
    </row>
    <row r="119" spans="1:63" x14ac:dyDescent="0.25">
      <c r="A119">
        <v>118</v>
      </c>
      <c r="B119">
        <v>1</v>
      </c>
      <c r="C119">
        <v>16</v>
      </c>
      <c r="D119">
        <v>1</v>
      </c>
      <c r="E119">
        <v>1</v>
      </c>
      <c r="F119">
        <v>14.95</v>
      </c>
      <c r="I119">
        <v>14.95</v>
      </c>
      <c r="J119">
        <v>16.48</v>
      </c>
      <c r="K119">
        <v>5.01</v>
      </c>
      <c r="M119">
        <v>3.96</v>
      </c>
      <c r="P119">
        <v>3.36</v>
      </c>
      <c r="R119">
        <v>3.36</v>
      </c>
      <c r="S119">
        <v>43.76</v>
      </c>
      <c r="T119">
        <v>40.4</v>
      </c>
      <c r="U119">
        <v>42.08</v>
      </c>
      <c r="V119">
        <v>119184.96000000001</v>
      </c>
      <c r="X119">
        <v>119184.96000000001</v>
      </c>
      <c r="Y119">
        <v>1.9332038834836567</v>
      </c>
      <c r="Z119">
        <v>119186.89320388349</v>
      </c>
      <c r="AA119">
        <v>0</v>
      </c>
      <c r="AB119">
        <v>119186.89320388349</v>
      </c>
      <c r="AC119">
        <v>3575.7281553398061</v>
      </c>
      <c r="AD119">
        <v>122762.6213592233</v>
      </c>
      <c r="AE119">
        <v>1.1619107386795804</v>
      </c>
      <c r="AF119">
        <v>122763.78326996198</v>
      </c>
      <c r="AG119">
        <v>0</v>
      </c>
      <c r="AH119">
        <v>122763.78326996198</v>
      </c>
      <c r="AI119">
        <v>0</v>
      </c>
      <c r="AJ119">
        <v>122763.78326996198</v>
      </c>
      <c r="AK119">
        <v>0</v>
      </c>
      <c r="AL119">
        <v>122763.78326996198</v>
      </c>
      <c r="AM119">
        <v>122763.78326996198</v>
      </c>
      <c r="AN119">
        <v>5165900</v>
      </c>
      <c r="AQ119">
        <v>0</v>
      </c>
      <c r="AR119">
        <v>122763.78326996198</v>
      </c>
      <c r="AS119">
        <v>5165900</v>
      </c>
      <c r="AT119" s="238" t="s">
        <v>36</v>
      </c>
      <c r="AV119">
        <v>122763.78326996198</v>
      </c>
      <c r="AW119">
        <v>0</v>
      </c>
      <c r="AX119">
        <v>5165900</v>
      </c>
      <c r="AY119" s="238"/>
      <c r="AZ119" s="238" t="s">
        <v>3</v>
      </c>
      <c r="BA119" s="238" t="s">
        <v>3</v>
      </c>
      <c r="BB119" s="238" t="s">
        <v>8951</v>
      </c>
      <c r="BC119" s="238" t="s">
        <v>1167</v>
      </c>
      <c r="BD119" t="b">
        <v>1</v>
      </c>
      <c r="BE119" s="238" t="s">
        <v>9088</v>
      </c>
      <c r="BF119" s="238" t="s">
        <v>8972</v>
      </c>
      <c r="BG119">
        <v>5165900</v>
      </c>
      <c r="BH119">
        <v>5165900</v>
      </c>
      <c r="BI119">
        <v>0</v>
      </c>
      <c r="BJ119">
        <v>0</v>
      </c>
      <c r="BK119">
        <v>0</v>
      </c>
    </row>
    <row r="120" spans="1:63" x14ac:dyDescent="0.25">
      <c r="A120">
        <v>119</v>
      </c>
      <c r="B120">
        <v>1</v>
      </c>
      <c r="C120">
        <v>16</v>
      </c>
      <c r="D120">
        <v>2</v>
      </c>
      <c r="E120">
        <v>3</v>
      </c>
      <c r="F120">
        <v>18.46</v>
      </c>
      <c r="G120">
        <v>10.53</v>
      </c>
      <c r="H120">
        <v>9.9700000000000006</v>
      </c>
      <c r="I120">
        <v>38.96</v>
      </c>
      <c r="J120">
        <v>17.02</v>
      </c>
      <c r="K120">
        <v>4.07</v>
      </c>
      <c r="L120">
        <v>3.58</v>
      </c>
      <c r="M120">
        <v>4.18</v>
      </c>
      <c r="N120">
        <v>6.27</v>
      </c>
      <c r="P120">
        <v>3.04</v>
      </c>
      <c r="Q120">
        <v>3.41</v>
      </c>
      <c r="R120">
        <v>6.45</v>
      </c>
      <c r="S120">
        <v>80.53</v>
      </c>
      <c r="T120">
        <v>74.08</v>
      </c>
      <c r="U120">
        <v>77.31</v>
      </c>
      <c r="V120">
        <v>105198.08</v>
      </c>
      <c r="X120">
        <v>105198.08</v>
      </c>
      <c r="Y120">
        <v>0.85546240850817412</v>
      </c>
      <c r="Z120">
        <v>105198.93546240851</v>
      </c>
      <c r="AA120">
        <v>500.06653359947086</v>
      </c>
      <c r="AB120">
        <v>105699.00199600798</v>
      </c>
      <c r="AC120">
        <v>3170.9647371922765</v>
      </c>
      <c r="AD120">
        <v>108869.96673320026</v>
      </c>
      <c r="AE120">
        <v>0.81324351685179863</v>
      </c>
      <c r="AF120">
        <v>108870.77997671711</v>
      </c>
      <c r="AG120">
        <v>0</v>
      </c>
      <c r="AH120">
        <v>108870.77997671711</v>
      </c>
      <c r="AI120">
        <v>0</v>
      </c>
      <c r="AJ120">
        <v>108870.77997671711</v>
      </c>
      <c r="AK120">
        <v>2188.8242142025556</v>
      </c>
      <c r="AL120">
        <v>111059.60419091966</v>
      </c>
      <c r="AM120">
        <v>111059.60419091966</v>
      </c>
      <c r="AN120">
        <v>8586018</v>
      </c>
      <c r="AQ120">
        <v>0</v>
      </c>
      <c r="AR120">
        <v>111059.60419091966</v>
      </c>
      <c r="AS120">
        <v>8586018</v>
      </c>
      <c r="AT120" s="238" t="s">
        <v>36</v>
      </c>
      <c r="AV120">
        <v>111059.60419091966</v>
      </c>
      <c r="AW120">
        <v>0</v>
      </c>
      <c r="AX120">
        <v>8586018</v>
      </c>
      <c r="AY120" s="238"/>
      <c r="AZ120" s="238" t="s">
        <v>3</v>
      </c>
      <c r="BA120" s="238" t="s">
        <v>3</v>
      </c>
      <c r="BB120" s="238" t="s">
        <v>8951</v>
      </c>
      <c r="BC120" s="238" t="s">
        <v>1167</v>
      </c>
      <c r="BD120" t="b">
        <v>1</v>
      </c>
      <c r="BE120" s="238" t="s">
        <v>9088</v>
      </c>
      <c r="BF120" s="238" t="s">
        <v>8990</v>
      </c>
      <c r="BG120">
        <v>8586018</v>
      </c>
      <c r="BH120">
        <v>8586018</v>
      </c>
      <c r="BI120">
        <v>0</v>
      </c>
      <c r="BJ120">
        <v>0</v>
      </c>
      <c r="BK120">
        <v>0</v>
      </c>
    </row>
    <row r="121" spans="1:63" x14ac:dyDescent="0.25">
      <c r="A121">
        <v>120</v>
      </c>
      <c r="B121">
        <v>1</v>
      </c>
      <c r="C121">
        <v>16</v>
      </c>
      <c r="D121">
        <v>3</v>
      </c>
      <c r="E121">
        <v>1</v>
      </c>
      <c r="F121">
        <v>12.41</v>
      </c>
      <c r="I121">
        <v>12.41</v>
      </c>
      <c r="J121">
        <v>14.77</v>
      </c>
      <c r="K121">
        <v>4.45</v>
      </c>
      <c r="M121">
        <v>3.88</v>
      </c>
      <c r="P121">
        <v>2.93</v>
      </c>
      <c r="R121">
        <v>2.93</v>
      </c>
      <c r="S121">
        <v>38.44</v>
      </c>
      <c r="T121">
        <v>35.51</v>
      </c>
      <c r="U121">
        <v>36.979999999999997</v>
      </c>
      <c r="V121">
        <v>120353.44</v>
      </c>
      <c r="X121">
        <v>120353.44</v>
      </c>
      <c r="Y121">
        <v>2.1155555555596948</v>
      </c>
      <c r="Z121">
        <v>120355.55555555556</v>
      </c>
      <c r="AA121">
        <v>0</v>
      </c>
      <c r="AB121">
        <v>120355.55555555556</v>
      </c>
      <c r="AC121">
        <v>3611.1111111111095</v>
      </c>
      <c r="AD121">
        <v>123966.66666666667</v>
      </c>
      <c r="AE121">
        <v>0.34252749235020019</v>
      </c>
      <c r="AF121">
        <v>123967.00919415902</v>
      </c>
      <c r="AG121">
        <v>0</v>
      </c>
      <c r="AH121">
        <v>123967.00919415902</v>
      </c>
      <c r="AI121">
        <v>500</v>
      </c>
      <c r="AJ121">
        <v>124467.00919415902</v>
      </c>
      <c r="AK121">
        <v>0</v>
      </c>
      <c r="AL121">
        <v>124467.00919415902</v>
      </c>
      <c r="AM121">
        <v>124467.00919415902</v>
      </c>
      <c r="AN121">
        <v>4602790</v>
      </c>
      <c r="AQ121">
        <v>0</v>
      </c>
      <c r="AR121">
        <v>124467.00919415902</v>
      </c>
      <c r="AS121">
        <v>4602790</v>
      </c>
      <c r="AT121" s="238" t="s">
        <v>36</v>
      </c>
      <c r="AV121">
        <v>124467.00919415902</v>
      </c>
      <c r="AW121">
        <v>0</v>
      </c>
      <c r="AX121">
        <v>4602790</v>
      </c>
      <c r="AY121" s="238"/>
      <c r="AZ121" s="238" t="s">
        <v>3</v>
      </c>
      <c r="BA121" s="238" t="s">
        <v>3</v>
      </c>
      <c r="BB121" s="238" t="s">
        <v>8951</v>
      </c>
      <c r="BC121" s="238" t="s">
        <v>1167</v>
      </c>
      <c r="BD121" t="b">
        <v>1</v>
      </c>
      <c r="BE121" s="238" t="s">
        <v>9088</v>
      </c>
      <c r="BF121" s="238" t="s">
        <v>8972</v>
      </c>
      <c r="BG121">
        <v>4602790</v>
      </c>
      <c r="BH121">
        <v>4602790</v>
      </c>
      <c r="BI121">
        <v>0</v>
      </c>
      <c r="BJ121">
        <v>0</v>
      </c>
      <c r="BK121">
        <v>0</v>
      </c>
    </row>
    <row r="122" spans="1:63" x14ac:dyDescent="0.25">
      <c r="A122">
        <v>121</v>
      </c>
      <c r="B122">
        <v>1</v>
      </c>
      <c r="C122">
        <v>16</v>
      </c>
      <c r="D122">
        <v>4</v>
      </c>
      <c r="E122">
        <v>1</v>
      </c>
      <c r="F122">
        <v>12.41</v>
      </c>
      <c r="I122">
        <v>12.41</v>
      </c>
      <c r="J122">
        <v>14.23</v>
      </c>
      <c r="K122">
        <v>4.45</v>
      </c>
      <c r="M122">
        <v>3.78</v>
      </c>
      <c r="P122">
        <v>3.11</v>
      </c>
      <c r="R122">
        <v>3.11</v>
      </c>
      <c r="S122">
        <v>37.979999999999997</v>
      </c>
      <c r="T122">
        <v>34.869999999999997</v>
      </c>
      <c r="U122">
        <v>36.43</v>
      </c>
      <c r="V122">
        <v>120353.44</v>
      </c>
      <c r="X122">
        <v>120353.44</v>
      </c>
      <c r="Y122">
        <v>2.6100695410132175</v>
      </c>
      <c r="Z122">
        <v>120356.05006954102</v>
      </c>
      <c r="AA122">
        <v>0</v>
      </c>
      <c r="AB122">
        <v>120356.05006954102</v>
      </c>
      <c r="AC122">
        <v>3610.6258692628762</v>
      </c>
      <c r="AD122">
        <v>123966.67593880389</v>
      </c>
      <c r="AE122">
        <v>2.5801687997300178</v>
      </c>
      <c r="AF122">
        <v>123969.25610760362</v>
      </c>
      <c r="AG122">
        <v>499.7529508646694</v>
      </c>
      <c r="AH122">
        <v>124469.00905846829</v>
      </c>
      <c r="AI122">
        <v>0</v>
      </c>
      <c r="AJ122">
        <v>124469.00905846829</v>
      </c>
      <c r="AK122">
        <v>0</v>
      </c>
      <c r="AL122">
        <v>124469.00905846828</v>
      </c>
      <c r="AM122">
        <v>124469.00905846829</v>
      </c>
      <c r="AN122">
        <v>4534406</v>
      </c>
      <c r="AQ122">
        <v>0</v>
      </c>
      <c r="AR122">
        <v>124469.00905846829</v>
      </c>
      <c r="AS122">
        <v>4534406</v>
      </c>
      <c r="AT122" s="238" t="s">
        <v>36</v>
      </c>
      <c r="AV122">
        <v>124469.00905846829</v>
      </c>
      <c r="AW122">
        <v>0</v>
      </c>
      <c r="AX122">
        <v>4534406</v>
      </c>
      <c r="AY122" s="238"/>
      <c r="AZ122" s="238" t="s">
        <v>3</v>
      </c>
      <c r="BA122" s="238" t="s">
        <v>3</v>
      </c>
      <c r="BB122" s="238" t="s">
        <v>8951</v>
      </c>
      <c r="BC122" s="238" t="s">
        <v>1167</v>
      </c>
      <c r="BD122" t="b">
        <v>1</v>
      </c>
      <c r="BE122" s="238" t="s">
        <v>9088</v>
      </c>
      <c r="BF122" s="238" t="s">
        <v>8972</v>
      </c>
      <c r="BG122">
        <v>4534406</v>
      </c>
      <c r="BH122">
        <v>4534406</v>
      </c>
      <c r="BI122">
        <v>0</v>
      </c>
      <c r="BJ122">
        <v>0</v>
      </c>
      <c r="BK122">
        <v>0</v>
      </c>
    </row>
    <row r="123" spans="1:63" x14ac:dyDescent="0.25">
      <c r="A123">
        <v>122</v>
      </c>
      <c r="B123">
        <v>1</v>
      </c>
      <c r="C123">
        <v>16</v>
      </c>
      <c r="D123">
        <v>5</v>
      </c>
      <c r="E123">
        <v>2</v>
      </c>
      <c r="F123">
        <v>14.66</v>
      </c>
      <c r="G123">
        <v>10.58</v>
      </c>
      <c r="I123">
        <v>25.240000000000002</v>
      </c>
      <c r="J123">
        <v>17.38</v>
      </c>
      <c r="K123">
        <v>4.07</v>
      </c>
      <c r="L123">
        <v>3.38</v>
      </c>
      <c r="M123">
        <v>3.48</v>
      </c>
      <c r="N123">
        <v>3.77</v>
      </c>
      <c r="P123">
        <v>3.11</v>
      </c>
      <c r="R123">
        <v>3.11</v>
      </c>
      <c r="S123">
        <v>60.43</v>
      </c>
      <c r="T123">
        <v>57.32</v>
      </c>
      <c r="U123">
        <v>58.88</v>
      </c>
      <c r="V123">
        <v>118496.08</v>
      </c>
      <c r="X123">
        <v>118496.08</v>
      </c>
      <c r="Y123">
        <v>0.86856146468198858</v>
      </c>
      <c r="Z123">
        <v>118496.94856146468</v>
      </c>
      <c r="AA123">
        <v>0</v>
      </c>
      <c r="AB123">
        <v>118496.94856146468</v>
      </c>
      <c r="AC123">
        <v>0</v>
      </c>
      <c r="AD123">
        <v>118496.94856146468</v>
      </c>
      <c r="AE123">
        <v>-3079.1496484212112</v>
      </c>
      <c r="AF123">
        <v>115417.79891304347</v>
      </c>
      <c r="AG123">
        <v>0</v>
      </c>
      <c r="AH123">
        <v>115417.79891304347</v>
      </c>
      <c r="AI123">
        <v>0</v>
      </c>
      <c r="AJ123">
        <v>115417.79891304347</v>
      </c>
      <c r="AK123">
        <v>0</v>
      </c>
      <c r="AL123">
        <v>115417.79891304349</v>
      </c>
      <c r="AM123">
        <v>115417.79891304347</v>
      </c>
      <c r="AN123">
        <v>6795800</v>
      </c>
      <c r="AQ123">
        <v>0</v>
      </c>
      <c r="AR123">
        <v>115417.79891304347</v>
      </c>
      <c r="AS123">
        <v>6795800</v>
      </c>
      <c r="AT123" s="238" t="s">
        <v>36</v>
      </c>
      <c r="AV123">
        <v>115417.79891304347</v>
      </c>
      <c r="AW123">
        <v>0</v>
      </c>
      <c r="AX123">
        <v>6795800</v>
      </c>
      <c r="AY123" s="238"/>
      <c r="AZ123" s="238" t="s">
        <v>8963</v>
      </c>
      <c r="BA123" s="238" t="s">
        <v>8963</v>
      </c>
      <c r="BB123" s="238" t="s">
        <v>8953</v>
      </c>
      <c r="BC123" s="238" t="s">
        <v>8964</v>
      </c>
      <c r="BD123" t="b">
        <v>1</v>
      </c>
      <c r="BE123" s="238" t="s">
        <v>9088</v>
      </c>
      <c r="BF123" s="238" t="s">
        <v>8971</v>
      </c>
      <c r="BG123">
        <v>6795800</v>
      </c>
      <c r="BH123">
        <v>7046874</v>
      </c>
      <c r="BI123">
        <v>6795800</v>
      </c>
      <c r="BJ123">
        <v>0</v>
      </c>
      <c r="BK123">
        <v>0</v>
      </c>
    </row>
    <row r="124" spans="1:63" x14ac:dyDescent="0.25">
      <c r="A124">
        <v>123</v>
      </c>
      <c r="B124">
        <v>1</v>
      </c>
      <c r="C124">
        <v>16</v>
      </c>
      <c r="D124">
        <v>6</v>
      </c>
      <c r="E124">
        <v>2</v>
      </c>
      <c r="F124">
        <v>11.63</v>
      </c>
      <c r="G124">
        <v>10.93</v>
      </c>
      <c r="I124">
        <v>22.560000000000002</v>
      </c>
      <c r="J124">
        <v>16.28</v>
      </c>
      <c r="K124">
        <v>4.62</v>
      </c>
      <c r="M124">
        <v>4.3899999999999997</v>
      </c>
      <c r="N124">
        <v>1.81</v>
      </c>
      <c r="P124">
        <v>4.4000000000000004</v>
      </c>
      <c r="R124">
        <v>4.4000000000000004</v>
      </c>
      <c r="S124">
        <v>54.06</v>
      </c>
      <c r="T124">
        <v>49.66</v>
      </c>
      <c r="U124">
        <v>51.86</v>
      </c>
      <c r="V124">
        <v>116281.2</v>
      </c>
      <c r="X124">
        <v>116281.2</v>
      </c>
      <c r="Y124">
        <v>501.80692383779387</v>
      </c>
      <c r="Z124">
        <v>116783.00692383779</v>
      </c>
      <c r="AA124">
        <v>0</v>
      </c>
      <c r="AB124">
        <v>116783.00692383779</v>
      </c>
      <c r="AC124">
        <v>3503.4817012858548</v>
      </c>
      <c r="AD124">
        <v>120286.48862512365</v>
      </c>
      <c r="AE124">
        <v>0.82336870589642785</v>
      </c>
      <c r="AF124">
        <v>120287.31199382954</v>
      </c>
      <c r="AG124">
        <v>0</v>
      </c>
      <c r="AH124">
        <v>120287.31199382954</v>
      </c>
      <c r="AI124">
        <v>0</v>
      </c>
      <c r="AJ124">
        <v>120287.31199382954</v>
      </c>
      <c r="AK124">
        <v>1202.5645969918987</v>
      </c>
      <c r="AL124">
        <v>121489.87659082144</v>
      </c>
      <c r="AM124">
        <v>121489.87659082144</v>
      </c>
      <c r="AN124">
        <v>6300465</v>
      </c>
      <c r="AQ124">
        <v>0</v>
      </c>
      <c r="AR124">
        <v>121489.87659082144</v>
      </c>
      <c r="AS124">
        <v>6300465</v>
      </c>
      <c r="AT124" s="238" t="s">
        <v>36</v>
      </c>
      <c r="AV124">
        <v>121489.87659082144</v>
      </c>
      <c r="AW124">
        <v>0</v>
      </c>
      <c r="AX124">
        <v>6300465</v>
      </c>
      <c r="AY124" s="238"/>
      <c r="AZ124" s="238" t="s">
        <v>3</v>
      </c>
      <c r="BA124" s="238" t="s">
        <v>3</v>
      </c>
      <c r="BB124" s="238" t="s">
        <v>8951</v>
      </c>
      <c r="BC124" s="238" t="s">
        <v>1167</v>
      </c>
      <c r="BD124" t="b">
        <v>1</v>
      </c>
      <c r="BE124" s="238" t="s">
        <v>9088</v>
      </c>
      <c r="BF124" s="238" t="s">
        <v>8971</v>
      </c>
      <c r="BG124">
        <v>6300465</v>
      </c>
      <c r="BH124">
        <v>6300465</v>
      </c>
      <c r="BI124">
        <v>0</v>
      </c>
      <c r="BJ124">
        <v>0</v>
      </c>
      <c r="BK124">
        <v>0</v>
      </c>
    </row>
    <row r="125" spans="1:63" x14ac:dyDescent="0.25">
      <c r="A125">
        <v>124</v>
      </c>
      <c r="B125">
        <v>1</v>
      </c>
      <c r="C125">
        <v>16</v>
      </c>
      <c r="D125">
        <v>7</v>
      </c>
      <c r="E125">
        <v>2</v>
      </c>
      <c r="F125">
        <v>10.86</v>
      </c>
      <c r="G125">
        <v>14.01</v>
      </c>
      <c r="I125">
        <v>24.869999999999997</v>
      </c>
      <c r="J125">
        <v>18.82</v>
      </c>
      <c r="K125">
        <v>3.96</v>
      </c>
      <c r="M125">
        <v>2.8</v>
      </c>
      <c r="N125">
        <v>3.83</v>
      </c>
      <c r="O125">
        <v>4.6399999999999997</v>
      </c>
      <c r="P125">
        <v>3.91</v>
      </c>
      <c r="R125">
        <v>3.91</v>
      </c>
      <c r="S125">
        <v>62.83</v>
      </c>
      <c r="T125">
        <v>58.92</v>
      </c>
      <c r="U125">
        <v>60.88</v>
      </c>
      <c r="V125">
        <v>117388.64</v>
      </c>
      <c r="X125">
        <v>117388.64</v>
      </c>
      <c r="Y125">
        <v>1.3683319222764112E-2</v>
      </c>
      <c r="Z125">
        <v>117388.65368331922</v>
      </c>
      <c r="AA125">
        <v>0</v>
      </c>
      <c r="AB125">
        <v>117388.65368331922</v>
      </c>
      <c r="AC125">
        <v>3522.0152413209144</v>
      </c>
      <c r="AD125">
        <v>120910.66892464014</v>
      </c>
      <c r="AE125">
        <v>0.96051031386014074</v>
      </c>
      <c r="AF125">
        <v>120911.629434954</v>
      </c>
      <c r="AG125">
        <v>0</v>
      </c>
      <c r="AH125">
        <v>120911.629434954</v>
      </c>
      <c r="AI125">
        <v>0</v>
      </c>
      <c r="AJ125">
        <v>120911.629434954</v>
      </c>
      <c r="AK125">
        <v>1209.4940867279947</v>
      </c>
      <c r="AL125">
        <v>122121.12352168201</v>
      </c>
      <c r="AM125">
        <v>122121.12352168199</v>
      </c>
      <c r="AN125">
        <v>7434734</v>
      </c>
      <c r="AQ125">
        <v>0</v>
      </c>
      <c r="AR125">
        <v>122121.12352168199</v>
      </c>
      <c r="AS125">
        <v>7434734</v>
      </c>
      <c r="AT125" s="238" t="s">
        <v>36</v>
      </c>
      <c r="AV125">
        <v>122121.12352168199</v>
      </c>
      <c r="AW125">
        <v>0</v>
      </c>
      <c r="AX125">
        <v>7434734</v>
      </c>
      <c r="AY125" s="238"/>
      <c r="AZ125" s="238" t="s">
        <v>3</v>
      </c>
      <c r="BA125" s="238" t="s">
        <v>3</v>
      </c>
      <c r="BB125" s="238" t="s">
        <v>8951</v>
      </c>
      <c r="BC125" s="238" t="s">
        <v>1167</v>
      </c>
      <c r="BD125" t="b">
        <v>1</v>
      </c>
      <c r="BE125" s="238" t="s">
        <v>9088</v>
      </c>
      <c r="BF125" s="238" t="s">
        <v>8971</v>
      </c>
      <c r="BG125">
        <v>7434734</v>
      </c>
      <c r="BH125">
        <v>7434734</v>
      </c>
      <c r="BI125">
        <v>0</v>
      </c>
      <c r="BJ125">
        <v>0</v>
      </c>
      <c r="BK125">
        <v>0</v>
      </c>
    </row>
    <row r="126" spans="1:63" x14ac:dyDescent="0.25">
      <c r="A126">
        <v>125</v>
      </c>
      <c r="B126">
        <v>1</v>
      </c>
      <c r="C126">
        <v>16</v>
      </c>
      <c r="D126">
        <v>8</v>
      </c>
      <c r="E126">
        <v>1</v>
      </c>
      <c r="F126">
        <v>14.95</v>
      </c>
      <c r="I126">
        <v>14.95</v>
      </c>
      <c r="J126">
        <v>17.47</v>
      </c>
      <c r="K126">
        <v>4.97</v>
      </c>
      <c r="M126">
        <v>4</v>
      </c>
      <c r="P126">
        <v>3.36</v>
      </c>
      <c r="R126">
        <v>3.36</v>
      </c>
      <c r="S126">
        <v>44.75</v>
      </c>
      <c r="T126">
        <v>41.39</v>
      </c>
      <c r="U126">
        <v>43.07</v>
      </c>
      <c r="V126">
        <v>119184.96000000001</v>
      </c>
      <c r="X126">
        <v>119184.96000000001</v>
      </c>
      <c r="Y126">
        <v>0.9452247873559827</v>
      </c>
      <c r="Z126">
        <v>119185.90522478736</v>
      </c>
      <c r="AA126">
        <v>500.09720534630469</v>
      </c>
      <c r="AB126">
        <v>119686.00243013367</v>
      </c>
      <c r="AC126">
        <v>3590.5710814094782</v>
      </c>
      <c r="AD126">
        <v>123276.57351154315</v>
      </c>
      <c r="AE126">
        <v>1.8105144610308344</v>
      </c>
      <c r="AF126">
        <v>123278.38402600418</v>
      </c>
      <c r="AG126">
        <v>0</v>
      </c>
      <c r="AH126">
        <v>123278.38402600418</v>
      </c>
      <c r="AI126">
        <v>0</v>
      </c>
      <c r="AJ126">
        <v>123278.38402600418</v>
      </c>
      <c r="AK126">
        <v>0</v>
      </c>
      <c r="AL126">
        <v>123278.38402600418</v>
      </c>
      <c r="AM126">
        <v>123278.38402600418</v>
      </c>
      <c r="AN126">
        <v>5309600</v>
      </c>
      <c r="AQ126">
        <v>0</v>
      </c>
      <c r="AR126">
        <v>123278.38402600418</v>
      </c>
      <c r="AS126">
        <v>5309600</v>
      </c>
      <c r="AT126" s="238" t="s">
        <v>36</v>
      </c>
      <c r="AV126">
        <v>123278.38402600418</v>
      </c>
      <c r="AW126">
        <v>0</v>
      </c>
      <c r="AX126">
        <v>5309600</v>
      </c>
      <c r="AY126" s="238"/>
      <c r="AZ126" s="238" t="s">
        <v>3</v>
      </c>
      <c r="BA126" s="238" t="s">
        <v>3</v>
      </c>
      <c r="BB126" s="238" t="s">
        <v>8951</v>
      </c>
      <c r="BC126" s="238" t="s">
        <v>1167</v>
      </c>
      <c r="BD126" t="b">
        <v>1</v>
      </c>
      <c r="BE126" s="238" t="s">
        <v>9088</v>
      </c>
      <c r="BF126" s="238" t="s">
        <v>8972</v>
      </c>
      <c r="BG126">
        <v>5309600</v>
      </c>
      <c r="BH126">
        <v>5309600</v>
      </c>
      <c r="BI126">
        <v>0</v>
      </c>
      <c r="BJ126">
        <v>0</v>
      </c>
      <c r="BK126">
        <v>0</v>
      </c>
    </row>
    <row r="127" spans="1:63" x14ac:dyDescent="0.25">
      <c r="A127">
        <v>126</v>
      </c>
      <c r="B127">
        <v>1</v>
      </c>
      <c r="C127">
        <v>17</v>
      </c>
      <c r="D127">
        <v>1</v>
      </c>
      <c r="E127">
        <v>1</v>
      </c>
      <c r="F127">
        <v>14.95</v>
      </c>
      <c r="I127">
        <v>14.95</v>
      </c>
      <c r="J127">
        <v>16.48</v>
      </c>
      <c r="K127">
        <v>5.01</v>
      </c>
      <c r="M127">
        <v>3.96</v>
      </c>
      <c r="P127">
        <v>3.36</v>
      </c>
      <c r="R127">
        <v>3.36</v>
      </c>
      <c r="S127">
        <v>43.76</v>
      </c>
      <c r="T127">
        <v>40.4</v>
      </c>
      <c r="U127">
        <v>42.08</v>
      </c>
      <c r="V127">
        <v>119184.96000000001</v>
      </c>
      <c r="X127">
        <v>119184.96000000001</v>
      </c>
      <c r="Y127">
        <v>1.9332038834836567</v>
      </c>
      <c r="Z127">
        <v>119186.89320388349</v>
      </c>
      <c r="AA127">
        <v>0</v>
      </c>
      <c r="AB127">
        <v>119186.89320388349</v>
      </c>
      <c r="AC127">
        <v>3575.7281553398061</v>
      </c>
      <c r="AD127">
        <v>122762.6213592233</v>
      </c>
      <c r="AE127">
        <v>1.1619107386795804</v>
      </c>
      <c r="AF127">
        <v>122763.78326996198</v>
      </c>
      <c r="AG127">
        <v>0</v>
      </c>
      <c r="AH127">
        <v>122763.78326996198</v>
      </c>
      <c r="AI127">
        <v>0</v>
      </c>
      <c r="AJ127">
        <v>122763.78326996198</v>
      </c>
      <c r="AK127">
        <v>0</v>
      </c>
      <c r="AL127">
        <v>122763.78326996198</v>
      </c>
      <c r="AM127">
        <v>122763.78326996198</v>
      </c>
      <c r="AN127">
        <v>5165900</v>
      </c>
      <c r="AQ127">
        <v>0</v>
      </c>
      <c r="AR127">
        <v>122763.78326996198</v>
      </c>
      <c r="AS127">
        <v>5165900</v>
      </c>
      <c r="AT127" s="238" t="s">
        <v>36</v>
      </c>
      <c r="AV127">
        <v>122763.78326996198</v>
      </c>
      <c r="AW127">
        <v>0</v>
      </c>
      <c r="AX127">
        <v>5165900</v>
      </c>
      <c r="AY127" s="238"/>
      <c r="AZ127" s="238" t="s">
        <v>3</v>
      </c>
      <c r="BA127" s="238" t="s">
        <v>3</v>
      </c>
      <c r="BB127" s="238" t="s">
        <v>8951</v>
      </c>
      <c r="BC127" s="238" t="s">
        <v>1167</v>
      </c>
      <c r="BD127" t="b">
        <v>1</v>
      </c>
      <c r="BE127" s="238" t="s">
        <v>9088</v>
      </c>
      <c r="BF127" s="238" t="s">
        <v>8972</v>
      </c>
      <c r="BG127">
        <v>5165900</v>
      </c>
      <c r="BH127">
        <v>5165900</v>
      </c>
      <c r="BI127">
        <v>0</v>
      </c>
      <c r="BJ127">
        <v>0</v>
      </c>
      <c r="BK127">
        <v>0</v>
      </c>
    </row>
    <row r="128" spans="1:63" x14ac:dyDescent="0.25">
      <c r="A128">
        <v>127</v>
      </c>
      <c r="B128">
        <v>1</v>
      </c>
      <c r="C128">
        <v>17</v>
      </c>
      <c r="D128">
        <v>2</v>
      </c>
      <c r="E128">
        <v>3</v>
      </c>
      <c r="F128">
        <v>18.46</v>
      </c>
      <c r="G128">
        <v>10.53</v>
      </c>
      <c r="H128">
        <v>9.9700000000000006</v>
      </c>
      <c r="I128">
        <v>38.96</v>
      </c>
      <c r="J128">
        <v>17.02</v>
      </c>
      <c r="K128">
        <v>4.07</v>
      </c>
      <c r="L128">
        <v>3.58</v>
      </c>
      <c r="M128">
        <v>4.18</v>
      </c>
      <c r="N128">
        <v>6.27</v>
      </c>
      <c r="P128">
        <v>3.04</v>
      </c>
      <c r="Q128">
        <v>3.41</v>
      </c>
      <c r="R128">
        <v>6.45</v>
      </c>
      <c r="S128">
        <v>80.53</v>
      </c>
      <c r="T128">
        <v>74.08</v>
      </c>
      <c r="U128">
        <v>77.31</v>
      </c>
      <c r="V128">
        <v>105198.08</v>
      </c>
      <c r="X128">
        <v>105198.08</v>
      </c>
      <c r="Y128">
        <v>0.85546240850817412</v>
      </c>
      <c r="Z128">
        <v>105198.93546240851</v>
      </c>
      <c r="AA128">
        <v>500.06653359947086</v>
      </c>
      <c r="AB128">
        <v>105699.00199600798</v>
      </c>
      <c r="AC128">
        <v>3170.9647371922765</v>
      </c>
      <c r="AD128">
        <v>108869.96673320026</v>
      </c>
      <c r="AE128">
        <v>0.81324351685179863</v>
      </c>
      <c r="AF128">
        <v>108870.77997671711</v>
      </c>
      <c r="AG128">
        <v>0</v>
      </c>
      <c r="AH128">
        <v>108870.77997671711</v>
      </c>
      <c r="AI128">
        <v>0</v>
      </c>
      <c r="AJ128">
        <v>108870.77997671711</v>
      </c>
      <c r="AK128">
        <v>2188.8242142025556</v>
      </c>
      <c r="AL128">
        <v>111059.60419091966</v>
      </c>
      <c r="AM128">
        <v>111059.60419091966</v>
      </c>
      <c r="AN128">
        <v>8586018</v>
      </c>
      <c r="AQ128">
        <v>0</v>
      </c>
      <c r="AR128">
        <v>111059.60419091966</v>
      </c>
      <c r="AS128">
        <v>8586018</v>
      </c>
      <c r="AT128" s="238" t="s">
        <v>36</v>
      </c>
      <c r="AV128">
        <v>111059.60419091966</v>
      </c>
      <c r="AW128">
        <v>0</v>
      </c>
      <c r="AX128">
        <v>8586018</v>
      </c>
      <c r="AY128" s="238"/>
      <c r="AZ128" s="238" t="s">
        <v>3</v>
      </c>
      <c r="BA128" s="238" t="s">
        <v>3</v>
      </c>
      <c r="BB128" s="238" t="s">
        <v>8951</v>
      </c>
      <c r="BC128" s="238" t="s">
        <v>1167</v>
      </c>
      <c r="BD128" t="b">
        <v>1</v>
      </c>
      <c r="BE128" s="238" t="s">
        <v>9088</v>
      </c>
      <c r="BF128" s="238" t="s">
        <v>8990</v>
      </c>
      <c r="BG128">
        <v>8586018</v>
      </c>
      <c r="BH128">
        <v>8586018</v>
      </c>
      <c r="BI128">
        <v>0</v>
      </c>
      <c r="BJ128">
        <v>0</v>
      </c>
      <c r="BK128">
        <v>0</v>
      </c>
    </row>
    <row r="129" spans="1:63" x14ac:dyDescent="0.25">
      <c r="A129">
        <v>128</v>
      </c>
      <c r="B129">
        <v>1</v>
      </c>
      <c r="C129">
        <v>17</v>
      </c>
      <c r="D129">
        <v>3</v>
      </c>
      <c r="E129">
        <v>1</v>
      </c>
      <c r="F129">
        <v>12.41</v>
      </c>
      <c r="I129">
        <v>12.41</v>
      </c>
      <c r="J129">
        <v>14.77</v>
      </c>
      <c r="K129">
        <v>4.45</v>
      </c>
      <c r="M129">
        <v>3.88</v>
      </c>
      <c r="P129">
        <v>2.93</v>
      </c>
      <c r="R129">
        <v>2.93</v>
      </c>
      <c r="S129">
        <v>38.44</v>
      </c>
      <c r="T129">
        <v>35.51</v>
      </c>
      <c r="U129">
        <v>36.979999999999997</v>
      </c>
      <c r="V129">
        <v>120353.44</v>
      </c>
      <c r="X129">
        <v>120353.44</v>
      </c>
      <c r="Y129">
        <v>2.1155555555596948</v>
      </c>
      <c r="Z129">
        <v>120355.55555555556</v>
      </c>
      <c r="AA129">
        <v>0</v>
      </c>
      <c r="AB129">
        <v>120355.55555555556</v>
      </c>
      <c r="AC129">
        <v>3611.1111111111095</v>
      </c>
      <c r="AD129">
        <v>123966.66666666667</v>
      </c>
      <c r="AE129">
        <v>0.34252749235020019</v>
      </c>
      <c r="AF129">
        <v>123967.00919415902</v>
      </c>
      <c r="AG129">
        <v>0</v>
      </c>
      <c r="AH129">
        <v>123967.00919415902</v>
      </c>
      <c r="AI129">
        <v>500</v>
      </c>
      <c r="AJ129">
        <v>124467.00919415902</v>
      </c>
      <c r="AK129">
        <v>0</v>
      </c>
      <c r="AL129">
        <v>124467.00919415902</v>
      </c>
      <c r="AM129">
        <v>124467.00919415902</v>
      </c>
      <c r="AN129">
        <v>4602790</v>
      </c>
      <c r="AQ129">
        <v>0</v>
      </c>
      <c r="AR129">
        <v>124467.00919415902</v>
      </c>
      <c r="AS129">
        <v>4602790</v>
      </c>
      <c r="AT129" s="238" t="s">
        <v>36</v>
      </c>
      <c r="AV129">
        <v>124467.00919415902</v>
      </c>
      <c r="AW129">
        <v>0</v>
      </c>
      <c r="AX129">
        <v>4602790</v>
      </c>
      <c r="AY129" s="238"/>
      <c r="AZ129" s="238" t="s">
        <v>3</v>
      </c>
      <c r="BA129" s="238" t="s">
        <v>3</v>
      </c>
      <c r="BB129" s="238" t="s">
        <v>8951</v>
      </c>
      <c r="BC129" s="238" t="s">
        <v>1167</v>
      </c>
      <c r="BD129" t="b">
        <v>1</v>
      </c>
      <c r="BE129" s="238" t="s">
        <v>9088</v>
      </c>
      <c r="BF129" s="238" t="s">
        <v>8972</v>
      </c>
      <c r="BG129">
        <v>4602790</v>
      </c>
      <c r="BH129">
        <v>4602790</v>
      </c>
      <c r="BI129">
        <v>0</v>
      </c>
      <c r="BJ129">
        <v>0</v>
      </c>
      <c r="BK129">
        <v>0</v>
      </c>
    </row>
    <row r="130" spans="1:63" x14ac:dyDescent="0.25">
      <c r="A130">
        <v>129</v>
      </c>
      <c r="B130">
        <v>1</v>
      </c>
      <c r="C130">
        <v>17</v>
      </c>
      <c r="D130">
        <v>4</v>
      </c>
      <c r="E130">
        <v>1</v>
      </c>
      <c r="F130">
        <v>12.41</v>
      </c>
      <c r="I130">
        <v>12.41</v>
      </c>
      <c r="J130">
        <v>14.23</v>
      </c>
      <c r="K130">
        <v>4.45</v>
      </c>
      <c r="M130">
        <v>3.78</v>
      </c>
      <c r="P130">
        <v>3.11</v>
      </c>
      <c r="R130">
        <v>3.11</v>
      </c>
      <c r="S130">
        <v>37.979999999999997</v>
      </c>
      <c r="T130">
        <v>34.869999999999997</v>
      </c>
      <c r="U130">
        <v>36.43</v>
      </c>
      <c r="V130">
        <v>120353.44</v>
      </c>
      <c r="X130">
        <v>120353.44</v>
      </c>
      <c r="Y130">
        <v>2.6100695410132175</v>
      </c>
      <c r="Z130">
        <v>120356.05006954102</v>
      </c>
      <c r="AA130">
        <v>0</v>
      </c>
      <c r="AB130">
        <v>120356.05006954102</v>
      </c>
      <c r="AC130">
        <v>0</v>
      </c>
      <c r="AD130">
        <v>120356.05006954102</v>
      </c>
      <c r="AE130">
        <v>-1585.8057653960859</v>
      </c>
      <c r="AF130">
        <v>118770.24430414493</v>
      </c>
      <c r="AG130">
        <v>0</v>
      </c>
      <c r="AH130">
        <v>118770.24430414493</v>
      </c>
      <c r="AI130">
        <v>0</v>
      </c>
      <c r="AJ130">
        <v>118770.24430414493</v>
      </c>
      <c r="AK130">
        <v>0</v>
      </c>
      <c r="AL130">
        <v>118770.24430414492</v>
      </c>
      <c r="AM130">
        <v>118770.24430414493</v>
      </c>
      <c r="AN130">
        <v>4326800</v>
      </c>
      <c r="AP130">
        <v>0.02</v>
      </c>
      <c r="AQ130">
        <v>86536</v>
      </c>
      <c r="AR130">
        <v>116394.83941806204</v>
      </c>
      <c r="AS130">
        <v>4240264</v>
      </c>
      <c r="AT130" s="238" t="s">
        <v>36</v>
      </c>
      <c r="AV130">
        <v>116394.83941806204</v>
      </c>
      <c r="AW130">
        <v>0</v>
      </c>
      <c r="AX130">
        <v>4240264</v>
      </c>
      <c r="AY130" s="238" t="s">
        <v>3540</v>
      </c>
      <c r="AZ130" s="238" t="s">
        <v>8963</v>
      </c>
      <c r="BA130" s="238" t="s">
        <v>8963</v>
      </c>
      <c r="BB130" s="238" t="s">
        <v>8953</v>
      </c>
      <c r="BC130" s="238" t="s">
        <v>8964</v>
      </c>
      <c r="BD130" t="b">
        <v>1</v>
      </c>
      <c r="BE130" s="238" t="s">
        <v>9088</v>
      </c>
      <c r="BF130" s="238" t="s">
        <v>8972</v>
      </c>
      <c r="BG130">
        <v>4326800</v>
      </c>
      <c r="BH130">
        <v>4402821</v>
      </c>
      <c r="BI130">
        <v>4326800</v>
      </c>
      <c r="BJ130">
        <v>4326800</v>
      </c>
      <c r="BK130">
        <v>0</v>
      </c>
    </row>
    <row r="131" spans="1:63" x14ac:dyDescent="0.25">
      <c r="A131">
        <v>130</v>
      </c>
      <c r="B131">
        <v>1</v>
      </c>
      <c r="C131">
        <v>17</v>
      </c>
      <c r="D131">
        <v>5</v>
      </c>
      <c r="E131">
        <v>2</v>
      </c>
      <c r="F131">
        <v>14.66</v>
      </c>
      <c r="G131">
        <v>10.58</v>
      </c>
      <c r="I131">
        <v>25.240000000000002</v>
      </c>
      <c r="J131">
        <v>17.38</v>
      </c>
      <c r="K131">
        <v>4.07</v>
      </c>
      <c r="L131">
        <v>3.38</v>
      </c>
      <c r="M131">
        <v>3.48</v>
      </c>
      <c r="N131">
        <v>3.77</v>
      </c>
      <c r="P131">
        <v>3.11</v>
      </c>
      <c r="R131">
        <v>3.11</v>
      </c>
      <c r="S131">
        <v>60.43</v>
      </c>
      <c r="T131">
        <v>57.32</v>
      </c>
      <c r="U131">
        <v>58.88</v>
      </c>
      <c r="V131">
        <v>118496.08</v>
      </c>
      <c r="X131">
        <v>118496.08</v>
      </c>
      <c r="Y131">
        <v>0.86856146468198858</v>
      </c>
      <c r="Z131">
        <v>118496.94856146468</v>
      </c>
      <c r="AA131">
        <v>0</v>
      </c>
      <c r="AB131">
        <v>118496.94856146468</v>
      </c>
      <c r="AC131">
        <v>3554.9607672188286</v>
      </c>
      <c r="AD131">
        <v>122051.90932868351</v>
      </c>
      <c r="AE131">
        <v>1.4194756643119035</v>
      </c>
      <c r="AF131">
        <v>122053.32880434782</v>
      </c>
      <c r="AG131">
        <v>0</v>
      </c>
      <c r="AH131">
        <v>122053.32880434782</v>
      </c>
      <c r="AI131">
        <v>0</v>
      </c>
      <c r="AJ131">
        <v>122053.32880434782</v>
      </c>
      <c r="AK131">
        <v>1220.1936141304325</v>
      </c>
      <c r="AL131">
        <v>123273.52241847826</v>
      </c>
      <c r="AM131">
        <v>123273.52241847826</v>
      </c>
      <c r="AN131">
        <v>7258345</v>
      </c>
      <c r="AQ131">
        <v>0</v>
      </c>
      <c r="AR131">
        <v>123273.52241847826</v>
      </c>
      <c r="AS131">
        <v>7258345</v>
      </c>
      <c r="AT131" s="238" t="s">
        <v>36</v>
      </c>
      <c r="AV131">
        <v>123273.52241847826</v>
      </c>
      <c r="AW131">
        <v>0</v>
      </c>
      <c r="AX131">
        <v>7258345</v>
      </c>
      <c r="AY131" s="238"/>
      <c r="AZ131" s="238" t="s">
        <v>3</v>
      </c>
      <c r="BA131" s="238" t="s">
        <v>3</v>
      </c>
      <c r="BB131" s="238" t="s">
        <v>8951</v>
      </c>
      <c r="BC131" s="238" t="s">
        <v>1167</v>
      </c>
      <c r="BD131" t="b">
        <v>1</v>
      </c>
      <c r="BE131" s="238" t="s">
        <v>9088</v>
      </c>
      <c r="BF131" s="238" t="s">
        <v>8971</v>
      </c>
      <c r="BG131">
        <v>7258345</v>
      </c>
      <c r="BH131">
        <v>7258345</v>
      </c>
      <c r="BI131">
        <v>0</v>
      </c>
      <c r="BJ131">
        <v>0</v>
      </c>
      <c r="BK131">
        <v>0</v>
      </c>
    </row>
    <row r="132" spans="1:63" x14ac:dyDescent="0.25">
      <c r="A132">
        <v>131</v>
      </c>
      <c r="B132">
        <v>1</v>
      </c>
      <c r="C132">
        <v>17</v>
      </c>
      <c r="D132">
        <v>6</v>
      </c>
      <c r="E132">
        <v>2</v>
      </c>
      <c r="F132">
        <v>11.63</v>
      </c>
      <c r="G132">
        <v>10.93</v>
      </c>
      <c r="I132">
        <v>22.560000000000002</v>
      </c>
      <c r="J132">
        <v>16.28</v>
      </c>
      <c r="K132">
        <v>4.62</v>
      </c>
      <c r="M132">
        <v>4.3899999999999997</v>
      </c>
      <c r="N132">
        <v>1.81</v>
      </c>
      <c r="P132">
        <v>4.4000000000000004</v>
      </c>
      <c r="R132">
        <v>4.4000000000000004</v>
      </c>
      <c r="S132">
        <v>54.06</v>
      </c>
      <c r="T132">
        <v>49.66</v>
      </c>
      <c r="U132">
        <v>51.86</v>
      </c>
      <c r="V132">
        <v>116281.2</v>
      </c>
      <c r="X132">
        <v>116281.2</v>
      </c>
      <c r="Y132">
        <v>501.80692383779387</v>
      </c>
      <c r="Z132">
        <v>116783.00692383779</v>
      </c>
      <c r="AA132">
        <v>0</v>
      </c>
      <c r="AB132">
        <v>116783.00692383779</v>
      </c>
      <c r="AC132">
        <v>3503.4817012858548</v>
      </c>
      <c r="AD132">
        <v>120286.48862512365</v>
      </c>
      <c r="AE132">
        <v>0.82336870589642785</v>
      </c>
      <c r="AF132">
        <v>120287.31199382954</v>
      </c>
      <c r="AG132">
        <v>0</v>
      </c>
      <c r="AH132">
        <v>120287.31199382954</v>
      </c>
      <c r="AI132">
        <v>0</v>
      </c>
      <c r="AJ132">
        <v>120287.31199382954</v>
      </c>
      <c r="AK132">
        <v>1202.5645969918987</v>
      </c>
      <c r="AL132">
        <v>121489.87659082144</v>
      </c>
      <c r="AM132">
        <v>121489.87659082144</v>
      </c>
      <c r="AN132">
        <v>6300465</v>
      </c>
      <c r="AQ132">
        <v>0</v>
      </c>
      <c r="AR132">
        <v>121489.87659082144</v>
      </c>
      <c r="AS132">
        <v>6300465</v>
      </c>
      <c r="AT132" s="238" t="s">
        <v>36</v>
      </c>
      <c r="AV132">
        <v>121489.87659082144</v>
      </c>
      <c r="AW132">
        <v>0</v>
      </c>
      <c r="AX132">
        <v>6300465</v>
      </c>
      <c r="AY132" s="238"/>
      <c r="AZ132" s="238" t="s">
        <v>3</v>
      </c>
      <c r="BA132" s="238" t="s">
        <v>3</v>
      </c>
      <c r="BB132" s="238" t="s">
        <v>8951</v>
      </c>
      <c r="BC132" s="238" t="s">
        <v>1167</v>
      </c>
      <c r="BD132" t="b">
        <v>1</v>
      </c>
      <c r="BE132" s="238" t="s">
        <v>9088</v>
      </c>
      <c r="BF132" s="238" t="s">
        <v>8971</v>
      </c>
      <c r="BG132">
        <v>6300465</v>
      </c>
      <c r="BH132">
        <v>6300465</v>
      </c>
      <c r="BI132">
        <v>0</v>
      </c>
      <c r="BJ132">
        <v>0</v>
      </c>
      <c r="BK132">
        <v>0</v>
      </c>
    </row>
    <row r="133" spans="1:63" x14ac:dyDescent="0.25">
      <c r="A133">
        <v>132</v>
      </c>
      <c r="B133">
        <v>1</v>
      </c>
      <c r="C133">
        <v>17</v>
      </c>
      <c r="D133">
        <v>7</v>
      </c>
      <c r="E133">
        <v>2</v>
      </c>
      <c r="F133">
        <v>10.86</v>
      </c>
      <c r="G133">
        <v>14.01</v>
      </c>
      <c r="I133">
        <v>24.869999999999997</v>
      </c>
      <c r="J133">
        <v>18.82</v>
      </c>
      <c r="K133">
        <v>3.96</v>
      </c>
      <c r="M133">
        <v>2.8</v>
      </c>
      <c r="N133">
        <v>3.83</v>
      </c>
      <c r="O133">
        <v>4.6399999999999997</v>
      </c>
      <c r="P133">
        <v>3.91</v>
      </c>
      <c r="R133">
        <v>3.91</v>
      </c>
      <c r="S133">
        <v>62.83</v>
      </c>
      <c r="T133">
        <v>58.92</v>
      </c>
      <c r="U133">
        <v>60.88</v>
      </c>
      <c r="V133">
        <v>117388.64</v>
      </c>
      <c r="X133">
        <v>117388.64</v>
      </c>
      <c r="Y133">
        <v>1.3683319222764112E-2</v>
      </c>
      <c r="Z133">
        <v>117388.65368331922</v>
      </c>
      <c r="AA133">
        <v>0</v>
      </c>
      <c r="AB133">
        <v>117388.65368331922</v>
      </c>
      <c r="AC133">
        <v>3522.0152413209144</v>
      </c>
      <c r="AD133">
        <v>120910.66892464014</v>
      </c>
      <c r="AE133">
        <v>0.96051031386014074</v>
      </c>
      <c r="AF133">
        <v>120911.629434954</v>
      </c>
      <c r="AG133">
        <v>0</v>
      </c>
      <c r="AH133">
        <v>120911.629434954</v>
      </c>
      <c r="AI133">
        <v>0</v>
      </c>
      <c r="AJ133">
        <v>120911.629434954</v>
      </c>
      <c r="AK133">
        <v>1209.4940867279947</v>
      </c>
      <c r="AL133">
        <v>122121.12352168201</v>
      </c>
      <c r="AM133">
        <v>122121.12352168199</v>
      </c>
      <c r="AN133">
        <v>7434734</v>
      </c>
      <c r="AQ133">
        <v>0</v>
      </c>
      <c r="AR133">
        <v>122121.12352168199</v>
      </c>
      <c r="AS133">
        <v>7434734</v>
      </c>
      <c r="AT133" s="238" t="s">
        <v>36</v>
      </c>
      <c r="AV133">
        <v>122121.12352168199</v>
      </c>
      <c r="AW133">
        <v>0</v>
      </c>
      <c r="AX133">
        <v>7434734</v>
      </c>
      <c r="AY133" s="238"/>
      <c r="AZ133" s="238" t="s">
        <v>3</v>
      </c>
      <c r="BA133" s="238" t="s">
        <v>3</v>
      </c>
      <c r="BB133" s="238" t="s">
        <v>8951</v>
      </c>
      <c r="BC133" s="238" t="s">
        <v>1167</v>
      </c>
      <c r="BD133" t="b">
        <v>1</v>
      </c>
      <c r="BE133" s="238" t="s">
        <v>9088</v>
      </c>
      <c r="BF133" s="238" t="s">
        <v>8971</v>
      </c>
      <c r="BG133">
        <v>7434734</v>
      </c>
      <c r="BH133">
        <v>7434734</v>
      </c>
      <c r="BI133">
        <v>0</v>
      </c>
      <c r="BJ133">
        <v>0</v>
      </c>
      <c r="BK133">
        <v>0</v>
      </c>
    </row>
    <row r="134" spans="1:63" x14ac:dyDescent="0.25">
      <c r="A134">
        <v>133</v>
      </c>
      <c r="B134">
        <v>1</v>
      </c>
      <c r="C134">
        <v>17</v>
      </c>
      <c r="D134">
        <v>8</v>
      </c>
      <c r="E134">
        <v>1</v>
      </c>
      <c r="F134">
        <v>14.95</v>
      </c>
      <c r="I134">
        <v>14.95</v>
      </c>
      <c r="J134">
        <v>17.47</v>
      </c>
      <c r="K134">
        <v>4.97</v>
      </c>
      <c r="M134">
        <v>4</v>
      </c>
      <c r="P134">
        <v>3.36</v>
      </c>
      <c r="R134">
        <v>3.36</v>
      </c>
      <c r="S134">
        <v>44.75</v>
      </c>
      <c r="T134">
        <v>41.39</v>
      </c>
      <c r="U134">
        <v>43.07</v>
      </c>
      <c r="V134">
        <v>119184.96000000001</v>
      </c>
      <c r="X134">
        <v>113872.76526584629</v>
      </c>
      <c r="Z134">
        <v>113872.76526584629</v>
      </c>
      <c r="AB134">
        <v>114350.56884142094</v>
      </c>
      <c r="AC134">
        <v>3430.5084745762724</v>
      </c>
      <c r="AD134">
        <v>117781.07731599722</v>
      </c>
      <c r="AE134">
        <v>1905.4794520547875</v>
      </c>
      <c r="AF134">
        <v>119686.556768052</v>
      </c>
      <c r="AG134">
        <v>0</v>
      </c>
      <c r="AH134">
        <v>119686.556768052</v>
      </c>
      <c r="AI134">
        <v>0</v>
      </c>
      <c r="AJ134">
        <v>119686.556768052</v>
      </c>
      <c r="AK134">
        <v>0</v>
      </c>
      <c r="AL134">
        <v>119686.556768052</v>
      </c>
      <c r="AM134">
        <v>119686.556768052</v>
      </c>
      <c r="AN134">
        <v>5154900</v>
      </c>
      <c r="AQ134">
        <v>0</v>
      </c>
      <c r="AR134">
        <v>119686.556768052</v>
      </c>
      <c r="AS134">
        <v>5154900</v>
      </c>
      <c r="AT134" s="238" t="s">
        <v>36</v>
      </c>
      <c r="AV134">
        <v>119686.556768052</v>
      </c>
      <c r="AW134">
        <v>0</v>
      </c>
      <c r="AX134">
        <v>5154900</v>
      </c>
      <c r="AY134" s="238"/>
      <c r="AZ134" s="238" t="s">
        <v>3</v>
      </c>
      <c r="BA134" s="238" t="s">
        <v>3</v>
      </c>
      <c r="BB134" s="238" t="s">
        <v>8951</v>
      </c>
      <c r="BC134" s="238" t="s">
        <v>1167</v>
      </c>
      <c r="BD134" t="b">
        <v>1</v>
      </c>
      <c r="BE134" s="238" t="s">
        <v>9088</v>
      </c>
      <c r="BF134" s="238" t="s">
        <v>8972</v>
      </c>
      <c r="BG134">
        <v>5154900</v>
      </c>
      <c r="BH134">
        <v>5154900</v>
      </c>
      <c r="BI134">
        <v>0</v>
      </c>
      <c r="BJ134">
        <v>0</v>
      </c>
      <c r="BK134">
        <v>0</v>
      </c>
    </row>
    <row r="135" spans="1:63" x14ac:dyDescent="0.25">
      <c r="A135">
        <v>134</v>
      </c>
      <c r="B135">
        <v>1</v>
      </c>
      <c r="C135">
        <v>18</v>
      </c>
      <c r="D135">
        <v>1</v>
      </c>
      <c r="E135">
        <v>1</v>
      </c>
      <c r="F135">
        <v>14.95</v>
      </c>
      <c r="I135">
        <v>14.95</v>
      </c>
      <c r="J135">
        <v>16.48</v>
      </c>
      <c r="K135">
        <v>5.01</v>
      </c>
      <c r="M135">
        <v>3.96</v>
      </c>
      <c r="P135">
        <v>3.36</v>
      </c>
      <c r="R135">
        <v>3.36</v>
      </c>
      <c r="S135">
        <v>43.76</v>
      </c>
      <c r="T135">
        <v>40.4</v>
      </c>
      <c r="U135">
        <v>42.08</v>
      </c>
      <c r="V135">
        <v>119184.96000000001</v>
      </c>
      <c r="X135">
        <v>119184.96000000001</v>
      </c>
      <c r="Y135">
        <v>1.9332038834836567</v>
      </c>
      <c r="Z135">
        <v>119186.89320388349</v>
      </c>
      <c r="AA135">
        <v>0</v>
      </c>
      <c r="AB135">
        <v>119186.89320388349</v>
      </c>
      <c r="AC135">
        <v>0</v>
      </c>
      <c r="AD135">
        <v>119186.89320388349</v>
      </c>
      <c r="AE135">
        <v>-2492.5015689025022</v>
      </c>
      <c r="AF135">
        <v>116694.39163498099</v>
      </c>
      <c r="AG135">
        <v>0</v>
      </c>
      <c r="AH135">
        <v>116694.39163498099</v>
      </c>
      <c r="AI135">
        <v>0</v>
      </c>
      <c r="AJ135">
        <v>116694.39163498099</v>
      </c>
      <c r="AK135">
        <v>0</v>
      </c>
      <c r="AL135">
        <v>116694.391634981</v>
      </c>
      <c r="AM135">
        <v>116694.39163498099</v>
      </c>
      <c r="AN135">
        <v>4910500</v>
      </c>
      <c r="AQ135">
        <v>0</v>
      </c>
      <c r="AR135">
        <v>116694.39163498099</v>
      </c>
      <c r="AS135">
        <v>4910500</v>
      </c>
      <c r="AT135" s="238" t="s">
        <v>36</v>
      </c>
      <c r="AV135">
        <v>116694.39163498099</v>
      </c>
      <c r="AW135">
        <v>0</v>
      </c>
      <c r="AX135">
        <v>4910500</v>
      </c>
      <c r="AY135" s="238"/>
      <c r="AZ135" s="238" t="s">
        <v>8963</v>
      </c>
      <c r="BA135" s="238" t="s">
        <v>8963</v>
      </c>
      <c r="BB135" s="238" t="s">
        <v>8953</v>
      </c>
      <c r="BC135" s="238" t="s">
        <v>8964</v>
      </c>
      <c r="BD135" t="b">
        <v>1</v>
      </c>
      <c r="BE135" s="238" t="s">
        <v>9088</v>
      </c>
      <c r="BF135" s="238" t="s">
        <v>8972</v>
      </c>
      <c r="BG135">
        <v>4910500</v>
      </c>
      <c r="BH135">
        <v>5015400</v>
      </c>
      <c r="BI135">
        <v>4910500</v>
      </c>
      <c r="BJ135">
        <v>4910500</v>
      </c>
      <c r="BK135">
        <v>0</v>
      </c>
    </row>
    <row r="136" spans="1:63" x14ac:dyDescent="0.25">
      <c r="A136">
        <v>135</v>
      </c>
      <c r="B136">
        <v>1</v>
      </c>
      <c r="C136">
        <v>18</v>
      </c>
      <c r="D136">
        <v>2</v>
      </c>
      <c r="E136">
        <v>3</v>
      </c>
      <c r="F136">
        <v>18.46</v>
      </c>
      <c r="G136">
        <v>10.53</v>
      </c>
      <c r="H136">
        <v>9.9700000000000006</v>
      </c>
      <c r="I136">
        <v>38.96</v>
      </c>
      <c r="J136">
        <v>17.02</v>
      </c>
      <c r="K136">
        <v>4.07</v>
      </c>
      <c r="L136">
        <v>3.58</v>
      </c>
      <c r="M136">
        <v>4.18</v>
      </c>
      <c r="N136">
        <v>6.27</v>
      </c>
      <c r="P136">
        <v>3.04</v>
      </c>
      <c r="Q136">
        <v>3.41</v>
      </c>
      <c r="R136">
        <v>6.45</v>
      </c>
      <c r="S136">
        <v>80.53</v>
      </c>
      <c r="T136">
        <v>74.08</v>
      </c>
      <c r="U136">
        <v>77.31</v>
      </c>
      <c r="V136">
        <v>105198.08</v>
      </c>
      <c r="X136">
        <v>105198.08</v>
      </c>
      <c r="Y136">
        <v>0.85546240850817412</v>
      </c>
      <c r="Z136">
        <v>105198.93546240851</v>
      </c>
      <c r="AA136">
        <v>500.06653359947086</v>
      </c>
      <c r="AB136">
        <v>105699.00199600798</v>
      </c>
      <c r="AC136">
        <v>3170.9647371922765</v>
      </c>
      <c r="AD136">
        <v>108869.96673320026</v>
      </c>
      <c r="AE136">
        <v>0.81324351685179863</v>
      </c>
      <c r="AF136">
        <v>108870.77997671711</v>
      </c>
      <c r="AG136">
        <v>0</v>
      </c>
      <c r="AH136">
        <v>108870.77997671711</v>
      </c>
      <c r="AI136">
        <v>0</v>
      </c>
      <c r="AJ136">
        <v>108870.77997671711</v>
      </c>
      <c r="AK136">
        <v>2188.8242142025556</v>
      </c>
      <c r="AL136">
        <v>111059.60419091966</v>
      </c>
      <c r="AM136">
        <v>111059.60419091966</v>
      </c>
      <c r="AN136">
        <v>8586018</v>
      </c>
      <c r="AQ136">
        <v>0</v>
      </c>
      <c r="AR136">
        <v>111059.60419091966</v>
      </c>
      <c r="AS136">
        <v>8586018</v>
      </c>
      <c r="AT136" s="238" t="s">
        <v>36</v>
      </c>
      <c r="AV136">
        <v>111059.60419091966</v>
      </c>
      <c r="AW136">
        <v>0</v>
      </c>
      <c r="AX136">
        <v>8586018</v>
      </c>
      <c r="AY136" s="238"/>
      <c r="AZ136" s="238" t="s">
        <v>3</v>
      </c>
      <c r="BA136" s="238" t="s">
        <v>3</v>
      </c>
      <c r="BB136" s="238" t="s">
        <v>8951</v>
      </c>
      <c r="BC136" s="238" t="s">
        <v>1167</v>
      </c>
      <c r="BD136" t="b">
        <v>1</v>
      </c>
      <c r="BE136" s="238" t="s">
        <v>9088</v>
      </c>
      <c r="BF136" s="238" t="s">
        <v>8990</v>
      </c>
      <c r="BG136">
        <v>8586018</v>
      </c>
      <c r="BH136">
        <v>8586018</v>
      </c>
      <c r="BI136">
        <v>0</v>
      </c>
      <c r="BJ136">
        <v>0</v>
      </c>
      <c r="BK136">
        <v>0</v>
      </c>
    </row>
    <row r="137" spans="1:63" x14ac:dyDescent="0.25">
      <c r="A137">
        <v>136</v>
      </c>
      <c r="B137">
        <v>1</v>
      </c>
      <c r="C137">
        <v>18</v>
      </c>
      <c r="D137">
        <v>3</v>
      </c>
      <c r="E137">
        <v>1</v>
      </c>
      <c r="F137">
        <v>12.41</v>
      </c>
      <c r="I137">
        <v>12.41</v>
      </c>
      <c r="J137">
        <v>14.77</v>
      </c>
      <c r="K137">
        <v>4.45</v>
      </c>
      <c r="M137">
        <v>3.88</v>
      </c>
      <c r="P137">
        <v>2.93</v>
      </c>
      <c r="R137">
        <v>2.93</v>
      </c>
      <c r="S137">
        <v>38.44</v>
      </c>
      <c r="T137">
        <v>35.51</v>
      </c>
      <c r="U137">
        <v>36.979999999999997</v>
      </c>
      <c r="V137">
        <v>120353.44</v>
      </c>
      <c r="X137">
        <v>120353.44</v>
      </c>
      <c r="Y137">
        <v>2.1155555555596948</v>
      </c>
      <c r="Z137">
        <v>120355.55555555556</v>
      </c>
      <c r="AA137">
        <v>0</v>
      </c>
      <c r="AB137">
        <v>120355.55555555556</v>
      </c>
      <c r="AC137">
        <v>3611.1111111111095</v>
      </c>
      <c r="AD137">
        <v>123966.66666666667</v>
      </c>
      <c r="AE137">
        <v>0.34252749235020019</v>
      </c>
      <c r="AF137">
        <v>123967.00919415902</v>
      </c>
      <c r="AG137">
        <v>0</v>
      </c>
      <c r="AH137">
        <v>123967.00919415902</v>
      </c>
      <c r="AI137">
        <v>500</v>
      </c>
      <c r="AJ137">
        <v>124467.00919415902</v>
      </c>
      <c r="AK137">
        <v>0</v>
      </c>
      <c r="AL137">
        <v>124467.00919415902</v>
      </c>
      <c r="AM137">
        <v>124467.00919415902</v>
      </c>
      <c r="AN137">
        <v>4602790</v>
      </c>
      <c r="AQ137">
        <v>0</v>
      </c>
      <c r="AR137">
        <v>124467.00919415902</v>
      </c>
      <c r="AS137">
        <v>4602790</v>
      </c>
      <c r="AT137" s="238" t="s">
        <v>36</v>
      </c>
      <c r="AV137">
        <v>124467.00919415902</v>
      </c>
      <c r="AW137">
        <v>0</v>
      </c>
      <c r="AX137">
        <v>4602790</v>
      </c>
      <c r="AY137" s="238"/>
      <c r="AZ137" s="238" t="s">
        <v>3</v>
      </c>
      <c r="BA137" s="238" t="s">
        <v>3</v>
      </c>
      <c r="BB137" s="238" t="s">
        <v>8951</v>
      </c>
      <c r="BC137" s="238" t="s">
        <v>1167</v>
      </c>
      <c r="BD137" t="b">
        <v>1</v>
      </c>
      <c r="BE137" s="238" t="s">
        <v>9088</v>
      </c>
      <c r="BF137" s="238" t="s">
        <v>8972</v>
      </c>
      <c r="BG137">
        <v>4602790</v>
      </c>
      <c r="BH137">
        <v>4602790</v>
      </c>
      <c r="BI137">
        <v>0</v>
      </c>
      <c r="BJ137">
        <v>0</v>
      </c>
      <c r="BK137">
        <v>0</v>
      </c>
    </row>
    <row r="138" spans="1:63" x14ac:dyDescent="0.25">
      <c r="A138">
        <v>137</v>
      </c>
      <c r="B138">
        <v>1</v>
      </c>
      <c r="C138">
        <v>18</v>
      </c>
      <c r="D138">
        <v>4</v>
      </c>
      <c r="E138">
        <v>1</v>
      </c>
      <c r="F138">
        <v>12.41</v>
      </c>
      <c r="I138">
        <v>12.41</v>
      </c>
      <c r="J138">
        <v>14.23</v>
      </c>
      <c r="K138">
        <v>4.45</v>
      </c>
      <c r="M138">
        <v>3.78</v>
      </c>
      <c r="P138">
        <v>3.11</v>
      </c>
      <c r="R138">
        <v>3.11</v>
      </c>
      <c r="S138">
        <v>37.979999999999997</v>
      </c>
      <c r="T138">
        <v>34.869999999999997</v>
      </c>
      <c r="U138">
        <v>36.43</v>
      </c>
      <c r="V138">
        <v>120353.44</v>
      </c>
      <c r="X138">
        <v>120353.44</v>
      </c>
      <c r="Y138">
        <v>2.6100695410132175</v>
      </c>
      <c r="Z138">
        <v>120356.05006954102</v>
      </c>
      <c r="AA138">
        <v>0</v>
      </c>
      <c r="AB138">
        <v>120356.05006954102</v>
      </c>
      <c r="AC138">
        <v>3610.6258692628762</v>
      </c>
      <c r="AD138">
        <v>123966.67593880389</v>
      </c>
      <c r="AE138">
        <v>2.5801687997300178</v>
      </c>
      <c r="AF138">
        <v>123969.25610760362</v>
      </c>
      <c r="AG138">
        <v>499.7529508646694</v>
      </c>
      <c r="AH138">
        <v>124469.00905846829</v>
      </c>
      <c r="AI138">
        <v>0</v>
      </c>
      <c r="AJ138">
        <v>124469.00905846829</v>
      </c>
      <c r="AK138">
        <v>0</v>
      </c>
      <c r="AL138">
        <v>124469.00905846828</v>
      </c>
      <c r="AM138">
        <v>124469.00905846829</v>
      </c>
      <c r="AN138">
        <v>4534406</v>
      </c>
      <c r="AQ138">
        <v>0</v>
      </c>
      <c r="AR138">
        <v>124469.00905846829</v>
      </c>
      <c r="AS138">
        <v>4534406</v>
      </c>
      <c r="AT138" s="238" t="s">
        <v>36</v>
      </c>
      <c r="AV138">
        <v>124469.00905846829</v>
      </c>
      <c r="AW138">
        <v>0</v>
      </c>
      <c r="AX138">
        <v>4534406</v>
      </c>
      <c r="AY138" s="238"/>
      <c r="AZ138" s="238" t="s">
        <v>3</v>
      </c>
      <c r="BA138" s="238" t="s">
        <v>3</v>
      </c>
      <c r="BB138" s="238" t="s">
        <v>8951</v>
      </c>
      <c r="BC138" s="238" t="s">
        <v>1167</v>
      </c>
      <c r="BD138" t="b">
        <v>1</v>
      </c>
      <c r="BE138" s="238" t="s">
        <v>9088</v>
      </c>
      <c r="BF138" s="238" t="s">
        <v>8972</v>
      </c>
      <c r="BG138">
        <v>4534406</v>
      </c>
      <c r="BH138">
        <v>4534406</v>
      </c>
      <c r="BI138">
        <v>0</v>
      </c>
      <c r="BJ138">
        <v>0</v>
      </c>
      <c r="BK138">
        <v>0</v>
      </c>
    </row>
    <row r="139" spans="1:63" x14ac:dyDescent="0.25">
      <c r="A139">
        <v>138</v>
      </c>
      <c r="B139">
        <v>1</v>
      </c>
      <c r="C139">
        <v>18</v>
      </c>
      <c r="D139">
        <v>5</v>
      </c>
      <c r="E139">
        <v>2</v>
      </c>
      <c r="F139">
        <v>14.66</v>
      </c>
      <c r="G139">
        <v>10.58</v>
      </c>
      <c r="I139">
        <v>25.240000000000002</v>
      </c>
      <c r="J139">
        <v>17.38</v>
      </c>
      <c r="K139">
        <v>4.07</v>
      </c>
      <c r="L139">
        <v>3.38</v>
      </c>
      <c r="M139">
        <v>3.48</v>
      </c>
      <c r="N139">
        <v>3.77</v>
      </c>
      <c r="P139">
        <v>3.11</v>
      </c>
      <c r="R139">
        <v>3.11</v>
      </c>
      <c r="S139">
        <v>60.43</v>
      </c>
      <c r="T139">
        <v>57.32</v>
      </c>
      <c r="U139">
        <v>58.88</v>
      </c>
      <c r="V139">
        <v>118496.08</v>
      </c>
      <c r="X139">
        <v>118496.08</v>
      </c>
      <c r="Y139">
        <v>0.86856146468198858</v>
      </c>
      <c r="Z139">
        <v>118496.94856146468</v>
      </c>
      <c r="AA139">
        <v>0</v>
      </c>
      <c r="AB139">
        <v>118496.94856146468</v>
      </c>
      <c r="AC139">
        <v>3554.9607672188286</v>
      </c>
      <c r="AD139">
        <v>122051.90932868351</v>
      </c>
      <c r="AE139">
        <v>1.4194756643119035</v>
      </c>
      <c r="AF139">
        <v>122053.32880434782</v>
      </c>
      <c r="AG139">
        <v>0</v>
      </c>
      <c r="AH139">
        <v>122053.32880434782</v>
      </c>
      <c r="AI139">
        <v>0</v>
      </c>
      <c r="AJ139">
        <v>122053.32880434782</v>
      </c>
      <c r="AK139">
        <v>1220.1936141304325</v>
      </c>
      <c r="AL139">
        <v>123273.52241847826</v>
      </c>
      <c r="AM139">
        <v>123273.52241847826</v>
      </c>
      <c r="AN139">
        <v>7258345</v>
      </c>
      <c r="AQ139">
        <v>0</v>
      </c>
      <c r="AR139">
        <v>123273.52241847826</v>
      </c>
      <c r="AS139">
        <v>7258345</v>
      </c>
      <c r="AT139" s="238" t="s">
        <v>36</v>
      </c>
      <c r="AV139">
        <v>123273.52241847826</v>
      </c>
      <c r="AW139">
        <v>0</v>
      </c>
      <c r="AX139">
        <v>7258345</v>
      </c>
      <c r="AY139" s="238"/>
      <c r="AZ139" s="238" t="s">
        <v>3</v>
      </c>
      <c r="BA139" s="238" t="s">
        <v>3</v>
      </c>
      <c r="BB139" s="238" t="s">
        <v>8951</v>
      </c>
      <c r="BC139" s="238" t="s">
        <v>1167</v>
      </c>
      <c r="BD139" t="b">
        <v>1</v>
      </c>
      <c r="BE139" s="238" t="s">
        <v>9088</v>
      </c>
      <c r="BF139" s="238" t="s">
        <v>8971</v>
      </c>
      <c r="BG139">
        <v>7258345</v>
      </c>
      <c r="BH139">
        <v>7258345</v>
      </c>
      <c r="BI139">
        <v>0</v>
      </c>
      <c r="BJ139">
        <v>0</v>
      </c>
      <c r="BK139">
        <v>0</v>
      </c>
    </row>
    <row r="140" spans="1:63" x14ac:dyDescent="0.25">
      <c r="A140">
        <v>139</v>
      </c>
      <c r="B140">
        <v>1</v>
      </c>
      <c r="C140">
        <v>18</v>
      </c>
      <c r="D140">
        <v>6</v>
      </c>
      <c r="E140">
        <v>2</v>
      </c>
      <c r="F140">
        <v>11.63</v>
      </c>
      <c r="G140">
        <v>10.93</v>
      </c>
      <c r="I140">
        <v>22.560000000000002</v>
      </c>
      <c r="J140">
        <v>16.28</v>
      </c>
      <c r="K140">
        <v>4.62</v>
      </c>
      <c r="M140">
        <v>4.3899999999999997</v>
      </c>
      <c r="N140">
        <v>1.81</v>
      </c>
      <c r="P140">
        <v>4.4000000000000004</v>
      </c>
      <c r="R140">
        <v>4.4000000000000004</v>
      </c>
      <c r="S140">
        <v>54.06</v>
      </c>
      <c r="T140">
        <v>49.66</v>
      </c>
      <c r="U140">
        <v>51.86</v>
      </c>
      <c r="V140">
        <v>116281.2</v>
      </c>
      <c r="X140">
        <v>116281.2</v>
      </c>
      <c r="Y140">
        <v>501.80692383779387</v>
      </c>
      <c r="Z140">
        <v>116783.00692383779</v>
      </c>
      <c r="AA140">
        <v>0</v>
      </c>
      <c r="AB140">
        <v>116783.00692383779</v>
      </c>
      <c r="AC140">
        <v>3503.4817012858548</v>
      </c>
      <c r="AD140">
        <v>120286.48862512365</v>
      </c>
      <c r="AE140">
        <v>0.82336870589642785</v>
      </c>
      <c r="AF140">
        <v>120287.31199382954</v>
      </c>
      <c r="AG140">
        <v>0</v>
      </c>
      <c r="AH140">
        <v>120287.31199382954</v>
      </c>
      <c r="AI140">
        <v>0</v>
      </c>
      <c r="AJ140">
        <v>120287.31199382954</v>
      </c>
      <c r="AK140">
        <v>1202.5645969918987</v>
      </c>
      <c r="AL140">
        <v>121489.87659082144</v>
      </c>
      <c r="AM140">
        <v>121489.87659082144</v>
      </c>
      <c r="AN140">
        <v>6300465</v>
      </c>
      <c r="AQ140">
        <v>0</v>
      </c>
      <c r="AR140">
        <v>121489.87659082144</v>
      </c>
      <c r="AS140">
        <v>6300465</v>
      </c>
      <c r="AT140" s="238" t="s">
        <v>36</v>
      </c>
      <c r="AV140">
        <v>121489.87659082144</v>
      </c>
      <c r="AW140">
        <v>0</v>
      </c>
      <c r="AX140">
        <v>6300465</v>
      </c>
      <c r="AY140" s="238"/>
      <c r="AZ140" s="238" t="s">
        <v>3</v>
      </c>
      <c r="BA140" s="238" t="s">
        <v>3</v>
      </c>
      <c r="BB140" s="238" t="s">
        <v>8951</v>
      </c>
      <c r="BC140" s="238" t="s">
        <v>1167</v>
      </c>
      <c r="BD140" t="b">
        <v>1</v>
      </c>
      <c r="BE140" s="238" t="s">
        <v>9088</v>
      </c>
      <c r="BF140" s="238" t="s">
        <v>8971</v>
      </c>
      <c r="BG140">
        <v>6300465</v>
      </c>
      <c r="BH140">
        <v>6300465</v>
      </c>
      <c r="BI140">
        <v>0</v>
      </c>
      <c r="BJ140">
        <v>0</v>
      </c>
      <c r="BK140">
        <v>0</v>
      </c>
    </row>
    <row r="141" spans="1:63" x14ac:dyDescent="0.25">
      <c r="A141">
        <v>140</v>
      </c>
      <c r="B141">
        <v>1</v>
      </c>
      <c r="C141">
        <v>18</v>
      </c>
      <c r="D141">
        <v>7</v>
      </c>
      <c r="E141">
        <v>2</v>
      </c>
      <c r="F141">
        <v>10.86</v>
      </c>
      <c r="G141">
        <v>14.01</v>
      </c>
      <c r="I141">
        <v>24.869999999999997</v>
      </c>
      <c r="J141">
        <v>18.82</v>
      </c>
      <c r="K141">
        <v>3.96</v>
      </c>
      <c r="M141">
        <v>2.8</v>
      </c>
      <c r="N141">
        <v>3.83</v>
      </c>
      <c r="O141">
        <v>4.6399999999999997</v>
      </c>
      <c r="P141">
        <v>3.91</v>
      </c>
      <c r="R141">
        <v>3.91</v>
      </c>
      <c r="S141">
        <v>62.83</v>
      </c>
      <c r="T141">
        <v>58.92</v>
      </c>
      <c r="U141">
        <v>60.88</v>
      </c>
      <c r="V141">
        <v>117388.64</v>
      </c>
      <c r="X141">
        <v>117388.64</v>
      </c>
      <c r="Y141">
        <v>1.3683319222764112E-2</v>
      </c>
      <c r="Z141">
        <v>117388.65368331922</v>
      </c>
      <c r="AA141">
        <v>0</v>
      </c>
      <c r="AB141">
        <v>117388.65368331922</v>
      </c>
      <c r="AC141">
        <v>3522.0152413209144</v>
      </c>
      <c r="AD141">
        <v>120910.66892464014</v>
      </c>
      <c r="AE141">
        <v>0.96051031386014074</v>
      </c>
      <c r="AF141">
        <v>120911.629434954</v>
      </c>
      <c r="AG141">
        <v>0</v>
      </c>
      <c r="AH141">
        <v>120911.629434954</v>
      </c>
      <c r="AI141">
        <v>0</v>
      </c>
      <c r="AJ141">
        <v>120911.629434954</v>
      </c>
      <c r="AK141">
        <v>1209.4940867279947</v>
      </c>
      <c r="AL141">
        <v>122121.12352168201</v>
      </c>
      <c r="AM141">
        <v>122121.12352168199</v>
      </c>
      <c r="AN141">
        <v>7434734</v>
      </c>
      <c r="AQ141">
        <v>0</v>
      </c>
      <c r="AR141">
        <v>122121.12352168199</v>
      </c>
      <c r="AS141">
        <v>7434734</v>
      </c>
      <c r="AT141" s="238" t="s">
        <v>36</v>
      </c>
      <c r="AV141">
        <v>122121.12352168199</v>
      </c>
      <c r="AW141">
        <v>0</v>
      </c>
      <c r="AX141">
        <v>7434734</v>
      </c>
      <c r="AY141" s="238"/>
      <c r="AZ141" s="238" t="s">
        <v>3</v>
      </c>
      <c r="BA141" s="238" t="s">
        <v>3</v>
      </c>
      <c r="BB141" s="238" t="s">
        <v>8951</v>
      </c>
      <c r="BC141" s="238" t="s">
        <v>1167</v>
      </c>
      <c r="BD141" t="b">
        <v>1</v>
      </c>
      <c r="BE141" s="238" t="s">
        <v>9088</v>
      </c>
      <c r="BF141" s="238" t="s">
        <v>8971</v>
      </c>
      <c r="BG141">
        <v>7434734</v>
      </c>
      <c r="BH141">
        <v>7434734</v>
      </c>
      <c r="BI141">
        <v>0</v>
      </c>
      <c r="BJ141">
        <v>0</v>
      </c>
      <c r="BK141">
        <v>0</v>
      </c>
    </row>
    <row r="142" spans="1:63" x14ac:dyDescent="0.25">
      <c r="A142">
        <v>141</v>
      </c>
      <c r="B142">
        <v>1</v>
      </c>
      <c r="C142">
        <v>18</v>
      </c>
      <c r="D142">
        <v>8</v>
      </c>
      <c r="E142">
        <v>1</v>
      </c>
      <c r="F142">
        <v>14.95</v>
      </c>
      <c r="I142">
        <v>14.95</v>
      </c>
      <c r="J142">
        <v>17.47</v>
      </c>
      <c r="K142">
        <v>4.97</v>
      </c>
      <c r="M142">
        <v>4</v>
      </c>
      <c r="P142">
        <v>3.36</v>
      </c>
      <c r="R142">
        <v>3.36</v>
      </c>
      <c r="S142">
        <v>44.75</v>
      </c>
      <c r="T142">
        <v>41.39</v>
      </c>
      <c r="U142">
        <v>43.07</v>
      </c>
      <c r="V142">
        <v>119184.96000000001</v>
      </c>
      <c r="X142">
        <v>119184.96000000001</v>
      </c>
      <c r="Y142">
        <v>0.9452247873559827</v>
      </c>
      <c r="Z142">
        <v>119185.90522478736</v>
      </c>
      <c r="AA142">
        <v>500.09720534630469</v>
      </c>
      <c r="AB142">
        <v>119686.00243013367</v>
      </c>
      <c r="AC142">
        <v>3590.5710814094782</v>
      </c>
      <c r="AD142">
        <v>123276.57351154315</v>
      </c>
      <c r="AE142">
        <v>1.8105144610308344</v>
      </c>
      <c r="AF142">
        <v>123278.38402600418</v>
      </c>
      <c r="AG142">
        <v>0</v>
      </c>
      <c r="AH142">
        <v>123278.38402600418</v>
      </c>
      <c r="AI142">
        <v>0</v>
      </c>
      <c r="AJ142">
        <v>123278.38402600418</v>
      </c>
      <c r="AK142">
        <v>0</v>
      </c>
      <c r="AL142">
        <v>123278.38402600418</v>
      </c>
      <c r="AM142">
        <v>123278.38402600418</v>
      </c>
      <c r="AN142">
        <v>5309600</v>
      </c>
      <c r="AQ142">
        <v>0</v>
      </c>
      <c r="AR142">
        <v>123278.38402600418</v>
      </c>
      <c r="AS142">
        <v>5309600</v>
      </c>
      <c r="AT142" s="238" t="s">
        <v>36</v>
      </c>
      <c r="AV142">
        <v>123278.38402600418</v>
      </c>
      <c r="AW142">
        <v>0</v>
      </c>
      <c r="AX142">
        <v>5309600</v>
      </c>
      <c r="AY142" s="238"/>
      <c r="AZ142" s="238" t="s">
        <v>3</v>
      </c>
      <c r="BA142" s="238" t="s">
        <v>3</v>
      </c>
      <c r="BB142" s="238" t="s">
        <v>8951</v>
      </c>
      <c r="BC142" s="238" t="s">
        <v>1167</v>
      </c>
      <c r="BD142" t="b">
        <v>1</v>
      </c>
      <c r="BE142" s="238" t="s">
        <v>9088</v>
      </c>
      <c r="BF142" s="238" t="s">
        <v>8972</v>
      </c>
      <c r="BG142">
        <v>5309600</v>
      </c>
      <c r="BH142">
        <v>5309600</v>
      </c>
      <c r="BI142">
        <v>0</v>
      </c>
      <c r="BJ142">
        <v>0</v>
      </c>
      <c r="BK142">
        <v>0</v>
      </c>
    </row>
    <row r="143" spans="1:63" x14ac:dyDescent="0.25">
      <c r="A143">
        <v>142</v>
      </c>
      <c r="B143">
        <v>1</v>
      </c>
      <c r="C143">
        <v>19</v>
      </c>
      <c r="D143">
        <v>1</v>
      </c>
      <c r="E143">
        <v>1</v>
      </c>
      <c r="F143">
        <v>14.95</v>
      </c>
      <c r="I143">
        <v>14.95</v>
      </c>
      <c r="J143">
        <v>16.48</v>
      </c>
      <c r="K143">
        <v>5.01</v>
      </c>
      <c r="M143">
        <v>3.96</v>
      </c>
      <c r="P143">
        <v>3.36</v>
      </c>
      <c r="R143">
        <v>3.36</v>
      </c>
      <c r="S143">
        <v>43.76</v>
      </c>
      <c r="T143">
        <v>40.4</v>
      </c>
      <c r="U143">
        <v>42.08</v>
      </c>
      <c r="V143">
        <v>119184.96000000001</v>
      </c>
      <c r="X143">
        <v>119184.96000000001</v>
      </c>
      <c r="Y143">
        <v>1.9332038834836567</v>
      </c>
      <c r="Z143">
        <v>119186.89320388349</v>
      </c>
      <c r="AA143">
        <v>0</v>
      </c>
      <c r="AB143">
        <v>119186.89320388349</v>
      </c>
      <c r="AC143">
        <v>3575.7281553398061</v>
      </c>
      <c r="AD143">
        <v>122762.6213592233</v>
      </c>
      <c r="AE143">
        <v>1.1619107386795804</v>
      </c>
      <c r="AF143">
        <v>122763.78326996198</v>
      </c>
      <c r="AG143">
        <v>0</v>
      </c>
      <c r="AH143">
        <v>122763.78326996198</v>
      </c>
      <c r="AI143">
        <v>0</v>
      </c>
      <c r="AJ143">
        <v>122763.78326996198</v>
      </c>
      <c r="AK143">
        <v>0</v>
      </c>
      <c r="AL143">
        <v>122763.78326996198</v>
      </c>
      <c r="AM143">
        <v>122763.78326996198</v>
      </c>
      <c r="AN143">
        <v>5165900</v>
      </c>
      <c r="AQ143">
        <v>0</v>
      </c>
      <c r="AR143">
        <v>122763.78326996198</v>
      </c>
      <c r="AS143">
        <v>5165900</v>
      </c>
      <c r="AT143" s="238" t="s">
        <v>36</v>
      </c>
      <c r="AV143">
        <v>122763.78326996198</v>
      </c>
      <c r="AW143">
        <v>0</v>
      </c>
      <c r="AX143">
        <v>5165900</v>
      </c>
      <c r="AY143" s="238"/>
      <c r="AZ143" s="238" t="s">
        <v>3</v>
      </c>
      <c r="BA143" s="238" t="s">
        <v>3</v>
      </c>
      <c r="BB143" s="238" t="s">
        <v>8951</v>
      </c>
      <c r="BC143" s="238" t="s">
        <v>1167</v>
      </c>
      <c r="BD143" t="b">
        <v>1</v>
      </c>
      <c r="BE143" s="238" t="s">
        <v>9088</v>
      </c>
      <c r="BF143" s="238" t="s">
        <v>8972</v>
      </c>
      <c r="BG143">
        <v>5165900</v>
      </c>
      <c r="BH143">
        <v>5165900</v>
      </c>
      <c r="BI143">
        <v>0</v>
      </c>
      <c r="BJ143">
        <v>0</v>
      </c>
      <c r="BK143">
        <v>0</v>
      </c>
    </row>
    <row r="144" spans="1:63" x14ac:dyDescent="0.25">
      <c r="A144">
        <v>143</v>
      </c>
      <c r="B144">
        <v>1</v>
      </c>
      <c r="C144">
        <v>19</v>
      </c>
      <c r="D144">
        <v>2</v>
      </c>
      <c r="E144">
        <v>3</v>
      </c>
      <c r="F144">
        <v>18.46</v>
      </c>
      <c r="G144">
        <v>10.53</v>
      </c>
      <c r="H144">
        <v>9.9700000000000006</v>
      </c>
      <c r="I144">
        <v>38.96</v>
      </c>
      <c r="J144">
        <v>17.02</v>
      </c>
      <c r="K144">
        <v>4.07</v>
      </c>
      <c r="L144">
        <v>3.58</v>
      </c>
      <c r="M144">
        <v>4.18</v>
      </c>
      <c r="N144">
        <v>6.27</v>
      </c>
      <c r="P144">
        <v>3.04</v>
      </c>
      <c r="Q144">
        <v>3.41</v>
      </c>
      <c r="R144">
        <v>6.45</v>
      </c>
      <c r="S144">
        <v>80.53</v>
      </c>
      <c r="T144">
        <v>74.08</v>
      </c>
      <c r="U144">
        <v>77.31</v>
      </c>
      <c r="V144">
        <v>105198.08</v>
      </c>
      <c r="X144">
        <v>105198.08</v>
      </c>
      <c r="Y144">
        <v>0.85546240850817412</v>
      </c>
      <c r="Z144">
        <v>105198.93546240851</v>
      </c>
      <c r="AA144">
        <v>500.06653359947086</v>
      </c>
      <c r="AB144">
        <v>105699.00199600798</v>
      </c>
      <c r="AC144">
        <v>3170.9647371922765</v>
      </c>
      <c r="AD144">
        <v>108869.96673320026</v>
      </c>
      <c r="AE144">
        <v>0.81324351685179863</v>
      </c>
      <c r="AF144">
        <v>108870.77997671711</v>
      </c>
      <c r="AG144">
        <v>0</v>
      </c>
      <c r="AH144">
        <v>108870.77997671711</v>
      </c>
      <c r="AI144">
        <v>0</v>
      </c>
      <c r="AJ144">
        <v>108870.77997671711</v>
      </c>
      <c r="AK144">
        <v>2188.8242142025556</v>
      </c>
      <c r="AL144">
        <v>111059.60419091966</v>
      </c>
      <c r="AM144">
        <v>111059.60419091966</v>
      </c>
      <c r="AN144">
        <v>8586018</v>
      </c>
      <c r="AQ144">
        <v>0</v>
      </c>
      <c r="AR144">
        <v>111059.60419091966</v>
      </c>
      <c r="AS144">
        <v>8586018</v>
      </c>
      <c r="AT144" s="238" t="s">
        <v>36</v>
      </c>
      <c r="AV144">
        <v>111059.60419091966</v>
      </c>
      <c r="AW144">
        <v>0</v>
      </c>
      <c r="AX144">
        <v>8586018</v>
      </c>
      <c r="AY144" s="238"/>
      <c r="AZ144" s="238" t="s">
        <v>8956</v>
      </c>
      <c r="BA144" s="238" t="s">
        <v>8956</v>
      </c>
      <c r="BB144" s="238" t="s">
        <v>8953</v>
      </c>
      <c r="BC144" s="238" t="s">
        <v>8957</v>
      </c>
      <c r="BD144" t="b">
        <v>1</v>
      </c>
      <c r="BE144" s="238" t="s">
        <v>9088</v>
      </c>
      <c r="BF144" s="238" t="s">
        <v>8990</v>
      </c>
      <c r="BG144">
        <v>8586018</v>
      </c>
      <c r="BH144">
        <v>8586018</v>
      </c>
      <c r="BI144">
        <v>0</v>
      </c>
      <c r="BJ144">
        <v>0</v>
      </c>
      <c r="BK144">
        <v>0</v>
      </c>
    </row>
    <row r="145" spans="1:63" x14ac:dyDescent="0.25">
      <c r="A145">
        <v>144</v>
      </c>
      <c r="B145">
        <v>1</v>
      </c>
      <c r="C145">
        <v>19</v>
      </c>
      <c r="D145">
        <v>3</v>
      </c>
      <c r="E145">
        <v>1</v>
      </c>
      <c r="F145">
        <v>12.41</v>
      </c>
      <c r="I145">
        <v>12.41</v>
      </c>
      <c r="J145">
        <v>14.77</v>
      </c>
      <c r="K145">
        <v>4.45</v>
      </c>
      <c r="M145">
        <v>3.88</v>
      </c>
      <c r="P145">
        <v>2.93</v>
      </c>
      <c r="R145">
        <v>2.93</v>
      </c>
      <c r="S145">
        <v>38.44</v>
      </c>
      <c r="T145">
        <v>35.51</v>
      </c>
      <c r="U145">
        <v>36.979999999999997</v>
      </c>
      <c r="V145">
        <v>120353.44</v>
      </c>
      <c r="X145">
        <v>120353.44</v>
      </c>
      <c r="Y145">
        <v>2.1155555555596948</v>
      </c>
      <c r="Z145">
        <v>120355.55555555556</v>
      </c>
      <c r="AA145">
        <v>0</v>
      </c>
      <c r="AB145">
        <v>120355.55555555556</v>
      </c>
      <c r="AC145">
        <v>3611.1111111111095</v>
      </c>
      <c r="AD145">
        <v>123966.66666666667</v>
      </c>
      <c r="AE145">
        <v>0.34252749235020019</v>
      </c>
      <c r="AF145">
        <v>123967.00919415902</v>
      </c>
      <c r="AG145">
        <v>0</v>
      </c>
      <c r="AH145">
        <v>123967.00919415902</v>
      </c>
      <c r="AI145">
        <v>500</v>
      </c>
      <c r="AJ145">
        <v>124467.00919415902</v>
      </c>
      <c r="AK145">
        <v>0</v>
      </c>
      <c r="AL145">
        <v>124467.00919415902</v>
      </c>
      <c r="AM145">
        <v>124467.00919415902</v>
      </c>
      <c r="AN145">
        <v>4602790</v>
      </c>
      <c r="AQ145">
        <v>0</v>
      </c>
      <c r="AR145">
        <v>124467.00919415902</v>
      </c>
      <c r="AS145">
        <v>4602790</v>
      </c>
      <c r="AT145" s="238" t="s">
        <v>36</v>
      </c>
      <c r="AV145">
        <v>124467.00919415902</v>
      </c>
      <c r="AW145">
        <v>0</v>
      </c>
      <c r="AX145">
        <v>4602790</v>
      </c>
      <c r="AY145" s="238"/>
      <c r="AZ145" s="238" t="s">
        <v>3</v>
      </c>
      <c r="BA145" s="238" t="s">
        <v>3</v>
      </c>
      <c r="BB145" s="238" t="s">
        <v>8951</v>
      </c>
      <c r="BC145" s="238" t="s">
        <v>1167</v>
      </c>
      <c r="BD145" t="b">
        <v>1</v>
      </c>
      <c r="BE145" s="238" t="s">
        <v>9088</v>
      </c>
      <c r="BF145" s="238" t="s">
        <v>8972</v>
      </c>
      <c r="BG145">
        <v>4602790</v>
      </c>
      <c r="BH145">
        <v>4602790</v>
      </c>
      <c r="BI145">
        <v>0</v>
      </c>
      <c r="BJ145">
        <v>0</v>
      </c>
      <c r="BK145">
        <v>0</v>
      </c>
    </row>
    <row r="146" spans="1:63" x14ac:dyDescent="0.25">
      <c r="A146">
        <v>145</v>
      </c>
      <c r="B146">
        <v>1</v>
      </c>
      <c r="C146">
        <v>19</v>
      </c>
      <c r="D146">
        <v>4</v>
      </c>
      <c r="E146">
        <v>1</v>
      </c>
      <c r="F146">
        <v>12.41</v>
      </c>
      <c r="I146">
        <v>12.41</v>
      </c>
      <c r="J146">
        <v>14.23</v>
      </c>
      <c r="K146">
        <v>4.45</v>
      </c>
      <c r="M146">
        <v>3.78</v>
      </c>
      <c r="P146">
        <v>3.11</v>
      </c>
      <c r="R146">
        <v>3.11</v>
      </c>
      <c r="S146">
        <v>37.979999999999997</v>
      </c>
      <c r="T146">
        <v>34.869999999999997</v>
      </c>
      <c r="U146">
        <v>36.43</v>
      </c>
      <c r="V146">
        <v>120353.44</v>
      </c>
      <c r="X146">
        <v>120353.44</v>
      </c>
      <c r="Y146">
        <v>2.6100695410132175</v>
      </c>
      <c r="Z146">
        <v>120356.05006954102</v>
      </c>
      <c r="AA146">
        <v>0</v>
      </c>
      <c r="AB146">
        <v>120356.05006954102</v>
      </c>
      <c r="AC146">
        <v>3610.6258692628762</v>
      </c>
      <c r="AD146">
        <v>123966.67593880389</v>
      </c>
      <c r="AE146">
        <v>2.5801687997300178</v>
      </c>
      <c r="AF146">
        <v>123969.25610760362</v>
      </c>
      <c r="AG146">
        <v>499.7529508646694</v>
      </c>
      <c r="AH146">
        <v>124469.00905846829</v>
      </c>
      <c r="AI146">
        <v>0</v>
      </c>
      <c r="AJ146">
        <v>124469.00905846829</v>
      </c>
      <c r="AK146">
        <v>0</v>
      </c>
      <c r="AL146">
        <v>124469.00905846828</v>
      </c>
      <c r="AM146">
        <v>124469.00905846829</v>
      </c>
      <c r="AN146">
        <v>4534406</v>
      </c>
      <c r="AQ146">
        <v>0</v>
      </c>
      <c r="AR146">
        <v>124469.00905846829</v>
      </c>
      <c r="AS146">
        <v>4534406</v>
      </c>
      <c r="AT146" s="238" t="s">
        <v>36</v>
      </c>
      <c r="AV146">
        <v>124469.00905846829</v>
      </c>
      <c r="AW146">
        <v>0</v>
      </c>
      <c r="AX146">
        <v>4534406</v>
      </c>
      <c r="AY146" s="238"/>
      <c r="AZ146" s="238" t="s">
        <v>3</v>
      </c>
      <c r="BA146" s="238" t="s">
        <v>3</v>
      </c>
      <c r="BB146" s="238" t="s">
        <v>8951</v>
      </c>
      <c r="BC146" s="238" t="s">
        <v>1167</v>
      </c>
      <c r="BD146" t="b">
        <v>1</v>
      </c>
      <c r="BE146" s="238" t="s">
        <v>9088</v>
      </c>
      <c r="BF146" s="238" t="s">
        <v>8972</v>
      </c>
      <c r="BG146">
        <v>4534406</v>
      </c>
      <c r="BH146">
        <v>4534406</v>
      </c>
      <c r="BI146">
        <v>0</v>
      </c>
      <c r="BJ146">
        <v>0</v>
      </c>
      <c r="BK146">
        <v>0</v>
      </c>
    </row>
    <row r="147" spans="1:63" x14ac:dyDescent="0.25">
      <c r="A147">
        <v>146</v>
      </c>
      <c r="B147">
        <v>1</v>
      </c>
      <c r="C147">
        <v>19</v>
      </c>
      <c r="D147">
        <v>5</v>
      </c>
      <c r="E147">
        <v>2</v>
      </c>
      <c r="F147">
        <v>14.66</v>
      </c>
      <c r="G147">
        <v>10.58</v>
      </c>
      <c r="I147">
        <v>25.240000000000002</v>
      </c>
      <c r="J147">
        <v>17.38</v>
      </c>
      <c r="K147">
        <v>4.07</v>
      </c>
      <c r="L147">
        <v>3.38</v>
      </c>
      <c r="M147">
        <v>3.48</v>
      </c>
      <c r="N147">
        <v>3.77</v>
      </c>
      <c r="P147">
        <v>3.11</v>
      </c>
      <c r="R147">
        <v>3.11</v>
      </c>
      <c r="S147">
        <v>60.43</v>
      </c>
      <c r="T147">
        <v>57.32</v>
      </c>
      <c r="U147">
        <v>58.88</v>
      </c>
      <c r="V147">
        <v>118496.08</v>
      </c>
      <c r="X147">
        <v>118496.08</v>
      </c>
      <c r="Y147">
        <v>0.86856146468198858</v>
      </c>
      <c r="Z147">
        <v>118496.94856146468</v>
      </c>
      <c r="AA147">
        <v>0</v>
      </c>
      <c r="AB147">
        <v>118496.94856146468</v>
      </c>
      <c r="AC147">
        <v>3554.9607672188286</v>
      </c>
      <c r="AD147">
        <v>122051.90932868351</v>
      </c>
      <c r="AE147">
        <v>1.4194756643119035</v>
      </c>
      <c r="AF147">
        <v>122053.32880434782</v>
      </c>
      <c r="AG147">
        <v>0</v>
      </c>
      <c r="AH147">
        <v>122053.32880434782</v>
      </c>
      <c r="AI147">
        <v>0</v>
      </c>
      <c r="AJ147">
        <v>122053.32880434782</v>
      </c>
      <c r="AK147">
        <v>1220.1936141304325</v>
      </c>
      <c r="AL147">
        <v>123273.52241847826</v>
      </c>
      <c r="AM147">
        <v>123273.52241847826</v>
      </c>
      <c r="AN147">
        <v>7258345</v>
      </c>
      <c r="AQ147">
        <v>0</v>
      </c>
      <c r="AR147">
        <v>123273.52241847826</v>
      </c>
      <c r="AS147">
        <v>7258345</v>
      </c>
      <c r="AT147" s="238" t="s">
        <v>36</v>
      </c>
      <c r="AV147">
        <v>123273.52241847826</v>
      </c>
      <c r="AW147">
        <v>0</v>
      </c>
      <c r="AX147">
        <v>7258345</v>
      </c>
      <c r="AY147" s="238"/>
      <c r="AZ147" s="238" t="s">
        <v>3</v>
      </c>
      <c r="BA147" s="238" t="s">
        <v>3</v>
      </c>
      <c r="BB147" s="238" t="s">
        <v>8951</v>
      </c>
      <c r="BC147" s="238" t="s">
        <v>1167</v>
      </c>
      <c r="BD147" t="b">
        <v>1</v>
      </c>
      <c r="BE147" s="238" t="s">
        <v>9088</v>
      </c>
      <c r="BF147" s="238" t="s">
        <v>8971</v>
      </c>
      <c r="BG147">
        <v>7258345</v>
      </c>
      <c r="BH147">
        <v>7258345</v>
      </c>
      <c r="BI147">
        <v>0</v>
      </c>
      <c r="BJ147">
        <v>0</v>
      </c>
      <c r="BK147">
        <v>0</v>
      </c>
    </row>
    <row r="148" spans="1:63" x14ac:dyDescent="0.25">
      <c r="A148">
        <v>147</v>
      </c>
      <c r="B148">
        <v>1</v>
      </c>
      <c r="C148">
        <v>19</v>
      </c>
      <c r="D148">
        <v>6</v>
      </c>
      <c r="E148">
        <v>2</v>
      </c>
      <c r="F148">
        <v>11.63</v>
      </c>
      <c r="G148">
        <v>10.93</v>
      </c>
      <c r="I148">
        <v>22.560000000000002</v>
      </c>
      <c r="J148">
        <v>16.28</v>
      </c>
      <c r="K148">
        <v>4.62</v>
      </c>
      <c r="M148">
        <v>4.3899999999999997</v>
      </c>
      <c r="N148">
        <v>1.81</v>
      </c>
      <c r="P148">
        <v>4.4000000000000004</v>
      </c>
      <c r="R148">
        <v>4.4000000000000004</v>
      </c>
      <c r="S148">
        <v>54.06</v>
      </c>
      <c r="T148">
        <v>49.66</v>
      </c>
      <c r="U148">
        <v>51.86</v>
      </c>
      <c r="V148">
        <v>116281.2</v>
      </c>
      <c r="X148">
        <v>116281.2</v>
      </c>
      <c r="Y148">
        <v>501.80692383779387</v>
      </c>
      <c r="Z148">
        <v>116783.00692383779</v>
      </c>
      <c r="AA148">
        <v>0</v>
      </c>
      <c r="AB148">
        <v>116783.00692383779</v>
      </c>
      <c r="AC148">
        <v>3503.4817012858548</v>
      </c>
      <c r="AD148">
        <v>120286.48862512365</v>
      </c>
      <c r="AE148">
        <v>0.82336870589642785</v>
      </c>
      <c r="AF148">
        <v>120287.31199382954</v>
      </c>
      <c r="AG148">
        <v>0</v>
      </c>
      <c r="AH148">
        <v>120287.31199382954</v>
      </c>
      <c r="AI148">
        <v>0</v>
      </c>
      <c r="AJ148">
        <v>120287.31199382954</v>
      </c>
      <c r="AK148">
        <v>1202.5645969918987</v>
      </c>
      <c r="AL148">
        <v>121489.87659082144</v>
      </c>
      <c r="AM148">
        <v>121489.87659082144</v>
      </c>
      <c r="AN148">
        <v>6300465</v>
      </c>
      <c r="AQ148">
        <v>0</v>
      </c>
      <c r="AR148">
        <v>121489.87659082144</v>
      </c>
      <c r="AS148">
        <v>6300465</v>
      </c>
      <c r="AT148" s="238" t="s">
        <v>36</v>
      </c>
      <c r="AV148">
        <v>121489.87659082144</v>
      </c>
      <c r="AW148">
        <v>0</v>
      </c>
      <c r="AX148">
        <v>6300465</v>
      </c>
      <c r="AY148" s="238"/>
      <c r="AZ148" s="238" t="s">
        <v>3</v>
      </c>
      <c r="BA148" s="238" t="s">
        <v>3</v>
      </c>
      <c r="BB148" s="238" t="s">
        <v>8951</v>
      </c>
      <c r="BC148" s="238" t="s">
        <v>1167</v>
      </c>
      <c r="BD148" t="b">
        <v>1</v>
      </c>
      <c r="BE148" s="238" t="s">
        <v>9088</v>
      </c>
      <c r="BF148" s="238" t="s">
        <v>8971</v>
      </c>
      <c r="BG148">
        <v>6300465</v>
      </c>
      <c r="BH148">
        <v>6300465</v>
      </c>
      <c r="BI148">
        <v>0</v>
      </c>
      <c r="BJ148">
        <v>0</v>
      </c>
      <c r="BK148">
        <v>0</v>
      </c>
    </row>
    <row r="149" spans="1:63" x14ac:dyDescent="0.25">
      <c r="A149">
        <v>148</v>
      </c>
      <c r="B149">
        <v>1</v>
      </c>
      <c r="C149">
        <v>19</v>
      </c>
      <c r="D149">
        <v>7</v>
      </c>
      <c r="E149">
        <v>2</v>
      </c>
      <c r="F149">
        <v>10.86</v>
      </c>
      <c r="G149">
        <v>14.01</v>
      </c>
      <c r="I149">
        <v>24.869999999999997</v>
      </c>
      <c r="J149">
        <v>18.82</v>
      </c>
      <c r="K149">
        <v>3.96</v>
      </c>
      <c r="M149">
        <v>2.8</v>
      </c>
      <c r="N149">
        <v>3.83</v>
      </c>
      <c r="O149">
        <v>4.6399999999999997</v>
      </c>
      <c r="P149">
        <v>3.91</v>
      </c>
      <c r="R149">
        <v>3.91</v>
      </c>
      <c r="S149">
        <v>62.83</v>
      </c>
      <c r="T149">
        <v>58.92</v>
      </c>
      <c r="U149">
        <v>60.88</v>
      </c>
      <c r="V149">
        <v>117388.64</v>
      </c>
      <c r="X149">
        <v>117388.64</v>
      </c>
      <c r="Y149">
        <v>1.3683319222764112E-2</v>
      </c>
      <c r="Z149">
        <v>117388.65368331922</v>
      </c>
      <c r="AA149">
        <v>0</v>
      </c>
      <c r="AB149">
        <v>117388.65368331922</v>
      </c>
      <c r="AC149">
        <v>3522.0152413209144</v>
      </c>
      <c r="AD149">
        <v>120910.66892464014</v>
      </c>
      <c r="AE149">
        <v>0.96051031386014074</v>
      </c>
      <c r="AF149">
        <v>120911.629434954</v>
      </c>
      <c r="AG149">
        <v>0</v>
      </c>
      <c r="AH149">
        <v>120911.629434954</v>
      </c>
      <c r="AI149">
        <v>0</v>
      </c>
      <c r="AJ149">
        <v>120911.629434954</v>
      </c>
      <c r="AK149">
        <v>1209.4940867279947</v>
      </c>
      <c r="AL149">
        <v>122121.12352168201</v>
      </c>
      <c r="AM149">
        <v>122121.12352168199</v>
      </c>
      <c r="AN149">
        <v>7434734</v>
      </c>
      <c r="AQ149">
        <v>0</v>
      </c>
      <c r="AR149">
        <v>122121.12352168199</v>
      </c>
      <c r="AS149">
        <v>7434734</v>
      </c>
      <c r="AT149" s="238" t="s">
        <v>36</v>
      </c>
      <c r="AV149">
        <v>122121.12352168199</v>
      </c>
      <c r="AW149">
        <v>0</v>
      </c>
      <c r="AX149">
        <v>7434734</v>
      </c>
      <c r="AY149" s="238"/>
      <c r="AZ149" s="238" t="s">
        <v>3</v>
      </c>
      <c r="BA149" s="238" t="s">
        <v>3</v>
      </c>
      <c r="BB149" s="238" t="s">
        <v>8951</v>
      </c>
      <c r="BC149" s="238" t="s">
        <v>1167</v>
      </c>
      <c r="BD149" t="b">
        <v>1</v>
      </c>
      <c r="BE149" s="238" t="s">
        <v>9088</v>
      </c>
      <c r="BF149" s="238" t="s">
        <v>8971</v>
      </c>
      <c r="BG149">
        <v>7434734</v>
      </c>
      <c r="BH149">
        <v>7434734</v>
      </c>
      <c r="BI149">
        <v>0</v>
      </c>
      <c r="BJ149">
        <v>0</v>
      </c>
      <c r="BK149">
        <v>0</v>
      </c>
    </row>
    <row r="150" spans="1:63" x14ac:dyDescent="0.25">
      <c r="A150">
        <v>149</v>
      </c>
      <c r="B150">
        <v>1</v>
      </c>
      <c r="C150">
        <v>19</v>
      </c>
      <c r="D150">
        <v>8</v>
      </c>
      <c r="E150">
        <v>1</v>
      </c>
      <c r="F150">
        <v>14.95</v>
      </c>
      <c r="I150">
        <v>14.95</v>
      </c>
      <c r="J150">
        <v>17.47</v>
      </c>
      <c r="K150">
        <v>4.97</v>
      </c>
      <c r="M150">
        <v>4</v>
      </c>
      <c r="P150">
        <v>3.36</v>
      </c>
      <c r="R150">
        <v>3.36</v>
      </c>
      <c r="S150">
        <v>44.75</v>
      </c>
      <c r="T150">
        <v>41.39</v>
      </c>
      <c r="U150">
        <v>43.07</v>
      </c>
      <c r="V150">
        <v>119184.96000000001</v>
      </c>
      <c r="X150">
        <v>119184.96000000001</v>
      </c>
      <c r="Y150">
        <v>0.9452247873559827</v>
      </c>
      <c r="Z150">
        <v>119185.90522478736</v>
      </c>
      <c r="AA150">
        <v>500.09720534630469</v>
      </c>
      <c r="AB150">
        <v>119686.00243013367</v>
      </c>
      <c r="AC150">
        <v>3590.5710814094782</v>
      </c>
      <c r="AD150">
        <v>123276.57351154315</v>
      </c>
      <c r="AE150">
        <v>1.8105144610308344</v>
      </c>
      <c r="AF150">
        <v>123278.38402600418</v>
      </c>
      <c r="AG150">
        <v>0</v>
      </c>
      <c r="AH150">
        <v>123278.38402600418</v>
      </c>
      <c r="AI150">
        <v>0</v>
      </c>
      <c r="AJ150">
        <v>123278.38402600418</v>
      </c>
      <c r="AK150">
        <v>0</v>
      </c>
      <c r="AL150">
        <v>123278.38402600418</v>
      </c>
      <c r="AM150">
        <v>123278.38402600418</v>
      </c>
      <c r="AN150">
        <v>5309600</v>
      </c>
      <c r="AQ150">
        <v>0</v>
      </c>
      <c r="AR150">
        <v>123278.38402600418</v>
      </c>
      <c r="AS150">
        <v>5309600</v>
      </c>
      <c r="AT150" s="238" t="s">
        <v>36</v>
      </c>
      <c r="AV150">
        <v>123278.38402600418</v>
      </c>
      <c r="AW150">
        <v>0</v>
      </c>
      <c r="AX150">
        <v>5309600</v>
      </c>
      <c r="AY150" s="238"/>
      <c r="AZ150" s="238" t="s">
        <v>3</v>
      </c>
      <c r="BA150" s="238" t="s">
        <v>3</v>
      </c>
      <c r="BB150" s="238" t="s">
        <v>8951</v>
      </c>
      <c r="BC150" s="238" t="s">
        <v>1167</v>
      </c>
      <c r="BD150" t="b">
        <v>1</v>
      </c>
      <c r="BE150" s="238" t="s">
        <v>9088</v>
      </c>
      <c r="BF150" s="238" t="s">
        <v>8972</v>
      </c>
      <c r="BG150">
        <v>5309600</v>
      </c>
      <c r="BH150">
        <v>5309600</v>
      </c>
      <c r="BI150">
        <v>0</v>
      </c>
      <c r="BJ150">
        <v>0</v>
      </c>
      <c r="BK150">
        <v>0</v>
      </c>
    </row>
    <row r="151" spans="1:63" x14ac:dyDescent="0.25">
      <c r="A151">
        <v>150</v>
      </c>
      <c r="B151">
        <v>1</v>
      </c>
      <c r="C151">
        <v>20</v>
      </c>
      <c r="D151">
        <v>1</v>
      </c>
      <c r="E151">
        <v>1</v>
      </c>
      <c r="F151">
        <v>14.95</v>
      </c>
      <c r="I151">
        <v>14.95</v>
      </c>
      <c r="J151">
        <v>16.48</v>
      </c>
      <c r="K151">
        <v>5.01</v>
      </c>
      <c r="M151">
        <v>3.96</v>
      </c>
      <c r="P151">
        <v>3.36</v>
      </c>
      <c r="R151">
        <v>3.36</v>
      </c>
      <c r="S151">
        <v>43.76</v>
      </c>
      <c r="T151">
        <v>40.4</v>
      </c>
      <c r="U151">
        <v>42.08</v>
      </c>
      <c r="V151">
        <v>119184.96000000001</v>
      </c>
      <c r="X151">
        <v>119184.96000000001</v>
      </c>
      <c r="Y151">
        <v>1.9332038834836567</v>
      </c>
      <c r="Z151">
        <v>119186.89320388349</v>
      </c>
      <c r="AA151">
        <v>0</v>
      </c>
      <c r="AB151">
        <v>119186.89320388349</v>
      </c>
      <c r="AC151">
        <v>3575.7281553398061</v>
      </c>
      <c r="AD151">
        <v>122762.6213592233</v>
      </c>
      <c r="AE151">
        <v>1.1619107386795804</v>
      </c>
      <c r="AF151">
        <v>122763.78326996198</v>
      </c>
      <c r="AG151">
        <v>0</v>
      </c>
      <c r="AH151">
        <v>122763.78326996198</v>
      </c>
      <c r="AI151">
        <v>0</v>
      </c>
      <c r="AJ151">
        <v>122763.78326996198</v>
      </c>
      <c r="AK151">
        <v>0</v>
      </c>
      <c r="AL151">
        <v>122763.78326996198</v>
      </c>
      <c r="AM151">
        <v>122763.78326996198</v>
      </c>
      <c r="AN151">
        <v>5165900</v>
      </c>
      <c r="AQ151">
        <v>0</v>
      </c>
      <c r="AR151">
        <v>122763.78326996198</v>
      </c>
      <c r="AS151">
        <v>5165900</v>
      </c>
      <c r="AT151" s="238" t="s">
        <v>36</v>
      </c>
      <c r="AV151">
        <v>122763.78326996198</v>
      </c>
      <c r="AW151">
        <v>0</v>
      </c>
      <c r="AX151">
        <v>5165900</v>
      </c>
      <c r="AY151" s="238"/>
      <c r="AZ151" s="238" t="s">
        <v>3</v>
      </c>
      <c r="BA151" s="238" t="s">
        <v>3</v>
      </c>
      <c r="BB151" s="238" t="s">
        <v>8951</v>
      </c>
      <c r="BC151" s="238" t="s">
        <v>1167</v>
      </c>
      <c r="BD151" t="b">
        <v>1</v>
      </c>
      <c r="BE151" s="238" t="s">
        <v>9088</v>
      </c>
      <c r="BF151" s="238" t="s">
        <v>8972</v>
      </c>
      <c r="BG151">
        <v>5165900</v>
      </c>
      <c r="BH151">
        <v>5165900</v>
      </c>
      <c r="BI151">
        <v>0</v>
      </c>
      <c r="BJ151">
        <v>0</v>
      </c>
      <c r="BK151">
        <v>0</v>
      </c>
    </row>
    <row r="152" spans="1:63" x14ac:dyDescent="0.25">
      <c r="A152">
        <v>151</v>
      </c>
      <c r="B152">
        <v>1</v>
      </c>
      <c r="C152">
        <v>20</v>
      </c>
      <c r="D152">
        <v>2</v>
      </c>
      <c r="E152">
        <v>3</v>
      </c>
      <c r="F152">
        <v>18.46</v>
      </c>
      <c r="G152">
        <v>10.53</v>
      </c>
      <c r="H152">
        <v>9.9700000000000006</v>
      </c>
      <c r="I152">
        <v>38.96</v>
      </c>
      <c r="J152">
        <v>17.02</v>
      </c>
      <c r="K152">
        <v>4.07</v>
      </c>
      <c r="L152">
        <v>3.58</v>
      </c>
      <c r="M152">
        <v>4.18</v>
      </c>
      <c r="N152">
        <v>6.27</v>
      </c>
      <c r="P152">
        <v>3.04</v>
      </c>
      <c r="Q152">
        <v>3.41</v>
      </c>
      <c r="R152">
        <v>6.45</v>
      </c>
      <c r="S152">
        <v>80.53</v>
      </c>
      <c r="T152">
        <v>74.08</v>
      </c>
      <c r="U152">
        <v>77.31</v>
      </c>
      <c r="V152">
        <v>105198.08</v>
      </c>
      <c r="W152">
        <v>5198.08</v>
      </c>
      <c r="X152">
        <v>100000</v>
      </c>
      <c r="Y152">
        <v>0</v>
      </c>
      <c r="Z152">
        <v>99999.999999999985</v>
      </c>
      <c r="AA152">
        <v>0</v>
      </c>
      <c r="AB152">
        <v>99999.999999999985</v>
      </c>
      <c r="AC152">
        <v>0</v>
      </c>
      <c r="AD152">
        <v>99999.999999999985</v>
      </c>
      <c r="AE152">
        <v>-2793.9464493597043</v>
      </c>
      <c r="AF152">
        <v>97206.053550640281</v>
      </c>
      <c r="AG152">
        <v>0</v>
      </c>
      <c r="AH152">
        <v>97206.053550640281</v>
      </c>
      <c r="AI152">
        <v>0</v>
      </c>
      <c r="AJ152">
        <v>97206.053550640281</v>
      </c>
      <c r="AK152">
        <v>0</v>
      </c>
      <c r="AL152">
        <v>97206.053550640281</v>
      </c>
      <c r="AM152">
        <v>97206.053550640281</v>
      </c>
      <c r="AN152">
        <v>7515000</v>
      </c>
      <c r="AP152">
        <v>0.05</v>
      </c>
      <c r="AQ152">
        <v>375750</v>
      </c>
      <c r="AR152">
        <v>92345.750873108263</v>
      </c>
      <c r="AS152">
        <v>7139250</v>
      </c>
      <c r="AT152" s="238" t="s">
        <v>36</v>
      </c>
      <c r="AV152">
        <v>92345.750873108263</v>
      </c>
      <c r="AW152">
        <v>0</v>
      </c>
      <c r="AX152">
        <v>7139250</v>
      </c>
      <c r="AY152" s="238" t="s">
        <v>350</v>
      </c>
      <c r="AZ152" s="238" t="s">
        <v>8963</v>
      </c>
      <c r="BA152" s="238" t="s">
        <v>8963</v>
      </c>
      <c r="BB152" s="238" t="s">
        <v>8953</v>
      </c>
      <c r="BC152" s="238" t="s">
        <v>8964</v>
      </c>
      <c r="BD152" t="b">
        <v>1</v>
      </c>
      <c r="BE152" s="238" t="s">
        <v>9088</v>
      </c>
      <c r="BF152" s="238" t="s">
        <v>8990</v>
      </c>
      <c r="BG152">
        <v>7515000</v>
      </c>
      <c r="BH152">
        <v>7886393</v>
      </c>
      <c r="BI152">
        <v>7515000</v>
      </c>
      <c r="BJ152">
        <v>7515000</v>
      </c>
      <c r="BK152">
        <v>0</v>
      </c>
    </row>
    <row r="153" spans="1:63" x14ac:dyDescent="0.25">
      <c r="A153">
        <v>152</v>
      </c>
      <c r="B153">
        <v>1</v>
      </c>
      <c r="C153">
        <v>20</v>
      </c>
      <c r="D153">
        <v>3</v>
      </c>
      <c r="E153">
        <v>1</v>
      </c>
      <c r="F153">
        <v>12.41</v>
      </c>
      <c r="I153">
        <v>12.41</v>
      </c>
      <c r="J153">
        <v>14.77</v>
      </c>
      <c r="K153">
        <v>4.45</v>
      </c>
      <c r="M153">
        <v>3.88</v>
      </c>
      <c r="P153">
        <v>2.93</v>
      </c>
      <c r="R153">
        <v>2.93</v>
      </c>
      <c r="S153">
        <v>38.44</v>
      </c>
      <c r="T153">
        <v>35.51</v>
      </c>
      <c r="U153">
        <v>36.979999999999997</v>
      </c>
      <c r="V153">
        <v>120353.44</v>
      </c>
      <c r="X153">
        <v>120353.44</v>
      </c>
      <c r="Y153">
        <v>2.1155555555596948</v>
      </c>
      <c r="Z153">
        <v>120355.55555555556</v>
      </c>
      <c r="AA153">
        <v>0</v>
      </c>
      <c r="AB153">
        <v>120355.55555555556</v>
      </c>
      <c r="AC153">
        <v>3611.1111111111095</v>
      </c>
      <c r="AD153">
        <v>123966.66666666667</v>
      </c>
      <c r="AE153">
        <v>0.34252749235020019</v>
      </c>
      <c r="AF153">
        <v>123967.00919415902</v>
      </c>
      <c r="AG153">
        <v>0</v>
      </c>
      <c r="AH153">
        <v>123967.00919415902</v>
      </c>
      <c r="AI153">
        <v>0</v>
      </c>
      <c r="AJ153">
        <v>123967.00919415902</v>
      </c>
      <c r="AK153">
        <v>0</v>
      </c>
      <c r="AL153">
        <v>123967.00919415902</v>
      </c>
      <c r="AM153">
        <v>123967.00919415902</v>
      </c>
      <c r="AN153">
        <v>4584300</v>
      </c>
      <c r="AQ153">
        <v>0</v>
      </c>
      <c r="AR153">
        <v>123967.00919415902</v>
      </c>
      <c r="AS153">
        <v>4584300</v>
      </c>
      <c r="AT153" s="238" t="s">
        <v>36</v>
      </c>
      <c r="AV153">
        <v>123967.00919415902</v>
      </c>
      <c r="AW153">
        <v>0</v>
      </c>
      <c r="AX153">
        <v>4584300</v>
      </c>
      <c r="AY153" s="238"/>
      <c r="AZ153" s="238" t="s">
        <v>8956</v>
      </c>
      <c r="BA153" s="238" t="s">
        <v>8956</v>
      </c>
      <c r="BB153" s="238" t="s">
        <v>8953</v>
      </c>
      <c r="BC153" s="238" t="s">
        <v>8957</v>
      </c>
      <c r="BD153" t="b">
        <v>1</v>
      </c>
      <c r="BE153" s="238" t="s">
        <v>9088</v>
      </c>
      <c r="BF153" s="238" t="s">
        <v>8972</v>
      </c>
      <c r="BG153">
        <v>4602790</v>
      </c>
      <c r="BH153">
        <v>4602790</v>
      </c>
      <c r="BI153">
        <v>0</v>
      </c>
      <c r="BJ153">
        <v>0</v>
      </c>
      <c r="BK153">
        <v>18490</v>
      </c>
    </row>
    <row r="154" spans="1:63" x14ac:dyDescent="0.25">
      <c r="A154">
        <v>153</v>
      </c>
      <c r="B154">
        <v>1</v>
      </c>
      <c r="C154">
        <v>20</v>
      </c>
      <c r="D154">
        <v>4</v>
      </c>
      <c r="E154">
        <v>1</v>
      </c>
      <c r="F154">
        <v>12.41</v>
      </c>
      <c r="I154">
        <v>12.41</v>
      </c>
      <c r="J154">
        <v>14.23</v>
      </c>
      <c r="K154">
        <v>4.45</v>
      </c>
      <c r="M154">
        <v>3.78</v>
      </c>
      <c r="P154">
        <v>3.11</v>
      </c>
      <c r="R154">
        <v>3.11</v>
      </c>
      <c r="S154">
        <v>37.979999999999997</v>
      </c>
      <c r="T154">
        <v>34.869999999999997</v>
      </c>
      <c r="U154">
        <v>36.43</v>
      </c>
      <c r="V154">
        <v>120353.44</v>
      </c>
      <c r="X154">
        <v>120353.44</v>
      </c>
      <c r="Y154">
        <v>2.6100695410132175</v>
      </c>
      <c r="Z154">
        <v>120356.05006954102</v>
      </c>
      <c r="AA154">
        <v>0</v>
      </c>
      <c r="AB154">
        <v>120356.05006954102</v>
      </c>
      <c r="AC154">
        <v>3610.6258692628762</v>
      </c>
      <c r="AD154">
        <v>123966.67593880389</v>
      </c>
      <c r="AE154">
        <v>2.5801687997300178</v>
      </c>
      <c r="AF154">
        <v>123969.25610760362</v>
      </c>
      <c r="AG154">
        <v>499.7529508646694</v>
      </c>
      <c r="AH154">
        <v>124469.00905846829</v>
      </c>
      <c r="AI154">
        <v>0</v>
      </c>
      <c r="AJ154">
        <v>124469.00905846829</v>
      </c>
      <c r="AK154">
        <v>0</v>
      </c>
      <c r="AL154">
        <v>124469.00905846828</v>
      </c>
      <c r="AM154">
        <v>124469.00905846829</v>
      </c>
      <c r="AN154">
        <v>4534406</v>
      </c>
      <c r="AQ154">
        <v>0</v>
      </c>
      <c r="AR154">
        <v>124469.00905846829</v>
      </c>
      <c r="AS154">
        <v>4534406</v>
      </c>
      <c r="AT154" s="238" t="s">
        <v>36</v>
      </c>
      <c r="AV154">
        <v>124469.00905846829</v>
      </c>
      <c r="AW154">
        <v>0</v>
      </c>
      <c r="AX154">
        <v>4534406</v>
      </c>
      <c r="AY154" s="238"/>
      <c r="AZ154" s="238" t="s">
        <v>3</v>
      </c>
      <c r="BA154" s="238" t="s">
        <v>3</v>
      </c>
      <c r="BB154" s="238" t="s">
        <v>8951</v>
      </c>
      <c r="BC154" s="238" t="s">
        <v>1167</v>
      </c>
      <c r="BD154" t="b">
        <v>1</v>
      </c>
      <c r="BE154" s="238" t="s">
        <v>9088</v>
      </c>
      <c r="BF154" s="238" t="s">
        <v>8972</v>
      </c>
      <c r="BG154">
        <v>4534406</v>
      </c>
      <c r="BH154">
        <v>4534406</v>
      </c>
      <c r="BI154">
        <v>0</v>
      </c>
      <c r="BJ154">
        <v>0</v>
      </c>
      <c r="BK154">
        <v>0</v>
      </c>
    </row>
    <row r="155" spans="1:63" x14ac:dyDescent="0.25">
      <c r="A155">
        <v>154</v>
      </c>
      <c r="B155">
        <v>1</v>
      </c>
      <c r="C155">
        <v>20</v>
      </c>
      <c r="D155">
        <v>5</v>
      </c>
      <c r="E155">
        <v>2</v>
      </c>
      <c r="F155">
        <v>14.66</v>
      </c>
      <c r="G155">
        <v>10.58</v>
      </c>
      <c r="I155">
        <v>25.240000000000002</v>
      </c>
      <c r="J155">
        <v>17.38</v>
      </c>
      <c r="K155">
        <v>4.07</v>
      </c>
      <c r="L155">
        <v>3.38</v>
      </c>
      <c r="M155">
        <v>3.48</v>
      </c>
      <c r="N155">
        <v>3.77</v>
      </c>
      <c r="P155">
        <v>3.11</v>
      </c>
      <c r="R155">
        <v>3.11</v>
      </c>
      <c r="S155">
        <v>60.43</v>
      </c>
      <c r="T155">
        <v>57.32</v>
      </c>
      <c r="U155">
        <v>58.88</v>
      </c>
      <c r="V155">
        <v>118496.08</v>
      </c>
      <c r="X155">
        <v>118496.08</v>
      </c>
      <c r="Y155">
        <v>0.86856146468198858</v>
      </c>
      <c r="Z155">
        <v>118496.94856146468</v>
      </c>
      <c r="AA155">
        <v>0</v>
      </c>
      <c r="AB155">
        <v>118496.94856146468</v>
      </c>
      <c r="AC155">
        <v>3554.9607672188286</v>
      </c>
      <c r="AD155">
        <v>122051.90932868351</v>
      </c>
      <c r="AE155">
        <v>1.4194756643119035</v>
      </c>
      <c r="AF155">
        <v>122053.32880434782</v>
      </c>
      <c r="AG155">
        <v>0</v>
      </c>
      <c r="AH155">
        <v>122053.32880434782</v>
      </c>
      <c r="AI155">
        <v>0</v>
      </c>
      <c r="AJ155">
        <v>122053.32880434782</v>
      </c>
      <c r="AK155">
        <v>1220.1936141304325</v>
      </c>
      <c r="AL155">
        <v>123273.52241847826</v>
      </c>
      <c r="AM155">
        <v>123273.52241847826</v>
      </c>
      <c r="AN155">
        <v>7258345</v>
      </c>
      <c r="AQ155">
        <v>0</v>
      </c>
      <c r="AR155">
        <v>123273.52241847826</v>
      </c>
      <c r="AS155">
        <v>7258345</v>
      </c>
      <c r="AT155" s="238" t="s">
        <v>36</v>
      </c>
      <c r="AV155">
        <v>123273.52241847826</v>
      </c>
      <c r="AW155">
        <v>0</v>
      </c>
      <c r="AX155">
        <v>7258345</v>
      </c>
      <c r="AY155" s="238"/>
      <c r="AZ155" s="238" t="s">
        <v>3</v>
      </c>
      <c r="BA155" s="238" t="s">
        <v>3</v>
      </c>
      <c r="BB155" s="238" t="s">
        <v>8951</v>
      </c>
      <c r="BC155" s="238" t="s">
        <v>1167</v>
      </c>
      <c r="BD155" t="b">
        <v>1</v>
      </c>
      <c r="BE155" s="238" t="s">
        <v>9088</v>
      </c>
      <c r="BF155" s="238" t="s">
        <v>8971</v>
      </c>
      <c r="BG155">
        <v>7258345</v>
      </c>
      <c r="BH155">
        <v>7258345</v>
      </c>
      <c r="BI155">
        <v>0</v>
      </c>
      <c r="BJ155">
        <v>0</v>
      </c>
      <c r="BK155">
        <v>0</v>
      </c>
    </row>
    <row r="156" spans="1:63" x14ac:dyDescent="0.25">
      <c r="A156">
        <v>155</v>
      </c>
      <c r="B156">
        <v>1</v>
      </c>
      <c r="C156">
        <v>20</v>
      </c>
      <c r="D156">
        <v>6</v>
      </c>
      <c r="E156">
        <v>2</v>
      </c>
      <c r="F156">
        <v>11.63</v>
      </c>
      <c r="G156">
        <v>10.93</v>
      </c>
      <c r="I156">
        <v>22.560000000000002</v>
      </c>
      <c r="J156">
        <v>16.28</v>
      </c>
      <c r="K156">
        <v>4.62</v>
      </c>
      <c r="M156">
        <v>4.3899999999999997</v>
      </c>
      <c r="N156">
        <v>1.81</v>
      </c>
      <c r="P156">
        <v>4.4000000000000004</v>
      </c>
      <c r="R156">
        <v>4.4000000000000004</v>
      </c>
      <c r="S156">
        <v>54.06</v>
      </c>
      <c r="T156">
        <v>49.66</v>
      </c>
      <c r="U156">
        <v>51.86</v>
      </c>
      <c r="V156">
        <v>116281.2</v>
      </c>
      <c r="X156">
        <v>116281.2</v>
      </c>
      <c r="Y156">
        <v>501.80692383779387</v>
      </c>
      <c r="Z156">
        <v>116783.00692383779</v>
      </c>
      <c r="AA156">
        <v>0</v>
      </c>
      <c r="AB156">
        <v>116783.00692383779</v>
      </c>
      <c r="AC156">
        <v>0</v>
      </c>
      <c r="AD156">
        <v>116783.00692383779</v>
      </c>
      <c r="AE156">
        <v>-2949.9756858894689</v>
      </c>
      <c r="AF156">
        <v>113833.03123794832</v>
      </c>
      <c r="AG156">
        <v>0</v>
      </c>
      <c r="AH156">
        <v>113833.03123794832</v>
      </c>
      <c r="AI156">
        <v>0</v>
      </c>
      <c r="AJ156">
        <v>113833.03123794832</v>
      </c>
      <c r="AK156">
        <v>0</v>
      </c>
      <c r="AL156">
        <v>113833.03123794832</v>
      </c>
      <c r="AM156">
        <v>113833.03123794832</v>
      </c>
      <c r="AN156">
        <v>5903381</v>
      </c>
      <c r="AQ156">
        <v>0</v>
      </c>
      <c r="AR156">
        <v>113833.03123794832</v>
      </c>
      <c r="AS156">
        <v>5903381</v>
      </c>
      <c r="AT156" s="238" t="s">
        <v>36</v>
      </c>
      <c r="AV156">
        <v>113833.03123794832</v>
      </c>
      <c r="AW156">
        <v>0</v>
      </c>
      <c r="AX156">
        <v>5903381</v>
      </c>
      <c r="AY156" s="238"/>
      <c r="AZ156" s="238" t="s">
        <v>8963</v>
      </c>
      <c r="BA156" s="238" t="s">
        <v>8963</v>
      </c>
      <c r="BB156" s="238" t="s">
        <v>8953</v>
      </c>
      <c r="BC156" s="238" t="s">
        <v>8964</v>
      </c>
      <c r="BD156" t="b">
        <v>1</v>
      </c>
      <c r="BE156" s="238" t="s">
        <v>9088</v>
      </c>
      <c r="BF156" s="238" t="s">
        <v>8971</v>
      </c>
      <c r="BG156">
        <v>5903381</v>
      </c>
      <c r="BH156">
        <v>6116982</v>
      </c>
      <c r="BI156">
        <v>5903381</v>
      </c>
      <c r="BJ156">
        <v>0</v>
      </c>
      <c r="BK156">
        <v>0</v>
      </c>
    </row>
    <row r="157" spans="1:63" x14ac:dyDescent="0.25">
      <c r="A157">
        <v>156</v>
      </c>
      <c r="B157">
        <v>1</v>
      </c>
      <c r="C157">
        <v>20</v>
      </c>
      <c r="D157">
        <v>7</v>
      </c>
      <c r="E157">
        <v>2</v>
      </c>
      <c r="F157">
        <v>10.86</v>
      </c>
      <c r="G157">
        <v>14.01</v>
      </c>
      <c r="I157">
        <v>24.869999999999997</v>
      </c>
      <c r="J157">
        <v>18.82</v>
      </c>
      <c r="K157">
        <v>3.96</v>
      </c>
      <c r="M157">
        <v>2.8</v>
      </c>
      <c r="N157">
        <v>3.83</v>
      </c>
      <c r="O157">
        <v>4.6399999999999997</v>
      </c>
      <c r="P157">
        <v>3.91</v>
      </c>
      <c r="R157">
        <v>3.91</v>
      </c>
      <c r="S157">
        <v>62.83</v>
      </c>
      <c r="T157">
        <v>58.92</v>
      </c>
      <c r="U157">
        <v>60.88</v>
      </c>
      <c r="V157">
        <v>117388.64</v>
      </c>
      <c r="X157">
        <v>117388.64</v>
      </c>
      <c r="Y157">
        <v>1.3683319222764112E-2</v>
      </c>
      <c r="Z157">
        <v>117388.65368331922</v>
      </c>
      <c r="AA157">
        <v>0</v>
      </c>
      <c r="AB157">
        <v>117388.65368331922</v>
      </c>
      <c r="AC157">
        <v>3522.0152413209144</v>
      </c>
      <c r="AD157">
        <v>120910.66892464014</v>
      </c>
      <c r="AE157">
        <v>0.96051031386014074</v>
      </c>
      <c r="AF157">
        <v>120911.629434954</v>
      </c>
      <c r="AG157">
        <v>0</v>
      </c>
      <c r="AH157">
        <v>120911.629434954</v>
      </c>
      <c r="AI157">
        <v>0</v>
      </c>
      <c r="AJ157">
        <v>120911.629434954</v>
      </c>
      <c r="AK157">
        <v>1209.4940867279947</v>
      </c>
      <c r="AL157">
        <v>122121.12352168201</v>
      </c>
      <c r="AM157">
        <v>122121.12352168199</v>
      </c>
      <c r="AN157">
        <v>7434734</v>
      </c>
      <c r="AQ157">
        <v>0</v>
      </c>
      <c r="AR157">
        <v>122121.12352168199</v>
      </c>
      <c r="AS157">
        <v>7434734</v>
      </c>
      <c r="AT157" s="238" t="s">
        <v>36</v>
      </c>
      <c r="AV157">
        <v>122121.12352168199</v>
      </c>
      <c r="AW157">
        <v>0</v>
      </c>
      <c r="AX157">
        <v>7434734</v>
      </c>
      <c r="AY157" s="238"/>
      <c r="AZ157" s="238" t="s">
        <v>3</v>
      </c>
      <c r="BA157" s="238" t="s">
        <v>3</v>
      </c>
      <c r="BB157" s="238" t="s">
        <v>8951</v>
      </c>
      <c r="BC157" s="238" t="s">
        <v>1167</v>
      </c>
      <c r="BD157" t="b">
        <v>1</v>
      </c>
      <c r="BE157" s="238" t="s">
        <v>9088</v>
      </c>
      <c r="BF157" s="238" t="s">
        <v>8971</v>
      </c>
      <c r="BG157">
        <v>7434734</v>
      </c>
      <c r="BH157">
        <v>7434734</v>
      </c>
      <c r="BI157">
        <v>0</v>
      </c>
      <c r="BJ157">
        <v>0</v>
      </c>
      <c r="BK157">
        <v>0</v>
      </c>
    </row>
    <row r="158" spans="1:63" x14ac:dyDescent="0.25">
      <c r="A158">
        <v>157</v>
      </c>
      <c r="B158">
        <v>1</v>
      </c>
      <c r="C158">
        <v>20</v>
      </c>
      <c r="D158">
        <v>8</v>
      </c>
      <c r="E158">
        <v>1</v>
      </c>
      <c r="F158">
        <v>14.95</v>
      </c>
      <c r="I158">
        <v>14.95</v>
      </c>
      <c r="J158">
        <v>17.47</v>
      </c>
      <c r="K158">
        <v>4.97</v>
      </c>
      <c r="M158">
        <v>4</v>
      </c>
      <c r="P158">
        <v>3.36</v>
      </c>
      <c r="R158">
        <v>3.36</v>
      </c>
      <c r="S158">
        <v>44.75</v>
      </c>
      <c r="T158">
        <v>41.39</v>
      </c>
      <c r="U158">
        <v>43.07</v>
      </c>
      <c r="V158">
        <v>119184.96000000001</v>
      </c>
      <c r="X158">
        <v>119184.96000000001</v>
      </c>
      <c r="Y158">
        <v>0.9452247873559827</v>
      </c>
      <c r="Z158">
        <v>119185.90522478736</v>
      </c>
      <c r="AA158">
        <v>500.09720534630469</v>
      </c>
      <c r="AB158">
        <v>119686.00243013367</v>
      </c>
      <c r="AC158">
        <v>3590.5710814094782</v>
      </c>
      <c r="AD158">
        <v>123276.57351154315</v>
      </c>
      <c r="AE158">
        <v>1.8105144610308344</v>
      </c>
      <c r="AF158">
        <v>123278.38402600418</v>
      </c>
      <c r="AG158">
        <v>0</v>
      </c>
      <c r="AH158">
        <v>123278.38402600418</v>
      </c>
      <c r="AI158">
        <v>0</v>
      </c>
      <c r="AJ158">
        <v>123278.38402600418</v>
      </c>
      <c r="AK158">
        <v>0</v>
      </c>
      <c r="AL158">
        <v>123278.38402600418</v>
      </c>
      <c r="AM158">
        <v>123278.38402600418</v>
      </c>
      <c r="AN158">
        <v>5309600</v>
      </c>
      <c r="AQ158">
        <v>0</v>
      </c>
      <c r="AR158">
        <v>123278.38402600418</v>
      </c>
      <c r="AS158">
        <v>5309600</v>
      </c>
      <c r="AT158" s="238" t="s">
        <v>36</v>
      </c>
      <c r="AV158">
        <v>123278.38402600418</v>
      </c>
      <c r="AW158">
        <v>0</v>
      </c>
      <c r="AX158">
        <v>5309600</v>
      </c>
      <c r="AY158" s="238"/>
      <c r="AZ158" s="238" t="s">
        <v>3</v>
      </c>
      <c r="BA158" s="238" t="s">
        <v>3</v>
      </c>
      <c r="BB158" s="238" t="s">
        <v>8951</v>
      </c>
      <c r="BC158" s="238" t="s">
        <v>1167</v>
      </c>
      <c r="BD158" t="b">
        <v>1</v>
      </c>
      <c r="BE158" s="238" t="s">
        <v>9088</v>
      </c>
      <c r="BF158" s="238" t="s">
        <v>8972</v>
      </c>
      <c r="BG158">
        <v>5309600</v>
      </c>
      <c r="BH158">
        <v>5309600</v>
      </c>
      <c r="BI158">
        <v>0</v>
      </c>
      <c r="BJ158">
        <v>0</v>
      </c>
      <c r="BK158">
        <v>0</v>
      </c>
    </row>
    <row r="159" spans="1:63" x14ac:dyDescent="0.25">
      <c r="A159">
        <v>158</v>
      </c>
      <c r="B159">
        <v>1</v>
      </c>
      <c r="C159">
        <v>21</v>
      </c>
      <c r="D159">
        <v>1</v>
      </c>
      <c r="E159">
        <v>1</v>
      </c>
      <c r="F159">
        <v>14.95</v>
      </c>
      <c r="I159">
        <v>14.95</v>
      </c>
      <c r="J159">
        <v>16.48</v>
      </c>
      <c r="K159">
        <v>5.01</v>
      </c>
      <c r="M159">
        <v>3.96</v>
      </c>
      <c r="P159">
        <v>3.36</v>
      </c>
      <c r="R159">
        <v>3.36</v>
      </c>
      <c r="S159">
        <v>43.76</v>
      </c>
      <c r="T159">
        <v>40.4</v>
      </c>
      <c r="U159">
        <v>42.08</v>
      </c>
      <c r="V159">
        <v>119184.96000000001</v>
      </c>
      <c r="X159">
        <v>119184.96000000001</v>
      </c>
      <c r="Y159">
        <v>1.9332038834836567</v>
      </c>
      <c r="Z159">
        <v>119186.89320388349</v>
      </c>
      <c r="AA159">
        <v>0</v>
      </c>
      <c r="AB159">
        <v>119186.89320388349</v>
      </c>
      <c r="AC159">
        <v>3575.7281553398061</v>
      </c>
      <c r="AD159">
        <v>122762.6213592233</v>
      </c>
      <c r="AE159">
        <v>1.1619107386795804</v>
      </c>
      <c r="AF159">
        <v>122763.78326996198</v>
      </c>
      <c r="AG159">
        <v>0</v>
      </c>
      <c r="AH159">
        <v>122763.78326996198</v>
      </c>
      <c r="AI159">
        <v>0</v>
      </c>
      <c r="AJ159">
        <v>122763.78326996198</v>
      </c>
      <c r="AK159">
        <v>0</v>
      </c>
      <c r="AL159">
        <v>122763.78326996198</v>
      </c>
      <c r="AM159">
        <v>122763.78326996198</v>
      </c>
      <c r="AN159">
        <v>5165900</v>
      </c>
      <c r="AQ159">
        <v>0</v>
      </c>
      <c r="AR159">
        <v>122763.78326996198</v>
      </c>
      <c r="AS159">
        <v>5165900</v>
      </c>
      <c r="AT159" s="238" t="s">
        <v>36</v>
      </c>
      <c r="AV159">
        <v>122763.78326996198</v>
      </c>
      <c r="AW159">
        <v>0</v>
      </c>
      <c r="AX159">
        <v>5165900</v>
      </c>
      <c r="AY159" s="238"/>
      <c r="AZ159" s="238" t="s">
        <v>3</v>
      </c>
      <c r="BA159" s="238" t="s">
        <v>3</v>
      </c>
      <c r="BB159" s="238" t="s">
        <v>8951</v>
      </c>
      <c r="BC159" s="238" t="s">
        <v>1167</v>
      </c>
      <c r="BD159" t="b">
        <v>1</v>
      </c>
      <c r="BE159" s="238" t="s">
        <v>9088</v>
      </c>
      <c r="BF159" s="238" t="s">
        <v>8972</v>
      </c>
      <c r="BG159">
        <v>5165900</v>
      </c>
      <c r="BH159">
        <v>5165900</v>
      </c>
      <c r="BI159">
        <v>0</v>
      </c>
      <c r="BJ159">
        <v>0</v>
      </c>
      <c r="BK159">
        <v>0</v>
      </c>
    </row>
    <row r="160" spans="1:63" x14ac:dyDescent="0.25">
      <c r="A160">
        <v>159</v>
      </c>
      <c r="B160">
        <v>1</v>
      </c>
      <c r="C160">
        <v>21</v>
      </c>
      <c r="D160">
        <v>2</v>
      </c>
      <c r="E160">
        <v>3</v>
      </c>
      <c r="F160">
        <v>18.46</v>
      </c>
      <c r="G160">
        <v>10.53</v>
      </c>
      <c r="H160">
        <v>9.9700000000000006</v>
      </c>
      <c r="I160">
        <v>38.96</v>
      </c>
      <c r="J160">
        <v>17.02</v>
      </c>
      <c r="K160">
        <v>4.07</v>
      </c>
      <c r="L160">
        <v>3.58</v>
      </c>
      <c r="M160">
        <v>4.18</v>
      </c>
      <c r="N160">
        <v>6.27</v>
      </c>
      <c r="P160">
        <v>3.04</v>
      </c>
      <c r="Q160">
        <v>3.41</v>
      </c>
      <c r="R160">
        <v>6.45</v>
      </c>
      <c r="S160">
        <v>80.53</v>
      </c>
      <c r="T160">
        <v>74.08</v>
      </c>
      <c r="U160">
        <v>77.31</v>
      </c>
      <c r="V160">
        <v>105198.08</v>
      </c>
      <c r="W160">
        <v>5198.08</v>
      </c>
      <c r="X160">
        <v>100000</v>
      </c>
      <c r="Y160">
        <v>0</v>
      </c>
      <c r="Z160">
        <v>99999.999999999985</v>
      </c>
      <c r="AA160">
        <v>500</v>
      </c>
      <c r="AB160">
        <v>100499.99999999999</v>
      </c>
      <c r="AC160">
        <v>0</v>
      </c>
      <c r="AD160">
        <v>100499.99999999999</v>
      </c>
      <c r="AE160">
        <v>-2807.9161816065025</v>
      </c>
      <c r="AF160">
        <v>97692.083818393483</v>
      </c>
      <c r="AG160">
        <v>0</v>
      </c>
      <c r="AH160">
        <v>97692.083818393483</v>
      </c>
      <c r="AI160">
        <v>0</v>
      </c>
      <c r="AJ160">
        <v>97692.083818393483</v>
      </c>
      <c r="AK160">
        <v>0</v>
      </c>
      <c r="AL160">
        <v>97692.083818393483</v>
      </c>
      <c r="AM160">
        <v>97692.083818393483</v>
      </c>
      <c r="AN160">
        <v>7552575</v>
      </c>
      <c r="AO160">
        <v>36823.000000000931</v>
      </c>
      <c r="AP160">
        <v>0.02</v>
      </c>
      <c r="AQ160">
        <v>187875</v>
      </c>
      <c r="AR160">
        <v>95261.932479627474</v>
      </c>
      <c r="AS160">
        <v>7364700</v>
      </c>
      <c r="AT160" s="238" t="s">
        <v>36</v>
      </c>
      <c r="AV160">
        <v>95261.932479627474</v>
      </c>
      <c r="AW160">
        <v>0</v>
      </c>
      <c r="AX160">
        <v>7364700</v>
      </c>
      <c r="AY160" s="238"/>
      <c r="AZ160" s="238" t="s">
        <v>8963</v>
      </c>
      <c r="BA160" s="238" t="s">
        <v>8963</v>
      </c>
      <c r="BB160" s="238" t="s">
        <v>8953</v>
      </c>
      <c r="BC160" s="238" t="s">
        <v>8964</v>
      </c>
      <c r="BD160" t="b">
        <v>1</v>
      </c>
      <c r="BE160" s="238" t="s">
        <v>9088</v>
      </c>
      <c r="BF160" s="238" t="s">
        <v>8990</v>
      </c>
      <c r="BG160">
        <v>7552575</v>
      </c>
      <c r="BH160">
        <v>7925903</v>
      </c>
      <c r="BI160">
        <v>7552575</v>
      </c>
      <c r="BJ160">
        <v>0</v>
      </c>
      <c r="BK160">
        <v>0</v>
      </c>
    </row>
    <row r="161" spans="1:63" x14ac:dyDescent="0.25">
      <c r="A161">
        <v>160</v>
      </c>
      <c r="B161">
        <v>1</v>
      </c>
      <c r="C161">
        <v>21</v>
      </c>
      <c r="D161">
        <v>3</v>
      </c>
      <c r="E161">
        <v>1</v>
      </c>
      <c r="F161">
        <v>12.41</v>
      </c>
      <c r="I161">
        <v>12.41</v>
      </c>
      <c r="J161">
        <v>14.77</v>
      </c>
      <c r="K161">
        <v>4.45</v>
      </c>
      <c r="M161">
        <v>3.88</v>
      </c>
      <c r="P161">
        <v>2.93</v>
      </c>
      <c r="R161">
        <v>2.93</v>
      </c>
      <c r="S161">
        <v>38.44</v>
      </c>
      <c r="T161">
        <v>35.51</v>
      </c>
      <c r="U161">
        <v>36.979999999999997</v>
      </c>
      <c r="V161">
        <v>120353.44</v>
      </c>
      <c r="X161">
        <v>120353.44</v>
      </c>
      <c r="Y161">
        <v>2.1155555555596948</v>
      </c>
      <c r="Z161">
        <v>120355.55555555556</v>
      </c>
      <c r="AA161">
        <v>0</v>
      </c>
      <c r="AB161">
        <v>120355.55555555556</v>
      </c>
      <c r="AC161">
        <v>0</v>
      </c>
      <c r="AD161">
        <v>120355.55555555556</v>
      </c>
      <c r="AE161">
        <v>1.3941469863639213</v>
      </c>
      <c r="AF161">
        <v>120356.94970254193</v>
      </c>
      <c r="AG161">
        <v>-3461.3304488912981</v>
      </c>
      <c r="AH161">
        <v>116895.61925365063</v>
      </c>
      <c r="AI161">
        <v>0</v>
      </c>
      <c r="AJ161">
        <v>116895.61925365063</v>
      </c>
      <c r="AK161">
        <v>0</v>
      </c>
      <c r="AL161">
        <v>116895.61925365064</v>
      </c>
      <c r="AM161">
        <v>116895.61925365063</v>
      </c>
      <c r="AN161">
        <v>4322800</v>
      </c>
      <c r="AP161">
        <v>0.05</v>
      </c>
      <c r="AQ161">
        <v>216140</v>
      </c>
      <c r="AR161">
        <v>111050.83829096809</v>
      </c>
      <c r="AS161">
        <v>4106660</v>
      </c>
      <c r="AT161" s="238" t="s">
        <v>36</v>
      </c>
      <c r="AV161">
        <v>111050.83829096809</v>
      </c>
      <c r="AW161">
        <v>0</v>
      </c>
      <c r="AX161">
        <v>4106660</v>
      </c>
      <c r="AY161" s="238" t="s">
        <v>350</v>
      </c>
      <c r="AZ161" s="238" t="s">
        <v>8956</v>
      </c>
      <c r="BA161" s="238" t="s">
        <v>8956</v>
      </c>
      <c r="BB161" s="238" t="s">
        <v>8953</v>
      </c>
      <c r="BC161" s="238" t="s">
        <v>8957</v>
      </c>
      <c r="BD161" t="b">
        <v>1</v>
      </c>
      <c r="BE161" s="238" t="s">
        <v>9088</v>
      </c>
      <c r="BF161" s="238" t="s">
        <v>8972</v>
      </c>
      <c r="BG161">
        <v>4469292</v>
      </c>
      <c r="BH161">
        <v>4469292</v>
      </c>
      <c r="BI161">
        <v>0</v>
      </c>
      <c r="BJ161">
        <v>0</v>
      </c>
      <c r="BK161">
        <v>146492</v>
      </c>
    </row>
    <row r="162" spans="1:63" x14ac:dyDescent="0.25">
      <c r="A162">
        <v>161</v>
      </c>
      <c r="B162">
        <v>1</v>
      </c>
      <c r="C162">
        <v>21</v>
      </c>
      <c r="D162">
        <v>4</v>
      </c>
      <c r="E162">
        <v>1</v>
      </c>
      <c r="F162">
        <v>12.41</v>
      </c>
      <c r="I162">
        <v>12.41</v>
      </c>
      <c r="J162">
        <v>14.23</v>
      </c>
      <c r="K162">
        <v>4.45</v>
      </c>
      <c r="M162">
        <v>3.78</v>
      </c>
      <c r="P162">
        <v>3.11</v>
      </c>
      <c r="R162">
        <v>3.11</v>
      </c>
      <c r="S162">
        <v>37.979999999999997</v>
      </c>
      <c r="T162">
        <v>34.869999999999997</v>
      </c>
      <c r="U162">
        <v>36.43</v>
      </c>
      <c r="V162">
        <v>120353.44</v>
      </c>
      <c r="X162">
        <v>120353.44</v>
      </c>
      <c r="Y162">
        <v>2.6100695410132175</v>
      </c>
      <c r="Z162">
        <v>120356.05006954102</v>
      </c>
      <c r="AA162">
        <v>0</v>
      </c>
      <c r="AB162">
        <v>120356.05006954102</v>
      </c>
      <c r="AC162">
        <v>3610.6258692628762</v>
      </c>
      <c r="AD162">
        <v>123966.67593880389</v>
      </c>
      <c r="AE162">
        <v>2.5801687997300178</v>
      </c>
      <c r="AF162">
        <v>123969.25610760362</v>
      </c>
      <c r="AG162">
        <v>499.7529508646694</v>
      </c>
      <c r="AH162">
        <v>124469.00905846829</v>
      </c>
      <c r="AI162">
        <v>0</v>
      </c>
      <c r="AJ162">
        <v>124469.00905846829</v>
      </c>
      <c r="AK162">
        <v>0</v>
      </c>
      <c r="AL162">
        <v>124469.00905846828</v>
      </c>
      <c r="AM162">
        <v>124469.00905846829</v>
      </c>
      <c r="AN162">
        <v>4534406</v>
      </c>
      <c r="AQ162">
        <v>0</v>
      </c>
      <c r="AR162">
        <v>124469.00905846829</v>
      </c>
      <c r="AS162">
        <v>4534406</v>
      </c>
      <c r="AT162" s="238" t="s">
        <v>36</v>
      </c>
      <c r="AV162">
        <v>124469.00905846829</v>
      </c>
      <c r="AW162">
        <v>0</v>
      </c>
      <c r="AX162">
        <v>4534406</v>
      </c>
      <c r="AY162" s="238"/>
      <c r="AZ162" s="238" t="s">
        <v>3</v>
      </c>
      <c r="BA162" s="238" t="s">
        <v>3</v>
      </c>
      <c r="BB162" s="238" t="s">
        <v>8951</v>
      </c>
      <c r="BC162" s="238" t="s">
        <v>1167</v>
      </c>
      <c r="BD162" t="b">
        <v>1</v>
      </c>
      <c r="BE162" s="238" t="s">
        <v>9088</v>
      </c>
      <c r="BF162" s="238" t="s">
        <v>8972</v>
      </c>
      <c r="BG162">
        <v>4534406</v>
      </c>
      <c r="BH162">
        <v>4534406</v>
      </c>
      <c r="BI162">
        <v>0</v>
      </c>
      <c r="BJ162">
        <v>0</v>
      </c>
      <c r="BK162">
        <v>0</v>
      </c>
    </row>
    <row r="163" spans="1:63" x14ac:dyDescent="0.25">
      <c r="A163">
        <v>162</v>
      </c>
      <c r="B163">
        <v>1</v>
      </c>
      <c r="C163">
        <v>21</v>
      </c>
      <c r="D163">
        <v>5</v>
      </c>
      <c r="E163">
        <v>2</v>
      </c>
      <c r="F163">
        <v>14.66</v>
      </c>
      <c r="G163">
        <v>10.58</v>
      </c>
      <c r="I163">
        <v>25.240000000000002</v>
      </c>
      <c r="J163">
        <v>17.38</v>
      </c>
      <c r="K163">
        <v>4.07</v>
      </c>
      <c r="L163">
        <v>3.38</v>
      </c>
      <c r="M163">
        <v>3.48</v>
      </c>
      <c r="N163">
        <v>3.77</v>
      </c>
      <c r="P163">
        <v>3.11</v>
      </c>
      <c r="R163">
        <v>3.11</v>
      </c>
      <c r="S163">
        <v>60.43</v>
      </c>
      <c r="T163">
        <v>57.32</v>
      </c>
      <c r="U163">
        <v>58.88</v>
      </c>
      <c r="V163">
        <v>118496.08</v>
      </c>
      <c r="X163">
        <v>118496.08</v>
      </c>
      <c r="Y163">
        <v>0.86856146468198858</v>
      </c>
      <c r="Z163">
        <v>118496.94856146468</v>
      </c>
      <c r="AA163">
        <v>0</v>
      </c>
      <c r="AB163">
        <v>118496.94856146468</v>
      </c>
      <c r="AC163">
        <v>3554.9607672188286</v>
      </c>
      <c r="AD163">
        <v>122051.90932868351</v>
      </c>
      <c r="AE163">
        <v>1.4194756643119035</v>
      </c>
      <c r="AF163">
        <v>122053.32880434782</v>
      </c>
      <c r="AG163">
        <v>0</v>
      </c>
      <c r="AH163">
        <v>122053.32880434782</v>
      </c>
      <c r="AI163">
        <v>0</v>
      </c>
      <c r="AJ163">
        <v>122053.32880434782</v>
      </c>
      <c r="AK163">
        <v>1220.1936141304325</v>
      </c>
      <c r="AL163">
        <v>123273.52241847826</v>
      </c>
      <c r="AM163">
        <v>123273.52241847826</v>
      </c>
      <c r="AN163">
        <v>7258345</v>
      </c>
      <c r="AQ163">
        <v>0</v>
      </c>
      <c r="AR163">
        <v>123273.52241847826</v>
      </c>
      <c r="AS163">
        <v>7258345</v>
      </c>
      <c r="AT163" s="238" t="s">
        <v>36</v>
      </c>
      <c r="AV163">
        <v>123273.52241847826</v>
      </c>
      <c r="AW163">
        <v>0</v>
      </c>
      <c r="AX163">
        <v>7258345</v>
      </c>
      <c r="AY163" s="238"/>
      <c r="AZ163" s="238" t="s">
        <v>3</v>
      </c>
      <c r="BA163" s="238" t="s">
        <v>3</v>
      </c>
      <c r="BB163" s="238" t="s">
        <v>8951</v>
      </c>
      <c r="BC163" s="238" t="s">
        <v>1167</v>
      </c>
      <c r="BD163" t="b">
        <v>1</v>
      </c>
      <c r="BE163" s="238" t="s">
        <v>9088</v>
      </c>
      <c r="BF163" s="238" t="s">
        <v>8971</v>
      </c>
      <c r="BG163">
        <v>7258345</v>
      </c>
      <c r="BH163">
        <v>7258345</v>
      </c>
      <c r="BI163">
        <v>0</v>
      </c>
      <c r="BJ163">
        <v>0</v>
      </c>
      <c r="BK163">
        <v>0</v>
      </c>
    </row>
    <row r="164" spans="1:63" x14ac:dyDescent="0.25">
      <c r="A164">
        <v>163</v>
      </c>
      <c r="B164">
        <v>1</v>
      </c>
      <c r="C164">
        <v>21</v>
      </c>
      <c r="D164">
        <v>6</v>
      </c>
      <c r="E164">
        <v>2</v>
      </c>
      <c r="F164">
        <v>11.63</v>
      </c>
      <c r="G164">
        <v>10.93</v>
      </c>
      <c r="I164">
        <v>22.560000000000002</v>
      </c>
      <c r="J164">
        <v>16.28</v>
      </c>
      <c r="K164">
        <v>4.62</v>
      </c>
      <c r="M164">
        <v>4.3899999999999997</v>
      </c>
      <c r="N164">
        <v>1.81</v>
      </c>
      <c r="P164">
        <v>4.4000000000000004</v>
      </c>
      <c r="R164">
        <v>4.4000000000000004</v>
      </c>
      <c r="S164">
        <v>54.06</v>
      </c>
      <c r="T164">
        <v>49.66</v>
      </c>
      <c r="U164">
        <v>51.86</v>
      </c>
      <c r="V164">
        <v>116281.2</v>
      </c>
      <c r="X164">
        <v>116281.2</v>
      </c>
      <c r="Y164">
        <v>501.80692383779387</v>
      </c>
      <c r="Z164">
        <v>116783.00692383779</v>
      </c>
      <c r="AA164">
        <v>0</v>
      </c>
      <c r="AB164">
        <v>116783.00692383779</v>
      </c>
      <c r="AC164">
        <v>0</v>
      </c>
      <c r="AD164">
        <v>116783.00692383779</v>
      </c>
      <c r="AE164">
        <v>0.64136000332655385</v>
      </c>
      <c r="AF164">
        <v>116783.64828384112</v>
      </c>
      <c r="AG164">
        <v>-2950.6170458927954</v>
      </c>
      <c r="AH164">
        <v>113833.03123794832</v>
      </c>
      <c r="AI164">
        <v>0</v>
      </c>
      <c r="AJ164">
        <v>113833.03123794832</v>
      </c>
      <c r="AK164">
        <v>0</v>
      </c>
      <c r="AL164">
        <v>113833.03123794832</v>
      </c>
      <c r="AM164">
        <v>113833.03123794832</v>
      </c>
      <c r="AN164">
        <v>5903381</v>
      </c>
      <c r="AQ164">
        <v>0</v>
      </c>
      <c r="AR164">
        <v>113833.03123794832</v>
      </c>
      <c r="AS164">
        <v>5903381</v>
      </c>
      <c r="AT164" s="238" t="s">
        <v>36</v>
      </c>
      <c r="AV164">
        <v>113833.03123794832</v>
      </c>
      <c r="AW164">
        <v>0</v>
      </c>
      <c r="AX164">
        <v>5903381</v>
      </c>
      <c r="AY164" s="238"/>
      <c r="AZ164" s="238" t="s">
        <v>8963</v>
      </c>
      <c r="BA164" s="238" t="s">
        <v>8963</v>
      </c>
      <c r="BB164" s="238" t="s">
        <v>8953</v>
      </c>
      <c r="BC164" s="238" t="s">
        <v>8964</v>
      </c>
      <c r="BD164" t="b">
        <v>1</v>
      </c>
      <c r="BE164" s="238" t="s">
        <v>9088</v>
      </c>
      <c r="BF164" s="238" t="s">
        <v>8971</v>
      </c>
      <c r="BG164">
        <v>5903381</v>
      </c>
      <c r="BH164">
        <v>6116982</v>
      </c>
      <c r="BI164">
        <v>5903381</v>
      </c>
      <c r="BJ164">
        <v>0</v>
      </c>
      <c r="BK164">
        <v>0</v>
      </c>
    </row>
    <row r="165" spans="1:63" x14ac:dyDescent="0.25">
      <c r="A165">
        <v>164</v>
      </c>
      <c r="B165">
        <v>1</v>
      </c>
      <c r="C165">
        <v>21</v>
      </c>
      <c r="D165">
        <v>7</v>
      </c>
      <c r="E165">
        <v>2</v>
      </c>
      <c r="F165">
        <v>10.86</v>
      </c>
      <c r="G165">
        <v>14.01</v>
      </c>
      <c r="I165">
        <v>24.869999999999997</v>
      </c>
      <c r="J165">
        <v>18.82</v>
      </c>
      <c r="K165">
        <v>3.96</v>
      </c>
      <c r="M165">
        <v>2.8</v>
      </c>
      <c r="N165">
        <v>3.83</v>
      </c>
      <c r="O165">
        <v>4.6399999999999997</v>
      </c>
      <c r="P165">
        <v>3.91</v>
      </c>
      <c r="R165">
        <v>3.91</v>
      </c>
      <c r="S165">
        <v>62.83</v>
      </c>
      <c r="T165">
        <v>58.92</v>
      </c>
      <c r="U165">
        <v>60.88</v>
      </c>
      <c r="V165">
        <v>117388.64</v>
      </c>
      <c r="X165">
        <v>117388.64</v>
      </c>
      <c r="Y165">
        <v>1.3683319222764112E-2</v>
      </c>
      <c r="Z165">
        <v>117388.65368331922</v>
      </c>
      <c r="AA165">
        <v>0</v>
      </c>
      <c r="AB165">
        <v>117388.65368331922</v>
      </c>
      <c r="AC165">
        <v>3522.0152413209144</v>
      </c>
      <c r="AD165">
        <v>120910.66892464014</v>
      </c>
      <c r="AE165">
        <v>0.96051031386014074</v>
      </c>
      <c r="AF165">
        <v>120911.629434954</v>
      </c>
      <c r="AG165">
        <v>0</v>
      </c>
      <c r="AH165">
        <v>120911.629434954</v>
      </c>
      <c r="AI165">
        <v>0</v>
      </c>
      <c r="AJ165">
        <v>120911.629434954</v>
      </c>
      <c r="AK165">
        <v>1209.4940867279947</v>
      </c>
      <c r="AL165">
        <v>122121.12352168201</v>
      </c>
      <c r="AM165">
        <v>122121.12352168199</v>
      </c>
      <c r="AN165">
        <v>7434734</v>
      </c>
      <c r="AQ165">
        <v>0</v>
      </c>
      <c r="AR165">
        <v>122121.12352168199</v>
      </c>
      <c r="AS165">
        <v>7434734</v>
      </c>
      <c r="AT165" s="238" t="s">
        <v>36</v>
      </c>
      <c r="AV165">
        <v>122121.12352168199</v>
      </c>
      <c r="AW165">
        <v>0</v>
      </c>
      <c r="AX165">
        <v>7434734</v>
      </c>
      <c r="AY165" s="238"/>
      <c r="AZ165" s="238" t="s">
        <v>3</v>
      </c>
      <c r="BA165" s="238" t="s">
        <v>3</v>
      </c>
      <c r="BB165" s="238" t="s">
        <v>8951</v>
      </c>
      <c r="BC165" s="238" t="s">
        <v>1167</v>
      </c>
      <c r="BD165" t="b">
        <v>1</v>
      </c>
      <c r="BE165" s="238" t="s">
        <v>9088</v>
      </c>
      <c r="BF165" s="238" t="s">
        <v>8971</v>
      </c>
      <c r="BG165">
        <v>7434734</v>
      </c>
      <c r="BH165">
        <v>7434734</v>
      </c>
      <c r="BI165">
        <v>0</v>
      </c>
      <c r="BJ165">
        <v>0</v>
      </c>
      <c r="BK165">
        <v>0</v>
      </c>
    </row>
    <row r="166" spans="1:63" x14ac:dyDescent="0.25">
      <c r="A166">
        <v>165</v>
      </c>
      <c r="B166">
        <v>1</v>
      </c>
      <c r="C166">
        <v>21</v>
      </c>
      <c r="D166">
        <v>8</v>
      </c>
      <c r="E166">
        <v>1</v>
      </c>
      <c r="F166">
        <v>14.95</v>
      </c>
      <c r="I166">
        <v>14.95</v>
      </c>
      <c r="J166">
        <v>17.47</v>
      </c>
      <c r="K166">
        <v>4.97</v>
      </c>
      <c r="M166">
        <v>4</v>
      </c>
      <c r="P166">
        <v>3.36</v>
      </c>
      <c r="R166">
        <v>3.36</v>
      </c>
      <c r="S166">
        <v>44.75</v>
      </c>
      <c r="T166">
        <v>41.39</v>
      </c>
      <c r="U166">
        <v>43.07</v>
      </c>
      <c r="V166">
        <v>119184.96000000001</v>
      </c>
      <c r="X166">
        <v>119184.96000000001</v>
      </c>
      <c r="Y166">
        <v>0.9452247873559827</v>
      </c>
      <c r="Z166">
        <v>119185.90522478736</v>
      </c>
      <c r="AA166">
        <v>500.09720534630469</v>
      </c>
      <c r="AB166">
        <v>119686.00243013367</v>
      </c>
      <c r="AC166">
        <v>3590.5710814094782</v>
      </c>
      <c r="AD166">
        <v>123276.57351154315</v>
      </c>
      <c r="AE166">
        <v>1.8105144610308344</v>
      </c>
      <c r="AF166">
        <v>123278.38402600418</v>
      </c>
      <c r="AG166">
        <v>0</v>
      </c>
      <c r="AH166">
        <v>123278.38402600418</v>
      </c>
      <c r="AI166">
        <v>0</v>
      </c>
      <c r="AJ166">
        <v>123278.38402600418</v>
      </c>
      <c r="AK166">
        <v>0</v>
      </c>
      <c r="AL166">
        <v>123278.38402600418</v>
      </c>
      <c r="AM166">
        <v>123278.38402600418</v>
      </c>
      <c r="AN166">
        <v>5309600</v>
      </c>
      <c r="AQ166">
        <v>0</v>
      </c>
      <c r="AR166">
        <v>123278.38402600418</v>
      </c>
      <c r="AS166">
        <v>5309600</v>
      </c>
      <c r="AT166" s="238" t="s">
        <v>36</v>
      </c>
      <c r="AV166">
        <v>123278.38402600418</v>
      </c>
      <c r="AW166">
        <v>0</v>
      </c>
      <c r="AX166">
        <v>5309600</v>
      </c>
      <c r="AY166" s="238"/>
      <c r="AZ166" s="238" t="s">
        <v>3</v>
      </c>
      <c r="BA166" s="238" t="s">
        <v>3</v>
      </c>
      <c r="BB166" s="238" t="s">
        <v>8951</v>
      </c>
      <c r="BC166" s="238" t="s">
        <v>1167</v>
      </c>
      <c r="BD166" t="b">
        <v>1</v>
      </c>
      <c r="BE166" s="238" t="s">
        <v>9088</v>
      </c>
      <c r="BF166" s="238" t="s">
        <v>8972</v>
      </c>
      <c r="BG166">
        <v>5309600</v>
      </c>
      <c r="BH166">
        <v>5309600</v>
      </c>
      <c r="BI166">
        <v>0</v>
      </c>
      <c r="BJ166">
        <v>0</v>
      </c>
      <c r="BK166">
        <v>0</v>
      </c>
    </row>
    <row r="167" spans="1:63" x14ac:dyDescent="0.25">
      <c r="A167">
        <v>166</v>
      </c>
      <c r="B167">
        <v>1</v>
      </c>
      <c r="C167">
        <v>22</v>
      </c>
      <c r="D167">
        <v>1</v>
      </c>
      <c r="E167">
        <v>1</v>
      </c>
      <c r="F167">
        <v>14.95</v>
      </c>
      <c r="I167">
        <v>14.95</v>
      </c>
      <c r="J167">
        <v>16.48</v>
      </c>
      <c r="K167">
        <v>5.01</v>
      </c>
      <c r="M167">
        <v>3.96</v>
      </c>
      <c r="P167">
        <v>3.36</v>
      </c>
      <c r="R167">
        <v>3.36</v>
      </c>
      <c r="S167">
        <v>43.76</v>
      </c>
      <c r="T167">
        <v>40.4</v>
      </c>
      <c r="U167">
        <v>42.08</v>
      </c>
      <c r="V167">
        <v>119184.96000000001</v>
      </c>
      <c r="X167">
        <v>119184.96000000001</v>
      </c>
      <c r="Y167">
        <v>1.9332038834836567</v>
      </c>
      <c r="Z167">
        <v>119186.89320388349</v>
      </c>
      <c r="AA167">
        <v>0</v>
      </c>
      <c r="AB167">
        <v>119186.89320388349</v>
      </c>
      <c r="AC167">
        <v>3575.7281553398061</v>
      </c>
      <c r="AD167">
        <v>122762.6213592233</v>
      </c>
      <c r="AE167">
        <v>1.1619107386795804</v>
      </c>
      <c r="AF167">
        <v>122763.78326996198</v>
      </c>
      <c r="AG167">
        <v>0</v>
      </c>
      <c r="AH167">
        <v>122763.78326996198</v>
      </c>
      <c r="AI167">
        <v>0</v>
      </c>
      <c r="AJ167">
        <v>122763.78326996198</v>
      </c>
      <c r="AK167">
        <v>0</v>
      </c>
      <c r="AL167">
        <v>122763.78326996198</v>
      </c>
      <c r="AM167">
        <v>122763.78326996198</v>
      </c>
      <c r="AN167">
        <v>5165900</v>
      </c>
      <c r="AQ167">
        <v>0</v>
      </c>
      <c r="AR167">
        <v>122763.78326996198</v>
      </c>
      <c r="AS167">
        <v>5165900</v>
      </c>
      <c r="AT167" s="238" t="s">
        <v>36</v>
      </c>
      <c r="AV167">
        <v>122763.78326996198</v>
      </c>
      <c r="AW167">
        <v>0</v>
      </c>
      <c r="AX167">
        <v>5165900</v>
      </c>
      <c r="AY167" s="238"/>
      <c r="AZ167" s="238" t="s">
        <v>3</v>
      </c>
      <c r="BA167" s="238" t="s">
        <v>3</v>
      </c>
      <c r="BB167" s="238" t="s">
        <v>8951</v>
      </c>
      <c r="BC167" s="238" t="s">
        <v>1167</v>
      </c>
      <c r="BD167" t="b">
        <v>1</v>
      </c>
      <c r="BE167" s="238" t="s">
        <v>9088</v>
      </c>
      <c r="BF167" s="238" t="s">
        <v>8972</v>
      </c>
      <c r="BG167">
        <v>5165900</v>
      </c>
      <c r="BH167">
        <v>5165900</v>
      </c>
      <c r="BI167">
        <v>0</v>
      </c>
      <c r="BJ167">
        <v>0</v>
      </c>
      <c r="BK167">
        <v>0</v>
      </c>
    </row>
    <row r="168" spans="1:63" x14ac:dyDescent="0.25">
      <c r="A168">
        <v>167</v>
      </c>
      <c r="B168">
        <v>1</v>
      </c>
      <c r="C168">
        <v>22</v>
      </c>
      <c r="D168">
        <v>2</v>
      </c>
      <c r="E168">
        <v>3</v>
      </c>
      <c r="F168">
        <v>18.46</v>
      </c>
      <c r="G168">
        <v>10.53</v>
      </c>
      <c r="H168">
        <v>9.9700000000000006</v>
      </c>
      <c r="I168">
        <v>38.96</v>
      </c>
      <c r="J168">
        <v>17.02</v>
      </c>
      <c r="K168">
        <v>4.07</v>
      </c>
      <c r="L168">
        <v>3.58</v>
      </c>
      <c r="M168">
        <v>4.18</v>
      </c>
      <c r="N168">
        <v>6.27</v>
      </c>
      <c r="P168">
        <v>3.04</v>
      </c>
      <c r="Q168">
        <v>3.41</v>
      </c>
      <c r="R168">
        <v>6.45</v>
      </c>
      <c r="S168">
        <v>80.53</v>
      </c>
      <c r="T168">
        <v>74.08</v>
      </c>
      <c r="U168">
        <v>77.31</v>
      </c>
      <c r="V168">
        <v>105198.08</v>
      </c>
      <c r="W168">
        <v>5198.08</v>
      </c>
      <c r="X168">
        <v>100000</v>
      </c>
      <c r="Y168">
        <v>0</v>
      </c>
      <c r="Z168">
        <v>99999.999999999985</v>
      </c>
      <c r="AA168">
        <v>500</v>
      </c>
      <c r="AB168">
        <v>100499.99999999999</v>
      </c>
      <c r="AC168">
        <v>0</v>
      </c>
      <c r="AD168">
        <v>100499.99999999999</v>
      </c>
      <c r="AE168">
        <v>-2807.9161816065025</v>
      </c>
      <c r="AF168">
        <v>97692.083818393483</v>
      </c>
      <c r="AG168">
        <v>0</v>
      </c>
      <c r="AH168">
        <v>97692.083818393483</v>
      </c>
      <c r="AI168">
        <v>0</v>
      </c>
      <c r="AJ168">
        <v>97692.083818393483</v>
      </c>
      <c r="AK168">
        <v>0</v>
      </c>
      <c r="AL168">
        <v>97692.083818393483</v>
      </c>
      <c r="AM168">
        <v>97692.083818393483</v>
      </c>
      <c r="AN168">
        <v>7552575</v>
      </c>
      <c r="AP168">
        <v>0.02</v>
      </c>
      <c r="AQ168">
        <v>151052</v>
      </c>
      <c r="AR168">
        <v>95738.23567455697</v>
      </c>
      <c r="AS168">
        <v>7401523</v>
      </c>
      <c r="AT168" s="238" t="s">
        <v>36</v>
      </c>
      <c r="AV168">
        <v>95738.23567455697</v>
      </c>
      <c r="AW168">
        <v>0</v>
      </c>
      <c r="AX168">
        <v>7401523</v>
      </c>
      <c r="AY168" s="238" t="s">
        <v>3540</v>
      </c>
      <c r="AZ168" s="238" t="s">
        <v>8963</v>
      </c>
      <c r="BA168" s="238" t="s">
        <v>8963</v>
      </c>
      <c r="BB168" s="238" t="s">
        <v>8953</v>
      </c>
      <c r="BC168" s="238" t="s">
        <v>8964</v>
      </c>
      <c r="BD168" t="b">
        <v>1</v>
      </c>
      <c r="BE168" s="238" t="s">
        <v>9088</v>
      </c>
      <c r="BF168" s="238" t="s">
        <v>8990</v>
      </c>
      <c r="BG168">
        <v>7552575</v>
      </c>
      <c r="BH168">
        <v>7925903</v>
      </c>
      <c r="BI168">
        <v>7552575</v>
      </c>
      <c r="BJ168">
        <v>0</v>
      </c>
      <c r="BK168">
        <v>0</v>
      </c>
    </row>
    <row r="169" spans="1:63" x14ac:dyDescent="0.25">
      <c r="A169">
        <v>168</v>
      </c>
      <c r="B169">
        <v>1</v>
      </c>
      <c r="C169">
        <v>22</v>
      </c>
      <c r="D169">
        <v>3</v>
      </c>
      <c r="E169">
        <v>1</v>
      </c>
      <c r="F169">
        <v>12.41</v>
      </c>
      <c r="I169">
        <v>12.41</v>
      </c>
      <c r="J169">
        <v>14.77</v>
      </c>
      <c r="K169">
        <v>4.45</v>
      </c>
      <c r="M169">
        <v>3.88</v>
      </c>
      <c r="P169">
        <v>2.93</v>
      </c>
      <c r="R169">
        <v>2.93</v>
      </c>
      <c r="S169">
        <v>38.44</v>
      </c>
      <c r="T169">
        <v>35.51</v>
      </c>
      <c r="U169">
        <v>36.979999999999997</v>
      </c>
      <c r="V169">
        <v>120353.44</v>
      </c>
      <c r="X169">
        <v>120353.44</v>
      </c>
      <c r="Y169">
        <v>2.1155555555596948</v>
      </c>
      <c r="Z169">
        <v>120355.55555555556</v>
      </c>
      <c r="AA169">
        <v>0</v>
      </c>
      <c r="AB169">
        <v>120355.55555555556</v>
      </c>
      <c r="AC169">
        <v>0</v>
      </c>
      <c r="AD169">
        <v>120355.55555555556</v>
      </c>
      <c r="AE169">
        <v>-3189.5198605852929</v>
      </c>
      <c r="AF169">
        <v>117166.03569497027</v>
      </c>
      <c r="AG169">
        <v>0</v>
      </c>
      <c r="AH169">
        <v>117166.03569497027</v>
      </c>
      <c r="AI169">
        <v>0</v>
      </c>
      <c r="AJ169">
        <v>117166.03569497027</v>
      </c>
      <c r="AK169">
        <v>0</v>
      </c>
      <c r="AL169">
        <v>117166.03569497028</v>
      </c>
      <c r="AM169">
        <v>117166.03569497027</v>
      </c>
      <c r="AN169">
        <v>4332800</v>
      </c>
      <c r="AP169">
        <v>0.02</v>
      </c>
      <c r="AQ169">
        <v>86656</v>
      </c>
      <c r="AR169">
        <v>114822.71498107087</v>
      </c>
      <c r="AS169">
        <v>4246144</v>
      </c>
      <c r="AT169" s="238" t="s">
        <v>36</v>
      </c>
      <c r="AV169">
        <v>114822.71498107087</v>
      </c>
      <c r="AW169">
        <v>0</v>
      </c>
      <c r="AX169">
        <v>4246144</v>
      </c>
      <c r="AY169" s="238" t="s">
        <v>3540</v>
      </c>
      <c r="AZ169" s="238" t="s">
        <v>8963</v>
      </c>
      <c r="BA169" s="238" t="s">
        <v>8963</v>
      </c>
      <c r="BB169" s="238" t="s">
        <v>8953</v>
      </c>
      <c r="BC169" s="238" t="s">
        <v>8964</v>
      </c>
      <c r="BD169" t="b">
        <v>1</v>
      </c>
      <c r="BE169" s="238" t="s">
        <v>9088</v>
      </c>
      <c r="BF169" s="238" t="s">
        <v>8972</v>
      </c>
      <c r="BG169">
        <v>4332800</v>
      </c>
      <c r="BH169">
        <v>4469292</v>
      </c>
      <c r="BI169">
        <v>4332800</v>
      </c>
      <c r="BJ169">
        <v>0</v>
      </c>
      <c r="BK169">
        <v>0</v>
      </c>
    </row>
    <row r="170" spans="1:63" x14ac:dyDescent="0.25">
      <c r="A170">
        <v>169</v>
      </c>
      <c r="B170">
        <v>1</v>
      </c>
      <c r="C170">
        <v>22</v>
      </c>
      <c r="D170">
        <v>4</v>
      </c>
      <c r="E170">
        <v>1</v>
      </c>
      <c r="F170">
        <v>12.41</v>
      </c>
      <c r="I170">
        <v>12.41</v>
      </c>
      <c r="J170">
        <v>14.23</v>
      </c>
      <c r="K170">
        <v>4.45</v>
      </c>
      <c r="M170">
        <v>3.78</v>
      </c>
      <c r="P170">
        <v>3.11</v>
      </c>
      <c r="R170">
        <v>3.11</v>
      </c>
      <c r="S170">
        <v>37.979999999999997</v>
      </c>
      <c r="T170">
        <v>34.869999999999997</v>
      </c>
      <c r="U170">
        <v>36.43</v>
      </c>
      <c r="V170">
        <v>120353.44</v>
      </c>
      <c r="X170">
        <v>120353.44</v>
      </c>
      <c r="Y170">
        <v>2.6100695410132175</v>
      </c>
      <c r="Z170">
        <v>120356.05006954102</v>
      </c>
      <c r="AA170">
        <v>0</v>
      </c>
      <c r="AB170">
        <v>120356.05006954102</v>
      </c>
      <c r="AC170">
        <v>3610.6258692628762</v>
      </c>
      <c r="AD170">
        <v>123966.67593880389</v>
      </c>
      <c r="AE170">
        <v>2.5801687997300178</v>
      </c>
      <c r="AF170">
        <v>123969.25610760362</v>
      </c>
      <c r="AG170">
        <v>499.7529508646694</v>
      </c>
      <c r="AH170">
        <v>124469.00905846829</v>
      </c>
      <c r="AI170">
        <v>0</v>
      </c>
      <c r="AJ170">
        <v>124469.00905846829</v>
      </c>
      <c r="AK170">
        <v>0</v>
      </c>
      <c r="AL170">
        <v>124469.00905846828</v>
      </c>
      <c r="AM170">
        <v>124469.00905846829</v>
      </c>
      <c r="AN170">
        <v>4534406</v>
      </c>
      <c r="AQ170">
        <v>0</v>
      </c>
      <c r="AR170">
        <v>124469.00905846829</v>
      </c>
      <c r="AS170">
        <v>4534406</v>
      </c>
      <c r="AT170" s="238" t="s">
        <v>36</v>
      </c>
      <c r="AV170">
        <v>124469.00905846829</v>
      </c>
      <c r="AW170">
        <v>0</v>
      </c>
      <c r="AX170">
        <v>4534406</v>
      </c>
      <c r="AY170" s="238"/>
      <c r="AZ170" s="238" t="s">
        <v>3</v>
      </c>
      <c r="BA170" s="238" t="s">
        <v>3</v>
      </c>
      <c r="BB170" s="238" t="s">
        <v>8951</v>
      </c>
      <c r="BC170" s="238" t="s">
        <v>1167</v>
      </c>
      <c r="BD170" t="b">
        <v>1</v>
      </c>
      <c r="BE170" s="238" t="s">
        <v>9088</v>
      </c>
      <c r="BF170" s="238" t="s">
        <v>8972</v>
      </c>
      <c r="BG170">
        <v>4534406</v>
      </c>
      <c r="BH170">
        <v>4534406</v>
      </c>
      <c r="BI170">
        <v>0</v>
      </c>
      <c r="BJ170">
        <v>0</v>
      </c>
      <c r="BK170">
        <v>0</v>
      </c>
    </row>
    <row r="171" spans="1:63" x14ac:dyDescent="0.25">
      <c r="A171">
        <v>170</v>
      </c>
      <c r="B171">
        <v>1</v>
      </c>
      <c r="C171">
        <v>22</v>
      </c>
      <c r="D171">
        <v>5</v>
      </c>
      <c r="E171">
        <v>2</v>
      </c>
      <c r="F171">
        <v>14.66</v>
      </c>
      <c r="G171">
        <v>10.58</v>
      </c>
      <c r="I171">
        <v>25.240000000000002</v>
      </c>
      <c r="J171">
        <v>17.38</v>
      </c>
      <c r="K171">
        <v>4.07</v>
      </c>
      <c r="L171">
        <v>3.38</v>
      </c>
      <c r="M171">
        <v>3.48</v>
      </c>
      <c r="N171">
        <v>3.77</v>
      </c>
      <c r="P171">
        <v>3.11</v>
      </c>
      <c r="R171">
        <v>3.11</v>
      </c>
      <c r="S171">
        <v>60.43</v>
      </c>
      <c r="T171">
        <v>57.32</v>
      </c>
      <c r="U171">
        <v>58.88</v>
      </c>
      <c r="V171">
        <v>118496.08</v>
      </c>
      <c r="X171">
        <v>118496.08</v>
      </c>
      <c r="Y171">
        <v>0.86856146468198858</v>
      </c>
      <c r="Z171">
        <v>118496.94856146468</v>
      </c>
      <c r="AA171">
        <v>0</v>
      </c>
      <c r="AB171">
        <v>118496.94856146468</v>
      </c>
      <c r="AC171">
        <v>3554.9607672188286</v>
      </c>
      <c r="AD171">
        <v>122051.90932868351</v>
      </c>
      <c r="AE171">
        <v>1.4194756643119035</v>
      </c>
      <c r="AF171">
        <v>122053.32880434782</v>
      </c>
      <c r="AG171">
        <v>0</v>
      </c>
      <c r="AH171">
        <v>122053.32880434782</v>
      </c>
      <c r="AI171">
        <v>0</v>
      </c>
      <c r="AJ171">
        <v>122053.32880434782</v>
      </c>
      <c r="AK171">
        <v>1220.1936141304325</v>
      </c>
      <c r="AL171">
        <v>123273.52241847826</v>
      </c>
      <c r="AM171">
        <v>123273.52241847826</v>
      </c>
      <c r="AN171">
        <v>7258345</v>
      </c>
      <c r="AQ171">
        <v>0</v>
      </c>
      <c r="AR171">
        <v>123273.52241847826</v>
      </c>
      <c r="AS171">
        <v>7258345</v>
      </c>
      <c r="AT171" s="238" t="s">
        <v>36</v>
      </c>
      <c r="AV171">
        <v>123273.52241847826</v>
      </c>
      <c r="AW171">
        <v>0</v>
      </c>
      <c r="AX171">
        <v>7258345</v>
      </c>
      <c r="AY171" s="238"/>
      <c r="AZ171" s="238" t="s">
        <v>3</v>
      </c>
      <c r="BA171" s="238" t="s">
        <v>3</v>
      </c>
      <c r="BB171" s="238" t="s">
        <v>8951</v>
      </c>
      <c r="BC171" s="238" t="s">
        <v>1167</v>
      </c>
      <c r="BD171" t="b">
        <v>1</v>
      </c>
      <c r="BE171" s="238" t="s">
        <v>9088</v>
      </c>
      <c r="BF171" s="238" t="s">
        <v>8971</v>
      </c>
      <c r="BG171">
        <v>7258345</v>
      </c>
      <c r="BH171">
        <v>7258345</v>
      </c>
      <c r="BI171">
        <v>0</v>
      </c>
      <c r="BJ171">
        <v>0</v>
      </c>
      <c r="BK171">
        <v>0</v>
      </c>
    </row>
    <row r="172" spans="1:63" x14ac:dyDescent="0.25">
      <c r="A172">
        <v>171</v>
      </c>
      <c r="B172">
        <v>1</v>
      </c>
      <c r="C172">
        <v>22</v>
      </c>
      <c r="D172">
        <v>6</v>
      </c>
      <c r="E172">
        <v>2</v>
      </c>
      <c r="F172">
        <v>11.63</v>
      </c>
      <c r="G172">
        <v>10.93</v>
      </c>
      <c r="I172">
        <v>22.560000000000002</v>
      </c>
      <c r="J172">
        <v>16.28</v>
      </c>
      <c r="K172">
        <v>4.62</v>
      </c>
      <c r="M172">
        <v>4.3899999999999997</v>
      </c>
      <c r="N172">
        <v>1.81</v>
      </c>
      <c r="P172">
        <v>4.4000000000000004</v>
      </c>
      <c r="R172">
        <v>4.4000000000000004</v>
      </c>
      <c r="S172">
        <v>54.06</v>
      </c>
      <c r="T172">
        <v>49.66</v>
      </c>
      <c r="U172">
        <v>51.86</v>
      </c>
      <c r="V172">
        <v>116281.2</v>
      </c>
      <c r="X172">
        <v>116281.2</v>
      </c>
      <c r="Y172">
        <v>501.80692383779387</v>
      </c>
      <c r="Z172">
        <v>116783.00692383779</v>
      </c>
      <c r="AA172">
        <v>0</v>
      </c>
      <c r="AB172">
        <v>116783.00692383779</v>
      </c>
      <c r="AC172">
        <v>3503.4817012858548</v>
      </c>
      <c r="AD172">
        <v>120286.48862512365</v>
      </c>
      <c r="AE172">
        <v>0.82336870589642785</v>
      </c>
      <c r="AF172">
        <v>120287.31199382954</v>
      </c>
      <c r="AG172">
        <v>0</v>
      </c>
      <c r="AH172">
        <v>120287.31199382954</v>
      </c>
      <c r="AI172">
        <v>0</v>
      </c>
      <c r="AJ172">
        <v>120287.31199382954</v>
      </c>
      <c r="AK172">
        <v>1202.5645969918987</v>
      </c>
      <c r="AL172">
        <v>121489.87659082144</v>
      </c>
      <c r="AM172">
        <v>121489.87659082144</v>
      </c>
      <c r="AN172">
        <v>6300465</v>
      </c>
      <c r="AQ172">
        <v>0</v>
      </c>
      <c r="AR172">
        <v>121489.87659082144</v>
      </c>
      <c r="AS172">
        <v>6300465</v>
      </c>
      <c r="AT172" s="238" t="s">
        <v>36</v>
      </c>
      <c r="AV172">
        <v>121489.87659082144</v>
      </c>
      <c r="AW172">
        <v>0</v>
      </c>
      <c r="AX172">
        <v>6300465</v>
      </c>
      <c r="AY172" s="238"/>
      <c r="AZ172" s="238" t="s">
        <v>3</v>
      </c>
      <c r="BA172" s="238" t="s">
        <v>3</v>
      </c>
      <c r="BB172" s="238" t="s">
        <v>8951</v>
      </c>
      <c r="BC172" s="238" t="s">
        <v>1167</v>
      </c>
      <c r="BD172" t="b">
        <v>1</v>
      </c>
      <c r="BE172" s="238" t="s">
        <v>9088</v>
      </c>
      <c r="BF172" s="238" t="s">
        <v>8971</v>
      </c>
      <c r="BG172">
        <v>6300465</v>
      </c>
      <c r="BH172">
        <v>6300465</v>
      </c>
      <c r="BI172">
        <v>0</v>
      </c>
      <c r="BJ172">
        <v>0</v>
      </c>
      <c r="BK172">
        <v>0</v>
      </c>
    </row>
    <row r="173" spans="1:63" x14ac:dyDescent="0.25">
      <c r="A173">
        <v>172</v>
      </c>
      <c r="B173">
        <v>1</v>
      </c>
      <c r="C173">
        <v>22</v>
      </c>
      <c r="D173">
        <v>7</v>
      </c>
      <c r="E173">
        <v>2</v>
      </c>
      <c r="F173">
        <v>10.86</v>
      </c>
      <c r="G173">
        <v>14.01</v>
      </c>
      <c r="I173">
        <v>24.869999999999997</v>
      </c>
      <c r="J173">
        <v>18.82</v>
      </c>
      <c r="K173">
        <v>3.96</v>
      </c>
      <c r="M173">
        <v>2.8</v>
      </c>
      <c r="N173">
        <v>3.83</v>
      </c>
      <c r="O173">
        <v>4.6399999999999997</v>
      </c>
      <c r="P173">
        <v>3.91</v>
      </c>
      <c r="R173">
        <v>3.91</v>
      </c>
      <c r="S173">
        <v>62.83</v>
      </c>
      <c r="T173">
        <v>58.92</v>
      </c>
      <c r="U173">
        <v>60.88</v>
      </c>
      <c r="V173">
        <v>117388.64</v>
      </c>
      <c r="X173">
        <v>117388.64</v>
      </c>
      <c r="Y173">
        <v>1.3683319222764112E-2</v>
      </c>
      <c r="Z173">
        <v>117388.65368331922</v>
      </c>
      <c r="AA173">
        <v>0</v>
      </c>
      <c r="AB173">
        <v>117388.65368331922</v>
      </c>
      <c r="AC173">
        <v>3522.0152413209144</v>
      </c>
      <c r="AD173">
        <v>120910.66892464014</v>
      </c>
      <c r="AE173">
        <v>0.96051031386014074</v>
      </c>
      <c r="AF173">
        <v>120911.629434954</v>
      </c>
      <c r="AG173">
        <v>0</v>
      </c>
      <c r="AH173">
        <v>120911.629434954</v>
      </c>
      <c r="AI173">
        <v>0</v>
      </c>
      <c r="AJ173">
        <v>120911.629434954</v>
      </c>
      <c r="AK173">
        <v>1209.4940867279947</v>
      </c>
      <c r="AL173">
        <v>122121.12352168201</v>
      </c>
      <c r="AM173">
        <v>122121.12352168199</v>
      </c>
      <c r="AN173">
        <v>7434734</v>
      </c>
      <c r="AQ173">
        <v>0</v>
      </c>
      <c r="AR173">
        <v>122121.12352168199</v>
      </c>
      <c r="AS173">
        <v>7434734</v>
      </c>
      <c r="AT173" s="238" t="s">
        <v>36</v>
      </c>
      <c r="AV173">
        <v>122121.12352168199</v>
      </c>
      <c r="AW173">
        <v>0</v>
      </c>
      <c r="AX173">
        <v>7434734</v>
      </c>
      <c r="AY173" s="238"/>
      <c r="AZ173" s="238" t="s">
        <v>3</v>
      </c>
      <c r="BA173" s="238" t="s">
        <v>3</v>
      </c>
      <c r="BB173" s="238" t="s">
        <v>8951</v>
      </c>
      <c r="BC173" s="238" t="s">
        <v>1167</v>
      </c>
      <c r="BD173" t="b">
        <v>1</v>
      </c>
      <c r="BE173" s="238" t="s">
        <v>9088</v>
      </c>
      <c r="BF173" s="238" t="s">
        <v>8971</v>
      </c>
      <c r="BG173">
        <v>7434734</v>
      </c>
      <c r="BH173">
        <v>7434734</v>
      </c>
      <c r="BI173">
        <v>0</v>
      </c>
      <c r="BJ173">
        <v>0</v>
      </c>
      <c r="BK173">
        <v>0</v>
      </c>
    </row>
    <row r="174" spans="1:63" x14ac:dyDescent="0.25">
      <c r="A174">
        <v>173</v>
      </c>
      <c r="B174">
        <v>1</v>
      </c>
      <c r="C174">
        <v>22</v>
      </c>
      <c r="D174">
        <v>8</v>
      </c>
      <c r="E174">
        <v>1</v>
      </c>
      <c r="F174">
        <v>14.95</v>
      </c>
      <c r="I174">
        <v>14.95</v>
      </c>
      <c r="J174">
        <v>17.47</v>
      </c>
      <c r="K174">
        <v>4.97</v>
      </c>
      <c r="M174">
        <v>4</v>
      </c>
      <c r="P174">
        <v>3.36</v>
      </c>
      <c r="R174">
        <v>3.36</v>
      </c>
      <c r="S174">
        <v>44.75</v>
      </c>
      <c r="T174">
        <v>41.39</v>
      </c>
      <c r="U174">
        <v>43.07</v>
      </c>
      <c r="V174">
        <v>119184.96000000001</v>
      </c>
      <c r="X174">
        <v>119184.96000000001</v>
      </c>
      <c r="Y174">
        <v>0.9452247873559827</v>
      </c>
      <c r="Z174">
        <v>119185.90522478736</v>
      </c>
      <c r="AA174">
        <v>0</v>
      </c>
      <c r="AB174">
        <v>119185.90522478736</v>
      </c>
      <c r="AC174">
        <v>0</v>
      </c>
      <c r="AD174">
        <v>119185.90522478736</v>
      </c>
      <c r="AE174">
        <v>-5313.1399589410721</v>
      </c>
      <c r="AF174">
        <v>113872.76526584629</v>
      </c>
      <c r="AG174">
        <v>0</v>
      </c>
      <c r="AH174">
        <v>113872.76526584629</v>
      </c>
      <c r="AI174">
        <v>0</v>
      </c>
      <c r="AJ174">
        <v>113872.76526584629</v>
      </c>
      <c r="AK174">
        <v>0</v>
      </c>
      <c r="AL174">
        <v>113872.76526584628</v>
      </c>
      <c r="AM174">
        <v>113872.76526584629</v>
      </c>
      <c r="AN174">
        <v>4904500</v>
      </c>
      <c r="AQ174">
        <v>0</v>
      </c>
      <c r="AR174">
        <v>113872.76526584629</v>
      </c>
      <c r="AS174">
        <v>4904500</v>
      </c>
      <c r="AT174" s="238" t="s">
        <v>36</v>
      </c>
      <c r="AV174">
        <v>113872.76526584629</v>
      </c>
      <c r="AW174">
        <v>0</v>
      </c>
      <c r="AX174">
        <v>4904500</v>
      </c>
      <c r="AY174" s="238"/>
      <c r="AZ174" s="238" t="s">
        <v>8963</v>
      </c>
      <c r="BA174" s="238" t="s">
        <v>8963</v>
      </c>
      <c r="BB174" s="238" t="s">
        <v>8953</v>
      </c>
      <c r="BC174" s="238" t="s">
        <v>8964</v>
      </c>
      <c r="BD174" t="b">
        <v>1</v>
      </c>
      <c r="BE174" s="238" t="s">
        <v>9088</v>
      </c>
      <c r="BF174" s="238" t="s">
        <v>8972</v>
      </c>
      <c r="BG174">
        <v>4904500</v>
      </c>
      <c r="BH174">
        <v>5133400</v>
      </c>
      <c r="BI174">
        <v>4904500</v>
      </c>
      <c r="BJ174">
        <v>4904500</v>
      </c>
      <c r="BK174">
        <v>0</v>
      </c>
    </row>
    <row r="175" spans="1:63" x14ac:dyDescent="0.25">
      <c r="A175">
        <v>174</v>
      </c>
      <c r="B175">
        <v>1</v>
      </c>
      <c r="C175">
        <v>23</v>
      </c>
      <c r="D175">
        <v>1</v>
      </c>
      <c r="E175">
        <v>1</v>
      </c>
      <c r="F175">
        <v>14.95</v>
      </c>
      <c r="I175">
        <v>14.95</v>
      </c>
      <c r="J175">
        <v>16.48</v>
      </c>
      <c r="K175">
        <v>5.01</v>
      </c>
      <c r="M175">
        <v>3.96</v>
      </c>
      <c r="P175">
        <v>3.36</v>
      </c>
      <c r="R175">
        <v>3.36</v>
      </c>
      <c r="S175">
        <v>43.76</v>
      </c>
      <c r="T175">
        <v>40.4</v>
      </c>
      <c r="U175">
        <v>42.08</v>
      </c>
      <c r="V175">
        <v>119184.96000000001</v>
      </c>
      <c r="X175">
        <v>119184.96000000001</v>
      </c>
      <c r="Y175">
        <v>1.9332038834836567</v>
      </c>
      <c r="Z175">
        <v>119186.89320388349</v>
      </c>
      <c r="AA175">
        <v>0</v>
      </c>
      <c r="AB175">
        <v>119186.89320388349</v>
      </c>
      <c r="AC175">
        <v>3575.7281553398061</v>
      </c>
      <c r="AD175">
        <v>122762.6213592233</v>
      </c>
      <c r="AE175">
        <v>1.1619107386795804</v>
      </c>
      <c r="AF175">
        <v>122763.78326996198</v>
      </c>
      <c r="AG175">
        <v>0</v>
      </c>
      <c r="AH175">
        <v>122763.78326996198</v>
      </c>
      <c r="AI175">
        <v>0</v>
      </c>
      <c r="AJ175">
        <v>122763.78326996198</v>
      </c>
      <c r="AK175">
        <v>0</v>
      </c>
      <c r="AL175">
        <v>122763.78326996198</v>
      </c>
      <c r="AM175">
        <v>122763.78326996198</v>
      </c>
      <c r="AN175">
        <v>5165900</v>
      </c>
      <c r="AQ175">
        <v>0</v>
      </c>
      <c r="AR175">
        <v>122763.78326996198</v>
      </c>
      <c r="AS175">
        <v>5165900</v>
      </c>
      <c r="AT175" s="238" t="s">
        <v>36</v>
      </c>
      <c r="AV175">
        <v>122763.78326996198</v>
      </c>
      <c r="AW175">
        <v>0</v>
      </c>
      <c r="AX175">
        <v>5165900</v>
      </c>
      <c r="AY175" s="238"/>
      <c r="AZ175" s="238" t="s">
        <v>3</v>
      </c>
      <c r="BA175" s="238" t="s">
        <v>3</v>
      </c>
      <c r="BB175" s="238" t="s">
        <v>8951</v>
      </c>
      <c r="BC175" s="238" t="s">
        <v>1167</v>
      </c>
      <c r="BD175" t="b">
        <v>1</v>
      </c>
      <c r="BE175" s="238" t="s">
        <v>9088</v>
      </c>
      <c r="BF175" s="238" t="s">
        <v>8972</v>
      </c>
      <c r="BG175">
        <v>5165900</v>
      </c>
      <c r="BH175">
        <v>5165900</v>
      </c>
      <c r="BI175">
        <v>0</v>
      </c>
      <c r="BJ175">
        <v>0</v>
      </c>
      <c r="BK175">
        <v>0</v>
      </c>
    </row>
    <row r="176" spans="1:63" x14ac:dyDescent="0.25">
      <c r="A176">
        <v>175</v>
      </c>
      <c r="B176">
        <v>1</v>
      </c>
      <c r="C176">
        <v>23</v>
      </c>
      <c r="D176">
        <v>2</v>
      </c>
      <c r="E176">
        <v>3</v>
      </c>
      <c r="F176">
        <v>18.46</v>
      </c>
      <c r="G176">
        <v>10.53</v>
      </c>
      <c r="H176">
        <v>9.9700000000000006</v>
      </c>
      <c r="I176">
        <v>38.96</v>
      </c>
      <c r="J176">
        <v>17.02</v>
      </c>
      <c r="K176">
        <v>4.07</v>
      </c>
      <c r="L176">
        <v>3.58</v>
      </c>
      <c r="M176">
        <v>4.18</v>
      </c>
      <c r="N176">
        <v>6.27</v>
      </c>
      <c r="P176">
        <v>3.04</v>
      </c>
      <c r="Q176">
        <v>3.41</v>
      </c>
      <c r="R176">
        <v>6.45</v>
      </c>
      <c r="S176">
        <v>80.53</v>
      </c>
      <c r="T176">
        <v>74.08</v>
      </c>
      <c r="U176">
        <v>77.31</v>
      </c>
      <c r="V176">
        <v>105198.08</v>
      </c>
      <c r="W176">
        <v>5198.08</v>
      </c>
      <c r="X176">
        <v>100000</v>
      </c>
      <c r="Y176">
        <v>0</v>
      </c>
      <c r="Z176">
        <v>99999.999999999985</v>
      </c>
      <c r="AA176">
        <v>500</v>
      </c>
      <c r="AB176">
        <v>100499.99999999999</v>
      </c>
      <c r="AC176">
        <v>3014.9966733200272</v>
      </c>
      <c r="AD176">
        <v>103514.99667332001</v>
      </c>
      <c r="AE176">
        <v>0.71927545763901435</v>
      </c>
      <c r="AF176">
        <v>103515.71594877765</v>
      </c>
      <c r="AG176">
        <v>0</v>
      </c>
      <c r="AH176">
        <v>103515.71594877765</v>
      </c>
      <c r="AI176">
        <v>0</v>
      </c>
      <c r="AJ176">
        <v>103515.71594877765</v>
      </c>
      <c r="AK176">
        <v>2080.7916181606415</v>
      </c>
      <c r="AL176">
        <v>105596.50756693828</v>
      </c>
      <c r="AM176">
        <v>105596.50756693829</v>
      </c>
      <c r="AN176">
        <v>8163666</v>
      </c>
      <c r="AQ176">
        <v>0</v>
      </c>
      <c r="AR176">
        <v>105596.50756693829</v>
      </c>
      <c r="AS176">
        <v>8163666</v>
      </c>
      <c r="AT176" s="238" t="s">
        <v>36</v>
      </c>
      <c r="AV176">
        <v>105596.50756693829</v>
      </c>
      <c r="AW176">
        <v>0</v>
      </c>
      <c r="AX176">
        <v>8163666</v>
      </c>
      <c r="AY176" s="238"/>
      <c r="AZ176" s="238" t="s">
        <v>3</v>
      </c>
      <c r="BA176" s="238" t="s">
        <v>3</v>
      </c>
      <c r="BB176" s="238" t="s">
        <v>8951</v>
      </c>
      <c r="BC176" s="238" t="s">
        <v>1167</v>
      </c>
      <c r="BD176" t="b">
        <v>1</v>
      </c>
      <c r="BE176" s="238" t="s">
        <v>9088</v>
      </c>
      <c r="BF176" s="238" t="s">
        <v>8990</v>
      </c>
      <c r="BG176">
        <v>8163666</v>
      </c>
      <c r="BH176">
        <v>8163666</v>
      </c>
      <c r="BI176">
        <v>0</v>
      </c>
      <c r="BJ176">
        <v>0</v>
      </c>
      <c r="BK176">
        <v>0</v>
      </c>
    </row>
    <row r="177" spans="1:63" x14ac:dyDescent="0.25">
      <c r="A177">
        <v>176</v>
      </c>
      <c r="B177">
        <v>1</v>
      </c>
      <c r="C177">
        <v>23</v>
      </c>
      <c r="D177">
        <v>3</v>
      </c>
      <c r="E177">
        <v>1</v>
      </c>
      <c r="F177">
        <v>12.41</v>
      </c>
      <c r="I177">
        <v>12.41</v>
      </c>
      <c r="J177">
        <v>14.77</v>
      </c>
      <c r="K177">
        <v>4.45</v>
      </c>
      <c r="M177">
        <v>3.88</v>
      </c>
      <c r="P177">
        <v>2.93</v>
      </c>
      <c r="R177">
        <v>2.93</v>
      </c>
      <c r="S177">
        <v>38.44</v>
      </c>
      <c r="T177">
        <v>35.51</v>
      </c>
      <c r="U177">
        <v>36.979999999999997</v>
      </c>
      <c r="V177">
        <v>120353.44</v>
      </c>
      <c r="X177">
        <v>120353.44</v>
      </c>
      <c r="Y177">
        <v>2.1155555555596948</v>
      </c>
      <c r="Z177">
        <v>120355.55555555556</v>
      </c>
      <c r="AA177">
        <v>0</v>
      </c>
      <c r="AB177">
        <v>120355.55555555556</v>
      </c>
      <c r="AC177">
        <v>3611.1111111111095</v>
      </c>
      <c r="AD177">
        <v>123966.66666666667</v>
      </c>
      <c r="AE177">
        <v>0.34252749235020019</v>
      </c>
      <c r="AF177">
        <v>123967.00919415902</v>
      </c>
      <c r="AG177">
        <v>0</v>
      </c>
      <c r="AH177">
        <v>123967.00919415902</v>
      </c>
      <c r="AI177">
        <v>500</v>
      </c>
      <c r="AJ177">
        <v>124467.00919415902</v>
      </c>
      <c r="AK177">
        <v>0</v>
      </c>
      <c r="AL177">
        <v>124467.00919415902</v>
      </c>
      <c r="AM177">
        <v>124467.00919415902</v>
      </c>
      <c r="AN177">
        <v>4602790</v>
      </c>
      <c r="AQ177">
        <v>0</v>
      </c>
      <c r="AR177">
        <v>124467.00919415902</v>
      </c>
      <c r="AS177">
        <v>4602790</v>
      </c>
      <c r="AT177" s="238" t="s">
        <v>36</v>
      </c>
      <c r="AV177">
        <v>124467.00919415902</v>
      </c>
      <c r="AW177">
        <v>0</v>
      </c>
      <c r="AX177">
        <v>4602790</v>
      </c>
      <c r="AY177" s="238"/>
      <c r="AZ177" s="238" t="s">
        <v>8963</v>
      </c>
      <c r="BA177" s="238" t="s">
        <v>8963</v>
      </c>
      <c r="BB177" s="238" t="s">
        <v>8953</v>
      </c>
      <c r="BC177" s="238" t="s">
        <v>8964</v>
      </c>
      <c r="BD177" t="b">
        <v>1</v>
      </c>
      <c r="BE177" s="238" t="s">
        <v>9088</v>
      </c>
      <c r="BF177" s="238" t="s">
        <v>8972</v>
      </c>
      <c r="BG177">
        <v>4602790</v>
      </c>
      <c r="BH177">
        <v>4602790</v>
      </c>
      <c r="BI177">
        <v>4602790</v>
      </c>
      <c r="BJ177">
        <v>0</v>
      </c>
      <c r="BK177">
        <v>0</v>
      </c>
    </row>
    <row r="178" spans="1:63" x14ac:dyDescent="0.25">
      <c r="A178">
        <v>177</v>
      </c>
      <c r="B178">
        <v>1</v>
      </c>
      <c r="C178">
        <v>23</v>
      </c>
      <c r="D178">
        <v>4</v>
      </c>
      <c r="E178">
        <v>1</v>
      </c>
      <c r="F178">
        <v>12.41</v>
      </c>
      <c r="I178">
        <v>12.41</v>
      </c>
      <c r="J178">
        <v>14.23</v>
      </c>
      <c r="K178">
        <v>4.45</v>
      </c>
      <c r="M178">
        <v>3.78</v>
      </c>
      <c r="P178">
        <v>3.11</v>
      </c>
      <c r="R178">
        <v>3.11</v>
      </c>
      <c r="S178">
        <v>37.979999999999997</v>
      </c>
      <c r="T178">
        <v>34.869999999999997</v>
      </c>
      <c r="U178">
        <v>36.43</v>
      </c>
      <c r="V178">
        <v>120353.44</v>
      </c>
      <c r="X178">
        <v>120353.44</v>
      </c>
      <c r="Y178">
        <v>2.6100695410132175</v>
      </c>
      <c r="Z178">
        <v>120356.05006954102</v>
      </c>
      <c r="AA178">
        <v>0</v>
      </c>
      <c r="AB178">
        <v>120356.05006954102</v>
      </c>
      <c r="AC178">
        <v>0</v>
      </c>
      <c r="AD178">
        <v>120356.05006954102</v>
      </c>
      <c r="AE178">
        <v>0.7986814883624902</v>
      </c>
      <c r="AF178">
        <v>120356.84875102938</v>
      </c>
      <c r="AG178">
        <v>-1586.6044468844484</v>
      </c>
      <c r="AH178">
        <v>118770.24430414493</v>
      </c>
      <c r="AI178">
        <v>0</v>
      </c>
      <c r="AJ178">
        <v>118770.24430414493</v>
      </c>
      <c r="AK178">
        <v>0</v>
      </c>
      <c r="AL178">
        <v>118770.24430414492</v>
      </c>
      <c r="AM178">
        <v>118770.24430414493</v>
      </c>
      <c r="AN178">
        <v>4326800</v>
      </c>
      <c r="AQ178">
        <v>0</v>
      </c>
      <c r="AR178">
        <v>118770.24430414493</v>
      </c>
      <c r="AS178">
        <v>4326800</v>
      </c>
      <c r="AT178" s="238" t="s">
        <v>36</v>
      </c>
      <c r="AV178">
        <v>118770.24430414493</v>
      </c>
      <c r="AW178">
        <v>0</v>
      </c>
      <c r="AX178">
        <v>4326800</v>
      </c>
      <c r="AY178" s="238"/>
      <c r="AZ178" s="238" t="s">
        <v>8963</v>
      </c>
      <c r="BA178" s="238" t="s">
        <v>8963</v>
      </c>
      <c r="BB178" s="238" t="s">
        <v>8953</v>
      </c>
      <c r="BC178" s="238" t="s">
        <v>8964</v>
      </c>
      <c r="BD178" t="b">
        <v>1</v>
      </c>
      <c r="BE178" s="238" t="s">
        <v>9088</v>
      </c>
      <c r="BF178" s="238" t="s">
        <v>8972</v>
      </c>
      <c r="BG178">
        <v>4326800</v>
      </c>
      <c r="BH178">
        <v>4402821</v>
      </c>
      <c r="BI178">
        <v>4326800</v>
      </c>
      <c r="BJ178">
        <v>0</v>
      </c>
      <c r="BK178">
        <v>0</v>
      </c>
    </row>
    <row r="179" spans="1:63" x14ac:dyDescent="0.25">
      <c r="A179">
        <v>178</v>
      </c>
      <c r="B179">
        <v>1</v>
      </c>
      <c r="C179">
        <v>23</v>
      </c>
      <c r="D179">
        <v>5</v>
      </c>
      <c r="E179">
        <v>2</v>
      </c>
      <c r="F179">
        <v>14.66</v>
      </c>
      <c r="G179">
        <v>10.58</v>
      </c>
      <c r="I179">
        <v>25.240000000000002</v>
      </c>
      <c r="J179">
        <v>17.38</v>
      </c>
      <c r="K179">
        <v>4.07</v>
      </c>
      <c r="L179">
        <v>3.38</v>
      </c>
      <c r="M179">
        <v>3.48</v>
      </c>
      <c r="N179">
        <v>3.77</v>
      </c>
      <c r="P179">
        <v>3.11</v>
      </c>
      <c r="R179">
        <v>3.11</v>
      </c>
      <c r="S179">
        <v>60.43</v>
      </c>
      <c r="T179">
        <v>57.32</v>
      </c>
      <c r="U179">
        <v>58.88</v>
      </c>
      <c r="V179">
        <v>118496.08</v>
      </c>
      <c r="X179">
        <v>118496.08</v>
      </c>
      <c r="Y179">
        <v>0.86856146468198858</v>
      </c>
      <c r="Z179">
        <v>118496.94856146468</v>
      </c>
      <c r="AA179">
        <v>0</v>
      </c>
      <c r="AB179">
        <v>118496.94856146468</v>
      </c>
      <c r="AC179">
        <v>3554.9607672188286</v>
      </c>
      <c r="AD179">
        <v>122051.90932868351</v>
      </c>
      <c r="AE179">
        <v>1.4194756643119035</v>
      </c>
      <c r="AF179">
        <v>122053.32880434782</v>
      </c>
      <c r="AG179">
        <v>0</v>
      </c>
      <c r="AH179">
        <v>122053.32880434782</v>
      </c>
      <c r="AI179">
        <v>0</v>
      </c>
      <c r="AJ179">
        <v>122053.32880434782</v>
      </c>
      <c r="AK179">
        <v>1220.1936141304325</v>
      </c>
      <c r="AL179">
        <v>123273.52241847826</v>
      </c>
      <c r="AM179">
        <v>123273.52241847826</v>
      </c>
      <c r="AN179">
        <v>7258345</v>
      </c>
      <c r="AQ179">
        <v>0</v>
      </c>
      <c r="AR179">
        <v>123273.52241847826</v>
      </c>
      <c r="AS179">
        <v>7258345</v>
      </c>
      <c r="AT179" s="238" t="s">
        <v>36</v>
      </c>
      <c r="AV179">
        <v>123273.52241847826</v>
      </c>
      <c r="AW179">
        <v>0</v>
      </c>
      <c r="AX179">
        <v>7258345</v>
      </c>
      <c r="AY179" s="238"/>
      <c r="AZ179" s="238" t="s">
        <v>3</v>
      </c>
      <c r="BA179" s="238" t="s">
        <v>3</v>
      </c>
      <c r="BB179" s="238" t="s">
        <v>8951</v>
      </c>
      <c r="BC179" s="238" t="s">
        <v>1167</v>
      </c>
      <c r="BD179" t="b">
        <v>1</v>
      </c>
      <c r="BE179" s="238" t="s">
        <v>9088</v>
      </c>
      <c r="BF179" s="238" t="s">
        <v>8971</v>
      </c>
      <c r="BG179">
        <v>7258345</v>
      </c>
      <c r="BH179">
        <v>7258345</v>
      </c>
      <c r="BI179">
        <v>0</v>
      </c>
      <c r="BJ179">
        <v>0</v>
      </c>
      <c r="BK179">
        <v>0</v>
      </c>
    </row>
    <row r="180" spans="1:63" x14ac:dyDescent="0.25">
      <c r="A180">
        <v>179</v>
      </c>
      <c r="B180">
        <v>1</v>
      </c>
      <c r="C180">
        <v>23</v>
      </c>
      <c r="D180">
        <v>6</v>
      </c>
      <c r="E180">
        <v>2</v>
      </c>
      <c r="F180">
        <v>11.63</v>
      </c>
      <c r="G180">
        <v>10.93</v>
      </c>
      <c r="I180">
        <v>22.560000000000002</v>
      </c>
      <c r="J180">
        <v>16.28</v>
      </c>
      <c r="K180">
        <v>4.62</v>
      </c>
      <c r="M180">
        <v>4.3899999999999997</v>
      </c>
      <c r="N180">
        <v>1.81</v>
      </c>
      <c r="P180">
        <v>4.4000000000000004</v>
      </c>
      <c r="R180">
        <v>4.4000000000000004</v>
      </c>
      <c r="S180">
        <v>54.06</v>
      </c>
      <c r="T180">
        <v>49.66</v>
      </c>
      <c r="U180">
        <v>51.86</v>
      </c>
      <c r="V180">
        <v>116281.2</v>
      </c>
      <c r="X180">
        <v>116281.2</v>
      </c>
      <c r="Y180">
        <v>501.80692383779387</v>
      </c>
      <c r="Z180">
        <v>116783.00692383779</v>
      </c>
      <c r="AA180">
        <v>0</v>
      </c>
      <c r="AB180">
        <v>116783.00692383779</v>
      </c>
      <c r="AC180">
        <v>3503.4817012858548</v>
      </c>
      <c r="AD180">
        <v>120286.48862512365</v>
      </c>
      <c r="AE180">
        <v>0.82336870589642785</v>
      </c>
      <c r="AF180">
        <v>120287.31199382954</v>
      </c>
      <c r="AG180">
        <v>0</v>
      </c>
      <c r="AH180">
        <v>120287.31199382954</v>
      </c>
      <c r="AI180">
        <v>0</v>
      </c>
      <c r="AJ180">
        <v>120287.31199382954</v>
      </c>
      <c r="AK180">
        <v>1202.5645969918987</v>
      </c>
      <c r="AL180">
        <v>121489.87659082144</v>
      </c>
      <c r="AM180">
        <v>121489.87659082144</v>
      </c>
      <c r="AN180">
        <v>6300465</v>
      </c>
      <c r="AQ180">
        <v>0</v>
      </c>
      <c r="AR180">
        <v>121489.87659082144</v>
      </c>
      <c r="AS180">
        <v>6300465</v>
      </c>
      <c r="AT180" s="238" t="s">
        <v>36</v>
      </c>
      <c r="AV180">
        <v>121489.87659082144</v>
      </c>
      <c r="AW180">
        <v>0</v>
      </c>
      <c r="AX180">
        <v>6300465</v>
      </c>
      <c r="AY180" s="238"/>
      <c r="AZ180" s="238" t="s">
        <v>3</v>
      </c>
      <c r="BA180" s="238" t="s">
        <v>3</v>
      </c>
      <c r="BB180" s="238" t="s">
        <v>8951</v>
      </c>
      <c r="BC180" s="238" t="s">
        <v>1167</v>
      </c>
      <c r="BD180" t="b">
        <v>1</v>
      </c>
      <c r="BE180" s="238" t="s">
        <v>9088</v>
      </c>
      <c r="BF180" s="238" t="s">
        <v>8971</v>
      </c>
      <c r="BG180">
        <v>6300465</v>
      </c>
      <c r="BH180">
        <v>6300465</v>
      </c>
      <c r="BI180">
        <v>0</v>
      </c>
      <c r="BJ180">
        <v>0</v>
      </c>
      <c r="BK180">
        <v>0</v>
      </c>
    </row>
    <row r="181" spans="1:63" x14ac:dyDescent="0.25">
      <c r="A181">
        <v>180</v>
      </c>
      <c r="B181">
        <v>1</v>
      </c>
      <c r="C181">
        <v>23</v>
      </c>
      <c r="D181">
        <v>7</v>
      </c>
      <c r="E181">
        <v>2</v>
      </c>
      <c r="F181">
        <v>10.86</v>
      </c>
      <c r="G181">
        <v>14.01</v>
      </c>
      <c r="I181">
        <v>24.869999999999997</v>
      </c>
      <c r="J181">
        <v>18.82</v>
      </c>
      <c r="K181">
        <v>3.96</v>
      </c>
      <c r="M181">
        <v>2.8</v>
      </c>
      <c r="N181">
        <v>3.83</v>
      </c>
      <c r="O181">
        <v>4.6399999999999997</v>
      </c>
      <c r="P181">
        <v>3.91</v>
      </c>
      <c r="R181">
        <v>3.91</v>
      </c>
      <c r="S181">
        <v>62.83</v>
      </c>
      <c r="T181">
        <v>58.92</v>
      </c>
      <c r="U181">
        <v>60.88</v>
      </c>
      <c r="V181">
        <v>117388.64</v>
      </c>
      <c r="X181">
        <v>117388.64</v>
      </c>
      <c r="Y181">
        <v>1.3683319222764112E-2</v>
      </c>
      <c r="Z181">
        <v>117388.65368331922</v>
      </c>
      <c r="AA181">
        <v>0</v>
      </c>
      <c r="AB181">
        <v>117388.65368331922</v>
      </c>
      <c r="AC181">
        <v>3522.0152413209144</v>
      </c>
      <c r="AD181">
        <v>120910.66892464014</v>
      </c>
      <c r="AE181">
        <v>0.96051031386014074</v>
      </c>
      <c r="AF181">
        <v>120911.629434954</v>
      </c>
      <c r="AG181">
        <v>0</v>
      </c>
      <c r="AH181">
        <v>120911.629434954</v>
      </c>
      <c r="AI181">
        <v>0</v>
      </c>
      <c r="AJ181">
        <v>120911.629434954</v>
      </c>
      <c r="AK181">
        <v>1209.4940867279947</v>
      </c>
      <c r="AL181">
        <v>122121.12352168201</v>
      </c>
      <c r="AM181">
        <v>122121.12352168199</v>
      </c>
      <c r="AN181">
        <v>7434734</v>
      </c>
      <c r="AQ181">
        <v>0</v>
      </c>
      <c r="AR181">
        <v>122121.12352168199</v>
      </c>
      <c r="AS181">
        <v>7434734</v>
      </c>
      <c r="AT181" s="238" t="s">
        <v>36</v>
      </c>
      <c r="AV181">
        <v>122121.12352168199</v>
      </c>
      <c r="AW181">
        <v>0</v>
      </c>
      <c r="AX181">
        <v>7434734</v>
      </c>
      <c r="AY181" s="238"/>
      <c r="AZ181" s="238" t="s">
        <v>3</v>
      </c>
      <c r="BA181" s="238" t="s">
        <v>3</v>
      </c>
      <c r="BB181" s="238" t="s">
        <v>8951</v>
      </c>
      <c r="BC181" s="238" t="s">
        <v>1167</v>
      </c>
      <c r="BD181" t="b">
        <v>1</v>
      </c>
      <c r="BE181" s="238" t="s">
        <v>9088</v>
      </c>
      <c r="BF181" s="238" t="s">
        <v>8971</v>
      </c>
      <c r="BG181">
        <v>7434734</v>
      </c>
      <c r="BH181">
        <v>7434734</v>
      </c>
      <c r="BI181">
        <v>0</v>
      </c>
      <c r="BJ181">
        <v>0</v>
      </c>
      <c r="BK181">
        <v>0</v>
      </c>
    </row>
    <row r="182" spans="1:63" x14ac:dyDescent="0.25">
      <c r="A182">
        <v>181</v>
      </c>
      <c r="B182">
        <v>1</v>
      </c>
      <c r="C182">
        <v>23</v>
      </c>
      <c r="D182">
        <v>8</v>
      </c>
      <c r="E182">
        <v>1</v>
      </c>
      <c r="F182">
        <v>14.95</v>
      </c>
      <c r="I182">
        <v>14.95</v>
      </c>
      <c r="J182">
        <v>17.47</v>
      </c>
      <c r="K182">
        <v>4.97</v>
      </c>
      <c r="M182">
        <v>4</v>
      </c>
      <c r="P182">
        <v>3.36</v>
      </c>
      <c r="R182">
        <v>3.36</v>
      </c>
      <c r="S182">
        <v>44.75</v>
      </c>
      <c r="T182">
        <v>41.39</v>
      </c>
      <c r="U182">
        <v>43.07</v>
      </c>
      <c r="V182">
        <v>119184.96000000001</v>
      </c>
      <c r="X182">
        <v>119184.96000000001</v>
      </c>
      <c r="Y182">
        <v>0.9452247873559827</v>
      </c>
      <c r="Z182">
        <v>119185.90522478736</v>
      </c>
      <c r="AA182">
        <v>500.09720534630469</v>
      </c>
      <c r="AB182">
        <v>119686.00243013367</v>
      </c>
      <c r="AC182">
        <v>3590.5710814094782</v>
      </c>
      <c r="AD182">
        <v>123276.57351154315</v>
      </c>
      <c r="AE182">
        <v>1.8105144610308344</v>
      </c>
      <c r="AF182">
        <v>123278.38402600418</v>
      </c>
      <c r="AG182">
        <v>0</v>
      </c>
      <c r="AH182">
        <v>123278.38402600418</v>
      </c>
      <c r="AI182">
        <v>0</v>
      </c>
      <c r="AJ182">
        <v>123278.38402600418</v>
      </c>
      <c r="AK182">
        <v>0</v>
      </c>
      <c r="AL182">
        <v>123278.38402600418</v>
      </c>
      <c r="AM182">
        <v>123278.38402600418</v>
      </c>
      <c r="AN182">
        <v>5309600</v>
      </c>
      <c r="AQ182">
        <v>0</v>
      </c>
      <c r="AR182">
        <v>123278.38402600418</v>
      </c>
      <c r="AS182">
        <v>5309600</v>
      </c>
      <c r="AT182" s="238" t="s">
        <v>36</v>
      </c>
      <c r="AV182">
        <v>123278.38402600418</v>
      </c>
      <c r="AW182">
        <v>0</v>
      </c>
      <c r="AX182">
        <v>5309600</v>
      </c>
      <c r="AY182" s="238"/>
      <c r="AZ182" s="238" t="s">
        <v>3</v>
      </c>
      <c r="BA182" s="238" t="s">
        <v>3</v>
      </c>
      <c r="BB182" s="238" t="s">
        <v>8951</v>
      </c>
      <c r="BC182" s="238" t="s">
        <v>1167</v>
      </c>
      <c r="BD182" t="b">
        <v>1</v>
      </c>
      <c r="BE182" s="238" t="s">
        <v>9088</v>
      </c>
      <c r="BF182" s="238" t="s">
        <v>8972</v>
      </c>
      <c r="BG182">
        <v>5309600</v>
      </c>
      <c r="BH182">
        <v>5309600</v>
      </c>
      <c r="BI182">
        <v>0</v>
      </c>
      <c r="BJ182">
        <v>0</v>
      </c>
      <c r="BK182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28DD-FCF3-4918-B4E2-312045C6EC6E}">
  <dimension ref="A1:CJ221"/>
  <sheetViews>
    <sheetView topLeftCell="A2" workbookViewId="0">
      <selection activeCell="G8" sqref="G8"/>
    </sheetView>
  </sheetViews>
  <sheetFormatPr defaultRowHeight="15" x14ac:dyDescent="0.25"/>
  <cols>
    <col min="1" max="1" width="5.5703125" bestFit="1" customWidth="1"/>
    <col min="2" max="2" width="11.4257812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2.5703125" bestFit="1" customWidth="1"/>
    <col min="14" max="14" width="11.42578125" bestFit="1" customWidth="1"/>
    <col min="15" max="15" width="15.42578125" bestFit="1" customWidth="1"/>
    <col min="16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15" bestFit="1" customWidth="1"/>
    <col min="24" max="24" width="15.5703125" bestFit="1" customWidth="1"/>
    <col min="25" max="25" width="15" bestFit="1" customWidth="1"/>
    <col min="26" max="26" width="15.5703125" bestFit="1" customWidth="1"/>
    <col min="27" max="27" width="15" bestFit="1" customWidth="1"/>
    <col min="28" max="28" width="15.5703125" bestFit="1" customWidth="1"/>
    <col min="29" max="29" width="15" bestFit="1" customWidth="1"/>
    <col min="30" max="30" width="15.5703125" bestFit="1" customWidth="1"/>
    <col min="31" max="31" width="15" bestFit="1" customWidth="1"/>
    <col min="32" max="32" width="15.5703125" bestFit="1" customWidth="1"/>
    <col min="33" max="33" width="15" bestFit="1" customWidth="1"/>
    <col min="34" max="34" width="15.5703125" bestFit="1" customWidth="1"/>
    <col min="35" max="35" width="15" bestFit="1" customWidth="1"/>
    <col min="36" max="36" width="15.5703125" bestFit="1" customWidth="1"/>
    <col min="37" max="37" width="15" bestFit="1" customWidth="1"/>
    <col min="38" max="38" width="15.5703125" bestFit="1" customWidth="1"/>
    <col min="39" max="39" width="15" bestFit="1" customWidth="1"/>
    <col min="40" max="40" width="15.5703125" bestFit="1" customWidth="1"/>
    <col min="41" max="41" width="15" bestFit="1" customWidth="1"/>
    <col min="42" max="42" width="15.5703125" bestFit="1" customWidth="1"/>
    <col min="43" max="43" width="15" bestFit="1" customWidth="1"/>
    <col min="44" max="44" width="15.5703125" bestFit="1" customWidth="1"/>
    <col min="45" max="45" width="15" bestFit="1" customWidth="1"/>
    <col min="46" max="46" width="15.5703125" bestFit="1" customWidth="1"/>
    <col min="47" max="47" width="15" bestFit="1" customWidth="1"/>
    <col min="48" max="48" width="15.5703125" bestFit="1" customWidth="1"/>
    <col min="49" max="49" width="15" bestFit="1" customWidth="1"/>
    <col min="50" max="50" width="15.5703125" bestFit="1" customWidth="1"/>
    <col min="51" max="51" width="21.7109375" bestFit="1" customWidth="1"/>
    <col min="52" max="52" width="15.5703125" bestFit="1" customWidth="1"/>
    <col min="53" max="53" width="15" bestFit="1" customWidth="1"/>
    <col min="54" max="54" width="15.5703125" bestFit="1" customWidth="1"/>
    <col min="55" max="55" width="15" bestFit="1" customWidth="1"/>
    <col min="56" max="56" width="15.5703125" bestFit="1" customWidth="1"/>
    <col min="57" max="57" width="15" bestFit="1" customWidth="1"/>
    <col min="58" max="58" width="15.5703125" bestFit="1" customWidth="1"/>
    <col min="59" max="59" width="15" bestFit="1" customWidth="1"/>
    <col min="60" max="60" width="15.5703125" bestFit="1" customWidth="1"/>
    <col min="61" max="61" width="15" bestFit="1" customWidth="1"/>
    <col min="62" max="62" width="15.5703125" bestFit="1" customWidth="1"/>
    <col min="63" max="63" width="14" bestFit="1" customWidth="1"/>
    <col min="64" max="64" width="23" bestFit="1" customWidth="1"/>
    <col min="65" max="65" width="24.85546875" bestFit="1" customWidth="1"/>
    <col min="66" max="66" width="11.85546875" bestFit="1" customWidth="1"/>
    <col min="67" max="67" width="25.28515625" bestFit="1" customWidth="1"/>
    <col min="68" max="68" width="33.85546875" bestFit="1" customWidth="1"/>
    <col min="69" max="69" width="39.140625" bestFit="1" customWidth="1"/>
    <col min="70" max="70" width="11.140625" bestFit="1" customWidth="1"/>
    <col min="71" max="71" width="15.42578125" bestFit="1" customWidth="1"/>
    <col min="72" max="72" width="21.42578125" bestFit="1" customWidth="1"/>
    <col min="73" max="73" width="21.85546875" bestFit="1" customWidth="1"/>
    <col min="74" max="74" width="17.85546875" bestFit="1" customWidth="1"/>
    <col min="75" max="75" width="33.5703125" bestFit="1" customWidth="1"/>
    <col min="76" max="76" width="25.85546875" bestFit="1" customWidth="1"/>
    <col min="77" max="78" width="23.140625" bestFit="1" customWidth="1"/>
    <col min="79" max="79" width="14.42578125" bestFit="1" customWidth="1"/>
    <col min="80" max="80" width="16.85546875" bestFit="1" customWidth="1"/>
    <col min="81" max="81" width="40.7109375" bestFit="1" customWidth="1"/>
    <col min="82" max="82" width="15.7109375" bestFit="1" customWidth="1"/>
    <col min="83" max="83" width="19" bestFit="1" customWidth="1"/>
    <col min="84" max="84" width="17.7109375" bestFit="1" customWidth="1"/>
    <col min="85" max="87" width="8" bestFit="1" customWidth="1"/>
    <col min="88" max="88" width="22.28515625" customWidth="1"/>
  </cols>
  <sheetData>
    <row r="1" spans="1:88" x14ac:dyDescent="0.25">
      <c r="A1" t="s">
        <v>10</v>
      </c>
      <c r="B1" t="s">
        <v>7404</v>
      </c>
      <c r="C1" t="s">
        <v>41</v>
      </c>
      <c r="D1" t="s">
        <v>3149</v>
      </c>
      <c r="E1" t="s">
        <v>32</v>
      </c>
      <c r="F1" t="s">
        <v>3372</v>
      </c>
      <c r="G1" t="s">
        <v>3373</v>
      </c>
      <c r="H1" t="s">
        <v>3374</v>
      </c>
      <c r="I1" t="s">
        <v>4620</v>
      </c>
      <c r="J1" t="s">
        <v>3375</v>
      </c>
      <c r="K1" t="s">
        <v>3376</v>
      </c>
      <c r="L1" t="s">
        <v>3377</v>
      </c>
      <c r="M1" t="s">
        <v>9040</v>
      </c>
      <c r="N1" t="s">
        <v>3379</v>
      </c>
      <c r="O1" t="s">
        <v>3378</v>
      </c>
      <c r="P1" t="s">
        <v>3380</v>
      </c>
      <c r="Q1" t="s">
        <v>3381</v>
      </c>
      <c r="R1" t="s">
        <v>85</v>
      </c>
      <c r="S1" t="s">
        <v>4621</v>
      </c>
      <c r="T1" t="s">
        <v>4622</v>
      </c>
      <c r="U1" t="s">
        <v>113</v>
      </c>
      <c r="V1" t="s">
        <v>3386</v>
      </c>
      <c r="W1" t="s">
        <v>9041</v>
      </c>
      <c r="X1" t="s">
        <v>9042</v>
      </c>
      <c r="Y1" t="s">
        <v>9043</v>
      </c>
      <c r="Z1" t="s">
        <v>9044</v>
      </c>
      <c r="AA1" t="s">
        <v>9045</v>
      </c>
      <c r="AB1" t="s">
        <v>9046</v>
      </c>
      <c r="AC1" t="s">
        <v>9047</v>
      </c>
      <c r="AD1" t="s">
        <v>9048</v>
      </c>
      <c r="AE1" t="s">
        <v>9049</v>
      </c>
      <c r="AF1" t="s">
        <v>9050</v>
      </c>
      <c r="AG1" t="s">
        <v>9051</v>
      </c>
      <c r="AH1" t="s">
        <v>9052</v>
      </c>
      <c r="AI1" t="s">
        <v>9053</v>
      </c>
      <c r="AJ1" t="s">
        <v>9054</v>
      </c>
      <c r="AK1" t="s">
        <v>9055</v>
      </c>
      <c r="AL1" t="s">
        <v>9056</v>
      </c>
      <c r="AM1" t="s">
        <v>9057</v>
      </c>
      <c r="AN1" t="s">
        <v>9058</v>
      </c>
      <c r="AO1" t="s">
        <v>9059</v>
      </c>
      <c r="AP1" t="s">
        <v>9060</v>
      </c>
      <c r="AQ1" t="s">
        <v>9061</v>
      </c>
      <c r="AR1" t="s">
        <v>9062</v>
      </c>
      <c r="AS1" t="s">
        <v>9063</v>
      </c>
      <c r="AT1" t="s">
        <v>9064</v>
      </c>
      <c r="AU1" t="s">
        <v>9065</v>
      </c>
      <c r="AV1" t="s">
        <v>9066</v>
      </c>
      <c r="AW1" t="s">
        <v>9067</v>
      </c>
      <c r="AX1" t="s">
        <v>9017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9106</v>
      </c>
      <c r="BH1" t="s">
        <v>9105</v>
      </c>
      <c r="BI1" t="s">
        <v>9117</v>
      </c>
      <c r="BJ1" t="s">
        <v>9118</v>
      </c>
      <c r="BK1" t="s">
        <v>3383</v>
      </c>
      <c r="BL1" t="s">
        <v>3387</v>
      </c>
      <c r="BM1" t="s">
        <v>114</v>
      </c>
      <c r="BN1" t="s">
        <v>86</v>
      </c>
      <c r="BO1" t="s">
        <v>115</v>
      </c>
      <c r="BP1" t="s">
        <v>87</v>
      </c>
      <c r="BQ1" t="s">
        <v>88</v>
      </c>
      <c r="BR1" t="s">
        <v>9</v>
      </c>
      <c r="BS1" t="s">
        <v>9076</v>
      </c>
      <c r="BT1" t="s">
        <v>46</v>
      </c>
      <c r="BU1" t="s">
        <v>47</v>
      </c>
      <c r="BV1" t="s">
        <v>89</v>
      </c>
      <c r="BW1" t="s">
        <v>48</v>
      </c>
      <c r="BX1" t="s">
        <v>56</v>
      </c>
      <c r="BY1" t="s">
        <v>8</v>
      </c>
      <c r="BZ1" t="s">
        <v>7</v>
      </c>
      <c r="CA1" t="s">
        <v>8945</v>
      </c>
      <c r="CB1" t="s">
        <v>8946</v>
      </c>
      <c r="CC1" t="s">
        <v>8943</v>
      </c>
      <c r="CD1" t="s">
        <v>8969</v>
      </c>
      <c r="CE1" t="s">
        <v>3385</v>
      </c>
      <c r="CF1" t="s">
        <v>6979</v>
      </c>
      <c r="CG1" t="s">
        <v>8999</v>
      </c>
      <c r="CH1" t="s">
        <v>9000</v>
      </c>
      <c r="CI1" t="s">
        <v>9001</v>
      </c>
      <c r="CJ1" t="s">
        <v>8058</v>
      </c>
    </row>
    <row r="2" spans="1:88" x14ac:dyDescent="0.25">
      <c r="A2">
        <v>1</v>
      </c>
      <c r="B2">
        <v>1</v>
      </c>
      <c r="C2">
        <v>1</v>
      </c>
      <c r="D2">
        <v>3</v>
      </c>
      <c r="E2">
        <v>2</v>
      </c>
      <c r="F2">
        <v>10.45</v>
      </c>
      <c r="G2">
        <v>17.13</v>
      </c>
      <c r="I2">
        <v>27.58</v>
      </c>
      <c r="J2">
        <v>19.07</v>
      </c>
      <c r="K2">
        <v>5.69</v>
      </c>
      <c r="M2">
        <v>4.3899999999999997</v>
      </c>
      <c r="N2">
        <v>5.53</v>
      </c>
      <c r="R2">
        <v>0</v>
      </c>
      <c r="S2">
        <v>62.26</v>
      </c>
      <c r="T2">
        <v>62.26</v>
      </c>
      <c r="U2">
        <v>62.26</v>
      </c>
      <c r="V2">
        <v>117388.64</v>
      </c>
      <c r="W2">
        <v>0.97038961038924754</v>
      </c>
      <c r="X2">
        <v>117389.61038961039</v>
      </c>
      <c r="Y2">
        <v>0</v>
      </c>
      <c r="Z2">
        <v>117389.61038961039</v>
      </c>
      <c r="AA2">
        <v>0</v>
      </c>
      <c r="AB2">
        <v>117389.61038961039</v>
      </c>
      <c r="AC2">
        <v>0</v>
      </c>
      <c r="AD2">
        <v>117389.61038961039</v>
      </c>
      <c r="AE2">
        <v>0</v>
      </c>
      <c r="AF2">
        <v>117389.61038961039</v>
      </c>
      <c r="AG2">
        <v>0</v>
      </c>
      <c r="AH2">
        <v>117389.61038961039</v>
      </c>
      <c r="AI2">
        <v>0</v>
      </c>
      <c r="AJ2">
        <v>117389.61038961039</v>
      </c>
      <c r="AK2">
        <v>0</v>
      </c>
      <c r="AL2">
        <v>117389.61038961039</v>
      </c>
      <c r="AM2">
        <v>0</v>
      </c>
      <c r="AN2">
        <v>117389.61038961039</v>
      </c>
      <c r="AO2">
        <v>0</v>
      </c>
      <c r="AP2">
        <v>117389.61038961039</v>
      </c>
      <c r="AQ2">
        <v>0</v>
      </c>
      <c r="AR2">
        <v>117389.61038961039</v>
      </c>
      <c r="AS2">
        <v>0</v>
      </c>
      <c r="AT2">
        <v>117389.61038961039</v>
      </c>
      <c r="AV2">
        <v>117389.61038961039</v>
      </c>
      <c r="AW2">
        <v>2240.344637694463</v>
      </c>
      <c r="AX2">
        <v>119629.95502730485</v>
      </c>
      <c r="AY2">
        <v>1282.3482171538781</v>
      </c>
      <c r="AZ2">
        <v>120912.30324445873</v>
      </c>
      <c r="BA2">
        <v>0</v>
      </c>
      <c r="BB2">
        <v>120912.30324445873</v>
      </c>
      <c r="BC2">
        <v>0</v>
      </c>
      <c r="BD2">
        <v>120912.30324445873</v>
      </c>
      <c r="BE2">
        <v>0</v>
      </c>
      <c r="BF2">
        <v>120912.30324445873</v>
      </c>
      <c r="BG2">
        <v>1208.8178605846481</v>
      </c>
      <c r="BH2">
        <v>122121.12110504338</v>
      </c>
      <c r="BI2">
        <v>0</v>
      </c>
      <c r="BJ2">
        <v>122121.12110504338</v>
      </c>
      <c r="BK2">
        <v>122121.12110504338</v>
      </c>
      <c r="BL2">
        <v>7603261</v>
      </c>
      <c r="BO2">
        <v>0</v>
      </c>
      <c r="BP2">
        <v>122121.12110504338</v>
      </c>
      <c r="BQ2">
        <v>7603261</v>
      </c>
      <c r="BR2" s="238" t="s">
        <v>36</v>
      </c>
      <c r="BU2">
        <v>122121.12110504338</v>
      </c>
      <c r="BV2">
        <v>0</v>
      </c>
      <c r="BW2">
        <v>7603261</v>
      </c>
      <c r="BX2" s="238"/>
      <c r="BY2" s="238" t="s">
        <v>35</v>
      </c>
      <c r="BZ2" s="238" t="s">
        <v>35</v>
      </c>
      <c r="CA2" s="238" t="s">
        <v>8953</v>
      </c>
      <c r="CB2" s="238" t="s">
        <v>8954</v>
      </c>
      <c r="CC2" s="238" t="s">
        <v>9077</v>
      </c>
      <c r="CD2" s="238" t="s">
        <v>8971</v>
      </c>
      <c r="CE2" t="b">
        <v>1</v>
      </c>
      <c r="CF2">
        <v>7603261</v>
      </c>
      <c r="CG2">
        <v>7603261</v>
      </c>
      <c r="CH2">
        <v>0</v>
      </c>
      <c r="CI2">
        <v>0</v>
      </c>
      <c r="CJ2">
        <v>0</v>
      </c>
    </row>
    <row r="3" spans="1:88" x14ac:dyDescent="0.25">
      <c r="A3">
        <v>2</v>
      </c>
      <c r="B3">
        <v>1</v>
      </c>
      <c r="C3">
        <v>1</v>
      </c>
      <c r="D3">
        <v>4</v>
      </c>
      <c r="E3">
        <v>1</v>
      </c>
      <c r="F3">
        <v>12.64</v>
      </c>
      <c r="I3">
        <v>12.64</v>
      </c>
      <c r="J3">
        <v>15.67</v>
      </c>
      <c r="K3">
        <v>4.6900000000000004</v>
      </c>
      <c r="M3">
        <v>4.01</v>
      </c>
      <c r="P3">
        <v>3.38</v>
      </c>
      <c r="R3">
        <v>3.38</v>
      </c>
      <c r="S3">
        <v>40.39</v>
      </c>
      <c r="T3">
        <v>37.01</v>
      </c>
      <c r="U3">
        <v>38.700000000000003</v>
      </c>
      <c r="V3">
        <v>120353.44</v>
      </c>
      <c r="W3">
        <v>2.291225296430639</v>
      </c>
      <c r="X3">
        <v>120355.73122529643</v>
      </c>
      <c r="Y3">
        <v>0</v>
      </c>
      <c r="Z3">
        <v>120355.73122529643</v>
      </c>
      <c r="AA3">
        <v>0</v>
      </c>
      <c r="AB3">
        <v>120355.73122529643</v>
      </c>
      <c r="AC3">
        <v>0</v>
      </c>
      <c r="AD3">
        <v>120355.73122529643</v>
      </c>
      <c r="AE3">
        <v>0</v>
      </c>
      <c r="AF3">
        <v>120355.73122529643</v>
      </c>
      <c r="AG3">
        <v>0</v>
      </c>
      <c r="AH3">
        <v>120355.73122529643</v>
      </c>
      <c r="AI3">
        <v>0</v>
      </c>
      <c r="AJ3">
        <v>120355.73122529643</v>
      </c>
      <c r="AK3">
        <v>0</v>
      </c>
      <c r="AL3">
        <v>120355.73122529643</v>
      </c>
      <c r="AM3">
        <v>0</v>
      </c>
      <c r="AN3">
        <v>120355.73122529643</v>
      </c>
      <c r="AO3">
        <v>0</v>
      </c>
      <c r="AP3">
        <v>120355.73122529643</v>
      </c>
      <c r="AQ3">
        <v>0</v>
      </c>
      <c r="AR3">
        <v>120355.73122529643</v>
      </c>
      <c r="AS3">
        <v>0</v>
      </c>
      <c r="AT3">
        <v>120355.73122529643</v>
      </c>
      <c r="AV3">
        <v>120355.73122529643</v>
      </c>
      <c r="AW3">
        <v>1208.5065008017555</v>
      </c>
      <c r="AX3">
        <v>121564.23772609819</v>
      </c>
      <c r="AY3">
        <v>2404.7545219638123</v>
      </c>
      <c r="AZ3">
        <v>123968.992248062</v>
      </c>
      <c r="BA3">
        <v>0</v>
      </c>
      <c r="BB3">
        <v>123968.992248062</v>
      </c>
      <c r="BC3">
        <v>0</v>
      </c>
      <c r="BD3">
        <v>123968.992248062</v>
      </c>
      <c r="BE3">
        <v>0</v>
      </c>
      <c r="BF3">
        <v>123968.992248062</v>
      </c>
      <c r="BG3">
        <v>2479.3798449612514</v>
      </c>
      <c r="BH3">
        <v>126448.37209302324</v>
      </c>
      <c r="BI3">
        <v>0</v>
      </c>
      <c r="BJ3">
        <v>126448.37209302324</v>
      </c>
      <c r="BK3">
        <v>126448.37209302325</v>
      </c>
      <c r="BL3">
        <v>4893552</v>
      </c>
      <c r="BO3">
        <v>0</v>
      </c>
      <c r="BP3">
        <v>126448.37209302325</v>
      </c>
      <c r="BQ3">
        <v>4893552</v>
      </c>
      <c r="BR3" s="238" t="s">
        <v>36</v>
      </c>
      <c r="BU3">
        <v>126448.37209302325</v>
      </c>
      <c r="BV3">
        <v>0</v>
      </c>
      <c r="BW3">
        <v>4893552</v>
      </c>
      <c r="BX3" s="238"/>
      <c r="BY3" s="238" t="s">
        <v>35</v>
      </c>
      <c r="BZ3" s="238" t="s">
        <v>35</v>
      </c>
      <c r="CA3" s="238" t="s">
        <v>8953</v>
      </c>
      <c r="CB3" s="238" t="s">
        <v>8954</v>
      </c>
      <c r="CC3" s="238" t="s">
        <v>9077</v>
      </c>
      <c r="CD3" s="238" t="s">
        <v>8972</v>
      </c>
      <c r="CE3" t="b">
        <v>1</v>
      </c>
      <c r="CF3">
        <v>4893552</v>
      </c>
      <c r="CG3">
        <v>4893552</v>
      </c>
      <c r="CH3">
        <v>0</v>
      </c>
      <c r="CI3">
        <v>0</v>
      </c>
      <c r="CJ3">
        <v>0</v>
      </c>
    </row>
    <row r="4" spans="1:88" x14ac:dyDescent="0.25">
      <c r="A4">
        <v>3</v>
      </c>
      <c r="B4">
        <v>1</v>
      </c>
      <c r="C4">
        <v>1</v>
      </c>
      <c r="D4">
        <v>5</v>
      </c>
      <c r="E4">
        <v>2</v>
      </c>
      <c r="F4">
        <v>10.59</v>
      </c>
      <c r="G4">
        <v>14.05</v>
      </c>
      <c r="I4">
        <v>24.64</v>
      </c>
      <c r="J4">
        <v>18.38</v>
      </c>
      <c r="K4">
        <v>4.84</v>
      </c>
      <c r="M4">
        <v>3.1</v>
      </c>
      <c r="N4">
        <v>4.93</v>
      </c>
      <c r="O4">
        <v>3.83</v>
      </c>
      <c r="P4">
        <v>3.49</v>
      </c>
      <c r="R4">
        <v>3.49</v>
      </c>
      <c r="S4">
        <v>63.21</v>
      </c>
      <c r="T4">
        <v>59.72</v>
      </c>
      <c r="U4">
        <v>61.47</v>
      </c>
      <c r="V4">
        <v>118496.08</v>
      </c>
      <c r="W4">
        <v>0.12253164556750562</v>
      </c>
      <c r="X4">
        <v>118496.20253164557</v>
      </c>
      <c r="Y4">
        <v>0</v>
      </c>
      <c r="Z4">
        <v>118496.20253164557</v>
      </c>
      <c r="AA4">
        <v>0</v>
      </c>
      <c r="AB4">
        <v>118496.20253164557</v>
      </c>
      <c r="AC4">
        <v>0</v>
      </c>
      <c r="AD4">
        <v>118496.20253164557</v>
      </c>
      <c r="AE4">
        <v>0</v>
      </c>
      <c r="AF4">
        <v>118496.20253164557</v>
      </c>
      <c r="AG4">
        <v>0</v>
      </c>
      <c r="AH4">
        <v>118496.20253164557</v>
      </c>
      <c r="AI4">
        <v>0</v>
      </c>
      <c r="AJ4">
        <v>118496.20253164557</v>
      </c>
      <c r="AK4">
        <v>0</v>
      </c>
      <c r="AL4">
        <v>118496.20253164557</v>
      </c>
      <c r="AM4">
        <v>0</v>
      </c>
      <c r="AN4">
        <v>118496.20253164557</v>
      </c>
      <c r="AO4">
        <v>0</v>
      </c>
      <c r="AP4">
        <v>118496.20253164557</v>
      </c>
      <c r="AQ4">
        <v>0</v>
      </c>
      <c r="AR4">
        <v>118496.20253164557</v>
      </c>
      <c r="AS4">
        <v>0</v>
      </c>
      <c r="AT4">
        <v>118496.20253164557</v>
      </c>
      <c r="AV4">
        <v>118496.20253164557</v>
      </c>
      <c r="AW4">
        <v>-853.20594794620411</v>
      </c>
      <c r="AX4">
        <v>117642.99658369937</v>
      </c>
      <c r="AY4">
        <v>4408.4106068000692</v>
      </c>
      <c r="AZ4">
        <v>122051.40719049943</v>
      </c>
      <c r="BA4">
        <v>0</v>
      </c>
      <c r="BB4">
        <v>122051.40719049943</v>
      </c>
      <c r="BC4">
        <v>0</v>
      </c>
      <c r="BD4">
        <v>122051.40719049943</v>
      </c>
      <c r="BE4">
        <v>0</v>
      </c>
      <c r="BF4">
        <v>122051.40719049943</v>
      </c>
      <c r="BG4">
        <v>1220.1073694485094</v>
      </c>
      <c r="BH4">
        <v>123271.51455994794</v>
      </c>
      <c r="BI4">
        <v>0</v>
      </c>
      <c r="BJ4">
        <v>123271.51455994794</v>
      </c>
      <c r="BK4">
        <v>123271.51455994794</v>
      </c>
      <c r="BL4">
        <v>7577500</v>
      </c>
      <c r="BO4">
        <v>0</v>
      </c>
      <c r="BP4">
        <v>123271.51455994794</v>
      </c>
      <c r="BQ4">
        <v>7577500</v>
      </c>
      <c r="BR4" s="238" t="s">
        <v>36</v>
      </c>
      <c r="BU4">
        <v>123271.51455994794</v>
      </c>
      <c r="BV4">
        <v>0</v>
      </c>
      <c r="BW4">
        <v>7577500</v>
      </c>
      <c r="BX4" s="238"/>
      <c r="BY4" s="238" t="s">
        <v>35</v>
      </c>
      <c r="BZ4" s="238" t="s">
        <v>35</v>
      </c>
      <c r="CA4" s="238" t="s">
        <v>8953</v>
      </c>
      <c r="CB4" s="238" t="s">
        <v>8954</v>
      </c>
      <c r="CC4" s="238" t="s">
        <v>9077</v>
      </c>
      <c r="CD4" s="238" t="s">
        <v>8971</v>
      </c>
      <c r="CE4" t="b">
        <v>1</v>
      </c>
      <c r="CF4">
        <v>7577500</v>
      </c>
      <c r="CG4">
        <v>7577500</v>
      </c>
      <c r="CH4">
        <v>0</v>
      </c>
      <c r="CI4">
        <v>0</v>
      </c>
      <c r="CJ4">
        <v>0</v>
      </c>
    </row>
    <row r="5" spans="1:88" x14ac:dyDescent="0.25">
      <c r="A5">
        <v>4</v>
      </c>
      <c r="B5">
        <v>1</v>
      </c>
      <c r="C5">
        <v>1</v>
      </c>
      <c r="D5">
        <v>6</v>
      </c>
      <c r="E5">
        <v>2</v>
      </c>
      <c r="F5">
        <v>14.2</v>
      </c>
      <c r="G5">
        <v>14.27</v>
      </c>
      <c r="I5">
        <v>28.47</v>
      </c>
      <c r="J5">
        <v>17.43</v>
      </c>
      <c r="K5">
        <v>5.49</v>
      </c>
      <c r="L5">
        <v>4.05</v>
      </c>
      <c r="M5">
        <v>3.57</v>
      </c>
      <c r="N5">
        <v>4.75</v>
      </c>
      <c r="P5">
        <v>2.87</v>
      </c>
      <c r="R5">
        <v>2.87</v>
      </c>
      <c r="S5">
        <v>66.63</v>
      </c>
      <c r="T5">
        <v>63.76</v>
      </c>
      <c r="U5">
        <v>65.2</v>
      </c>
      <c r="V5">
        <v>121818.4</v>
      </c>
      <c r="W5">
        <v>6.39255236601457E-2</v>
      </c>
      <c r="X5">
        <v>121818.46392552365</v>
      </c>
      <c r="Y5">
        <v>0</v>
      </c>
      <c r="Z5">
        <v>121818.46392552365</v>
      </c>
      <c r="AA5">
        <v>0</v>
      </c>
      <c r="AB5">
        <v>121818.46392552365</v>
      </c>
      <c r="AC5">
        <v>0</v>
      </c>
      <c r="AD5">
        <v>121818.46392552365</v>
      </c>
      <c r="AE5">
        <v>0</v>
      </c>
      <c r="AF5">
        <v>121818.46392552365</v>
      </c>
      <c r="AG5">
        <v>0</v>
      </c>
      <c r="AH5">
        <v>121818.46392552365</v>
      </c>
      <c r="AI5">
        <v>0</v>
      </c>
      <c r="AJ5">
        <v>121818.46392552365</v>
      </c>
      <c r="AK5">
        <v>0</v>
      </c>
      <c r="AL5">
        <v>121818.46392552365</v>
      </c>
      <c r="AM5">
        <v>0</v>
      </c>
      <c r="AN5">
        <v>121818.46392552365</v>
      </c>
      <c r="AO5">
        <v>0</v>
      </c>
      <c r="AP5">
        <v>121818.46392552365</v>
      </c>
      <c r="AQ5">
        <v>0</v>
      </c>
      <c r="AR5">
        <v>121818.46392552365</v>
      </c>
      <c r="AS5">
        <v>0</v>
      </c>
      <c r="AT5">
        <v>121818.46392552365</v>
      </c>
      <c r="AV5">
        <v>121818.46392552365</v>
      </c>
      <c r="AW5">
        <v>2210.7538658873818</v>
      </c>
      <c r="AX5">
        <v>124029.21779141104</v>
      </c>
      <c r="AY5">
        <v>1444.708588957059</v>
      </c>
      <c r="AZ5">
        <v>125473.9263803681</v>
      </c>
      <c r="BA5">
        <v>0</v>
      </c>
      <c r="BB5">
        <v>125473.9263803681</v>
      </c>
      <c r="BC5">
        <v>0</v>
      </c>
      <c r="BD5">
        <v>125473.9263803681</v>
      </c>
      <c r="BE5">
        <v>0</v>
      </c>
      <c r="BF5">
        <v>125473.9263803681</v>
      </c>
      <c r="BG5">
        <v>1254.8159509202378</v>
      </c>
      <c r="BH5">
        <v>126728.74233128832</v>
      </c>
      <c r="BI5">
        <v>0</v>
      </c>
      <c r="BJ5">
        <v>126728.74233128832</v>
      </c>
      <c r="BK5">
        <v>126728.74233128833</v>
      </c>
      <c r="BL5">
        <v>8262714</v>
      </c>
      <c r="BO5">
        <v>0</v>
      </c>
      <c r="BP5">
        <v>126728.74233128833</v>
      </c>
      <c r="BQ5">
        <v>8262714</v>
      </c>
      <c r="BR5" s="238" t="s">
        <v>36</v>
      </c>
      <c r="BU5">
        <v>126728.74233128833</v>
      </c>
      <c r="BV5">
        <v>0</v>
      </c>
      <c r="BW5">
        <v>8262714</v>
      </c>
      <c r="BX5" s="238"/>
      <c r="BY5" s="238" t="s">
        <v>35</v>
      </c>
      <c r="BZ5" s="238" t="s">
        <v>35</v>
      </c>
      <c r="CA5" s="238" t="s">
        <v>8953</v>
      </c>
      <c r="CB5" s="238" t="s">
        <v>8954</v>
      </c>
      <c r="CC5" s="238" t="s">
        <v>9077</v>
      </c>
      <c r="CD5" s="238" t="s">
        <v>8971</v>
      </c>
      <c r="CE5" t="b">
        <v>1</v>
      </c>
      <c r="CF5">
        <v>8262714</v>
      </c>
      <c r="CG5">
        <v>8262714</v>
      </c>
      <c r="CH5">
        <v>0</v>
      </c>
      <c r="CI5">
        <v>0</v>
      </c>
      <c r="CJ5">
        <v>0</v>
      </c>
    </row>
    <row r="6" spans="1:88" x14ac:dyDescent="0.25">
      <c r="A6">
        <v>5</v>
      </c>
      <c r="B6">
        <v>1</v>
      </c>
      <c r="C6">
        <v>1</v>
      </c>
      <c r="D6">
        <v>7</v>
      </c>
      <c r="E6">
        <v>1</v>
      </c>
      <c r="F6">
        <v>15.25</v>
      </c>
      <c r="I6">
        <v>15.25</v>
      </c>
      <c r="J6">
        <v>17.12</v>
      </c>
      <c r="K6">
        <v>4.62</v>
      </c>
      <c r="M6">
        <v>3.93</v>
      </c>
      <c r="P6">
        <v>3.36</v>
      </c>
      <c r="R6">
        <v>3.36</v>
      </c>
      <c r="S6">
        <v>44.28</v>
      </c>
      <c r="T6">
        <v>40.92</v>
      </c>
      <c r="U6">
        <v>42.6</v>
      </c>
      <c r="V6">
        <v>120353.44</v>
      </c>
      <c r="W6">
        <v>0.90007134363986552</v>
      </c>
      <c r="X6">
        <v>120354.34007134364</v>
      </c>
      <c r="Y6">
        <v>0</v>
      </c>
      <c r="Z6">
        <v>120354.34007134364</v>
      </c>
      <c r="AA6">
        <v>0</v>
      </c>
      <c r="AB6">
        <v>120354.34007134364</v>
      </c>
      <c r="AC6">
        <v>0</v>
      </c>
      <c r="AD6">
        <v>120354.34007134364</v>
      </c>
      <c r="AE6">
        <v>0</v>
      </c>
      <c r="AF6">
        <v>120354.34007134364</v>
      </c>
      <c r="AG6">
        <v>0</v>
      </c>
      <c r="AH6">
        <v>120354.34007134364</v>
      </c>
      <c r="AI6">
        <v>0</v>
      </c>
      <c r="AJ6">
        <v>120354.34007134364</v>
      </c>
      <c r="AK6">
        <v>0</v>
      </c>
      <c r="AL6">
        <v>120354.34007134364</v>
      </c>
      <c r="AM6">
        <v>0</v>
      </c>
      <c r="AN6">
        <v>120354.34007134364</v>
      </c>
      <c r="AO6">
        <v>0</v>
      </c>
      <c r="AP6">
        <v>120354.34007134364</v>
      </c>
      <c r="AQ6">
        <v>0</v>
      </c>
      <c r="AR6">
        <v>120354.34007134364</v>
      </c>
      <c r="AS6">
        <v>0</v>
      </c>
      <c r="AT6">
        <v>120354.34007134364</v>
      </c>
      <c r="AV6">
        <v>120354.34007134364</v>
      </c>
      <c r="AW6">
        <v>2009.7913840554102</v>
      </c>
      <c r="AX6">
        <v>122364.13145539905</v>
      </c>
      <c r="AY6">
        <v>1600.6572769953054</v>
      </c>
      <c r="AZ6">
        <v>123964.78873239436</v>
      </c>
      <c r="BA6">
        <v>0</v>
      </c>
      <c r="BB6">
        <v>123964.78873239436</v>
      </c>
      <c r="BC6">
        <v>0</v>
      </c>
      <c r="BD6">
        <v>123964.78873239436</v>
      </c>
      <c r="BE6">
        <v>0</v>
      </c>
      <c r="BF6">
        <v>123964.78873239436</v>
      </c>
      <c r="BG6">
        <v>2479.5070422535209</v>
      </c>
      <c r="BH6">
        <v>126444.29577464788</v>
      </c>
      <c r="BI6">
        <v>0</v>
      </c>
      <c r="BJ6">
        <v>126444.29577464788</v>
      </c>
      <c r="BK6">
        <v>126444.29577464788</v>
      </c>
      <c r="BL6">
        <v>5386527</v>
      </c>
      <c r="BO6">
        <v>0</v>
      </c>
      <c r="BP6">
        <v>126444.29577464788</v>
      </c>
      <c r="BQ6">
        <v>5386527</v>
      </c>
      <c r="BR6" s="238" t="s">
        <v>36</v>
      </c>
      <c r="BU6">
        <v>126444.29577464788</v>
      </c>
      <c r="BV6">
        <v>0</v>
      </c>
      <c r="BW6">
        <v>5386527</v>
      </c>
      <c r="BX6" s="238"/>
      <c r="BY6" s="238" t="s">
        <v>35</v>
      </c>
      <c r="BZ6" s="238" t="s">
        <v>35</v>
      </c>
      <c r="CA6" s="238" t="s">
        <v>8953</v>
      </c>
      <c r="CB6" s="238" t="s">
        <v>8954</v>
      </c>
      <c r="CC6" s="238" t="s">
        <v>9077</v>
      </c>
      <c r="CD6" s="238" t="s">
        <v>8972</v>
      </c>
      <c r="CE6" t="b">
        <v>1</v>
      </c>
      <c r="CF6">
        <v>5386527</v>
      </c>
      <c r="CG6">
        <v>5386527</v>
      </c>
      <c r="CH6">
        <v>0</v>
      </c>
      <c r="CI6">
        <v>0</v>
      </c>
      <c r="CJ6">
        <v>0</v>
      </c>
    </row>
    <row r="7" spans="1:88" x14ac:dyDescent="0.25">
      <c r="A7">
        <v>6</v>
      </c>
      <c r="B7">
        <v>1</v>
      </c>
      <c r="C7">
        <v>2</v>
      </c>
      <c r="D7">
        <v>1</v>
      </c>
      <c r="E7">
        <v>0</v>
      </c>
      <c r="F7">
        <v>17.66</v>
      </c>
      <c r="I7">
        <v>17.66</v>
      </c>
      <c r="J7">
        <v>7</v>
      </c>
      <c r="K7">
        <v>4.6399999999999997</v>
      </c>
      <c r="P7">
        <v>3.37</v>
      </c>
      <c r="R7">
        <v>3.37</v>
      </c>
      <c r="S7">
        <v>32.67</v>
      </c>
      <c r="T7">
        <v>29.3</v>
      </c>
      <c r="U7">
        <v>30.99</v>
      </c>
      <c r="V7">
        <v>138273.04</v>
      </c>
      <c r="W7">
        <v>1.6668676716799382</v>
      </c>
      <c r="X7">
        <v>138274.70686767169</v>
      </c>
      <c r="Y7">
        <v>0</v>
      </c>
      <c r="Z7">
        <v>138274.70686767169</v>
      </c>
      <c r="AA7">
        <v>0</v>
      </c>
      <c r="AB7">
        <v>138274.70686767169</v>
      </c>
      <c r="AC7">
        <v>0</v>
      </c>
      <c r="AD7">
        <v>138274.70686767169</v>
      </c>
      <c r="AE7">
        <v>0</v>
      </c>
      <c r="AF7">
        <v>138274.70686767169</v>
      </c>
      <c r="AG7">
        <v>0</v>
      </c>
      <c r="AH7">
        <v>138274.70686767169</v>
      </c>
      <c r="AI7">
        <v>0</v>
      </c>
      <c r="AJ7">
        <v>138274.70686767169</v>
      </c>
      <c r="AK7">
        <v>0</v>
      </c>
      <c r="AL7">
        <v>138274.70686767169</v>
      </c>
      <c r="AM7">
        <v>0</v>
      </c>
      <c r="AN7">
        <v>138274.70686767169</v>
      </c>
      <c r="AO7">
        <v>0</v>
      </c>
      <c r="AP7">
        <v>138274.70686767169</v>
      </c>
      <c r="AQ7">
        <v>0</v>
      </c>
      <c r="AR7">
        <v>138274.70686767169</v>
      </c>
      <c r="AS7">
        <v>0</v>
      </c>
      <c r="AT7">
        <v>138274.70686767169</v>
      </c>
      <c r="AV7">
        <v>138274.70686767169</v>
      </c>
      <c r="AW7">
        <v>-1090.647493680066</v>
      </c>
      <c r="AX7">
        <v>137184.05937399162</v>
      </c>
      <c r="AY7">
        <v>5239.3030009680369</v>
      </c>
      <c r="AZ7">
        <v>142423.36237495966</v>
      </c>
      <c r="BA7">
        <v>0</v>
      </c>
      <c r="BB7">
        <v>142423.36237495966</v>
      </c>
      <c r="BC7">
        <v>0</v>
      </c>
      <c r="BD7">
        <v>142423.36237495966</v>
      </c>
      <c r="BE7">
        <v>0</v>
      </c>
      <c r="BF7">
        <v>142423.36237495966</v>
      </c>
      <c r="BG7">
        <v>0</v>
      </c>
      <c r="BH7">
        <v>142423.36237495966</v>
      </c>
      <c r="BI7">
        <v>0</v>
      </c>
      <c r="BJ7">
        <v>142423.36237495966</v>
      </c>
      <c r="BK7">
        <v>142423.36237495966</v>
      </c>
      <c r="BL7">
        <v>4413700</v>
      </c>
      <c r="BO7">
        <v>0</v>
      </c>
      <c r="BP7">
        <v>142423.36237495966</v>
      </c>
      <c r="BQ7">
        <v>4413700</v>
      </c>
      <c r="BR7" s="238" t="s">
        <v>36</v>
      </c>
      <c r="BU7">
        <v>142423.36237495966</v>
      </c>
      <c r="BV7">
        <v>0</v>
      </c>
      <c r="BW7">
        <v>4413700</v>
      </c>
      <c r="BX7" s="238"/>
      <c r="BY7" s="238" t="s">
        <v>3</v>
      </c>
      <c r="BZ7" s="238" t="s">
        <v>3</v>
      </c>
      <c r="CA7" s="238" t="s">
        <v>8951</v>
      </c>
      <c r="CB7" s="238" t="s">
        <v>1167</v>
      </c>
      <c r="CC7" s="238" t="s">
        <v>9077</v>
      </c>
      <c r="CD7" s="238" t="s">
        <v>8970</v>
      </c>
      <c r="CE7" t="b">
        <v>1</v>
      </c>
      <c r="CF7">
        <v>4413700</v>
      </c>
      <c r="CG7">
        <v>4413700</v>
      </c>
      <c r="CH7">
        <v>0</v>
      </c>
      <c r="CI7">
        <v>0</v>
      </c>
      <c r="CJ7">
        <v>0</v>
      </c>
    </row>
    <row r="8" spans="1:88" x14ac:dyDescent="0.25">
      <c r="A8">
        <v>7</v>
      </c>
      <c r="B8">
        <v>1</v>
      </c>
      <c r="C8">
        <v>2</v>
      </c>
      <c r="D8">
        <v>2</v>
      </c>
      <c r="E8">
        <v>2</v>
      </c>
      <c r="F8">
        <v>11.1</v>
      </c>
      <c r="G8">
        <v>10.86</v>
      </c>
      <c r="I8">
        <v>21.96</v>
      </c>
      <c r="J8">
        <v>17.940000000000001</v>
      </c>
      <c r="K8">
        <v>3.94</v>
      </c>
      <c r="M8">
        <v>4.42</v>
      </c>
      <c r="N8">
        <v>4.49</v>
      </c>
      <c r="P8">
        <v>3.69</v>
      </c>
      <c r="R8">
        <v>3.69</v>
      </c>
      <c r="S8">
        <v>56.44</v>
      </c>
      <c r="T8">
        <v>52.75</v>
      </c>
      <c r="U8">
        <v>54.6</v>
      </c>
      <c r="V8">
        <v>117388.64</v>
      </c>
      <c r="W8">
        <v>0.67297709923877846</v>
      </c>
      <c r="X8">
        <v>117389.31297709924</v>
      </c>
      <c r="Y8">
        <v>499.69465648855839</v>
      </c>
      <c r="Z8">
        <v>117889.0076335878</v>
      </c>
      <c r="AA8">
        <v>0</v>
      </c>
      <c r="AB8">
        <v>117889.0076335878</v>
      </c>
      <c r="AC8">
        <v>0</v>
      </c>
      <c r="AD8">
        <v>117889.0076335878</v>
      </c>
      <c r="AE8">
        <v>0</v>
      </c>
      <c r="AF8">
        <v>117889.0076335878</v>
      </c>
      <c r="AG8">
        <v>0</v>
      </c>
      <c r="AH8">
        <v>117889.0076335878</v>
      </c>
      <c r="AI8">
        <v>0</v>
      </c>
      <c r="AJ8">
        <v>117889.0076335878</v>
      </c>
      <c r="AK8">
        <v>0</v>
      </c>
      <c r="AL8">
        <v>117889.0076335878</v>
      </c>
      <c r="AM8">
        <v>0</v>
      </c>
      <c r="AN8">
        <v>117889.0076335878</v>
      </c>
      <c r="AO8">
        <v>0</v>
      </c>
      <c r="AP8">
        <v>117889.0076335878</v>
      </c>
      <c r="AQ8">
        <v>0</v>
      </c>
      <c r="AR8">
        <v>117889.0076335878</v>
      </c>
      <c r="AS8">
        <v>0</v>
      </c>
      <c r="AT8">
        <v>117889.0076335878</v>
      </c>
      <c r="AV8">
        <v>117889.0076335878</v>
      </c>
      <c r="AW8">
        <v>-861.69994128010876</v>
      </c>
      <c r="AX8">
        <v>117027.30769230769</v>
      </c>
      <c r="AY8">
        <v>4914.0842490842479</v>
      </c>
      <c r="AZ8">
        <v>121941.39194139194</v>
      </c>
      <c r="BA8">
        <v>0</v>
      </c>
      <c r="BB8">
        <v>121941.39194139194</v>
      </c>
      <c r="BC8">
        <v>0</v>
      </c>
      <c r="BD8">
        <v>121941.39194139194</v>
      </c>
      <c r="BE8">
        <v>0</v>
      </c>
      <c r="BF8">
        <v>121941.39194139194</v>
      </c>
      <c r="BG8">
        <v>1219.0109890109889</v>
      </c>
      <c r="BH8">
        <v>123160.40293040292</v>
      </c>
      <c r="BI8">
        <v>0</v>
      </c>
      <c r="BJ8">
        <v>123160.40293040292</v>
      </c>
      <c r="BK8">
        <v>123160.40293040292</v>
      </c>
      <c r="BL8">
        <v>6724558</v>
      </c>
      <c r="BO8">
        <v>0</v>
      </c>
      <c r="BP8">
        <v>123160.40293040292</v>
      </c>
      <c r="BQ8">
        <v>6724558</v>
      </c>
      <c r="BR8" s="238" t="s">
        <v>36</v>
      </c>
      <c r="BU8">
        <v>123160.40293040292</v>
      </c>
      <c r="BV8">
        <v>0</v>
      </c>
      <c r="BW8">
        <v>6724558</v>
      </c>
      <c r="BX8" s="238"/>
      <c r="BY8" s="238" t="s">
        <v>3</v>
      </c>
      <c r="BZ8" s="238" t="s">
        <v>3</v>
      </c>
      <c r="CA8" s="238" t="s">
        <v>8951</v>
      </c>
      <c r="CB8" s="238" t="s">
        <v>1167</v>
      </c>
      <c r="CC8" s="238" t="s">
        <v>9077</v>
      </c>
      <c r="CD8" s="238" t="s">
        <v>8971</v>
      </c>
      <c r="CE8" t="b">
        <v>1</v>
      </c>
      <c r="CF8">
        <v>6724558</v>
      </c>
      <c r="CG8">
        <v>6724558</v>
      </c>
      <c r="CH8">
        <v>0</v>
      </c>
      <c r="CI8">
        <v>0</v>
      </c>
      <c r="CJ8">
        <v>0</v>
      </c>
    </row>
    <row r="9" spans="1:88" x14ac:dyDescent="0.25">
      <c r="A9">
        <v>8</v>
      </c>
      <c r="B9">
        <v>1</v>
      </c>
      <c r="C9">
        <v>2</v>
      </c>
      <c r="D9">
        <v>3</v>
      </c>
      <c r="E9">
        <v>2</v>
      </c>
      <c r="F9">
        <v>11.04</v>
      </c>
      <c r="G9">
        <v>12.05</v>
      </c>
      <c r="I9">
        <v>23.09</v>
      </c>
      <c r="J9">
        <v>20.87</v>
      </c>
      <c r="K9">
        <v>4.99</v>
      </c>
      <c r="M9">
        <v>2.67</v>
      </c>
      <c r="N9">
        <v>4.59</v>
      </c>
      <c r="O9">
        <v>3.59</v>
      </c>
      <c r="P9">
        <v>3.84</v>
      </c>
      <c r="R9">
        <v>3.84</v>
      </c>
      <c r="S9">
        <v>63.64</v>
      </c>
      <c r="T9">
        <v>59.8</v>
      </c>
      <c r="U9">
        <v>61.72</v>
      </c>
      <c r="V9">
        <v>120710.95999999999</v>
      </c>
      <c r="W9">
        <v>0.78978867287514731</v>
      </c>
      <c r="X9">
        <v>120711.74978867287</v>
      </c>
      <c r="Y9">
        <v>0</v>
      </c>
      <c r="Z9">
        <v>120711.74978867287</v>
      </c>
      <c r="AA9">
        <v>0</v>
      </c>
      <c r="AB9">
        <v>120711.74978867287</v>
      </c>
      <c r="AC9">
        <v>0</v>
      </c>
      <c r="AD9">
        <v>120711.74978867287</v>
      </c>
      <c r="AE9">
        <v>0</v>
      </c>
      <c r="AF9">
        <v>120711.74978867287</v>
      </c>
      <c r="AG9">
        <v>0</v>
      </c>
      <c r="AH9">
        <v>120711.74978867287</v>
      </c>
      <c r="AI9">
        <v>0</v>
      </c>
      <c r="AJ9">
        <v>120711.74978867287</v>
      </c>
      <c r="AK9">
        <v>0</v>
      </c>
      <c r="AL9">
        <v>120711.74978867287</v>
      </c>
      <c r="AM9">
        <v>0</v>
      </c>
      <c r="AN9">
        <v>120711.74978867287</v>
      </c>
      <c r="AO9">
        <v>0</v>
      </c>
      <c r="AP9">
        <v>120711.74978867287</v>
      </c>
      <c r="AQ9">
        <v>0</v>
      </c>
      <c r="AR9">
        <v>120711.74978867287</v>
      </c>
      <c r="AS9">
        <v>0</v>
      </c>
      <c r="AT9">
        <v>120711.74978867287</v>
      </c>
      <c r="AV9">
        <v>120711.74978867287</v>
      </c>
      <c r="AW9">
        <v>-1555.5929513429874</v>
      </c>
      <c r="AX9">
        <v>119156.15683732988</v>
      </c>
      <c r="AY9">
        <v>5177.9325988334458</v>
      </c>
      <c r="AZ9">
        <v>124334.08943616333</v>
      </c>
      <c r="BA9">
        <v>0</v>
      </c>
      <c r="BB9">
        <v>124334.08943616333</v>
      </c>
      <c r="BC9">
        <v>0</v>
      </c>
      <c r="BD9">
        <v>124334.08943616333</v>
      </c>
      <c r="BE9">
        <v>0</v>
      </c>
      <c r="BF9">
        <v>124334.08943616333</v>
      </c>
      <c r="BG9">
        <v>1243.2436811406369</v>
      </c>
      <c r="BH9">
        <v>125577.33311730396</v>
      </c>
      <c r="BI9">
        <v>0</v>
      </c>
      <c r="BJ9">
        <v>125577.33311730396</v>
      </c>
      <c r="BK9">
        <v>125577.33311730396</v>
      </c>
      <c r="BL9">
        <v>7750633</v>
      </c>
      <c r="BO9">
        <v>0</v>
      </c>
      <c r="BP9">
        <v>125577.33311730396</v>
      </c>
      <c r="BQ9">
        <v>7750633</v>
      </c>
      <c r="BR9" s="238" t="s">
        <v>36</v>
      </c>
      <c r="BU9">
        <v>125577.33311730396</v>
      </c>
      <c r="BV9">
        <v>0</v>
      </c>
      <c r="BW9">
        <v>7750633</v>
      </c>
      <c r="BX9" s="238"/>
      <c r="BY9" s="238" t="s">
        <v>3</v>
      </c>
      <c r="BZ9" s="238" t="s">
        <v>3</v>
      </c>
      <c r="CA9" s="238" t="s">
        <v>8951</v>
      </c>
      <c r="CB9" s="238" t="s">
        <v>1167</v>
      </c>
      <c r="CC9" s="238" t="s">
        <v>9077</v>
      </c>
      <c r="CD9" s="238" t="s">
        <v>8971</v>
      </c>
      <c r="CE9" t="b">
        <v>1</v>
      </c>
      <c r="CF9">
        <v>7750633</v>
      </c>
      <c r="CG9">
        <v>7750633</v>
      </c>
      <c r="CH9">
        <v>0</v>
      </c>
      <c r="CI9">
        <v>0</v>
      </c>
      <c r="CJ9">
        <v>0</v>
      </c>
    </row>
    <row r="10" spans="1:88" x14ac:dyDescent="0.25">
      <c r="A10">
        <v>9</v>
      </c>
      <c r="B10">
        <v>1</v>
      </c>
      <c r="C10">
        <v>2</v>
      </c>
      <c r="D10">
        <v>4</v>
      </c>
      <c r="E10">
        <v>1</v>
      </c>
      <c r="F10">
        <v>12.64</v>
      </c>
      <c r="I10">
        <v>12.64</v>
      </c>
      <c r="J10">
        <v>15.67</v>
      </c>
      <c r="K10">
        <v>4.6900000000000004</v>
      </c>
      <c r="M10">
        <v>4.01</v>
      </c>
      <c r="P10">
        <v>3.38</v>
      </c>
      <c r="R10">
        <v>3.38</v>
      </c>
      <c r="S10">
        <v>40.39</v>
      </c>
      <c r="T10">
        <v>37.01</v>
      </c>
      <c r="U10">
        <v>38.700000000000003</v>
      </c>
      <c r="V10">
        <v>120353.44</v>
      </c>
      <c r="W10">
        <v>1.0931529093213612</v>
      </c>
      <c r="X10">
        <v>120354.53315290932</v>
      </c>
      <c r="Y10">
        <v>0</v>
      </c>
      <c r="Z10">
        <v>120354.53315290932</v>
      </c>
      <c r="AA10">
        <v>0</v>
      </c>
      <c r="AB10">
        <v>120354.53315290932</v>
      </c>
      <c r="AC10">
        <v>0</v>
      </c>
      <c r="AD10">
        <v>120354.53315290932</v>
      </c>
      <c r="AE10">
        <v>0</v>
      </c>
      <c r="AF10">
        <v>120354.53315290932</v>
      </c>
      <c r="AG10">
        <v>0</v>
      </c>
      <c r="AH10">
        <v>120354.53315290932</v>
      </c>
      <c r="AI10">
        <v>0</v>
      </c>
      <c r="AJ10">
        <v>120354.53315290932</v>
      </c>
      <c r="AK10">
        <v>0</v>
      </c>
      <c r="AL10">
        <v>120354.53315290932</v>
      </c>
      <c r="AM10">
        <v>0</v>
      </c>
      <c r="AN10">
        <v>120354.53315290932</v>
      </c>
      <c r="AO10">
        <v>0</v>
      </c>
      <c r="AP10">
        <v>120354.53315290932</v>
      </c>
      <c r="AQ10">
        <v>0</v>
      </c>
      <c r="AR10">
        <v>120354.53315290932</v>
      </c>
      <c r="AS10">
        <v>0</v>
      </c>
      <c r="AT10">
        <v>120354.53315290932</v>
      </c>
      <c r="AV10">
        <v>120354.53315290932</v>
      </c>
      <c r="AW10">
        <v>-1994.5589927026158</v>
      </c>
      <c r="AX10">
        <v>118359.97416020671</v>
      </c>
      <c r="AY10">
        <v>5606.4341085271299</v>
      </c>
      <c r="AZ10">
        <v>123966.40826873384</v>
      </c>
      <c r="BA10">
        <v>0</v>
      </c>
      <c r="BB10">
        <v>123966.40826873384</v>
      </c>
      <c r="BC10">
        <v>0</v>
      </c>
      <c r="BD10">
        <v>123966.40826873384</v>
      </c>
      <c r="BE10">
        <v>0</v>
      </c>
      <c r="BF10">
        <v>123966.40826873384</v>
      </c>
      <c r="BG10">
        <v>2478.9147286821681</v>
      </c>
      <c r="BH10">
        <v>126445.32299741601</v>
      </c>
      <c r="BI10">
        <v>0</v>
      </c>
      <c r="BJ10">
        <v>126445.32299741601</v>
      </c>
      <c r="BK10">
        <v>126445.32299741601</v>
      </c>
      <c r="BL10">
        <v>4893434</v>
      </c>
      <c r="BO10">
        <v>0</v>
      </c>
      <c r="BP10">
        <v>126445.32299741601</v>
      </c>
      <c r="BQ10">
        <v>4893434</v>
      </c>
      <c r="BR10" s="238" t="s">
        <v>36</v>
      </c>
      <c r="BU10">
        <v>126445.32299741601</v>
      </c>
      <c r="BV10">
        <v>0</v>
      </c>
      <c r="BW10">
        <v>4893434</v>
      </c>
      <c r="BX10" s="238"/>
      <c r="BY10" s="238" t="s">
        <v>3</v>
      </c>
      <c r="BZ10" s="238" t="s">
        <v>3</v>
      </c>
      <c r="CA10" s="238" t="s">
        <v>8951</v>
      </c>
      <c r="CB10" s="238" t="s">
        <v>1167</v>
      </c>
      <c r="CC10" s="238" t="s">
        <v>9077</v>
      </c>
      <c r="CD10" s="238" t="s">
        <v>8972</v>
      </c>
      <c r="CE10" t="b">
        <v>1</v>
      </c>
      <c r="CF10">
        <v>4893434</v>
      </c>
      <c r="CG10">
        <v>4893434</v>
      </c>
      <c r="CH10">
        <v>0</v>
      </c>
      <c r="CI10">
        <v>0</v>
      </c>
      <c r="CJ10">
        <v>0</v>
      </c>
    </row>
    <row r="11" spans="1:88" x14ac:dyDescent="0.25">
      <c r="A11">
        <v>10</v>
      </c>
      <c r="B11">
        <v>1</v>
      </c>
      <c r="C11">
        <v>2</v>
      </c>
      <c r="D11">
        <v>5</v>
      </c>
      <c r="E11">
        <v>2</v>
      </c>
      <c r="F11">
        <v>10.59</v>
      </c>
      <c r="G11">
        <v>14.05</v>
      </c>
      <c r="I11">
        <v>24.64</v>
      </c>
      <c r="J11">
        <v>18.38</v>
      </c>
      <c r="K11">
        <v>4.84</v>
      </c>
      <c r="M11">
        <v>3.1</v>
      </c>
      <c r="N11">
        <v>4.93</v>
      </c>
      <c r="O11">
        <v>3.83</v>
      </c>
      <c r="P11">
        <v>3.49</v>
      </c>
      <c r="R11">
        <v>3.49</v>
      </c>
      <c r="S11">
        <v>63.21</v>
      </c>
      <c r="T11">
        <v>59.72</v>
      </c>
      <c r="U11">
        <v>61.47</v>
      </c>
      <c r="V11">
        <v>118496.08</v>
      </c>
      <c r="W11">
        <v>8.3682864453294314E-2</v>
      </c>
      <c r="X11">
        <v>118496.16368286446</v>
      </c>
      <c r="Y11">
        <v>0</v>
      </c>
      <c r="Z11">
        <v>118496.16368286446</v>
      </c>
      <c r="AA11">
        <v>0</v>
      </c>
      <c r="AB11">
        <v>118496.16368286446</v>
      </c>
      <c r="AC11">
        <v>0</v>
      </c>
      <c r="AD11">
        <v>118496.16368286446</v>
      </c>
      <c r="AE11">
        <v>0</v>
      </c>
      <c r="AF11">
        <v>118496.16368286446</v>
      </c>
      <c r="AG11">
        <v>0</v>
      </c>
      <c r="AH11">
        <v>118496.16368286446</v>
      </c>
      <c r="AI11">
        <v>0</v>
      </c>
      <c r="AJ11">
        <v>118496.16368286446</v>
      </c>
      <c r="AK11">
        <v>0</v>
      </c>
      <c r="AL11">
        <v>118496.16368286446</v>
      </c>
      <c r="AM11">
        <v>0</v>
      </c>
      <c r="AN11">
        <v>118496.16368286446</v>
      </c>
      <c r="AO11">
        <v>0</v>
      </c>
      <c r="AP11">
        <v>118496.16368286446</v>
      </c>
      <c r="AQ11">
        <v>0</v>
      </c>
      <c r="AR11">
        <v>118496.16368286446</v>
      </c>
      <c r="AS11">
        <v>0</v>
      </c>
      <c r="AT11">
        <v>118496.16368286446</v>
      </c>
      <c r="AV11">
        <v>118496.16368286446</v>
      </c>
      <c r="AW11">
        <v>-2044.4962027928705</v>
      </c>
      <c r="AX11">
        <v>116451.66748007158</v>
      </c>
      <c r="AY11">
        <v>5599.7397104278498</v>
      </c>
      <c r="AZ11">
        <v>122051.40719049943</v>
      </c>
      <c r="BA11">
        <v>0</v>
      </c>
      <c r="BB11">
        <v>122051.40719049943</v>
      </c>
      <c r="BC11">
        <v>0</v>
      </c>
      <c r="BD11">
        <v>122051.40719049943</v>
      </c>
      <c r="BE11">
        <v>0</v>
      </c>
      <c r="BF11">
        <v>122051.40719049943</v>
      </c>
      <c r="BG11">
        <v>1220.1073694485094</v>
      </c>
      <c r="BH11">
        <v>123271.51455994794</v>
      </c>
      <c r="BI11">
        <v>0</v>
      </c>
      <c r="BJ11">
        <v>123271.51455994794</v>
      </c>
      <c r="BK11">
        <v>123271.51455994794</v>
      </c>
      <c r="BL11">
        <v>7577500</v>
      </c>
      <c r="BO11">
        <v>0</v>
      </c>
      <c r="BP11">
        <v>123271.51455994794</v>
      </c>
      <c r="BQ11">
        <v>7577500</v>
      </c>
      <c r="BR11" s="238" t="s">
        <v>36</v>
      </c>
      <c r="BU11">
        <v>123271.51455994794</v>
      </c>
      <c r="BV11">
        <v>0</v>
      </c>
      <c r="BW11">
        <v>7577500</v>
      </c>
      <c r="BX11" s="238"/>
      <c r="BY11" s="238" t="s">
        <v>3</v>
      </c>
      <c r="BZ11" s="238" t="s">
        <v>3</v>
      </c>
      <c r="CA11" s="238" t="s">
        <v>8951</v>
      </c>
      <c r="CB11" s="238" t="s">
        <v>1167</v>
      </c>
      <c r="CC11" s="238" t="s">
        <v>9077</v>
      </c>
      <c r="CD11" s="238" t="s">
        <v>8971</v>
      </c>
      <c r="CE11" t="b">
        <v>1</v>
      </c>
      <c r="CF11">
        <v>7577500</v>
      </c>
      <c r="CG11">
        <v>7577500</v>
      </c>
      <c r="CH11">
        <v>0</v>
      </c>
      <c r="CI11">
        <v>0</v>
      </c>
      <c r="CJ11">
        <v>0</v>
      </c>
    </row>
    <row r="12" spans="1:88" x14ac:dyDescent="0.25">
      <c r="A12">
        <v>11</v>
      </c>
      <c r="B12">
        <v>1</v>
      </c>
      <c r="C12">
        <v>2</v>
      </c>
      <c r="D12">
        <v>6</v>
      </c>
      <c r="E12">
        <v>2</v>
      </c>
      <c r="F12">
        <v>14.2</v>
      </c>
      <c r="G12">
        <v>14.27</v>
      </c>
      <c r="I12">
        <v>28.47</v>
      </c>
      <c r="J12">
        <v>17.43</v>
      </c>
      <c r="K12">
        <v>5.51</v>
      </c>
      <c r="L12">
        <v>4.05</v>
      </c>
      <c r="M12">
        <v>3.57</v>
      </c>
      <c r="N12">
        <v>4.75</v>
      </c>
      <c r="P12">
        <v>2.87</v>
      </c>
      <c r="R12">
        <v>2.87</v>
      </c>
      <c r="S12">
        <v>66.650000000000006</v>
      </c>
      <c r="T12">
        <v>63.78</v>
      </c>
      <c r="U12">
        <v>65.22</v>
      </c>
      <c r="V12">
        <v>121818.4</v>
      </c>
      <c r="W12">
        <v>1.376714513549814</v>
      </c>
      <c r="X12">
        <v>121819.77671451354</v>
      </c>
      <c r="Y12">
        <v>0</v>
      </c>
      <c r="Z12">
        <v>121819.77671451354</v>
      </c>
      <c r="AA12">
        <v>0</v>
      </c>
      <c r="AB12">
        <v>121819.77671451354</v>
      </c>
      <c r="AC12">
        <v>0</v>
      </c>
      <c r="AD12">
        <v>121819.77671451354</v>
      </c>
      <c r="AE12">
        <v>0</v>
      </c>
      <c r="AF12">
        <v>121819.77671451354</v>
      </c>
      <c r="AG12">
        <v>0</v>
      </c>
      <c r="AH12">
        <v>121819.77671451354</v>
      </c>
      <c r="AI12">
        <v>0</v>
      </c>
      <c r="AJ12">
        <v>121819.77671451354</v>
      </c>
      <c r="AK12">
        <v>0</v>
      </c>
      <c r="AL12">
        <v>121819.77671451354</v>
      </c>
      <c r="AM12">
        <v>0</v>
      </c>
      <c r="AN12">
        <v>121819.77671451354</v>
      </c>
      <c r="AO12">
        <v>0</v>
      </c>
      <c r="AP12">
        <v>121819.77671451354</v>
      </c>
      <c r="AQ12">
        <v>0</v>
      </c>
      <c r="AR12">
        <v>121819.77671451354</v>
      </c>
      <c r="AS12">
        <v>0</v>
      </c>
      <c r="AT12">
        <v>121819.77671451354</v>
      </c>
      <c r="AV12">
        <v>121819.77671451354</v>
      </c>
      <c r="AW12">
        <v>-1193.3277724712243</v>
      </c>
      <c r="AX12">
        <v>120626.44894204232</v>
      </c>
      <c r="AY12">
        <v>4848.8653787181829</v>
      </c>
      <c r="AZ12">
        <v>125475.3143207605</v>
      </c>
      <c r="BA12">
        <v>0</v>
      </c>
      <c r="BB12">
        <v>125475.3143207605</v>
      </c>
      <c r="BC12">
        <v>0</v>
      </c>
      <c r="BD12">
        <v>125475.3143207605</v>
      </c>
      <c r="BE12">
        <v>0</v>
      </c>
      <c r="BF12">
        <v>125475.3143207605</v>
      </c>
      <c r="BG12">
        <v>1254.4311560870992</v>
      </c>
      <c r="BH12">
        <v>126729.7454768476</v>
      </c>
      <c r="BI12">
        <v>0</v>
      </c>
      <c r="BJ12">
        <v>126729.7454768476</v>
      </c>
      <c r="BK12">
        <v>126729.7454768476</v>
      </c>
      <c r="BL12">
        <v>8265314</v>
      </c>
      <c r="BO12">
        <v>0</v>
      </c>
      <c r="BP12">
        <v>126729.7454768476</v>
      </c>
      <c r="BQ12">
        <v>8265314</v>
      </c>
      <c r="BR12" s="238" t="s">
        <v>36</v>
      </c>
      <c r="BU12">
        <v>126729.7454768476</v>
      </c>
      <c r="BV12">
        <v>0</v>
      </c>
      <c r="BW12">
        <v>8265314</v>
      </c>
      <c r="BX12" s="238"/>
      <c r="BY12" s="238" t="s">
        <v>3</v>
      </c>
      <c r="BZ12" s="238" t="s">
        <v>3</v>
      </c>
      <c r="CA12" s="238" t="s">
        <v>8951</v>
      </c>
      <c r="CB12" s="238" t="s">
        <v>1167</v>
      </c>
      <c r="CC12" s="238" t="s">
        <v>9077</v>
      </c>
      <c r="CD12" s="238" t="s">
        <v>8971</v>
      </c>
      <c r="CE12" t="b">
        <v>1</v>
      </c>
      <c r="CF12">
        <v>8265314</v>
      </c>
      <c r="CG12">
        <v>8265314</v>
      </c>
      <c r="CH12">
        <v>0</v>
      </c>
      <c r="CI12">
        <v>0</v>
      </c>
      <c r="CJ12">
        <v>0</v>
      </c>
    </row>
    <row r="13" spans="1:88" x14ac:dyDescent="0.25">
      <c r="A13">
        <v>12</v>
      </c>
      <c r="B13">
        <v>1</v>
      </c>
      <c r="C13">
        <v>2</v>
      </c>
      <c r="D13">
        <v>7</v>
      </c>
      <c r="E13">
        <v>1</v>
      </c>
      <c r="F13">
        <v>15.25</v>
      </c>
      <c r="I13">
        <v>15.25</v>
      </c>
      <c r="J13">
        <v>17.12</v>
      </c>
      <c r="K13">
        <v>4.62</v>
      </c>
      <c r="M13">
        <v>3.94</v>
      </c>
      <c r="P13">
        <v>3.36</v>
      </c>
      <c r="R13">
        <v>3.36</v>
      </c>
      <c r="S13">
        <v>44.29</v>
      </c>
      <c r="T13">
        <v>40.93</v>
      </c>
      <c r="U13">
        <v>42.61</v>
      </c>
      <c r="V13">
        <v>120353.44</v>
      </c>
      <c r="W13">
        <v>2.061813784763217</v>
      </c>
      <c r="X13">
        <v>120355.50181378477</v>
      </c>
      <c r="Y13">
        <v>0</v>
      </c>
      <c r="Z13">
        <v>120355.50181378477</v>
      </c>
      <c r="AA13">
        <v>0</v>
      </c>
      <c r="AB13">
        <v>120355.50181378477</v>
      </c>
      <c r="AC13">
        <v>0</v>
      </c>
      <c r="AD13">
        <v>120355.50181378477</v>
      </c>
      <c r="AE13">
        <v>0</v>
      </c>
      <c r="AF13">
        <v>120355.50181378477</v>
      </c>
      <c r="AG13">
        <v>0</v>
      </c>
      <c r="AH13">
        <v>120355.50181378477</v>
      </c>
      <c r="AI13">
        <v>0</v>
      </c>
      <c r="AJ13">
        <v>120355.50181378477</v>
      </c>
      <c r="AK13">
        <v>0</v>
      </c>
      <c r="AL13">
        <v>120355.50181378477</v>
      </c>
      <c r="AM13">
        <v>0</v>
      </c>
      <c r="AN13">
        <v>120355.50181378477</v>
      </c>
      <c r="AO13">
        <v>0</v>
      </c>
      <c r="AP13">
        <v>120355.50181378477</v>
      </c>
      <c r="AQ13">
        <v>0</v>
      </c>
      <c r="AR13">
        <v>120355.50181378477</v>
      </c>
      <c r="AS13">
        <v>0</v>
      </c>
      <c r="AT13">
        <v>120355.50181378477</v>
      </c>
      <c r="AV13">
        <v>120355.50181378477</v>
      </c>
      <c r="AW13">
        <v>-54.586535681039095</v>
      </c>
      <c r="AX13">
        <v>120300.91527810373</v>
      </c>
      <c r="AY13">
        <v>3667.636704998833</v>
      </c>
      <c r="AZ13">
        <v>123968.55198310256</v>
      </c>
      <c r="BA13">
        <v>0</v>
      </c>
      <c r="BB13">
        <v>123968.55198310256</v>
      </c>
      <c r="BC13">
        <v>0</v>
      </c>
      <c r="BD13">
        <v>123968.55198310256</v>
      </c>
      <c r="BE13">
        <v>0</v>
      </c>
      <c r="BF13">
        <v>123968.55198310256</v>
      </c>
      <c r="BG13">
        <v>2479.8169443792576</v>
      </c>
      <c r="BH13">
        <v>126448.36892748182</v>
      </c>
      <c r="BI13">
        <v>0</v>
      </c>
      <c r="BJ13">
        <v>126448.36892748182</v>
      </c>
      <c r="BK13">
        <v>126448.36892748182</v>
      </c>
      <c r="BL13">
        <v>5387965</v>
      </c>
      <c r="BO13">
        <v>0</v>
      </c>
      <c r="BP13">
        <v>126448.36892748182</v>
      </c>
      <c r="BQ13">
        <v>5387965</v>
      </c>
      <c r="BR13" s="238" t="s">
        <v>36</v>
      </c>
      <c r="BU13">
        <v>126448.36892748182</v>
      </c>
      <c r="BV13">
        <v>0</v>
      </c>
      <c r="BW13">
        <v>5387965</v>
      </c>
      <c r="BX13" s="238"/>
      <c r="BY13" s="238" t="s">
        <v>3</v>
      </c>
      <c r="BZ13" s="238" t="s">
        <v>3</v>
      </c>
      <c r="CA13" s="238" t="s">
        <v>8951</v>
      </c>
      <c r="CB13" s="238" t="s">
        <v>1167</v>
      </c>
      <c r="CC13" s="238" t="s">
        <v>9077</v>
      </c>
      <c r="CD13" s="238" t="s">
        <v>8972</v>
      </c>
      <c r="CE13" t="b">
        <v>1</v>
      </c>
      <c r="CF13">
        <v>5387965</v>
      </c>
      <c r="CG13">
        <v>5387965</v>
      </c>
      <c r="CH13">
        <v>0</v>
      </c>
      <c r="CI13">
        <v>0</v>
      </c>
      <c r="CJ13">
        <v>0</v>
      </c>
    </row>
    <row r="14" spans="1:88" x14ac:dyDescent="0.25">
      <c r="A14">
        <v>13</v>
      </c>
      <c r="B14">
        <v>1</v>
      </c>
      <c r="C14">
        <v>3</v>
      </c>
      <c r="D14">
        <v>1</v>
      </c>
      <c r="E14">
        <v>0</v>
      </c>
      <c r="F14">
        <v>17.66</v>
      </c>
      <c r="I14">
        <v>17.66</v>
      </c>
      <c r="J14">
        <v>7</v>
      </c>
      <c r="K14">
        <v>4.6399999999999997</v>
      </c>
      <c r="P14">
        <v>3.37</v>
      </c>
      <c r="R14">
        <v>3.37</v>
      </c>
      <c r="S14">
        <v>32.67</v>
      </c>
      <c r="T14">
        <v>29.3</v>
      </c>
      <c r="U14">
        <v>30.99</v>
      </c>
      <c r="V14">
        <v>138273.04</v>
      </c>
      <c r="W14">
        <v>1.6668676716799382</v>
      </c>
      <c r="X14">
        <v>138274.70686767169</v>
      </c>
      <c r="Y14">
        <v>0</v>
      </c>
      <c r="Z14">
        <v>138274.70686767169</v>
      </c>
      <c r="AA14">
        <v>0</v>
      </c>
      <c r="AB14">
        <v>138274.70686767169</v>
      </c>
      <c r="AC14">
        <v>0</v>
      </c>
      <c r="AD14">
        <v>138274.70686767169</v>
      </c>
      <c r="AE14">
        <v>0</v>
      </c>
      <c r="AF14">
        <v>138274.70686767169</v>
      </c>
      <c r="AG14">
        <v>0</v>
      </c>
      <c r="AH14">
        <v>138274.70686767169</v>
      </c>
      <c r="AI14">
        <v>0</v>
      </c>
      <c r="AJ14">
        <v>138274.70686767169</v>
      </c>
      <c r="AK14">
        <v>0</v>
      </c>
      <c r="AL14">
        <v>138274.70686767169</v>
      </c>
      <c r="AM14">
        <v>0</v>
      </c>
      <c r="AN14">
        <v>138274.70686767169</v>
      </c>
      <c r="AO14">
        <v>0</v>
      </c>
      <c r="AP14">
        <v>138274.70686767169</v>
      </c>
      <c r="AQ14">
        <v>0</v>
      </c>
      <c r="AR14">
        <v>138274.70686767169</v>
      </c>
      <c r="AS14">
        <v>0</v>
      </c>
      <c r="AT14">
        <v>138274.70686767169</v>
      </c>
      <c r="AV14">
        <v>138274.70686767169</v>
      </c>
      <c r="AW14">
        <v>-1090.647493680066</v>
      </c>
      <c r="AX14">
        <v>137184.05937399162</v>
      </c>
      <c r="AY14">
        <v>5239.3030009680369</v>
      </c>
      <c r="AZ14">
        <v>142423.36237495966</v>
      </c>
      <c r="BA14">
        <v>0</v>
      </c>
      <c r="BB14">
        <v>142423.36237495966</v>
      </c>
      <c r="BC14">
        <v>0</v>
      </c>
      <c r="BD14">
        <v>142423.36237495966</v>
      </c>
      <c r="BE14">
        <v>0</v>
      </c>
      <c r="BF14">
        <v>142423.36237495966</v>
      </c>
      <c r="BG14">
        <v>0</v>
      </c>
      <c r="BH14">
        <v>142423.36237495966</v>
      </c>
      <c r="BI14">
        <v>0</v>
      </c>
      <c r="BJ14">
        <v>142423.36237495966</v>
      </c>
      <c r="BK14">
        <v>142423.36237495966</v>
      </c>
      <c r="BL14">
        <v>4413700</v>
      </c>
      <c r="BO14">
        <v>0</v>
      </c>
      <c r="BP14">
        <v>142423.36237495966</v>
      </c>
      <c r="BQ14">
        <v>4413700</v>
      </c>
      <c r="BR14" s="238" t="s">
        <v>36</v>
      </c>
      <c r="BU14">
        <v>142423.36237495966</v>
      </c>
      <c r="BV14">
        <v>0</v>
      </c>
      <c r="BW14">
        <v>4413700</v>
      </c>
      <c r="BX14" s="238"/>
      <c r="BY14" s="238" t="s">
        <v>3</v>
      </c>
      <c r="BZ14" s="238" t="s">
        <v>3</v>
      </c>
      <c r="CA14" s="238" t="s">
        <v>8951</v>
      </c>
      <c r="CB14" s="238" t="s">
        <v>1167</v>
      </c>
      <c r="CC14" s="238" t="s">
        <v>9077</v>
      </c>
      <c r="CD14" s="238" t="s">
        <v>8970</v>
      </c>
      <c r="CE14" t="b">
        <v>1</v>
      </c>
      <c r="CF14">
        <v>4413700</v>
      </c>
      <c r="CG14">
        <v>4413700</v>
      </c>
      <c r="CH14">
        <v>0</v>
      </c>
      <c r="CI14">
        <v>0</v>
      </c>
      <c r="CJ14">
        <v>0</v>
      </c>
    </row>
    <row r="15" spans="1:88" x14ac:dyDescent="0.25">
      <c r="A15">
        <v>14</v>
      </c>
      <c r="B15">
        <v>1</v>
      </c>
      <c r="C15">
        <v>3</v>
      </c>
      <c r="D15">
        <v>2</v>
      </c>
      <c r="E15">
        <v>2</v>
      </c>
      <c r="F15">
        <v>11.1</v>
      </c>
      <c r="G15">
        <v>10.86</v>
      </c>
      <c r="I15">
        <v>21.96</v>
      </c>
      <c r="J15">
        <v>17.940000000000001</v>
      </c>
      <c r="K15">
        <v>3.94</v>
      </c>
      <c r="M15">
        <v>4.42</v>
      </c>
      <c r="N15">
        <v>4.49</v>
      </c>
      <c r="P15">
        <v>3.69</v>
      </c>
      <c r="R15">
        <v>3.69</v>
      </c>
      <c r="S15">
        <v>56.44</v>
      </c>
      <c r="T15">
        <v>52.75</v>
      </c>
      <c r="U15">
        <v>54.6</v>
      </c>
      <c r="V15">
        <v>117388.64</v>
      </c>
      <c r="W15">
        <v>0.67297709923877846</v>
      </c>
      <c r="X15">
        <v>117389.31297709924</v>
      </c>
      <c r="Y15">
        <v>499.69465648855839</v>
      </c>
      <c r="Z15">
        <v>117889.0076335878</v>
      </c>
      <c r="AA15">
        <v>0</v>
      </c>
      <c r="AB15">
        <v>117889.0076335878</v>
      </c>
      <c r="AC15">
        <v>0</v>
      </c>
      <c r="AD15">
        <v>117889.0076335878</v>
      </c>
      <c r="AE15">
        <v>0</v>
      </c>
      <c r="AF15">
        <v>117889.0076335878</v>
      </c>
      <c r="AG15">
        <v>0</v>
      </c>
      <c r="AH15">
        <v>117889.0076335878</v>
      </c>
      <c r="AI15">
        <v>0</v>
      </c>
      <c r="AJ15">
        <v>117889.0076335878</v>
      </c>
      <c r="AK15">
        <v>0</v>
      </c>
      <c r="AL15">
        <v>117889.0076335878</v>
      </c>
      <c r="AM15">
        <v>0</v>
      </c>
      <c r="AN15">
        <v>117889.0076335878</v>
      </c>
      <c r="AO15">
        <v>0</v>
      </c>
      <c r="AP15">
        <v>117889.0076335878</v>
      </c>
      <c r="AQ15">
        <v>0</v>
      </c>
      <c r="AR15">
        <v>117889.0076335878</v>
      </c>
      <c r="AS15">
        <v>0</v>
      </c>
      <c r="AT15">
        <v>117889.0076335878</v>
      </c>
      <c r="AV15">
        <v>117889.0076335878</v>
      </c>
      <c r="AW15">
        <v>-861.69994128010876</v>
      </c>
      <c r="AX15">
        <v>117027.30769230769</v>
      </c>
      <c r="AY15">
        <v>4914.0842490842479</v>
      </c>
      <c r="AZ15">
        <v>121941.39194139194</v>
      </c>
      <c r="BA15">
        <v>0</v>
      </c>
      <c r="BB15">
        <v>121941.39194139194</v>
      </c>
      <c r="BC15">
        <v>0</v>
      </c>
      <c r="BD15">
        <v>121941.39194139194</v>
      </c>
      <c r="BE15">
        <v>0</v>
      </c>
      <c r="BF15">
        <v>121941.39194139194</v>
      </c>
      <c r="BG15">
        <v>1219.0109890109889</v>
      </c>
      <c r="BH15">
        <v>123160.40293040292</v>
      </c>
      <c r="BI15">
        <v>0</v>
      </c>
      <c r="BJ15">
        <v>123160.40293040292</v>
      </c>
      <c r="BK15">
        <v>123160.40293040292</v>
      </c>
      <c r="BL15">
        <v>6724558</v>
      </c>
      <c r="BO15">
        <v>0</v>
      </c>
      <c r="BP15">
        <v>123160.40293040292</v>
      </c>
      <c r="BQ15">
        <v>6724558</v>
      </c>
      <c r="BR15" s="238" t="s">
        <v>36</v>
      </c>
      <c r="BU15">
        <v>123160.40293040292</v>
      </c>
      <c r="BV15">
        <v>0</v>
      </c>
      <c r="BW15">
        <v>6724558</v>
      </c>
      <c r="BX15" s="238"/>
      <c r="BY15" s="238" t="s">
        <v>3</v>
      </c>
      <c r="BZ15" s="238" t="s">
        <v>3</v>
      </c>
      <c r="CA15" s="238" t="s">
        <v>8951</v>
      </c>
      <c r="CB15" s="238" t="s">
        <v>1167</v>
      </c>
      <c r="CC15" s="238" t="s">
        <v>9077</v>
      </c>
      <c r="CD15" s="238" t="s">
        <v>8971</v>
      </c>
      <c r="CE15" t="b">
        <v>1</v>
      </c>
      <c r="CF15">
        <v>6724558</v>
      </c>
      <c r="CG15">
        <v>6724558</v>
      </c>
      <c r="CH15">
        <v>0</v>
      </c>
      <c r="CI15">
        <v>0</v>
      </c>
      <c r="CJ15">
        <v>0</v>
      </c>
    </row>
    <row r="16" spans="1:88" x14ac:dyDescent="0.25">
      <c r="A16">
        <v>15</v>
      </c>
      <c r="B16">
        <v>1</v>
      </c>
      <c r="C16">
        <v>3</v>
      </c>
      <c r="D16">
        <v>3</v>
      </c>
      <c r="E16">
        <v>2</v>
      </c>
      <c r="F16">
        <v>11.04</v>
      </c>
      <c r="G16">
        <v>12.05</v>
      </c>
      <c r="I16">
        <v>23.09</v>
      </c>
      <c r="J16">
        <v>20.87</v>
      </c>
      <c r="K16">
        <v>4.99</v>
      </c>
      <c r="M16">
        <v>2.67</v>
      </c>
      <c r="N16">
        <v>4.59</v>
      </c>
      <c r="O16">
        <v>3.59</v>
      </c>
      <c r="P16">
        <v>3.84</v>
      </c>
      <c r="R16">
        <v>3.84</v>
      </c>
      <c r="S16">
        <v>63.64</v>
      </c>
      <c r="T16">
        <v>59.8</v>
      </c>
      <c r="U16">
        <v>61.72</v>
      </c>
      <c r="V16">
        <v>120710.95999999999</v>
      </c>
      <c r="W16">
        <v>0.78978867287514731</v>
      </c>
      <c r="X16">
        <v>120711.74978867287</v>
      </c>
      <c r="Y16">
        <v>0</v>
      </c>
      <c r="Z16">
        <v>120711.74978867287</v>
      </c>
      <c r="AA16">
        <v>0</v>
      </c>
      <c r="AB16">
        <v>120711.74978867287</v>
      </c>
      <c r="AC16">
        <v>0</v>
      </c>
      <c r="AD16">
        <v>120711.74978867287</v>
      </c>
      <c r="AE16">
        <v>0</v>
      </c>
      <c r="AF16">
        <v>120711.74978867287</v>
      </c>
      <c r="AG16">
        <v>0</v>
      </c>
      <c r="AH16">
        <v>120711.74978867287</v>
      </c>
      <c r="AI16">
        <v>0</v>
      </c>
      <c r="AJ16">
        <v>120711.74978867287</v>
      </c>
      <c r="AK16">
        <v>0</v>
      </c>
      <c r="AL16">
        <v>120711.74978867287</v>
      </c>
      <c r="AM16">
        <v>0</v>
      </c>
      <c r="AN16">
        <v>120711.74978867287</v>
      </c>
      <c r="AO16">
        <v>0</v>
      </c>
      <c r="AP16">
        <v>120711.74978867287</v>
      </c>
      <c r="AQ16">
        <v>0</v>
      </c>
      <c r="AR16">
        <v>120711.74978867287</v>
      </c>
      <c r="AS16">
        <v>0</v>
      </c>
      <c r="AT16">
        <v>120711.74978867287</v>
      </c>
      <c r="AV16">
        <v>120711.74978867287</v>
      </c>
      <c r="AW16">
        <v>-1555.5929513429874</v>
      </c>
      <c r="AX16">
        <v>119156.15683732988</v>
      </c>
      <c r="AY16">
        <v>5177.9325988334458</v>
      </c>
      <c r="AZ16">
        <v>124334.08943616333</v>
      </c>
      <c r="BA16">
        <v>0</v>
      </c>
      <c r="BB16">
        <v>124334.08943616333</v>
      </c>
      <c r="BC16">
        <v>0</v>
      </c>
      <c r="BD16">
        <v>124334.08943616333</v>
      </c>
      <c r="BE16">
        <v>0</v>
      </c>
      <c r="BF16">
        <v>124334.08943616333</v>
      </c>
      <c r="BG16">
        <v>1243.2436811406369</v>
      </c>
      <c r="BH16">
        <v>125577.33311730396</v>
      </c>
      <c r="BI16">
        <v>0</v>
      </c>
      <c r="BJ16">
        <v>125577.33311730396</v>
      </c>
      <c r="BK16">
        <v>125577.33311730396</v>
      </c>
      <c r="BL16">
        <v>7750633</v>
      </c>
      <c r="BO16">
        <v>0</v>
      </c>
      <c r="BP16">
        <v>125577.33311730396</v>
      </c>
      <c r="BQ16">
        <v>7750633</v>
      </c>
      <c r="BR16" s="238" t="s">
        <v>36</v>
      </c>
      <c r="BU16">
        <v>125577.33311730396</v>
      </c>
      <c r="BV16">
        <v>0</v>
      </c>
      <c r="BW16">
        <v>7750633</v>
      </c>
      <c r="BX16" s="238"/>
      <c r="BY16" s="238" t="s">
        <v>3</v>
      </c>
      <c r="BZ16" s="238" t="s">
        <v>3</v>
      </c>
      <c r="CA16" s="238" t="s">
        <v>8951</v>
      </c>
      <c r="CB16" s="238" t="s">
        <v>1167</v>
      </c>
      <c r="CC16" s="238" t="s">
        <v>9077</v>
      </c>
      <c r="CD16" s="238" t="s">
        <v>8971</v>
      </c>
      <c r="CE16" t="b">
        <v>1</v>
      </c>
      <c r="CF16">
        <v>7750633</v>
      </c>
      <c r="CG16">
        <v>7750633</v>
      </c>
      <c r="CH16">
        <v>0</v>
      </c>
      <c r="CI16">
        <v>0</v>
      </c>
      <c r="CJ16">
        <v>0</v>
      </c>
    </row>
    <row r="17" spans="1:88" x14ac:dyDescent="0.25">
      <c r="A17">
        <v>16</v>
      </c>
      <c r="B17">
        <v>1</v>
      </c>
      <c r="C17">
        <v>3</v>
      </c>
      <c r="D17">
        <v>4</v>
      </c>
      <c r="E17">
        <v>1</v>
      </c>
      <c r="F17">
        <v>12.64</v>
      </c>
      <c r="I17">
        <v>12.64</v>
      </c>
      <c r="J17">
        <v>15.67</v>
      </c>
      <c r="K17">
        <v>4.6900000000000004</v>
      </c>
      <c r="M17">
        <v>4.01</v>
      </c>
      <c r="P17">
        <v>3.38</v>
      </c>
      <c r="R17">
        <v>3.38</v>
      </c>
      <c r="S17">
        <v>40.39</v>
      </c>
      <c r="T17">
        <v>37.01</v>
      </c>
      <c r="U17">
        <v>38.700000000000003</v>
      </c>
      <c r="V17">
        <v>120353.44</v>
      </c>
      <c r="W17">
        <v>1.0931529093213612</v>
      </c>
      <c r="X17">
        <v>120354.53315290932</v>
      </c>
      <c r="Y17">
        <v>0</v>
      </c>
      <c r="Z17">
        <v>120354.53315290932</v>
      </c>
      <c r="AA17">
        <v>0</v>
      </c>
      <c r="AB17">
        <v>120354.53315290932</v>
      </c>
      <c r="AC17">
        <v>0</v>
      </c>
      <c r="AD17">
        <v>120354.53315290932</v>
      </c>
      <c r="AE17">
        <v>0</v>
      </c>
      <c r="AF17">
        <v>120354.53315290932</v>
      </c>
      <c r="AG17">
        <v>0</v>
      </c>
      <c r="AH17">
        <v>120354.53315290932</v>
      </c>
      <c r="AI17">
        <v>0</v>
      </c>
      <c r="AJ17">
        <v>120354.53315290932</v>
      </c>
      <c r="AK17">
        <v>0</v>
      </c>
      <c r="AL17">
        <v>120354.53315290932</v>
      </c>
      <c r="AM17">
        <v>0</v>
      </c>
      <c r="AN17">
        <v>120354.53315290932</v>
      </c>
      <c r="AO17">
        <v>0</v>
      </c>
      <c r="AP17">
        <v>120354.53315290932</v>
      </c>
      <c r="AQ17">
        <v>0</v>
      </c>
      <c r="AR17">
        <v>120354.53315290932</v>
      </c>
      <c r="AS17">
        <v>0</v>
      </c>
      <c r="AT17">
        <v>120354.53315290932</v>
      </c>
      <c r="AV17">
        <v>120354.53315290932</v>
      </c>
      <c r="AW17">
        <v>-1994.5589927026158</v>
      </c>
      <c r="AX17">
        <v>118359.97416020671</v>
      </c>
      <c r="AY17">
        <v>5606.4341085271299</v>
      </c>
      <c r="AZ17">
        <v>123966.40826873384</v>
      </c>
      <c r="BA17">
        <v>0</v>
      </c>
      <c r="BB17">
        <v>123966.40826873384</v>
      </c>
      <c r="BC17">
        <v>0</v>
      </c>
      <c r="BD17">
        <v>123966.40826873384</v>
      </c>
      <c r="BE17">
        <v>0</v>
      </c>
      <c r="BF17">
        <v>123966.40826873384</v>
      </c>
      <c r="BG17">
        <v>2478.9147286821681</v>
      </c>
      <c r="BH17">
        <v>126445.32299741601</v>
      </c>
      <c r="BI17">
        <v>0</v>
      </c>
      <c r="BJ17">
        <v>126445.32299741601</v>
      </c>
      <c r="BK17">
        <v>126445.32299741601</v>
      </c>
      <c r="BL17">
        <v>4893434</v>
      </c>
      <c r="BO17">
        <v>0</v>
      </c>
      <c r="BP17">
        <v>126445.32299741601</v>
      </c>
      <c r="BQ17">
        <v>4893434</v>
      </c>
      <c r="BR17" s="238" t="s">
        <v>36</v>
      </c>
      <c r="BU17">
        <v>126445.32299741601</v>
      </c>
      <c r="BV17">
        <v>0</v>
      </c>
      <c r="BW17">
        <v>4893434</v>
      </c>
      <c r="BX17" s="238"/>
      <c r="BY17" s="238" t="s">
        <v>3</v>
      </c>
      <c r="BZ17" s="238" t="s">
        <v>3</v>
      </c>
      <c r="CA17" s="238" t="s">
        <v>8951</v>
      </c>
      <c r="CB17" s="238" t="s">
        <v>1167</v>
      </c>
      <c r="CC17" s="238" t="s">
        <v>9077</v>
      </c>
      <c r="CD17" s="238" t="s">
        <v>8972</v>
      </c>
      <c r="CE17" t="b">
        <v>1</v>
      </c>
      <c r="CF17">
        <v>4893434</v>
      </c>
      <c r="CG17">
        <v>4893434</v>
      </c>
      <c r="CH17">
        <v>0</v>
      </c>
      <c r="CI17">
        <v>0</v>
      </c>
      <c r="CJ17">
        <v>0</v>
      </c>
    </row>
    <row r="18" spans="1:88" x14ac:dyDescent="0.25">
      <c r="A18">
        <v>17</v>
      </c>
      <c r="B18">
        <v>1</v>
      </c>
      <c r="C18">
        <v>3</v>
      </c>
      <c r="D18">
        <v>5</v>
      </c>
      <c r="E18">
        <v>2</v>
      </c>
      <c r="F18">
        <v>10.59</v>
      </c>
      <c r="G18">
        <v>14.05</v>
      </c>
      <c r="I18">
        <v>24.64</v>
      </c>
      <c r="J18">
        <v>18.38</v>
      </c>
      <c r="K18">
        <v>4.84</v>
      </c>
      <c r="M18">
        <v>3.1</v>
      </c>
      <c r="N18">
        <v>4.93</v>
      </c>
      <c r="O18">
        <v>3.83</v>
      </c>
      <c r="P18">
        <v>3.49</v>
      </c>
      <c r="R18">
        <v>3.49</v>
      </c>
      <c r="S18">
        <v>63.21</v>
      </c>
      <c r="T18">
        <v>59.72</v>
      </c>
      <c r="U18">
        <v>61.47</v>
      </c>
      <c r="V18">
        <v>118496.08</v>
      </c>
      <c r="W18">
        <v>8.3682864453294314E-2</v>
      </c>
      <c r="X18">
        <v>118496.16368286446</v>
      </c>
      <c r="Y18">
        <v>0</v>
      </c>
      <c r="Z18">
        <v>118496.16368286446</v>
      </c>
      <c r="AA18">
        <v>0</v>
      </c>
      <c r="AB18">
        <v>118496.16368286446</v>
      </c>
      <c r="AC18">
        <v>0</v>
      </c>
      <c r="AD18">
        <v>118496.16368286446</v>
      </c>
      <c r="AE18">
        <v>0</v>
      </c>
      <c r="AF18">
        <v>118496.16368286446</v>
      </c>
      <c r="AG18">
        <v>0</v>
      </c>
      <c r="AH18">
        <v>118496.16368286446</v>
      </c>
      <c r="AI18">
        <v>0</v>
      </c>
      <c r="AJ18">
        <v>118496.16368286446</v>
      </c>
      <c r="AK18">
        <v>0</v>
      </c>
      <c r="AL18">
        <v>118496.16368286446</v>
      </c>
      <c r="AM18">
        <v>0</v>
      </c>
      <c r="AN18">
        <v>118496.16368286446</v>
      </c>
      <c r="AO18">
        <v>0</v>
      </c>
      <c r="AP18">
        <v>118496.16368286446</v>
      </c>
      <c r="AQ18">
        <v>0</v>
      </c>
      <c r="AR18">
        <v>118496.16368286446</v>
      </c>
      <c r="AS18">
        <v>0</v>
      </c>
      <c r="AT18">
        <v>118496.16368286446</v>
      </c>
      <c r="AV18">
        <v>118496.16368286446</v>
      </c>
      <c r="AW18">
        <v>-2044.4962027928705</v>
      </c>
      <c r="AX18">
        <v>116451.66748007158</v>
      </c>
      <c r="AY18">
        <v>5599.7397104278498</v>
      </c>
      <c r="AZ18">
        <v>122051.40719049943</v>
      </c>
      <c r="BA18">
        <v>0</v>
      </c>
      <c r="BB18">
        <v>122051.40719049943</v>
      </c>
      <c r="BC18">
        <v>0</v>
      </c>
      <c r="BD18">
        <v>122051.40719049943</v>
      </c>
      <c r="BE18">
        <v>0</v>
      </c>
      <c r="BF18">
        <v>122051.40719049943</v>
      </c>
      <c r="BG18">
        <v>1220.1073694485094</v>
      </c>
      <c r="BH18">
        <v>123271.51455994794</v>
      </c>
      <c r="BI18">
        <v>0</v>
      </c>
      <c r="BJ18">
        <v>123271.51455994794</v>
      </c>
      <c r="BK18">
        <v>123271.51455994794</v>
      </c>
      <c r="BL18">
        <v>7577500</v>
      </c>
      <c r="BO18">
        <v>0</v>
      </c>
      <c r="BP18">
        <v>123271.51455994794</v>
      </c>
      <c r="BQ18">
        <v>7577500</v>
      </c>
      <c r="BR18" s="238" t="s">
        <v>36</v>
      </c>
      <c r="BU18">
        <v>123271.51455994794</v>
      </c>
      <c r="BV18">
        <v>0</v>
      </c>
      <c r="BW18">
        <v>7577500</v>
      </c>
      <c r="BX18" s="238"/>
      <c r="BY18" s="238" t="s">
        <v>3</v>
      </c>
      <c r="BZ18" s="238" t="s">
        <v>3</v>
      </c>
      <c r="CA18" s="238" t="s">
        <v>8951</v>
      </c>
      <c r="CB18" s="238" t="s">
        <v>1167</v>
      </c>
      <c r="CC18" s="238" t="s">
        <v>9077</v>
      </c>
      <c r="CD18" s="238" t="s">
        <v>8971</v>
      </c>
      <c r="CE18" t="b">
        <v>1</v>
      </c>
      <c r="CF18">
        <v>7577500</v>
      </c>
      <c r="CG18">
        <v>7577500</v>
      </c>
      <c r="CH18">
        <v>0</v>
      </c>
      <c r="CI18">
        <v>0</v>
      </c>
      <c r="CJ18">
        <v>0</v>
      </c>
    </row>
    <row r="19" spans="1:88" x14ac:dyDescent="0.25">
      <c r="A19">
        <v>18</v>
      </c>
      <c r="B19">
        <v>1</v>
      </c>
      <c r="C19">
        <v>3</v>
      </c>
      <c r="D19">
        <v>6</v>
      </c>
      <c r="E19">
        <v>2</v>
      </c>
      <c r="F19">
        <v>14.2</v>
      </c>
      <c r="G19">
        <v>14.27</v>
      </c>
      <c r="I19">
        <v>28.47</v>
      </c>
      <c r="J19">
        <v>17.43</v>
      </c>
      <c r="K19">
        <v>5.51</v>
      </c>
      <c r="L19">
        <v>4.05</v>
      </c>
      <c r="M19">
        <v>3.57</v>
      </c>
      <c r="N19">
        <v>4.75</v>
      </c>
      <c r="P19">
        <v>2.87</v>
      </c>
      <c r="R19">
        <v>2.87</v>
      </c>
      <c r="S19">
        <v>66.650000000000006</v>
      </c>
      <c r="T19">
        <v>63.78</v>
      </c>
      <c r="U19">
        <v>65.22</v>
      </c>
      <c r="V19">
        <v>121818.4</v>
      </c>
      <c r="W19">
        <v>1.376714513549814</v>
      </c>
      <c r="X19">
        <v>121819.77671451354</v>
      </c>
      <c r="Y19">
        <v>0</v>
      </c>
      <c r="Z19">
        <v>121819.77671451354</v>
      </c>
      <c r="AA19">
        <v>0</v>
      </c>
      <c r="AB19">
        <v>121819.77671451354</v>
      </c>
      <c r="AC19">
        <v>0</v>
      </c>
      <c r="AD19">
        <v>121819.77671451354</v>
      </c>
      <c r="AE19">
        <v>0</v>
      </c>
      <c r="AF19">
        <v>121819.77671451354</v>
      </c>
      <c r="AG19">
        <v>0</v>
      </c>
      <c r="AH19">
        <v>121819.77671451354</v>
      </c>
      <c r="AI19">
        <v>0</v>
      </c>
      <c r="AJ19">
        <v>121819.77671451354</v>
      </c>
      <c r="AK19">
        <v>0</v>
      </c>
      <c r="AL19">
        <v>121819.77671451354</v>
      </c>
      <c r="AM19">
        <v>0</v>
      </c>
      <c r="AN19">
        <v>121819.77671451354</v>
      </c>
      <c r="AO19">
        <v>0</v>
      </c>
      <c r="AP19">
        <v>121819.77671451354</v>
      </c>
      <c r="AQ19">
        <v>0</v>
      </c>
      <c r="AR19">
        <v>121819.77671451354</v>
      </c>
      <c r="AS19">
        <v>0</v>
      </c>
      <c r="AT19">
        <v>121819.77671451354</v>
      </c>
      <c r="AV19">
        <v>121819.77671451354</v>
      </c>
      <c r="AW19">
        <v>-1193.3277724712243</v>
      </c>
      <c r="AX19">
        <v>120626.44894204232</v>
      </c>
      <c r="AY19">
        <v>4848.8653787181829</v>
      </c>
      <c r="AZ19">
        <v>125475.3143207605</v>
      </c>
      <c r="BA19">
        <v>0</v>
      </c>
      <c r="BB19">
        <v>125475.3143207605</v>
      </c>
      <c r="BC19">
        <v>0</v>
      </c>
      <c r="BD19">
        <v>125475.3143207605</v>
      </c>
      <c r="BE19">
        <v>0</v>
      </c>
      <c r="BF19">
        <v>125475.3143207605</v>
      </c>
      <c r="BG19">
        <v>1254.4311560870992</v>
      </c>
      <c r="BH19">
        <v>126729.7454768476</v>
      </c>
      <c r="BI19">
        <v>0</v>
      </c>
      <c r="BJ19">
        <v>126729.7454768476</v>
      </c>
      <c r="BK19">
        <v>126729.7454768476</v>
      </c>
      <c r="BL19">
        <v>8265314</v>
      </c>
      <c r="BO19">
        <v>0</v>
      </c>
      <c r="BP19">
        <v>126729.7454768476</v>
      </c>
      <c r="BQ19">
        <v>8265314</v>
      </c>
      <c r="BR19" s="238" t="s">
        <v>36</v>
      </c>
      <c r="BU19">
        <v>126729.7454768476</v>
      </c>
      <c r="BV19">
        <v>0</v>
      </c>
      <c r="BW19">
        <v>8265314</v>
      </c>
      <c r="BX19" s="238"/>
      <c r="BY19" s="238" t="s">
        <v>3</v>
      </c>
      <c r="BZ19" s="238" t="s">
        <v>3</v>
      </c>
      <c r="CA19" s="238" t="s">
        <v>8951</v>
      </c>
      <c r="CB19" s="238" t="s">
        <v>1167</v>
      </c>
      <c r="CC19" s="238" t="s">
        <v>9077</v>
      </c>
      <c r="CD19" s="238" t="s">
        <v>8971</v>
      </c>
      <c r="CE19" t="b">
        <v>1</v>
      </c>
      <c r="CF19">
        <v>8265314</v>
      </c>
      <c r="CG19">
        <v>8265314</v>
      </c>
      <c r="CH19">
        <v>0</v>
      </c>
      <c r="CI19">
        <v>0</v>
      </c>
      <c r="CJ19">
        <v>0</v>
      </c>
    </row>
    <row r="20" spans="1:88" x14ac:dyDescent="0.25">
      <c r="A20">
        <v>19</v>
      </c>
      <c r="B20">
        <v>1</v>
      </c>
      <c r="C20">
        <v>3</v>
      </c>
      <c r="D20">
        <v>7</v>
      </c>
      <c r="E20">
        <v>1</v>
      </c>
      <c r="F20">
        <v>15.25</v>
      </c>
      <c r="I20">
        <v>15.25</v>
      </c>
      <c r="J20">
        <v>17.12</v>
      </c>
      <c r="K20">
        <v>4.62</v>
      </c>
      <c r="M20">
        <v>3.94</v>
      </c>
      <c r="P20">
        <v>3.36</v>
      </c>
      <c r="R20">
        <v>3.36</v>
      </c>
      <c r="S20">
        <v>44.29</v>
      </c>
      <c r="T20">
        <v>40.93</v>
      </c>
      <c r="U20">
        <v>42.61</v>
      </c>
      <c r="V20">
        <v>120353.44</v>
      </c>
      <c r="W20">
        <v>2.061813784763217</v>
      </c>
      <c r="X20">
        <v>120355.50181378477</v>
      </c>
      <c r="Y20">
        <v>0</v>
      </c>
      <c r="Z20">
        <v>120355.50181378477</v>
      </c>
      <c r="AA20">
        <v>0</v>
      </c>
      <c r="AB20">
        <v>120355.50181378477</v>
      </c>
      <c r="AC20">
        <v>0</v>
      </c>
      <c r="AD20">
        <v>120355.50181378477</v>
      </c>
      <c r="AE20">
        <v>0</v>
      </c>
      <c r="AF20">
        <v>120355.50181378477</v>
      </c>
      <c r="AG20">
        <v>0</v>
      </c>
      <c r="AH20">
        <v>120355.50181378477</v>
      </c>
      <c r="AI20">
        <v>0</v>
      </c>
      <c r="AJ20">
        <v>120355.50181378477</v>
      </c>
      <c r="AK20">
        <v>0</v>
      </c>
      <c r="AL20">
        <v>120355.50181378477</v>
      </c>
      <c r="AM20">
        <v>0</v>
      </c>
      <c r="AN20">
        <v>120355.50181378477</v>
      </c>
      <c r="AO20">
        <v>0</v>
      </c>
      <c r="AP20">
        <v>120355.50181378477</v>
      </c>
      <c r="AQ20">
        <v>0</v>
      </c>
      <c r="AR20">
        <v>120355.50181378477</v>
      </c>
      <c r="AS20">
        <v>0</v>
      </c>
      <c r="AT20">
        <v>120355.50181378477</v>
      </c>
      <c r="AV20">
        <v>120355.50181378477</v>
      </c>
      <c r="AW20">
        <v>-54.586535681039095</v>
      </c>
      <c r="AX20">
        <v>120300.91527810373</v>
      </c>
      <c r="AY20">
        <v>3667.636704998833</v>
      </c>
      <c r="AZ20">
        <v>123968.55198310256</v>
      </c>
      <c r="BA20">
        <v>0</v>
      </c>
      <c r="BB20">
        <v>123968.55198310256</v>
      </c>
      <c r="BC20">
        <v>0</v>
      </c>
      <c r="BD20">
        <v>123968.55198310256</v>
      </c>
      <c r="BE20">
        <v>0</v>
      </c>
      <c r="BF20">
        <v>123968.55198310256</v>
      </c>
      <c r="BG20">
        <v>2479.8169443792576</v>
      </c>
      <c r="BH20">
        <v>126448.36892748182</v>
      </c>
      <c r="BI20">
        <v>0</v>
      </c>
      <c r="BJ20">
        <v>126448.36892748182</v>
      </c>
      <c r="BK20">
        <v>126448.36892748182</v>
      </c>
      <c r="BL20">
        <v>5387965</v>
      </c>
      <c r="BO20">
        <v>0</v>
      </c>
      <c r="BP20">
        <v>126448.36892748182</v>
      </c>
      <c r="BQ20">
        <v>5387965</v>
      </c>
      <c r="BR20" s="238" t="s">
        <v>36</v>
      </c>
      <c r="BU20">
        <v>126448.36892748182</v>
      </c>
      <c r="BV20">
        <v>0</v>
      </c>
      <c r="BW20">
        <v>5387965</v>
      </c>
      <c r="BX20" s="238"/>
      <c r="BY20" s="238" t="s">
        <v>3</v>
      </c>
      <c r="BZ20" s="238" t="s">
        <v>3</v>
      </c>
      <c r="CA20" s="238" t="s">
        <v>8951</v>
      </c>
      <c r="CB20" s="238" t="s">
        <v>1167</v>
      </c>
      <c r="CC20" s="238" t="s">
        <v>9077</v>
      </c>
      <c r="CD20" s="238" t="s">
        <v>8972</v>
      </c>
      <c r="CE20" t="b">
        <v>1</v>
      </c>
      <c r="CF20">
        <v>5387965</v>
      </c>
      <c r="CG20">
        <v>5387965</v>
      </c>
      <c r="CH20">
        <v>0</v>
      </c>
      <c r="CI20">
        <v>0</v>
      </c>
      <c r="CJ20">
        <v>0</v>
      </c>
    </row>
    <row r="21" spans="1:88" x14ac:dyDescent="0.25">
      <c r="A21">
        <v>20</v>
      </c>
      <c r="B21">
        <v>1</v>
      </c>
      <c r="C21">
        <v>4</v>
      </c>
      <c r="D21">
        <v>1</v>
      </c>
      <c r="E21">
        <v>0</v>
      </c>
      <c r="F21">
        <v>17.66</v>
      </c>
      <c r="I21">
        <v>17.66</v>
      </c>
      <c r="J21">
        <v>7</v>
      </c>
      <c r="K21">
        <v>4.6399999999999997</v>
      </c>
      <c r="P21">
        <v>3.37</v>
      </c>
      <c r="R21">
        <v>3.37</v>
      </c>
      <c r="S21">
        <v>32.67</v>
      </c>
      <c r="T21">
        <v>29.3</v>
      </c>
      <c r="U21">
        <v>30.99</v>
      </c>
      <c r="V21">
        <v>138273.04</v>
      </c>
      <c r="W21">
        <v>1.6668676716799382</v>
      </c>
      <c r="X21">
        <v>138274.70686767169</v>
      </c>
      <c r="Y21">
        <v>0</v>
      </c>
      <c r="Z21">
        <v>138274.70686767169</v>
      </c>
      <c r="AA21">
        <v>0</v>
      </c>
      <c r="AB21">
        <v>138274.70686767169</v>
      </c>
      <c r="AC21">
        <v>0</v>
      </c>
      <c r="AD21">
        <v>138274.70686767169</v>
      </c>
      <c r="AE21">
        <v>0</v>
      </c>
      <c r="AF21">
        <v>138274.70686767169</v>
      </c>
      <c r="AG21">
        <v>0</v>
      </c>
      <c r="AH21">
        <v>138274.70686767169</v>
      </c>
      <c r="AI21">
        <v>0</v>
      </c>
      <c r="AJ21">
        <v>138274.70686767169</v>
      </c>
      <c r="AK21">
        <v>0</v>
      </c>
      <c r="AL21">
        <v>138274.70686767169</v>
      </c>
      <c r="AM21">
        <v>0</v>
      </c>
      <c r="AN21">
        <v>138274.70686767169</v>
      </c>
      <c r="AO21">
        <v>0</v>
      </c>
      <c r="AP21">
        <v>138274.70686767169</v>
      </c>
      <c r="AQ21">
        <v>0</v>
      </c>
      <c r="AR21">
        <v>138274.70686767169</v>
      </c>
      <c r="AS21">
        <v>0</v>
      </c>
      <c r="AT21">
        <v>138274.70686767169</v>
      </c>
      <c r="AV21">
        <v>138274.70686767169</v>
      </c>
      <c r="AW21">
        <v>-1090.647493680066</v>
      </c>
      <c r="AX21">
        <v>137184.05937399162</v>
      </c>
      <c r="AY21">
        <v>5239.3030009680369</v>
      </c>
      <c r="AZ21">
        <v>142423.36237495966</v>
      </c>
      <c r="BA21">
        <v>0</v>
      </c>
      <c r="BB21">
        <v>142423.36237495966</v>
      </c>
      <c r="BC21">
        <v>0</v>
      </c>
      <c r="BD21">
        <v>142423.36237495966</v>
      </c>
      <c r="BE21">
        <v>0</v>
      </c>
      <c r="BF21">
        <v>142423.36237495966</v>
      </c>
      <c r="BG21">
        <v>0</v>
      </c>
      <c r="BH21">
        <v>142423.36237495966</v>
      </c>
      <c r="BI21">
        <v>0</v>
      </c>
      <c r="BJ21">
        <v>142423.36237495966</v>
      </c>
      <c r="BK21">
        <v>142423.36237495966</v>
      </c>
      <c r="BL21">
        <v>4413700</v>
      </c>
      <c r="BO21">
        <v>0</v>
      </c>
      <c r="BP21">
        <v>142423.36237495966</v>
      </c>
      <c r="BQ21">
        <v>4413700</v>
      </c>
      <c r="BR21" s="238" t="s">
        <v>36</v>
      </c>
      <c r="BU21">
        <v>142423.36237495966</v>
      </c>
      <c r="BV21">
        <v>0</v>
      </c>
      <c r="BW21">
        <v>4413700</v>
      </c>
      <c r="BX21" s="238"/>
      <c r="BY21" s="238" t="s">
        <v>3</v>
      </c>
      <c r="BZ21" s="238" t="s">
        <v>3</v>
      </c>
      <c r="CA21" s="238" t="s">
        <v>8951</v>
      </c>
      <c r="CB21" s="238" t="s">
        <v>1167</v>
      </c>
      <c r="CC21" s="238" t="s">
        <v>9077</v>
      </c>
      <c r="CD21" s="238" t="s">
        <v>8970</v>
      </c>
      <c r="CE21" t="b">
        <v>1</v>
      </c>
      <c r="CF21">
        <v>4413700</v>
      </c>
      <c r="CG21">
        <v>4413700</v>
      </c>
      <c r="CH21">
        <v>0</v>
      </c>
      <c r="CI21">
        <v>0</v>
      </c>
      <c r="CJ21">
        <v>0</v>
      </c>
    </row>
    <row r="22" spans="1:88" x14ac:dyDescent="0.25">
      <c r="A22">
        <v>21</v>
      </c>
      <c r="B22">
        <v>1</v>
      </c>
      <c r="C22">
        <v>4</v>
      </c>
      <c r="D22">
        <v>2</v>
      </c>
      <c r="E22">
        <v>2</v>
      </c>
      <c r="F22">
        <v>11.1</v>
      </c>
      <c r="G22">
        <v>10.86</v>
      </c>
      <c r="I22">
        <v>21.96</v>
      </c>
      <c r="J22">
        <v>17.940000000000001</v>
      </c>
      <c r="K22">
        <v>3.94</v>
      </c>
      <c r="M22">
        <v>4.42</v>
      </c>
      <c r="N22">
        <v>4.49</v>
      </c>
      <c r="P22">
        <v>3.69</v>
      </c>
      <c r="R22">
        <v>3.69</v>
      </c>
      <c r="S22">
        <v>56.44</v>
      </c>
      <c r="T22">
        <v>52.75</v>
      </c>
      <c r="U22">
        <v>54.6</v>
      </c>
      <c r="V22">
        <v>117388.64</v>
      </c>
      <c r="W22">
        <v>0.67297709923877846</v>
      </c>
      <c r="X22">
        <v>117389.31297709924</v>
      </c>
      <c r="Y22">
        <v>499.69465648855839</v>
      </c>
      <c r="Z22">
        <v>117889.0076335878</v>
      </c>
      <c r="AA22">
        <v>0</v>
      </c>
      <c r="AB22">
        <v>117889.0076335878</v>
      </c>
      <c r="AC22">
        <v>0</v>
      </c>
      <c r="AD22">
        <v>117889.0076335878</v>
      </c>
      <c r="AE22">
        <v>0</v>
      </c>
      <c r="AF22">
        <v>117889.0076335878</v>
      </c>
      <c r="AG22">
        <v>0</v>
      </c>
      <c r="AH22">
        <v>117889.0076335878</v>
      </c>
      <c r="AI22">
        <v>0</v>
      </c>
      <c r="AJ22">
        <v>117889.0076335878</v>
      </c>
      <c r="AK22">
        <v>0</v>
      </c>
      <c r="AL22">
        <v>117889.0076335878</v>
      </c>
      <c r="AM22">
        <v>0</v>
      </c>
      <c r="AN22">
        <v>117889.0076335878</v>
      </c>
      <c r="AO22">
        <v>0</v>
      </c>
      <c r="AP22">
        <v>117889.0076335878</v>
      </c>
      <c r="AQ22">
        <v>0</v>
      </c>
      <c r="AR22">
        <v>117889.0076335878</v>
      </c>
      <c r="AS22">
        <v>0</v>
      </c>
      <c r="AT22">
        <v>117889.0076335878</v>
      </c>
      <c r="AV22">
        <v>117889.0076335878</v>
      </c>
      <c r="AW22">
        <v>-861.69994128010876</v>
      </c>
      <c r="AX22">
        <v>117027.30769230769</v>
      </c>
      <c r="AY22">
        <v>4914.0842490842479</v>
      </c>
      <c r="AZ22">
        <v>121941.39194139194</v>
      </c>
      <c r="BA22">
        <v>0</v>
      </c>
      <c r="BB22">
        <v>121941.39194139194</v>
      </c>
      <c r="BC22">
        <v>0</v>
      </c>
      <c r="BD22">
        <v>121941.39194139194</v>
      </c>
      <c r="BE22">
        <v>0</v>
      </c>
      <c r="BF22">
        <v>121941.39194139194</v>
      </c>
      <c r="BG22">
        <v>1219.0109890109889</v>
      </c>
      <c r="BH22">
        <v>123160.40293040292</v>
      </c>
      <c r="BI22">
        <v>0</v>
      </c>
      <c r="BJ22">
        <v>123160.40293040292</v>
      </c>
      <c r="BK22">
        <v>123160.40293040292</v>
      </c>
      <c r="BL22">
        <v>6724558</v>
      </c>
      <c r="BO22">
        <v>0</v>
      </c>
      <c r="BP22">
        <v>123160.40293040292</v>
      </c>
      <c r="BQ22">
        <v>6724558</v>
      </c>
      <c r="BR22" s="238" t="s">
        <v>36</v>
      </c>
      <c r="BU22">
        <v>123160.40293040292</v>
      </c>
      <c r="BV22">
        <v>0</v>
      </c>
      <c r="BW22">
        <v>6724558</v>
      </c>
      <c r="BX22" s="238"/>
      <c r="BY22" s="238" t="s">
        <v>3</v>
      </c>
      <c r="BZ22" s="238" t="s">
        <v>3</v>
      </c>
      <c r="CA22" s="238" t="s">
        <v>8951</v>
      </c>
      <c r="CB22" s="238" t="s">
        <v>1167</v>
      </c>
      <c r="CC22" s="238" t="s">
        <v>9077</v>
      </c>
      <c r="CD22" s="238" t="s">
        <v>8971</v>
      </c>
      <c r="CE22" t="b">
        <v>1</v>
      </c>
      <c r="CF22">
        <v>6724558</v>
      </c>
      <c r="CG22">
        <v>6724558</v>
      </c>
      <c r="CH22">
        <v>0</v>
      </c>
      <c r="CI22">
        <v>0</v>
      </c>
      <c r="CJ22">
        <v>0</v>
      </c>
    </row>
    <row r="23" spans="1:88" x14ac:dyDescent="0.25">
      <c r="A23">
        <v>22</v>
      </c>
      <c r="B23">
        <v>1</v>
      </c>
      <c r="C23">
        <v>4</v>
      </c>
      <c r="D23">
        <v>3</v>
      </c>
      <c r="E23">
        <v>2</v>
      </c>
      <c r="F23">
        <v>11.04</v>
      </c>
      <c r="G23">
        <v>12.05</v>
      </c>
      <c r="I23">
        <v>23.09</v>
      </c>
      <c r="J23">
        <v>20.87</v>
      </c>
      <c r="K23">
        <v>4.99</v>
      </c>
      <c r="M23">
        <v>2.67</v>
      </c>
      <c r="N23">
        <v>4.59</v>
      </c>
      <c r="O23">
        <v>3.59</v>
      </c>
      <c r="P23">
        <v>3.84</v>
      </c>
      <c r="R23">
        <v>3.84</v>
      </c>
      <c r="S23">
        <v>63.64</v>
      </c>
      <c r="T23">
        <v>59.8</v>
      </c>
      <c r="U23">
        <v>61.72</v>
      </c>
      <c r="V23">
        <v>120710.95999999999</v>
      </c>
      <c r="W23">
        <v>0.78978867287514731</v>
      </c>
      <c r="X23">
        <v>120711.74978867287</v>
      </c>
      <c r="Y23">
        <v>0</v>
      </c>
      <c r="Z23">
        <v>120711.74978867287</v>
      </c>
      <c r="AA23">
        <v>0</v>
      </c>
      <c r="AB23">
        <v>120711.74978867287</v>
      </c>
      <c r="AC23">
        <v>0</v>
      </c>
      <c r="AD23">
        <v>120711.74978867287</v>
      </c>
      <c r="AE23">
        <v>0</v>
      </c>
      <c r="AF23">
        <v>120711.74978867287</v>
      </c>
      <c r="AG23">
        <v>0</v>
      </c>
      <c r="AH23">
        <v>120711.74978867287</v>
      </c>
      <c r="AI23">
        <v>0</v>
      </c>
      <c r="AJ23">
        <v>120711.74978867287</v>
      </c>
      <c r="AK23">
        <v>0</v>
      </c>
      <c r="AL23">
        <v>120711.74978867287</v>
      </c>
      <c r="AM23">
        <v>0</v>
      </c>
      <c r="AN23">
        <v>120711.74978867287</v>
      </c>
      <c r="AO23">
        <v>0</v>
      </c>
      <c r="AP23">
        <v>120711.74978867287</v>
      </c>
      <c r="AQ23">
        <v>0</v>
      </c>
      <c r="AR23">
        <v>120711.74978867287</v>
      </c>
      <c r="AS23">
        <v>0</v>
      </c>
      <c r="AT23">
        <v>120711.74978867287</v>
      </c>
      <c r="AV23">
        <v>120711.74978867287</v>
      </c>
      <c r="AW23">
        <v>-1555.5929513429874</v>
      </c>
      <c r="AX23">
        <v>119156.15683732988</v>
      </c>
      <c r="AY23">
        <v>5177.9325988334458</v>
      </c>
      <c r="AZ23">
        <v>124334.08943616333</v>
      </c>
      <c r="BA23">
        <v>0</v>
      </c>
      <c r="BB23">
        <v>124334.08943616333</v>
      </c>
      <c r="BC23">
        <v>0</v>
      </c>
      <c r="BD23">
        <v>124334.08943616333</v>
      </c>
      <c r="BE23">
        <v>0</v>
      </c>
      <c r="BF23">
        <v>124334.08943616333</v>
      </c>
      <c r="BG23">
        <v>1243.2436811406369</v>
      </c>
      <c r="BH23">
        <v>125577.33311730396</v>
      </c>
      <c r="BI23">
        <v>0</v>
      </c>
      <c r="BJ23">
        <v>125577.33311730396</v>
      </c>
      <c r="BK23">
        <v>125577.33311730396</v>
      </c>
      <c r="BL23">
        <v>7750633</v>
      </c>
      <c r="BO23">
        <v>0</v>
      </c>
      <c r="BP23">
        <v>125577.33311730396</v>
      </c>
      <c r="BQ23">
        <v>7750633</v>
      </c>
      <c r="BR23" s="238" t="s">
        <v>36</v>
      </c>
      <c r="BU23">
        <v>125577.33311730396</v>
      </c>
      <c r="BV23">
        <v>0</v>
      </c>
      <c r="BW23">
        <v>7750633</v>
      </c>
      <c r="BX23" s="238"/>
      <c r="BY23" s="238" t="s">
        <v>3</v>
      </c>
      <c r="BZ23" s="238" t="s">
        <v>3</v>
      </c>
      <c r="CA23" s="238" t="s">
        <v>8951</v>
      </c>
      <c r="CB23" s="238" t="s">
        <v>1167</v>
      </c>
      <c r="CC23" s="238" t="s">
        <v>9077</v>
      </c>
      <c r="CD23" s="238" t="s">
        <v>8971</v>
      </c>
      <c r="CE23" t="b">
        <v>1</v>
      </c>
      <c r="CF23">
        <v>7750633</v>
      </c>
      <c r="CG23">
        <v>7750633</v>
      </c>
      <c r="CH23">
        <v>0</v>
      </c>
      <c r="CI23">
        <v>0</v>
      </c>
      <c r="CJ23">
        <v>0</v>
      </c>
    </row>
    <row r="24" spans="1:88" x14ac:dyDescent="0.25">
      <c r="A24">
        <v>23</v>
      </c>
      <c r="B24">
        <v>1</v>
      </c>
      <c r="C24">
        <v>4</v>
      </c>
      <c r="D24">
        <v>4</v>
      </c>
      <c r="E24">
        <v>1</v>
      </c>
      <c r="F24">
        <v>12.64</v>
      </c>
      <c r="I24">
        <v>12.64</v>
      </c>
      <c r="J24">
        <v>15.67</v>
      </c>
      <c r="K24">
        <v>4.6900000000000004</v>
      </c>
      <c r="M24">
        <v>4.01</v>
      </c>
      <c r="P24">
        <v>3.38</v>
      </c>
      <c r="R24">
        <v>3.38</v>
      </c>
      <c r="S24">
        <v>40.39</v>
      </c>
      <c r="T24">
        <v>37.01</v>
      </c>
      <c r="U24">
        <v>38.700000000000003</v>
      </c>
      <c r="V24">
        <v>120353.44</v>
      </c>
      <c r="W24">
        <v>1.0931529093213612</v>
      </c>
      <c r="X24">
        <v>120354.53315290932</v>
      </c>
      <c r="Y24">
        <v>0</v>
      </c>
      <c r="Z24">
        <v>120354.53315290932</v>
      </c>
      <c r="AA24">
        <v>0</v>
      </c>
      <c r="AB24">
        <v>120354.53315290932</v>
      </c>
      <c r="AC24">
        <v>0</v>
      </c>
      <c r="AD24">
        <v>120354.53315290932</v>
      </c>
      <c r="AE24">
        <v>0</v>
      </c>
      <c r="AF24">
        <v>120354.53315290932</v>
      </c>
      <c r="AG24">
        <v>0</v>
      </c>
      <c r="AH24">
        <v>120354.53315290932</v>
      </c>
      <c r="AI24">
        <v>0</v>
      </c>
      <c r="AJ24">
        <v>120354.53315290932</v>
      </c>
      <c r="AK24">
        <v>0</v>
      </c>
      <c r="AL24">
        <v>120354.53315290932</v>
      </c>
      <c r="AM24">
        <v>0</v>
      </c>
      <c r="AN24">
        <v>120354.53315290932</v>
      </c>
      <c r="AO24">
        <v>0</v>
      </c>
      <c r="AP24">
        <v>120354.53315290932</v>
      </c>
      <c r="AQ24">
        <v>0</v>
      </c>
      <c r="AR24">
        <v>120354.53315290932</v>
      </c>
      <c r="AS24">
        <v>0</v>
      </c>
      <c r="AT24">
        <v>120354.53315290932</v>
      </c>
      <c r="AV24">
        <v>120354.53315290932</v>
      </c>
      <c r="AW24">
        <v>-1994.5589927026158</v>
      </c>
      <c r="AX24">
        <v>118359.97416020671</v>
      </c>
      <c r="AY24">
        <v>5606.4341085271299</v>
      </c>
      <c r="AZ24">
        <v>123966.40826873384</v>
      </c>
      <c r="BA24">
        <v>0</v>
      </c>
      <c r="BB24">
        <v>123966.40826873384</v>
      </c>
      <c r="BC24">
        <v>0</v>
      </c>
      <c r="BD24">
        <v>123966.40826873384</v>
      </c>
      <c r="BE24">
        <v>0</v>
      </c>
      <c r="BF24">
        <v>123966.40826873384</v>
      </c>
      <c r="BG24">
        <v>2478.9147286821681</v>
      </c>
      <c r="BH24">
        <v>126445.32299741601</v>
      </c>
      <c r="BI24">
        <v>0</v>
      </c>
      <c r="BJ24">
        <v>126445.32299741601</v>
      </c>
      <c r="BK24">
        <v>126445.32299741601</v>
      </c>
      <c r="BL24">
        <v>4893434</v>
      </c>
      <c r="BO24">
        <v>0</v>
      </c>
      <c r="BP24">
        <v>126445.32299741601</v>
      </c>
      <c r="BQ24">
        <v>4893434</v>
      </c>
      <c r="BR24" s="238" t="s">
        <v>36</v>
      </c>
      <c r="BU24">
        <v>126445.32299741601</v>
      </c>
      <c r="BV24">
        <v>0</v>
      </c>
      <c r="BW24">
        <v>4893434</v>
      </c>
      <c r="BX24" s="238"/>
      <c r="BY24" s="238" t="s">
        <v>3</v>
      </c>
      <c r="BZ24" s="238" t="s">
        <v>3</v>
      </c>
      <c r="CA24" s="238" t="s">
        <v>8951</v>
      </c>
      <c r="CB24" s="238" t="s">
        <v>1167</v>
      </c>
      <c r="CC24" s="238" t="s">
        <v>9077</v>
      </c>
      <c r="CD24" s="238" t="s">
        <v>8972</v>
      </c>
      <c r="CE24" t="b">
        <v>1</v>
      </c>
      <c r="CF24">
        <v>4893434</v>
      </c>
      <c r="CG24">
        <v>4893434</v>
      </c>
      <c r="CH24">
        <v>0</v>
      </c>
      <c r="CI24">
        <v>0</v>
      </c>
      <c r="CJ24">
        <v>0</v>
      </c>
    </row>
    <row r="25" spans="1:88" x14ac:dyDescent="0.25">
      <c r="A25">
        <v>24</v>
      </c>
      <c r="B25">
        <v>1</v>
      </c>
      <c r="C25">
        <v>4</v>
      </c>
      <c r="D25">
        <v>5</v>
      </c>
      <c r="E25">
        <v>2</v>
      </c>
      <c r="F25">
        <v>10.59</v>
      </c>
      <c r="G25">
        <v>14.05</v>
      </c>
      <c r="I25">
        <v>24.64</v>
      </c>
      <c r="J25">
        <v>18.38</v>
      </c>
      <c r="K25">
        <v>4.84</v>
      </c>
      <c r="M25">
        <v>3.1</v>
      </c>
      <c r="N25">
        <v>4.93</v>
      </c>
      <c r="O25">
        <v>3.83</v>
      </c>
      <c r="P25">
        <v>3.49</v>
      </c>
      <c r="R25">
        <v>3.49</v>
      </c>
      <c r="S25">
        <v>63.21</v>
      </c>
      <c r="T25">
        <v>59.72</v>
      </c>
      <c r="U25">
        <v>61.47</v>
      </c>
      <c r="V25">
        <v>118496.08</v>
      </c>
      <c r="W25">
        <v>8.3682864453294314E-2</v>
      </c>
      <c r="X25">
        <v>118496.16368286446</v>
      </c>
      <c r="Y25">
        <v>0</v>
      </c>
      <c r="Z25">
        <v>118496.16368286446</v>
      </c>
      <c r="AA25">
        <v>0</v>
      </c>
      <c r="AB25">
        <v>118496.16368286446</v>
      </c>
      <c r="AC25">
        <v>0</v>
      </c>
      <c r="AD25">
        <v>118496.16368286446</v>
      </c>
      <c r="AE25">
        <v>0</v>
      </c>
      <c r="AF25">
        <v>118496.16368286446</v>
      </c>
      <c r="AG25">
        <v>0</v>
      </c>
      <c r="AH25">
        <v>118496.16368286446</v>
      </c>
      <c r="AI25">
        <v>0</v>
      </c>
      <c r="AJ25">
        <v>118496.16368286446</v>
      </c>
      <c r="AK25">
        <v>0</v>
      </c>
      <c r="AL25">
        <v>118496.16368286446</v>
      </c>
      <c r="AM25">
        <v>0</v>
      </c>
      <c r="AN25">
        <v>118496.16368286446</v>
      </c>
      <c r="AO25">
        <v>0</v>
      </c>
      <c r="AP25">
        <v>118496.16368286446</v>
      </c>
      <c r="AQ25">
        <v>0</v>
      </c>
      <c r="AR25">
        <v>118496.16368286446</v>
      </c>
      <c r="AS25">
        <v>0</v>
      </c>
      <c r="AT25">
        <v>118496.16368286446</v>
      </c>
      <c r="AV25">
        <v>118496.16368286446</v>
      </c>
      <c r="AW25">
        <v>-2044.4962027928705</v>
      </c>
      <c r="AX25">
        <v>116451.66748007158</v>
      </c>
      <c r="AY25">
        <v>5599.7397104278498</v>
      </c>
      <c r="AZ25">
        <v>122051.40719049943</v>
      </c>
      <c r="BA25">
        <v>0</v>
      </c>
      <c r="BB25">
        <v>122051.40719049943</v>
      </c>
      <c r="BC25">
        <v>0</v>
      </c>
      <c r="BD25">
        <v>122051.40719049943</v>
      </c>
      <c r="BE25">
        <v>0</v>
      </c>
      <c r="BF25">
        <v>122051.40719049943</v>
      </c>
      <c r="BG25">
        <v>1220.1073694485094</v>
      </c>
      <c r="BH25">
        <v>123271.51455994794</v>
      </c>
      <c r="BI25">
        <v>0</v>
      </c>
      <c r="BJ25">
        <v>123271.51455994794</v>
      </c>
      <c r="BK25">
        <v>123271.51455994794</v>
      </c>
      <c r="BL25">
        <v>7577500</v>
      </c>
      <c r="BO25">
        <v>0</v>
      </c>
      <c r="BP25">
        <v>123271.51455994794</v>
      </c>
      <c r="BQ25">
        <v>7577500</v>
      </c>
      <c r="BR25" s="238" t="s">
        <v>36</v>
      </c>
      <c r="BU25">
        <v>123271.51455994794</v>
      </c>
      <c r="BV25">
        <v>0</v>
      </c>
      <c r="BW25">
        <v>7577500</v>
      </c>
      <c r="BX25" s="238"/>
      <c r="BY25" s="238" t="s">
        <v>3</v>
      </c>
      <c r="BZ25" s="238" t="s">
        <v>3</v>
      </c>
      <c r="CA25" s="238" t="s">
        <v>8951</v>
      </c>
      <c r="CB25" s="238" t="s">
        <v>1167</v>
      </c>
      <c r="CC25" s="238" t="s">
        <v>9077</v>
      </c>
      <c r="CD25" s="238" t="s">
        <v>8971</v>
      </c>
      <c r="CE25" t="b">
        <v>1</v>
      </c>
      <c r="CF25">
        <v>7577500</v>
      </c>
      <c r="CG25">
        <v>7577500</v>
      </c>
      <c r="CH25">
        <v>0</v>
      </c>
      <c r="CI25">
        <v>0</v>
      </c>
      <c r="CJ25">
        <v>0</v>
      </c>
    </row>
    <row r="26" spans="1:88" x14ac:dyDescent="0.25">
      <c r="A26">
        <v>25</v>
      </c>
      <c r="B26">
        <v>1</v>
      </c>
      <c r="C26">
        <v>4</v>
      </c>
      <c r="D26">
        <v>6</v>
      </c>
      <c r="E26">
        <v>2</v>
      </c>
      <c r="F26">
        <v>14.2</v>
      </c>
      <c r="G26">
        <v>14.27</v>
      </c>
      <c r="I26">
        <v>28.47</v>
      </c>
      <c r="J26">
        <v>17.43</v>
      </c>
      <c r="K26">
        <v>5.51</v>
      </c>
      <c r="L26">
        <v>4.05</v>
      </c>
      <c r="M26">
        <v>3.57</v>
      </c>
      <c r="N26">
        <v>4.75</v>
      </c>
      <c r="P26">
        <v>2.87</v>
      </c>
      <c r="R26">
        <v>2.87</v>
      </c>
      <c r="S26">
        <v>66.650000000000006</v>
      </c>
      <c r="T26">
        <v>63.78</v>
      </c>
      <c r="U26">
        <v>65.22</v>
      </c>
      <c r="V26">
        <v>121818.4</v>
      </c>
      <c r="W26">
        <v>1.376714513549814</v>
      </c>
      <c r="X26">
        <v>121819.77671451354</v>
      </c>
      <c r="Y26">
        <v>0</v>
      </c>
      <c r="Z26">
        <v>121819.77671451354</v>
      </c>
      <c r="AA26">
        <v>0</v>
      </c>
      <c r="AB26">
        <v>121819.77671451354</v>
      </c>
      <c r="AC26">
        <v>0</v>
      </c>
      <c r="AD26">
        <v>121819.77671451354</v>
      </c>
      <c r="AE26">
        <v>0</v>
      </c>
      <c r="AF26">
        <v>121819.77671451354</v>
      </c>
      <c r="AG26">
        <v>0</v>
      </c>
      <c r="AH26">
        <v>121819.77671451354</v>
      </c>
      <c r="AI26">
        <v>0</v>
      </c>
      <c r="AJ26">
        <v>121819.77671451354</v>
      </c>
      <c r="AK26">
        <v>0</v>
      </c>
      <c r="AL26">
        <v>121819.77671451354</v>
      </c>
      <c r="AM26">
        <v>0</v>
      </c>
      <c r="AN26">
        <v>121819.77671451354</v>
      </c>
      <c r="AO26">
        <v>0</v>
      </c>
      <c r="AP26">
        <v>121819.77671451354</v>
      </c>
      <c r="AQ26">
        <v>0</v>
      </c>
      <c r="AR26">
        <v>121819.77671451354</v>
      </c>
      <c r="AS26">
        <v>0</v>
      </c>
      <c r="AT26">
        <v>121819.77671451354</v>
      </c>
      <c r="AV26">
        <v>121819.77671451354</v>
      </c>
      <c r="AW26">
        <v>-1193.3277724712243</v>
      </c>
      <c r="AX26">
        <v>120626.44894204232</v>
      </c>
      <c r="AY26">
        <v>4848.8653787181829</v>
      </c>
      <c r="AZ26">
        <v>125475.3143207605</v>
      </c>
      <c r="BA26">
        <v>0</v>
      </c>
      <c r="BB26">
        <v>125475.3143207605</v>
      </c>
      <c r="BC26">
        <v>0</v>
      </c>
      <c r="BD26">
        <v>125475.3143207605</v>
      </c>
      <c r="BE26">
        <v>0</v>
      </c>
      <c r="BF26">
        <v>125475.3143207605</v>
      </c>
      <c r="BG26">
        <v>1254.4311560870992</v>
      </c>
      <c r="BH26">
        <v>126729.7454768476</v>
      </c>
      <c r="BI26">
        <v>0</v>
      </c>
      <c r="BJ26">
        <v>126729.7454768476</v>
      </c>
      <c r="BK26">
        <v>126729.7454768476</v>
      </c>
      <c r="BL26">
        <v>8265314</v>
      </c>
      <c r="BO26">
        <v>0</v>
      </c>
      <c r="BP26">
        <v>126729.7454768476</v>
      </c>
      <c r="BQ26">
        <v>8265314</v>
      </c>
      <c r="BR26" s="238" t="s">
        <v>36</v>
      </c>
      <c r="BU26">
        <v>126729.7454768476</v>
      </c>
      <c r="BV26">
        <v>0</v>
      </c>
      <c r="BW26">
        <v>8265314</v>
      </c>
      <c r="BX26" s="238"/>
      <c r="BY26" s="238" t="s">
        <v>3</v>
      </c>
      <c r="BZ26" s="238" t="s">
        <v>3</v>
      </c>
      <c r="CA26" s="238" t="s">
        <v>8951</v>
      </c>
      <c r="CB26" s="238" t="s">
        <v>1167</v>
      </c>
      <c r="CC26" s="238" t="s">
        <v>9077</v>
      </c>
      <c r="CD26" s="238" t="s">
        <v>8971</v>
      </c>
      <c r="CE26" t="b">
        <v>1</v>
      </c>
      <c r="CF26">
        <v>8265314</v>
      </c>
      <c r="CG26">
        <v>8265314</v>
      </c>
      <c r="CH26">
        <v>0</v>
      </c>
      <c r="CI26">
        <v>0</v>
      </c>
      <c r="CJ26">
        <v>0</v>
      </c>
    </row>
    <row r="27" spans="1:88" x14ac:dyDescent="0.25">
      <c r="A27">
        <v>26</v>
      </c>
      <c r="B27">
        <v>1</v>
      </c>
      <c r="C27">
        <v>4</v>
      </c>
      <c r="D27">
        <v>7</v>
      </c>
      <c r="E27">
        <v>1</v>
      </c>
      <c r="F27">
        <v>15.25</v>
      </c>
      <c r="I27">
        <v>15.25</v>
      </c>
      <c r="J27">
        <v>17.12</v>
      </c>
      <c r="K27">
        <v>4.62</v>
      </c>
      <c r="M27">
        <v>3.94</v>
      </c>
      <c r="P27">
        <v>3.36</v>
      </c>
      <c r="R27">
        <v>3.36</v>
      </c>
      <c r="S27">
        <v>44.29</v>
      </c>
      <c r="T27">
        <v>40.93</v>
      </c>
      <c r="U27">
        <v>42.61</v>
      </c>
      <c r="V27">
        <v>120353.44</v>
      </c>
      <c r="W27">
        <v>2.061813784763217</v>
      </c>
      <c r="X27">
        <v>120355.50181378477</v>
      </c>
      <c r="Y27">
        <v>0</v>
      </c>
      <c r="Z27">
        <v>120355.50181378477</v>
      </c>
      <c r="AA27">
        <v>0</v>
      </c>
      <c r="AB27">
        <v>120355.50181378477</v>
      </c>
      <c r="AC27">
        <v>0</v>
      </c>
      <c r="AD27">
        <v>120355.50181378477</v>
      </c>
      <c r="AE27">
        <v>0</v>
      </c>
      <c r="AF27">
        <v>120355.50181378477</v>
      </c>
      <c r="AG27">
        <v>0</v>
      </c>
      <c r="AH27">
        <v>120355.50181378477</v>
      </c>
      <c r="AI27">
        <v>0</v>
      </c>
      <c r="AJ27">
        <v>120355.50181378477</v>
      </c>
      <c r="AK27">
        <v>0</v>
      </c>
      <c r="AL27">
        <v>120355.50181378477</v>
      </c>
      <c r="AM27">
        <v>0</v>
      </c>
      <c r="AN27">
        <v>120355.50181378477</v>
      </c>
      <c r="AO27">
        <v>0</v>
      </c>
      <c r="AP27">
        <v>120355.50181378477</v>
      </c>
      <c r="AQ27">
        <v>0</v>
      </c>
      <c r="AR27">
        <v>120355.50181378477</v>
      </c>
      <c r="AS27">
        <v>0</v>
      </c>
      <c r="AT27">
        <v>120355.50181378477</v>
      </c>
      <c r="AV27">
        <v>120355.50181378477</v>
      </c>
      <c r="AW27">
        <v>-54.586535681039095</v>
      </c>
      <c r="AX27">
        <v>120300.91527810373</v>
      </c>
      <c r="AY27">
        <v>3667.636704998833</v>
      </c>
      <c r="AZ27">
        <v>123968.55198310256</v>
      </c>
      <c r="BA27">
        <v>0</v>
      </c>
      <c r="BB27">
        <v>123968.55198310256</v>
      </c>
      <c r="BC27">
        <v>0</v>
      </c>
      <c r="BD27">
        <v>123968.55198310256</v>
      </c>
      <c r="BE27">
        <v>0</v>
      </c>
      <c r="BF27">
        <v>123968.55198310256</v>
      </c>
      <c r="BG27">
        <v>2479.8169443792576</v>
      </c>
      <c r="BH27">
        <v>126448.36892748182</v>
      </c>
      <c r="BI27">
        <v>0</v>
      </c>
      <c r="BJ27">
        <v>126448.36892748182</v>
      </c>
      <c r="BK27">
        <v>126448.36892748182</v>
      </c>
      <c r="BL27">
        <v>5387965</v>
      </c>
      <c r="BO27">
        <v>0</v>
      </c>
      <c r="BP27">
        <v>126448.36892748182</v>
      </c>
      <c r="BQ27">
        <v>5387965</v>
      </c>
      <c r="BR27" s="238" t="s">
        <v>36</v>
      </c>
      <c r="BU27">
        <v>126448.36892748182</v>
      </c>
      <c r="BV27">
        <v>0</v>
      </c>
      <c r="BW27">
        <v>5387965</v>
      </c>
      <c r="BX27" s="238"/>
      <c r="BY27" s="238" t="s">
        <v>3</v>
      </c>
      <c r="BZ27" s="238" t="s">
        <v>3</v>
      </c>
      <c r="CA27" s="238" t="s">
        <v>8951</v>
      </c>
      <c r="CB27" s="238" t="s">
        <v>1167</v>
      </c>
      <c r="CC27" s="238" t="s">
        <v>9077</v>
      </c>
      <c r="CD27" s="238" t="s">
        <v>8972</v>
      </c>
      <c r="CE27" t="b">
        <v>1</v>
      </c>
      <c r="CF27">
        <v>5387965</v>
      </c>
      <c r="CG27">
        <v>5387965</v>
      </c>
      <c r="CH27">
        <v>0</v>
      </c>
      <c r="CI27">
        <v>0</v>
      </c>
      <c r="CJ27">
        <v>0</v>
      </c>
    </row>
    <row r="28" spans="1:88" x14ac:dyDescent="0.25">
      <c r="A28">
        <v>27</v>
      </c>
      <c r="B28">
        <v>1</v>
      </c>
      <c r="C28">
        <v>5</v>
      </c>
      <c r="D28">
        <v>1</v>
      </c>
      <c r="E28">
        <v>0</v>
      </c>
      <c r="F28">
        <v>17.66</v>
      </c>
      <c r="I28">
        <v>17.66</v>
      </c>
      <c r="J28">
        <v>7</v>
      </c>
      <c r="K28">
        <v>4.6399999999999997</v>
      </c>
      <c r="P28">
        <v>3.37</v>
      </c>
      <c r="R28">
        <v>3.37</v>
      </c>
      <c r="S28">
        <v>32.67</v>
      </c>
      <c r="T28">
        <v>29.3</v>
      </c>
      <c r="U28">
        <v>30.99</v>
      </c>
      <c r="V28">
        <v>138273.04</v>
      </c>
      <c r="W28">
        <v>1.6668676716799382</v>
      </c>
      <c r="X28">
        <v>138274.70686767169</v>
      </c>
      <c r="Y28">
        <v>0</v>
      </c>
      <c r="Z28">
        <v>138274.70686767169</v>
      </c>
      <c r="AA28">
        <v>0</v>
      </c>
      <c r="AB28">
        <v>138274.70686767169</v>
      </c>
      <c r="AC28">
        <v>0</v>
      </c>
      <c r="AD28">
        <v>138274.70686767169</v>
      </c>
      <c r="AE28">
        <v>0</v>
      </c>
      <c r="AF28">
        <v>138274.70686767169</v>
      </c>
      <c r="AG28">
        <v>0</v>
      </c>
      <c r="AH28">
        <v>138274.70686767169</v>
      </c>
      <c r="AI28">
        <v>0</v>
      </c>
      <c r="AJ28">
        <v>138274.70686767169</v>
      </c>
      <c r="AK28">
        <v>0</v>
      </c>
      <c r="AL28">
        <v>138274.70686767169</v>
      </c>
      <c r="AM28">
        <v>0</v>
      </c>
      <c r="AN28">
        <v>138274.70686767169</v>
      </c>
      <c r="AO28">
        <v>0</v>
      </c>
      <c r="AP28">
        <v>138274.70686767169</v>
      </c>
      <c r="AQ28">
        <v>0</v>
      </c>
      <c r="AR28">
        <v>138274.70686767169</v>
      </c>
      <c r="AS28">
        <v>0</v>
      </c>
      <c r="AT28">
        <v>138274.70686767169</v>
      </c>
      <c r="AV28">
        <v>138274.70686767169</v>
      </c>
      <c r="AW28">
        <v>-1090.647493680066</v>
      </c>
      <c r="AX28">
        <v>137184.05937399162</v>
      </c>
      <c r="AY28">
        <v>5239.3030009680369</v>
      </c>
      <c r="AZ28">
        <v>142423.36237495966</v>
      </c>
      <c r="BA28">
        <v>0</v>
      </c>
      <c r="BB28">
        <v>142423.36237495966</v>
      </c>
      <c r="BC28">
        <v>0</v>
      </c>
      <c r="BD28">
        <v>142423.36237495966</v>
      </c>
      <c r="BE28">
        <v>0</v>
      </c>
      <c r="BF28">
        <v>142423.36237495966</v>
      </c>
      <c r="BG28">
        <v>0</v>
      </c>
      <c r="BH28">
        <v>142423.36237495966</v>
      </c>
      <c r="BI28">
        <v>0</v>
      </c>
      <c r="BJ28">
        <v>142423.36237495966</v>
      </c>
      <c r="BK28">
        <v>142423.36237495966</v>
      </c>
      <c r="BL28">
        <v>4413700</v>
      </c>
      <c r="BO28">
        <v>0</v>
      </c>
      <c r="BP28">
        <v>142423.36237495966</v>
      </c>
      <c r="BQ28">
        <v>4413700</v>
      </c>
      <c r="BR28" s="238" t="s">
        <v>36</v>
      </c>
      <c r="BU28">
        <v>142423.36237495966</v>
      </c>
      <c r="BV28">
        <v>0</v>
      </c>
      <c r="BW28">
        <v>4413700</v>
      </c>
      <c r="BX28" s="238"/>
      <c r="BY28" s="238" t="s">
        <v>3</v>
      </c>
      <c r="BZ28" s="238" t="s">
        <v>3</v>
      </c>
      <c r="CA28" s="238" t="s">
        <v>8951</v>
      </c>
      <c r="CB28" s="238" t="s">
        <v>1167</v>
      </c>
      <c r="CC28" s="238" t="s">
        <v>9077</v>
      </c>
      <c r="CD28" s="238" t="s">
        <v>8970</v>
      </c>
      <c r="CE28" t="b">
        <v>1</v>
      </c>
      <c r="CF28">
        <v>4413700</v>
      </c>
      <c r="CG28">
        <v>4413700</v>
      </c>
      <c r="CH28">
        <v>0</v>
      </c>
      <c r="CI28">
        <v>0</v>
      </c>
      <c r="CJ28">
        <v>0</v>
      </c>
    </row>
    <row r="29" spans="1:88" x14ac:dyDescent="0.25">
      <c r="A29">
        <v>28</v>
      </c>
      <c r="B29">
        <v>1</v>
      </c>
      <c r="C29">
        <v>5</v>
      </c>
      <c r="D29">
        <v>2</v>
      </c>
      <c r="E29">
        <v>2</v>
      </c>
      <c r="F29">
        <v>11.1</v>
      </c>
      <c r="G29">
        <v>10.86</v>
      </c>
      <c r="I29">
        <v>21.96</v>
      </c>
      <c r="J29">
        <v>17.940000000000001</v>
      </c>
      <c r="K29">
        <v>3.94</v>
      </c>
      <c r="M29">
        <v>4.42</v>
      </c>
      <c r="N29">
        <v>4.49</v>
      </c>
      <c r="P29">
        <v>3.69</v>
      </c>
      <c r="R29">
        <v>3.69</v>
      </c>
      <c r="S29">
        <v>56.44</v>
      </c>
      <c r="T29">
        <v>52.75</v>
      </c>
      <c r="U29">
        <v>54.6</v>
      </c>
      <c r="V29">
        <v>115173.75999999999</v>
      </c>
      <c r="W29">
        <v>1.812519083978259</v>
      </c>
      <c r="X29">
        <v>115175.57251908397</v>
      </c>
      <c r="Y29">
        <v>500.41984732824494</v>
      </c>
      <c r="Z29">
        <v>115675.99236641222</v>
      </c>
      <c r="AA29">
        <v>0</v>
      </c>
      <c r="AB29">
        <v>115675.99236641222</v>
      </c>
      <c r="AC29">
        <v>0</v>
      </c>
      <c r="AD29">
        <v>115675.99236641222</v>
      </c>
      <c r="AE29">
        <v>0</v>
      </c>
      <c r="AF29">
        <v>115675.99236641222</v>
      </c>
      <c r="AG29">
        <v>0</v>
      </c>
      <c r="AH29">
        <v>115675.99236641222</v>
      </c>
      <c r="AI29">
        <v>0</v>
      </c>
      <c r="AJ29">
        <v>115675.99236641222</v>
      </c>
      <c r="AK29">
        <v>0</v>
      </c>
      <c r="AL29">
        <v>115675.99236641222</v>
      </c>
      <c r="AM29">
        <v>0</v>
      </c>
      <c r="AN29">
        <v>115675.99236641222</v>
      </c>
      <c r="AO29">
        <v>0</v>
      </c>
      <c r="AP29">
        <v>115675.99236641222</v>
      </c>
      <c r="AQ29">
        <v>0</v>
      </c>
      <c r="AR29">
        <v>115675.99236641222</v>
      </c>
      <c r="AS29">
        <v>0</v>
      </c>
      <c r="AT29">
        <v>115675.99236641222</v>
      </c>
      <c r="AV29">
        <v>115675.99236641222</v>
      </c>
      <c r="AW29">
        <v>-836.23046165030973</v>
      </c>
      <c r="AX29">
        <v>114839.76190476191</v>
      </c>
      <c r="AY29">
        <v>4823.2417582417547</v>
      </c>
      <c r="AZ29">
        <v>119663.00366300366</v>
      </c>
      <c r="BA29">
        <v>0</v>
      </c>
      <c r="BB29">
        <v>119663.00366300366</v>
      </c>
      <c r="BC29">
        <v>0</v>
      </c>
      <c r="BD29">
        <v>119663.00366300366</v>
      </c>
      <c r="BE29">
        <v>0</v>
      </c>
      <c r="BF29">
        <v>119663.00366300366</v>
      </c>
      <c r="BG29">
        <v>1196.6300366300277</v>
      </c>
      <c r="BH29">
        <v>120859.63369963368</v>
      </c>
      <c r="BI29">
        <v>0</v>
      </c>
      <c r="BJ29">
        <v>120859.63369963368</v>
      </c>
      <c r="BK29">
        <v>120859.63369963369</v>
      </c>
      <c r="BL29">
        <v>6598936</v>
      </c>
      <c r="BO29">
        <v>0</v>
      </c>
      <c r="BP29">
        <v>120859.63369963369</v>
      </c>
      <c r="BQ29">
        <v>6598936</v>
      </c>
      <c r="BR29" s="238" t="s">
        <v>36</v>
      </c>
      <c r="BU29">
        <v>120859.63369963369</v>
      </c>
      <c r="BV29">
        <v>0</v>
      </c>
      <c r="BW29">
        <v>6598936</v>
      </c>
      <c r="BX29" s="238"/>
      <c r="BY29" s="238" t="s">
        <v>3</v>
      </c>
      <c r="BZ29" s="238" t="s">
        <v>3</v>
      </c>
      <c r="CA29" s="238" t="s">
        <v>8951</v>
      </c>
      <c r="CB29" s="238" t="s">
        <v>1167</v>
      </c>
      <c r="CC29" s="238" t="s">
        <v>9077</v>
      </c>
      <c r="CD29" s="238" t="s">
        <v>8971</v>
      </c>
      <c r="CE29" t="b">
        <v>1</v>
      </c>
      <c r="CF29">
        <v>6598936</v>
      </c>
      <c r="CG29">
        <v>6598936</v>
      </c>
      <c r="CH29">
        <v>0</v>
      </c>
      <c r="CI29">
        <v>0</v>
      </c>
      <c r="CJ29">
        <v>0</v>
      </c>
    </row>
    <row r="30" spans="1:88" x14ac:dyDescent="0.25">
      <c r="A30">
        <v>29</v>
      </c>
      <c r="B30">
        <v>1</v>
      </c>
      <c r="C30">
        <v>5</v>
      </c>
      <c r="D30">
        <v>3</v>
      </c>
      <c r="E30">
        <v>2</v>
      </c>
      <c r="F30">
        <v>11.04</v>
      </c>
      <c r="G30">
        <v>12.05</v>
      </c>
      <c r="I30">
        <v>23.09</v>
      </c>
      <c r="J30">
        <v>20.87</v>
      </c>
      <c r="K30">
        <v>4.99</v>
      </c>
      <c r="M30">
        <v>2.67</v>
      </c>
      <c r="N30">
        <v>4.59</v>
      </c>
      <c r="O30">
        <v>3.59</v>
      </c>
      <c r="P30">
        <v>3.84</v>
      </c>
      <c r="R30">
        <v>3.84</v>
      </c>
      <c r="S30">
        <v>63.64</v>
      </c>
      <c r="T30">
        <v>59.8</v>
      </c>
      <c r="U30">
        <v>61.72</v>
      </c>
      <c r="V30">
        <v>118496.08</v>
      </c>
      <c r="W30">
        <v>0.96142011834308505</v>
      </c>
      <c r="X30">
        <v>118497.04142011834</v>
      </c>
      <c r="Y30">
        <v>0</v>
      </c>
      <c r="Z30">
        <v>118497.04142011834</v>
      </c>
      <c r="AA30">
        <v>0</v>
      </c>
      <c r="AB30">
        <v>118497.04142011834</v>
      </c>
      <c r="AC30">
        <v>0</v>
      </c>
      <c r="AD30">
        <v>118497.04142011834</v>
      </c>
      <c r="AE30">
        <v>0</v>
      </c>
      <c r="AF30">
        <v>118497.04142011834</v>
      </c>
      <c r="AG30">
        <v>0</v>
      </c>
      <c r="AH30">
        <v>118497.04142011834</v>
      </c>
      <c r="AI30">
        <v>0</v>
      </c>
      <c r="AJ30">
        <v>118497.04142011834</v>
      </c>
      <c r="AK30">
        <v>0</v>
      </c>
      <c r="AL30">
        <v>118497.04142011834</v>
      </c>
      <c r="AM30">
        <v>0</v>
      </c>
      <c r="AN30">
        <v>118497.04142011834</v>
      </c>
      <c r="AO30">
        <v>0</v>
      </c>
      <c r="AP30">
        <v>118497.04142011834</v>
      </c>
      <c r="AQ30">
        <v>0</v>
      </c>
      <c r="AR30">
        <v>118497.04142011834</v>
      </c>
      <c r="AS30">
        <v>0</v>
      </c>
      <c r="AT30">
        <v>118497.04142011834</v>
      </c>
      <c r="AV30">
        <v>118497.04142011834</v>
      </c>
      <c r="AW30">
        <v>-1527.3395406627387</v>
      </c>
      <c r="AX30">
        <v>116969.70187945561</v>
      </c>
      <c r="AY30">
        <v>5083.117303953346</v>
      </c>
      <c r="AZ30">
        <v>122052.81918340895</v>
      </c>
      <c r="BA30">
        <v>0</v>
      </c>
      <c r="BB30">
        <v>122052.81918340895</v>
      </c>
      <c r="BC30">
        <v>0</v>
      </c>
      <c r="BD30">
        <v>122052.81918340895</v>
      </c>
      <c r="BE30">
        <v>0</v>
      </c>
      <c r="BF30">
        <v>122052.81918340895</v>
      </c>
      <c r="BG30">
        <v>1220.7064160725861</v>
      </c>
      <c r="BH30">
        <v>123273.52559948154</v>
      </c>
      <c r="BI30">
        <v>0</v>
      </c>
      <c r="BJ30">
        <v>123273.52559948154</v>
      </c>
      <c r="BK30">
        <v>123273.52559948154</v>
      </c>
      <c r="BL30">
        <v>7608442</v>
      </c>
      <c r="BO30">
        <v>0</v>
      </c>
      <c r="BP30">
        <v>123273.52559948154</v>
      </c>
      <c r="BQ30">
        <v>7608442</v>
      </c>
      <c r="BR30" s="238" t="s">
        <v>36</v>
      </c>
      <c r="BU30">
        <v>123273.52559948154</v>
      </c>
      <c r="BV30">
        <v>0</v>
      </c>
      <c r="BW30">
        <v>7608442</v>
      </c>
      <c r="BX30" s="238"/>
      <c r="BY30" s="238" t="s">
        <v>3</v>
      </c>
      <c r="BZ30" s="238" t="s">
        <v>3</v>
      </c>
      <c r="CA30" s="238" t="s">
        <v>8951</v>
      </c>
      <c r="CB30" s="238" t="s">
        <v>1167</v>
      </c>
      <c r="CC30" s="238" t="s">
        <v>9077</v>
      </c>
      <c r="CD30" s="238" t="s">
        <v>8971</v>
      </c>
      <c r="CE30" t="b">
        <v>1</v>
      </c>
      <c r="CF30">
        <v>7608442</v>
      </c>
      <c r="CG30">
        <v>7608442</v>
      </c>
      <c r="CH30">
        <v>0</v>
      </c>
      <c r="CI30">
        <v>0</v>
      </c>
      <c r="CJ30">
        <v>0</v>
      </c>
    </row>
    <row r="31" spans="1:88" x14ac:dyDescent="0.25">
      <c r="A31">
        <v>30</v>
      </c>
      <c r="B31">
        <v>1</v>
      </c>
      <c r="C31">
        <v>5</v>
      </c>
      <c r="D31">
        <v>4</v>
      </c>
      <c r="E31">
        <v>1</v>
      </c>
      <c r="F31">
        <v>12.64</v>
      </c>
      <c r="I31">
        <v>12.64</v>
      </c>
      <c r="J31">
        <v>15.67</v>
      </c>
      <c r="K31">
        <v>4.6900000000000004</v>
      </c>
      <c r="M31">
        <v>4.01</v>
      </c>
      <c r="P31">
        <v>3.38</v>
      </c>
      <c r="R31">
        <v>3.38</v>
      </c>
      <c r="S31">
        <v>40.39</v>
      </c>
      <c r="T31">
        <v>37.01</v>
      </c>
      <c r="U31">
        <v>38.700000000000003</v>
      </c>
      <c r="V31">
        <v>119184.96000000001</v>
      </c>
      <c r="W31">
        <v>0.42565629226737656</v>
      </c>
      <c r="X31">
        <v>119185.38565629227</v>
      </c>
      <c r="Y31">
        <v>0</v>
      </c>
      <c r="Z31">
        <v>119185.38565629227</v>
      </c>
      <c r="AA31">
        <v>0</v>
      </c>
      <c r="AB31">
        <v>119185.38565629227</v>
      </c>
      <c r="AC31">
        <v>0</v>
      </c>
      <c r="AD31">
        <v>119185.38565629227</v>
      </c>
      <c r="AE31">
        <v>0</v>
      </c>
      <c r="AF31">
        <v>119185.38565629227</v>
      </c>
      <c r="AG31">
        <v>0</v>
      </c>
      <c r="AH31">
        <v>119185.38565629227</v>
      </c>
      <c r="AI31">
        <v>0</v>
      </c>
      <c r="AJ31">
        <v>119185.38565629227</v>
      </c>
      <c r="AK31">
        <v>0</v>
      </c>
      <c r="AL31">
        <v>119185.38565629227</v>
      </c>
      <c r="AM31">
        <v>0</v>
      </c>
      <c r="AN31">
        <v>119185.38565629227</v>
      </c>
      <c r="AO31">
        <v>0</v>
      </c>
      <c r="AP31">
        <v>119185.38565629227</v>
      </c>
      <c r="AQ31">
        <v>0</v>
      </c>
      <c r="AR31">
        <v>119185.38565629227</v>
      </c>
      <c r="AS31">
        <v>0</v>
      </c>
      <c r="AT31">
        <v>119185.38565629227</v>
      </c>
      <c r="AV31">
        <v>119185.38565629227</v>
      </c>
      <c r="AW31">
        <v>-1976.0316511243291</v>
      </c>
      <c r="AX31">
        <v>117209.35400516794</v>
      </c>
      <c r="AY31">
        <v>5552.9198966408294</v>
      </c>
      <c r="AZ31">
        <v>122762.27390180877</v>
      </c>
      <c r="BA31">
        <v>0</v>
      </c>
      <c r="BB31">
        <v>122762.27390180877</v>
      </c>
      <c r="BC31">
        <v>0</v>
      </c>
      <c r="BD31">
        <v>122762.27390180877</v>
      </c>
      <c r="BE31">
        <v>0</v>
      </c>
      <c r="BF31">
        <v>122762.27390180877</v>
      </c>
      <c r="BG31">
        <v>2454.9612403100764</v>
      </c>
      <c r="BH31">
        <v>125217.23514211884</v>
      </c>
      <c r="BI31">
        <v>0</v>
      </c>
      <c r="BJ31">
        <v>125217.23514211884</v>
      </c>
      <c r="BK31">
        <v>125217.23514211885</v>
      </c>
      <c r="BL31">
        <v>4845907</v>
      </c>
      <c r="BO31">
        <v>0</v>
      </c>
      <c r="BP31">
        <v>125217.23514211885</v>
      </c>
      <c r="BQ31">
        <v>4845907</v>
      </c>
      <c r="BR31" s="238" t="s">
        <v>36</v>
      </c>
      <c r="BU31">
        <v>125217.23514211885</v>
      </c>
      <c r="BV31">
        <v>0</v>
      </c>
      <c r="BW31">
        <v>4845907</v>
      </c>
      <c r="BX31" s="238"/>
      <c r="BY31" s="238" t="s">
        <v>3</v>
      </c>
      <c r="BZ31" s="238" t="s">
        <v>3</v>
      </c>
      <c r="CA31" s="238" t="s">
        <v>8951</v>
      </c>
      <c r="CB31" s="238" t="s">
        <v>1167</v>
      </c>
      <c r="CC31" s="238" t="s">
        <v>9077</v>
      </c>
      <c r="CD31" s="238" t="s">
        <v>8972</v>
      </c>
      <c r="CE31" t="b">
        <v>1</v>
      </c>
      <c r="CF31">
        <v>4845907</v>
      </c>
      <c r="CG31">
        <v>4845907</v>
      </c>
      <c r="CH31">
        <v>0</v>
      </c>
      <c r="CI31">
        <v>0</v>
      </c>
      <c r="CJ31">
        <v>0</v>
      </c>
    </row>
    <row r="32" spans="1:88" x14ac:dyDescent="0.25">
      <c r="A32">
        <v>31</v>
      </c>
      <c r="B32">
        <v>1</v>
      </c>
      <c r="C32">
        <v>5</v>
      </c>
      <c r="D32">
        <v>5</v>
      </c>
      <c r="E32">
        <v>2</v>
      </c>
      <c r="F32">
        <v>10.59</v>
      </c>
      <c r="G32">
        <v>14.05</v>
      </c>
      <c r="I32">
        <v>24.64</v>
      </c>
      <c r="J32">
        <v>18.38</v>
      </c>
      <c r="K32">
        <v>4.84</v>
      </c>
      <c r="M32">
        <v>3.1</v>
      </c>
      <c r="N32">
        <v>4.93</v>
      </c>
      <c r="O32">
        <v>3.83</v>
      </c>
      <c r="P32">
        <v>3.49</v>
      </c>
      <c r="R32">
        <v>3.49</v>
      </c>
      <c r="S32">
        <v>63.21</v>
      </c>
      <c r="T32">
        <v>59.72</v>
      </c>
      <c r="U32">
        <v>61.47</v>
      </c>
      <c r="V32">
        <v>116281.2</v>
      </c>
      <c r="W32">
        <v>0.12992327366373502</v>
      </c>
      <c r="X32">
        <v>116281.32992327366</v>
      </c>
      <c r="Y32">
        <v>0</v>
      </c>
      <c r="Z32">
        <v>116281.32992327366</v>
      </c>
      <c r="AA32">
        <v>0</v>
      </c>
      <c r="AB32">
        <v>116281.32992327366</v>
      </c>
      <c r="AC32">
        <v>0</v>
      </c>
      <c r="AD32">
        <v>116281.32992327366</v>
      </c>
      <c r="AE32">
        <v>0</v>
      </c>
      <c r="AF32">
        <v>116281.32992327366</v>
      </c>
      <c r="AG32">
        <v>0</v>
      </c>
      <c r="AH32">
        <v>116281.32992327366</v>
      </c>
      <c r="AI32">
        <v>0</v>
      </c>
      <c r="AJ32">
        <v>116281.32992327366</v>
      </c>
      <c r="AK32">
        <v>0</v>
      </c>
      <c r="AL32">
        <v>116281.32992327366</v>
      </c>
      <c r="AM32">
        <v>0</v>
      </c>
      <c r="AN32">
        <v>116281.32992327366</v>
      </c>
      <c r="AO32">
        <v>0</v>
      </c>
      <c r="AP32">
        <v>116281.32992327366</v>
      </c>
      <c r="AQ32">
        <v>0</v>
      </c>
      <c r="AR32">
        <v>116281.32992327366</v>
      </c>
      <c r="AS32">
        <v>0</v>
      </c>
      <c r="AT32">
        <v>116281.32992327366</v>
      </c>
      <c r="AV32">
        <v>116281.32992327366</v>
      </c>
      <c r="AW32">
        <v>-2006.44786698604</v>
      </c>
      <c r="AX32">
        <v>114274.88205628762</v>
      </c>
      <c r="AY32">
        <v>5495.7377582560584</v>
      </c>
      <c r="AZ32">
        <v>119770.61981454368</v>
      </c>
      <c r="BA32">
        <v>0</v>
      </c>
      <c r="BB32">
        <v>119770.61981454368</v>
      </c>
      <c r="BC32">
        <v>0</v>
      </c>
      <c r="BD32">
        <v>119770.61981454368</v>
      </c>
      <c r="BE32">
        <v>0</v>
      </c>
      <c r="BF32">
        <v>119770.61981454368</v>
      </c>
      <c r="BG32">
        <v>1198.096632503657</v>
      </c>
      <c r="BH32">
        <v>120968.71644704734</v>
      </c>
      <c r="BI32">
        <v>0</v>
      </c>
      <c r="BJ32">
        <v>120968.71644704734</v>
      </c>
      <c r="BK32">
        <v>120968.71644704734</v>
      </c>
      <c r="BL32">
        <v>7435947</v>
      </c>
      <c r="BO32">
        <v>0</v>
      </c>
      <c r="BP32">
        <v>120968.71644704734</v>
      </c>
      <c r="BQ32">
        <v>7435947</v>
      </c>
      <c r="BR32" s="238" t="s">
        <v>36</v>
      </c>
      <c r="BU32">
        <v>120968.71644704734</v>
      </c>
      <c r="BV32">
        <v>0</v>
      </c>
      <c r="BW32">
        <v>7435947</v>
      </c>
      <c r="BX32" s="238"/>
      <c r="BY32" s="238" t="s">
        <v>3</v>
      </c>
      <c r="BZ32" s="238" t="s">
        <v>3</v>
      </c>
      <c r="CA32" s="238" t="s">
        <v>8951</v>
      </c>
      <c r="CB32" s="238" t="s">
        <v>1167</v>
      </c>
      <c r="CC32" s="238" t="s">
        <v>9077</v>
      </c>
      <c r="CD32" s="238" t="s">
        <v>8971</v>
      </c>
      <c r="CE32" t="b">
        <v>1</v>
      </c>
      <c r="CF32">
        <v>7435947</v>
      </c>
      <c r="CG32">
        <v>7435947</v>
      </c>
      <c r="CH32">
        <v>0</v>
      </c>
      <c r="CI32">
        <v>0</v>
      </c>
      <c r="CJ32">
        <v>0</v>
      </c>
    </row>
    <row r="33" spans="1:88" x14ac:dyDescent="0.25">
      <c r="A33">
        <v>32</v>
      </c>
      <c r="B33">
        <v>1</v>
      </c>
      <c r="C33">
        <v>5</v>
      </c>
      <c r="D33">
        <v>6</v>
      </c>
      <c r="E33">
        <v>2</v>
      </c>
      <c r="F33">
        <v>14.2</v>
      </c>
      <c r="G33">
        <v>14.27</v>
      </c>
      <c r="I33">
        <v>28.47</v>
      </c>
      <c r="J33">
        <v>17.43</v>
      </c>
      <c r="K33">
        <v>5.51</v>
      </c>
      <c r="L33">
        <v>4.05</v>
      </c>
      <c r="M33">
        <v>3.57</v>
      </c>
      <c r="N33">
        <v>4.75</v>
      </c>
      <c r="P33">
        <v>2.87</v>
      </c>
      <c r="R33">
        <v>2.87</v>
      </c>
      <c r="S33">
        <v>66.650000000000006</v>
      </c>
      <c r="T33">
        <v>63.78</v>
      </c>
      <c r="U33">
        <v>65.22</v>
      </c>
      <c r="V33">
        <v>119603.52</v>
      </c>
      <c r="W33">
        <v>0.9457097288541263</v>
      </c>
      <c r="X33">
        <v>119604.46570972886</v>
      </c>
      <c r="Y33">
        <v>0</v>
      </c>
      <c r="Z33">
        <v>119604.46570972886</v>
      </c>
      <c r="AA33">
        <v>0</v>
      </c>
      <c r="AB33">
        <v>119604.46570972886</v>
      </c>
      <c r="AC33">
        <v>0</v>
      </c>
      <c r="AD33">
        <v>119604.46570972886</v>
      </c>
      <c r="AE33">
        <v>0</v>
      </c>
      <c r="AF33">
        <v>119604.46570972886</v>
      </c>
      <c r="AG33">
        <v>0</v>
      </c>
      <c r="AH33">
        <v>119604.46570972886</v>
      </c>
      <c r="AI33">
        <v>0</v>
      </c>
      <c r="AJ33">
        <v>119604.46570972886</v>
      </c>
      <c r="AK33">
        <v>0</v>
      </c>
      <c r="AL33">
        <v>119604.46570972886</v>
      </c>
      <c r="AM33">
        <v>0</v>
      </c>
      <c r="AN33">
        <v>119604.46570972886</v>
      </c>
      <c r="AO33">
        <v>0</v>
      </c>
      <c r="AP33">
        <v>119604.46570972886</v>
      </c>
      <c r="AQ33">
        <v>0</v>
      </c>
      <c r="AR33">
        <v>119604.46570972886</v>
      </c>
      <c r="AS33">
        <v>0</v>
      </c>
      <c r="AT33">
        <v>119604.46570972886</v>
      </c>
      <c r="AV33">
        <v>119604.46570972886</v>
      </c>
      <c r="AW33">
        <v>-1172.2976631173806</v>
      </c>
      <c r="AX33">
        <v>118432.16804661148</v>
      </c>
      <c r="AY33">
        <v>4760.1042624961556</v>
      </c>
      <c r="AZ33">
        <v>123192.27230910763</v>
      </c>
      <c r="BA33">
        <v>0</v>
      </c>
      <c r="BB33">
        <v>123192.27230910763</v>
      </c>
      <c r="BC33">
        <v>0</v>
      </c>
      <c r="BD33">
        <v>123192.27230910763</v>
      </c>
      <c r="BE33">
        <v>0</v>
      </c>
      <c r="BF33">
        <v>123192.27230910763</v>
      </c>
      <c r="BG33">
        <v>1231.6467341306416</v>
      </c>
      <c r="BH33">
        <v>124423.91904323827</v>
      </c>
      <c r="BI33">
        <v>0</v>
      </c>
      <c r="BJ33">
        <v>124423.91904323827</v>
      </c>
      <c r="BK33">
        <v>124423.91904323827</v>
      </c>
      <c r="BL33">
        <v>8114928</v>
      </c>
      <c r="BO33">
        <v>0</v>
      </c>
      <c r="BP33">
        <v>124423.91904323827</v>
      </c>
      <c r="BQ33">
        <v>8114928</v>
      </c>
      <c r="BR33" s="238" t="s">
        <v>36</v>
      </c>
      <c r="BU33">
        <v>124423.91904323827</v>
      </c>
      <c r="BV33">
        <v>0</v>
      </c>
      <c r="BW33">
        <v>8114928</v>
      </c>
      <c r="BX33" s="238"/>
      <c r="BY33" s="238" t="s">
        <v>3</v>
      </c>
      <c r="BZ33" s="238" t="s">
        <v>3</v>
      </c>
      <c r="CA33" s="238" t="s">
        <v>8951</v>
      </c>
      <c r="CB33" s="238" t="s">
        <v>1167</v>
      </c>
      <c r="CC33" s="238" t="s">
        <v>9077</v>
      </c>
      <c r="CD33" s="238" t="s">
        <v>8971</v>
      </c>
      <c r="CE33" t="b">
        <v>1</v>
      </c>
      <c r="CF33">
        <v>8114928</v>
      </c>
      <c r="CG33">
        <v>8114928</v>
      </c>
      <c r="CH33">
        <v>0</v>
      </c>
      <c r="CI33">
        <v>0</v>
      </c>
      <c r="CJ33">
        <v>0</v>
      </c>
    </row>
    <row r="34" spans="1:88" x14ac:dyDescent="0.25">
      <c r="A34">
        <v>33</v>
      </c>
      <c r="B34">
        <v>1</v>
      </c>
      <c r="C34">
        <v>5</v>
      </c>
      <c r="D34">
        <v>7</v>
      </c>
      <c r="E34">
        <v>1</v>
      </c>
      <c r="F34">
        <v>15.25</v>
      </c>
      <c r="I34">
        <v>15.25</v>
      </c>
      <c r="J34">
        <v>17.12</v>
      </c>
      <c r="K34">
        <v>4.62</v>
      </c>
      <c r="M34">
        <v>3.94</v>
      </c>
      <c r="P34">
        <v>3.36</v>
      </c>
      <c r="R34">
        <v>3.36</v>
      </c>
      <c r="S34">
        <v>44.29</v>
      </c>
      <c r="T34">
        <v>40.93</v>
      </c>
      <c r="U34">
        <v>42.61</v>
      </c>
      <c r="V34">
        <v>119184.96000000001</v>
      </c>
      <c r="W34">
        <v>4.6045949202380143E-2</v>
      </c>
      <c r="X34">
        <v>119185.00604594921</v>
      </c>
      <c r="Y34">
        <v>0</v>
      </c>
      <c r="Z34">
        <v>119185.00604594921</v>
      </c>
      <c r="AA34">
        <v>0</v>
      </c>
      <c r="AB34">
        <v>119185.00604594921</v>
      </c>
      <c r="AC34">
        <v>0</v>
      </c>
      <c r="AD34">
        <v>119185.00604594921</v>
      </c>
      <c r="AE34">
        <v>0</v>
      </c>
      <c r="AF34">
        <v>119185.00604594921</v>
      </c>
      <c r="AG34">
        <v>0</v>
      </c>
      <c r="AH34">
        <v>119185.00604594921</v>
      </c>
      <c r="AI34">
        <v>0</v>
      </c>
      <c r="AJ34">
        <v>119185.00604594921</v>
      </c>
      <c r="AK34">
        <v>0</v>
      </c>
      <c r="AL34">
        <v>119185.00604594921</v>
      </c>
      <c r="AM34">
        <v>0</v>
      </c>
      <c r="AN34">
        <v>119185.00604594921</v>
      </c>
      <c r="AO34">
        <v>0</v>
      </c>
      <c r="AP34">
        <v>119185.00604594921</v>
      </c>
      <c r="AQ34">
        <v>0</v>
      </c>
      <c r="AR34">
        <v>119185.00604594921</v>
      </c>
      <c r="AS34">
        <v>0</v>
      </c>
      <c r="AT34">
        <v>119185.00604594921</v>
      </c>
      <c r="AV34">
        <v>119185.00604594921</v>
      </c>
      <c r="AW34">
        <v>-54.543713163482607</v>
      </c>
      <c r="AX34">
        <v>119130.46233278573</v>
      </c>
      <c r="AY34">
        <v>3631.800046937351</v>
      </c>
      <c r="AZ34">
        <v>122762.26237972308</v>
      </c>
      <c r="BA34">
        <v>0</v>
      </c>
      <c r="BB34">
        <v>122762.26237972308</v>
      </c>
      <c r="BC34">
        <v>0</v>
      </c>
      <c r="BD34">
        <v>122762.26237972308</v>
      </c>
      <c r="BE34">
        <v>0</v>
      </c>
      <c r="BF34">
        <v>122762.26237972308</v>
      </c>
      <c r="BG34">
        <v>2454.987092231866</v>
      </c>
      <c r="BH34">
        <v>125217.24947195494</v>
      </c>
      <c r="BI34">
        <v>0</v>
      </c>
      <c r="BJ34">
        <v>125217.24947195494</v>
      </c>
      <c r="BK34">
        <v>125217.24947195494</v>
      </c>
      <c r="BL34">
        <v>5335507</v>
      </c>
      <c r="BO34">
        <v>0</v>
      </c>
      <c r="BP34">
        <v>125217.24947195494</v>
      </c>
      <c r="BQ34">
        <v>5335507</v>
      </c>
      <c r="BR34" s="238" t="s">
        <v>36</v>
      </c>
      <c r="BU34">
        <v>125217.24947195494</v>
      </c>
      <c r="BV34">
        <v>0</v>
      </c>
      <c r="BW34">
        <v>5335507</v>
      </c>
      <c r="BX34" s="238"/>
      <c r="BY34" s="238" t="s">
        <v>3</v>
      </c>
      <c r="BZ34" s="238" t="s">
        <v>3</v>
      </c>
      <c r="CA34" s="238" t="s">
        <v>8951</v>
      </c>
      <c r="CB34" s="238" t="s">
        <v>1167</v>
      </c>
      <c r="CC34" s="238" t="s">
        <v>9077</v>
      </c>
      <c r="CD34" s="238" t="s">
        <v>8972</v>
      </c>
      <c r="CE34" t="b">
        <v>1</v>
      </c>
      <c r="CF34">
        <v>5335507</v>
      </c>
      <c r="CG34">
        <v>5335507</v>
      </c>
      <c r="CH34">
        <v>0</v>
      </c>
      <c r="CI34">
        <v>0</v>
      </c>
      <c r="CJ34">
        <v>0</v>
      </c>
    </row>
    <row r="35" spans="1:88" x14ac:dyDescent="0.25">
      <c r="A35">
        <v>34</v>
      </c>
      <c r="B35">
        <v>1</v>
      </c>
      <c r="C35">
        <v>6</v>
      </c>
      <c r="D35">
        <v>1</v>
      </c>
      <c r="E35">
        <v>0</v>
      </c>
      <c r="F35">
        <v>17.66</v>
      </c>
      <c r="I35">
        <v>17.66</v>
      </c>
      <c r="J35">
        <v>7</v>
      </c>
      <c r="K35">
        <v>4.6399999999999997</v>
      </c>
      <c r="P35">
        <v>3.37</v>
      </c>
      <c r="R35">
        <v>3.37</v>
      </c>
      <c r="S35">
        <v>32.67</v>
      </c>
      <c r="T35">
        <v>29.3</v>
      </c>
      <c r="U35">
        <v>30.99</v>
      </c>
      <c r="V35">
        <v>138273.04</v>
      </c>
      <c r="W35">
        <v>1.6668676716799382</v>
      </c>
      <c r="X35">
        <v>138274.70686767169</v>
      </c>
      <c r="Y35">
        <v>0</v>
      </c>
      <c r="Z35">
        <v>138274.70686767169</v>
      </c>
      <c r="AA35">
        <v>0</v>
      </c>
      <c r="AB35">
        <v>138274.70686767169</v>
      </c>
      <c r="AC35">
        <v>0</v>
      </c>
      <c r="AD35">
        <v>138274.70686767169</v>
      </c>
      <c r="AE35">
        <v>0</v>
      </c>
      <c r="AF35">
        <v>138274.70686767169</v>
      </c>
      <c r="AG35">
        <v>0</v>
      </c>
      <c r="AH35">
        <v>138274.70686767169</v>
      </c>
      <c r="AI35">
        <v>0</v>
      </c>
      <c r="AJ35">
        <v>138274.70686767169</v>
      </c>
      <c r="AK35">
        <v>0</v>
      </c>
      <c r="AL35">
        <v>138274.70686767169</v>
      </c>
      <c r="AM35">
        <v>0</v>
      </c>
      <c r="AN35">
        <v>138274.70686767169</v>
      </c>
      <c r="AO35">
        <v>0</v>
      </c>
      <c r="AP35">
        <v>138274.70686767169</v>
      </c>
      <c r="AQ35">
        <v>0</v>
      </c>
      <c r="AR35">
        <v>138274.70686767169</v>
      </c>
      <c r="AS35">
        <v>0</v>
      </c>
      <c r="AT35">
        <v>138274.70686767169</v>
      </c>
      <c r="AV35">
        <v>138274.70686767169</v>
      </c>
      <c r="AW35">
        <v>-1090.647493680066</v>
      </c>
      <c r="AX35">
        <v>137184.05937399162</v>
      </c>
      <c r="AY35">
        <v>5239.3030009680369</v>
      </c>
      <c r="AZ35">
        <v>142423.36237495966</v>
      </c>
      <c r="BA35">
        <v>0</v>
      </c>
      <c r="BB35">
        <v>142423.36237495966</v>
      </c>
      <c r="BC35">
        <v>0</v>
      </c>
      <c r="BD35">
        <v>142423.36237495966</v>
      </c>
      <c r="BE35">
        <v>0</v>
      </c>
      <c r="BF35">
        <v>142423.36237495966</v>
      </c>
      <c r="BG35">
        <v>0</v>
      </c>
      <c r="BH35">
        <v>142423.36237495966</v>
      </c>
      <c r="BI35">
        <v>0</v>
      </c>
      <c r="BJ35">
        <v>142423.36237495966</v>
      </c>
      <c r="BK35">
        <v>142423.36237495966</v>
      </c>
      <c r="BL35">
        <v>4413700</v>
      </c>
      <c r="BO35">
        <v>0</v>
      </c>
      <c r="BP35">
        <v>142423.36237495966</v>
      </c>
      <c r="BQ35">
        <v>4413700</v>
      </c>
      <c r="BR35" s="238" t="s">
        <v>36</v>
      </c>
      <c r="BU35">
        <v>142423.36237495966</v>
      </c>
      <c r="BV35">
        <v>0</v>
      </c>
      <c r="BW35">
        <v>4413700</v>
      </c>
      <c r="BX35" s="238"/>
      <c r="BY35" s="238" t="s">
        <v>3</v>
      </c>
      <c r="BZ35" s="238" t="s">
        <v>3</v>
      </c>
      <c r="CA35" s="238" t="s">
        <v>8951</v>
      </c>
      <c r="CB35" s="238" t="s">
        <v>1167</v>
      </c>
      <c r="CC35" s="238" t="s">
        <v>9077</v>
      </c>
      <c r="CD35" s="238" t="s">
        <v>8970</v>
      </c>
      <c r="CE35" t="b">
        <v>1</v>
      </c>
      <c r="CF35">
        <v>4413700</v>
      </c>
      <c r="CG35">
        <v>4413700</v>
      </c>
      <c r="CH35">
        <v>0</v>
      </c>
      <c r="CI35">
        <v>0</v>
      </c>
      <c r="CJ35">
        <v>0</v>
      </c>
    </row>
    <row r="36" spans="1:88" x14ac:dyDescent="0.25">
      <c r="A36">
        <v>35</v>
      </c>
      <c r="B36">
        <v>1</v>
      </c>
      <c r="C36">
        <v>6</v>
      </c>
      <c r="D36">
        <v>2</v>
      </c>
      <c r="E36">
        <v>2</v>
      </c>
      <c r="F36">
        <v>11.1</v>
      </c>
      <c r="G36">
        <v>10.86</v>
      </c>
      <c r="I36">
        <v>21.96</v>
      </c>
      <c r="J36">
        <v>17.940000000000001</v>
      </c>
      <c r="K36">
        <v>3.94</v>
      </c>
      <c r="M36">
        <v>4.42</v>
      </c>
      <c r="N36">
        <v>4.49</v>
      </c>
      <c r="P36">
        <v>3.69</v>
      </c>
      <c r="R36">
        <v>3.69</v>
      </c>
      <c r="S36">
        <v>56.44</v>
      </c>
      <c r="T36">
        <v>52.75</v>
      </c>
      <c r="U36">
        <v>54.6</v>
      </c>
      <c r="V36">
        <v>115173.75999999999</v>
      </c>
      <c r="W36">
        <v>1.812519083978259</v>
      </c>
      <c r="X36">
        <v>115175.57251908397</v>
      </c>
      <c r="Y36">
        <v>500.41984732824494</v>
      </c>
      <c r="Z36">
        <v>115675.99236641222</v>
      </c>
      <c r="AA36">
        <v>0</v>
      </c>
      <c r="AB36">
        <v>115675.99236641222</v>
      </c>
      <c r="AC36">
        <v>0</v>
      </c>
      <c r="AD36">
        <v>115675.99236641222</v>
      </c>
      <c r="AE36">
        <v>0</v>
      </c>
      <c r="AF36">
        <v>115675.99236641222</v>
      </c>
      <c r="AG36">
        <v>0</v>
      </c>
      <c r="AH36">
        <v>115675.99236641222</v>
      </c>
      <c r="AI36">
        <v>0</v>
      </c>
      <c r="AJ36">
        <v>115675.99236641222</v>
      </c>
      <c r="AK36">
        <v>0</v>
      </c>
      <c r="AL36">
        <v>115675.99236641222</v>
      </c>
      <c r="AM36">
        <v>0</v>
      </c>
      <c r="AN36">
        <v>115675.99236641222</v>
      </c>
      <c r="AO36">
        <v>0</v>
      </c>
      <c r="AP36">
        <v>115675.99236641222</v>
      </c>
      <c r="AQ36">
        <v>0</v>
      </c>
      <c r="AR36">
        <v>115675.99236641222</v>
      </c>
      <c r="AS36">
        <v>0</v>
      </c>
      <c r="AT36">
        <v>115675.99236641222</v>
      </c>
      <c r="AV36">
        <v>115675.99236641222</v>
      </c>
      <c r="AW36">
        <v>-836.23046165030973</v>
      </c>
      <c r="AX36">
        <v>114839.76190476191</v>
      </c>
      <c r="AY36">
        <v>4823.2417582417547</v>
      </c>
      <c r="AZ36">
        <v>119663.00366300366</v>
      </c>
      <c r="BA36">
        <v>0</v>
      </c>
      <c r="BB36">
        <v>119663.00366300366</v>
      </c>
      <c r="BC36">
        <v>0</v>
      </c>
      <c r="BD36">
        <v>119663.00366300366</v>
      </c>
      <c r="BE36">
        <v>0</v>
      </c>
      <c r="BF36">
        <v>119663.00366300366</v>
      </c>
      <c r="BG36">
        <v>1196.6300366300277</v>
      </c>
      <c r="BH36">
        <v>120859.63369963368</v>
      </c>
      <c r="BI36">
        <v>0</v>
      </c>
      <c r="BJ36">
        <v>120859.63369963368</v>
      </c>
      <c r="BK36">
        <v>120859.63369963369</v>
      </c>
      <c r="BL36">
        <v>6598936</v>
      </c>
      <c r="BO36">
        <v>0</v>
      </c>
      <c r="BP36">
        <v>120859.63369963369</v>
      </c>
      <c r="BQ36">
        <v>6598936</v>
      </c>
      <c r="BR36" s="238" t="s">
        <v>36</v>
      </c>
      <c r="BU36">
        <v>120859.63369963369</v>
      </c>
      <c r="BV36">
        <v>0</v>
      </c>
      <c r="BW36">
        <v>6598936</v>
      </c>
      <c r="BX36" s="238"/>
      <c r="BY36" s="238" t="s">
        <v>3</v>
      </c>
      <c r="BZ36" s="238" t="s">
        <v>3</v>
      </c>
      <c r="CA36" s="238" t="s">
        <v>8951</v>
      </c>
      <c r="CB36" s="238" t="s">
        <v>1167</v>
      </c>
      <c r="CC36" s="238" t="s">
        <v>9077</v>
      </c>
      <c r="CD36" s="238" t="s">
        <v>8971</v>
      </c>
      <c r="CE36" t="b">
        <v>1</v>
      </c>
      <c r="CF36">
        <v>6598936</v>
      </c>
      <c r="CG36">
        <v>6598936</v>
      </c>
      <c r="CH36">
        <v>0</v>
      </c>
      <c r="CI36">
        <v>0</v>
      </c>
      <c r="CJ36">
        <v>0</v>
      </c>
    </row>
    <row r="37" spans="1:88" x14ac:dyDescent="0.25">
      <c r="A37">
        <v>36</v>
      </c>
      <c r="B37">
        <v>1</v>
      </c>
      <c r="C37">
        <v>6</v>
      </c>
      <c r="D37">
        <v>3</v>
      </c>
      <c r="E37">
        <v>2</v>
      </c>
      <c r="F37">
        <v>11.04</v>
      </c>
      <c r="G37">
        <v>12.05</v>
      </c>
      <c r="I37">
        <v>23.09</v>
      </c>
      <c r="J37">
        <v>20.87</v>
      </c>
      <c r="K37">
        <v>4.99</v>
      </c>
      <c r="M37">
        <v>2.67</v>
      </c>
      <c r="N37">
        <v>4.59</v>
      </c>
      <c r="O37">
        <v>3.59</v>
      </c>
      <c r="P37">
        <v>3.84</v>
      </c>
      <c r="R37">
        <v>3.84</v>
      </c>
      <c r="S37">
        <v>63.64</v>
      </c>
      <c r="T37">
        <v>59.8</v>
      </c>
      <c r="U37">
        <v>61.72</v>
      </c>
      <c r="V37">
        <v>118496.08</v>
      </c>
      <c r="W37">
        <v>0.96142011834308505</v>
      </c>
      <c r="X37">
        <v>118497.04142011834</v>
      </c>
      <c r="Y37">
        <v>0</v>
      </c>
      <c r="Z37">
        <v>118497.04142011834</v>
      </c>
      <c r="AA37">
        <v>0</v>
      </c>
      <c r="AB37">
        <v>118497.04142011834</v>
      </c>
      <c r="AC37">
        <v>0</v>
      </c>
      <c r="AD37">
        <v>118497.04142011834</v>
      </c>
      <c r="AE37">
        <v>0</v>
      </c>
      <c r="AF37">
        <v>118497.04142011834</v>
      </c>
      <c r="AG37">
        <v>0</v>
      </c>
      <c r="AH37">
        <v>118497.04142011834</v>
      </c>
      <c r="AI37">
        <v>0</v>
      </c>
      <c r="AJ37">
        <v>118497.04142011834</v>
      </c>
      <c r="AK37">
        <v>0</v>
      </c>
      <c r="AL37">
        <v>118497.04142011834</v>
      </c>
      <c r="AM37">
        <v>0</v>
      </c>
      <c r="AN37">
        <v>118497.04142011834</v>
      </c>
      <c r="AO37">
        <v>0</v>
      </c>
      <c r="AP37">
        <v>118497.04142011834</v>
      </c>
      <c r="AQ37">
        <v>0</v>
      </c>
      <c r="AR37">
        <v>118497.04142011834</v>
      </c>
      <c r="AS37">
        <v>0</v>
      </c>
      <c r="AT37">
        <v>118497.04142011834</v>
      </c>
      <c r="AV37">
        <v>118497.04142011834</v>
      </c>
      <c r="AW37">
        <v>-1527.3395406627387</v>
      </c>
      <c r="AX37">
        <v>116969.70187945561</v>
      </c>
      <c r="AY37">
        <v>5083.117303953346</v>
      </c>
      <c r="AZ37">
        <v>122052.81918340895</v>
      </c>
      <c r="BA37">
        <v>0</v>
      </c>
      <c r="BB37">
        <v>122052.81918340895</v>
      </c>
      <c r="BC37">
        <v>0</v>
      </c>
      <c r="BD37">
        <v>122052.81918340895</v>
      </c>
      <c r="BE37">
        <v>0</v>
      </c>
      <c r="BF37">
        <v>122052.81918340895</v>
      </c>
      <c r="BG37">
        <v>1220.7064160725861</v>
      </c>
      <c r="BH37">
        <v>123273.52559948154</v>
      </c>
      <c r="BI37">
        <v>0</v>
      </c>
      <c r="BJ37">
        <v>123273.52559948154</v>
      </c>
      <c r="BK37">
        <v>123273.52559948154</v>
      </c>
      <c r="BL37">
        <v>7608442</v>
      </c>
      <c r="BO37">
        <v>0</v>
      </c>
      <c r="BP37">
        <v>123273.52559948154</v>
      </c>
      <c r="BQ37">
        <v>7608442</v>
      </c>
      <c r="BR37" s="238" t="s">
        <v>36</v>
      </c>
      <c r="BU37">
        <v>123273.52559948154</v>
      </c>
      <c r="BV37">
        <v>0</v>
      </c>
      <c r="BW37">
        <v>7608442</v>
      </c>
      <c r="BX37" s="238"/>
      <c r="BY37" s="238" t="s">
        <v>3</v>
      </c>
      <c r="BZ37" s="238" t="s">
        <v>3</v>
      </c>
      <c r="CA37" s="238" t="s">
        <v>8951</v>
      </c>
      <c r="CB37" s="238" t="s">
        <v>1167</v>
      </c>
      <c r="CC37" s="238" t="s">
        <v>9077</v>
      </c>
      <c r="CD37" s="238" t="s">
        <v>8971</v>
      </c>
      <c r="CE37" t="b">
        <v>1</v>
      </c>
      <c r="CF37">
        <v>7608442</v>
      </c>
      <c r="CG37">
        <v>7608442</v>
      </c>
      <c r="CH37">
        <v>0</v>
      </c>
      <c r="CI37">
        <v>0</v>
      </c>
      <c r="CJ37">
        <v>0</v>
      </c>
    </row>
    <row r="38" spans="1:88" x14ac:dyDescent="0.25">
      <c r="A38">
        <v>37</v>
      </c>
      <c r="B38">
        <v>1</v>
      </c>
      <c r="C38">
        <v>6</v>
      </c>
      <c r="D38">
        <v>4</v>
      </c>
      <c r="E38">
        <v>1</v>
      </c>
      <c r="F38">
        <v>12.64</v>
      </c>
      <c r="I38">
        <v>12.64</v>
      </c>
      <c r="J38">
        <v>15.67</v>
      </c>
      <c r="K38">
        <v>4.6900000000000004</v>
      </c>
      <c r="M38">
        <v>4.01</v>
      </c>
      <c r="P38">
        <v>3.38</v>
      </c>
      <c r="R38">
        <v>3.38</v>
      </c>
      <c r="S38">
        <v>40.39</v>
      </c>
      <c r="T38">
        <v>37.01</v>
      </c>
      <c r="U38">
        <v>38.700000000000003</v>
      </c>
      <c r="V38">
        <v>119184.96000000001</v>
      </c>
      <c r="W38">
        <v>0.42565629226737656</v>
      </c>
      <c r="X38">
        <v>119185.38565629227</v>
      </c>
      <c r="Y38">
        <v>0</v>
      </c>
      <c r="Z38">
        <v>119185.38565629227</v>
      </c>
      <c r="AA38">
        <v>0</v>
      </c>
      <c r="AB38">
        <v>119185.38565629227</v>
      </c>
      <c r="AC38">
        <v>0</v>
      </c>
      <c r="AD38">
        <v>119185.38565629227</v>
      </c>
      <c r="AE38">
        <v>0</v>
      </c>
      <c r="AF38">
        <v>119185.38565629227</v>
      </c>
      <c r="AG38">
        <v>0</v>
      </c>
      <c r="AH38">
        <v>119185.38565629227</v>
      </c>
      <c r="AI38">
        <v>0</v>
      </c>
      <c r="AJ38">
        <v>119185.38565629227</v>
      </c>
      <c r="AK38">
        <v>0</v>
      </c>
      <c r="AL38">
        <v>119185.38565629227</v>
      </c>
      <c r="AM38">
        <v>0</v>
      </c>
      <c r="AN38">
        <v>119185.38565629227</v>
      </c>
      <c r="AO38">
        <v>0</v>
      </c>
      <c r="AP38">
        <v>119185.38565629227</v>
      </c>
      <c r="AQ38">
        <v>0</v>
      </c>
      <c r="AR38">
        <v>119185.38565629227</v>
      </c>
      <c r="AS38">
        <v>0</v>
      </c>
      <c r="AT38">
        <v>119185.38565629227</v>
      </c>
      <c r="AV38">
        <v>119185.38565629227</v>
      </c>
      <c r="AW38">
        <v>-1976.0316511243291</v>
      </c>
      <c r="AX38">
        <v>117209.35400516794</v>
      </c>
      <c r="AY38">
        <v>5552.9198966408294</v>
      </c>
      <c r="AZ38">
        <v>122762.27390180877</v>
      </c>
      <c r="BA38">
        <v>0</v>
      </c>
      <c r="BB38">
        <v>122762.27390180877</v>
      </c>
      <c r="BC38">
        <v>0</v>
      </c>
      <c r="BD38">
        <v>122762.27390180877</v>
      </c>
      <c r="BE38">
        <v>0</v>
      </c>
      <c r="BF38">
        <v>122762.27390180877</v>
      </c>
      <c r="BG38">
        <v>2454.9612403100764</v>
      </c>
      <c r="BH38">
        <v>125217.23514211884</v>
      </c>
      <c r="BI38">
        <v>0</v>
      </c>
      <c r="BJ38">
        <v>125217.23514211884</v>
      </c>
      <c r="BK38">
        <v>125217.23514211885</v>
      </c>
      <c r="BL38">
        <v>4845907</v>
      </c>
      <c r="BO38">
        <v>0</v>
      </c>
      <c r="BP38">
        <v>125217.23514211885</v>
      </c>
      <c r="BQ38">
        <v>4845907</v>
      </c>
      <c r="BR38" s="238" t="s">
        <v>36</v>
      </c>
      <c r="BU38">
        <v>125217.23514211885</v>
      </c>
      <c r="BV38">
        <v>0</v>
      </c>
      <c r="BW38">
        <v>4845907</v>
      </c>
      <c r="BX38" s="238"/>
      <c r="BY38" s="238" t="s">
        <v>3</v>
      </c>
      <c r="BZ38" s="238" t="s">
        <v>3</v>
      </c>
      <c r="CA38" s="238" t="s">
        <v>8951</v>
      </c>
      <c r="CB38" s="238" t="s">
        <v>1167</v>
      </c>
      <c r="CC38" s="238" t="s">
        <v>9077</v>
      </c>
      <c r="CD38" s="238" t="s">
        <v>8972</v>
      </c>
      <c r="CE38" t="b">
        <v>1</v>
      </c>
      <c r="CF38">
        <v>4845907</v>
      </c>
      <c r="CG38">
        <v>4845907</v>
      </c>
      <c r="CH38">
        <v>0</v>
      </c>
      <c r="CI38">
        <v>0</v>
      </c>
      <c r="CJ38">
        <v>0</v>
      </c>
    </row>
    <row r="39" spans="1:88" x14ac:dyDescent="0.25">
      <c r="A39">
        <v>38</v>
      </c>
      <c r="B39">
        <v>1</v>
      </c>
      <c r="C39">
        <v>6</v>
      </c>
      <c r="D39">
        <v>5</v>
      </c>
      <c r="E39">
        <v>2</v>
      </c>
      <c r="F39">
        <v>10.59</v>
      </c>
      <c r="G39">
        <v>14.05</v>
      </c>
      <c r="I39">
        <v>24.64</v>
      </c>
      <c r="J39">
        <v>18.38</v>
      </c>
      <c r="K39">
        <v>4.84</v>
      </c>
      <c r="M39">
        <v>3.1</v>
      </c>
      <c r="N39">
        <v>4.93</v>
      </c>
      <c r="O39">
        <v>3.83</v>
      </c>
      <c r="P39">
        <v>3.49</v>
      </c>
      <c r="R39">
        <v>3.49</v>
      </c>
      <c r="S39">
        <v>63.21</v>
      </c>
      <c r="T39">
        <v>59.72</v>
      </c>
      <c r="U39">
        <v>61.47</v>
      </c>
      <c r="V39">
        <v>116281.2</v>
      </c>
      <c r="W39">
        <v>0.12992327366373502</v>
      </c>
      <c r="X39">
        <v>116281.32992327366</v>
      </c>
      <c r="Y39">
        <v>0</v>
      </c>
      <c r="Z39">
        <v>116281.32992327366</v>
      </c>
      <c r="AA39">
        <v>0</v>
      </c>
      <c r="AB39">
        <v>116281.32992327366</v>
      </c>
      <c r="AC39">
        <v>0</v>
      </c>
      <c r="AD39">
        <v>116281.32992327366</v>
      </c>
      <c r="AE39">
        <v>0</v>
      </c>
      <c r="AF39">
        <v>116281.32992327366</v>
      </c>
      <c r="AG39">
        <v>0</v>
      </c>
      <c r="AH39">
        <v>116281.32992327366</v>
      </c>
      <c r="AI39">
        <v>0</v>
      </c>
      <c r="AJ39">
        <v>116281.32992327366</v>
      </c>
      <c r="AK39">
        <v>0</v>
      </c>
      <c r="AL39">
        <v>116281.32992327366</v>
      </c>
      <c r="AM39">
        <v>0</v>
      </c>
      <c r="AN39">
        <v>116281.32992327366</v>
      </c>
      <c r="AO39">
        <v>0</v>
      </c>
      <c r="AP39">
        <v>116281.32992327366</v>
      </c>
      <c r="AQ39">
        <v>0</v>
      </c>
      <c r="AR39">
        <v>116281.32992327366</v>
      </c>
      <c r="AS39">
        <v>0</v>
      </c>
      <c r="AT39">
        <v>116281.32992327366</v>
      </c>
      <c r="AV39">
        <v>116281.32992327366</v>
      </c>
      <c r="AW39">
        <v>-2006.44786698604</v>
      </c>
      <c r="AX39">
        <v>114274.88205628762</v>
      </c>
      <c r="AY39">
        <v>5495.7377582560584</v>
      </c>
      <c r="AZ39">
        <v>119770.61981454368</v>
      </c>
      <c r="BA39">
        <v>0</v>
      </c>
      <c r="BB39">
        <v>119770.61981454368</v>
      </c>
      <c r="BC39">
        <v>0</v>
      </c>
      <c r="BD39">
        <v>119770.61981454368</v>
      </c>
      <c r="BE39">
        <v>0</v>
      </c>
      <c r="BF39">
        <v>119770.61981454368</v>
      </c>
      <c r="BG39">
        <v>1198.096632503657</v>
      </c>
      <c r="BH39">
        <v>120968.71644704734</v>
      </c>
      <c r="BI39">
        <v>0</v>
      </c>
      <c r="BJ39">
        <v>120968.71644704734</v>
      </c>
      <c r="BK39">
        <v>120968.71644704734</v>
      </c>
      <c r="BL39">
        <v>7435947</v>
      </c>
      <c r="BO39">
        <v>0</v>
      </c>
      <c r="BP39">
        <v>120968.71644704734</v>
      </c>
      <c r="BQ39">
        <v>7435947</v>
      </c>
      <c r="BR39" s="238" t="s">
        <v>36</v>
      </c>
      <c r="BU39">
        <v>120968.71644704734</v>
      </c>
      <c r="BV39">
        <v>0</v>
      </c>
      <c r="BW39">
        <v>7435947</v>
      </c>
      <c r="BX39" s="238"/>
      <c r="BY39" s="238" t="s">
        <v>3</v>
      </c>
      <c r="BZ39" s="238" t="s">
        <v>3</v>
      </c>
      <c r="CA39" s="238" t="s">
        <v>8951</v>
      </c>
      <c r="CB39" s="238" t="s">
        <v>1167</v>
      </c>
      <c r="CC39" s="238" t="s">
        <v>9077</v>
      </c>
      <c r="CD39" s="238" t="s">
        <v>8971</v>
      </c>
      <c r="CE39" t="b">
        <v>1</v>
      </c>
      <c r="CF39">
        <v>7435947</v>
      </c>
      <c r="CG39">
        <v>7435947</v>
      </c>
      <c r="CH39">
        <v>0</v>
      </c>
      <c r="CI39">
        <v>0</v>
      </c>
      <c r="CJ39">
        <v>0</v>
      </c>
    </row>
    <row r="40" spans="1:88" x14ac:dyDescent="0.25">
      <c r="A40">
        <v>39</v>
      </c>
      <c r="B40">
        <v>1</v>
      </c>
      <c r="C40">
        <v>6</v>
      </c>
      <c r="D40">
        <v>6</v>
      </c>
      <c r="E40">
        <v>2</v>
      </c>
      <c r="F40">
        <v>14.2</v>
      </c>
      <c r="G40">
        <v>14.27</v>
      </c>
      <c r="I40">
        <v>28.47</v>
      </c>
      <c r="J40">
        <v>17.43</v>
      </c>
      <c r="K40">
        <v>5.51</v>
      </c>
      <c r="L40">
        <v>4.05</v>
      </c>
      <c r="M40">
        <v>3.57</v>
      </c>
      <c r="N40">
        <v>4.75</v>
      </c>
      <c r="P40">
        <v>2.87</v>
      </c>
      <c r="R40">
        <v>2.87</v>
      </c>
      <c r="S40">
        <v>66.650000000000006</v>
      </c>
      <c r="T40">
        <v>63.78</v>
      </c>
      <c r="U40">
        <v>65.22</v>
      </c>
      <c r="V40">
        <v>119603.52</v>
      </c>
      <c r="W40">
        <v>0.9457097288541263</v>
      </c>
      <c r="X40">
        <v>119604.46570972886</v>
      </c>
      <c r="Y40">
        <v>0</v>
      </c>
      <c r="Z40">
        <v>119604.46570972886</v>
      </c>
      <c r="AA40">
        <v>0</v>
      </c>
      <c r="AB40">
        <v>119604.46570972886</v>
      </c>
      <c r="AC40">
        <v>0</v>
      </c>
      <c r="AD40">
        <v>119604.46570972886</v>
      </c>
      <c r="AE40">
        <v>0</v>
      </c>
      <c r="AF40">
        <v>119604.46570972886</v>
      </c>
      <c r="AG40">
        <v>0</v>
      </c>
      <c r="AH40">
        <v>119604.46570972886</v>
      </c>
      <c r="AI40">
        <v>0</v>
      </c>
      <c r="AJ40">
        <v>119604.46570972886</v>
      </c>
      <c r="AK40">
        <v>0</v>
      </c>
      <c r="AL40">
        <v>119604.46570972886</v>
      </c>
      <c r="AM40">
        <v>0</v>
      </c>
      <c r="AN40">
        <v>119604.46570972886</v>
      </c>
      <c r="AO40">
        <v>0</v>
      </c>
      <c r="AP40">
        <v>119604.46570972886</v>
      </c>
      <c r="AQ40">
        <v>0</v>
      </c>
      <c r="AR40">
        <v>119604.46570972886</v>
      </c>
      <c r="AS40">
        <v>0</v>
      </c>
      <c r="AT40">
        <v>119604.46570972886</v>
      </c>
      <c r="AV40">
        <v>119604.46570972886</v>
      </c>
      <c r="AW40">
        <v>-1172.2976631173806</v>
      </c>
      <c r="AX40">
        <v>118432.16804661148</v>
      </c>
      <c r="AY40">
        <v>4760.1042624961556</v>
      </c>
      <c r="AZ40">
        <v>123192.27230910763</v>
      </c>
      <c r="BA40">
        <v>0</v>
      </c>
      <c r="BB40">
        <v>123192.27230910763</v>
      </c>
      <c r="BC40">
        <v>0</v>
      </c>
      <c r="BD40">
        <v>123192.27230910763</v>
      </c>
      <c r="BE40">
        <v>0</v>
      </c>
      <c r="BF40">
        <v>123192.27230910763</v>
      </c>
      <c r="BG40">
        <v>1231.6467341306416</v>
      </c>
      <c r="BH40">
        <v>124423.91904323827</v>
      </c>
      <c r="BI40">
        <v>0</v>
      </c>
      <c r="BJ40">
        <v>124423.91904323827</v>
      </c>
      <c r="BK40">
        <v>124423.91904323827</v>
      </c>
      <c r="BL40">
        <v>8114928</v>
      </c>
      <c r="BO40">
        <v>0</v>
      </c>
      <c r="BP40">
        <v>124423.91904323827</v>
      </c>
      <c r="BQ40">
        <v>8114928</v>
      </c>
      <c r="BR40" s="238" t="s">
        <v>36</v>
      </c>
      <c r="BU40">
        <v>124423.91904323827</v>
      </c>
      <c r="BV40">
        <v>0</v>
      </c>
      <c r="BW40">
        <v>8114928</v>
      </c>
      <c r="BX40" s="238"/>
      <c r="BY40" s="238" t="s">
        <v>3</v>
      </c>
      <c r="BZ40" s="238" t="s">
        <v>3</v>
      </c>
      <c r="CA40" s="238" t="s">
        <v>8951</v>
      </c>
      <c r="CB40" s="238" t="s">
        <v>1167</v>
      </c>
      <c r="CC40" s="238" t="s">
        <v>9077</v>
      </c>
      <c r="CD40" s="238" t="s">
        <v>8971</v>
      </c>
      <c r="CE40" t="b">
        <v>1</v>
      </c>
      <c r="CF40">
        <v>8114928</v>
      </c>
      <c r="CG40">
        <v>8114928</v>
      </c>
      <c r="CH40">
        <v>0</v>
      </c>
      <c r="CI40">
        <v>0</v>
      </c>
      <c r="CJ40">
        <v>0</v>
      </c>
    </row>
    <row r="41" spans="1:88" x14ac:dyDescent="0.25">
      <c r="A41">
        <v>40</v>
      </c>
      <c r="B41">
        <v>1</v>
      </c>
      <c r="C41">
        <v>6</v>
      </c>
      <c r="D41">
        <v>7</v>
      </c>
      <c r="E41">
        <v>1</v>
      </c>
      <c r="F41">
        <v>15.25</v>
      </c>
      <c r="I41">
        <v>15.25</v>
      </c>
      <c r="J41">
        <v>17.12</v>
      </c>
      <c r="K41">
        <v>4.62</v>
      </c>
      <c r="M41">
        <v>3.94</v>
      </c>
      <c r="P41">
        <v>3.36</v>
      </c>
      <c r="R41">
        <v>3.36</v>
      </c>
      <c r="S41">
        <v>44.29</v>
      </c>
      <c r="T41">
        <v>40.93</v>
      </c>
      <c r="U41">
        <v>42.61</v>
      </c>
      <c r="V41">
        <v>119184.96000000001</v>
      </c>
      <c r="W41">
        <v>4.6045949202380143E-2</v>
      </c>
      <c r="X41">
        <v>119185.00604594921</v>
      </c>
      <c r="Y41">
        <v>0</v>
      </c>
      <c r="Z41">
        <v>119185.00604594921</v>
      </c>
      <c r="AA41">
        <v>0</v>
      </c>
      <c r="AB41">
        <v>119185.00604594921</v>
      </c>
      <c r="AC41">
        <v>0</v>
      </c>
      <c r="AD41">
        <v>119185.00604594921</v>
      </c>
      <c r="AE41">
        <v>0</v>
      </c>
      <c r="AF41">
        <v>119185.00604594921</v>
      </c>
      <c r="AG41">
        <v>0</v>
      </c>
      <c r="AH41">
        <v>119185.00604594921</v>
      </c>
      <c r="AI41">
        <v>0</v>
      </c>
      <c r="AJ41">
        <v>119185.00604594921</v>
      </c>
      <c r="AK41">
        <v>0</v>
      </c>
      <c r="AL41">
        <v>119185.00604594921</v>
      </c>
      <c r="AM41">
        <v>0</v>
      </c>
      <c r="AN41">
        <v>119185.00604594921</v>
      </c>
      <c r="AO41">
        <v>0</v>
      </c>
      <c r="AP41">
        <v>119185.00604594921</v>
      </c>
      <c r="AQ41">
        <v>0</v>
      </c>
      <c r="AR41">
        <v>119185.00604594921</v>
      </c>
      <c r="AS41">
        <v>0</v>
      </c>
      <c r="AT41">
        <v>119185.00604594921</v>
      </c>
      <c r="AV41">
        <v>119185.00604594921</v>
      </c>
      <c r="AW41">
        <v>-54.543713163482607</v>
      </c>
      <c r="AX41">
        <v>119130.46233278573</v>
      </c>
      <c r="AY41">
        <v>3631.800046937351</v>
      </c>
      <c r="AZ41">
        <v>122762.26237972308</v>
      </c>
      <c r="BA41">
        <v>0</v>
      </c>
      <c r="BB41">
        <v>122762.26237972308</v>
      </c>
      <c r="BC41">
        <v>0</v>
      </c>
      <c r="BD41">
        <v>122762.26237972308</v>
      </c>
      <c r="BE41">
        <v>0</v>
      </c>
      <c r="BF41">
        <v>122762.26237972308</v>
      </c>
      <c r="BG41">
        <v>2454.987092231866</v>
      </c>
      <c r="BH41">
        <v>125217.24947195494</v>
      </c>
      <c r="BI41">
        <v>0</v>
      </c>
      <c r="BJ41">
        <v>125217.24947195494</v>
      </c>
      <c r="BK41">
        <v>125217.24947195494</v>
      </c>
      <c r="BL41">
        <v>5335507</v>
      </c>
      <c r="BO41">
        <v>0</v>
      </c>
      <c r="BP41">
        <v>125217.24947195494</v>
      </c>
      <c r="BQ41">
        <v>5335507</v>
      </c>
      <c r="BR41" s="238" t="s">
        <v>36</v>
      </c>
      <c r="BU41">
        <v>125217.24947195494</v>
      </c>
      <c r="BV41">
        <v>0</v>
      </c>
      <c r="BW41">
        <v>5335507</v>
      </c>
      <c r="BX41" s="238"/>
      <c r="BY41" s="238" t="s">
        <v>3</v>
      </c>
      <c r="BZ41" s="238" t="s">
        <v>3</v>
      </c>
      <c r="CA41" s="238" t="s">
        <v>8951</v>
      </c>
      <c r="CB41" s="238" t="s">
        <v>1167</v>
      </c>
      <c r="CC41" s="238" t="s">
        <v>9077</v>
      </c>
      <c r="CD41" s="238" t="s">
        <v>8972</v>
      </c>
      <c r="CE41" t="b">
        <v>1</v>
      </c>
      <c r="CF41">
        <v>5335507</v>
      </c>
      <c r="CG41">
        <v>5335507</v>
      </c>
      <c r="CH41">
        <v>0</v>
      </c>
      <c r="CI41">
        <v>0</v>
      </c>
      <c r="CJ41">
        <v>0</v>
      </c>
    </row>
    <row r="42" spans="1:88" x14ac:dyDescent="0.25">
      <c r="A42">
        <v>41</v>
      </c>
      <c r="B42">
        <v>1</v>
      </c>
      <c r="C42">
        <v>7</v>
      </c>
      <c r="D42">
        <v>1</v>
      </c>
      <c r="E42">
        <v>0</v>
      </c>
      <c r="F42">
        <v>17.66</v>
      </c>
      <c r="I42">
        <v>17.66</v>
      </c>
      <c r="J42">
        <v>7</v>
      </c>
      <c r="K42">
        <v>4.6399999999999997</v>
      </c>
      <c r="P42">
        <v>3.37</v>
      </c>
      <c r="R42">
        <v>3.37</v>
      </c>
      <c r="S42">
        <v>32.67</v>
      </c>
      <c r="T42">
        <v>29.3</v>
      </c>
      <c r="U42">
        <v>30.99</v>
      </c>
      <c r="V42">
        <v>138273.04</v>
      </c>
      <c r="W42">
        <v>1.6668676716799382</v>
      </c>
      <c r="X42">
        <v>138274.70686767169</v>
      </c>
      <c r="Y42">
        <v>0</v>
      </c>
      <c r="Z42">
        <v>138274.70686767169</v>
      </c>
      <c r="AA42">
        <v>0</v>
      </c>
      <c r="AB42">
        <v>138274.70686767169</v>
      </c>
      <c r="AC42">
        <v>0</v>
      </c>
      <c r="AD42">
        <v>138274.70686767169</v>
      </c>
      <c r="AE42">
        <v>0</v>
      </c>
      <c r="AF42">
        <v>138274.70686767169</v>
      </c>
      <c r="AG42">
        <v>0</v>
      </c>
      <c r="AH42">
        <v>138274.70686767169</v>
      </c>
      <c r="AI42">
        <v>0</v>
      </c>
      <c r="AJ42">
        <v>138274.70686767169</v>
      </c>
      <c r="AK42">
        <v>0</v>
      </c>
      <c r="AL42">
        <v>138274.70686767169</v>
      </c>
      <c r="AM42">
        <v>0</v>
      </c>
      <c r="AN42">
        <v>138274.70686767169</v>
      </c>
      <c r="AO42">
        <v>0</v>
      </c>
      <c r="AP42">
        <v>138274.70686767169</v>
      </c>
      <c r="AQ42">
        <v>0</v>
      </c>
      <c r="AR42">
        <v>138274.70686767169</v>
      </c>
      <c r="AS42">
        <v>0</v>
      </c>
      <c r="AT42">
        <v>138274.70686767169</v>
      </c>
      <c r="AV42">
        <v>138274.70686767169</v>
      </c>
      <c r="AW42">
        <v>-1090.647493680066</v>
      </c>
      <c r="AX42">
        <v>137184.05937399162</v>
      </c>
      <c r="AY42">
        <v>5239.3030009680369</v>
      </c>
      <c r="AZ42">
        <v>142423.36237495966</v>
      </c>
      <c r="BA42">
        <v>0</v>
      </c>
      <c r="BB42">
        <v>142423.36237495966</v>
      </c>
      <c r="BC42">
        <v>0</v>
      </c>
      <c r="BD42">
        <v>142423.36237495966</v>
      </c>
      <c r="BE42">
        <v>0</v>
      </c>
      <c r="BF42">
        <v>142423.36237495966</v>
      </c>
      <c r="BG42">
        <v>0</v>
      </c>
      <c r="BH42">
        <v>142423.36237495966</v>
      </c>
      <c r="BI42">
        <v>0</v>
      </c>
      <c r="BJ42">
        <v>142423.36237495966</v>
      </c>
      <c r="BK42">
        <v>142423.36237495966</v>
      </c>
      <c r="BL42">
        <v>4413700</v>
      </c>
      <c r="BO42">
        <v>0</v>
      </c>
      <c r="BP42">
        <v>142423.36237495966</v>
      </c>
      <c r="BQ42">
        <v>4413700</v>
      </c>
      <c r="BR42" s="238" t="s">
        <v>36</v>
      </c>
      <c r="BU42">
        <v>142423.36237495966</v>
      </c>
      <c r="BV42">
        <v>0</v>
      </c>
      <c r="BW42">
        <v>4413700</v>
      </c>
      <c r="BX42" s="238"/>
      <c r="BY42" s="238" t="s">
        <v>3</v>
      </c>
      <c r="BZ42" s="238" t="s">
        <v>3</v>
      </c>
      <c r="CA42" s="238" t="s">
        <v>8951</v>
      </c>
      <c r="CB42" s="238" t="s">
        <v>1167</v>
      </c>
      <c r="CC42" s="238" t="s">
        <v>9077</v>
      </c>
      <c r="CD42" s="238" t="s">
        <v>8970</v>
      </c>
      <c r="CE42" t="b">
        <v>1</v>
      </c>
      <c r="CF42">
        <v>4413700</v>
      </c>
      <c r="CG42">
        <v>4413700</v>
      </c>
      <c r="CH42">
        <v>0</v>
      </c>
      <c r="CI42">
        <v>0</v>
      </c>
      <c r="CJ42">
        <v>0</v>
      </c>
    </row>
    <row r="43" spans="1:88" x14ac:dyDescent="0.25">
      <c r="A43">
        <v>42</v>
      </c>
      <c r="B43">
        <v>1</v>
      </c>
      <c r="C43">
        <v>7</v>
      </c>
      <c r="D43">
        <v>2</v>
      </c>
      <c r="E43">
        <v>2</v>
      </c>
      <c r="F43">
        <v>11.1</v>
      </c>
      <c r="G43">
        <v>10.86</v>
      </c>
      <c r="I43">
        <v>21.96</v>
      </c>
      <c r="J43">
        <v>17.940000000000001</v>
      </c>
      <c r="K43">
        <v>3.94</v>
      </c>
      <c r="M43">
        <v>4.42</v>
      </c>
      <c r="N43">
        <v>4.49</v>
      </c>
      <c r="P43">
        <v>3.69</v>
      </c>
      <c r="R43">
        <v>3.69</v>
      </c>
      <c r="S43">
        <v>56.44</v>
      </c>
      <c r="T43">
        <v>52.75</v>
      </c>
      <c r="U43">
        <v>54.6</v>
      </c>
      <c r="V43">
        <v>115173.75999999999</v>
      </c>
      <c r="W43">
        <v>1.812519083978259</v>
      </c>
      <c r="X43">
        <v>115175.57251908397</v>
      </c>
      <c r="Z43">
        <v>115175.57251908397</v>
      </c>
      <c r="AB43">
        <v>115675.99236641222</v>
      </c>
      <c r="AC43">
        <v>0</v>
      </c>
      <c r="AD43">
        <v>115675.99236641222</v>
      </c>
      <c r="AE43">
        <v>0</v>
      </c>
      <c r="AF43">
        <v>115675.99236641222</v>
      </c>
      <c r="AG43">
        <v>0</v>
      </c>
      <c r="AH43">
        <v>115675.99236641222</v>
      </c>
      <c r="AI43">
        <v>0</v>
      </c>
      <c r="AJ43">
        <v>115675.99236641222</v>
      </c>
      <c r="AK43">
        <v>0</v>
      </c>
      <c r="AL43">
        <v>115675.99236641222</v>
      </c>
      <c r="AM43">
        <v>0</v>
      </c>
      <c r="AN43">
        <v>115675.99236641222</v>
      </c>
      <c r="AO43">
        <v>-500.41984732824494</v>
      </c>
      <c r="AP43">
        <v>115175.57251908397</v>
      </c>
      <c r="AQ43">
        <v>0</v>
      </c>
      <c r="AR43">
        <v>115175.57251908397</v>
      </c>
      <c r="AS43">
        <v>0</v>
      </c>
      <c r="AT43">
        <v>115175.57251908397</v>
      </c>
      <c r="AV43">
        <v>115175.57251908397</v>
      </c>
      <c r="AX43">
        <v>110534.79853479854</v>
      </c>
      <c r="AY43">
        <v>0</v>
      </c>
      <c r="AZ43">
        <v>110534.79853479854</v>
      </c>
      <c r="BA43">
        <v>0</v>
      </c>
      <c r="BB43">
        <v>110534.79853479854</v>
      </c>
      <c r="BC43">
        <v>0</v>
      </c>
      <c r="BD43">
        <v>110534.79853479854</v>
      </c>
      <c r="BE43">
        <v>0</v>
      </c>
      <c r="BF43">
        <v>110534.79853479854</v>
      </c>
      <c r="BG43">
        <v>0</v>
      </c>
      <c r="BH43">
        <v>110534.79853479854</v>
      </c>
      <c r="BI43">
        <v>0</v>
      </c>
      <c r="BJ43">
        <v>110534.79853479854</v>
      </c>
      <c r="BK43">
        <v>110534.79853479854</v>
      </c>
      <c r="BL43">
        <v>6035200</v>
      </c>
      <c r="BO43">
        <v>0</v>
      </c>
      <c r="BP43">
        <v>110534.79853479854</v>
      </c>
      <c r="BQ43">
        <v>6035200</v>
      </c>
      <c r="BR43" s="238" t="s">
        <v>36</v>
      </c>
      <c r="BU43">
        <v>110534.79853479854</v>
      </c>
      <c r="BV43">
        <v>0</v>
      </c>
      <c r="BW43">
        <v>6035200</v>
      </c>
      <c r="BX43" s="238"/>
      <c r="BY43" s="238" t="s">
        <v>8963</v>
      </c>
      <c r="BZ43" s="238" t="s">
        <v>8963</v>
      </c>
      <c r="CA43" s="238" t="s">
        <v>8953</v>
      </c>
      <c r="CB43" s="238" t="s">
        <v>8964</v>
      </c>
      <c r="CC43" s="238" t="s">
        <v>9077</v>
      </c>
      <c r="CD43" s="238" t="s">
        <v>8971</v>
      </c>
      <c r="CE43" t="b">
        <v>1</v>
      </c>
      <c r="CF43">
        <v>6035200</v>
      </c>
      <c r="CG43">
        <v>6351496</v>
      </c>
      <c r="CH43">
        <v>6035200</v>
      </c>
      <c r="CI43">
        <v>6035200</v>
      </c>
      <c r="CJ43">
        <v>0</v>
      </c>
    </row>
    <row r="44" spans="1:88" x14ac:dyDescent="0.25">
      <c r="A44">
        <v>43</v>
      </c>
      <c r="B44">
        <v>1</v>
      </c>
      <c r="C44">
        <v>7</v>
      </c>
      <c r="D44">
        <v>3</v>
      </c>
      <c r="E44">
        <v>2</v>
      </c>
      <c r="F44">
        <v>11.04</v>
      </c>
      <c r="G44">
        <v>12.05</v>
      </c>
      <c r="I44">
        <v>23.09</v>
      </c>
      <c r="J44">
        <v>20.87</v>
      </c>
      <c r="K44">
        <v>4.99</v>
      </c>
      <c r="M44">
        <v>2.67</v>
      </c>
      <c r="N44">
        <v>4.59</v>
      </c>
      <c r="O44">
        <v>3.59</v>
      </c>
      <c r="P44">
        <v>3.84</v>
      </c>
      <c r="R44">
        <v>3.84</v>
      </c>
      <c r="S44">
        <v>63.64</v>
      </c>
      <c r="T44">
        <v>59.8</v>
      </c>
      <c r="U44">
        <v>61.72</v>
      </c>
      <c r="V44">
        <v>118496.08</v>
      </c>
      <c r="W44">
        <v>0.96142011834308505</v>
      </c>
      <c r="X44">
        <v>118497.04142011834</v>
      </c>
      <c r="Y44">
        <v>0</v>
      </c>
      <c r="Z44">
        <v>118497.04142011834</v>
      </c>
      <c r="AA44">
        <v>0</v>
      </c>
      <c r="AB44">
        <v>118497.04142011834</v>
      </c>
      <c r="AC44">
        <v>0</v>
      </c>
      <c r="AD44">
        <v>118497.04142011834</v>
      </c>
      <c r="AE44">
        <v>0</v>
      </c>
      <c r="AF44">
        <v>118497.04142011834</v>
      </c>
      <c r="AG44">
        <v>0</v>
      </c>
      <c r="AH44">
        <v>118497.04142011834</v>
      </c>
      <c r="AI44">
        <v>0</v>
      </c>
      <c r="AJ44">
        <v>118497.04142011834</v>
      </c>
      <c r="AK44">
        <v>0</v>
      </c>
      <c r="AL44">
        <v>118497.04142011834</v>
      </c>
      <c r="AM44">
        <v>0</v>
      </c>
      <c r="AN44">
        <v>118497.04142011834</v>
      </c>
      <c r="AO44">
        <v>0</v>
      </c>
      <c r="AP44">
        <v>118497.04142011834</v>
      </c>
      <c r="AQ44">
        <v>0</v>
      </c>
      <c r="AR44">
        <v>118497.04142011834</v>
      </c>
      <c r="AS44">
        <v>0</v>
      </c>
      <c r="AT44">
        <v>118497.04142011834</v>
      </c>
      <c r="AV44">
        <v>118497.04142011834</v>
      </c>
      <c r="AW44">
        <v>-1527.3395406627387</v>
      </c>
      <c r="AX44">
        <v>116969.70187945561</v>
      </c>
      <c r="AY44">
        <v>5083.117303953346</v>
      </c>
      <c r="AZ44">
        <v>122052.81918340895</v>
      </c>
      <c r="BA44">
        <v>0</v>
      </c>
      <c r="BB44">
        <v>122052.81918340895</v>
      </c>
      <c r="BC44">
        <v>0</v>
      </c>
      <c r="BD44">
        <v>122052.81918340895</v>
      </c>
      <c r="BE44">
        <v>0</v>
      </c>
      <c r="BF44">
        <v>122052.81918340895</v>
      </c>
      <c r="BG44">
        <v>1220.7064160725861</v>
      </c>
      <c r="BH44">
        <v>123273.52559948154</v>
      </c>
      <c r="BI44">
        <v>0</v>
      </c>
      <c r="BJ44">
        <v>123273.52559948154</v>
      </c>
      <c r="BK44">
        <v>123273.52559948154</v>
      </c>
      <c r="BL44">
        <v>7608442</v>
      </c>
      <c r="BO44">
        <v>0</v>
      </c>
      <c r="BP44">
        <v>123273.52559948154</v>
      </c>
      <c r="BQ44">
        <v>7608442</v>
      </c>
      <c r="BR44" s="238" t="s">
        <v>36</v>
      </c>
      <c r="BU44">
        <v>123273.52559948154</v>
      </c>
      <c r="BV44">
        <v>0</v>
      </c>
      <c r="BW44">
        <v>7608442</v>
      </c>
      <c r="BX44" s="238"/>
      <c r="BY44" s="238" t="s">
        <v>3</v>
      </c>
      <c r="BZ44" s="238" t="s">
        <v>3</v>
      </c>
      <c r="CA44" s="238" t="s">
        <v>8951</v>
      </c>
      <c r="CB44" s="238" t="s">
        <v>1167</v>
      </c>
      <c r="CC44" s="238" t="s">
        <v>9077</v>
      </c>
      <c r="CD44" s="238" t="s">
        <v>8971</v>
      </c>
      <c r="CE44" t="b">
        <v>1</v>
      </c>
      <c r="CF44">
        <v>7608442</v>
      </c>
      <c r="CG44">
        <v>7608442</v>
      </c>
      <c r="CH44">
        <v>0</v>
      </c>
      <c r="CI44">
        <v>0</v>
      </c>
      <c r="CJ44">
        <v>0</v>
      </c>
    </row>
    <row r="45" spans="1:88" x14ac:dyDescent="0.25">
      <c r="A45">
        <v>44</v>
      </c>
      <c r="B45">
        <v>1</v>
      </c>
      <c r="C45">
        <v>7</v>
      </c>
      <c r="D45">
        <v>4</v>
      </c>
      <c r="E45">
        <v>1</v>
      </c>
      <c r="F45">
        <v>12.64</v>
      </c>
      <c r="I45">
        <v>12.64</v>
      </c>
      <c r="J45">
        <v>15.67</v>
      </c>
      <c r="K45">
        <v>4.6900000000000004</v>
      </c>
      <c r="M45">
        <v>4.01</v>
      </c>
      <c r="P45">
        <v>3.38</v>
      </c>
      <c r="R45">
        <v>3.38</v>
      </c>
      <c r="S45">
        <v>40.39</v>
      </c>
      <c r="T45">
        <v>37.01</v>
      </c>
      <c r="U45">
        <v>38.700000000000003</v>
      </c>
      <c r="V45">
        <v>119184.96000000001</v>
      </c>
      <c r="W45">
        <v>0.42565629226737656</v>
      </c>
      <c r="X45">
        <v>119185.38565629227</v>
      </c>
      <c r="Y45">
        <v>0</v>
      </c>
      <c r="Z45">
        <v>119185.38565629227</v>
      </c>
      <c r="AA45">
        <v>0</v>
      </c>
      <c r="AB45">
        <v>119185.38565629227</v>
      </c>
      <c r="AC45">
        <v>0</v>
      </c>
      <c r="AD45">
        <v>119185.38565629227</v>
      </c>
      <c r="AE45">
        <v>0</v>
      </c>
      <c r="AF45">
        <v>119185.38565629227</v>
      </c>
      <c r="AG45">
        <v>0</v>
      </c>
      <c r="AH45">
        <v>119185.38565629227</v>
      </c>
      <c r="AI45">
        <v>0</v>
      </c>
      <c r="AJ45">
        <v>119185.38565629227</v>
      </c>
      <c r="AK45">
        <v>0</v>
      </c>
      <c r="AL45">
        <v>119185.38565629227</v>
      </c>
      <c r="AM45">
        <v>0</v>
      </c>
      <c r="AN45">
        <v>119185.38565629227</v>
      </c>
      <c r="AO45">
        <v>0</v>
      </c>
      <c r="AP45">
        <v>119185.38565629227</v>
      </c>
      <c r="AQ45">
        <v>0</v>
      </c>
      <c r="AR45">
        <v>119185.38565629227</v>
      </c>
      <c r="AS45">
        <v>0</v>
      </c>
      <c r="AT45">
        <v>119185.38565629227</v>
      </c>
      <c r="AV45">
        <v>119185.38565629227</v>
      </c>
      <c r="AW45">
        <v>-1976.0316511243291</v>
      </c>
      <c r="AX45">
        <v>117209.35400516794</v>
      </c>
      <c r="AY45">
        <v>5552.9198966408294</v>
      </c>
      <c r="AZ45">
        <v>122762.27390180877</v>
      </c>
      <c r="BA45">
        <v>0</v>
      </c>
      <c r="BB45">
        <v>122762.27390180877</v>
      </c>
      <c r="BC45">
        <v>0</v>
      </c>
      <c r="BD45">
        <v>122762.27390180877</v>
      </c>
      <c r="BE45">
        <v>0</v>
      </c>
      <c r="BF45">
        <v>122762.27390180877</v>
      </c>
      <c r="BG45">
        <v>2454.9612403100764</v>
      </c>
      <c r="BH45">
        <v>125217.23514211884</v>
      </c>
      <c r="BI45">
        <v>0</v>
      </c>
      <c r="BJ45">
        <v>125217.23514211884</v>
      </c>
      <c r="BK45">
        <v>125217.23514211885</v>
      </c>
      <c r="BL45">
        <v>4845907</v>
      </c>
      <c r="BO45">
        <v>0</v>
      </c>
      <c r="BP45">
        <v>125217.23514211885</v>
      </c>
      <c r="BQ45">
        <v>4845907</v>
      </c>
      <c r="BR45" s="238" t="s">
        <v>36</v>
      </c>
      <c r="BU45">
        <v>125217.23514211885</v>
      </c>
      <c r="BV45">
        <v>0</v>
      </c>
      <c r="BW45">
        <v>4845907</v>
      </c>
      <c r="BX45" s="238"/>
      <c r="BY45" s="238" t="s">
        <v>3</v>
      </c>
      <c r="BZ45" s="238" t="s">
        <v>3</v>
      </c>
      <c r="CA45" s="238" t="s">
        <v>8951</v>
      </c>
      <c r="CB45" s="238" t="s">
        <v>1167</v>
      </c>
      <c r="CC45" s="238" t="s">
        <v>9077</v>
      </c>
      <c r="CD45" s="238" t="s">
        <v>8972</v>
      </c>
      <c r="CE45" t="b">
        <v>1</v>
      </c>
      <c r="CF45">
        <v>4845907</v>
      </c>
      <c r="CG45">
        <v>4845907</v>
      </c>
      <c r="CH45">
        <v>0</v>
      </c>
      <c r="CI45">
        <v>0</v>
      </c>
      <c r="CJ45">
        <v>0</v>
      </c>
    </row>
    <row r="46" spans="1:88" x14ac:dyDescent="0.25">
      <c r="A46">
        <v>45</v>
      </c>
      <c r="B46">
        <v>1</v>
      </c>
      <c r="C46">
        <v>7</v>
      </c>
      <c r="D46">
        <v>5</v>
      </c>
      <c r="E46">
        <v>2</v>
      </c>
      <c r="F46">
        <v>10.59</v>
      </c>
      <c r="G46">
        <v>14.05</v>
      </c>
      <c r="I46">
        <v>24.64</v>
      </c>
      <c r="J46">
        <v>18.38</v>
      </c>
      <c r="K46">
        <v>4.84</v>
      </c>
      <c r="M46">
        <v>3.1</v>
      </c>
      <c r="N46">
        <v>4.93</v>
      </c>
      <c r="O46">
        <v>3.83</v>
      </c>
      <c r="P46">
        <v>3.49</v>
      </c>
      <c r="R46">
        <v>3.49</v>
      </c>
      <c r="S46">
        <v>63.21</v>
      </c>
      <c r="T46">
        <v>59.72</v>
      </c>
      <c r="U46">
        <v>61.47</v>
      </c>
      <c r="V46">
        <v>116281.2</v>
      </c>
      <c r="W46">
        <v>0.12992327366373502</v>
      </c>
      <c r="X46">
        <v>116281.32992327366</v>
      </c>
      <c r="Y46">
        <v>0</v>
      </c>
      <c r="Z46">
        <v>116281.32992327366</v>
      </c>
      <c r="AA46">
        <v>0</v>
      </c>
      <c r="AB46">
        <v>116281.32992327366</v>
      </c>
      <c r="AC46">
        <v>0</v>
      </c>
      <c r="AD46">
        <v>116281.32992327366</v>
      </c>
      <c r="AE46">
        <v>0</v>
      </c>
      <c r="AF46">
        <v>116281.32992327366</v>
      </c>
      <c r="AG46">
        <v>0</v>
      </c>
      <c r="AH46">
        <v>116281.32992327366</v>
      </c>
      <c r="AI46">
        <v>0</v>
      </c>
      <c r="AJ46">
        <v>116281.32992327366</v>
      </c>
      <c r="AK46">
        <v>0</v>
      </c>
      <c r="AL46">
        <v>116281.32992327366</v>
      </c>
      <c r="AM46">
        <v>0</v>
      </c>
      <c r="AN46">
        <v>116281.32992327366</v>
      </c>
      <c r="AO46">
        <v>0</v>
      </c>
      <c r="AP46">
        <v>116281.32992327366</v>
      </c>
      <c r="AQ46">
        <v>0</v>
      </c>
      <c r="AR46">
        <v>116281.32992327366</v>
      </c>
      <c r="AS46">
        <v>0</v>
      </c>
      <c r="AT46">
        <v>116281.32992327366</v>
      </c>
      <c r="AV46">
        <v>116281.32992327366</v>
      </c>
      <c r="AW46">
        <v>-2006.44786698604</v>
      </c>
      <c r="AX46">
        <v>114274.88205628762</v>
      </c>
      <c r="AY46">
        <v>5495.7377582560584</v>
      </c>
      <c r="AZ46">
        <v>119770.61981454368</v>
      </c>
      <c r="BA46">
        <v>0</v>
      </c>
      <c r="BB46">
        <v>119770.61981454368</v>
      </c>
      <c r="BC46">
        <v>0</v>
      </c>
      <c r="BD46">
        <v>119770.61981454368</v>
      </c>
      <c r="BE46">
        <v>0</v>
      </c>
      <c r="BF46">
        <v>119770.61981454368</v>
      </c>
      <c r="BG46">
        <v>1198.096632503657</v>
      </c>
      <c r="BH46">
        <v>120968.71644704734</v>
      </c>
      <c r="BI46">
        <v>0</v>
      </c>
      <c r="BJ46">
        <v>120968.71644704734</v>
      </c>
      <c r="BK46">
        <v>120968.71644704734</v>
      </c>
      <c r="BL46">
        <v>7435947</v>
      </c>
      <c r="BO46">
        <v>0</v>
      </c>
      <c r="BP46">
        <v>120968.71644704734</v>
      </c>
      <c r="BQ46">
        <v>7435947</v>
      </c>
      <c r="BR46" s="238" t="s">
        <v>36</v>
      </c>
      <c r="BU46">
        <v>120968.71644704734</v>
      </c>
      <c r="BV46">
        <v>0</v>
      </c>
      <c r="BW46">
        <v>7435947</v>
      </c>
      <c r="BX46" s="238"/>
      <c r="BY46" s="238" t="s">
        <v>3</v>
      </c>
      <c r="BZ46" s="238" t="s">
        <v>3</v>
      </c>
      <c r="CA46" s="238" t="s">
        <v>8951</v>
      </c>
      <c r="CB46" s="238" t="s">
        <v>1167</v>
      </c>
      <c r="CC46" s="238" t="s">
        <v>9077</v>
      </c>
      <c r="CD46" s="238" t="s">
        <v>8971</v>
      </c>
      <c r="CE46" t="b">
        <v>1</v>
      </c>
      <c r="CF46">
        <v>7435947</v>
      </c>
      <c r="CG46">
        <v>7435947</v>
      </c>
      <c r="CH46">
        <v>0</v>
      </c>
      <c r="CI46">
        <v>0</v>
      </c>
      <c r="CJ46">
        <v>0</v>
      </c>
    </row>
    <row r="47" spans="1:88" x14ac:dyDescent="0.25">
      <c r="A47">
        <v>46</v>
      </c>
      <c r="B47">
        <v>1</v>
      </c>
      <c r="C47">
        <v>7</v>
      </c>
      <c r="D47">
        <v>6</v>
      </c>
      <c r="E47">
        <v>2</v>
      </c>
      <c r="F47">
        <v>14.2</v>
      </c>
      <c r="G47">
        <v>14.27</v>
      </c>
      <c r="I47">
        <v>28.47</v>
      </c>
      <c r="J47">
        <v>17.43</v>
      </c>
      <c r="K47">
        <v>5.51</v>
      </c>
      <c r="L47">
        <v>4.05</v>
      </c>
      <c r="M47">
        <v>3.57</v>
      </c>
      <c r="N47">
        <v>4.75</v>
      </c>
      <c r="P47">
        <v>2.87</v>
      </c>
      <c r="R47">
        <v>2.87</v>
      </c>
      <c r="S47">
        <v>66.650000000000006</v>
      </c>
      <c r="T47">
        <v>63.78</v>
      </c>
      <c r="U47">
        <v>65.22</v>
      </c>
      <c r="V47">
        <v>119603.52</v>
      </c>
      <c r="W47">
        <v>0.9457097288541263</v>
      </c>
      <c r="X47">
        <v>119604.46570972886</v>
      </c>
      <c r="Y47">
        <v>0</v>
      </c>
      <c r="Z47">
        <v>119604.46570972886</v>
      </c>
      <c r="AA47">
        <v>0</v>
      </c>
      <c r="AB47">
        <v>119604.46570972886</v>
      </c>
      <c r="AC47">
        <v>0</v>
      </c>
      <c r="AD47">
        <v>119604.46570972886</v>
      </c>
      <c r="AE47">
        <v>0</v>
      </c>
      <c r="AF47">
        <v>119604.46570972886</v>
      </c>
      <c r="AG47">
        <v>0</v>
      </c>
      <c r="AH47">
        <v>119604.46570972886</v>
      </c>
      <c r="AI47">
        <v>0</v>
      </c>
      <c r="AJ47">
        <v>119604.46570972886</v>
      </c>
      <c r="AK47">
        <v>0</v>
      </c>
      <c r="AL47">
        <v>119604.46570972886</v>
      </c>
      <c r="AM47">
        <v>0</v>
      </c>
      <c r="AN47">
        <v>119604.46570972886</v>
      </c>
      <c r="AO47">
        <v>0</v>
      </c>
      <c r="AP47">
        <v>119604.46570972886</v>
      </c>
      <c r="AQ47">
        <v>0</v>
      </c>
      <c r="AR47">
        <v>119604.46570972886</v>
      </c>
      <c r="AS47">
        <v>0</v>
      </c>
      <c r="AT47">
        <v>119604.46570972886</v>
      </c>
      <c r="AV47">
        <v>119604.46570972886</v>
      </c>
      <c r="AW47">
        <v>-1172.2976631173806</v>
      </c>
      <c r="AX47">
        <v>118432.16804661148</v>
      </c>
      <c r="AY47">
        <v>4760.1042624961556</v>
      </c>
      <c r="AZ47">
        <v>123192.27230910763</v>
      </c>
      <c r="BA47">
        <v>0</v>
      </c>
      <c r="BB47">
        <v>123192.27230910763</v>
      </c>
      <c r="BC47">
        <v>0</v>
      </c>
      <c r="BD47">
        <v>123192.27230910763</v>
      </c>
      <c r="BE47">
        <v>0</v>
      </c>
      <c r="BF47">
        <v>123192.27230910763</v>
      </c>
      <c r="BG47">
        <v>1231.6467341306416</v>
      </c>
      <c r="BH47">
        <v>124423.91904323827</v>
      </c>
      <c r="BI47">
        <v>0</v>
      </c>
      <c r="BJ47">
        <v>124423.91904323827</v>
      </c>
      <c r="BK47">
        <v>124423.91904323827</v>
      </c>
      <c r="BL47">
        <v>8114928</v>
      </c>
      <c r="BO47">
        <v>0</v>
      </c>
      <c r="BP47">
        <v>124423.91904323827</v>
      </c>
      <c r="BQ47">
        <v>8114928</v>
      </c>
      <c r="BR47" s="238" t="s">
        <v>36</v>
      </c>
      <c r="BU47">
        <v>124423.91904323827</v>
      </c>
      <c r="BV47">
        <v>0</v>
      </c>
      <c r="BW47">
        <v>8114928</v>
      </c>
      <c r="BX47" s="238"/>
      <c r="BY47" s="238" t="s">
        <v>3</v>
      </c>
      <c r="BZ47" s="238" t="s">
        <v>3</v>
      </c>
      <c r="CA47" s="238" t="s">
        <v>8951</v>
      </c>
      <c r="CB47" s="238" t="s">
        <v>1167</v>
      </c>
      <c r="CC47" s="238" t="s">
        <v>9077</v>
      </c>
      <c r="CD47" s="238" t="s">
        <v>8971</v>
      </c>
      <c r="CE47" t="b">
        <v>1</v>
      </c>
      <c r="CF47">
        <v>8114928</v>
      </c>
      <c r="CG47">
        <v>8114928</v>
      </c>
      <c r="CH47">
        <v>0</v>
      </c>
      <c r="CI47">
        <v>0</v>
      </c>
      <c r="CJ47">
        <v>0</v>
      </c>
    </row>
    <row r="48" spans="1:88" x14ac:dyDescent="0.25">
      <c r="A48">
        <v>47</v>
      </c>
      <c r="B48">
        <v>1</v>
      </c>
      <c r="C48">
        <v>7</v>
      </c>
      <c r="D48">
        <v>7</v>
      </c>
      <c r="E48">
        <v>1</v>
      </c>
      <c r="F48">
        <v>15.25</v>
      </c>
      <c r="I48">
        <v>15.25</v>
      </c>
      <c r="J48">
        <v>17.12</v>
      </c>
      <c r="K48">
        <v>4.62</v>
      </c>
      <c r="M48">
        <v>3.94</v>
      </c>
      <c r="P48">
        <v>3.36</v>
      </c>
      <c r="R48">
        <v>3.36</v>
      </c>
      <c r="S48">
        <v>44.29</v>
      </c>
      <c r="T48">
        <v>40.93</v>
      </c>
      <c r="U48">
        <v>42.61</v>
      </c>
      <c r="V48">
        <v>119184.96000000001</v>
      </c>
      <c r="W48">
        <v>4.6045949202380143E-2</v>
      </c>
      <c r="X48">
        <v>119185.00604594921</v>
      </c>
      <c r="Y48">
        <v>0</v>
      </c>
      <c r="Z48">
        <v>119185.00604594921</v>
      </c>
      <c r="AA48">
        <v>0</v>
      </c>
      <c r="AB48">
        <v>119185.00604594921</v>
      </c>
      <c r="AC48">
        <v>0</v>
      </c>
      <c r="AD48">
        <v>119185.00604594921</v>
      </c>
      <c r="AE48">
        <v>0</v>
      </c>
      <c r="AF48">
        <v>119185.00604594921</v>
      </c>
      <c r="AG48">
        <v>0</v>
      </c>
      <c r="AH48">
        <v>119185.00604594921</v>
      </c>
      <c r="AI48">
        <v>0</v>
      </c>
      <c r="AJ48">
        <v>119185.00604594921</v>
      </c>
      <c r="AK48">
        <v>0</v>
      </c>
      <c r="AL48">
        <v>119185.00604594921</v>
      </c>
      <c r="AM48">
        <v>0</v>
      </c>
      <c r="AN48">
        <v>119185.00604594921</v>
      </c>
      <c r="AO48">
        <v>0</v>
      </c>
      <c r="AP48">
        <v>119185.00604594921</v>
      </c>
      <c r="AQ48">
        <v>0</v>
      </c>
      <c r="AR48">
        <v>119185.00604594921</v>
      </c>
      <c r="AS48">
        <v>0</v>
      </c>
      <c r="AT48">
        <v>119185.00604594921</v>
      </c>
      <c r="AV48">
        <v>119185.00604594921</v>
      </c>
      <c r="AW48">
        <v>-54.543713163482607</v>
      </c>
      <c r="AX48">
        <v>119130.46233278573</v>
      </c>
      <c r="AY48">
        <v>3631.800046937351</v>
      </c>
      <c r="AZ48">
        <v>122762.26237972308</v>
      </c>
      <c r="BA48">
        <v>0</v>
      </c>
      <c r="BB48">
        <v>122762.26237972308</v>
      </c>
      <c r="BC48">
        <v>0</v>
      </c>
      <c r="BD48">
        <v>122762.26237972308</v>
      </c>
      <c r="BE48">
        <v>0</v>
      </c>
      <c r="BF48">
        <v>122762.26237972308</v>
      </c>
      <c r="BG48">
        <v>2454.987092231866</v>
      </c>
      <c r="BH48">
        <v>125217.24947195494</v>
      </c>
      <c r="BI48">
        <v>0</v>
      </c>
      <c r="BJ48">
        <v>125217.24947195494</v>
      </c>
      <c r="BK48">
        <v>125217.24947195494</v>
      </c>
      <c r="BL48">
        <v>5335507</v>
      </c>
      <c r="BO48">
        <v>0</v>
      </c>
      <c r="BP48">
        <v>125217.24947195494</v>
      </c>
      <c r="BQ48">
        <v>5335507</v>
      </c>
      <c r="BR48" s="238" t="s">
        <v>36</v>
      </c>
      <c r="BU48">
        <v>125217.24947195494</v>
      </c>
      <c r="BV48">
        <v>0</v>
      </c>
      <c r="BW48">
        <v>5335507</v>
      </c>
      <c r="BX48" s="238"/>
      <c r="BY48" s="238" t="s">
        <v>3</v>
      </c>
      <c r="BZ48" s="238" t="s">
        <v>3</v>
      </c>
      <c r="CA48" s="238" t="s">
        <v>8951</v>
      </c>
      <c r="CB48" s="238" t="s">
        <v>1167</v>
      </c>
      <c r="CC48" s="238" t="s">
        <v>9077</v>
      </c>
      <c r="CD48" s="238" t="s">
        <v>8972</v>
      </c>
      <c r="CE48" t="b">
        <v>1</v>
      </c>
      <c r="CF48">
        <v>5335507</v>
      </c>
      <c r="CG48">
        <v>5335507</v>
      </c>
      <c r="CH48">
        <v>0</v>
      </c>
      <c r="CI48">
        <v>0</v>
      </c>
      <c r="CJ48">
        <v>0</v>
      </c>
    </row>
    <row r="49" spans="1:88" x14ac:dyDescent="0.25">
      <c r="A49">
        <v>48</v>
      </c>
      <c r="B49">
        <v>1</v>
      </c>
      <c r="C49">
        <v>8</v>
      </c>
      <c r="D49">
        <v>1</v>
      </c>
      <c r="E49">
        <v>0</v>
      </c>
      <c r="F49">
        <v>17.66</v>
      </c>
      <c r="I49">
        <v>17.66</v>
      </c>
      <c r="J49">
        <v>7</v>
      </c>
      <c r="K49">
        <v>4.6399999999999997</v>
      </c>
      <c r="P49">
        <v>3.37</v>
      </c>
      <c r="R49">
        <v>3.37</v>
      </c>
      <c r="S49">
        <v>32.67</v>
      </c>
      <c r="T49">
        <v>29.3</v>
      </c>
      <c r="U49">
        <v>30.99</v>
      </c>
      <c r="V49">
        <v>138273.04</v>
      </c>
      <c r="W49">
        <v>1.6668676716799382</v>
      </c>
      <c r="X49">
        <v>138274.70686767169</v>
      </c>
      <c r="Y49">
        <v>0</v>
      </c>
      <c r="Z49">
        <v>138274.70686767169</v>
      </c>
      <c r="AA49">
        <v>0</v>
      </c>
      <c r="AB49">
        <v>138274.70686767169</v>
      </c>
      <c r="AC49">
        <v>0</v>
      </c>
      <c r="AD49">
        <v>138274.70686767169</v>
      </c>
      <c r="AE49">
        <v>0</v>
      </c>
      <c r="AF49">
        <v>138274.70686767169</v>
      </c>
      <c r="AG49">
        <v>0</v>
      </c>
      <c r="AH49">
        <v>138274.70686767169</v>
      </c>
      <c r="AI49">
        <v>0</v>
      </c>
      <c r="AJ49">
        <v>138274.70686767169</v>
      </c>
      <c r="AK49">
        <v>0</v>
      </c>
      <c r="AL49">
        <v>138274.70686767169</v>
      </c>
      <c r="AM49">
        <v>0</v>
      </c>
      <c r="AN49">
        <v>138274.70686767169</v>
      </c>
      <c r="AO49">
        <v>0</v>
      </c>
      <c r="AP49">
        <v>138274.70686767169</v>
      </c>
      <c r="AQ49">
        <v>0</v>
      </c>
      <c r="AR49">
        <v>138274.70686767169</v>
      </c>
      <c r="AS49">
        <v>0</v>
      </c>
      <c r="AT49">
        <v>138274.70686767169</v>
      </c>
      <c r="AV49">
        <v>138274.70686767169</v>
      </c>
      <c r="AW49">
        <v>-1090.647493680066</v>
      </c>
      <c r="AX49">
        <v>137184.05937399162</v>
      </c>
      <c r="AY49">
        <v>5239.3030009680369</v>
      </c>
      <c r="AZ49">
        <v>142423.36237495966</v>
      </c>
      <c r="BA49">
        <v>0</v>
      </c>
      <c r="BB49">
        <v>142423.36237495966</v>
      </c>
      <c r="BC49">
        <v>0</v>
      </c>
      <c r="BD49">
        <v>142423.36237495966</v>
      </c>
      <c r="BE49">
        <v>0</v>
      </c>
      <c r="BF49">
        <v>142423.36237495966</v>
      </c>
      <c r="BG49">
        <v>0</v>
      </c>
      <c r="BH49">
        <v>142423.36237495966</v>
      </c>
      <c r="BI49">
        <v>0</v>
      </c>
      <c r="BJ49">
        <v>142423.36237495966</v>
      </c>
      <c r="BK49">
        <v>142423.36237495966</v>
      </c>
      <c r="BL49">
        <v>4413700</v>
      </c>
      <c r="BO49">
        <v>0</v>
      </c>
      <c r="BP49">
        <v>142423.36237495966</v>
      </c>
      <c r="BQ49">
        <v>4413700</v>
      </c>
      <c r="BR49" s="238" t="s">
        <v>36</v>
      </c>
      <c r="BU49">
        <v>142423.36237495966</v>
      </c>
      <c r="BV49">
        <v>0</v>
      </c>
      <c r="BW49">
        <v>4413700</v>
      </c>
      <c r="BX49" s="238"/>
      <c r="BY49" s="238" t="s">
        <v>3</v>
      </c>
      <c r="BZ49" s="238" t="s">
        <v>3</v>
      </c>
      <c r="CA49" s="238" t="s">
        <v>8951</v>
      </c>
      <c r="CB49" s="238" t="s">
        <v>1167</v>
      </c>
      <c r="CC49" s="238" t="s">
        <v>9077</v>
      </c>
      <c r="CD49" s="238" t="s">
        <v>8970</v>
      </c>
      <c r="CE49" t="b">
        <v>1</v>
      </c>
      <c r="CF49">
        <v>4413700</v>
      </c>
      <c r="CG49">
        <v>4413700</v>
      </c>
      <c r="CH49">
        <v>0</v>
      </c>
      <c r="CI49">
        <v>0</v>
      </c>
      <c r="CJ49">
        <v>0</v>
      </c>
    </row>
    <row r="50" spans="1:88" x14ac:dyDescent="0.25">
      <c r="A50">
        <v>49</v>
      </c>
      <c r="B50">
        <v>1</v>
      </c>
      <c r="C50">
        <v>8</v>
      </c>
      <c r="D50">
        <v>2</v>
      </c>
      <c r="E50">
        <v>2</v>
      </c>
      <c r="F50">
        <v>11.1</v>
      </c>
      <c r="G50">
        <v>10.86</v>
      </c>
      <c r="I50">
        <v>21.96</v>
      </c>
      <c r="J50">
        <v>17.940000000000001</v>
      </c>
      <c r="K50">
        <v>3.94</v>
      </c>
      <c r="M50">
        <v>4.42</v>
      </c>
      <c r="N50">
        <v>4.49</v>
      </c>
      <c r="P50">
        <v>3.69</v>
      </c>
      <c r="R50">
        <v>3.69</v>
      </c>
      <c r="S50">
        <v>56.44</v>
      </c>
      <c r="T50">
        <v>52.75</v>
      </c>
      <c r="U50">
        <v>54.6</v>
      </c>
      <c r="V50">
        <v>115173.75999999999</v>
      </c>
      <c r="W50">
        <v>1.812519083978259</v>
      </c>
      <c r="X50">
        <v>115175.57251908397</v>
      </c>
      <c r="Y50">
        <v>500.41984732824494</v>
      </c>
      <c r="Z50">
        <v>115675.99236641222</v>
      </c>
      <c r="AA50">
        <v>0</v>
      </c>
      <c r="AB50">
        <v>115675.99236641222</v>
      </c>
      <c r="AC50">
        <v>0</v>
      </c>
      <c r="AD50">
        <v>115675.99236641222</v>
      </c>
      <c r="AE50">
        <v>0</v>
      </c>
      <c r="AF50">
        <v>115675.99236641222</v>
      </c>
      <c r="AG50">
        <v>0</v>
      </c>
      <c r="AH50">
        <v>115675.99236641222</v>
      </c>
      <c r="AI50">
        <v>0</v>
      </c>
      <c r="AJ50">
        <v>115675.99236641222</v>
      </c>
      <c r="AK50">
        <v>0</v>
      </c>
      <c r="AL50">
        <v>115675.99236641222</v>
      </c>
      <c r="AM50">
        <v>0</v>
      </c>
      <c r="AN50">
        <v>115675.99236641222</v>
      </c>
      <c r="AO50">
        <v>0</v>
      </c>
      <c r="AP50">
        <v>115675.99236641222</v>
      </c>
      <c r="AQ50">
        <v>0</v>
      </c>
      <c r="AR50">
        <v>115675.99236641222</v>
      </c>
      <c r="AS50">
        <v>0</v>
      </c>
      <c r="AT50">
        <v>115675.99236641222</v>
      </c>
      <c r="AV50">
        <v>115675.99236641222</v>
      </c>
      <c r="AX50">
        <v>111015.05494505494</v>
      </c>
      <c r="AY50">
        <v>0</v>
      </c>
      <c r="AZ50">
        <v>111015.05494505494</v>
      </c>
      <c r="BA50">
        <v>0</v>
      </c>
      <c r="BB50">
        <v>111015.05494505494</v>
      </c>
      <c r="BC50">
        <v>0</v>
      </c>
      <c r="BD50">
        <v>111015.05494505494</v>
      </c>
      <c r="BE50">
        <v>0</v>
      </c>
      <c r="BF50">
        <v>111015.05494505494</v>
      </c>
      <c r="BG50">
        <v>0</v>
      </c>
      <c r="BH50">
        <v>111015.05494505494</v>
      </c>
      <c r="BI50">
        <v>0</v>
      </c>
      <c r="BJ50">
        <v>111015.05494505494</v>
      </c>
      <c r="BK50">
        <v>111015.05494505494</v>
      </c>
      <c r="BL50">
        <v>6061422</v>
      </c>
      <c r="BO50">
        <v>0</v>
      </c>
      <c r="BP50">
        <v>111015.05494505494</v>
      </c>
      <c r="BQ50">
        <v>6061422</v>
      </c>
      <c r="BR50" s="238" t="s">
        <v>36</v>
      </c>
      <c r="BU50">
        <v>111015.05494505494</v>
      </c>
      <c r="BV50">
        <v>0</v>
      </c>
      <c r="BW50">
        <v>6061422</v>
      </c>
      <c r="BX50" s="238"/>
      <c r="BY50" s="238" t="s">
        <v>8963</v>
      </c>
      <c r="BZ50" s="238" t="s">
        <v>8963</v>
      </c>
      <c r="CA50" s="238" t="s">
        <v>8953</v>
      </c>
      <c r="CB50" s="238" t="s">
        <v>8964</v>
      </c>
      <c r="CC50" s="238" t="s">
        <v>9077</v>
      </c>
      <c r="CD50" s="238" t="s">
        <v>8971</v>
      </c>
      <c r="CE50" t="b">
        <v>1</v>
      </c>
      <c r="CF50">
        <v>6061422</v>
      </c>
      <c r="CG50">
        <v>6379179</v>
      </c>
      <c r="CH50">
        <v>6061422</v>
      </c>
      <c r="CI50">
        <v>6061422</v>
      </c>
      <c r="CJ50">
        <v>0</v>
      </c>
    </row>
    <row r="51" spans="1:88" x14ac:dyDescent="0.25">
      <c r="A51">
        <v>50</v>
      </c>
      <c r="B51">
        <v>1</v>
      </c>
      <c r="C51">
        <v>8</v>
      </c>
      <c r="D51">
        <v>3</v>
      </c>
      <c r="E51">
        <v>2</v>
      </c>
      <c r="F51">
        <v>11.04</v>
      </c>
      <c r="G51">
        <v>12.05</v>
      </c>
      <c r="I51">
        <v>23.09</v>
      </c>
      <c r="J51">
        <v>20.87</v>
      </c>
      <c r="K51">
        <v>4.99</v>
      </c>
      <c r="M51">
        <v>2.67</v>
      </c>
      <c r="N51">
        <v>4.59</v>
      </c>
      <c r="O51">
        <v>3.59</v>
      </c>
      <c r="P51">
        <v>3.84</v>
      </c>
      <c r="R51">
        <v>3.84</v>
      </c>
      <c r="S51">
        <v>63.64</v>
      </c>
      <c r="T51">
        <v>59.8</v>
      </c>
      <c r="U51">
        <v>61.72</v>
      </c>
      <c r="V51">
        <v>118496.08</v>
      </c>
      <c r="W51">
        <v>0.96142011834308505</v>
      </c>
      <c r="X51">
        <v>118497.04142011834</v>
      </c>
      <c r="Y51">
        <v>0</v>
      </c>
      <c r="Z51">
        <v>118497.04142011834</v>
      </c>
      <c r="AA51">
        <v>0</v>
      </c>
      <c r="AB51">
        <v>118497.04142011834</v>
      </c>
      <c r="AC51">
        <v>0</v>
      </c>
      <c r="AD51">
        <v>118497.04142011834</v>
      </c>
      <c r="AE51">
        <v>0</v>
      </c>
      <c r="AF51">
        <v>118497.04142011834</v>
      </c>
      <c r="AG51">
        <v>0</v>
      </c>
      <c r="AH51">
        <v>118497.04142011834</v>
      </c>
      <c r="AI51">
        <v>0</v>
      </c>
      <c r="AJ51">
        <v>118497.04142011834</v>
      </c>
      <c r="AK51">
        <v>0</v>
      </c>
      <c r="AL51">
        <v>118497.04142011834</v>
      </c>
      <c r="AM51">
        <v>0</v>
      </c>
      <c r="AN51">
        <v>118497.04142011834</v>
      </c>
      <c r="AO51">
        <v>0</v>
      </c>
      <c r="AP51">
        <v>118497.04142011834</v>
      </c>
      <c r="AQ51">
        <v>0</v>
      </c>
      <c r="AR51">
        <v>118497.04142011834</v>
      </c>
      <c r="AS51">
        <v>0</v>
      </c>
      <c r="AT51">
        <v>118497.04142011834</v>
      </c>
      <c r="AV51">
        <v>118497.04142011834</v>
      </c>
      <c r="AW51">
        <v>-1527.3395406627387</v>
      </c>
      <c r="AX51">
        <v>116969.70187945561</v>
      </c>
      <c r="AY51">
        <v>5083.117303953346</v>
      </c>
      <c r="AZ51">
        <v>122052.81918340895</v>
      </c>
      <c r="BA51">
        <v>0</v>
      </c>
      <c r="BB51">
        <v>122052.81918340895</v>
      </c>
      <c r="BC51">
        <v>0</v>
      </c>
      <c r="BD51">
        <v>122052.81918340895</v>
      </c>
      <c r="BE51">
        <v>0</v>
      </c>
      <c r="BF51">
        <v>122052.81918340895</v>
      </c>
      <c r="BG51">
        <v>1220.7064160725861</v>
      </c>
      <c r="BH51">
        <v>123273.52559948154</v>
      </c>
      <c r="BI51">
        <v>0</v>
      </c>
      <c r="BJ51">
        <v>123273.52559948154</v>
      </c>
      <c r="BK51">
        <v>123273.52559948154</v>
      </c>
      <c r="BL51">
        <v>7608442</v>
      </c>
      <c r="BO51">
        <v>0</v>
      </c>
      <c r="BP51">
        <v>123273.52559948154</v>
      </c>
      <c r="BQ51">
        <v>7608442</v>
      </c>
      <c r="BR51" s="238" t="s">
        <v>36</v>
      </c>
      <c r="BU51">
        <v>123273.52559948154</v>
      </c>
      <c r="BV51">
        <v>0</v>
      </c>
      <c r="BW51">
        <v>7608442</v>
      </c>
      <c r="BX51" s="238"/>
      <c r="BY51" s="238" t="s">
        <v>3</v>
      </c>
      <c r="BZ51" s="238" t="s">
        <v>3</v>
      </c>
      <c r="CA51" s="238" t="s">
        <v>8951</v>
      </c>
      <c r="CB51" s="238" t="s">
        <v>1167</v>
      </c>
      <c r="CC51" s="238" t="s">
        <v>9077</v>
      </c>
      <c r="CD51" s="238" t="s">
        <v>8971</v>
      </c>
      <c r="CE51" t="b">
        <v>1</v>
      </c>
      <c r="CF51">
        <v>7608442</v>
      </c>
      <c r="CG51">
        <v>7608442</v>
      </c>
      <c r="CH51">
        <v>0</v>
      </c>
      <c r="CI51">
        <v>0</v>
      </c>
      <c r="CJ51">
        <v>0</v>
      </c>
    </row>
    <row r="52" spans="1:88" x14ac:dyDescent="0.25">
      <c r="A52">
        <v>51</v>
      </c>
      <c r="B52">
        <v>1</v>
      </c>
      <c r="C52">
        <v>8</v>
      </c>
      <c r="D52">
        <v>4</v>
      </c>
      <c r="E52">
        <v>1</v>
      </c>
      <c r="F52">
        <v>12.64</v>
      </c>
      <c r="I52">
        <v>12.64</v>
      </c>
      <c r="J52">
        <v>15.67</v>
      </c>
      <c r="K52">
        <v>4.6900000000000004</v>
      </c>
      <c r="M52">
        <v>4.01</v>
      </c>
      <c r="P52">
        <v>3.38</v>
      </c>
      <c r="R52">
        <v>3.38</v>
      </c>
      <c r="S52">
        <v>40.39</v>
      </c>
      <c r="T52">
        <v>37.01</v>
      </c>
      <c r="U52">
        <v>38.700000000000003</v>
      </c>
      <c r="V52">
        <v>119184.96000000001</v>
      </c>
      <c r="W52">
        <v>0.42565629226737656</v>
      </c>
      <c r="X52">
        <v>119185.38565629227</v>
      </c>
      <c r="Y52">
        <v>0</v>
      </c>
      <c r="Z52">
        <v>119185.38565629227</v>
      </c>
      <c r="AA52">
        <v>0</v>
      </c>
      <c r="AB52">
        <v>119185.38565629227</v>
      </c>
      <c r="AC52">
        <v>0</v>
      </c>
      <c r="AD52">
        <v>119185.38565629227</v>
      </c>
      <c r="AE52">
        <v>0</v>
      </c>
      <c r="AF52">
        <v>119185.38565629227</v>
      </c>
      <c r="AG52">
        <v>0</v>
      </c>
      <c r="AH52">
        <v>119185.38565629227</v>
      </c>
      <c r="AI52">
        <v>0</v>
      </c>
      <c r="AJ52">
        <v>119185.38565629227</v>
      </c>
      <c r="AK52">
        <v>0</v>
      </c>
      <c r="AL52">
        <v>119185.38565629227</v>
      </c>
      <c r="AM52">
        <v>0</v>
      </c>
      <c r="AN52">
        <v>119185.38565629227</v>
      </c>
      <c r="AO52">
        <v>0</v>
      </c>
      <c r="AP52">
        <v>119185.38565629227</v>
      </c>
      <c r="AQ52">
        <v>0</v>
      </c>
      <c r="AR52">
        <v>119185.38565629227</v>
      </c>
      <c r="AS52">
        <v>0</v>
      </c>
      <c r="AT52">
        <v>119185.38565629227</v>
      </c>
      <c r="AV52">
        <v>119185.38565629227</v>
      </c>
      <c r="AW52">
        <v>-1976.0316511243291</v>
      </c>
      <c r="AX52">
        <v>117209.35400516794</v>
      </c>
      <c r="AY52">
        <v>5552.9198966408294</v>
      </c>
      <c r="AZ52">
        <v>122762.27390180877</v>
      </c>
      <c r="BA52">
        <v>0</v>
      </c>
      <c r="BB52">
        <v>122762.27390180877</v>
      </c>
      <c r="BC52">
        <v>0</v>
      </c>
      <c r="BD52">
        <v>122762.27390180877</v>
      </c>
      <c r="BE52">
        <v>0</v>
      </c>
      <c r="BF52">
        <v>122762.27390180877</v>
      </c>
      <c r="BG52">
        <v>2454.9612403100764</v>
      </c>
      <c r="BH52">
        <v>125217.23514211884</v>
      </c>
      <c r="BI52">
        <v>0</v>
      </c>
      <c r="BJ52">
        <v>125217.23514211884</v>
      </c>
      <c r="BK52">
        <v>125217.23514211885</v>
      </c>
      <c r="BL52">
        <v>4845907</v>
      </c>
      <c r="BO52">
        <v>0</v>
      </c>
      <c r="BP52">
        <v>125217.23514211885</v>
      </c>
      <c r="BQ52">
        <v>4845907</v>
      </c>
      <c r="BR52" s="238" t="s">
        <v>36</v>
      </c>
      <c r="BU52">
        <v>125217.23514211885</v>
      </c>
      <c r="BV52">
        <v>0</v>
      </c>
      <c r="BW52">
        <v>4845907</v>
      </c>
      <c r="BX52" s="238"/>
      <c r="BY52" s="238" t="s">
        <v>3</v>
      </c>
      <c r="BZ52" s="238" t="s">
        <v>3</v>
      </c>
      <c r="CA52" s="238" t="s">
        <v>8951</v>
      </c>
      <c r="CB52" s="238" t="s">
        <v>1167</v>
      </c>
      <c r="CC52" s="238" t="s">
        <v>9077</v>
      </c>
      <c r="CD52" s="238" t="s">
        <v>8972</v>
      </c>
      <c r="CE52" t="b">
        <v>1</v>
      </c>
      <c r="CF52">
        <v>4845907</v>
      </c>
      <c r="CG52">
        <v>4845907</v>
      </c>
      <c r="CH52">
        <v>0</v>
      </c>
      <c r="CI52">
        <v>0</v>
      </c>
      <c r="CJ52">
        <v>0</v>
      </c>
    </row>
    <row r="53" spans="1:88" x14ac:dyDescent="0.25">
      <c r="A53">
        <v>52</v>
      </c>
      <c r="B53">
        <v>1</v>
      </c>
      <c r="C53">
        <v>8</v>
      </c>
      <c r="D53">
        <v>5</v>
      </c>
      <c r="E53">
        <v>2</v>
      </c>
      <c r="F53">
        <v>10.59</v>
      </c>
      <c r="G53">
        <v>14.05</v>
      </c>
      <c r="I53">
        <v>24.64</v>
      </c>
      <c r="J53">
        <v>18.38</v>
      </c>
      <c r="K53">
        <v>4.84</v>
      </c>
      <c r="M53">
        <v>3.1</v>
      </c>
      <c r="N53">
        <v>4.93</v>
      </c>
      <c r="O53">
        <v>3.83</v>
      </c>
      <c r="P53">
        <v>3.49</v>
      </c>
      <c r="R53">
        <v>3.49</v>
      </c>
      <c r="S53">
        <v>63.21</v>
      </c>
      <c r="T53">
        <v>59.72</v>
      </c>
      <c r="U53">
        <v>61.47</v>
      </c>
      <c r="V53">
        <v>116281.2</v>
      </c>
      <c r="W53">
        <v>0.12992327366373502</v>
      </c>
      <c r="X53">
        <v>116281.32992327366</v>
      </c>
      <c r="Y53">
        <v>0</v>
      </c>
      <c r="Z53">
        <v>116281.32992327366</v>
      </c>
      <c r="AA53">
        <v>0</v>
      </c>
      <c r="AB53">
        <v>116281.32992327366</v>
      </c>
      <c r="AC53">
        <v>0</v>
      </c>
      <c r="AD53">
        <v>116281.32992327366</v>
      </c>
      <c r="AE53">
        <v>0</v>
      </c>
      <c r="AF53">
        <v>116281.32992327366</v>
      </c>
      <c r="AG53">
        <v>0</v>
      </c>
      <c r="AH53">
        <v>116281.32992327366</v>
      </c>
      <c r="AI53">
        <v>0</v>
      </c>
      <c r="AJ53">
        <v>116281.32992327366</v>
      </c>
      <c r="AK53">
        <v>0</v>
      </c>
      <c r="AL53">
        <v>116281.32992327366</v>
      </c>
      <c r="AM53">
        <v>0</v>
      </c>
      <c r="AN53">
        <v>116281.32992327366</v>
      </c>
      <c r="AO53">
        <v>0</v>
      </c>
      <c r="AP53">
        <v>116281.32992327366</v>
      </c>
      <c r="AQ53">
        <v>0</v>
      </c>
      <c r="AR53">
        <v>116281.32992327366</v>
      </c>
      <c r="AS53">
        <v>0</v>
      </c>
      <c r="AT53">
        <v>116281.32992327366</v>
      </c>
      <c r="AV53">
        <v>116281.32992327366</v>
      </c>
      <c r="AW53">
        <v>-2006.44786698604</v>
      </c>
      <c r="AX53">
        <v>114274.88205628762</v>
      </c>
      <c r="AY53">
        <v>5495.7377582560584</v>
      </c>
      <c r="AZ53">
        <v>119770.61981454368</v>
      </c>
      <c r="BA53">
        <v>0</v>
      </c>
      <c r="BB53">
        <v>119770.61981454368</v>
      </c>
      <c r="BC53">
        <v>0</v>
      </c>
      <c r="BD53">
        <v>119770.61981454368</v>
      </c>
      <c r="BE53">
        <v>0</v>
      </c>
      <c r="BF53">
        <v>119770.61981454368</v>
      </c>
      <c r="BG53">
        <v>1198.096632503657</v>
      </c>
      <c r="BH53">
        <v>120968.71644704734</v>
      </c>
      <c r="BI53">
        <v>0</v>
      </c>
      <c r="BJ53">
        <v>120968.71644704734</v>
      </c>
      <c r="BK53">
        <v>120968.71644704734</v>
      </c>
      <c r="BL53">
        <v>7435947</v>
      </c>
      <c r="BO53">
        <v>0</v>
      </c>
      <c r="BP53">
        <v>120968.71644704734</v>
      </c>
      <c r="BQ53">
        <v>7435947</v>
      </c>
      <c r="BR53" s="238" t="s">
        <v>36</v>
      </c>
      <c r="BU53">
        <v>120968.71644704734</v>
      </c>
      <c r="BV53">
        <v>0</v>
      </c>
      <c r="BW53">
        <v>7435947</v>
      </c>
      <c r="BX53" s="238"/>
      <c r="BY53" s="238" t="s">
        <v>3</v>
      </c>
      <c r="BZ53" s="238" t="s">
        <v>3</v>
      </c>
      <c r="CA53" s="238" t="s">
        <v>8951</v>
      </c>
      <c r="CB53" s="238" t="s">
        <v>1167</v>
      </c>
      <c r="CC53" s="238" t="s">
        <v>9077</v>
      </c>
      <c r="CD53" s="238" t="s">
        <v>8971</v>
      </c>
      <c r="CE53" t="b">
        <v>1</v>
      </c>
      <c r="CF53">
        <v>7435947</v>
      </c>
      <c r="CG53">
        <v>7435947</v>
      </c>
      <c r="CH53">
        <v>0</v>
      </c>
      <c r="CI53">
        <v>0</v>
      </c>
      <c r="CJ53">
        <v>0</v>
      </c>
    </row>
    <row r="54" spans="1:88" x14ac:dyDescent="0.25">
      <c r="A54">
        <v>53</v>
      </c>
      <c r="B54">
        <v>1</v>
      </c>
      <c r="C54">
        <v>8</v>
      </c>
      <c r="D54">
        <v>6</v>
      </c>
      <c r="E54">
        <v>2</v>
      </c>
      <c r="F54">
        <v>14.2</v>
      </c>
      <c r="G54">
        <v>14.27</v>
      </c>
      <c r="I54">
        <v>28.47</v>
      </c>
      <c r="J54">
        <v>17.43</v>
      </c>
      <c r="K54">
        <v>5.51</v>
      </c>
      <c r="L54">
        <v>4.05</v>
      </c>
      <c r="M54">
        <v>3.57</v>
      </c>
      <c r="N54">
        <v>4.75</v>
      </c>
      <c r="P54">
        <v>2.87</v>
      </c>
      <c r="R54">
        <v>2.87</v>
      </c>
      <c r="S54">
        <v>66.650000000000006</v>
      </c>
      <c r="T54">
        <v>63.78</v>
      </c>
      <c r="U54">
        <v>65.22</v>
      </c>
      <c r="V54">
        <v>119603.52</v>
      </c>
      <c r="W54">
        <v>0.9457097288541263</v>
      </c>
      <c r="X54">
        <v>119604.46570972886</v>
      </c>
      <c r="Y54">
        <v>0</v>
      </c>
      <c r="Z54">
        <v>119604.46570972886</v>
      </c>
      <c r="AA54">
        <v>0</v>
      </c>
      <c r="AB54">
        <v>119604.46570972886</v>
      </c>
      <c r="AC54">
        <v>0</v>
      </c>
      <c r="AD54">
        <v>119604.46570972886</v>
      </c>
      <c r="AE54">
        <v>0</v>
      </c>
      <c r="AF54">
        <v>119604.46570972886</v>
      </c>
      <c r="AG54">
        <v>0</v>
      </c>
      <c r="AH54">
        <v>119604.46570972886</v>
      </c>
      <c r="AI54">
        <v>0</v>
      </c>
      <c r="AJ54">
        <v>119604.46570972886</v>
      </c>
      <c r="AK54">
        <v>0</v>
      </c>
      <c r="AL54">
        <v>119604.46570972886</v>
      </c>
      <c r="AM54">
        <v>0</v>
      </c>
      <c r="AN54">
        <v>119604.46570972886</v>
      </c>
      <c r="AO54">
        <v>0</v>
      </c>
      <c r="AP54">
        <v>119604.46570972886</v>
      </c>
      <c r="AQ54">
        <v>0</v>
      </c>
      <c r="AR54">
        <v>119604.46570972886</v>
      </c>
      <c r="AS54">
        <v>0</v>
      </c>
      <c r="AT54">
        <v>119604.46570972886</v>
      </c>
      <c r="AV54">
        <v>119604.46570972886</v>
      </c>
      <c r="AW54">
        <v>-1172.2976631173806</v>
      </c>
      <c r="AX54">
        <v>118432.16804661148</v>
      </c>
      <c r="AY54">
        <v>4760.1042624961556</v>
      </c>
      <c r="AZ54">
        <v>123192.27230910763</v>
      </c>
      <c r="BA54">
        <v>0</v>
      </c>
      <c r="BB54">
        <v>123192.27230910763</v>
      </c>
      <c r="BC54">
        <v>0</v>
      </c>
      <c r="BD54">
        <v>123192.27230910763</v>
      </c>
      <c r="BE54">
        <v>0</v>
      </c>
      <c r="BF54">
        <v>123192.27230910763</v>
      </c>
      <c r="BG54">
        <v>1231.6467341306416</v>
      </c>
      <c r="BH54">
        <v>124423.91904323827</v>
      </c>
      <c r="BI54">
        <v>0</v>
      </c>
      <c r="BJ54">
        <v>124423.91904323827</v>
      </c>
      <c r="BK54">
        <v>124423.91904323827</v>
      </c>
      <c r="BL54">
        <v>8114928</v>
      </c>
      <c r="BO54">
        <v>0</v>
      </c>
      <c r="BP54">
        <v>124423.91904323827</v>
      </c>
      <c r="BQ54">
        <v>8114928</v>
      </c>
      <c r="BR54" s="238" t="s">
        <v>36</v>
      </c>
      <c r="BU54">
        <v>124423.91904323827</v>
      </c>
      <c r="BV54">
        <v>0</v>
      </c>
      <c r="BW54">
        <v>8114928</v>
      </c>
      <c r="BX54" s="238"/>
      <c r="BY54" s="238" t="s">
        <v>3</v>
      </c>
      <c r="BZ54" s="238" t="s">
        <v>3</v>
      </c>
      <c r="CA54" s="238" t="s">
        <v>8951</v>
      </c>
      <c r="CB54" s="238" t="s">
        <v>1167</v>
      </c>
      <c r="CC54" s="238" t="s">
        <v>9077</v>
      </c>
      <c r="CD54" s="238" t="s">
        <v>8971</v>
      </c>
      <c r="CE54" t="b">
        <v>1</v>
      </c>
      <c r="CF54">
        <v>8114928</v>
      </c>
      <c r="CG54">
        <v>8114928</v>
      </c>
      <c r="CH54">
        <v>0</v>
      </c>
      <c r="CI54">
        <v>0</v>
      </c>
      <c r="CJ54">
        <v>0</v>
      </c>
    </row>
    <row r="55" spans="1:88" x14ac:dyDescent="0.25">
      <c r="A55">
        <v>54</v>
      </c>
      <c r="B55">
        <v>1</v>
      </c>
      <c r="C55">
        <v>8</v>
      </c>
      <c r="D55">
        <v>7</v>
      </c>
      <c r="E55">
        <v>1</v>
      </c>
      <c r="F55">
        <v>15.25</v>
      </c>
      <c r="I55">
        <v>15.25</v>
      </c>
      <c r="J55">
        <v>17.12</v>
      </c>
      <c r="K55">
        <v>4.62</v>
      </c>
      <c r="M55">
        <v>3.94</v>
      </c>
      <c r="P55">
        <v>3.36</v>
      </c>
      <c r="R55">
        <v>3.36</v>
      </c>
      <c r="S55">
        <v>44.29</v>
      </c>
      <c r="T55">
        <v>40.93</v>
      </c>
      <c r="U55">
        <v>42.61</v>
      </c>
      <c r="V55">
        <v>119184.96000000001</v>
      </c>
      <c r="W55">
        <v>4.6045949202380143E-2</v>
      </c>
      <c r="X55">
        <v>119185.00604594921</v>
      </c>
      <c r="Y55">
        <v>0</v>
      </c>
      <c r="Z55">
        <v>119185.00604594921</v>
      </c>
      <c r="AA55">
        <v>0</v>
      </c>
      <c r="AB55">
        <v>119185.00604594921</v>
      </c>
      <c r="AC55">
        <v>0</v>
      </c>
      <c r="AD55">
        <v>119185.00604594921</v>
      </c>
      <c r="AE55">
        <v>0</v>
      </c>
      <c r="AF55">
        <v>119185.00604594921</v>
      </c>
      <c r="AG55">
        <v>0</v>
      </c>
      <c r="AH55">
        <v>119185.00604594921</v>
      </c>
      <c r="AI55">
        <v>0</v>
      </c>
      <c r="AJ55">
        <v>119185.00604594921</v>
      </c>
      <c r="AK55">
        <v>0</v>
      </c>
      <c r="AL55">
        <v>119185.00604594921</v>
      </c>
      <c r="AM55">
        <v>0</v>
      </c>
      <c r="AN55">
        <v>119185.00604594921</v>
      </c>
      <c r="AO55">
        <v>0</v>
      </c>
      <c r="AP55">
        <v>119185.00604594921</v>
      </c>
      <c r="AQ55">
        <v>0</v>
      </c>
      <c r="AR55">
        <v>119185.00604594921</v>
      </c>
      <c r="AS55">
        <v>0</v>
      </c>
      <c r="AT55">
        <v>119185.00604594921</v>
      </c>
      <c r="AV55">
        <v>119185.00604594921</v>
      </c>
      <c r="AW55">
        <v>-54.543713163482607</v>
      </c>
      <c r="AX55">
        <v>119130.46233278573</v>
      </c>
      <c r="AY55">
        <v>3631.800046937351</v>
      </c>
      <c r="AZ55">
        <v>122762.26237972308</v>
      </c>
      <c r="BA55">
        <v>0</v>
      </c>
      <c r="BB55">
        <v>122762.26237972308</v>
      </c>
      <c r="BC55">
        <v>0</v>
      </c>
      <c r="BD55">
        <v>122762.26237972308</v>
      </c>
      <c r="BE55">
        <v>0</v>
      </c>
      <c r="BF55">
        <v>122762.26237972308</v>
      </c>
      <c r="BG55">
        <v>2454.987092231866</v>
      </c>
      <c r="BH55">
        <v>125217.24947195494</v>
      </c>
      <c r="BI55">
        <v>0</v>
      </c>
      <c r="BJ55">
        <v>125217.24947195494</v>
      </c>
      <c r="BK55">
        <v>125217.24947195494</v>
      </c>
      <c r="BL55">
        <v>5335507</v>
      </c>
      <c r="BO55">
        <v>0</v>
      </c>
      <c r="BP55">
        <v>125217.24947195494</v>
      </c>
      <c r="BQ55">
        <v>5335507</v>
      </c>
      <c r="BR55" s="238" t="s">
        <v>36</v>
      </c>
      <c r="BU55">
        <v>125217.24947195494</v>
      </c>
      <c r="BV55">
        <v>0</v>
      </c>
      <c r="BW55">
        <v>5335507</v>
      </c>
      <c r="BX55" s="238"/>
      <c r="BY55" s="238" t="s">
        <v>3</v>
      </c>
      <c r="BZ55" s="238" t="s">
        <v>3</v>
      </c>
      <c r="CA55" s="238" t="s">
        <v>8951</v>
      </c>
      <c r="CB55" s="238" t="s">
        <v>1167</v>
      </c>
      <c r="CC55" s="238" t="s">
        <v>9077</v>
      </c>
      <c r="CD55" s="238" t="s">
        <v>8972</v>
      </c>
      <c r="CE55" t="b">
        <v>1</v>
      </c>
      <c r="CF55">
        <v>5335507</v>
      </c>
      <c r="CG55">
        <v>5335507</v>
      </c>
      <c r="CH55">
        <v>0</v>
      </c>
      <c r="CI55">
        <v>0</v>
      </c>
      <c r="CJ55">
        <v>0</v>
      </c>
    </row>
    <row r="56" spans="1:88" x14ac:dyDescent="0.25">
      <c r="A56">
        <v>55</v>
      </c>
      <c r="B56">
        <v>1</v>
      </c>
      <c r="C56">
        <v>9</v>
      </c>
      <c r="D56">
        <v>1</v>
      </c>
      <c r="E56">
        <v>0</v>
      </c>
      <c r="F56">
        <v>17.66</v>
      </c>
      <c r="I56">
        <v>17.66</v>
      </c>
      <c r="J56">
        <v>7</v>
      </c>
      <c r="K56">
        <v>4.6399999999999997</v>
      </c>
      <c r="P56">
        <v>3.37</v>
      </c>
      <c r="R56">
        <v>3.37</v>
      </c>
      <c r="S56">
        <v>32.67</v>
      </c>
      <c r="T56">
        <v>29.3</v>
      </c>
      <c r="U56">
        <v>30.99</v>
      </c>
      <c r="V56">
        <v>138273.04</v>
      </c>
      <c r="W56">
        <v>1.6668676716799382</v>
      </c>
      <c r="X56">
        <v>138274.70686767169</v>
      </c>
      <c r="Y56">
        <v>0</v>
      </c>
      <c r="Z56">
        <v>138274.70686767169</v>
      </c>
      <c r="AA56">
        <v>0</v>
      </c>
      <c r="AB56">
        <v>138274.70686767169</v>
      </c>
      <c r="AC56">
        <v>0</v>
      </c>
      <c r="AD56">
        <v>138274.70686767169</v>
      </c>
      <c r="AE56">
        <v>0</v>
      </c>
      <c r="AF56">
        <v>138274.70686767169</v>
      </c>
      <c r="AG56">
        <v>0</v>
      </c>
      <c r="AH56">
        <v>138274.70686767169</v>
      </c>
      <c r="AI56">
        <v>0</v>
      </c>
      <c r="AJ56">
        <v>138274.70686767169</v>
      </c>
      <c r="AK56">
        <v>0</v>
      </c>
      <c r="AL56">
        <v>138274.70686767169</v>
      </c>
      <c r="AM56">
        <v>0</v>
      </c>
      <c r="AN56">
        <v>138274.70686767169</v>
      </c>
      <c r="AO56">
        <v>0</v>
      </c>
      <c r="AP56">
        <v>138274.70686767169</v>
      </c>
      <c r="AQ56">
        <v>0</v>
      </c>
      <c r="AR56">
        <v>138274.70686767169</v>
      </c>
      <c r="AS56">
        <v>0</v>
      </c>
      <c r="AT56">
        <v>138274.70686767169</v>
      </c>
      <c r="AV56">
        <v>138274.70686767169</v>
      </c>
      <c r="AW56">
        <v>-1090.647493680066</v>
      </c>
      <c r="AX56">
        <v>137184.05937399162</v>
      </c>
      <c r="AY56">
        <v>5239.3030009680369</v>
      </c>
      <c r="AZ56">
        <v>142423.36237495966</v>
      </c>
      <c r="BA56">
        <v>0</v>
      </c>
      <c r="BB56">
        <v>142423.36237495966</v>
      </c>
      <c r="BC56">
        <v>0</v>
      </c>
      <c r="BD56">
        <v>142423.36237495966</v>
      </c>
      <c r="BE56">
        <v>0</v>
      </c>
      <c r="BF56">
        <v>142423.36237495966</v>
      </c>
      <c r="BG56">
        <v>0</v>
      </c>
      <c r="BH56">
        <v>142423.36237495966</v>
      </c>
      <c r="BI56">
        <v>0</v>
      </c>
      <c r="BJ56">
        <v>142423.36237495966</v>
      </c>
      <c r="BK56">
        <v>142423.36237495966</v>
      </c>
      <c r="BL56">
        <v>4413700</v>
      </c>
      <c r="BO56">
        <v>0</v>
      </c>
      <c r="BP56">
        <v>142423.36237495966</v>
      </c>
      <c r="BQ56">
        <v>4413700</v>
      </c>
      <c r="BR56" s="238" t="s">
        <v>36</v>
      </c>
      <c r="BU56">
        <v>142423.36237495966</v>
      </c>
      <c r="BV56">
        <v>0</v>
      </c>
      <c r="BW56">
        <v>4413700</v>
      </c>
      <c r="BX56" s="238"/>
      <c r="BY56" s="238" t="s">
        <v>3</v>
      </c>
      <c r="BZ56" s="238" t="s">
        <v>3</v>
      </c>
      <c r="CA56" s="238" t="s">
        <v>8951</v>
      </c>
      <c r="CB56" s="238" t="s">
        <v>1167</v>
      </c>
      <c r="CC56" s="238" t="s">
        <v>9077</v>
      </c>
      <c r="CD56" s="238" t="s">
        <v>8970</v>
      </c>
      <c r="CE56" t="b">
        <v>1</v>
      </c>
      <c r="CF56">
        <v>4413700</v>
      </c>
      <c r="CG56">
        <v>4413700</v>
      </c>
      <c r="CH56">
        <v>0</v>
      </c>
      <c r="CI56">
        <v>0</v>
      </c>
      <c r="CJ56">
        <v>0</v>
      </c>
    </row>
    <row r="57" spans="1:88" x14ac:dyDescent="0.25">
      <c r="A57">
        <v>56</v>
      </c>
      <c r="B57">
        <v>1</v>
      </c>
      <c r="C57">
        <v>9</v>
      </c>
      <c r="D57">
        <v>2</v>
      </c>
      <c r="E57">
        <v>2</v>
      </c>
      <c r="F57">
        <v>11.1</v>
      </c>
      <c r="G57">
        <v>10.86</v>
      </c>
      <c r="I57">
        <v>21.96</v>
      </c>
      <c r="J57">
        <v>17.940000000000001</v>
      </c>
      <c r="K57">
        <v>3.94</v>
      </c>
      <c r="M57">
        <v>4.42</v>
      </c>
      <c r="N57">
        <v>4.49</v>
      </c>
      <c r="P57">
        <v>3.69</v>
      </c>
      <c r="R57">
        <v>3.69</v>
      </c>
      <c r="S57">
        <v>56.44</v>
      </c>
      <c r="T57">
        <v>52.75</v>
      </c>
      <c r="U57">
        <v>54.6</v>
      </c>
      <c r="V57">
        <v>115173.75999999999</v>
      </c>
      <c r="W57">
        <v>1.812519083978259</v>
      </c>
      <c r="X57">
        <v>115175.57251908397</v>
      </c>
      <c r="Y57">
        <v>500.41984732824494</v>
      </c>
      <c r="Z57">
        <v>115675.99236641222</v>
      </c>
      <c r="AA57">
        <v>0</v>
      </c>
      <c r="AB57">
        <v>115675.99236641222</v>
      </c>
      <c r="AC57">
        <v>0</v>
      </c>
      <c r="AD57">
        <v>115675.99236641222</v>
      </c>
      <c r="AE57">
        <v>0</v>
      </c>
      <c r="AF57">
        <v>115675.99236641222</v>
      </c>
      <c r="AG57">
        <v>0</v>
      </c>
      <c r="AH57">
        <v>115675.99236641222</v>
      </c>
      <c r="AI57">
        <v>0</v>
      </c>
      <c r="AJ57">
        <v>115675.99236641222</v>
      </c>
      <c r="AK57">
        <v>0</v>
      </c>
      <c r="AL57">
        <v>115675.99236641222</v>
      </c>
      <c r="AM57">
        <v>0</v>
      </c>
      <c r="AN57">
        <v>115675.99236641222</v>
      </c>
      <c r="AO57">
        <v>0</v>
      </c>
      <c r="AP57">
        <v>115675.99236641222</v>
      </c>
      <c r="AQ57">
        <v>0</v>
      </c>
      <c r="AR57">
        <v>115675.99236641222</v>
      </c>
      <c r="AS57">
        <v>0</v>
      </c>
      <c r="AT57">
        <v>115675.99236641222</v>
      </c>
      <c r="AV57">
        <v>115675.99236641222</v>
      </c>
      <c r="AW57">
        <v>-836.23046165030973</v>
      </c>
      <c r="AX57">
        <v>114839.76190476191</v>
      </c>
      <c r="AY57">
        <v>4823.2417582417547</v>
      </c>
      <c r="AZ57">
        <v>119663.00366300366</v>
      </c>
      <c r="BA57">
        <v>0</v>
      </c>
      <c r="BB57">
        <v>119663.00366300366</v>
      </c>
      <c r="BC57">
        <v>0</v>
      </c>
      <c r="BD57">
        <v>119663.00366300366</v>
      </c>
      <c r="BE57">
        <v>0</v>
      </c>
      <c r="BF57">
        <v>119663.00366300366</v>
      </c>
      <c r="BG57">
        <v>1196.6300366300277</v>
      </c>
      <c r="BH57">
        <v>120859.63369963368</v>
      </c>
      <c r="BI57">
        <v>0</v>
      </c>
      <c r="BJ57">
        <v>120859.63369963368</v>
      </c>
      <c r="BK57">
        <v>120859.63369963369</v>
      </c>
      <c r="BL57">
        <v>6598936</v>
      </c>
      <c r="BO57">
        <v>0</v>
      </c>
      <c r="BP57">
        <v>120859.63369963369</v>
      </c>
      <c r="BQ57">
        <v>6598936</v>
      </c>
      <c r="BR57" s="238" t="s">
        <v>36</v>
      </c>
      <c r="BU57">
        <v>120859.63369963369</v>
      </c>
      <c r="BV57">
        <v>0</v>
      </c>
      <c r="BW57">
        <v>6598936</v>
      </c>
      <c r="BX57" s="238"/>
      <c r="BY57" s="238" t="s">
        <v>3</v>
      </c>
      <c r="BZ57" s="238" t="s">
        <v>3</v>
      </c>
      <c r="CA57" s="238" t="s">
        <v>8951</v>
      </c>
      <c r="CB57" s="238" t="s">
        <v>1167</v>
      </c>
      <c r="CC57" s="238" t="s">
        <v>9077</v>
      </c>
      <c r="CD57" s="238" t="s">
        <v>8971</v>
      </c>
      <c r="CE57" t="b">
        <v>1</v>
      </c>
      <c r="CF57">
        <v>6598936</v>
      </c>
      <c r="CG57">
        <v>6598936</v>
      </c>
      <c r="CH57">
        <v>0</v>
      </c>
      <c r="CI57">
        <v>0</v>
      </c>
      <c r="CJ57">
        <v>0</v>
      </c>
    </row>
    <row r="58" spans="1:88" x14ac:dyDescent="0.25">
      <c r="A58">
        <v>57</v>
      </c>
      <c r="B58">
        <v>1</v>
      </c>
      <c r="C58">
        <v>9</v>
      </c>
      <c r="D58">
        <v>3</v>
      </c>
      <c r="E58">
        <v>2</v>
      </c>
      <c r="F58">
        <v>11.04</v>
      </c>
      <c r="G58">
        <v>12.05</v>
      </c>
      <c r="I58">
        <v>23.09</v>
      </c>
      <c r="J58">
        <v>20.87</v>
      </c>
      <c r="K58">
        <v>4.99</v>
      </c>
      <c r="M58">
        <v>2.67</v>
      </c>
      <c r="N58">
        <v>4.59</v>
      </c>
      <c r="O58">
        <v>3.59</v>
      </c>
      <c r="P58">
        <v>3.84</v>
      </c>
      <c r="R58">
        <v>3.84</v>
      </c>
      <c r="S58">
        <v>63.64</v>
      </c>
      <c r="T58">
        <v>59.8</v>
      </c>
      <c r="U58">
        <v>61.72</v>
      </c>
      <c r="V58">
        <v>118496.08</v>
      </c>
      <c r="W58">
        <v>0.96142011834308505</v>
      </c>
      <c r="X58">
        <v>118497.04142011834</v>
      </c>
      <c r="Y58">
        <v>0</v>
      </c>
      <c r="Z58">
        <v>118497.04142011834</v>
      </c>
      <c r="AA58">
        <v>0</v>
      </c>
      <c r="AB58">
        <v>118497.04142011834</v>
      </c>
      <c r="AC58">
        <v>0</v>
      </c>
      <c r="AD58">
        <v>118497.04142011834</v>
      </c>
      <c r="AE58">
        <v>0</v>
      </c>
      <c r="AF58">
        <v>118497.04142011834</v>
      </c>
      <c r="AG58">
        <v>0</v>
      </c>
      <c r="AH58">
        <v>118497.04142011834</v>
      </c>
      <c r="AI58">
        <v>0</v>
      </c>
      <c r="AJ58">
        <v>118497.04142011834</v>
      </c>
      <c r="AK58">
        <v>0</v>
      </c>
      <c r="AL58">
        <v>118497.04142011834</v>
      </c>
      <c r="AM58">
        <v>0</v>
      </c>
      <c r="AN58">
        <v>118497.04142011834</v>
      </c>
      <c r="AO58">
        <v>0</v>
      </c>
      <c r="AP58">
        <v>118497.04142011834</v>
      </c>
      <c r="AQ58">
        <v>0</v>
      </c>
      <c r="AR58">
        <v>118497.04142011834</v>
      </c>
      <c r="AS58">
        <v>0</v>
      </c>
      <c r="AT58">
        <v>118497.04142011834</v>
      </c>
      <c r="AV58">
        <v>118497.04142011834</v>
      </c>
      <c r="AW58">
        <v>-1527.3395406627387</v>
      </c>
      <c r="AX58">
        <v>116969.70187945561</v>
      </c>
      <c r="AY58">
        <v>5083.117303953346</v>
      </c>
      <c r="AZ58">
        <v>122052.81918340895</v>
      </c>
      <c r="BA58">
        <v>0</v>
      </c>
      <c r="BB58">
        <v>122052.81918340895</v>
      </c>
      <c r="BC58">
        <v>0</v>
      </c>
      <c r="BD58">
        <v>122052.81918340895</v>
      </c>
      <c r="BE58">
        <v>0</v>
      </c>
      <c r="BF58">
        <v>122052.81918340895</v>
      </c>
      <c r="BG58">
        <v>1220.7064160725861</v>
      </c>
      <c r="BH58">
        <v>123273.52559948154</v>
      </c>
      <c r="BI58">
        <v>0</v>
      </c>
      <c r="BJ58">
        <v>123273.52559948154</v>
      </c>
      <c r="BK58">
        <v>123273.52559948154</v>
      </c>
      <c r="BL58">
        <v>7608442</v>
      </c>
      <c r="BO58">
        <v>0</v>
      </c>
      <c r="BP58">
        <v>123273.52559948154</v>
      </c>
      <c r="BQ58">
        <v>7608442</v>
      </c>
      <c r="BR58" s="238" t="s">
        <v>36</v>
      </c>
      <c r="BU58">
        <v>123273.52559948154</v>
      </c>
      <c r="BV58">
        <v>0</v>
      </c>
      <c r="BW58">
        <v>7608442</v>
      </c>
      <c r="BX58" s="238"/>
      <c r="BY58" s="238" t="s">
        <v>3</v>
      </c>
      <c r="BZ58" s="238" t="s">
        <v>3</v>
      </c>
      <c r="CA58" s="238" t="s">
        <v>8951</v>
      </c>
      <c r="CB58" s="238" t="s">
        <v>1167</v>
      </c>
      <c r="CC58" s="238" t="s">
        <v>9077</v>
      </c>
      <c r="CD58" s="238" t="s">
        <v>8971</v>
      </c>
      <c r="CE58" t="b">
        <v>1</v>
      </c>
      <c r="CF58">
        <v>7608442</v>
      </c>
      <c r="CG58">
        <v>7608442</v>
      </c>
      <c r="CH58">
        <v>0</v>
      </c>
      <c r="CI58">
        <v>0</v>
      </c>
      <c r="CJ58">
        <v>0</v>
      </c>
    </row>
    <row r="59" spans="1:88" x14ac:dyDescent="0.25">
      <c r="A59">
        <v>58</v>
      </c>
      <c r="B59">
        <v>1</v>
      </c>
      <c r="C59">
        <v>9</v>
      </c>
      <c r="D59">
        <v>4</v>
      </c>
      <c r="E59">
        <v>1</v>
      </c>
      <c r="F59">
        <v>12.64</v>
      </c>
      <c r="I59">
        <v>12.64</v>
      </c>
      <c r="J59">
        <v>15.67</v>
      </c>
      <c r="K59">
        <v>4.6900000000000004</v>
      </c>
      <c r="M59">
        <v>4.01</v>
      </c>
      <c r="P59">
        <v>3.38</v>
      </c>
      <c r="R59">
        <v>3.38</v>
      </c>
      <c r="S59">
        <v>40.39</v>
      </c>
      <c r="T59">
        <v>37.01</v>
      </c>
      <c r="U59">
        <v>38.700000000000003</v>
      </c>
      <c r="V59">
        <v>119184.96000000001</v>
      </c>
      <c r="W59">
        <v>0.42565629226737656</v>
      </c>
      <c r="X59">
        <v>119185.38565629227</v>
      </c>
      <c r="Y59">
        <v>0</v>
      </c>
      <c r="Z59">
        <v>119185.38565629227</v>
      </c>
      <c r="AA59">
        <v>0</v>
      </c>
      <c r="AB59">
        <v>119185.38565629227</v>
      </c>
      <c r="AC59">
        <v>0</v>
      </c>
      <c r="AD59">
        <v>119185.38565629227</v>
      </c>
      <c r="AE59">
        <v>0</v>
      </c>
      <c r="AF59">
        <v>119185.38565629227</v>
      </c>
      <c r="AG59">
        <v>0</v>
      </c>
      <c r="AH59">
        <v>119185.38565629227</v>
      </c>
      <c r="AI59">
        <v>0</v>
      </c>
      <c r="AJ59">
        <v>119185.38565629227</v>
      </c>
      <c r="AK59">
        <v>0</v>
      </c>
      <c r="AL59">
        <v>119185.38565629227</v>
      </c>
      <c r="AM59">
        <v>0</v>
      </c>
      <c r="AN59">
        <v>119185.38565629227</v>
      </c>
      <c r="AO59">
        <v>0</v>
      </c>
      <c r="AP59">
        <v>119185.38565629227</v>
      </c>
      <c r="AQ59">
        <v>0</v>
      </c>
      <c r="AR59">
        <v>119185.38565629227</v>
      </c>
      <c r="AS59">
        <v>0</v>
      </c>
      <c r="AT59">
        <v>119185.38565629227</v>
      </c>
      <c r="AV59">
        <v>119185.38565629227</v>
      </c>
      <c r="AW59">
        <v>-1976.0316511243291</v>
      </c>
      <c r="AX59">
        <v>117209.35400516794</v>
      </c>
      <c r="AY59">
        <v>5552.9198966408294</v>
      </c>
      <c r="AZ59">
        <v>122762.27390180877</v>
      </c>
      <c r="BA59">
        <v>0</v>
      </c>
      <c r="BB59">
        <v>122762.27390180877</v>
      </c>
      <c r="BC59">
        <v>0</v>
      </c>
      <c r="BD59">
        <v>122762.27390180877</v>
      </c>
      <c r="BE59">
        <v>0</v>
      </c>
      <c r="BF59">
        <v>122762.27390180877</v>
      </c>
      <c r="BG59">
        <v>2454.9612403100764</v>
      </c>
      <c r="BH59">
        <v>125217.23514211884</v>
      </c>
      <c r="BI59">
        <v>0</v>
      </c>
      <c r="BJ59">
        <v>125217.23514211884</v>
      </c>
      <c r="BK59">
        <v>125217.23514211885</v>
      </c>
      <c r="BL59">
        <v>4845907</v>
      </c>
      <c r="BO59">
        <v>0</v>
      </c>
      <c r="BP59">
        <v>125217.23514211885</v>
      </c>
      <c r="BQ59">
        <v>4845907</v>
      </c>
      <c r="BR59" s="238" t="s">
        <v>36</v>
      </c>
      <c r="BU59">
        <v>125217.23514211885</v>
      </c>
      <c r="BV59">
        <v>0</v>
      </c>
      <c r="BW59">
        <v>4845907</v>
      </c>
      <c r="BX59" s="238"/>
      <c r="BY59" s="238" t="s">
        <v>3</v>
      </c>
      <c r="BZ59" s="238" t="s">
        <v>3</v>
      </c>
      <c r="CA59" s="238" t="s">
        <v>8951</v>
      </c>
      <c r="CB59" s="238" t="s">
        <v>1167</v>
      </c>
      <c r="CC59" s="238" t="s">
        <v>9077</v>
      </c>
      <c r="CD59" s="238" t="s">
        <v>8972</v>
      </c>
      <c r="CE59" t="b">
        <v>1</v>
      </c>
      <c r="CF59">
        <v>4845907</v>
      </c>
      <c r="CG59">
        <v>4845907</v>
      </c>
      <c r="CH59">
        <v>0</v>
      </c>
      <c r="CI59">
        <v>0</v>
      </c>
      <c r="CJ59">
        <v>0</v>
      </c>
    </row>
    <row r="60" spans="1:88" x14ac:dyDescent="0.25">
      <c r="A60">
        <v>59</v>
      </c>
      <c r="B60">
        <v>1</v>
      </c>
      <c r="C60">
        <v>9</v>
      </c>
      <c r="D60">
        <v>5</v>
      </c>
      <c r="E60">
        <v>2</v>
      </c>
      <c r="F60">
        <v>10.59</v>
      </c>
      <c r="G60">
        <v>14.05</v>
      </c>
      <c r="I60">
        <v>24.64</v>
      </c>
      <c r="J60">
        <v>18.38</v>
      </c>
      <c r="K60">
        <v>4.84</v>
      </c>
      <c r="M60">
        <v>3.1</v>
      </c>
      <c r="N60">
        <v>4.93</v>
      </c>
      <c r="O60">
        <v>3.83</v>
      </c>
      <c r="P60">
        <v>3.49</v>
      </c>
      <c r="R60">
        <v>3.49</v>
      </c>
      <c r="S60">
        <v>63.21</v>
      </c>
      <c r="T60">
        <v>59.72</v>
      </c>
      <c r="U60">
        <v>61.47</v>
      </c>
      <c r="V60">
        <v>116281.2</v>
      </c>
      <c r="W60">
        <v>0.12992327366373502</v>
      </c>
      <c r="X60">
        <v>116281.32992327366</v>
      </c>
      <c r="Y60">
        <v>0</v>
      </c>
      <c r="Z60">
        <v>116281.32992327366</v>
      </c>
      <c r="AA60">
        <v>0</v>
      </c>
      <c r="AB60">
        <v>116281.32992327366</v>
      </c>
      <c r="AC60">
        <v>0</v>
      </c>
      <c r="AD60">
        <v>116281.32992327366</v>
      </c>
      <c r="AE60">
        <v>0</v>
      </c>
      <c r="AF60">
        <v>116281.32992327366</v>
      </c>
      <c r="AG60">
        <v>0</v>
      </c>
      <c r="AH60">
        <v>116281.32992327366</v>
      </c>
      <c r="AI60">
        <v>0</v>
      </c>
      <c r="AJ60">
        <v>116281.32992327366</v>
      </c>
      <c r="AK60">
        <v>0</v>
      </c>
      <c r="AL60">
        <v>116281.32992327366</v>
      </c>
      <c r="AM60">
        <v>0</v>
      </c>
      <c r="AN60">
        <v>116281.32992327366</v>
      </c>
      <c r="AO60">
        <v>0</v>
      </c>
      <c r="AP60">
        <v>116281.32992327366</v>
      </c>
      <c r="AQ60">
        <v>0</v>
      </c>
      <c r="AR60">
        <v>116281.32992327366</v>
      </c>
      <c r="AS60">
        <v>0</v>
      </c>
      <c r="AT60">
        <v>116281.32992327366</v>
      </c>
      <c r="AV60">
        <v>116281.32992327366</v>
      </c>
      <c r="AW60">
        <v>-2006.44786698604</v>
      </c>
      <c r="AX60">
        <v>114274.88205628762</v>
      </c>
      <c r="AY60">
        <v>5495.7377582560584</v>
      </c>
      <c r="AZ60">
        <v>119770.61981454368</v>
      </c>
      <c r="BA60">
        <v>0</v>
      </c>
      <c r="BB60">
        <v>119770.61981454368</v>
      </c>
      <c r="BC60">
        <v>0</v>
      </c>
      <c r="BD60">
        <v>119770.61981454368</v>
      </c>
      <c r="BE60">
        <v>0</v>
      </c>
      <c r="BF60">
        <v>119770.61981454368</v>
      </c>
      <c r="BG60">
        <v>1198.096632503657</v>
      </c>
      <c r="BH60">
        <v>120968.71644704734</v>
      </c>
      <c r="BI60">
        <v>0</v>
      </c>
      <c r="BJ60">
        <v>120968.71644704734</v>
      </c>
      <c r="BK60">
        <v>120968.71644704734</v>
      </c>
      <c r="BL60">
        <v>7435947</v>
      </c>
      <c r="BO60">
        <v>0</v>
      </c>
      <c r="BP60">
        <v>120968.71644704734</v>
      </c>
      <c r="BQ60">
        <v>7435947</v>
      </c>
      <c r="BR60" s="238" t="s">
        <v>36</v>
      </c>
      <c r="BU60">
        <v>120968.71644704734</v>
      </c>
      <c r="BV60">
        <v>0</v>
      </c>
      <c r="BW60">
        <v>7435947</v>
      </c>
      <c r="BX60" s="238"/>
      <c r="BY60" s="238" t="s">
        <v>3</v>
      </c>
      <c r="BZ60" s="238" t="s">
        <v>3</v>
      </c>
      <c r="CA60" s="238" t="s">
        <v>8951</v>
      </c>
      <c r="CB60" s="238" t="s">
        <v>1167</v>
      </c>
      <c r="CC60" s="238" t="s">
        <v>9077</v>
      </c>
      <c r="CD60" s="238" t="s">
        <v>8971</v>
      </c>
      <c r="CE60" t="b">
        <v>1</v>
      </c>
      <c r="CF60">
        <v>7435947</v>
      </c>
      <c r="CG60">
        <v>7435947</v>
      </c>
      <c r="CH60">
        <v>0</v>
      </c>
      <c r="CI60">
        <v>0</v>
      </c>
      <c r="CJ60">
        <v>0</v>
      </c>
    </row>
    <row r="61" spans="1:88" x14ac:dyDescent="0.25">
      <c r="A61">
        <v>60</v>
      </c>
      <c r="B61">
        <v>1</v>
      </c>
      <c r="C61">
        <v>9</v>
      </c>
      <c r="D61">
        <v>6</v>
      </c>
      <c r="E61">
        <v>2</v>
      </c>
      <c r="F61">
        <v>14.2</v>
      </c>
      <c r="G61">
        <v>14.27</v>
      </c>
      <c r="I61">
        <v>28.47</v>
      </c>
      <c r="J61">
        <v>17.43</v>
      </c>
      <c r="K61">
        <v>5.51</v>
      </c>
      <c r="L61">
        <v>4.05</v>
      </c>
      <c r="M61">
        <v>3.57</v>
      </c>
      <c r="N61">
        <v>4.75</v>
      </c>
      <c r="P61">
        <v>2.87</v>
      </c>
      <c r="R61">
        <v>2.87</v>
      </c>
      <c r="S61">
        <v>66.650000000000006</v>
      </c>
      <c r="T61">
        <v>63.78</v>
      </c>
      <c r="U61">
        <v>65.22</v>
      </c>
      <c r="V61">
        <v>119603.52</v>
      </c>
      <c r="W61">
        <v>0.9457097288541263</v>
      </c>
      <c r="X61">
        <v>119604.46570972886</v>
      </c>
      <c r="Y61">
        <v>0</v>
      </c>
      <c r="Z61">
        <v>119604.46570972886</v>
      </c>
      <c r="AA61">
        <v>0</v>
      </c>
      <c r="AB61">
        <v>119604.46570972886</v>
      </c>
      <c r="AC61">
        <v>0</v>
      </c>
      <c r="AD61">
        <v>119604.46570972886</v>
      </c>
      <c r="AE61">
        <v>0</v>
      </c>
      <c r="AF61">
        <v>119604.46570972886</v>
      </c>
      <c r="AG61">
        <v>0</v>
      </c>
      <c r="AH61">
        <v>119604.46570972886</v>
      </c>
      <c r="AI61">
        <v>0</v>
      </c>
      <c r="AJ61">
        <v>119604.46570972886</v>
      </c>
      <c r="AK61">
        <v>0</v>
      </c>
      <c r="AL61">
        <v>119604.46570972886</v>
      </c>
      <c r="AM61">
        <v>0</v>
      </c>
      <c r="AN61">
        <v>119604.46570972886</v>
      </c>
      <c r="AO61">
        <v>0</v>
      </c>
      <c r="AP61">
        <v>119604.46570972886</v>
      </c>
      <c r="AQ61">
        <v>0</v>
      </c>
      <c r="AR61">
        <v>119604.46570972886</v>
      </c>
      <c r="AS61">
        <v>0</v>
      </c>
      <c r="AT61">
        <v>119604.46570972886</v>
      </c>
      <c r="AV61">
        <v>119604.46570972886</v>
      </c>
      <c r="AW61">
        <v>-1172.2976631173806</v>
      </c>
      <c r="AX61">
        <v>118432.16804661148</v>
      </c>
      <c r="AY61">
        <v>4760.1042624961556</v>
      </c>
      <c r="AZ61">
        <v>123192.27230910763</v>
      </c>
      <c r="BA61">
        <v>0</v>
      </c>
      <c r="BB61">
        <v>123192.27230910763</v>
      </c>
      <c r="BC61">
        <v>0</v>
      </c>
      <c r="BD61">
        <v>123192.27230910763</v>
      </c>
      <c r="BE61">
        <v>0</v>
      </c>
      <c r="BF61">
        <v>123192.27230910763</v>
      </c>
      <c r="BG61">
        <v>1231.6467341306416</v>
      </c>
      <c r="BH61">
        <v>124423.91904323827</v>
      </c>
      <c r="BI61">
        <v>0</v>
      </c>
      <c r="BJ61">
        <v>124423.91904323827</v>
      </c>
      <c r="BK61">
        <v>124423.91904323827</v>
      </c>
      <c r="BL61">
        <v>8114928</v>
      </c>
      <c r="BO61">
        <v>0</v>
      </c>
      <c r="BP61">
        <v>124423.91904323827</v>
      </c>
      <c r="BQ61">
        <v>8114928</v>
      </c>
      <c r="BR61" s="238" t="s">
        <v>36</v>
      </c>
      <c r="BU61">
        <v>124423.91904323827</v>
      </c>
      <c r="BV61">
        <v>0</v>
      </c>
      <c r="BW61">
        <v>8114928</v>
      </c>
      <c r="BX61" s="238"/>
      <c r="BY61" s="238" t="s">
        <v>3</v>
      </c>
      <c r="BZ61" s="238" t="s">
        <v>3</v>
      </c>
      <c r="CA61" s="238" t="s">
        <v>8951</v>
      </c>
      <c r="CB61" s="238" t="s">
        <v>1167</v>
      </c>
      <c r="CC61" s="238" t="s">
        <v>9077</v>
      </c>
      <c r="CD61" s="238" t="s">
        <v>8971</v>
      </c>
      <c r="CE61" t="b">
        <v>1</v>
      </c>
      <c r="CF61">
        <v>8114928</v>
      </c>
      <c r="CG61">
        <v>8114928</v>
      </c>
      <c r="CH61">
        <v>0</v>
      </c>
      <c r="CI61">
        <v>0</v>
      </c>
      <c r="CJ61">
        <v>0</v>
      </c>
    </row>
    <row r="62" spans="1:88" x14ac:dyDescent="0.25">
      <c r="A62">
        <v>61</v>
      </c>
      <c r="B62">
        <v>1</v>
      </c>
      <c r="C62">
        <v>9</v>
      </c>
      <c r="D62">
        <v>7</v>
      </c>
      <c r="E62">
        <v>1</v>
      </c>
      <c r="F62">
        <v>15.25</v>
      </c>
      <c r="I62">
        <v>15.25</v>
      </c>
      <c r="J62">
        <v>17.12</v>
      </c>
      <c r="K62">
        <v>4.62</v>
      </c>
      <c r="M62">
        <v>3.94</v>
      </c>
      <c r="P62">
        <v>3.36</v>
      </c>
      <c r="R62">
        <v>3.36</v>
      </c>
      <c r="S62">
        <v>44.29</v>
      </c>
      <c r="T62">
        <v>40.93</v>
      </c>
      <c r="U62">
        <v>42.61</v>
      </c>
      <c r="V62">
        <v>119184.96000000001</v>
      </c>
      <c r="W62">
        <v>4.6045949202380143E-2</v>
      </c>
      <c r="X62">
        <v>119185.00604594921</v>
      </c>
      <c r="Y62">
        <v>0</v>
      </c>
      <c r="Z62">
        <v>119185.00604594921</v>
      </c>
      <c r="AA62">
        <v>0</v>
      </c>
      <c r="AB62">
        <v>119185.00604594921</v>
      </c>
      <c r="AC62">
        <v>0</v>
      </c>
      <c r="AD62">
        <v>119185.00604594921</v>
      </c>
      <c r="AE62">
        <v>0</v>
      </c>
      <c r="AF62">
        <v>119185.00604594921</v>
      </c>
      <c r="AG62">
        <v>0</v>
      </c>
      <c r="AH62">
        <v>119185.00604594921</v>
      </c>
      <c r="AI62">
        <v>0</v>
      </c>
      <c r="AJ62">
        <v>119185.00604594921</v>
      </c>
      <c r="AK62">
        <v>0</v>
      </c>
      <c r="AL62">
        <v>119185.00604594921</v>
      </c>
      <c r="AM62">
        <v>0</v>
      </c>
      <c r="AN62">
        <v>119185.00604594921</v>
      </c>
      <c r="AO62">
        <v>0</v>
      </c>
      <c r="AP62">
        <v>119185.00604594921</v>
      </c>
      <c r="AQ62">
        <v>0</v>
      </c>
      <c r="AR62">
        <v>119185.00604594921</v>
      </c>
      <c r="AS62">
        <v>0</v>
      </c>
      <c r="AT62">
        <v>119185.00604594921</v>
      </c>
      <c r="AV62">
        <v>119185.00604594921</v>
      </c>
      <c r="AW62">
        <v>-54.543713163482607</v>
      </c>
      <c r="AX62">
        <v>119130.46233278573</v>
      </c>
      <c r="AY62">
        <v>3631.800046937351</v>
      </c>
      <c r="AZ62">
        <v>122762.26237972308</v>
      </c>
      <c r="BA62">
        <v>0</v>
      </c>
      <c r="BB62">
        <v>122762.26237972308</v>
      </c>
      <c r="BC62">
        <v>0</v>
      </c>
      <c r="BD62">
        <v>122762.26237972308</v>
      </c>
      <c r="BE62">
        <v>0</v>
      </c>
      <c r="BF62">
        <v>122762.26237972308</v>
      </c>
      <c r="BG62">
        <v>2454.987092231866</v>
      </c>
      <c r="BH62">
        <v>125217.24947195494</v>
      </c>
      <c r="BI62">
        <v>0</v>
      </c>
      <c r="BJ62">
        <v>125217.24947195494</v>
      </c>
      <c r="BK62">
        <v>125217.24947195494</v>
      </c>
      <c r="BL62">
        <v>5335507</v>
      </c>
      <c r="BO62">
        <v>0</v>
      </c>
      <c r="BP62">
        <v>125217.24947195494</v>
      </c>
      <c r="BQ62">
        <v>5335507</v>
      </c>
      <c r="BR62" s="238" t="s">
        <v>36</v>
      </c>
      <c r="BU62">
        <v>125217.24947195494</v>
      </c>
      <c r="BV62">
        <v>0</v>
      </c>
      <c r="BW62">
        <v>5335507</v>
      </c>
      <c r="BX62" s="238"/>
      <c r="BY62" s="238" t="s">
        <v>3</v>
      </c>
      <c r="BZ62" s="238" t="s">
        <v>3</v>
      </c>
      <c r="CA62" s="238" t="s">
        <v>8951</v>
      </c>
      <c r="CB62" s="238" t="s">
        <v>1167</v>
      </c>
      <c r="CC62" s="238" t="s">
        <v>9077</v>
      </c>
      <c r="CD62" s="238" t="s">
        <v>8972</v>
      </c>
      <c r="CE62" t="b">
        <v>1</v>
      </c>
      <c r="CF62">
        <v>5335507</v>
      </c>
      <c r="CG62">
        <v>5335507</v>
      </c>
      <c r="CH62">
        <v>0</v>
      </c>
      <c r="CI62">
        <v>0</v>
      </c>
      <c r="CJ62">
        <v>0</v>
      </c>
    </row>
    <row r="63" spans="1:88" x14ac:dyDescent="0.25">
      <c r="A63">
        <v>62</v>
      </c>
      <c r="B63">
        <v>1</v>
      </c>
      <c r="C63">
        <v>10</v>
      </c>
      <c r="D63">
        <v>1</v>
      </c>
      <c r="E63">
        <v>0</v>
      </c>
      <c r="F63">
        <v>17.66</v>
      </c>
      <c r="I63">
        <v>17.66</v>
      </c>
      <c r="J63">
        <v>7</v>
      </c>
      <c r="K63">
        <v>4.6399999999999997</v>
      </c>
      <c r="P63">
        <v>3.37</v>
      </c>
      <c r="R63">
        <v>3.37</v>
      </c>
      <c r="S63">
        <v>32.67</v>
      </c>
      <c r="T63">
        <v>29.3</v>
      </c>
      <c r="U63">
        <v>30.99</v>
      </c>
      <c r="V63">
        <v>138273.04</v>
      </c>
      <c r="W63">
        <v>1.6668676716799382</v>
      </c>
      <c r="X63">
        <v>138274.70686767169</v>
      </c>
      <c r="Y63">
        <v>0</v>
      </c>
      <c r="Z63">
        <v>138274.70686767169</v>
      </c>
      <c r="AA63">
        <v>0</v>
      </c>
      <c r="AB63">
        <v>138274.70686767169</v>
      </c>
      <c r="AC63">
        <v>0</v>
      </c>
      <c r="AD63">
        <v>138274.70686767169</v>
      </c>
      <c r="AE63">
        <v>0</v>
      </c>
      <c r="AF63">
        <v>138274.70686767169</v>
      </c>
      <c r="AG63">
        <v>0</v>
      </c>
      <c r="AH63">
        <v>138274.70686767169</v>
      </c>
      <c r="AI63">
        <v>0</v>
      </c>
      <c r="AJ63">
        <v>138274.70686767169</v>
      </c>
      <c r="AK63">
        <v>0</v>
      </c>
      <c r="AL63">
        <v>138274.70686767169</v>
      </c>
      <c r="AM63">
        <v>0</v>
      </c>
      <c r="AN63">
        <v>138274.70686767169</v>
      </c>
      <c r="AO63">
        <v>0</v>
      </c>
      <c r="AP63">
        <v>138274.70686767169</v>
      </c>
      <c r="AQ63">
        <v>0</v>
      </c>
      <c r="AR63">
        <v>138274.70686767169</v>
      </c>
      <c r="AS63">
        <v>0</v>
      </c>
      <c r="AT63">
        <v>138274.70686767169</v>
      </c>
      <c r="AV63">
        <v>138274.70686767169</v>
      </c>
      <c r="AW63">
        <v>-1090.647493680066</v>
      </c>
      <c r="AX63">
        <v>137184.05937399162</v>
      </c>
      <c r="AY63">
        <v>5239.3030009680369</v>
      </c>
      <c r="AZ63">
        <v>142423.36237495966</v>
      </c>
      <c r="BA63">
        <v>0</v>
      </c>
      <c r="BB63">
        <v>142423.36237495966</v>
      </c>
      <c r="BC63">
        <v>0</v>
      </c>
      <c r="BD63">
        <v>142423.36237495966</v>
      </c>
      <c r="BE63">
        <v>0</v>
      </c>
      <c r="BF63">
        <v>142423.36237495966</v>
      </c>
      <c r="BG63">
        <v>0</v>
      </c>
      <c r="BH63">
        <v>142423.36237495966</v>
      </c>
      <c r="BI63">
        <v>0</v>
      </c>
      <c r="BJ63">
        <v>142423.36237495966</v>
      </c>
      <c r="BK63">
        <v>142423.36237495966</v>
      </c>
      <c r="BL63">
        <v>4413700</v>
      </c>
      <c r="BO63">
        <v>0</v>
      </c>
      <c r="BP63">
        <v>142423.36237495966</v>
      </c>
      <c r="BQ63">
        <v>4413700</v>
      </c>
      <c r="BR63" s="238" t="s">
        <v>36</v>
      </c>
      <c r="BU63">
        <v>142423.36237495966</v>
      </c>
      <c r="BV63">
        <v>0</v>
      </c>
      <c r="BW63">
        <v>4413700</v>
      </c>
      <c r="BX63" s="238"/>
      <c r="BY63" s="238" t="s">
        <v>3</v>
      </c>
      <c r="BZ63" s="238" t="s">
        <v>3</v>
      </c>
      <c r="CA63" s="238" t="s">
        <v>8951</v>
      </c>
      <c r="CB63" s="238" t="s">
        <v>1167</v>
      </c>
      <c r="CC63" s="238" t="s">
        <v>9077</v>
      </c>
      <c r="CD63" s="238" t="s">
        <v>8970</v>
      </c>
      <c r="CE63" t="b">
        <v>1</v>
      </c>
      <c r="CF63">
        <v>4413700</v>
      </c>
      <c r="CG63">
        <v>4413700</v>
      </c>
      <c r="CH63">
        <v>0</v>
      </c>
      <c r="CI63">
        <v>0</v>
      </c>
      <c r="CJ63">
        <v>0</v>
      </c>
    </row>
    <row r="64" spans="1:88" x14ac:dyDescent="0.25">
      <c r="A64">
        <v>63</v>
      </c>
      <c r="B64">
        <v>1</v>
      </c>
      <c r="C64">
        <v>10</v>
      </c>
      <c r="D64">
        <v>2</v>
      </c>
      <c r="E64">
        <v>2</v>
      </c>
      <c r="F64">
        <v>11.1</v>
      </c>
      <c r="G64">
        <v>10.86</v>
      </c>
      <c r="I64">
        <v>21.96</v>
      </c>
      <c r="J64">
        <v>17.940000000000001</v>
      </c>
      <c r="K64">
        <v>3.94</v>
      </c>
      <c r="M64">
        <v>4.42</v>
      </c>
      <c r="N64">
        <v>4.49</v>
      </c>
      <c r="P64">
        <v>3.69</v>
      </c>
      <c r="R64">
        <v>3.69</v>
      </c>
      <c r="S64">
        <v>56.44</v>
      </c>
      <c r="T64">
        <v>52.75</v>
      </c>
      <c r="U64">
        <v>54.6</v>
      </c>
      <c r="V64">
        <v>115173.75999999999</v>
      </c>
      <c r="W64">
        <v>1.812519083978259</v>
      </c>
      <c r="X64">
        <v>115175.57251908397</v>
      </c>
      <c r="Z64">
        <v>115175.57251908397</v>
      </c>
      <c r="AA64">
        <v>500.41984732824494</v>
      </c>
      <c r="AB64">
        <v>115675.99236641222</v>
      </c>
      <c r="AC64">
        <v>0</v>
      </c>
      <c r="AD64">
        <v>115675.99236641222</v>
      </c>
      <c r="AE64">
        <v>0</v>
      </c>
      <c r="AF64">
        <v>115675.99236641222</v>
      </c>
      <c r="AG64">
        <v>0</v>
      </c>
      <c r="AH64">
        <v>115675.99236641222</v>
      </c>
      <c r="AI64">
        <v>0</v>
      </c>
      <c r="AJ64">
        <v>115675.99236641222</v>
      </c>
      <c r="AK64">
        <v>0</v>
      </c>
      <c r="AL64">
        <v>115675.99236641222</v>
      </c>
      <c r="AM64">
        <v>0</v>
      </c>
      <c r="AN64">
        <v>115675.99236641222</v>
      </c>
      <c r="AP64">
        <v>115175.57251908397</v>
      </c>
      <c r="AQ64">
        <v>0</v>
      </c>
      <c r="AR64">
        <v>115175.57251908397</v>
      </c>
      <c r="AS64">
        <v>0</v>
      </c>
      <c r="AT64">
        <v>115175.57251908397</v>
      </c>
      <c r="AV64">
        <v>115175.57251908397</v>
      </c>
      <c r="AX64">
        <v>110534.79853479854</v>
      </c>
      <c r="AY64">
        <v>0</v>
      </c>
      <c r="AZ64">
        <v>110534.79853479854</v>
      </c>
      <c r="BA64">
        <v>0</v>
      </c>
      <c r="BB64">
        <v>110534.79853479854</v>
      </c>
      <c r="BC64">
        <v>0</v>
      </c>
      <c r="BD64">
        <v>110534.79853479854</v>
      </c>
      <c r="BE64">
        <v>0</v>
      </c>
      <c r="BF64">
        <v>110534.79853479854</v>
      </c>
      <c r="BG64">
        <v>0</v>
      </c>
      <c r="BH64">
        <v>110534.79853479854</v>
      </c>
      <c r="BI64">
        <v>0</v>
      </c>
      <c r="BJ64">
        <v>110534.79853479854</v>
      </c>
      <c r="BK64">
        <v>110534.79853479854</v>
      </c>
      <c r="BL64">
        <v>6035200</v>
      </c>
      <c r="BO64">
        <v>0</v>
      </c>
      <c r="BP64">
        <v>110534.79853479854</v>
      </c>
      <c r="BQ64">
        <v>6035200</v>
      </c>
      <c r="BR64" s="238" t="s">
        <v>36</v>
      </c>
      <c r="BU64">
        <v>110534.79853479854</v>
      </c>
      <c r="BV64">
        <v>0</v>
      </c>
      <c r="BW64">
        <v>6035200</v>
      </c>
      <c r="BX64" s="238"/>
      <c r="BY64" s="238" t="s">
        <v>8963</v>
      </c>
      <c r="BZ64" s="238" t="s">
        <v>8963</v>
      </c>
      <c r="CA64" s="238" t="s">
        <v>8953</v>
      </c>
      <c r="CB64" s="238" t="s">
        <v>8964</v>
      </c>
      <c r="CC64" s="238" t="s">
        <v>9077</v>
      </c>
      <c r="CD64" s="238" t="s">
        <v>8971</v>
      </c>
      <c r="CE64" t="b">
        <v>1</v>
      </c>
      <c r="CF64">
        <v>6035200</v>
      </c>
      <c r="CG64">
        <v>6351496</v>
      </c>
      <c r="CH64">
        <v>6035200</v>
      </c>
      <c r="CI64">
        <v>6035200</v>
      </c>
      <c r="CJ64">
        <v>0</v>
      </c>
    </row>
    <row r="65" spans="1:88" x14ac:dyDescent="0.25">
      <c r="A65">
        <v>64</v>
      </c>
      <c r="B65">
        <v>1</v>
      </c>
      <c r="C65">
        <v>10</v>
      </c>
      <c r="D65">
        <v>3</v>
      </c>
      <c r="E65">
        <v>2</v>
      </c>
      <c r="F65">
        <v>11.04</v>
      </c>
      <c r="G65">
        <v>12.05</v>
      </c>
      <c r="I65">
        <v>23.09</v>
      </c>
      <c r="J65">
        <v>20.87</v>
      </c>
      <c r="K65">
        <v>4.99</v>
      </c>
      <c r="M65">
        <v>2.67</v>
      </c>
      <c r="N65">
        <v>4.59</v>
      </c>
      <c r="O65">
        <v>3.59</v>
      </c>
      <c r="P65">
        <v>3.84</v>
      </c>
      <c r="R65">
        <v>3.84</v>
      </c>
      <c r="S65">
        <v>63.64</v>
      </c>
      <c r="T65">
        <v>59.8</v>
      </c>
      <c r="U65">
        <v>61.72</v>
      </c>
      <c r="V65">
        <v>118496.08</v>
      </c>
      <c r="W65">
        <v>0.96142011834308505</v>
      </c>
      <c r="X65">
        <v>118497.04142011834</v>
      </c>
      <c r="Y65">
        <v>0</v>
      </c>
      <c r="Z65">
        <v>118497.04142011834</v>
      </c>
      <c r="AA65">
        <v>0</v>
      </c>
      <c r="AB65">
        <v>118497.04142011834</v>
      </c>
      <c r="AC65">
        <v>0</v>
      </c>
      <c r="AD65">
        <v>118497.04142011834</v>
      </c>
      <c r="AE65">
        <v>0</v>
      </c>
      <c r="AF65">
        <v>118497.04142011834</v>
      </c>
      <c r="AG65">
        <v>0</v>
      </c>
      <c r="AH65">
        <v>118497.04142011834</v>
      </c>
      <c r="AI65">
        <v>0</v>
      </c>
      <c r="AJ65">
        <v>118497.04142011834</v>
      </c>
      <c r="AK65">
        <v>0</v>
      </c>
      <c r="AL65">
        <v>118497.04142011834</v>
      </c>
      <c r="AM65">
        <v>0</v>
      </c>
      <c r="AN65">
        <v>118497.04142011834</v>
      </c>
      <c r="AO65">
        <v>0</v>
      </c>
      <c r="AP65">
        <v>118497.04142011834</v>
      </c>
      <c r="AQ65">
        <v>0</v>
      </c>
      <c r="AR65">
        <v>118497.04142011834</v>
      </c>
      <c r="AS65">
        <v>0</v>
      </c>
      <c r="AT65">
        <v>118497.04142011834</v>
      </c>
      <c r="AV65">
        <v>118497.04142011834</v>
      </c>
      <c r="AW65">
        <v>-1527.3395406627387</v>
      </c>
      <c r="AX65">
        <v>116969.70187945561</v>
      </c>
      <c r="AY65">
        <v>5083.117303953346</v>
      </c>
      <c r="AZ65">
        <v>122052.81918340895</v>
      </c>
      <c r="BA65">
        <v>0</v>
      </c>
      <c r="BB65">
        <v>122052.81918340895</v>
      </c>
      <c r="BC65">
        <v>0</v>
      </c>
      <c r="BD65">
        <v>122052.81918340895</v>
      </c>
      <c r="BE65">
        <v>0</v>
      </c>
      <c r="BF65">
        <v>122052.81918340895</v>
      </c>
      <c r="BG65">
        <v>1220.7064160725861</v>
      </c>
      <c r="BH65">
        <v>123273.52559948154</v>
      </c>
      <c r="BI65">
        <v>0</v>
      </c>
      <c r="BJ65">
        <v>123273.52559948154</v>
      </c>
      <c r="BK65">
        <v>123273.52559948154</v>
      </c>
      <c r="BL65">
        <v>7608442</v>
      </c>
      <c r="BO65">
        <v>0</v>
      </c>
      <c r="BP65">
        <v>123273.52559948154</v>
      </c>
      <c r="BQ65">
        <v>7608442</v>
      </c>
      <c r="BR65" s="238" t="s">
        <v>36</v>
      </c>
      <c r="BU65">
        <v>123273.52559948154</v>
      </c>
      <c r="BV65">
        <v>0</v>
      </c>
      <c r="BW65">
        <v>7608442</v>
      </c>
      <c r="BX65" s="238"/>
      <c r="BY65" s="238" t="s">
        <v>3</v>
      </c>
      <c r="BZ65" s="238" t="s">
        <v>3</v>
      </c>
      <c r="CA65" s="238" t="s">
        <v>8951</v>
      </c>
      <c r="CB65" s="238" t="s">
        <v>1167</v>
      </c>
      <c r="CC65" s="238" t="s">
        <v>9077</v>
      </c>
      <c r="CD65" s="238" t="s">
        <v>8971</v>
      </c>
      <c r="CE65" t="b">
        <v>1</v>
      </c>
      <c r="CF65">
        <v>7608442</v>
      </c>
      <c r="CG65">
        <v>7608442</v>
      </c>
      <c r="CH65">
        <v>0</v>
      </c>
      <c r="CI65">
        <v>0</v>
      </c>
      <c r="CJ65">
        <v>0</v>
      </c>
    </row>
    <row r="66" spans="1:88" x14ac:dyDescent="0.25">
      <c r="A66">
        <v>65</v>
      </c>
      <c r="B66">
        <v>1</v>
      </c>
      <c r="C66">
        <v>10</v>
      </c>
      <c r="D66">
        <v>4</v>
      </c>
      <c r="E66">
        <v>1</v>
      </c>
      <c r="F66">
        <v>12.64</v>
      </c>
      <c r="I66">
        <v>12.64</v>
      </c>
      <c r="J66">
        <v>15.67</v>
      </c>
      <c r="K66">
        <v>4.6900000000000004</v>
      </c>
      <c r="M66">
        <v>4.01</v>
      </c>
      <c r="P66">
        <v>3.38</v>
      </c>
      <c r="R66">
        <v>3.38</v>
      </c>
      <c r="S66">
        <v>40.39</v>
      </c>
      <c r="T66">
        <v>37.01</v>
      </c>
      <c r="U66">
        <v>38.700000000000003</v>
      </c>
      <c r="V66">
        <v>119184.96000000001</v>
      </c>
      <c r="W66">
        <v>0.42565629226737656</v>
      </c>
      <c r="X66">
        <v>119185.38565629227</v>
      </c>
      <c r="Y66">
        <v>0</v>
      </c>
      <c r="Z66">
        <v>119185.38565629227</v>
      </c>
      <c r="AA66">
        <v>0</v>
      </c>
      <c r="AB66">
        <v>119185.38565629227</v>
      </c>
      <c r="AC66">
        <v>0</v>
      </c>
      <c r="AD66">
        <v>119185.38565629227</v>
      </c>
      <c r="AE66">
        <v>0</v>
      </c>
      <c r="AF66">
        <v>119185.38565629227</v>
      </c>
      <c r="AG66">
        <v>0</v>
      </c>
      <c r="AH66">
        <v>119185.38565629227</v>
      </c>
      <c r="AI66">
        <v>0</v>
      </c>
      <c r="AJ66">
        <v>119185.38565629227</v>
      </c>
      <c r="AK66">
        <v>0</v>
      </c>
      <c r="AL66">
        <v>119185.38565629227</v>
      </c>
      <c r="AM66">
        <v>0</v>
      </c>
      <c r="AN66">
        <v>119185.38565629227</v>
      </c>
      <c r="AO66">
        <v>0</v>
      </c>
      <c r="AP66">
        <v>119185.38565629227</v>
      </c>
      <c r="AQ66">
        <v>0</v>
      </c>
      <c r="AR66">
        <v>119185.38565629227</v>
      </c>
      <c r="AS66">
        <v>0</v>
      </c>
      <c r="AT66">
        <v>119185.38565629227</v>
      </c>
      <c r="AV66">
        <v>119185.38565629227</v>
      </c>
      <c r="AW66">
        <v>-1976.0316511243291</v>
      </c>
      <c r="AX66">
        <v>117209.35400516794</v>
      </c>
      <c r="AY66">
        <v>5552.9198966408294</v>
      </c>
      <c r="AZ66">
        <v>122762.27390180877</v>
      </c>
      <c r="BA66">
        <v>0</v>
      </c>
      <c r="BB66">
        <v>122762.27390180877</v>
      </c>
      <c r="BC66">
        <v>0</v>
      </c>
      <c r="BD66">
        <v>122762.27390180877</v>
      </c>
      <c r="BE66">
        <v>0</v>
      </c>
      <c r="BF66">
        <v>122762.27390180877</v>
      </c>
      <c r="BG66">
        <v>2454.9612403100764</v>
      </c>
      <c r="BH66">
        <v>125217.23514211884</v>
      </c>
      <c r="BI66">
        <v>0</v>
      </c>
      <c r="BJ66">
        <v>125217.23514211884</v>
      </c>
      <c r="BK66">
        <v>125217.23514211885</v>
      </c>
      <c r="BL66">
        <v>4845907</v>
      </c>
      <c r="BO66">
        <v>0</v>
      </c>
      <c r="BP66">
        <v>125217.23514211885</v>
      </c>
      <c r="BQ66">
        <v>4845907</v>
      </c>
      <c r="BR66" s="238" t="s">
        <v>36</v>
      </c>
      <c r="BU66">
        <v>125217.23514211885</v>
      </c>
      <c r="BV66">
        <v>0</v>
      </c>
      <c r="BW66">
        <v>4845907</v>
      </c>
      <c r="BX66" s="238"/>
      <c r="BY66" s="238" t="s">
        <v>3</v>
      </c>
      <c r="BZ66" s="238" t="s">
        <v>3</v>
      </c>
      <c r="CA66" s="238" t="s">
        <v>8951</v>
      </c>
      <c r="CB66" s="238" t="s">
        <v>1167</v>
      </c>
      <c r="CC66" s="238" t="s">
        <v>9077</v>
      </c>
      <c r="CD66" s="238" t="s">
        <v>8972</v>
      </c>
      <c r="CE66" t="b">
        <v>1</v>
      </c>
      <c r="CF66">
        <v>4845907</v>
      </c>
      <c r="CG66">
        <v>4845907</v>
      </c>
      <c r="CH66">
        <v>0</v>
      </c>
      <c r="CI66">
        <v>0</v>
      </c>
      <c r="CJ66">
        <v>0</v>
      </c>
    </row>
    <row r="67" spans="1:88" x14ac:dyDescent="0.25">
      <c r="A67">
        <v>66</v>
      </c>
      <c r="B67">
        <v>1</v>
      </c>
      <c r="C67">
        <v>10</v>
      </c>
      <c r="D67">
        <v>5</v>
      </c>
      <c r="E67">
        <v>2</v>
      </c>
      <c r="F67">
        <v>10.59</v>
      </c>
      <c r="G67">
        <v>14.05</v>
      </c>
      <c r="I67">
        <v>24.64</v>
      </c>
      <c r="J67">
        <v>18.38</v>
      </c>
      <c r="K67">
        <v>4.84</v>
      </c>
      <c r="M67">
        <v>3.1</v>
      </c>
      <c r="N67">
        <v>4.93</v>
      </c>
      <c r="O67">
        <v>3.83</v>
      </c>
      <c r="P67">
        <v>3.49</v>
      </c>
      <c r="R67">
        <v>3.49</v>
      </c>
      <c r="S67">
        <v>63.21</v>
      </c>
      <c r="T67">
        <v>59.72</v>
      </c>
      <c r="U67">
        <v>61.47</v>
      </c>
      <c r="V67">
        <v>116281.2</v>
      </c>
      <c r="W67">
        <v>0.12992327366373502</v>
      </c>
      <c r="X67">
        <v>116281.32992327366</v>
      </c>
      <c r="Y67">
        <v>0</v>
      </c>
      <c r="Z67">
        <v>116281.32992327366</v>
      </c>
      <c r="AA67">
        <v>0</v>
      </c>
      <c r="AB67">
        <v>116281.32992327366</v>
      </c>
      <c r="AC67">
        <v>0</v>
      </c>
      <c r="AD67">
        <v>116281.32992327366</v>
      </c>
      <c r="AE67">
        <v>0</v>
      </c>
      <c r="AF67">
        <v>116281.32992327366</v>
      </c>
      <c r="AG67">
        <v>0</v>
      </c>
      <c r="AH67">
        <v>116281.32992327366</v>
      </c>
      <c r="AI67">
        <v>0</v>
      </c>
      <c r="AJ67">
        <v>116281.32992327366</v>
      </c>
      <c r="AK67">
        <v>0</v>
      </c>
      <c r="AL67">
        <v>116281.32992327366</v>
      </c>
      <c r="AM67">
        <v>0</v>
      </c>
      <c r="AN67">
        <v>116281.32992327366</v>
      </c>
      <c r="AO67">
        <v>0</v>
      </c>
      <c r="AP67">
        <v>116281.32992327366</v>
      </c>
      <c r="AQ67">
        <v>0</v>
      </c>
      <c r="AR67">
        <v>116281.32992327366</v>
      </c>
      <c r="AS67">
        <v>0</v>
      </c>
      <c r="AT67">
        <v>116281.32992327366</v>
      </c>
      <c r="AV67">
        <v>116281.32992327366</v>
      </c>
      <c r="AW67">
        <v>-2006.44786698604</v>
      </c>
      <c r="AX67">
        <v>114274.88205628762</v>
      </c>
      <c r="AY67">
        <v>5495.7377582560584</v>
      </c>
      <c r="AZ67">
        <v>119770.61981454368</v>
      </c>
      <c r="BA67">
        <v>0</v>
      </c>
      <c r="BB67">
        <v>119770.61981454368</v>
      </c>
      <c r="BC67">
        <v>0</v>
      </c>
      <c r="BD67">
        <v>119770.61981454368</v>
      </c>
      <c r="BE67">
        <v>0</v>
      </c>
      <c r="BF67">
        <v>119770.61981454368</v>
      </c>
      <c r="BG67">
        <v>1198.096632503657</v>
      </c>
      <c r="BH67">
        <v>120968.71644704734</v>
      </c>
      <c r="BI67">
        <v>0</v>
      </c>
      <c r="BJ67">
        <v>120968.71644704734</v>
      </c>
      <c r="BK67">
        <v>120968.71644704734</v>
      </c>
      <c r="BL67">
        <v>7435947</v>
      </c>
      <c r="BO67">
        <v>0</v>
      </c>
      <c r="BP67">
        <v>120968.71644704734</v>
      </c>
      <c r="BQ67">
        <v>7435947</v>
      </c>
      <c r="BR67" s="238" t="s">
        <v>36</v>
      </c>
      <c r="BU67">
        <v>120968.71644704734</v>
      </c>
      <c r="BV67">
        <v>0</v>
      </c>
      <c r="BW67">
        <v>7435947</v>
      </c>
      <c r="BX67" s="238"/>
      <c r="BY67" s="238" t="s">
        <v>3</v>
      </c>
      <c r="BZ67" s="238" t="s">
        <v>3</v>
      </c>
      <c r="CA67" s="238" t="s">
        <v>8951</v>
      </c>
      <c r="CB67" s="238" t="s">
        <v>1167</v>
      </c>
      <c r="CC67" s="238" t="s">
        <v>9077</v>
      </c>
      <c r="CD67" s="238" t="s">
        <v>8971</v>
      </c>
      <c r="CE67" t="b">
        <v>1</v>
      </c>
      <c r="CF67">
        <v>7435947</v>
      </c>
      <c r="CG67">
        <v>7435947</v>
      </c>
      <c r="CH67">
        <v>0</v>
      </c>
      <c r="CI67">
        <v>0</v>
      </c>
      <c r="CJ67">
        <v>0</v>
      </c>
    </row>
    <row r="68" spans="1:88" x14ac:dyDescent="0.25">
      <c r="A68">
        <v>67</v>
      </c>
      <c r="B68">
        <v>1</v>
      </c>
      <c r="C68">
        <v>10</v>
      </c>
      <c r="D68">
        <v>6</v>
      </c>
      <c r="E68">
        <v>2</v>
      </c>
      <c r="F68">
        <v>14.2</v>
      </c>
      <c r="G68">
        <v>14.27</v>
      </c>
      <c r="I68">
        <v>28.47</v>
      </c>
      <c r="J68">
        <v>17.43</v>
      </c>
      <c r="K68">
        <v>5.51</v>
      </c>
      <c r="L68">
        <v>4.05</v>
      </c>
      <c r="M68">
        <v>3.57</v>
      </c>
      <c r="N68">
        <v>4.75</v>
      </c>
      <c r="P68">
        <v>2.87</v>
      </c>
      <c r="R68">
        <v>2.87</v>
      </c>
      <c r="S68">
        <v>66.650000000000006</v>
      </c>
      <c r="T68">
        <v>63.78</v>
      </c>
      <c r="U68">
        <v>65.22</v>
      </c>
      <c r="V68">
        <v>119603.52</v>
      </c>
      <c r="W68">
        <v>0.9457097288541263</v>
      </c>
      <c r="X68">
        <v>119604.46570972886</v>
      </c>
      <c r="Y68">
        <v>0</v>
      </c>
      <c r="Z68">
        <v>119604.46570972886</v>
      </c>
      <c r="AA68">
        <v>0</v>
      </c>
      <c r="AB68">
        <v>119604.46570972886</v>
      </c>
      <c r="AC68">
        <v>0</v>
      </c>
      <c r="AD68">
        <v>119604.46570972886</v>
      </c>
      <c r="AE68">
        <v>0</v>
      </c>
      <c r="AF68">
        <v>119604.46570972886</v>
      </c>
      <c r="AG68">
        <v>0</v>
      </c>
      <c r="AH68">
        <v>119604.46570972886</v>
      </c>
      <c r="AI68">
        <v>0</v>
      </c>
      <c r="AJ68">
        <v>119604.46570972886</v>
      </c>
      <c r="AK68">
        <v>0</v>
      </c>
      <c r="AL68">
        <v>119604.46570972886</v>
      </c>
      <c r="AM68">
        <v>0</v>
      </c>
      <c r="AN68">
        <v>119604.46570972886</v>
      </c>
      <c r="AO68">
        <v>0</v>
      </c>
      <c r="AP68">
        <v>119604.46570972886</v>
      </c>
      <c r="AQ68">
        <v>0</v>
      </c>
      <c r="AR68">
        <v>119604.46570972886</v>
      </c>
      <c r="AS68">
        <v>0</v>
      </c>
      <c r="AT68">
        <v>119604.46570972886</v>
      </c>
      <c r="AV68">
        <v>119604.46570972886</v>
      </c>
      <c r="AW68">
        <v>-1172.2976631173806</v>
      </c>
      <c r="AX68">
        <v>118432.16804661148</v>
      </c>
      <c r="AY68">
        <v>4760.1042624961556</v>
      </c>
      <c r="AZ68">
        <v>123192.27230910763</v>
      </c>
      <c r="BA68">
        <v>0</v>
      </c>
      <c r="BB68">
        <v>123192.27230910763</v>
      </c>
      <c r="BC68">
        <v>0</v>
      </c>
      <c r="BD68">
        <v>123192.27230910763</v>
      </c>
      <c r="BE68">
        <v>0</v>
      </c>
      <c r="BF68">
        <v>123192.27230910763</v>
      </c>
      <c r="BG68">
        <v>1231.6467341306416</v>
      </c>
      <c r="BH68">
        <v>124423.91904323827</v>
      </c>
      <c r="BI68">
        <v>0</v>
      </c>
      <c r="BJ68">
        <v>124423.91904323827</v>
      </c>
      <c r="BK68">
        <v>124423.91904323827</v>
      </c>
      <c r="BL68">
        <v>8114928</v>
      </c>
      <c r="BO68">
        <v>0</v>
      </c>
      <c r="BP68">
        <v>124423.91904323827</v>
      </c>
      <c r="BQ68">
        <v>8114928</v>
      </c>
      <c r="BR68" s="238" t="s">
        <v>36</v>
      </c>
      <c r="BU68">
        <v>124423.91904323827</v>
      </c>
      <c r="BV68">
        <v>0</v>
      </c>
      <c r="BW68">
        <v>8114928</v>
      </c>
      <c r="BX68" s="238"/>
      <c r="BY68" s="238" t="s">
        <v>3</v>
      </c>
      <c r="BZ68" s="238" t="s">
        <v>3</v>
      </c>
      <c r="CA68" s="238" t="s">
        <v>8951</v>
      </c>
      <c r="CB68" s="238" t="s">
        <v>1167</v>
      </c>
      <c r="CC68" s="238" t="s">
        <v>9077</v>
      </c>
      <c r="CD68" s="238" t="s">
        <v>8971</v>
      </c>
      <c r="CE68" t="b">
        <v>1</v>
      </c>
      <c r="CF68">
        <v>8114928</v>
      </c>
      <c r="CG68">
        <v>8114928</v>
      </c>
      <c r="CH68">
        <v>0</v>
      </c>
      <c r="CI68">
        <v>0</v>
      </c>
      <c r="CJ68">
        <v>0</v>
      </c>
    </row>
    <row r="69" spans="1:88" x14ac:dyDescent="0.25">
      <c r="A69">
        <v>68</v>
      </c>
      <c r="B69">
        <v>1</v>
      </c>
      <c r="C69">
        <v>10</v>
      </c>
      <c r="D69">
        <v>7</v>
      </c>
      <c r="E69">
        <v>1</v>
      </c>
      <c r="F69">
        <v>15.25</v>
      </c>
      <c r="I69">
        <v>15.25</v>
      </c>
      <c r="J69">
        <v>17.12</v>
      </c>
      <c r="K69">
        <v>4.62</v>
      </c>
      <c r="M69">
        <v>3.94</v>
      </c>
      <c r="P69">
        <v>3.36</v>
      </c>
      <c r="R69">
        <v>3.36</v>
      </c>
      <c r="S69">
        <v>44.29</v>
      </c>
      <c r="T69">
        <v>40.93</v>
      </c>
      <c r="U69">
        <v>42.61</v>
      </c>
      <c r="V69">
        <v>119184.96000000001</v>
      </c>
      <c r="W69">
        <v>4.6045949202380143E-2</v>
      </c>
      <c r="X69">
        <v>119185.00604594921</v>
      </c>
      <c r="Y69">
        <v>0</v>
      </c>
      <c r="Z69">
        <v>119185.00604594921</v>
      </c>
      <c r="AA69">
        <v>0</v>
      </c>
      <c r="AB69">
        <v>119185.00604594921</v>
      </c>
      <c r="AC69">
        <v>0</v>
      </c>
      <c r="AD69">
        <v>119185.00604594921</v>
      </c>
      <c r="AE69">
        <v>0</v>
      </c>
      <c r="AF69">
        <v>119185.00604594921</v>
      </c>
      <c r="AG69">
        <v>0</v>
      </c>
      <c r="AH69">
        <v>119185.00604594921</v>
      </c>
      <c r="AI69">
        <v>0</v>
      </c>
      <c r="AJ69">
        <v>119185.00604594921</v>
      </c>
      <c r="AK69">
        <v>0</v>
      </c>
      <c r="AL69">
        <v>119185.00604594921</v>
      </c>
      <c r="AM69">
        <v>0</v>
      </c>
      <c r="AN69">
        <v>119185.00604594921</v>
      </c>
      <c r="AO69">
        <v>0</v>
      </c>
      <c r="AP69">
        <v>119185.00604594921</v>
      </c>
      <c r="AQ69">
        <v>0</v>
      </c>
      <c r="AR69">
        <v>119185.00604594921</v>
      </c>
      <c r="AS69">
        <v>0</v>
      </c>
      <c r="AT69">
        <v>119185.00604594921</v>
      </c>
      <c r="AV69">
        <v>119185.00604594921</v>
      </c>
      <c r="AW69">
        <v>-54.543713163482607</v>
      </c>
      <c r="AX69">
        <v>119130.46233278573</v>
      </c>
      <c r="AY69">
        <v>3631.800046937351</v>
      </c>
      <c r="AZ69">
        <v>122762.26237972308</v>
      </c>
      <c r="BA69">
        <v>0</v>
      </c>
      <c r="BB69">
        <v>122762.26237972308</v>
      </c>
      <c r="BC69">
        <v>0</v>
      </c>
      <c r="BD69">
        <v>122762.26237972308</v>
      </c>
      <c r="BE69">
        <v>0</v>
      </c>
      <c r="BF69">
        <v>122762.26237972308</v>
      </c>
      <c r="BG69">
        <v>2454.987092231866</v>
      </c>
      <c r="BH69">
        <v>125217.24947195494</v>
      </c>
      <c r="BI69">
        <v>0</v>
      </c>
      <c r="BJ69">
        <v>125217.24947195494</v>
      </c>
      <c r="BK69">
        <v>125217.24947195494</v>
      </c>
      <c r="BL69">
        <v>5335507</v>
      </c>
      <c r="BO69">
        <v>0</v>
      </c>
      <c r="BP69">
        <v>125217.24947195494</v>
      </c>
      <c r="BQ69">
        <v>5335507</v>
      </c>
      <c r="BR69" s="238" t="s">
        <v>36</v>
      </c>
      <c r="BU69">
        <v>125217.24947195494</v>
      </c>
      <c r="BV69">
        <v>0</v>
      </c>
      <c r="BW69">
        <v>5335507</v>
      </c>
      <c r="BX69" s="238"/>
      <c r="BY69" s="238" t="s">
        <v>3</v>
      </c>
      <c r="BZ69" s="238" t="s">
        <v>3</v>
      </c>
      <c r="CA69" s="238" t="s">
        <v>8951</v>
      </c>
      <c r="CB69" s="238" t="s">
        <v>1167</v>
      </c>
      <c r="CC69" s="238" t="s">
        <v>9077</v>
      </c>
      <c r="CD69" s="238" t="s">
        <v>8972</v>
      </c>
      <c r="CE69" t="b">
        <v>1</v>
      </c>
      <c r="CF69">
        <v>5335507</v>
      </c>
      <c r="CG69">
        <v>5335507</v>
      </c>
      <c r="CH69">
        <v>0</v>
      </c>
      <c r="CI69">
        <v>0</v>
      </c>
      <c r="CJ69">
        <v>0</v>
      </c>
    </row>
    <row r="70" spans="1:88" x14ac:dyDescent="0.25">
      <c r="A70">
        <v>69</v>
      </c>
      <c r="B70">
        <v>1</v>
      </c>
      <c r="C70">
        <v>11</v>
      </c>
      <c r="D70">
        <v>1</v>
      </c>
      <c r="E70">
        <v>0</v>
      </c>
      <c r="F70">
        <v>17.66</v>
      </c>
      <c r="I70">
        <v>17.66</v>
      </c>
      <c r="J70">
        <v>7</v>
      </c>
      <c r="K70">
        <v>4.1500000000000004</v>
      </c>
      <c r="P70">
        <v>3.37</v>
      </c>
      <c r="R70">
        <v>3.37</v>
      </c>
      <c r="S70">
        <v>32.18</v>
      </c>
      <c r="T70">
        <v>28.81</v>
      </c>
      <c r="U70">
        <v>30.5</v>
      </c>
      <c r="V70">
        <v>138273.04</v>
      </c>
      <c r="W70">
        <v>1.6668676716799382</v>
      </c>
      <c r="X70">
        <v>138274.70686767169</v>
      </c>
      <c r="Y70">
        <v>0</v>
      </c>
      <c r="Z70">
        <v>138274.70686767169</v>
      </c>
      <c r="AA70">
        <v>0</v>
      </c>
      <c r="AB70">
        <v>138274.70686767169</v>
      </c>
      <c r="AC70">
        <v>0</v>
      </c>
      <c r="AD70">
        <v>138274.70686767169</v>
      </c>
      <c r="AE70">
        <v>0</v>
      </c>
      <c r="AF70">
        <v>138274.70686767169</v>
      </c>
      <c r="AG70">
        <v>0</v>
      </c>
      <c r="AH70">
        <v>138274.70686767169</v>
      </c>
      <c r="AI70">
        <v>0</v>
      </c>
      <c r="AJ70">
        <v>138274.70686767169</v>
      </c>
      <c r="AK70">
        <v>0</v>
      </c>
      <c r="AL70">
        <v>138274.70686767169</v>
      </c>
      <c r="AM70">
        <v>0</v>
      </c>
      <c r="AN70">
        <v>138274.70686767169</v>
      </c>
      <c r="AO70">
        <v>0</v>
      </c>
      <c r="AP70">
        <v>138274.70686767169</v>
      </c>
      <c r="AQ70">
        <v>0</v>
      </c>
      <c r="AR70">
        <v>138274.70686767169</v>
      </c>
      <c r="AS70">
        <v>0</v>
      </c>
      <c r="AT70">
        <v>138274.70686767169</v>
      </c>
      <c r="AV70">
        <v>138274.70686767169</v>
      </c>
      <c r="AW70">
        <v>1113.2931323283119</v>
      </c>
      <c r="AX70">
        <v>139388</v>
      </c>
      <c r="AY70">
        <v>3038.2295081967313</v>
      </c>
      <c r="AZ70">
        <v>142426.22950819673</v>
      </c>
      <c r="BA70">
        <v>0</v>
      </c>
      <c r="BB70">
        <v>142426.22950819673</v>
      </c>
      <c r="BC70">
        <v>0</v>
      </c>
      <c r="BD70">
        <v>142426.22950819673</v>
      </c>
      <c r="BE70">
        <v>0</v>
      </c>
      <c r="BF70">
        <v>142426.22950819673</v>
      </c>
      <c r="BG70">
        <v>0</v>
      </c>
      <c r="BH70">
        <v>142426.22950819673</v>
      </c>
      <c r="BI70">
        <v>0</v>
      </c>
      <c r="BJ70">
        <v>142426.22950819673</v>
      </c>
      <c r="BK70">
        <v>142426.22950819673</v>
      </c>
      <c r="BL70">
        <v>4344000</v>
      </c>
      <c r="BO70">
        <v>0</v>
      </c>
      <c r="BP70">
        <v>142426.22950819673</v>
      </c>
      <c r="BQ70">
        <v>4344000</v>
      </c>
      <c r="BR70" s="238" t="s">
        <v>36</v>
      </c>
      <c r="BU70">
        <v>142426.22950819673</v>
      </c>
      <c r="BV70">
        <v>0</v>
      </c>
      <c r="BW70">
        <v>4344000</v>
      </c>
      <c r="BX70" s="238"/>
      <c r="BY70" s="238" t="s">
        <v>3</v>
      </c>
      <c r="BZ70" s="238" t="s">
        <v>3</v>
      </c>
      <c r="CA70" s="238" t="s">
        <v>8951</v>
      </c>
      <c r="CB70" s="238" t="s">
        <v>1167</v>
      </c>
      <c r="CC70" s="238" t="s">
        <v>9077</v>
      </c>
      <c r="CD70" s="238" t="s">
        <v>8970</v>
      </c>
      <c r="CE70" t="b">
        <v>1</v>
      </c>
      <c r="CF70">
        <v>4344000</v>
      </c>
      <c r="CG70">
        <v>4344000</v>
      </c>
      <c r="CH70">
        <v>0</v>
      </c>
      <c r="CI70">
        <v>0</v>
      </c>
      <c r="CJ70">
        <v>0</v>
      </c>
    </row>
    <row r="71" spans="1:88" x14ac:dyDescent="0.25">
      <c r="A71">
        <v>70</v>
      </c>
      <c r="B71">
        <v>1</v>
      </c>
      <c r="C71">
        <v>11</v>
      </c>
      <c r="D71">
        <v>2</v>
      </c>
      <c r="E71">
        <v>2</v>
      </c>
      <c r="F71">
        <v>11.1</v>
      </c>
      <c r="G71">
        <v>10.86</v>
      </c>
      <c r="I71">
        <v>21.96</v>
      </c>
      <c r="J71">
        <v>17.5</v>
      </c>
      <c r="K71">
        <v>3.94</v>
      </c>
      <c r="M71">
        <v>4.08</v>
      </c>
      <c r="N71">
        <v>4.49</v>
      </c>
      <c r="P71">
        <v>3.69</v>
      </c>
      <c r="R71">
        <v>3.69</v>
      </c>
      <c r="S71">
        <v>55.66</v>
      </c>
      <c r="T71">
        <v>51.97</v>
      </c>
      <c r="U71">
        <v>53.82</v>
      </c>
      <c r="V71">
        <v>115173.75999999999</v>
      </c>
      <c r="W71">
        <v>1.812519083978259</v>
      </c>
      <c r="X71">
        <v>115175.57251908397</v>
      </c>
      <c r="Z71">
        <v>115175.57251908397</v>
      </c>
      <c r="AA71">
        <v>500.41984732824494</v>
      </c>
      <c r="AB71">
        <v>115675.99236641222</v>
      </c>
      <c r="AC71">
        <v>0</v>
      </c>
      <c r="AD71">
        <v>115675.99236641222</v>
      </c>
      <c r="AE71">
        <v>0</v>
      </c>
      <c r="AF71">
        <v>115675.99236641222</v>
      </c>
      <c r="AG71">
        <v>0</v>
      </c>
      <c r="AH71">
        <v>115675.99236641222</v>
      </c>
      <c r="AI71">
        <v>0</v>
      </c>
      <c r="AJ71">
        <v>115675.99236641222</v>
      </c>
      <c r="AK71">
        <v>0</v>
      </c>
      <c r="AL71">
        <v>115675.99236641222</v>
      </c>
      <c r="AM71">
        <v>0</v>
      </c>
      <c r="AN71">
        <v>115675.99236641222</v>
      </c>
      <c r="AP71">
        <v>115175.57251908397</v>
      </c>
      <c r="AQ71">
        <v>0</v>
      </c>
      <c r="AR71">
        <v>115175.57251908397</v>
      </c>
      <c r="AS71">
        <v>0</v>
      </c>
      <c r="AT71">
        <v>115175.57251908397</v>
      </c>
      <c r="AV71">
        <v>115175.57251908397</v>
      </c>
      <c r="AX71">
        <v>112136.75213675214</v>
      </c>
      <c r="AY71">
        <v>0</v>
      </c>
      <c r="AZ71">
        <v>112136.75213675214</v>
      </c>
      <c r="BA71">
        <v>0</v>
      </c>
      <c r="BB71">
        <v>112136.75213675214</v>
      </c>
      <c r="BC71">
        <v>0</v>
      </c>
      <c r="BD71">
        <v>112136.75213675214</v>
      </c>
      <c r="BE71">
        <v>0</v>
      </c>
      <c r="BF71">
        <v>112136.75213675214</v>
      </c>
      <c r="BG71">
        <v>0</v>
      </c>
      <c r="BH71">
        <v>112136.75213675214</v>
      </c>
      <c r="BI71">
        <v>0</v>
      </c>
      <c r="BJ71">
        <v>112136.75213675214</v>
      </c>
      <c r="BK71">
        <v>112136.75213675214</v>
      </c>
      <c r="BL71">
        <v>6035200</v>
      </c>
      <c r="BO71">
        <v>0</v>
      </c>
      <c r="BP71">
        <v>112136.75213675214</v>
      </c>
      <c r="BQ71">
        <v>6035200</v>
      </c>
      <c r="BR71" s="238" t="s">
        <v>36</v>
      </c>
      <c r="BU71">
        <v>112136.75213675214</v>
      </c>
      <c r="BV71">
        <v>0</v>
      </c>
      <c r="BW71">
        <v>6035200</v>
      </c>
      <c r="BX71" s="238"/>
      <c r="BY71" s="238" t="s">
        <v>8963</v>
      </c>
      <c r="BZ71" s="238" t="s">
        <v>8963</v>
      </c>
      <c r="CA71" s="238" t="s">
        <v>8953</v>
      </c>
      <c r="CB71" s="238" t="s">
        <v>8964</v>
      </c>
      <c r="CC71" s="238" t="s">
        <v>9077</v>
      </c>
      <c r="CD71" s="238" t="s">
        <v>8971</v>
      </c>
      <c r="CE71" t="b">
        <v>1</v>
      </c>
      <c r="CF71">
        <v>6035200</v>
      </c>
      <c r="CG71">
        <v>6260814</v>
      </c>
      <c r="CH71">
        <v>6035200</v>
      </c>
      <c r="CI71">
        <v>6035200</v>
      </c>
      <c r="CJ71">
        <v>0</v>
      </c>
    </row>
    <row r="72" spans="1:88" x14ac:dyDescent="0.25">
      <c r="A72">
        <v>71</v>
      </c>
      <c r="B72">
        <v>1</v>
      </c>
      <c r="C72">
        <v>11</v>
      </c>
      <c r="D72">
        <v>3</v>
      </c>
      <c r="E72">
        <v>2</v>
      </c>
      <c r="F72">
        <v>11.04</v>
      </c>
      <c r="G72">
        <v>12.05</v>
      </c>
      <c r="I72">
        <v>23.09</v>
      </c>
      <c r="J72">
        <v>20.09</v>
      </c>
      <c r="K72">
        <v>4.99</v>
      </c>
      <c r="M72">
        <v>2.65</v>
      </c>
      <c r="N72">
        <v>4.57</v>
      </c>
      <c r="O72">
        <v>3.63</v>
      </c>
      <c r="P72">
        <v>3.84</v>
      </c>
      <c r="R72">
        <v>3.84</v>
      </c>
      <c r="S72">
        <v>62.86</v>
      </c>
      <c r="T72">
        <v>59.02</v>
      </c>
      <c r="U72">
        <v>60.94</v>
      </c>
      <c r="V72">
        <v>118496.08</v>
      </c>
      <c r="W72">
        <v>0.96142011834308505</v>
      </c>
      <c r="X72">
        <v>118497.04142011834</v>
      </c>
      <c r="Y72">
        <v>0</v>
      </c>
      <c r="Z72">
        <v>118497.04142011834</v>
      </c>
      <c r="AA72">
        <v>0</v>
      </c>
      <c r="AB72">
        <v>118497.04142011834</v>
      </c>
      <c r="AC72">
        <v>0</v>
      </c>
      <c r="AD72">
        <v>118497.04142011834</v>
      </c>
      <c r="AE72">
        <v>0</v>
      </c>
      <c r="AF72">
        <v>118497.04142011834</v>
      </c>
      <c r="AG72">
        <v>0</v>
      </c>
      <c r="AH72">
        <v>118497.04142011834</v>
      </c>
      <c r="AI72">
        <v>0</v>
      </c>
      <c r="AJ72">
        <v>118497.04142011834</v>
      </c>
      <c r="AK72">
        <v>0</v>
      </c>
      <c r="AL72">
        <v>118497.04142011834</v>
      </c>
      <c r="AM72">
        <v>0</v>
      </c>
      <c r="AN72">
        <v>118497.04142011834</v>
      </c>
      <c r="AO72">
        <v>0</v>
      </c>
      <c r="AP72">
        <v>118497.04142011834</v>
      </c>
      <c r="AQ72">
        <v>0</v>
      </c>
      <c r="AR72">
        <v>118497.04142011834</v>
      </c>
      <c r="AS72">
        <v>0</v>
      </c>
      <c r="AT72">
        <v>118497.04142011834</v>
      </c>
      <c r="AV72">
        <v>118497.04142011834</v>
      </c>
      <c r="AW72">
        <v>-30.188778175448533</v>
      </c>
      <c r="AX72">
        <v>118466.8526419429</v>
      </c>
      <c r="AY72">
        <v>3585.9862159501208</v>
      </c>
      <c r="AZ72">
        <v>122052.83885789302</v>
      </c>
      <c r="BA72">
        <v>0</v>
      </c>
      <c r="BB72">
        <v>122052.83885789302</v>
      </c>
      <c r="BC72">
        <v>0</v>
      </c>
      <c r="BD72">
        <v>122052.83885789302</v>
      </c>
      <c r="BE72">
        <v>0</v>
      </c>
      <c r="BF72">
        <v>122052.83885789302</v>
      </c>
      <c r="BG72">
        <v>1220.6924844108871</v>
      </c>
      <c r="BH72">
        <v>123273.5313423039</v>
      </c>
      <c r="BI72">
        <v>0</v>
      </c>
      <c r="BJ72">
        <v>123273.5313423039</v>
      </c>
      <c r="BK72">
        <v>123273.5313423039</v>
      </c>
      <c r="BL72">
        <v>7512289</v>
      </c>
      <c r="BO72">
        <v>0</v>
      </c>
      <c r="BP72">
        <v>123273.5313423039</v>
      </c>
      <c r="BQ72">
        <v>7512289</v>
      </c>
      <c r="BR72" s="238" t="s">
        <v>36</v>
      </c>
      <c r="BU72">
        <v>123273.5313423039</v>
      </c>
      <c r="BV72">
        <v>0</v>
      </c>
      <c r="BW72">
        <v>7512289</v>
      </c>
      <c r="BX72" s="238"/>
      <c r="BY72" s="238" t="s">
        <v>3</v>
      </c>
      <c r="BZ72" s="238" t="s">
        <v>3</v>
      </c>
      <c r="CA72" s="238" t="s">
        <v>8951</v>
      </c>
      <c r="CB72" s="238" t="s">
        <v>1167</v>
      </c>
      <c r="CC72" s="238" t="s">
        <v>9077</v>
      </c>
      <c r="CD72" s="238" t="s">
        <v>8971</v>
      </c>
      <c r="CE72" t="b">
        <v>1</v>
      </c>
      <c r="CF72">
        <v>7512289</v>
      </c>
      <c r="CG72">
        <v>7512289</v>
      </c>
      <c r="CH72">
        <v>0</v>
      </c>
      <c r="CI72">
        <v>0</v>
      </c>
      <c r="CJ72">
        <v>0</v>
      </c>
    </row>
    <row r="73" spans="1:88" x14ac:dyDescent="0.25">
      <c r="A73">
        <v>72</v>
      </c>
      <c r="B73">
        <v>1</v>
      </c>
      <c r="C73">
        <v>11</v>
      </c>
      <c r="D73">
        <v>4</v>
      </c>
      <c r="E73">
        <v>1</v>
      </c>
      <c r="F73">
        <v>12.64</v>
      </c>
      <c r="I73">
        <v>12.64</v>
      </c>
      <c r="J73">
        <v>15.33</v>
      </c>
      <c r="K73">
        <v>4.32</v>
      </c>
      <c r="M73">
        <v>4.03</v>
      </c>
      <c r="P73">
        <v>3.38</v>
      </c>
      <c r="R73">
        <v>3.38</v>
      </c>
      <c r="S73">
        <v>39.700000000000003</v>
      </c>
      <c r="T73">
        <v>36.32</v>
      </c>
      <c r="U73">
        <v>38.01</v>
      </c>
      <c r="V73">
        <v>119184.96000000001</v>
      </c>
      <c r="W73">
        <v>0.42565629226737656</v>
      </c>
      <c r="X73">
        <v>119185.38565629227</v>
      </c>
      <c r="Y73">
        <v>0</v>
      </c>
      <c r="Z73">
        <v>119185.38565629227</v>
      </c>
      <c r="AA73">
        <v>0</v>
      </c>
      <c r="AB73">
        <v>119185.38565629227</v>
      </c>
      <c r="AC73">
        <v>0</v>
      </c>
      <c r="AD73">
        <v>119185.38565629227</v>
      </c>
      <c r="AE73">
        <v>0</v>
      </c>
      <c r="AF73">
        <v>119185.38565629227</v>
      </c>
      <c r="AG73">
        <v>0</v>
      </c>
      <c r="AH73">
        <v>119185.38565629227</v>
      </c>
      <c r="AI73">
        <v>0</v>
      </c>
      <c r="AJ73">
        <v>119185.38565629227</v>
      </c>
      <c r="AK73">
        <v>0</v>
      </c>
      <c r="AL73">
        <v>119185.38565629227</v>
      </c>
      <c r="AM73">
        <v>0</v>
      </c>
      <c r="AN73">
        <v>119185.38565629227</v>
      </c>
      <c r="AO73">
        <v>0</v>
      </c>
      <c r="AP73">
        <v>119185.38565629227</v>
      </c>
      <c r="AQ73">
        <v>0</v>
      </c>
      <c r="AR73">
        <v>119185.38565629227</v>
      </c>
      <c r="AS73">
        <v>0</v>
      </c>
      <c r="AT73">
        <v>119185.38565629227</v>
      </c>
      <c r="AV73">
        <v>119185.38565629227</v>
      </c>
      <c r="AW73">
        <v>151.68353602554998</v>
      </c>
      <c r="AX73">
        <v>119337.06919231782</v>
      </c>
      <c r="AY73">
        <v>3425.3617469087039</v>
      </c>
      <c r="AZ73">
        <v>122762.43093922653</v>
      </c>
      <c r="BA73">
        <v>0</v>
      </c>
      <c r="BB73">
        <v>122762.43093922653</v>
      </c>
      <c r="BC73">
        <v>0</v>
      </c>
      <c r="BD73">
        <v>122762.43093922653</v>
      </c>
      <c r="BE73">
        <v>0</v>
      </c>
      <c r="BF73">
        <v>122762.43093922653</v>
      </c>
      <c r="BG73">
        <v>2454.8013680610311</v>
      </c>
      <c r="BH73">
        <v>125217.23230728756</v>
      </c>
      <c r="BI73">
        <v>0</v>
      </c>
      <c r="BJ73">
        <v>125217.23230728756</v>
      </c>
      <c r="BK73">
        <v>125217.23230728756</v>
      </c>
      <c r="BL73">
        <v>4759507</v>
      </c>
      <c r="BO73">
        <v>0</v>
      </c>
      <c r="BP73">
        <v>125217.23230728756</v>
      </c>
      <c r="BQ73">
        <v>4759507</v>
      </c>
      <c r="BR73" s="238" t="s">
        <v>36</v>
      </c>
      <c r="BU73">
        <v>125217.23230728756</v>
      </c>
      <c r="BV73">
        <v>0</v>
      </c>
      <c r="BW73">
        <v>4759507</v>
      </c>
      <c r="BX73" s="238"/>
      <c r="BY73" s="238" t="s">
        <v>3</v>
      </c>
      <c r="BZ73" s="238" t="s">
        <v>3</v>
      </c>
      <c r="CA73" s="238" t="s">
        <v>8951</v>
      </c>
      <c r="CB73" s="238" t="s">
        <v>1167</v>
      </c>
      <c r="CC73" s="238" t="s">
        <v>9077</v>
      </c>
      <c r="CD73" s="238" t="s">
        <v>8972</v>
      </c>
      <c r="CE73" t="b">
        <v>1</v>
      </c>
      <c r="CF73">
        <v>4759507</v>
      </c>
      <c r="CG73">
        <v>4759507</v>
      </c>
      <c r="CH73">
        <v>0</v>
      </c>
      <c r="CI73">
        <v>0</v>
      </c>
      <c r="CJ73">
        <v>0</v>
      </c>
    </row>
    <row r="74" spans="1:88" x14ac:dyDescent="0.25">
      <c r="A74">
        <v>73</v>
      </c>
      <c r="B74">
        <v>1</v>
      </c>
      <c r="C74">
        <v>11</v>
      </c>
      <c r="D74">
        <v>5</v>
      </c>
      <c r="E74">
        <v>2</v>
      </c>
      <c r="F74">
        <v>10.59</v>
      </c>
      <c r="G74">
        <v>14.05</v>
      </c>
      <c r="I74">
        <v>24.64</v>
      </c>
      <c r="J74">
        <v>18.2</v>
      </c>
      <c r="K74">
        <v>4.54</v>
      </c>
      <c r="M74">
        <v>3.1</v>
      </c>
      <c r="N74">
        <v>4.93</v>
      </c>
      <c r="O74">
        <v>3.83</v>
      </c>
      <c r="P74">
        <v>3.49</v>
      </c>
      <c r="R74">
        <v>3.49</v>
      </c>
      <c r="S74">
        <v>62.73</v>
      </c>
      <c r="T74">
        <v>59.24</v>
      </c>
      <c r="U74">
        <v>60.99</v>
      </c>
      <c r="V74">
        <v>116281.2</v>
      </c>
      <c r="W74">
        <v>0.12992327366373502</v>
      </c>
      <c r="X74">
        <v>116281.32992327366</v>
      </c>
      <c r="Y74">
        <v>0</v>
      </c>
      <c r="Z74">
        <v>116281.32992327366</v>
      </c>
      <c r="AA74">
        <v>0</v>
      </c>
      <c r="AB74">
        <v>116281.32992327366</v>
      </c>
      <c r="AC74">
        <v>0</v>
      </c>
      <c r="AD74">
        <v>116281.32992327366</v>
      </c>
      <c r="AE74">
        <v>0</v>
      </c>
      <c r="AF74">
        <v>116281.32992327366</v>
      </c>
      <c r="AG74">
        <v>0</v>
      </c>
      <c r="AH74">
        <v>116281.32992327366</v>
      </c>
      <c r="AI74">
        <v>0</v>
      </c>
      <c r="AJ74">
        <v>116281.32992327366</v>
      </c>
      <c r="AK74">
        <v>0</v>
      </c>
      <c r="AL74">
        <v>116281.32992327366</v>
      </c>
      <c r="AM74">
        <v>0</v>
      </c>
      <c r="AN74">
        <v>116281.32992327366</v>
      </c>
      <c r="AO74">
        <v>0</v>
      </c>
      <c r="AP74">
        <v>116281.32992327366</v>
      </c>
      <c r="AQ74">
        <v>0</v>
      </c>
      <c r="AR74">
        <v>116281.32992327366</v>
      </c>
      <c r="AS74">
        <v>0</v>
      </c>
      <c r="AT74">
        <v>116281.32992327366</v>
      </c>
      <c r="AV74">
        <v>116281.32992327366</v>
      </c>
      <c r="AW74">
        <v>-1107.0882443098963</v>
      </c>
      <c r="AX74">
        <v>115174.24167896376</v>
      </c>
      <c r="AY74">
        <v>4596.2124938514462</v>
      </c>
      <c r="AZ74">
        <v>119770.45417281521</v>
      </c>
      <c r="BA74">
        <v>0</v>
      </c>
      <c r="BB74">
        <v>119770.45417281521</v>
      </c>
      <c r="BC74">
        <v>0</v>
      </c>
      <c r="BD74">
        <v>119770.45417281521</v>
      </c>
      <c r="BE74">
        <v>0</v>
      </c>
      <c r="BF74">
        <v>119770.45417281521</v>
      </c>
      <c r="BG74">
        <v>1197.2454500737804</v>
      </c>
      <c r="BH74">
        <v>120967.69962288901</v>
      </c>
      <c r="BI74">
        <v>0</v>
      </c>
      <c r="BJ74">
        <v>120967.69962288901</v>
      </c>
      <c r="BK74">
        <v>120967.69962288899</v>
      </c>
      <c r="BL74">
        <v>7377820</v>
      </c>
      <c r="BO74">
        <v>0</v>
      </c>
      <c r="BP74">
        <v>120967.69962288899</v>
      </c>
      <c r="BQ74">
        <v>7377820</v>
      </c>
      <c r="BR74" s="238" t="s">
        <v>36</v>
      </c>
      <c r="BU74">
        <v>120967.69962288899</v>
      </c>
      <c r="BV74">
        <v>0</v>
      </c>
      <c r="BW74">
        <v>7377820</v>
      </c>
      <c r="BX74" s="238"/>
      <c r="BY74" s="238" t="s">
        <v>3</v>
      </c>
      <c r="BZ74" s="238" t="s">
        <v>3</v>
      </c>
      <c r="CA74" s="238" t="s">
        <v>8951</v>
      </c>
      <c r="CB74" s="238" t="s">
        <v>1167</v>
      </c>
      <c r="CC74" s="238" t="s">
        <v>9077</v>
      </c>
      <c r="CD74" s="238" t="s">
        <v>8971</v>
      </c>
      <c r="CE74" t="b">
        <v>1</v>
      </c>
      <c r="CF74">
        <v>7377820</v>
      </c>
      <c r="CG74">
        <v>7377820</v>
      </c>
      <c r="CH74">
        <v>0</v>
      </c>
      <c r="CI74">
        <v>0</v>
      </c>
      <c r="CJ74">
        <v>0</v>
      </c>
    </row>
    <row r="75" spans="1:88" x14ac:dyDescent="0.25">
      <c r="A75">
        <v>74</v>
      </c>
      <c r="B75">
        <v>1</v>
      </c>
      <c r="C75">
        <v>11</v>
      </c>
      <c r="D75">
        <v>6</v>
      </c>
      <c r="E75">
        <v>2</v>
      </c>
      <c r="F75">
        <v>14.2</v>
      </c>
      <c r="G75">
        <v>14.27</v>
      </c>
      <c r="I75">
        <v>28.47</v>
      </c>
      <c r="J75">
        <v>17.420000000000002</v>
      </c>
      <c r="K75">
        <v>4.57</v>
      </c>
      <c r="L75">
        <v>4.05</v>
      </c>
      <c r="M75">
        <v>3.57</v>
      </c>
      <c r="N75">
        <v>4.75</v>
      </c>
      <c r="P75">
        <v>2.87</v>
      </c>
      <c r="R75">
        <v>2.87</v>
      </c>
      <c r="S75">
        <v>65.7</v>
      </c>
      <c r="T75">
        <v>62.83</v>
      </c>
      <c r="U75">
        <v>64.27</v>
      </c>
      <c r="V75">
        <v>119603.52</v>
      </c>
      <c r="W75">
        <v>0.9457097288541263</v>
      </c>
      <c r="X75">
        <v>119604.46570972886</v>
      </c>
      <c r="Y75">
        <v>0</v>
      </c>
      <c r="Z75">
        <v>119604.46570972886</v>
      </c>
      <c r="AA75">
        <v>0</v>
      </c>
      <c r="AB75">
        <v>119604.46570972886</v>
      </c>
      <c r="AC75">
        <v>0</v>
      </c>
      <c r="AD75">
        <v>119604.46570972886</v>
      </c>
      <c r="AE75">
        <v>0</v>
      </c>
      <c r="AF75">
        <v>119604.46570972886</v>
      </c>
      <c r="AG75">
        <v>0</v>
      </c>
      <c r="AH75">
        <v>119604.46570972886</v>
      </c>
      <c r="AI75">
        <v>0</v>
      </c>
      <c r="AJ75">
        <v>119604.46570972886</v>
      </c>
      <c r="AK75">
        <v>0</v>
      </c>
      <c r="AL75">
        <v>119604.46570972886</v>
      </c>
      <c r="AM75">
        <v>0</v>
      </c>
      <c r="AN75">
        <v>119604.46570972886</v>
      </c>
      <c r="AO75">
        <v>0</v>
      </c>
      <c r="AP75">
        <v>119604.46570972886</v>
      </c>
      <c r="AQ75">
        <v>0</v>
      </c>
      <c r="AR75">
        <v>119604.46570972886</v>
      </c>
      <c r="AS75">
        <v>0</v>
      </c>
      <c r="AT75">
        <v>119604.46570972886</v>
      </c>
      <c r="AV75">
        <v>119604.46570972886</v>
      </c>
      <c r="AW75">
        <v>578.29452054966532</v>
      </c>
      <c r="AX75">
        <v>120182.76023027852</v>
      </c>
      <c r="AY75">
        <v>3010.0202271666349</v>
      </c>
      <c r="AZ75">
        <v>123192.78045744516</v>
      </c>
      <c r="BA75">
        <v>0</v>
      </c>
      <c r="BB75">
        <v>123192.78045744516</v>
      </c>
      <c r="BC75">
        <v>0</v>
      </c>
      <c r="BD75">
        <v>123192.78045744516</v>
      </c>
      <c r="BE75">
        <v>0</v>
      </c>
      <c r="BF75">
        <v>123192.78045744516</v>
      </c>
      <c r="BG75">
        <v>1232.1456355998089</v>
      </c>
      <c r="BH75">
        <v>124424.92609304497</v>
      </c>
      <c r="BI75">
        <v>0</v>
      </c>
      <c r="BJ75">
        <v>124424.92609304497</v>
      </c>
      <c r="BK75">
        <v>124424.92609304497</v>
      </c>
      <c r="BL75">
        <v>7996790</v>
      </c>
      <c r="BO75">
        <v>0</v>
      </c>
      <c r="BP75">
        <v>124424.92609304497</v>
      </c>
      <c r="BQ75">
        <v>7996790</v>
      </c>
      <c r="BR75" s="238" t="s">
        <v>36</v>
      </c>
      <c r="BU75">
        <v>124424.92609304497</v>
      </c>
      <c r="BV75">
        <v>0</v>
      </c>
      <c r="BW75">
        <v>7996790</v>
      </c>
      <c r="BX75" s="238"/>
      <c r="BY75" s="238" t="s">
        <v>3</v>
      </c>
      <c r="BZ75" s="238" t="s">
        <v>3</v>
      </c>
      <c r="CA75" s="238" t="s">
        <v>8951</v>
      </c>
      <c r="CB75" s="238" t="s">
        <v>1167</v>
      </c>
      <c r="CC75" s="238" t="s">
        <v>9077</v>
      </c>
      <c r="CD75" s="238" t="s">
        <v>8971</v>
      </c>
      <c r="CE75" t="b">
        <v>1</v>
      </c>
      <c r="CF75">
        <v>7996790</v>
      </c>
      <c r="CG75">
        <v>7996790</v>
      </c>
      <c r="CH75">
        <v>0</v>
      </c>
      <c r="CI75">
        <v>0</v>
      </c>
      <c r="CJ75">
        <v>0</v>
      </c>
    </row>
    <row r="76" spans="1:88" x14ac:dyDescent="0.25">
      <c r="A76">
        <v>75</v>
      </c>
      <c r="B76">
        <v>1</v>
      </c>
      <c r="C76">
        <v>11</v>
      </c>
      <c r="D76">
        <v>7</v>
      </c>
      <c r="E76">
        <v>1</v>
      </c>
      <c r="F76">
        <v>15.25</v>
      </c>
      <c r="I76">
        <v>15.25</v>
      </c>
      <c r="J76">
        <v>16.91</v>
      </c>
      <c r="K76">
        <v>4.4400000000000004</v>
      </c>
      <c r="M76">
        <v>3.93</v>
      </c>
      <c r="P76">
        <v>3.36</v>
      </c>
      <c r="R76">
        <v>3.36</v>
      </c>
      <c r="S76">
        <v>43.89</v>
      </c>
      <c r="T76">
        <v>40.53</v>
      </c>
      <c r="U76">
        <v>42.21</v>
      </c>
      <c r="V76">
        <v>119184.96000000001</v>
      </c>
      <c r="W76">
        <v>4.6045949202380143E-2</v>
      </c>
      <c r="X76">
        <v>119185.00604594921</v>
      </c>
      <c r="Y76">
        <v>0</v>
      </c>
      <c r="Z76">
        <v>119185.00604594921</v>
      </c>
      <c r="AA76">
        <v>0</v>
      </c>
      <c r="AB76">
        <v>119185.00604594921</v>
      </c>
      <c r="AC76">
        <v>0</v>
      </c>
      <c r="AD76">
        <v>119185.00604594921</v>
      </c>
      <c r="AE76">
        <v>0</v>
      </c>
      <c r="AF76">
        <v>119185.00604594921</v>
      </c>
      <c r="AG76">
        <v>0</v>
      </c>
      <c r="AH76">
        <v>119185.00604594921</v>
      </c>
      <c r="AI76">
        <v>0</v>
      </c>
      <c r="AJ76">
        <v>119185.00604594921</v>
      </c>
      <c r="AK76">
        <v>0</v>
      </c>
      <c r="AL76">
        <v>119185.00604594921</v>
      </c>
      <c r="AM76">
        <v>0</v>
      </c>
      <c r="AN76">
        <v>119185.00604594921</v>
      </c>
      <c r="AO76">
        <v>0</v>
      </c>
      <c r="AP76">
        <v>119185.00604594921</v>
      </c>
      <c r="AQ76">
        <v>0</v>
      </c>
      <c r="AR76">
        <v>119185.00604594921</v>
      </c>
      <c r="AS76">
        <v>0</v>
      </c>
      <c r="AT76">
        <v>119185.00604594921</v>
      </c>
      <c r="AV76">
        <v>119185.00604594921</v>
      </c>
      <c r="AW76">
        <v>1074.387462698025</v>
      </c>
      <c r="AX76">
        <v>120259.39350864723</v>
      </c>
      <c r="AY76">
        <v>2502.9850746268639</v>
      </c>
      <c r="AZ76">
        <v>122762.3785832741</v>
      </c>
      <c r="BA76">
        <v>0</v>
      </c>
      <c r="BB76">
        <v>122762.3785832741</v>
      </c>
      <c r="BC76">
        <v>0</v>
      </c>
      <c r="BD76">
        <v>122762.3785832741</v>
      </c>
      <c r="BE76">
        <v>0</v>
      </c>
      <c r="BF76">
        <v>122762.3785832741</v>
      </c>
      <c r="BG76">
        <v>2454.8685145700147</v>
      </c>
      <c r="BH76">
        <v>125217.24709784413</v>
      </c>
      <c r="BI76">
        <v>0</v>
      </c>
      <c r="BJ76">
        <v>125217.24709784413</v>
      </c>
      <c r="BK76">
        <v>125217.24709784411</v>
      </c>
      <c r="BL76">
        <v>5285420</v>
      </c>
      <c r="BO76">
        <v>0</v>
      </c>
      <c r="BP76">
        <v>125217.24709784411</v>
      </c>
      <c r="BQ76">
        <v>5285420</v>
      </c>
      <c r="BR76" s="238" t="s">
        <v>36</v>
      </c>
      <c r="BU76">
        <v>125217.24709784411</v>
      </c>
      <c r="BV76">
        <v>0</v>
      </c>
      <c r="BW76">
        <v>5285420</v>
      </c>
      <c r="BX76" s="238"/>
      <c r="BY76" s="238" t="s">
        <v>3</v>
      </c>
      <c r="BZ76" s="238" t="s">
        <v>3</v>
      </c>
      <c r="CA76" s="238" t="s">
        <v>8951</v>
      </c>
      <c r="CB76" s="238" t="s">
        <v>1167</v>
      </c>
      <c r="CC76" s="238" t="s">
        <v>9077</v>
      </c>
      <c r="CD76" s="238" t="s">
        <v>8972</v>
      </c>
      <c r="CE76" t="b">
        <v>1</v>
      </c>
      <c r="CF76">
        <v>5285420</v>
      </c>
      <c r="CG76">
        <v>5285420</v>
      </c>
      <c r="CH76">
        <v>0</v>
      </c>
      <c r="CI76">
        <v>0</v>
      </c>
      <c r="CJ76">
        <v>0</v>
      </c>
    </row>
    <row r="77" spans="1:88" x14ac:dyDescent="0.25">
      <c r="A77">
        <v>76</v>
      </c>
      <c r="B77">
        <v>1</v>
      </c>
      <c r="C77">
        <v>12</v>
      </c>
      <c r="D77">
        <v>1</v>
      </c>
      <c r="E77">
        <v>0</v>
      </c>
      <c r="F77">
        <v>17.66</v>
      </c>
      <c r="I77">
        <v>17.66</v>
      </c>
      <c r="J77">
        <v>7</v>
      </c>
      <c r="K77">
        <v>4.1500000000000004</v>
      </c>
      <c r="P77">
        <v>3.37</v>
      </c>
      <c r="R77">
        <v>3.37</v>
      </c>
      <c r="S77">
        <v>32.18</v>
      </c>
      <c r="T77">
        <v>28.81</v>
      </c>
      <c r="U77">
        <v>30.5</v>
      </c>
      <c r="V77">
        <v>138273.04</v>
      </c>
      <c r="W77">
        <v>1.6668676716799382</v>
      </c>
      <c r="X77">
        <v>138274.70686767169</v>
      </c>
      <c r="Y77">
        <v>0</v>
      </c>
      <c r="Z77">
        <v>138274.70686767169</v>
      </c>
      <c r="AA77">
        <v>0</v>
      </c>
      <c r="AB77">
        <v>138274.70686767169</v>
      </c>
      <c r="AC77">
        <v>0</v>
      </c>
      <c r="AD77">
        <v>138274.70686767169</v>
      </c>
      <c r="AE77">
        <v>0</v>
      </c>
      <c r="AF77">
        <v>138274.70686767169</v>
      </c>
      <c r="AG77">
        <v>0</v>
      </c>
      <c r="AH77">
        <v>138274.70686767169</v>
      </c>
      <c r="AI77">
        <v>0</v>
      </c>
      <c r="AJ77">
        <v>138274.70686767169</v>
      </c>
      <c r="AK77">
        <v>0</v>
      </c>
      <c r="AL77">
        <v>138274.70686767169</v>
      </c>
      <c r="AM77">
        <v>0</v>
      </c>
      <c r="AN77">
        <v>138274.70686767169</v>
      </c>
      <c r="AO77">
        <v>0</v>
      </c>
      <c r="AP77">
        <v>138274.70686767169</v>
      </c>
      <c r="AQ77">
        <v>0</v>
      </c>
      <c r="AR77">
        <v>138274.70686767169</v>
      </c>
      <c r="AS77">
        <v>0</v>
      </c>
      <c r="AT77">
        <v>138274.70686767169</v>
      </c>
      <c r="AV77">
        <v>138274.70686767169</v>
      </c>
      <c r="AW77">
        <v>1113.2931323283119</v>
      </c>
      <c r="AX77">
        <v>139388</v>
      </c>
      <c r="AY77">
        <v>3038.2295081967313</v>
      </c>
      <c r="AZ77">
        <v>142426.22950819673</v>
      </c>
      <c r="BA77">
        <v>0</v>
      </c>
      <c r="BB77">
        <v>142426.22950819673</v>
      </c>
      <c r="BC77">
        <v>0</v>
      </c>
      <c r="BD77">
        <v>142426.22950819673</v>
      </c>
      <c r="BE77">
        <v>0</v>
      </c>
      <c r="BF77">
        <v>142426.22950819673</v>
      </c>
      <c r="BG77">
        <v>0</v>
      </c>
      <c r="BH77">
        <v>142426.22950819673</v>
      </c>
      <c r="BI77">
        <v>0</v>
      </c>
      <c r="BJ77">
        <v>142426.22950819673</v>
      </c>
      <c r="BK77">
        <v>142426.22950819673</v>
      </c>
      <c r="BL77">
        <v>4344000</v>
      </c>
      <c r="BO77">
        <v>0</v>
      </c>
      <c r="BP77">
        <v>142426.22950819673</v>
      </c>
      <c r="BQ77">
        <v>4344000</v>
      </c>
      <c r="BR77" s="238" t="s">
        <v>36</v>
      </c>
      <c r="BU77">
        <v>142426.22950819673</v>
      </c>
      <c r="BV77">
        <v>0</v>
      </c>
      <c r="BW77">
        <v>4344000</v>
      </c>
      <c r="BX77" s="238"/>
      <c r="BY77" s="238" t="s">
        <v>3</v>
      </c>
      <c r="BZ77" s="238" t="s">
        <v>3</v>
      </c>
      <c r="CA77" s="238" t="s">
        <v>8951</v>
      </c>
      <c r="CB77" s="238" t="s">
        <v>1167</v>
      </c>
      <c r="CC77" s="238" t="s">
        <v>9077</v>
      </c>
      <c r="CD77" s="238" t="s">
        <v>8970</v>
      </c>
      <c r="CE77" t="b">
        <v>1</v>
      </c>
      <c r="CF77">
        <v>4344000</v>
      </c>
      <c r="CG77">
        <v>4344000</v>
      </c>
      <c r="CH77">
        <v>0</v>
      </c>
      <c r="CI77">
        <v>0</v>
      </c>
      <c r="CJ77">
        <v>0</v>
      </c>
    </row>
    <row r="78" spans="1:88" x14ac:dyDescent="0.25">
      <c r="A78">
        <v>77</v>
      </c>
      <c r="B78">
        <v>1</v>
      </c>
      <c r="C78">
        <v>12</v>
      </c>
      <c r="D78">
        <v>2</v>
      </c>
      <c r="E78">
        <v>2</v>
      </c>
      <c r="F78">
        <v>11.1</v>
      </c>
      <c r="G78">
        <v>10.86</v>
      </c>
      <c r="I78">
        <v>21.96</v>
      </c>
      <c r="J78">
        <v>17.5</v>
      </c>
      <c r="K78">
        <v>3.94</v>
      </c>
      <c r="M78">
        <v>4.08</v>
      </c>
      <c r="N78">
        <v>4.49</v>
      </c>
      <c r="P78">
        <v>3.69</v>
      </c>
      <c r="R78">
        <v>3.69</v>
      </c>
      <c r="S78">
        <v>55.66</v>
      </c>
      <c r="T78">
        <v>51.97</v>
      </c>
      <c r="U78">
        <v>53.82</v>
      </c>
      <c r="V78">
        <v>115173.75999999999</v>
      </c>
      <c r="W78">
        <v>1.812519083978259</v>
      </c>
      <c r="X78">
        <v>115175.57251908397</v>
      </c>
      <c r="Z78">
        <v>115175.57251908397</v>
      </c>
      <c r="AA78">
        <v>500.41984732824494</v>
      </c>
      <c r="AB78">
        <v>115675.99236641222</v>
      </c>
      <c r="AC78">
        <v>0</v>
      </c>
      <c r="AD78">
        <v>115675.99236641222</v>
      </c>
      <c r="AE78">
        <v>0</v>
      </c>
      <c r="AF78">
        <v>115675.99236641222</v>
      </c>
      <c r="AG78">
        <v>0</v>
      </c>
      <c r="AH78">
        <v>115675.99236641222</v>
      </c>
      <c r="AI78">
        <v>0</v>
      </c>
      <c r="AJ78">
        <v>115675.99236641222</v>
      </c>
      <c r="AK78">
        <v>0</v>
      </c>
      <c r="AL78">
        <v>115675.99236641222</v>
      </c>
      <c r="AM78">
        <v>0</v>
      </c>
      <c r="AN78">
        <v>115675.99236641222</v>
      </c>
      <c r="AP78">
        <v>115175.57251908397</v>
      </c>
      <c r="AQ78">
        <v>0</v>
      </c>
      <c r="AR78">
        <v>115175.57251908397</v>
      </c>
      <c r="AS78">
        <v>0</v>
      </c>
      <c r="AT78">
        <v>115175.57251908397</v>
      </c>
      <c r="AV78">
        <v>115175.57251908397</v>
      </c>
      <c r="AX78">
        <v>112136.75213675214</v>
      </c>
      <c r="AY78">
        <v>0</v>
      </c>
      <c r="AZ78">
        <v>112136.75213675214</v>
      </c>
      <c r="BA78">
        <v>0</v>
      </c>
      <c r="BB78">
        <v>112136.75213675214</v>
      </c>
      <c r="BC78">
        <v>0</v>
      </c>
      <c r="BD78">
        <v>112136.75213675214</v>
      </c>
      <c r="BE78">
        <v>0</v>
      </c>
      <c r="BF78">
        <v>112136.75213675214</v>
      </c>
      <c r="BG78">
        <v>0</v>
      </c>
      <c r="BH78">
        <v>112136.75213675214</v>
      </c>
      <c r="BI78">
        <v>0</v>
      </c>
      <c r="BJ78">
        <v>112136.75213675214</v>
      </c>
      <c r="BK78">
        <v>112136.75213675214</v>
      </c>
      <c r="BL78">
        <v>6035200</v>
      </c>
      <c r="BO78">
        <v>0</v>
      </c>
      <c r="BP78">
        <v>112136.75213675214</v>
      </c>
      <c r="BQ78">
        <v>6035200</v>
      </c>
      <c r="BR78" s="238" t="s">
        <v>36</v>
      </c>
      <c r="BU78">
        <v>112136.75213675214</v>
      </c>
      <c r="BV78">
        <v>0</v>
      </c>
      <c r="BW78">
        <v>6035200</v>
      </c>
      <c r="BX78" s="238"/>
      <c r="BY78" s="238" t="s">
        <v>8963</v>
      </c>
      <c r="BZ78" s="238" t="s">
        <v>8963</v>
      </c>
      <c r="CA78" s="238" t="s">
        <v>8953</v>
      </c>
      <c r="CB78" s="238" t="s">
        <v>8964</v>
      </c>
      <c r="CC78" s="238" t="s">
        <v>9077</v>
      </c>
      <c r="CD78" s="238" t="s">
        <v>8971</v>
      </c>
      <c r="CE78" t="b">
        <v>1</v>
      </c>
      <c r="CF78">
        <v>6035200</v>
      </c>
      <c r="CG78">
        <v>6260814</v>
      </c>
      <c r="CH78">
        <v>6035200</v>
      </c>
      <c r="CI78">
        <v>6035200</v>
      </c>
      <c r="CJ78">
        <v>0</v>
      </c>
    </row>
    <row r="79" spans="1:88" x14ac:dyDescent="0.25">
      <c r="A79">
        <v>78</v>
      </c>
      <c r="B79">
        <v>1</v>
      </c>
      <c r="C79">
        <v>12</v>
      </c>
      <c r="D79">
        <v>3</v>
      </c>
      <c r="E79">
        <v>2</v>
      </c>
      <c r="F79">
        <v>11.04</v>
      </c>
      <c r="G79">
        <v>12.05</v>
      </c>
      <c r="I79">
        <v>23.09</v>
      </c>
      <c r="J79">
        <v>20.09</v>
      </c>
      <c r="K79">
        <v>4.99</v>
      </c>
      <c r="M79">
        <v>2.65</v>
      </c>
      <c r="N79">
        <v>4.57</v>
      </c>
      <c r="O79">
        <v>3.63</v>
      </c>
      <c r="P79">
        <v>3.84</v>
      </c>
      <c r="R79">
        <v>3.84</v>
      </c>
      <c r="S79">
        <v>62.86</v>
      </c>
      <c r="T79">
        <v>59.02</v>
      </c>
      <c r="U79">
        <v>60.94</v>
      </c>
      <c r="V79">
        <v>118496.08</v>
      </c>
      <c r="W79">
        <v>0.96142011834308505</v>
      </c>
      <c r="X79">
        <v>118497.04142011834</v>
      </c>
      <c r="Y79">
        <v>0</v>
      </c>
      <c r="Z79">
        <v>118497.04142011834</v>
      </c>
      <c r="AA79">
        <v>0</v>
      </c>
      <c r="AB79">
        <v>118497.04142011834</v>
      </c>
      <c r="AC79">
        <v>0</v>
      </c>
      <c r="AD79">
        <v>118497.04142011834</v>
      </c>
      <c r="AE79">
        <v>0</v>
      </c>
      <c r="AF79">
        <v>118497.04142011834</v>
      </c>
      <c r="AG79">
        <v>0</v>
      </c>
      <c r="AH79">
        <v>118497.04142011834</v>
      </c>
      <c r="AI79">
        <v>0</v>
      </c>
      <c r="AJ79">
        <v>118497.04142011834</v>
      </c>
      <c r="AK79">
        <v>0</v>
      </c>
      <c r="AL79">
        <v>118497.04142011834</v>
      </c>
      <c r="AM79">
        <v>0</v>
      </c>
      <c r="AN79">
        <v>118497.04142011834</v>
      </c>
      <c r="AO79">
        <v>0</v>
      </c>
      <c r="AP79">
        <v>118497.04142011834</v>
      </c>
      <c r="AQ79">
        <v>0</v>
      </c>
      <c r="AR79">
        <v>118497.04142011834</v>
      </c>
      <c r="AS79">
        <v>0</v>
      </c>
      <c r="AT79">
        <v>118497.04142011834</v>
      </c>
      <c r="AV79">
        <v>118497.04142011834</v>
      </c>
      <c r="AW79">
        <v>-30.188778175448533</v>
      </c>
      <c r="AX79">
        <v>118466.8526419429</v>
      </c>
      <c r="AY79">
        <v>3585.9862159501208</v>
      </c>
      <c r="AZ79">
        <v>122052.83885789302</v>
      </c>
      <c r="BA79">
        <v>0</v>
      </c>
      <c r="BB79">
        <v>122052.83885789302</v>
      </c>
      <c r="BC79">
        <v>0</v>
      </c>
      <c r="BD79">
        <v>122052.83885789302</v>
      </c>
      <c r="BE79">
        <v>0</v>
      </c>
      <c r="BF79">
        <v>122052.83885789302</v>
      </c>
      <c r="BG79">
        <v>1220.6924844108871</v>
      </c>
      <c r="BH79">
        <v>123273.5313423039</v>
      </c>
      <c r="BI79">
        <v>0</v>
      </c>
      <c r="BJ79">
        <v>123273.5313423039</v>
      </c>
      <c r="BK79">
        <v>123273.5313423039</v>
      </c>
      <c r="BL79">
        <v>7512289</v>
      </c>
      <c r="BO79">
        <v>0</v>
      </c>
      <c r="BP79">
        <v>123273.5313423039</v>
      </c>
      <c r="BQ79">
        <v>7512289</v>
      </c>
      <c r="BR79" s="238" t="s">
        <v>36</v>
      </c>
      <c r="BU79">
        <v>123273.5313423039</v>
      </c>
      <c r="BV79">
        <v>0</v>
      </c>
      <c r="BW79">
        <v>7512289</v>
      </c>
      <c r="BX79" s="238"/>
      <c r="BY79" s="238" t="s">
        <v>3</v>
      </c>
      <c r="BZ79" s="238" t="s">
        <v>3</v>
      </c>
      <c r="CA79" s="238" t="s">
        <v>8951</v>
      </c>
      <c r="CB79" s="238" t="s">
        <v>1167</v>
      </c>
      <c r="CC79" s="238" t="s">
        <v>9077</v>
      </c>
      <c r="CD79" s="238" t="s">
        <v>8971</v>
      </c>
      <c r="CE79" t="b">
        <v>1</v>
      </c>
      <c r="CF79">
        <v>7512289</v>
      </c>
      <c r="CG79">
        <v>7512289</v>
      </c>
      <c r="CH79">
        <v>0</v>
      </c>
      <c r="CI79">
        <v>0</v>
      </c>
      <c r="CJ79">
        <v>0</v>
      </c>
    </row>
    <row r="80" spans="1:88" x14ac:dyDescent="0.25">
      <c r="A80">
        <v>79</v>
      </c>
      <c r="B80">
        <v>1</v>
      </c>
      <c r="C80">
        <v>12</v>
      </c>
      <c r="D80">
        <v>4</v>
      </c>
      <c r="E80">
        <v>1</v>
      </c>
      <c r="F80">
        <v>12.64</v>
      </c>
      <c r="I80">
        <v>12.64</v>
      </c>
      <c r="J80">
        <v>15.33</v>
      </c>
      <c r="K80">
        <v>4.32</v>
      </c>
      <c r="M80">
        <v>4.03</v>
      </c>
      <c r="P80">
        <v>3.38</v>
      </c>
      <c r="R80">
        <v>3.38</v>
      </c>
      <c r="S80">
        <v>39.700000000000003</v>
      </c>
      <c r="T80">
        <v>36.32</v>
      </c>
      <c r="U80">
        <v>38.01</v>
      </c>
      <c r="V80">
        <v>119184.96000000001</v>
      </c>
      <c r="W80">
        <v>0.42565629226737656</v>
      </c>
      <c r="X80">
        <v>119185.38565629227</v>
      </c>
      <c r="Y80">
        <v>0</v>
      </c>
      <c r="Z80">
        <v>119185.38565629227</v>
      </c>
      <c r="AA80">
        <v>0</v>
      </c>
      <c r="AB80">
        <v>119185.38565629227</v>
      </c>
      <c r="AC80">
        <v>0</v>
      </c>
      <c r="AD80">
        <v>119185.38565629227</v>
      </c>
      <c r="AE80">
        <v>0</v>
      </c>
      <c r="AF80">
        <v>119185.38565629227</v>
      </c>
      <c r="AG80">
        <v>0</v>
      </c>
      <c r="AH80">
        <v>119185.38565629227</v>
      </c>
      <c r="AI80">
        <v>0</v>
      </c>
      <c r="AJ80">
        <v>119185.38565629227</v>
      </c>
      <c r="AK80">
        <v>0</v>
      </c>
      <c r="AL80">
        <v>119185.38565629227</v>
      </c>
      <c r="AM80">
        <v>0</v>
      </c>
      <c r="AN80">
        <v>119185.38565629227</v>
      </c>
      <c r="AO80">
        <v>0</v>
      </c>
      <c r="AP80">
        <v>119185.38565629227</v>
      </c>
      <c r="AQ80">
        <v>0</v>
      </c>
      <c r="AR80">
        <v>119185.38565629227</v>
      </c>
      <c r="AS80">
        <v>0</v>
      </c>
      <c r="AT80">
        <v>119185.38565629227</v>
      </c>
      <c r="AV80">
        <v>119185.38565629227</v>
      </c>
      <c r="AW80">
        <v>151.68353602554998</v>
      </c>
      <c r="AX80">
        <v>119337.06919231782</v>
      </c>
      <c r="AY80">
        <v>3425.3617469087039</v>
      </c>
      <c r="AZ80">
        <v>122762.43093922653</v>
      </c>
      <c r="BA80">
        <v>0</v>
      </c>
      <c r="BB80">
        <v>122762.43093922653</v>
      </c>
      <c r="BC80">
        <v>0</v>
      </c>
      <c r="BD80">
        <v>122762.43093922653</v>
      </c>
      <c r="BE80">
        <v>0</v>
      </c>
      <c r="BF80">
        <v>122762.43093922653</v>
      </c>
      <c r="BG80">
        <v>2454.8013680610311</v>
      </c>
      <c r="BH80">
        <v>125217.23230728756</v>
      </c>
      <c r="BI80">
        <v>0</v>
      </c>
      <c r="BJ80">
        <v>125217.23230728756</v>
      </c>
      <c r="BK80">
        <v>125217.23230728756</v>
      </c>
      <c r="BL80">
        <v>4759507</v>
      </c>
      <c r="BO80">
        <v>0</v>
      </c>
      <c r="BP80">
        <v>125217.23230728756</v>
      </c>
      <c r="BQ80">
        <v>4759507</v>
      </c>
      <c r="BR80" s="238" t="s">
        <v>36</v>
      </c>
      <c r="BU80">
        <v>125217.23230728756</v>
      </c>
      <c r="BV80">
        <v>0</v>
      </c>
      <c r="BW80">
        <v>4759507</v>
      </c>
      <c r="BX80" s="238"/>
      <c r="BY80" s="238" t="s">
        <v>3</v>
      </c>
      <c r="BZ80" s="238" t="s">
        <v>3</v>
      </c>
      <c r="CA80" s="238" t="s">
        <v>8951</v>
      </c>
      <c r="CB80" s="238" t="s">
        <v>1167</v>
      </c>
      <c r="CC80" s="238" t="s">
        <v>9077</v>
      </c>
      <c r="CD80" s="238" t="s">
        <v>8972</v>
      </c>
      <c r="CE80" t="b">
        <v>1</v>
      </c>
      <c r="CF80">
        <v>4759507</v>
      </c>
      <c r="CG80">
        <v>4759507</v>
      </c>
      <c r="CH80">
        <v>0</v>
      </c>
      <c r="CI80">
        <v>0</v>
      </c>
      <c r="CJ80">
        <v>0</v>
      </c>
    </row>
    <row r="81" spans="1:88" x14ac:dyDescent="0.25">
      <c r="A81">
        <v>80</v>
      </c>
      <c r="B81">
        <v>1</v>
      </c>
      <c r="C81">
        <v>12</v>
      </c>
      <c r="D81">
        <v>5</v>
      </c>
      <c r="E81">
        <v>2</v>
      </c>
      <c r="F81">
        <v>10.59</v>
      </c>
      <c r="G81">
        <v>14.05</v>
      </c>
      <c r="I81">
        <v>24.64</v>
      </c>
      <c r="J81">
        <v>18.2</v>
      </c>
      <c r="K81">
        <v>4.54</v>
      </c>
      <c r="M81">
        <v>3.1</v>
      </c>
      <c r="N81">
        <v>4.93</v>
      </c>
      <c r="O81">
        <v>3.83</v>
      </c>
      <c r="P81">
        <v>3.49</v>
      </c>
      <c r="R81">
        <v>3.49</v>
      </c>
      <c r="S81">
        <v>62.73</v>
      </c>
      <c r="T81">
        <v>59.24</v>
      </c>
      <c r="U81">
        <v>60.99</v>
      </c>
      <c r="V81">
        <v>116281.2</v>
      </c>
      <c r="W81">
        <v>0.12992327366373502</v>
      </c>
      <c r="X81">
        <v>116281.32992327366</v>
      </c>
      <c r="Y81">
        <v>0</v>
      </c>
      <c r="Z81">
        <v>116281.32992327366</v>
      </c>
      <c r="AA81">
        <v>0</v>
      </c>
      <c r="AB81">
        <v>116281.32992327366</v>
      </c>
      <c r="AC81">
        <v>0</v>
      </c>
      <c r="AD81">
        <v>116281.32992327366</v>
      </c>
      <c r="AE81">
        <v>0</v>
      </c>
      <c r="AF81">
        <v>116281.32992327366</v>
      </c>
      <c r="AG81">
        <v>0</v>
      </c>
      <c r="AH81">
        <v>116281.32992327366</v>
      </c>
      <c r="AI81">
        <v>0</v>
      </c>
      <c r="AJ81">
        <v>116281.32992327366</v>
      </c>
      <c r="AK81">
        <v>0</v>
      </c>
      <c r="AL81">
        <v>116281.32992327366</v>
      </c>
      <c r="AM81">
        <v>0</v>
      </c>
      <c r="AN81">
        <v>116281.32992327366</v>
      </c>
      <c r="AO81">
        <v>0</v>
      </c>
      <c r="AP81">
        <v>116281.32992327366</v>
      </c>
      <c r="AQ81">
        <v>0</v>
      </c>
      <c r="AR81">
        <v>116281.32992327366</v>
      </c>
      <c r="AS81">
        <v>0</v>
      </c>
      <c r="AT81">
        <v>116281.32992327366</v>
      </c>
      <c r="AV81">
        <v>116281.32992327366</v>
      </c>
      <c r="AW81">
        <v>-1107.0882443098963</v>
      </c>
      <c r="AX81">
        <v>115174.24167896376</v>
      </c>
      <c r="AY81">
        <v>4596.2124938514462</v>
      </c>
      <c r="AZ81">
        <v>119770.45417281521</v>
      </c>
      <c r="BA81">
        <v>0</v>
      </c>
      <c r="BB81">
        <v>119770.45417281521</v>
      </c>
      <c r="BC81">
        <v>0</v>
      </c>
      <c r="BD81">
        <v>119770.45417281521</v>
      </c>
      <c r="BE81">
        <v>0</v>
      </c>
      <c r="BF81">
        <v>119770.45417281521</v>
      </c>
      <c r="BG81">
        <v>1197.2454500737804</v>
      </c>
      <c r="BH81">
        <v>120967.69962288901</v>
      </c>
      <c r="BI81">
        <v>0</v>
      </c>
      <c r="BJ81">
        <v>120967.69962288901</v>
      </c>
      <c r="BK81">
        <v>120967.69962288899</v>
      </c>
      <c r="BL81">
        <v>7377820</v>
      </c>
      <c r="BO81">
        <v>0</v>
      </c>
      <c r="BP81">
        <v>120967.69962288899</v>
      </c>
      <c r="BQ81">
        <v>7377820</v>
      </c>
      <c r="BR81" s="238" t="s">
        <v>36</v>
      </c>
      <c r="BU81">
        <v>120967.69962288899</v>
      </c>
      <c r="BV81">
        <v>0</v>
      </c>
      <c r="BW81">
        <v>7377820</v>
      </c>
      <c r="BX81" s="238"/>
      <c r="BY81" s="238" t="s">
        <v>3</v>
      </c>
      <c r="BZ81" s="238" t="s">
        <v>3</v>
      </c>
      <c r="CA81" s="238" t="s">
        <v>8951</v>
      </c>
      <c r="CB81" s="238" t="s">
        <v>1167</v>
      </c>
      <c r="CC81" s="238" t="s">
        <v>9077</v>
      </c>
      <c r="CD81" s="238" t="s">
        <v>8971</v>
      </c>
      <c r="CE81" t="b">
        <v>1</v>
      </c>
      <c r="CF81">
        <v>7377820</v>
      </c>
      <c r="CG81">
        <v>7377820</v>
      </c>
      <c r="CH81">
        <v>0</v>
      </c>
      <c r="CI81">
        <v>0</v>
      </c>
      <c r="CJ81">
        <v>0</v>
      </c>
    </row>
    <row r="82" spans="1:88" x14ac:dyDescent="0.25">
      <c r="A82">
        <v>81</v>
      </c>
      <c r="B82">
        <v>1</v>
      </c>
      <c r="C82">
        <v>12</v>
      </c>
      <c r="D82">
        <v>6</v>
      </c>
      <c r="E82">
        <v>2</v>
      </c>
      <c r="F82">
        <v>14.2</v>
      </c>
      <c r="G82">
        <v>14.27</v>
      </c>
      <c r="I82">
        <v>28.47</v>
      </c>
      <c r="J82">
        <v>17.420000000000002</v>
      </c>
      <c r="K82">
        <v>4.57</v>
      </c>
      <c r="L82">
        <v>4.05</v>
      </c>
      <c r="M82">
        <v>3.57</v>
      </c>
      <c r="N82">
        <v>4.75</v>
      </c>
      <c r="P82">
        <v>2.87</v>
      </c>
      <c r="R82">
        <v>2.87</v>
      </c>
      <c r="S82">
        <v>65.7</v>
      </c>
      <c r="T82">
        <v>62.83</v>
      </c>
      <c r="U82">
        <v>64.27</v>
      </c>
      <c r="V82">
        <v>119603.52</v>
      </c>
      <c r="W82">
        <v>0.9457097288541263</v>
      </c>
      <c r="X82">
        <v>119604.46570972886</v>
      </c>
      <c r="Y82">
        <v>0</v>
      </c>
      <c r="Z82">
        <v>119604.46570972886</v>
      </c>
      <c r="AA82">
        <v>0</v>
      </c>
      <c r="AB82">
        <v>119604.46570972886</v>
      </c>
      <c r="AC82">
        <v>0</v>
      </c>
      <c r="AD82">
        <v>119604.46570972886</v>
      </c>
      <c r="AE82">
        <v>0</v>
      </c>
      <c r="AF82">
        <v>119604.46570972886</v>
      </c>
      <c r="AG82">
        <v>0</v>
      </c>
      <c r="AH82">
        <v>119604.46570972886</v>
      </c>
      <c r="AI82">
        <v>0</v>
      </c>
      <c r="AJ82">
        <v>119604.46570972886</v>
      </c>
      <c r="AK82">
        <v>0</v>
      </c>
      <c r="AL82">
        <v>119604.46570972886</v>
      </c>
      <c r="AM82">
        <v>0</v>
      </c>
      <c r="AN82">
        <v>119604.46570972886</v>
      </c>
      <c r="AO82">
        <v>0</v>
      </c>
      <c r="AP82">
        <v>119604.46570972886</v>
      </c>
      <c r="AQ82">
        <v>0</v>
      </c>
      <c r="AR82">
        <v>119604.46570972886</v>
      </c>
      <c r="AS82">
        <v>0</v>
      </c>
      <c r="AT82">
        <v>119604.46570972886</v>
      </c>
      <c r="AV82">
        <v>119604.46570972886</v>
      </c>
      <c r="AW82">
        <v>578.29452054966532</v>
      </c>
      <c r="AX82">
        <v>120182.76023027852</v>
      </c>
      <c r="AY82">
        <v>3010.0202271666349</v>
      </c>
      <c r="AZ82">
        <v>123192.78045744516</v>
      </c>
      <c r="BA82">
        <v>0</v>
      </c>
      <c r="BB82">
        <v>123192.78045744516</v>
      </c>
      <c r="BC82">
        <v>0</v>
      </c>
      <c r="BD82">
        <v>123192.78045744516</v>
      </c>
      <c r="BE82">
        <v>0</v>
      </c>
      <c r="BF82">
        <v>123192.78045744516</v>
      </c>
      <c r="BG82">
        <v>1232.1456355998089</v>
      </c>
      <c r="BH82">
        <v>124424.92609304497</v>
      </c>
      <c r="BI82">
        <v>0</v>
      </c>
      <c r="BJ82">
        <v>124424.92609304497</v>
      </c>
      <c r="BK82">
        <v>124424.92609304497</v>
      </c>
      <c r="BL82">
        <v>7996790</v>
      </c>
      <c r="BO82">
        <v>0</v>
      </c>
      <c r="BP82">
        <v>124424.92609304497</v>
      </c>
      <c r="BQ82">
        <v>7996790</v>
      </c>
      <c r="BR82" s="238" t="s">
        <v>36</v>
      </c>
      <c r="BU82">
        <v>124424.92609304497</v>
      </c>
      <c r="BV82">
        <v>0</v>
      </c>
      <c r="BW82">
        <v>7996790</v>
      </c>
      <c r="BX82" s="238"/>
      <c r="BY82" s="238" t="s">
        <v>3</v>
      </c>
      <c r="BZ82" s="238" t="s">
        <v>3</v>
      </c>
      <c r="CA82" s="238" t="s">
        <v>8951</v>
      </c>
      <c r="CB82" s="238" t="s">
        <v>1167</v>
      </c>
      <c r="CC82" s="238" t="s">
        <v>9077</v>
      </c>
      <c r="CD82" s="238" t="s">
        <v>8971</v>
      </c>
      <c r="CE82" t="b">
        <v>1</v>
      </c>
      <c r="CF82">
        <v>7996790</v>
      </c>
      <c r="CG82">
        <v>7996790</v>
      </c>
      <c r="CH82">
        <v>0</v>
      </c>
      <c r="CI82">
        <v>0</v>
      </c>
      <c r="CJ82">
        <v>0</v>
      </c>
    </row>
    <row r="83" spans="1:88" x14ac:dyDescent="0.25">
      <c r="A83">
        <v>82</v>
      </c>
      <c r="B83">
        <v>1</v>
      </c>
      <c r="C83">
        <v>12</v>
      </c>
      <c r="D83">
        <v>7</v>
      </c>
      <c r="E83">
        <v>1</v>
      </c>
      <c r="F83">
        <v>15.25</v>
      </c>
      <c r="I83">
        <v>15.25</v>
      </c>
      <c r="J83">
        <v>16.91</v>
      </c>
      <c r="K83">
        <v>4.4400000000000004</v>
      </c>
      <c r="M83">
        <v>3.93</v>
      </c>
      <c r="P83">
        <v>3.36</v>
      </c>
      <c r="R83">
        <v>3.36</v>
      </c>
      <c r="S83">
        <v>43.89</v>
      </c>
      <c r="T83">
        <v>40.53</v>
      </c>
      <c r="U83">
        <v>42.21</v>
      </c>
      <c r="V83">
        <v>119184.96000000001</v>
      </c>
      <c r="W83">
        <v>4.6045949202380143E-2</v>
      </c>
      <c r="X83">
        <v>119185.00604594921</v>
      </c>
      <c r="Y83">
        <v>0</v>
      </c>
      <c r="Z83">
        <v>119185.00604594921</v>
      </c>
      <c r="AA83">
        <v>0</v>
      </c>
      <c r="AB83">
        <v>119185.00604594921</v>
      </c>
      <c r="AC83">
        <v>0</v>
      </c>
      <c r="AD83">
        <v>119185.00604594921</v>
      </c>
      <c r="AE83">
        <v>0</v>
      </c>
      <c r="AF83">
        <v>119185.00604594921</v>
      </c>
      <c r="AG83">
        <v>0</v>
      </c>
      <c r="AH83">
        <v>119185.00604594921</v>
      </c>
      <c r="AI83">
        <v>0</v>
      </c>
      <c r="AJ83">
        <v>119185.00604594921</v>
      </c>
      <c r="AK83">
        <v>0</v>
      </c>
      <c r="AL83">
        <v>119185.00604594921</v>
      </c>
      <c r="AM83">
        <v>0</v>
      </c>
      <c r="AN83">
        <v>119185.00604594921</v>
      </c>
      <c r="AO83">
        <v>0</v>
      </c>
      <c r="AP83">
        <v>119185.00604594921</v>
      </c>
      <c r="AQ83">
        <v>0</v>
      </c>
      <c r="AR83">
        <v>119185.00604594921</v>
      </c>
      <c r="AS83">
        <v>0</v>
      </c>
      <c r="AT83">
        <v>119185.00604594921</v>
      </c>
      <c r="AV83">
        <v>119185.00604594921</v>
      </c>
      <c r="AW83">
        <v>1074.387462698025</v>
      </c>
      <c r="AX83">
        <v>120259.39350864723</v>
      </c>
      <c r="AY83">
        <v>2502.9850746268639</v>
      </c>
      <c r="AZ83">
        <v>122762.3785832741</v>
      </c>
      <c r="BA83">
        <v>0</v>
      </c>
      <c r="BB83">
        <v>122762.3785832741</v>
      </c>
      <c r="BC83">
        <v>0</v>
      </c>
      <c r="BD83">
        <v>122762.3785832741</v>
      </c>
      <c r="BE83">
        <v>0</v>
      </c>
      <c r="BF83">
        <v>122762.3785832741</v>
      </c>
      <c r="BG83">
        <v>2454.8685145700147</v>
      </c>
      <c r="BH83">
        <v>125217.24709784413</v>
      </c>
      <c r="BI83">
        <v>0</v>
      </c>
      <c r="BJ83">
        <v>125217.24709784413</v>
      </c>
      <c r="BK83">
        <v>125217.24709784411</v>
      </c>
      <c r="BL83">
        <v>5285420</v>
      </c>
      <c r="BO83">
        <v>0</v>
      </c>
      <c r="BP83">
        <v>125217.24709784411</v>
      </c>
      <c r="BQ83">
        <v>5285420</v>
      </c>
      <c r="BR83" s="238" t="s">
        <v>36</v>
      </c>
      <c r="BU83">
        <v>125217.24709784411</v>
      </c>
      <c r="BV83">
        <v>0</v>
      </c>
      <c r="BW83">
        <v>5285420</v>
      </c>
      <c r="BX83" s="238"/>
      <c r="BY83" s="238" t="s">
        <v>3</v>
      </c>
      <c r="BZ83" s="238" t="s">
        <v>3</v>
      </c>
      <c r="CA83" s="238" t="s">
        <v>8951</v>
      </c>
      <c r="CB83" s="238" t="s">
        <v>1167</v>
      </c>
      <c r="CC83" s="238" t="s">
        <v>9077</v>
      </c>
      <c r="CD83" s="238" t="s">
        <v>8972</v>
      </c>
      <c r="CE83" t="b">
        <v>1</v>
      </c>
      <c r="CF83">
        <v>5285420</v>
      </c>
      <c r="CG83">
        <v>5285420</v>
      </c>
      <c r="CH83">
        <v>0</v>
      </c>
      <c r="CI83">
        <v>0</v>
      </c>
      <c r="CJ83">
        <v>0</v>
      </c>
    </row>
    <row r="84" spans="1:88" x14ac:dyDescent="0.25">
      <c r="A84">
        <v>83</v>
      </c>
      <c r="B84">
        <v>1</v>
      </c>
      <c r="C84">
        <v>13</v>
      </c>
      <c r="D84">
        <v>1</v>
      </c>
      <c r="E84">
        <v>0</v>
      </c>
      <c r="F84">
        <v>17.66</v>
      </c>
      <c r="I84">
        <v>17.66</v>
      </c>
      <c r="J84">
        <v>7</v>
      </c>
      <c r="K84">
        <v>4.1500000000000004</v>
      </c>
      <c r="P84">
        <v>3.37</v>
      </c>
      <c r="R84">
        <v>3.37</v>
      </c>
      <c r="S84">
        <v>32.18</v>
      </c>
      <c r="T84">
        <v>28.81</v>
      </c>
      <c r="U84">
        <v>30.5</v>
      </c>
      <c r="V84">
        <v>138273.04</v>
      </c>
      <c r="W84">
        <v>1.6668676716799382</v>
      </c>
      <c r="X84">
        <v>138274.70686767169</v>
      </c>
      <c r="Y84">
        <v>0</v>
      </c>
      <c r="Z84">
        <v>138274.70686767169</v>
      </c>
      <c r="AA84">
        <v>0</v>
      </c>
      <c r="AB84">
        <v>138274.70686767169</v>
      </c>
      <c r="AC84">
        <v>0</v>
      </c>
      <c r="AD84">
        <v>138274.70686767169</v>
      </c>
      <c r="AE84">
        <v>0</v>
      </c>
      <c r="AF84">
        <v>138274.70686767169</v>
      </c>
      <c r="AG84">
        <v>0</v>
      </c>
      <c r="AH84">
        <v>138274.70686767169</v>
      </c>
      <c r="AI84">
        <v>0</v>
      </c>
      <c r="AJ84">
        <v>138274.70686767169</v>
      </c>
      <c r="AK84">
        <v>0</v>
      </c>
      <c r="AL84">
        <v>138274.70686767169</v>
      </c>
      <c r="AM84">
        <v>0</v>
      </c>
      <c r="AN84">
        <v>138274.70686767169</v>
      </c>
      <c r="AO84">
        <v>0</v>
      </c>
      <c r="AP84">
        <v>138274.70686767169</v>
      </c>
      <c r="AQ84">
        <v>0</v>
      </c>
      <c r="AR84">
        <v>138274.70686767169</v>
      </c>
      <c r="AS84">
        <v>0</v>
      </c>
      <c r="AT84">
        <v>138274.70686767169</v>
      </c>
      <c r="AV84">
        <v>138274.70686767169</v>
      </c>
      <c r="AW84">
        <v>1113.2931323283119</v>
      </c>
      <c r="AX84">
        <v>139388</v>
      </c>
      <c r="AY84">
        <v>3038.2295081967313</v>
      </c>
      <c r="AZ84">
        <v>142426.22950819673</v>
      </c>
      <c r="BA84">
        <v>0</v>
      </c>
      <c r="BB84">
        <v>142426.22950819673</v>
      </c>
      <c r="BC84">
        <v>0</v>
      </c>
      <c r="BD84">
        <v>142426.22950819673</v>
      </c>
      <c r="BE84">
        <v>0</v>
      </c>
      <c r="BF84">
        <v>142426.22950819673</v>
      </c>
      <c r="BG84">
        <v>0</v>
      </c>
      <c r="BH84">
        <v>142426.22950819673</v>
      </c>
      <c r="BI84">
        <v>0</v>
      </c>
      <c r="BJ84">
        <v>142426.22950819673</v>
      </c>
      <c r="BK84">
        <v>142426.22950819673</v>
      </c>
      <c r="BL84">
        <v>4344000</v>
      </c>
      <c r="BO84">
        <v>0</v>
      </c>
      <c r="BP84">
        <v>142426.22950819673</v>
      </c>
      <c r="BQ84">
        <v>4344000</v>
      </c>
      <c r="BR84" s="238" t="s">
        <v>36</v>
      </c>
      <c r="BU84">
        <v>142426.22950819673</v>
      </c>
      <c r="BV84">
        <v>0</v>
      </c>
      <c r="BW84">
        <v>4344000</v>
      </c>
      <c r="BX84" s="238"/>
      <c r="BY84" s="238" t="s">
        <v>3</v>
      </c>
      <c r="BZ84" s="238" t="s">
        <v>3</v>
      </c>
      <c r="CA84" s="238" t="s">
        <v>8951</v>
      </c>
      <c r="CB84" s="238" t="s">
        <v>1167</v>
      </c>
      <c r="CC84" s="238" t="s">
        <v>9077</v>
      </c>
      <c r="CD84" s="238" t="s">
        <v>8970</v>
      </c>
      <c r="CE84" t="b">
        <v>1</v>
      </c>
      <c r="CF84">
        <v>4344000</v>
      </c>
      <c r="CG84">
        <v>4344000</v>
      </c>
      <c r="CH84">
        <v>0</v>
      </c>
      <c r="CI84">
        <v>0</v>
      </c>
      <c r="CJ84">
        <v>0</v>
      </c>
    </row>
    <row r="85" spans="1:88" x14ac:dyDescent="0.25">
      <c r="A85">
        <v>84</v>
      </c>
      <c r="B85">
        <v>1</v>
      </c>
      <c r="C85">
        <v>13</v>
      </c>
      <c r="D85">
        <v>2</v>
      </c>
      <c r="E85">
        <v>2</v>
      </c>
      <c r="F85">
        <v>11.1</v>
      </c>
      <c r="G85">
        <v>10.86</v>
      </c>
      <c r="I85">
        <v>21.96</v>
      </c>
      <c r="J85">
        <v>17.5</v>
      </c>
      <c r="K85">
        <v>3.94</v>
      </c>
      <c r="M85">
        <v>4.08</v>
      </c>
      <c r="N85">
        <v>4.49</v>
      </c>
      <c r="P85">
        <v>3.69</v>
      </c>
      <c r="R85">
        <v>3.69</v>
      </c>
      <c r="S85">
        <v>55.66</v>
      </c>
      <c r="T85">
        <v>51.97</v>
      </c>
      <c r="U85">
        <v>53.82</v>
      </c>
      <c r="V85">
        <v>115173.75999999999</v>
      </c>
      <c r="W85">
        <v>1.812519083978259</v>
      </c>
      <c r="X85">
        <v>115175.57251908397</v>
      </c>
      <c r="Y85">
        <v>500.41984732824494</v>
      </c>
      <c r="Z85">
        <v>115675.99236641222</v>
      </c>
      <c r="AA85">
        <v>0</v>
      </c>
      <c r="AB85">
        <v>115675.99236641222</v>
      </c>
      <c r="AC85">
        <v>0</v>
      </c>
      <c r="AD85">
        <v>115675.99236641222</v>
      </c>
      <c r="AE85">
        <v>0</v>
      </c>
      <c r="AF85">
        <v>115675.99236641222</v>
      </c>
      <c r="AG85">
        <v>0</v>
      </c>
      <c r="AH85">
        <v>115675.99236641222</v>
      </c>
      <c r="AI85">
        <v>0</v>
      </c>
      <c r="AJ85">
        <v>115675.99236641222</v>
      </c>
      <c r="AK85">
        <v>0</v>
      </c>
      <c r="AL85">
        <v>115675.99236641222</v>
      </c>
      <c r="AM85">
        <v>0</v>
      </c>
      <c r="AN85">
        <v>115675.99236641222</v>
      </c>
      <c r="AO85">
        <v>0</v>
      </c>
      <c r="AP85">
        <v>115675.99236641222</v>
      </c>
      <c r="AQ85">
        <v>0</v>
      </c>
      <c r="AR85">
        <v>115675.99236641222</v>
      </c>
      <c r="AS85">
        <v>0</v>
      </c>
      <c r="AT85">
        <v>115675.99236641222</v>
      </c>
      <c r="AV85">
        <v>115675.99236641222</v>
      </c>
      <c r="AW85">
        <v>828.11391378102417</v>
      </c>
      <c r="AX85">
        <v>116504.10628019324</v>
      </c>
      <c r="AY85">
        <v>3157.7294685990346</v>
      </c>
      <c r="AZ85">
        <v>119661.83574879228</v>
      </c>
      <c r="BA85">
        <v>0</v>
      </c>
      <c r="BB85">
        <v>119661.83574879228</v>
      </c>
      <c r="BC85">
        <v>0</v>
      </c>
      <c r="BD85">
        <v>119661.83574879228</v>
      </c>
      <c r="BE85">
        <v>0</v>
      </c>
      <c r="BF85">
        <v>119661.83574879228</v>
      </c>
      <c r="BG85">
        <v>0</v>
      </c>
      <c r="BH85">
        <v>119661.83574879228</v>
      </c>
      <c r="BI85">
        <v>0</v>
      </c>
      <c r="BJ85">
        <v>119661.83574879228</v>
      </c>
      <c r="BK85">
        <v>119661.83574879228</v>
      </c>
      <c r="BL85">
        <v>6440200</v>
      </c>
      <c r="BN85">
        <v>0.02</v>
      </c>
      <c r="BO85">
        <v>128804</v>
      </c>
      <c r="BP85">
        <v>117268.59903381643</v>
      </c>
      <c r="BQ85">
        <v>6311396</v>
      </c>
      <c r="BR85" s="238" t="s">
        <v>36</v>
      </c>
      <c r="BU85">
        <v>117268.59903381643</v>
      </c>
      <c r="BV85">
        <v>0</v>
      </c>
      <c r="BW85">
        <v>6311396</v>
      </c>
      <c r="BX85" s="238" t="s">
        <v>3540</v>
      </c>
      <c r="BY85" s="238" t="s">
        <v>8963</v>
      </c>
      <c r="BZ85" s="238" t="s">
        <v>8963</v>
      </c>
      <c r="CA85" s="238" t="s">
        <v>8953</v>
      </c>
      <c r="CB85" s="238" t="s">
        <v>8964</v>
      </c>
      <c r="CC85" s="238" t="s">
        <v>9077</v>
      </c>
      <c r="CD85" s="238" t="s">
        <v>8971</v>
      </c>
      <c r="CE85" t="b">
        <v>1</v>
      </c>
      <c r="CF85">
        <v>6440200</v>
      </c>
      <c r="CG85">
        <v>6504611</v>
      </c>
      <c r="CH85">
        <v>6440200</v>
      </c>
      <c r="CI85">
        <v>0</v>
      </c>
      <c r="CJ85">
        <v>0</v>
      </c>
    </row>
    <row r="86" spans="1:88" x14ac:dyDescent="0.25">
      <c r="A86">
        <v>85</v>
      </c>
      <c r="B86">
        <v>1</v>
      </c>
      <c r="C86">
        <v>13</v>
      </c>
      <c r="D86">
        <v>3</v>
      </c>
      <c r="E86">
        <v>2</v>
      </c>
      <c r="F86">
        <v>11.04</v>
      </c>
      <c r="G86">
        <v>12.05</v>
      </c>
      <c r="I86">
        <v>23.09</v>
      </c>
      <c r="J86">
        <v>20.09</v>
      </c>
      <c r="K86">
        <v>4.99</v>
      </c>
      <c r="M86">
        <v>2.65</v>
      </c>
      <c r="N86">
        <v>4.57</v>
      </c>
      <c r="O86">
        <v>3.63</v>
      </c>
      <c r="P86">
        <v>3.84</v>
      </c>
      <c r="R86">
        <v>3.84</v>
      </c>
      <c r="S86">
        <v>62.86</v>
      </c>
      <c r="T86">
        <v>59.02</v>
      </c>
      <c r="U86">
        <v>60.94</v>
      </c>
      <c r="V86">
        <v>118496.08</v>
      </c>
      <c r="W86">
        <v>0.96142011834308505</v>
      </c>
      <c r="X86">
        <v>118497.04142011834</v>
      </c>
      <c r="Y86">
        <v>0</v>
      </c>
      <c r="Z86">
        <v>118497.04142011834</v>
      </c>
      <c r="AA86">
        <v>0</v>
      </c>
      <c r="AB86">
        <v>118497.04142011834</v>
      </c>
      <c r="AC86">
        <v>0</v>
      </c>
      <c r="AD86">
        <v>118497.04142011834</v>
      </c>
      <c r="AE86">
        <v>0</v>
      </c>
      <c r="AF86">
        <v>118497.04142011834</v>
      </c>
      <c r="AG86">
        <v>0</v>
      </c>
      <c r="AH86">
        <v>118497.04142011834</v>
      </c>
      <c r="AI86">
        <v>0</v>
      </c>
      <c r="AJ86">
        <v>118497.04142011834</v>
      </c>
      <c r="AK86">
        <v>0</v>
      </c>
      <c r="AL86">
        <v>118497.04142011834</v>
      </c>
      <c r="AM86">
        <v>0</v>
      </c>
      <c r="AN86">
        <v>118497.04142011834</v>
      </c>
      <c r="AO86">
        <v>0</v>
      </c>
      <c r="AP86">
        <v>118497.04142011834</v>
      </c>
      <c r="AQ86">
        <v>0</v>
      </c>
      <c r="AR86">
        <v>118497.04142011834</v>
      </c>
      <c r="AS86">
        <v>0</v>
      </c>
      <c r="AT86">
        <v>118497.04142011834</v>
      </c>
      <c r="AV86">
        <v>118497.04142011834</v>
      </c>
      <c r="AW86">
        <v>-30.188778175448533</v>
      </c>
      <c r="AX86">
        <v>118466.8526419429</v>
      </c>
      <c r="AY86">
        <v>3585.9862159501208</v>
      </c>
      <c r="AZ86">
        <v>122052.83885789302</v>
      </c>
      <c r="BA86">
        <v>0</v>
      </c>
      <c r="BB86">
        <v>122052.83885789302</v>
      </c>
      <c r="BC86">
        <v>0</v>
      </c>
      <c r="BD86">
        <v>122052.83885789302</v>
      </c>
      <c r="BE86">
        <v>0</v>
      </c>
      <c r="BF86">
        <v>122052.83885789302</v>
      </c>
      <c r="BG86">
        <v>1220.6924844108871</v>
      </c>
      <c r="BH86">
        <v>123273.5313423039</v>
      </c>
      <c r="BI86">
        <v>0</v>
      </c>
      <c r="BJ86">
        <v>123273.5313423039</v>
      </c>
      <c r="BK86">
        <v>123273.5313423039</v>
      </c>
      <c r="BL86">
        <v>7512289</v>
      </c>
      <c r="BO86">
        <v>0</v>
      </c>
      <c r="BP86">
        <v>123273.5313423039</v>
      </c>
      <c r="BQ86">
        <v>7512289</v>
      </c>
      <c r="BR86" s="238" t="s">
        <v>36</v>
      </c>
      <c r="BU86">
        <v>123273.5313423039</v>
      </c>
      <c r="BV86">
        <v>0</v>
      </c>
      <c r="BW86">
        <v>7512289</v>
      </c>
      <c r="BX86" s="238"/>
      <c r="BY86" s="238" t="s">
        <v>3</v>
      </c>
      <c r="BZ86" s="238" t="s">
        <v>3</v>
      </c>
      <c r="CA86" s="238" t="s">
        <v>8951</v>
      </c>
      <c r="CB86" s="238" t="s">
        <v>1167</v>
      </c>
      <c r="CC86" s="238" t="s">
        <v>9077</v>
      </c>
      <c r="CD86" s="238" t="s">
        <v>8971</v>
      </c>
      <c r="CE86" t="b">
        <v>1</v>
      </c>
      <c r="CF86">
        <v>7512289</v>
      </c>
      <c r="CG86">
        <v>7512289</v>
      </c>
      <c r="CH86">
        <v>0</v>
      </c>
      <c r="CI86">
        <v>0</v>
      </c>
      <c r="CJ86">
        <v>0</v>
      </c>
    </row>
    <row r="87" spans="1:88" x14ac:dyDescent="0.25">
      <c r="A87">
        <v>86</v>
      </c>
      <c r="B87">
        <v>1</v>
      </c>
      <c r="C87">
        <v>13</v>
      </c>
      <c r="D87">
        <v>4</v>
      </c>
      <c r="E87">
        <v>1</v>
      </c>
      <c r="F87">
        <v>12.64</v>
      </c>
      <c r="I87">
        <v>12.64</v>
      </c>
      <c r="J87">
        <v>15.33</v>
      </c>
      <c r="K87">
        <v>4.32</v>
      </c>
      <c r="M87">
        <v>4.03</v>
      </c>
      <c r="P87">
        <v>3.38</v>
      </c>
      <c r="R87">
        <v>3.38</v>
      </c>
      <c r="S87">
        <v>39.700000000000003</v>
      </c>
      <c r="T87">
        <v>36.32</v>
      </c>
      <c r="U87">
        <v>38.01</v>
      </c>
      <c r="V87">
        <v>119184.96000000001</v>
      </c>
      <c r="W87">
        <v>0.42565629226737656</v>
      </c>
      <c r="X87">
        <v>119185.38565629227</v>
      </c>
      <c r="Y87">
        <v>0</v>
      </c>
      <c r="Z87">
        <v>119185.38565629227</v>
      </c>
      <c r="AA87">
        <v>0</v>
      </c>
      <c r="AB87">
        <v>119185.38565629227</v>
      </c>
      <c r="AC87">
        <v>0</v>
      </c>
      <c r="AD87">
        <v>119185.38565629227</v>
      </c>
      <c r="AE87">
        <v>0</v>
      </c>
      <c r="AF87">
        <v>119185.38565629227</v>
      </c>
      <c r="AG87">
        <v>0</v>
      </c>
      <c r="AH87">
        <v>119185.38565629227</v>
      </c>
      <c r="AI87">
        <v>0</v>
      </c>
      <c r="AJ87">
        <v>119185.38565629227</v>
      </c>
      <c r="AK87">
        <v>0</v>
      </c>
      <c r="AL87">
        <v>119185.38565629227</v>
      </c>
      <c r="AM87">
        <v>0</v>
      </c>
      <c r="AN87">
        <v>119185.38565629227</v>
      </c>
      <c r="AO87">
        <v>0</v>
      </c>
      <c r="AP87">
        <v>119185.38565629227</v>
      </c>
      <c r="AQ87">
        <v>0</v>
      </c>
      <c r="AR87">
        <v>119185.38565629227</v>
      </c>
      <c r="AS87">
        <v>0</v>
      </c>
      <c r="AT87">
        <v>119185.38565629227</v>
      </c>
      <c r="AV87">
        <v>119185.38565629227</v>
      </c>
      <c r="AW87">
        <v>151.68353602554998</v>
      </c>
      <c r="AX87">
        <v>119337.06919231782</v>
      </c>
      <c r="AY87">
        <v>3425.3617469087039</v>
      </c>
      <c r="AZ87">
        <v>122762.43093922653</v>
      </c>
      <c r="BA87">
        <v>0</v>
      </c>
      <c r="BB87">
        <v>122762.43093922653</v>
      </c>
      <c r="BC87">
        <v>0</v>
      </c>
      <c r="BD87">
        <v>122762.43093922653</v>
      </c>
      <c r="BE87">
        <v>0</v>
      </c>
      <c r="BF87">
        <v>122762.43093922653</v>
      </c>
      <c r="BG87">
        <v>2454.8013680610311</v>
      </c>
      <c r="BH87">
        <v>125217.23230728756</v>
      </c>
      <c r="BI87">
        <v>0</v>
      </c>
      <c r="BJ87">
        <v>125217.23230728756</v>
      </c>
      <c r="BK87">
        <v>125217.23230728756</v>
      </c>
      <c r="BL87">
        <v>4759507</v>
      </c>
      <c r="BO87">
        <v>0</v>
      </c>
      <c r="BP87">
        <v>125217.23230728756</v>
      </c>
      <c r="BQ87">
        <v>4759507</v>
      </c>
      <c r="BR87" s="238" t="s">
        <v>36</v>
      </c>
      <c r="BU87">
        <v>125217.23230728756</v>
      </c>
      <c r="BV87">
        <v>0</v>
      </c>
      <c r="BW87">
        <v>4759507</v>
      </c>
      <c r="BX87" s="238"/>
      <c r="BY87" s="238" t="s">
        <v>3</v>
      </c>
      <c r="BZ87" s="238" t="s">
        <v>3</v>
      </c>
      <c r="CA87" s="238" t="s">
        <v>8951</v>
      </c>
      <c r="CB87" s="238" t="s">
        <v>1167</v>
      </c>
      <c r="CC87" s="238" t="s">
        <v>9077</v>
      </c>
      <c r="CD87" s="238" t="s">
        <v>8972</v>
      </c>
      <c r="CE87" t="b">
        <v>1</v>
      </c>
      <c r="CF87">
        <v>4759507</v>
      </c>
      <c r="CG87">
        <v>4759507</v>
      </c>
      <c r="CH87">
        <v>0</v>
      </c>
      <c r="CI87">
        <v>0</v>
      </c>
      <c r="CJ87">
        <v>0</v>
      </c>
    </row>
    <row r="88" spans="1:88" x14ac:dyDescent="0.25">
      <c r="A88">
        <v>87</v>
      </c>
      <c r="B88">
        <v>1</v>
      </c>
      <c r="C88">
        <v>13</v>
      </c>
      <c r="D88">
        <v>5</v>
      </c>
      <c r="E88">
        <v>2</v>
      </c>
      <c r="F88">
        <v>10.59</v>
      </c>
      <c r="G88">
        <v>14.05</v>
      </c>
      <c r="I88">
        <v>24.64</v>
      </c>
      <c r="J88">
        <v>18.2</v>
      </c>
      <c r="K88">
        <v>4.54</v>
      </c>
      <c r="M88">
        <v>3.1</v>
      </c>
      <c r="N88">
        <v>4.93</v>
      </c>
      <c r="O88">
        <v>3.83</v>
      </c>
      <c r="P88">
        <v>3.49</v>
      </c>
      <c r="R88">
        <v>3.49</v>
      </c>
      <c r="S88">
        <v>62.73</v>
      </c>
      <c r="T88">
        <v>59.24</v>
      </c>
      <c r="U88">
        <v>60.99</v>
      </c>
      <c r="V88">
        <v>116281.2</v>
      </c>
      <c r="W88">
        <v>0.12992327366373502</v>
      </c>
      <c r="X88">
        <v>116281.32992327366</v>
      </c>
      <c r="Y88">
        <v>0</v>
      </c>
      <c r="Z88">
        <v>116281.32992327366</v>
      </c>
      <c r="AA88">
        <v>0</v>
      </c>
      <c r="AB88">
        <v>116281.32992327366</v>
      </c>
      <c r="AC88">
        <v>0</v>
      </c>
      <c r="AD88">
        <v>116281.32992327366</v>
      </c>
      <c r="AE88">
        <v>0</v>
      </c>
      <c r="AF88">
        <v>116281.32992327366</v>
      </c>
      <c r="AG88">
        <v>0</v>
      </c>
      <c r="AH88">
        <v>116281.32992327366</v>
      </c>
      <c r="AI88">
        <v>0</v>
      </c>
      <c r="AJ88">
        <v>116281.32992327366</v>
      </c>
      <c r="AK88">
        <v>0</v>
      </c>
      <c r="AL88">
        <v>116281.32992327366</v>
      </c>
      <c r="AM88">
        <v>0</v>
      </c>
      <c r="AN88">
        <v>116281.32992327366</v>
      </c>
      <c r="AO88">
        <v>0</v>
      </c>
      <c r="AP88">
        <v>116281.32992327366</v>
      </c>
      <c r="AQ88">
        <v>0</v>
      </c>
      <c r="AR88">
        <v>116281.32992327366</v>
      </c>
      <c r="AS88">
        <v>0</v>
      </c>
      <c r="AT88">
        <v>116281.32992327366</v>
      </c>
      <c r="AV88">
        <v>116281.32992327366</v>
      </c>
      <c r="AW88">
        <v>-1107.0882443098963</v>
      </c>
      <c r="AX88">
        <v>115174.24167896376</v>
      </c>
      <c r="AY88">
        <v>4596.2124938514462</v>
      </c>
      <c r="AZ88">
        <v>119770.45417281521</v>
      </c>
      <c r="BA88">
        <v>0</v>
      </c>
      <c r="BB88">
        <v>119770.45417281521</v>
      </c>
      <c r="BC88">
        <v>0</v>
      </c>
      <c r="BD88">
        <v>119770.45417281521</v>
      </c>
      <c r="BE88">
        <v>0</v>
      </c>
      <c r="BF88">
        <v>119770.45417281521</v>
      </c>
      <c r="BG88">
        <v>1197.2454500737804</v>
      </c>
      <c r="BH88">
        <v>120967.69962288901</v>
      </c>
      <c r="BI88">
        <v>0</v>
      </c>
      <c r="BJ88">
        <v>120967.69962288901</v>
      </c>
      <c r="BK88">
        <v>120967.69962288899</v>
      </c>
      <c r="BL88">
        <v>7377820</v>
      </c>
      <c r="BO88">
        <v>0</v>
      </c>
      <c r="BP88">
        <v>120967.69962288899</v>
      </c>
      <c r="BQ88">
        <v>7377820</v>
      </c>
      <c r="BR88" s="238" t="s">
        <v>36</v>
      </c>
      <c r="BU88">
        <v>120967.69962288899</v>
      </c>
      <c r="BV88">
        <v>0</v>
      </c>
      <c r="BW88">
        <v>7377820</v>
      </c>
      <c r="BX88" s="238"/>
      <c r="BY88" s="238" t="s">
        <v>3</v>
      </c>
      <c r="BZ88" s="238" t="s">
        <v>3</v>
      </c>
      <c r="CA88" s="238" t="s">
        <v>8951</v>
      </c>
      <c r="CB88" s="238" t="s">
        <v>1167</v>
      </c>
      <c r="CC88" s="238" t="s">
        <v>9077</v>
      </c>
      <c r="CD88" s="238" t="s">
        <v>8971</v>
      </c>
      <c r="CE88" t="b">
        <v>1</v>
      </c>
      <c r="CF88">
        <v>7377820</v>
      </c>
      <c r="CG88">
        <v>7377820</v>
      </c>
      <c r="CH88">
        <v>0</v>
      </c>
      <c r="CI88">
        <v>0</v>
      </c>
      <c r="CJ88">
        <v>0</v>
      </c>
    </row>
    <row r="89" spans="1:88" x14ac:dyDescent="0.25">
      <c r="A89">
        <v>88</v>
      </c>
      <c r="B89">
        <v>1</v>
      </c>
      <c r="C89">
        <v>13</v>
      </c>
      <c r="D89">
        <v>6</v>
      </c>
      <c r="E89">
        <v>2</v>
      </c>
      <c r="F89">
        <v>14.2</v>
      </c>
      <c r="G89">
        <v>14.27</v>
      </c>
      <c r="I89">
        <v>28.47</v>
      </c>
      <c r="J89">
        <v>17.420000000000002</v>
      </c>
      <c r="K89">
        <v>4.57</v>
      </c>
      <c r="L89">
        <v>4.05</v>
      </c>
      <c r="M89">
        <v>3.57</v>
      </c>
      <c r="N89">
        <v>4.75</v>
      </c>
      <c r="P89">
        <v>2.87</v>
      </c>
      <c r="R89">
        <v>2.87</v>
      </c>
      <c r="S89">
        <v>65.7</v>
      </c>
      <c r="T89">
        <v>62.83</v>
      </c>
      <c r="U89">
        <v>64.27</v>
      </c>
      <c r="V89">
        <v>119603.52</v>
      </c>
      <c r="W89">
        <v>0.9457097288541263</v>
      </c>
      <c r="X89">
        <v>119604.46570972886</v>
      </c>
      <c r="Y89">
        <v>0</v>
      </c>
      <c r="Z89">
        <v>119604.46570972886</v>
      </c>
      <c r="AA89">
        <v>0</v>
      </c>
      <c r="AB89">
        <v>119604.46570972886</v>
      </c>
      <c r="AC89">
        <v>0</v>
      </c>
      <c r="AD89">
        <v>119604.46570972886</v>
      </c>
      <c r="AE89">
        <v>0</v>
      </c>
      <c r="AF89">
        <v>119604.46570972886</v>
      </c>
      <c r="AG89">
        <v>0</v>
      </c>
      <c r="AH89">
        <v>119604.46570972886</v>
      </c>
      <c r="AI89">
        <v>0</v>
      </c>
      <c r="AJ89">
        <v>119604.46570972886</v>
      </c>
      <c r="AK89">
        <v>0</v>
      </c>
      <c r="AL89">
        <v>119604.46570972886</v>
      </c>
      <c r="AM89">
        <v>0</v>
      </c>
      <c r="AN89">
        <v>119604.46570972886</v>
      </c>
      <c r="AO89">
        <v>0</v>
      </c>
      <c r="AP89">
        <v>119604.46570972886</v>
      </c>
      <c r="AQ89">
        <v>0</v>
      </c>
      <c r="AR89">
        <v>119604.46570972886</v>
      </c>
      <c r="AS89">
        <v>0</v>
      </c>
      <c r="AT89">
        <v>119604.46570972886</v>
      </c>
      <c r="AV89">
        <v>119604.46570972886</v>
      </c>
      <c r="AW89">
        <v>578.29452054966532</v>
      </c>
      <c r="AX89">
        <v>120182.76023027852</v>
      </c>
      <c r="AY89">
        <v>3010.0202271666349</v>
      </c>
      <c r="AZ89">
        <v>123192.78045744516</v>
      </c>
      <c r="BA89">
        <v>0</v>
      </c>
      <c r="BB89">
        <v>123192.78045744516</v>
      </c>
      <c r="BC89">
        <v>0</v>
      </c>
      <c r="BD89">
        <v>123192.78045744516</v>
      </c>
      <c r="BE89">
        <v>0</v>
      </c>
      <c r="BF89">
        <v>123192.78045744516</v>
      </c>
      <c r="BG89">
        <v>1232.1456355998089</v>
      </c>
      <c r="BH89">
        <v>124424.92609304497</v>
      </c>
      <c r="BI89">
        <v>0</v>
      </c>
      <c r="BJ89">
        <v>124424.92609304497</v>
      </c>
      <c r="BK89">
        <v>124424.92609304497</v>
      </c>
      <c r="BL89">
        <v>7996790</v>
      </c>
      <c r="BO89">
        <v>0</v>
      </c>
      <c r="BP89">
        <v>124424.92609304497</v>
      </c>
      <c r="BQ89">
        <v>7996790</v>
      </c>
      <c r="BR89" s="238" t="s">
        <v>36</v>
      </c>
      <c r="BU89">
        <v>124424.92609304497</v>
      </c>
      <c r="BV89">
        <v>0</v>
      </c>
      <c r="BW89">
        <v>7996790</v>
      </c>
      <c r="BX89" s="238"/>
      <c r="BY89" s="238" t="s">
        <v>3</v>
      </c>
      <c r="BZ89" s="238" t="s">
        <v>3</v>
      </c>
      <c r="CA89" s="238" t="s">
        <v>8951</v>
      </c>
      <c r="CB89" s="238" t="s">
        <v>1167</v>
      </c>
      <c r="CC89" s="238" t="s">
        <v>9077</v>
      </c>
      <c r="CD89" s="238" t="s">
        <v>8971</v>
      </c>
      <c r="CE89" t="b">
        <v>1</v>
      </c>
      <c r="CF89">
        <v>7996790</v>
      </c>
      <c r="CG89">
        <v>7996790</v>
      </c>
      <c r="CH89">
        <v>0</v>
      </c>
      <c r="CI89">
        <v>0</v>
      </c>
      <c r="CJ89">
        <v>0</v>
      </c>
    </row>
    <row r="90" spans="1:88" x14ac:dyDescent="0.25">
      <c r="A90">
        <v>89</v>
      </c>
      <c r="B90">
        <v>1</v>
      </c>
      <c r="C90">
        <v>13</v>
      </c>
      <c r="D90">
        <v>7</v>
      </c>
      <c r="E90">
        <v>1</v>
      </c>
      <c r="F90">
        <v>15.25</v>
      </c>
      <c r="I90">
        <v>15.25</v>
      </c>
      <c r="J90">
        <v>16.91</v>
      </c>
      <c r="K90">
        <v>4.4400000000000004</v>
      </c>
      <c r="M90">
        <v>3.93</v>
      </c>
      <c r="P90">
        <v>3.36</v>
      </c>
      <c r="R90">
        <v>3.36</v>
      </c>
      <c r="S90">
        <v>43.89</v>
      </c>
      <c r="T90">
        <v>40.53</v>
      </c>
      <c r="U90">
        <v>42.21</v>
      </c>
      <c r="V90">
        <v>119184.96000000001</v>
      </c>
      <c r="W90">
        <v>4.6045949202380143E-2</v>
      </c>
      <c r="X90">
        <v>119185.00604594921</v>
      </c>
      <c r="Y90">
        <v>0</v>
      </c>
      <c r="Z90">
        <v>119185.00604594921</v>
      </c>
      <c r="AA90">
        <v>0</v>
      </c>
      <c r="AB90">
        <v>119185.00604594921</v>
      </c>
      <c r="AC90">
        <v>0</v>
      </c>
      <c r="AD90">
        <v>119185.00604594921</v>
      </c>
      <c r="AE90">
        <v>0</v>
      </c>
      <c r="AF90">
        <v>119185.00604594921</v>
      </c>
      <c r="AG90">
        <v>0</v>
      </c>
      <c r="AH90">
        <v>119185.00604594921</v>
      </c>
      <c r="AI90">
        <v>0</v>
      </c>
      <c r="AJ90">
        <v>119185.00604594921</v>
      </c>
      <c r="AK90">
        <v>0</v>
      </c>
      <c r="AL90">
        <v>119185.00604594921</v>
      </c>
      <c r="AM90">
        <v>0</v>
      </c>
      <c r="AN90">
        <v>119185.00604594921</v>
      </c>
      <c r="AO90">
        <v>0</v>
      </c>
      <c r="AP90">
        <v>119185.00604594921</v>
      </c>
      <c r="AQ90">
        <v>0</v>
      </c>
      <c r="AR90">
        <v>119185.00604594921</v>
      </c>
      <c r="AS90">
        <v>0</v>
      </c>
      <c r="AT90">
        <v>119185.00604594921</v>
      </c>
      <c r="AV90">
        <v>119185.00604594921</v>
      </c>
      <c r="AW90">
        <v>1074.387462698025</v>
      </c>
      <c r="AX90">
        <v>120259.39350864723</v>
      </c>
      <c r="AY90">
        <v>2502.9850746268639</v>
      </c>
      <c r="AZ90">
        <v>122762.3785832741</v>
      </c>
      <c r="BA90">
        <v>0</v>
      </c>
      <c r="BB90">
        <v>122762.3785832741</v>
      </c>
      <c r="BC90">
        <v>0</v>
      </c>
      <c r="BD90">
        <v>122762.3785832741</v>
      </c>
      <c r="BE90">
        <v>0</v>
      </c>
      <c r="BF90">
        <v>122762.3785832741</v>
      </c>
      <c r="BG90">
        <v>2454.8685145700147</v>
      </c>
      <c r="BH90">
        <v>125217.24709784413</v>
      </c>
      <c r="BI90">
        <v>0</v>
      </c>
      <c r="BJ90">
        <v>125217.24709784413</v>
      </c>
      <c r="BK90">
        <v>125217.24709784411</v>
      </c>
      <c r="BL90">
        <v>5285420</v>
      </c>
      <c r="BO90">
        <v>0</v>
      </c>
      <c r="BP90">
        <v>125217.24709784411</v>
      </c>
      <c r="BQ90">
        <v>5285420</v>
      </c>
      <c r="BR90" s="238" t="s">
        <v>36</v>
      </c>
      <c r="BU90">
        <v>125217.24709784411</v>
      </c>
      <c r="BV90">
        <v>0</v>
      </c>
      <c r="BW90">
        <v>5285420</v>
      </c>
      <c r="BX90" s="238"/>
      <c r="BY90" s="238" t="s">
        <v>3</v>
      </c>
      <c r="BZ90" s="238" t="s">
        <v>3</v>
      </c>
      <c r="CA90" s="238" t="s">
        <v>8951</v>
      </c>
      <c r="CB90" s="238" t="s">
        <v>1167</v>
      </c>
      <c r="CC90" s="238" t="s">
        <v>9077</v>
      </c>
      <c r="CD90" s="238" t="s">
        <v>8972</v>
      </c>
      <c r="CE90" t="b">
        <v>1</v>
      </c>
      <c r="CF90">
        <v>5285420</v>
      </c>
      <c r="CG90">
        <v>5285420</v>
      </c>
      <c r="CH90">
        <v>0</v>
      </c>
      <c r="CI90">
        <v>0</v>
      </c>
      <c r="CJ90">
        <v>0</v>
      </c>
    </row>
    <row r="91" spans="1:88" x14ac:dyDescent="0.25">
      <c r="A91">
        <v>90</v>
      </c>
      <c r="B91">
        <v>1</v>
      </c>
      <c r="C91">
        <v>14</v>
      </c>
      <c r="D91">
        <v>1</v>
      </c>
      <c r="E91">
        <v>0</v>
      </c>
      <c r="F91">
        <v>17.66</v>
      </c>
      <c r="I91">
        <v>17.66</v>
      </c>
      <c r="J91">
        <v>7</v>
      </c>
      <c r="K91">
        <v>4.1500000000000004</v>
      </c>
      <c r="P91">
        <v>3.37</v>
      </c>
      <c r="R91">
        <v>3.37</v>
      </c>
      <c r="S91">
        <v>32.18</v>
      </c>
      <c r="T91">
        <v>28.81</v>
      </c>
      <c r="U91">
        <v>30.5</v>
      </c>
      <c r="V91">
        <v>138273.04</v>
      </c>
      <c r="W91">
        <v>1.6668676716799382</v>
      </c>
      <c r="X91">
        <v>138274.70686767169</v>
      </c>
      <c r="Y91">
        <v>0</v>
      </c>
      <c r="Z91">
        <v>138274.70686767169</v>
      </c>
      <c r="AA91">
        <v>0</v>
      </c>
      <c r="AB91">
        <v>138274.70686767169</v>
      </c>
      <c r="AC91">
        <v>0</v>
      </c>
      <c r="AD91">
        <v>138274.70686767169</v>
      </c>
      <c r="AE91">
        <v>0</v>
      </c>
      <c r="AF91">
        <v>138274.70686767169</v>
      </c>
      <c r="AG91">
        <v>0</v>
      </c>
      <c r="AH91">
        <v>138274.70686767169</v>
      </c>
      <c r="AI91">
        <v>0</v>
      </c>
      <c r="AJ91">
        <v>138274.70686767169</v>
      </c>
      <c r="AK91">
        <v>0</v>
      </c>
      <c r="AL91">
        <v>138274.70686767169</v>
      </c>
      <c r="AM91">
        <v>0</v>
      </c>
      <c r="AN91">
        <v>138274.70686767169</v>
      </c>
      <c r="AO91">
        <v>0</v>
      </c>
      <c r="AP91">
        <v>138274.70686767169</v>
      </c>
      <c r="AQ91">
        <v>0</v>
      </c>
      <c r="AR91">
        <v>138274.70686767169</v>
      </c>
      <c r="AS91">
        <v>0</v>
      </c>
      <c r="AT91">
        <v>138274.70686767169</v>
      </c>
      <c r="AV91">
        <v>138274.70686767169</v>
      </c>
      <c r="AW91">
        <v>1113.2931323283119</v>
      </c>
      <c r="AX91">
        <v>139388</v>
      </c>
      <c r="AY91">
        <v>3038.2295081967313</v>
      </c>
      <c r="AZ91">
        <v>142426.22950819673</v>
      </c>
      <c r="BA91">
        <v>0</v>
      </c>
      <c r="BB91">
        <v>142426.22950819673</v>
      </c>
      <c r="BC91">
        <v>0</v>
      </c>
      <c r="BD91">
        <v>142426.22950819673</v>
      </c>
      <c r="BE91">
        <v>0</v>
      </c>
      <c r="BF91">
        <v>142426.22950819673</v>
      </c>
      <c r="BG91">
        <v>0</v>
      </c>
      <c r="BH91">
        <v>142426.22950819673</v>
      </c>
      <c r="BI91">
        <v>0</v>
      </c>
      <c r="BJ91">
        <v>142426.22950819673</v>
      </c>
      <c r="BK91">
        <v>142426.22950819673</v>
      </c>
      <c r="BL91">
        <v>4344000</v>
      </c>
      <c r="BO91">
        <v>0</v>
      </c>
      <c r="BP91">
        <v>142426.22950819673</v>
      </c>
      <c r="BQ91">
        <v>4344000</v>
      </c>
      <c r="BR91" s="238" t="s">
        <v>36</v>
      </c>
      <c r="BU91">
        <v>142426.22950819673</v>
      </c>
      <c r="BV91">
        <v>0</v>
      </c>
      <c r="BW91">
        <v>4344000</v>
      </c>
      <c r="BX91" s="238"/>
      <c r="BY91" s="238" t="s">
        <v>3</v>
      </c>
      <c r="BZ91" s="238" t="s">
        <v>3</v>
      </c>
      <c r="CA91" s="238" t="s">
        <v>8951</v>
      </c>
      <c r="CB91" s="238" t="s">
        <v>1167</v>
      </c>
      <c r="CC91" s="238" t="s">
        <v>9077</v>
      </c>
      <c r="CD91" s="238" t="s">
        <v>8970</v>
      </c>
      <c r="CE91" t="b">
        <v>1</v>
      </c>
      <c r="CF91">
        <v>4344000</v>
      </c>
      <c r="CG91">
        <v>4344000</v>
      </c>
      <c r="CH91">
        <v>0</v>
      </c>
      <c r="CI91">
        <v>0</v>
      </c>
      <c r="CJ91">
        <v>0</v>
      </c>
    </row>
    <row r="92" spans="1:88" x14ac:dyDescent="0.25">
      <c r="A92">
        <v>91</v>
      </c>
      <c r="B92">
        <v>1</v>
      </c>
      <c r="C92">
        <v>14</v>
      </c>
      <c r="D92">
        <v>2</v>
      </c>
      <c r="E92">
        <v>2</v>
      </c>
      <c r="F92">
        <v>11.1</v>
      </c>
      <c r="G92">
        <v>10.86</v>
      </c>
      <c r="I92">
        <v>21.96</v>
      </c>
      <c r="J92">
        <v>17.5</v>
      </c>
      <c r="K92">
        <v>3.94</v>
      </c>
      <c r="M92">
        <v>4.08</v>
      </c>
      <c r="N92">
        <v>4.49</v>
      </c>
      <c r="P92">
        <v>3.69</v>
      </c>
      <c r="R92">
        <v>3.69</v>
      </c>
      <c r="S92">
        <v>55.66</v>
      </c>
      <c r="T92">
        <v>51.97</v>
      </c>
      <c r="U92">
        <v>53.82</v>
      </c>
      <c r="V92">
        <v>115173.75999999999</v>
      </c>
      <c r="W92">
        <v>1.812519083978259</v>
      </c>
      <c r="X92">
        <v>115175.57251908397</v>
      </c>
      <c r="Y92">
        <v>500.41984732824494</v>
      </c>
      <c r="Z92">
        <v>115675.99236641222</v>
      </c>
      <c r="AA92">
        <v>0</v>
      </c>
      <c r="AB92">
        <v>115675.99236641222</v>
      </c>
      <c r="AC92">
        <v>0</v>
      </c>
      <c r="AD92">
        <v>115675.99236641222</v>
      </c>
      <c r="AE92">
        <v>0</v>
      </c>
      <c r="AF92">
        <v>115675.99236641222</v>
      </c>
      <c r="AG92">
        <v>0</v>
      </c>
      <c r="AH92">
        <v>115675.99236641222</v>
      </c>
      <c r="AI92">
        <v>0</v>
      </c>
      <c r="AJ92">
        <v>115675.99236641222</v>
      </c>
      <c r="AK92">
        <v>0</v>
      </c>
      <c r="AL92">
        <v>115675.99236641222</v>
      </c>
      <c r="AM92">
        <v>0</v>
      </c>
      <c r="AN92">
        <v>115675.99236641222</v>
      </c>
      <c r="AO92">
        <v>0</v>
      </c>
      <c r="AP92">
        <v>115675.99236641222</v>
      </c>
      <c r="AQ92">
        <v>0</v>
      </c>
      <c r="AR92">
        <v>115675.99236641222</v>
      </c>
      <c r="AS92">
        <v>0</v>
      </c>
      <c r="AT92">
        <v>115675.99236641222</v>
      </c>
      <c r="AV92">
        <v>115675.99236641222</v>
      </c>
      <c r="AX92">
        <v>112623.96878483835</v>
      </c>
      <c r="AY92">
        <v>0</v>
      </c>
      <c r="AZ92">
        <v>112623.96878483835</v>
      </c>
      <c r="BA92">
        <v>0</v>
      </c>
      <c r="BB92">
        <v>112623.96878483835</v>
      </c>
      <c r="BC92">
        <v>0</v>
      </c>
      <c r="BD92">
        <v>112623.96878483835</v>
      </c>
      <c r="BE92">
        <v>0</v>
      </c>
      <c r="BF92">
        <v>112623.96878483835</v>
      </c>
      <c r="BG92">
        <v>0</v>
      </c>
      <c r="BH92">
        <v>112623.96878483836</v>
      </c>
      <c r="BI92">
        <v>0</v>
      </c>
      <c r="BJ92">
        <v>112623.96878483836</v>
      </c>
      <c r="BK92">
        <v>112623.96878483835</v>
      </c>
      <c r="BL92">
        <v>6061422</v>
      </c>
      <c r="BN92">
        <v>0.02</v>
      </c>
      <c r="BO92">
        <v>121228</v>
      </c>
      <c r="BP92">
        <v>110371.49758454107</v>
      </c>
      <c r="BQ92">
        <v>5940194</v>
      </c>
      <c r="BR92" s="238" t="s">
        <v>36</v>
      </c>
      <c r="BU92">
        <v>110371.49758454107</v>
      </c>
      <c r="BV92">
        <v>0</v>
      </c>
      <c r="BW92">
        <v>5940194</v>
      </c>
      <c r="BX92" s="238" t="s">
        <v>9078</v>
      </c>
      <c r="BY92" s="238" t="s">
        <v>8963</v>
      </c>
      <c r="BZ92" s="238" t="s">
        <v>8963</v>
      </c>
      <c r="CA92" s="238" t="s">
        <v>8953</v>
      </c>
      <c r="CB92" s="238" t="s">
        <v>8964</v>
      </c>
      <c r="CC92" s="238" t="s">
        <v>9077</v>
      </c>
      <c r="CD92" s="238" t="s">
        <v>8971</v>
      </c>
      <c r="CE92" t="b">
        <v>1</v>
      </c>
      <c r="CF92">
        <v>6061422</v>
      </c>
      <c r="CG92">
        <v>6287939</v>
      </c>
      <c r="CH92">
        <v>6061422</v>
      </c>
      <c r="CI92">
        <v>0</v>
      </c>
      <c r="CJ92">
        <v>0</v>
      </c>
    </row>
    <row r="93" spans="1:88" x14ac:dyDescent="0.25">
      <c r="A93">
        <v>92</v>
      </c>
      <c r="B93">
        <v>1</v>
      </c>
      <c r="C93">
        <v>14</v>
      </c>
      <c r="D93">
        <v>3</v>
      </c>
      <c r="E93">
        <v>2</v>
      </c>
      <c r="F93">
        <v>11.04</v>
      </c>
      <c r="G93">
        <v>12.05</v>
      </c>
      <c r="I93">
        <v>23.09</v>
      </c>
      <c r="J93">
        <v>20.09</v>
      </c>
      <c r="K93">
        <v>4.99</v>
      </c>
      <c r="M93">
        <v>2.65</v>
      </c>
      <c r="N93">
        <v>4.57</v>
      </c>
      <c r="O93">
        <v>3.63</v>
      </c>
      <c r="P93">
        <v>3.84</v>
      </c>
      <c r="R93">
        <v>3.84</v>
      </c>
      <c r="S93">
        <v>62.86</v>
      </c>
      <c r="T93">
        <v>59.02</v>
      </c>
      <c r="U93">
        <v>60.94</v>
      </c>
      <c r="V93">
        <v>118496.08</v>
      </c>
      <c r="W93">
        <v>0.96142011834308505</v>
      </c>
      <c r="X93">
        <v>118497.04142011834</v>
      </c>
      <c r="Y93">
        <v>0</v>
      </c>
      <c r="Z93">
        <v>118497.04142011834</v>
      </c>
      <c r="AA93">
        <v>0</v>
      </c>
      <c r="AB93">
        <v>118497.04142011834</v>
      </c>
      <c r="AC93">
        <v>0</v>
      </c>
      <c r="AD93">
        <v>118497.04142011834</v>
      </c>
      <c r="AE93">
        <v>0</v>
      </c>
      <c r="AF93">
        <v>118497.04142011834</v>
      </c>
      <c r="AG93">
        <v>0</v>
      </c>
      <c r="AH93">
        <v>118497.04142011834</v>
      </c>
      <c r="AI93">
        <v>0</v>
      </c>
      <c r="AJ93">
        <v>118497.04142011834</v>
      </c>
      <c r="AK93">
        <v>0</v>
      </c>
      <c r="AL93">
        <v>118497.04142011834</v>
      </c>
      <c r="AM93">
        <v>0</v>
      </c>
      <c r="AN93">
        <v>118497.04142011834</v>
      </c>
      <c r="AO93">
        <v>0</v>
      </c>
      <c r="AP93">
        <v>118497.04142011834</v>
      </c>
      <c r="AQ93">
        <v>0</v>
      </c>
      <c r="AR93">
        <v>118497.04142011834</v>
      </c>
      <c r="AS93">
        <v>0</v>
      </c>
      <c r="AT93">
        <v>118497.04142011834</v>
      </c>
      <c r="AV93">
        <v>118497.04142011834</v>
      </c>
      <c r="AW93">
        <v>-30.188778175448533</v>
      </c>
      <c r="AX93">
        <v>118466.8526419429</v>
      </c>
      <c r="AY93">
        <v>3585.9862159501208</v>
      </c>
      <c r="AZ93">
        <v>122052.83885789302</v>
      </c>
      <c r="BA93">
        <v>0</v>
      </c>
      <c r="BB93">
        <v>122052.83885789302</v>
      </c>
      <c r="BC93">
        <v>0</v>
      </c>
      <c r="BD93">
        <v>122052.83885789302</v>
      </c>
      <c r="BE93">
        <v>0</v>
      </c>
      <c r="BF93">
        <v>122052.83885789302</v>
      </c>
      <c r="BG93">
        <v>1220.6924844108871</v>
      </c>
      <c r="BH93">
        <v>123273.5313423039</v>
      </c>
      <c r="BI93">
        <v>0</v>
      </c>
      <c r="BJ93">
        <v>123273.5313423039</v>
      </c>
      <c r="BK93">
        <v>123273.5313423039</v>
      </c>
      <c r="BL93">
        <v>7512289</v>
      </c>
      <c r="BO93">
        <v>0</v>
      </c>
      <c r="BP93">
        <v>123273.5313423039</v>
      </c>
      <c r="BQ93">
        <v>7512289</v>
      </c>
      <c r="BR93" s="238" t="s">
        <v>36</v>
      </c>
      <c r="BU93">
        <v>123273.5313423039</v>
      </c>
      <c r="BV93">
        <v>0</v>
      </c>
      <c r="BW93">
        <v>7512289</v>
      </c>
      <c r="BX93" s="238"/>
      <c r="BY93" s="238" t="s">
        <v>3</v>
      </c>
      <c r="BZ93" s="238" t="s">
        <v>3</v>
      </c>
      <c r="CA93" s="238" t="s">
        <v>8951</v>
      </c>
      <c r="CB93" s="238" t="s">
        <v>1167</v>
      </c>
      <c r="CC93" s="238" t="s">
        <v>9077</v>
      </c>
      <c r="CD93" s="238" t="s">
        <v>8971</v>
      </c>
      <c r="CE93" t="b">
        <v>1</v>
      </c>
      <c r="CF93">
        <v>7512289</v>
      </c>
      <c r="CG93">
        <v>7512289</v>
      </c>
      <c r="CH93">
        <v>0</v>
      </c>
      <c r="CI93">
        <v>0</v>
      </c>
      <c r="CJ93">
        <v>0</v>
      </c>
    </row>
    <row r="94" spans="1:88" x14ac:dyDescent="0.25">
      <c r="A94">
        <v>93</v>
      </c>
      <c r="B94">
        <v>1</v>
      </c>
      <c r="C94">
        <v>14</v>
      </c>
      <c r="D94">
        <v>4</v>
      </c>
      <c r="E94">
        <v>1</v>
      </c>
      <c r="F94">
        <v>12.64</v>
      </c>
      <c r="I94">
        <v>12.64</v>
      </c>
      <c r="J94">
        <v>15.33</v>
      </c>
      <c r="K94">
        <v>4.32</v>
      </c>
      <c r="M94">
        <v>4.03</v>
      </c>
      <c r="P94">
        <v>3.38</v>
      </c>
      <c r="R94">
        <v>3.38</v>
      </c>
      <c r="S94">
        <v>39.700000000000003</v>
      </c>
      <c r="T94">
        <v>36.32</v>
      </c>
      <c r="U94">
        <v>38.01</v>
      </c>
      <c r="V94">
        <v>119184.96000000001</v>
      </c>
      <c r="W94">
        <v>0.42565629226737656</v>
      </c>
      <c r="X94">
        <v>119185.38565629227</v>
      </c>
      <c r="Y94">
        <v>0</v>
      </c>
      <c r="Z94">
        <v>119185.38565629227</v>
      </c>
      <c r="AA94">
        <v>0</v>
      </c>
      <c r="AB94">
        <v>119185.38565629227</v>
      </c>
      <c r="AC94">
        <v>0</v>
      </c>
      <c r="AD94">
        <v>119185.38565629227</v>
      </c>
      <c r="AE94">
        <v>0</v>
      </c>
      <c r="AF94">
        <v>119185.38565629227</v>
      </c>
      <c r="AG94">
        <v>0</v>
      </c>
      <c r="AH94">
        <v>119185.38565629227</v>
      </c>
      <c r="AI94">
        <v>0</v>
      </c>
      <c r="AJ94">
        <v>119185.38565629227</v>
      </c>
      <c r="AK94">
        <v>0</v>
      </c>
      <c r="AL94">
        <v>119185.38565629227</v>
      </c>
      <c r="AM94">
        <v>0</v>
      </c>
      <c r="AN94">
        <v>119185.38565629227</v>
      </c>
      <c r="AO94">
        <v>0</v>
      </c>
      <c r="AP94">
        <v>119185.38565629227</v>
      </c>
      <c r="AQ94">
        <v>0</v>
      </c>
      <c r="AR94">
        <v>119185.38565629227</v>
      </c>
      <c r="AS94">
        <v>0</v>
      </c>
      <c r="AT94">
        <v>119185.38565629227</v>
      </c>
      <c r="AV94">
        <v>119185.38565629227</v>
      </c>
      <c r="AW94">
        <v>151.68353602554998</v>
      </c>
      <c r="AX94">
        <v>119337.06919231782</v>
      </c>
      <c r="AY94">
        <v>3425.3617469087039</v>
      </c>
      <c r="AZ94">
        <v>122762.43093922653</v>
      </c>
      <c r="BA94">
        <v>0</v>
      </c>
      <c r="BB94">
        <v>122762.43093922653</v>
      </c>
      <c r="BC94">
        <v>0</v>
      </c>
      <c r="BD94">
        <v>122762.43093922653</v>
      </c>
      <c r="BE94">
        <v>0</v>
      </c>
      <c r="BF94">
        <v>122762.43093922653</v>
      </c>
      <c r="BG94">
        <v>2454.8013680610311</v>
      </c>
      <c r="BH94">
        <v>125217.23230728756</v>
      </c>
      <c r="BI94">
        <v>0</v>
      </c>
      <c r="BJ94">
        <v>125217.23230728756</v>
      </c>
      <c r="BK94">
        <v>125217.23230728756</v>
      </c>
      <c r="BL94">
        <v>4759507</v>
      </c>
      <c r="BO94">
        <v>0</v>
      </c>
      <c r="BP94">
        <v>125217.23230728756</v>
      </c>
      <c r="BQ94">
        <v>4759507</v>
      </c>
      <c r="BR94" s="238" t="s">
        <v>36</v>
      </c>
      <c r="BU94">
        <v>125217.23230728756</v>
      </c>
      <c r="BV94">
        <v>0</v>
      </c>
      <c r="BW94">
        <v>4759507</v>
      </c>
      <c r="BX94" s="238"/>
      <c r="BY94" s="238" t="s">
        <v>3</v>
      </c>
      <c r="BZ94" s="238" t="s">
        <v>3</v>
      </c>
      <c r="CA94" s="238" t="s">
        <v>8951</v>
      </c>
      <c r="CB94" s="238" t="s">
        <v>1167</v>
      </c>
      <c r="CC94" s="238" t="s">
        <v>9077</v>
      </c>
      <c r="CD94" s="238" t="s">
        <v>8972</v>
      </c>
      <c r="CE94" t="b">
        <v>1</v>
      </c>
      <c r="CF94">
        <v>4759507</v>
      </c>
      <c r="CG94">
        <v>4759507</v>
      </c>
      <c r="CH94">
        <v>0</v>
      </c>
      <c r="CI94">
        <v>0</v>
      </c>
      <c r="CJ94">
        <v>0</v>
      </c>
    </row>
    <row r="95" spans="1:88" x14ac:dyDescent="0.25">
      <c r="A95">
        <v>94</v>
      </c>
      <c r="B95">
        <v>1</v>
      </c>
      <c r="C95">
        <v>14</v>
      </c>
      <c r="D95">
        <v>5</v>
      </c>
      <c r="E95">
        <v>2</v>
      </c>
      <c r="F95">
        <v>10.59</v>
      </c>
      <c r="G95">
        <v>14.05</v>
      </c>
      <c r="I95">
        <v>24.64</v>
      </c>
      <c r="J95">
        <v>18.2</v>
      </c>
      <c r="K95">
        <v>4.54</v>
      </c>
      <c r="M95">
        <v>3.1</v>
      </c>
      <c r="N95">
        <v>4.93</v>
      </c>
      <c r="O95">
        <v>3.83</v>
      </c>
      <c r="P95">
        <v>3.49</v>
      </c>
      <c r="R95">
        <v>3.49</v>
      </c>
      <c r="S95">
        <v>62.73</v>
      </c>
      <c r="T95">
        <v>59.24</v>
      </c>
      <c r="U95">
        <v>60.99</v>
      </c>
      <c r="V95">
        <v>116281.2</v>
      </c>
      <c r="W95">
        <v>0.12992327366373502</v>
      </c>
      <c r="X95">
        <v>116281.32992327366</v>
      </c>
      <c r="Y95">
        <v>0</v>
      </c>
      <c r="Z95">
        <v>116281.32992327366</v>
      </c>
      <c r="AA95">
        <v>0</v>
      </c>
      <c r="AB95">
        <v>116281.32992327366</v>
      </c>
      <c r="AC95">
        <v>0</v>
      </c>
      <c r="AD95">
        <v>116281.32992327366</v>
      </c>
      <c r="AE95">
        <v>0</v>
      </c>
      <c r="AF95">
        <v>116281.32992327366</v>
      </c>
      <c r="AG95">
        <v>0</v>
      </c>
      <c r="AH95">
        <v>116281.32992327366</v>
      </c>
      <c r="AI95">
        <v>0</v>
      </c>
      <c r="AJ95">
        <v>116281.32992327366</v>
      </c>
      <c r="AK95">
        <v>0</v>
      </c>
      <c r="AL95">
        <v>116281.32992327366</v>
      </c>
      <c r="AM95">
        <v>0</v>
      </c>
      <c r="AN95">
        <v>116281.32992327366</v>
      </c>
      <c r="AO95">
        <v>0</v>
      </c>
      <c r="AP95">
        <v>116281.32992327366</v>
      </c>
      <c r="AQ95">
        <v>0</v>
      </c>
      <c r="AR95">
        <v>116281.32992327366</v>
      </c>
      <c r="AS95">
        <v>0</v>
      </c>
      <c r="AT95">
        <v>116281.32992327366</v>
      </c>
      <c r="AV95">
        <v>116281.32992327366</v>
      </c>
      <c r="AW95">
        <v>-1107.0882443098963</v>
      </c>
      <c r="AX95">
        <v>115174.24167896376</v>
      </c>
      <c r="AY95">
        <v>4596.2124938514462</v>
      </c>
      <c r="AZ95">
        <v>119770.45417281521</v>
      </c>
      <c r="BA95">
        <v>0</v>
      </c>
      <c r="BB95">
        <v>119770.45417281521</v>
      </c>
      <c r="BC95">
        <v>0</v>
      </c>
      <c r="BD95">
        <v>119770.45417281521</v>
      </c>
      <c r="BE95">
        <v>0</v>
      </c>
      <c r="BF95">
        <v>119770.45417281521</v>
      </c>
      <c r="BG95">
        <v>1197.2454500737804</v>
      </c>
      <c r="BH95">
        <v>120967.69962288901</v>
      </c>
      <c r="BI95">
        <v>0</v>
      </c>
      <c r="BJ95">
        <v>120967.69962288901</v>
      </c>
      <c r="BK95">
        <v>120967.69962288899</v>
      </c>
      <c r="BL95">
        <v>7377820</v>
      </c>
      <c r="BO95">
        <v>0</v>
      </c>
      <c r="BP95">
        <v>120967.69962288899</v>
      </c>
      <c r="BQ95">
        <v>7377820</v>
      </c>
      <c r="BR95" s="238" t="s">
        <v>36</v>
      </c>
      <c r="BU95">
        <v>120967.69962288899</v>
      </c>
      <c r="BV95">
        <v>0</v>
      </c>
      <c r="BW95">
        <v>7377820</v>
      </c>
      <c r="BX95" s="238"/>
      <c r="BY95" s="238" t="s">
        <v>3</v>
      </c>
      <c r="BZ95" s="238" t="s">
        <v>3</v>
      </c>
      <c r="CA95" s="238" t="s">
        <v>8951</v>
      </c>
      <c r="CB95" s="238" t="s">
        <v>1167</v>
      </c>
      <c r="CC95" s="238" t="s">
        <v>9077</v>
      </c>
      <c r="CD95" s="238" t="s">
        <v>8971</v>
      </c>
      <c r="CE95" t="b">
        <v>1</v>
      </c>
      <c r="CF95">
        <v>7377820</v>
      </c>
      <c r="CG95">
        <v>7377820</v>
      </c>
      <c r="CH95">
        <v>0</v>
      </c>
      <c r="CI95">
        <v>0</v>
      </c>
      <c r="CJ95">
        <v>0</v>
      </c>
    </row>
    <row r="96" spans="1:88" x14ac:dyDescent="0.25">
      <c r="A96">
        <v>95</v>
      </c>
      <c r="B96">
        <v>1</v>
      </c>
      <c r="C96">
        <v>14</v>
      </c>
      <c r="D96">
        <v>6</v>
      </c>
      <c r="E96">
        <v>2</v>
      </c>
      <c r="F96">
        <v>14.2</v>
      </c>
      <c r="G96">
        <v>14.27</v>
      </c>
      <c r="I96">
        <v>28.47</v>
      </c>
      <c r="J96">
        <v>17.420000000000002</v>
      </c>
      <c r="K96">
        <v>4.57</v>
      </c>
      <c r="L96">
        <v>4.05</v>
      </c>
      <c r="M96">
        <v>3.57</v>
      </c>
      <c r="N96">
        <v>4.75</v>
      </c>
      <c r="P96">
        <v>2.87</v>
      </c>
      <c r="R96">
        <v>2.87</v>
      </c>
      <c r="S96">
        <v>65.7</v>
      </c>
      <c r="T96">
        <v>62.83</v>
      </c>
      <c r="U96">
        <v>64.27</v>
      </c>
      <c r="V96">
        <v>119603.52</v>
      </c>
      <c r="W96">
        <v>0.9457097288541263</v>
      </c>
      <c r="X96">
        <v>119604.46570972886</v>
      </c>
      <c r="Y96">
        <v>0</v>
      </c>
      <c r="Z96">
        <v>119604.46570972886</v>
      </c>
      <c r="AA96">
        <v>0</v>
      </c>
      <c r="AB96">
        <v>119604.46570972886</v>
      </c>
      <c r="AC96">
        <v>0</v>
      </c>
      <c r="AD96">
        <v>119604.46570972886</v>
      </c>
      <c r="AE96">
        <v>0</v>
      </c>
      <c r="AF96">
        <v>119604.46570972886</v>
      </c>
      <c r="AG96">
        <v>0</v>
      </c>
      <c r="AH96">
        <v>119604.46570972886</v>
      </c>
      <c r="AI96">
        <v>0</v>
      </c>
      <c r="AJ96">
        <v>119604.46570972886</v>
      </c>
      <c r="AK96">
        <v>0</v>
      </c>
      <c r="AL96">
        <v>119604.46570972886</v>
      </c>
      <c r="AM96">
        <v>0</v>
      </c>
      <c r="AN96">
        <v>119604.46570972886</v>
      </c>
      <c r="AO96">
        <v>0</v>
      </c>
      <c r="AP96">
        <v>119604.46570972886</v>
      </c>
      <c r="AQ96">
        <v>0</v>
      </c>
      <c r="AR96">
        <v>119604.46570972886</v>
      </c>
      <c r="AS96">
        <v>0</v>
      </c>
      <c r="AT96">
        <v>119604.46570972886</v>
      </c>
      <c r="AV96">
        <v>119604.46570972886</v>
      </c>
      <c r="AW96">
        <v>578.29452054966532</v>
      </c>
      <c r="AX96">
        <v>120182.76023027852</v>
      </c>
      <c r="AY96">
        <v>3010.0202271666349</v>
      </c>
      <c r="AZ96">
        <v>123192.78045744516</v>
      </c>
      <c r="BA96">
        <v>0</v>
      </c>
      <c r="BB96">
        <v>123192.78045744516</v>
      </c>
      <c r="BC96">
        <v>0</v>
      </c>
      <c r="BD96">
        <v>123192.78045744516</v>
      </c>
      <c r="BE96">
        <v>0</v>
      </c>
      <c r="BF96">
        <v>123192.78045744516</v>
      </c>
      <c r="BG96">
        <v>1232.1456355998089</v>
      </c>
      <c r="BH96">
        <v>124424.92609304497</v>
      </c>
      <c r="BI96">
        <v>0</v>
      </c>
      <c r="BJ96">
        <v>124424.92609304497</v>
      </c>
      <c r="BK96">
        <v>124424.92609304497</v>
      </c>
      <c r="BL96">
        <v>7996790</v>
      </c>
      <c r="BO96">
        <v>0</v>
      </c>
      <c r="BP96">
        <v>124424.92609304497</v>
      </c>
      <c r="BQ96">
        <v>7996790</v>
      </c>
      <c r="BR96" s="238" t="s">
        <v>36</v>
      </c>
      <c r="BU96">
        <v>124424.92609304497</v>
      </c>
      <c r="BV96">
        <v>0</v>
      </c>
      <c r="BW96">
        <v>7996790</v>
      </c>
      <c r="BX96" s="238"/>
      <c r="BY96" s="238" t="s">
        <v>3</v>
      </c>
      <c r="BZ96" s="238" t="s">
        <v>3</v>
      </c>
      <c r="CA96" s="238" t="s">
        <v>8951</v>
      </c>
      <c r="CB96" s="238" t="s">
        <v>1167</v>
      </c>
      <c r="CC96" s="238" t="s">
        <v>9077</v>
      </c>
      <c r="CD96" s="238" t="s">
        <v>8971</v>
      </c>
      <c r="CE96" t="b">
        <v>1</v>
      </c>
      <c r="CF96">
        <v>7996790</v>
      </c>
      <c r="CG96">
        <v>7996790</v>
      </c>
      <c r="CH96">
        <v>0</v>
      </c>
      <c r="CI96">
        <v>0</v>
      </c>
      <c r="CJ96">
        <v>0</v>
      </c>
    </row>
    <row r="97" spans="1:88" x14ac:dyDescent="0.25">
      <c r="A97">
        <v>96</v>
      </c>
      <c r="B97">
        <v>1</v>
      </c>
      <c r="C97">
        <v>14</v>
      </c>
      <c r="D97">
        <v>7</v>
      </c>
      <c r="E97">
        <v>1</v>
      </c>
      <c r="F97">
        <v>15.25</v>
      </c>
      <c r="I97">
        <v>15.25</v>
      </c>
      <c r="J97">
        <v>16.91</v>
      </c>
      <c r="K97">
        <v>4.4400000000000004</v>
      </c>
      <c r="M97">
        <v>3.93</v>
      </c>
      <c r="P97">
        <v>3.36</v>
      </c>
      <c r="R97">
        <v>3.36</v>
      </c>
      <c r="S97">
        <v>43.89</v>
      </c>
      <c r="T97">
        <v>40.53</v>
      </c>
      <c r="U97">
        <v>42.21</v>
      </c>
      <c r="V97">
        <v>119184.96000000001</v>
      </c>
      <c r="W97">
        <v>4.6045949202380143E-2</v>
      </c>
      <c r="X97">
        <v>119185.00604594921</v>
      </c>
      <c r="Y97">
        <v>0</v>
      </c>
      <c r="Z97">
        <v>119185.00604594921</v>
      </c>
      <c r="AA97">
        <v>0</v>
      </c>
      <c r="AB97">
        <v>119185.00604594921</v>
      </c>
      <c r="AC97">
        <v>0</v>
      </c>
      <c r="AD97">
        <v>119185.00604594921</v>
      </c>
      <c r="AE97">
        <v>0</v>
      </c>
      <c r="AF97">
        <v>119185.00604594921</v>
      </c>
      <c r="AG97">
        <v>0</v>
      </c>
      <c r="AH97">
        <v>119185.00604594921</v>
      </c>
      <c r="AI97">
        <v>0</v>
      </c>
      <c r="AJ97">
        <v>119185.00604594921</v>
      </c>
      <c r="AK97">
        <v>0</v>
      </c>
      <c r="AL97">
        <v>119185.00604594921</v>
      </c>
      <c r="AM97">
        <v>0</v>
      </c>
      <c r="AN97">
        <v>119185.00604594921</v>
      </c>
      <c r="AO97">
        <v>0</v>
      </c>
      <c r="AP97">
        <v>119185.00604594921</v>
      </c>
      <c r="AQ97">
        <v>0</v>
      </c>
      <c r="AR97">
        <v>119185.00604594921</v>
      </c>
      <c r="AS97">
        <v>0</v>
      </c>
      <c r="AT97">
        <v>119185.00604594921</v>
      </c>
      <c r="AV97">
        <v>119185.00604594921</v>
      </c>
      <c r="AW97">
        <v>1074.387462698025</v>
      </c>
      <c r="AX97">
        <v>120259.39350864723</v>
      </c>
      <c r="AY97">
        <v>2502.9850746268639</v>
      </c>
      <c r="AZ97">
        <v>122762.3785832741</v>
      </c>
      <c r="BA97">
        <v>0</v>
      </c>
      <c r="BB97">
        <v>122762.3785832741</v>
      </c>
      <c r="BC97">
        <v>0</v>
      </c>
      <c r="BD97">
        <v>122762.3785832741</v>
      </c>
      <c r="BE97">
        <v>0</v>
      </c>
      <c r="BF97">
        <v>122762.3785832741</v>
      </c>
      <c r="BG97">
        <v>2454.8685145700147</v>
      </c>
      <c r="BH97">
        <v>125217.24709784413</v>
      </c>
      <c r="BI97">
        <v>0</v>
      </c>
      <c r="BJ97">
        <v>125217.24709784413</v>
      </c>
      <c r="BK97">
        <v>125217.24709784411</v>
      </c>
      <c r="BL97">
        <v>5285420</v>
      </c>
      <c r="BO97">
        <v>0</v>
      </c>
      <c r="BP97">
        <v>125217.24709784411</v>
      </c>
      <c r="BQ97">
        <v>5285420</v>
      </c>
      <c r="BR97" s="238" t="s">
        <v>36</v>
      </c>
      <c r="BU97">
        <v>125217.24709784411</v>
      </c>
      <c r="BV97">
        <v>0</v>
      </c>
      <c r="BW97">
        <v>5285420</v>
      </c>
      <c r="BX97" s="238"/>
      <c r="BY97" s="238" t="s">
        <v>3</v>
      </c>
      <c r="BZ97" s="238" t="s">
        <v>3</v>
      </c>
      <c r="CA97" s="238" t="s">
        <v>8951</v>
      </c>
      <c r="CB97" s="238" t="s">
        <v>1167</v>
      </c>
      <c r="CC97" s="238" t="s">
        <v>9077</v>
      </c>
      <c r="CD97" s="238" t="s">
        <v>8972</v>
      </c>
      <c r="CE97" t="b">
        <v>1</v>
      </c>
      <c r="CF97">
        <v>5285420</v>
      </c>
      <c r="CG97">
        <v>5285420</v>
      </c>
      <c r="CH97">
        <v>0</v>
      </c>
      <c r="CI97">
        <v>0</v>
      </c>
      <c r="CJ97">
        <v>0</v>
      </c>
    </row>
    <row r="98" spans="1:88" x14ac:dyDescent="0.25">
      <c r="A98">
        <v>97</v>
      </c>
      <c r="B98">
        <v>1</v>
      </c>
      <c r="C98">
        <v>15</v>
      </c>
      <c r="D98">
        <v>1</v>
      </c>
      <c r="E98">
        <v>0</v>
      </c>
      <c r="F98">
        <v>17.66</v>
      </c>
      <c r="I98">
        <v>17.66</v>
      </c>
      <c r="J98">
        <v>7</v>
      </c>
      <c r="K98">
        <v>4.1500000000000004</v>
      </c>
      <c r="P98">
        <v>3.37</v>
      </c>
      <c r="R98">
        <v>3.37</v>
      </c>
      <c r="S98">
        <v>32.18</v>
      </c>
      <c r="T98">
        <v>28.81</v>
      </c>
      <c r="U98">
        <v>30.5</v>
      </c>
      <c r="V98">
        <v>138273.04</v>
      </c>
      <c r="W98">
        <v>1.6668676716799382</v>
      </c>
      <c r="X98">
        <v>138274.70686767169</v>
      </c>
      <c r="Y98">
        <v>0</v>
      </c>
      <c r="Z98">
        <v>138274.70686767169</v>
      </c>
      <c r="AA98">
        <v>0</v>
      </c>
      <c r="AB98">
        <v>138274.70686767169</v>
      </c>
      <c r="AC98">
        <v>0</v>
      </c>
      <c r="AD98">
        <v>138274.70686767169</v>
      </c>
      <c r="AE98">
        <v>0</v>
      </c>
      <c r="AF98">
        <v>138274.70686767169</v>
      </c>
      <c r="AG98">
        <v>0</v>
      </c>
      <c r="AH98">
        <v>138274.70686767169</v>
      </c>
      <c r="AI98">
        <v>0</v>
      </c>
      <c r="AJ98">
        <v>138274.70686767169</v>
      </c>
      <c r="AK98">
        <v>0</v>
      </c>
      <c r="AL98">
        <v>138274.70686767169</v>
      </c>
      <c r="AM98">
        <v>0</v>
      </c>
      <c r="AN98">
        <v>138274.70686767169</v>
      </c>
      <c r="AO98">
        <v>0</v>
      </c>
      <c r="AP98">
        <v>138274.70686767169</v>
      </c>
      <c r="AQ98">
        <v>0</v>
      </c>
      <c r="AR98">
        <v>138274.70686767169</v>
      </c>
      <c r="AS98">
        <v>0</v>
      </c>
      <c r="AT98">
        <v>138274.70686767169</v>
      </c>
      <c r="AV98">
        <v>138274.70686767169</v>
      </c>
      <c r="AW98">
        <v>1113.2931323283119</v>
      </c>
      <c r="AX98">
        <v>139388</v>
      </c>
      <c r="AY98">
        <v>3038.2295081967313</v>
      </c>
      <c r="AZ98">
        <v>142426.22950819673</v>
      </c>
      <c r="BA98">
        <v>0</v>
      </c>
      <c r="BB98">
        <v>142426.22950819673</v>
      </c>
      <c r="BC98">
        <v>0</v>
      </c>
      <c r="BD98">
        <v>142426.22950819673</v>
      </c>
      <c r="BE98">
        <v>0</v>
      </c>
      <c r="BF98">
        <v>142426.22950819673</v>
      </c>
      <c r="BG98">
        <v>0</v>
      </c>
      <c r="BH98">
        <v>142426.22950819673</v>
      </c>
      <c r="BI98">
        <v>0</v>
      </c>
      <c r="BJ98">
        <v>142426.22950819673</v>
      </c>
      <c r="BK98">
        <v>142426.22950819673</v>
      </c>
      <c r="BL98">
        <v>4344000</v>
      </c>
      <c r="BO98">
        <v>0</v>
      </c>
      <c r="BP98">
        <v>142426.22950819673</v>
      </c>
      <c r="BQ98">
        <v>4344000</v>
      </c>
      <c r="BR98" s="238" t="s">
        <v>36</v>
      </c>
      <c r="BU98">
        <v>142426.22950819673</v>
      </c>
      <c r="BV98">
        <v>0</v>
      </c>
      <c r="BW98">
        <v>4344000</v>
      </c>
      <c r="BX98" s="238"/>
      <c r="BY98" s="238" t="s">
        <v>3</v>
      </c>
      <c r="BZ98" s="238" t="s">
        <v>3</v>
      </c>
      <c r="CA98" s="238" t="s">
        <v>8951</v>
      </c>
      <c r="CB98" s="238" t="s">
        <v>1167</v>
      </c>
      <c r="CC98" s="238" t="s">
        <v>9077</v>
      </c>
      <c r="CD98" s="238" t="s">
        <v>8970</v>
      </c>
      <c r="CE98" t="b">
        <v>1</v>
      </c>
      <c r="CF98">
        <v>4344000</v>
      </c>
      <c r="CG98">
        <v>4344000</v>
      </c>
      <c r="CH98">
        <v>0</v>
      </c>
      <c r="CI98">
        <v>0</v>
      </c>
      <c r="CJ98">
        <v>0</v>
      </c>
    </row>
    <row r="99" spans="1:88" x14ac:dyDescent="0.25">
      <c r="A99">
        <v>98</v>
      </c>
      <c r="B99">
        <v>1</v>
      </c>
      <c r="C99">
        <v>15</v>
      </c>
      <c r="D99">
        <v>2</v>
      </c>
      <c r="E99">
        <v>2</v>
      </c>
      <c r="F99">
        <v>11.1</v>
      </c>
      <c r="G99">
        <v>10.86</v>
      </c>
      <c r="I99">
        <v>21.96</v>
      </c>
      <c r="J99">
        <v>17.5</v>
      </c>
      <c r="K99">
        <v>3.94</v>
      </c>
      <c r="M99">
        <v>4.08</v>
      </c>
      <c r="N99">
        <v>4.49</v>
      </c>
      <c r="P99">
        <v>3.69</v>
      </c>
      <c r="R99">
        <v>3.69</v>
      </c>
      <c r="S99">
        <v>55.66</v>
      </c>
      <c r="T99">
        <v>51.97</v>
      </c>
      <c r="U99">
        <v>53.82</v>
      </c>
      <c r="V99">
        <v>115173.75999999999</v>
      </c>
      <c r="W99">
        <v>1.812519083978259</v>
      </c>
      <c r="X99">
        <v>115175.57251908397</v>
      </c>
      <c r="Y99">
        <v>500.41984732824494</v>
      </c>
      <c r="Z99">
        <v>115675.99236641222</v>
      </c>
      <c r="AA99">
        <v>0</v>
      </c>
      <c r="AB99">
        <v>115675.99236641222</v>
      </c>
      <c r="AC99">
        <v>0</v>
      </c>
      <c r="AD99">
        <v>115675.99236641222</v>
      </c>
      <c r="AE99">
        <v>0</v>
      </c>
      <c r="AF99">
        <v>115675.99236641222</v>
      </c>
      <c r="AG99">
        <v>0</v>
      </c>
      <c r="AH99">
        <v>115675.99236641222</v>
      </c>
      <c r="AI99">
        <v>0</v>
      </c>
      <c r="AJ99">
        <v>115675.99236641222</v>
      </c>
      <c r="AK99">
        <v>0</v>
      </c>
      <c r="AL99">
        <v>115675.99236641222</v>
      </c>
      <c r="AM99">
        <v>0</v>
      </c>
      <c r="AN99">
        <v>115675.99236641222</v>
      </c>
      <c r="AO99">
        <v>0</v>
      </c>
      <c r="AP99">
        <v>115675.99236641222</v>
      </c>
      <c r="AQ99">
        <v>0</v>
      </c>
      <c r="AR99">
        <v>115675.99236641222</v>
      </c>
      <c r="AS99">
        <v>0</v>
      </c>
      <c r="AT99">
        <v>115675.99236641222</v>
      </c>
      <c r="AV99">
        <v>115675.99236641222</v>
      </c>
      <c r="AX99">
        <v>112623.96878483835</v>
      </c>
      <c r="AY99">
        <v>0</v>
      </c>
      <c r="AZ99">
        <v>112623.96878483835</v>
      </c>
      <c r="BA99">
        <v>0</v>
      </c>
      <c r="BB99">
        <v>112623.96878483835</v>
      </c>
      <c r="BC99">
        <v>0</v>
      </c>
      <c r="BD99">
        <v>112623.96878483835</v>
      </c>
      <c r="BE99">
        <v>0</v>
      </c>
      <c r="BF99">
        <v>112623.96878483835</v>
      </c>
      <c r="BG99">
        <v>0</v>
      </c>
      <c r="BH99">
        <v>112623.96878483836</v>
      </c>
      <c r="BI99">
        <v>0</v>
      </c>
      <c r="BJ99">
        <v>112623.96878483836</v>
      </c>
      <c r="BK99">
        <v>112623.96878483835</v>
      </c>
      <c r="BL99">
        <v>6061422</v>
      </c>
      <c r="BO99">
        <v>0</v>
      </c>
      <c r="BP99">
        <v>112623.96878483835</v>
      </c>
      <c r="BQ99">
        <v>6061422</v>
      </c>
      <c r="BR99" s="238" t="s">
        <v>36</v>
      </c>
      <c r="BU99">
        <v>112623.96878483835</v>
      </c>
      <c r="BV99">
        <v>0</v>
      </c>
      <c r="BW99">
        <v>6061422</v>
      </c>
      <c r="BX99" s="238"/>
      <c r="BY99" s="238" t="s">
        <v>8963</v>
      </c>
      <c r="BZ99" s="238" t="s">
        <v>8963</v>
      </c>
      <c r="CA99" s="238" t="s">
        <v>8953</v>
      </c>
      <c r="CB99" s="238" t="s">
        <v>8964</v>
      </c>
      <c r="CC99" s="238" t="s">
        <v>9077</v>
      </c>
      <c r="CD99" s="238" t="s">
        <v>8971</v>
      </c>
      <c r="CE99" t="b">
        <v>1</v>
      </c>
      <c r="CF99">
        <v>6061422</v>
      </c>
      <c r="CG99">
        <v>6287939</v>
      </c>
      <c r="CH99">
        <v>6061422</v>
      </c>
      <c r="CI99">
        <v>0</v>
      </c>
      <c r="CJ99">
        <v>0</v>
      </c>
    </row>
    <row r="100" spans="1:88" x14ac:dyDescent="0.25">
      <c r="A100">
        <v>99</v>
      </c>
      <c r="B100">
        <v>1</v>
      </c>
      <c r="C100">
        <v>15</v>
      </c>
      <c r="D100">
        <v>3</v>
      </c>
      <c r="E100">
        <v>2</v>
      </c>
      <c r="F100">
        <v>11.04</v>
      </c>
      <c r="G100">
        <v>12.05</v>
      </c>
      <c r="I100">
        <v>23.09</v>
      </c>
      <c r="J100">
        <v>20.09</v>
      </c>
      <c r="K100">
        <v>4.99</v>
      </c>
      <c r="M100">
        <v>2.65</v>
      </c>
      <c r="N100">
        <v>4.57</v>
      </c>
      <c r="O100">
        <v>3.63</v>
      </c>
      <c r="P100">
        <v>3.84</v>
      </c>
      <c r="R100">
        <v>3.84</v>
      </c>
      <c r="S100">
        <v>62.86</v>
      </c>
      <c r="T100">
        <v>59.02</v>
      </c>
      <c r="U100">
        <v>60.94</v>
      </c>
      <c r="V100">
        <v>118496.08</v>
      </c>
      <c r="W100">
        <v>0.96142011834308505</v>
      </c>
      <c r="X100">
        <v>118497.04142011834</v>
      </c>
      <c r="Y100">
        <v>0</v>
      </c>
      <c r="Z100">
        <v>118497.04142011834</v>
      </c>
      <c r="AA100">
        <v>0</v>
      </c>
      <c r="AB100">
        <v>118497.04142011834</v>
      </c>
      <c r="AC100">
        <v>0</v>
      </c>
      <c r="AD100">
        <v>118497.04142011834</v>
      </c>
      <c r="AE100">
        <v>0</v>
      </c>
      <c r="AF100">
        <v>118497.04142011834</v>
      </c>
      <c r="AG100">
        <v>0</v>
      </c>
      <c r="AH100">
        <v>118497.04142011834</v>
      </c>
      <c r="AI100">
        <v>0</v>
      </c>
      <c r="AJ100">
        <v>118497.04142011834</v>
      </c>
      <c r="AK100">
        <v>0</v>
      </c>
      <c r="AL100">
        <v>118497.04142011834</v>
      </c>
      <c r="AM100">
        <v>0</v>
      </c>
      <c r="AN100">
        <v>118497.04142011834</v>
      </c>
      <c r="AO100">
        <v>0</v>
      </c>
      <c r="AP100">
        <v>118497.04142011834</v>
      </c>
      <c r="AQ100">
        <v>0</v>
      </c>
      <c r="AR100">
        <v>118497.04142011834</v>
      </c>
      <c r="AS100">
        <v>0</v>
      </c>
      <c r="AT100">
        <v>118497.04142011834</v>
      </c>
      <c r="AV100">
        <v>118497.04142011834</v>
      </c>
      <c r="AW100">
        <v>-30.188778175448533</v>
      </c>
      <c r="AX100">
        <v>118466.8526419429</v>
      </c>
      <c r="AY100">
        <v>3585.9862159501208</v>
      </c>
      <c r="AZ100">
        <v>122052.83885789302</v>
      </c>
      <c r="BA100">
        <v>0</v>
      </c>
      <c r="BB100">
        <v>122052.83885789302</v>
      </c>
      <c r="BC100">
        <v>0</v>
      </c>
      <c r="BD100">
        <v>122052.83885789302</v>
      </c>
      <c r="BE100">
        <v>0</v>
      </c>
      <c r="BF100">
        <v>122052.83885789302</v>
      </c>
      <c r="BG100">
        <v>1220.6924844108871</v>
      </c>
      <c r="BH100">
        <v>123273.5313423039</v>
      </c>
      <c r="BI100">
        <v>0</v>
      </c>
      <c r="BJ100">
        <v>123273.5313423039</v>
      </c>
      <c r="BK100">
        <v>123273.5313423039</v>
      </c>
      <c r="BL100">
        <v>7512289</v>
      </c>
      <c r="BO100">
        <v>0</v>
      </c>
      <c r="BP100">
        <v>123273.5313423039</v>
      </c>
      <c r="BQ100">
        <v>7512289</v>
      </c>
      <c r="BR100" s="238" t="s">
        <v>36</v>
      </c>
      <c r="BU100">
        <v>123273.5313423039</v>
      </c>
      <c r="BV100">
        <v>0</v>
      </c>
      <c r="BW100">
        <v>7512289</v>
      </c>
      <c r="BX100" s="238"/>
      <c r="BY100" s="238" t="s">
        <v>3</v>
      </c>
      <c r="BZ100" s="238" t="s">
        <v>3</v>
      </c>
      <c r="CA100" s="238" t="s">
        <v>8951</v>
      </c>
      <c r="CB100" s="238" t="s">
        <v>1167</v>
      </c>
      <c r="CC100" s="238" t="s">
        <v>9077</v>
      </c>
      <c r="CD100" s="238" t="s">
        <v>8971</v>
      </c>
      <c r="CE100" t="b">
        <v>1</v>
      </c>
      <c r="CF100">
        <v>7512289</v>
      </c>
      <c r="CG100">
        <v>7512289</v>
      </c>
      <c r="CH100">
        <v>0</v>
      </c>
      <c r="CI100">
        <v>0</v>
      </c>
      <c r="CJ100">
        <v>0</v>
      </c>
    </row>
    <row r="101" spans="1:88" x14ac:dyDescent="0.25">
      <c r="A101">
        <v>100</v>
      </c>
      <c r="B101">
        <v>1</v>
      </c>
      <c r="C101">
        <v>15</v>
      </c>
      <c r="D101">
        <v>4</v>
      </c>
      <c r="E101">
        <v>1</v>
      </c>
      <c r="F101">
        <v>12.64</v>
      </c>
      <c r="I101">
        <v>12.64</v>
      </c>
      <c r="J101">
        <v>15.33</v>
      </c>
      <c r="K101">
        <v>4.32</v>
      </c>
      <c r="M101">
        <v>4.03</v>
      </c>
      <c r="P101">
        <v>3.38</v>
      </c>
      <c r="R101">
        <v>3.38</v>
      </c>
      <c r="S101">
        <v>39.700000000000003</v>
      </c>
      <c r="T101">
        <v>36.32</v>
      </c>
      <c r="U101">
        <v>38.01</v>
      </c>
      <c r="V101">
        <v>119184.96000000001</v>
      </c>
      <c r="W101">
        <v>0.42565629226737656</v>
      </c>
      <c r="X101">
        <v>119185.38565629227</v>
      </c>
      <c r="Y101">
        <v>0</v>
      </c>
      <c r="Z101">
        <v>119185.38565629227</v>
      </c>
      <c r="AA101">
        <v>0</v>
      </c>
      <c r="AB101">
        <v>119185.38565629227</v>
      </c>
      <c r="AC101">
        <v>0</v>
      </c>
      <c r="AD101">
        <v>119185.38565629227</v>
      </c>
      <c r="AE101">
        <v>0</v>
      </c>
      <c r="AF101">
        <v>119185.38565629227</v>
      </c>
      <c r="AG101">
        <v>0</v>
      </c>
      <c r="AH101">
        <v>119185.38565629227</v>
      </c>
      <c r="AI101">
        <v>0</v>
      </c>
      <c r="AJ101">
        <v>119185.38565629227</v>
      </c>
      <c r="AK101">
        <v>0</v>
      </c>
      <c r="AL101">
        <v>119185.38565629227</v>
      </c>
      <c r="AM101">
        <v>0</v>
      </c>
      <c r="AN101">
        <v>119185.38565629227</v>
      </c>
      <c r="AO101">
        <v>0</v>
      </c>
      <c r="AP101">
        <v>119185.38565629227</v>
      </c>
      <c r="AQ101">
        <v>0</v>
      </c>
      <c r="AR101">
        <v>119185.38565629227</v>
      </c>
      <c r="AS101">
        <v>0</v>
      </c>
      <c r="AT101">
        <v>119185.38565629227</v>
      </c>
      <c r="AV101">
        <v>119185.38565629227</v>
      </c>
      <c r="AW101">
        <v>151.68353602554998</v>
      </c>
      <c r="AX101">
        <v>119337.06919231782</v>
      </c>
      <c r="AY101">
        <v>3425.3617469087039</v>
      </c>
      <c r="AZ101">
        <v>122762.43093922653</v>
      </c>
      <c r="BA101">
        <v>0</v>
      </c>
      <c r="BB101">
        <v>122762.43093922653</v>
      </c>
      <c r="BC101">
        <v>0</v>
      </c>
      <c r="BD101">
        <v>122762.43093922653</v>
      </c>
      <c r="BE101">
        <v>0</v>
      </c>
      <c r="BF101">
        <v>122762.43093922653</v>
      </c>
      <c r="BG101">
        <v>2454.8013680610311</v>
      </c>
      <c r="BH101">
        <v>125217.23230728756</v>
      </c>
      <c r="BI101">
        <v>0</v>
      </c>
      <c r="BJ101">
        <v>125217.23230728756</v>
      </c>
      <c r="BK101">
        <v>125217.23230728756</v>
      </c>
      <c r="BL101">
        <v>4759507</v>
      </c>
      <c r="BO101">
        <v>0</v>
      </c>
      <c r="BP101">
        <v>125217.23230728756</v>
      </c>
      <c r="BQ101">
        <v>4759507</v>
      </c>
      <c r="BR101" s="238" t="s">
        <v>36</v>
      </c>
      <c r="BU101">
        <v>125217.23230728756</v>
      </c>
      <c r="BV101">
        <v>0</v>
      </c>
      <c r="BW101">
        <v>4759507</v>
      </c>
      <c r="BX101" s="238"/>
      <c r="BY101" s="238" t="s">
        <v>3</v>
      </c>
      <c r="BZ101" s="238" t="s">
        <v>3</v>
      </c>
      <c r="CA101" s="238" t="s">
        <v>8951</v>
      </c>
      <c r="CB101" s="238" t="s">
        <v>1167</v>
      </c>
      <c r="CC101" s="238" t="s">
        <v>9077</v>
      </c>
      <c r="CD101" s="238" t="s">
        <v>8972</v>
      </c>
      <c r="CE101" t="b">
        <v>1</v>
      </c>
      <c r="CF101">
        <v>4759507</v>
      </c>
      <c r="CG101">
        <v>4759507</v>
      </c>
      <c r="CH101">
        <v>0</v>
      </c>
      <c r="CI101">
        <v>0</v>
      </c>
      <c r="CJ101">
        <v>0</v>
      </c>
    </row>
    <row r="102" spans="1:88" x14ac:dyDescent="0.25">
      <c r="A102">
        <v>101</v>
      </c>
      <c r="B102">
        <v>1</v>
      </c>
      <c r="C102">
        <v>15</v>
      </c>
      <c r="D102">
        <v>5</v>
      </c>
      <c r="E102">
        <v>2</v>
      </c>
      <c r="F102">
        <v>10.59</v>
      </c>
      <c r="G102">
        <v>14.05</v>
      </c>
      <c r="I102">
        <v>24.64</v>
      </c>
      <c r="J102">
        <v>18.2</v>
      </c>
      <c r="K102">
        <v>4.54</v>
      </c>
      <c r="M102">
        <v>3.1</v>
      </c>
      <c r="N102">
        <v>4.93</v>
      </c>
      <c r="O102">
        <v>3.83</v>
      </c>
      <c r="P102">
        <v>3.49</v>
      </c>
      <c r="R102">
        <v>3.49</v>
      </c>
      <c r="S102">
        <v>62.73</v>
      </c>
      <c r="T102">
        <v>59.24</v>
      </c>
      <c r="U102">
        <v>60.99</v>
      </c>
      <c r="V102">
        <v>116281.2</v>
      </c>
      <c r="W102">
        <v>0.12992327366373502</v>
      </c>
      <c r="X102">
        <v>116281.32992327366</v>
      </c>
      <c r="Y102">
        <v>0</v>
      </c>
      <c r="Z102">
        <v>116281.32992327366</v>
      </c>
      <c r="AA102">
        <v>0</v>
      </c>
      <c r="AB102">
        <v>116281.32992327366</v>
      </c>
      <c r="AC102">
        <v>0</v>
      </c>
      <c r="AD102">
        <v>116281.32992327366</v>
      </c>
      <c r="AE102">
        <v>0</v>
      </c>
      <c r="AF102">
        <v>116281.32992327366</v>
      </c>
      <c r="AG102">
        <v>0</v>
      </c>
      <c r="AH102">
        <v>116281.32992327366</v>
      </c>
      <c r="AI102">
        <v>0</v>
      </c>
      <c r="AJ102">
        <v>116281.32992327366</v>
      </c>
      <c r="AK102">
        <v>0</v>
      </c>
      <c r="AL102">
        <v>116281.32992327366</v>
      </c>
      <c r="AM102">
        <v>0</v>
      </c>
      <c r="AN102">
        <v>116281.32992327366</v>
      </c>
      <c r="AO102">
        <v>0</v>
      </c>
      <c r="AP102">
        <v>116281.32992327366</v>
      </c>
      <c r="AQ102">
        <v>0</v>
      </c>
      <c r="AR102">
        <v>116281.32992327366</v>
      </c>
      <c r="AS102">
        <v>0</v>
      </c>
      <c r="AT102">
        <v>116281.32992327366</v>
      </c>
      <c r="AV102">
        <v>116281.32992327366</v>
      </c>
      <c r="AX102">
        <v>111819.97048696507</v>
      </c>
      <c r="AY102">
        <v>0</v>
      </c>
      <c r="AZ102">
        <v>111819.97048696507</v>
      </c>
      <c r="BA102">
        <v>0</v>
      </c>
      <c r="BB102">
        <v>111819.97048696507</v>
      </c>
      <c r="BC102">
        <v>0</v>
      </c>
      <c r="BD102">
        <v>111819.97048696507</v>
      </c>
      <c r="BE102">
        <v>0</v>
      </c>
      <c r="BF102">
        <v>111819.97048696507</v>
      </c>
      <c r="BG102">
        <v>0</v>
      </c>
      <c r="BH102">
        <v>111819.97048696507</v>
      </c>
      <c r="BI102">
        <v>0</v>
      </c>
      <c r="BJ102">
        <v>111819.97048696507</v>
      </c>
      <c r="BK102">
        <v>111819.97048696507</v>
      </c>
      <c r="BL102">
        <v>6819900</v>
      </c>
      <c r="BO102">
        <v>0</v>
      </c>
      <c r="BP102">
        <v>111819.97048696507</v>
      </c>
      <c r="BQ102">
        <v>6819900</v>
      </c>
      <c r="BR102" s="238" t="s">
        <v>36</v>
      </c>
      <c r="BU102">
        <v>111819.97048696507</v>
      </c>
      <c r="BV102">
        <v>0</v>
      </c>
      <c r="BW102">
        <v>6819900</v>
      </c>
      <c r="BX102" s="238"/>
      <c r="BY102" s="238" t="s">
        <v>8963</v>
      </c>
      <c r="BZ102" s="238" t="s">
        <v>8963</v>
      </c>
      <c r="CA102" s="238" t="s">
        <v>8953</v>
      </c>
      <c r="CB102" s="238" t="s">
        <v>8964</v>
      </c>
      <c r="CC102" s="238" t="s">
        <v>9077</v>
      </c>
      <c r="CD102" s="238" t="s">
        <v>8971</v>
      </c>
      <c r="CE102" t="b">
        <v>1</v>
      </c>
      <c r="CF102">
        <v>6819900</v>
      </c>
      <c r="CG102">
        <v>7162898</v>
      </c>
      <c r="CH102">
        <v>6819900</v>
      </c>
      <c r="CI102">
        <v>0</v>
      </c>
      <c r="CJ102">
        <v>0</v>
      </c>
    </row>
    <row r="103" spans="1:88" x14ac:dyDescent="0.25">
      <c r="A103">
        <v>102</v>
      </c>
      <c r="B103">
        <v>1</v>
      </c>
      <c r="C103">
        <v>15</v>
      </c>
      <c r="D103">
        <v>6</v>
      </c>
      <c r="E103">
        <v>2</v>
      </c>
      <c r="F103">
        <v>14.2</v>
      </c>
      <c r="G103">
        <v>14.27</v>
      </c>
      <c r="I103">
        <v>28.47</v>
      </c>
      <c r="J103">
        <v>17.420000000000002</v>
      </c>
      <c r="K103">
        <v>4.57</v>
      </c>
      <c r="L103">
        <v>4.05</v>
      </c>
      <c r="M103">
        <v>3.57</v>
      </c>
      <c r="N103">
        <v>4.75</v>
      </c>
      <c r="P103">
        <v>2.87</v>
      </c>
      <c r="R103">
        <v>2.87</v>
      </c>
      <c r="S103">
        <v>65.7</v>
      </c>
      <c r="T103">
        <v>62.83</v>
      </c>
      <c r="U103">
        <v>64.27</v>
      </c>
      <c r="V103">
        <v>119603.52</v>
      </c>
      <c r="W103">
        <v>0.9457097288541263</v>
      </c>
      <c r="X103">
        <v>119604.46570972886</v>
      </c>
      <c r="Y103">
        <v>0</v>
      </c>
      <c r="Z103">
        <v>119604.46570972886</v>
      </c>
      <c r="AA103">
        <v>0</v>
      </c>
      <c r="AB103">
        <v>119604.46570972886</v>
      </c>
      <c r="AC103">
        <v>0</v>
      </c>
      <c r="AD103">
        <v>119604.46570972886</v>
      </c>
      <c r="AE103">
        <v>0</v>
      </c>
      <c r="AF103">
        <v>119604.46570972886</v>
      </c>
      <c r="AG103">
        <v>0</v>
      </c>
      <c r="AH103">
        <v>119604.46570972886</v>
      </c>
      <c r="AI103">
        <v>0</v>
      </c>
      <c r="AJ103">
        <v>119604.46570972886</v>
      </c>
      <c r="AK103">
        <v>0</v>
      </c>
      <c r="AL103">
        <v>119604.46570972886</v>
      </c>
      <c r="AM103">
        <v>0</v>
      </c>
      <c r="AN103">
        <v>119604.46570972886</v>
      </c>
      <c r="AO103">
        <v>0</v>
      </c>
      <c r="AP103">
        <v>119604.46570972886</v>
      </c>
      <c r="AQ103">
        <v>0</v>
      </c>
      <c r="AR103">
        <v>119604.46570972886</v>
      </c>
      <c r="AS103">
        <v>0</v>
      </c>
      <c r="AT103">
        <v>119604.46570972886</v>
      </c>
      <c r="AV103">
        <v>119604.46570972886</v>
      </c>
      <c r="AW103">
        <v>578.29452054966532</v>
      </c>
      <c r="AX103">
        <v>120182.76023027852</v>
      </c>
      <c r="AY103">
        <v>3010.0202271666349</v>
      </c>
      <c r="AZ103">
        <v>123192.78045744516</v>
      </c>
      <c r="BA103">
        <v>0</v>
      </c>
      <c r="BB103">
        <v>123192.78045744516</v>
      </c>
      <c r="BC103">
        <v>0</v>
      </c>
      <c r="BD103">
        <v>123192.78045744516</v>
      </c>
      <c r="BE103">
        <v>0</v>
      </c>
      <c r="BF103">
        <v>123192.78045744516</v>
      </c>
      <c r="BG103">
        <v>1232.1456355998089</v>
      </c>
      <c r="BH103">
        <v>124424.92609304497</v>
      </c>
      <c r="BI103">
        <v>0</v>
      </c>
      <c r="BJ103">
        <v>124424.92609304497</v>
      </c>
      <c r="BK103">
        <v>124424.92609304497</v>
      </c>
      <c r="BL103">
        <v>7996790</v>
      </c>
      <c r="BO103">
        <v>0</v>
      </c>
      <c r="BP103">
        <v>124424.92609304497</v>
      </c>
      <c r="BQ103">
        <v>7996790</v>
      </c>
      <c r="BR103" s="238" t="s">
        <v>36</v>
      </c>
      <c r="BU103">
        <v>124424.92609304497</v>
      </c>
      <c r="BV103">
        <v>0</v>
      </c>
      <c r="BW103">
        <v>7996790</v>
      </c>
      <c r="BX103" s="238"/>
      <c r="BY103" s="238" t="s">
        <v>3</v>
      </c>
      <c r="BZ103" s="238" t="s">
        <v>3</v>
      </c>
      <c r="CA103" s="238" t="s">
        <v>8951</v>
      </c>
      <c r="CB103" s="238" t="s">
        <v>1167</v>
      </c>
      <c r="CC103" s="238" t="s">
        <v>9077</v>
      </c>
      <c r="CD103" s="238" t="s">
        <v>8971</v>
      </c>
      <c r="CE103" t="b">
        <v>1</v>
      </c>
      <c r="CF103">
        <v>7996790</v>
      </c>
      <c r="CG103">
        <v>7996790</v>
      </c>
      <c r="CH103">
        <v>0</v>
      </c>
      <c r="CI103">
        <v>0</v>
      </c>
      <c r="CJ103">
        <v>0</v>
      </c>
    </row>
    <row r="104" spans="1:88" x14ac:dyDescent="0.25">
      <c r="A104">
        <v>103</v>
      </c>
      <c r="B104">
        <v>1</v>
      </c>
      <c r="C104">
        <v>15</v>
      </c>
      <c r="D104">
        <v>7</v>
      </c>
      <c r="E104">
        <v>1</v>
      </c>
      <c r="F104">
        <v>15.25</v>
      </c>
      <c r="I104">
        <v>15.25</v>
      </c>
      <c r="J104">
        <v>16.91</v>
      </c>
      <c r="K104">
        <v>4.4400000000000004</v>
      </c>
      <c r="M104">
        <v>3.93</v>
      </c>
      <c r="P104">
        <v>3.36</v>
      </c>
      <c r="R104">
        <v>3.36</v>
      </c>
      <c r="S104">
        <v>43.89</v>
      </c>
      <c r="T104">
        <v>40.53</v>
      </c>
      <c r="U104">
        <v>42.21</v>
      </c>
      <c r="V104">
        <v>119184.96000000001</v>
      </c>
      <c r="W104">
        <v>4.6045949202380143E-2</v>
      </c>
      <c r="X104">
        <v>119185.00604594921</v>
      </c>
      <c r="Y104">
        <v>0</v>
      </c>
      <c r="Z104">
        <v>119185.00604594921</v>
      </c>
      <c r="AA104">
        <v>0</v>
      </c>
      <c r="AB104">
        <v>119185.00604594921</v>
      </c>
      <c r="AC104">
        <v>0</v>
      </c>
      <c r="AD104">
        <v>119185.00604594921</v>
      </c>
      <c r="AE104">
        <v>0</v>
      </c>
      <c r="AF104">
        <v>119185.00604594921</v>
      </c>
      <c r="AG104">
        <v>0</v>
      </c>
      <c r="AH104">
        <v>119185.00604594921</v>
      </c>
      <c r="AI104">
        <v>0</v>
      </c>
      <c r="AJ104">
        <v>119185.00604594921</v>
      </c>
      <c r="AK104">
        <v>0</v>
      </c>
      <c r="AL104">
        <v>119185.00604594921</v>
      </c>
      <c r="AM104">
        <v>0</v>
      </c>
      <c r="AN104">
        <v>119185.00604594921</v>
      </c>
      <c r="AO104">
        <v>0</v>
      </c>
      <c r="AP104">
        <v>119185.00604594921</v>
      </c>
      <c r="AQ104">
        <v>0</v>
      </c>
      <c r="AR104">
        <v>119185.00604594921</v>
      </c>
      <c r="AS104">
        <v>0</v>
      </c>
      <c r="AT104">
        <v>119185.00604594921</v>
      </c>
      <c r="AV104">
        <v>119185.00604594921</v>
      </c>
      <c r="AW104">
        <v>1074.387462698025</v>
      </c>
      <c r="AX104">
        <v>120259.39350864723</v>
      </c>
      <c r="AY104">
        <v>2502.9850746268639</v>
      </c>
      <c r="AZ104">
        <v>122762.3785832741</v>
      </c>
      <c r="BA104">
        <v>0</v>
      </c>
      <c r="BB104">
        <v>122762.3785832741</v>
      </c>
      <c r="BC104">
        <v>0</v>
      </c>
      <c r="BD104">
        <v>122762.3785832741</v>
      </c>
      <c r="BE104">
        <v>0</v>
      </c>
      <c r="BF104">
        <v>122762.3785832741</v>
      </c>
      <c r="BG104">
        <v>2454.8685145700147</v>
      </c>
      <c r="BH104">
        <v>125217.24709784413</v>
      </c>
      <c r="BI104">
        <v>0</v>
      </c>
      <c r="BJ104">
        <v>125217.24709784413</v>
      </c>
      <c r="BK104">
        <v>125217.24709784411</v>
      </c>
      <c r="BL104">
        <v>5285420</v>
      </c>
      <c r="BO104">
        <v>0</v>
      </c>
      <c r="BP104">
        <v>125217.24709784411</v>
      </c>
      <c r="BQ104">
        <v>5285420</v>
      </c>
      <c r="BR104" s="238" t="s">
        <v>36</v>
      </c>
      <c r="BU104">
        <v>125217.24709784411</v>
      </c>
      <c r="BV104">
        <v>0</v>
      </c>
      <c r="BW104">
        <v>5285420</v>
      </c>
      <c r="BX104" s="238"/>
      <c r="BY104" s="238" t="s">
        <v>3</v>
      </c>
      <c r="BZ104" s="238" t="s">
        <v>3</v>
      </c>
      <c r="CA104" s="238" t="s">
        <v>8951</v>
      </c>
      <c r="CB104" s="238" t="s">
        <v>1167</v>
      </c>
      <c r="CC104" s="238" t="s">
        <v>9077</v>
      </c>
      <c r="CD104" s="238" t="s">
        <v>8972</v>
      </c>
      <c r="CE104" t="b">
        <v>1</v>
      </c>
      <c r="CF104">
        <v>5285420</v>
      </c>
      <c r="CG104">
        <v>5285420</v>
      </c>
      <c r="CH104">
        <v>0</v>
      </c>
      <c r="CI104">
        <v>0</v>
      </c>
      <c r="CJ104">
        <v>0</v>
      </c>
    </row>
    <row r="105" spans="1:88" x14ac:dyDescent="0.25">
      <c r="A105">
        <v>104</v>
      </c>
      <c r="B105">
        <v>1</v>
      </c>
      <c r="C105">
        <v>16</v>
      </c>
      <c r="D105">
        <v>1</v>
      </c>
      <c r="E105">
        <v>0</v>
      </c>
      <c r="F105">
        <v>17.66</v>
      </c>
      <c r="I105">
        <v>17.66</v>
      </c>
      <c r="J105">
        <v>7</v>
      </c>
      <c r="K105">
        <v>4.1500000000000004</v>
      </c>
      <c r="P105">
        <v>3.37</v>
      </c>
      <c r="R105">
        <v>3.37</v>
      </c>
      <c r="S105">
        <v>32.18</v>
      </c>
      <c r="T105">
        <v>28.81</v>
      </c>
      <c r="U105">
        <v>30.5</v>
      </c>
      <c r="V105">
        <v>138273.04</v>
      </c>
      <c r="W105">
        <v>1.6668676716799382</v>
      </c>
      <c r="X105">
        <v>138274.70686767169</v>
      </c>
      <c r="Y105">
        <v>0</v>
      </c>
      <c r="Z105">
        <v>138274.70686767169</v>
      </c>
      <c r="AA105">
        <v>0</v>
      </c>
      <c r="AB105">
        <v>138274.70686767169</v>
      </c>
      <c r="AC105">
        <v>0</v>
      </c>
      <c r="AD105">
        <v>138274.70686767169</v>
      </c>
      <c r="AE105">
        <v>0</v>
      </c>
      <c r="AF105">
        <v>138274.70686767169</v>
      </c>
      <c r="AG105">
        <v>0</v>
      </c>
      <c r="AH105">
        <v>138274.70686767169</v>
      </c>
      <c r="AI105">
        <v>0</v>
      </c>
      <c r="AJ105">
        <v>138274.70686767169</v>
      </c>
      <c r="AK105">
        <v>0</v>
      </c>
      <c r="AL105">
        <v>138274.70686767169</v>
      </c>
      <c r="AM105">
        <v>0</v>
      </c>
      <c r="AN105">
        <v>138274.70686767169</v>
      </c>
      <c r="AO105">
        <v>0</v>
      </c>
      <c r="AP105">
        <v>138274.70686767169</v>
      </c>
      <c r="AQ105">
        <v>0</v>
      </c>
      <c r="AR105">
        <v>138274.70686767169</v>
      </c>
      <c r="AS105">
        <v>0</v>
      </c>
      <c r="AT105">
        <v>138274.70686767169</v>
      </c>
      <c r="AV105">
        <v>138274.70686767169</v>
      </c>
      <c r="AW105">
        <v>1113.2931323283119</v>
      </c>
      <c r="AX105">
        <v>139388</v>
      </c>
      <c r="AY105">
        <v>3038.2295081967313</v>
      </c>
      <c r="AZ105">
        <v>142426.22950819673</v>
      </c>
      <c r="BA105">
        <v>0</v>
      </c>
      <c r="BB105">
        <v>142426.22950819673</v>
      </c>
      <c r="BC105">
        <v>0</v>
      </c>
      <c r="BD105">
        <v>142426.22950819673</v>
      </c>
      <c r="BE105">
        <v>0</v>
      </c>
      <c r="BF105">
        <v>142426.22950819673</v>
      </c>
      <c r="BG105">
        <v>0</v>
      </c>
      <c r="BH105">
        <v>142426.22950819673</v>
      </c>
      <c r="BI105">
        <v>0</v>
      </c>
      <c r="BJ105">
        <v>142426.22950819673</v>
      </c>
      <c r="BK105">
        <v>142426.22950819673</v>
      </c>
      <c r="BL105">
        <v>4344000</v>
      </c>
      <c r="BO105">
        <v>0</v>
      </c>
      <c r="BP105">
        <v>142426.22950819673</v>
      </c>
      <c r="BQ105">
        <v>4344000</v>
      </c>
      <c r="BR105" s="238" t="s">
        <v>36</v>
      </c>
      <c r="BU105">
        <v>142426.22950819673</v>
      </c>
      <c r="BV105">
        <v>0</v>
      </c>
      <c r="BW105">
        <v>4344000</v>
      </c>
      <c r="BX105" s="238"/>
      <c r="BY105" s="238" t="s">
        <v>3</v>
      </c>
      <c r="BZ105" s="238" t="s">
        <v>3</v>
      </c>
      <c r="CA105" s="238" t="s">
        <v>8951</v>
      </c>
      <c r="CB105" s="238" t="s">
        <v>1167</v>
      </c>
      <c r="CC105" s="238" t="s">
        <v>9077</v>
      </c>
      <c r="CD105" s="238" t="s">
        <v>8970</v>
      </c>
      <c r="CE105" t="b">
        <v>1</v>
      </c>
      <c r="CF105">
        <v>4344000</v>
      </c>
      <c r="CG105">
        <v>4344000</v>
      </c>
      <c r="CH105">
        <v>0</v>
      </c>
      <c r="CI105">
        <v>0</v>
      </c>
      <c r="CJ105">
        <v>0</v>
      </c>
    </row>
    <row r="106" spans="1:88" x14ac:dyDescent="0.25">
      <c r="A106">
        <v>105</v>
      </c>
      <c r="B106">
        <v>1</v>
      </c>
      <c r="C106">
        <v>16</v>
      </c>
      <c r="D106">
        <v>2</v>
      </c>
      <c r="E106">
        <v>2</v>
      </c>
      <c r="F106">
        <v>11.1</v>
      </c>
      <c r="G106">
        <v>10.86</v>
      </c>
      <c r="I106">
        <v>21.96</v>
      </c>
      <c r="J106">
        <v>17.5</v>
      </c>
      <c r="K106">
        <v>3.94</v>
      </c>
      <c r="M106">
        <v>4.08</v>
      </c>
      <c r="N106">
        <v>4.49</v>
      </c>
      <c r="P106">
        <v>3.69</v>
      </c>
      <c r="R106">
        <v>3.69</v>
      </c>
      <c r="S106">
        <v>55.66</v>
      </c>
      <c r="T106">
        <v>51.97</v>
      </c>
      <c r="U106">
        <v>53.82</v>
      </c>
      <c r="V106">
        <v>115173.75999999999</v>
      </c>
      <c r="W106">
        <v>1.812519083978259</v>
      </c>
      <c r="X106">
        <v>115175.57251908397</v>
      </c>
      <c r="Y106">
        <v>500.41984732824494</v>
      </c>
      <c r="Z106">
        <v>115675.99236641222</v>
      </c>
      <c r="AA106">
        <v>0</v>
      </c>
      <c r="AB106">
        <v>115675.99236641222</v>
      </c>
      <c r="AC106">
        <v>0</v>
      </c>
      <c r="AD106">
        <v>115675.99236641222</v>
      </c>
      <c r="AE106">
        <v>0</v>
      </c>
      <c r="AF106">
        <v>115675.99236641222</v>
      </c>
      <c r="AG106">
        <v>0</v>
      </c>
      <c r="AH106">
        <v>115675.99236641222</v>
      </c>
      <c r="AI106">
        <v>0</v>
      </c>
      <c r="AJ106">
        <v>115675.99236641222</v>
      </c>
      <c r="AK106">
        <v>0</v>
      </c>
      <c r="AL106">
        <v>115675.99236641222</v>
      </c>
      <c r="AM106">
        <v>0</v>
      </c>
      <c r="AN106">
        <v>115675.99236641222</v>
      </c>
      <c r="AO106">
        <v>0</v>
      </c>
      <c r="AP106">
        <v>115675.99236641222</v>
      </c>
      <c r="AQ106">
        <v>0</v>
      </c>
      <c r="AR106">
        <v>115675.99236641222</v>
      </c>
      <c r="AS106">
        <v>0</v>
      </c>
      <c r="AT106">
        <v>115675.99236641222</v>
      </c>
      <c r="AV106">
        <v>115675.99236641222</v>
      </c>
      <c r="AW106">
        <v>828.11391378102417</v>
      </c>
      <c r="AX106">
        <v>116504.10628019324</v>
      </c>
      <c r="AY106">
        <v>3157.7294685990346</v>
      </c>
      <c r="AZ106">
        <v>119661.83574879228</v>
      </c>
      <c r="BA106">
        <v>0</v>
      </c>
      <c r="BB106">
        <v>119661.83574879228</v>
      </c>
      <c r="BC106">
        <v>0</v>
      </c>
      <c r="BD106">
        <v>119661.83574879228</v>
      </c>
      <c r="BE106">
        <v>0</v>
      </c>
      <c r="BF106">
        <v>119661.83574879228</v>
      </c>
      <c r="BG106">
        <v>1196.7855815681833</v>
      </c>
      <c r="BH106">
        <v>120858.62133036046</v>
      </c>
      <c r="BI106">
        <v>0</v>
      </c>
      <c r="BJ106">
        <v>120858.62133036046</v>
      </c>
      <c r="BK106">
        <v>120858.62133036046</v>
      </c>
      <c r="BL106">
        <v>6504611</v>
      </c>
      <c r="BO106">
        <v>0</v>
      </c>
      <c r="BP106">
        <v>120858.62133036046</v>
      </c>
      <c r="BQ106">
        <v>6504611</v>
      </c>
      <c r="BR106" s="238" t="s">
        <v>36</v>
      </c>
      <c r="BU106">
        <v>120858.62133036046</v>
      </c>
      <c r="BV106">
        <v>0</v>
      </c>
      <c r="BW106">
        <v>6504611</v>
      </c>
      <c r="BX106" s="238"/>
      <c r="BY106" s="238" t="s">
        <v>3</v>
      </c>
      <c r="BZ106" s="238" t="s">
        <v>3</v>
      </c>
      <c r="CA106" s="238" t="s">
        <v>8951</v>
      </c>
      <c r="CB106" s="238" t="s">
        <v>1167</v>
      </c>
      <c r="CC106" s="238" t="s">
        <v>9077</v>
      </c>
      <c r="CD106" s="238" t="s">
        <v>8971</v>
      </c>
      <c r="CE106" t="b">
        <v>1</v>
      </c>
      <c r="CF106">
        <v>6504611</v>
      </c>
      <c r="CG106">
        <v>6504611</v>
      </c>
      <c r="CH106">
        <v>0</v>
      </c>
      <c r="CI106">
        <v>0</v>
      </c>
      <c r="CJ106">
        <v>0</v>
      </c>
    </row>
    <row r="107" spans="1:88" x14ac:dyDescent="0.25">
      <c r="A107">
        <v>106</v>
      </c>
      <c r="B107">
        <v>1</v>
      </c>
      <c r="C107">
        <v>16</v>
      </c>
      <c r="D107">
        <v>3</v>
      </c>
      <c r="E107">
        <v>2</v>
      </c>
      <c r="F107">
        <v>11.04</v>
      </c>
      <c r="G107">
        <v>12.05</v>
      </c>
      <c r="I107">
        <v>23.09</v>
      </c>
      <c r="J107">
        <v>20.09</v>
      </c>
      <c r="K107">
        <v>4.99</v>
      </c>
      <c r="M107">
        <v>2.65</v>
      </c>
      <c r="N107">
        <v>4.57</v>
      </c>
      <c r="O107">
        <v>3.63</v>
      </c>
      <c r="P107">
        <v>3.84</v>
      </c>
      <c r="R107">
        <v>3.84</v>
      </c>
      <c r="S107">
        <v>62.86</v>
      </c>
      <c r="T107">
        <v>59.02</v>
      </c>
      <c r="U107">
        <v>60.94</v>
      </c>
      <c r="V107">
        <v>118496.08</v>
      </c>
      <c r="W107">
        <v>0.96142011834308505</v>
      </c>
      <c r="X107">
        <v>118497.04142011834</v>
      </c>
      <c r="Y107">
        <v>0</v>
      </c>
      <c r="Z107">
        <v>118497.04142011834</v>
      </c>
      <c r="AA107">
        <v>0</v>
      </c>
      <c r="AB107">
        <v>118497.04142011834</v>
      </c>
      <c r="AC107">
        <v>0</v>
      </c>
      <c r="AD107">
        <v>118497.04142011834</v>
      </c>
      <c r="AE107">
        <v>0</v>
      </c>
      <c r="AF107">
        <v>118497.04142011834</v>
      </c>
      <c r="AG107">
        <v>0</v>
      </c>
      <c r="AH107">
        <v>118497.04142011834</v>
      </c>
      <c r="AI107">
        <v>0</v>
      </c>
      <c r="AJ107">
        <v>118497.04142011834</v>
      </c>
      <c r="AK107">
        <v>0</v>
      </c>
      <c r="AL107">
        <v>118497.04142011834</v>
      </c>
      <c r="AM107">
        <v>0</v>
      </c>
      <c r="AN107">
        <v>118497.04142011834</v>
      </c>
      <c r="AO107">
        <v>0</v>
      </c>
      <c r="AP107">
        <v>118497.04142011834</v>
      </c>
      <c r="AQ107">
        <v>0</v>
      </c>
      <c r="AR107">
        <v>118497.04142011834</v>
      </c>
      <c r="AS107">
        <v>0</v>
      </c>
      <c r="AT107">
        <v>118497.04142011834</v>
      </c>
      <c r="AV107">
        <v>118497.04142011834</v>
      </c>
      <c r="AW107">
        <v>-30.188778175448533</v>
      </c>
      <c r="AX107">
        <v>118466.8526419429</v>
      </c>
      <c r="AY107">
        <v>3585.9862159501208</v>
      </c>
      <c r="AZ107">
        <v>122052.83885789302</v>
      </c>
      <c r="BA107">
        <v>0</v>
      </c>
      <c r="BB107">
        <v>122052.83885789302</v>
      </c>
      <c r="BC107">
        <v>0</v>
      </c>
      <c r="BD107">
        <v>122052.83885789302</v>
      </c>
      <c r="BE107">
        <v>0</v>
      </c>
      <c r="BF107">
        <v>122052.83885789302</v>
      </c>
      <c r="BG107">
        <v>1220.6924844108871</v>
      </c>
      <c r="BH107">
        <v>123273.5313423039</v>
      </c>
      <c r="BI107">
        <v>0</v>
      </c>
      <c r="BJ107">
        <v>123273.5313423039</v>
      </c>
      <c r="BK107">
        <v>123273.5313423039</v>
      </c>
      <c r="BL107">
        <v>7512289</v>
      </c>
      <c r="BO107">
        <v>0</v>
      </c>
      <c r="BP107">
        <v>123273.5313423039</v>
      </c>
      <c r="BQ107">
        <v>7512289</v>
      </c>
      <c r="BR107" s="238" t="s">
        <v>36</v>
      </c>
      <c r="BU107">
        <v>123273.5313423039</v>
      </c>
      <c r="BV107">
        <v>0</v>
      </c>
      <c r="BW107">
        <v>7512289</v>
      </c>
      <c r="BX107" s="238"/>
      <c r="BY107" s="238" t="s">
        <v>3</v>
      </c>
      <c r="BZ107" s="238" t="s">
        <v>3</v>
      </c>
      <c r="CA107" s="238" t="s">
        <v>8951</v>
      </c>
      <c r="CB107" s="238" t="s">
        <v>1167</v>
      </c>
      <c r="CC107" s="238" t="s">
        <v>9077</v>
      </c>
      <c r="CD107" s="238" t="s">
        <v>8971</v>
      </c>
      <c r="CE107" t="b">
        <v>1</v>
      </c>
      <c r="CF107">
        <v>7512289</v>
      </c>
      <c r="CG107">
        <v>7512289</v>
      </c>
      <c r="CH107">
        <v>0</v>
      </c>
      <c r="CI107">
        <v>0</v>
      </c>
      <c r="CJ107">
        <v>0</v>
      </c>
    </row>
    <row r="108" spans="1:88" x14ac:dyDescent="0.25">
      <c r="A108">
        <v>107</v>
      </c>
      <c r="B108">
        <v>1</v>
      </c>
      <c r="C108">
        <v>16</v>
      </c>
      <c r="D108">
        <v>4</v>
      </c>
      <c r="E108">
        <v>1</v>
      </c>
      <c r="F108">
        <v>12.64</v>
      </c>
      <c r="I108">
        <v>12.64</v>
      </c>
      <c r="J108">
        <v>15.33</v>
      </c>
      <c r="K108">
        <v>4.32</v>
      </c>
      <c r="M108">
        <v>4.03</v>
      </c>
      <c r="P108">
        <v>3.38</v>
      </c>
      <c r="R108">
        <v>3.38</v>
      </c>
      <c r="S108">
        <v>39.700000000000003</v>
      </c>
      <c r="T108">
        <v>36.32</v>
      </c>
      <c r="U108">
        <v>38.01</v>
      </c>
      <c r="V108">
        <v>119184.96000000001</v>
      </c>
      <c r="W108">
        <v>0.42565629226737656</v>
      </c>
      <c r="X108">
        <v>119185.38565629227</v>
      </c>
      <c r="Y108">
        <v>0</v>
      </c>
      <c r="Z108">
        <v>119185.38565629227</v>
      </c>
      <c r="AA108">
        <v>0</v>
      </c>
      <c r="AB108">
        <v>119185.38565629227</v>
      </c>
      <c r="AC108">
        <v>0</v>
      </c>
      <c r="AD108">
        <v>119185.38565629227</v>
      </c>
      <c r="AE108">
        <v>0</v>
      </c>
      <c r="AF108">
        <v>119185.38565629227</v>
      </c>
      <c r="AG108">
        <v>0</v>
      </c>
      <c r="AH108">
        <v>119185.38565629227</v>
      </c>
      <c r="AI108">
        <v>0</v>
      </c>
      <c r="AJ108">
        <v>119185.38565629227</v>
      </c>
      <c r="AK108">
        <v>0</v>
      </c>
      <c r="AL108">
        <v>119185.38565629227</v>
      </c>
      <c r="AM108">
        <v>0</v>
      </c>
      <c r="AN108">
        <v>119185.38565629227</v>
      </c>
      <c r="AO108">
        <v>0</v>
      </c>
      <c r="AP108">
        <v>119185.38565629227</v>
      </c>
      <c r="AQ108">
        <v>0</v>
      </c>
      <c r="AR108">
        <v>119185.38565629227</v>
      </c>
      <c r="AS108">
        <v>0</v>
      </c>
      <c r="AT108">
        <v>119185.38565629227</v>
      </c>
      <c r="AV108">
        <v>119185.38565629227</v>
      </c>
      <c r="AW108">
        <v>151.68353602554998</v>
      </c>
      <c r="AX108">
        <v>119337.06919231782</v>
      </c>
      <c r="AY108">
        <v>3425.3617469087039</v>
      </c>
      <c r="AZ108">
        <v>122762.43093922653</v>
      </c>
      <c r="BA108">
        <v>0</v>
      </c>
      <c r="BB108">
        <v>122762.43093922653</v>
      </c>
      <c r="BC108">
        <v>0</v>
      </c>
      <c r="BD108">
        <v>122762.43093922653</v>
      </c>
      <c r="BE108">
        <v>0</v>
      </c>
      <c r="BF108">
        <v>122762.43093922653</v>
      </c>
      <c r="BG108">
        <v>2454.8013680610311</v>
      </c>
      <c r="BH108">
        <v>125217.23230728756</v>
      </c>
      <c r="BI108">
        <v>0</v>
      </c>
      <c r="BJ108">
        <v>125217.23230728756</v>
      </c>
      <c r="BK108">
        <v>125217.23230728756</v>
      </c>
      <c r="BL108">
        <v>4759507</v>
      </c>
      <c r="BO108">
        <v>0</v>
      </c>
      <c r="BP108">
        <v>125217.23230728756</v>
      </c>
      <c r="BQ108">
        <v>4759507</v>
      </c>
      <c r="BR108" s="238" t="s">
        <v>36</v>
      </c>
      <c r="BU108">
        <v>125217.23230728756</v>
      </c>
      <c r="BV108">
        <v>0</v>
      </c>
      <c r="BW108">
        <v>4759507</v>
      </c>
      <c r="BX108" s="238"/>
      <c r="BY108" s="238" t="s">
        <v>3</v>
      </c>
      <c r="BZ108" s="238" t="s">
        <v>3</v>
      </c>
      <c r="CA108" s="238" t="s">
        <v>8951</v>
      </c>
      <c r="CB108" s="238" t="s">
        <v>1167</v>
      </c>
      <c r="CC108" s="238" t="s">
        <v>9077</v>
      </c>
      <c r="CD108" s="238" t="s">
        <v>8972</v>
      </c>
      <c r="CE108" t="b">
        <v>1</v>
      </c>
      <c r="CF108">
        <v>4759507</v>
      </c>
      <c r="CG108">
        <v>4759507</v>
      </c>
      <c r="CH108">
        <v>0</v>
      </c>
      <c r="CI108">
        <v>0</v>
      </c>
      <c r="CJ108">
        <v>0</v>
      </c>
    </row>
    <row r="109" spans="1:88" x14ac:dyDescent="0.25">
      <c r="A109">
        <v>108</v>
      </c>
      <c r="B109">
        <v>1</v>
      </c>
      <c r="C109">
        <v>16</v>
      </c>
      <c r="D109">
        <v>5</v>
      </c>
      <c r="E109">
        <v>2</v>
      </c>
      <c r="F109">
        <v>10.59</v>
      </c>
      <c r="G109">
        <v>14.05</v>
      </c>
      <c r="I109">
        <v>24.64</v>
      </c>
      <c r="J109">
        <v>18.2</v>
      </c>
      <c r="K109">
        <v>4.54</v>
      </c>
      <c r="M109">
        <v>3.1</v>
      </c>
      <c r="N109">
        <v>4.93</v>
      </c>
      <c r="O109">
        <v>3.83</v>
      </c>
      <c r="P109">
        <v>3.49</v>
      </c>
      <c r="R109">
        <v>3.49</v>
      </c>
      <c r="S109">
        <v>62.73</v>
      </c>
      <c r="T109">
        <v>59.24</v>
      </c>
      <c r="U109">
        <v>60.99</v>
      </c>
      <c r="V109">
        <v>116281.2</v>
      </c>
      <c r="W109">
        <v>0.12992327366373502</v>
      </c>
      <c r="X109">
        <v>116281.32992327366</v>
      </c>
      <c r="Y109">
        <v>0</v>
      </c>
      <c r="Z109">
        <v>116281.32992327366</v>
      </c>
      <c r="AA109">
        <v>0</v>
      </c>
      <c r="AB109">
        <v>116281.32992327366</v>
      </c>
      <c r="AC109">
        <v>0</v>
      </c>
      <c r="AD109">
        <v>116281.32992327366</v>
      </c>
      <c r="AE109">
        <v>0</v>
      </c>
      <c r="AF109">
        <v>116281.32992327366</v>
      </c>
      <c r="AG109">
        <v>0</v>
      </c>
      <c r="AH109">
        <v>116281.32992327366</v>
      </c>
      <c r="AI109">
        <v>0</v>
      </c>
      <c r="AJ109">
        <v>116281.32992327366</v>
      </c>
      <c r="AK109">
        <v>0</v>
      </c>
      <c r="AL109">
        <v>116281.32992327366</v>
      </c>
      <c r="AM109">
        <v>0</v>
      </c>
      <c r="AN109">
        <v>116281.32992327366</v>
      </c>
      <c r="AO109">
        <v>0</v>
      </c>
      <c r="AP109">
        <v>116281.32992327366</v>
      </c>
      <c r="AQ109">
        <v>0</v>
      </c>
      <c r="AR109">
        <v>116281.32992327366</v>
      </c>
      <c r="AS109">
        <v>0</v>
      </c>
      <c r="AT109">
        <v>116281.32992327366</v>
      </c>
      <c r="AV109">
        <v>116281.32992327366</v>
      </c>
      <c r="AW109">
        <v>-1107.0882443098963</v>
      </c>
      <c r="AX109">
        <v>115174.24167896376</v>
      </c>
      <c r="AY109">
        <v>4596.2124938514462</v>
      </c>
      <c r="AZ109">
        <v>119770.45417281521</v>
      </c>
      <c r="BA109">
        <v>0</v>
      </c>
      <c r="BB109">
        <v>119770.45417281521</v>
      </c>
      <c r="BC109">
        <v>0</v>
      </c>
      <c r="BD109">
        <v>119770.45417281521</v>
      </c>
      <c r="BE109">
        <v>0</v>
      </c>
      <c r="BF109">
        <v>119770.45417281521</v>
      </c>
      <c r="BG109">
        <v>1197.2454500737804</v>
      </c>
      <c r="BH109">
        <v>120967.69962288901</v>
      </c>
      <c r="BI109">
        <v>0</v>
      </c>
      <c r="BJ109">
        <v>120967.69962288901</v>
      </c>
      <c r="BK109">
        <v>120967.69962288899</v>
      </c>
      <c r="BL109">
        <v>7377820</v>
      </c>
      <c r="BO109">
        <v>0</v>
      </c>
      <c r="BP109">
        <v>120967.69962288899</v>
      </c>
      <c r="BQ109">
        <v>7377820</v>
      </c>
      <c r="BR109" s="238" t="s">
        <v>36</v>
      </c>
      <c r="BU109">
        <v>120967.69962288899</v>
      </c>
      <c r="BV109">
        <v>0</v>
      </c>
      <c r="BW109">
        <v>7377820</v>
      </c>
      <c r="BX109" s="238"/>
      <c r="BY109" s="238" t="s">
        <v>3</v>
      </c>
      <c r="BZ109" s="238" t="s">
        <v>3</v>
      </c>
      <c r="CA109" s="238" t="s">
        <v>8951</v>
      </c>
      <c r="CB109" s="238" t="s">
        <v>1167</v>
      </c>
      <c r="CC109" s="238" t="s">
        <v>9077</v>
      </c>
      <c r="CD109" s="238" t="s">
        <v>8971</v>
      </c>
      <c r="CE109" t="b">
        <v>1</v>
      </c>
      <c r="CF109">
        <v>7377820</v>
      </c>
      <c r="CG109">
        <v>7377820</v>
      </c>
      <c r="CH109">
        <v>0</v>
      </c>
      <c r="CI109">
        <v>0</v>
      </c>
      <c r="CJ109">
        <v>0</v>
      </c>
    </row>
    <row r="110" spans="1:88" x14ac:dyDescent="0.25">
      <c r="A110">
        <v>109</v>
      </c>
      <c r="B110">
        <v>1</v>
      </c>
      <c r="C110">
        <v>16</v>
      </c>
      <c r="D110">
        <v>6</v>
      </c>
      <c r="E110">
        <v>2</v>
      </c>
      <c r="F110">
        <v>14.2</v>
      </c>
      <c r="G110">
        <v>14.27</v>
      </c>
      <c r="I110">
        <v>28.47</v>
      </c>
      <c r="J110">
        <v>17.420000000000002</v>
      </c>
      <c r="K110">
        <v>4.57</v>
      </c>
      <c r="L110">
        <v>4.05</v>
      </c>
      <c r="M110">
        <v>3.57</v>
      </c>
      <c r="N110">
        <v>4.75</v>
      </c>
      <c r="P110">
        <v>2.87</v>
      </c>
      <c r="R110">
        <v>2.87</v>
      </c>
      <c r="S110">
        <v>65.7</v>
      </c>
      <c r="T110">
        <v>62.83</v>
      </c>
      <c r="U110">
        <v>64.27</v>
      </c>
      <c r="V110">
        <v>119603.52</v>
      </c>
      <c r="W110">
        <v>0.9457097288541263</v>
      </c>
      <c r="X110">
        <v>119604.46570972886</v>
      </c>
      <c r="Y110">
        <v>0</v>
      </c>
      <c r="Z110">
        <v>119604.46570972886</v>
      </c>
      <c r="AA110">
        <v>0</v>
      </c>
      <c r="AB110">
        <v>119604.46570972886</v>
      </c>
      <c r="AC110">
        <v>0</v>
      </c>
      <c r="AD110">
        <v>119604.46570972886</v>
      </c>
      <c r="AE110">
        <v>0</v>
      </c>
      <c r="AF110">
        <v>119604.46570972886</v>
      </c>
      <c r="AG110">
        <v>0</v>
      </c>
      <c r="AH110">
        <v>119604.46570972886</v>
      </c>
      <c r="AI110">
        <v>0</v>
      </c>
      <c r="AJ110">
        <v>119604.46570972886</v>
      </c>
      <c r="AK110">
        <v>0</v>
      </c>
      <c r="AL110">
        <v>119604.46570972886</v>
      </c>
      <c r="AM110">
        <v>0</v>
      </c>
      <c r="AN110">
        <v>119604.46570972886</v>
      </c>
      <c r="AO110">
        <v>0</v>
      </c>
      <c r="AP110">
        <v>119604.46570972886</v>
      </c>
      <c r="AQ110">
        <v>0</v>
      </c>
      <c r="AR110">
        <v>119604.46570972886</v>
      </c>
      <c r="AS110">
        <v>0</v>
      </c>
      <c r="AT110">
        <v>119604.46570972886</v>
      </c>
      <c r="AV110">
        <v>119604.46570972886</v>
      </c>
      <c r="AW110">
        <v>578.29452054966532</v>
      </c>
      <c r="AX110">
        <v>120182.76023027852</v>
      </c>
      <c r="AY110">
        <v>3010.0202271666349</v>
      </c>
      <c r="AZ110">
        <v>123192.78045744516</v>
      </c>
      <c r="BA110">
        <v>0</v>
      </c>
      <c r="BB110">
        <v>123192.78045744516</v>
      </c>
      <c r="BC110">
        <v>0</v>
      </c>
      <c r="BD110">
        <v>123192.78045744516</v>
      </c>
      <c r="BE110">
        <v>0</v>
      </c>
      <c r="BF110">
        <v>123192.78045744516</v>
      </c>
      <c r="BG110">
        <v>1232.1456355998089</v>
      </c>
      <c r="BH110">
        <v>124424.92609304497</v>
      </c>
      <c r="BI110">
        <v>0</v>
      </c>
      <c r="BJ110">
        <v>124424.92609304497</v>
      </c>
      <c r="BK110">
        <v>124424.92609304497</v>
      </c>
      <c r="BL110">
        <v>7996790</v>
      </c>
      <c r="BO110">
        <v>0</v>
      </c>
      <c r="BP110">
        <v>124424.92609304497</v>
      </c>
      <c r="BQ110">
        <v>7996790</v>
      </c>
      <c r="BR110" s="238" t="s">
        <v>36</v>
      </c>
      <c r="BU110">
        <v>124424.92609304497</v>
      </c>
      <c r="BV110">
        <v>0</v>
      </c>
      <c r="BW110">
        <v>7996790</v>
      </c>
      <c r="BX110" s="238"/>
      <c r="BY110" s="238" t="s">
        <v>3</v>
      </c>
      <c r="BZ110" s="238" t="s">
        <v>3</v>
      </c>
      <c r="CA110" s="238" t="s">
        <v>8951</v>
      </c>
      <c r="CB110" s="238" t="s">
        <v>1167</v>
      </c>
      <c r="CC110" s="238" t="s">
        <v>9077</v>
      </c>
      <c r="CD110" s="238" t="s">
        <v>8971</v>
      </c>
      <c r="CE110" t="b">
        <v>1</v>
      </c>
      <c r="CF110">
        <v>7996790</v>
      </c>
      <c r="CG110">
        <v>7996790</v>
      </c>
      <c r="CH110">
        <v>0</v>
      </c>
      <c r="CI110">
        <v>0</v>
      </c>
      <c r="CJ110">
        <v>0</v>
      </c>
    </row>
    <row r="111" spans="1:88" x14ac:dyDescent="0.25">
      <c r="A111">
        <v>110</v>
      </c>
      <c r="B111">
        <v>1</v>
      </c>
      <c r="C111">
        <v>16</v>
      </c>
      <c r="D111">
        <v>7</v>
      </c>
      <c r="E111">
        <v>1</v>
      </c>
      <c r="F111">
        <v>15.25</v>
      </c>
      <c r="I111">
        <v>15.25</v>
      </c>
      <c r="J111">
        <v>16.91</v>
      </c>
      <c r="K111">
        <v>4.4400000000000004</v>
      </c>
      <c r="M111">
        <v>3.93</v>
      </c>
      <c r="P111">
        <v>3.36</v>
      </c>
      <c r="R111">
        <v>3.36</v>
      </c>
      <c r="S111">
        <v>43.89</v>
      </c>
      <c r="T111">
        <v>40.53</v>
      </c>
      <c r="U111">
        <v>42.21</v>
      </c>
      <c r="V111">
        <v>119184.96000000001</v>
      </c>
      <c r="W111">
        <v>4.6045949202380143E-2</v>
      </c>
      <c r="X111">
        <v>119185.00604594921</v>
      </c>
      <c r="Y111">
        <v>0</v>
      </c>
      <c r="Z111">
        <v>119185.00604594921</v>
      </c>
      <c r="AA111">
        <v>0</v>
      </c>
      <c r="AB111">
        <v>119185.00604594921</v>
      </c>
      <c r="AC111">
        <v>0</v>
      </c>
      <c r="AD111">
        <v>119185.00604594921</v>
      </c>
      <c r="AE111">
        <v>0</v>
      </c>
      <c r="AF111">
        <v>119185.00604594921</v>
      </c>
      <c r="AG111">
        <v>0</v>
      </c>
      <c r="AH111">
        <v>119185.00604594921</v>
      </c>
      <c r="AI111">
        <v>0</v>
      </c>
      <c r="AJ111">
        <v>119185.00604594921</v>
      </c>
      <c r="AK111">
        <v>0</v>
      </c>
      <c r="AL111">
        <v>119185.00604594921</v>
      </c>
      <c r="AM111">
        <v>0</v>
      </c>
      <c r="AN111">
        <v>119185.00604594921</v>
      </c>
      <c r="AO111">
        <v>0</v>
      </c>
      <c r="AP111">
        <v>119185.00604594921</v>
      </c>
      <c r="AQ111">
        <v>0</v>
      </c>
      <c r="AR111">
        <v>119185.00604594921</v>
      </c>
      <c r="AS111">
        <v>0</v>
      </c>
      <c r="AT111">
        <v>119185.00604594921</v>
      </c>
      <c r="AV111">
        <v>119185.00604594921</v>
      </c>
      <c r="AW111">
        <v>1074.387462698025</v>
      </c>
      <c r="AX111">
        <v>120259.39350864723</v>
      </c>
      <c r="AY111">
        <v>2502.9850746268639</v>
      </c>
      <c r="AZ111">
        <v>122762.3785832741</v>
      </c>
      <c r="BA111">
        <v>0</v>
      </c>
      <c r="BB111">
        <v>122762.3785832741</v>
      </c>
      <c r="BC111">
        <v>0</v>
      </c>
      <c r="BD111">
        <v>122762.3785832741</v>
      </c>
      <c r="BE111">
        <v>0</v>
      </c>
      <c r="BF111">
        <v>122762.3785832741</v>
      </c>
      <c r="BG111">
        <v>2454.8685145700147</v>
      </c>
      <c r="BH111">
        <v>125217.24709784413</v>
      </c>
      <c r="BI111">
        <v>0</v>
      </c>
      <c r="BJ111">
        <v>125217.24709784413</v>
      </c>
      <c r="BK111">
        <v>125217.24709784411</v>
      </c>
      <c r="BL111">
        <v>5285420</v>
      </c>
      <c r="BO111">
        <v>0</v>
      </c>
      <c r="BP111">
        <v>125217.24709784411</v>
      </c>
      <c r="BQ111">
        <v>5285420</v>
      </c>
      <c r="BR111" s="238" t="s">
        <v>36</v>
      </c>
      <c r="BU111">
        <v>125217.24709784411</v>
      </c>
      <c r="BV111">
        <v>0</v>
      </c>
      <c r="BW111">
        <v>5285420</v>
      </c>
      <c r="BX111" s="238"/>
      <c r="BY111" s="238" t="s">
        <v>3</v>
      </c>
      <c r="BZ111" s="238" t="s">
        <v>3</v>
      </c>
      <c r="CA111" s="238" t="s">
        <v>8951</v>
      </c>
      <c r="CB111" s="238" t="s">
        <v>1167</v>
      </c>
      <c r="CC111" s="238" t="s">
        <v>9077</v>
      </c>
      <c r="CD111" s="238" t="s">
        <v>8972</v>
      </c>
      <c r="CE111" t="b">
        <v>1</v>
      </c>
      <c r="CF111">
        <v>5285420</v>
      </c>
      <c r="CG111">
        <v>5285420</v>
      </c>
      <c r="CH111">
        <v>0</v>
      </c>
      <c r="CI111">
        <v>0</v>
      </c>
      <c r="CJ111">
        <v>0</v>
      </c>
    </row>
    <row r="112" spans="1:88" x14ac:dyDescent="0.25">
      <c r="A112">
        <v>111</v>
      </c>
      <c r="B112">
        <v>1</v>
      </c>
      <c r="C112">
        <v>17</v>
      </c>
      <c r="D112">
        <v>1</v>
      </c>
      <c r="E112">
        <v>0</v>
      </c>
      <c r="F112">
        <v>17.66</v>
      </c>
      <c r="I112">
        <v>17.66</v>
      </c>
      <c r="J112">
        <v>7</v>
      </c>
      <c r="K112">
        <v>4.1500000000000004</v>
      </c>
      <c r="P112">
        <v>3.37</v>
      </c>
      <c r="R112">
        <v>3.37</v>
      </c>
      <c r="S112">
        <v>32.18</v>
      </c>
      <c r="T112">
        <v>28.81</v>
      </c>
      <c r="U112">
        <v>30.5</v>
      </c>
      <c r="V112">
        <v>138273.04</v>
      </c>
      <c r="W112">
        <v>1.6668676716799382</v>
      </c>
      <c r="X112">
        <v>138274.70686767169</v>
      </c>
      <c r="Y112">
        <v>0</v>
      </c>
      <c r="Z112">
        <v>138274.70686767169</v>
      </c>
      <c r="AA112">
        <v>0</v>
      </c>
      <c r="AB112">
        <v>138274.70686767169</v>
      </c>
      <c r="AC112">
        <v>0</v>
      </c>
      <c r="AD112">
        <v>138274.70686767169</v>
      </c>
      <c r="AE112">
        <v>0</v>
      </c>
      <c r="AF112">
        <v>138274.70686767169</v>
      </c>
      <c r="AG112">
        <v>0</v>
      </c>
      <c r="AH112">
        <v>138274.70686767169</v>
      </c>
      <c r="AI112">
        <v>0</v>
      </c>
      <c r="AJ112">
        <v>138274.70686767169</v>
      </c>
      <c r="AK112">
        <v>0</v>
      </c>
      <c r="AL112">
        <v>138274.70686767169</v>
      </c>
      <c r="AM112">
        <v>0</v>
      </c>
      <c r="AN112">
        <v>138274.70686767169</v>
      </c>
      <c r="AO112">
        <v>0</v>
      </c>
      <c r="AP112">
        <v>138274.70686767169</v>
      </c>
      <c r="AQ112">
        <v>0</v>
      </c>
      <c r="AR112">
        <v>138274.70686767169</v>
      </c>
      <c r="AS112">
        <v>0</v>
      </c>
      <c r="AT112">
        <v>138274.70686767169</v>
      </c>
      <c r="AV112">
        <v>138274.70686767169</v>
      </c>
      <c r="AW112">
        <v>1113.2931323283119</v>
      </c>
      <c r="AX112">
        <v>139388</v>
      </c>
      <c r="AY112">
        <v>3038.2295081967313</v>
      </c>
      <c r="AZ112">
        <v>142426.22950819673</v>
      </c>
      <c r="BA112">
        <v>0</v>
      </c>
      <c r="BB112">
        <v>142426.22950819673</v>
      </c>
      <c r="BC112">
        <v>0</v>
      </c>
      <c r="BD112">
        <v>142426.22950819673</v>
      </c>
      <c r="BE112">
        <v>0</v>
      </c>
      <c r="BF112">
        <v>142426.22950819673</v>
      </c>
      <c r="BG112">
        <v>0</v>
      </c>
      <c r="BH112">
        <v>142426.22950819673</v>
      </c>
      <c r="BI112">
        <v>0</v>
      </c>
      <c r="BJ112">
        <v>142426.22950819673</v>
      </c>
      <c r="BK112">
        <v>142426.22950819673</v>
      </c>
      <c r="BL112">
        <v>4344000</v>
      </c>
      <c r="BO112">
        <v>0</v>
      </c>
      <c r="BP112">
        <v>142426.22950819673</v>
      </c>
      <c r="BQ112">
        <v>4344000</v>
      </c>
      <c r="BR112" s="238" t="s">
        <v>36</v>
      </c>
      <c r="BU112">
        <v>142426.22950819673</v>
      </c>
      <c r="BV112">
        <v>0</v>
      </c>
      <c r="BW112">
        <v>4344000</v>
      </c>
      <c r="BX112" s="238"/>
      <c r="BY112" s="238" t="s">
        <v>3</v>
      </c>
      <c r="BZ112" s="238" t="s">
        <v>3</v>
      </c>
      <c r="CA112" s="238" t="s">
        <v>8951</v>
      </c>
      <c r="CB112" s="238" t="s">
        <v>1167</v>
      </c>
      <c r="CC112" s="238" t="s">
        <v>9077</v>
      </c>
      <c r="CD112" s="238" t="s">
        <v>8970</v>
      </c>
      <c r="CE112" t="b">
        <v>1</v>
      </c>
      <c r="CF112">
        <v>4344000</v>
      </c>
      <c r="CG112">
        <v>4344000</v>
      </c>
      <c r="CH112">
        <v>0</v>
      </c>
      <c r="CI112">
        <v>0</v>
      </c>
      <c r="CJ112">
        <v>0</v>
      </c>
    </row>
    <row r="113" spans="1:88" x14ac:dyDescent="0.25">
      <c r="A113">
        <v>112</v>
      </c>
      <c r="B113">
        <v>1</v>
      </c>
      <c r="C113">
        <v>17</v>
      </c>
      <c r="D113">
        <v>2</v>
      </c>
      <c r="E113">
        <v>2</v>
      </c>
      <c r="F113">
        <v>11.1</v>
      </c>
      <c r="G113">
        <v>10.86</v>
      </c>
      <c r="I113">
        <v>21.96</v>
      </c>
      <c r="J113">
        <v>17.5</v>
      </c>
      <c r="K113">
        <v>3.94</v>
      </c>
      <c r="M113">
        <v>4.08</v>
      </c>
      <c r="N113">
        <v>4.49</v>
      </c>
      <c r="P113">
        <v>3.69</v>
      </c>
      <c r="R113">
        <v>3.69</v>
      </c>
      <c r="S113">
        <v>55.66</v>
      </c>
      <c r="T113">
        <v>51.97</v>
      </c>
      <c r="U113">
        <v>53.82</v>
      </c>
      <c r="V113">
        <v>115173.75999999999</v>
      </c>
      <c r="W113">
        <v>1.812519083978259</v>
      </c>
      <c r="X113">
        <v>115175.57251908397</v>
      </c>
      <c r="Y113">
        <v>500.41984732824494</v>
      </c>
      <c r="Z113">
        <v>115675.99236641222</v>
      </c>
      <c r="AA113">
        <v>0</v>
      </c>
      <c r="AB113">
        <v>115675.99236641222</v>
      </c>
      <c r="AC113">
        <v>0</v>
      </c>
      <c r="AD113">
        <v>115675.99236641222</v>
      </c>
      <c r="AE113">
        <v>0</v>
      </c>
      <c r="AF113">
        <v>115675.99236641222</v>
      </c>
      <c r="AG113">
        <v>0</v>
      </c>
      <c r="AH113">
        <v>115675.99236641222</v>
      </c>
      <c r="AI113">
        <v>0</v>
      </c>
      <c r="AJ113">
        <v>115675.99236641222</v>
      </c>
      <c r="AK113">
        <v>0</v>
      </c>
      <c r="AL113">
        <v>115675.99236641222</v>
      </c>
      <c r="AM113">
        <v>0</v>
      </c>
      <c r="AN113">
        <v>115675.99236641222</v>
      </c>
      <c r="AO113">
        <v>0</v>
      </c>
      <c r="AP113">
        <v>115675.99236641222</v>
      </c>
      <c r="AQ113">
        <v>0</v>
      </c>
      <c r="AR113">
        <v>115675.99236641222</v>
      </c>
      <c r="AS113">
        <v>0</v>
      </c>
      <c r="AT113">
        <v>115675.99236641222</v>
      </c>
      <c r="AV113">
        <v>115675.99236641222</v>
      </c>
      <c r="AW113">
        <v>828.11391378102417</v>
      </c>
      <c r="AX113">
        <v>116504.10628019324</v>
      </c>
      <c r="AY113">
        <v>3157.7294685990346</v>
      </c>
      <c r="AZ113">
        <v>119661.83574879228</v>
      </c>
      <c r="BA113">
        <v>0</v>
      </c>
      <c r="BB113">
        <v>119661.83574879228</v>
      </c>
      <c r="BC113">
        <v>0</v>
      </c>
      <c r="BD113">
        <v>119661.83574879228</v>
      </c>
      <c r="BE113">
        <v>0</v>
      </c>
      <c r="BF113">
        <v>119661.83574879228</v>
      </c>
      <c r="BG113">
        <v>1196.7855815681833</v>
      </c>
      <c r="BH113">
        <v>120858.62133036046</v>
      </c>
      <c r="BI113">
        <v>0</v>
      </c>
      <c r="BJ113">
        <v>120858.62133036046</v>
      </c>
      <c r="BK113">
        <v>120858.62133036046</v>
      </c>
      <c r="BL113">
        <v>6504611</v>
      </c>
      <c r="BO113">
        <v>0</v>
      </c>
      <c r="BP113">
        <v>120858.62133036046</v>
      </c>
      <c r="BQ113">
        <v>6504611</v>
      </c>
      <c r="BR113" s="238" t="s">
        <v>36</v>
      </c>
      <c r="BU113">
        <v>120858.62133036046</v>
      </c>
      <c r="BV113">
        <v>0</v>
      </c>
      <c r="BW113">
        <v>6504611</v>
      </c>
      <c r="BX113" s="238"/>
      <c r="BY113" s="238" t="s">
        <v>3</v>
      </c>
      <c r="BZ113" s="238" t="s">
        <v>3</v>
      </c>
      <c r="CA113" s="238" t="s">
        <v>8951</v>
      </c>
      <c r="CB113" s="238" t="s">
        <v>1167</v>
      </c>
      <c r="CC113" s="238" t="s">
        <v>9077</v>
      </c>
      <c r="CD113" s="238" t="s">
        <v>8971</v>
      </c>
      <c r="CE113" t="b">
        <v>1</v>
      </c>
      <c r="CF113">
        <v>6504611</v>
      </c>
      <c r="CG113">
        <v>6504611</v>
      </c>
      <c r="CH113">
        <v>0</v>
      </c>
      <c r="CI113">
        <v>0</v>
      </c>
      <c r="CJ113">
        <v>0</v>
      </c>
    </row>
    <row r="114" spans="1:88" x14ac:dyDescent="0.25">
      <c r="A114">
        <v>113</v>
      </c>
      <c r="B114">
        <v>1</v>
      </c>
      <c r="C114">
        <v>17</v>
      </c>
      <c r="D114">
        <v>3</v>
      </c>
      <c r="E114">
        <v>2</v>
      </c>
      <c r="F114">
        <v>11.04</v>
      </c>
      <c r="G114">
        <v>12.05</v>
      </c>
      <c r="I114">
        <v>23.09</v>
      </c>
      <c r="J114">
        <v>20.09</v>
      </c>
      <c r="K114">
        <v>4.99</v>
      </c>
      <c r="M114">
        <v>2.65</v>
      </c>
      <c r="N114">
        <v>4.57</v>
      </c>
      <c r="O114">
        <v>3.63</v>
      </c>
      <c r="P114">
        <v>3.84</v>
      </c>
      <c r="R114">
        <v>3.84</v>
      </c>
      <c r="S114">
        <v>62.86</v>
      </c>
      <c r="T114">
        <v>59.02</v>
      </c>
      <c r="U114">
        <v>60.94</v>
      </c>
      <c r="V114">
        <v>118496.08</v>
      </c>
      <c r="W114">
        <v>0.96142011834308505</v>
      </c>
      <c r="X114">
        <v>118497.04142011834</v>
      </c>
      <c r="Y114">
        <v>0</v>
      </c>
      <c r="Z114">
        <v>118497.04142011834</v>
      </c>
      <c r="AA114">
        <v>0</v>
      </c>
      <c r="AB114">
        <v>118497.04142011834</v>
      </c>
      <c r="AC114">
        <v>0</v>
      </c>
      <c r="AD114">
        <v>118497.04142011834</v>
      </c>
      <c r="AE114">
        <v>0</v>
      </c>
      <c r="AF114">
        <v>118497.04142011834</v>
      </c>
      <c r="AG114">
        <v>0</v>
      </c>
      <c r="AH114">
        <v>118497.04142011834</v>
      </c>
      <c r="AI114">
        <v>0</v>
      </c>
      <c r="AJ114">
        <v>118497.04142011834</v>
      </c>
      <c r="AK114">
        <v>0</v>
      </c>
      <c r="AL114">
        <v>118497.04142011834</v>
      </c>
      <c r="AM114">
        <v>0</v>
      </c>
      <c r="AN114">
        <v>118497.04142011834</v>
      </c>
      <c r="AO114">
        <v>0</v>
      </c>
      <c r="AP114">
        <v>118497.04142011834</v>
      </c>
      <c r="AQ114">
        <v>0</v>
      </c>
      <c r="AR114">
        <v>118497.04142011834</v>
      </c>
      <c r="AS114">
        <v>0</v>
      </c>
      <c r="AT114">
        <v>118497.04142011834</v>
      </c>
      <c r="AV114">
        <v>118497.04142011834</v>
      </c>
      <c r="AW114">
        <v>-30.188778175448533</v>
      </c>
      <c r="AX114">
        <v>118466.8526419429</v>
      </c>
      <c r="AY114">
        <v>3585.9862159501208</v>
      </c>
      <c r="AZ114">
        <v>122052.83885789302</v>
      </c>
      <c r="BA114">
        <v>0</v>
      </c>
      <c r="BB114">
        <v>122052.83885789302</v>
      </c>
      <c r="BC114">
        <v>0</v>
      </c>
      <c r="BD114">
        <v>122052.83885789302</v>
      </c>
      <c r="BE114">
        <v>0</v>
      </c>
      <c r="BF114">
        <v>122052.83885789302</v>
      </c>
      <c r="BG114">
        <v>1220.6924844108871</v>
      </c>
      <c r="BH114">
        <v>123273.5313423039</v>
      </c>
      <c r="BI114">
        <v>0</v>
      </c>
      <c r="BJ114">
        <v>123273.5313423039</v>
      </c>
      <c r="BK114">
        <v>123273.5313423039</v>
      </c>
      <c r="BL114">
        <v>7512289</v>
      </c>
      <c r="BO114">
        <v>0</v>
      </c>
      <c r="BP114">
        <v>123273.5313423039</v>
      </c>
      <c r="BQ114">
        <v>7512289</v>
      </c>
      <c r="BR114" s="238" t="s">
        <v>36</v>
      </c>
      <c r="BU114">
        <v>123273.5313423039</v>
      </c>
      <c r="BV114">
        <v>0</v>
      </c>
      <c r="BW114">
        <v>7512289</v>
      </c>
      <c r="BX114" s="238"/>
      <c r="BY114" s="238" t="s">
        <v>3</v>
      </c>
      <c r="BZ114" s="238" t="s">
        <v>3</v>
      </c>
      <c r="CA114" s="238" t="s">
        <v>8951</v>
      </c>
      <c r="CB114" s="238" t="s">
        <v>1167</v>
      </c>
      <c r="CC114" s="238" t="s">
        <v>9077</v>
      </c>
      <c r="CD114" s="238" t="s">
        <v>8971</v>
      </c>
      <c r="CE114" t="b">
        <v>1</v>
      </c>
      <c r="CF114">
        <v>7512289</v>
      </c>
      <c r="CG114">
        <v>7512289</v>
      </c>
      <c r="CH114">
        <v>0</v>
      </c>
      <c r="CI114">
        <v>0</v>
      </c>
      <c r="CJ114">
        <v>0</v>
      </c>
    </row>
    <row r="115" spans="1:88" x14ac:dyDescent="0.25">
      <c r="A115">
        <v>114</v>
      </c>
      <c r="B115">
        <v>1</v>
      </c>
      <c r="C115">
        <v>17</v>
      </c>
      <c r="D115">
        <v>4</v>
      </c>
      <c r="E115">
        <v>1</v>
      </c>
      <c r="F115">
        <v>12.64</v>
      </c>
      <c r="I115">
        <v>12.64</v>
      </c>
      <c r="J115">
        <v>15.33</v>
      </c>
      <c r="K115">
        <v>4.32</v>
      </c>
      <c r="M115">
        <v>4.03</v>
      </c>
      <c r="P115">
        <v>3.38</v>
      </c>
      <c r="R115">
        <v>3.38</v>
      </c>
      <c r="S115">
        <v>39.700000000000003</v>
      </c>
      <c r="T115">
        <v>36.32</v>
      </c>
      <c r="U115">
        <v>38.01</v>
      </c>
      <c r="V115">
        <v>119184.96000000001</v>
      </c>
      <c r="W115">
        <v>0.42565629226737656</v>
      </c>
      <c r="X115">
        <v>119185.38565629227</v>
      </c>
      <c r="Y115">
        <v>0</v>
      </c>
      <c r="Z115">
        <v>119185.38565629227</v>
      </c>
      <c r="AA115">
        <v>0</v>
      </c>
      <c r="AB115">
        <v>119185.38565629227</v>
      </c>
      <c r="AC115">
        <v>0</v>
      </c>
      <c r="AD115">
        <v>119185.38565629227</v>
      </c>
      <c r="AE115">
        <v>0</v>
      </c>
      <c r="AF115">
        <v>119185.38565629227</v>
      </c>
      <c r="AG115">
        <v>0</v>
      </c>
      <c r="AH115">
        <v>119185.38565629227</v>
      </c>
      <c r="AI115">
        <v>0</v>
      </c>
      <c r="AJ115">
        <v>119185.38565629227</v>
      </c>
      <c r="AK115">
        <v>0</v>
      </c>
      <c r="AL115">
        <v>119185.38565629227</v>
      </c>
      <c r="AM115">
        <v>0</v>
      </c>
      <c r="AN115">
        <v>119185.38565629227</v>
      </c>
      <c r="AO115">
        <v>0</v>
      </c>
      <c r="AP115">
        <v>119185.38565629227</v>
      </c>
      <c r="AQ115">
        <v>0</v>
      </c>
      <c r="AR115">
        <v>119185.38565629227</v>
      </c>
      <c r="AS115">
        <v>0</v>
      </c>
      <c r="AT115">
        <v>119185.38565629227</v>
      </c>
      <c r="AV115">
        <v>119185.38565629227</v>
      </c>
      <c r="AW115">
        <v>151.68353602554998</v>
      </c>
      <c r="AX115">
        <v>119337.06919231782</v>
      </c>
      <c r="AY115">
        <v>3425.3617469087039</v>
      </c>
      <c r="AZ115">
        <v>122762.43093922653</v>
      </c>
      <c r="BA115">
        <v>0</v>
      </c>
      <c r="BB115">
        <v>122762.43093922653</v>
      </c>
      <c r="BC115">
        <v>0</v>
      </c>
      <c r="BD115">
        <v>122762.43093922653</v>
      </c>
      <c r="BE115">
        <v>0</v>
      </c>
      <c r="BF115">
        <v>122762.43093922653</v>
      </c>
      <c r="BG115">
        <v>2454.8013680610311</v>
      </c>
      <c r="BH115">
        <v>125217.23230728756</v>
      </c>
      <c r="BI115">
        <v>0</v>
      </c>
      <c r="BJ115">
        <v>125217.23230728756</v>
      </c>
      <c r="BK115">
        <v>125217.23230728756</v>
      </c>
      <c r="BL115">
        <v>4759507</v>
      </c>
      <c r="BO115">
        <v>0</v>
      </c>
      <c r="BP115">
        <v>125217.23230728756</v>
      </c>
      <c r="BQ115">
        <v>4759507</v>
      </c>
      <c r="BR115" s="238" t="s">
        <v>36</v>
      </c>
      <c r="BU115">
        <v>125217.23230728756</v>
      </c>
      <c r="BV115">
        <v>0</v>
      </c>
      <c r="BW115">
        <v>4759507</v>
      </c>
      <c r="BX115" s="238"/>
      <c r="BY115" s="238" t="s">
        <v>3</v>
      </c>
      <c r="BZ115" s="238" t="s">
        <v>3</v>
      </c>
      <c r="CA115" s="238" t="s">
        <v>8951</v>
      </c>
      <c r="CB115" s="238" t="s">
        <v>1167</v>
      </c>
      <c r="CC115" s="238" t="s">
        <v>9077</v>
      </c>
      <c r="CD115" s="238" t="s">
        <v>8972</v>
      </c>
      <c r="CE115" t="b">
        <v>1</v>
      </c>
      <c r="CF115">
        <v>4759507</v>
      </c>
      <c r="CG115">
        <v>4759507</v>
      </c>
      <c r="CH115">
        <v>0</v>
      </c>
      <c r="CI115">
        <v>0</v>
      </c>
      <c r="CJ115">
        <v>0</v>
      </c>
    </row>
    <row r="116" spans="1:88" x14ac:dyDescent="0.25">
      <c r="A116">
        <v>115</v>
      </c>
      <c r="B116">
        <v>1</v>
      </c>
      <c r="C116">
        <v>17</v>
      </c>
      <c r="D116">
        <v>5</v>
      </c>
      <c r="E116">
        <v>2</v>
      </c>
      <c r="F116">
        <v>10.59</v>
      </c>
      <c r="G116">
        <v>14.05</v>
      </c>
      <c r="I116">
        <v>24.64</v>
      </c>
      <c r="J116">
        <v>18.2</v>
      </c>
      <c r="K116">
        <v>4.54</v>
      </c>
      <c r="M116">
        <v>3.1</v>
      </c>
      <c r="N116">
        <v>4.93</v>
      </c>
      <c r="O116">
        <v>3.83</v>
      </c>
      <c r="P116">
        <v>3.49</v>
      </c>
      <c r="R116">
        <v>3.49</v>
      </c>
      <c r="S116">
        <v>62.73</v>
      </c>
      <c r="T116">
        <v>59.24</v>
      </c>
      <c r="U116">
        <v>60.99</v>
      </c>
      <c r="V116">
        <v>116281.2</v>
      </c>
      <c r="W116">
        <v>0.12992327366373502</v>
      </c>
      <c r="X116">
        <v>116281.32992327366</v>
      </c>
      <c r="Y116">
        <v>0</v>
      </c>
      <c r="Z116">
        <v>116281.32992327366</v>
      </c>
      <c r="AA116">
        <v>0</v>
      </c>
      <c r="AB116">
        <v>116281.32992327366</v>
      </c>
      <c r="AC116">
        <v>0</v>
      </c>
      <c r="AD116">
        <v>116281.32992327366</v>
      </c>
      <c r="AE116">
        <v>0</v>
      </c>
      <c r="AF116">
        <v>116281.32992327366</v>
      </c>
      <c r="AG116">
        <v>0</v>
      </c>
      <c r="AH116">
        <v>116281.32992327366</v>
      </c>
      <c r="AI116">
        <v>0</v>
      </c>
      <c r="AJ116">
        <v>116281.32992327366</v>
      </c>
      <c r="AK116">
        <v>0</v>
      </c>
      <c r="AL116">
        <v>116281.32992327366</v>
      </c>
      <c r="AM116">
        <v>0</v>
      </c>
      <c r="AN116">
        <v>116281.32992327366</v>
      </c>
      <c r="AO116">
        <v>0</v>
      </c>
      <c r="AP116">
        <v>116281.32992327366</v>
      </c>
      <c r="AQ116">
        <v>0</v>
      </c>
      <c r="AR116">
        <v>116281.32992327366</v>
      </c>
      <c r="AS116">
        <v>0</v>
      </c>
      <c r="AT116">
        <v>116281.32992327366</v>
      </c>
      <c r="AV116">
        <v>116281.32992327366</v>
      </c>
      <c r="AW116">
        <v>-1107.0882443098963</v>
      </c>
      <c r="AX116">
        <v>115174.24167896376</v>
      </c>
      <c r="AY116">
        <v>4596.2124938514462</v>
      </c>
      <c r="AZ116">
        <v>119770.45417281521</v>
      </c>
      <c r="BA116">
        <v>0</v>
      </c>
      <c r="BB116">
        <v>119770.45417281521</v>
      </c>
      <c r="BC116">
        <v>0</v>
      </c>
      <c r="BD116">
        <v>119770.45417281521</v>
      </c>
      <c r="BE116">
        <v>0</v>
      </c>
      <c r="BF116">
        <v>119770.45417281521</v>
      </c>
      <c r="BG116">
        <v>1197.2454500737804</v>
      </c>
      <c r="BH116">
        <v>120967.69962288901</v>
      </c>
      <c r="BI116">
        <v>0</v>
      </c>
      <c r="BJ116">
        <v>120967.69962288901</v>
      </c>
      <c r="BK116">
        <v>120967.69962288899</v>
      </c>
      <c r="BL116">
        <v>7377820</v>
      </c>
      <c r="BO116">
        <v>0</v>
      </c>
      <c r="BP116">
        <v>120967.69962288899</v>
      </c>
      <c r="BQ116">
        <v>7377820</v>
      </c>
      <c r="BR116" s="238" t="s">
        <v>36</v>
      </c>
      <c r="BU116">
        <v>120967.69962288899</v>
      </c>
      <c r="BV116">
        <v>0</v>
      </c>
      <c r="BW116">
        <v>7377820</v>
      </c>
      <c r="BX116" s="238"/>
      <c r="BY116" s="238" t="s">
        <v>3</v>
      </c>
      <c r="BZ116" s="238" t="s">
        <v>3</v>
      </c>
      <c r="CA116" s="238" t="s">
        <v>8951</v>
      </c>
      <c r="CB116" s="238" t="s">
        <v>1167</v>
      </c>
      <c r="CC116" s="238" t="s">
        <v>9077</v>
      </c>
      <c r="CD116" s="238" t="s">
        <v>8971</v>
      </c>
      <c r="CE116" t="b">
        <v>1</v>
      </c>
      <c r="CF116">
        <v>7377820</v>
      </c>
      <c r="CG116">
        <v>7377820</v>
      </c>
      <c r="CH116">
        <v>0</v>
      </c>
      <c r="CI116">
        <v>0</v>
      </c>
      <c r="CJ116">
        <v>0</v>
      </c>
    </row>
    <row r="117" spans="1:88" x14ac:dyDescent="0.25">
      <c r="A117">
        <v>116</v>
      </c>
      <c r="B117">
        <v>1</v>
      </c>
      <c r="C117">
        <v>17</v>
      </c>
      <c r="D117">
        <v>6</v>
      </c>
      <c r="E117">
        <v>2</v>
      </c>
      <c r="F117">
        <v>14.2</v>
      </c>
      <c r="G117">
        <v>14.27</v>
      </c>
      <c r="I117">
        <v>28.47</v>
      </c>
      <c r="J117">
        <v>17.420000000000002</v>
      </c>
      <c r="K117">
        <v>4.57</v>
      </c>
      <c r="L117">
        <v>4.05</v>
      </c>
      <c r="M117">
        <v>3.57</v>
      </c>
      <c r="N117">
        <v>4.75</v>
      </c>
      <c r="P117">
        <v>2.87</v>
      </c>
      <c r="R117">
        <v>2.87</v>
      </c>
      <c r="S117">
        <v>65.7</v>
      </c>
      <c r="T117">
        <v>62.83</v>
      </c>
      <c r="U117">
        <v>64.27</v>
      </c>
      <c r="V117">
        <v>119603.52</v>
      </c>
      <c r="W117">
        <v>0.9457097288541263</v>
      </c>
      <c r="X117">
        <v>119604.46570972886</v>
      </c>
      <c r="Y117">
        <v>0</v>
      </c>
      <c r="Z117">
        <v>119604.46570972886</v>
      </c>
      <c r="AA117">
        <v>0</v>
      </c>
      <c r="AB117">
        <v>119604.46570972886</v>
      </c>
      <c r="AC117">
        <v>0</v>
      </c>
      <c r="AD117">
        <v>119604.46570972886</v>
      </c>
      <c r="AE117">
        <v>0</v>
      </c>
      <c r="AF117">
        <v>119604.46570972886</v>
      </c>
      <c r="AG117">
        <v>0</v>
      </c>
      <c r="AH117">
        <v>119604.46570972886</v>
      </c>
      <c r="AI117">
        <v>0</v>
      </c>
      <c r="AJ117">
        <v>119604.46570972886</v>
      </c>
      <c r="AK117">
        <v>0</v>
      </c>
      <c r="AL117">
        <v>119604.46570972886</v>
      </c>
      <c r="AM117">
        <v>0</v>
      </c>
      <c r="AN117">
        <v>119604.46570972886</v>
      </c>
      <c r="AO117">
        <v>0</v>
      </c>
      <c r="AP117">
        <v>119604.46570972886</v>
      </c>
      <c r="AQ117">
        <v>0</v>
      </c>
      <c r="AR117">
        <v>119604.46570972886</v>
      </c>
      <c r="AS117">
        <v>0</v>
      </c>
      <c r="AT117">
        <v>119604.46570972886</v>
      </c>
      <c r="AV117">
        <v>119604.46570972886</v>
      </c>
      <c r="AW117">
        <v>578.29452054966532</v>
      </c>
      <c r="AX117">
        <v>120182.76023027852</v>
      </c>
      <c r="AY117">
        <v>3010.0202271666349</v>
      </c>
      <c r="AZ117">
        <v>123192.78045744516</v>
      </c>
      <c r="BA117">
        <v>0</v>
      </c>
      <c r="BB117">
        <v>123192.78045744516</v>
      </c>
      <c r="BC117">
        <v>0</v>
      </c>
      <c r="BD117">
        <v>123192.78045744516</v>
      </c>
      <c r="BE117">
        <v>0</v>
      </c>
      <c r="BF117">
        <v>123192.78045744516</v>
      </c>
      <c r="BG117">
        <v>1232.1456355998089</v>
      </c>
      <c r="BH117">
        <v>124424.92609304497</v>
      </c>
      <c r="BI117">
        <v>0</v>
      </c>
      <c r="BJ117">
        <v>124424.92609304497</v>
      </c>
      <c r="BK117">
        <v>124424.92609304497</v>
      </c>
      <c r="BL117">
        <v>7996790</v>
      </c>
      <c r="BO117">
        <v>0</v>
      </c>
      <c r="BP117">
        <v>124424.92609304497</v>
      </c>
      <c r="BQ117">
        <v>7996790</v>
      </c>
      <c r="BR117" s="238" t="s">
        <v>36</v>
      </c>
      <c r="BU117">
        <v>124424.92609304497</v>
      </c>
      <c r="BV117">
        <v>0</v>
      </c>
      <c r="BW117">
        <v>7996790</v>
      </c>
      <c r="BX117" s="238"/>
      <c r="BY117" s="238" t="s">
        <v>3</v>
      </c>
      <c r="BZ117" s="238" t="s">
        <v>3</v>
      </c>
      <c r="CA117" s="238" t="s">
        <v>8951</v>
      </c>
      <c r="CB117" s="238" t="s">
        <v>1167</v>
      </c>
      <c r="CC117" s="238" t="s">
        <v>9077</v>
      </c>
      <c r="CD117" s="238" t="s">
        <v>8971</v>
      </c>
      <c r="CE117" t="b">
        <v>1</v>
      </c>
      <c r="CF117">
        <v>7996790</v>
      </c>
      <c r="CG117">
        <v>7996790</v>
      </c>
      <c r="CH117">
        <v>0</v>
      </c>
      <c r="CI117">
        <v>0</v>
      </c>
      <c r="CJ117">
        <v>0</v>
      </c>
    </row>
    <row r="118" spans="1:88" x14ac:dyDescent="0.25">
      <c r="A118">
        <v>117</v>
      </c>
      <c r="B118">
        <v>1</v>
      </c>
      <c r="C118">
        <v>17</v>
      </c>
      <c r="D118">
        <v>7</v>
      </c>
      <c r="E118">
        <v>1</v>
      </c>
      <c r="F118">
        <v>15.25</v>
      </c>
      <c r="I118">
        <v>15.25</v>
      </c>
      <c r="J118">
        <v>16.91</v>
      </c>
      <c r="K118">
        <v>4.4400000000000004</v>
      </c>
      <c r="M118">
        <v>3.93</v>
      </c>
      <c r="P118">
        <v>3.36</v>
      </c>
      <c r="R118">
        <v>3.36</v>
      </c>
      <c r="S118">
        <v>43.89</v>
      </c>
      <c r="T118">
        <v>40.53</v>
      </c>
      <c r="U118">
        <v>42.21</v>
      </c>
      <c r="V118">
        <v>119184.96000000001</v>
      </c>
      <c r="W118">
        <v>4.6045949202380143E-2</v>
      </c>
      <c r="X118">
        <v>119185.00604594921</v>
      </c>
      <c r="Y118">
        <v>0</v>
      </c>
      <c r="Z118">
        <v>119185.00604594921</v>
      </c>
      <c r="AA118">
        <v>0</v>
      </c>
      <c r="AB118">
        <v>119185.00604594921</v>
      </c>
      <c r="AC118">
        <v>0</v>
      </c>
      <c r="AD118">
        <v>119185.00604594921</v>
      </c>
      <c r="AE118">
        <v>0</v>
      </c>
      <c r="AF118">
        <v>119185.00604594921</v>
      </c>
      <c r="AG118">
        <v>0</v>
      </c>
      <c r="AH118">
        <v>119185.00604594921</v>
      </c>
      <c r="AI118">
        <v>0</v>
      </c>
      <c r="AJ118">
        <v>119185.00604594921</v>
      </c>
      <c r="AK118">
        <v>0</v>
      </c>
      <c r="AL118">
        <v>119185.00604594921</v>
      </c>
      <c r="AM118">
        <v>0</v>
      </c>
      <c r="AN118">
        <v>119185.00604594921</v>
      </c>
      <c r="AO118">
        <v>0</v>
      </c>
      <c r="AP118">
        <v>119185.00604594921</v>
      </c>
      <c r="AQ118">
        <v>0</v>
      </c>
      <c r="AR118">
        <v>119185.00604594921</v>
      </c>
      <c r="AS118">
        <v>0</v>
      </c>
      <c r="AT118">
        <v>119185.00604594921</v>
      </c>
      <c r="AV118">
        <v>119185.00604594921</v>
      </c>
      <c r="AX118">
        <v>116756.69272684198</v>
      </c>
      <c r="AY118">
        <v>0</v>
      </c>
      <c r="AZ118">
        <v>116756.69272684198</v>
      </c>
      <c r="BA118">
        <v>0</v>
      </c>
      <c r="BB118">
        <v>116756.69272684198</v>
      </c>
      <c r="BC118">
        <v>0</v>
      </c>
      <c r="BD118">
        <v>116756.69272684198</v>
      </c>
      <c r="BE118">
        <v>0</v>
      </c>
      <c r="BF118">
        <v>116756.69272684198</v>
      </c>
      <c r="BG118">
        <v>0</v>
      </c>
      <c r="BH118">
        <v>116756.69272684198</v>
      </c>
      <c r="BI118">
        <v>0</v>
      </c>
      <c r="BJ118">
        <v>116756.69272684198</v>
      </c>
      <c r="BK118">
        <v>116756.69272684198</v>
      </c>
      <c r="BL118">
        <v>4928300</v>
      </c>
      <c r="BO118">
        <v>0</v>
      </c>
      <c r="BP118">
        <v>116756.69272684198</v>
      </c>
      <c r="BQ118">
        <v>4928300</v>
      </c>
      <c r="BR118" s="238" t="s">
        <v>36</v>
      </c>
      <c r="BU118">
        <v>116756.69272684198</v>
      </c>
      <c r="BV118">
        <v>0</v>
      </c>
      <c r="BW118">
        <v>4928300</v>
      </c>
      <c r="BX118" s="238"/>
      <c r="BY118" s="238" t="s">
        <v>8963</v>
      </c>
      <c r="BZ118" s="238" t="s">
        <v>8963</v>
      </c>
      <c r="CA118" s="238" t="s">
        <v>8953</v>
      </c>
      <c r="CB118" s="238" t="s">
        <v>8964</v>
      </c>
      <c r="CC118" s="238" t="s">
        <v>9077</v>
      </c>
      <c r="CD118" s="238" t="s">
        <v>8972</v>
      </c>
      <c r="CE118" t="b">
        <v>1</v>
      </c>
      <c r="CF118">
        <v>4928300</v>
      </c>
      <c r="CG118">
        <v>5131415</v>
      </c>
      <c r="CH118">
        <v>4928300</v>
      </c>
      <c r="CI118">
        <v>0</v>
      </c>
      <c r="CJ118">
        <v>0</v>
      </c>
    </row>
    <row r="119" spans="1:88" x14ac:dyDescent="0.25">
      <c r="A119">
        <v>118</v>
      </c>
      <c r="B119">
        <v>1</v>
      </c>
      <c r="C119">
        <v>18</v>
      </c>
      <c r="D119">
        <v>1</v>
      </c>
      <c r="E119">
        <v>0</v>
      </c>
      <c r="F119">
        <v>17.66</v>
      </c>
      <c r="I119">
        <v>17.66</v>
      </c>
      <c r="J119">
        <v>7</v>
      </c>
      <c r="K119">
        <v>4.1500000000000004</v>
      </c>
      <c r="P119">
        <v>3.37</v>
      </c>
      <c r="R119">
        <v>3.37</v>
      </c>
      <c r="S119">
        <v>32.18</v>
      </c>
      <c r="T119">
        <v>28.81</v>
      </c>
      <c r="U119">
        <v>30.5</v>
      </c>
      <c r="V119">
        <v>138273.04</v>
      </c>
      <c r="W119">
        <v>1.6668676716799382</v>
      </c>
      <c r="X119">
        <v>138274.70686767169</v>
      </c>
      <c r="Y119">
        <v>0</v>
      </c>
      <c r="Z119">
        <v>138274.70686767169</v>
      </c>
      <c r="AA119">
        <v>0</v>
      </c>
      <c r="AB119">
        <v>138274.70686767169</v>
      </c>
      <c r="AC119">
        <v>0</v>
      </c>
      <c r="AD119">
        <v>138274.70686767169</v>
      </c>
      <c r="AE119">
        <v>0</v>
      </c>
      <c r="AF119">
        <v>138274.70686767169</v>
      </c>
      <c r="AG119">
        <v>0</v>
      </c>
      <c r="AH119">
        <v>138274.70686767169</v>
      </c>
      <c r="AI119">
        <v>0</v>
      </c>
      <c r="AJ119">
        <v>138274.70686767169</v>
      </c>
      <c r="AK119">
        <v>0</v>
      </c>
      <c r="AL119">
        <v>138274.70686767169</v>
      </c>
      <c r="AM119">
        <v>0</v>
      </c>
      <c r="AN119">
        <v>138274.70686767169</v>
      </c>
      <c r="AO119">
        <v>0</v>
      </c>
      <c r="AP119">
        <v>138274.70686767169</v>
      </c>
      <c r="AQ119">
        <v>0</v>
      </c>
      <c r="AR119">
        <v>138274.70686767169</v>
      </c>
      <c r="AS119">
        <v>0</v>
      </c>
      <c r="AT119">
        <v>138274.70686767169</v>
      </c>
      <c r="AV119">
        <v>138274.70686767169</v>
      </c>
      <c r="AW119">
        <v>1113.2931323283119</v>
      </c>
      <c r="AX119">
        <v>139388</v>
      </c>
      <c r="AY119">
        <v>3038.2295081967313</v>
      </c>
      <c r="AZ119">
        <v>142426.22950819673</v>
      </c>
      <c r="BA119">
        <v>0</v>
      </c>
      <c r="BB119">
        <v>142426.22950819673</v>
      </c>
      <c r="BC119">
        <v>0</v>
      </c>
      <c r="BD119">
        <v>142426.22950819673</v>
      </c>
      <c r="BE119">
        <v>0</v>
      </c>
      <c r="BF119">
        <v>142426.22950819673</v>
      </c>
      <c r="BG119">
        <v>0</v>
      </c>
      <c r="BH119">
        <v>142426.22950819673</v>
      </c>
      <c r="BI119">
        <v>0</v>
      </c>
      <c r="BJ119">
        <v>142426.22950819673</v>
      </c>
      <c r="BK119">
        <v>142426.22950819673</v>
      </c>
      <c r="BL119">
        <v>4344000</v>
      </c>
      <c r="BO119">
        <v>0</v>
      </c>
      <c r="BP119">
        <v>142426.22950819673</v>
      </c>
      <c r="BQ119">
        <v>4344000</v>
      </c>
      <c r="BR119" s="238" t="s">
        <v>36</v>
      </c>
      <c r="BU119">
        <v>142426.22950819673</v>
      </c>
      <c r="BV119">
        <v>0</v>
      </c>
      <c r="BW119">
        <v>4344000</v>
      </c>
      <c r="BX119" s="238"/>
      <c r="BY119" s="238" t="s">
        <v>3</v>
      </c>
      <c r="BZ119" s="238" t="s">
        <v>3</v>
      </c>
      <c r="CA119" s="238" t="s">
        <v>8951</v>
      </c>
      <c r="CB119" s="238" t="s">
        <v>1167</v>
      </c>
      <c r="CC119" s="238" t="s">
        <v>9077</v>
      </c>
      <c r="CD119" s="238" t="s">
        <v>8970</v>
      </c>
      <c r="CE119" t="b">
        <v>1</v>
      </c>
      <c r="CF119">
        <v>4344000</v>
      </c>
      <c r="CG119">
        <v>4344000</v>
      </c>
      <c r="CH119">
        <v>0</v>
      </c>
      <c r="CI119">
        <v>0</v>
      </c>
      <c r="CJ119">
        <v>0</v>
      </c>
    </row>
    <row r="120" spans="1:88" x14ac:dyDescent="0.25">
      <c r="A120">
        <v>119</v>
      </c>
      <c r="B120">
        <v>1</v>
      </c>
      <c r="C120">
        <v>18</v>
      </c>
      <c r="D120">
        <v>2</v>
      </c>
      <c r="E120">
        <v>2</v>
      </c>
      <c r="F120">
        <v>11.1</v>
      </c>
      <c r="G120">
        <v>10.86</v>
      </c>
      <c r="I120">
        <v>21.96</v>
      </c>
      <c r="J120">
        <v>17.5</v>
      </c>
      <c r="K120">
        <v>3.94</v>
      </c>
      <c r="M120">
        <v>4.08</v>
      </c>
      <c r="N120">
        <v>4.49</v>
      </c>
      <c r="P120">
        <v>3.69</v>
      </c>
      <c r="R120">
        <v>3.69</v>
      </c>
      <c r="S120">
        <v>55.66</v>
      </c>
      <c r="T120">
        <v>51.97</v>
      </c>
      <c r="U120">
        <v>53.82</v>
      </c>
      <c r="V120">
        <v>115173.75999999999</v>
      </c>
      <c r="W120">
        <v>1.812519083978259</v>
      </c>
      <c r="X120">
        <v>115175.57251908397</v>
      </c>
      <c r="Y120">
        <v>500.41984732824494</v>
      </c>
      <c r="Z120">
        <v>115675.99236641222</v>
      </c>
      <c r="AA120">
        <v>0</v>
      </c>
      <c r="AB120">
        <v>115675.99236641222</v>
      </c>
      <c r="AC120">
        <v>0</v>
      </c>
      <c r="AD120">
        <v>115675.99236641222</v>
      </c>
      <c r="AE120">
        <v>0</v>
      </c>
      <c r="AF120">
        <v>115675.99236641222</v>
      </c>
      <c r="AG120">
        <v>0</v>
      </c>
      <c r="AH120">
        <v>115675.99236641222</v>
      </c>
      <c r="AI120">
        <v>0</v>
      </c>
      <c r="AJ120">
        <v>115675.99236641222</v>
      </c>
      <c r="AK120">
        <v>0</v>
      </c>
      <c r="AL120">
        <v>115675.99236641222</v>
      </c>
      <c r="AM120">
        <v>0</v>
      </c>
      <c r="AN120">
        <v>115675.99236641222</v>
      </c>
      <c r="AO120">
        <v>0</v>
      </c>
      <c r="AP120">
        <v>115675.99236641222</v>
      </c>
      <c r="AQ120">
        <v>0</v>
      </c>
      <c r="AR120">
        <v>115675.99236641222</v>
      </c>
      <c r="AS120">
        <v>0</v>
      </c>
      <c r="AT120">
        <v>115675.99236641222</v>
      </c>
      <c r="AV120">
        <v>115675.99236641222</v>
      </c>
      <c r="AW120">
        <v>828.11391378102417</v>
      </c>
      <c r="AX120">
        <v>116504.10628019324</v>
      </c>
      <c r="AY120">
        <v>3157.7294685990346</v>
      </c>
      <c r="AZ120">
        <v>119661.83574879228</v>
      </c>
      <c r="BA120">
        <v>0</v>
      </c>
      <c r="BB120">
        <v>119661.83574879228</v>
      </c>
      <c r="BC120">
        <v>0</v>
      </c>
      <c r="BD120">
        <v>119661.83574879228</v>
      </c>
      <c r="BE120">
        <v>0</v>
      </c>
      <c r="BF120">
        <v>119661.83574879228</v>
      </c>
      <c r="BG120">
        <v>1196.7855815681833</v>
      </c>
      <c r="BH120">
        <v>120858.62133036046</v>
      </c>
      <c r="BI120">
        <v>0</v>
      </c>
      <c r="BJ120">
        <v>120858.62133036046</v>
      </c>
      <c r="BK120">
        <v>120858.62133036046</v>
      </c>
      <c r="BL120">
        <v>6504611</v>
      </c>
      <c r="BO120">
        <v>0</v>
      </c>
      <c r="BP120">
        <v>120858.62133036046</v>
      </c>
      <c r="BQ120">
        <v>6504611</v>
      </c>
      <c r="BR120" s="238" t="s">
        <v>36</v>
      </c>
      <c r="BU120">
        <v>120858.62133036046</v>
      </c>
      <c r="BV120">
        <v>0</v>
      </c>
      <c r="BW120">
        <v>6504611</v>
      </c>
      <c r="BX120" s="238"/>
      <c r="BY120" s="238" t="s">
        <v>3</v>
      </c>
      <c r="BZ120" s="238" t="s">
        <v>3</v>
      </c>
      <c r="CA120" s="238" t="s">
        <v>8951</v>
      </c>
      <c r="CB120" s="238" t="s">
        <v>1167</v>
      </c>
      <c r="CC120" s="238" t="s">
        <v>9077</v>
      </c>
      <c r="CD120" s="238" t="s">
        <v>8971</v>
      </c>
      <c r="CE120" t="b">
        <v>1</v>
      </c>
      <c r="CF120">
        <v>6504611</v>
      </c>
      <c r="CG120">
        <v>6504611</v>
      </c>
      <c r="CH120">
        <v>0</v>
      </c>
      <c r="CI120">
        <v>0</v>
      </c>
      <c r="CJ120">
        <v>0</v>
      </c>
    </row>
    <row r="121" spans="1:88" x14ac:dyDescent="0.25">
      <c r="A121">
        <v>120</v>
      </c>
      <c r="B121">
        <v>1</v>
      </c>
      <c r="C121">
        <v>18</v>
      </c>
      <c r="D121">
        <v>3</v>
      </c>
      <c r="E121">
        <v>2</v>
      </c>
      <c r="F121">
        <v>11.04</v>
      </c>
      <c r="G121">
        <v>12.05</v>
      </c>
      <c r="I121">
        <v>23.09</v>
      </c>
      <c r="J121">
        <v>20.09</v>
      </c>
      <c r="K121">
        <v>4.99</v>
      </c>
      <c r="M121">
        <v>2.65</v>
      </c>
      <c r="N121">
        <v>4.57</v>
      </c>
      <c r="O121">
        <v>3.63</v>
      </c>
      <c r="P121">
        <v>3.84</v>
      </c>
      <c r="R121">
        <v>3.84</v>
      </c>
      <c r="S121">
        <v>62.86</v>
      </c>
      <c r="T121">
        <v>59.02</v>
      </c>
      <c r="U121">
        <v>60.94</v>
      </c>
      <c r="V121">
        <v>118496.08</v>
      </c>
      <c r="W121">
        <v>0.96142011834308505</v>
      </c>
      <c r="X121">
        <v>118497.04142011834</v>
      </c>
      <c r="Y121">
        <v>0</v>
      </c>
      <c r="Z121">
        <v>118497.04142011834</v>
      </c>
      <c r="AA121">
        <v>0</v>
      </c>
      <c r="AB121">
        <v>118497.04142011834</v>
      </c>
      <c r="AC121">
        <v>0</v>
      </c>
      <c r="AD121">
        <v>118497.04142011834</v>
      </c>
      <c r="AE121">
        <v>0</v>
      </c>
      <c r="AF121">
        <v>118497.04142011834</v>
      </c>
      <c r="AG121">
        <v>0</v>
      </c>
      <c r="AH121">
        <v>118497.04142011834</v>
      </c>
      <c r="AI121">
        <v>0</v>
      </c>
      <c r="AJ121">
        <v>118497.04142011834</v>
      </c>
      <c r="AK121">
        <v>0</v>
      </c>
      <c r="AL121">
        <v>118497.04142011834</v>
      </c>
      <c r="AM121">
        <v>0</v>
      </c>
      <c r="AN121">
        <v>118497.04142011834</v>
      </c>
      <c r="AO121">
        <v>0</v>
      </c>
      <c r="AP121">
        <v>118497.04142011834</v>
      </c>
      <c r="AQ121">
        <v>0</v>
      </c>
      <c r="AR121">
        <v>118497.04142011834</v>
      </c>
      <c r="AS121">
        <v>0</v>
      </c>
      <c r="AT121">
        <v>118497.04142011834</v>
      </c>
      <c r="AV121">
        <v>118497.04142011834</v>
      </c>
      <c r="AW121">
        <v>-30.188778175448533</v>
      </c>
      <c r="AX121">
        <v>118466.8526419429</v>
      </c>
      <c r="AY121">
        <v>3585.9862159501208</v>
      </c>
      <c r="AZ121">
        <v>122052.83885789302</v>
      </c>
      <c r="BA121">
        <v>0</v>
      </c>
      <c r="BB121">
        <v>122052.83885789302</v>
      </c>
      <c r="BC121">
        <v>0</v>
      </c>
      <c r="BD121">
        <v>122052.83885789302</v>
      </c>
      <c r="BE121">
        <v>0</v>
      </c>
      <c r="BF121">
        <v>122052.83885789302</v>
      </c>
      <c r="BG121">
        <v>1220.6924844108871</v>
      </c>
      <c r="BH121">
        <v>123273.5313423039</v>
      </c>
      <c r="BI121">
        <v>0</v>
      </c>
      <c r="BJ121">
        <v>123273.5313423039</v>
      </c>
      <c r="BK121">
        <v>123273.5313423039</v>
      </c>
      <c r="BL121">
        <v>7512289</v>
      </c>
      <c r="BO121">
        <v>0</v>
      </c>
      <c r="BP121">
        <v>123273.5313423039</v>
      </c>
      <c r="BQ121">
        <v>7512289</v>
      </c>
      <c r="BR121" s="238" t="s">
        <v>36</v>
      </c>
      <c r="BU121">
        <v>123273.5313423039</v>
      </c>
      <c r="BV121">
        <v>0</v>
      </c>
      <c r="BW121">
        <v>7512289</v>
      </c>
      <c r="BX121" s="238"/>
      <c r="BY121" s="238" t="s">
        <v>3</v>
      </c>
      <c r="BZ121" s="238" t="s">
        <v>3</v>
      </c>
      <c r="CA121" s="238" t="s">
        <v>8951</v>
      </c>
      <c r="CB121" s="238" t="s">
        <v>1167</v>
      </c>
      <c r="CC121" s="238" t="s">
        <v>9077</v>
      </c>
      <c r="CD121" s="238" t="s">
        <v>8971</v>
      </c>
      <c r="CE121" t="b">
        <v>1</v>
      </c>
      <c r="CF121">
        <v>7512289</v>
      </c>
      <c r="CG121">
        <v>7512289</v>
      </c>
      <c r="CH121">
        <v>0</v>
      </c>
      <c r="CI121">
        <v>0</v>
      </c>
      <c r="CJ121">
        <v>0</v>
      </c>
    </row>
    <row r="122" spans="1:88" x14ac:dyDescent="0.25">
      <c r="A122">
        <v>121</v>
      </c>
      <c r="B122">
        <v>1</v>
      </c>
      <c r="C122">
        <v>18</v>
      </c>
      <c r="D122">
        <v>4</v>
      </c>
      <c r="E122">
        <v>1</v>
      </c>
      <c r="F122">
        <v>12.64</v>
      </c>
      <c r="I122">
        <v>12.64</v>
      </c>
      <c r="J122">
        <v>15.33</v>
      </c>
      <c r="K122">
        <v>4.32</v>
      </c>
      <c r="M122">
        <v>4.03</v>
      </c>
      <c r="P122">
        <v>3.38</v>
      </c>
      <c r="R122">
        <v>3.38</v>
      </c>
      <c r="S122">
        <v>39.700000000000003</v>
      </c>
      <c r="T122">
        <v>36.32</v>
      </c>
      <c r="U122">
        <v>38.01</v>
      </c>
      <c r="V122">
        <v>119184.96000000001</v>
      </c>
      <c r="W122">
        <v>0.42565629226737656</v>
      </c>
      <c r="X122">
        <v>119185.38565629227</v>
      </c>
      <c r="Y122">
        <v>0</v>
      </c>
      <c r="Z122">
        <v>119185.38565629227</v>
      </c>
      <c r="AA122">
        <v>0</v>
      </c>
      <c r="AB122">
        <v>119185.38565629227</v>
      </c>
      <c r="AC122">
        <v>0</v>
      </c>
      <c r="AD122">
        <v>119185.38565629227</v>
      </c>
      <c r="AE122">
        <v>0</v>
      </c>
      <c r="AF122">
        <v>119185.38565629227</v>
      </c>
      <c r="AG122">
        <v>0</v>
      </c>
      <c r="AH122">
        <v>119185.38565629227</v>
      </c>
      <c r="AI122">
        <v>0</v>
      </c>
      <c r="AJ122">
        <v>119185.38565629227</v>
      </c>
      <c r="AK122">
        <v>0</v>
      </c>
      <c r="AL122">
        <v>119185.38565629227</v>
      </c>
      <c r="AM122">
        <v>0</v>
      </c>
      <c r="AN122">
        <v>119185.38565629227</v>
      </c>
      <c r="AO122">
        <v>0</v>
      </c>
      <c r="AP122">
        <v>119185.38565629227</v>
      </c>
      <c r="AQ122">
        <v>0</v>
      </c>
      <c r="AR122">
        <v>119185.38565629227</v>
      </c>
      <c r="AS122">
        <v>0</v>
      </c>
      <c r="AT122">
        <v>119185.38565629227</v>
      </c>
      <c r="AV122">
        <v>119185.38565629227</v>
      </c>
      <c r="AW122">
        <v>151.68353602554998</v>
      </c>
      <c r="AX122">
        <v>119337.06919231782</v>
      </c>
      <c r="AY122">
        <v>3425.3617469087039</v>
      </c>
      <c r="AZ122">
        <v>122762.43093922653</v>
      </c>
      <c r="BA122">
        <v>0</v>
      </c>
      <c r="BB122">
        <v>122762.43093922653</v>
      </c>
      <c r="BC122">
        <v>0</v>
      </c>
      <c r="BD122">
        <v>122762.43093922653</v>
      </c>
      <c r="BE122">
        <v>0</v>
      </c>
      <c r="BF122">
        <v>122762.43093922653</v>
      </c>
      <c r="BG122">
        <v>2454.8013680610311</v>
      </c>
      <c r="BH122">
        <v>125217.23230728756</v>
      </c>
      <c r="BI122">
        <v>0</v>
      </c>
      <c r="BJ122">
        <v>125217.23230728756</v>
      </c>
      <c r="BK122">
        <v>125217.23230728756</v>
      </c>
      <c r="BL122">
        <v>4759507</v>
      </c>
      <c r="BO122">
        <v>0</v>
      </c>
      <c r="BP122">
        <v>125217.23230728756</v>
      </c>
      <c r="BQ122">
        <v>4759507</v>
      </c>
      <c r="BR122" s="238" t="s">
        <v>36</v>
      </c>
      <c r="BU122">
        <v>125217.23230728756</v>
      </c>
      <c r="BV122">
        <v>0</v>
      </c>
      <c r="BW122">
        <v>4759507</v>
      </c>
      <c r="BX122" s="238"/>
      <c r="BY122" s="238" t="s">
        <v>3</v>
      </c>
      <c r="BZ122" s="238" t="s">
        <v>3</v>
      </c>
      <c r="CA122" s="238" t="s">
        <v>8951</v>
      </c>
      <c r="CB122" s="238" t="s">
        <v>1167</v>
      </c>
      <c r="CC122" s="238" t="s">
        <v>9077</v>
      </c>
      <c r="CD122" s="238" t="s">
        <v>8972</v>
      </c>
      <c r="CE122" t="b">
        <v>1</v>
      </c>
      <c r="CF122">
        <v>4759507</v>
      </c>
      <c r="CG122">
        <v>4759507</v>
      </c>
      <c r="CH122">
        <v>0</v>
      </c>
      <c r="CI122">
        <v>0</v>
      </c>
      <c r="CJ122">
        <v>0</v>
      </c>
    </row>
    <row r="123" spans="1:88" x14ac:dyDescent="0.25">
      <c r="A123">
        <v>122</v>
      </c>
      <c r="B123">
        <v>1</v>
      </c>
      <c r="C123">
        <v>18</v>
      </c>
      <c r="D123">
        <v>5</v>
      </c>
      <c r="E123">
        <v>2</v>
      </c>
      <c r="F123">
        <v>10.59</v>
      </c>
      <c r="G123">
        <v>14.05</v>
      </c>
      <c r="I123">
        <v>24.64</v>
      </c>
      <c r="J123">
        <v>18.2</v>
      </c>
      <c r="K123">
        <v>4.54</v>
      </c>
      <c r="M123">
        <v>3.1</v>
      </c>
      <c r="N123">
        <v>4.93</v>
      </c>
      <c r="O123">
        <v>3.83</v>
      </c>
      <c r="P123">
        <v>3.49</v>
      </c>
      <c r="R123">
        <v>3.49</v>
      </c>
      <c r="S123">
        <v>62.73</v>
      </c>
      <c r="T123">
        <v>59.24</v>
      </c>
      <c r="U123">
        <v>60.99</v>
      </c>
      <c r="V123">
        <v>116281.2</v>
      </c>
      <c r="W123">
        <v>0.12992327366373502</v>
      </c>
      <c r="X123">
        <v>116281.32992327366</v>
      </c>
      <c r="Y123">
        <v>0</v>
      </c>
      <c r="Z123">
        <v>116281.32992327366</v>
      </c>
      <c r="AA123">
        <v>0</v>
      </c>
      <c r="AB123">
        <v>116281.32992327366</v>
      </c>
      <c r="AC123">
        <v>0</v>
      </c>
      <c r="AD123">
        <v>116281.32992327366</v>
      </c>
      <c r="AE123">
        <v>0</v>
      </c>
      <c r="AF123">
        <v>116281.32992327366</v>
      </c>
      <c r="AG123">
        <v>0</v>
      </c>
      <c r="AH123">
        <v>116281.32992327366</v>
      </c>
      <c r="AI123">
        <v>0</v>
      </c>
      <c r="AJ123">
        <v>116281.32992327366</v>
      </c>
      <c r="AK123">
        <v>0</v>
      </c>
      <c r="AL123">
        <v>116281.32992327366</v>
      </c>
      <c r="AM123">
        <v>0</v>
      </c>
      <c r="AN123">
        <v>116281.32992327366</v>
      </c>
      <c r="AO123">
        <v>0</v>
      </c>
      <c r="AP123">
        <v>116281.32992327366</v>
      </c>
      <c r="AQ123">
        <v>0</v>
      </c>
      <c r="AR123">
        <v>116281.32992327366</v>
      </c>
      <c r="AS123">
        <v>0</v>
      </c>
      <c r="AT123">
        <v>116281.32992327366</v>
      </c>
      <c r="AV123">
        <v>116281.32992327366</v>
      </c>
      <c r="AW123">
        <v>-1107.0882443098963</v>
      </c>
      <c r="AX123">
        <v>115174.24167896376</v>
      </c>
      <c r="AY123">
        <v>4596.2124938514462</v>
      </c>
      <c r="AZ123">
        <v>119770.45417281521</v>
      </c>
      <c r="BA123">
        <v>0</v>
      </c>
      <c r="BB123">
        <v>119770.45417281521</v>
      </c>
      <c r="BC123">
        <v>0</v>
      </c>
      <c r="BD123">
        <v>119770.45417281521</v>
      </c>
      <c r="BE123">
        <v>0</v>
      </c>
      <c r="BF123">
        <v>119770.45417281521</v>
      </c>
      <c r="BG123">
        <v>1197.2454500737804</v>
      </c>
      <c r="BH123">
        <v>120967.69962288901</v>
      </c>
      <c r="BI123">
        <v>0</v>
      </c>
      <c r="BJ123">
        <v>120967.69962288901</v>
      </c>
      <c r="BK123">
        <v>120967.69962288899</v>
      </c>
      <c r="BL123">
        <v>7377820</v>
      </c>
      <c r="BO123">
        <v>0</v>
      </c>
      <c r="BP123">
        <v>120967.69962288899</v>
      </c>
      <c r="BQ123">
        <v>7377820</v>
      </c>
      <c r="BR123" s="238" t="s">
        <v>36</v>
      </c>
      <c r="BU123">
        <v>120967.69962288899</v>
      </c>
      <c r="BV123">
        <v>0</v>
      </c>
      <c r="BW123">
        <v>7377820</v>
      </c>
      <c r="BX123" s="238"/>
      <c r="BY123" s="238" t="s">
        <v>3</v>
      </c>
      <c r="BZ123" s="238" t="s">
        <v>3</v>
      </c>
      <c r="CA123" s="238" t="s">
        <v>8951</v>
      </c>
      <c r="CB123" s="238" t="s">
        <v>1167</v>
      </c>
      <c r="CC123" s="238" t="s">
        <v>9077</v>
      </c>
      <c r="CD123" s="238" t="s">
        <v>8971</v>
      </c>
      <c r="CE123" t="b">
        <v>1</v>
      </c>
      <c r="CF123">
        <v>7377820</v>
      </c>
      <c r="CG123">
        <v>7377820</v>
      </c>
      <c r="CH123">
        <v>0</v>
      </c>
      <c r="CI123">
        <v>0</v>
      </c>
      <c r="CJ123">
        <v>0</v>
      </c>
    </row>
    <row r="124" spans="1:88" x14ac:dyDescent="0.25">
      <c r="A124">
        <v>123</v>
      </c>
      <c r="B124">
        <v>1</v>
      </c>
      <c r="C124">
        <v>18</v>
      </c>
      <c r="D124">
        <v>6</v>
      </c>
      <c r="E124">
        <v>2</v>
      </c>
      <c r="F124">
        <v>14.2</v>
      </c>
      <c r="G124">
        <v>14.27</v>
      </c>
      <c r="I124">
        <v>28.47</v>
      </c>
      <c r="J124">
        <v>17.420000000000002</v>
      </c>
      <c r="K124">
        <v>4.57</v>
      </c>
      <c r="L124">
        <v>4.05</v>
      </c>
      <c r="M124">
        <v>3.57</v>
      </c>
      <c r="N124">
        <v>4.75</v>
      </c>
      <c r="P124">
        <v>2.87</v>
      </c>
      <c r="R124">
        <v>2.87</v>
      </c>
      <c r="S124">
        <v>65.7</v>
      </c>
      <c r="T124">
        <v>62.83</v>
      </c>
      <c r="U124">
        <v>64.27</v>
      </c>
      <c r="V124">
        <v>119603.52</v>
      </c>
      <c r="W124">
        <v>0.9457097288541263</v>
      </c>
      <c r="X124">
        <v>119604.46570972886</v>
      </c>
      <c r="Y124">
        <v>0</v>
      </c>
      <c r="Z124">
        <v>119604.46570972886</v>
      </c>
      <c r="AA124">
        <v>0</v>
      </c>
      <c r="AB124">
        <v>119604.46570972886</v>
      </c>
      <c r="AC124">
        <v>0</v>
      </c>
      <c r="AD124">
        <v>119604.46570972886</v>
      </c>
      <c r="AE124">
        <v>0</v>
      </c>
      <c r="AF124">
        <v>119604.46570972886</v>
      </c>
      <c r="AG124">
        <v>0</v>
      </c>
      <c r="AH124">
        <v>119604.46570972886</v>
      </c>
      <c r="AI124">
        <v>0</v>
      </c>
      <c r="AJ124">
        <v>119604.46570972886</v>
      </c>
      <c r="AK124">
        <v>0</v>
      </c>
      <c r="AL124">
        <v>119604.46570972886</v>
      </c>
      <c r="AM124">
        <v>0</v>
      </c>
      <c r="AN124">
        <v>119604.46570972886</v>
      </c>
      <c r="AO124">
        <v>0</v>
      </c>
      <c r="AP124">
        <v>119604.46570972886</v>
      </c>
      <c r="AQ124">
        <v>0</v>
      </c>
      <c r="AR124">
        <v>119604.46570972886</v>
      </c>
      <c r="AS124">
        <v>0</v>
      </c>
      <c r="AT124">
        <v>119604.46570972886</v>
      </c>
      <c r="AV124">
        <v>119604.46570972886</v>
      </c>
      <c r="AW124">
        <v>578.29452054966532</v>
      </c>
      <c r="AX124">
        <v>120182.76023027852</v>
      </c>
      <c r="AY124">
        <v>3010.0202271666349</v>
      </c>
      <c r="AZ124">
        <v>123192.78045744516</v>
      </c>
      <c r="BA124">
        <v>0</v>
      </c>
      <c r="BB124">
        <v>123192.78045744516</v>
      </c>
      <c r="BC124">
        <v>0</v>
      </c>
      <c r="BD124">
        <v>123192.78045744516</v>
      </c>
      <c r="BE124">
        <v>0</v>
      </c>
      <c r="BF124">
        <v>123192.78045744516</v>
      </c>
      <c r="BG124">
        <v>1232.1456355998089</v>
      </c>
      <c r="BH124">
        <v>124424.92609304497</v>
      </c>
      <c r="BI124">
        <v>0</v>
      </c>
      <c r="BJ124">
        <v>124424.92609304497</v>
      </c>
      <c r="BK124">
        <v>124424.92609304497</v>
      </c>
      <c r="BL124">
        <v>7996790</v>
      </c>
      <c r="BO124">
        <v>0</v>
      </c>
      <c r="BP124">
        <v>124424.92609304497</v>
      </c>
      <c r="BQ124">
        <v>7996790</v>
      </c>
      <c r="BR124" s="238" t="s">
        <v>36</v>
      </c>
      <c r="BU124">
        <v>124424.92609304497</v>
      </c>
      <c r="BV124">
        <v>0</v>
      </c>
      <c r="BW124">
        <v>7996790</v>
      </c>
      <c r="BX124" s="238"/>
      <c r="BY124" s="238" t="s">
        <v>3</v>
      </c>
      <c r="BZ124" s="238" t="s">
        <v>3</v>
      </c>
      <c r="CA124" s="238" t="s">
        <v>8951</v>
      </c>
      <c r="CB124" s="238" t="s">
        <v>1167</v>
      </c>
      <c r="CC124" s="238" t="s">
        <v>9077</v>
      </c>
      <c r="CD124" s="238" t="s">
        <v>8971</v>
      </c>
      <c r="CE124" t="b">
        <v>1</v>
      </c>
      <c r="CF124">
        <v>7996790</v>
      </c>
      <c r="CG124">
        <v>7996790</v>
      </c>
      <c r="CH124">
        <v>0</v>
      </c>
      <c r="CI124">
        <v>0</v>
      </c>
      <c r="CJ124">
        <v>0</v>
      </c>
    </row>
    <row r="125" spans="1:88" x14ac:dyDescent="0.25">
      <c r="A125">
        <v>124</v>
      </c>
      <c r="B125">
        <v>1</v>
      </c>
      <c r="C125">
        <v>18</v>
      </c>
      <c r="D125">
        <v>7</v>
      </c>
      <c r="E125">
        <v>1</v>
      </c>
      <c r="F125">
        <v>15.25</v>
      </c>
      <c r="I125">
        <v>15.25</v>
      </c>
      <c r="J125">
        <v>16.91</v>
      </c>
      <c r="K125">
        <v>4.4400000000000004</v>
      </c>
      <c r="M125">
        <v>3.93</v>
      </c>
      <c r="P125">
        <v>3.36</v>
      </c>
      <c r="R125">
        <v>3.36</v>
      </c>
      <c r="S125">
        <v>43.89</v>
      </c>
      <c r="T125">
        <v>40.53</v>
      </c>
      <c r="U125">
        <v>42.21</v>
      </c>
      <c r="V125">
        <v>119184.96000000001</v>
      </c>
      <c r="W125">
        <v>4.6045949202380143E-2</v>
      </c>
      <c r="X125">
        <v>119185.00604594921</v>
      </c>
      <c r="Y125">
        <v>0</v>
      </c>
      <c r="Z125">
        <v>119185.00604594921</v>
      </c>
      <c r="AA125">
        <v>0</v>
      </c>
      <c r="AB125">
        <v>119185.00604594921</v>
      </c>
      <c r="AC125">
        <v>0</v>
      </c>
      <c r="AD125">
        <v>119185.00604594921</v>
      </c>
      <c r="AE125">
        <v>0</v>
      </c>
      <c r="AF125">
        <v>119185.00604594921</v>
      </c>
      <c r="AG125">
        <v>0</v>
      </c>
      <c r="AH125">
        <v>119185.00604594921</v>
      </c>
      <c r="AI125">
        <v>0</v>
      </c>
      <c r="AJ125">
        <v>119185.00604594921</v>
      </c>
      <c r="AK125">
        <v>0</v>
      </c>
      <c r="AL125">
        <v>119185.00604594921</v>
      </c>
      <c r="AM125">
        <v>0</v>
      </c>
      <c r="AN125">
        <v>119185.00604594921</v>
      </c>
      <c r="AO125">
        <v>0</v>
      </c>
      <c r="AP125">
        <v>119185.00604594921</v>
      </c>
      <c r="AQ125">
        <v>0</v>
      </c>
      <c r="AR125">
        <v>119185.00604594921</v>
      </c>
      <c r="AS125">
        <v>0</v>
      </c>
      <c r="AT125">
        <v>119185.00604594921</v>
      </c>
      <c r="AV125">
        <v>119185.00604594921</v>
      </c>
      <c r="AW125">
        <v>1074.387462698025</v>
      </c>
      <c r="AX125">
        <v>120259.39350864723</v>
      </c>
      <c r="AY125">
        <v>2502.9850746268639</v>
      </c>
      <c r="AZ125">
        <v>122762.3785832741</v>
      </c>
      <c r="BA125">
        <v>0</v>
      </c>
      <c r="BB125">
        <v>122762.3785832741</v>
      </c>
      <c r="BC125">
        <v>0</v>
      </c>
      <c r="BD125">
        <v>122762.3785832741</v>
      </c>
      <c r="BE125">
        <v>0</v>
      </c>
      <c r="BF125">
        <v>122762.3785832741</v>
      </c>
      <c r="BG125">
        <v>2454.8685145700147</v>
      </c>
      <c r="BH125">
        <v>125217.24709784413</v>
      </c>
      <c r="BI125">
        <v>0</v>
      </c>
      <c r="BJ125">
        <v>125217.24709784413</v>
      </c>
      <c r="BK125">
        <v>125217.24709784411</v>
      </c>
      <c r="BL125">
        <v>5285420</v>
      </c>
      <c r="BO125">
        <v>0</v>
      </c>
      <c r="BP125">
        <v>125217.24709784411</v>
      </c>
      <c r="BQ125">
        <v>5285420</v>
      </c>
      <c r="BR125" s="238" t="s">
        <v>36</v>
      </c>
      <c r="BU125">
        <v>125217.24709784411</v>
      </c>
      <c r="BV125">
        <v>0</v>
      </c>
      <c r="BW125">
        <v>5285420</v>
      </c>
      <c r="BX125" s="238"/>
      <c r="BY125" s="238" t="s">
        <v>3</v>
      </c>
      <c r="BZ125" s="238" t="s">
        <v>3</v>
      </c>
      <c r="CA125" s="238" t="s">
        <v>8951</v>
      </c>
      <c r="CB125" s="238" t="s">
        <v>1167</v>
      </c>
      <c r="CC125" s="238" t="s">
        <v>9077</v>
      </c>
      <c r="CD125" s="238" t="s">
        <v>8972</v>
      </c>
      <c r="CE125" t="b">
        <v>1</v>
      </c>
      <c r="CF125">
        <v>5285420</v>
      </c>
      <c r="CG125">
        <v>5285420</v>
      </c>
      <c r="CH125">
        <v>0</v>
      </c>
      <c r="CI125">
        <v>0</v>
      </c>
      <c r="CJ125">
        <v>0</v>
      </c>
    </row>
    <row r="126" spans="1:88" x14ac:dyDescent="0.25">
      <c r="A126">
        <v>125</v>
      </c>
      <c r="B126">
        <v>2</v>
      </c>
      <c r="C126">
        <v>1</v>
      </c>
      <c r="D126">
        <v>3</v>
      </c>
      <c r="E126">
        <v>1</v>
      </c>
      <c r="F126">
        <v>15.45</v>
      </c>
      <c r="I126">
        <v>15.45</v>
      </c>
      <c r="J126">
        <v>17.71</v>
      </c>
      <c r="K126">
        <v>4.01</v>
      </c>
      <c r="M126">
        <v>5.04</v>
      </c>
      <c r="P126">
        <v>3.84</v>
      </c>
      <c r="R126">
        <v>3.84</v>
      </c>
      <c r="S126">
        <v>46.05</v>
      </c>
      <c r="T126">
        <v>42.21</v>
      </c>
      <c r="U126">
        <v>44.13</v>
      </c>
      <c r="V126">
        <v>120353.44</v>
      </c>
      <c r="W126">
        <v>0.58298850574647076</v>
      </c>
      <c r="X126">
        <v>120354.02298850575</v>
      </c>
      <c r="Y126">
        <v>0</v>
      </c>
      <c r="Z126">
        <v>120354.02298850575</v>
      </c>
      <c r="AA126">
        <v>0</v>
      </c>
      <c r="AB126">
        <v>120354.02298850575</v>
      </c>
      <c r="AC126">
        <v>0</v>
      </c>
      <c r="AD126">
        <v>120354.02298850575</v>
      </c>
      <c r="AE126">
        <v>0</v>
      </c>
      <c r="AF126">
        <v>120354.02298850575</v>
      </c>
      <c r="AG126">
        <v>0</v>
      </c>
      <c r="AH126">
        <v>120354.02298850575</v>
      </c>
      <c r="AI126">
        <v>0</v>
      </c>
      <c r="AJ126">
        <v>120354.02298850575</v>
      </c>
      <c r="AK126">
        <v>0</v>
      </c>
      <c r="AL126">
        <v>120354.02298850575</v>
      </c>
      <c r="AM126">
        <v>0</v>
      </c>
      <c r="AN126">
        <v>120354.02298850575</v>
      </c>
      <c r="AO126">
        <v>0</v>
      </c>
      <c r="AP126">
        <v>120354.02298850575</v>
      </c>
      <c r="AQ126">
        <v>0</v>
      </c>
      <c r="AR126">
        <v>120354.02298850575</v>
      </c>
      <c r="AS126">
        <v>0</v>
      </c>
      <c r="AT126">
        <v>120354.02298850575</v>
      </c>
      <c r="AV126">
        <v>120354.02298850575</v>
      </c>
      <c r="AW126">
        <v>1840.878439094522</v>
      </c>
      <c r="AX126">
        <v>122194.90142760027</v>
      </c>
      <c r="AY126">
        <v>1770.6548832993431</v>
      </c>
      <c r="AZ126">
        <v>123965.55631089961</v>
      </c>
      <c r="BA126">
        <v>0</v>
      </c>
      <c r="BB126">
        <v>123965.55631089961</v>
      </c>
      <c r="BC126">
        <v>0</v>
      </c>
      <c r="BD126">
        <v>123965.55631089961</v>
      </c>
      <c r="BE126">
        <v>0</v>
      </c>
      <c r="BF126">
        <v>123965.55631089961</v>
      </c>
      <c r="BG126">
        <v>2479.7643326535181</v>
      </c>
      <c r="BH126">
        <v>126445.32064355312</v>
      </c>
      <c r="BI126">
        <v>0</v>
      </c>
      <c r="BJ126">
        <v>126445.32064355312</v>
      </c>
      <c r="BK126">
        <v>126445.32064355313</v>
      </c>
      <c r="BL126">
        <v>5580032</v>
      </c>
      <c r="BO126">
        <v>0</v>
      </c>
      <c r="BP126">
        <v>126445.32064355313</v>
      </c>
      <c r="BQ126">
        <v>5580032</v>
      </c>
      <c r="BR126" s="238" t="s">
        <v>36</v>
      </c>
      <c r="BU126">
        <v>126445.32064355313</v>
      </c>
      <c r="BV126">
        <v>0</v>
      </c>
      <c r="BW126">
        <v>5580032</v>
      </c>
      <c r="BX126" s="238"/>
      <c r="BY126" s="238" t="s">
        <v>35</v>
      </c>
      <c r="BZ126" s="238" t="s">
        <v>35</v>
      </c>
      <c r="CA126" s="238" t="s">
        <v>8953</v>
      </c>
      <c r="CB126" s="238" t="s">
        <v>8954</v>
      </c>
      <c r="CC126" s="238" t="s">
        <v>9077</v>
      </c>
      <c r="CD126" s="238" t="s">
        <v>8972</v>
      </c>
      <c r="CE126" t="b">
        <v>1</v>
      </c>
      <c r="CF126">
        <v>5580032</v>
      </c>
      <c r="CG126">
        <v>5580032</v>
      </c>
      <c r="CH126">
        <v>0</v>
      </c>
      <c r="CI126">
        <v>0</v>
      </c>
      <c r="CJ126">
        <v>0</v>
      </c>
    </row>
    <row r="127" spans="1:88" x14ac:dyDescent="0.25">
      <c r="A127">
        <v>126</v>
      </c>
      <c r="B127">
        <v>2</v>
      </c>
      <c r="C127">
        <v>1</v>
      </c>
      <c r="D127">
        <v>4</v>
      </c>
      <c r="E127">
        <v>1</v>
      </c>
      <c r="F127">
        <v>10.59</v>
      </c>
      <c r="I127">
        <v>10.59</v>
      </c>
      <c r="J127">
        <v>15.69</v>
      </c>
      <c r="K127">
        <v>3.94</v>
      </c>
      <c r="M127">
        <v>4.4400000000000004</v>
      </c>
      <c r="P127">
        <v>3.45</v>
      </c>
      <c r="R127">
        <v>3.45</v>
      </c>
      <c r="S127">
        <v>38.11</v>
      </c>
      <c r="T127">
        <v>34.659999999999997</v>
      </c>
      <c r="U127">
        <v>36.39</v>
      </c>
      <c r="V127">
        <v>119184.96000000001</v>
      </c>
      <c r="W127">
        <v>1170.5955555555556</v>
      </c>
      <c r="X127">
        <v>120355.55555555556</v>
      </c>
      <c r="Y127">
        <v>0</v>
      </c>
      <c r="Z127">
        <v>120355.55555555556</v>
      </c>
      <c r="AA127">
        <v>0</v>
      </c>
      <c r="AB127">
        <v>120355.55555555556</v>
      </c>
      <c r="AC127">
        <v>500.44444444443798</v>
      </c>
      <c r="AD127">
        <v>120856</v>
      </c>
      <c r="AE127">
        <v>0</v>
      </c>
      <c r="AF127">
        <v>120856</v>
      </c>
      <c r="AG127">
        <v>500</v>
      </c>
      <c r="AH127">
        <v>121356</v>
      </c>
      <c r="AI127">
        <v>500</v>
      </c>
      <c r="AJ127">
        <v>121856</v>
      </c>
      <c r="AK127">
        <v>500</v>
      </c>
      <c r="AL127">
        <v>122356</v>
      </c>
      <c r="AM127">
        <v>0</v>
      </c>
      <c r="AN127">
        <v>122356</v>
      </c>
      <c r="AO127">
        <v>500</v>
      </c>
      <c r="AP127">
        <v>122856</v>
      </c>
      <c r="AQ127">
        <v>0</v>
      </c>
      <c r="AR127">
        <v>122856</v>
      </c>
      <c r="AS127">
        <v>0</v>
      </c>
      <c r="AT127">
        <v>122856</v>
      </c>
      <c r="AV127">
        <v>122856</v>
      </c>
      <c r="AW127">
        <v>3348.4517724649631</v>
      </c>
      <c r="AX127">
        <v>126204.45177246496</v>
      </c>
      <c r="AY127">
        <v>1369.0574333608092</v>
      </c>
      <c r="AZ127">
        <v>127573.50920582577</v>
      </c>
      <c r="BA127">
        <v>500.49464138499752</v>
      </c>
      <c r="BB127">
        <v>128074.00384721077</v>
      </c>
      <c r="BC127">
        <v>500</v>
      </c>
      <c r="BD127">
        <v>128574.00384721077</v>
      </c>
      <c r="BE127">
        <v>500</v>
      </c>
      <c r="BF127">
        <v>129074.00384721077</v>
      </c>
      <c r="BG127">
        <v>2581.4784281395987</v>
      </c>
      <c r="BH127">
        <v>131655.48227535037</v>
      </c>
      <c r="BI127">
        <v>499.50535861501703</v>
      </c>
      <c r="BJ127">
        <v>132154.98763396539</v>
      </c>
      <c r="BK127">
        <v>132154.98763396539</v>
      </c>
      <c r="BL127">
        <v>4809120</v>
      </c>
      <c r="BO127">
        <v>0</v>
      </c>
      <c r="BP127">
        <v>132154.98763396539</v>
      </c>
      <c r="BQ127">
        <v>4809120</v>
      </c>
      <c r="BR127" s="238" t="s">
        <v>36</v>
      </c>
      <c r="BU127">
        <v>132154.98763396539</v>
      </c>
      <c r="BV127">
        <v>0</v>
      </c>
      <c r="BW127">
        <v>4809120</v>
      </c>
      <c r="BX127" s="238"/>
      <c r="BY127" s="238" t="s">
        <v>35</v>
      </c>
      <c r="BZ127" s="238" t="s">
        <v>35</v>
      </c>
      <c r="CA127" s="238" t="s">
        <v>8953</v>
      </c>
      <c r="CB127" s="238" t="s">
        <v>8954</v>
      </c>
      <c r="CC127" s="238" t="s">
        <v>9077</v>
      </c>
      <c r="CD127" s="238" t="s">
        <v>8972</v>
      </c>
      <c r="CE127" t="b">
        <v>1</v>
      </c>
      <c r="CF127">
        <v>4809120</v>
      </c>
      <c r="CG127">
        <v>4809120</v>
      </c>
      <c r="CH127">
        <v>0</v>
      </c>
      <c r="CI127">
        <v>0</v>
      </c>
      <c r="CJ127">
        <v>0</v>
      </c>
    </row>
    <row r="128" spans="1:88" x14ac:dyDescent="0.25">
      <c r="A128">
        <v>127</v>
      </c>
      <c r="B128">
        <v>2</v>
      </c>
      <c r="C128">
        <v>1</v>
      </c>
      <c r="D128">
        <v>5</v>
      </c>
      <c r="E128">
        <v>1</v>
      </c>
      <c r="F128">
        <v>10.59</v>
      </c>
      <c r="I128">
        <v>10.59</v>
      </c>
      <c r="J128">
        <v>15.69</v>
      </c>
      <c r="K128">
        <v>3.89</v>
      </c>
      <c r="M128">
        <v>4.4400000000000004</v>
      </c>
      <c r="P128">
        <v>3.39</v>
      </c>
      <c r="R128">
        <v>3.39</v>
      </c>
      <c r="S128">
        <v>38</v>
      </c>
      <c r="T128">
        <v>34.61</v>
      </c>
      <c r="U128">
        <v>36.31</v>
      </c>
      <c r="V128">
        <v>119184.96000000001</v>
      </c>
      <c r="W128">
        <v>1168.8004456824565</v>
      </c>
      <c r="X128">
        <v>120353.76044568246</v>
      </c>
      <c r="Y128">
        <v>0</v>
      </c>
      <c r="Z128">
        <v>120353.76044568246</v>
      </c>
      <c r="AA128">
        <v>500.25069637881825</v>
      </c>
      <c r="AB128">
        <v>120854.01114206128</v>
      </c>
      <c r="AC128">
        <v>0</v>
      </c>
      <c r="AD128">
        <v>120854.01114206128</v>
      </c>
      <c r="AE128">
        <v>0</v>
      </c>
      <c r="AF128">
        <v>120854.01114206128</v>
      </c>
      <c r="AG128">
        <v>0</v>
      </c>
      <c r="AH128">
        <v>120854.01114206128</v>
      </c>
      <c r="AI128">
        <v>500</v>
      </c>
      <c r="AJ128">
        <v>121354.01114206128</v>
      </c>
      <c r="AK128">
        <v>0</v>
      </c>
      <c r="AL128">
        <v>121354.01114206128</v>
      </c>
      <c r="AM128">
        <v>0</v>
      </c>
      <c r="AN128">
        <v>121354.01114206128</v>
      </c>
      <c r="AO128">
        <v>500</v>
      </c>
      <c r="AP128">
        <v>121854.01114206128</v>
      </c>
      <c r="AQ128">
        <v>0</v>
      </c>
      <c r="AR128">
        <v>121854.01114206128</v>
      </c>
      <c r="AS128">
        <v>0</v>
      </c>
      <c r="AT128">
        <v>121854.01114206128</v>
      </c>
      <c r="AV128">
        <v>121854.01114206128</v>
      </c>
      <c r="AW128">
        <v>2238.3876461513282</v>
      </c>
      <c r="AX128">
        <v>124092.39878821261</v>
      </c>
      <c r="AY128">
        <v>1418.479757642519</v>
      </c>
      <c r="AZ128">
        <v>125510.87854585513</v>
      </c>
      <c r="BA128">
        <v>0</v>
      </c>
      <c r="BB128">
        <v>125510.87854585513</v>
      </c>
      <c r="BC128">
        <v>0</v>
      </c>
      <c r="BD128">
        <v>125510.87854585513</v>
      </c>
      <c r="BE128">
        <v>0</v>
      </c>
      <c r="BF128">
        <v>125510.87854585513</v>
      </c>
      <c r="BG128">
        <v>2510.3277334067679</v>
      </c>
      <c r="BH128">
        <v>128021.2062792619</v>
      </c>
      <c r="BI128">
        <v>0</v>
      </c>
      <c r="BJ128">
        <v>128021.2062792619</v>
      </c>
      <c r="BK128">
        <v>128021.2062792619</v>
      </c>
      <c r="BL128">
        <v>4648450</v>
      </c>
      <c r="BO128">
        <v>0</v>
      </c>
      <c r="BP128">
        <v>128021.2062792619</v>
      </c>
      <c r="BQ128">
        <v>4648450</v>
      </c>
      <c r="BR128" s="238" t="s">
        <v>36</v>
      </c>
      <c r="BU128">
        <v>128021.2062792619</v>
      </c>
      <c r="BV128">
        <v>0</v>
      </c>
      <c r="BW128">
        <v>4648450</v>
      </c>
      <c r="BX128" s="238"/>
      <c r="BY128" s="238" t="s">
        <v>35</v>
      </c>
      <c r="BZ128" s="238" t="s">
        <v>35</v>
      </c>
      <c r="CA128" s="238" t="s">
        <v>8953</v>
      </c>
      <c r="CB128" s="238" t="s">
        <v>8954</v>
      </c>
      <c r="CC128" s="238" t="s">
        <v>9077</v>
      </c>
      <c r="CD128" s="238" t="s">
        <v>8972</v>
      </c>
      <c r="CE128" t="b">
        <v>1</v>
      </c>
      <c r="CF128">
        <v>4648450</v>
      </c>
      <c r="CG128">
        <v>4648450</v>
      </c>
      <c r="CH128">
        <v>0</v>
      </c>
      <c r="CI128">
        <v>0</v>
      </c>
      <c r="CJ128">
        <v>0</v>
      </c>
    </row>
    <row r="129" spans="1:88" x14ac:dyDescent="0.25">
      <c r="A129">
        <v>128</v>
      </c>
      <c r="B129">
        <v>2</v>
      </c>
      <c r="C129">
        <v>1</v>
      </c>
      <c r="D129">
        <v>6</v>
      </c>
      <c r="E129">
        <v>3</v>
      </c>
      <c r="F129">
        <v>12.4</v>
      </c>
      <c r="G129">
        <v>11.28</v>
      </c>
      <c r="H129">
        <v>11.28</v>
      </c>
      <c r="I129">
        <v>34.96</v>
      </c>
      <c r="J129">
        <v>17.93</v>
      </c>
      <c r="K129">
        <v>4.67</v>
      </c>
      <c r="L129">
        <v>3.54</v>
      </c>
      <c r="M129">
        <v>9.89</v>
      </c>
      <c r="P129">
        <v>2.79</v>
      </c>
      <c r="Q129">
        <v>3.6</v>
      </c>
      <c r="R129">
        <v>6.3900000000000006</v>
      </c>
      <c r="S129">
        <v>77.38</v>
      </c>
      <c r="T129">
        <v>70.989999999999995</v>
      </c>
      <c r="U129">
        <v>74.19</v>
      </c>
      <c r="V129">
        <v>107221.12</v>
      </c>
      <c r="W129">
        <v>500.87445983379439</v>
      </c>
      <c r="X129">
        <v>107721.99445983379</v>
      </c>
      <c r="Y129">
        <v>0</v>
      </c>
      <c r="Z129">
        <v>107721.99445983379</v>
      </c>
      <c r="AA129">
        <v>0</v>
      </c>
      <c r="AB129">
        <v>107721.99445983379</v>
      </c>
      <c r="AC129">
        <v>0</v>
      </c>
      <c r="AD129">
        <v>107721.99445983379</v>
      </c>
      <c r="AE129">
        <v>500</v>
      </c>
      <c r="AF129">
        <v>108221.99445983379</v>
      </c>
      <c r="AG129">
        <v>0</v>
      </c>
      <c r="AH129">
        <v>108221.99445983379</v>
      </c>
      <c r="AI129">
        <v>0</v>
      </c>
      <c r="AJ129">
        <v>108221.99445983379</v>
      </c>
      <c r="AK129">
        <v>0</v>
      </c>
      <c r="AL129">
        <v>108221.99445983379</v>
      </c>
      <c r="AM129">
        <v>500</v>
      </c>
      <c r="AN129">
        <v>108721.99445983379</v>
      </c>
      <c r="AO129">
        <v>0</v>
      </c>
      <c r="AP129">
        <v>108721.99445983379</v>
      </c>
      <c r="AQ129">
        <v>500</v>
      </c>
      <c r="AR129">
        <v>109221.99445983379</v>
      </c>
      <c r="AS129">
        <v>500</v>
      </c>
      <c r="AT129">
        <v>109721.99445983379</v>
      </c>
      <c r="AU129">
        <v>1000</v>
      </c>
      <c r="AV129">
        <v>110721.99445983379</v>
      </c>
      <c r="AW129">
        <v>-739.70574167769519</v>
      </c>
      <c r="AX129">
        <v>109982.28871815609</v>
      </c>
      <c r="AY129">
        <v>3031.5945545221621</v>
      </c>
      <c r="AZ129">
        <v>113013.88327267826</v>
      </c>
      <c r="BA129">
        <v>0</v>
      </c>
      <c r="BB129">
        <v>113013.88327267826</v>
      </c>
      <c r="BC129">
        <v>0</v>
      </c>
      <c r="BD129">
        <v>113013.88327267826</v>
      </c>
      <c r="BE129">
        <v>0</v>
      </c>
      <c r="BF129">
        <v>113013.88327267826</v>
      </c>
      <c r="BG129">
        <v>2260.3989756031806</v>
      </c>
      <c r="BH129">
        <v>115274.28224828144</v>
      </c>
      <c r="BI129">
        <v>0</v>
      </c>
      <c r="BJ129">
        <v>115274.28224828144</v>
      </c>
      <c r="BK129">
        <v>115274.28224828144</v>
      </c>
      <c r="BL129">
        <v>8552199</v>
      </c>
      <c r="BO129">
        <v>0</v>
      </c>
      <c r="BP129">
        <v>115274.28224828144</v>
      </c>
      <c r="BQ129">
        <v>8552199</v>
      </c>
      <c r="BR129" s="238" t="s">
        <v>36</v>
      </c>
      <c r="BU129">
        <v>115274.28224828144</v>
      </c>
      <c r="BV129">
        <v>0</v>
      </c>
      <c r="BW129">
        <v>8552199</v>
      </c>
      <c r="BX129" s="238"/>
      <c r="BY129" s="238" t="s">
        <v>35</v>
      </c>
      <c r="BZ129" s="238" t="s">
        <v>35</v>
      </c>
      <c r="CA129" s="238" t="s">
        <v>8953</v>
      </c>
      <c r="CB129" s="238" t="s">
        <v>8954</v>
      </c>
      <c r="CC129" s="238" t="s">
        <v>9077</v>
      </c>
      <c r="CD129" s="238" t="s">
        <v>8990</v>
      </c>
      <c r="CE129" t="b">
        <v>1</v>
      </c>
      <c r="CF129">
        <v>8552199</v>
      </c>
      <c r="CG129">
        <v>8552199</v>
      </c>
      <c r="CH129">
        <v>0</v>
      </c>
      <c r="CI129">
        <v>0</v>
      </c>
      <c r="CJ129">
        <v>0</v>
      </c>
    </row>
    <row r="130" spans="1:88" x14ac:dyDescent="0.25">
      <c r="A130">
        <v>129</v>
      </c>
      <c r="B130">
        <v>2</v>
      </c>
      <c r="C130">
        <v>1</v>
      </c>
      <c r="D130">
        <v>7</v>
      </c>
      <c r="E130">
        <v>0</v>
      </c>
      <c r="F130">
        <v>16.989999999999998</v>
      </c>
      <c r="I130">
        <v>16.989999999999998</v>
      </c>
      <c r="J130">
        <v>7.49</v>
      </c>
      <c r="K130">
        <v>4.9400000000000004</v>
      </c>
      <c r="P130">
        <v>3.49</v>
      </c>
      <c r="R130">
        <v>3.49</v>
      </c>
      <c r="S130">
        <v>32.909999999999997</v>
      </c>
      <c r="T130">
        <v>29.42</v>
      </c>
      <c r="U130">
        <v>31.17</v>
      </c>
      <c r="V130">
        <v>138273.04</v>
      </c>
      <c r="W130">
        <v>0.13073170732241124</v>
      </c>
      <c r="X130">
        <v>138273.17073170733</v>
      </c>
      <c r="Y130">
        <v>0</v>
      </c>
      <c r="Z130">
        <v>138273.17073170733</v>
      </c>
      <c r="AA130">
        <v>0</v>
      </c>
      <c r="AB130">
        <v>138273.17073170733</v>
      </c>
      <c r="AC130">
        <v>0</v>
      </c>
      <c r="AD130">
        <v>138273.17073170733</v>
      </c>
      <c r="AE130">
        <v>0</v>
      </c>
      <c r="AF130">
        <v>138273.17073170733</v>
      </c>
      <c r="AG130">
        <v>0</v>
      </c>
      <c r="AH130">
        <v>138273.17073170733</v>
      </c>
      <c r="AI130">
        <v>0</v>
      </c>
      <c r="AJ130">
        <v>138273.17073170733</v>
      </c>
      <c r="AK130">
        <v>0</v>
      </c>
      <c r="AL130">
        <v>138273.17073170733</v>
      </c>
      <c r="AM130">
        <v>0</v>
      </c>
      <c r="AN130">
        <v>138273.17073170733</v>
      </c>
      <c r="AO130">
        <v>0</v>
      </c>
      <c r="AP130">
        <v>138273.17073170733</v>
      </c>
      <c r="AQ130">
        <v>0</v>
      </c>
      <c r="AR130">
        <v>138273.17073170733</v>
      </c>
      <c r="AS130">
        <v>0</v>
      </c>
      <c r="AT130">
        <v>138273.17073170733</v>
      </c>
      <c r="AV130">
        <v>138273.17073170733</v>
      </c>
      <c r="AW130">
        <v>2228.9787710196397</v>
      </c>
      <c r="AX130">
        <v>140502.14950272697</v>
      </c>
      <c r="AY130">
        <v>1920.0513314084092</v>
      </c>
      <c r="AZ130">
        <v>142422.20083413538</v>
      </c>
      <c r="BA130">
        <v>0</v>
      </c>
      <c r="BB130">
        <v>142422.20083413538</v>
      </c>
      <c r="BC130">
        <v>0</v>
      </c>
      <c r="BD130">
        <v>142422.20083413538</v>
      </c>
      <c r="BE130">
        <v>0</v>
      </c>
      <c r="BF130">
        <v>142422.20083413538</v>
      </c>
      <c r="BG130">
        <v>0</v>
      </c>
      <c r="BH130">
        <v>142422.20083413538</v>
      </c>
      <c r="BI130">
        <v>0</v>
      </c>
      <c r="BJ130">
        <v>142422.20083413538</v>
      </c>
      <c r="BK130">
        <v>142422.20083413538</v>
      </c>
      <c r="BL130">
        <v>4439300</v>
      </c>
      <c r="BO130">
        <v>0</v>
      </c>
      <c r="BP130">
        <v>142422.20083413538</v>
      </c>
      <c r="BQ130">
        <v>4439300</v>
      </c>
      <c r="BR130" s="238" t="s">
        <v>36</v>
      </c>
      <c r="BU130">
        <v>142422.20083413538</v>
      </c>
      <c r="BV130">
        <v>0</v>
      </c>
      <c r="BW130">
        <v>4439300</v>
      </c>
      <c r="BX130" s="238"/>
      <c r="BY130" s="238" t="s">
        <v>35</v>
      </c>
      <c r="BZ130" s="238" t="s">
        <v>35</v>
      </c>
      <c r="CA130" s="238" t="s">
        <v>8953</v>
      </c>
      <c r="CB130" s="238" t="s">
        <v>8954</v>
      </c>
      <c r="CC130" s="238" t="s">
        <v>9077</v>
      </c>
      <c r="CD130" s="238" t="s">
        <v>8970</v>
      </c>
      <c r="CE130" t="b">
        <v>1</v>
      </c>
      <c r="CF130">
        <v>4439300</v>
      </c>
      <c r="CG130">
        <v>4439300</v>
      </c>
      <c r="CH130">
        <v>0</v>
      </c>
      <c r="CI130">
        <v>0</v>
      </c>
      <c r="CJ130">
        <v>0</v>
      </c>
    </row>
    <row r="131" spans="1:88" x14ac:dyDescent="0.25">
      <c r="A131">
        <v>130</v>
      </c>
      <c r="B131">
        <v>2</v>
      </c>
      <c r="C131">
        <v>2</v>
      </c>
      <c r="D131">
        <v>1</v>
      </c>
      <c r="E131">
        <v>0</v>
      </c>
      <c r="F131">
        <v>16.989999999999998</v>
      </c>
      <c r="I131">
        <v>16.989999999999998</v>
      </c>
      <c r="J131">
        <v>7.49</v>
      </c>
      <c r="K131">
        <v>4.91</v>
      </c>
      <c r="P131">
        <v>3.49</v>
      </c>
      <c r="R131">
        <v>3.49</v>
      </c>
      <c r="S131">
        <v>32.880000000000003</v>
      </c>
      <c r="T131">
        <v>29.39</v>
      </c>
      <c r="U131">
        <v>31.14</v>
      </c>
      <c r="V131">
        <v>138273.04</v>
      </c>
      <c r="W131">
        <v>2.5902521008392796</v>
      </c>
      <c r="X131">
        <v>138275.63025210085</v>
      </c>
      <c r="Y131">
        <v>0</v>
      </c>
      <c r="Z131">
        <v>138275.63025210085</v>
      </c>
      <c r="AA131">
        <v>0</v>
      </c>
      <c r="AB131">
        <v>138275.63025210085</v>
      </c>
      <c r="AC131">
        <v>0</v>
      </c>
      <c r="AD131">
        <v>138275.63025210085</v>
      </c>
      <c r="AE131">
        <v>0</v>
      </c>
      <c r="AF131">
        <v>138275.63025210085</v>
      </c>
      <c r="AG131">
        <v>0</v>
      </c>
      <c r="AH131">
        <v>138275.63025210085</v>
      </c>
      <c r="AI131">
        <v>0</v>
      </c>
      <c r="AJ131">
        <v>138275.63025210085</v>
      </c>
      <c r="AK131">
        <v>0</v>
      </c>
      <c r="AL131">
        <v>138275.63025210085</v>
      </c>
      <c r="AM131">
        <v>0</v>
      </c>
      <c r="AN131">
        <v>138275.63025210085</v>
      </c>
      <c r="AO131">
        <v>0</v>
      </c>
      <c r="AP131">
        <v>138275.63025210085</v>
      </c>
      <c r="AQ131">
        <v>0</v>
      </c>
      <c r="AR131">
        <v>138275.63025210085</v>
      </c>
      <c r="AS131">
        <v>0</v>
      </c>
      <c r="AT131">
        <v>138275.63025210085</v>
      </c>
      <c r="AV131">
        <v>138275.63025210085</v>
      </c>
      <c r="AW131">
        <v>-2208.7709072068101</v>
      </c>
      <c r="AX131">
        <v>136066.85934489404</v>
      </c>
      <c r="AY131">
        <v>6357.6750160565134</v>
      </c>
      <c r="AZ131">
        <v>142424.53436095055</v>
      </c>
      <c r="BA131">
        <v>0</v>
      </c>
      <c r="BB131">
        <v>142424.53436095055</v>
      </c>
      <c r="BC131">
        <v>0</v>
      </c>
      <c r="BD131">
        <v>142424.53436095055</v>
      </c>
      <c r="BE131">
        <v>0</v>
      </c>
      <c r="BF131">
        <v>142424.53436095055</v>
      </c>
      <c r="BG131">
        <v>0</v>
      </c>
      <c r="BH131">
        <v>142424.53436095055</v>
      </c>
      <c r="BI131">
        <v>0</v>
      </c>
      <c r="BJ131">
        <v>142424.53436095055</v>
      </c>
      <c r="BK131">
        <v>142424.53436095055</v>
      </c>
      <c r="BL131">
        <v>4435100</v>
      </c>
      <c r="BO131">
        <v>0</v>
      </c>
      <c r="BP131">
        <v>142424.53436095055</v>
      </c>
      <c r="BQ131">
        <v>4435100</v>
      </c>
      <c r="BR131" s="238" t="s">
        <v>36</v>
      </c>
      <c r="BU131">
        <v>142424.53436095055</v>
      </c>
      <c r="BV131">
        <v>0</v>
      </c>
      <c r="BW131">
        <v>4435100</v>
      </c>
      <c r="BX131" s="238"/>
      <c r="BY131" s="238" t="s">
        <v>35</v>
      </c>
      <c r="BZ131" s="238" t="s">
        <v>35</v>
      </c>
      <c r="CA131" s="238" t="s">
        <v>8953</v>
      </c>
      <c r="CB131" s="238" t="s">
        <v>8954</v>
      </c>
      <c r="CC131" s="238" t="s">
        <v>9077</v>
      </c>
      <c r="CD131" s="238" t="s">
        <v>8970</v>
      </c>
      <c r="CE131" t="b">
        <v>1</v>
      </c>
      <c r="CF131">
        <v>4435100</v>
      </c>
      <c r="CG131">
        <v>4435100</v>
      </c>
      <c r="CH131">
        <v>0</v>
      </c>
      <c r="CI131">
        <v>0</v>
      </c>
      <c r="CJ131">
        <v>0</v>
      </c>
    </row>
    <row r="132" spans="1:88" x14ac:dyDescent="0.25">
      <c r="A132">
        <v>131</v>
      </c>
      <c r="B132">
        <v>2</v>
      </c>
      <c r="C132">
        <v>2</v>
      </c>
      <c r="D132">
        <v>2</v>
      </c>
      <c r="E132">
        <v>1</v>
      </c>
      <c r="F132">
        <v>11.31</v>
      </c>
      <c r="I132">
        <v>11.31</v>
      </c>
      <c r="J132">
        <v>16.18</v>
      </c>
      <c r="K132">
        <v>4.1100000000000003</v>
      </c>
      <c r="M132">
        <v>3.01</v>
      </c>
      <c r="P132">
        <v>2.77</v>
      </c>
      <c r="R132">
        <v>2.77</v>
      </c>
      <c r="S132">
        <v>37.380000000000003</v>
      </c>
      <c r="T132">
        <v>34.61</v>
      </c>
      <c r="U132">
        <v>36</v>
      </c>
      <c r="V132">
        <v>120353.44</v>
      </c>
      <c r="W132">
        <v>1.8608595988625893</v>
      </c>
      <c r="X132">
        <v>120355.30085959886</v>
      </c>
      <c r="Y132">
        <v>0</v>
      </c>
      <c r="Z132">
        <v>120355.30085959886</v>
      </c>
      <c r="AA132">
        <v>0</v>
      </c>
      <c r="AB132">
        <v>120355.30085959886</v>
      </c>
      <c r="AC132">
        <v>0</v>
      </c>
      <c r="AD132">
        <v>120355.30085959886</v>
      </c>
      <c r="AE132">
        <v>0</v>
      </c>
      <c r="AF132">
        <v>120355.30085959886</v>
      </c>
      <c r="AG132">
        <v>0</v>
      </c>
      <c r="AH132">
        <v>120355.30085959886</v>
      </c>
      <c r="AI132">
        <v>0</v>
      </c>
      <c r="AJ132">
        <v>120355.30085959886</v>
      </c>
      <c r="AK132">
        <v>0</v>
      </c>
      <c r="AL132">
        <v>120355.30085959886</v>
      </c>
      <c r="AM132">
        <v>0</v>
      </c>
      <c r="AN132">
        <v>120355.30085959886</v>
      </c>
      <c r="AO132">
        <v>0</v>
      </c>
      <c r="AP132">
        <v>120355.30085959886</v>
      </c>
      <c r="AQ132">
        <v>0</v>
      </c>
      <c r="AR132">
        <v>120355.30085959886</v>
      </c>
      <c r="AS132">
        <v>0</v>
      </c>
      <c r="AT132">
        <v>120355.30085959886</v>
      </c>
      <c r="AV132">
        <v>120355.30085959886</v>
      </c>
      <c r="AW132">
        <v>-177.49530404330289</v>
      </c>
      <c r="AX132">
        <v>120177.80555555556</v>
      </c>
      <c r="AY132">
        <v>3788.8611111111095</v>
      </c>
      <c r="AZ132">
        <v>123966.66666666667</v>
      </c>
      <c r="BA132">
        <v>0</v>
      </c>
      <c r="BB132">
        <v>123966.66666666667</v>
      </c>
      <c r="BC132">
        <v>0</v>
      </c>
      <c r="BD132">
        <v>123966.66666666667</v>
      </c>
      <c r="BE132">
        <v>0</v>
      </c>
      <c r="BF132">
        <v>123966.66666666667</v>
      </c>
      <c r="BG132">
        <v>2479.666666666657</v>
      </c>
      <c r="BH132">
        <v>126446.33333333331</v>
      </c>
      <c r="BI132">
        <v>0</v>
      </c>
      <c r="BJ132">
        <v>126446.33333333331</v>
      </c>
      <c r="BK132">
        <v>126446.33333333333</v>
      </c>
      <c r="BL132">
        <v>4552068</v>
      </c>
      <c r="BO132">
        <v>0</v>
      </c>
      <c r="BP132">
        <v>126446.33333333333</v>
      </c>
      <c r="BQ132">
        <v>4552068</v>
      </c>
      <c r="BR132" s="238" t="s">
        <v>36</v>
      </c>
      <c r="BU132">
        <v>126446.33333333333</v>
      </c>
      <c r="BV132">
        <v>0</v>
      </c>
      <c r="BW132">
        <v>4552068</v>
      </c>
      <c r="BX132" s="238"/>
      <c r="BY132" s="238" t="s">
        <v>35</v>
      </c>
      <c r="BZ132" s="238" t="s">
        <v>35</v>
      </c>
      <c r="CA132" s="238" t="s">
        <v>8953</v>
      </c>
      <c r="CB132" s="238" t="s">
        <v>8954</v>
      </c>
      <c r="CC132" s="238" t="s">
        <v>9077</v>
      </c>
      <c r="CD132" s="238" t="s">
        <v>8972</v>
      </c>
      <c r="CE132" t="b">
        <v>1</v>
      </c>
      <c r="CF132">
        <v>4552068</v>
      </c>
      <c r="CG132">
        <v>4552068</v>
      </c>
      <c r="CH132">
        <v>0</v>
      </c>
      <c r="CI132">
        <v>0</v>
      </c>
      <c r="CJ132">
        <v>0</v>
      </c>
    </row>
    <row r="133" spans="1:88" x14ac:dyDescent="0.25">
      <c r="A133">
        <v>132</v>
      </c>
      <c r="B133">
        <v>2</v>
      </c>
      <c r="C133">
        <v>2</v>
      </c>
      <c r="D133">
        <v>3</v>
      </c>
      <c r="E133">
        <v>1</v>
      </c>
      <c r="F133">
        <v>15.45</v>
      </c>
      <c r="I133">
        <v>15.45</v>
      </c>
      <c r="J133">
        <v>17.71</v>
      </c>
      <c r="K133">
        <v>4.01</v>
      </c>
      <c r="M133">
        <v>5.04</v>
      </c>
      <c r="P133">
        <v>3.84</v>
      </c>
      <c r="R133">
        <v>3.84</v>
      </c>
      <c r="S133">
        <v>46.05</v>
      </c>
      <c r="T133">
        <v>42.21</v>
      </c>
      <c r="U133">
        <v>44.13</v>
      </c>
      <c r="V133">
        <v>120353.44</v>
      </c>
      <c r="W133">
        <v>0.72666666665463708</v>
      </c>
      <c r="X133">
        <v>120354.16666666666</v>
      </c>
      <c r="Y133">
        <v>0</v>
      </c>
      <c r="Z133">
        <v>120354.16666666666</v>
      </c>
      <c r="AA133">
        <v>0</v>
      </c>
      <c r="AB133">
        <v>120354.16666666666</v>
      </c>
      <c r="AC133">
        <v>0</v>
      </c>
      <c r="AD133">
        <v>120354.16666666666</v>
      </c>
      <c r="AE133">
        <v>0</v>
      </c>
      <c r="AF133">
        <v>120354.16666666666</v>
      </c>
      <c r="AG133">
        <v>0</v>
      </c>
      <c r="AH133">
        <v>120354.16666666666</v>
      </c>
      <c r="AI133">
        <v>0</v>
      </c>
      <c r="AJ133">
        <v>120354.16666666666</v>
      </c>
      <c r="AK133">
        <v>0</v>
      </c>
      <c r="AL133">
        <v>120354.16666666666</v>
      </c>
      <c r="AM133">
        <v>0</v>
      </c>
      <c r="AN133">
        <v>120354.16666666666</v>
      </c>
      <c r="AO133">
        <v>0</v>
      </c>
      <c r="AP133">
        <v>120354.16666666666</v>
      </c>
      <c r="AQ133">
        <v>0</v>
      </c>
      <c r="AR133">
        <v>120354.16666666666</v>
      </c>
      <c r="AS133">
        <v>0</v>
      </c>
      <c r="AT133">
        <v>120354.16666666666</v>
      </c>
      <c r="AV133">
        <v>120354.16666666666</v>
      </c>
      <c r="AW133">
        <v>998.02005438477499</v>
      </c>
      <c r="AX133">
        <v>121352.18672105143</v>
      </c>
      <c r="AY133">
        <v>2613.3695898481819</v>
      </c>
      <c r="AZ133">
        <v>123965.55631089961</v>
      </c>
      <c r="BA133">
        <v>0</v>
      </c>
      <c r="BB133">
        <v>123965.55631089961</v>
      </c>
      <c r="BC133">
        <v>0</v>
      </c>
      <c r="BD133">
        <v>123965.55631089961</v>
      </c>
      <c r="BE133">
        <v>0</v>
      </c>
      <c r="BF133">
        <v>123965.55631089961</v>
      </c>
      <c r="BG133">
        <v>2479.7643326535181</v>
      </c>
      <c r="BH133">
        <v>126445.32064355312</v>
      </c>
      <c r="BI133">
        <v>0</v>
      </c>
      <c r="BJ133">
        <v>126445.32064355312</v>
      </c>
      <c r="BK133">
        <v>126445.32064355313</v>
      </c>
      <c r="BL133">
        <v>5580032</v>
      </c>
      <c r="BO133">
        <v>0</v>
      </c>
      <c r="BP133">
        <v>126445.32064355313</v>
      </c>
      <c r="BQ133">
        <v>5580032</v>
      </c>
      <c r="BR133" s="238" t="s">
        <v>36</v>
      </c>
      <c r="BU133">
        <v>126445.32064355313</v>
      </c>
      <c r="BV133">
        <v>0</v>
      </c>
      <c r="BW133">
        <v>5580032</v>
      </c>
      <c r="BX133" s="238"/>
      <c r="BY133" s="238" t="s">
        <v>3</v>
      </c>
      <c r="BZ133" s="238" t="s">
        <v>3</v>
      </c>
      <c r="CA133" s="238" t="s">
        <v>8951</v>
      </c>
      <c r="CB133" s="238" t="s">
        <v>1167</v>
      </c>
      <c r="CC133" s="238" t="s">
        <v>9077</v>
      </c>
      <c r="CD133" s="238" t="s">
        <v>8972</v>
      </c>
      <c r="CE133" t="b">
        <v>1</v>
      </c>
      <c r="CF133">
        <v>5580032</v>
      </c>
      <c r="CG133">
        <v>5580032</v>
      </c>
      <c r="CH133">
        <v>0</v>
      </c>
      <c r="CI133">
        <v>0</v>
      </c>
      <c r="CJ133">
        <v>0</v>
      </c>
    </row>
    <row r="134" spans="1:88" x14ac:dyDescent="0.25">
      <c r="A134">
        <v>133</v>
      </c>
      <c r="B134">
        <v>2</v>
      </c>
      <c r="C134">
        <v>2</v>
      </c>
      <c r="D134">
        <v>4</v>
      </c>
      <c r="E134">
        <v>1</v>
      </c>
      <c r="F134">
        <v>10.59</v>
      </c>
      <c r="I134">
        <v>10.59</v>
      </c>
      <c r="J134">
        <v>15.69</v>
      </c>
      <c r="K134">
        <v>3.94</v>
      </c>
      <c r="M134">
        <v>4.4400000000000004</v>
      </c>
      <c r="P134">
        <v>3.45</v>
      </c>
      <c r="R134">
        <v>3.45</v>
      </c>
      <c r="S134">
        <v>38.11</v>
      </c>
      <c r="T134">
        <v>34.659999999999997</v>
      </c>
      <c r="U134">
        <v>36.39</v>
      </c>
      <c r="V134">
        <v>119184.96000000001</v>
      </c>
      <c r="W134">
        <v>2.0088385269191349</v>
      </c>
      <c r="X134">
        <v>119186.96883852693</v>
      </c>
      <c r="Y134">
        <v>0</v>
      </c>
      <c r="Z134">
        <v>119186.96883852693</v>
      </c>
      <c r="AA134">
        <v>0</v>
      </c>
      <c r="AB134">
        <v>119186.96883852693</v>
      </c>
      <c r="AC134">
        <v>500.02832861189381</v>
      </c>
      <c r="AD134">
        <v>119686.99716713882</v>
      </c>
      <c r="AE134">
        <v>0</v>
      </c>
      <c r="AF134">
        <v>119686.99716713882</v>
      </c>
      <c r="AG134">
        <v>500</v>
      </c>
      <c r="AH134">
        <v>120186.99716713882</v>
      </c>
      <c r="AI134">
        <v>500</v>
      </c>
      <c r="AJ134">
        <v>120686.99716713882</v>
      </c>
      <c r="AK134">
        <v>500</v>
      </c>
      <c r="AL134">
        <v>121186.99716713882</v>
      </c>
      <c r="AM134">
        <v>0</v>
      </c>
      <c r="AN134">
        <v>121186.99716713882</v>
      </c>
      <c r="AO134">
        <v>500</v>
      </c>
      <c r="AP134">
        <v>121686.99716713882</v>
      </c>
      <c r="AQ134">
        <v>0</v>
      </c>
      <c r="AR134">
        <v>121686.99716713882</v>
      </c>
      <c r="AS134">
        <v>0</v>
      </c>
      <c r="AT134">
        <v>121686.99716713882</v>
      </c>
      <c r="AV134">
        <v>121686.99716713882</v>
      </c>
      <c r="AX134">
        <v>118527.095355867</v>
      </c>
      <c r="AY134">
        <v>3659.9065677383769</v>
      </c>
      <c r="AZ134">
        <v>122187.00192360538</v>
      </c>
      <c r="BA134">
        <v>500</v>
      </c>
      <c r="BB134">
        <v>122687.00192360538</v>
      </c>
      <c r="BC134">
        <v>500</v>
      </c>
      <c r="BD134">
        <v>123187.00192360538</v>
      </c>
      <c r="BE134">
        <v>0</v>
      </c>
      <c r="BF134">
        <v>123187.00192360538</v>
      </c>
      <c r="BG134">
        <v>0</v>
      </c>
      <c r="BH134">
        <v>123187.00192360538</v>
      </c>
      <c r="BI134">
        <v>0</v>
      </c>
      <c r="BJ134">
        <v>123187.00192360538</v>
      </c>
      <c r="BK134">
        <v>123187.00192360538</v>
      </c>
      <c r="BL134">
        <v>4482775</v>
      </c>
      <c r="BO134">
        <v>0</v>
      </c>
      <c r="BP134">
        <v>123187.00192360538</v>
      </c>
      <c r="BQ134">
        <v>4482775</v>
      </c>
      <c r="BR134" s="238" t="s">
        <v>36</v>
      </c>
      <c r="BU134">
        <v>123187.00192360538</v>
      </c>
      <c r="BV134">
        <v>0</v>
      </c>
      <c r="BW134">
        <v>4482775</v>
      </c>
      <c r="BX134" s="238" t="s">
        <v>3540</v>
      </c>
      <c r="BY134" s="238" t="s">
        <v>8956</v>
      </c>
      <c r="BZ134" s="238" t="s">
        <v>8956</v>
      </c>
      <c r="CA134" s="238" t="s">
        <v>8953</v>
      </c>
      <c r="CB134" s="238" t="s">
        <v>8957</v>
      </c>
      <c r="CC134" s="238" t="s">
        <v>9077</v>
      </c>
      <c r="CD134" s="238" t="s">
        <v>8972</v>
      </c>
      <c r="CE134" t="b">
        <v>1</v>
      </c>
      <c r="CF134">
        <v>4609194</v>
      </c>
      <c r="CG134">
        <v>4609194</v>
      </c>
      <c r="CH134">
        <v>0</v>
      </c>
      <c r="CI134">
        <v>0</v>
      </c>
      <c r="CJ134">
        <v>126419</v>
      </c>
    </row>
    <row r="135" spans="1:88" x14ac:dyDescent="0.25">
      <c r="A135">
        <v>134</v>
      </c>
      <c r="B135">
        <v>2</v>
      </c>
      <c r="C135">
        <v>2</v>
      </c>
      <c r="D135">
        <v>5</v>
      </c>
      <c r="E135">
        <v>1</v>
      </c>
      <c r="F135">
        <v>10.59</v>
      </c>
      <c r="I135">
        <v>10.59</v>
      </c>
      <c r="J135">
        <v>15.69</v>
      </c>
      <c r="K135">
        <v>3.89</v>
      </c>
      <c r="M135">
        <v>4.4400000000000004</v>
      </c>
      <c r="P135">
        <v>3.39</v>
      </c>
      <c r="R135">
        <v>3.39</v>
      </c>
      <c r="S135">
        <v>38</v>
      </c>
      <c r="T135">
        <v>34.61</v>
      </c>
      <c r="U135">
        <v>36.31</v>
      </c>
      <c r="V135">
        <v>119184.96000000001</v>
      </c>
      <c r="W135">
        <v>2.5399999999790452</v>
      </c>
      <c r="X135">
        <v>119187.49999999999</v>
      </c>
      <c r="Y135">
        <v>0</v>
      </c>
      <c r="Z135">
        <v>119187.49999999999</v>
      </c>
      <c r="AA135">
        <v>500.51136363636761</v>
      </c>
      <c r="AB135">
        <v>119688.01136363635</v>
      </c>
      <c r="AC135">
        <v>0</v>
      </c>
      <c r="AD135">
        <v>119688.01136363635</v>
      </c>
      <c r="AE135">
        <v>0</v>
      </c>
      <c r="AF135">
        <v>119688.01136363635</v>
      </c>
      <c r="AG135">
        <v>0</v>
      </c>
      <c r="AH135">
        <v>119688.01136363635</v>
      </c>
      <c r="AI135">
        <v>500</v>
      </c>
      <c r="AJ135">
        <v>120188.01136363635</v>
      </c>
      <c r="AK135">
        <v>0</v>
      </c>
      <c r="AL135">
        <v>120188.01136363635</v>
      </c>
      <c r="AM135">
        <v>0</v>
      </c>
      <c r="AN135">
        <v>120188.01136363635</v>
      </c>
      <c r="AP135">
        <v>120188.01136363635</v>
      </c>
      <c r="AQ135">
        <v>0</v>
      </c>
      <c r="AR135">
        <v>120188.01136363635</v>
      </c>
      <c r="AS135">
        <v>0</v>
      </c>
      <c r="AT135">
        <v>120188.01136363635</v>
      </c>
      <c r="AV135">
        <v>120188.01136363635</v>
      </c>
      <c r="AX135">
        <v>116513.85293307628</v>
      </c>
      <c r="AY135">
        <v>0</v>
      </c>
      <c r="AZ135">
        <v>116513.85293307628</v>
      </c>
      <c r="BA135">
        <v>0</v>
      </c>
      <c r="BB135">
        <v>116513.85293307628</v>
      </c>
      <c r="BC135">
        <v>0</v>
      </c>
      <c r="BD135">
        <v>116513.85293307628</v>
      </c>
      <c r="BE135">
        <v>0</v>
      </c>
      <c r="BF135">
        <v>116513.85293307628</v>
      </c>
      <c r="BG135">
        <v>0</v>
      </c>
      <c r="BH135">
        <v>116513.85293307628</v>
      </c>
      <c r="BI135">
        <v>0</v>
      </c>
      <c r="BJ135">
        <v>116513.85293307628</v>
      </c>
      <c r="BK135">
        <v>116513.85293307628</v>
      </c>
      <c r="BL135">
        <v>4230618</v>
      </c>
      <c r="BN135">
        <v>0.03</v>
      </c>
      <c r="BO135">
        <v>126919</v>
      </c>
      <c r="BP135">
        <v>113018.42467639768</v>
      </c>
      <c r="BQ135">
        <v>4103699</v>
      </c>
      <c r="BR135" s="238" t="s">
        <v>36</v>
      </c>
      <c r="BU135">
        <v>113018.42467639768</v>
      </c>
      <c r="BV135">
        <v>0</v>
      </c>
      <c r="BW135">
        <v>4103699</v>
      </c>
      <c r="BX135" s="238" t="s">
        <v>978</v>
      </c>
      <c r="BY135" s="238" t="s">
        <v>8963</v>
      </c>
      <c r="BZ135" s="238" t="s">
        <v>8963</v>
      </c>
      <c r="CA135" s="238" t="s">
        <v>8953</v>
      </c>
      <c r="CB135" s="238" t="s">
        <v>8964</v>
      </c>
      <c r="CC135" s="238" t="s">
        <v>9077</v>
      </c>
      <c r="CD135" s="238" t="s">
        <v>8972</v>
      </c>
      <c r="CE135" t="b">
        <v>1</v>
      </c>
      <c r="CF135">
        <v>4230618</v>
      </c>
      <c r="CG135">
        <v>4451381</v>
      </c>
      <c r="CH135">
        <v>4230618</v>
      </c>
      <c r="CI135">
        <v>4230618</v>
      </c>
      <c r="CJ135">
        <v>0</v>
      </c>
    </row>
    <row r="136" spans="1:88" x14ac:dyDescent="0.25">
      <c r="A136">
        <v>135</v>
      </c>
      <c r="B136">
        <v>2</v>
      </c>
      <c r="C136">
        <v>2</v>
      </c>
      <c r="D136">
        <v>6</v>
      </c>
      <c r="E136">
        <v>3</v>
      </c>
      <c r="F136">
        <v>12.4</v>
      </c>
      <c r="G136">
        <v>11.28</v>
      </c>
      <c r="H136">
        <v>11.28</v>
      </c>
      <c r="I136">
        <v>34.96</v>
      </c>
      <c r="J136">
        <v>17.93</v>
      </c>
      <c r="K136">
        <v>8.2100000000000009</v>
      </c>
      <c r="M136">
        <v>9.89</v>
      </c>
      <c r="P136">
        <v>2.79</v>
      </c>
      <c r="Q136">
        <v>3.6</v>
      </c>
      <c r="R136">
        <v>6.3900000000000006</v>
      </c>
      <c r="S136">
        <v>77.38</v>
      </c>
      <c r="T136">
        <v>70.989999999999995</v>
      </c>
      <c r="U136">
        <v>74.19</v>
      </c>
      <c r="V136">
        <v>107221.12</v>
      </c>
      <c r="W136">
        <v>500.87859254046634</v>
      </c>
      <c r="X136">
        <v>107721.99859254046</v>
      </c>
      <c r="Y136">
        <v>0</v>
      </c>
      <c r="Z136">
        <v>107721.99859254046</v>
      </c>
      <c r="AA136">
        <v>0</v>
      </c>
      <c r="AB136">
        <v>107721.99859254046</v>
      </c>
      <c r="AC136">
        <v>0</v>
      </c>
      <c r="AD136">
        <v>107721.99859254046</v>
      </c>
      <c r="AE136">
        <v>500</v>
      </c>
      <c r="AF136">
        <v>108221.99859254046</v>
      </c>
      <c r="AG136">
        <v>0</v>
      </c>
      <c r="AH136">
        <v>108221.99859254046</v>
      </c>
      <c r="AI136">
        <v>0</v>
      </c>
      <c r="AJ136">
        <v>108221.99859254046</v>
      </c>
      <c r="AK136">
        <v>0</v>
      </c>
      <c r="AL136">
        <v>108221.99859254046</v>
      </c>
      <c r="AM136">
        <v>500</v>
      </c>
      <c r="AN136">
        <v>108721.99859254046</v>
      </c>
      <c r="AO136">
        <v>0</v>
      </c>
      <c r="AP136">
        <v>108721.99859254046</v>
      </c>
      <c r="AQ136">
        <v>500</v>
      </c>
      <c r="AR136">
        <v>109221.99859254046</v>
      </c>
      <c r="AS136">
        <v>500</v>
      </c>
      <c r="AT136">
        <v>109721.99859254046</v>
      </c>
      <c r="AV136">
        <v>109721.99859254046</v>
      </c>
      <c r="AW136">
        <v>-1491.4958293648233</v>
      </c>
      <c r="AX136">
        <v>108230.50276317564</v>
      </c>
      <c r="AY136">
        <v>4783.3805095026182</v>
      </c>
      <c r="AZ136">
        <v>113013.88327267826</v>
      </c>
      <c r="BA136">
        <v>0</v>
      </c>
      <c r="BB136">
        <v>113013.88327267826</v>
      </c>
      <c r="BC136">
        <v>0</v>
      </c>
      <c r="BD136">
        <v>113013.88327267826</v>
      </c>
      <c r="BE136">
        <v>0</v>
      </c>
      <c r="BF136">
        <v>113013.88327267826</v>
      </c>
      <c r="BG136">
        <v>2260.3989756031806</v>
      </c>
      <c r="BH136">
        <v>115274.28224828144</v>
      </c>
      <c r="BI136">
        <v>0</v>
      </c>
      <c r="BJ136">
        <v>115274.28224828144</v>
      </c>
      <c r="BK136">
        <v>115274.28224828144</v>
      </c>
      <c r="BL136">
        <v>8552199</v>
      </c>
      <c r="BO136">
        <v>0</v>
      </c>
      <c r="BP136">
        <v>115274.28224828144</v>
      </c>
      <c r="BQ136">
        <v>8552199</v>
      </c>
      <c r="BR136" s="238" t="s">
        <v>36</v>
      </c>
      <c r="BU136">
        <v>115274.28224828144</v>
      </c>
      <c r="BV136">
        <v>0</v>
      </c>
      <c r="BW136">
        <v>8552199</v>
      </c>
      <c r="BX136" s="238"/>
      <c r="BY136" s="238" t="s">
        <v>3</v>
      </c>
      <c r="BZ136" s="238" t="s">
        <v>3</v>
      </c>
      <c r="CA136" s="238" t="s">
        <v>8951</v>
      </c>
      <c r="CB136" s="238" t="s">
        <v>1167</v>
      </c>
      <c r="CC136" s="238" t="s">
        <v>9077</v>
      </c>
      <c r="CD136" s="238" t="s">
        <v>8990</v>
      </c>
      <c r="CE136" t="b">
        <v>1</v>
      </c>
      <c r="CF136">
        <v>8552199</v>
      </c>
      <c r="CG136">
        <v>8552199</v>
      </c>
      <c r="CH136">
        <v>0</v>
      </c>
      <c r="CI136">
        <v>0</v>
      </c>
      <c r="CJ136">
        <v>0</v>
      </c>
    </row>
    <row r="137" spans="1:88" x14ac:dyDescent="0.25">
      <c r="A137">
        <v>136</v>
      </c>
      <c r="B137">
        <v>2</v>
      </c>
      <c r="C137">
        <v>2</v>
      </c>
      <c r="D137">
        <v>7</v>
      </c>
      <c r="E137">
        <v>0</v>
      </c>
      <c r="F137">
        <v>16.989999999999998</v>
      </c>
      <c r="I137">
        <v>16.989999999999998</v>
      </c>
      <c r="J137">
        <v>7.49</v>
      </c>
      <c r="K137">
        <v>4.9400000000000004</v>
      </c>
      <c r="P137">
        <v>3.49</v>
      </c>
      <c r="R137">
        <v>3.49</v>
      </c>
      <c r="S137">
        <v>32.909999999999997</v>
      </c>
      <c r="T137">
        <v>29.42</v>
      </c>
      <c r="U137">
        <v>31.17</v>
      </c>
      <c r="V137">
        <v>138273.04</v>
      </c>
      <c r="W137">
        <v>2.5902521008392796</v>
      </c>
      <c r="X137">
        <v>138275.63025210085</v>
      </c>
      <c r="Y137">
        <v>0</v>
      </c>
      <c r="Z137">
        <v>138275.63025210085</v>
      </c>
      <c r="AA137">
        <v>0</v>
      </c>
      <c r="AB137">
        <v>138275.63025210085</v>
      </c>
      <c r="AC137">
        <v>0</v>
      </c>
      <c r="AD137">
        <v>138275.63025210085</v>
      </c>
      <c r="AE137">
        <v>0</v>
      </c>
      <c r="AF137">
        <v>138275.63025210085</v>
      </c>
      <c r="AG137">
        <v>0</v>
      </c>
      <c r="AH137">
        <v>138275.63025210085</v>
      </c>
      <c r="AI137">
        <v>0</v>
      </c>
      <c r="AJ137">
        <v>138275.63025210085</v>
      </c>
      <c r="AK137">
        <v>0</v>
      </c>
      <c r="AL137">
        <v>138275.63025210085</v>
      </c>
      <c r="AM137">
        <v>0</v>
      </c>
      <c r="AN137">
        <v>138275.63025210085</v>
      </c>
      <c r="AO137">
        <v>0</v>
      </c>
      <c r="AP137">
        <v>138275.63025210085</v>
      </c>
      <c r="AQ137">
        <v>0</v>
      </c>
      <c r="AR137">
        <v>138275.63025210085</v>
      </c>
      <c r="AS137">
        <v>0</v>
      </c>
      <c r="AT137">
        <v>138275.63025210085</v>
      </c>
      <c r="AV137">
        <v>138275.63025210085</v>
      </c>
      <c r="AW137">
        <v>-2339.7303483472497</v>
      </c>
      <c r="AX137">
        <v>135935.8999037536</v>
      </c>
      <c r="AY137">
        <v>6489.5091434071364</v>
      </c>
      <c r="AZ137">
        <v>142425.40904716073</v>
      </c>
      <c r="BA137">
        <v>0</v>
      </c>
      <c r="BB137">
        <v>142425.40904716073</v>
      </c>
      <c r="BC137">
        <v>0</v>
      </c>
      <c r="BD137">
        <v>142425.40904716073</v>
      </c>
      <c r="BE137">
        <v>0</v>
      </c>
      <c r="BF137">
        <v>142425.40904716073</v>
      </c>
      <c r="BG137">
        <v>0</v>
      </c>
      <c r="BH137">
        <v>142425.40904716073</v>
      </c>
      <c r="BI137">
        <v>0</v>
      </c>
      <c r="BJ137">
        <v>142425.40904716073</v>
      </c>
      <c r="BK137">
        <v>142425.40904716073</v>
      </c>
      <c r="BL137">
        <v>4439400</v>
      </c>
      <c r="BO137">
        <v>0</v>
      </c>
      <c r="BP137">
        <v>142425.40904716073</v>
      </c>
      <c r="BQ137">
        <v>4439400</v>
      </c>
      <c r="BR137" s="238" t="s">
        <v>36</v>
      </c>
      <c r="BU137">
        <v>142425.40904716073</v>
      </c>
      <c r="BV137">
        <v>0</v>
      </c>
      <c r="BW137">
        <v>4439400</v>
      </c>
      <c r="BX137" s="238"/>
      <c r="BY137" s="238" t="s">
        <v>3</v>
      </c>
      <c r="BZ137" s="238" t="s">
        <v>3</v>
      </c>
      <c r="CA137" s="238" t="s">
        <v>8951</v>
      </c>
      <c r="CB137" s="238" t="s">
        <v>1167</v>
      </c>
      <c r="CC137" s="238" t="s">
        <v>9077</v>
      </c>
      <c r="CD137" s="238" t="s">
        <v>8970</v>
      </c>
      <c r="CE137" t="b">
        <v>1</v>
      </c>
      <c r="CF137">
        <v>4439400</v>
      </c>
      <c r="CG137">
        <v>4439400</v>
      </c>
      <c r="CH137">
        <v>0</v>
      </c>
      <c r="CI137">
        <v>0</v>
      </c>
      <c r="CJ137">
        <v>0</v>
      </c>
    </row>
    <row r="138" spans="1:88" x14ac:dyDescent="0.25">
      <c r="A138">
        <v>137</v>
      </c>
      <c r="B138">
        <v>2</v>
      </c>
      <c r="C138">
        <v>3</v>
      </c>
      <c r="D138">
        <v>1</v>
      </c>
      <c r="E138">
        <v>0</v>
      </c>
      <c r="F138">
        <v>16.989999999999998</v>
      </c>
      <c r="I138">
        <v>16.989999999999998</v>
      </c>
      <c r="J138">
        <v>7.49</v>
      </c>
      <c r="K138">
        <v>4.91</v>
      </c>
      <c r="P138">
        <v>3.49</v>
      </c>
      <c r="R138">
        <v>3.49</v>
      </c>
      <c r="S138">
        <v>32.880000000000003</v>
      </c>
      <c r="T138">
        <v>29.39</v>
      </c>
      <c r="U138">
        <v>31.14</v>
      </c>
      <c r="V138">
        <v>138273.04</v>
      </c>
      <c r="W138">
        <v>2.5902521008392796</v>
      </c>
      <c r="X138">
        <v>138275.63025210085</v>
      </c>
      <c r="Y138">
        <v>0</v>
      </c>
      <c r="Z138">
        <v>138275.63025210085</v>
      </c>
      <c r="AA138">
        <v>0</v>
      </c>
      <c r="AB138">
        <v>138275.63025210085</v>
      </c>
      <c r="AC138">
        <v>0</v>
      </c>
      <c r="AD138">
        <v>138275.63025210085</v>
      </c>
      <c r="AE138">
        <v>0</v>
      </c>
      <c r="AF138">
        <v>138275.63025210085</v>
      </c>
      <c r="AG138">
        <v>0</v>
      </c>
      <c r="AH138">
        <v>138275.63025210085</v>
      </c>
      <c r="AI138">
        <v>0</v>
      </c>
      <c r="AJ138">
        <v>138275.63025210085</v>
      </c>
      <c r="AK138">
        <v>0</v>
      </c>
      <c r="AL138">
        <v>138275.63025210085</v>
      </c>
      <c r="AM138">
        <v>0</v>
      </c>
      <c r="AN138">
        <v>138275.63025210085</v>
      </c>
      <c r="AO138">
        <v>0</v>
      </c>
      <c r="AP138">
        <v>138275.63025210085</v>
      </c>
      <c r="AQ138">
        <v>0</v>
      </c>
      <c r="AR138">
        <v>138275.63025210085</v>
      </c>
      <c r="AS138">
        <v>0</v>
      </c>
      <c r="AT138">
        <v>138275.63025210085</v>
      </c>
      <c r="AV138">
        <v>138275.63025210085</v>
      </c>
      <c r="AW138">
        <v>-2208.7709072068101</v>
      </c>
      <c r="AX138">
        <v>136066.85934489404</v>
      </c>
      <c r="AY138">
        <v>6357.6750160565134</v>
      </c>
      <c r="AZ138">
        <v>142424.53436095055</v>
      </c>
      <c r="BA138">
        <v>0</v>
      </c>
      <c r="BB138">
        <v>142424.53436095055</v>
      </c>
      <c r="BC138">
        <v>0</v>
      </c>
      <c r="BD138">
        <v>142424.53436095055</v>
      </c>
      <c r="BE138">
        <v>0</v>
      </c>
      <c r="BF138">
        <v>142424.53436095055</v>
      </c>
      <c r="BG138">
        <v>0</v>
      </c>
      <c r="BH138">
        <v>142424.53436095055</v>
      </c>
      <c r="BI138">
        <v>0</v>
      </c>
      <c r="BJ138">
        <v>142424.53436095055</v>
      </c>
      <c r="BK138">
        <v>142424.53436095055</v>
      </c>
      <c r="BL138">
        <v>4435100</v>
      </c>
      <c r="BO138">
        <v>0</v>
      </c>
      <c r="BP138">
        <v>142424.53436095055</v>
      </c>
      <c r="BQ138">
        <v>4435100</v>
      </c>
      <c r="BR138" s="238" t="s">
        <v>36</v>
      </c>
      <c r="BU138">
        <v>142424.53436095055</v>
      </c>
      <c r="BV138">
        <v>0</v>
      </c>
      <c r="BW138">
        <v>4435100</v>
      </c>
      <c r="BX138" s="238"/>
      <c r="BY138" s="238" t="s">
        <v>35</v>
      </c>
      <c r="BZ138" s="238" t="s">
        <v>35</v>
      </c>
      <c r="CA138" s="238" t="s">
        <v>8953</v>
      </c>
      <c r="CB138" s="238" t="s">
        <v>8954</v>
      </c>
      <c r="CC138" s="238" t="s">
        <v>9077</v>
      </c>
      <c r="CD138" s="238" t="s">
        <v>8970</v>
      </c>
      <c r="CE138" t="b">
        <v>1</v>
      </c>
      <c r="CF138">
        <v>4435100</v>
      </c>
      <c r="CG138">
        <v>4435100</v>
      </c>
      <c r="CH138">
        <v>0</v>
      </c>
      <c r="CI138">
        <v>0</v>
      </c>
      <c r="CJ138">
        <v>0</v>
      </c>
    </row>
    <row r="139" spans="1:88" x14ac:dyDescent="0.25">
      <c r="A139">
        <v>138</v>
      </c>
      <c r="B139">
        <v>2</v>
      </c>
      <c r="C139">
        <v>3</v>
      </c>
      <c r="D139">
        <v>2</v>
      </c>
      <c r="E139">
        <v>1</v>
      </c>
      <c r="F139">
        <v>11.31</v>
      </c>
      <c r="I139">
        <v>11.31</v>
      </c>
      <c r="J139">
        <v>16.18</v>
      </c>
      <c r="K139">
        <v>4.1100000000000003</v>
      </c>
      <c r="M139">
        <v>3.01</v>
      </c>
      <c r="P139">
        <v>2.77</v>
      </c>
      <c r="R139">
        <v>2.77</v>
      </c>
      <c r="S139">
        <v>37.380000000000003</v>
      </c>
      <c r="T139">
        <v>34.61</v>
      </c>
      <c r="U139">
        <v>36</v>
      </c>
      <c r="V139">
        <v>120353.44</v>
      </c>
      <c r="W139">
        <v>1.8608595988625893</v>
      </c>
      <c r="X139">
        <v>120355.30085959886</v>
      </c>
      <c r="Y139">
        <v>0</v>
      </c>
      <c r="Z139">
        <v>120355.30085959886</v>
      </c>
      <c r="AA139">
        <v>0</v>
      </c>
      <c r="AB139">
        <v>120355.30085959886</v>
      </c>
      <c r="AC139">
        <v>0</v>
      </c>
      <c r="AD139">
        <v>120355.30085959886</v>
      </c>
      <c r="AE139">
        <v>0</v>
      </c>
      <c r="AF139">
        <v>120355.30085959886</v>
      </c>
      <c r="AG139">
        <v>0</v>
      </c>
      <c r="AH139">
        <v>120355.30085959886</v>
      </c>
      <c r="AI139">
        <v>0</v>
      </c>
      <c r="AJ139">
        <v>120355.30085959886</v>
      </c>
      <c r="AK139">
        <v>0</v>
      </c>
      <c r="AL139">
        <v>120355.30085959886</v>
      </c>
      <c r="AM139">
        <v>0</v>
      </c>
      <c r="AN139">
        <v>120355.30085959886</v>
      </c>
      <c r="AO139">
        <v>0</v>
      </c>
      <c r="AP139">
        <v>120355.30085959886</v>
      </c>
      <c r="AQ139">
        <v>0</v>
      </c>
      <c r="AR139">
        <v>120355.30085959886</v>
      </c>
      <c r="AS139">
        <v>0</v>
      </c>
      <c r="AT139">
        <v>120355.30085959886</v>
      </c>
      <c r="AV139">
        <v>120355.30085959886</v>
      </c>
      <c r="AW139">
        <v>-177.49530404330289</v>
      </c>
      <c r="AX139">
        <v>120177.80555555556</v>
      </c>
      <c r="AY139">
        <v>3788.8611111111095</v>
      </c>
      <c r="AZ139">
        <v>123966.66666666667</v>
      </c>
      <c r="BA139">
        <v>0</v>
      </c>
      <c r="BB139">
        <v>123966.66666666667</v>
      </c>
      <c r="BC139">
        <v>0</v>
      </c>
      <c r="BD139">
        <v>123966.66666666667</v>
      </c>
      <c r="BE139">
        <v>0</v>
      </c>
      <c r="BF139">
        <v>123966.66666666667</v>
      </c>
      <c r="BG139">
        <v>2479.666666666657</v>
      </c>
      <c r="BH139">
        <v>126446.33333333331</v>
      </c>
      <c r="BI139">
        <v>0</v>
      </c>
      <c r="BJ139">
        <v>126446.33333333331</v>
      </c>
      <c r="BK139">
        <v>126446.33333333333</v>
      </c>
      <c r="BL139">
        <v>4552068</v>
      </c>
      <c r="BO139">
        <v>0</v>
      </c>
      <c r="BP139">
        <v>126446.33333333333</v>
      </c>
      <c r="BQ139">
        <v>4552068</v>
      </c>
      <c r="BR139" s="238" t="s">
        <v>36</v>
      </c>
      <c r="BU139">
        <v>126446.33333333333</v>
      </c>
      <c r="BV139">
        <v>0</v>
      </c>
      <c r="BW139">
        <v>4552068</v>
      </c>
      <c r="BX139" s="238"/>
      <c r="BY139" s="238" t="s">
        <v>35</v>
      </c>
      <c r="BZ139" s="238" t="s">
        <v>35</v>
      </c>
      <c r="CA139" s="238" t="s">
        <v>8953</v>
      </c>
      <c r="CB139" s="238" t="s">
        <v>8954</v>
      </c>
      <c r="CC139" s="238" t="s">
        <v>9077</v>
      </c>
      <c r="CD139" s="238" t="s">
        <v>8972</v>
      </c>
      <c r="CE139" t="b">
        <v>1</v>
      </c>
      <c r="CF139">
        <v>4552068</v>
      </c>
      <c r="CG139">
        <v>4552068</v>
      </c>
      <c r="CH139">
        <v>0</v>
      </c>
      <c r="CI139">
        <v>0</v>
      </c>
      <c r="CJ139">
        <v>0</v>
      </c>
    </row>
    <row r="140" spans="1:88" x14ac:dyDescent="0.25">
      <c r="A140">
        <v>139</v>
      </c>
      <c r="B140">
        <v>2</v>
      </c>
      <c r="C140">
        <v>3</v>
      </c>
      <c r="D140">
        <v>3</v>
      </c>
      <c r="E140">
        <v>1</v>
      </c>
      <c r="F140">
        <v>15.45</v>
      </c>
      <c r="I140">
        <v>15.45</v>
      </c>
      <c r="J140">
        <v>17.71</v>
      </c>
      <c r="K140">
        <v>4.01</v>
      </c>
      <c r="M140">
        <v>5.04</v>
      </c>
      <c r="P140">
        <v>3.84</v>
      </c>
      <c r="R140">
        <v>3.84</v>
      </c>
      <c r="S140">
        <v>46.05</v>
      </c>
      <c r="T140">
        <v>42.21</v>
      </c>
      <c r="U140">
        <v>44.13</v>
      </c>
      <c r="V140">
        <v>120353.44</v>
      </c>
      <c r="W140">
        <v>0.72666666665463708</v>
      </c>
      <c r="X140">
        <v>120354.16666666666</v>
      </c>
      <c r="Y140">
        <v>0</v>
      </c>
      <c r="Z140">
        <v>120354.16666666666</v>
      </c>
      <c r="AA140">
        <v>0</v>
      </c>
      <c r="AB140">
        <v>120354.16666666666</v>
      </c>
      <c r="AC140">
        <v>0</v>
      </c>
      <c r="AD140">
        <v>120354.16666666666</v>
      </c>
      <c r="AE140">
        <v>0</v>
      </c>
      <c r="AF140">
        <v>120354.16666666666</v>
      </c>
      <c r="AG140">
        <v>0</v>
      </c>
      <c r="AH140">
        <v>120354.16666666666</v>
      </c>
      <c r="AI140">
        <v>0</v>
      </c>
      <c r="AJ140">
        <v>120354.16666666666</v>
      </c>
      <c r="AK140">
        <v>0</v>
      </c>
      <c r="AL140">
        <v>120354.16666666666</v>
      </c>
      <c r="AM140">
        <v>0</v>
      </c>
      <c r="AN140">
        <v>120354.16666666666</v>
      </c>
      <c r="AO140">
        <v>0</v>
      </c>
      <c r="AP140">
        <v>120354.16666666666</v>
      </c>
      <c r="AQ140">
        <v>0</v>
      </c>
      <c r="AR140">
        <v>120354.16666666666</v>
      </c>
      <c r="AS140">
        <v>0</v>
      </c>
      <c r="AT140">
        <v>120354.16666666666</v>
      </c>
      <c r="AV140">
        <v>120354.16666666666</v>
      </c>
      <c r="AW140">
        <v>998.02005438477499</v>
      </c>
      <c r="AX140">
        <v>121352.18672105143</v>
      </c>
      <c r="AY140">
        <v>2613.3695898481819</v>
      </c>
      <c r="AZ140">
        <v>123965.55631089961</v>
      </c>
      <c r="BA140">
        <v>0</v>
      </c>
      <c r="BB140">
        <v>123965.55631089961</v>
      </c>
      <c r="BC140">
        <v>0</v>
      </c>
      <c r="BD140">
        <v>123965.55631089961</v>
      </c>
      <c r="BE140">
        <v>0</v>
      </c>
      <c r="BF140">
        <v>123965.55631089961</v>
      </c>
      <c r="BG140">
        <v>2479.7643326535181</v>
      </c>
      <c r="BH140">
        <v>126445.32064355312</v>
      </c>
      <c r="BI140">
        <v>0</v>
      </c>
      <c r="BJ140">
        <v>126445.32064355312</v>
      </c>
      <c r="BK140">
        <v>126445.32064355313</v>
      </c>
      <c r="BL140">
        <v>5580032</v>
      </c>
      <c r="BO140">
        <v>0</v>
      </c>
      <c r="BP140">
        <v>126445.32064355313</v>
      </c>
      <c r="BQ140">
        <v>5580032</v>
      </c>
      <c r="BR140" s="238" t="s">
        <v>36</v>
      </c>
      <c r="BU140">
        <v>126445.32064355313</v>
      </c>
      <c r="BV140">
        <v>0</v>
      </c>
      <c r="BW140">
        <v>5580032</v>
      </c>
      <c r="BX140" s="238"/>
      <c r="BY140" s="238" t="s">
        <v>3</v>
      </c>
      <c r="BZ140" s="238" t="s">
        <v>3</v>
      </c>
      <c r="CA140" s="238" t="s">
        <v>8951</v>
      </c>
      <c r="CB140" s="238" t="s">
        <v>1167</v>
      </c>
      <c r="CC140" s="238" t="s">
        <v>9077</v>
      </c>
      <c r="CD140" s="238" t="s">
        <v>8972</v>
      </c>
      <c r="CE140" t="b">
        <v>1</v>
      </c>
      <c r="CF140">
        <v>5580032</v>
      </c>
      <c r="CG140">
        <v>5580032</v>
      </c>
      <c r="CH140">
        <v>0</v>
      </c>
      <c r="CI140">
        <v>0</v>
      </c>
      <c r="CJ140">
        <v>0</v>
      </c>
    </row>
    <row r="141" spans="1:88" x14ac:dyDescent="0.25">
      <c r="A141">
        <v>140</v>
      </c>
      <c r="B141">
        <v>2</v>
      </c>
      <c r="C141">
        <v>3</v>
      </c>
      <c r="D141">
        <v>4</v>
      </c>
      <c r="E141">
        <v>1</v>
      </c>
      <c r="F141">
        <v>10.59</v>
      </c>
      <c r="I141">
        <v>10.59</v>
      </c>
      <c r="J141">
        <v>15.69</v>
      </c>
      <c r="K141">
        <v>3.94</v>
      </c>
      <c r="M141">
        <v>4.4400000000000004</v>
      </c>
      <c r="P141">
        <v>3.45</v>
      </c>
      <c r="R141">
        <v>3.45</v>
      </c>
      <c r="S141">
        <v>38.11</v>
      </c>
      <c r="T141">
        <v>34.659999999999997</v>
      </c>
      <c r="U141">
        <v>36.39</v>
      </c>
      <c r="V141">
        <v>119184.96000000001</v>
      </c>
      <c r="W141">
        <v>2.0088385269191349</v>
      </c>
      <c r="X141">
        <v>119186.96883852693</v>
      </c>
      <c r="Y141">
        <v>0</v>
      </c>
      <c r="Z141">
        <v>119186.96883852693</v>
      </c>
      <c r="AA141">
        <v>0</v>
      </c>
      <c r="AB141">
        <v>119186.96883852693</v>
      </c>
      <c r="AC141">
        <v>500.02832861189381</v>
      </c>
      <c r="AD141">
        <v>119686.99716713882</v>
      </c>
      <c r="AE141">
        <v>0</v>
      </c>
      <c r="AF141">
        <v>119686.99716713882</v>
      </c>
      <c r="AH141">
        <v>120186.99716713882</v>
      </c>
      <c r="AJ141">
        <v>120686.99716713882</v>
      </c>
      <c r="AL141">
        <v>121186.99716713882</v>
      </c>
      <c r="AM141">
        <v>0</v>
      </c>
      <c r="AN141">
        <v>121186.99716713882</v>
      </c>
      <c r="AP141">
        <v>119686.99716713882</v>
      </c>
      <c r="AQ141">
        <v>0</v>
      </c>
      <c r="AR141">
        <v>119686.99716713882</v>
      </c>
      <c r="AS141">
        <v>0</v>
      </c>
      <c r="AT141">
        <v>119686.99716713882</v>
      </c>
      <c r="AV141">
        <v>119686.99716713882</v>
      </c>
      <c r="AX141">
        <v>116101.97856553998</v>
      </c>
      <c r="AY141">
        <v>0</v>
      </c>
      <c r="AZ141">
        <v>116101.97856553998</v>
      </c>
      <c r="BA141">
        <v>0</v>
      </c>
      <c r="BB141">
        <v>116101.97856553998</v>
      </c>
      <c r="BC141">
        <v>0</v>
      </c>
      <c r="BD141">
        <v>116101.97856553998</v>
      </c>
      <c r="BE141">
        <v>0</v>
      </c>
      <c r="BF141">
        <v>116101.97856553998</v>
      </c>
      <c r="BG141">
        <v>0</v>
      </c>
      <c r="BH141">
        <v>116101.97856553998</v>
      </c>
      <c r="BI141">
        <v>0</v>
      </c>
      <c r="BJ141">
        <v>116101.97856553998</v>
      </c>
      <c r="BK141">
        <v>116101.97856553998</v>
      </c>
      <c r="BL141">
        <v>4224951</v>
      </c>
      <c r="BO141">
        <v>0</v>
      </c>
      <c r="BP141">
        <v>116101.97856553998</v>
      </c>
      <c r="BQ141">
        <v>4224951</v>
      </c>
      <c r="BR141" s="238" t="s">
        <v>36</v>
      </c>
      <c r="BU141">
        <v>116101.97856553998</v>
      </c>
      <c r="BV141">
        <v>0</v>
      </c>
      <c r="BW141">
        <v>4224951</v>
      </c>
      <c r="BX141" s="238"/>
      <c r="BY141" s="238" t="s">
        <v>8963</v>
      </c>
      <c r="BZ141" s="238" t="s">
        <v>8963</v>
      </c>
      <c r="CA141" s="238" t="s">
        <v>8953</v>
      </c>
      <c r="CB141" s="238" t="s">
        <v>8964</v>
      </c>
      <c r="CC141" s="238" t="s">
        <v>9077</v>
      </c>
      <c r="CD141" s="238" t="s">
        <v>8972</v>
      </c>
      <c r="CE141" t="b">
        <v>1</v>
      </c>
      <c r="CF141">
        <v>4224951</v>
      </c>
      <c r="CG141">
        <v>4516472</v>
      </c>
      <c r="CH141">
        <v>4224951</v>
      </c>
      <c r="CI141">
        <v>4224951</v>
      </c>
      <c r="CJ141">
        <v>0</v>
      </c>
    </row>
    <row r="142" spans="1:88" x14ac:dyDescent="0.25">
      <c r="A142">
        <v>141</v>
      </c>
      <c r="B142">
        <v>2</v>
      </c>
      <c r="C142">
        <v>3</v>
      </c>
      <c r="D142">
        <v>5</v>
      </c>
      <c r="E142">
        <v>1</v>
      </c>
      <c r="F142">
        <v>10.59</v>
      </c>
      <c r="I142">
        <v>10.59</v>
      </c>
      <c r="J142">
        <v>15.69</v>
      </c>
      <c r="K142">
        <v>3.89</v>
      </c>
      <c r="M142">
        <v>4.4400000000000004</v>
      </c>
      <c r="P142">
        <v>3.39</v>
      </c>
      <c r="R142">
        <v>3.39</v>
      </c>
      <c r="S142">
        <v>38</v>
      </c>
      <c r="T142">
        <v>34.61</v>
      </c>
      <c r="U142">
        <v>36.31</v>
      </c>
      <c r="V142">
        <v>119184.96000000001</v>
      </c>
      <c r="W142">
        <v>2.5399999999790452</v>
      </c>
      <c r="X142">
        <v>119187.49999999999</v>
      </c>
      <c r="Y142">
        <v>0</v>
      </c>
      <c r="Z142">
        <v>119187.49999999999</v>
      </c>
      <c r="AA142">
        <v>500.51136363636761</v>
      </c>
      <c r="AB142">
        <v>119688.01136363635</v>
      </c>
      <c r="AC142">
        <v>0</v>
      </c>
      <c r="AD142">
        <v>119688.01136363635</v>
      </c>
      <c r="AE142">
        <v>0</v>
      </c>
      <c r="AF142">
        <v>119688.01136363635</v>
      </c>
      <c r="AG142">
        <v>0</v>
      </c>
      <c r="AH142">
        <v>119688.01136363635</v>
      </c>
      <c r="AI142">
        <v>500</v>
      </c>
      <c r="AJ142">
        <v>120188.01136363635</v>
      </c>
      <c r="AK142">
        <v>0</v>
      </c>
      <c r="AL142">
        <v>120188.01136363635</v>
      </c>
      <c r="AM142">
        <v>0</v>
      </c>
      <c r="AN142">
        <v>120188.01136363635</v>
      </c>
      <c r="AO142">
        <v>500</v>
      </c>
      <c r="AP142">
        <v>120688.01136363635</v>
      </c>
      <c r="AQ142">
        <v>0</v>
      </c>
      <c r="AR142">
        <v>120688.01136363635</v>
      </c>
      <c r="AS142">
        <v>0</v>
      </c>
      <c r="AT142">
        <v>120688.01136363635</v>
      </c>
      <c r="AV142">
        <v>120688.01136363635</v>
      </c>
      <c r="AX142">
        <v>116998.56788763426</v>
      </c>
      <c r="AY142">
        <v>0</v>
      </c>
      <c r="AZ142">
        <v>116998.56788763426</v>
      </c>
      <c r="BA142">
        <v>0</v>
      </c>
      <c r="BB142">
        <v>116998.56788763426</v>
      </c>
      <c r="BC142">
        <v>0</v>
      </c>
      <c r="BD142">
        <v>116998.56788763426</v>
      </c>
      <c r="BE142">
        <v>0</v>
      </c>
      <c r="BF142">
        <v>116998.56788763426</v>
      </c>
      <c r="BG142">
        <v>0</v>
      </c>
      <c r="BH142">
        <v>116998.56788763426</v>
      </c>
      <c r="BI142">
        <v>0</v>
      </c>
      <c r="BJ142">
        <v>116998.56788763426</v>
      </c>
      <c r="BK142">
        <v>116998.56788763426</v>
      </c>
      <c r="BL142">
        <v>4248218</v>
      </c>
      <c r="BO142">
        <v>0</v>
      </c>
      <c r="BP142">
        <v>116998.56788763426</v>
      </c>
      <c r="BQ142">
        <v>4248218</v>
      </c>
      <c r="BR142" s="238" t="s">
        <v>36</v>
      </c>
      <c r="BU142">
        <v>116998.56788763426</v>
      </c>
      <c r="BV142">
        <v>0</v>
      </c>
      <c r="BW142">
        <v>4248218</v>
      </c>
      <c r="BX142" s="238"/>
      <c r="BY142" s="238" t="s">
        <v>8963</v>
      </c>
      <c r="BZ142" s="238" t="s">
        <v>8963</v>
      </c>
      <c r="CA142" s="238" t="s">
        <v>8953</v>
      </c>
      <c r="CB142" s="238" t="s">
        <v>8964</v>
      </c>
      <c r="CC142" s="238" t="s">
        <v>9077</v>
      </c>
      <c r="CD142" s="238" t="s">
        <v>8972</v>
      </c>
      <c r="CE142" t="b">
        <v>1</v>
      </c>
      <c r="CF142">
        <v>4248218</v>
      </c>
      <c r="CG142">
        <v>4469862</v>
      </c>
      <c r="CH142">
        <v>4248218</v>
      </c>
      <c r="CI142">
        <v>0</v>
      </c>
      <c r="CJ142">
        <v>0</v>
      </c>
    </row>
    <row r="143" spans="1:88" x14ac:dyDescent="0.25">
      <c r="A143">
        <v>142</v>
      </c>
      <c r="B143">
        <v>2</v>
      </c>
      <c r="C143">
        <v>3</v>
      </c>
      <c r="D143">
        <v>6</v>
      </c>
      <c r="E143">
        <v>3</v>
      </c>
      <c r="F143">
        <v>12.4</v>
      </c>
      <c r="G143">
        <v>11.28</v>
      </c>
      <c r="H143">
        <v>11.28</v>
      </c>
      <c r="I143">
        <v>34.96</v>
      </c>
      <c r="J143">
        <v>17.93</v>
      </c>
      <c r="K143">
        <v>4.67</v>
      </c>
      <c r="L143">
        <v>3.54</v>
      </c>
      <c r="M143">
        <v>9.89</v>
      </c>
      <c r="P143">
        <v>2.79</v>
      </c>
      <c r="Q143">
        <v>3.6</v>
      </c>
      <c r="R143">
        <v>6.3900000000000006</v>
      </c>
      <c r="S143">
        <v>77.38</v>
      </c>
      <c r="T143">
        <v>70.989999999999995</v>
      </c>
      <c r="U143">
        <v>74.19</v>
      </c>
      <c r="V143">
        <v>107221.12</v>
      </c>
      <c r="W143">
        <v>500.87859254046634</v>
      </c>
      <c r="X143">
        <v>107721.99859254046</v>
      </c>
      <c r="Y143">
        <v>0</v>
      </c>
      <c r="Z143">
        <v>107721.99859254046</v>
      </c>
      <c r="AA143">
        <v>0</v>
      </c>
      <c r="AB143">
        <v>107721.99859254046</v>
      </c>
      <c r="AC143">
        <v>0</v>
      </c>
      <c r="AD143">
        <v>107721.99859254046</v>
      </c>
      <c r="AE143">
        <v>500</v>
      </c>
      <c r="AF143">
        <v>108221.99859254046</v>
      </c>
      <c r="AG143">
        <v>0</v>
      </c>
      <c r="AH143">
        <v>108221.99859254046</v>
      </c>
      <c r="AI143">
        <v>0</v>
      </c>
      <c r="AJ143">
        <v>108221.99859254046</v>
      </c>
      <c r="AK143">
        <v>0</v>
      </c>
      <c r="AL143">
        <v>108221.99859254046</v>
      </c>
      <c r="AN143">
        <v>108721.99859254046</v>
      </c>
      <c r="AP143">
        <v>108221.99859254046</v>
      </c>
      <c r="AR143">
        <v>108221.99859254046</v>
      </c>
      <c r="AS143">
        <v>0</v>
      </c>
      <c r="AT143">
        <v>108221.99859254046</v>
      </c>
      <c r="AV143">
        <v>108221.99859254046</v>
      </c>
      <c r="AX143">
        <v>103641.63633912927</v>
      </c>
      <c r="AY143">
        <v>0</v>
      </c>
      <c r="AZ143">
        <v>103641.63633912927</v>
      </c>
      <c r="BA143">
        <v>0</v>
      </c>
      <c r="BB143">
        <v>103641.63633912927</v>
      </c>
      <c r="BC143">
        <v>0</v>
      </c>
      <c r="BD143">
        <v>103641.63633912927</v>
      </c>
      <c r="BE143">
        <v>0</v>
      </c>
      <c r="BF143">
        <v>103641.63633912927</v>
      </c>
      <c r="BG143">
        <v>0</v>
      </c>
      <c r="BH143">
        <v>103641.63633912928</v>
      </c>
      <c r="BI143">
        <v>0</v>
      </c>
      <c r="BJ143">
        <v>103641.63633912928</v>
      </c>
      <c r="BK143">
        <v>103641.63633912927</v>
      </c>
      <c r="BL143">
        <v>7689173</v>
      </c>
      <c r="BO143">
        <v>0</v>
      </c>
      <c r="BP143">
        <v>103641.63633912927</v>
      </c>
      <c r="BQ143">
        <v>7689173</v>
      </c>
      <c r="BR143" s="238" t="s">
        <v>36</v>
      </c>
      <c r="BU143">
        <v>103641.63633912927</v>
      </c>
      <c r="BV143">
        <v>0</v>
      </c>
      <c r="BW143">
        <v>7689173</v>
      </c>
      <c r="BX143" s="238"/>
      <c r="BY143" s="238" t="s">
        <v>8963</v>
      </c>
      <c r="BZ143" s="238" t="s">
        <v>8963</v>
      </c>
      <c r="CA143" s="238" t="s">
        <v>8953</v>
      </c>
      <c r="CB143" s="238" t="s">
        <v>8964</v>
      </c>
      <c r="CC143" s="238" t="s">
        <v>9077</v>
      </c>
      <c r="CD143" s="238" t="s">
        <v>8990</v>
      </c>
      <c r="CE143" t="b">
        <v>1</v>
      </c>
      <c r="CF143">
        <v>7689173</v>
      </c>
      <c r="CG143">
        <v>8189570</v>
      </c>
      <c r="CH143">
        <v>7689173</v>
      </c>
      <c r="CI143">
        <v>7689173</v>
      </c>
      <c r="CJ143">
        <v>0</v>
      </c>
    </row>
    <row r="144" spans="1:88" x14ac:dyDescent="0.25">
      <c r="A144">
        <v>143</v>
      </c>
      <c r="B144">
        <v>2</v>
      </c>
      <c r="C144">
        <v>3</v>
      </c>
      <c r="D144">
        <v>7</v>
      </c>
      <c r="E144">
        <v>0</v>
      </c>
      <c r="F144">
        <v>16.989999999999998</v>
      </c>
      <c r="I144">
        <v>16.989999999999998</v>
      </c>
      <c r="J144">
        <v>7.49</v>
      </c>
      <c r="K144">
        <v>4.9400000000000004</v>
      </c>
      <c r="P144">
        <v>3.49</v>
      </c>
      <c r="R144">
        <v>3.49</v>
      </c>
      <c r="S144">
        <v>32.909999999999997</v>
      </c>
      <c r="T144">
        <v>29.42</v>
      </c>
      <c r="U144">
        <v>31.17</v>
      </c>
      <c r="V144">
        <v>138273.04</v>
      </c>
      <c r="W144">
        <v>2.5902521008392796</v>
      </c>
      <c r="X144">
        <v>138275.63025210085</v>
      </c>
      <c r="Y144">
        <v>0</v>
      </c>
      <c r="Z144">
        <v>138275.63025210085</v>
      </c>
      <c r="AA144">
        <v>0</v>
      </c>
      <c r="AB144">
        <v>138275.63025210085</v>
      </c>
      <c r="AC144">
        <v>0</v>
      </c>
      <c r="AD144">
        <v>138275.63025210085</v>
      </c>
      <c r="AE144">
        <v>0</v>
      </c>
      <c r="AF144">
        <v>138275.63025210085</v>
      </c>
      <c r="AG144">
        <v>0</v>
      </c>
      <c r="AH144">
        <v>138275.63025210085</v>
      </c>
      <c r="AI144">
        <v>0</v>
      </c>
      <c r="AJ144">
        <v>138275.63025210085</v>
      </c>
      <c r="AK144">
        <v>0</v>
      </c>
      <c r="AL144">
        <v>138275.63025210085</v>
      </c>
      <c r="AM144">
        <v>0</v>
      </c>
      <c r="AN144">
        <v>138275.63025210085</v>
      </c>
      <c r="AO144">
        <v>0</v>
      </c>
      <c r="AP144">
        <v>138275.63025210085</v>
      </c>
      <c r="AQ144">
        <v>0</v>
      </c>
      <c r="AR144">
        <v>138275.63025210085</v>
      </c>
      <c r="AS144">
        <v>0</v>
      </c>
      <c r="AT144">
        <v>138275.63025210085</v>
      </c>
      <c r="AV144">
        <v>138275.63025210085</v>
      </c>
      <c r="AW144">
        <v>-2339.7303483472497</v>
      </c>
      <c r="AX144">
        <v>135935.8999037536</v>
      </c>
      <c r="AY144">
        <v>6489.5091434071364</v>
      </c>
      <c r="AZ144">
        <v>142425.40904716073</v>
      </c>
      <c r="BA144">
        <v>0</v>
      </c>
      <c r="BB144">
        <v>142425.40904716073</v>
      </c>
      <c r="BC144">
        <v>0</v>
      </c>
      <c r="BD144">
        <v>142425.40904716073</v>
      </c>
      <c r="BE144">
        <v>0</v>
      </c>
      <c r="BF144">
        <v>142425.40904716073</v>
      </c>
      <c r="BG144">
        <v>0</v>
      </c>
      <c r="BH144">
        <v>142425.40904716073</v>
      </c>
      <c r="BI144">
        <v>0</v>
      </c>
      <c r="BJ144">
        <v>142425.40904716073</v>
      </c>
      <c r="BK144">
        <v>142425.40904716073</v>
      </c>
      <c r="BL144">
        <v>4439400</v>
      </c>
      <c r="BO144">
        <v>0</v>
      </c>
      <c r="BP144">
        <v>142425.40904716073</v>
      </c>
      <c r="BQ144">
        <v>4439400</v>
      </c>
      <c r="BR144" s="238" t="s">
        <v>36</v>
      </c>
      <c r="BU144">
        <v>142425.40904716073</v>
      </c>
      <c r="BV144">
        <v>0</v>
      </c>
      <c r="BW144">
        <v>4439400</v>
      </c>
      <c r="BX144" s="238"/>
      <c r="BY144" s="238" t="s">
        <v>3</v>
      </c>
      <c r="BZ144" s="238" t="s">
        <v>3</v>
      </c>
      <c r="CA144" s="238" t="s">
        <v>8951</v>
      </c>
      <c r="CB144" s="238" t="s">
        <v>1167</v>
      </c>
      <c r="CC144" s="238" t="s">
        <v>9077</v>
      </c>
      <c r="CD144" s="238" t="s">
        <v>8970</v>
      </c>
      <c r="CE144" t="b">
        <v>1</v>
      </c>
      <c r="CF144">
        <v>4439400</v>
      </c>
      <c r="CG144">
        <v>4439400</v>
      </c>
      <c r="CH144">
        <v>0</v>
      </c>
      <c r="CI144">
        <v>0</v>
      </c>
      <c r="CJ144">
        <v>0</v>
      </c>
    </row>
    <row r="145" spans="1:88" x14ac:dyDescent="0.25">
      <c r="A145">
        <v>144</v>
      </c>
      <c r="B145">
        <v>2</v>
      </c>
      <c r="C145">
        <v>4</v>
      </c>
      <c r="D145">
        <v>1</v>
      </c>
      <c r="E145">
        <v>0</v>
      </c>
      <c r="F145">
        <v>16.989999999999998</v>
      </c>
      <c r="I145">
        <v>16.989999999999998</v>
      </c>
      <c r="J145">
        <v>7.49</v>
      </c>
      <c r="K145">
        <v>4.91</v>
      </c>
      <c r="P145">
        <v>3.49</v>
      </c>
      <c r="R145">
        <v>3.49</v>
      </c>
      <c r="S145">
        <v>32.880000000000003</v>
      </c>
      <c r="T145">
        <v>29.39</v>
      </c>
      <c r="U145">
        <v>31.14</v>
      </c>
      <c r="V145">
        <v>138273.04</v>
      </c>
      <c r="W145">
        <v>2.5902521008392796</v>
      </c>
      <c r="X145">
        <v>138275.63025210085</v>
      </c>
      <c r="Y145">
        <v>0</v>
      </c>
      <c r="Z145">
        <v>138275.63025210085</v>
      </c>
      <c r="AA145">
        <v>0</v>
      </c>
      <c r="AB145">
        <v>138275.63025210085</v>
      </c>
      <c r="AC145">
        <v>0</v>
      </c>
      <c r="AD145">
        <v>138275.63025210085</v>
      </c>
      <c r="AE145">
        <v>0</v>
      </c>
      <c r="AF145">
        <v>138275.63025210085</v>
      </c>
      <c r="AG145">
        <v>0</v>
      </c>
      <c r="AH145">
        <v>138275.63025210085</v>
      </c>
      <c r="AI145">
        <v>0</v>
      </c>
      <c r="AJ145">
        <v>138275.63025210085</v>
      </c>
      <c r="AK145">
        <v>0</v>
      </c>
      <c r="AL145">
        <v>138275.63025210085</v>
      </c>
      <c r="AM145">
        <v>0</v>
      </c>
      <c r="AN145">
        <v>138275.63025210085</v>
      </c>
      <c r="AO145">
        <v>0</v>
      </c>
      <c r="AP145">
        <v>138275.63025210085</v>
      </c>
      <c r="AQ145">
        <v>0</v>
      </c>
      <c r="AR145">
        <v>138275.63025210085</v>
      </c>
      <c r="AS145">
        <v>0</v>
      </c>
      <c r="AT145">
        <v>138275.63025210085</v>
      </c>
      <c r="AV145">
        <v>138275.63025210085</v>
      </c>
      <c r="AW145">
        <v>-2208.7709072068101</v>
      </c>
      <c r="AX145">
        <v>136066.85934489404</v>
      </c>
      <c r="AY145">
        <v>6357.6750160565134</v>
      </c>
      <c r="AZ145">
        <v>142424.53436095055</v>
      </c>
      <c r="BA145">
        <v>0</v>
      </c>
      <c r="BB145">
        <v>142424.53436095055</v>
      </c>
      <c r="BC145">
        <v>0</v>
      </c>
      <c r="BD145">
        <v>142424.53436095055</v>
      </c>
      <c r="BE145">
        <v>0</v>
      </c>
      <c r="BF145">
        <v>142424.53436095055</v>
      </c>
      <c r="BG145">
        <v>0</v>
      </c>
      <c r="BH145">
        <v>142424.53436095055</v>
      </c>
      <c r="BI145">
        <v>0</v>
      </c>
      <c r="BJ145">
        <v>142424.53436095055</v>
      </c>
      <c r="BK145">
        <v>142424.53436095055</v>
      </c>
      <c r="BL145">
        <v>4435100</v>
      </c>
      <c r="BO145">
        <v>0</v>
      </c>
      <c r="BP145">
        <v>142424.53436095055</v>
      </c>
      <c r="BQ145">
        <v>4435100</v>
      </c>
      <c r="BR145" s="238" t="s">
        <v>36</v>
      </c>
      <c r="BU145">
        <v>142424.53436095055</v>
      </c>
      <c r="BV145">
        <v>0</v>
      </c>
      <c r="BW145">
        <v>4435100</v>
      </c>
      <c r="BX145" s="238"/>
      <c r="BY145" s="238" t="s">
        <v>35</v>
      </c>
      <c r="BZ145" s="238" t="s">
        <v>35</v>
      </c>
      <c r="CA145" s="238" t="s">
        <v>8953</v>
      </c>
      <c r="CB145" s="238" t="s">
        <v>8954</v>
      </c>
      <c r="CC145" s="238" t="s">
        <v>9077</v>
      </c>
      <c r="CD145" s="238" t="s">
        <v>8970</v>
      </c>
      <c r="CE145" t="b">
        <v>1</v>
      </c>
      <c r="CF145">
        <v>4435100</v>
      </c>
      <c r="CG145">
        <v>4435100</v>
      </c>
      <c r="CH145">
        <v>0</v>
      </c>
      <c r="CI145">
        <v>0</v>
      </c>
      <c r="CJ145">
        <v>0</v>
      </c>
    </row>
    <row r="146" spans="1:88" x14ac:dyDescent="0.25">
      <c r="A146">
        <v>145</v>
      </c>
      <c r="B146">
        <v>2</v>
      </c>
      <c r="C146">
        <v>4</v>
      </c>
      <c r="D146">
        <v>2</v>
      </c>
      <c r="E146">
        <v>1</v>
      </c>
      <c r="F146">
        <v>11.31</v>
      </c>
      <c r="I146">
        <v>11.31</v>
      </c>
      <c r="J146">
        <v>16.18</v>
      </c>
      <c r="K146">
        <v>4.1100000000000003</v>
      </c>
      <c r="M146">
        <v>3.01</v>
      </c>
      <c r="P146">
        <v>2.77</v>
      </c>
      <c r="R146">
        <v>2.77</v>
      </c>
      <c r="S146">
        <v>37.380000000000003</v>
      </c>
      <c r="T146">
        <v>34.61</v>
      </c>
      <c r="U146">
        <v>36</v>
      </c>
      <c r="V146">
        <v>120353.44</v>
      </c>
      <c r="W146">
        <v>1.8608595988625893</v>
      </c>
      <c r="X146">
        <v>120355.30085959886</v>
      </c>
      <c r="Y146">
        <v>0</v>
      </c>
      <c r="Z146">
        <v>120355.30085959886</v>
      </c>
      <c r="AA146">
        <v>0</v>
      </c>
      <c r="AB146">
        <v>120355.30085959886</v>
      </c>
      <c r="AC146">
        <v>0</v>
      </c>
      <c r="AD146">
        <v>120355.30085959886</v>
      </c>
      <c r="AE146">
        <v>0</v>
      </c>
      <c r="AF146">
        <v>120355.30085959886</v>
      </c>
      <c r="AG146">
        <v>0</v>
      </c>
      <c r="AH146">
        <v>120355.30085959886</v>
      </c>
      <c r="AI146">
        <v>0</v>
      </c>
      <c r="AJ146">
        <v>120355.30085959886</v>
      </c>
      <c r="AK146">
        <v>0</v>
      </c>
      <c r="AL146">
        <v>120355.30085959886</v>
      </c>
      <c r="AM146">
        <v>0</v>
      </c>
      <c r="AN146">
        <v>120355.30085959886</v>
      </c>
      <c r="AO146">
        <v>0</v>
      </c>
      <c r="AP146">
        <v>120355.30085959886</v>
      </c>
      <c r="AQ146">
        <v>0</v>
      </c>
      <c r="AR146">
        <v>120355.30085959886</v>
      </c>
      <c r="AS146">
        <v>0</v>
      </c>
      <c r="AT146">
        <v>120355.30085959886</v>
      </c>
      <c r="AV146">
        <v>120355.30085959886</v>
      </c>
      <c r="AW146">
        <v>-177.49530404330289</v>
      </c>
      <c r="AX146">
        <v>120177.80555555556</v>
      </c>
      <c r="AY146">
        <v>3788.8611111111095</v>
      </c>
      <c r="AZ146">
        <v>123966.66666666667</v>
      </c>
      <c r="BA146">
        <v>0</v>
      </c>
      <c r="BB146">
        <v>123966.66666666667</v>
      </c>
      <c r="BC146">
        <v>0</v>
      </c>
      <c r="BD146">
        <v>123966.66666666667</v>
      </c>
      <c r="BE146">
        <v>0</v>
      </c>
      <c r="BF146">
        <v>123966.66666666667</v>
      </c>
      <c r="BG146">
        <v>2479.666666666657</v>
      </c>
      <c r="BH146">
        <v>126446.33333333331</v>
      </c>
      <c r="BI146">
        <v>0</v>
      </c>
      <c r="BJ146">
        <v>126446.33333333331</v>
      </c>
      <c r="BK146">
        <v>126446.33333333333</v>
      </c>
      <c r="BL146">
        <v>4552068</v>
      </c>
      <c r="BO146">
        <v>0</v>
      </c>
      <c r="BP146">
        <v>126446.33333333333</v>
      </c>
      <c r="BQ146">
        <v>4552068</v>
      </c>
      <c r="BR146" s="238" t="s">
        <v>36</v>
      </c>
      <c r="BU146">
        <v>126446.33333333333</v>
      </c>
      <c r="BV146">
        <v>0</v>
      </c>
      <c r="BW146">
        <v>4552068</v>
      </c>
      <c r="BX146" s="238"/>
      <c r="BY146" s="238" t="s">
        <v>35</v>
      </c>
      <c r="BZ146" s="238" t="s">
        <v>35</v>
      </c>
      <c r="CA146" s="238" t="s">
        <v>8953</v>
      </c>
      <c r="CB146" s="238" t="s">
        <v>8954</v>
      </c>
      <c r="CC146" s="238" t="s">
        <v>9077</v>
      </c>
      <c r="CD146" s="238" t="s">
        <v>8972</v>
      </c>
      <c r="CE146" t="b">
        <v>1</v>
      </c>
      <c r="CF146">
        <v>4552068</v>
      </c>
      <c r="CG146">
        <v>4552068</v>
      </c>
      <c r="CH146">
        <v>0</v>
      </c>
      <c r="CI146">
        <v>0</v>
      </c>
      <c r="CJ146">
        <v>0</v>
      </c>
    </row>
    <row r="147" spans="1:88" x14ac:dyDescent="0.25">
      <c r="A147">
        <v>146</v>
      </c>
      <c r="B147">
        <v>2</v>
      </c>
      <c r="C147">
        <v>4</v>
      </c>
      <c r="D147">
        <v>3</v>
      </c>
      <c r="E147">
        <v>1</v>
      </c>
      <c r="F147">
        <v>15.45</v>
      </c>
      <c r="I147">
        <v>15.45</v>
      </c>
      <c r="J147">
        <v>17.71</v>
      </c>
      <c r="K147">
        <v>4.01</v>
      </c>
      <c r="M147">
        <v>5.04</v>
      </c>
      <c r="P147">
        <v>3.84</v>
      </c>
      <c r="R147">
        <v>3.84</v>
      </c>
      <c r="S147">
        <v>46.05</v>
      </c>
      <c r="T147">
        <v>42.21</v>
      </c>
      <c r="U147">
        <v>44.13</v>
      </c>
      <c r="V147">
        <v>120353.44</v>
      </c>
      <c r="W147">
        <v>0.72666666665463708</v>
      </c>
      <c r="X147">
        <v>120354.16666666666</v>
      </c>
      <c r="Y147">
        <v>0</v>
      </c>
      <c r="Z147">
        <v>120354.16666666666</v>
      </c>
      <c r="AA147">
        <v>0</v>
      </c>
      <c r="AB147">
        <v>120354.16666666666</v>
      </c>
      <c r="AC147">
        <v>0</v>
      </c>
      <c r="AD147">
        <v>120354.16666666666</v>
      </c>
      <c r="AE147">
        <v>0</v>
      </c>
      <c r="AF147">
        <v>120354.16666666666</v>
      </c>
      <c r="AG147">
        <v>0</v>
      </c>
      <c r="AH147">
        <v>120354.16666666666</v>
      </c>
      <c r="AI147">
        <v>0</v>
      </c>
      <c r="AJ147">
        <v>120354.16666666666</v>
      </c>
      <c r="AK147">
        <v>0</v>
      </c>
      <c r="AL147">
        <v>120354.16666666666</v>
      </c>
      <c r="AM147">
        <v>0</v>
      </c>
      <c r="AN147">
        <v>120354.16666666666</v>
      </c>
      <c r="AO147">
        <v>0</v>
      </c>
      <c r="AP147">
        <v>120354.16666666666</v>
      </c>
      <c r="AQ147">
        <v>0</v>
      </c>
      <c r="AR147">
        <v>120354.16666666666</v>
      </c>
      <c r="AS147">
        <v>0</v>
      </c>
      <c r="AT147">
        <v>120354.16666666666</v>
      </c>
      <c r="AV147">
        <v>120354.16666666666</v>
      </c>
      <c r="AW147">
        <v>998.02005438477499</v>
      </c>
      <c r="AX147">
        <v>121352.18672105143</v>
      </c>
      <c r="AY147">
        <v>2613.3695898481819</v>
      </c>
      <c r="AZ147">
        <v>123965.55631089961</v>
      </c>
      <c r="BA147">
        <v>0</v>
      </c>
      <c r="BB147">
        <v>123965.55631089961</v>
      </c>
      <c r="BC147">
        <v>0</v>
      </c>
      <c r="BD147">
        <v>123965.55631089961</v>
      </c>
      <c r="BE147">
        <v>0</v>
      </c>
      <c r="BF147">
        <v>123965.55631089961</v>
      </c>
      <c r="BG147">
        <v>2479.7643326535181</v>
      </c>
      <c r="BH147">
        <v>126445.32064355312</v>
      </c>
      <c r="BI147">
        <v>0</v>
      </c>
      <c r="BJ147">
        <v>126445.32064355312</v>
      </c>
      <c r="BK147">
        <v>126445.32064355313</v>
      </c>
      <c r="BL147">
        <v>5580032</v>
      </c>
      <c r="BO147">
        <v>0</v>
      </c>
      <c r="BP147">
        <v>126445.32064355313</v>
      </c>
      <c r="BQ147">
        <v>5580032</v>
      </c>
      <c r="BR147" s="238" t="s">
        <v>36</v>
      </c>
      <c r="BU147">
        <v>126445.32064355313</v>
      </c>
      <c r="BV147">
        <v>0</v>
      </c>
      <c r="BW147">
        <v>5580032</v>
      </c>
      <c r="BX147" s="238"/>
      <c r="BY147" s="238" t="s">
        <v>3</v>
      </c>
      <c r="BZ147" s="238" t="s">
        <v>3</v>
      </c>
      <c r="CA147" s="238" t="s">
        <v>8951</v>
      </c>
      <c r="CB147" s="238" t="s">
        <v>1167</v>
      </c>
      <c r="CC147" s="238" t="s">
        <v>9077</v>
      </c>
      <c r="CD147" s="238" t="s">
        <v>8972</v>
      </c>
      <c r="CE147" t="b">
        <v>1</v>
      </c>
      <c r="CF147">
        <v>5580032</v>
      </c>
      <c r="CG147">
        <v>5580032</v>
      </c>
      <c r="CH147">
        <v>0</v>
      </c>
      <c r="CI147">
        <v>0</v>
      </c>
      <c r="CJ147">
        <v>0</v>
      </c>
    </row>
    <row r="148" spans="1:88" x14ac:dyDescent="0.25">
      <c r="A148">
        <v>147</v>
      </c>
      <c r="B148">
        <v>2</v>
      </c>
      <c r="C148">
        <v>4</v>
      </c>
      <c r="D148">
        <v>4</v>
      </c>
      <c r="E148">
        <v>1</v>
      </c>
      <c r="F148">
        <v>10.59</v>
      </c>
      <c r="I148">
        <v>10.59</v>
      </c>
      <c r="J148">
        <v>15.69</v>
      </c>
      <c r="K148">
        <v>3.94</v>
      </c>
      <c r="M148">
        <v>4.4400000000000004</v>
      </c>
      <c r="P148">
        <v>3.45</v>
      </c>
      <c r="R148">
        <v>3.45</v>
      </c>
      <c r="S148">
        <v>38.11</v>
      </c>
      <c r="T148">
        <v>34.659999999999997</v>
      </c>
      <c r="U148">
        <v>36.39</v>
      </c>
      <c r="V148">
        <v>119184.96000000001</v>
      </c>
      <c r="W148">
        <v>2.0088385269191349</v>
      </c>
      <c r="X148">
        <v>119186.96883852693</v>
      </c>
      <c r="Y148">
        <v>0</v>
      </c>
      <c r="Z148">
        <v>119186.96883852693</v>
      </c>
      <c r="AA148">
        <v>0</v>
      </c>
      <c r="AB148">
        <v>119186.96883852693</v>
      </c>
      <c r="AC148">
        <v>500.02832861189381</v>
      </c>
      <c r="AD148">
        <v>119686.99716713882</v>
      </c>
      <c r="AE148">
        <v>0</v>
      </c>
      <c r="AF148">
        <v>119686.99716713882</v>
      </c>
      <c r="AH148">
        <v>120186.99716713882</v>
      </c>
      <c r="AJ148">
        <v>120686.99716713882</v>
      </c>
      <c r="AL148">
        <v>121186.99716713882</v>
      </c>
      <c r="AM148">
        <v>0</v>
      </c>
      <c r="AN148">
        <v>121186.99716713882</v>
      </c>
      <c r="AP148">
        <v>119686.99716713882</v>
      </c>
      <c r="AQ148">
        <v>0</v>
      </c>
      <c r="AR148">
        <v>119686.99716713882</v>
      </c>
      <c r="AS148">
        <v>0</v>
      </c>
      <c r="AT148">
        <v>119686.99716713882</v>
      </c>
      <c r="AV148">
        <v>119686.99716713882</v>
      </c>
      <c r="AX148">
        <v>116101.97856553998</v>
      </c>
      <c r="AY148">
        <v>0</v>
      </c>
      <c r="AZ148">
        <v>116101.97856553998</v>
      </c>
      <c r="BA148">
        <v>0</v>
      </c>
      <c r="BB148">
        <v>116101.97856553998</v>
      </c>
      <c r="BC148">
        <v>0</v>
      </c>
      <c r="BD148">
        <v>116101.97856553998</v>
      </c>
      <c r="BE148">
        <v>0</v>
      </c>
      <c r="BF148">
        <v>116101.97856553998</v>
      </c>
      <c r="BG148">
        <v>0</v>
      </c>
      <c r="BH148">
        <v>116101.97856553998</v>
      </c>
      <c r="BI148">
        <v>0</v>
      </c>
      <c r="BJ148">
        <v>116101.97856553998</v>
      </c>
      <c r="BK148">
        <v>116101.97856553998</v>
      </c>
      <c r="BL148">
        <v>4224951</v>
      </c>
      <c r="BO148">
        <v>0</v>
      </c>
      <c r="BP148">
        <v>116101.97856553998</v>
      </c>
      <c r="BQ148">
        <v>4224951</v>
      </c>
      <c r="BR148" s="238" t="s">
        <v>36</v>
      </c>
      <c r="BU148">
        <v>116101.97856553998</v>
      </c>
      <c r="BV148">
        <v>0</v>
      </c>
      <c r="BW148">
        <v>4224951</v>
      </c>
      <c r="BX148" s="238"/>
      <c r="BY148" s="238" t="s">
        <v>8963</v>
      </c>
      <c r="BZ148" s="238" t="s">
        <v>8963</v>
      </c>
      <c r="CA148" s="238" t="s">
        <v>8953</v>
      </c>
      <c r="CB148" s="238" t="s">
        <v>8964</v>
      </c>
      <c r="CC148" s="238" t="s">
        <v>9077</v>
      </c>
      <c r="CD148" s="238" t="s">
        <v>8972</v>
      </c>
      <c r="CE148" t="b">
        <v>1</v>
      </c>
      <c r="CF148">
        <v>4224951</v>
      </c>
      <c r="CG148">
        <v>4516472</v>
      </c>
      <c r="CH148">
        <v>4224951</v>
      </c>
      <c r="CI148">
        <v>0</v>
      </c>
      <c r="CJ148">
        <v>0</v>
      </c>
    </row>
    <row r="149" spans="1:88" x14ac:dyDescent="0.25">
      <c r="A149">
        <v>148</v>
      </c>
      <c r="B149">
        <v>2</v>
      </c>
      <c r="C149">
        <v>4</v>
      </c>
      <c r="D149">
        <v>5</v>
      </c>
      <c r="E149">
        <v>1</v>
      </c>
      <c r="F149">
        <v>10.59</v>
      </c>
      <c r="I149">
        <v>10.59</v>
      </c>
      <c r="J149">
        <v>15.69</v>
      </c>
      <c r="K149">
        <v>3.89</v>
      </c>
      <c r="M149">
        <v>4.4400000000000004</v>
      </c>
      <c r="P149">
        <v>3.39</v>
      </c>
      <c r="R149">
        <v>3.39</v>
      </c>
      <c r="S149">
        <v>38</v>
      </c>
      <c r="T149">
        <v>34.61</v>
      </c>
      <c r="U149">
        <v>36.31</v>
      </c>
      <c r="V149">
        <v>119184.96000000001</v>
      </c>
      <c r="W149">
        <v>2.5399999999790452</v>
      </c>
      <c r="X149">
        <v>119187.49999999999</v>
      </c>
      <c r="Y149">
        <v>0</v>
      </c>
      <c r="Z149">
        <v>119187.49999999999</v>
      </c>
      <c r="AA149">
        <v>500.51136363636761</v>
      </c>
      <c r="AB149">
        <v>119688.01136363635</v>
      </c>
      <c r="AC149">
        <v>0</v>
      </c>
      <c r="AD149">
        <v>119688.01136363635</v>
      </c>
      <c r="AE149">
        <v>0</v>
      </c>
      <c r="AF149">
        <v>119688.01136363635</v>
      </c>
      <c r="AG149">
        <v>0</v>
      </c>
      <c r="AH149">
        <v>119688.01136363635</v>
      </c>
      <c r="AI149">
        <v>500</v>
      </c>
      <c r="AJ149">
        <v>120188.01136363635</v>
      </c>
      <c r="AK149">
        <v>0</v>
      </c>
      <c r="AL149">
        <v>120188.01136363635</v>
      </c>
      <c r="AM149">
        <v>0</v>
      </c>
      <c r="AN149">
        <v>120188.01136363635</v>
      </c>
      <c r="AP149">
        <v>120188.01136363635</v>
      </c>
      <c r="AR149">
        <v>120188.01136363635</v>
      </c>
      <c r="AS149">
        <v>0</v>
      </c>
      <c r="AT149">
        <v>120188.01136363635</v>
      </c>
      <c r="AV149">
        <v>120188.01136363635</v>
      </c>
      <c r="AX149">
        <v>116513.85293307628</v>
      </c>
      <c r="AY149">
        <v>0</v>
      </c>
      <c r="AZ149">
        <v>116513.85293307628</v>
      </c>
      <c r="BA149">
        <v>0</v>
      </c>
      <c r="BB149">
        <v>116513.85293307628</v>
      </c>
      <c r="BC149">
        <v>0</v>
      </c>
      <c r="BD149">
        <v>116513.85293307628</v>
      </c>
      <c r="BE149">
        <v>0</v>
      </c>
      <c r="BF149">
        <v>116513.85293307628</v>
      </c>
      <c r="BG149">
        <v>0</v>
      </c>
      <c r="BH149">
        <v>116513.85293307628</v>
      </c>
      <c r="BI149">
        <v>0</v>
      </c>
      <c r="BJ149">
        <v>116513.85293307628</v>
      </c>
      <c r="BK149">
        <v>116513.85293307628</v>
      </c>
      <c r="BL149">
        <v>4230618</v>
      </c>
      <c r="BN149">
        <v>0.02</v>
      </c>
      <c r="BO149">
        <v>84612</v>
      </c>
      <c r="BP149">
        <v>114183.58578903883</v>
      </c>
      <c r="BQ149">
        <v>4146006</v>
      </c>
      <c r="BR149" s="238" t="s">
        <v>36</v>
      </c>
      <c r="BU149">
        <v>114183.58578903883</v>
      </c>
      <c r="BV149">
        <v>0</v>
      </c>
      <c r="BW149">
        <v>4146006</v>
      </c>
      <c r="BX149" s="238" t="s">
        <v>3540</v>
      </c>
      <c r="BY149" s="238" t="s">
        <v>8963</v>
      </c>
      <c r="BZ149" s="238" t="s">
        <v>8963</v>
      </c>
      <c r="CA149" s="238" t="s">
        <v>8953</v>
      </c>
      <c r="CB149" s="238" t="s">
        <v>8964</v>
      </c>
      <c r="CC149" s="238" t="s">
        <v>9077</v>
      </c>
      <c r="CD149" s="238" t="s">
        <v>8972</v>
      </c>
      <c r="CE149" t="b">
        <v>1</v>
      </c>
      <c r="CF149">
        <v>4230618</v>
      </c>
      <c r="CG149">
        <v>4451381</v>
      </c>
      <c r="CH149">
        <v>4230618</v>
      </c>
      <c r="CI149">
        <v>0</v>
      </c>
      <c r="CJ149">
        <v>0</v>
      </c>
    </row>
    <row r="150" spans="1:88" x14ac:dyDescent="0.25">
      <c r="A150">
        <v>149</v>
      </c>
      <c r="B150">
        <v>2</v>
      </c>
      <c r="C150">
        <v>4</v>
      </c>
      <c r="D150">
        <v>6</v>
      </c>
      <c r="E150">
        <v>3</v>
      </c>
      <c r="F150">
        <v>12.4</v>
      </c>
      <c r="G150">
        <v>11.28</v>
      </c>
      <c r="H150">
        <v>11.28</v>
      </c>
      <c r="I150">
        <v>34.96</v>
      </c>
      <c r="J150">
        <v>17.93</v>
      </c>
      <c r="K150">
        <v>4.67</v>
      </c>
      <c r="L150">
        <v>3.54</v>
      </c>
      <c r="M150">
        <v>9.89</v>
      </c>
      <c r="P150">
        <v>2.79</v>
      </c>
      <c r="Q150">
        <v>3.6</v>
      </c>
      <c r="R150">
        <v>6.3900000000000006</v>
      </c>
      <c r="S150">
        <v>77.38</v>
      </c>
      <c r="T150">
        <v>70.989999999999995</v>
      </c>
      <c r="U150">
        <v>74.19</v>
      </c>
      <c r="V150">
        <v>107221.12</v>
      </c>
      <c r="W150">
        <v>500.87859254046634</v>
      </c>
      <c r="X150">
        <v>107721.99859254046</v>
      </c>
      <c r="Y150">
        <v>0</v>
      </c>
      <c r="Z150">
        <v>107721.99859254046</v>
      </c>
      <c r="AA150">
        <v>0</v>
      </c>
      <c r="AB150">
        <v>107721.99859254046</v>
      </c>
      <c r="AC150">
        <v>0</v>
      </c>
      <c r="AD150">
        <v>107721.99859254046</v>
      </c>
      <c r="AE150">
        <v>500</v>
      </c>
      <c r="AF150">
        <v>108221.99859254046</v>
      </c>
      <c r="AG150">
        <v>0</v>
      </c>
      <c r="AH150">
        <v>108221.99859254046</v>
      </c>
      <c r="AI150">
        <v>0</v>
      </c>
      <c r="AJ150">
        <v>108221.99859254046</v>
      </c>
      <c r="AK150">
        <v>0</v>
      </c>
      <c r="AL150">
        <v>108221.99859254046</v>
      </c>
      <c r="AM150">
        <v>500</v>
      </c>
      <c r="AN150">
        <v>108721.99859254046</v>
      </c>
      <c r="AO150">
        <v>0</v>
      </c>
      <c r="AP150">
        <v>108721.99859254046</v>
      </c>
      <c r="AQ150">
        <v>500</v>
      </c>
      <c r="AR150">
        <v>109221.99859254046</v>
      </c>
      <c r="AS150">
        <v>500</v>
      </c>
      <c r="AT150">
        <v>109721.99859254046</v>
      </c>
      <c r="AV150">
        <v>109721.99859254046</v>
      </c>
      <c r="AW150">
        <v>-1491.4958293648233</v>
      </c>
      <c r="AX150">
        <v>108230.50276317564</v>
      </c>
      <c r="AY150">
        <v>4783.3805095026182</v>
      </c>
      <c r="AZ150">
        <v>113013.88327267826</v>
      </c>
      <c r="BA150">
        <v>0</v>
      </c>
      <c r="BB150">
        <v>113013.88327267826</v>
      </c>
      <c r="BC150">
        <v>0</v>
      </c>
      <c r="BD150">
        <v>113013.88327267826</v>
      </c>
      <c r="BE150">
        <v>0</v>
      </c>
      <c r="BF150">
        <v>113013.88327267826</v>
      </c>
      <c r="BG150">
        <v>2260.3989756031806</v>
      </c>
      <c r="BH150">
        <v>115274.28224828144</v>
      </c>
      <c r="BI150">
        <v>0</v>
      </c>
      <c r="BJ150">
        <v>115274.28224828144</v>
      </c>
      <c r="BK150">
        <v>115274.28224828144</v>
      </c>
      <c r="BL150">
        <v>8552199</v>
      </c>
      <c r="BO150">
        <v>0</v>
      </c>
      <c r="BP150">
        <v>115274.28224828144</v>
      </c>
      <c r="BQ150">
        <v>8552199</v>
      </c>
      <c r="BR150" s="238" t="s">
        <v>36</v>
      </c>
      <c r="BU150">
        <v>115274.28224828144</v>
      </c>
      <c r="BV150">
        <v>0</v>
      </c>
      <c r="BW150">
        <v>8552199</v>
      </c>
      <c r="BX150" s="238"/>
      <c r="BY150" s="238" t="s">
        <v>3</v>
      </c>
      <c r="BZ150" s="238" t="s">
        <v>3</v>
      </c>
      <c r="CA150" s="238" t="s">
        <v>8951</v>
      </c>
      <c r="CB150" s="238" t="s">
        <v>1167</v>
      </c>
      <c r="CC150" s="238" t="s">
        <v>9077</v>
      </c>
      <c r="CD150" s="238" t="s">
        <v>8990</v>
      </c>
      <c r="CE150" t="b">
        <v>1</v>
      </c>
      <c r="CF150">
        <v>8552199</v>
      </c>
      <c r="CG150">
        <v>8552199</v>
      </c>
      <c r="CH150">
        <v>0</v>
      </c>
      <c r="CI150">
        <v>0</v>
      </c>
      <c r="CJ150">
        <v>0</v>
      </c>
    </row>
    <row r="151" spans="1:88" x14ac:dyDescent="0.25">
      <c r="A151">
        <v>150</v>
      </c>
      <c r="B151">
        <v>2</v>
      </c>
      <c r="C151">
        <v>4</v>
      </c>
      <c r="D151">
        <v>7</v>
      </c>
      <c r="E151">
        <v>0</v>
      </c>
      <c r="F151">
        <v>16.989999999999998</v>
      </c>
      <c r="I151">
        <v>16.989999999999998</v>
      </c>
      <c r="J151">
        <v>7.49</v>
      </c>
      <c r="K151">
        <v>4.9400000000000004</v>
      </c>
      <c r="P151">
        <v>3.49</v>
      </c>
      <c r="R151">
        <v>3.49</v>
      </c>
      <c r="S151">
        <v>32.909999999999997</v>
      </c>
      <c r="T151">
        <v>29.42</v>
      </c>
      <c r="U151">
        <v>31.17</v>
      </c>
      <c r="V151">
        <v>138273.04</v>
      </c>
      <c r="W151">
        <v>2.5902521008392796</v>
      </c>
      <c r="X151">
        <v>138275.63025210085</v>
      </c>
      <c r="Y151">
        <v>0</v>
      </c>
      <c r="Z151">
        <v>138275.63025210085</v>
      </c>
      <c r="AA151">
        <v>0</v>
      </c>
      <c r="AB151">
        <v>138275.63025210085</v>
      </c>
      <c r="AC151">
        <v>0</v>
      </c>
      <c r="AD151">
        <v>138275.63025210085</v>
      </c>
      <c r="AE151">
        <v>0</v>
      </c>
      <c r="AF151">
        <v>138275.63025210085</v>
      </c>
      <c r="AG151">
        <v>0</v>
      </c>
      <c r="AH151">
        <v>138275.63025210085</v>
      </c>
      <c r="AI151">
        <v>0</v>
      </c>
      <c r="AJ151">
        <v>138275.63025210085</v>
      </c>
      <c r="AK151">
        <v>0</v>
      </c>
      <c r="AL151">
        <v>138275.63025210085</v>
      </c>
      <c r="AM151">
        <v>0</v>
      </c>
      <c r="AN151">
        <v>138275.63025210085</v>
      </c>
      <c r="AO151">
        <v>0</v>
      </c>
      <c r="AP151">
        <v>138275.63025210085</v>
      </c>
      <c r="AQ151">
        <v>0</v>
      </c>
      <c r="AR151">
        <v>138275.63025210085</v>
      </c>
      <c r="AS151">
        <v>0</v>
      </c>
      <c r="AT151">
        <v>138275.63025210085</v>
      </c>
      <c r="AV151">
        <v>138275.63025210085</v>
      </c>
      <c r="AW151">
        <v>-2339.7303483472497</v>
      </c>
      <c r="AX151">
        <v>135935.8999037536</v>
      </c>
      <c r="AY151">
        <v>6489.5091434071364</v>
      </c>
      <c r="AZ151">
        <v>142425.40904716073</v>
      </c>
      <c r="BA151">
        <v>0</v>
      </c>
      <c r="BB151">
        <v>142425.40904716073</v>
      </c>
      <c r="BC151">
        <v>0</v>
      </c>
      <c r="BD151">
        <v>142425.40904716073</v>
      </c>
      <c r="BE151">
        <v>0</v>
      </c>
      <c r="BF151">
        <v>142425.40904716073</v>
      </c>
      <c r="BG151">
        <v>0</v>
      </c>
      <c r="BH151">
        <v>142425.40904716073</v>
      </c>
      <c r="BI151">
        <v>0</v>
      </c>
      <c r="BJ151">
        <v>142425.40904716073</v>
      </c>
      <c r="BK151">
        <v>142425.40904716073</v>
      </c>
      <c r="BL151">
        <v>4439400</v>
      </c>
      <c r="BO151">
        <v>0</v>
      </c>
      <c r="BP151">
        <v>142425.40904716073</v>
      </c>
      <c r="BQ151">
        <v>4439400</v>
      </c>
      <c r="BR151" s="238" t="s">
        <v>36</v>
      </c>
      <c r="BU151">
        <v>142425.40904716073</v>
      </c>
      <c r="BV151">
        <v>0</v>
      </c>
      <c r="BW151">
        <v>4439400</v>
      </c>
      <c r="BX151" s="238"/>
      <c r="BY151" s="238" t="s">
        <v>3</v>
      </c>
      <c r="BZ151" s="238" t="s">
        <v>3</v>
      </c>
      <c r="CA151" s="238" t="s">
        <v>8951</v>
      </c>
      <c r="CB151" s="238" t="s">
        <v>1167</v>
      </c>
      <c r="CC151" s="238" t="s">
        <v>9077</v>
      </c>
      <c r="CD151" s="238" t="s">
        <v>8970</v>
      </c>
      <c r="CE151" t="b">
        <v>1</v>
      </c>
      <c r="CF151">
        <v>4439400</v>
      </c>
      <c r="CG151">
        <v>4439400</v>
      </c>
      <c r="CH151">
        <v>0</v>
      </c>
      <c r="CI151">
        <v>0</v>
      </c>
      <c r="CJ151">
        <v>0</v>
      </c>
    </row>
    <row r="152" spans="1:88" x14ac:dyDescent="0.25">
      <c r="A152">
        <v>151</v>
      </c>
      <c r="B152">
        <v>2</v>
      </c>
      <c r="C152">
        <v>5</v>
      </c>
      <c r="D152">
        <v>1</v>
      </c>
      <c r="E152">
        <v>0</v>
      </c>
      <c r="F152">
        <v>16.989999999999998</v>
      </c>
      <c r="I152">
        <v>16.989999999999998</v>
      </c>
      <c r="J152">
        <v>7.49</v>
      </c>
      <c r="K152">
        <v>4.91</v>
      </c>
      <c r="P152">
        <v>3.49</v>
      </c>
      <c r="R152">
        <v>3.49</v>
      </c>
      <c r="S152">
        <v>32.880000000000003</v>
      </c>
      <c r="T152">
        <v>29.39</v>
      </c>
      <c r="U152">
        <v>31.14</v>
      </c>
      <c r="V152">
        <v>138273.04</v>
      </c>
      <c r="W152">
        <v>2.5902521008392796</v>
      </c>
      <c r="X152">
        <v>138275.63025210085</v>
      </c>
      <c r="Y152">
        <v>0</v>
      </c>
      <c r="Z152">
        <v>138275.63025210085</v>
      </c>
      <c r="AA152">
        <v>0</v>
      </c>
      <c r="AB152">
        <v>138275.63025210085</v>
      </c>
      <c r="AC152">
        <v>0</v>
      </c>
      <c r="AD152">
        <v>138275.63025210085</v>
      </c>
      <c r="AE152">
        <v>0</v>
      </c>
      <c r="AF152">
        <v>138275.63025210085</v>
      </c>
      <c r="AG152">
        <v>0</v>
      </c>
      <c r="AH152">
        <v>138275.63025210085</v>
      </c>
      <c r="AI152">
        <v>0</v>
      </c>
      <c r="AJ152">
        <v>138275.63025210085</v>
      </c>
      <c r="AK152">
        <v>0</v>
      </c>
      <c r="AL152">
        <v>138275.63025210085</v>
      </c>
      <c r="AM152">
        <v>0</v>
      </c>
      <c r="AN152">
        <v>138275.63025210085</v>
      </c>
      <c r="AO152">
        <v>0</v>
      </c>
      <c r="AP152">
        <v>138275.63025210085</v>
      </c>
      <c r="AQ152">
        <v>0</v>
      </c>
      <c r="AR152">
        <v>138275.63025210085</v>
      </c>
      <c r="AS152">
        <v>0</v>
      </c>
      <c r="AT152">
        <v>138275.63025210085</v>
      </c>
      <c r="AV152">
        <v>138275.63025210085</v>
      </c>
      <c r="AW152">
        <v>-2208.7709072068101</v>
      </c>
      <c r="AX152">
        <v>136066.85934489404</v>
      </c>
      <c r="AY152">
        <v>6357.6750160565134</v>
      </c>
      <c r="AZ152">
        <v>142424.53436095055</v>
      </c>
      <c r="BA152">
        <v>0</v>
      </c>
      <c r="BB152">
        <v>142424.53436095055</v>
      </c>
      <c r="BC152">
        <v>0</v>
      </c>
      <c r="BD152">
        <v>142424.53436095055</v>
      </c>
      <c r="BE152">
        <v>0</v>
      </c>
      <c r="BF152">
        <v>142424.53436095055</v>
      </c>
      <c r="BG152">
        <v>0</v>
      </c>
      <c r="BH152">
        <v>142424.53436095055</v>
      </c>
      <c r="BI152">
        <v>0</v>
      </c>
      <c r="BJ152">
        <v>142424.53436095055</v>
      </c>
      <c r="BK152">
        <v>142424.53436095055</v>
      </c>
      <c r="BL152">
        <v>4435100</v>
      </c>
      <c r="BO152">
        <v>0</v>
      </c>
      <c r="BP152">
        <v>142424.53436095055</v>
      </c>
      <c r="BQ152">
        <v>4435100</v>
      </c>
      <c r="BR152" s="238" t="s">
        <v>36</v>
      </c>
      <c r="BU152">
        <v>142424.53436095055</v>
      </c>
      <c r="BV152">
        <v>0</v>
      </c>
      <c r="BW152">
        <v>4435100</v>
      </c>
      <c r="BX152" s="238"/>
      <c r="BY152" s="238" t="s">
        <v>35</v>
      </c>
      <c r="BZ152" s="238" t="s">
        <v>35</v>
      </c>
      <c r="CA152" s="238" t="s">
        <v>8953</v>
      </c>
      <c r="CB152" s="238" t="s">
        <v>8954</v>
      </c>
      <c r="CC152" s="238" t="s">
        <v>9077</v>
      </c>
      <c r="CD152" s="238" t="s">
        <v>8970</v>
      </c>
      <c r="CE152" t="b">
        <v>1</v>
      </c>
      <c r="CF152">
        <v>4435100</v>
      </c>
      <c r="CG152">
        <v>4435100</v>
      </c>
      <c r="CH152">
        <v>0</v>
      </c>
      <c r="CI152">
        <v>0</v>
      </c>
      <c r="CJ152">
        <v>0</v>
      </c>
    </row>
    <row r="153" spans="1:88" x14ac:dyDescent="0.25">
      <c r="A153">
        <v>152</v>
      </c>
      <c r="B153">
        <v>2</v>
      </c>
      <c r="C153">
        <v>5</v>
      </c>
      <c r="D153">
        <v>2</v>
      </c>
      <c r="E153">
        <v>1</v>
      </c>
      <c r="F153">
        <v>11.31</v>
      </c>
      <c r="I153">
        <v>11.31</v>
      </c>
      <c r="J153">
        <v>16.18</v>
      </c>
      <c r="K153">
        <v>4.1100000000000003</v>
      </c>
      <c r="M153">
        <v>3.01</v>
      </c>
      <c r="P153">
        <v>2.77</v>
      </c>
      <c r="R153">
        <v>2.77</v>
      </c>
      <c r="S153">
        <v>37.380000000000003</v>
      </c>
      <c r="T153">
        <v>34.61</v>
      </c>
      <c r="U153">
        <v>36</v>
      </c>
      <c r="V153">
        <v>119184.96000000001</v>
      </c>
      <c r="W153">
        <v>1.2864183381025214</v>
      </c>
      <c r="X153">
        <v>119186.24641833811</v>
      </c>
      <c r="Y153">
        <v>0</v>
      </c>
      <c r="Z153">
        <v>119186.24641833811</v>
      </c>
      <c r="AA153">
        <v>0</v>
      </c>
      <c r="AB153">
        <v>119186.24641833811</v>
      </c>
      <c r="AC153">
        <v>0</v>
      </c>
      <c r="AD153">
        <v>119186.24641833811</v>
      </c>
      <c r="AE153">
        <v>0</v>
      </c>
      <c r="AF153">
        <v>119186.24641833811</v>
      </c>
      <c r="AG153">
        <v>0</v>
      </c>
      <c r="AH153">
        <v>119186.24641833811</v>
      </c>
      <c r="AI153">
        <v>0</v>
      </c>
      <c r="AJ153">
        <v>119186.24641833811</v>
      </c>
      <c r="AK153">
        <v>0</v>
      </c>
      <c r="AL153">
        <v>119186.24641833811</v>
      </c>
      <c r="AM153">
        <v>0</v>
      </c>
      <c r="AN153">
        <v>119186.24641833811</v>
      </c>
      <c r="AO153">
        <v>0</v>
      </c>
      <c r="AP153">
        <v>119186.24641833811</v>
      </c>
      <c r="AQ153">
        <v>0</v>
      </c>
      <c r="AR153">
        <v>119186.24641833811</v>
      </c>
      <c r="AS153">
        <v>0</v>
      </c>
      <c r="AT153">
        <v>119186.24641833811</v>
      </c>
      <c r="AV153">
        <v>119186.24641833811</v>
      </c>
      <c r="AX153">
        <v>115544.44444444444</v>
      </c>
      <c r="AY153">
        <v>0</v>
      </c>
      <c r="AZ153">
        <v>115544.44444444444</v>
      </c>
      <c r="BA153">
        <v>0</v>
      </c>
      <c r="BB153">
        <v>115544.44444444444</v>
      </c>
      <c r="BC153">
        <v>0</v>
      </c>
      <c r="BD153">
        <v>115544.44444444444</v>
      </c>
      <c r="BE153">
        <v>0</v>
      </c>
      <c r="BF153">
        <v>115544.44444444444</v>
      </c>
      <c r="BG153">
        <v>0</v>
      </c>
      <c r="BH153">
        <v>115544.44444444444</v>
      </c>
      <c r="BI153">
        <v>0</v>
      </c>
      <c r="BJ153">
        <v>115544.44444444444</v>
      </c>
      <c r="BK153">
        <v>115544.44444444444</v>
      </c>
      <c r="BL153">
        <v>4159600</v>
      </c>
      <c r="BO153">
        <v>0</v>
      </c>
      <c r="BP153">
        <v>115544.44444444444</v>
      </c>
      <c r="BQ153">
        <v>4159600</v>
      </c>
      <c r="BR153" s="238" t="s">
        <v>36</v>
      </c>
      <c r="BU153">
        <v>115544.44444444444</v>
      </c>
      <c r="BV153">
        <v>0</v>
      </c>
      <c r="BW153">
        <v>4159600</v>
      </c>
      <c r="BX153" s="238"/>
      <c r="BY153" s="238" t="s">
        <v>8963</v>
      </c>
      <c r="BZ153" s="238" t="s">
        <v>8963</v>
      </c>
      <c r="CA153" s="238" t="s">
        <v>8953</v>
      </c>
      <c r="CB153" s="238" t="s">
        <v>8964</v>
      </c>
      <c r="CC153" s="238" t="s">
        <v>9077</v>
      </c>
      <c r="CD153" s="238" t="s">
        <v>8972</v>
      </c>
      <c r="CE153" t="b">
        <v>1</v>
      </c>
      <c r="CF153">
        <v>4159600</v>
      </c>
      <c r="CG153">
        <v>4376620</v>
      </c>
      <c r="CH153">
        <v>4159600</v>
      </c>
      <c r="CI153">
        <v>0</v>
      </c>
      <c r="CJ153">
        <v>0</v>
      </c>
    </row>
    <row r="154" spans="1:88" x14ac:dyDescent="0.25">
      <c r="A154">
        <v>153</v>
      </c>
      <c r="B154">
        <v>2</v>
      </c>
      <c r="C154">
        <v>5</v>
      </c>
      <c r="D154">
        <v>3</v>
      </c>
      <c r="E154">
        <v>1</v>
      </c>
      <c r="F154">
        <v>15.45</v>
      </c>
      <c r="I154">
        <v>15.45</v>
      </c>
      <c r="J154">
        <v>17.71</v>
      </c>
      <c r="K154">
        <v>4.01</v>
      </c>
      <c r="M154">
        <v>5.04</v>
      </c>
      <c r="P154">
        <v>3.84</v>
      </c>
      <c r="R154">
        <v>3.84</v>
      </c>
      <c r="S154">
        <v>46.05</v>
      </c>
      <c r="T154">
        <v>42.21</v>
      </c>
      <c r="U154">
        <v>44.13</v>
      </c>
      <c r="V154">
        <v>119184.96000000001</v>
      </c>
      <c r="W154">
        <v>0.22518518517608754</v>
      </c>
      <c r="X154">
        <v>119185.18518518518</v>
      </c>
      <c r="Y154">
        <v>0</v>
      </c>
      <c r="Z154">
        <v>119185.18518518518</v>
      </c>
      <c r="AA154">
        <v>0</v>
      </c>
      <c r="AB154">
        <v>119185.18518518518</v>
      </c>
      <c r="AC154">
        <v>0</v>
      </c>
      <c r="AD154">
        <v>119185.18518518518</v>
      </c>
      <c r="AE154">
        <v>0</v>
      </c>
      <c r="AF154">
        <v>119185.18518518518</v>
      </c>
      <c r="AG154">
        <v>0</v>
      </c>
      <c r="AH154">
        <v>119185.18518518518</v>
      </c>
      <c r="AI154">
        <v>0</v>
      </c>
      <c r="AJ154">
        <v>119185.18518518518</v>
      </c>
      <c r="AK154">
        <v>0</v>
      </c>
      <c r="AL154">
        <v>119185.18518518518</v>
      </c>
      <c r="AM154">
        <v>0</v>
      </c>
      <c r="AN154">
        <v>119185.18518518518</v>
      </c>
      <c r="AO154">
        <v>0</v>
      </c>
      <c r="AP154">
        <v>119185.18518518518</v>
      </c>
      <c r="AQ154">
        <v>0</v>
      </c>
      <c r="AR154">
        <v>119185.18518518518</v>
      </c>
      <c r="AS154">
        <v>0</v>
      </c>
      <c r="AT154">
        <v>119185.18518518518</v>
      </c>
      <c r="AV154">
        <v>119185.18518518518</v>
      </c>
      <c r="AW154">
        <v>988.30223833622586</v>
      </c>
      <c r="AX154">
        <v>120173.48742352141</v>
      </c>
      <c r="AY154">
        <v>2588.8058010423701</v>
      </c>
      <c r="AZ154">
        <v>122762.29322456378</v>
      </c>
      <c r="BA154">
        <v>0</v>
      </c>
      <c r="BB154">
        <v>122762.29322456378</v>
      </c>
      <c r="BC154">
        <v>0</v>
      </c>
      <c r="BD154">
        <v>122762.29322456378</v>
      </c>
      <c r="BE154">
        <v>0</v>
      </c>
      <c r="BF154">
        <v>122762.29322456378</v>
      </c>
      <c r="BG154">
        <v>2454.9512803081889</v>
      </c>
      <c r="BH154">
        <v>125217.24450487195</v>
      </c>
      <c r="BI154">
        <v>0</v>
      </c>
      <c r="BJ154">
        <v>125217.24450487195</v>
      </c>
      <c r="BK154">
        <v>125217.24450487197</v>
      </c>
      <c r="BL154">
        <v>5525837</v>
      </c>
      <c r="BO154">
        <v>0</v>
      </c>
      <c r="BP154">
        <v>125217.24450487197</v>
      </c>
      <c r="BQ154">
        <v>5525837</v>
      </c>
      <c r="BR154" s="238" t="s">
        <v>36</v>
      </c>
      <c r="BU154">
        <v>125217.24450487197</v>
      </c>
      <c r="BV154">
        <v>0</v>
      </c>
      <c r="BW154">
        <v>5525837</v>
      </c>
      <c r="BX154" s="238"/>
      <c r="BY154" s="238" t="s">
        <v>3</v>
      </c>
      <c r="BZ154" s="238" t="s">
        <v>3</v>
      </c>
      <c r="CA154" s="238" t="s">
        <v>8951</v>
      </c>
      <c r="CB154" s="238" t="s">
        <v>1167</v>
      </c>
      <c r="CC154" s="238" t="s">
        <v>9077</v>
      </c>
      <c r="CD154" s="238" t="s">
        <v>8972</v>
      </c>
      <c r="CE154" t="b">
        <v>1</v>
      </c>
      <c r="CF154">
        <v>5525837</v>
      </c>
      <c r="CG154">
        <v>5525837</v>
      </c>
      <c r="CH154">
        <v>0</v>
      </c>
      <c r="CI154">
        <v>0</v>
      </c>
      <c r="CJ154">
        <v>0</v>
      </c>
    </row>
    <row r="155" spans="1:88" x14ac:dyDescent="0.25">
      <c r="A155">
        <v>154</v>
      </c>
      <c r="B155">
        <v>2</v>
      </c>
      <c r="C155">
        <v>5</v>
      </c>
      <c r="D155">
        <v>4</v>
      </c>
      <c r="E155">
        <v>1</v>
      </c>
      <c r="F155">
        <v>10.59</v>
      </c>
      <c r="I155">
        <v>10.59</v>
      </c>
      <c r="J155">
        <v>15.69</v>
      </c>
      <c r="K155">
        <v>3.94</v>
      </c>
      <c r="M155">
        <v>4.4400000000000004</v>
      </c>
      <c r="P155">
        <v>3.45</v>
      </c>
      <c r="R155">
        <v>3.45</v>
      </c>
      <c r="S155">
        <v>38.11</v>
      </c>
      <c r="T155">
        <v>34.659999999999997</v>
      </c>
      <c r="U155">
        <v>36.39</v>
      </c>
      <c r="V155">
        <v>118016.48</v>
      </c>
      <c r="W155">
        <v>0.51716713882342447</v>
      </c>
      <c r="X155">
        <v>118016.99716713882</v>
      </c>
      <c r="Y155">
        <v>0</v>
      </c>
      <c r="Z155">
        <v>118016.99716713882</v>
      </c>
      <c r="AA155">
        <v>0</v>
      </c>
      <c r="AB155">
        <v>118016.99716713882</v>
      </c>
      <c r="AC155">
        <v>500</v>
      </c>
      <c r="AD155">
        <v>118516.99716713882</v>
      </c>
      <c r="AE155">
        <v>0</v>
      </c>
      <c r="AF155">
        <v>118516.99716713882</v>
      </c>
      <c r="AG155">
        <v>500</v>
      </c>
      <c r="AH155">
        <v>119016.99716713882</v>
      </c>
      <c r="AI155">
        <v>500</v>
      </c>
      <c r="AJ155">
        <v>119516.99716713882</v>
      </c>
      <c r="AL155">
        <v>120016.99716713882</v>
      </c>
      <c r="AM155">
        <v>0</v>
      </c>
      <c r="AN155">
        <v>120016.99716713882</v>
      </c>
      <c r="AP155">
        <v>119516.99716713882</v>
      </c>
      <c r="AQ155">
        <v>0</v>
      </c>
      <c r="AR155">
        <v>119516.99716713882</v>
      </c>
      <c r="AS155">
        <v>1000</v>
      </c>
      <c r="AT155">
        <v>120516.99716713882</v>
      </c>
      <c r="AV155">
        <v>120516.99716713882</v>
      </c>
      <c r="AX155">
        <v>121413.49271777961</v>
      </c>
      <c r="AY155">
        <v>3750.0137400384701</v>
      </c>
      <c r="AZ155">
        <v>125163.50645781808</v>
      </c>
      <c r="BA155">
        <v>-9226.4358340203325</v>
      </c>
      <c r="BB155">
        <v>115937.07062379774</v>
      </c>
      <c r="BC155">
        <v>0</v>
      </c>
      <c r="BD155">
        <v>115937.07062379774</v>
      </c>
      <c r="BE155">
        <v>0</v>
      </c>
      <c r="BF155">
        <v>115937.07062379774</v>
      </c>
      <c r="BG155">
        <v>0</v>
      </c>
      <c r="BH155">
        <v>115937.07062379774</v>
      </c>
      <c r="BI155">
        <v>0</v>
      </c>
      <c r="BJ155">
        <v>115937.07062379774</v>
      </c>
      <c r="BK155">
        <v>115937.07062379774</v>
      </c>
      <c r="BL155">
        <v>4218950</v>
      </c>
      <c r="BO155">
        <v>0</v>
      </c>
      <c r="BP155">
        <v>115937.07062379774</v>
      </c>
      <c r="BQ155">
        <v>4218950</v>
      </c>
      <c r="BR155" s="238" t="s">
        <v>36</v>
      </c>
      <c r="BU155">
        <v>115937.07062379774</v>
      </c>
      <c r="BV155">
        <v>0</v>
      </c>
      <c r="BW155">
        <v>4218950</v>
      </c>
      <c r="BX155" s="238"/>
      <c r="BY155" s="238" t="s">
        <v>8956</v>
      </c>
      <c r="BZ155" s="238" t="s">
        <v>8956</v>
      </c>
      <c r="CA155" s="238" t="s">
        <v>8953</v>
      </c>
      <c r="CB155" s="238" t="s">
        <v>8957</v>
      </c>
      <c r="CC155" s="238" t="s">
        <v>9077</v>
      </c>
      <c r="CD155" s="238" t="s">
        <v>8972</v>
      </c>
      <c r="CE155" t="b">
        <v>1</v>
      </c>
      <c r="CF155">
        <v>4719674</v>
      </c>
      <c r="CG155">
        <v>4719674</v>
      </c>
      <c r="CH155">
        <v>0</v>
      </c>
      <c r="CI155">
        <v>0</v>
      </c>
      <c r="CJ155">
        <v>500724</v>
      </c>
    </row>
    <row r="156" spans="1:88" x14ac:dyDescent="0.25">
      <c r="A156">
        <v>155</v>
      </c>
      <c r="B156">
        <v>2</v>
      </c>
      <c r="C156">
        <v>5</v>
      </c>
      <c r="D156">
        <v>5</v>
      </c>
      <c r="E156">
        <v>1</v>
      </c>
      <c r="F156">
        <v>10.59</v>
      </c>
      <c r="I156">
        <v>10.59</v>
      </c>
      <c r="J156">
        <v>15.69</v>
      </c>
      <c r="K156">
        <v>3.89</v>
      </c>
      <c r="M156">
        <v>4.4400000000000004</v>
      </c>
      <c r="P156">
        <v>3.39</v>
      </c>
      <c r="R156">
        <v>3.39</v>
      </c>
      <c r="S156">
        <v>38</v>
      </c>
      <c r="T156">
        <v>34.61</v>
      </c>
      <c r="U156">
        <v>36.31</v>
      </c>
      <c r="V156">
        <v>118016.48</v>
      </c>
      <c r="W156">
        <v>0.56545454544539098</v>
      </c>
      <c r="X156">
        <v>118017.04545454544</v>
      </c>
      <c r="Y156">
        <v>0</v>
      </c>
      <c r="Z156">
        <v>118017.04545454544</v>
      </c>
      <c r="AA156">
        <v>499.94318181819108</v>
      </c>
      <c r="AB156">
        <v>118516.98863636363</v>
      </c>
      <c r="AC156">
        <v>0</v>
      </c>
      <c r="AD156">
        <v>118516.98863636363</v>
      </c>
      <c r="AE156">
        <v>0</v>
      </c>
      <c r="AF156">
        <v>118516.98863636363</v>
      </c>
      <c r="AG156">
        <v>0</v>
      </c>
      <c r="AH156">
        <v>118516.98863636363</v>
      </c>
      <c r="AI156">
        <v>500</v>
      </c>
      <c r="AJ156">
        <v>119016.98863636363</v>
      </c>
      <c r="AK156">
        <v>0</v>
      </c>
      <c r="AL156">
        <v>119016.98863636363</v>
      </c>
      <c r="AM156">
        <v>0</v>
      </c>
      <c r="AN156">
        <v>119016.98863636363</v>
      </c>
      <c r="AP156">
        <v>119016.98863636363</v>
      </c>
      <c r="AQ156">
        <v>0</v>
      </c>
      <c r="AR156">
        <v>119016.98863636363</v>
      </c>
      <c r="AS156">
        <v>0</v>
      </c>
      <c r="AT156">
        <v>119016.98863636363</v>
      </c>
      <c r="AV156">
        <v>119016.98863636363</v>
      </c>
      <c r="AX156">
        <v>115378.62847700357</v>
      </c>
      <c r="AY156">
        <v>0</v>
      </c>
      <c r="AZ156">
        <v>115378.62847700357</v>
      </c>
      <c r="BA156">
        <v>0</v>
      </c>
      <c r="BB156">
        <v>115378.62847700357</v>
      </c>
      <c r="BC156">
        <v>0</v>
      </c>
      <c r="BD156">
        <v>115378.62847700357</v>
      </c>
      <c r="BE156">
        <v>0</v>
      </c>
      <c r="BF156">
        <v>115378.62847700357</v>
      </c>
      <c r="BG156">
        <v>0</v>
      </c>
      <c r="BH156">
        <v>115378.62847700356</v>
      </c>
      <c r="BI156">
        <v>0</v>
      </c>
      <c r="BJ156">
        <v>115378.62847700356</v>
      </c>
      <c r="BK156">
        <v>115378.62847700357</v>
      </c>
      <c r="BL156">
        <v>4189398</v>
      </c>
      <c r="BO156">
        <v>0</v>
      </c>
      <c r="BP156">
        <v>115378.62847700357</v>
      </c>
      <c r="BQ156">
        <v>4189398</v>
      </c>
      <c r="BR156" s="238" t="s">
        <v>36</v>
      </c>
      <c r="BU156">
        <v>115378.62847700357</v>
      </c>
      <c r="BV156">
        <v>0</v>
      </c>
      <c r="BW156">
        <v>4189398</v>
      </c>
      <c r="BX156" s="238"/>
      <c r="BY156" s="238" t="s">
        <v>8963</v>
      </c>
      <c r="BZ156" s="238" t="s">
        <v>8963</v>
      </c>
      <c r="CA156" s="238" t="s">
        <v>8953</v>
      </c>
      <c r="CB156" s="238" t="s">
        <v>8964</v>
      </c>
      <c r="CC156" s="238" t="s">
        <v>9077</v>
      </c>
      <c r="CD156" s="238" t="s">
        <v>8972</v>
      </c>
      <c r="CE156" t="b">
        <v>1</v>
      </c>
      <c r="CF156">
        <v>4189398</v>
      </c>
      <c r="CG156">
        <v>4408049</v>
      </c>
      <c r="CH156">
        <v>4189398</v>
      </c>
      <c r="CI156">
        <v>4189398</v>
      </c>
      <c r="CJ156">
        <v>0</v>
      </c>
    </row>
    <row r="157" spans="1:88" x14ac:dyDescent="0.25">
      <c r="A157">
        <v>156</v>
      </c>
      <c r="B157">
        <v>2</v>
      </c>
      <c r="C157">
        <v>5</v>
      </c>
      <c r="D157">
        <v>6</v>
      </c>
      <c r="E157">
        <v>3</v>
      </c>
      <c r="F157">
        <v>12.4</v>
      </c>
      <c r="G157">
        <v>11.28</v>
      </c>
      <c r="H157">
        <v>11.28</v>
      </c>
      <c r="I157">
        <v>34.96</v>
      </c>
      <c r="J157">
        <v>17.93</v>
      </c>
      <c r="K157">
        <v>4.67</v>
      </c>
      <c r="L157">
        <v>3.54</v>
      </c>
      <c r="M157">
        <v>9.89</v>
      </c>
      <c r="P157">
        <v>2.79</v>
      </c>
      <c r="Q157">
        <v>3.6</v>
      </c>
      <c r="R157">
        <v>6.3900000000000006</v>
      </c>
      <c r="S157">
        <v>77.38</v>
      </c>
      <c r="T157">
        <v>70.989999999999995</v>
      </c>
      <c r="U157">
        <v>74.19</v>
      </c>
      <c r="V157">
        <v>104186.56</v>
      </c>
      <c r="W157">
        <v>0.63211822661105543</v>
      </c>
      <c r="X157">
        <v>104187.19211822661</v>
      </c>
      <c r="Y157">
        <v>0</v>
      </c>
      <c r="Z157">
        <v>104187.19211822661</v>
      </c>
      <c r="AA157">
        <v>499.80295566501445</v>
      </c>
      <c r="AB157">
        <v>104686.99507389162</v>
      </c>
      <c r="AC157">
        <v>0</v>
      </c>
      <c r="AD157">
        <v>104686.99507389162</v>
      </c>
      <c r="AF157">
        <v>105186.99507389162</v>
      </c>
      <c r="AG157">
        <v>0</v>
      </c>
      <c r="AH157">
        <v>105186.99507389162</v>
      </c>
      <c r="AI157">
        <v>0</v>
      </c>
      <c r="AJ157">
        <v>105186.99507389162</v>
      </c>
      <c r="AK157">
        <v>0</v>
      </c>
      <c r="AL157">
        <v>105186.99507389162</v>
      </c>
      <c r="AN157">
        <v>105686.99507389162</v>
      </c>
      <c r="AP157">
        <v>104187.19211822661</v>
      </c>
      <c r="AR157">
        <v>104187.19211822661</v>
      </c>
      <c r="AS157">
        <v>0</v>
      </c>
      <c r="AT157">
        <v>104187.19211822661</v>
      </c>
      <c r="AV157">
        <v>104187.19211822661</v>
      </c>
      <c r="AX157">
        <v>99777.598059037613</v>
      </c>
      <c r="AY157">
        <v>0</v>
      </c>
      <c r="AZ157">
        <v>99777.598059037613</v>
      </c>
      <c r="BA157">
        <v>0</v>
      </c>
      <c r="BB157">
        <v>99777.598059037613</v>
      </c>
      <c r="BC157">
        <v>0</v>
      </c>
      <c r="BD157">
        <v>99777.598059037613</v>
      </c>
      <c r="BE157">
        <v>0</v>
      </c>
      <c r="BF157">
        <v>99777.598059037613</v>
      </c>
      <c r="BG157">
        <v>0</v>
      </c>
      <c r="BH157">
        <v>99777.598059037613</v>
      </c>
      <c r="BI157">
        <v>0</v>
      </c>
      <c r="BJ157">
        <v>99777.598059037613</v>
      </c>
      <c r="BK157">
        <v>99777.598059037613</v>
      </c>
      <c r="BL157">
        <v>7402500</v>
      </c>
      <c r="BO157">
        <v>0</v>
      </c>
      <c r="BP157">
        <v>99777.598059037613</v>
      </c>
      <c r="BQ157">
        <v>7402500</v>
      </c>
      <c r="BR157" s="238" t="s">
        <v>36</v>
      </c>
      <c r="BU157">
        <v>99777.598059037613</v>
      </c>
      <c r="BV157">
        <v>0</v>
      </c>
      <c r="BW157">
        <v>7402500</v>
      </c>
      <c r="BX157" s="238"/>
      <c r="BY157" s="238" t="s">
        <v>8963</v>
      </c>
      <c r="BZ157" s="238" t="s">
        <v>8963</v>
      </c>
      <c r="CA157" s="238" t="s">
        <v>8953</v>
      </c>
      <c r="CB157" s="238" t="s">
        <v>8964</v>
      </c>
      <c r="CC157" s="238" t="s">
        <v>9077</v>
      </c>
      <c r="CD157" s="238" t="s">
        <v>8990</v>
      </c>
      <c r="CE157" t="b">
        <v>1</v>
      </c>
      <c r="CF157">
        <v>7402500</v>
      </c>
      <c r="CG157">
        <v>7884302</v>
      </c>
      <c r="CH157">
        <v>7402500</v>
      </c>
      <c r="CI157">
        <v>7402500</v>
      </c>
      <c r="CJ157">
        <v>0</v>
      </c>
    </row>
    <row r="158" spans="1:88" x14ac:dyDescent="0.25">
      <c r="A158">
        <v>157</v>
      </c>
      <c r="B158">
        <v>2</v>
      </c>
      <c r="C158">
        <v>5</v>
      </c>
      <c r="D158">
        <v>7</v>
      </c>
      <c r="E158">
        <v>0</v>
      </c>
      <c r="F158">
        <v>16.989999999999998</v>
      </c>
      <c r="I158">
        <v>16.989999999999998</v>
      </c>
      <c r="J158">
        <v>7.49</v>
      </c>
      <c r="K158">
        <v>4.9400000000000004</v>
      </c>
      <c r="P158">
        <v>3.49</v>
      </c>
      <c r="R158">
        <v>3.49</v>
      </c>
      <c r="S158">
        <v>32.909999999999997</v>
      </c>
      <c r="T158">
        <v>29.42</v>
      </c>
      <c r="U158">
        <v>31.17</v>
      </c>
      <c r="V158">
        <v>138273.04</v>
      </c>
      <c r="W158">
        <v>2.5902521008392796</v>
      </c>
      <c r="X158">
        <v>138275.63025210085</v>
      </c>
      <c r="Y158">
        <v>0</v>
      </c>
      <c r="Z158">
        <v>138275.63025210085</v>
      </c>
      <c r="AA158">
        <v>0</v>
      </c>
      <c r="AB158">
        <v>138275.63025210085</v>
      </c>
      <c r="AC158">
        <v>0</v>
      </c>
      <c r="AD158">
        <v>138275.63025210085</v>
      </c>
      <c r="AE158">
        <v>0</v>
      </c>
      <c r="AF158">
        <v>138275.63025210085</v>
      </c>
      <c r="AG158">
        <v>0</v>
      </c>
      <c r="AH158">
        <v>138275.63025210085</v>
      </c>
      <c r="AI158">
        <v>0</v>
      </c>
      <c r="AJ158">
        <v>138275.63025210085</v>
      </c>
      <c r="AK158">
        <v>0</v>
      </c>
      <c r="AL158">
        <v>138275.63025210085</v>
      </c>
      <c r="AM158">
        <v>0</v>
      </c>
      <c r="AN158">
        <v>138275.63025210085</v>
      </c>
      <c r="AO158">
        <v>0</v>
      </c>
      <c r="AP158">
        <v>138275.63025210085</v>
      </c>
      <c r="AQ158">
        <v>0</v>
      </c>
      <c r="AR158">
        <v>138275.63025210085</v>
      </c>
      <c r="AS158">
        <v>0</v>
      </c>
      <c r="AT158">
        <v>138275.63025210085</v>
      </c>
      <c r="AV158">
        <v>138275.63025210085</v>
      </c>
      <c r="AW158">
        <v>-2339.7303483472497</v>
      </c>
      <c r="AX158">
        <v>135935.8999037536</v>
      </c>
      <c r="AY158">
        <v>6489.5091434071364</v>
      </c>
      <c r="AZ158">
        <v>142425.40904716073</v>
      </c>
      <c r="BA158">
        <v>0</v>
      </c>
      <c r="BB158">
        <v>142425.40904716073</v>
      </c>
      <c r="BC158">
        <v>0</v>
      </c>
      <c r="BD158">
        <v>142425.40904716073</v>
      </c>
      <c r="BE158">
        <v>0</v>
      </c>
      <c r="BF158">
        <v>142425.40904716073</v>
      </c>
      <c r="BG158">
        <v>0</v>
      </c>
      <c r="BH158">
        <v>142425.40904716073</v>
      </c>
      <c r="BI158">
        <v>0</v>
      </c>
      <c r="BJ158">
        <v>142425.40904716073</v>
      </c>
      <c r="BK158">
        <v>142425.40904716073</v>
      </c>
      <c r="BL158">
        <v>4439400</v>
      </c>
      <c r="BO158">
        <v>0</v>
      </c>
      <c r="BP158">
        <v>142425.40904716073</v>
      </c>
      <c r="BQ158">
        <v>4439400</v>
      </c>
      <c r="BR158" s="238" t="s">
        <v>36</v>
      </c>
      <c r="BU158">
        <v>142425.40904716073</v>
      </c>
      <c r="BV158">
        <v>0</v>
      </c>
      <c r="BW158">
        <v>4439400</v>
      </c>
      <c r="BX158" s="238"/>
      <c r="BY158" s="238" t="s">
        <v>3</v>
      </c>
      <c r="BZ158" s="238" t="s">
        <v>3</v>
      </c>
      <c r="CA158" s="238" t="s">
        <v>8951</v>
      </c>
      <c r="CB158" s="238" t="s">
        <v>1167</v>
      </c>
      <c r="CC158" s="238" t="s">
        <v>9077</v>
      </c>
      <c r="CD158" s="238" t="s">
        <v>8970</v>
      </c>
      <c r="CE158" t="b">
        <v>1</v>
      </c>
      <c r="CF158">
        <v>4439400</v>
      </c>
      <c r="CG158">
        <v>4439400</v>
      </c>
      <c r="CH158">
        <v>0</v>
      </c>
      <c r="CI158">
        <v>0</v>
      </c>
      <c r="CJ158">
        <v>0</v>
      </c>
    </row>
    <row r="159" spans="1:88" x14ac:dyDescent="0.25">
      <c r="A159">
        <v>158</v>
      </c>
      <c r="B159">
        <v>2</v>
      </c>
      <c r="C159">
        <v>6</v>
      </c>
      <c r="D159">
        <v>1</v>
      </c>
      <c r="E159">
        <v>0</v>
      </c>
      <c r="F159">
        <v>16.989999999999998</v>
      </c>
      <c r="I159">
        <v>16.989999999999998</v>
      </c>
      <c r="J159">
        <v>7.49</v>
      </c>
      <c r="K159">
        <v>4.91</v>
      </c>
      <c r="P159">
        <v>3.49</v>
      </c>
      <c r="R159">
        <v>3.49</v>
      </c>
      <c r="S159">
        <v>32.880000000000003</v>
      </c>
      <c r="T159">
        <v>29.39</v>
      </c>
      <c r="U159">
        <v>31.14</v>
      </c>
      <c r="V159">
        <v>138273.04</v>
      </c>
      <c r="W159">
        <v>2.5902521008392796</v>
      </c>
      <c r="X159">
        <v>138275.63025210085</v>
      </c>
      <c r="Y159">
        <v>0</v>
      </c>
      <c r="Z159">
        <v>138275.63025210085</v>
      </c>
      <c r="AA159">
        <v>0</v>
      </c>
      <c r="AB159">
        <v>138275.63025210085</v>
      </c>
      <c r="AC159">
        <v>0</v>
      </c>
      <c r="AD159">
        <v>138275.63025210085</v>
      </c>
      <c r="AE159">
        <v>0</v>
      </c>
      <c r="AF159">
        <v>138275.63025210085</v>
      </c>
      <c r="AG159">
        <v>0</v>
      </c>
      <c r="AH159">
        <v>138275.63025210085</v>
      </c>
      <c r="AI159">
        <v>0</v>
      </c>
      <c r="AJ159">
        <v>138275.63025210085</v>
      </c>
      <c r="AK159">
        <v>0</v>
      </c>
      <c r="AL159">
        <v>138275.63025210085</v>
      </c>
      <c r="AM159">
        <v>0</v>
      </c>
      <c r="AN159">
        <v>138275.63025210085</v>
      </c>
      <c r="AO159">
        <v>0</v>
      </c>
      <c r="AP159">
        <v>138275.63025210085</v>
      </c>
      <c r="AQ159">
        <v>0</v>
      </c>
      <c r="AR159">
        <v>138275.63025210085</v>
      </c>
      <c r="AS159">
        <v>0</v>
      </c>
      <c r="AT159">
        <v>138275.63025210085</v>
      </c>
      <c r="AV159">
        <v>138275.63025210085</v>
      </c>
      <c r="AW159">
        <v>-2208.7709072068101</v>
      </c>
      <c r="AX159">
        <v>136066.85934489404</v>
      </c>
      <c r="AY159">
        <v>6357.6750160565134</v>
      </c>
      <c r="AZ159">
        <v>142424.53436095055</v>
      </c>
      <c r="BA159">
        <v>0</v>
      </c>
      <c r="BB159">
        <v>142424.53436095055</v>
      </c>
      <c r="BC159">
        <v>0</v>
      </c>
      <c r="BD159">
        <v>142424.53436095055</v>
      </c>
      <c r="BE159">
        <v>0</v>
      </c>
      <c r="BF159">
        <v>142424.53436095055</v>
      </c>
      <c r="BG159">
        <v>0</v>
      </c>
      <c r="BH159">
        <v>142424.53436095055</v>
      </c>
      <c r="BI159">
        <v>0</v>
      </c>
      <c r="BJ159">
        <v>142424.53436095055</v>
      </c>
      <c r="BK159">
        <v>142424.53436095055</v>
      </c>
      <c r="BL159">
        <v>4435100</v>
      </c>
      <c r="BO159">
        <v>0</v>
      </c>
      <c r="BP159">
        <v>142424.53436095055</v>
      </c>
      <c r="BQ159">
        <v>4435100</v>
      </c>
      <c r="BR159" s="238" t="s">
        <v>36</v>
      </c>
      <c r="BU159">
        <v>142424.53436095055</v>
      </c>
      <c r="BV159">
        <v>0</v>
      </c>
      <c r="BW159">
        <v>4435100</v>
      </c>
      <c r="BX159" s="238"/>
      <c r="BY159" s="238" t="s">
        <v>35</v>
      </c>
      <c r="BZ159" s="238" t="s">
        <v>35</v>
      </c>
      <c r="CA159" s="238" t="s">
        <v>8953</v>
      </c>
      <c r="CB159" s="238" t="s">
        <v>8954</v>
      </c>
      <c r="CC159" s="238" t="s">
        <v>9077</v>
      </c>
      <c r="CD159" s="238" t="s">
        <v>8970</v>
      </c>
      <c r="CE159" t="b">
        <v>1</v>
      </c>
      <c r="CF159">
        <v>4435100</v>
      </c>
      <c r="CG159">
        <v>4435100</v>
      </c>
      <c r="CH159">
        <v>0</v>
      </c>
      <c r="CI159">
        <v>0</v>
      </c>
      <c r="CJ159">
        <v>0</v>
      </c>
    </row>
    <row r="160" spans="1:88" x14ac:dyDescent="0.25">
      <c r="A160">
        <v>159</v>
      </c>
      <c r="B160">
        <v>2</v>
      </c>
      <c r="C160">
        <v>6</v>
      </c>
      <c r="D160">
        <v>2</v>
      </c>
      <c r="E160">
        <v>1</v>
      </c>
      <c r="F160">
        <v>11.31</v>
      </c>
      <c r="I160">
        <v>11.31</v>
      </c>
      <c r="J160">
        <v>16.18</v>
      </c>
      <c r="K160">
        <v>4.1100000000000003</v>
      </c>
      <c r="M160">
        <v>3.01</v>
      </c>
      <c r="P160">
        <v>2.77</v>
      </c>
      <c r="R160">
        <v>2.77</v>
      </c>
      <c r="S160">
        <v>37.380000000000003</v>
      </c>
      <c r="T160">
        <v>34.61</v>
      </c>
      <c r="U160">
        <v>36</v>
      </c>
      <c r="V160">
        <v>119184.96000000001</v>
      </c>
      <c r="W160">
        <v>1.2864183381025214</v>
      </c>
      <c r="X160">
        <v>119186.24641833811</v>
      </c>
      <c r="Y160">
        <v>0</v>
      </c>
      <c r="Z160">
        <v>119186.24641833811</v>
      </c>
      <c r="AA160">
        <v>0</v>
      </c>
      <c r="AB160">
        <v>119186.24641833811</v>
      </c>
      <c r="AC160">
        <v>0</v>
      </c>
      <c r="AD160">
        <v>119186.24641833811</v>
      </c>
      <c r="AE160">
        <v>0</v>
      </c>
      <c r="AF160">
        <v>119186.24641833811</v>
      </c>
      <c r="AG160">
        <v>0</v>
      </c>
      <c r="AH160">
        <v>119186.24641833811</v>
      </c>
      <c r="AI160">
        <v>0</v>
      </c>
      <c r="AJ160">
        <v>119186.24641833811</v>
      </c>
      <c r="AK160">
        <v>0</v>
      </c>
      <c r="AL160">
        <v>119186.24641833811</v>
      </c>
      <c r="AM160">
        <v>0</v>
      </c>
      <c r="AN160">
        <v>119186.24641833811</v>
      </c>
      <c r="AO160">
        <v>0</v>
      </c>
      <c r="AP160">
        <v>119186.24641833811</v>
      </c>
      <c r="AQ160">
        <v>0</v>
      </c>
      <c r="AR160">
        <v>119186.24641833811</v>
      </c>
      <c r="AS160">
        <v>0</v>
      </c>
      <c r="AT160">
        <v>119186.24641833811</v>
      </c>
      <c r="AV160">
        <v>119186.24641833811</v>
      </c>
      <c r="AW160">
        <v>-175.71864056032791</v>
      </c>
      <c r="AX160">
        <v>119010.52777777778</v>
      </c>
      <c r="AY160">
        <v>3753.3611111111095</v>
      </c>
      <c r="AZ160">
        <v>122763.88888888889</v>
      </c>
      <c r="BA160">
        <v>0</v>
      </c>
      <c r="BB160">
        <v>122763.88888888889</v>
      </c>
      <c r="BC160">
        <v>0</v>
      </c>
      <c r="BD160">
        <v>122763.88888888889</v>
      </c>
      <c r="BE160">
        <v>0</v>
      </c>
      <c r="BF160">
        <v>122763.88888888889</v>
      </c>
      <c r="BG160">
        <v>2455.3888888888905</v>
      </c>
      <c r="BH160">
        <v>125219.27777777778</v>
      </c>
      <c r="BI160">
        <v>0</v>
      </c>
      <c r="BJ160">
        <v>125219.27777777778</v>
      </c>
      <c r="BK160">
        <v>125219.27777777778</v>
      </c>
      <c r="BL160">
        <v>4507894</v>
      </c>
      <c r="BO160">
        <v>0</v>
      </c>
      <c r="BP160">
        <v>125219.27777777778</v>
      </c>
      <c r="BQ160">
        <v>4507894</v>
      </c>
      <c r="BR160" s="238" t="s">
        <v>36</v>
      </c>
      <c r="BU160">
        <v>125219.27777777778</v>
      </c>
      <c r="BV160">
        <v>0</v>
      </c>
      <c r="BW160">
        <v>4507894</v>
      </c>
      <c r="BX160" s="238"/>
      <c r="BY160" s="238" t="s">
        <v>35</v>
      </c>
      <c r="BZ160" s="238" t="s">
        <v>35</v>
      </c>
      <c r="CA160" s="238" t="s">
        <v>8953</v>
      </c>
      <c r="CB160" s="238" t="s">
        <v>8954</v>
      </c>
      <c r="CC160" s="238" t="s">
        <v>9077</v>
      </c>
      <c r="CD160" s="238" t="s">
        <v>8972</v>
      </c>
      <c r="CE160" t="b">
        <v>1</v>
      </c>
      <c r="CF160">
        <v>4507894</v>
      </c>
      <c r="CG160">
        <v>4507894</v>
      </c>
      <c r="CH160">
        <v>0</v>
      </c>
      <c r="CI160">
        <v>0</v>
      </c>
      <c r="CJ160">
        <v>0</v>
      </c>
    </row>
    <row r="161" spans="1:88" x14ac:dyDescent="0.25">
      <c r="A161">
        <v>160</v>
      </c>
      <c r="B161">
        <v>2</v>
      </c>
      <c r="C161">
        <v>6</v>
      </c>
      <c r="D161">
        <v>3</v>
      </c>
      <c r="E161">
        <v>1</v>
      </c>
      <c r="F161">
        <v>15.45</v>
      </c>
      <c r="I161">
        <v>15.45</v>
      </c>
      <c r="J161">
        <v>17.71</v>
      </c>
      <c r="K161">
        <v>4.01</v>
      </c>
      <c r="M161">
        <v>5.04</v>
      </c>
      <c r="P161">
        <v>3.84</v>
      </c>
      <c r="R161">
        <v>3.84</v>
      </c>
      <c r="S161">
        <v>46.05</v>
      </c>
      <c r="T161">
        <v>42.21</v>
      </c>
      <c r="U161">
        <v>44.13</v>
      </c>
      <c r="V161">
        <v>119184.96000000001</v>
      </c>
      <c r="W161">
        <v>0.22518518517608754</v>
      </c>
      <c r="X161">
        <v>119185.18518518518</v>
      </c>
      <c r="Y161">
        <v>0</v>
      </c>
      <c r="Z161">
        <v>119185.18518518518</v>
      </c>
      <c r="AA161">
        <v>0</v>
      </c>
      <c r="AB161">
        <v>119185.18518518518</v>
      </c>
      <c r="AC161">
        <v>0</v>
      </c>
      <c r="AD161">
        <v>119185.18518518518</v>
      </c>
      <c r="AE161">
        <v>0</v>
      </c>
      <c r="AF161">
        <v>119185.18518518518</v>
      </c>
      <c r="AG161">
        <v>0</v>
      </c>
      <c r="AH161">
        <v>119185.18518518518</v>
      </c>
      <c r="AI161">
        <v>0</v>
      </c>
      <c r="AJ161">
        <v>119185.18518518518</v>
      </c>
      <c r="AK161">
        <v>0</v>
      </c>
      <c r="AL161">
        <v>119185.18518518518</v>
      </c>
      <c r="AM161">
        <v>0</v>
      </c>
      <c r="AN161">
        <v>119185.18518518518</v>
      </c>
      <c r="AO161">
        <v>0</v>
      </c>
      <c r="AP161">
        <v>119185.18518518518</v>
      </c>
      <c r="AQ161">
        <v>0</v>
      </c>
      <c r="AR161">
        <v>119185.18518518518</v>
      </c>
      <c r="AS161">
        <v>0</v>
      </c>
      <c r="AT161">
        <v>119185.18518518518</v>
      </c>
      <c r="AV161">
        <v>119185.18518518518</v>
      </c>
      <c r="AW161">
        <v>988.30223833622586</v>
      </c>
      <c r="AX161">
        <v>120173.48742352141</v>
      </c>
      <c r="AY161">
        <v>2588.8058010423701</v>
      </c>
      <c r="AZ161">
        <v>122762.29322456378</v>
      </c>
      <c r="BA161">
        <v>0</v>
      </c>
      <c r="BB161">
        <v>122762.29322456378</v>
      </c>
      <c r="BC161">
        <v>0</v>
      </c>
      <c r="BD161">
        <v>122762.29322456378</v>
      </c>
      <c r="BE161">
        <v>0</v>
      </c>
      <c r="BF161">
        <v>122762.29322456378</v>
      </c>
      <c r="BG161">
        <v>2454.9512803081889</v>
      </c>
      <c r="BH161">
        <v>125217.24450487195</v>
      </c>
      <c r="BI161">
        <v>0</v>
      </c>
      <c r="BJ161">
        <v>125217.24450487195</v>
      </c>
      <c r="BK161">
        <v>125217.24450487197</v>
      </c>
      <c r="BL161">
        <v>5525837</v>
      </c>
      <c r="BO161">
        <v>0</v>
      </c>
      <c r="BP161">
        <v>125217.24450487197</v>
      </c>
      <c r="BQ161">
        <v>5525837</v>
      </c>
      <c r="BR161" s="238" t="s">
        <v>36</v>
      </c>
      <c r="BU161">
        <v>125217.24450487197</v>
      </c>
      <c r="BV161">
        <v>0</v>
      </c>
      <c r="BW161">
        <v>5525837</v>
      </c>
      <c r="BX161" s="238"/>
      <c r="BY161" s="238" t="s">
        <v>3</v>
      </c>
      <c r="BZ161" s="238" t="s">
        <v>3</v>
      </c>
      <c r="CA161" s="238" t="s">
        <v>8951</v>
      </c>
      <c r="CB161" s="238" t="s">
        <v>1167</v>
      </c>
      <c r="CC161" s="238" t="s">
        <v>9077</v>
      </c>
      <c r="CD161" s="238" t="s">
        <v>8972</v>
      </c>
      <c r="CE161" t="b">
        <v>1</v>
      </c>
      <c r="CF161">
        <v>5525837</v>
      </c>
      <c r="CG161">
        <v>5525837</v>
      </c>
      <c r="CH161">
        <v>0</v>
      </c>
      <c r="CI161">
        <v>0</v>
      </c>
      <c r="CJ161">
        <v>0</v>
      </c>
    </row>
    <row r="162" spans="1:88" x14ac:dyDescent="0.25">
      <c r="A162">
        <v>161</v>
      </c>
      <c r="B162">
        <v>2</v>
      </c>
      <c r="C162">
        <v>6</v>
      </c>
      <c r="D162">
        <v>4</v>
      </c>
      <c r="E162">
        <v>1</v>
      </c>
      <c r="F162">
        <v>10.59</v>
      </c>
      <c r="I162">
        <v>10.59</v>
      </c>
      <c r="J162">
        <v>15.69</v>
      </c>
      <c r="K162">
        <v>3.94</v>
      </c>
      <c r="M162">
        <v>4.4400000000000004</v>
      </c>
      <c r="P162">
        <v>3.45</v>
      </c>
      <c r="R162">
        <v>3.45</v>
      </c>
      <c r="S162">
        <v>38.11</v>
      </c>
      <c r="T162">
        <v>34.659999999999997</v>
      </c>
      <c r="U162">
        <v>36.39</v>
      </c>
      <c r="V162">
        <v>118016.48</v>
      </c>
      <c r="W162">
        <v>0.51716713882342447</v>
      </c>
      <c r="X162">
        <v>118016.99716713882</v>
      </c>
      <c r="Y162">
        <v>0</v>
      </c>
      <c r="Z162">
        <v>118016.99716713882</v>
      </c>
      <c r="AA162">
        <v>0</v>
      </c>
      <c r="AB162">
        <v>118016.99716713882</v>
      </c>
      <c r="AD162">
        <v>118516.99716713882</v>
      </c>
      <c r="AE162">
        <v>0</v>
      </c>
      <c r="AF162">
        <v>118516.99716713882</v>
      </c>
      <c r="AH162">
        <v>119016.99716713882</v>
      </c>
      <c r="AJ162">
        <v>119516.99716713882</v>
      </c>
      <c r="AL162">
        <v>120016.99716713882</v>
      </c>
      <c r="AM162">
        <v>0</v>
      </c>
      <c r="AN162">
        <v>120016.99716713882</v>
      </c>
      <c r="AP162">
        <v>118016.99716713882</v>
      </c>
      <c r="AQ162">
        <v>0</v>
      </c>
      <c r="AR162">
        <v>118016.99716713882</v>
      </c>
      <c r="AS162">
        <v>0</v>
      </c>
      <c r="AT162">
        <v>118016.99716713882</v>
      </c>
      <c r="AV162">
        <v>118016.99716713882</v>
      </c>
      <c r="AX162">
        <v>114482.00054960154</v>
      </c>
      <c r="AY162">
        <v>0</v>
      </c>
      <c r="AZ162">
        <v>114482.00054960154</v>
      </c>
      <c r="BA162">
        <v>0</v>
      </c>
      <c r="BB162">
        <v>114482.00054960154</v>
      </c>
      <c r="BC162">
        <v>0</v>
      </c>
      <c r="BD162">
        <v>114482.00054960154</v>
      </c>
      <c r="BE162">
        <v>0</v>
      </c>
      <c r="BF162">
        <v>114482.00054960154</v>
      </c>
      <c r="BG162">
        <v>0</v>
      </c>
      <c r="BH162">
        <v>114482.00054960154</v>
      </c>
      <c r="BI162">
        <v>0</v>
      </c>
      <c r="BJ162">
        <v>114482.00054960154</v>
      </c>
      <c r="BK162">
        <v>114482.00054960154</v>
      </c>
      <c r="BL162">
        <v>4166000</v>
      </c>
      <c r="BO162">
        <v>0</v>
      </c>
      <c r="BP162">
        <v>114482.00054960154</v>
      </c>
      <c r="BQ162">
        <v>4166000</v>
      </c>
      <c r="BR162" s="238" t="s">
        <v>36</v>
      </c>
      <c r="BU162">
        <v>114482.00054960154</v>
      </c>
      <c r="BV162">
        <v>0</v>
      </c>
      <c r="BW162">
        <v>4166000</v>
      </c>
      <c r="BX162" s="238"/>
      <c r="BY162" s="238" t="s">
        <v>8963</v>
      </c>
      <c r="BZ162" s="238" t="s">
        <v>8963</v>
      </c>
      <c r="CA162" s="238" t="s">
        <v>8953</v>
      </c>
      <c r="CB162" s="238" t="s">
        <v>8964</v>
      </c>
      <c r="CC162" s="238" t="s">
        <v>9077</v>
      </c>
      <c r="CD162" s="238" t="s">
        <v>8972</v>
      </c>
      <c r="CE162" t="b">
        <v>1</v>
      </c>
      <c r="CF162">
        <v>4166000</v>
      </c>
      <c r="CG162">
        <v>4454464</v>
      </c>
      <c r="CH162">
        <v>4166000</v>
      </c>
      <c r="CI162">
        <v>4166000</v>
      </c>
      <c r="CJ162">
        <v>0</v>
      </c>
    </row>
    <row r="163" spans="1:88" x14ac:dyDescent="0.25">
      <c r="A163">
        <v>162</v>
      </c>
      <c r="B163">
        <v>2</v>
      </c>
      <c r="C163">
        <v>6</v>
      </c>
      <c r="D163">
        <v>5</v>
      </c>
      <c r="E163">
        <v>1</v>
      </c>
      <c r="F163">
        <v>10.59</v>
      </c>
      <c r="I163">
        <v>10.59</v>
      </c>
      <c r="J163">
        <v>15.69</v>
      </c>
      <c r="K163">
        <v>3.89</v>
      </c>
      <c r="M163">
        <v>4.4400000000000004</v>
      </c>
      <c r="P163">
        <v>3.39</v>
      </c>
      <c r="R163">
        <v>3.39</v>
      </c>
      <c r="S163">
        <v>38</v>
      </c>
      <c r="T163">
        <v>34.61</v>
      </c>
      <c r="U163">
        <v>36.31</v>
      </c>
      <c r="V163">
        <v>118016.48</v>
      </c>
      <c r="W163">
        <v>0.56545454544539098</v>
      </c>
      <c r="X163">
        <v>118017.04545454544</v>
      </c>
      <c r="Y163">
        <v>0</v>
      </c>
      <c r="Z163">
        <v>118017.04545454544</v>
      </c>
      <c r="AA163">
        <v>499.94318181819108</v>
      </c>
      <c r="AB163">
        <v>118516.98863636363</v>
      </c>
      <c r="AC163">
        <v>0</v>
      </c>
      <c r="AD163">
        <v>118516.98863636363</v>
      </c>
      <c r="AE163">
        <v>0</v>
      </c>
      <c r="AF163">
        <v>118516.98863636363</v>
      </c>
      <c r="AG163">
        <v>0</v>
      </c>
      <c r="AH163">
        <v>118516.98863636363</v>
      </c>
      <c r="AI163">
        <v>500</v>
      </c>
      <c r="AJ163">
        <v>119016.98863636363</v>
      </c>
      <c r="AK163">
        <v>0</v>
      </c>
      <c r="AL163">
        <v>119016.98863636363</v>
      </c>
      <c r="AM163">
        <v>0</v>
      </c>
      <c r="AN163">
        <v>119016.98863636363</v>
      </c>
      <c r="AP163">
        <v>119016.98863636363</v>
      </c>
      <c r="AQ163">
        <v>0</v>
      </c>
      <c r="AR163">
        <v>119016.98863636363</v>
      </c>
      <c r="AS163">
        <v>0</v>
      </c>
      <c r="AT163">
        <v>119016.98863636363</v>
      </c>
      <c r="AV163">
        <v>119016.98863636363</v>
      </c>
      <c r="AX163">
        <v>115378.62847700357</v>
      </c>
      <c r="AY163">
        <v>0</v>
      </c>
      <c r="AZ163">
        <v>115378.62847700357</v>
      </c>
      <c r="BA163">
        <v>0</v>
      </c>
      <c r="BB163">
        <v>115378.62847700357</v>
      </c>
      <c r="BC163">
        <v>0</v>
      </c>
      <c r="BD163">
        <v>115378.62847700357</v>
      </c>
      <c r="BE163">
        <v>0</v>
      </c>
      <c r="BF163">
        <v>115378.62847700357</v>
      </c>
      <c r="BG163">
        <v>0</v>
      </c>
      <c r="BH163">
        <v>115378.62847700356</v>
      </c>
      <c r="BI163">
        <v>0</v>
      </c>
      <c r="BJ163">
        <v>115378.62847700356</v>
      </c>
      <c r="BK163">
        <v>115378.62847700357</v>
      </c>
      <c r="BL163">
        <v>4189398</v>
      </c>
      <c r="BN163">
        <v>0.02</v>
      </c>
      <c r="BO163">
        <v>83788</v>
      </c>
      <c r="BP163">
        <v>113071.0548058386</v>
      </c>
      <c r="BQ163">
        <v>4105610</v>
      </c>
      <c r="BR163" s="238" t="s">
        <v>36</v>
      </c>
      <c r="BU163">
        <v>113071.0548058386</v>
      </c>
      <c r="BV163">
        <v>0</v>
      </c>
      <c r="BW163">
        <v>4105610</v>
      </c>
      <c r="BX163" s="238" t="s">
        <v>8359</v>
      </c>
      <c r="BY163" s="238" t="s">
        <v>8963</v>
      </c>
      <c r="BZ163" s="238" t="s">
        <v>8963</v>
      </c>
      <c r="CA163" s="238" t="s">
        <v>8953</v>
      </c>
      <c r="CB163" s="238" t="s">
        <v>8964</v>
      </c>
      <c r="CC163" s="238" t="s">
        <v>9077</v>
      </c>
      <c r="CD163" s="238" t="s">
        <v>8972</v>
      </c>
      <c r="CE163" t="b">
        <v>1</v>
      </c>
      <c r="CF163">
        <v>4189398</v>
      </c>
      <c r="CG163">
        <v>4408049</v>
      </c>
      <c r="CH163">
        <v>4189398</v>
      </c>
      <c r="CI163">
        <v>4189398</v>
      </c>
      <c r="CJ163">
        <v>0</v>
      </c>
    </row>
    <row r="164" spans="1:88" x14ac:dyDescent="0.25">
      <c r="A164">
        <v>163</v>
      </c>
      <c r="B164">
        <v>2</v>
      </c>
      <c r="C164">
        <v>6</v>
      </c>
      <c r="D164">
        <v>6</v>
      </c>
      <c r="E164">
        <v>3</v>
      </c>
      <c r="F164">
        <v>12.4</v>
      </c>
      <c r="G164">
        <v>11.28</v>
      </c>
      <c r="H164">
        <v>11.28</v>
      </c>
      <c r="I164">
        <v>34.96</v>
      </c>
      <c r="J164">
        <v>17.93</v>
      </c>
      <c r="K164">
        <v>4.67</v>
      </c>
      <c r="L164">
        <v>3.54</v>
      </c>
      <c r="M164">
        <v>9.89</v>
      </c>
      <c r="P164">
        <v>2.79</v>
      </c>
      <c r="Q164">
        <v>3.6</v>
      </c>
      <c r="R164">
        <v>6.3900000000000006</v>
      </c>
      <c r="S164">
        <v>77.38</v>
      </c>
      <c r="T164">
        <v>70.989999999999995</v>
      </c>
      <c r="U164">
        <v>74.19</v>
      </c>
      <c r="V164">
        <v>104186.56</v>
      </c>
      <c r="W164">
        <v>0.63211822661105543</v>
      </c>
      <c r="X164">
        <v>104187.19211822661</v>
      </c>
      <c r="Y164">
        <v>0</v>
      </c>
      <c r="Z164">
        <v>104187.19211822661</v>
      </c>
      <c r="AB164">
        <v>104686.99507389162</v>
      </c>
      <c r="AC164">
        <v>0</v>
      </c>
      <c r="AD164">
        <v>104686.99507389162</v>
      </c>
      <c r="AF164">
        <v>105186.99507389162</v>
      </c>
      <c r="AG164">
        <v>0</v>
      </c>
      <c r="AH164">
        <v>105186.99507389162</v>
      </c>
      <c r="AI164">
        <v>0</v>
      </c>
      <c r="AJ164">
        <v>105186.99507389162</v>
      </c>
      <c r="AK164">
        <v>0</v>
      </c>
      <c r="AL164">
        <v>105186.99507389162</v>
      </c>
      <c r="AN164">
        <v>105686.99507389162</v>
      </c>
      <c r="AP164">
        <v>104187.19211822661</v>
      </c>
      <c r="AR164">
        <v>104187.19211822661</v>
      </c>
      <c r="AS164">
        <v>0</v>
      </c>
      <c r="AT164">
        <v>104187.19211822661</v>
      </c>
      <c r="AV164">
        <v>104187.19211822661</v>
      </c>
      <c r="AX164">
        <v>99777.598059037613</v>
      </c>
      <c r="AY164">
        <v>0</v>
      </c>
      <c r="AZ164">
        <v>99777.598059037613</v>
      </c>
      <c r="BA164">
        <v>0</v>
      </c>
      <c r="BB164">
        <v>99777.598059037613</v>
      </c>
      <c r="BC164">
        <v>0</v>
      </c>
      <c r="BD164">
        <v>99777.598059037613</v>
      </c>
      <c r="BE164">
        <v>0</v>
      </c>
      <c r="BF164">
        <v>99777.598059037613</v>
      </c>
      <c r="BG164">
        <v>0</v>
      </c>
      <c r="BH164">
        <v>99777.598059037613</v>
      </c>
      <c r="BI164">
        <v>0</v>
      </c>
      <c r="BJ164">
        <v>99777.598059037613</v>
      </c>
      <c r="BK164">
        <v>99777.598059037613</v>
      </c>
      <c r="BL164">
        <v>7402500</v>
      </c>
      <c r="BO164">
        <v>0</v>
      </c>
      <c r="BP164">
        <v>99777.598059037613</v>
      </c>
      <c r="BQ164">
        <v>7402500</v>
      </c>
      <c r="BR164" s="238" t="s">
        <v>36</v>
      </c>
      <c r="BU164">
        <v>99777.598059037613</v>
      </c>
      <c r="BV164">
        <v>0</v>
      </c>
      <c r="BW164">
        <v>7402500</v>
      </c>
      <c r="BX164" s="238"/>
      <c r="BY164" s="238" t="s">
        <v>8963</v>
      </c>
      <c r="BZ164" s="238" t="s">
        <v>8963</v>
      </c>
      <c r="CA164" s="238" t="s">
        <v>8953</v>
      </c>
      <c r="CB164" s="238" t="s">
        <v>8964</v>
      </c>
      <c r="CC164" s="238" t="s">
        <v>9077</v>
      </c>
      <c r="CD164" s="238" t="s">
        <v>8990</v>
      </c>
      <c r="CE164" t="b">
        <v>1</v>
      </c>
      <c r="CF164">
        <v>7402500</v>
      </c>
      <c r="CG164">
        <v>7884302</v>
      </c>
      <c r="CH164">
        <v>7402500</v>
      </c>
      <c r="CI164">
        <v>0</v>
      </c>
      <c r="CJ164">
        <v>0</v>
      </c>
    </row>
    <row r="165" spans="1:88" x14ac:dyDescent="0.25">
      <c r="A165">
        <v>164</v>
      </c>
      <c r="B165">
        <v>2</v>
      </c>
      <c r="C165">
        <v>6</v>
      </c>
      <c r="D165">
        <v>7</v>
      </c>
      <c r="E165">
        <v>0</v>
      </c>
      <c r="F165">
        <v>16.989999999999998</v>
      </c>
      <c r="I165">
        <v>16.989999999999998</v>
      </c>
      <c r="J165">
        <v>7.49</v>
      </c>
      <c r="K165">
        <v>4.9400000000000004</v>
      </c>
      <c r="P165">
        <v>3.49</v>
      </c>
      <c r="R165">
        <v>3.49</v>
      </c>
      <c r="S165">
        <v>32.909999999999997</v>
      </c>
      <c r="T165">
        <v>29.42</v>
      </c>
      <c r="U165">
        <v>31.17</v>
      </c>
      <c r="V165">
        <v>138273.04</v>
      </c>
      <c r="W165">
        <v>2.5902521008392796</v>
      </c>
      <c r="X165">
        <v>138275.63025210085</v>
      </c>
      <c r="Y165">
        <v>0</v>
      </c>
      <c r="Z165">
        <v>138275.63025210085</v>
      </c>
      <c r="AA165">
        <v>0</v>
      </c>
      <c r="AB165">
        <v>138275.63025210085</v>
      </c>
      <c r="AC165">
        <v>0</v>
      </c>
      <c r="AD165">
        <v>138275.63025210085</v>
      </c>
      <c r="AE165">
        <v>0</v>
      </c>
      <c r="AF165">
        <v>138275.63025210085</v>
      </c>
      <c r="AG165">
        <v>0</v>
      </c>
      <c r="AH165">
        <v>138275.63025210085</v>
      </c>
      <c r="AI165">
        <v>0</v>
      </c>
      <c r="AJ165">
        <v>138275.63025210085</v>
      </c>
      <c r="AK165">
        <v>0</v>
      </c>
      <c r="AL165">
        <v>138275.63025210085</v>
      </c>
      <c r="AM165">
        <v>0</v>
      </c>
      <c r="AN165">
        <v>138275.63025210085</v>
      </c>
      <c r="AO165">
        <v>0</v>
      </c>
      <c r="AP165">
        <v>138275.63025210085</v>
      </c>
      <c r="AQ165">
        <v>0</v>
      </c>
      <c r="AR165">
        <v>138275.63025210085</v>
      </c>
      <c r="AS165">
        <v>0</v>
      </c>
      <c r="AT165">
        <v>138275.63025210085</v>
      </c>
      <c r="AV165">
        <v>138275.63025210085</v>
      </c>
      <c r="AW165">
        <v>-2339.7303483472497</v>
      </c>
      <c r="AX165">
        <v>135935.8999037536</v>
      </c>
      <c r="AY165">
        <v>6489.5091434071364</v>
      </c>
      <c r="AZ165">
        <v>142425.40904716073</v>
      </c>
      <c r="BA165">
        <v>0</v>
      </c>
      <c r="BB165">
        <v>142425.40904716073</v>
      </c>
      <c r="BC165">
        <v>0</v>
      </c>
      <c r="BD165">
        <v>142425.40904716073</v>
      </c>
      <c r="BE165">
        <v>0</v>
      </c>
      <c r="BF165">
        <v>142425.40904716073</v>
      </c>
      <c r="BG165">
        <v>0</v>
      </c>
      <c r="BH165">
        <v>142425.40904716073</v>
      </c>
      <c r="BI165">
        <v>0</v>
      </c>
      <c r="BJ165">
        <v>142425.40904716073</v>
      </c>
      <c r="BK165">
        <v>142425.40904716073</v>
      </c>
      <c r="BL165">
        <v>4439400</v>
      </c>
      <c r="BO165">
        <v>0</v>
      </c>
      <c r="BP165">
        <v>142425.40904716073</v>
      </c>
      <c r="BQ165">
        <v>4439400</v>
      </c>
      <c r="BR165" s="238" t="s">
        <v>36</v>
      </c>
      <c r="BU165">
        <v>142425.40904716073</v>
      </c>
      <c r="BV165">
        <v>0</v>
      </c>
      <c r="BW165">
        <v>4439400</v>
      </c>
      <c r="BX165" s="238"/>
      <c r="BY165" s="238" t="s">
        <v>3</v>
      </c>
      <c r="BZ165" s="238" t="s">
        <v>3</v>
      </c>
      <c r="CA165" s="238" t="s">
        <v>8951</v>
      </c>
      <c r="CB165" s="238" t="s">
        <v>1167</v>
      </c>
      <c r="CC165" s="238" t="s">
        <v>9077</v>
      </c>
      <c r="CD165" s="238" t="s">
        <v>8970</v>
      </c>
      <c r="CE165" t="b">
        <v>1</v>
      </c>
      <c r="CF165">
        <v>4439400</v>
      </c>
      <c r="CG165">
        <v>4439400</v>
      </c>
      <c r="CH165">
        <v>0</v>
      </c>
      <c r="CI165">
        <v>0</v>
      </c>
      <c r="CJ165">
        <v>0</v>
      </c>
    </row>
    <row r="166" spans="1:88" x14ac:dyDescent="0.25">
      <c r="A166">
        <v>165</v>
      </c>
      <c r="B166">
        <v>2</v>
      </c>
      <c r="C166">
        <v>7</v>
      </c>
      <c r="D166">
        <v>1</v>
      </c>
      <c r="E166">
        <v>0</v>
      </c>
      <c r="F166">
        <v>16.989999999999998</v>
      </c>
      <c r="I166">
        <v>16.989999999999998</v>
      </c>
      <c r="J166">
        <v>7.49</v>
      </c>
      <c r="K166">
        <v>4.91</v>
      </c>
      <c r="P166">
        <v>3.49</v>
      </c>
      <c r="R166">
        <v>3.49</v>
      </c>
      <c r="S166">
        <v>32.880000000000003</v>
      </c>
      <c r="T166">
        <v>29.39</v>
      </c>
      <c r="U166">
        <v>31.14</v>
      </c>
      <c r="V166">
        <v>138273.04</v>
      </c>
      <c r="W166">
        <v>2.5902521008392796</v>
      </c>
      <c r="X166">
        <v>138275.63025210085</v>
      </c>
      <c r="Y166">
        <v>0</v>
      </c>
      <c r="Z166">
        <v>138275.63025210085</v>
      </c>
      <c r="AA166">
        <v>0</v>
      </c>
      <c r="AB166">
        <v>138275.63025210085</v>
      </c>
      <c r="AC166">
        <v>0</v>
      </c>
      <c r="AD166">
        <v>138275.63025210085</v>
      </c>
      <c r="AE166">
        <v>0</v>
      </c>
      <c r="AF166">
        <v>138275.63025210085</v>
      </c>
      <c r="AG166">
        <v>0</v>
      </c>
      <c r="AH166">
        <v>138275.63025210085</v>
      </c>
      <c r="AI166">
        <v>0</v>
      </c>
      <c r="AJ166">
        <v>138275.63025210085</v>
      </c>
      <c r="AK166">
        <v>0</v>
      </c>
      <c r="AL166">
        <v>138275.63025210085</v>
      </c>
      <c r="AM166">
        <v>0</v>
      </c>
      <c r="AN166">
        <v>138275.63025210085</v>
      </c>
      <c r="AO166">
        <v>0</v>
      </c>
      <c r="AP166">
        <v>138275.63025210085</v>
      </c>
      <c r="AQ166">
        <v>0</v>
      </c>
      <c r="AR166">
        <v>138275.63025210085</v>
      </c>
      <c r="AS166">
        <v>0</v>
      </c>
      <c r="AT166">
        <v>138275.63025210085</v>
      </c>
      <c r="AV166">
        <v>138275.63025210085</v>
      </c>
      <c r="AW166">
        <v>-2208.7709072068101</v>
      </c>
      <c r="AX166">
        <v>136066.85934489404</v>
      </c>
      <c r="AY166">
        <v>6357.6750160565134</v>
      </c>
      <c r="AZ166">
        <v>142424.53436095055</v>
      </c>
      <c r="BA166">
        <v>0</v>
      </c>
      <c r="BB166">
        <v>142424.53436095055</v>
      </c>
      <c r="BC166">
        <v>0</v>
      </c>
      <c r="BD166">
        <v>142424.53436095055</v>
      </c>
      <c r="BE166">
        <v>0</v>
      </c>
      <c r="BF166">
        <v>142424.53436095055</v>
      </c>
      <c r="BG166">
        <v>0</v>
      </c>
      <c r="BH166">
        <v>142424.53436095055</v>
      </c>
      <c r="BI166">
        <v>0</v>
      </c>
      <c r="BJ166">
        <v>142424.53436095055</v>
      </c>
      <c r="BK166">
        <v>142424.53436095055</v>
      </c>
      <c r="BL166">
        <v>4435100</v>
      </c>
      <c r="BO166">
        <v>0</v>
      </c>
      <c r="BP166">
        <v>142424.53436095055</v>
      </c>
      <c r="BQ166">
        <v>4435100</v>
      </c>
      <c r="BR166" s="238" t="s">
        <v>36</v>
      </c>
      <c r="BU166">
        <v>142424.53436095055</v>
      </c>
      <c r="BV166">
        <v>0</v>
      </c>
      <c r="BW166">
        <v>4435100</v>
      </c>
      <c r="BX166" s="238"/>
      <c r="BY166" s="238" t="s">
        <v>35</v>
      </c>
      <c r="BZ166" s="238" t="s">
        <v>35</v>
      </c>
      <c r="CA166" s="238" t="s">
        <v>8953</v>
      </c>
      <c r="CB166" s="238" t="s">
        <v>8954</v>
      </c>
      <c r="CC166" s="238" t="s">
        <v>9077</v>
      </c>
      <c r="CD166" s="238" t="s">
        <v>8970</v>
      </c>
      <c r="CE166" t="b">
        <v>1</v>
      </c>
      <c r="CF166">
        <v>4435100</v>
      </c>
      <c r="CG166">
        <v>4435100</v>
      </c>
      <c r="CH166">
        <v>0</v>
      </c>
      <c r="CI166">
        <v>0</v>
      </c>
      <c r="CJ166">
        <v>0</v>
      </c>
    </row>
    <row r="167" spans="1:88" x14ac:dyDescent="0.25">
      <c r="A167">
        <v>166</v>
      </c>
      <c r="B167">
        <v>2</v>
      </c>
      <c r="C167">
        <v>7</v>
      </c>
      <c r="D167">
        <v>2</v>
      </c>
      <c r="E167">
        <v>1</v>
      </c>
      <c r="F167">
        <v>11.31</v>
      </c>
      <c r="I167">
        <v>11.31</v>
      </c>
      <c r="J167">
        <v>16.18</v>
      </c>
      <c r="K167">
        <v>4.1100000000000003</v>
      </c>
      <c r="M167">
        <v>3.01</v>
      </c>
      <c r="P167">
        <v>2.77</v>
      </c>
      <c r="R167">
        <v>2.77</v>
      </c>
      <c r="S167">
        <v>37.380000000000003</v>
      </c>
      <c r="T167">
        <v>34.61</v>
      </c>
      <c r="U167">
        <v>36</v>
      </c>
      <c r="V167">
        <v>119184.96000000001</v>
      </c>
      <c r="W167">
        <v>1.2864183381025214</v>
      </c>
      <c r="X167">
        <v>119186.24641833811</v>
      </c>
      <c r="Y167">
        <v>0</v>
      </c>
      <c r="Z167">
        <v>119186.24641833811</v>
      </c>
      <c r="AA167">
        <v>0</v>
      </c>
      <c r="AB167">
        <v>119186.24641833811</v>
      </c>
      <c r="AC167">
        <v>0</v>
      </c>
      <c r="AD167">
        <v>119186.24641833811</v>
      </c>
      <c r="AE167">
        <v>0</v>
      </c>
      <c r="AF167">
        <v>119186.24641833811</v>
      </c>
      <c r="AG167">
        <v>0</v>
      </c>
      <c r="AH167">
        <v>119186.24641833811</v>
      </c>
      <c r="AI167">
        <v>0</v>
      </c>
      <c r="AJ167">
        <v>119186.24641833811</v>
      </c>
      <c r="AK167">
        <v>0</v>
      </c>
      <c r="AL167">
        <v>119186.24641833811</v>
      </c>
      <c r="AM167">
        <v>0</v>
      </c>
      <c r="AN167">
        <v>119186.24641833811</v>
      </c>
      <c r="AO167">
        <v>0</v>
      </c>
      <c r="AP167">
        <v>119186.24641833811</v>
      </c>
      <c r="AQ167">
        <v>0</v>
      </c>
      <c r="AR167">
        <v>119186.24641833811</v>
      </c>
      <c r="AS167">
        <v>0</v>
      </c>
      <c r="AT167">
        <v>119186.24641833811</v>
      </c>
      <c r="AV167">
        <v>119186.24641833811</v>
      </c>
      <c r="AW167">
        <v>-175.71864056032791</v>
      </c>
      <c r="AX167">
        <v>119010.52777777778</v>
      </c>
      <c r="AY167">
        <v>3753.3611111111095</v>
      </c>
      <c r="AZ167">
        <v>122763.88888888889</v>
      </c>
      <c r="BA167">
        <v>0</v>
      </c>
      <c r="BB167">
        <v>122763.88888888889</v>
      </c>
      <c r="BC167">
        <v>0</v>
      </c>
      <c r="BD167">
        <v>122763.88888888889</v>
      </c>
      <c r="BE167">
        <v>0</v>
      </c>
      <c r="BF167">
        <v>122763.88888888889</v>
      </c>
      <c r="BG167">
        <v>2455.3888888888905</v>
      </c>
      <c r="BH167">
        <v>125219.27777777778</v>
      </c>
      <c r="BI167">
        <v>0</v>
      </c>
      <c r="BJ167">
        <v>125219.27777777778</v>
      </c>
      <c r="BK167">
        <v>125219.27777777778</v>
      </c>
      <c r="BL167">
        <v>4507894</v>
      </c>
      <c r="BO167">
        <v>0</v>
      </c>
      <c r="BP167">
        <v>125219.27777777778</v>
      </c>
      <c r="BQ167">
        <v>4507894</v>
      </c>
      <c r="BR167" s="238" t="s">
        <v>36</v>
      </c>
      <c r="BU167">
        <v>125219.27777777778</v>
      </c>
      <c r="BV167">
        <v>0</v>
      </c>
      <c r="BW167">
        <v>4507894</v>
      </c>
      <c r="BX167" s="238"/>
      <c r="BY167" s="238" t="s">
        <v>35</v>
      </c>
      <c r="BZ167" s="238" t="s">
        <v>35</v>
      </c>
      <c r="CA167" s="238" t="s">
        <v>8953</v>
      </c>
      <c r="CB167" s="238" t="s">
        <v>8954</v>
      </c>
      <c r="CC167" s="238" t="s">
        <v>9077</v>
      </c>
      <c r="CD167" s="238" t="s">
        <v>8972</v>
      </c>
      <c r="CE167" t="b">
        <v>1</v>
      </c>
      <c r="CF167">
        <v>4507894</v>
      </c>
      <c r="CG167">
        <v>4507894</v>
      </c>
      <c r="CH167">
        <v>0</v>
      </c>
      <c r="CI167">
        <v>0</v>
      </c>
      <c r="CJ167">
        <v>0</v>
      </c>
    </row>
    <row r="168" spans="1:88" x14ac:dyDescent="0.25">
      <c r="A168">
        <v>167</v>
      </c>
      <c r="B168">
        <v>2</v>
      </c>
      <c r="C168">
        <v>7</v>
      </c>
      <c r="D168">
        <v>3</v>
      </c>
      <c r="E168">
        <v>1</v>
      </c>
      <c r="F168">
        <v>15.45</v>
      </c>
      <c r="I168">
        <v>15.45</v>
      </c>
      <c r="J168">
        <v>17.71</v>
      </c>
      <c r="K168">
        <v>4.01</v>
      </c>
      <c r="M168">
        <v>5.04</v>
      </c>
      <c r="P168">
        <v>3.84</v>
      </c>
      <c r="R168">
        <v>3.84</v>
      </c>
      <c r="S168">
        <v>46.05</v>
      </c>
      <c r="T168">
        <v>42.21</v>
      </c>
      <c r="U168">
        <v>44.13</v>
      </c>
      <c r="V168">
        <v>119184.96000000001</v>
      </c>
      <c r="W168">
        <v>0.22518518517608754</v>
      </c>
      <c r="X168">
        <v>119185.18518518518</v>
      </c>
      <c r="Y168">
        <v>0</v>
      </c>
      <c r="Z168">
        <v>119185.18518518518</v>
      </c>
      <c r="AA168">
        <v>0</v>
      </c>
      <c r="AB168">
        <v>119185.18518518518</v>
      </c>
      <c r="AC168">
        <v>0</v>
      </c>
      <c r="AD168">
        <v>119185.18518518518</v>
      </c>
      <c r="AE168">
        <v>0</v>
      </c>
      <c r="AF168">
        <v>119185.18518518518</v>
      </c>
      <c r="AG168">
        <v>0</v>
      </c>
      <c r="AH168">
        <v>119185.18518518518</v>
      </c>
      <c r="AI168">
        <v>0</v>
      </c>
      <c r="AJ168">
        <v>119185.18518518518</v>
      </c>
      <c r="AK168">
        <v>0</v>
      </c>
      <c r="AL168">
        <v>119185.18518518518</v>
      </c>
      <c r="AM168">
        <v>0</v>
      </c>
      <c r="AN168">
        <v>119185.18518518518</v>
      </c>
      <c r="AO168">
        <v>0</v>
      </c>
      <c r="AP168">
        <v>119185.18518518518</v>
      </c>
      <c r="AQ168">
        <v>0</v>
      </c>
      <c r="AR168">
        <v>119185.18518518518</v>
      </c>
      <c r="AS168">
        <v>0</v>
      </c>
      <c r="AT168">
        <v>119185.18518518518</v>
      </c>
      <c r="AV168">
        <v>119185.18518518518</v>
      </c>
      <c r="AW168">
        <v>988.30223833622586</v>
      </c>
      <c r="AX168">
        <v>120173.48742352141</v>
      </c>
      <c r="AY168">
        <v>2588.8058010423701</v>
      </c>
      <c r="AZ168">
        <v>122762.29322456378</v>
      </c>
      <c r="BA168">
        <v>0</v>
      </c>
      <c r="BB168">
        <v>122762.29322456378</v>
      </c>
      <c r="BC168">
        <v>0</v>
      </c>
      <c r="BD168">
        <v>122762.29322456378</v>
      </c>
      <c r="BE168">
        <v>0</v>
      </c>
      <c r="BF168">
        <v>122762.29322456378</v>
      </c>
      <c r="BG168">
        <v>2454.9512803081889</v>
      </c>
      <c r="BH168">
        <v>125217.24450487195</v>
      </c>
      <c r="BI168">
        <v>0</v>
      </c>
      <c r="BJ168">
        <v>125217.24450487195</v>
      </c>
      <c r="BK168">
        <v>125217.24450487197</v>
      </c>
      <c r="BL168">
        <v>5525837</v>
      </c>
      <c r="BO168">
        <v>0</v>
      </c>
      <c r="BP168">
        <v>125217.24450487197</v>
      </c>
      <c r="BQ168">
        <v>5525837</v>
      </c>
      <c r="BR168" s="238" t="s">
        <v>36</v>
      </c>
      <c r="BU168">
        <v>125217.24450487197</v>
      </c>
      <c r="BV168">
        <v>0</v>
      </c>
      <c r="BW168">
        <v>5525837</v>
      </c>
      <c r="BX168" s="238"/>
      <c r="BY168" s="238" t="s">
        <v>3</v>
      </c>
      <c r="BZ168" s="238" t="s">
        <v>3</v>
      </c>
      <c r="CA168" s="238" t="s">
        <v>8951</v>
      </c>
      <c r="CB168" s="238" t="s">
        <v>1167</v>
      </c>
      <c r="CC168" s="238" t="s">
        <v>9077</v>
      </c>
      <c r="CD168" s="238" t="s">
        <v>8972</v>
      </c>
      <c r="CE168" t="b">
        <v>1</v>
      </c>
      <c r="CF168">
        <v>5525837</v>
      </c>
      <c r="CG168">
        <v>5525837</v>
      </c>
      <c r="CH168">
        <v>0</v>
      </c>
      <c r="CI168">
        <v>0</v>
      </c>
      <c r="CJ168">
        <v>0</v>
      </c>
    </row>
    <row r="169" spans="1:88" x14ac:dyDescent="0.25">
      <c r="A169">
        <v>168</v>
      </c>
      <c r="B169">
        <v>2</v>
      </c>
      <c r="C169">
        <v>7</v>
      </c>
      <c r="D169">
        <v>4</v>
      </c>
      <c r="E169">
        <v>1</v>
      </c>
      <c r="F169">
        <v>10.59</v>
      </c>
      <c r="I169">
        <v>10.59</v>
      </c>
      <c r="J169">
        <v>15.69</v>
      </c>
      <c r="K169">
        <v>3.94</v>
      </c>
      <c r="M169">
        <v>4.4400000000000004</v>
      </c>
      <c r="P169">
        <v>3.45</v>
      </c>
      <c r="R169">
        <v>3.45</v>
      </c>
      <c r="S169">
        <v>38.11</v>
      </c>
      <c r="T169">
        <v>34.659999999999997</v>
      </c>
      <c r="U169">
        <v>36.39</v>
      </c>
      <c r="V169">
        <v>118016.48</v>
      </c>
      <c r="W169">
        <v>0.51716713882342447</v>
      </c>
      <c r="X169">
        <v>118016.99716713882</v>
      </c>
      <c r="Y169">
        <v>0</v>
      </c>
      <c r="Z169">
        <v>118016.99716713882</v>
      </c>
      <c r="AA169">
        <v>0</v>
      </c>
      <c r="AB169">
        <v>118016.99716713882</v>
      </c>
      <c r="AC169">
        <v>500</v>
      </c>
      <c r="AD169">
        <v>118516.99716713882</v>
      </c>
      <c r="AE169">
        <v>0</v>
      </c>
      <c r="AF169">
        <v>118516.99716713882</v>
      </c>
      <c r="AG169">
        <v>500</v>
      </c>
      <c r="AH169">
        <v>119016.99716713882</v>
      </c>
      <c r="AI169">
        <v>500</v>
      </c>
      <c r="AJ169">
        <v>119516.99716713882</v>
      </c>
      <c r="AK169">
        <v>500</v>
      </c>
      <c r="AL169">
        <v>120016.99716713882</v>
      </c>
      <c r="AM169">
        <v>0</v>
      </c>
      <c r="AN169">
        <v>120016.99716713882</v>
      </c>
      <c r="AP169">
        <v>120016.99716713882</v>
      </c>
      <c r="AQ169">
        <v>0</v>
      </c>
      <c r="AR169">
        <v>120016.99716713882</v>
      </c>
      <c r="AS169">
        <v>0</v>
      </c>
      <c r="AT169">
        <v>120016.99716713882</v>
      </c>
      <c r="AV169">
        <v>120016.99716713882</v>
      </c>
      <c r="AX169">
        <v>116422.09398186315</v>
      </c>
      <c r="AY169">
        <v>0</v>
      </c>
      <c r="AZ169">
        <v>116422.09398186315</v>
      </c>
      <c r="BA169">
        <v>0</v>
      </c>
      <c r="BB169">
        <v>116422.09398186315</v>
      </c>
      <c r="BC169">
        <v>0</v>
      </c>
      <c r="BD169">
        <v>116422.09398186315</v>
      </c>
      <c r="BE169">
        <v>0</v>
      </c>
      <c r="BF169">
        <v>116422.09398186315</v>
      </c>
      <c r="BG169">
        <v>0</v>
      </c>
      <c r="BH169">
        <v>116422.09398186316</v>
      </c>
      <c r="BI169">
        <v>0</v>
      </c>
      <c r="BJ169">
        <v>116422.09398186316</v>
      </c>
      <c r="BK169">
        <v>116422.09398186315</v>
      </c>
      <c r="BL169">
        <v>4236600</v>
      </c>
      <c r="BO169">
        <v>0</v>
      </c>
      <c r="BP169">
        <v>116422.09398186315</v>
      </c>
      <c r="BQ169">
        <v>4236600</v>
      </c>
      <c r="BR169" s="238" t="s">
        <v>36</v>
      </c>
      <c r="BU169">
        <v>116422.09398186315</v>
      </c>
      <c r="BV169">
        <v>0</v>
      </c>
      <c r="BW169">
        <v>4236600</v>
      </c>
      <c r="BX169" s="238"/>
      <c r="BY169" s="238" t="s">
        <v>8963</v>
      </c>
      <c r="BZ169" s="238" t="s">
        <v>8963</v>
      </c>
      <c r="CA169" s="238" t="s">
        <v>8953</v>
      </c>
      <c r="CB169" s="238" t="s">
        <v>8964</v>
      </c>
      <c r="CC169" s="238" t="s">
        <v>9077</v>
      </c>
      <c r="CD169" s="238" t="s">
        <v>8972</v>
      </c>
      <c r="CE169" t="b">
        <v>1</v>
      </c>
      <c r="CF169">
        <v>4236600</v>
      </c>
      <c r="CG169">
        <v>4528699</v>
      </c>
      <c r="CH169">
        <v>4236600</v>
      </c>
      <c r="CI169">
        <v>0</v>
      </c>
      <c r="CJ169">
        <v>0</v>
      </c>
    </row>
    <row r="170" spans="1:88" x14ac:dyDescent="0.25">
      <c r="A170">
        <v>169</v>
      </c>
      <c r="B170">
        <v>2</v>
      </c>
      <c r="C170">
        <v>7</v>
      </c>
      <c r="D170">
        <v>5</v>
      </c>
      <c r="E170">
        <v>1</v>
      </c>
      <c r="F170">
        <v>10.59</v>
      </c>
      <c r="I170">
        <v>10.59</v>
      </c>
      <c r="J170">
        <v>15.69</v>
      </c>
      <c r="K170">
        <v>3.89</v>
      </c>
      <c r="M170">
        <v>4.4400000000000004</v>
      </c>
      <c r="P170">
        <v>3.39</v>
      </c>
      <c r="R170">
        <v>3.39</v>
      </c>
      <c r="S170">
        <v>38</v>
      </c>
      <c r="T170">
        <v>34.61</v>
      </c>
      <c r="U170">
        <v>36.31</v>
      </c>
      <c r="V170">
        <v>118016.48</v>
      </c>
      <c r="W170">
        <v>0.56545454544539098</v>
      </c>
      <c r="X170">
        <v>118017.04545454544</v>
      </c>
      <c r="Y170">
        <v>0</v>
      </c>
      <c r="Z170">
        <v>118017.04545454544</v>
      </c>
      <c r="AB170">
        <v>118516.98863636363</v>
      </c>
      <c r="AC170">
        <v>0</v>
      </c>
      <c r="AD170">
        <v>118516.98863636363</v>
      </c>
      <c r="AE170">
        <v>0</v>
      </c>
      <c r="AF170">
        <v>118516.98863636363</v>
      </c>
      <c r="AG170">
        <v>0</v>
      </c>
      <c r="AH170">
        <v>118516.98863636363</v>
      </c>
      <c r="AI170">
        <v>500</v>
      </c>
      <c r="AJ170">
        <v>119016.98863636363</v>
      </c>
      <c r="AK170">
        <v>0</v>
      </c>
      <c r="AL170">
        <v>119016.98863636363</v>
      </c>
      <c r="AM170">
        <v>0</v>
      </c>
      <c r="AN170">
        <v>119016.98863636363</v>
      </c>
      <c r="AP170">
        <v>118017.04545454544</v>
      </c>
      <c r="AQ170">
        <v>0</v>
      </c>
      <c r="AR170">
        <v>118017.04545454544</v>
      </c>
      <c r="AS170">
        <v>0</v>
      </c>
      <c r="AT170">
        <v>118017.04545454544</v>
      </c>
      <c r="AV170">
        <v>118017.04545454544</v>
      </c>
      <c r="AX170">
        <v>114409.25364913246</v>
      </c>
      <c r="AY170">
        <v>0</v>
      </c>
      <c r="AZ170">
        <v>114409.25364913246</v>
      </c>
      <c r="BA170">
        <v>0</v>
      </c>
      <c r="BB170">
        <v>114409.25364913246</v>
      </c>
      <c r="BC170">
        <v>0</v>
      </c>
      <c r="BD170">
        <v>114409.25364913246</v>
      </c>
      <c r="BE170">
        <v>0</v>
      </c>
      <c r="BF170">
        <v>114409.25364913246</v>
      </c>
      <c r="BG170">
        <v>0</v>
      </c>
      <c r="BH170">
        <v>114409.25364913246</v>
      </c>
      <c r="BI170">
        <v>0</v>
      </c>
      <c r="BJ170">
        <v>114409.25364913246</v>
      </c>
      <c r="BK170">
        <v>114409.25364913246</v>
      </c>
      <c r="BL170">
        <v>4154200</v>
      </c>
      <c r="BO170">
        <v>0</v>
      </c>
      <c r="BP170">
        <v>114409.25364913246</v>
      </c>
      <c r="BQ170">
        <v>4154200</v>
      </c>
      <c r="BR170" s="238" t="s">
        <v>36</v>
      </c>
      <c r="BU170">
        <v>114409.25364913246</v>
      </c>
      <c r="BV170">
        <v>0</v>
      </c>
      <c r="BW170">
        <v>4154200</v>
      </c>
      <c r="BX170" s="238"/>
      <c r="BY170" s="238" t="s">
        <v>8963</v>
      </c>
      <c r="BZ170" s="238" t="s">
        <v>8963</v>
      </c>
      <c r="CA170" s="238" t="s">
        <v>8953</v>
      </c>
      <c r="CB170" s="238" t="s">
        <v>8964</v>
      </c>
      <c r="CC170" s="238" t="s">
        <v>9077</v>
      </c>
      <c r="CD170" s="238" t="s">
        <v>8972</v>
      </c>
      <c r="CE170" t="b">
        <v>1</v>
      </c>
      <c r="CF170">
        <v>4154200</v>
      </c>
      <c r="CG170">
        <v>4370901</v>
      </c>
      <c r="CH170">
        <v>4154200</v>
      </c>
      <c r="CI170">
        <v>0</v>
      </c>
      <c r="CJ170">
        <v>0</v>
      </c>
    </row>
    <row r="171" spans="1:88" x14ac:dyDescent="0.25">
      <c r="A171">
        <v>170</v>
      </c>
      <c r="B171">
        <v>2</v>
      </c>
      <c r="C171">
        <v>7</v>
      </c>
      <c r="D171">
        <v>6</v>
      </c>
      <c r="E171">
        <v>3</v>
      </c>
      <c r="F171">
        <v>12.4</v>
      </c>
      <c r="G171">
        <v>11.28</v>
      </c>
      <c r="H171">
        <v>11.28</v>
      </c>
      <c r="I171">
        <v>34.96</v>
      </c>
      <c r="J171">
        <v>17.93</v>
      </c>
      <c r="K171">
        <v>4.67</v>
      </c>
      <c r="L171">
        <v>3.54</v>
      </c>
      <c r="M171">
        <v>9.89</v>
      </c>
      <c r="P171">
        <v>2.79</v>
      </c>
      <c r="Q171">
        <v>3.6</v>
      </c>
      <c r="R171">
        <v>6.3900000000000006</v>
      </c>
      <c r="S171">
        <v>77.38</v>
      </c>
      <c r="T171">
        <v>70.989999999999995</v>
      </c>
      <c r="U171">
        <v>74.19</v>
      </c>
      <c r="V171">
        <v>104186.56</v>
      </c>
      <c r="W171">
        <v>500.43507389162551</v>
      </c>
      <c r="X171">
        <v>104686.99507389162</v>
      </c>
      <c r="Y171">
        <v>0</v>
      </c>
      <c r="Z171">
        <v>104686.99507389162</v>
      </c>
      <c r="AA171">
        <v>0</v>
      </c>
      <c r="AB171">
        <v>104686.99507389162</v>
      </c>
      <c r="AC171">
        <v>0</v>
      </c>
      <c r="AD171">
        <v>104686.99507389162</v>
      </c>
      <c r="AE171">
        <v>500</v>
      </c>
      <c r="AF171">
        <v>105186.99507389162</v>
      </c>
      <c r="AG171">
        <v>0</v>
      </c>
      <c r="AH171">
        <v>105186.99507389162</v>
      </c>
      <c r="AI171">
        <v>0</v>
      </c>
      <c r="AJ171">
        <v>105186.99507389162</v>
      </c>
      <c r="AK171">
        <v>0</v>
      </c>
      <c r="AL171">
        <v>105186.99507389162</v>
      </c>
      <c r="AN171">
        <v>105686.99507389162</v>
      </c>
      <c r="AP171">
        <v>105186.99507389162</v>
      </c>
      <c r="AR171">
        <v>105186.99507389162</v>
      </c>
      <c r="AS171">
        <v>0</v>
      </c>
      <c r="AT171">
        <v>105186.99507389162</v>
      </c>
      <c r="AV171">
        <v>105186.99507389162</v>
      </c>
      <c r="AX171">
        <v>100735.08559105001</v>
      </c>
      <c r="AY171">
        <v>0</v>
      </c>
      <c r="AZ171">
        <v>100735.08559105001</v>
      </c>
      <c r="BA171">
        <v>0</v>
      </c>
      <c r="BB171">
        <v>100735.08559105001</v>
      </c>
      <c r="BC171">
        <v>0</v>
      </c>
      <c r="BD171">
        <v>100735.08559105001</v>
      </c>
      <c r="BE171">
        <v>0</v>
      </c>
      <c r="BF171">
        <v>100735.08559105001</v>
      </c>
      <c r="BG171">
        <v>0</v>
      </c>
      <c r="BH171">
        <v>100735.08559105</v>
      </c>
      <c r="BI171">
        <v>0</v>
      </c>
      <c r="BJ171">
        <v>100735.08559105</v>
      </c>
      <c r="BK171">
        <v>100735.08559105001</v>
      </c>
      <c r="BL171">
        <v>7473536</v>
      </c>
      <c r="BN171">
        <v>0.02</v>
      </c>
      <c r="BO171">
        <v>149471</v>
      </c>
      <c r="BP171">
        <v>98720.380105135468</v>
      </c>
      <c r="BQ171">
        <v>7324065</v>
      </c>
      <c r="BR171" s="238" t="s">
        <v>36</v>
      </c>
      <c r="BU171">
        <v>98720.380105135468</v>
      </c>
      <c r="BV171">
        <v>0</v>
      </c>
      <c r="BW171">
        <v>7324065</v>
      </c>
      <c r="BX171" s="238" t="s">
        <v>3540</v>
      </c>
      <c r="BY171" s="238" t="s">
        <v>8963</v>
      </c>
      <c r="BZ171" s="238" t="s">
        <v>8963</v>
      </c>
      <c r="CA171" s="238" t="s">
        <v>8953</v>
      </c>
      <c r="CB171" s="238" t="s">
        <v>8964</v>
      </c>
      <c r="CC171" s="238" t="s">
        <v>9077</v>
      </c>
      <c r="CD171" s="238" t="s">
        <v>8990</v>
      </c>
      <c r="CE171" t="b">
        <v>1</v>
      </c>
      <c r="CF171">
        <v>7473536</v>
      </c>
      <c r="CG171">
        <v>7959976</v>
      </c>
      <c r="CH171">
        <v>7473536</v>
      </c>
      <c r="CI171">
        <v>0</v>
      </c>
      <c r="CJ171">
        <v>0</v>
      </c>
    </row>
    <row r="172" spans="1:88" x14ac:dyDescent="0.25">
      <c r="A172">
        <v>171</v>
      </c>
      <c r="B172">
        <v>2</v>
      </c>
      <c r="C172">
        <v>7</v>
      </c>
      <c r="D172">
        <v>7</v>
      </c>
      <c r="E172">
        <v>0</v>
      </c>
      <c r="F172">
        <v>16.989999999999998</v>
      </c>
      <c r="I172">
        <v>16.989999999999998</v>
      </c>
      <c r="J172">
        <v>7.49</v>
      </c>
      <c r="K172">
        <v>4.9400000000000004</v>
      </c>
      <c r="P172">
        <v>3.49</v>
      </c>
      <c r="R172">
        <v>3.49</v>
      </c>
      <c r="S172">
        <v>32.909999999999997</v>
      </c>
      <c r="T172">
        <v>29.42</v>
      </c>
      <c r="U172">
        <v>31.17</v>
      </c>
      <c r="V172">
        <v>138273.04</v>
      </c>
      <c r="W172">
        <v>2.5902521008392796</v>
      </c>
      <c r="X172">
        <v>138275.63025210085</v>
      </c>
      <c r="Y172">
        <v>0</v>
      </c>
      <c r="Z172">
        <v>138275.63025210085</v>
      </c>
      <c r="AA172">
        <v>0</v>
      </c>
      <c r="AB172">
        <v>138275.63025210085</v>
      </c>
      <c r="AC172">
        <v>0</v>
      </c>
      <c r="AD172">
        <v>138275.63025210085</v>
      </c>
      <c r="AE172">
        <v>0</v>
      </c>
      <c r="AF172">
        <v>138275.63025210085</v>
      </c>
      <c r="AG172">
        <v>0</v>
      </c>
      <c r="AH172">
        <v>138275.63025210085</v>
      </c>
      <c r="AI172">
        <v>0</v>
      </c>
      <c r="AJ172">
        <v>138275.63025210085</v>
      </c>
      <c r="AK172">
        <v>0</v>
      </c>
      <c r="AL172">
        <v>138275.63025210085</v>
      </c>
      <c r="AM172">
        <v>0</v>
      </c>
      <c r="AN172">
        <v>138275.63025210085</v>
      </c>
      <c r="AO172">
        <v>0</v>
      </c>
      <c r="AP172">
        <v>138275.63025210085</v>
      </c>
      <c r="AQ172">
        <v>0</v>
      </c>
      <c r="AR172">
        <v>138275.63025210085</v>
      </c>
      <c r="AS172">
        <v>0</v>
      </c>
      <c r="AT172">
        <v>138275.63025210085</v>
      </c>
      <c r="AV172">
        <v>138275.63025210085</v>
      </c>
      <c r="AW172">
        <v>-2339.7303483472497</v>
      </c>
      <c r="AX172">
        <v>135935.8999037536</v>
      </c>
      <c r="AY172">
        <v>6489.5091434071364</v>
      </c>
      <c r="AZ172">
        <v>142425.40904716073</v>
      </c>
      <c r="BA172">
        <v>0</v>
      </c>
      <c r="BB172">
        <v>142425.40904716073</v>
      </c>
      <c r="BC172">
        <v>0</v>
      </c>
      <c r="BD172">
        <v>142425.40904716073</v>
      </c>
      <c r="BE172">
        <v>0</v>
      </c>
      <c r="BF172">
        <v>142425.40904716073</v>
      </c>
      <c r="BG172">
        <v>0</v>
      </c>
      <c r="BH172">
        <v>142425.40904716073</v>
      </c>
      <c r="BI172">
        <v>0</v>
      </c>
      <c r="BJ172">
        <v>142425.40904716073</v>
      </c>
      <c r="BK172">
        <v>142425.40904716073</v>
      </c>
      <c r="BL172">
        <v>4439400</v>
      </c>
      <c r="BO172">
        <v>0</v>
      </c>
      <c r="BP172">
        <v>142425.40904716073</v>
      </c>
      <c r="BQ172">
        <v>4439400</v>
      </c>
      <c r="BR172" s="238" t="s">
        <v>36</v>
      </c>
      <c r="BU172">
        <v>142425.40904716073</v>
      </c>
      <c r="BV172">
        <v>0</v>
      </c>
      <c r="BW172">
        <v>4439400</v>
      </c>
      <c r="BX172" s="238"/>
      <c r="BY172" s="238" t="s">
        <v>3</v>
      </c>
      <c r="BZ172" s="238" t="s">
        <v>3</v>
      </c>
      <c r="CA172" s="238" t="s">
        <v>8951</v>
      </c>
      <c r="CB172" s="238" t="s">
        <v>1167</v>
      </c>
      <c r="CC172" s="238" t="s">
        <v>9077</v>
      </c>
      <c r="CD172" s="238" t="s">
        <v>8970</v>
      </c>
      <c r="CE172" t="b">
        <v>1</v>
      </c>
      <c r="CF172">
        <v>4439400</v>
      </c>
      <c r="CG172">
        <v>4439400</v>
      </c>
      <c r="CH172">
        <v>0</v>
      </c>
      <c r="CI172">
        <v>0</v>
      </c>
      <c r="CJ172">
        <v>0</v>
      </c>
    </row>
    <row r="173" spans="1:88" x14ac:dyDescent="0.25">
      <c r="A173">
        <v>172</v>
      </c>
      <c r="B173">
        <v>2</v>
      </c>
      <c r="C173">
        <v>8</v>
      </c>
      <c r="D173">
        <v>1</v>
      </c>
      <c r="E173">
        <v>0</v>
      </c>
      <c r="F173">
        <v>16.989999999999998</v>
      </c>
      <c r="I173">
        <v>16.989999999999998</v>
      </c>
      <c r="J173">
        <v>7.49</v>
      </c>
      <c r="K173">
        <v>4.91</v>
      </c>
      <c r="P173">
        <v>3.49</v>
      </c>
      <c r="R173">
        <v>3.49</v>
      </c>
      <c r="S173">
        <v>32.880000000000003</v>
      </c>
      <c r="T173">
        <v>29.39</v>
      </c>
      <c r="U173">
        <v>31.14</v>
      </c>
      <c r="V173">
        <v>138273.04</v>
      </c>
      <c r="W173">
        <v>2.5902521008392796</v>
      </c>
      <c r="X173">
        <v>138275.63025210085</v>
      </c>
      <c r="Y173">
        <v>0</v>
      </c>
      <c r="Z173">
        <v>138275.63025210085</v>
      </c>
      <c r="AA173">
        <v>0</v>
      </c>
      <c r="AB173">
        <v>138275.63025210085</v>
      </c>
      <c r="AC173">
        <v>0</v>
      </c>
      <c r="AD173">
        <v>138275.63025210085</v>
      </c>
      <c r="AE173">
        <v>0</v>
      </c>
      <c r="AF173">
        <v>138275.63025210085</v>
      </c>
      <c r="AG173">
        <v>0</v>
      </c>
      <c r="AH173">
        <v>138275.63025210085</v>
      </c>
      <c r="AI173">
        <v>0</v>
      </c>
      <c r="AJ173">
        <v>138275.63025210085</v>
      </c>
      <c r="AK173">
        <v>0</v>
      </c>
      <c r="AL173">
        <v>138275.63025210085</v>
      </c>
      <c r="AM173">
        <v>0</v>
      </c>
      <c r="AN173">
        <v>138275.63025210085</v>
      </c>
      <c r="AO173">
        <v>0</v>
      </c>
      <c r="AP173">
        <v>138275.63025210085</v>
      </c>
      <c r="AQ173">
        <v>0</v>
      </c>
      <c r="AR173">
        <v>138275.63025210085</v>
      </c>
      <c r="AS173">
        <v>0</v>
      </c>
      <c r="AT173">
        <v>138275.63025210085</v>
      </c>
      <c r="AV173">
        <v>138275.63025210085</v>
      </c>
      <c r="AW173">
        <v>-2208.7709072068101</v>
      </c>
      <c r="AX173">
        <v>136066.85934489404</v>
      </c>
      <c r="AY173">
        <v>6357.6750160565134</v>
      </c>
      <c r="AZ173">
        <v>142424.53436095055</v>
      </c>
      <c r="BA173">
        <v>0</v>
      </c>
      <c r="BB173">
        <v>142424.53436095055</v>
      </c>
      <c r="BC173">
        <v>0</v>
      </c>
      <c r="BD173">
        <v>142424.53436095055</v>
      </c>
      <c r="BE173">
        <v>0</v>
      </c>
      <c r="BF173">
        <v>142424.53436095055</v>
      </c>
      <c r="BG173">
        <v>0</v>
      </c>
      <c r="BH173">
        <v>142424.53436095055</v>
      </c>
      <c r="BI173">
        <v>0</v>
      </c>
      <c r="BJ173">
        <v>142424.53436095055</v>
      </c>
      <c r="BK173">
        <v>142424.53436095055</v>
      </c>
      <c r="BL173">
        <v>4435100</v>
      </c>
      <c r="BO173">
        <v>0</v>
      </c>
      <c r="BP173">
        <v>142424.53436095055</v>
      </c>
      <c r="BQ173">
        <v>4435100</v>
      </c>
      <c r="BR173" s="238" t="s">
        <v>36</v>
      </c>
      <c r="BU173">
        <v>142424.53436095055</v>
      </c>
      <c r="BV173">
        <v>0</v>
      </c>
      <c r="BW173">
        <v>4435100</v>
      </c>
      <c r="BX173" s="238"/>
      <c r="BY173" s="238" t="s">
        <v>35</v>
      </c>
      <c r="BZ173" s="238" t="s">
        <v>35</v>
      </c>
      <c r="CA173" s="238" t="s">
        <v>8953</v>
      </c>
      <c r="CB173" s="238" t="s">
        <v>8954</v>
      </c>
      <c r="CC173" s="238" t="s">
        <v>9077</v>
      </c>
      <c r="CD173" s="238" t="s">
        <v>8970</v>
      </c>
      <c r="CE173" t="b">
        <v>1</v>
      </c>
      <c r="CF173">
        <v>4435100</v>
      </c>
      <c r="CG173">
        <v>4435100</v>
      </c>
      <c r="CH173">
        <v>0</v>
      </c>
      <c r="CI173">
        <v>0</v>
      </c>
      <c r="CJ173">
        <v>0</v>
      </c>
    </row>
    <row r="174" spans="1:88" x14ac:dyDescent="0.25">
      <c r="A174">
        <v>173</v>
      </c>
      <c r="B174">
        <v>2</v>
      </c>
      <c r="C174">
        <v>8</v>
      </c>
      <c r="D174">
        <v>2</v>
      </c>
      <c r="E174">
        <v>1</v>
      </c>
      <c r="F174">
        <v>11.31</v>
      </c>
      <c r="I174">
        <v>11.31</v>
      </c>
      <c r="J174">
        <v>16.18</v>
      </c>
      <c r="K174">
        <v>4.1100000000000003</v>
      </c>
      <c r="M174">
        <v>3.01</v>
      </c>
      <c r="P174">
        <v>2.77</v>
      </c>
      <c r="R174">
        <v>2.77</v>
      </c>
      <c r="S174">
        <v>37.380000000000003</v>
      </c>
      <c r="T174">
        <v>34.61</v>
      </c>
      <c r="U174">
        <v>36</v>
      </c>
      <c r="V174">
        <v>119184.96000000001</v>
      </c>
      <c r="W174">
        <v>1.2864183381025214</v>
      </c>
      <c r="X174">
        <v>119186.24641833811</v>
      </c>
      <c r="Y174">
        <v>0</v>
      </c>
      <c r="Z174">
        <v>119186.24641833811</v>
      </c>
      <c r="AA174">
        <v>0</v>
      </c>
      <c r="AB174">
        <v>119186.24641833811</v>
      </c>
      <c r="AC174">
        <v>0</v>
      </c>
      <c r="AD174">
        <v>119186.24641833811</v>
      </c>
      <c r="AE174">
        <v>0</v>
      </c>
      <c r="AF174">
        <v>119186.24641833811</v>
      </c>
      <c r="AG174">
        <v>0</v>
      </c>
      <c r="AH174">
        <v>119186.24641833811</v>
      </c>
      <c r="AI174">
        <v>0</v>
      </c>
      <c r="AJ174">
        <v>119186.24641833811</v>
      </c>
      <c r="AK174">
        <v>0</v>
      </c>
      <c r="AL174">
        <v>119186.24641833811</v>
      </c>
      <c r="AM174">
        <v>0</v>
      </c>
      <c r="AN174">
        <v>119186.24641833811</v>
      </c>
      <c r="AO174">
        <v>0</v>
      </c>
      <c r="AP174">
        <v>119186.24641833811</v>
      </c>
      <c r="AQ174">
        <v>0</v>
      </c>
      <c r="AR174">
        <v>119186.24641833811</v>
      </c>
      <c r="AS174">
        <v>0</v>
      </c>
      <c r="AT174">
        <v>119186.24641833811</v>
      </c>
      <c r="AV174">
        <v>119186.24641833811</v>
      </c>
      <c r="AW174">
        <v>-175.71864056032791</v>
      </c>
      <c r="AX174">
        <v>119010.52777777778</v>
      </c>
      <c r="AY174">
        <v>3753.3611111111095</v>
      </c>
      <c r="AZ174">
        <v>122763.88888888889</v>
      </c>
      <c r="BA174">
        <v>0</v>
      </c>
      <c r="BB174">
        <v>122763.88888888889</v>
      </c>
      <c r="BC174">
        <v>0</v>
      </c>
      <c r="BD174">
        <v>122763.88888888889</v>
      </c>
      <c r="BE174">
        <v>0</v>
      </c>
      <c r="BF174">
        <v>122763.88888888889</v>
      </c>
      <c r="BG174">
        <v>2455.3888888888905</v>
      </c>
      <c r="BH174">
        <v>125219.27777777778</v>
      </c>
      <c r="BI174">
        <v>0</v>
      </c>
      <c r="BJ174">
        <v>125219.27777777778</v>
      </c>
      <c r="BK174">
        <v>125219.27777777778</v>
      </c>
      <c r="BL174">
        <v>4507894</v>
      </c>
      <c r="BO174">
        <v>0</v>
      </c>
      <c r="BP174">
        <v>125219.27777777778</v>
      </c>
      <c r="BQ174">
        <v>4507894</v>
      </c>
      <c r="BR174" s="238" t="s">
        <v>36</v>
      </c>
      <c r="BU174">
        <v>125219.27777777778</v>
      </c>
      <c r="BV174">
        <v>0</v>
      </c>
      <c r="BW174">
        <v>4507894</v>
      </c>
      <c r="BX174" s="238"/>
      <c r="BY174" s="238" t="s">
        <v>35</v>
      </c>
      <c r="BZ174" s="238" t="s">
        <v>35</v>
      </c>
      <c r="CA174" s="238" t="s">
        <v>8953</v>
      </c>
      <c r="CB174" s="238" t="s">
        <v>8954</v>
      </c>
      <c r="CC174" s="238" t="s">
        <v>9077</v>
      </c>
      <c r="CD174" s="238" t="s">
        <v>8972</v>
      </c>
      <c r="CE174" t="b">
        <v>1</v>
      </c>
      <c r="CF174">
        <v>4507894</v>
      </c>
      <c r="CG174">
        <v>4507894</v>
      </c>
      <c r="CH174">
        <v>0</v>
      </c>
      <c r="CI174">
        <v>0</v>
      </c>
      <c r="CJ174">
        <v>0</v>
      </c>
    </row>
    <row r="175" spans="1:88" x14ac:dyDescent="0.25">
      <c r="A175">
        <v>174</v>
      </c>
      <c r="B175">
        <v>2</v>
      </c>
      <c r="C175">
        <v>8</v>
      </c>
      <c r="D175">
        <v>3</v>
      </c>
      <c r="E175">
        <v>1</v>
      </c>
      <c r="F175">
        <v>15.45</v>
      </c>
      <c r="I175">
        <v>15.45</v>
      </c>
      <c r="J175">
        <v>17.71</v>
      </c>
      <c r="K175">
        <v>4.01</v>
      </c>
      <c r="M175">
        <v>5.04</v>
      </c>
      <c r="P175">
        <v>3.84</v>
      </c>
      <c r="R175">
        <v>3.84</v>
      </c>
      <c r="S175">
        <v>46.05</v>
      </c>
      <c r="T175">
        <v>42.21</v>
      </c>
      <c r="U175">
        <v>44.13</v>
      </c>
      <c r="V175">
        <v>119184.96000000001</v>
      </c>
      <c r="W175">
        <v>0.22518518517608754</v>
      </c>
      <c r="X175">
        <v>119185.18518518518</v>
      </c>
      <c r="Y175">
        <v>0</v>
      </c>
      <c r="Z175">
        <v>119185.18518518518</v>
      </c>
      <c r="AA175">
        <v>0</v>
      </c>
      <c r="AB175">
        <v>119185.18518518518</v>
      </c>
      <c r="AC175">
        <v>0</v>
      </c>
      <c r="AD175">
        <v>119185.18518518518</v>
      </c>
      <c r="AE175">
        <v>0</v>
      </c>
      <c r="AF175">
        <v>119185.18518518518</v>
      </c>
      <c r="AG175">
        <v>0</v>
      </c>
      <c r="AH175">
        <v>119185.18518518518</v>
      </c>
      <c r="AI175">
        <v>0</v>
      </c>
      <c r="AJ175">
        <v>119185.18518518518</v>
      </c>
      <c r="AK175">
        <v>0</v>
      </c>
      <c r="AL175">
        <v>119185.18518518518</v>
      </c>
      <c r="AM175">
        <v>0</v>
      </c>
      <c r="AN175">
        <v>119185.18518518518</v>
      </c>
      <c r="AO175">
        <v>0</v>
      </c>
      <c r="AP175">
        <v>119185.18518518518</v>
      </c>
      <c r="AQ175">
        <v>0</v>
      </c>
      <c r="AR175">
        <v>119185.18518518518</v>
      </c>
      <c r="AS175">
        <v>0</v>
      </c>
      <c r="AT175">
        <v>119185.18518518518</v>
      </c>
      <c r="AV175">
        <v>119185.18518518518</v>
      </c>
      <c r="AW175">
        <v>988.30223833622586</v>
      </c>
      <c r="AX175">
        <v>120173.48742352141</v>
      </c>
      <c r="AY175">
        <v>2588.8058010423701</v>
      </c>
      <c r="AZ175">
        <v>122762.29322456378</v>
      </c>
      <c r="BA175">
        <v>0</v>
      </c>
      <c r="BB175">
        <v>122762.29322456378</v>
      </c>
      <c r="BC175">
        <v>0</v>
      </c>
      <c r="BD175">
        <v>122762.29322456378</v>
      </c>
      <c r="BE175">
        <v>0</v>
      </c>
      <c r="BF175">
        <v>122762.29322456378</v>
      </c>
      <c r="BG175">
        <v>2454.9512803081889</v>
      </c>
      <c r="BH175">
        <v>125217.24450487195</v>
      </c>
      <c r="BI175">
        <v>0</v>
      </c>
      <c r="BJ175">
        <v>125217.24450487195</v>
      </c>
      <c r="BK175">
        <v>125217.24450487197</v>
      </c>
      <c r="BL175">
        <v>5525837</v>
      </c>
      <c r="BO175">
        <v>0</v>
      </c>
      <c r="BP175">
        <v>125217.24450487197</v>
      </c>
      <c r="BQ175">
        <v>5525837</v>
      </c>
      <c r="BR175" s="238" t="s">
        <v>36</v>
      </c>
      <c r="BU175">
        <v>125217.24450487197</v>
      </c>
      <c r="BV175">
        <v>0</v>
      </c>
      <c r="BW175">
        <v>5525837</v>
      </c>
      <c r="BX175" s="238"/>
      <c r="BY175" s="238" t="s">
        <v>3</v>
      </c>
      <c r="BZ175" s="238" t="s">
        <v>3</v>
      </c>
      <c r="CA175" s="238" t="s">
        <v>8951</v>
      </c>
      <c r="CB175" s="238" t="s">
        <v>1167</v>
      </c>
      <c r="CC175" s="238" t="s">
        <v>9077</v>
      </c>
      <c r="CD175" s="238" t="s">
        <v>8972</v>
      </c>
      <c r="CE175" t="b">
        <v>1</v>
      </c>
      <c r="CF175">
        <v>5525837</v>
      </c>
      <c r="CG175">
        <v>5525837</v>
      </c>
      <c r="CH175">
        <v>0</v>
      </c>
      <c r="CI175">
        <v>0</v>
      </c>
      <c r="CJ175">
        <v>0</v>
      </c>
    </row>
    <row r="176" spans="1:88" x14ac:dyDescent="0.25">
      <c r="A176">
        <v>175</v>
      </c>
      <c r="B176">
        <v>2</v>
      </c>
      <c r="C176">
        <v>8</v>
      </c>
      <c r="D176">
        <v>4</v>
      </c>
      <c r="E176">
        <v>1</v>
      </c>
      <c r="F176">
        <v>10.59</v>
      </c>
      <c r="I176">
        <v>10.59</v>
      </c>
      <c r="J176">
        <v>15.69</v>
      </c>
      <c r="K176">
        <v>3.94</v>
      </c>
      <c r="M176">
        <v>4.4400000000000004</v>
      </c>
      <c r="P176">
        <v>3.45</v>
      </c>
      <c r="R176">
        <v>3.45</v>
      </c>
      <c r="S176">
        <v>38.11</v>
      </c>
      <c r="T176">
        <v>34.659999999999997</v>
      </c>
      <c r="U176">
        <v>36.39</v>
      </c>
      <c r="V176">
        <v>118016.48</v>
      </c>
      <c r="W176">
        <v>0.51716713882342447</v>
      </c>
      <c r="X176">
        <v>118016.99716713882</v>
      </c>
      <c r="Y176">
        <v>0</v>
      </c>
      <c r="Z176">
        <v>118016.99716713882</v>
      </c>
      <c r="AA176">
        <v>0</v>
      </c>
      <c r="AB176">
        <v>118016.99716713882</v>
      </c>
      <c r="AD176">
        <v>118516.99716713882</v>
      </c>
      <c r="AE176">
        <v>0</v>
      </c>
      <c r="AF176">
        <v>118516.99716713882</v>
      </c>
      <c r="AH176">
        <v>119016.99716713882</v>
      </c>
      <c r="AJ176">
        <v>119516.99716713882</v>
      </c>
      <c r="AL176">
        <v>120016.99716713882</v>
      </c>
      <c r="AM176">
        <v>0</v>
      </c>
      <c r="AN176">
        <v>120016.99716713882</v>
      </c>
      <c r="AP176">
        <v>118016.99716713882</v>
      </c>
      <c r="AQ176">
        <v>0</v>
      </c>
      <c r="AR176">
        <v>118016.99716713882</v>
      </c>
      <c r="AS176">
        <v>0</v>
      </c>
      <c r="AT176">
        <v>118016.99716713882</v>
      </c>
      <c r="AV176">
        <v>118016.99716713882</v>
      </c>
      <c r="AX176">
        <v>114482.00054960154</v>
      </c>
      <c r="AY176">
        <v>0</v>
      </c>
      <c r="AZ176">
        <v>114482.00054960154</v>
      </c>
      <c r="BA176">
        <v>0</v>
      </c>
      <c r="BB176">
        <v>114482.00054960154</v>
      </c>
      <c r="BC176">
        <v>0</v>
      </c>
      <c r="BD176">
        <v>114482.00054960154</v>
      </c>
      <c r="BE176">
        <v>0</v>
      </c>
      <c r="BF176">
        <v>114482.00054960154</v>
      </c>
      <c r="BG176">
        <v>0</v>
      </c>
      <c r="BH176">
        <v>114482.00054960154</v>
      </c>
      <c r="BI176">
        <v>0</v>
      </c>
      <c r="BJ176">
        <v>114482.00054960154</v>
      </c>
      <c r="BK176">
        <v>114482.00054960154</v>
      </c>
      <c r="BL176">
        <v>4166000</v>
      </c>
      <c r="BO176">
        <v>0</v>
      </c>
      <c r="BP176">
        <v>114482.00054960154</v>
      </c>
      <c r="BQ176">
        <v>4166000</v>
      </c>
      <c r="BR176" s="238" t="s">
        <v>36</v>
      </c>
      <c r="BU176">
        <v>114482.00054960154</v>
      </c>
      <c r="BV176">
        <v>0</v>
      </c>
      <c r="BW176">
        <v>4166000</v>
      </c>
      <c r="BX176" s="238"/>
      <c r="BY176" s="238" t="s">
        <v>8963</v>
      </c>
      <c r="BZ176" s="238" t="s">
        <v>8963</v>
      </c>
      <c r="CA176" s="238" t="s">
        <v>8953</v>
      </c>
      <c r="CB176" s="238" t="s">
        <v>8964</v>
      </c>
      <c r="CC176" s="238" t="s">
        <v>9077</v>
      </c>
      <c r="CD176" s="238" t="s">
        <v>8972</v>
      </c>
      <c r="CE176" t="b">
        <v>1</v>
      </c>
      <c r="CF176">
        <v>4166000</v>
      </c>
      <c r="CG176">
        <v>4454464</v>
      </c>
      <c r="CH176">
        <v>4166000</v>
      </c>
      <c r="CI176">
        <v>4166000</v>
      </c>
      <c r="CJ176">
        <v>0</v>
      </c>
    </row>
    <row r="177" spans="1:88" x14ac:dyDescent="0.25">
      <c r="A177">
        <v>176</v>
      </c>
      <c r="B177">
        <v>2</v>
      </c>
      <c r="C177">
        <v>8</v>
      </c>
      <c r="D177">
        <v>5</v>
      </c>
      <c r="E177">
        <v>1</v>
      </c>
      <c r="F177">
        <v>10.59</v>
      </c>
      <c r="I177">
        <v>10.59</v>
      </c>
      <c r="J177">
        <v>15.69</v>
      </c>
      <c r="K177">
        <v>3.89</v>
      </c>
      <c r="M177">
        <v>4.4400000000000004</v>
      </c>
      <c r="P177">
        <v>3.39</v>
      </c>
      <c r="R177">
        <v>3.39</v>
      </c>
      <c r="S177">
        <v>38</v>
      </c>
      <c r="T177">
        <v>34.61</v>
      </c>
      <c r="U177">
        <v>36.31</v>
      </c>
      <c r="V177">
        <v>118016.48</v>
      </c>
      <c r="W177">
        <v>0.56545454544539098</v>
      </c>
      <c r="X177">
        <v>118017.04545454544</v>
      </c>
      <c r="Y177">
        <v>0</v>
      </c>
      <c r="Z177">
        <v>118017.04545454544</v>
      </c>
      <c r="AB177">
        <v>118516.98863636363</v>
      </c>
      <c r="AC177">
        <v>0</v>
      </c>
      <c r="AD177">
        <v>118516.98863636363</v>
      </c>
      <c r="AE177">
        <v>0</v>
      </c>
      <c r="AF177">
        <v>118516.98863636363</v>
      </c>
      <c r="AG177">
        <v>0</v>
      </c>
      <c r="AH177">
        <v>118516.98863636363</v>
      </c>
      <c r="AJ177">
        <v>119016.98863636363</v>
      </c>
      <c r="AK177">
        <v>0</v>
      </c>
      <c r="AL177">
        <v>119016.98863636363</v>
      </c>
      <c r="AM177">
        <v>0</v>
      </c>
      <c r="AN177">
        <v>119016.98863636363</v>
      </c>
      <c r="AP177">
        <v>118017.04545454544</v>
      </c>
      <c r="AQ177">
        <v>0</v>
      </c>
      <c r="AR177">
        <v>118017.04545454544</v>
      </c>
      <c r="AS177">
        <v>0</v>
      </c>
      <c r="AT177">
        <v>118017.04545454544</v>
      </c>
      <c r="AV177">
        <v>118017.04545454544</v>
      </c>
      <c r="AX177">
        <v>114409.25364913246</v>
      </c>
      <c r="AY177">
        <v>0</v>
      </c>
      <c r="AZ177">
        <v>114409.25364913246</v>
      </c>
      <c r="BA177">
        <v>0</v>
      </c>
      <c r="BB177">
        <v>114409.25364913246</v>
      </c>
      <c r="BC177">
        <v>0</v>
      </c>
      <c r="BD177">
        <v>114409.25364913246</v>
      </c>
      <c r="BE177">
        <v>0</v>
      </c>
      <c r="BF177">
        <v>114409.25364913246</v>
      </c>
      <c r="BG177">
        <v>0</v>
      </c>
      <c r="BH177">
        <v>114409.25364913246</v>
      </c>
      <c r="BI177">
        <v>0</v>
      </c>
      <c r="BJ177">
        <v>114409.25364913246</v>
      </c>
      <c r="BK177">
        <v>114409.25364913246</v>
      </c>
      <c r="BL177">
        <v>4154200</v>
      </c>
      <c r="BN177">
        <v>0.02</v>
      </c>
      <c r="BO177">
        <v>83084</v>
      </c>
      <c r="BP177">
        <v>112121.06857614982</v>
      </c>
      <c r="BQ177">
        <v>4071116</v>
      </c>
      <c r="BR177" s="238" t="s">
        <v>36</v>
      </c>
      <c r="BU177">
        <v>112121.06857614982</v>
      </c>
      <c r="BV177">
        <v>0</v>
      </c>
      <c r="BW177">
        <v>4071116</v>
      </c>
      <c r="BX177" s="238" t="s">
        <v>4518</v>
      </c>
      <c r="BY177" s="238" t="s">
        <v>8963</v>
      </c>
      <c r="BZ177" s="238" t="s">
        <v>8963</v>
      </c>
      <c r="CA177" s="238" t="s">
        <v>8953</v>
      </c>
      <c r="CB177" s="238" t="s">
        <v>8964</v>
      </c>
      <c r="CC177" s="238" t="s">
        <v>9077</v>
      </c>
      <c r="CD177" s="238" t="s">
        <v>8972</v>
      </c>
      <c r="CE177" t="b">
        <v>1</v>
      </c>
      <c r="CF177">
        <v>4154200</v>
      </c>
      <c r="CG177">
        <v>4370901</v>
      </c>
      <c r="CH177">
        <v>4154200</v>
      </c>
      <c r="CI177">
        <v>0</v>
      </c>
      <c r="CJ177">
        <v>0</v>
      </c>
    </row>
    <row r="178" spans="1:88" x14ac:dyDescent="0.25">
      <c r="A178">
        <v>177</v>
      </c>
      <c r="B178">
        <v>2</v>
      </c>
      <c r="C178">
        <v>8</v>
      </c>
      <c r="D178">
        <v>6</v>
      </c>
      <c r="E178">
        <v>3</v>
      </c>
      <c r="F178">
        <v>12.4</v>
      </c>
      <c r="G178">
        <v>11.28</v>
      </c>
      <c r="H178">
        <v>11.28</v>
      </c>
      <c r="I178">
        <v>34.96</v>
      </c>
      <c r="J178">
        <v>17.93</v>
      </c>
      <c r="K178">
        <v>4.67</v>
      </c>
      <c r="L178">
        <v>3.54</v>
      </c>
      <c r="M178">
        <v>9.89</v>
      </c>
      <c r="P178">
        <v>2.79</v>
      </c>
      <c r="Q178">
        <v>3.6</v>
      </c>
      <c r="R178">
        <v>6.3900000000000006</v>
      </c>
      <c r="S178">
        <v>77.38</v>
      </c>
      <c r="T178">
        <v>70.989999999999995</v>
      </c>
      <c r="U178">
        <v>74.19</v>
      </c>
      <c r="V178">
        <v>104186.56</v>
      </c>
      <c r="W178">
        <v>500.43507389162551</v>
      </c>
      <c r="X178">
        <v>104686.99507389162</v>
      </c>
      <c r="Y178">
        <v>0</v>
      </c>
      <c r="Z178">
        <v>104686.99507389162</v>
      </c>
      <c r="AA178">
        <v>0</v>
      </c>
      <c r="AB178">
        <v>104686.99507389162</v>
      </c>
      <c r="AC178">
        <v>0</v>
      </c>
      <c r="AD178">
        <v>104686.99507389162</v>
      </c>
      <c r="AE178">
        <v>500</v>
      </c>
      <c r="AF178">
        <v>105186.99507389162</v>
      </c>
      <c r="AG178">
        <v>0</v>
      </c>
      <c r="AH178">
        <v>105186.99507389162</v>
      </c>
      <c r="AI178">
        <v>0</v>
      </c>
      <c r="AJ178">
        <v>105186.99507389162</v>
      </c>
      <c r="AK178">
        <v>0</v>
      </c>
      <c r="AL178">
        <v>105186.99507389162</v>
      </c>
      <c r="AM178">
        <v>500</v>
      </c>
      <c r="AN178">
        <v>105686.99507389162</v>
      </c>
      <c r="AP178">
        <v>105686.99507389162</v>
      </c>
      <c r="AQ178">
        <v>500</v>
      </c>
      <c r="AR178">
        <v>106186.99507389162</v>
      </c>
      <c r="AT178">
        <v>106186.99507389162</v>
      </c>
      <c r="AV178">
        <v>106186.99507389162</v>
      </c>
      <c r="AX178">
        <v>101692.7618277396</v>
      </c>
      <c r="AY178">
        <v>0</v>
      </c>
      <c r="AZ178">
        <v>101692.7618277396</v>
      </c>
      <c r="BA178">
        <v>0</v>
      </c>
      <c r="BB178">
        <v>101692.7618277396</v>
      </c>
      <c r="BC178">
        <v>0</v>
      </c>
      <c r="BD178">
        <v>101692.7618277396</v>
      </c>
      <c r="BE178">
        <v>0</v>
      </c>
      <c r="BF178">
        <v>101692.7618277396</v>
      </c>
      <c r="BG178">
        <v>0</v>
      </c>
      <c r="BH178">
        <v>101692.7618277396</v>
      </c>
      <c r="BI178">
        <v>0</v>
      </c>
      <c r="BJ178">
        <v>101692.7618277396</v>
      </c>
      <c r="BK178">
        <v>101692.7618277396</v>
      </c>
      <c r="BL178">
        <v>7544586</v>
      </c>
      <c r="BO178">
        <v>0</v>
      </c>
      <c r="BP178">
        <v>101692.7618277396</v>
      </c>
      <c r="BQ178">
        <v>7544586</v>
      </c>
      <c r="BR178" s="238" t="s">
        <v>36</v>
      </c>
      <c r="BU178">
        <v>101692.7618277396</v>
      </c>
      <c r="BV178">
        <v>0</v>
      </c>
      <c r="BW178">
        <v>7544586</v>
      </c>
      <c r="BX178" s="238"/>
      <c r="BY178" s="238" t="s">
        <v>8963</v>
      </c>
      <c r="BZ178" s="238" t="s">
        <v>8963</v>
      </c>
      <c r="CA178" s="238" t="s">
        <v>8953</v>
      </c>
      <c r="CB178" s="238" t="s">
        <v>8964</v>
      </c>
      <c r="CC178" s="238" t="s">
        <v>9077</v>
      </c>
      <c r="CD178" s="238" t="s">
        <v>8990</v>
      </c>
      <c r="CE178" t="b">
        <v>1</v>
      </c>
      <c r="CF178">
        <v>7544586</v>
      </c>
      <c r="CG178">
        <v>8035649</v>
      </c>
      <c r="CH178">
        <v>7544586</v>
      </c>
      <c r="CI178">
        <v>0</v>
      </c>
      <c r="CJ178">
        <v>0</v>
      </c>
    </row>
    <row r="179" spans="1:88" x14ac:dyDescent="0.25">
      <c r="A179">
        <v>178</v>
      </c>
      <c r="B179">
        <v>2</v>
      </c>
      <c r="C179">
        <v>8</v>
      </c>
      <c r="D179">
        <v>7</v>
      </c>
      <c r="E179">
        <v>0</v>
      </c>
      <c r="F179">
        <v>16.989999999999998</v>
      </c>
      <c r="I179">
        <v>16.989999999999998</v>
      </c>
      <c r="J179">
        <v>7.49</v>
      </c>
      <c r="K179">
        <v>4.9400000000000004</v>
      </c>
      <c r="P179">
        <v>3.49</v>
      </c>
      <c r="R179">
        <v>3.49</v>
      </c>
      <c r="S179">
        <v>32.909999999999997</v>
      </c>
      <c r="T179">
        <v>29.42</v>
      </c>
      <c r="U179">
        <v>31.17</v>
      </c>
      <c r="V179">
        <v>138273.04</v>
      </c>
      <c r="W179">
        <v>2.5902521008392796</v>
      </c>
      <c r="X179">
        <v>138275.63025210085</v>
      </c>
      <c r="Y179">
        <v>0</v>
      </c>
      <c r="Z179">
        <v>138275.63025210085</v>
      </c>
      <c r="AA179">
        <v>0</v>
      </c>
      <c r="AB179">
        <v>138275.63025210085</v>
      </c>
      <c r="AC179">
        <v>0</v>
      </c>
      <c r="AD179">
        <v>138275.63025210085</v>
      </c>
      <c r="AE179">
        <v>0</v>
      </c>
      <c r="AF179">
        <v>138275.63025210085</v>
      </c>
      <c r="AG179">
        <v>0</v>
      </c>
      <c r="AH179">
        <v>138275.63025210085</v>
      </c>
      <c r="AI179">
        <v>0</v>
      </c>
      <c r="AJ179">
        <v>138275.63025210085</v>
      </c>
      <c r="AK179">
        <v>0</v>
      </c>
      <c r="AL179">
        <v>138275.63025210085</v>
      </c>
      <c r="AM179">
        <v>0</v>
      </c>
      <c r="AN179">
        <v>138275.63025210085</v>
      </c>
      <c r="AO179">
        <v>0</v>
      </c>
      <c r="AP179">
        <v>138275.63025210085</v>
      </c>
      <c r="AQ179">
        <v>0</v>
      </c>
      <c r="AR179">
        <v>138275.63025210085</v>
      </c>
      <c r="AS179">
        <v>0</v>
      </c>
      <c r="AT179">
        <v>138275.63025210085</v>
      </c>
      <c r="AV179">
        <v>138275.63025210085</v>
      </c>
      <c r="AW179">
        <v>-2339.7303483472497</v>
      </c>
      <c r="AX179">
        <v>135935.8999037536</v>
      </c>
      <c r="AY179">
        <v>6489.5091434071364</v>
      </c>
      <c r="AZ179">
        <v>142425.40904716073</v>
      </c>
      <c r="BA179">
        <v>0</v>
      </c>
      <c r="BB179">
        <v>142425.40904716073</v>
      </c>
      <c r="BC179">
        <v>0</v>
      </c>
      <c r="BD179">
        <v>142425.40904716073</v>
      </c>
      <c r="BE179">
        <v>0</v>
      </c>
      <c r="BF179">
        <v>142425.40904716073</v>
      </c>
      <c r="BG179">
        <v>0</v>
      </c>
      <c r="BH179">
        <v>142425.40904716073</v>
      </c>
      <c r="BI179">
        <v>0</v>
      </c>
      <c r="BJ179">
        <v>142425.40904716073</v>
      </c>
      <c r="BK179">
        <v>142425.40904716073</v>
      </c>
      <c r="BL179">
        <v>4439400</v>
      </c>
      <c r="BO179">
        <v>0</v>
      </c>
      <c r="BP179">
        <v>142425.40904716073</v>
      </c>
      <c r="BQ179">
        <v>4439400</v>
      </c>
      <c r="BR179" s="238" t="s">
        <v>36</v>
      </c>
      <c r="BU179">
        <v>142425.40904716073</v>
      </c>
      <c r="BV179">
        <v>0</v>
      </c>
      <c r="BW179">
        <v>4439400</v>
      </c>
      <c r="BX179" s="238"/>
      <c r="BY179" s="238" t="s">
        <v>3</v>
      </c>
      <c r="BZ179" s="238" t="s">
        <v>3</v>
      </c>
      <c r="CA179" s="238" t="s">
        <v>8951</v>
      </c>
      <c r="CB179" s="238" t="s">
        <v>1167</v>
      </c>
      <c r="CC179" s="238" t="s">
        <v>9077</v>
      </c>
      <c r="CD179" s="238" t="s">
        <v>8970</v>
      </c>
      <c r="CE179" t="b">
        <v>1</v>
      </c>
      <c r="CF179">
        <v>4439400</v>
      </c>
      <c r="CG179">
        <v>4439400</v>
      </c>
      <c r="CH179">
        <v>0</v>
      </c>
      <c r="CI179">
        <v>0</v>
      </c>
      <c r="CJ179">
        <v>0</v>
      </c>
    </row>
    <row r="180" spans="1:88" x14ac:dyDescent="0.25">
      <c r="A180">
        <v>179</v>
      </c>
      <c r="B180">
        <v>2</v>
      </c>
      <c r="C180">
        <v>9</v>
      </c>
      <c r="D180">
        <v>1</v>
      </c>
      <c r="E180">
        <v>0</v>
      </c>
      <c r="F180">
        <v>16.989999999999998</v>
      </c>
      <c r="I180">
        <v>16.989999999999998</v>
      </c>
      <c r="J180">
        <v>7.49</v>
      </c>
      <c r="K180">
        <v>4.1500000000000004</v>
      </c>
      <c r="P180">
        <v>3.49</v>
      </c>
      <c r="R180">
        <v>3.49</v>
      </c>
      <c r="S180">
        <v>32.119999999999997</v>
      </c>
      <c r="T180">
        <v>28.63</v>
      </c>
      <c r="U180">
        <v>30.38</v>
      </c>
      <c r="V180">
        <v>138273.04</v>
      </c>
      <c r="W180">
        <v>2.5902521008392796</v>
      </c>
      <c r="X180">
        <v>138275.63025210085</v>
      </c>
      <c r="Y180">
        <v>0</v>
      </c>
      <c r="Z180">
        <v>138275.63025210085</v>
      </c>
      <c r="AA180">
        <v>0</v>
      </c>
      <c r="AB180">
        <v>138275.63025210085</v>
      </c>
      <c r="AC180">
        <v>0</v>
      </c>
      <c r="AD180">
        <v>138275.63025210085</v>
      </c>
      <c r="AE180">
        <v>0</v>
      </c>
      <c r="AF180">
        <v>138275.63025210085</v>
      </c>
      <c r="AG180">
        <v>0</v>
      </c>
      <c r="AH180">
        <v>138275.63025210085</v>
      </c>
      <c r="AI180">
        <v>0</v>
      </c>
      <c r="AJ180">
        <v>138275.63025210085</v>
      </c>
      <c r="AK180">
        <v>0</v>
      </c>
      <c r="AL180">
        <v>138275.63025210085</v>
      </c>
      <c r="AM180">
        <v>0</v>
      </c>
      <c r="AN180">
        <v>138275.63025210085</v>
      </c>
      <c r="AO180">
        <v>0</v>
      </c>
      <c r="AP180">
        <v>138275.63025210085</v>
      </c>
      <c r="AQ180">
        <v>0</v>
      </c>
      <c r="AR180">
        <v>138275.63025210085</v>
      </c>
      <c r="AS180">
        <v>0</v>
      </c>
      <c r="AT180">
        <v>138275.63025210085</v>
      </c>
      <c r="AV180">
        <v>138275.63025210085</v>
      </c>
      <c r="AW180">
        <v>1195.1399914804497</v>
      </c>
      <c r="AX180">
        <v>139470.7702435813</v>
      </c>
      <c r="AY180">
        <v>2955.1678736010508</v>
      </c>
      <c r="AZ180">
        <v>142425.93811718235</v>
      </c>
      <c r="BA180">
        <v>0</v>
      </c>
      <c r="BB180">
        <v>142425.93811718235</v>
      </c>
      <c r="BC180">
        <v>0</v>
      </c>
      <c r="BD180">
        <v>142425.93811718235</v>
      </c>
      <c r="BE180">
        <v>0</v>
      </c>
      <c r="BF180">
        <v>142425.93811718235</v>
      </c>
      <c r="BG180">
        <v>0</v>
      </c>
      <c r="BH180">
        <v>142425.93811718235</v>
      </c>
      <c r="BI180">
        <v>0</v>
      </c>
      <c r="BJ180">
        <v>142425.93811718235</v>
      </c>
      <c r="BK180">
        <v>142425.93811718235</v>
      </c>
      <c r="BL180">
        <v>4326900</v>
      </c>
      <c r="BO180">
        <v>0</v>
      </c>
      <c r="BP180">
        <v>142425.93811718235</v>
      </c>
      <c r="BQ180">
        <v>4326900</v>
      </c>
      <c r="BR180" s="238" t="s">
        <v>36</v>
      </c>
      <c r="BU180">
        <v>142425.93811718235</v>
      </c>
      <c r="BV180">
        <v>0</v>
      </c>
      <c r="BW180">
        <v>4326900</v>
      </c>
      <c r="BX180" s="238"/>
      <c r="BY180" s="238" t="s">
        <v>35</v>
      </c>
      <c r="BZ180" s="238" t="s">
        <v>35</v>
      </c>
      <c r="CA180" s="238" t="s">
        <v>8953</v>
      </c>
      <c r="CB180" s="238" t="s">
        <v>8954</v>
      </c>
      <c r="CC180" s="238" t="s">
        <v>9077</v>
      </c>
      <c r="CD180" s="238" t="s">
        <v>8970</v>
      </c>
      <c r="CE180" t="b">
        <v>1</v>
      </c>
      <c r="CF180">
        <v>4326900</v>
      </c>
      <c r="CG180">
        <v>4326900</v>
      </c>
      <c r="CH180">
        <v>0</v>
      </c>
      <c r="CI180">
        <v>0</v>
      </c>
      <c r="CJ180">
        <v>0</v>
      </c>
    </row>
    <row r="181" spans="1:88" x14ac:dyDescent="0.25">
      <c r="A181">
        <v>180</v>
      </c>
      <c r="B181">
        <v>2</v>
      </c>
      <c r="C181">
        <v>9</v>
      </c>
      <c r="D181">
        <v>2</v>
      </c>
      <c r="E181">
        <v>1</v>
      </c>
      <c r="F181">
        <v>11.31</v>
      </c>
      <c r="I181">
        <v>11.31</v>
      </c>
      <c r="J181">
        <v>15.89</v>
      </c>
      <c r="K181">
        <v>4.1100000000000003</v>
      </c>
      <c r="M181">
        <v>3</v>
      </c>
      <c r="P181">
        <v>2.77</v>
      </c>
      <c r="R181">
        <v>2.77</v>
      </c>
      <c r="S181">
        <v>37.08</v>
      </c>
      <c r="T181">
        <v>34.31</v>
      </c>
      <c r="U181">
        <v>35.700000000000003</v>
      </c>
      <c r="V181">
        <v>119184.96000000001</v>
      </c>
      <c r="W181">
        <v>1.2864183381025214</v>
      </c>
      <c r="X181">
        <v>119186.24641833811</v>
      </c>
      <c r="Y181">
        <v>0</v>
      </c>
      <c r="Z181">
        <v>119186.24641833811</v>
      </c>
      <c r="AA181">
        <v>0</v>
      </c>
      <c r="AB181">
        <v>119186.24641833811</v>
      </c>
      <c r="AC181">
        <v>0</v>
      </c>
      <c r="AD181">
        <v>119186.24641833811</v>
      </c>
      <c r="AE181">
        <v>0</v>
      </c>
      <c r="AF181">
        <v>119186.24641833811</v>
      </c>
      <c r="AG181">
        <v>0</v>
      </c>
      <c r="AH181">
        <v>119186.24641833811</v>
      </c>
      <c r="AI181">
        <v>0</v>
      </c>
      <c r="AJ181">
        <v>119186.24641833811</v>
      </c>
      <c r="AK181">
        <v>0</v>
      </c>
      <c r="AL181">
        <v>119186.24641833811</v>
      </c>
      <c r="AM181">
        <v>0</v>
      </c>
      <c r="AN181">
        <v>119186.24641833811</v>
      </c>
      <c r="AO181">
        <v>0</v>
      </c>
      <c r="AP181">
        <v>119186.24641833811</v>
      </c>
      <c r="AQ181">
        <v>0</v>
      </c>
      <c r="AR181">
        <v>119186.24641833811</v>
      </c>
      <c r="AS181">
        <v>0</v>
      </c>
      <c r="AT181">
        <v>119186.24641833811</v>
      </c>
      <c r="AV181">
        <v>119186.24641833811</v>
      </c>
      <c r="AW181">
        <v>824.36982816047384</v>
      </c>
      <c r="AX181">
        <v>120010.61624649858</v>
      </c>
      <c r="AY181">
        <v>2751.288515406166</v>
      </c>
      <c r="AZ181">
        <v>122761.90476190475</v>
      </c>
      <c r="BA181">
        <v>0</v>
      </c>
      <c r="BB181">
        <v>122761.90476190475</v>
      </c>
      <c r="BC181">
        <v>0</v>
      </c>
      <c r="BD181">
        <v>122761.90476190475</v>
      </c>
      <c r="BE181">
        <v>0</v>
      </c>
      <c r="BF181">
        <v>122761.90476190475</v>
      </c>
      <c r="BG181">
        <v>2455.3221288515488</v>
      </c>
      <c r="BH181">
        <v>125217.2268907563</v>
      </c>
      <c r="BI181">
        <v>0</v>
      </c>
      <c r="BJ181">
        <v>125217.2268907563</v>
      </c>
      <c r="BK181">
        <v>125217.2268907563</v>
      </c>
      <c r="BL181">
        <v>4470255</v>
      </c>
      <c r="BO181">
        <v>0</v>
      </c>
      <c r="BP181">
        <v>125217.2268907563</v>
      </c>
      <c r="BQ181">
        <v>4470255</v>
      </c>
      <c r="BR181" s="238" t="s">
        <v>36</v>
      </c>
      <c r="BU181">
        <v>125217.2268907563</v>
      </c>
      <c r="BV181">
        <v>0</v>
      </c>
      <c r="BW181">
        <v>4470255</v>
      </c>
      <c r="BX181" s="238"/>
      <c r="BY181" s="238" t="s">
        <v>35</v>
      </c>
      <c r="BZ181" s="238" t="s">
        <v>35</v>
      </c>
      <c r="CA181" s="238" t="s">
        <v>8953</v>
      </c>
      <c r="CB181" s="238" t="s">
        <v>8954</v>
      </c>
      <c r="CC181" s="238" t="s">
        <v>9077</v>
      </c>
      <c r="CD181" s="238" t="s">
        <v>8972</v>
      </c>
      <c r="CE181" t="b">
        <v>1</v>
      </c>
      <c r="CF181">
        <v>4470255</v>
      </c>
      <c r="CG181">
        <v>4470255</v>
      </c>
      <c r="CH181">
        <v>0</v>
      </c>
      <c r="CI181">
        <v>0</v>
      </c>
      <c r="CJ181">
        <v>0</v>
      </c>
    </row>
    <row r="182" spans="1:88" x14ac:dyDescent="0.25">
      <c r="A182">
        <v>181</v>
      </c>
      <c r="B182">
        <v>2</v>
      </c>
      <c r="C182">
        <v>9</v>
      </c>
      <c r="D182">
        <v>3</v>
      </c>
      <c r="E182">
        <v>1</v>
      </c>
      <c r="F182">
        <v>15.45</v>
      </c>
      <c r="I182">
        <v>15.45</v>
      </c>
      <c r="J182">
        <v>17.71</v>
      </c>
      <c r="K182">
        <v>4.01</v>
      </c>
      <c r="M182">
        <v>5.04</v>
      </c>
      <c r="P182">
        <v>3.84</v>
      </c>
      <c r="R182">
        <v>3.84</v>
      </c>
      <c r="S182">
        <v>46.05</v>
      </c>
      <c r="T182">
        <v>42.21</v>
      </c>
      <c r="U182">
        <v>44.13</v>
      </c>
      <c r="V182">
        <v>119184.96000000001</v>
      </c>
      <c r="W182">
        <v>0.22518518517608754</v>
      </c>
      <c r="X182">
        <v>119185.18518518518</v>
      </c>
      <c r="Y182">
        <v>0</v>
      </c>
      <c r="Z182">
        <v>119185.18518518518</v>
      </c>
      <c r="AA182">
        <v>0</v>
      </c>
      <c r="AB182">
        <v>119185.18518518518</v>
      </c>
      <c r="AC182">
        <v>0</v>
      </c>
      <c r="AD182">
        <v>119185.18518518518</v>
      </c>
      <c r="AE182">
        <v>0</v>
      </c>
      <c r="AF182">
        <v>119185.18518518518</v>
      </c>
      <c r="AG182">
        <v>0</v>
      </c>
      <c r="AH182">
        <v>119185.18518518518</v>
      </c>
      <c r="AI182">
        <v>0</v>
      </c>
      <c r="AJ182">
        <v>119185.18518518518</v>
      </c>
      <c r="AK182">
        <v>0</v>
      </c>
      <c r="AL182">
        <v>119185.18518518518</v>
      </c>
      <c r="AM182">
        <v>0</v>
      </c>
      <c r="AN182">
        <v>119185.18518518518</v>
      </c>
      <c r="AO182">
        <v>0</v>
      </c>
      <c r="AP182">
        <v>119185.18518518518</v>
      </c>
      <c r="AQ182">
        <v>0</v>
      </c>
      <c r="AR182">
        <v>119185.18518518518</v>
      </c>
      <c r="AS182">
        <v>0</v>
      </c>
      <c r="AT182">
        <v>119185.18518518518</v>
      </c>
      <c r="AV182">
        <v>119185.18518518518</v>
      </c>
      <c r="AW182">
        <v>988.30223833622586</v>
      </c>
      <c r="AX182">
        <v>120173.48742352141</v>
      </c>
      <c r="AY182">
        <v>2588.8058010423701</v>
      </c>
      <c r="AZ182">
        <v>122762.29322456378</v>
      </c>
      <c r="BA182">
        <v>0</v>
      </c>
      <c r="BB182">
        <v>122762.29322456378</v>
      </c>
      <c r="BC182">
        <v>0</v>
      </c>
      <c r="BD182">
        <v>122762.29322456378</v>
      </c>
      <c r="BE182">
        <v>0</v>
      </c>
      <c r="BF182">
        <v>122762.29322456378</v>
      </c>
      <c r="BG182">
        <v>2454.9512803081889</v>
      </c>
      <c r="BH182">
        <v>125217.24450487195</v>
      </c>
      <c r="BI182">
        <v>0</v>
      </c>
      <c r="BJ182">
        <v>125217.24450487195</v>
      </c>
      <c r="BK182">
        <v>125217.24450487197</v>
      </c>
      <c r="BL182">
        <v>5525837</v>
      </c>
      <c r="BO182">
        <v>0</v>
      </c>
      <c r="BP182">
        <v>125217.24450487197</v>
      </c>
      <c r="BQ182">
        <v>5525837</v>
      </c>
      <c r="BR182" s="238" t="s">
        <v>36</v>
      </c>
      <c r="BU182">
        <v>125217.24450487197</v>
      </c>
      <c r="BV182">
        <v>0</v>
      </c>
      <c r="BW182">
        <v>5525837</v>
      </c>
      <c r="BX182" s="238"/>
      <c r="BY182" s="238" t="s">
        <v>3</v>
      </c>
      <c r="BZ182" s="238" t="s">
        <v>3</v>
      </c>
      <c r="CA182" s="238" t="s">
        <v>8951</v>
      </c>
      <c r="CB182" s="238" t="s">
        <v>1167</v>
      </c>
      <c r="CC182" s="238" t="s">
        <v>9077</v>
      </c>
      <c r="CD182" s="238" t="s">
        <v>8972</v>
      </c>
      <c r="CE182" t="b">
        <v>1</v>
      </c>
      <c r="CF182">
        <v>5525837</v>
      </c>
      <c r="CG182">
        <v>5525837</v>
      </c>
      <c r="CH182">
        <v>0</v>
      </c>
      <c r="CI182">
        <v>0</v>
      </c>
      <c r="CJ182">
        <v>0</v>
      </c>
    </row>
    <row r="183" spans="1:88" x14ac:dyDescent="0.25">
      <c r="A183">
        <v>182</v>
      </c>
      <c r="B183">
        <v>2</v>
      </c>
      <c r="C183">
        <v>9</v>
      </c>
      <c r="D183">
        <v>4</v>
      </c>
      <c r="E183">
        <v>1</v>
      </c>
      <c r="F183">
        <v>10.59</v>
      </c>
      <c r="I183">
        <v>10.59</v>
      </c>
      <c r="J183">
        <v>15.45</v>
      </c>
      <c r="K183">
        <v>3.94</v>
      </c>
      <c r="M183">
        <v>4.4400000000000004</v>
      </c>
      <c r="P183">
        <v>3.45</v>
      </c>
      <c r="R183">
        <v>3.45</v>
      </c>
      <c r="S183">
        <v>37.869999999999997</v>
      </c>
      <c r="T183">
        <v>34.42</v>
      </c>
      <c r="U183">
        <v>36.15</v>
      </c>
      <c r="V183">
        <v>118016.48</v>
      </c>
      <c r="W183">
        <v>0.51716713882342447</v>
      </c>
      <c r="X183">
        <v>118016.99716713882</v>
      </c>
      <c r="Y183">
        <v>0</v>
      </c>
      <c r="Z183">
        <v>118016.99716713882</v>
      </c>
      <c r="AA183">
        <v>0</v>
      </c>
      <c r="AB183">
        <v>118016.99716713882</v>
      </c>
      <c r="AC183">
        <v>500</v>
      </c>
      <c r="AD183">
        <v>118516.99716713882</v>
      </c>
      <c r="AE183">
        <v>0</v>
      </c>
      <c r="AF183">
        <v>118516.99716713882</v>
      </c>
      <c r="AG183">
        <v>500</v>
      </c>
      <c r="AH183">
        <v>119016.99716713882</v>
      </c>
      <c r="AI183">
        <v>500</v>
      </c>
      <c r="AJ183">
        <v>119516.99716713882</v>
      </c>
      <c r="AK183">
        <v>500</v>
      </c>
      <c r="AL183">
        <v>120016.99716713882</v>
      </c>
      <c r="AM183">
        <v>0</v>
      </c>
      <c r="AN183">
        <v>120016.99716713882</v>
      </c>
      <c r="AO183">
        <v>500</v>
      </c>
      <c r="AP183">
        <v>120516.99716713882</v>
      </c>
      <c r="AQ183">
        <v>0</v>
      </c>
      <c r="AR183">
        <v>120516.99716713882</v>
      </c>
      <c r="AS183">
        <v>0</v>
      </c>
      <c r="AT183">
        <v>120516.99716713882</v>
      </c>
      <c r="AV183">
        <v>120516.99716713882</v>
      </c>
      <c r="AX183">
        <v>117683.26417704011</v>
      </c>
      <c r="AY183">
        <v>0</v>
      </c>
      <c r="AZ183">
        <v>117683.26417704011</v>
      </c>
      <c r="BA183">
        <v>0</v>
      </c>
      <c r="BB183">
        <v>117683.26417704011</v>
      </c>
      <c r="BC183">
        <v>0</v>
      </c>
      <c r="BD183">
        <v>117683.26417704011</v>
      </c>
      <c r="BE183">
        <v>0</v>
      </c>
      <c r="BF183">
        <v>117683.26417704011</v>
      </c>
      <c r="BG183">
        <v>0</v>
      </c>
      <c r="BH183">
        <v>117683.26417704012</v>
      </c>
      <c r="BI183">
        <v>0</v>
      </c>
      <c r="BJ183">
        <v>117683.26417704012</v>
      </c>
      <c r="BK183">
        <v>117683.26417704011</v>
      </c>
      <c r="BL183">
        <v>4254250</v>
      </c>
      <c r="BO183">
        <v>0</v>
      </c>
      <c r="BP183">
        <v>117683.26417704011</v>
      </c>
      <c r="BQ183">
        <v>4254250</v>
      </c>
      <c r="BR183" s="238" t="s">
        <v>36</v>
      </c>
      <c r="BU183">
        <v>117683.26417704011</v>
      </c>
      <c r="BV183">
        <v>0</v>
      </c>
      <c r="BW183">
        <v>4254250</v>
      </c>
      <c r="BX183" s="238"/>
      <c r="BY183" s="238" t="s">
        <v>8963</v>
      </c>
      <c r="BZ183" s="238" t="s">
        <v>8963</v>
      </c>
      <c r="CA183" s="238" t="s">
        <v>8953</v>
      </c>
      <c r="CB183" s="238" t="s">
        <v>8964</v>
      </c>
      <c r="CC183" s="238" t="s">
        <v>9077</v>
      </c>
      <c r="CD183" s="238" t="s">
        <v>8972</v>
      </c>
      <c r="CE183" t="b">
        <v>1</v>
      </c>
      <c r="CF183">
        <v>4254250</v>
      </c>
      <c r="CG183">
        <v>4517196</v>
      </c>
      <c r="CH183">
        <v>4254250</v>
      </c>
      <c r="CI183">
        <v>4254250</v>
      </c>
      <c r="CJ183">
        <v>0</v>
      </c>
    </row>
    <row r="184" spans="1:88" x14ac:dyDescent="0.25">
      <c r="A184">
        <v>183</v>
      </c>
      <c r="B184">
        <v>2</v>
      </c>
      <c r="C184">
        <v>9</v>
      </c>
      <c r="D184">
        <v>5</v>
      </c>
      <c r="E184">
        <v>1</v>
      </c>
      <c r="F184">
        <v>10.59</v>
      </c>
      <c r="I184">
        <v>10.59</v>
      </c>
      <c r="J184">
        <v>15.45</v>
      </c>
      <c r="K184">
        <v>3.94</v>
      </c>
      <c r="M184">
        <v>4.4400000000000004</v>
      </c>
      <c r="P184">
        <v>3.39</v>
      </c>
      <c r="R184">
        <v>3.39</v>
      </c>
      <c r="S184">
        <v>37.81</v>
      </c>
      <c r="T184">
        <v>34.42</v>
      </c>
      <c r="U184">
        <v>36.119999999999997</v>
      </c>
      <c r="V184">
        <v>118016.48</v>
      </c>
      <c r="W184">
        <v>0.56545454544539098</v>
      </c>
      <c r="X184">
        <v>118017.04545454544</v>
      </c>
      <c r="Y184">
        <v>0</v>
      </c>
      <c r="Z184">
        <v>118017.04545454544</v>
      </c>
      <c r="AA184">
        <v>499.94318181819108</v>
      </c>
      <c r="AB184">
        <v>118516.98863636363</v>
      </c>
      <c r="AC184">
        <v>0</v>
      </c>
      <c r="AD184">
        <v>118516.98863636363</v>
      </c>
      <c r="AE184">
        <v>0</v>
      </c>
      <c r="AF184">
        <v>118516.98863636363</v>
      </c>
      <c r="AG184">
        <v>0</v>
      </c>
      <c r="AH184">
        <v>118516.98863636363</v>
      </c>
      <c r="AI184">
        <v>500</v>
      </c>
      <c r="AJ184">
        <v>119016.98863636363</v>
      </c>
      <c r="AK184">
        <v>0</v>
      </c>
      <c r="AL184">
        <v>119016.98863636363</v>
      </c>
      <c r="AM184">
        <v>0</v>
      </c>
      <c r="AN184">
        <v>119016.98863636363</v>
      </c>
      <c r="AO184">
        <v>500</v>
      </c>
      <c r="AP184">
        <v>119516.98863636363</v>
      </c>
      <c r="AQ184">
        <v>0</v>
      </c>
      <c r="AR184">
        <v>119516.98863636363</v>
      </c>
      <c r="AS184">
        <v>0</v>
      </c>
      <c r="AT184">
        <v>119516.98863636363</v>
      </c>
      <c r="AV184">
        <v>119516.98863636363</v>
      </c>
      <c r="AX184">
        <v>119966.99889258029</v>
      </c>
      <c r="AY184">
        <v>3136.5448504983506</v>
      </c>
      <c r="AZ184">
        <v>123103.54374307864</v>
      </c>
      <c r="BA184">
        <v>0</v>
      </c>
      <c r="BB184">
        <v>123103.54374307864</v>
      </c>
      <c r="BC184">
        <v>0</v>
      </c>
      <c r="BD184">
        <v>123103.54374307864</v>
      </c>
      <c r="BE184">
        <v>0</v>
      </c>
      <c r="BF184">
        <v>123103.54374307864</v>
      </c>
      <c r="BG184">
        <v>2462.5415282391914</v>
      </c>
      <c r="BH184">
        <v>125566.08527131785</v>
      </c>
      <c r="BI184">
        <v>0</v>
      </c>
      <c r="BJ184">
        <v>125566.08527131785</v>
      </c>
      <c r="BK184">
        <v>125566.08527131783</v>
      </c>
      <c r="BL184">
        <v>4535447</v>
      </c>
      <c r="BO184">
        <v>0</v>
      </c>
      <c r="BP184">
        <v>125566.08527131783</v>
      </c>
      <c r="BQ184">
        <v>4535447</v>
      </c>
      <c r="BR184" s="238" t="s">
        <v>36</v>
      </c>
      <c r="BU184">
        <v>125566.08527131783</v>
      </c>
      <c r="BV184">
        <v>0</v>
      </c>
      <c r="BW184">
        <v>4535447</v>
      </c>
      <c r="BX184" s="238"/>
      <c r="BY184" s="238" t="s">
        <v>3</v>
      </c>
      <c r="BZ184" s="238" t="s">
        <v>3</v>
      </c>
      <c r="CA184" s="238" t="s">
        <v>8951</v>
      </c>
      <c r="CB184" s="238" t="s">
        <v>1167</v>
      </c>
      <c r="CC184" s="238" t="s">
        <v>9077</v>
      </c>
      <c r="CD184" s="238" t="s">
        <v>8972</v>
      </c>
      <c r="CE184" t="b">
        <v>1</v>
      </c>
      <c r="CF184">
        <v>4535447</v>
      </c>
      <c r="CG184">
        <v>4535447</v>
      </c>
      <c r="CH184">
        <v>0</v>
      </c>
      <c r="CI184">
        <v>0</v>
      </c>
      <c r="CJ184">
        <v>0</v>
      </c>
    </row>
    <row r="185" spans="1:88" x14ac:dyDescent="0.25">
      <c r="A185">
        <v>184</v>
      </c>
      <c r="B185">
        <v>2</v>
      </c>
      <c r="C185">
        <v>9</v>
      </c>
      <c r="D185">
        <v>6</v>
      </c>
      <c r="E185">
        <v>3</v>
      </c>
      <c r="F185">
        <v>12.4</v>
      </c>
      <c r="G185">
        <v>11.28</v>
      </c>
      <c r="H185">
        <v>11.28</v>
      </c>
      <c r="I185">
        <v>34.96</v>
      </c>
      <c r="J185">
        <v>17.940000000000001</v>
      </c>
      <c r="K185">
        <v>4.67</v>
      </c>
      <c r="L185">
        <v>3.54</v>
      </c>
      <c r="M185">
        <v>9.56</v>
      </c>
      <c r="P185">
        <v>2.79</v>
      </c>
      <c r="Q185">
        <v>3.6</v>
      </c>
      <c r="R185">
        <v>6.3900000000000006</v>
      </c>
      <c r="S185">
        <v>77.06</v>
      </c>
      <c r="T185">
        <v>70.67</v>
      </c>
      <c r="U185">
        <v>73.87</v>
      </c>
      <c r="V185">
        <v>104186.56</v>
      </c>
      <c r="W185">
        <v>500.43507389162551</v>
      </c>
      <c r="X185">
        <v>104686.99507389162</v>
      </c>
      <c r="Y185">
        <v>0</v>
      </c>
      <c r="Z185">
        <v>104686.99507389162</v>
      </c>
      <c r="AA185">
        <v>0</v>
      </c>
      <c r="AB185">
        <v>104686.99507389162</v>
      </c>
      <c r="AC185">
        <v>0</v>
      </c>
      <c r="AD185">
        <v>104686.99507389162</v>
      </c>
      <c r="AE185">
        <v>500</v>
      </c>
      <c r="AF185">
        <v>105186.99507389162</v>
      </c>
      <c r="AG185">
        <v>0</v>
      </c>
      <c r="AH185">
        <v>105186.99507389162</v>
      </c>
      <c r="AI185">
        <v>0</v>
      </c>
      <c r="AJ185">
        <v>105186.99507389162</v>
      </c>
      <c r="AK185">
        <v>0</v>
      </c>
      <c r="AL185">
        <v>105186.99507389162</v>
      </c>
      <c r="AM185">
        <v>500</v>
      </c>
      <c r="AN185">
        <v>105686.99507389162</v>
      </c>
      <c r="AO185">
        <v>0</v>
      </c>
      <c r="AP185">
        <v>105686.99507389162</v>
      </c>
      <c r="AQ185">
        <v>500</v>
      </c>
      <c r="AR185">
        <v>106186.99507389162</v>
      </c>
      <c r="AS185">
        <v>500</v>
      </c>
      <c r="AT185">
        <v>106686.99507389162</v>
      </c>
      <c r="AV185">
        <v>106686.99507389162</v>
      </c>
      <c r="AW185">
        <v>-994.35936250675877</v>
      </c>
      <c r="AX185">
        <v>105692.63571138486</v>
      </c>
      <c r="AY185">
        <v>4195.004738053336</v>
      </c>
      <c r="AZ185">
        <v>109887.6404494382</v>
      </c>
      <c r="BA185">
        <v>0</v>
      </c>
      <c r="BB185">
        <v>109887.6404494382</v>
      </c>
      <c r="BC185">
        <v>0</v>
      </c>
      <c r="BD185">
        <v>109887.6404494382</v>
      </c>
      <c r="BE185">
        <v>0</v>
      </c>
      <c r="BF185">
        <v>109887.6404494382</v>
      </c>
      <c r="BG185">
        <v>2198.1183159604698</v>
      </c>
      <c r="BH185">
        <v>112085.75876539868</v>
      </c>
      <c r="BI185">
        <v>0</v>
      </c>
      <c r="BJ185">
        <v>112085.75876539868</v>
      </c>
      <c r="BK185">
        <v>112085.75876539867</v>
      </c>
      <c r="BL185">
        <v>8279775</v>
      </c>
      <c r="BO185">
        <v>0</v>
      </c>
      <c r="BP185">
        <v>112085.75876539867</v>
      </c>
      <c r="BQ185">
        <v>8279775</v>
      </c>
      <c r="BR185" s="238" t="s">
        <v>36</v>
      </c>
      <c r="BU185">
        <v>112085.75876539867</v>
      </c>
      <c r="BV185">
        <v>0</v>
      </c>
      <c r="BW185">
        <v>8279775</v>
      </c>
      <c r="BX185" s="238"/>
      <c r="BY185" s="238" t="s">
        <v>3</v>
      </c>
      <c r="BZ185" s="238" t="s">
        <v>3</v>
      </c>
      <c r="CA185" s="238" t="s">
        <v>8951</v>
      </c>
      <c r="CB185" s="238" t="s">
        <v>1167</v>
      </c>
      <c r="CC185" s="238" t="s">
        <v>9077</v>
      </c>
      <c r="CD185" s="238" t="s">
        <v>8990</v>
      </c>
      <c r="CE185" t="b">
        <v>1</v>
      </c>
      <c r="CF185">
        <v>8279775</v>
      </c>
      <c r="CG185">
        <v>8279775</v>
      </c>
      <c r="CH185">
        <v>0</v>
      </c>
      <c r="CI185">
        <v>0</v>
      </c>
      <c r="CJ185">
        <v>0</v>
      </c>
    </row>
    <row r="186" spans="1:88" x14ac:dyDescent="0.25">
      <c r="A186">
        <v>185</v>
      </c>
      <c r="B186">
        <v>2</v>
      </c>
      <c r="C186">
        <v>9</v>
      </c>
      <c r="D186">
        <v>7</v>
      </c>
      <c r="E186">
        <v>0</v>
      </c>
      <c r="F186">
        <v>16.989999999999998</v>
      </c>
      <c r="I186">
        <v>16.989999999999998</v>
      </c>
      <c r="J186">
        <v>7.49</v>
      </c>
      <c r="K186">
        <v>4.1500000000000004</v>
      </c>
      <c r="P186">
        <v>3.49</v>
      </c>
      <c r="R186">
        <v>3.49</v>
      </c>
      <c r="S186">
        <v>32.119999999999997</v>
      </c>
      <c r="T186">
        <v>28.63</v>
      </c>
      <c r="U186">
        <v>30.38</v>
      </c>
      <c r="V186">
        <v>138273.04</v>
      </c>
      <c r="W186">
        <v>2.5902521008392796</v>
      </c>
      <c r="X186">
        <v>138275.63025210085</v>
      </c>
      <c r="Y186">
        <v>0</v>
      </c>
      <c r="Z186">
        <v>138275.63025210085</v>
      </c>
      <c r="AA186">
        <v>0</v>
      </c>
      <c r="AB186">
        <v>138275.63025210085</v>
      </c>
      <c r="AC186">
        <v>0</v>
      </c>
      <c r="AD186">
        <v>138275.63025210085</v>
      </c>
      <c r="AE186">
        <v>0</v>
      </c>
      <c r="AF186">
        <v>138275.63025210085</v>
      </c>
      <c r="AG186">
        <v>0</v>
      </c>
      <c r="AH186">
        <v>138275.63025210085</v>
      </c>
      <c r="AI186">
        <v>0</v>
      </c>
      <c r="AJ186">
        <v>138275.63025210085</v>
      </c>
      <c r="AK186">
        <v>0</v>
      </c>
      <c r="AL186">
        <v>138275.63025210085</v>
      </c>
      <c r="AM186">
        <v>0</v>
      </c>
      <c r="AN186">
        <v>138275.63025210085</v>
      </c>
      <c r="AO186">
        <v>0</v>
      </c>
      <c r="AP186">
        <v>138275.63025210085</v>
      </c>
      <c r="AQ186">
        <v>0</v>
      </c>
      <c r="AR186">
        <v>138275.63025210085</v>
      </c>
      <c r="AS186">
        <v>0</v>
      </c>
      <c r="AT186">
        <v>138275.63025210085</v>
      </c>
      <c r="AV186">
        <v>138275.63025210085</v>
      </c>
      <c r="AW186">
        <v>1195.1399914804497</v>
      </c>
      <c r="AX186">
        <v>139470.7702435813</v>
      </c>
      <c r="AY186">
        <v>2955.1678736010508</v>
      </c>
      <c r="AZ186">
        <v>142425.93811718235</v>
      </c>
      <c r="BA186">
        <v>0</v>
      </c>
      <c r="BB186">
        <v>142425.93811718235</v>
      </c>
      <c r="BC186">
        <v>0</v>
      </c>
      <c r="BD186">
        <v>142425.93811718235</v>
      </c>
      <c r="BE186">
        <v>0</v>
      </c>
      <c r="BF186">
        <v>142425.93811718235</v>
      </c>
      <c r="BG186">
        <v>0</v>
      </c>
      <c r="BH186">
        <v>142425.93811718235</v>
      </c>
      <c r="BI186">
        <v>0</v>
      </c>
      <c r="BJ186">
        <v>142425.93811718235</v>
      </c>
      <c r="BK186">
        <v>142425.93811718235</v>
      </c>
      <c r="BL186">
        <v>4326900</v>
      </c>
      <c r="BO186">
        <v>0</v>
      </c>
      <c r="BP186">
        <v>142425.93811718235</v>
      </c>
      <c r="BQ186">
        <v>4326900</v>
      </c>
      <c r="BR186" s="238" t="s">
        <v>36</v>
      </c>
      <c r="BU186">
        <v>142425.93811718235</v>
      </c>
      <c r="BV186">
        <v>0</v>
      </c>
      <c r="BW186">
        <v>4326900</v>
      </c>
      <c r="BX186" s="238"/>
      <c r="BY186" s="238" t="s">
        <v>3</v>
      </c>
      <c r="BZ186" s="238" t="s">
        <v>3</v>
      </c>
      <c r="CA186" s="238" t="s">
        <v>8951</v>
      </c>
      <c r="CB186" s="238" t="s">
        <v>1167</v>
      </c>
      <c r="CC186" s="238" t="s">
        <v>9077</v>
      </c>
      <c r="CD186" s="238" t="s">
        <v>8970</v>
      </c>
      <c r="CE186" t="b">
        <v>1</v>
      </c>
      <c r="CF186">
        <v>4326900</v>
      </c>
      <c r="CG186">
        <v>4326900</v>
      </c>
      <c r="CH186">
        <v>0</v>
      </c>
      <c r="CI186">
        <v>0</v>
      </c>
      <c r="CJ186">
        <v>0</v>
      </c>
    </row>
    <row r="187" spans="1:88" x14ac:dyDescent="0.25">
      <c r="A187">
        <v>186</v>
      </c>
      <c r="B187">
        <v>2</v>
      </c>
      <c r="C187">
        <v>10</v>
      </c>
      <c r="D187">
        <v>1</v>
      </c>
      <c r="E187">
        <v>0</v>
      </c>
      <c r="F187">
        <v>16.989999999999998</v>
      </c>
      <c r="I187">
        <v>16.989999999999998</v>
      </c>
      <c r="J187">
        <v>7.49</v>
      </c>
      <c r="K187">
        <v>4.1500000000000004</v>
      </c>
      <c r="P187">
        <v>3.49</v>
      </c>
      <c r="R187">
        <v>3.49</v>
      </c>
      <c r="S187">
        <v>32.119999999999997</v>
      </c>
      <c r="T187">
        <v>28.63</v>
      </c>
      <c r="U187">
        <v>30.38</v>
      </c>
      <c r="V187">
        <v>138273.04</v>
      </c>
      <c r="W187">
        <v>2.5902521008392796</v>
      </c>
      <c r="X187">
        <v>138275.63025210085</v>
      </c>
      <c r="Y187">
        <v>0</v>
      </c>
      <c r="Z187">
        <v>138275.63025210085</v>
      </c>
      <c r="AA187">
        <v>0</v>
      </c>
      <c r="AB187">
        <v>138275.63025210085</v>
      </c>
      <c r="AC187">
        <v>0</v>
      </c>
      <c r="AD187">
        <v>138275.63025210085</v>
      </c>
      <c r="AE187">
        <v>0</v>
      </c>
      <c r="AF187">
        <v>138275.63025210085</v>
      </c>
      <c r="AG187">
        <v>0</v>
      </c>
      <c r="AH187">
        <v>138275.63025210085</v>
      </c>
      <c r="AI187">
        <v>0</v>
      </c>
      <c r="AJ187">
        <v>138275.63025210085</v>
      </c>
      <c r="AK187">
        <v>0</v>
      </c>
      <c r="AL187">
        <v>138275.63025210085</v>
      </c>
      <c r="AM187">
        <v>0</v>
      </c>
      <c r="AN187">
        <v>138275.63025210085</v>
      </c>
      <c r="AO187">
        <v>0</v>
      </c>
      <c r="AP187">
        <v>138275.63025210085</v>
      </c>
      <c r="AQ187">
        <v>0</v>
      </c>
      <c r="AR187">
        <v>138275.63025210085</v>
      </c>
      <c r="AS187">
        <v>0</v>
      </c>
      <c r="AT187">
        <v>138275.63025210085</v>
      </c>
      <c r="AV187">
        <v>138275.63025210085</v>
      </c>
      <c r="AW187">
        <v>1195.1399914804497</v>
      </c>
      <c r="AX187">
        <v>139470.7702435813</v>
      </c>
      <c r="AY187">
        <v>2955.1678736010508</v>
      </c>
      <c r="AZ187">
        <v>142425.93811718235</v>
      </c>
      <c r="BA187">
        <v>0</v>
      </c>
      <c r="BB187">
        <v>142425.93811718235</v>
      </c>
      <c r="BC187">
        <v>0</v>
      </c>
      <c r="BD187">
        <v>142425.93811718235</v>
      </c>
      <c r="BE187">
        <v>0</v>
      </c>
      <c r="BF187">
        <v>142425.93811718235</v>
      </c>
      <c r="BG187">
        <v>0</v>
      </c>
      <c r="BH187">
        <v>142425.93811718235</v>
      </c>
      <c r="BI187">
        <v>0</v>
      </c>
      <c r="BJ187">
        <v>142425.93811718235</v>
      </c>
      <c r="BK187">
        <v>142425.93811718235</v>
      </c>
      <c r="BL187">
        <v>4326900</v>
      </c>
      <c r="BO187">
        <v>0</v>
      </c>
      <c r="BP187">
        <v>142425.93811718235</v>
      </c>
      <c r="BQ187">
        <v>4326900</v>
      </c>
      <c r="BR187" s="238" t="s">
        <v>36</v>
      </c>
      <c r="BU187">
        <v>142425.93811718235</v>
      </c>
      <c r="BV187">
        <v>0</v>
      </c>
      <c r="BW187">
        <v>4326900</v>
      </c>
      <c r="BX187" s="238"/>
      <c r="BY187" s="238" t="s">
        <v>35</v>
      </c>
      <c r="BZ187" s="238" t="s">
        <v>35</v>
      </c>
      <c r="CA187" s="238" t="s">
        <v>8953</v>
      </c>
      <c r="CB187" s="238" t="s">
        <v>8954</v>
      </c>
      <c r="CC187" s="238" t="s">
        <v>9077</v>
      </c>
      <c r="CD187" s="238" t="s">
        <v>8970</v>
      </c>
      <c r="CE187" t="b">
        <v>1</v>
      </c>
      <c r="CF187">
        <v>4326900</v>
      </c>
      <c r="CG187">
        <v>4326900</v>
      </c>
      <c r="CH187">
        <v>0</v>
      </c>
      <c r="CI187">
        <v>0</v>
      </c>
      <c r="CJ187">
        <v>0</v>
      </c>
    </row>
    <row r="188" spans="1:88" x14ac:dyDescent="0.25">
      <c r="A188">
        <v>187</v>
      </c>
      <c r="B188">
        <v>2</v>
      </c>
      <c r="C188">
        <v>10</v>
      </c>
      <c r="D188">
        <v>2</v>
      </c>
      <c r="E188">
        <v>1</v>
      </c>
      <c r="F188">
        <v>11.31</v>
      </c>
      <c r="I188">
        <v>11.31</v>
      </c>
      <c r="J188">
        <v>15.89</v>
      </c>
      <c r="K188">
        <v>4.1100000000000003</v>
      </c>
      <c r="M188">
        <v>3</v>
      </c>
      <c r="P188">
        <v>2.77</v>
      </c>
      <c r="R188">
        <v>2.77</v>
      </c>
      <c r="S188">
        <v>37.08</v>
      </c>
      <c r="T188">
        <v>34.31</v>
      </c>
      <c r="U188">
        <v>35.700000000000003</v>
      </c>
      <c r="V188">
        <v>119184.96000000001</v>
      </c>
      <c r="W188">
        <v>1.2864183381025214</v>
      </c>
      <c r="X188">
        <v>119186.24641833811</v>
      </c>
      <c r="Y188">
        <v>0</v>
      </c>
      <c r="Z188">
        <v>119186.24641833811</v>
      </c>
      <c r="AA188">
        <v>0</v>
      </c>
      <c r="AB188">
        <v>119186.24641833811</v>
      </c>
      <c r="AC188">
        <v>0</v>
      </c>
      <c r="AD188">
        <v>119186.24641833811</v>
      </c>
      <c r="AE188">
        <v>0</v>
      </c>
      <c r="AF188">
        <v>119186.24641833811</v>
      </c>
      <c r="AG188">
        <v>0</v>
      </c>
      <c r="AH188">
        <v>119186.24641833811</v>
      </c>
      <c r="AI188">
        <v>0</v>
      </c>
      <c r="AJ188">
        <v>119186.24641833811</v>
      </c>
      <c r="AK188">
        <v>0</v>
      </c>
      <c r="AL188">
        <v>119186.24641833811</v>
      </c>
      <c r="AM188">
        <v>0</v>
      </c>
      <c r="AN188">
        <v>119186.24641833811</v>
      </c>
      <c r="AO188">
        <v>0</v>
      </c>
      <c r="AP188">
        <v>119186.24641833811</v>
      </c>
      <c r="AQ188">
        <v>0</v>
      </c>
      <c r="AR188">
        <v>119186.24641833811</v>
      </c>
      <c r="AS188">
        <v>0</v>
      </c>
      <c r="AT188">
        <v>119186.24641833811</v>
      </c>
      <c r="AV188">
        <v>119186.24641833811</v>
      </c>
      <c r="AW188">
        <v>824.36982816047384</v>
      </c>
      <c r="AX188">
        <v>120010.61624649858</v>
      </c>
      <c r="AY188">
        <v>2751.288515406166</v>
      </c>
      <c r="AZ188">
        <v>122761.90476190475</v>
      </c>
      <c r="BA188">
        <v>0</v>
      </c>
      <c r="BB188">
        <v>122761.90476190475</v>
      </c>
      <c r="BC188">
        <v>0</v>
      </c>
      <c r="BD188">
        <v>122761.90476190475</v>
      </c>
      <c r="BE188">
        <v>0</v>
      </c>
      <c r="BF188">
        <v>122761.90476190475</v>
      </c>
      <c r="BG188">
        <v>2455.3221288515488</v>
      </c>
      <c r="BH188">
        <v>125217.2268907563</v>
      </c>
      <c r="BI188">
        <v>0</v>
      </c>
      <c r="BJ188">
        <v>125217.2268907563</v>
      </c>
      <c r="BK188">
        <v>125217.2268907563</v>
      </c>
      <c r="BL188">
        <v>4470255</v>
      </c>
      <c r="BO188">
        <v>0</v>
      </c>
      <c r="BP188">
        <v>125217.2268907563</v>
      </c>
      <c r="BQ188">
        <v>4470255</v>
      </c>
      <c r="BR188" s="238" t="s">
        <v>36</v>
      </c>
      <c r="BU188">
        <v>125217.2268907563</v>
      </c>
      <c r="BV188">
        <v>0</v>
      </c>
      <c r="BW188">
        <v>4470255</v>
      </c>
      <c r="BX188" s="238"/>
      <c r="BY188" s="238" t="s">
        <v>35</v>
      </c>
      <c r="BZ188" s="238" t="s">
        <v>35</v>
      </c>
      <c r="CA188" s="238" t="s">
        <v>8953</v>
      </c>
      <c r="CB188" s="238" t="s">
        <v>8954</v>
      </c>
      <c r="CC188" s="238" t="s">
        <v>9077</v>
      </c>
      <c r="CD188" s="238" t="s">
        <v>8972</v>
      </c>
      <c r="CE188" t="b">
        <v>1</v>
      </c>
      <c r="CF188">
        <v>4470255</v>
      </c>
      <c r="CG188">
        <v>4470255</v>
      </c>
      <c r="CH188">
        <v>0</v>
      </c>
      <c r="CI188">
        <v>0</v>
      </c>
      <c r="CJ188">
        <v>0</v>
      </c>
    </row>
    <row r="189" spans="1:88" x14ac:dyDescent="0.25">
      <c r="A189">
        <v>188</v>
      </c>
      <c r="B189">
        <v>2</v>
      </c>
      <c r="C189">
        <v>10</v>
      </c>
      <c r="D189">
        <v>3</v>
      </c>
      <c r="E189">
        <v>1</v>
      </c>
      <c r="F189">
        <v>15.45</v>
      </c>
      <c r="I189">
        <v>15.45</v>
      </c>
      <c r="J189">
        <v>17.71</v>
      </c>
      <c r="K189">
        <v>4.01</v>
      </c>
      <c r="M189">
        <v>5.04</v>
      </c>
      <c r="P189">
        <v>3.84</v>
      </c>
      <c r="R189">
        <v>3.84</v>
      </c>
      <c r="S189">
        <v>46.05</v>
      </c>
      <c r="T189">
        <v>42.21</v>
      </c>
      <c r="U189">
        <v>44.13</v>
      </c>
      <c r="V189">
        <v>119184.96000000001</v>
      </c>
      <c r="W189">
        <v>0.22518518517608754</v>
      </c>
      <c r="X189">
        <v>119185.18518518518</v>
      </c>
      <c r="Y189">
        <v>0</v>
      </c>
      <c r="Z189">
        <v>119185.18518518518</v>
      </c>
      <c r="AA189">
        <v>0</v>
      </c>
      <c r="AB189">
        <v>119185.18518518518</v>
      </c>
      <c r="AC189">
        <v>0</v>
      </c>
      <c r="AD189">
        <v>119185.18518518518</v>
      </c>
      <c r="AE189">
        <v>0</v>
      </c>
      <c r="AF189">
        <v>119185.18518518518</v>
      </c>
      <c r="AG189">
        <v>0</v>
      </c>
      <c r="AH189">
        <v>119185.18518518518</v>
      </c>
      <c r="AI189">
        <v>0</v>
      </c>
      <c r="AJ189">
        <v>119185.18518518518</v>
      </c>
      <c r="AK189">
        <v>0</v>
      </c>
      <c r="AL189">
        <v>119185.18518518518</v>
      </c>
      <c r="AM189">
        <v>0</v>
      </c>
      <c r="AN189">
        <v>119185.18518518518</v>
      </c>
      <c r="AO189">
        <v>0</v>
      </c>
      <c r="AP189">
        <v>119185.18518518518</v>
      </c>
      <c r="AQ189">
        <v>0</v>
      </c>
      <c r="AR189">
        <v>119185.18518518518</v>
      </c>
      <c r="AS189">
        <v>0</v>
      </c>
      <c r="AT189">
        <v>119185.18518518518</v>
      </c>
      <c r="AV189">
        <v>119185.18518518518</v>
      </c>
      <c r="AW189">
        <v>988.30223833622586</v>
      </c>
      <c r="AX189">
        <v>120173.48742352141</v>
      </c>
      <c r="AY189">
        <v>2588.8058010423701</v>
      </c>
      <c r="AZ189">
        <v>122762.29322456378</v>
      </c>
      <c r="BA189">
        <v>0</v>
      </c>
      <c r="BB189">
        <v>122762.29322456378</v>
      </c>
      <c r="BC189">
        <v>0</v>
      </c>
      <c r="BD189">
        <v>122762.29322456378</v>
      </c>
      <c r="BE189">
        <v>0</v>
      </c>
      <c r="BF189">
        <v>122762.29322456378</v>
      </c>
      <c r="BG189">
        <v>2454.9512803081889</v>
      </c>
      <c r="BH189">
        <v>125217.24450487195</v>
      </c>
      <c r="BI189">
        <v>0</v>
      </c>
      <c r="BJ189">
        <v>125217.24450487195</v>
      </c>
      <c r="BK189">
        <v>125217.24450487197</v>
      </c>
      <c r="BL189">
        <v>5525837</v>
      </c>
      <c r="BO189">
        <v>0</v>
      </c>
      <c r="BP189">
        <v>125217.24450487197</v>
      </c>
      <c r="BQ189">
        <v>5525837</v>
      </c>
      <c r="BR189" s="238" t="s">
        <v>36</v>
      </c>
      <c r="BU189">
        <v>125217.24450487197</v>
      </c>
      <c r="BV189">
        <v>0</v>
      </c>
      <c r="BW189">
        <v>5525837</v>
      </c>
      <c r="BX189" s="238"/>
      <c r="BY189" s="238" t="s">
        <v>3</v>
      </c>
      <c r="BZ189" s="238" t="s">
        <v>3</v>
      </c>
      <c r="CA189" s="238" t="s">
        <v>8951</v>
      </c>
      <c r="CB189" s="238" t="s">
        <v>1167</v>
      </c>
      <c r="CC189" s="238" t="s">
        <v>9077</v>
      </c>
      <c r="CD189" s="238" t="s">
        <v>8972</v>
      </c>
      <c r="CE189" t="b">
        <v>1</v>
      </c>
      <c r="CF189">
        <v>5525837</v>
      </c>
      <c r="CG189">
        <v>5525837</v>
      </c>
      <c r="CH189">
        <v>0</v>
      </c>
      <c r="CI189">
        <v>0</v>
      </c>
      <c r="CJ189">
        <v>0</v>
      </c>
    </row>
    <row r="190" spans="1:88" x14ac:dyDescent="0.25">
      <c r="A190">
        <v>189</v>
      </c>
      <c r="B190">
        <v>2</v>
      </c>
      <c r="C190">
        <v>10</v>
      </c>
      <c r="D190">
        <v>4</v>
      </c>
      <c r="E190">
        <v>1</v>
      </c>
      <c r="F190">
        <v>10.59</v>
      </c>
      <c r="I190">
        <v>10.59</v>
      </c>
      <c r="J190">
        <v>15.45</v>
      </c>
      <c r="K190">
        <v>3.94</v>
      </c>
      <c r="M190">
        <v>4.4400000000000004</v>
      </c>
      <c r="P190">
        <v>3.45</v>
      </c>
      <c r="R190">
        <v>3.45</v>
      </c>
      <c r="S190">
        <v>37.869999999999997</v>
      </c>
      <c r="T190">
        <v>34.42</v>
      </c>
      <c r="U190">
        <v>36.15</v>
      </c>
      <c r="V190">
        <v>118016.48</v>
      </c>
      <c r="W190">
        <v>0.51716713882342447</v>
      </c>
      <c r="X190">
        <v>118016.99716713882</v>
      </c>
      <c r="Y190">
        <v>0</v>
      </c>
      <c r="Z190">
        <v>118016.99716713882</v>
      </c>
      <c r="AA190">
        <v>0</v>
      </c>
      <c r="AB190">
        <v>118016.99716713882</v>
      </c>
      <c r="AC190">
        <v>500</v>
      </c>
      <c r="AD190">
        <v>118516.99716713882</v>
      </c>
      <c r="AE190">
        <v>0</v>
      </c>
      <c r="AF190">
        <v>118516.99716713882</v>
      </c>
      <c r="AG190">
        <v>500</v>
      </c>
      <c r="AH190">
        <v>119016.99716713882</v>
      </c>
      <c r="AI190">
        <v>500</v>
      </c>
      <c r="AJ190">
        <v>119516.99716713882</v>
      </c>
      <c r="AK190">
        <v>500</v>
      </c>
      <c r="AL190">
        <v>120016.99716713882</v>
      </c>
      <c r="AM190">
        <v>0</v>
      </c>
      <c r="AN190">
        <v>120016.99716713882</v>
      </c>
      <c r="AO190">
        <v>500</v>
      </c>
      <c r="AP190">
        <v>120516.99716713882</v>
      </c>
      <c r="AQ190">
        <v>0</v>
      </c>
      <c r="AR190">
        <v>120516.99716713882</v>
      </c>
      <c r="AS190">
        <v>0</v>
      </c>
      <c r="AT190">
        <v>120516.99716713882</v>
      </c>
      <c r="AU190">
        <v>1000</v>
      </c>
      <c r="AV190">
        <v>121516.99716713882</v>
      </c>
      <c r="AW190">
        <v>702.56023258455389</v>
      </c>
      <c r="AX190">
        <v>122219.55739972337</v>
      </c>
      <c r="AY190">
        <v>2945.0345781466167</v>
      </c>
      <c r="AZ190">
        <v>125164.59197786999</v>
      </c>
      <c r="BA190">
        <v>0</v>
      </c>
      <c r="BB190">
        <v>125164.59197786999</v>
      </c>
      <c r="BC190">
        <v>0</v>
      </c>
      <c r="BD190">
        <v>125164.59197786999</v>
      </c>
      <c r="BE190">
        <v>0</v>
      </c>
      <c r="BF190">
        <v>125164.59197786999</v>
      </c>
      <c r="BG190">
        <v>0</v>
      </c>
      <c r="BH190">
        <v>125164.59197787</v>
      </c>
      <c r="BI190">
        <v>0</v>
      </c>
      <c r="BJ190">
        <v>125164.59197787</v>
      </c>
      <c r="BK190">
        <v>125164.59197786999</v>
      </c>
      <c r="BL190">
        <v>4524700</v>
      </c>
      <c r="BO190">
        <v>0</v>
      </c>
      <c r="BP190">
        <v>125164.59197786999</v>
      </c>
      <c r="BQ190">
        <v>4524700</v>
      </c>
      <c r="BR190" s="238" t="s">
        <v>36</v>
      </c>
      <c r="BU190">
        <v>125164.59197786999</v>
      </c>
      <c r="BV190">
        <v>0</v>
      </c>
      <c r="BW190">
        <v>4524700</v>
      </c>
      <c r="BX190" s="238"/>
      <c r="BY190" s="238" t="s">
        <v>8963</v>
      </c>
      <c r="BZ190" s="238" t="s">
        <v>8963</v>
      </c>
      <c r="CA190" s="238" t="s">
        <v>8953</v>
      </c>
      <c r="CB190" s="238" t="s">
        <v>8964</v>
      </c>
      <c r="CC190" s="238" t="s">
        <v>9077</v>
      </c>
      <c r="CD190" s="238" t="s">
        <v>8972</v>
      </c>
      <c r="CE190" t="b">
        <v>1</v>
      </c>
      <c r="CF190">
        <v>4524700</v>
      </c>
      <c r="CG190">
        <v>4688583</v>
      </c>
      <c r="CH190">
        <v>4524700</v>
      </c>
      <c r="CI190">
        <v>4524700</v>
      </c>
      <c r="CJ190">
        <v>0</v>
      </c>
    </row>
    <row r="191" spans="1:88" x14ac:dyDescent="0.25">
      <c r="A191">
        <v>190</v>
      </c>
      <c r="B191">
        <v>2</v>
      </c>
      <c r="C191">
        <v>10</v>
      </c>
      <c r="D191">
        <v>5</v>
      </c>
      <c r="E191">
        <v>1</v>
      </c>
      <c r="F191">
        <v>10.59</v>
      </c>
      <c r="I191">
        <v>10.59</v>
      </c>
      <c r="J191">
        <v>15.45</v>
      </c>
      <c r="K191">
        <v>3.94</v>
      </c>
      <c r="M191">
        <v>4.4400000000000004</v>
      </c>
      <c r="P191">
        <v>3.39</v>
      </c>
      <c r="R191">
        <v>3.39</v>
      </c>
      <c r="S191">
        <v>37.81</v>
      </c>
      <c r="T191">
        <v>34.42</v>
      </c>
      <c r="U191">
        <v>36.119999999999997</v>
      </c>
      <c r="V191">
        <v>118016.48</v>
      </c>
      <c r="W191">
        <v>0.56545454544539098</v>
      </c>
      <c r="X191">
        <v>118017.04545454544</v>
      </c>
      <c r="Y191">
        <v>0</v>
      </c>
      <c r="Z191">
        <v>118017.04545454544</v>
      </c>
      <c r="AA191">
        <v>499.94318181819108</v>
      </c>
      <c r="AB191">
        <v>118516.98863636363</v>
      </c>
      <c r="AC191">
        <v>0</v>
      </c>
      <c r="AD191">
        <v>118516.98863636363</v>
      </c>
      <c r="AE191">
        <v>0</v>
      </c>
      <c r="AF191">
        <v>118516.98863636363</v>
      </c>
      <c r="AG191">
        <v>0</v>
      </c>
      <c r="AH191">
        <v>118516.98863636363</v>
      </c>
      <c r="AI191">
        <v>500</v>
      </c>
      <c r="AJ191">
        <v>119016.98863636363</v>
      </c>
      <c r="AK191">
        <v>0</v>
      </c>
      <c r="AL191">
        <v>119016.98863636363</v>
      </c>
      <c r="AM191">
        <v>0</v>
      </c>
      <c r="AN191">
        <v>119016.98863636363</v>
      </c>
      <c r="AP191">
        <v>119016.98863636363</v>
      </c>
      <c r="AQ191">
        <v>0</v>
      </c>
      <c r="AR191">
        <v>119016.98863636363</v>
      </c>
      <c r="AS191">
        <v>0</v>
      </c>
      <c r="AT191">
        <v>119016.98863636363</v>
      </c>
      <c r="AV191">
        <v>119016.98863636363</v>
      </c>
      <c r="AX191">
        <v>115985.54817275748</v>
      </c>
      <c r="AY191">
        <v>0</v>
      </c>
      <c r="AZ191">
        <v>115985.54817275748</v>
      </c>
      <c r="BA191">
        <v>0</v>
      </c>
      <c r="BB191">
        <v>115985.54817275748</v>
      </c>
      <c r="BC191">
        <v>0</v>
      </c>
      <c r="BD191">
        <v>115985.54817275748</v>
      </c>
      <c r="BE191">
        <v>0</v>
      </c>
      <c r="BF191">
        <v>115985.54817275748</v>
      </c>
      <c r="BG191">
        <v>0</v>
      </c>
      <c r="BH191">
        <v>115985.54817275748</v>
      </c>
      <c r="BI191">
        <v>0</v>
      </c>
      <c r="BJ191">
        <v>115985.54817275748</v>
      </c>
      <c r="BK191">
        <v>115985.54817275748</v>
      </c>
      <c r="BL191">
        <v>4189398</v>
      </c>
      <c r="BO191">
        <v>0</v>
      </c>
      <c r="BP191">
        <v>115985.54817275748</v>
      </c>
      <c r="BQ191">
        <v>4189398</v>
      </c>
      <c r="BR191" s="238" t="s">
        <v>36</v>
      </c>
      <c r="BU191">
        <v>115985.54817275748</v>
      </c>
      <c r="BV191">
        <v>0</v>
      </c>
      <c r="BW191">
        <v>4189398</v>
      </c>
      <c r="BX191" s="238"/>
      <c r="BY191" s="238" t="s">
        <v>8963</v>
      </c>
      <c r="BZ191" s="238" t="s">
        <v>8963</v>
      </c>
      <c r="CA191" s="238" t="s">
        <v>8953</v>
      </c>
      <c r="CB191" s="238" t="s">
        <v>8964</v>
      </c>
      <c r="CC191" s="238" t="s">
        <v>9077</v>
      </c>
      <c r="CD191" s="238" t="s">
        <v>8972</v>
      </c>
      <c r="CE191" t="b">
        <v>1</v>
      </c>
      <c r="CF191">
        <v>4189398</v>
      </c>
      <c r="CG191">
        <v>4384872</v>
      </c>
      <c r="CH191">
        <v>4189398</v>
      </c>
      <c r="CI191">
        <v>4189398</v>
      </c>
      <c r="CJ191">
        <v>0</v>
      </c>
    </row>
    <row r="192" spans="1:88" x14ac:dyDescent="0.25">
      <c r="A192">
        <v>191</v>
      </c>
      <c r="B192">
        <v>2</v>
      </c>
      <c r="C192">
        <v>10</v>
      </c>
      <c r="D192">
        <v>6</v>
      </c>
      <c r="E192">
        <v>3</v>
      </c>
      <c r="F192">
        <v>12.4</v>
      </c>
      <c r="G192">
        <v>11.28</v>
      </c>
      <c r="H192">
        <v>11.28</v>
      </c>
      <c r="I192">
        <v>34.96</v>
      </c>
      <c r="J192">
        <v>17.940000000000001</v>
      </c>
      <c r="K192">
        <v>4.67</v>
      </c>
      <c r="L192">
        <v>3.54</v>
      </c>
      <c r="M192">
        <v>9.56</v>
      </c>
      <c r="P192">
        <v>2.79</v>
      </c>
      <c r="Q192">
        <v>3.6</v>
      </c>
      <c r="R192">
        <v>6.3900000000000006</v>
      </c>
      <c r="S192">
        <v>77.06</v>
      </c>
      <c r="T192">
        <v>70.67</v>
      </c>
      <c r="U192">
        <v>73.87</v>
      </c>
      <c r="V192">
        <v>104186.56</v>
      </c>
      <c r="W192">
        <v>500.43507389162551</v>
      </c>
      <c r="X192">
        <v>104686.99507389162</v>
      </c>
      <c r="Y192">
        <v>0</v>
      </c>
      <c r="Z192">
        <v>104686.99507389162</v>
      </c>
      <c r="AA192">
        <v>0</v>
      </c>
      <c r="AB192">
        <v>104686.99507389162</v>
      </c>
      <c r="AC192">
        <v>0</v>
      </c>
      <c r="AD192">
        <v>104686.99507389162</v>
      </c>
      <c r="AE192">
        <v>500</v>
      </c>
      <c r="AF192">
        <v>105186.99507389162</v>
      </c>
      <c r="AG192">
        <v>0</v>
      </c>
      <c r="AH192">
        <v>105186.99507389162</v>
      </c>
      <c r="AI192">
        <v>0</v>
      </c>
      <c r="AJ192">
        <v>105186.99507389162</v>
      </c>
      <c r="AK192">
        <v>0</v>
      </c>
      <c r="AL192">
        <v>105186.99507389162</v>
      </c>
      <c r="AN192">
        <v>105686.99507389162</v>
      </c>
      <c r="AP192">
        <v>105686.99507389162</v>
      </c>
      <c r="AR192">
        <v>105686.99507389162</v>
      </c>
      <c r="AS192">
        <v>0</v>
      </c>
      <c r="AT192">
        <v>105686.99507389162</v>
      </c>
      <c r="AV192">
        <v>105686.99507389162</v>
      </c>
      <c r="AX192">
        <v>101652.3757953161</v>
      </c>
      <c r="AY192">
        <v>0</v>
      </c>
      <c r="AZ192">
        <v>101652.3757953161</v>
      </c>
      <c r="BA192">
        <v>0</v>
      </c>
      <c r="BB192">
        <v>101652.3757953161</v>
      </c>
      <c r="BC192">
        <v>0</v>
      </c>
      <c r="BD192">
        <v>101652.3757953161</v>
      </c>
      <c r="BE192">
        <v>0</v>
      </c>
      <c r="BF192">
        <v>101652.3757953161</v>
      </c>
      <c r="BG192">
        <v>0</v>
      </c>
      <c r="BH192">
        <v>101652.3757953161</v>
      </c>
      <c r="BI192">
        <v>0</v>
      </c>
      <c r="BJ192">
        <v>101652.3757953161</v>
      </c>
      <c r="BK192">
        <v>101652.3757953161</v>
      </c>
      <c r="BL192">
        <v>7509061.0000000009</v>
      </c>
      <c r="BN192">
        <v>0.02</v>
      </c>
      <c r="BO192">
        <v>150181</v>
      </c>
      <c r="BP192">
        <v>99619.331257614729</v>
      </c>
      <c r="BQ192">
        <v>7358880.0000000009</v>
      </c>
      <c r="BR192" s="238" t="s">
        <v>36</v>
      </c>
      <c r="BU192">
        <v>99619.331257614729</v>
      </c>
      <c r="BV192">
        <v>0</v>
      </c>
      <c r="BW192">
        <v>7358880.0000000009</v>
      </c>
      <c r="BX192" s="238"/>
      <c r="BY192" s="238" t="s">
        <v>8963</v>
      </c>
      <c r="BZ192" s="238" t="s">
        <v>8963</v>
      </c>
      <c r="CA192" s="238" t="s">
        <v>8953</v>
      </c>
      <c r="CB192" s="238" t="s">
        <v>8964</v>
      </c>
      <c r="CC192" s="238" t="s">
        <v>9077</v>
      </c>
      <c r="CD192" s="238" t="s">
        <v>8990</v>
      </c>
      <c r="CE192" t="b">
        <v>1</v>
      </c>
      <c r="CF192">
        <v>7509061</v>
      </c>
      <c r="CG192">
        <v>7963241</v>
      </c>
      <c r="CH192">
        <v>7509061</v>
      </c>
      <c r="CI192">
        <v>7509061</v>
      </c>
      <c r="CJ192">
        <v>0</v>
      </c>
    </row>
    <row r="193" spans="1:88" x14ac:dyDescent="0.25">
      <c r="A193">
        <v>192</v>
      </c>
      <c r="B193">
        <v>2</v>
      </c>
      <c r="C193">
        <v>10</v>
      </c>
      <c r="D193">
        <v>7</v>
      </c>
      <c r="E193">
        <v>0</v>
      </c>
      <c r="F193">
        <v>16.989999999999998</v>
      </c>
      <c r="I193">
        <v>16.989999999999998</v>
      </c>
      <c r="J193">
        <v>7.49</v>
      </c>
      <c r="K193">
        <v>4.1500000000000004</v>
      </c>
      <c r="P193">
        <v>3.49</v>
      </c>
      <c r="R193">
        <v>3.49</v>
      </c>
      <c r="S193">
        <v>32.119999999999997</v>
      </c>
      <c r="T193">
        <v>28.63</v>
      </c>
      <c r="U193">
        <v>30.38</v>
      </c>
      <c r="V193">
        <v>138273.04</v>
      </c>
      <c r="W193">
        <v>2.5902521008392796</v>
      </c>
      <c r="X193">
        <v>138275.63025210085</v>
      </c>
      <c r="Y193">
        <v>0</v>
      </c>
      <c r="Z193">
        <v>138275.63025210085</v>
      </c>
      <c r="AA193">
        <v>0</v>
      </c>
      <c r="AB193">
        <v>138275.63025210085</v>
      </c>
      <c r="AC193">
        <v>0</v>
      </c>
      <c r="AD193">
        <v>138275.63025210085</v>
      </c>
      <c r="AE193">
        <v>0</v>
      </c>
      <c r="AF193">
        <v>138275.63025210085</v>
      </c>
      <c r="AG193">
        <v>0</v>
      </c>
      <c r="AH193">
        <v>138275.63025210085</v>
      </c>
      <c r="AI193">
        <v>0</v>
      </c>
      <c r="AJ193">
        <v>138275.63025210085</v>
      </c>
      <c r="AK193">
        <v>0</v>
      </c>
      <c r="AL193">
        <v>138275.63025210085</v>
      </c>
      <c r="AM193">
        <v>0</v>
      </c>
      <c r="AN193">
        <v>138275.63025210085</v>
      </c>
      <c r="AO193">
        <v>0</v>
      </c>
      <c r="AP193">
        <v>138275.63025210085</v>
      </c>
      <c r="AQ193">
        <v>0</v>
      </c>
      <c r="AR193">
        <v>138275.63025210085</v>
      </c>
      <c r="AS193">
        <v>0</v>
      </c>
      <c r="AT193">
        <v>138275.63025210085</v>
      </c>
      <c r="AV193">
        <v>138275.63025210085</v>
      </c>
      <c r="AW193">
        <v>1195.1399914804497</v>
      </c>
      <c r="AX193">
        <v>139470.7702435813</v>
      </c>
      <c r="AY193">
        <v>2955.1678736010508</v>
      </c>
      <c r="AZ193">
        <v>142425.93811718235</v>
      </c>
      <c r="BA193">
        <v>0</v>
      </c>
      <c r="BB193">
        <v>142425.93811718235</v>
      </c>
      <c r="BC193">
        <v>0</v>
      </c>
      <c r="BD193">
        <v>142425.93811718235</v>
      </c>
      <c r="BE193">
        <v>0</v>
      </c>
      <c r="BF193">
        <v>142425.93811718235</v>
      </c>
      <c r="BG193">
        <v>0</v>
      </c>
      <c r="BH193">
        <v>142425.93811718235</v>
      </c>
      <c r="BI193">
        <v>0</v>
      </c>
      <c r="BJ193">
        <v>142425.93811718235</v>
      </c>
      <c r="BK193">
        <v>142425.93811718235</v>
      </c>
      <c r="BL193">
        <v>4326900</v>
      </c>
      <c r="BO193">
        <v>0</v>
      </c>
      <c r="BP193">
        <v>142425.93811718235</v>
      </c>
      <c r="BQ193">
        <v>4326900</v>
      </c>
      <c r="BR193" s="238" t="s">
        <v>36</v>
      </c>
      <c r="BU193">
        <v>142425.93811718235</v>
      </c>
      <c r="BV193">
        <v>0</v>
      </c>
      <c r="BW193">
        <v>4326900</v>
      </c>
      <c r="BX193" s="238"/>
      <c r="BY193" s="238" t="s">
        <v>3</v>
      </c>
      <c r="BZ193" s="238" t="s">
        <v>3</v>
      </c>
      <c r="CA193" s="238" t="s">
        <v>8951</v>
      </c>
      <c r="CB193" s="238" t="s">
        <v>1167</v>
      </c>
      <c r="CC193" s="238" t="s">
        <v>9077</v>
      </c>
      <c r="CD193" s="238" t="s">
        <v>8970</v>
      </c>
      <c r="CE193" t="b">
        <v>1</v>
      </c>
      <c r="CF193">
        <v>4326900</v>
      </c>
      <c r="CG193">
        <v>4326900</v>
      </c>
      <c r="CH193">
        <v>0</v>
      </c>
      <c r="CI193">
        <v>0</v>
      </c>
      <c r="CJ193">
        <v>0</v>
      </c>
    </row>
    <row r="194" spans="1:88" x14ac:dyDescent="0.25">
      <c r="A194">
        <v>193</v>
      </c>
      <c r="B194">
        <v>2</v>
      </c>
      <c r="C194">
        <v>11</v>
      </c>
      <c r="D194">
        <v>1</v>
      </c>
      <c r="E194">
        <v>0</v>
      </c>
      <c r="F194">
        <v>16.989999999999998</v>
      </c>
      <c r="I194">
        <v>16.989999999999998</v>
      </c>
      <c r="J194">
        <v>7.49</v>
      </c>
      <c r="K194">
        <v>4.1500000000000004</v>
      </c>
      <c r="P194">
        <v>3.49</v>
      </c>
      <c r="R194">
        <v>3.49</v>
      </c>
      <c r="S194">
        <v>32.119999999999997</v>
      </c>
      <c r="T194">
        <v>28.63</v>
      </c>
      <c r="U194">
        <v>30.38</v>
      </c>
      <c r="V194">
        <v>138273.04</v>
      </c>
      <c r="W194">
        <v>2.5902521008392796</v>
      </c>
      <c r="X194">
        <v>138275.63025210085</v>
      </c>
      <c r="Y194">
        <v>0</v>
      </c>
      <c r="Z194">
        <v>138275.63025210085</v>
      </c>
      <c r="AA194">
        <v>0</v>
      </c>
      <c r="AB194">
        <v>138275.63025210085</v>
      </c>
      <c r="AC194">
        <v>0</v>
      </c>
      <c r="AD194">
        <v>138275.63025210085</v>
      </c>
      <c r="AE194">
        <v>0</v>
      </c>
      <c r="AF194">
        <v>138275.63025210085</v>
      </c>
      <c r="AG194">
        <v>0</v>
      </c>
      <c r="AH194">
        <v>138275.63025210085</v>
      </c>
      <c r="AI194">
        <v>0</v>
      </c>
      <c r="AJ194">
        <v>138275.63025210085</v>
      </c>
      <c r="AK194">
        <v>0</v>
      </c>
      <c r="AL194">
        <v>138275.63025210085</v>
      </c>
      <c r="AM194">
        <v>0</v>
      </c>
      <c r="AN194">
        <v>138275.63025210085</v>
      </c>
      <c r="AO194">
        <v>0</v>
      </c>
      <c r="AP194">
        <v>138275.63025210085</v>
      </c>
      <c r="AQ194">
        <v>0</v>
      </c>
      <c r="AR194">
        <v>138275.63025210085</v>
      </c>
      <c r="AS194">
        <v>0</v>
      </c>
      <c r="AT194">
        <v>138275.63025210085</v>
      </c>
      <c r="AV194">
        <v>138275.63025210085</v>
      </c>
      <c r="AW194">
        <v>1195.1399914804497</v>
      </c>
      <c r="AX194">
        <v>139470.7702435813</v>
      </c>
      <c r="AY194">
        <v>2955.1678736010508</v>
      </c>
      <c r="AZ194">
        <v>142425.93811718235</v>
      </c>
      <c r="BA194">
        <v>0</v>
      </c>
      <c r="BB194">
        <v>142425.93811718235</v>
      </c>
      <c r="BC194">
        <v>0</v>
      </c>
      <c r="BD194">
        <v>142425.93811718235</v>
      </c>
      <c r="BE194">
        <v>0</v>
      </c>
      <c r="BF194">
        <v>142425.93811718235</v>
      </c>
      <c r="BG194">
        <v>0</v>
      </c>
      <c r="BH194">
        <v>142425.93811718235</v>
      </c>
      <c r="BI194">
        <v>0</v>
      </c>
      <c r="BJ194">
        <v>142425.93811718235</v>
      </c>
      <c r="BK194">
        <v>142425.93811718235</v>
      </c>
      <c r="BL194">
        <v>4326900</v>
      </c>
      <c r="BO194">
        <v>0</v>
      </c>
      <c r="BP194">
        <v>142425.93811718235</v>
      </c>
      <c r="BQ194">
        <v>4326900</v>
      </c>
      <c r="BR194" s="238" t="s">
        <v>36</v>
      </c>
      <c r="BU194">
        <v>142425.93811718235</v>
      </c>
      <c r="BV194">
        <v>0</v>
      </c>
      <c r="BW194">
        <v>4326900</v>
      </c>
      <c r="BX194" s="238"/>
      <c r="BY194" s="238" t="s">
        <v>35</v>
      </c>
      <c r="BZ194" s="238" t="s">
        <v>35</v>
      </c>
      <c r="CA194" s="238" t="s">
        <v>8953</v>
      </c>
      <c r="CB194" s="238" t="s">
        <v>8954</v>
      </c>
      <c r="CC194" s="238" t="s">
        <v>9077</v>
      </c>
      <c r="CD194" s="238" t="s">
        <v>8970</v>
      </c>
      <c r="CE194" t="b">
        <v>1</v>
      </c>
      <c r="CF194">
        <v>4326900</v>
      </c>
      <c r="CG194">
        <v>4326900</v>
      </c>
      <c r="CH194">
        <v>0</v>
      </c>
      <c r="CI194">
        <v>0</v>
      </c>
      <c r="CJ194">
        <v>0</v>
      </c>
    </row>
    <row r="195" spans="1:88" x14ac:dyDescent="0.25">
      <c r="A195">
        <v>194</v>
      </c>
      <c r="B195">
        <v>2</v>
      </c>
      <c r="C195">
        <v>11</v>
      </c>
      <c r="D195">
        <v>2</v>
      </c>
      <c r="E195">
        <v>1</v>
      </c>
      <c r="F195">
        <v>11.31</v>
      </c>
      <c r="I195">
        <v>11.31</v>
      </c>
      <c r="J195">
        <v>15.89</v>
      </c>
      <c r="K195">
        <v>4.1100000000000003</v>
      </c>
      <c r="M195">
        <v>3</v>
      </c>
      <c r="P195">
        <v>2.77</v>
      </c>
      <c r="R195">
        <v>2.77</v>
      </c>
      <c r="S195">
        <v>37.08</v>
      </c>
      <c r="T195">
        <v>34.31</v>
      </c>
      <c r="U195">
        <v>35.700000000000003</v>
      </c>
      <c r="V195">
        <v>119184.96000000001</v>
      </c>
      <c r="W195">
        <v>1.2864183381025214</v>
      </c>
      <c r="X195">
        <v>119186.24641833811</v>
      </c>
      <c r="Y195">
        <v>0</v>
      </c>
      <c r="Z195">
        <v>119186.24641833811</v>
      </c>
      <c r="AA195">
        <v>0</v>
      </c>
      <c r="AB195">
        <v>119186.24641833811</v>
      </c>
      <c r="AC195">
        <v>0</v>
      </c>
      <c r="AD195">
        <v>119186.24641833811</v>
      </c>
      <c r="AE195">
        <v>0</v>
      </c>
      <c r="AF195">
        <v>119186.24641833811</v>
      </c>
      <c r="AG195">
        <v>0</v>
      </c>
      <c r="AH195">
        <v>119186.24641833811</v>
      </c>
      <c r="AI195">
        <v>0</v>
      </c>
      <c r="AJ195">
        <v>119186.24641833811</v>
      </c>
      <c r="AK195">
        <v>0</v>
      </c>
      <c r="AL195">
        <v>119186.24641833811</v>
      </c>
      <c r="AM195">
        <v>0</v>
      </c>
      <c r="AN195">
        <v>119186.24641833811</v>
      </c>
      <c r="AO195">
        <v>0</v>
      </c>
      <c r="AP195">
        <v>119186.24641833811</v>
      </c>
      <c r="AQ195">
        <v>0</v>
      </c>
      <c r="AR195">
        <v>119186.24641833811</v>
      </c>
      <c r="AS195">
        <v>0</v>
      </c>
      <c r="AT195">
        <v>119186.24641833811</v>
      </c>
      <c r="AV195">
        <v>119186.24641833811</v>
      </c>
      <c r="AW195">
        <v>824.36982816047384</v>
      </c>
      <c r="AX195">
        <v>120010.61624649858</v>
      </c>
      <c r="AY195">
        <v>2751.288515406166</v>
      </c>
      <c r="AZ195">
        <v>122761.90476190475</v>
      </c>
      <c r="BA195">
        <v>0</v>
      </c>
      <c r="BB195">
        <v>122761.90476190475</v>
      </c>
      <c r="BC195">
        <v>0</v>
      </c>
      <c r="BD195">
        <v>122761.90476190475</v>
      </c>
      <c r="BE195">
        <v>0</v>
      </c>
      <c r="BF195">
        <v>122761.90476190475</v>
      </c>
      <c r="BG195">
        <v>2455.3221288515488</v>
      </c>
      <c r="BH195">
        <v>125217.2268907563</v>
      </c>
      <c r="BI195">
        <v>0</v>
      </c>
      <c r="BJ195">
        <v>125217.2268907563</v>
      </c>
      <c r="BK195">
        <v>125217.2268907563</v>
      </c>
      <c r="BL195">
        <v>4470255</v>
      </c>
      <c r="BO195">
        <v>0</v>
      </c>
      <c r="BP195">
        <v>125217.2268907563</v>
      </c>
      <c r="BQ195">
        <v>4470255</v>
      </c>
      <c r="BR195" s="238" t="s">
        <v>36</v>
      </c>
      <c r="BU195">
        <v>125217.2268907563</v>
      </c>
      <c r="BV195">
        <v>0</v>
      </c>
      <c r="BW195">
        <v>4470255</v>
      </c>
      <c r="BX195" s="238"/>
      <c r="BY195" s="238" t="s">
        <v>35</v>
      </c>
      <c r="BZ195" s="238" t="s">
        <v>35</v>
      </c>
      <c r="CA195" s="238" t="s">
        <v>8953</v>
      </c>
      <c r="CB195" s="238" t="s">
        <v>8954</v>
      </c>
      <c r="CC195" s="238" t="s">
        <v>9077</v>
      </c>
      <c r="CD195" s="238" t="s">
        <v>8972</v>
      </c>
      <c r="CE195" t="b">
        <v>1</v>
      </c>
      <c r="CF195">
        <v>4470255</v>
      </c>
      <c r="CG195">
        <v>4470255</v>
      </c>
      <c r="CH195">
        <v>0</v>
      </c>
      <c r="CI195">
        <v>0</v>
      </c>
      <c r="CJ195">
        <v>0</v>
      </c>
    </row>
    <row r="196" spans="1:88" x14ac:dyDescent="0.25">
      <c r="A196">
        <v>195</v>
      </c>
      <c r="B196">
        <v>2</v>
      </c>
      <c r="C196">
        <v>11</v>
      </c>
      <c r="D196">
        <v>3</v>
      </c>
      <c r="E196">
        <v>1</v>
      </c>
      <c r="F196">
        <v>15.45</v>
      </c>
      <c r="I196">
        <v>15.45</v>
      </c>
      <c r="J196">
        <v>17.71</v>
      </c>
      <c r="K196">
        <v>4.01</v>
      </c>
      <c r="M196">
        <v>5.04</v>
      </c>
      <c r="P196">
        <v>3.84</v>
      </c>
      <c r="R196">
        <v>3.84</v>
      </c>
      <c r="S196">
        <v>46.05</v>
      </c>
      <c r="T196">
        <v>42.21</v>
      </c>
      <c r="U196">
        <v>44.13</v>
      </c>
      <c r="V196">
        <v>119184.96000000001</v>
      </c>
      <c r="W196">
        <v>0.22518518517608754</v>
      </c>
      <c r="X196">
        <v>119185.18518518518</v>
      </c>
      <c r="Y196">
        <v>0</v>
      </c>
      <c r="Z196">
        <v>119185.18518518518</v>
      </c>
      <c r="AA196">
        <v>0</v>
      </c>
      <c r="AB196">
        <v>119185.18518518518</v>
      </c>
      <c r="AC196">
        <v>0</v>
      </c>
      <c r="AD196">
        <v>119185.18518518518</v>
      </c>
      <c r="AE196">
        <v>0</v>
      </c>
      <c r="AF196">
        <v>119185.18518518518</v>
      </c>
      <c r="AG196">
        <v>0</v>
      </c>
      <c r="AH196">
        <v>119185.18518518518</v>
      </c>
      <c r="AI196">
        <v>0</v>
      </c>
      <c r="AJ196">
        <v>119185.18518518518</v>
      </c>
      <c r="AK196">
        <v>0</v>
      </c>
      <c r="AL196">
        <v>119185.18518518518</v>
      </c>
      <c r="AM196">
        <v>0</v>
      </c>
      <c r="AN196">
        <v>119185.18518518518</v>
      </c>
      <c r="AO196">
        <v>0</v>
      </c>
      <c r="AP196">
        <v>119185.18518518518</v>
      </c>
      <c r="AQ196">
        <v>0</v>
      </c>
      <c r="AR196">
        <v>119185.18518518518</v>
      </c>
      <c r="AS196">
        <v>0</v>
      </c>
      <c r="AT196">
        <v>119185.18518518518</v>
      </c>
      <c r="AV196">
        <v>119185.18518518518</v>
      </c>
      <c r="AW196">
        <v>988.30223833622586</v>
      </c>
      <c r="AX196">
        <v>120173.48742352141</v>
      </c>
      <c r="AY196">
        <v>2588.8058010423701</v>
      </c>
      <c r="AZ196">
        <v>122762.29322456378</v>
      </c>
      <c r="BA196">
        <v>0</v>
      </c>
      <c r="BB196">
        <v>122762.29322456378</v>
      </c>
      <c r="BC196">
        <v>0</v>
      </c>
      <c r="BD196">
        <v>122762.29322456378</v>
      </c>
      <c r="BE196">
        <v>0</v>
      </c>
      <c r="BF196">
        <v>122762.29322456378</v>
      </c>
      <c r="BG196">
        <v>2454.9512803081889</v>
      </c>
      <c r="BH196">
        <v>125217.24450487195</v>
      </c>
      <c r="BI196">
        <v>0</v>
      </c>
      <c r="BJ196">
        <v>125217.24450487195</v>
      </c>
      <c r="BK196">
        <v>125217.24450487197</v>
      </c>
      <c r="BL196">
        <v>5525837</v>
      </c>
      <c r="BO196">
        <v>0</v>
      </c>
      <c r="BP196">
        <v>125217.24450487197</v>
      </c>
      <c r="BQ196">
        <v>5525837</v>
      </c>
      <c r="BR196" s="238" t="s">
        <v>36</v>
      </c>
      <c r="BU196">
        <v>125217.24450487197</v>
      </c>
      <c r="BV196">
        <v>0</v>
      </c>
      <c r="BW196">
        <v>5525837</v>
      </c>
      <c r="BX196" s="238"/>
      <c r="BY196" s="238" t="s">
        <v>3</v>
      </c>
      <c r="BZ196" s="238" t="s">
        <v>3</v>
      </c>
      <c r="CA196" s="238" t="s">
        <v>8951</v>
      </c>
      <c r="CB196" s="238" t="s">
        <v>1167</v>
      </c>
      <c r="CC196" s="238" t="s">
        <v>9077</v>
      </c>
      <c r="CD196" s="238" t="s">
        <v>8972</v>
      </c>
      <c r="CE196" t="b">
        <v>1</v>
      </c>
      <c r="CF196">
        <v>5525837</v>
      </c>
      <c r="CG196">
        <v>5525837</v>
      </c>
      <c r="CH196">
        <v>0</v>
      </c>
      <c r="CI196">
        <v>0</v>
      </c>
      <c r="CJ196">
        <v>0</v>
      </c>
    </row>
    <row r="197" spans="1:88" x14ac:dyDescent="0.25">
      <c r="A197">
        <v>196</v>
      </c>
      <c r="B197">
        <v>2</v>
      </c>
      <c r="C197">
        <v>11</v>
      </c>
      <c r="D197">
        <v>4</v>
      </c>
      <c r="E197">
        <v>1</v>
      </c>
      <c r="F197">
        <v>10.59</v>
      </c>
      <c r="I197">
        <v>10.59</v>
      </c>
      <c r="J197">
        <v>15.45</v>
      </c>
      <c r="K197">
        <v>3.94</v>
      </c>
      <c r="M197">
        <v>4.4400000000000004</v>
      </c>
      <c r="P197">
        <v>3.45</v>
      </c>
      <c r="R197">
        <v>3.45</v>
      </c>
      <c r="S197">
        <v>37.869999999999997</v>
      </c>
      <c r="T197">
        <v>34.42</v>
      </c>
      <c r="U197">
        <v>36.15</v>
      </c>
      <c r="V197">
        <v>118016.48</v>
      </c>
      <c r="W197">
        <v>0.51716713882342447</v>
      </c>
      <c r="X197">
        <v>118016.99716713882</v>
      </c>
      <c r="Y197">
        <v>0</v>
      </c>
      <c r="Z197">
        <v>118016.99716713882</v>
      </c>
      <c r="AA197">
        <v>0</v>
      </c>
      <c r="AB197">
        <v>118016.99716713882</v>
      </c>
      <c r="AD197">
        <v>118516.99716713882</v>
      </c>
      <c r="AE197">
        <v>0</v>
      </c>
      <c r="AF197">
        <v>118516.99716713882</v>
      </c>
      <c r="AH197">
        <v>119016.99716713882</v>
      </c>
      <c r="AJ197">
        <v>119516.99716713882</v>
      </c>
      <c r="AL197">
        <v>120016.99716713882</v>
      </c>
      <c r="AM197">
        <v>0</v>
      </c>
      <c r="AN197">
        <v>120016.99716713882</v>
      </c>
      <c r="AP197">
        <v>118016.99716713882</v>
      </c>
      <c r="AQ197">
        <v>0</v>
      </c>
      <c r="AR197">
        <v>118016.99716713882</v>
      </c>
      <c r="AS197">
        <v>0</v>
      </c>
      <c r="AT197">
        <v>118016.99716713882</v>
      </c>
      <c r="AV197">
        <v>118016.99716713882</v>
      </c>
      <c r="AX197">
        <v>115242.0470262794</v>
      </c>
      <c r="AY197">
        <v>0</v>
      </c>
      <c r="AZ197">
        <v>115242.0470262794</v>
      </c>
      <c r="BA197">
        <v>0</v>
      </c>
      <c r="BB197">
        <v>115242.0470262794</v>
      </c>
      <c r="BC197">
        <v>0</v>
      </c>
      <c r="BD197">
        <v>115242.0470262794</v>
      </c>
      <c r="BE197">
        <v>0</v>
      </c>
      <c r="BF197">
        <v>115242.0470262794</v>
      </c>
      <c r="BG197">
        <v>0</v>
      </c>
      <c r="BH197">
        <v>115242.0470262794</v>
      </c>
      <c r="BI197">
        <v>0</v>
      </c>
      <c r="BJ197">
        <v>115242.0470262794</v>
      </c>
      <c r="BK197">
        <v>115242.0470262794</v>
      </c>
      <c r="BL197">
        <v>4166000</v>
      </c>
      <c r="BO197">
        <v>0</v>
      </c>
      <c r="BP197">
        <v>115242.0470262794</v>
      </c>
      <c r="BQ197">
        <v>4166000</v>
      </c>
      <c r="BR197" s="238" t="s">
        <v>36</v>
      </c>
      <c r="BU197">
        <v>115242.0470262794</v>
      </c>
      <c r="BV197">
        <v>0</v>
      </c>
      <c r="BW197">
        <v>4166000</v>
      </c>
      <c r="BX197" s="238"/>
      <c r="BY197" s="238" t="s">
        <v>8963</v>
      </c>
      <c r="BZ197" s="238" t="s">
        <v>8963</v>
      </c>
      <c r="CA197" s="238" t="s">
        <v>8953</v>
      </c>
      <c r="CB197" s="238" t="s">
        <v>8964</v>
      </c>
      <c r="CC197" s="238" t="s">
        <v>9077</v>
      </c>
      <c r="CD197" s="238" t="s">
        <v>8972</v>
      </c>
      <c r="CE197" t="b">
        <v>1</v>
      </c>
      <c r="CF197">
        <v>4166000</v>
      </c>
      <c r="CG197">
        <v>4425085</v>
      </c>
      <c r="CH197">
        <v>4166000</v>
      </c>
      <c r="CI197">
        <v>4166000</v>
      </c>
      <c r="CJ197">
        <v>0</v>
      </c>
    </row>
    <row r="198" spans="1:88" x14ac:dyDescent="0.25">
      <c r="A198">
        <v>197</v>
      </c>
      <c r="B198">
        <v>2</v>
      </c>
      <c r="C198">
        <v>11</v>
      </c>
      <c r="D198">
        <v>5</v>
      </c>
      <c r="E198">
        <v>1</v>
      </c>
      <c r="F198">
        <v>10.59</v>
      </c>
      <c r="I198">
        <v>10.59</v>
      </c>
      <c r="J198">
        <v>15.45</v>
      </c>
      <c r="K198">
        <v>3.94</v>
      </c>
      <c r="M198">
        <v>4.4400000000000004</v>
      </c>
      <c r="P198">
        <v>3.39</v>
      </c>
      <c r="R198">
        <v>3.39</v>
      </c>
      <c r="S198">
        <v>37.81</v>
      </c>
      <c r="T198">
        <v>34.42</v>
      </c>
      <c r="U198">
        <v>36.119999999999997</v>
      </c>
      <c r="V198">
        <v>118016.48</v>
      </c>
      <c r="W198">
        <v>0.56545454544539098</v>
      </c>
      <c r="X198">
        <v>118017.04545454544</v>
      </c>
      <c r="Y198">
        <v>0</v>
      </c>
      <c r="Z198">
        <v>118017.04545454544</v>
      </c>
      <c r="AB198">
        <v>118516.98863636363</v>
      </c>
      <c r="AC198">
        <v>0</v>
      </c>
      <c r="AD198">
        <v>118516.98863636363</v>
      </c>
      <c r="AE198">
        <v>0</v>
      </c>
      <c r="AF198">
        <v>118516.98863636363</v>
      </c>
      <c r="AG198">
        <v>0</v>
      </c>
      <c r="AH198">
        <v>118516.98863636363</v>
      </c>
      <c r="AJ198">
        <v>119016.98863636363</v>
      </c>
      <c r="AK198">
        <v>0</v>
      </c>
      <c r="AL198">
        <v>119016.98863636363</v>
      </c>
      <c r="AM198">
        <v>0</v>
      </c>
      <c r="AN198">
        <v>119016.98863636363</v>
      </c>
      <c r="AP198">
        <v>118017.04545454544</v>
      </c>
      <c r="AQ198">
        <v>0</v>
      </c>
      <c r="AR198">
        <v>118017.04545454544</v>
      </c>
      <c r="AS198">
        <v>0</v>
      </c>
      <c r="AT198">
        <v>118017.04545454544</v>
      </c>
      <c r="AV198">
        <v>118017.04545454544</v>
      </c>
      <c r="AX198">
        <v>115011.07419712072</v>
      </c>
      <c r="AY198">
        <v>0</v>
      </c>
      <c r="AZ198">
        <v>115011.07419712072</v>
      </c>
      <c r="BA198">
        <v>0</v>
      </c>
      <c r="BB198">
        <v>115011.07419712072</v>
      </c>
      <c r="BC198">
        <v>0</v>
      </c>
      <c r="BD198">
        <v>115011.07419712072</v>
      </c>
      <c r="BE198">
        <v>0</v>
      </c>
      <c r="BF198">
        <v>115011.07419712072</v>
      </c>
      <c r="BG198">
        <v>0</v>
      </c>
      <c r="BH198">
        <v>115011.07419712072</v>
      </c>
      <c r="BI198">
        <v>0</v>
      </c>
      <c r="BJ198">
        <v>115011.07419712072</v>
      </c>
      <c r="BK198">
        <v>115011.07419712072</v>
      </c>
      <c r="BL198">
        <v>4154200</v>
      </c>
      <c r="BN198">
        <v>0.02</v>
      </c>
      <c r="BO198">
        <v>83084</v>
      </c>
      <c r="BP198">
        <v>112710.8527131783</v>
      </c>
      <c r="BQ198">
        <v>4071116</v>
      </c>
      <c r="BR198" s="238" t="s">
        <v>36</v>
      </c>
      <c r="BU198">
        <v>112710.8527131783</v>
      </c>
      <c r="BV198">
        <v>0</v>
      </c>
      <c r="BW198">
        <v>4071116</v>
      </c>
      <c r="BX198" s="238" t="s">
        <v>8803</v>
      </c>
      <c r="BY198" s="238" t="s">
        <v>8963</v>
      </c>
      <c r="BZ198" s="238" t="s">
        <v>8963</v>
      </c>
      <c r="CA198" s="238" t="s">
        <v>8953</v>
      </c>
      <c r="CB198" s="238" t="s">
        <v>8964</v>
      </c>
      <c r="CC198" s="238" t="s">
        <v>9077</v>
      </c>
      <c r="CD198" s="238" t="s">
        <v>8972</v>
      </c>
      <c r="CE198" t="b">
        <v>1</v>
      </c>
      <c r="CF198">
        <v>4154200</v>
      </c>
      <c r="CG198">
        <v>4348066</v>
      </c>
      <c r="CH198">
        <v>4154200</v>
      </c>
      <c r="CI198">
        <v>4154200</v>
      </c>
      <c r="CJ198">
        <v>0</v>
      </c>
    </row>
    <row r="199" spans="1:88" x14ac:dyDescent="0.25">
      <c r="A199">
        <v>198</v>
      </c>
      <c r="B199">
        <v>2</v>
      </c>
      <c r="C199">
        <v>11</v>
      </c>
      <c r="D199">
        <v>6</v>
      </c>
      <c r="E199">
        <v>3</v>
      </c>
      <c r="F199">
        <v>12.4</v>
      </c>
      <c r="G199">
        <v>11.28</v>
      </c>
      <c r="H199">
        <v>11.28</v>
      </c>
      <c r="I199">
        <v>34.96</v>
      </c>
      <c r="J199">
        <v>17.940000000000001</v>
      </c>
      <c r="K199">
        <v>4.67</v>
      </c>
      <c r="L199">
        <v>3.54</v>
      </c>
      <c r="M199">
        <v>9.56</v>
      </c>
      <c r="P199">
        <v>2.79</v>
      </c>
      <c r="Q199">
        <v>3.6</v>
      </c>
      <c r="R199">
        <v>6.3900000000000006</v>
      </c>
      <c r="S199">
        <v>77.06</v>
      </c>
      <c r="T199">
        <v>70.67</v>
      </c>
      <c r="U199">
        <v>73.87</v>
      </c>
      <c r="V199">
        <v>104186.56</v>
      </c>
      <c r="W199">
        <v>500.43507389162551</v>
      </c>
      <c r="X199">
        <v>104686.99507389162</v>
      </c>
      <c r="Y199">
        <v>0</v>
      </c>
      <c r="Z199">
        <v>104686.99507389162</v>
      </c>
      <c r="AA199">
        <v>0</v>
      </c>
      <c r="AB199">
        <v>104686.99507389162</v>
      </c>
      <c r="AC199">
        <v>0</v>
      </c>
      <c r="AD199">
        <v>104686.99507389162</v>
      </c>
      <c r="AE199">
        <v>500</v>
      </c>
      <c r="AF199">
        <v>105186.99507389162</v>
      </c>
      <c r="AG199">
        <v>0</v>
      </c>
      <c r="AH199">
        <v>105186.99507389162</v>
      </c>
      <c r="AI199">
        <v>0</v>
      </c>
      <c r="AJ199">
        <v>105186.99507389162</v>
      </c>
      <c r="AK199">
        <v>0</v>
      </c>
      <c r="AL199">
        <v>105186.99507389162</v>
      </c>
      <c r="AM199">
        <v>500</v>
      </c>
      <c r="AN199">
        <v>105686.99507389162</v>
      </c>
      <c r="AO199">
        <v>0</v>
      </c>
      <c r="AP199">
        <v>105686.99507389162</v>
      </c>
      <c r="AQ199">
        <v>500</v>
      </c>
      <c r="AR199">
        <v>106186.99507389162</v>
      </c>
      <c r="AS199">
        <v>500</v>
      </c>
      <c r="AT199">
        <v>106686.99507389162</v>
      </c>
      <c r="AV199">
        <v>106686.99507389162</v>
      </c>
      <c r="AW199">
        <v>-994.35936250675877</v>
      </c>
      <c r="AX199">
        <v>105692.63571138486</v>
      </c>
      <c r="AY199">
        <v>4195.004738053336</v>
      </c>
      <c r="AZ199">
        <v>109887.6404494382</v>
      </c>
      <c r="BA199">
        <v>0</v>
      </c>
      <c r="BB199">
        <v>109887.6404494382</v>
      </c>
      <c r="BC199">
        <v>0</v>
      </c>
      <c r="BD199">
        <v>109887.6404494382</v>
      </c>
      <c r="BE199">
        <v>0</v>
      </c>
      <c r="BF199">
        <v>109887.6404494382</v>
      </c>
      <c r="BG199">
        <v>2198.1183159604698</v>
      </c>
      <c r="BH199">
        <v>112085.75876539868</v>
      </c>
      <c r="BI199">
        <v>0</v>
      </c>
      <c r="BJ199">
        <v>112085.75876539868</v>
      </c>
      <c r="BK199">
        <v>112085.75876539867</v>
      </c>
      <c r="BL199">
        <v>8279775</v>
      </c>
      <c r="BO199">
        <v>0</v>
      </c>
      <c r="BP199">
        <v>112085.75876539867</v>
      </c>
      <c r="BQ199">
        <v>8279775</v>
      </c>
      <c r="BR199" s="238" t="s">
        <v>36</v>
      </c>
      <c r="BU199">
        <v>112085.75876539867</v>
      </c>
      <c r="BV199">
        <v>0</v>
      </c>
      <c r="BW199">
        <v>8279775</v>
      </c>
      <c r="BX199" s="238"/>
      <c r="BY199" s="238" t="s">
        <v>3</v>
      </c>
      <c r="BZ199" s="238" t="s">
        <v>3</v>
      </c>
      <c r="CA199" s="238" t="s">
        <v>8951</v>
      </c>
      <c r="CB199" s="238" t="s">
        <v>1167</v>
      </c>
      <c r="CC199" s="238" t="s">
        <v>9077</v>
      </c>
      <c r="CD199" s="238" t="s">
        <v>8990</v>
      </c>
      <c r="CE199" t="b">
        <v>1</v>
      </c>
      <c r="CF199">
        <v>8279775</v>
      </c>
      <c r="CG199">
        <v>8279775</v>
      </c>
      <c r="CH199">
        <v>0</v>
      </c>
      <c r="CI199">
        <v>0</v>
      </c>
      <c r="CJ199">
        <v>0</v>
      </c>
    </row>
    <row r="200" spans="1:88" x14ac:dyDescent="0.25">
      <c r="A200">
        <v>199</v>
      </c>
      <c r="B200">
        <v>2</v>
      </c>
      <c r="C200">
        <v>11</v>
      </c>
      <c r="D200">
        <v>7</v>
      </c>
      <c r="E200">
        <v>0</v>
      </c>
      <c r="F200">
        <v>16.989999999999998</v>
      </c>
      <c r="I200">
        <v>16.989999999999998</v>
      </c>
      <c r="J200">
        <v>7.49</v>
      </c>
      <c r="K200">
        <v>4.1500000000000004</v>
      </c>
      <c r="P200">
        <v>3.49</v>
      </c>
      <c r="R200">
        <v>3.49</v>
      </c>
      <c r="S200">
        <v>32.119999999999997</v>
      </c>
      <c r="T200">
        <v>28.63</v>
      </c>
      <c r="U200">
        <v>30.38</v>
      </c>
      <c r="V200">
        <v>138273.04</v>
      </c>
      <c r="W200">
        <v>2.5902521008392796</v>
      </c>
      <c r="X200">
        <v>138275.63025210085</v>
      </c>
      <c r="Y200">
        <v>0</v>
      </c>
      <c r="Z200">
        <v>138275.63025210085</v>
      </c>
      <c r="AA200">
        <v>0</v>
      </c>
      <c r="AB200">
        <v>138275.63025210085</v>
      </c>
      <c r="AC200">
        <v>0</v>
      </c>
      <c r="AD200">
        <v>138275.63025210085</v>
      </c>
      <c r="AE200">
        <v>0</v>
      </c>
      <c r="AF200">
        <v>138275.63025210085</v>
      </c>
      <c r="AG200">
        <v>0</v>
      </c>
      <c r="AH200">
        <v>138275.63025210085</v>
      </c>
      <c r="AI200">
        <v>0</v>
      </c>
      <c r="AJ200">
        <v>138275.63025210085</v>
      </c>
      <c r="AK200">
        <v>0</v>
      </c>
      <c r="AL200">
        <v>138275.63025210085</v>
      </c>
      <c r="AM200">
        <v>0</v>
      </c>
      <c r="AN200">
        <v>138275.63025210085</v>
      </c>
      <c r="AO200">
        <v>0</v>
      </c>
      <c r="AP200">
        <v>138275.63025210085</v>
      </c>
      <c r="AQ200">
        <v>0</v>
      </c>
      <c r="AR200">
        <v>138275.63025210085</v>
      </c>
      <c r="AS200">
        <v>0</v>
      </c>
      <c r="AT200">
        <v>138275.63025210085</v>
      </c>
      <c r="AV200">
        <v>138275.63025210085</v>
      </c>
      <c r="AW200">
        <v>1195.1399914804497</v>
      </c>
      <c r="AX200">
        <v>139470.7702435813</v>
      </c>
      <c r="AY200">
        <v>2955.1678736010508</v>
      </c>
      <c r="AZ200">
        <v>142425.93811718235</v>
      </c>
      <c r="BA200">
        <v>0</v>
      </c>
      <c r="BB200">
        <v>142425.93811718235</v>
      </c>
      <c r="BC200">
        <v>0</v>
      </c>
      <c r="BD200">
        <v>142425.93811718235</v>
      </c>
      <c r="BE200">
        <v>0</v>
      </c>
      <c r="BF200">
        <v>142425.93811718235</v>
      </c>
      <c r="BG200">
        <v>0</v>
      </c>
      <c r="BH200">
        <v>142425.93811718235</v>
      </c>
      <c r="BI200">
        <v>0</v>
      </c>
      <c r="BJ200">
        <v>142425.93811718235</v>
      </c>
      <c r="BK200">
        <v>142425.93811718235</v>
      </c>
      <c r="BL200">
        <v>4326900</v>
      </c>
      <c r="BO200">
        <v>0</v>
      </c>
      <c r="BP200">
        <v>142425.93811718235</v>
      </c>
      <c r="BQ200">
        <v>4326900</v>
      </c>
      <c r="BR200" s="238" t="s">
        <v>36</v>
      </c>
      <c r="BU200">
        <v>142425.93811718235</v>
      </c>
      <c r="BV200">
        <v>0</v>
      </c>
      <c r="BW200">
        <v>4326900</v>
      </c>
      <c r="BX200" s="238"/>
      <c r="BY200" s="238" t="s">
        <v>3</v>
      </c>
      <c r="BZ200" s="238" t="s">
        <v>3</v>
      </c>
      <c r="CA200" s="238" t="s">
        <v>8951</v>
      </c>
      <c r="CB200" s="238" t="s">
        <v>1167</v>
      </c>
      <c r="CC200" s="238" t="s">
        <v>9077</v>
      </c>
      <c r="CD200" s="238" t="s">
        <v>8970</v>
      </c>
      <c r="CE200" t="b">
        <v>1</v>
      </c>
      <c r="CF200">
        <v>4326900</v>
      </c>
      <c r="CG200">
        <v>4326900</v>
      </c>
      <c r="CH200">
        <v>0</v>
      </c>
      <c r="CI200">
        <v>0</v>
      </c>
      <c r="CJ200">
        <v>0</v>
      </c>
    </row>
    <row r="201" spans="1:88" x14ac:dyDescent="0.25">
      <c r="A201">
        <v>200</v>
      </c>
      <c r="B201">
        <v>2</v>
      </c>
      <c r="C201">
        <v>12</v>
      </c>
      <c r="D201">
        <v>1</v>
      </c>
      <c r="E201">
        <v>0</v>
      </c>
      <c r="F201">
        <v>16.989999999999998</v>
      </c>
      <c r="I201">
        <v>16.989999999999998</v>
      </c>
      <c r="J201">
        <v>7.49</v>
      </c>
      <c r="K201">
        <v>4.1500000000000004</v>
      </c>
      <c r="P201">
        <v>3.49</v>
      </c>
      <c r="R201">
        <v>3.49</v>
      </c>
      <c r="S201">
        <v>32.119999999999997</v>
      </c>
      <c r="T201">
        <v>28.63</v>
      </c>
      <c r="U201">
        <v>30.38</v>
      </c>
      <c r="V201">
        <v>138273.04</v>
      </c>
      <c r="W201">
        <v>2.5902521008392796</v>
      </c>
      <c r="X201">
        <v>138275.63025210085</v>
      </c>
      <c r="Y201">
        <v>0</v>
      </c>
      <c r="Z201">
        <v>138275.63025210085</v>
      </c>
      <c r="AA201">
        <v>0</v>
      </c>
      <c r="AB201">
        <v>138275.63025210085</v>
      </c>
      <c r="AC201">
        <v>0</v>
      </c>
      <c r="AD201">
        <v>138275.63025210085</v>
      </c>
      <c r="AE201">
        <v>0</v>
      </c>
      <c r="AF201">
        <v>138275.63025210085</v>
      </c>
      <c r="AG201">
        <v>0</v>
      </c>
      <c r="AH201">
        <v>138275.63025210085</v>
      </c>
      <c r="AI201">
        <v>0</v>
      </c>
      <c r="AJ201">
        <v>138275.63025210085</v>
      </c>
      <c r="AK201">
        <v>0</v>
      </c>
      <c r="AL201">
        <v>138275.63025210085</v>
      </c>
      <c r="AM201">
        <v>0</v>
      </c>
      <c r="AN201">
        <v>138275.63025210085</v>
      </c>
      <c r="AO201">
        <v>0</v>
      </c>
      <c r="AP201">
        <v>138275.63025210085</v>
      </c>
      <c r="AQ201">
        <v>0</v>
      </c>
      <c r="AR201">
        <v>138275.63025210085</v>
      </c>
      <c r="AS201">
        <v>0</v>
      </c>
      <c r="AT201">
        <v>138275.63025210085</v>
      </c>
      <c r="AV201">
        <v>138275.63025210085</v>
      </c>
      <c r="AW201">
        <v>1195.1399914804497</v>
      </c>
      <c r="AX201">
        <v>139470.7702435813</v>
      </c>
      <c r="AY201">
        <v>2955.1678736010508</v>
      </c>
      <c r="AZ201">
        <v>142425.93811718235</v>
      </c>
      <c r="BA201">
        <v>0</v>
      </c>
      <c r="BB201">
        <v>142425.93811718235</v>
      </c>
      <c r="BC201">
        <v>0</v>
      </c>
      <c r="BD201">
        <v>142425.93811718235</v>
      </c>
      <c r="BE201">
        <v>0</v>
      </c>
      <c r="BF201">
        <v>142425.93811718235</v>
      </c>
      <c r="BG201">
        <v>0</v>
      </c>
      <c r="BH201">
        <v>142425.93811718235</v>
      </c>
      <c r="BI201">
        <v>0</v>
      </c>
      <c r="BJ201">
        <v>142425.93811718235</v>
      </c>
      <c r="BK201">
        <v>142425.93811718235</v>
      </c>
      <c r="BL201">
        <v>4326900</v>
      </c>
      <c r="BO201">
        <v>0</v>
      </c>
      <c r="BP201">
        <v>142425.93811718235</v>
      </c>
      <c r="BQ201">
        <v>4326900</v>
      </c>
      <c r="BR201" s="238" t="s">
        <v>36</v>
      </c>
      <c r="BU201">
        <v>142425.93811718235</v>
      </c>
      <c r="BV201">
        <v>0</v>
      </c>
      <c r="BW201">
        <v>4326900</v>
      </c>
      <c r="BX201" s="238"/>
      <c r="BY201" s="238" t="s">
        <v>35</v>
      </c>
      <c r="BZ201" s="238" t="s">
        <v>35</v>
      </c>
      <c r="CA201" s="238" t="s">
        <v>8953</v>
      </c>
      <c r="CB201" s="238" t="s">
        <v>8954</v>
      </c>
      <c r="CC201" s="238" t="s">
        <v>9077</v>
      </c>
      <c r="CD201" s="238" t="s">
        <v>8970</v>
      </c>
      <c r="CE201" t="b">
        <v>1</v>
      </c>
      <c r="CF201">
        <v>4326900</v>
      </c>
      <c r="CG201">
        <v>4326900</v>
      </c>
      <c r="CH201">
        <v>0</v>
      </c>
      <c r="CI201">
        <v>0</v>
      </c>
      <c r="CJ201">
        <v>0</v>
      </c>
    </row>
    <row r="202" spans="1:88" x14ac:dyDescent="0.25">
      <c r="A202">
        <v>201</v>
      </c>
      <c r="B202">
        <v>2</v>
      </c>
      <c r="C202">
        <v>12</v>
      </c>
      <c r="D202">
        <v>2</v>
      </c>
      <c r="E202">
        <v>1</v>
      </c>
      <c r="F202">
        <v>11.31</v>
      </c>
      <c r="I202">
        <v>11.31</v>
      </c>
      <c r="J202">
        <v>15.89</v>
      </c>
      <c r="K202">
        <v>4.1100000000000003</v>
      </c>
      <c r="M202">
        <v>3</v>
      </c>
      <c r="P202">
        <v>2.77</v>
      </c>
      <c r="R202">
        <v>2.77</v>
      </c>
      <c r="S202">
        <v>37.08</v>
      </c>
      <c r="T202">
        <v>34.31</v>
      </c>
      <c r="U202">
        <v>35.700000000000003</v>
      </c>
      <c r="V202">
        <v>119184.96000000001</v>
      </c>
      <c r="W202">
        <v>1.2864183381025214</v>
      </c>
      <c r="X202">
        <v>119186.24641833811</v>
      </c>
      <c r="Y202">
        <v>0</v>
      </c>
      <c r="Z202">
        <v>119186.24641833811</v>
      </c>
      <c r="AA202">
        <v>0</v>
      </c>
      <c r="AB202">
        <v>119186.24641833811</v>
      </c>
      <c r="AC202">
        <v>0</v>
      </c>
      <c r="AD202">
        <v>119186.24641833811</v>
      </c>
      <c r="AE202">
        <v>0</v>
      </c>
      <c r="AF202">
        <v>119186.24641833811</v>
      </c>
      <c r="AG202">
        <v>0</v>
      </c>
      <c r="AH202">
        <v>119186.24641833811</v>
      </c>
      <c r="AI202">
        <v>0</v>
      </c>
      <c r="AJ202">
        <v>119186.24641833811</v>
      </c>
      <c r="AK202">
        <v>0</v>
      </c>
      <c r="AL202">
        <v>119186.24641833811</v>
      </c>
      <c r="AM202">
        <v>0</v>
      </c>
      <c r="AN202">
        <v>119186.24641833811</v>
      </c>
      <c r="AO202">
        <v>0</v>
      </c>
      <c r="AP202">
        <v>119186.24641833811</v>
      </c>
      <c r="AQ202">
        <v>0</v>
      </c>
      <c r="AR202">
        <v>119186.24641833811</v>
      </c>
      <c r="AS202">
        <v>0</v>
      </c>
      <c r="AT202">
        <v>119186.24641833811</v>
      </c>
      <c r="AV202">
        <v>119186.24641833811</v>
      </c>
      <c r="AW202">
        <v>824.36982816047384</v>
      </c>
      <c r="AX202">
        <v>120010.61624649858</v>
      </c>
      <c r="AY202">
        <v>2751.288515406166</v>
      </c>
      <c r="AZ202">
        <v>122761.90476190475</v>
      </c>
      <c r="BA202">
        <v>0</v>
      </c>
      <c r="BB202">
        <v>122761.90476190475</v>
      </c>
      <c r="BC202">
        <v>0</v>
      </c>
      <c r="BD202">
        <v>122761.90476190475</v>
      </c>
      <c r="BE202">
        <v>0</v>
      </c>
      <c r="BF202">
        <v>122761.90476190475</v>
      </c>
      <c r="BG202">
        <v>2455.3221288515488</v>
      </c>
      <c r="BH202">
        <v>125217.2268907563</v>
      </c>
      <c r="BI202">
        <v>0</v>
      </c>
      <c r="BJ202">
        <v>125217.2268907563</v>
      </c>
      <c r="BK202">
        <v>125217.2268907563</v>
      </c>
      <c r="BL202">
        <v>4470255</v>
      </c>
      <c r="BO202">
        <v>0</v>
      </c>
      <c r="BP202">
        <v>125217.2268907563</v>
      </c>
      <c r="BQ202">
        <v>4470255</v>
      </c>
      <c r="BR202" s="238" t="s">
        <v>36</v>
      </c>
      <c r="BU202">
        <v>125217.2268907563</v>
      </c>
      <c r="BV202">
        <v>0</v>
      </c>
      <c r="BW202">
        <v>4470255</v>
      </c>
      <c r="BX202" s="238"/>
      <c r="BY202" s="238" t="s">
        <v>35</v>
      </c>
      <c r="BZ202" s="238" t="s">
        <v>35</v>
      </c>
      <c r="CA202" s="238" t="s">
        <v>8953</v>
      </c>
      <c r="CB202" s="238" t="s">
        <v>8954</v>
      </c>
      <c r="CC202" s="238" t="s">
        <v>9077</v>
      </c>
      <c r="CD202" s="238" t="s">
        <v>8972</v>
      </c>
      <c r="CE202" t="b">
        <v>1</v>
      </c>
      <c r="CF202">
        <v>4470255</v>
      </c>
      <c r="CG202">
        <v>4470255</v>
      </c>
      <c r="CH202">
        <v>0</v>
      </c>
      <c r="CI202">
        <v>0</v>
      </c>
      <c r="CJ202">
        <v>0</v>
      </c>
    </row>
    <row r="203" spans="1:88" x14ac:dyDescent="0.25">
      <c r="A203">
        <v>202</v>
      </c>
      <c r="B203">
        <v>2</v>
      </c>
      <c r="C203">
        <v>12</v>
      </c>
      <c r="D203">
        <v>3</v>
      </c>
      <c r="E203">
        <v>1</v>
      </c>
      <c r="F203">
        <v>15.45</v>
      </c>
      <c r="I203">
        <v>15.45</v>
      </c>
      <c r="J203">
        <v>17.71</v>
      </c>
      <c r="K203">
        <v>4.01</v>
      </c>
      <c r="M203">
        <v>5.04</v>
      </c>
      <c r="P203">
        <v>3.84</v>
      </c>
      <c r="R203">
        <v>3.84</v>
      </c>
      <c r="S203">
        <v>46.05</v>
      </c>
      <c r="T203">
        <v>42.21</v>
      </c>
      <c r="U203">
        <v>44.13</v>
      </c>
      <c r="V203">
        <v>119184.96000000001</v>
      </c>
      <c r="W203">
        <v>0.22518518517608754</v>
      </c>
      <c r="X203">
        <v>119185.18518518518</v>
      </c>
      <c r="Y203">
        <v>0</v>
      </c>
      <c r="Z203">
        <v>119185.18518518518</v>
      </c>
      <c r="AA203">
        <v>0</v>
      </c>
      <c r="AB203">
        <v>119185.18518518518</v>
      </c>
      <c r="AC203">
        <v>0</v>
      </c>
      <c r="AD203">
        <v>119185.18518518518</v>
      </c>
      <c r="AE203">
        <v>0</v>
      </c>
      <c r="AF203">
        <v>119185.18518518518</v>
      </c>
      <c r="AG203">
        <v>0</v>
      </c>
      <c r="AH203">
        <v>119185.18518518518</v>
      </c>
      <c r="AI203">
        <v>0</v>
      </c>
      <c r="AJ203">
        <v>119185.18518518518</v>
      </c>
      <c r="AK203">
        <v>0</v>
      </c>
      <c r="AL203">
        <v>119185.18518518518</v>
      </c>
      <c r="AM203">
        <v>0</v>
      </c>
      <c r="AN203">
        <v>119185.18518518518</v>
      </c>
      <c r="AO203">
        <v>0</v>
      </c>
      <c r="AP203">
        <v>119185.18518518518</v>
      </c>
      <c r="AQ203">
        <v>0</v>
      </c>
      <c r="AR203">
        <v>119185.18518518518</v>
      </c>
      <c r="AS203">
        <v>0</v>
      </c>
      <c r="AT203">
        <v>119185.18518518518</v>
      </c>
      <c r="AV203">
        <v>119185.18518518518</v>
      </c>
      <c r="AW203">
        <v>988.30223833622586</v>
      </c>
      <c r="AX203">
        <v>120173.48742352141</v>
      </c>
      <c r="AY203">
        <v>2588.8058010423701</v>
      </c>
      <c r="AZ203">
        <v>122762.29322456378</v>
      </c>
      <c r="BA203">
        <v>0</v>
      </c>
      <c r="BB203">
        <v>122762.29322456378</v>
      </c>
      <c r="BC203">
        <v>0</v>
      </c>
      <c r="BD203">
        <v>122762.29322456378</v>
      </c>
      <c r="BE203">
        <v>0</v>
      </c>
      <c r="BF203">
        <v>122762.29322456378</v>
      </c>
      <c r="BG203">
        <v>2454.9512803081889</v>
      </c>
      <c r="BH203">
        <v>125217.24450487195</v>
      </c>
      <c r="BI203">
        <v>0</v>
      </c>
      <c r="BJ203">
        <v>125217.24450487195</v>
      </c>
      <c r="BK203">
        <v>125217.24450487197</v>
      </c>
      <c r="BL203">
        <v>5525837</v>
      </c>
      <c r="BO203">
        <v>0</v>
      </c>
      <c r="BP203">
        <v>125217.24450487197</v>
      </c>
      <c r="BQ203">
        <v>5525837</v>
      </c>
      <c r="BR203" s="238" t="s">
        <v>36</v>
      </c>
      <c r="BU203">
        <v>125217.24450487197</v>
      </c>
      <c r="BV203">
        <v>0</v>
      </c>
      <c r="BW203">
        <v>5525837</v>
      </c>
      <c r="BX203" s="238"/>
      <c r="BY203" s="238" t="s">
        <v>3</v>
      </c>
      <c r="BZ203" s="238" t="s">
        <v>3</v>
      </c>
      <c r="CA203" s="238" t="s">
        <v>8951</v>
      </c>
      <c r="CB203" s="238" t="s">
        <v>1167</v>
      </c>
      <c r="CC203" s="238" t="s">
        <v>9077</v>
      </c>
      <c r="CD203" s="238" t="s">
        <v>8972</v>
      </c>
      <c r="CE203" t="b">
        <v>1</v>
      </c>
      <c r="CF203">
        <v>5525837</v>
      </c>
      <c r="CG203">
        <v>5525837</v>
      </c>
      <c r="CH203">
        <v>0</v>
      </c>
      <c r="CI203">
        <v>0</v>
      </c>
      <c r="CJ203">
        <v>0</v>
      </c>
    </row>
    <row r="204" spans="1:88" x14ac:dyDescent="0.25">
      <c r="A204">
        <v>203</v>
      </c>
      <c r="B204">
        <v>2</v>
      </c>
      <c r="C204">
        <v>12</v>
      </c>
      <c r="D204">
        <v>4</v>
      </c>
      <c r="E204">
        <v>1</v>
      </c>
      <c r="F204">
        <v>10.59</v>
      </c>
      <c r="I204">
        <v>10.59</v>
      </c>
      <c r="J204">
        <v>15.45</v>
      </c>
      <c r="K204">
        <v>3.94</v>
      </c>
      <c r="M204">
        <v>4.4400000000000004</v>
      </c>
      <c r="P204">
        <v>3.45</v>
      </c>
      <c r="R204">
        <v>3.45</v>
      </c>
      <c r="S204">
        <v>37.869999999999997</v>
      </c>
      <c r="T204">
        <v>34.42</v>
      </c>
      <c r="U204">
        <v>36.15</v>
      </c>
      <c r="V204">
        <v>118016.48</v>
      </c>
      <c r="W204">
        <v>0.51716713882342447</v>
      </c>
      <c r="X204">
        <v>118016.99716713882</v>
      </c>
      <c r="Y204">
        <v>0</v>
      </c>
      <c r="Z204">
        <v>118016.99716713882</v>
      </c>
      <c r="AA204">
        <v>0</v>
      </c>
      <c r="AB204">
        <v>118016.99716713882</v>
      </c>
      <c r="AC204">
        <v>500</v>
      </c>
      <c r="AD204">
        <v>118516.99716713882</v>
      </c>
      <c r="AE204">
        <v>0</v>
      </c>
      <c r="AF204">
        <v>118516.99716713882</v>
      </c>
      <c r="AH204">
        <v>119016.99716713882</v>
      </c>
      <c r="AJ204">
        <v>119516.99716713882</v>
      </c>
      <c r="AL204">
        <v>120016.99716713882</v>
      </c>
      <c r="AM204">
        <v>0</v>
      </c>
      <c r="AN204">
        <v>120016.99716713882</v>
      </c>
      <c r="AP204">
        <v>118516.99716713882</v>
      </c>
      <c r="AQ204">
        <v>0</v>
      </c>
      <c r="AR204">
        <v>118516.99716713882</v>
      </c>
      <c r="AS204">
        <v>0</v>
      </c>
      <c r="AT204">
        <v>118516.99716713882</v>
      </c>
      <c r="AV204">
        <v>118516.99716713882</v>
      </c>
      <c r="AX204">
        <v>115730.29045643154</v>
      </c>
      <c r="AY204">
        <v>0</v>
      </c>
      <c r="AZ204">
        <v>115730.29045643154</v>
      </c>
      <c r="BA204">
        <v>0</v>
      </c>
      <c r="BB204">
        <v>115730.29045643154</v>
      </c>
      <c r="BC204">
        <v>0</v>
      </c>
      <c r="BD204">
        <v>115730.29045643154</v>
      </c>
      <c r="BE204">
        <v>0</v>
      </c>
      <c r="BF204">
        <v>115730.29045643154</v>
      </c>
      <c r="BG204">
        <v>0</v>
      </c>
      <c r="BH204">
        <v>115730.29045643154</v>
      </c>
      <c r="BI204">
        <v>0</v>
      </c>
      <c r="BJ204">
        <v>115730.29045643154</v>
      </c>
      <c r="BK204">
        <v>115730.29045643154</v>
      </c>
      <c r="BL204">
        <v>4183650</v>
      </c>
      <c r="BO204">
        <v>0</v>
      </c>
      <c r="BP204">
        <v>115730.29045643154</v>
      </c>
      <c r="BQ204">
        <v>4183650</v>
      </c>
      <c r="BR204" s="238" t="s">
        <v>36</v>
      </c>
      <c r="BU204">
        <v>115730.29045643154</v>
      </c>
      <c r="BV204">
        <v>0</v>
      </c>
      <c r="BW204">
        <v>4183650</v>
      </c>
      <c r="BX204" s="238"/>
      <c r="BY204" s="238" t="s">
        <v>8963</v>
      </c>
      <c r="BZ204" s="238" t="s">
        <v>8963</v>
      </c>
      <c r="CA204" s="238" t="s">
        <v>8953</v>
      </c>
      <c r="CB204" s="238" t="s">
        <v>8964</v>
      </c>
      <c r="CC204" s="238" t="s">
        <v>9077</v>
      </c>
      <c r="CD204" s="238" t="s">
        <v>8972</v>
      </c>
      <c r="CE204" t="b">
        <v>1</v>
      </c>
      <c r="CF204">
        <v>4183650</v>
      </c>
      <c r="CG204">
        <v>4443450</v>
      </c>
      <c r="CH204">
        <v>4183650</v>
      </c>
      <c r="CI204">
        <v>4183650</v>
      </c>
      <c r="CJ204">
        <v>0</v>
      </c>
    </row>
    <row r="205" spans="1:88" x14ac:dyDescent="0.25">
      <c r="A205">
        <v>204</v>
      </c>
      <c r="B205">
        <v>2</v>
      </c>
      <c r="C205">
        <v>12</v>
      </c>
      <c r="D205">
        <v>5</v>
      </c>
      <c r="E205">
        <v>1</v>
      </c>
      <c r="F205">
        <v>10.59</v>
      </c>
      <c r="I205">
        <v>10.59</v>
      </c>
      <c r="J205">
        <v>15.45</v>
      </c>
      <c r="K205">
        <v>3.94</v>
      </c>
      <c r="M205">
        <v>4.4400000000000004</v>
      </c>
      <c r="P205">
        <v>3.39</v>
      </c>
      <c r="R205">
        <v>3.39</v>
      </c>
      <c r="S205">
        <v>37.81</v>
      </c>
      <c r="T205">
        <v>34.42</v>
      </c>
      <c r="U205">
        <v>36.119999999999997</v>
      </c>
      <c r="V205">
        <v>118016.48</v>
      </c>
      <c r="W205">
        <v>0.56545454544539098</v>
      </c>
      <c r="X205">
        <v>118017.04545454544</v>
      </c>
      <c r="Y205">
        <v>0</v>
      </c>
      <c r="Z205">
        <v>118017.04545454544</v>
      </c>
      <c r="AA205">
        <v>499.94318181819108</v>
      </c>
      <c r="AB205">
        <v>118516.98863636363</v>
      </c>
      <c r="AC205">
        <v>0</v>
      </c>
      <c r="AD205">
        <v>118516.98863636363</v>
      </c>
      <c r="AE205">
        <v>0</v>
      </c>
      <c r="AF205">
        <v>118516.98863636363</v>
      </c>
      <c r="AG205">
        <v>0</v>
      </c>
      <c r="AH205">
        <v>118516.98863636363</v>
      </c>
      <c r="AI205">
        <v>500</v>
      </c>
      <c r="AJ205">
        <v>119016.98863636363</v>
      </c>
      <c r="AK205">
        <v>0</v>
      </c>
      <c r="AL205">
        <v>119016.98863636363</v>
      </c>
      <c r="AM205">
        <v>0</v>
      </c>
      <c r="AN205">
        <v>119016.98863636363</v>
      </c>
      <c r="AP205">
        <v>119016.98863636363</v>
      </c>
      <c r="AQ205">
        <v>0</v>
      </c>
      <c r="AR205">
        <v>119016.98863636363</v>
      </c>
      <c r="AS205">
        <v>0</v>
      </c>
      <c r="AT205">
        <v>119016.98863636363</v>
      </c>
      <c r="AV205">
        <v>119016.98863636363</v>
      </c>
      <c r="AX205">
        <v>115985.54817275748</v>
      </c>
      <c r="AY205">
        <v>0</v>
      </c>
      <c r="AZ205">
        <v>115985.54817275748</v>
      </c>
      <c r="BA205">
        <v>0</v>
      </c>
      <c r="BB205">
        <v>115985.54817275748</v>
      </c>
      <c r="BC205">
        <v>0</v>
      </c>
      <c r="BD205">
        <v>115985.54817275748</v>
      </c>
      <c r="BE205">
        <v>0</v>
      </c>
      <c r="BF205">
        <v>115985.54817275748</v>
      </c>
      <c r="BG205">
        <v>0</v>
      </c>
      <c r="BH205">
        <v>115985.54817275748</v>
      </c>
      <c r="BI205">
        <v>0</v>
      </c>
      <c r="BJ205">
        <v>115985.54817275748</v>
      </c>
      <c r="BK205">
        <v>115985.54817275748</v>
      </c>
      <c r="BL205">
        <v>4189398</v>
      </c>
      <c r="BO205">
        <v>0</v>
      </c>
      <c r="BP205">
        <v>115985.54817275748</v>
      </c>
      <c r="BQ205">
        <v>4189398</v>
      </c>
      <c r="BR205" s="238" t="s">
        <v>36</v>
      </c>
      <c r="BU205">
        <v>115985.54817275748</v>
      </c>
      <c r="BV205">
        <v>0</v>
      </c>
      <c r="BW205">
        <v>4189398</v>
      </c>
      <c r="BX205" s="238"/>
      <c r="BY205" s="238" t="s">
        <v>8963</v>
      </c>
      <c r="BZ205" s="238" t="s">
        <v>8963</v>
      </c>
      <c r="CA205" s="238" t="s">
        <v>8953</v>
      </c>
      <c r="CB205" s="238" t="s">
        <v>8964</v>
      </c>
      <c r="CC205" s="238" t="s">
        <v>9077</v>
      </c>
      <c r="CD205" s="238" t="s">
        <v>8972</v>
      </c>
      <c r="CE205" t="b">
        <v>1</v>
      </c>
      <c r="CF205">
        <v>4189398</v>
      </c>
      <c r="CG205">
        <v>4384872</v>
      </c>
      <c r="CH205">
        <v>4189398</v>
      </c>
      <c r="CI205">
        <v>0</v>
      </c>
      <c r="CJ205">
        <v>0</v>
      </c>
    </row>
    <row r="206" spans="1:88" x14ac:dyDescent="0.25">
      <c r="A206">
        <v>205</v>
      </c>
      <c r="B206">
        <v>2</v>
      </c>
      <c r="C206">
        <v>12</v>
      </c>
      <c r="D206">
        <v>6</v>
      </c>
      <c r="E206">
        <v>3</v>
      </c>
      <c r="F206">
        <v>12.4</v>
      </c>
      <c r="G206">
        <v>11.28</v>
      </c>
      <c r="H206">
        <v>11.28</v>
      </c>
      <c r="I206">
        <v>34.96</v>
      </c>
      <c r="J206">
        <v>17.940000000000001</v>
      </c>
      <c r="K206">
        <v>4.67</v>
      </c>
      <c r="L206">
        <v>3.54</v>
      </c>
      <c r="M206">
        <v>9.56</v>
      </c>
      <c r="P206">
        <v>2.79</v>
      </c>
      <c r="Q206">
        <v>3.6</v>
      </c>
      <c r="R206">
        <v>6.3900000000000006</v>
      </c>
      <c r="S206">
        <v>77.06</v>
      </c>
      <c r="T206">
        <v>70.67</v>
      </c>
      <c r="U206">
        <v>73.87</v>
      </c>
      <c r="V206">
        <v>104186.56</v>
      </c>
      <c r="W206">
        <v>500.43507389162551</v>
      </c>
      <c r="X206">
        <v>104686.99507389162</v>
      </c>
      <c r="Y206">
        <v>0</v>
      </c>
      <c r="Z206">
        <v>104686.99507389162</v>
      </c>
      <c r="AA206">
        <v>0</v>
      </c>
      <c r="AB206">
        <v>104686.99507389162</v>
      </c>
      <c r="AC206">
        <v>0</v>
      </c>
      <c r="AD206">
        <v>104686.99507389162</v>
      </c>
      <c r="AE206">
        <v>500</v>
      </c>
      <c r="AF206">
        <v>105186.99507389162</v>
      </c>
      <c r="AG206">
        <v>0</v>
      </c>
      <c r="AH206">
        <v>105186.99507389162</v>
      </c>
      <c r="AI206">
        <v>0</v>
      </c>
      <c r="AJ206">
        <v>105186.99507389162</v>
      </c>
      <c r="AK206">
        <v>0</v>
      </c>
      <c r="AL206">
        <v>105186.99507389162</v>
      </c>
      <c r="AM206">
        <v>500</v>
      </c>
      <c r="AN206">
        <v>105686.99507389162</v>
      </c>
      <c r="AO206">
        <v>0</v>
      </c>
      <c r="AP206">
        <v>105686.99507389162</v>
      </c>
      <c r="AQ206">
        <v>500</v>
      </c>
      <c r="AR206">
        <v>106186.99507389162</v>
      </c>
      <c r="AS206">
        <v>500</v>
      </c>
      <c r="AT206">
        <v>106686.99507389162</v>
      </c>
      <c r="AV206">
        <v>106686.99507389162</v>
      </c>
      <c r="AW206">
        <v>-994.35936250675877</v>
      </c>
      <c r="AX206">
        <v>105692.63571138486</v>
      </c>
      <c r="AY206">
        <v>4195.004738053336</v>
      </c>
      <c r="AZ206">
        <v>109887.6404494382</v>
      </c>
      <c r="BA206">
        <v>0</v>
      </c>
      <c r="BB206">
        <v>109887.6404494382</v>
      </c>
      <c r="BC206">
        <v>0</v>
      </c>
      <c r="BD206">
        <v>109887.6404494382</v>
      </c>
      <c r="BE206">
        <v>0</v>
      </c>
      <c r="BF206">
        <v>109887.6404494382</v>
      </c>
      <c r="BG206">
        <v>2198.1183159604698</v>
      </c>
      <c r="BH206">
        <v>112085.75876539868</v>
      </c>
      <c r="BI206">
        <v>0</v>
      </c>
      <c r="BJ206">
        <v>112085.75876539868</v>
      </c>
      <c r="BK206">
        <v>112085.75876539867</v>
      </c>
      <c r="BL206">
        <v>8279775</v>
      </c>
      <c r="BO206">
        <v>0</v>
      </c>
      <c r="BP206">
        <v>112085.75876539867</v>
      </c>
      <c r="BQ206">
        <v>8279775</v>
      </c>
      <c r="BR206" s="238" t="s">
        <v>36</v>
      </c>
      <c r="BU206">
        <v>112085.75876539867</v>
      </c>
      <c r="BV206">
        <v>0</v>
      </c>
      <c r="BW206">
        <v>8279775</v>
      </c>
      <c r="BX206" s="238"/>
      <c r="BY206" s="238" t="s">
        <v>3</v>
      </c>
      <c r="BZ206" s="238" t="s">
        <v>3</v>
      </c>
      <c r="CA206" s="238" t="s">
        <v>8951</v>
      </c>
      <c r="CB206" s="238" t="s">
        <v>1167</v>
      </c>
      <c r="CC206" s="238" t="s">
        <v>9077</v>
      </c>
      <c r="CD206" s="238" t="s">
        <v>8990</v>
      </c>
      <c r="CE206" t="b">
        <v>1</v>
      </c>
      <c r="CF206">
        <v>8279775</v>
      </c>
      <c r="CG206">
        <v>8279775</v>
      </c>
      <c r="CH206">
        <v>0</v>
      </c>
      <c r="CI206">
        <v>0</v>
      </c>
      <c r="CJ206">
        <v>0</v>
      </c>
    </row>
    <row r="207" spans="1:88" x14ac:dyDescent="0.25">
      <c r="A207">
        <v>206</v>
      </c>
      <c r="B207">
        <v>2</v>
      </c>
      <c r="C207">
        <v>12</v>
      </c>
      <c r="D207">
        <v>7</v>
      </c>
      <c r="E207">
        <v>0</v>
      </c>
      <c r="F207">
        <v>16.989999999999998</v>
      </c>
      <c r="I207">
        <v>16.989999999999998</v>
      </c>
      <c r="J207">
        <v>7.49</v>
      </c>
      <c r="K207">
        <v>4.1500000000000004</v>
      </c>
      <c r="P207">
        <v>3.49</v>
      </c>
      <c r="R207">
        <v>3.49</v>
      </c>
      <c r="S207">
        <v>32.119999999999997</v>
      </c>
      <c r="T207">
        <v>28.63</v>
      </c>
      <c r="U207">
        <v>30.38</v>
      </c>
      <c r="V207">
        <v>138273.04</v>
      </c>
      <c r="W207">
        <v>2.5902521008392796</v>
      </c>
      <c r="X207">
        <v>138275.63025210085</v>
      </c>
      <c r="Y207">
        <v>0</v>
      </c>
      <c r="Z207">
        <v>138275.63025210085</v>
      </c>
      <c r="AA207">
        <v>0</v>
      </c>
      <c r="AB207">
        <v>138275.63025210085</v>
      </c>
      <c r="AC207">
        <v>0</v>
      </c>
      <c r="AD207">
        <v>138275.63025210085</v>
      </c>
      <c r="AE207">
        <v>0</v>
      </c>
      <c r="AF207">
        <v>138275.63025210085</v>
      </c>
      <c r="AG207">
        <v>0</v>
      </c>
      <c r="AH207">
        <v>138275.63025210085</v>
      </c>
      <c r="AI207">
        <v>0</v>
      </c>
      <c r="AJ207">
        <v>138275.63025210085</v>
      </c>
      <c r="AK207">
        <v>0</v>
      </c>
      <c r="AL207">
        <v>138275.63025210085</v>
      </c>
      <c r="AM207">
        <v>0</v>
      </c>
      <c r="AN207">
        <v>138275.63025210085</v>
      </c>
      <c r="AO207">
        <v>0</v>
      </c>
      <c r="AP207">
        <v>138275.63025210085</v>
      </c>
      <c r="AQ207">
        <v>0</v>
      </c>
      <c r="AR207">
        <v>138275.63025210085</v>
      </c>
      <c r="AS207">
        <v>0</v>
      </c>
      <c r="AT207">
        <v>138275.63025210085</v>
      </c>
      <c r="AV207">
        <v>138275.63025210085</v>
      </c>
      <c r="AW207">
        <v>1195.1399914804497</v>
      </c>
      <c r="AX207">
        <v>139470.7702435813</v>
      </c>
      <c r="AY207">
        <v>2955.1678736010508</v>
      </c>
      <c r="AZ207">
        <v>142425.93811718235</v>
      </c>
      <c r="BA207">
        <v>0</v>
      </c>
      <c r="BB207">
        <v>142425.93811718235</v>
      </c>
      <c r="BC207">
        <v>0</v>
      </c>
      <c r="BD207">
        <v>142425.93811718235</v>
      </c>
      <c r="BE207">
        <v>0</v>
      </c>
      <c r="BF207">
        <v>142425.93811718235</v>
      </c>
      <c r="BG207">
        <v>0</v>
      </c>
      <c r="BH207">
        <v>142425.93811718235</v>
      </c>
      <c r="BI207">
        <v>0</v>
      </c>
      <c r="BJ207">
        <v>142425.93811718235</v>
      </c>
      <c r="BK207">
        <v>142425.93811718235</v>
      </c>
      <c r="BL207">
        <v>4326900</v>
      </c>
      <c r="BO207">
        <v>0</v>
      </c>
      <c r="BP207">
        <v>142425.93811718235</v>
      </c>
      <c r="BQ207">
        <v>4326900</v>
      </c>
      <c r="BR207" s="238" t="s">
        <v>36</v>
      </c>
      <c r="BU207">
        <v>142425.93811718235</v>
      </c>
      <c r="BV207">
        <v>0</v>
      </c>
      <c r="BW207">
        <v>4326900</v>
      </c>
      <c r="BX207" s="238"/>
      <c r="BY207" s="238" t="s">
        <v>3</v>
      </c>
      <c r="BZ207" s="238" t="s">
        <v>3</v>
      </c>
      <c r="CA207" s="238" t="s">
        <v>8951</v>
      </c>
      <c r="CB207" s="238" t="s">
        <v>1167</v>
      </c>
      <c r="CC207" s="238" t="s">
        <v>9077</v>
      </c>
      <c r="CD207" s="238" t="s">
        <v>8970</v>
      </c>
      <c r="CE207" t="b">
        <v>1</v>
      </c>
      <c r="CF207">
        <v>4326900</v>
      </c>
      <c r="CG207">
        <v>4326900</v>
      </c>
      <c r="CH207">
        <v>0</v>
      </c>
      <c r="CI207">
        <v>0</v>
      </c>
      <c r="CJ207">
        <v>0</v>
      </c>
    </row>
    <row r="208" spans="1:88" x14ac:dyDescent="0.25">
      <c r="A208">
        <v>207</v>
      </c>
      <c r="B208">
        <v>2</v>
      </c>
      <c r="C208">
        <v>13</v>
      </c>
      <c r="D208">
        <v>1</v>
      </c>
      <c r="E208">
        <v>0</v>
      </c>
      <c r="F208">
        <v>16.989999999999998</v>
      </c>
      <c r="I208">
        <v>16.989999999999998</v>
      </c>
      <c r="J208">
        <v>7.49</v>
      </c>
      <c r="K208">
        <v>4.1500000000000004</v>
      </c>
      <c r="P208">
        <v>3.49</v>
      </c>
      <c r="R208">
        <v>3.49</v>
      </c>
      <c r="S208">
        <v>32.119999999999997</v>
      </c>
      <c r="T208">
        <v>28.63</v>
      </c>
      <c r="U208">
        <v>30.38</v>
      </c>
      <c r="V208">
        <v>138273.04</v>
      </c>
      <c r="W208">
        <v>2.5902521008392796</v>
      </c>
      <c r="X208">
        <v>138275.63025210085</v>
      </c>
      <c r="Y208">
        <v>0</v>
      </c>
      <c r="Z208">
        <v>138275.63025210085</v>
      </c>
      <c r="AA208">
        <v>0</v>
      </c>
      <c r="AB208">
        <v>138275.63025210085</v>
      </c>
      <c r="AC208">
        <v>0</v>
      </c>
      <c r="AD208">
        <v>138275.63025210085</v>
      </c>
      <c r="AE208">
        <v>0</v>
      </c>
      <c r="AF208">
        <v>138275.63025210085</v>
      </c>
      <c r="AG208">
        <v>0</v>
      </c>
      <c r="AH208">
        <v>138275.63025210085</v>
      </c>
      <c r="AI208">
        <v>0</v>
      </c>
      <c r="AJ208">
        <v>138275.63025210085</v>
      </c>
      <c r="AK208">
        <v>0</v>
      </c>
      <c r="AL208">
        <v>138275.63025210085</v>
      </c>
      <c r="AM208">
        <v>0</v>
      </c>
      <c r="AN208">
        <v>138275.63025210085</v>
      </c>
      <c r="AO208">
        <v>0</v>
      </c>
      <c r="AP208">
        <v>138275.63025210085</v>
      </c>
      <c r="AQ208">
        <v>0</v>
      </c>
      <c r="AR208">
        <v>138275.63025210085</v>
      </c>
      <c r="AS208">
        <v>0</v>
      </c>
      <c r="AT208">
        <v>138275.63025210085</v>
      </c>
      <c r="AV208">
        <v>138275.63025210085</v>
      </c>
      <c r="AW208">
        <v>1195.1399914804497</v>
      </c>
      <c r="AX208">
        <v>139470.7702435813</v>
      </c>
      <c r="AY208">
        <v>2955.1678736010508</v>
      </c>
      <c r="AZ208">
        <v>142425.93811718235</v>
      </c>
      <c r="BA208">
        <v>0</v>
      </c>
      <c r="BB208">
        <v>142425.93811718235</v>
      </c>
      <c r="BC208">
        <v>0</v>
      </c>
      <c r="BD208">
        <v>142425.93811718235</v>
      </c>
      <c r="BE208">
        <v>0</v>
      </c>
      <c r="BF208">
        <v>142425.93811718235</v>
      </c>
      <c r="BG208">
        <v>0</v>
      </c>
      <c r="BH208">
        <v>142425.93811718235</v>
      </c>
      <c r="BI208">
        <v>0</v>
      </c>
      <c r="BJ208">
        <v>142425.93811718235</v>
      </c>
      <c r="BK208">
        <v>142425.93811718235</v>
      </c>
      <c r="BL208">
        <v>4326900</v>
      </c>
      <c r="BO208">
        <v>0</v>
      </c>
      <c r="BP208">
        <v>142425.93811718235</v>
      </c>
      <c r="BQ208">
        <v>4326900</v>
      </c>
      <c r="BR208" s="238" t="s">
        <v>36</v>
      </c>
      <c r="BU208">
        <v>142425.93811718235</v>
      </c>
      <c r="BV208">
        <v>0</v>
      </c>
      <c r="BW208">
        <v>4326900</v>
      </c>
      <c r="BX208" s="238"/>
      <c r="BY208" s="238" t="s">
        <v>35</v>
      </c>
      <c r="BZ208" s="238" t="s">
        <v>35</v>
      </c>
      <c r="CA208" s="238" t="s">
        <v>8953</v>
      </c>
      <c r="CB208" s="238" t="s">
        <v>8954</v>
      </c>
      <c r="CC208" s="238" t="s">
        <v>9077</v>
      </c>
      <c r="CD208" s="238" t="s">
        <v>8970</v>
      </c>
      <c r="CE208" t="b">
        <v>1</v>
      </c>
      <c r="CF208">
        <v>4326900</v>
      </c>
      <c r="CG208">
        <v>4326900</v>
      </c>
      <c r="CH208">
        <v>0</v>
      </c>
      <c r="CI208">
        <v>0</v>
      </c>
      <c r="CJ208">
        <v>0</v>
      </c>
    </row>
    <row r="209" spans="1:88" x14ac:dyDescent="0.25">
      <c r="A209">
        <v>208</v>
      </c>
      <c r="B209">
        <v>2</v>
      </c>
      <c r="C209">
        <v>13</v>
      </c>
      <c r="D209">
        <v>2</v>
      </c>
      <c r="E209">
        <v>1</v>
      </c>
      <c r="F209">
        <v>11.31</v>
      </c>
      <c r="I209">
        <v>11.31</v>
      </c>
      <c r="J209">
        <v>15.89</v>
      </c>
      <c r="K209">
        <v>4.1100000000000003</v>
      </c>
      <c r="M209">
        <v>3</v>
      </c>
      <c r="P209">
        <v>2.77</v>
      </c>
      <c r="R209">
        <v>2.77</v>
      </c>
      <c r="S209">
        <v>37.08</v>
      </c>
      <c r="T209">
        <v>34.31</v>
      </c>
      <c r="U209">
        <v>35.700000000000003</v>
      </c>
      <c r="V209">
        <v>119184.96000000001</v>
      </c>
      <c r="W209">
        <v>1.2864183381025214</v>
      </c>
      <c r="X209">
        <v>119186.24641833811</v>
      </c>
      <c r="Y209">
        <v>0</v>
      </c>
      <c r="Z209">
        <v>119186.24641833811</v>
      </c>
      <c r="AA209">
        <v>0</v>
      </c>
      <c r="AB209">
        <v>119186.24641833811</v>
      </c>
      <c r="AC209">
        <v>0</v>
      </c>
      <c r="AD209">
        <v>119186.24641833811</v>
      </c>
      <c r="AE209">
        <v>0</v>
      </c>
      <c r="AF209">
        <v>119186.24641833811</v>
      </c>
      <c r="AG209">
        <v>0</v>
      </c>
      <c r="AH209">
        <v>119186.24641833811</v>
      </c>
      <c r="AI209">
        <v>0</v>
      </c>
      <c r="AJ209">
        <v>119186.24641833811</v>
      </c>
      <c r="AK209">
        <v>0</v>
      </c>
      <c r="AL209">
        <v>119186.24641833811</v>
      </c>
      <c r="AM209">
        <v>0</v>
      </c>
      <c r="AN209">
        <v>119186.24641833811</v>
      </c>
      <c r="AO209">
        <v>0</v>
      </c>
      <c r="AP209">
        <v>119186.24641833811</v>
      </c>
      <c r="AQ209">
        <v>0</v>
      </c>
      <c r="AR209">
        <v>119186.24641833811</v>
      </c>
      <c r="AS209">
        <v>0</v>
      </c>
      <c r="AT209">
        <v>119186.24641833811</v>
      </c>
      <c r="AV209">
        <v>119186.24641833811</v>
      </c>
      <c r="AW209">
        <v>824.36982816047384</v>
      </c>
      <c r="AX209">
        <v>120010.61624649858</v>
      </c>
      <c r="AY209">
        <v>2751.288515406166</v>
      </c>
      <c r="AZ209">
        <v>122761.90476190475</v>
      </c>
      <c r="BA209">
        <v>0</v>
      </c>
      <c r="BB209">
        <v>122761.90476190475</v>
      </c>
      <c r="BC209">
        <v>0</v>
      </c>
      <c r="BD209">
        <v>122761.90476190475</v>
      </c>
      <c r="BE209">
        <v>0</v>
      </c>
      <c r="BF209">
        <v>122761.90476190475</v>
      </c>
      <c r="BG209">
        <v>2455.3221288515488</v>
      </c>
      <c r="BH209">
        <v>125217.2268907563</v>
      </c>
      <c r="BI209">
        <v>0</v>
      </c>
      <c r="BJ209">
        <v>125217.2268907563</v>
      </c>
      <c r="BK209">
        <v>125217.2268907563</v>
      </c>
      <c r="BL209">
        <v>4470255</v>
      </c>
      <c r="BO209">
        <v>0</v>
      </c>
      <c r="BP209">
        <v>125217.2268907563</v>
      </c>
      <c r="BQ209">
        <v>4470255</v>
      </c>
      <c r="BR209" s="238" t="s">
        <v>36</v>
      </c>
      <c r="BU209">
        <v>125217.2268907563</v>
      </c>
      <c r="BV209">
        <v>0</v>
      </c>
      <c r="BW209">
        <v>4470255</v>
      </c>
      <c r="BX209" s="238"/>
      <c r="BY209" s="238" t="s">
        <v>35</v>
      </c>
      <c r="BZ209" s="238" t="s">
        <v>35</v>
      </c>
      <c r="CA209" s="238" t="s">
        <v>8953</v>
      </c>
      <c r="CB209" s="238" t="s">
        <v>8954</v>
      </c>
      <c r="CC209" s="238" t="s">
        <v>9077</v>
      </c>
      <c r="CD209" s="238" t="s">
        <v>8972</v>
      </c>
      <c r="CE209" t="b">
        <v>1</v>
      </c>
      <c r="CF209">
        <v>4470255</v>
      </c>
      <c r="CG209">
        <v>4470255</v>
      </c>
      <c r="CH209">
        <v>0</v>
      </c>
      <c r="CI209">
        <v>0</v>
      </c>
      <c r="CJ209">
        <v>0</v>
      </c>
    </row>
    <row r="210" spans="1:88" x14ac:dyDescent="0.25">
      <c r="A210">
        <v>209</v>
      </c>
      <c r="B210">
        <v>2</v>
      </c>
      <c r="C210">
        <v>13</v>
      </c>
      <c r="D210">
        <v>3</v>
      </c>
      <c r="E210">
        <v>1</v>
      </c>
      <c r="F210">
        <v>15.45</v>
      </c>
      <c r="I210">
        <v>15.45</v>
      </c>
      <c r="J210">
        <v>17.71</v>
      </c>
      <c r="K210">
        <v>4.01</v>
      </c>
      <c r="M210">
        <v>5.04</v>
      </c>
      <c r="P210">
        <v>3.84</v>
      </c>
      <c r="R210">
        <v>3.84</v>
      </c>
      <c r="S210">
        <v>46.05</v>
      </c>
      <c r="T210">
        <v>42.21</v>
      </c>
      <c r="U210">
        <v>44.13</v>
      </c>
      <c r="V210">
        <v>119184.96000000001</v>
      </c>
      <c r="W210">
        <v>0.22518518517608754</v>
      </c>
      <c r="X210">
        <v>119185.18518518518</v>
      </c>
      <c r="Y210">
        <v>0</v>
      </c>
      <c r="Z210">
        <v>119185.18518518518</v>
      </c>
      <c r="AA210">
        <v>0</v>
      </c>
      <c r="AB210">
        <v>119185.18518518518</v>
      </c>
      <c r="AC210">
        <v>0</v>
      </c>
      <c r="AD210">
        <v>119185.18518518518</v>
      </c>
      <c r="AE210">
        <v>0</v>
      </c>
      <c r="AF210">
        <v>119185.18518518518</v>
      </c>
      <c r="AG210">
        <v>0</v>
      </c>
      <c r="AH210">
        <v>119185.18518518518</v>
      </c>
      <c r="AI210">
        <v>0</v>
      </c>
      <c r="AJ210">
        <v>119185.18518518518</v>
      </c>
      <c r="AK210">
        <v>0</v>
      </c>
      <c r="AL210">
        <v>119185.18518518518</v>
      </c>
      <c r="AM210">
        <v>0</v>
      </c>
      <c r="AN210">
        <v>119185.18518518518</v>
      </c>
      <c r="AO210">
        <v>0</v>
      </c>
      <c r="AP210">
        <v>119185.18518518518</v>
      </c>
      <c r="AQ210">
        <v>0</v>
      </c>
      <c r="AR210">
        <v>119185.18518518518</v>
      </c>
      <c r="AS210">
        <v>0</v>
      </c>
      <c r="AT210">
        <v>119185.18518518518</v>
      </c>
      <c r="AV210">
        <v>119185.18518518518</v>
      </c>
      <c r="AW210">
        <v>988.30223833622586</v>
      </c>
      <c r="AX210">
        <v>120173.48742352141</v>
      </c>
      <c r="AY210">
        <v>2588.8058010423701</v>
      </c>
      <c r="AZ210">
        <v>122762.29322456378</v>
      </c>
      <c r="BA210">
        <v>0</v>
      </c>
      <c r="BB210">
        <v>122762.29322456378</v>
      </c>
      <c r="BC210">
        <v>0</v>
      </c>
      <c r="BD210">
        <v>122762.29322456378</v>
      </c>
      <c r="BE210">
        <v>0</v>
      </c>
      <c r="BF210">
        <v>122762.29322456378</v>
      </c>
      <c r="BG210">
        <v>2454.9512803081889</v>
      </c>
      <c r="BH210">
        <v>125217.24450487195</v>
      </c>
      <c r="BI210">
        <v>0</v>
      </c>
      <c r="BJ210">
        <v>125217.24450487195</v>
      </c>
      <c r="BK210">
        <v>125217.24450487197</v>
      </c>
      <c r="BL210">
        <v>5525837</v>
      </c>
      <c r="BO210">
        <v>0</v>
      </c>
      <c r="BP210">
        <v>125217.24450487197</v>
      </c>
      <c r="BQ210">
        <v>5525837</v>
      </c>
      <c r="BR210" s="238" t="s">
        <v>36</v>
      </c>
      <c r="BU210">
        <v>125217.24450487197</v>
      </c>
      <c r="BV210">
        <v>0</v>
      </c>
      <c r="BW210">
        <v>5525837</v>
      </c>
      <c r="BX210" s="238"/>
      <c r="BY210" s="238" t="s">
        <v>3</v>
      </c>
      <c r="BZ210" s="238" t="s">
        <v>3</v>
      </c>
      <c r="CA210" s="238" t="s">
        <v>8951</v>
      </c>
      <c r="CB210" s="238" t="s">
        <v>1167</v>
      </c>
      <c r="CC210" s="238" t="s">
        <v>9077</v>
      </c>
      <c r="CD210" s="238" t="s">
        <v>8972</v>
      </c>
      <c r="CE210" t="b">
        <v>1</v>
      </c>
      <c r="CF210">
        <v>5525837</v>
      </c>
      <c r="CG210">
        <v>5525837</v>
      </c>
      <c r="CH210">
        <v>0</v>
      </c>
      <c r="CI210">
        <v>0</v>
      </c>
      <c r="CJ210">
        <v>0</v>
      </c>
    </row>
    <row r="211" spans="1:88" x14ac:dyDescent="0.25">
      <c r="A211">
        <v>210</v>
      </c>
      <c r="B211">
        <v>2</v>
      </c>
      <c r="C211">
        <v>13</v>
      </c>
      <c r="D211">
        <v>4</v>
      </c>
      <c r="E211">
        <v>1</v>
      </c>
      <c r="F211">
        <v>10.59</v>
      </c>
      <c r="I211">
        <v>10.59</v>
      </c>
      <c r="J211">
        <v>15.45</v>
      </c>
      <c r="K211">
        <v>3.94</v>
      </c>
      <c r="M211">
        <v>4.4400000000000004</v>
      </c>
      <c r="P211">
        <v>3.45</v>
      </c>
      <c r="R211">
        <v>3.45</v>
      </c>
      <c r="S211">
        <v>37.869999999999997</v>
      </c>
      <c r="T211">
        <v>34.42</v>
      </c>
      <c r="U211">
        <v>36.15</v>
      </c>
      <c r="V211">
        <v>118016.48</v>
      </c>
      <c r="W211">
        <v>0.51716713882342447</v>
      </c>
      <c r="X211">
        <v>118016.99716713882</v>
      </c>
      <c r="Y211">
        <v>0</v>
      </c>
      <c r="Z211">
        <v>118016.99716713882</v>
      </c>
      <c r="AA211">
        <v>0</v>
      </c>
      <c r="AB211">
        <v>118016.99716713882</v>
      </c>
      <c r="AC211">
        <v>500</v>
      </c>
      <c r="AD211">
        <v>118516.99716713882</v>
      </c>
      <c r="AE211">
        <v>0</v>
      </c>
      <c r="AF211">
        <v>118516.99716713882</v>
      </c>
      <c r="AG211">
        <v>500</v>
      </c>
      <c r="AH211">
        <v>119016.99716713882</v>
      </c>
      <c r="AJ211">
        <v>119516.99716713882</v>
      </c>
      <c r="AL211">
        <v>120016.99716713882</v>
      </c>
      <c r="AM211">
        <v>0</v>
      </c>
      <c r="AN211">
        <v>120016.99716713882</v>
      </c>
      <c r="AP211">
        <v>119016.99716713882</v>
      </c>
      <c r="AQ211">
        <v>0</v>
      </c>
      <c r="AR211">
        <v>119016.99716713882</v>
      </c>
      <c r="AS211">
        <v>0</v>
      </c>
      <c r="AT211">
        <v>119016.99716713882</v>
      </c>
      <c r="AV211">
        <v>119016.99716713882</v>
      </c>
      <c r="AX211">
        <v>116218.53388658368</v>
      </c>
      <c r="AY211">
        <v>0</v>
      </c>
      <c r="AZ211">
        <v>116218.53388658368</v>
      </c>
      <c r="BA211">
        <v>0</v>
      </c>
      <c r="BB211">
        <v>116218.53388658368</v>
      </c>
      <c r="BC211">
        <v>0</v>
      </c>
      <c r="BD211">
        <v>116218.53388658368</v>
      </c>
      <c r="BE211">
        <v>0</v>
      </c>
      <c r="BF211">
        <v>116218.53388658368</v>
      </c>
      <c r="BG211">
        <v>0</v>
      </c>
      <c r="BH211">
        <v>116218.53388658368</v>
      </c>
      <c r="BI211">
        <v>0</v>
      </c>
      <c r="BJ211">
        <v>116218.53388658368</v>
      </c>
      <c r="BK211">
        <v>116218.53388658368</v>
      </c>
      <c r="BL211">
        <v>4201300</v>
      </c>
      <c r="BN211">
        <v>0.03</v>
      </c>
      <c r="BO211">
        <v>126039</v>
      </c>
      <c r="BP211">
        <v>112731.97786998618</v>
      </c>
      <c r="BQ211">
        <v>4075261</v>
      </c>
      <c r="BR211" s="238" t="s">
        <v>36</v>
      </c>
      <c r="BU211">
        <v>112731.97786998618</v>
      </c>
      <c r="BV211">
        <v>0</v>
      </c>
      <c r="BW211">
        <v>4075261</v>
      </c>
      <c r="BX211" s="238" t="s">
        <v>350</v>
      </c>
      <c r="BY211" s="238" t="s">
        <v>8963</v>
      </c>
      <c r="BZ211" s="238" t="s">
        <v>8963</v>
      </c>
      <c r="CA211" s="238" t="s">
        <v>8953</v>
      </c>
      <c r="CB211" s="238" t="s">
        <v>8964</v>
      </c>
      <c r="CC211" s="238" t="s">
        <v>9077</v>
      </c>
      <c r="CD211" s="238" t="s">
        <v>8972</v>
      </c>
      <c r="CE211" t="b">
        <v>1</v>
      </c>
      <c r="CF211">
        <v>4201300</v>
      </c>
      <c r="CG211">
        <v>4461922</v>
      </c>
      <c r="CH211">
        <v>4201300</v>
      </c>
      <c r="CI211">
        <v>4201300</v>
      </c>
      <c r="CJ211">
        <v>0</v>
      </c>
    </row>
    <row r="212" spans="1:88" x14ac:dyDescent="0.25">
      <c r="A212">
        <v>211</v>
      </c>
      <c r="B212">
        <v>2</v>
      </c>
      <c r="C212">
        <v>13</v>
      </c>
      <c r="D212">
        <v>5</v>
      </c>
      <c r="E212">
        <v>1</v>
      </c>
      <c r="F212">
        <v>10.59</v>
      </c>
      <c r="I212">
        <v>10.59</v>
      </c>
      <c r="J212">
        <v>15.45</v>
      </c>
      <c r="K212">
        <v>3.94</v>
      </c>
      <c r="M212">
        <v>4.4400000000000004</v>
      </c>
      <c r="P212">
        <v>3.39</v>
      </c>
      <c r="R212">
        <v>3.39</v>
      </c>
      <c r="S212">
        <v>37.81</v>
      </c>
      <c r="T212">
        <v>34.42</v>
      </c>
      <c r="U212">
        <v>36.119999999999997</v>
      </c>
      <c r="V212">
        <v>118016.48</v>
      </c>
      <c r="W212">
        <v>0.56545454544539098</v>
      </c>
      <c r="X212">
        <v>118017.04545454544</v>
      </c>
      <c r="Y212">
        <v>0</v>
      </c>
      <c r="Z212">
        <v>118017.04545454544</v>
      </c>
      <c r="AA212">
        <v>499.94318181819108</v>
      </c>
      <c r="AB212">
        <v>118516.98863636363</v>
      </c>
      <c r="AC212">
        <v>0</v>
      </c>
      <c r="AD212">
        <v>118516.98863636363</v>
      </c>
      <c r="AE212">
        <v>0</v>
      </c>
      <c r="AF212">
        <v>118516.98863636363</v>
      </c>
      <c r="AG212">
        <v>0</v>
      </c>
      <c r="AH212">
        <v>118516.98863636363</v>
      </c>
      <c r="AJ212">
        <v>119016.98863636363</v>
      </c>
      <c r="AK212">
        <v>0</v>
      </c>
      <c r="AL212">
        <v>119016.98863636363</v>
      </c>
      <c r="AM212">
        <v>0</v>
      </c>
      <c r="AN212">
        <v>119016.98863636363</v>
      </c>
      <c r="AP212">
        <v>118516.98863636363</v>
      </c>
      <c r="AQ212">
        <v>0</v>
      </c>
      <c r="AR212">
        <v>118516.98863636363</v>
      </c>
      <c r="AS212">
        <v>0</v>
      </c>
      <c r="AT212">
        <v>118516.98863636363</v>
      </c>
      <c r="AV212">
        <v>118516.98863636363</v>
      </c>
      <c r="AX212">
        <v>115498.2834994463</v>
      </c>
      <c r="AY212">
        <v>0</v>
      </c>
      <c r="AZ212">
        <v>115498.2834994463</v>
      </c>
      <c r="BA212">
        <v>0</v>
      </c>
      <c r="BB212">
        <v>115498.2834994463</v>
      </c>
      <c r="BC212">
        <v>0</v>
      </c>
      <c r="BD212">
        <v>115498.2834994463</v>
      </c>
      <c r="BE212">
        <v>0</v>
      </c>
      <c r="BF212">
        <v>115498.2834994463</v>
      </c>
      <c r="BG212">
        <v>0</v>
      </c>
      <c r="BH212">
        <v>115498.2834994463</v>
      </c>
      <c r="BI212">
        <v>0</v>
      </c>
      <c r="BJ212">
        <v>115498.2834994463</v>
      </c>
      <c r="BK212">
        <v>115498.2834994463</v>
      </c>
      <c r="BL212">
        <v>4171798</v>
      </c>
      <c r="BN212">
        <v>0.03</v>
      </c>
      <c r="BO212">
        <v>125154</v>
      </c>
      <c r="BP212">
        <v>112033.33333333334</v>
      </c>
      <c r="BQ212">
        <v>4046644</v>
      </c>
      <c r="BR212" s="238" t="s">
        <v>36</v>
      </c>
      <c r="BU212">
        <v>112033.33333333334</v>
      </c>
      <c r="BV212">
        <v>0</v>
      </c>
      <c r="BW212">
        <v>4046644</v>
      </c>
      <c r="BX212" s="238" t="s">
        <v>350</v>
      </c>
      <c r="BY212" s="238" t="s">
        <v>8963</v>
      </c>
      <c r="BZ212" s="238" t="s">
        <v>8963</v>
      </c>
      <c r="CA212" s="238" t="s">
        <v>8953</v>
      </c>
      <c r="CB212" s="238" t="s">
        <v>8964</v>
      </c>
      <c r="CC212" s="238" t="s">
        <v>9077</v>
      </c>
      <c r="CD212" s="238" t="s">
        <v>8972</v>
      </c>
      <c r="CE212" t="b">
        <v>1</v>
      </c>
      <c r="CF212">
        <v>4171798</v>
      </c>
      <c r="CG212">
        <v>4366524</v>
      </c>
      <c r="CH212">
        <v>4171798</v>
      </c>
      <c r="CI212">
        <v>4171798</v>
      </c>
      <c r="CJ212">
        <v>0</v>
      </c>
    </row>
    <row r="213" spans="1:88" x14ac:dyDescent="0.25">
      <c r="A213">
        <v>212</v>
      </c>
      <c r="B213">
        <v>2</v>
      </c>
      <c r="C213">
        <v>13</v>
      </c>
      <c r="D213">
        <v>6</v>
      </c>
      <c r="E213">
        <v>3</v>
      </c>
      <c r="F213">
        <v>12.4</v>
      </c>
      <c r="G213">
        <v>11.28</v>
      </c>
      <c r="H213">
        <v>11.28</v>
      </c>
      <c r="I213">
        <v>34.96</v>
      </c>
      <c r="J213">
        <v>17.940000000000001</v>
      </c>
      <c r="K213">
        <v>4.67</v>
      </c>
      <c r="L213">
        <v>3.54</v>
      </c>
      <c r="M213">
        <v>9.56</v>
      </c>
      <c r="P213">
        <v>2.79</v>
      </c>
      <c r="Q213">
        <v>3.6</v>
      </c>
      <c r="R213">
        <v>6.3900000000000006</v>
      </c>
      <c r="S213">
        <v>77.06</v>
      </c>
      <c r="T213">
        <v>70.67</v>
      </c>
      <c r="U213">
        <v>73.87</v>
      </c>
      <c r="V213">
        <v>104186.56</v>
      </c>
      <c r="W213">
        <v>0.63211822661105543</v>
      </c>
      <c r="X213">
        <v>104187.19211822661</v>
      </c>
      <c r="Y213">
        <v>0</v>
      </c>
      <c r="Z213">
        <v>104187.19211822661</v>
      </c>
      <c r="AB213">
        <v>104686.99507389162</v>
      </c>
      <c r="AC213">
        <v>0</v>
      </c>
      <c r="AD213">
        <v>104686.99507389162</v>
      </c>
      <c r="AF213">
        <v>105186.99507389162</v>
      </c>
      <c r="AG213">
        <v>0</v>
      </c>
      <c r="AH213">
        <v>105186.99507389162</v>
      </c>
      <c r="AI213">
        <v>0</v>
      </c>
      <c r="AJ213">
        <v>105186.99507389162</v>
      </c>
      <c r="AK213">
        <v>0</v>
      </c>
      <c r="AL213">
        <v>105186.99507389162</v>
      </c>
      <c r="AN213">
        <v>105686.99507389162</v>
      </c>
      <c r="AP213">
        <v>104187.19211822661</v>
      </c>
      <c r="AR213">
        <v>104187.19211822661</v>
      </c>
      <c r="AS213">
        <v>0</v>
      </c>
      <c r="AT213">
        <v>104187.19211822661</v>
      </c>
      <c r="AV213">
        <v>104187.19211822661</v>
      </c>
      <c r="AX213">
        <v>100209.82807635034</v>
      </c>
      <c r="AY213">
        <v>0</v>
      </c>
      <c r="AZ213">
        <v>100209.82807635034</v>
      </c>
      <c r="BA213">
        <v>0</v>
      </c>
      <c r="BB213">
        <v>100209.82807635034</v>
      </c>
      <c r="BC213">
        <v>0</v>
      </c>
      <c r="BD213">
        <v>100209.82807635034</v>
      </c>
      <c r="BE213">
        <v>0</v>
      </c>
      <c r="BF213">
        <v>100209.82807635034</v>
      </c>
      <c r="BG213">
        <v>0</v>
      </c>
      <c r="BH213">
        <v>100209.82807635034</v>
      </c>
      <c r="BI213">
        <v>0</v>
      </c>
      <c r="BJ213">
        <v>100209.82807635034</v>
      </c>
      <c r="BK213">
        <v>100209.82807635034</v>
      </c>
      <c r="BL213">
        <v>7402500</v>
      </c>
      <c r="BO213">
        <v>0</v>
      </c>
      <c r="BP213">
        <v>100209.82807635034</v>
      </c>
      <c r="BQ213">
        <v>7402500</v>
      </c>
      <c r="BR213" s="238" t="s">
        <v>36</v>
      </c>
      <c r="BU213">
        <v>100209.82807635034</v>
      </c>
      <c r="BV213">
        <v>0</v>
      </c>
      <c r="BW213">
        <v>7402500</v>
      </c>
      <c r="BX213" s="238"/>
      <c r="BY213" s="238" t="s">
        <v>8963</v>
      </c>
      <c r="BZ213" s="238" t="s">
        <v>8963</v>
      </c>
      <c r="CA213" s="238" t="s">
        <v>8953</v>
      </c>
      <c r="CB213" s="238" t="s">
        <v>8964</v>
      </c>
      <c r="CC213" s="238" t="s">
        <v>9077</v>
      </c>
      <c r="CD213" s="238" t="s">
        <v>8990</v>
      </c>
      <c r="CE213" t="b">
        <v>1</v>
      </c>
      <c r="CF213">
        <v>7402500</v>
      </c>
      <c r="CG213">
        <v>7850295</v>
      </c>
      <c r="CH213">
        <v>7402500</v>
      </c>
      <c r="CI213">
        <v>7402500</v>
      </c>
      <c r="CJ213">
        <v>0</v>
      </c>
    </row>
    <row r="214" spans="1:88" x14ac:dyDescent="0.25">
      <c r="A214">
        <v>213</v>
      </c>
      <c r="B214">
        <v>2</v>
      </c>
      <c r="C214">
        <v>13</v>
      </c>
      <c r="D214">
        <v>7</v>
      </c>
      <c r="E214">
        <v>0</v>
      </c>
      <c r="F214">
        <v>16.989999999999998</v>
      </c>
      <c r="I214">
        <v>16.989999999999998</v>
      </c>
      <c r="J214">
        <v>7.49</v>
      </c>
      <c r="K214">
        <v>4.1500000000000004</v>
      </c>
      <c r="P214">
        <v>3.49</v>
      </c>
      <c r="R214">
        <v>3.49</v>
      </c>
      <c r="S214">
        <v>32.119999999999997</v>
      </c>
      <c r="T214">
        <v>28.63</v>
      </c>
      <c r="U214">
        <v>30.38</v>
      </c>
      <c r="V214">
        <v>138273.04</v>
      </c>
      <c r="W214">
        <v>2.5902521008392796</v>
      </c>
      <c r="X214">
        <v>138275.63025210085</v>
      </c>
      <c r="Y214">
        <v>0</v>
      </c>
      <c r="Z214">
        <v>138275.63025210085</v>
      </c>
      <c r="AA214">
        <v>0</v>
      </c>
      <c r="AB214">
        <v>138275.63025210085</v>
      </c>
      <c r="AC214">
        <v>0</v>
      </c>
      <c r="AD214">
        <v>138275.63025210085</v>
      </c>
      <c r="AE214">
        <v>0</v>
      </c>
      <c r="AF214">
        <v>138275.63025210085</v>
      </c>
      <c r="AG214">
        <v>0</v>
      </c>
      <c r="AH214">
        <v>138275.63025210085</v>
      </c>
      <c r="AI214">
        <v>0</v>
      </c>
      <c r="AJ214">
        <v>138275.63025210085</v>
      </c>
      <c r="AK214">
        <v>0</v>
      </c>
      <c r="AL214">
        <v>138275.63025210085</v>
      </c>
      <c r="AM214">
        <v>0</v>
      </c>
      <c r="AN214">
        <v>138275.63025210085</v>
      </c>
      <c r="AO214">
        <v>0</v>
      </c>
      <c r="AP214">
        <v>138275.63025210085</v>
      </c>
      <c r="AQ214">
        <v>0</v>
      </c>
      <c r="AR214">
        <v>138275.63025210085</v>
      </c>
      <c r="AS214">
        <v>0</v>
      </c>
      <c r="AT214">
        <v>138275.63025210085</v>
      </c>
      <c r="AV214">
        <v>138275.63025210085</v>
      </c>
      <c r="AW214">
        <v>1195.1399914804497</v>
      </c>
      <c r="AX214">
        <v>139470.7702435813</v>
      </c>
      <c r="AY214">
        <v>2955.1678736010508</v>
      </c>
      <c r="AZ214">
        <v>142425.93811718235</v>
      </c>
      <c r="BA214">
        <v>0</v>
      </c>
      <c r="BB214">
        <v>142425.93811718235</v>
      </c>
      <c r="BC214">
        <v>0</v>
      </c>
      <c r="BD214">
        <v>142425.93811718235</v>
      </c>
      <c r="BE214">
        <v>0</v>
      </c>
      <c r="BF214">
        <v>142425.93811718235</v>
      </c>
      <c r="BG214">
        <v>0</v>
      </c>
      <c r="BH214">
        <v>142425.93811718235</v>
      </c>
      <c r="BI214">
        <v>0</v>
      </c>
      <c r="BJ214">
        <v>142425.93811718235</v>
      </c>
      <c r="BK214">
        <v>142425.93811718235</v>
      </c>
      <c r="BL214">
        <v>4326900</v>
      </c>
      <c r="BO214">
        <v>0</v>
      </c>
      <c r="BP214">
        <v>142425.93811718235</v>
      </c>
      <c r="BQ214">
        <v>4326900</v>
      </c>
      <c r="BR214" s="238" t="s">
        <v>36</v>
      </c>
      <c r="BU214">
        <v>142425.93811718235</v>
      </c>
      <c r="BV214">
        <v>0</v>
      </c>
      <c r="BW214">
        <v>4326900</v>
      </c>
      <c r="BX214" s="238"/>
      <c r="BY214" s="238" t="s">
        <v>3</v>
      </c>
      <c r="BZ214" s="238" t="s">
        <v>3</v>
      </c>
      <c r="CA214" s="238" t="s">
        <v>8951</v>
      </c>
      <c r="CB214" s="238" t="s">
        <v>1167</v>
      </c>
      <c r="CC214" s="238" t="s">
        <v>9077</v>
      </c>
      <c r="CD214" s="238" t="s">
        <v>8970</v>
      </c>
      <c r="CE214" t="b">
        <v>1</v>
      </c>
      <c r="CF214">
        <v>4326900</v>
      </c>
      <c r="CG214">
        <v>4326900</v>
      </c>
      <c r="CH214">
        <v>0</v>
      </c>
      <c r="CI214">
        <v>0</v>
      </c>
      <c r="CJ214">
        <v>0</v>
      </c>
    </row>
    <row r="215" spans="1:88" x14ac:dyDescent="0.25">
      <c r="A215">
        <v>214</v>
      </c>
      <c r="B215">
        <v>2</v>
      </c>
      <c r="C215">
        <v>14</v>
      </c>
      <c r="D215">
        <v>1</v>
      </c>
      <c r="E215">
        <v>0</v>
      </c>
      <c r="F215">
        <v>16.989999999999998</v>
      </c>
      <c r="I215">
        <v>16.989999999999998</v>
      </c>
      <c r="J215">
        <v>7.49</v>
      </c>
      <c r="K215">
        <v>4.1500000000000004</v>
      </c>
      <c r="P215">
        <v>3.49</v>
      </c>
      <c r="R215">
        <v>3.49</v>
      </c>
      <c r="S215">
        <v>32.119999999999997</v>
      </c>
      <c r="T215">
        <v>28.63</v>
      </c>
      <c r="U215">
        <v>30.38</v>
      </c>
      <c r="V215">
        <v>138273.04</v>
      </c>
      <c r="W215">
        <v>2.5902521008392796</v>
      </c>
      <c r="X215">
        <v>138275.63025210085</v>
      </c>
      <c r="Y215">
        <v>0</v>
      </c>
      <c r="Z215">
        <v>138275.63025210085</v>
      </c>
      <c r="AA215">
        <v>0</v>
      </c>
      <c r="AB215">
        <v>138275.63025210085</v>
      </c>
      <c r="AC215">
        <v>0</v>
      </c>
      <c r="AD215">
        <v>138275.63025210085</v>
      </c>
      <c r="AE215">
        <v>0</v>
      </c>
      <c r="AF215">
        <v>138275.63025210085</v>
      </c>
      <c r="AG215">
        <v>0</v>
      </c>
      <c r="AH215">
        <v>138275.63025210085</v>
      </c>
      <c r="AI215">
        <v>0</v>
      </c>
      <c r="AJ215">
        <v>138275.63025210085</v>
      </c>
      <c r="AK215">
        <v>0</v>
      </c>
      <c r="AL215">
        <v>138275.63025210085</v>
      </c>
      <c r="AM215">
        <v>0</v>
      </c>
      <c r="AN215">
        <v>138275.63025210085</v>
      </c>
      <c r="AO215">
        <v>0</v>
      </c>
      <c r="AP215">
        <v>138275.63025210085</v>
      </c>
      <c r="AQ215">
        <v>0</v>
      </c>
      <c r="AR215">
        <v>138275.63025210085</v>
      </c>
      <c r="AS215">
        <v>0</v>
      </c>
      <c r="AT215">
        <v>138275.63025210085</v>
      </c>
      <c r="AV215">
        <v>138275.63025210085</v>
      </c>
      <c r="AW215">
        <v>1195.1399914804497</v>
      </c>
      <c r="AX215">
        <v>139470.7702435813</v>
      </c>
      <c r="AY215">
        <v>2955.1678736010508</v>
      </c>
      <c r="AZ215">
        <v>142425.93811718235</v>
      </c>
      <c r="BA215">
        <v>0</v>
      </c>
      <c r="BB215">
        <v>142425.93811718235</v>
      </c>
      <c r="BC215">
        <v>0</v>
      </c>
      <c r="BD215">
        <v>142425.93811718235</v>
      </c>
      <c r="BE215">
        <v>0</v>
      </c>
      <c r="BF215">
        <v>142425.93811718235</v>
      </c>
      <c r="BG215">
        <v>0</v>
      </c>
      <c r="BH215">
        <v>142425.93811718235</v>
      </c>
      <c r="BI215">
        <v>0</v>
      </c>
      <c r="BJ215">
        <v>142425.93811718235</v>
      </c>
      <c r="BK215">
        <v>142425.93811718235</v>
      </c>
      <c r="BL215">
        <v>4326900</v>
      </c>
      <c r="BO215">
        <v>0</v>
      </c>
      <c r="BP215">
        <v>142425.93811718235</v>
      </c>
      <c r="BQ215">
        <v>4326900</v>
      </c>
      <c r="BR215" s="238" t="s">
        <v>36</v>
      </c>
      <c r="BU215">
        <v>142425.93811718235</v>
      </c>
      <c r="BV215">
        <v>0</v>
      </c>
      <c r="BW215">
        <v>4326900</v>
      </c>
      <c r="BX215" s="238"/>
      <c r="BY215" s="238" t="s">
        <v>35</v>
      </c>
      <c r="BZ215" s="238" t="s">
        <v>35</v>
      </c>
      <c r="CA215" s="238" t="s">
        <v>8953</v>
      </c>
      <c r="CB215" s="238" t="s">
        <v>8954</v>
      </c>
      <c r="CC215" s="238" t="s">
        <v>9077</v>
      </c>
      <c r="CD215" s="238" t="s">
        <v>8970</v>
      </c>
      <c r="CE215" t="b">
        <v>1</v>
      </c>
      <c r="CF215">
        <v>4326900</v>
      </c>
      <c r="CG215">
        <v>4326900</v>
      </c>
      <c r="CH215">
        <v>0</v>
      </c>
      <c r="CI215">
        <v>0</v>
      </c>
      <c r="CJ215">
        <v>0</v>
      </c>
    </row>
    <row r="216" spans="1:88" x14ac:dyDescent="0.25">
      <c r="A216">
        <v>215</v>
      </c>
      <c r="B216">
        <v>2</v>
      </c>
      <c r="C216">
        <v>14</v>
      </c>
      <c r="D216">
        <v>2</v>
      </c>
      <c r="E216">
        <v>1</v>
      </c>
      <c r="F216">
        <v>11.31</v>
      </c>
      <c r="I216">
        <v>11.31</v>
      </c>
      <c r="J216">
        <v>15.89</v>
      </c>
      <c r="K216">
        <v>4.1100000000000003</v>
      </c>
      <c r="M216">
        <v>3</v>
      </c>
      <c r="P216">
        <v>2.77</v>
      </c>
      <c r="R216">
        <v>2.77</v>
      </c>
      <c r="S216">
        <v>37.08</v>
      </c>
      <c r="T216">
        <v>34.31</v>
      </c>
      <c r="U216">
        <v>35.700000000000003</v>
      </c>
      <c r="V216">
        <v>119184.96000000001</v>
      </c>
      <c r="W216">
        <v>1.2864183381025214</v>
      </c>
      <c r="X216">
        <v>119186.24641833811</v>
      </c>
      <c r="Y216">
        <v>0</v>
      </c>
      <c r="Z216">
        <v>119186.24641833811</v>
      </c>
      <c r="AA216">
        <v>0</v>
      </c>
      <c r="AB216">
        <v>119186.24641833811</v>
      </c>
      <c r="AC216">
        <v>0</v>
      </c>
      <c r="AD216">
        <v>119186.24641833811</v>
      </c>
      <c r="AE216">
        <v>0</v>
      </c>
      <c r="AF216">
        <v>119186.24641833811</v>
      </c>
      <c r="AG216">
        <v>0</v>
      </c>
      <c r="AH216">
        <v>119186.24641833811</v>
      </c>
      <c r="AI216">
        <v>0</v>
      </c>
      <c r="AJ216">
        <v>119186.24641833811</v>
      </c>
      <c r="AK216">
        <v>0</v>
      </c>
      <c r="AL216">
        <v>119186.24641833811</v>
      </c>
      <c r="AM216">
        <v>0</v>
      </c>
      <c r="AN216">
        <v>119186.24641833811</v>
      </c>
      <c r="AO216">
        <v>0</v>
      </c>
      <c r="AP216">
        <v>119186.24641833811</v>
      </c>
      <c r="AQ216">
        <v>0</v>
      </c>
      <c r="AR216">
        <v>119186.24641833811</v>
      </c>
      <c r="AS216">
        <v>0</v>
      </c>
      <c r="AT216">
        <v>119186.24641833811</v>
      </c>
      <c r="AV216">
        <v>119186.24641833811</v>
      </c>
      <c r="AW216">
        <v>824.36982816047384</v>
      </c>
      <c r="AX216">
        <v>120010.61624649858</v>
      </c>
      <c r="AY216">
        <v>2751.288515406166</v>
      </c>
      <c r="AZ216">
        <v>122761.90476190475</v>
      </c>
      <c r="BA216">
        <v>0</v>
      </c>
      <c r="BB216">
        <v>122761.90476190475</v>
      </c>
      <c r="BC216">
        <v>0</v>
      </c>
      <c r="BD216">
        <v>122761.90476190475</v>
      </c>
      <c r="BE216">
        <v>0</v>
      </c>
      <c r="BF216">
        <v>122761.90476190475</v>
      </c>
      <c r="BG216">
        <v>2455.3221288515488</v>
      </c>
      <c r="BH216">
        <v>125217.2268907563</v>
      </c>
      <c r="BI216">
        <v>0</v>
      </c>
      <c r="BJ216">
        <v>125217.2268907563</v>
      </c>
      <c r="BK216">
        <v>125217.2268907563</v>
      </c>
      <c r="BL216">
        <v>4470255</v>
      </c>
      <c r="BO216">
        <v>0</v>
      </c>
      <c r="BP216">
        <v>125217.2268907563</v>
      </c>
      <c r="BQ216">
        <v>4470255</v>
      </c>
      <c r="BR216" s="238" t="s">
        <v>36</v>
      </c>
      <c r="BU216">
        <v>125217.2268907563</v>
      </c>
      <c r="BV216">
        <v>0</v>
      </c>
      <c r="BW216">
        <v>4470255</v>
      </c>
      <c r="BX216" s="238"/>
      <c r="BY216" s="238" t="s">
        <v>35</v>
      </c>
      <c r="BZ216" s="238" t="s">
        <v>35</v>
      </c>
      <c r="CA216" s="238" t="s">
        <v>8953</v>
      </c>
      <c r="CB216" s="238" t="s">
        <v>8954</v>
      </c>
      <c r="CC216" s="238" t="s">
        <v>9077</v>
      </c>
      <c r="CD216" s="238" t="s">
        <v>8972</v>
      </c>
      <c r="CE216" t="b">
        <v>1</v>
      </c>
      <c r="CF216">
        <v>4470255</v>
      </c>
      <c r="CG216">
        <v>4470255</v>
      </c>
      <c r="CH216">
        <v>0</v>
      </c>
      <c r="CI216">
        <v>0</v>
      </c>
      <c r="CJ216">
        <v>0</v>
      </c>
    </row>
    <row r="217" spans="1:88" x14ac:dyDescent="0.25">
      <c r="A217">
        <v>216</v>
      </c>
      <c r="B217">
        <v>2</v>
      </c>
      <c r="C217">
        <v>14</v>
      </c>
      <c r="D217">
        <v>3</v>
      </c>
      <c r="E217">
        <v>1</v>
      </c>
      <c r="F217">
        <v>15.45</v>
      </c>
      <c r="I217">
        <v>15.45</v>
      </c>
      <c r="J217">
        <v>17.71</v>
      </c>
      <c r="K217">
        <v>4.01</v>
      </c>
      <c r="M217">
        <v>5.04</v>
      </c>
      <c r="P217">
        <v>3.84</v>
      </c>
      <c r="R217">
        <v>3.84</v>
      </c>
      <c r="S217">
        <v>46.05</v>
      </c>
      <c r="T217">
        <v>42.21</v>
      </c>
      <c r="U217">
        <v>44.13</v>
      </c>
      <c r="V217">
        <v>119184.96000000001</v>
      </c>
      <c r="W217">
        <v>0.22518518517608754</v>
      </c>
      <c r="X217">
        <v>119185.18518518518</v>
      </c>
      <c r="Y217">
        <v>0</v>
      </c>
      <c r="Z217">
        <v>119185.18518518518</v>
      </c>
      <c r="AA217">
        <v>0</v>
      </c>
      <c r="AB217">
        <v>119185.18518518518</v>
      </c>
      <c r="AC217">
        <v>0</v>
      </c>
      <c r="AD217">
        <v>119185.18518518518</v>
      </c>
      <c r="AE217">
        <v>0</v>
      </c>
      <c r="AF217">
        <v>119185.18518518518</v>
      </c>
      <c r="AG217">
        <v>0</v>
      </c>
      <c r="AH217">
        <v>119185.18518518518</v>
      </c>
      <c r="AI217">
        <v>0</v>
      </c>
      <c r="AJ217">
        <v>119185.18518518518</v>
      </c>
      <c r="AK217">
        <v>0</v>
      </c>
      <c r="AL217">
        <v>119185.18518518518</v>
      </c>
      <c r="AM217">
        <v>0</v>
      </c>
      <c r="AN217">
        <v>119185.18518518518</v>
      </c>
      <c r="AO217">
        <v>0</v>
      </c>
      <c r="AP217">
        <v>119185.18518518518</v>
      </c>
      <c r="AQ217">
        <v>0</v>
      </c>
      <c r="AR217">
        <v>119185.18518518518</v>
      </c>
      <c r="AS217">
        <v>0</v>
      </c>
      <c r="AT217">
        <v>119185.18518518518</v>
      </c>
      <c r="AV217">
        <v>119185.18518518518</v>
      </c>
      <c r="AW217">
        <v>988.30223833622586</v>
      </c>
      <c r="AX217">
        <v>120173.48742352141</v>
      </c>
      <c r="AY217">
        <v>2588.8058010423701</v>
      </c>
      <c r="AZ217">
        <v>122762.29322456378</v>
      </c>
      <c r="BA217">
        <v>0</v>
      </c>
      <c r="BB217">
        <v>122762.29322456378</v>
      </c>
      <c r="BC217">
        <v>0</v>
      </c>
      <c r="BD217">
        <v>122762.29322456378</v>
      </c>
      <c r="BE217">
        <v>0</v>
      </c>
      <c r="BF217">
        <v>122762.29322456378</v>
      </c>
      <c r="BG217">
        <v>2454.9512803081889</v>
      </c>
      <c r="BH217">
        <v>125217.24450487195</v>
      </c>
      <c r="BI217">
        <v>0</v>
      </c>
      <c r="BJ217">
        <v>125217.24450487195</v>
      </c>
      <c r="BK217">
        <v>125217.24450487197</v>
      </c>
      <c r="BL217">
        <v>5525837</v>
      </c>
      <c r="BO217">
        <v>0</v>
      </c>
      <c r="BP217">
        <v>125217.24450487197</v>
      </c>
      <c r="BQ217">
        <v>5525837</v>
      </c>
      <c r="BR217" s="238" t="s">
        <v>36</v>
      </c>
      <c r="BU217">
        <v>125217.24450487197</v>
      </c>
      <c r="BV217">
        <v>0</v>
      </c>
      <c r="BW217">
        <v>5525837</v>
      </c>
      <c r="BX217" s="238"/>
      <c r="BY217" s="238" t="s">
        <v>3</v>
      </c>
      <c r="BZ217" s="238" t="s">
        <v>3</v>
      </c>
      <c r="CA217" s="238" t="s">
        <v>8951</v>
      </c>
      <c r="CB217" s="238" t="s">
        <v>1167</v>
      </c>
      <c r="CC217" s="238" t="s">
        <v>9077</v>
      </c>
      <c r="CD217" s="238" t="s">
        <v>8972</v>
      </c>
      <c r="CE217" t="b">
        <v>1</v>
      </c>
      <c r="CF217">
        <v>5525837</v>
      </c>
      <c r="CG217">
        <v>5525837</v>
      </c>
      <c r="CH217">
        <v>0</v>
      </c>
      <c r="CI217">
        <v>0</v>
      </c>
      <c r="CJ217">
        <v>0</v>
      </c>
    </row>
    <row r="218" spans="1:88" x14ac:dyDescent="0.25">
      <c r="A218">
        <v>217</v>
      </c>
      <c r="B218">
        <v>2</v>
      </c>
      <c r="C218">
        <v>14</v>
      </c>
      <c r="D218">
        <v>4</v>
      </c>
      <c r="E218">
        <v>1</v>
      </c>
      <c r="F218">
        <v>10.59</v>
      </c>
      <c r="I218">
        <v>10.59</v>
      </c>
      <c r="J218">
        <v>15.45</v>
      </c>
      <c r="K218">
        <v>3.94</v>
      </c>
      <c r="M218">
        <v>4.4400000000000004</v>
      </c>
      <c r="P218">
        <v>3.45</v>
      </c>
      <c r="R218">
        <v>3.45</v>
      </c>
      <c r="S218">
        <v>37.869999999999997</v>
      </c>
      <c r="T218">
        <v>34.42</v>
      </c>
      <c r="U218">
        <v>36.15</v>
      </c>
      <c r="V218">
        <v>118016.48</v>
      </c>
      <c r="W218">
        <v>0.51716713882342447</v>
      </c>
      <c r="X218">
        <v>118016.99716713882</v>
      </c>
      <c r="Y218">
        <v>0</v>
      </c>
      <c r="Z218">
        <v>118016.99716713882</v>
      </c>
      <c r="AA218">
        <v>0</v>
      </c>
      <c r="AB218">
        <v>118016.99716713882</v>
      </c>
      <c r="AC218">
        <v>500</v>
      </c>
      <c r="AD218">
        <v>118516.99716713882</v>
      </c>
      <c r="AE218">
        <v>0</v>
      </c>
      <c r="AF218">
        <v>118516.99716713882</v>
      </c>
      <c r="AG218">
        <v>500</v>
      </c>
      <c r="AH218">
        <v>119016.99716713882</v>
      </c>
      <c r="AI218">
        <v>500</v>
      </c>
      <c r="AJ218">
        <v>119516.99716713882</v>
      </c>
      <c r="AK218">
        <v>500</v>
      </c>
      <c r="AL218">
        <v>120016.99716713882</v>
      </c>
      <c r="AM218">
        <v>0</v>
      </c>
      <c r="AN218">
        <v>120016.99716713882</v>
      </c>
      <c r="AO218">
        <v>500</v>
      </c>
      <c r="AP218">
        <v>120516.99716713882</v>
      </c>
      <c r="AQ218">
        <v>0</v>
      </c>
      <c r="AR218">
        <v>120516.99716713882</v>
      </c>
      <c r="AS218">
        <v>0</v>
      </c>
      <c r="AT218">
        <v>120516.99716713882</v>
      </c>
      <c r="AV218">
        <v>120516.99716713882</v>
      </c>
      <c r="AX218">
        <v>117683.26417704011</v>
      </c>
      <c r="AY218">
        <v>2833.7482710926706</v>
      </c>
      <c r="AZ218">
        <v>120517.01244813278</v>
      </c>
      <c r="BA218">
        <v>500</v>
      </c>
      <c r="BB218">
        <v>121017.01244813278</v>
      </c>
      <c r="BC218">
        <v>500</v>
      </c>
      <c r="BD218">
        <v>121517.01244813278</v>
      </c>
      <c r="BE218">
        <v>500</v>
      </c>
      <c r="BF218">
        <v>122017.01244813278</v>
      </c>
      <c r="BG218">
        <v>2440.3319502074737</v>
      </c>
      <c r="BH218">
        <v>124457.34439834024</v>
      </c>
      <c r="BI218">
        <v>0</v>
      </c>
      <c r="BJ218">
        <v>124457.34439834024</v>
      </c>
      <c r="BK218">
        <v>124457.34439834025</v>
      </c>
      <c r="BL218">
        <v>4499133</v>
      </c>
      <c r="BO218">
        <v>0</v>
      </c>
      <c r="BP218">
        <v>124457.34439834025</v>
      </c>
      <c r="BQ218">
        <v>4499133</v>
      </c>
      <c r="BR218" s="238" t="s">
        <v>36</v>
      </c>
      <c r="BU218">
        <v>124457.34439834025</v>
      </c>
      <c r="BV218">
        <v>0</v>
      </c>
      <c r="BW218">
        <v>4499133</v>
      </c>
      <c r="BX218" s="238"/>
      <c r="BY218" s="238" t="s">
        <v>8963</v>
      </c>
      <c r="BZ218" s="238" t="s">
        <v>8963</v>
      </c>
      <c r="CA218" s="238" t="s">
        <v>8953</v>
      </c>
      <c r="CB218" s="238" t="s">
        <v>8964</v>
      </c>
      <c r="CC218" s="238" t="s">
        <v>9077</v>
      </c>
      <c r="CD218" s="238" t="s">
        <v>8972</v>
      </c>
      <c r="CE218" t="b">
        <v>1</v>
      </c>
      <c r="CF218">
        <v>4499133</v>
      </c>
      <c r="CG218">
        <v>4517196</v>
      </c>
      <c r="CH218">
        <v>4499133</v>
      </c>
      <c r="CI218">
        <v>0</v>
      </c>
      <c r="CJ218">
        <v>0</v>
      </c>
    </row>
    <row r="219" spans="1:88" x14ac:dyDescent="0.25">
      <c r="A219">
        <v>218</v>
      </c>
      <c r="B219">
        <v>2</v>
      </c>
      <c r="C219">
        <v>14</v>
      </c>
      <c r="D219">
        <v>5</v>
      </c>
      <c r="E219">
        <v>1</v>
      </c>
      <c r="F219">
        <v>10.59</v>
      </c>
      <c r="I219">
        <v>10.59</v>
      </c>
      <c r="J219">
        <v>15.45</v>
      </c>
      <c r="K219">
        <v>3.94</v>
      </c>
      <c r="M219">
        <v>4.4400000000000004</v>
      </c>
      <c r="P219">
        <v>3.39</v>
      </c>
      <c r="R219">
        <v>3.39</v>
      </c>
      <c r="S219">
        <v>37.81</v>
      </c>
      <c r="T219">
        <v>34.42</v>
      </c>
      <c r="U219">
        <v>36.119999999999997</v>
      </c>
      <c r="V219">
        <v>118016.48</v>
      </c>
      <c r="W219">
        <v>0.56545454544539098</v>
      </c>
      <c r="X219">
        <v>118017.04545454544</v>
      </c>
      <c r="Y219">
        <v>0</v>
      </c>
      <c r="Z219">
        <v>118017.04545454544</v>
      </c>
      <c r="AA219">
        <v>499.94318181819108</v>
      </c>
      <c r="AB219">
        <v>118516.98863636363</v>
      </c>
      <c r="AC219">
        <v>0</v>
      </c>
      <c r="AD219">
        <v>118516.98863636363</v>
      </c>
      <c r="AE219">
        <v>0</v>
      </c>
      <c r="AF219">
        <v>118516.98863636363</v>
      </c>
      <c r="AG219">
        <v>0</v>
      </c>
      <c r="AH219">
        <v>118516.98863636363</v>
      </c>
      <c r="AJ219">
        <v>119016.98863636363</v>
      </c>
      <c r="AK219">
        <v>0</v>
      </c>
      <c r="AL219">
        <v>119016.98863636363</v>
      </c>
      <c r="AM219">
        <v>0</v>
      </c>
      <c r="AN219">
        <v>119016.98863636363</v>
      </c>
      <c r="AP219">
        <v>118516.98863636363</v>
      </c>
      <c r="AQ219">
        <v>0</v>
      </c>
      <c r="AR219">
        <v>118516.98863636363</v>
      </c>
      <c r="AS219">
        <v>0</v>
      </c>
      <c r="AT219">
        <v>118516.98863636363</v>
      </c>
      <c r="AV219">
        <v>118516.98863636363</v>
      </c>
      <c r="AX219">
        <v>115498.2834994463</v>
      </c>
      <c r="AY219">
        <v>0</v>
      </c>
      <c r="AZ219">
        <v>115498.2834994463</v>
      </c>
      <c r="BA219">
        <v>0</v>
      </c>
      <c r="BB219">
        <v>115498.2834994463</v>
      </c>
      <c r="BC219">
        <v>0</v>
      </c>
      <c r="BD219">
        <v>115498.2834994463</v>
      </c>
      <c r="BE219">
        <v>0</v>
      </c>
      <c r="BF219">
        <v>115498.2834994463</v>
      </c>
      <c r="BG219">
        <v>0</v>
      </c>
      <c r="BH219">
        <v>115498.2834994463</v>
      </c>
      <c r="BI219">
        <v>0</v>
      </c>
      <c r="BJ219">
        <v>115498.2834994463</v>
      </c>
      <c r="BK219">
        <v>115498.2834994463</v>
      </c>
      <c r="BL219">
        <v>4171798</v>
      </c>
      <c r="BO219">
        <v>0</v>
      </c>
      <c r="BP219">
        <v>115498.2834994463</v>
      </c>
      <c r="BQ219">
        <v>4171798</v>
      </c>
      <c r="BR219" s="238" t="s">
        <v>36</v>
      </c>
      <c r="BU219">
        <v>115498.2834994463</v>
      </c>
      <c r="BV219">
        <v>0</v>
      </c>
      <c r="BW219">
        <v>4171798</v>
      </c>
      <c r="BX219" s="238"/>
      <c r="BY219" s="238" t="s">
        <v>8963</v>
      </c>
      <c r="BZ219" s="238" t="s">
        <v>8963</v>
      </c>
      <c r="CA219" s="238" t="s">
        <v>8953</v>
      </c>
      <c r="CB219" s="238" t="s">
        <v>8964</v>
      </c>
      <c r="CC219" s="238" t="s">
        <v>9077</v>
      </c>
      <c r="CD219" s="238" t="s">
        <v>8972</v>
      </c>
      <c r="CE219" t="b">
        <v>1</v>
      </c>
      <c r="CF219">
        <v>4171798</v>
      </c>
      <c r="CG219">
        <v>4366524</v>
      </c>
      <c r="CH219">
        <v>4171798</v>
      </c>
      <c r="CI219">
        <v>4171798</v>
      </c>
      <c r="CJ219">
        <v>0</v>
      </c>
    </row>
    <row r="220" spans="1:88" x14ac:dyDescent="0.25">
      <c r="A220">
        <v>219</v>
      </c>
      <c r="B220">
        <v>2</v>
      </c>
      <c r="C220">
        <v>14</v>
      </c>
      <c r="D220">
        <v>6</v>
      </c>
      <c r="E220">
        <v>3</v>
      </c>
      <c r="F220">
        <v>12.4</v>
      </c>
      <c r="G220">
        <v>11.28</v>
      </c>
      <c r="H220">
        <v>11.28</v>
      </c>
      <c r="I220">
        <v>34.96</v>
      </c>
      <c r="J220">
        <v>17.940000000000001</v>
      </c>
      <c r="K220">
        <v>4.67</v>
      </c>
      <c r="L220">
        <v>3.54</v>
      </c>
      <c r="M220">
        <v>9.56</v>
      </c>
      <c r="P220">
        <v>2.79</v>
      </c>
      <c r="Q220">
        <v>3.6</v>
      </c>
      <c r="R220">
        <v>6.3900000000000006</v>
      </c>
      <c r="S220">
        <v>77.06</v>
      </c>
      <c r="T220">
        <v>70.67</v>
      </c>
      <c r="U220">
        <v>73.87</v>
      </c>
      <c r="V220">
        <v>104186.56</v>
      </c>
      <c r="W220">
        <v>0.63211822661105543</v>
      </c>
      <c r="X220">
        <v>104187.19211822661</v>
      </c>
      <c r="Y220">
        <v>0</v>
      </c>
      <c r="Z220">
        <v>104187.19211822661</v>
      </c>
      <c r="AA220">
        <v>499.80295566501445</v>
      </c>
      <c r="AB220">
        <v>104686.99507389162</v>
      </c>
      <c r="AC220">
        <v>0</v>
      </c>
      <c r="AD220">
        <v>104686.99507389162</v>
      </c>
      <c r="AF220">
        <v>105186.99507389162</v>
      </c>
      <c r="AG220">
        <v>0</v>
      </c>
      <c r="AH220">
        <v>105186.99507389162</v>
      </c>
      <c r="AI220">
        <v>0</v>
      </c>
      <c r="AJ220">
        <v>105186.99507389162</v>
      </c>
      <c r="AK220">
        <v>0</v>
      </c>
      <c r="AL220">
        <v>105186.99507389162</v>
      </c>
      <c r="AN220">
        <v>105686.99507389162</v>
      </c>
      <c r="AP220">
        <v>104686.99507389162</v>
      </c>
      <c r="AR220">
        <v>104686.99507389162</v>
      </c>
      <c r="AS220">
        <v>0</v>
      </c>
      <c r="AT220">
        <v>104686.99507389162</v>
      </c>
      <c r="AV220">
        <v>104686.99507389162</v>
      </c>
      <c r="AX220">
        <v>100690.5509679166</v>
      </c>
      <c r="AY220">
        <v>0</v>
      </c>
      <c r="AZ220">
        <v>100690.5509679166</v>
      </c>
      <c r="BA220">
        <v>0</v>
      </c>
      <c r="BB220">
        <v>100690.5509679166</v>
      </c>
      <c r="BC220">
        <v>0</v>
      </c>
      <c r="BD220">
        <v>100690.5509679166</v>
      </c>
      <c r="BE220">
        <v>0</v>
      </c>
      <c r="BF220">
        <v>100690.5509679166</v>
      </c>
      <c r="BG220">
        <v>0</v>
      </c>
      <c r="BH220">
        <v>100690.5509679166</v>
      </c>
      <c r="BI220">
        <v>0</v>
      </c>
      <c r="BJ220">
        <v>100690.5509679166</v>
      </c>
      <c r="BK220">
        <v>100690.5509679166</v>
      </c>
      <c r="BL220">
        <v>7438011</v>
      </c>
      <c r="BN220">
        <v>0.02</v>
      </c>
      <c r="BO220">
        <v>148760</v>
      </c>
      <c r="BP220">
        <v>98676.742926763225</v>
      </c>
      <c r="BQ220">
        <v>7289251</v>
      </c>
      <c r="BR220" s="238" t="s">
        <v>36</v>
      </c>
      <c r="BU220">
        <v>98676.742926763225</v>
      </c>
      <c r="BV220">
        <v>0</v>
      </c>
      <c r="BW220">
        <v>7289251</v>
      </c>
      <c r="BX220" s="238" t="s">
        <v>9079</v>
      </c>
      <c r="BY220" s="238" t="s">
        <v>8963</v>
      </c>
      <c r="BZ220" s="238" t="s">
        <v>8963</v>
      </c>
      <c r="CA220" s="238" t="s">
        <v>8953</v>
      </c>
      <c r="CB220" s="238" t="s">
        <v>8964</v>
      </c>
      <c r="CC220" s="238" t="s">
        <v>9077</v>
      </c>
      <c r="CD220" s="238" t="s">
        <v>8990</v>
      </c>
      <c r="CE220" t="b">
        <v>1</v>
      </c>
      <c r="CF220">
        <v>7438011</v>
      </c>
      <c r="CG220">
        <v>7887969</v>
      </c>
      <c r="CH220">
        <v>7438011</v>
      </c>
      <c r="CI220">
        <v>7438011</v>
      </c>
      <c r="CJ220">
        <v>0</v>
      </c>
    </row>
    <row r="221" spans="1:88" x14ac:dyDescent="0.25">
      <c r="A221">
        <v>220</v>
      </c>
      <c r="B221">
        <v>2</v>
      </c>
      <c r="C221">
        <v>14</v>
      </c>
      <c r="D221">
        <v>7</v>
      </c>
      <c r="E221">
        <v>0</v>
      </c>
      <c r="F221">
        <v>16.989999999999998</v>
      </c>
      <c r="I221">
        <v>16.989999999999998</v>
      </c>
      <c r="J221">
        <v>7.49</v>
      </c>
      <c r="K221">
        <v>4.1500000000000004</v>
      </c>
      <c r="P221">
        <v>3.49</v>
      </c>
      <c r="R221">
        <v>3.49</v>
      </c>
      <c r="S221">
        <v>32.119999999999997</v>
      </c>
      <c r="T221">
        <v>28.63</v>
      </c>
      <c r="U221">
        <v>30.38</v>
      </c>
      <c r="V221">
        <v>138273.04</v>
      </c>
      <c r="W221">
        <v>2.5902521008392796</v>
      </c>
      <c r="X221">
        <v>138275.63025210085</v>
      </c>
      <c r="Y221">
        <v>0</v>
      </c>
      <c r="Z221">
        <v>138275.63025210085</v>
      </c>
      <c r="AA221">
        <v>0</v>
      </c>
      <c r="AB221">
        <v>138275.63025210085</v>
      </c>
      <c r="AC221">
        <v>0</v>
      </c>
      <c r="AD221">
        <v>138275.63025210085</v>
      </c>
      <c r="AE221">
        <v>0</v>
      </c>
      <c r="AF221">
        <v>138275.63025210085</v>
      </c>
      <c r="AG221">
        <v>0</v>
      </c>
      <c r="AH221">
        <v>138275.63025210085</v>
      </c>
      <c r="AI221">
        <v>0</v>
      </c>
      <c r="AJ221">
        <v>138275.63025210085</v>
      </c>
      <c r="AK221">
        <v>0</v>
      </c>
      <c r="AL221">
        <v>138275.63025210085</v>
      </c>
      <c r="AM221">
        <v>0</v>
      </c>
      <c r="AN221">
        <v>138275.63025210085</v>
      </c>
      <c r="AO221">
        <v>0</v>
      </c>
      <c r="AP221">
        <v>138275.63025210085</v>
      </c>
      <c r="AQ221">
        <v>0</v>
      </c>
      <c r="AR221">
        <v>138275.63025210085</v>
      </c>
      <c r="AS221">
        <v>0</v>
      </c>
      <c r="AT221">
        <v>138275.63025210085</v>
      </c>
      <c r="AV221">
        <v>138275.63025210085</v>
      </c>
      <c r="AW221">
        <v>1195.1399914804497</v>
      </c>
      <c r="AX221">
        <v>139470.7702435813</v>
      </c>
      <c r="AY221">
        <v>2955.1678736010508</v>
      </c>
      <c r="AZ221">
        <v>142425.93811718235</v>
      </c>
      <c r="BA221">
        <v>0</v>
      </c>
      <c r="BB221">
        <v>142425.93811718235</v>
      </c>
      <c r="BC221">
        <v>0</v>
      </c>
      <c r="BD221">
        <v>142425.93811718235</v>
      </c>
      <c r="BE221">
        <v>0</v>
      </c>
      <c r="BF221">
        <v>142425.93811718235</v>
      </c>
      <c r="BG221">
        <v>0</v>
      </c>
      <c r="BH221">
        <v>142425.93811718235</v>
      </c>
      <c r="BI221">
        <v>0</v>
      </c>
      <c r="BJ221">
        <v>142425.93811718235</v>
      </c>
      <c r="BK221">
        <v>142425.93811718235</v>
      </c>
      <c r="BL221">
        <v>4326900</v>
      </c>
      <c r="BO221">
        <v>0</v>
      </c>
      <c r="BP221">
        <v>142425.93811718235</v>
      </c>
      <c r="BQ221">
        <v>4326900</v>
      </c>
      <c r="BR221" s="238" t="s">
        <v>36</v>
      </c>
      <c r="BU221">
        <v>142425.93811718235</v>
      </c>
      <c r="BV221">
        <v>0</v>
      </c>
      <c r="BW221">
        <v>4326900</v>
      </c>
      <c r="BX221" s="238"/>
      <c r="BY221" s="238" t="s">
        <v>3</v>
      </c>
      <c r="BZ221" s="238" t="s">
        <v>3</v>
      </c>
      <c r="CA221" s="238" t="s">
        <v>8951</v>
      </c>
      <c r="CB221" s="238" t="s">
        <v>1167</v>
      </c>
      <c r="CC221" s="238" t="s">
        <v>9077</v>
      </c>
      <c r="CD221" s="238" t="s">
        <v>8970</v>
      </c>
      <c r="CE221" t="b">
        <v>1</v>
      </c>
      <c r="CF221">
        <v>4326900</v>
      </c>
      <c r="CG221">
        <v>4326900</v>
      </c>
      <c r="CH221">
        <v>0</v>
      </c>
      <c r="CI221">
        <v>0</v>
      </c>
      <c r="CJ221">
        <v>0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C47F2-71F0-44EF-8767-ECDA2D641F0E}">
  <sheetPr codeName="Лист2"/>
  <dimension ref="A1:AM2742"/>
  <sheetViews>
    <sheetView topLeftCell="X2675" workbookViewId="0">
      <selection activeCell="AB2724" sqref="AB2724"/>
    </sheetView>
  </sheetViews>
  <sheetFormatPr defaultRowHeight="15" x14ac:dyDescent="0.25"/>
  <cols>
    <col min="1" max="1" width="5.5703125" bestFit="1" customWidth="1"/>
    <col min="2" max="2" width="11.28515625" bestFit="1" customWidth="1"/>
    <col min="3" max="3" width="30.140625" bestFit="1" customWidth="1"/>
    <col min="4" max="4" width="16" bestFit="1" customWidth="1"/>
    <col min="5" max="5" width="9.85546875" bestFit="1" customWidth="1"/>
    <col min="6" max="6" width="14.140625" bestFit="1" customWidth="1"/>
    <col min="7" max="7" width="7.85546875" bestFit="1" customWidth="1"/>
    <col min="8" max="8" width="8" bestFit="1" customWidth="1"/>
    <col min="9" max="9" width="14.5703125" bestFit="1" customWidth="1"/>
    <col min="10" max="10" width="7" bestFit="1" customWidth="1"/>
    <col min="11" max="11" width="13.85546875" bestFit="1" customWidth="1"/>
    <col min="12" max="12" width="18.7109375" bestFit="1" customWidth="1"/>
    <col min="13" max="13" width="12.28515625" customWidth="1"/>
    <col min="14" max="14" width="28.42578125" customWidth="1"/>
    <col min="15" max="15" width="26.28515625" customWidth="1"/>
    <col min="16" max="16" width="21.42578125" customWidth="1"/>
    <col min="17" max="17" width="29.5703125" bestFit="1" customWidth="1"/>
    <col min="18" max="18" width="27.42578125" customWidth="1"/>
    <col min="19" max="19" width="18.140625" bestFit="1" customWidth="1"/>
    <col min="20" max="20" width="67.140625" bestFit="1" customWidth="1"/>
    <col min="21" max="21" width="16.5703125" bestFit="1" customWidth="1"/>
    <col min="22" max="22" width="27.85546875" bestFit="1" customWidth="1"/>
    <col min="23" max="23" width="16.7109375" bestFit="1" customWidth="1"/>
    <col min="24" max="24" width="14.5703125" bestFit="1" customWidth="1"/>
    <col min="25" max="25" width="12.85546875" bestFit="1" customWidth="1"/>
    <col min="26" max="26" width="27.28515625" bestFit="1" customWidth="1"/>
    <col min="27" max="27" width="22" bestFit="1" customWidth="1"/>
    <col min="28" max="28" width="17.42578125" bestFit="1" customWidth="1"/>
    <col min="29" max="29" width="18.140625" bestFit="1" customWidth="1"/>
    <col min="30" max="30" width="20.42578125" bestFit="1" customWidth="1"/>
    <col min="31" max="31" width="81.140625" bestFit="1" customWidth="1"/>
    <col min="32" max="32" width="23.28515625" bestFit="1" customWidth="1"/>
    <col min="33" max="33" width="40.140625" bestFit="1" customWidth="1"/>
    <col min="34" max="34" width="24.42578125" bestFit="1" customWidth="1"/>
    <col min="35" max="35" width="50.85546875" bestFit="1" customWidth="1"/>
    <col min="36" max="36" width="13.28515625" bestFit="1" customWidth="1"/>
    <col min="37" max="37" width="11.85546875" bestFit="1" customWidth="1"/>
    <col min="38" max="38" width="13.140625" bestFit="1" customWidth="1"/>
    <col min="39" max="40" width="81.140625" bestFit="1" customWidth="1"/>
  </cols>
  <sheetData>
    <row r="1" spans="1:39" s="12" customFormat="1" x14ac:dyDescent="0.25">
      <c r="Q1" s="12">
        <f>SUBTOTAL(9,РД[Стоимость без отделки итог])</f>
        <v>2267753476.8572998</v>
      </c>
    </row>
    <row r="2" spans="1:39" s="12" customFormat="1" x14ac:dyDescent="0.25">
      <c r="D2" s="20"/>
    </row>
    <row r="3" spans="1:39" s="12" customFormat="1" x14ac:dyDescent="0.25">
      <c r="D3" s="189">
        <f>SUBTOTAL(3,РД[Стоимость без отделки итог])</f>
        <v>450</v>
      </c>
      <c r="E3" s="687"/>
      <c r="F3" s="687"/>
      <c r="G3" s="687"/>
      <c r="H3" s="687"/>
      <c r="I3" s="687"/>
      <c r="J3" s="687">
        <f>SUBTOTAL(9,РД[S])</f>
        <v>22381.140000000003</v>
      </c>
      <c r="K3" s="687"/>
      <c r="L3" s="687">
        <f>SUBTOTAL(9,РД[Сумма договора])</f>
        <v>2463440106.8572998</v>
      </c>
    </row>
    <row r="4" spans="1:39" x14ac:dyDescent="0.25">
      <c r="A4" t="s">
        <v>10</v>
      </c>
      <c r="B4" t="s">
        <v>1143</v>
      </c>
      <c r="C4" t="s">
        <v>1144</v>
      </c>
      <c r="D4" t="s">
        <v>1145</v>
      </c>
      <c r="E4" t="s">
        <v>40</v>
      </c>
      <c r="F4" t="s">
        <v>3149</v>
      </c>
      <c r="G4" t="s">
        <v>41</v>
      </c>
      <c r="H4" t="s">
        <v>117</v>
      </c>
      <c r="I4" t="s">
        <v>32</v>
      </c>
      <c r="J4" t="s">
        <v>95</v>
      </c>
      <c r="K4" t="s">
        <v>1146</v>
      </c>
      <c r="L4" t="s">
        <v>1147</v>
      </c>
      <c r="M4" t="s">
        <v>1148</v>
      </c>
      <c r="N4" t="s">
        <v>1149</v>
      </c>
      <c r="O4" t="s">
        <v>1150</v>
      </c>
      <c r="P4" t="s">
        <v>46</v>
      </c>
      <c r="Q4" t="s">
        <v>1151</v>
      </c>
      <c r="R4" t="s">
        <v>1152</v>
      </c>
      <c r="S4" t="s">
        <v>1153</v>
      </c>
      <c r="T4" t="s">
        <v>1154</v>
      </c>
      <c r="U4" t="s">
        <v>64</v>
      </c>
      <c r="V4" t="s">
        <v>4090</v>
      </c>
      <c r="W4" t="s">
        <v>1155</v>
      </c>
      <c r="X4" t="s">
        <v>1156</v>
      </c>
      <c r="Y4" t="s">
        <v>1157</v>
      </c>
      <c r="Z4" t="s">
        <v>1158</v>
      </c>
      <c r="AA4" t="s">
        <v>3473</v>
      </c>
      <c r="AB4" t="s">
        <v>1159</v>
      </c>
      <c r="AC4" t="s">
        <v>3071</v>
      </c>
      <c r="AD4" t="s">
        <v>118</v>
      </c>
      <c r="AE4" t="s">
        <v>1160</v>
      </c>
      <c r="AF4" t="s">
        <v>1161</v>
      </c>
      <c r="AG4" t="s">
        <v>1162</v>
      </c>
      <c r="AH4" t="s">
        <v>1163</v>
      </c>
      <c r="AI4" t="s">
        <v>1164</v>
      </c>
      <c r="AJ4" t="s">
        <v>1165</v>
      </c>
      <c r="AK4" t="s">
        <v>1166</v>
      </c>
      <c r="AL4" t="s">
        <v>8714</v>
      </c>
      <c r="AM4" t="s">
        <v>62</v>
      </c>
    </row>
    <row r="5" spans="1:39" hidden="1" x14ac:dyDescent="0.25">
      <c r="A5">
        <v>1</v>
      </c>
      <c r="B5">
        <v>1</v>
      </c>
      <c r="C5" s="24">
        <v>43803</v>
      </c>
      <c r="D5" s="238" t="s">
        <v>20</v>
      </c>
      <c r="E5" s="238" t="s">
        <v>5</v>
      </c>
      <c r="F5">
        <v>2</v>
      </c>
      <c r="G5">
        <v>22</v>
      </c>
      <c r="H5">
        <v>292</v>
      </c>
      <c r="I5" s="238" t="s">
        <v>43</v>
      </c>
      <c r="J5">
        <v>65.78</v>
      </c>
      <c r="K5" s="238" t="s">
        <v>37</v>
      </c>
      <c r="L5">
        <v>2647645</v>
      </c>
      <c r="M5">
        <v>0</v>
      </c>
      <c r="N5">
        <v>2647645</v>
      </c>
      <c r="O5">
        <v>40250</v>
      </c>
      <c r="P5">
        <v>0</v>
      </c>
      <c r="Q5">
        <v>2647645</v>
      </c>
      <c r="R5">
        <v>40250</v>
      </c>
      <c r="S5" s="238" t="s">
        <v>121</v>
      </c>
      <c r="T5" s="238" t="s">
        <v>1167</v>
      </c>
      <c r="V5" t="s">
        <v>1167</v>
      </c>
      <c r="W5" s="24">
        <v>43803</v>
      </c>
      <c r="X5" s="238" t="s">
        <v>119</v>
      </c>
      <c r="Y5" s="238" t="s">
        <v>39</v>
      </c>
      <c r="Z5" s="238" t="s">
        <v>1168</v>
      </c>
      <c r="AA5" t="s">
        <v>1167</v>
      </c>
      <c r="AB5" s="238" t="s">
        <v>3246</v>
      </c>
      <c r="AC5" t="s">
        <v>4246</v>
      </c>
      <c r="AD5" s="24"/>
      <c r="AE5" s="238" t="s">
        <v>1169</v>
      </c>
      <c r="AF5">
        <v>79179497720</v>
      </c>
      <c r="AG5" s="238" t="s">
        <v>1170</v>
      </c>
      <c r="AH5" s="238" t="s">
        <v>1171</v>
      </c>
      <c r="AI5" s="238" t="s">
        <v>3072</v>
      </c>
      <c r="AJ5" s="238" t="s">
        <v>120</v>
      </c>
      <c r="AK5" s="238" t="s">
        <v>1167</v>
      </c>
      <c r="AL5" t="s">
        <v>8715</v>
      </c>
      <c r="AM5" t="s">
        <v>1167</v>
      </c>
    </row>
    <row r="6" spans="1:39" hidden="1" x14ac:dyDescent="0.25">
      <c r="A6">
        <v>2</v>
      </c>
      <c r="B6">
        <v>2</v>
      </c>
      <c r="C6" s="24">
        <v>43806</v>
      </c>
      <c r="D6" s="238" t="s">
        <v>20</v>
      </c>
      <c r="E6" s="238" t="s">
        <v>6</v>
      </c>
      <c r="F6">
        <v>1</v>
      </c>
      <c r="G6">
        <v>2</v>
      </c>
      <c r="I6" s="238" t="s">
        <v>4052</v>
      </c>
      <c r="J6">
        <v>32.770000000000003</v>
      </c>
      <c r="K6" s="238" t="s">
        <v>36</v>
      </c>
      <c r="L6">
        <v>1318992.5</v>
      </c>
      <c r="M6">
        <v>0</v>
      </c>
      <c r="N6">
        <v>1318992.5</v>
      </c>
      <c r="O6">
        <v>40249.999999999993</v>
      </c>
      <c r="P6">
        <v>0</v>
      </c>
      <c r="Q6">
        <v>1318992.5</v>
      </c>
      <c r="R6">
        <v>40249.999999999993</v>
      </c>
      <c r="S6" s="238" t="s">
        <v>124</v>
      </c>
      <c r="T6" s="238" t="s">
        <v>1167</v>
      </c>
      <c r="V6" t="s">
        <v>1167</v>
      </c>
      <c r="W6" s="24">
        <v>43806</v>
      </c>
      <c r="X6" s="238" t="s">
        <v>122</v>
      </c>
      <c r="Y6" s="238" t="s">
        <v>1172</v>
      </c>
      <c r="Z6" s="238" t="s">
        <v>1168</v>
      </c>
      <c r="AA6" t="s">
        <v>1167</v>
      </c>
      <c r="AB6" s="238" t="s">
        <v>3246</v>
      </c>
      <c r="AC6" t="s">
        <v>4246</v>
      </c>
      <c r="AD6" s="24">
        <v>44238</v>
      </c>
      <c r="AE6" s="238" t="s">
        <v>1173</v>
      </c>
      <c r="AF6">
        <v>79171682931</v>
      </c>
      <c r="AG6" s="238" t="s">
        <v>1174</v>
      </c>
      <c r="AH6" s="238" t="s">
        <v>1171</v>
      </c>
      <c r="AI6" s="238" t="s">
        <v>3103</v>
      </c>
      <c r="AJ6" s="238" t="s">
        <v>123</v>
      </c>
      <c r="AK6" s="238" t="s">
        <v>1167</v>
      </c>
      <c r="AL6" t="s">
        <v>8715</v>
      </c>
      <c r="AM6" t="s">
        <v>1167</v>
      </c>
    </row>
    <row r="7" spans="1:39" hidden="1" x14ac:dyDescent="0.25">
      <c r="A7">
        <v>3</v>
      </c>
      <c r="B7">
        <v>3</v>
      </c>
      <c r="C7" s="24">
        <v>43806</v>
      </c>
      <c r="D7" s="238" t="s">
        <v>20</v>
      </c>
      <c r="E7" s="238" t="s">
        <v>6</v>
      </c>
      <c r="F7">
        <v>2</v>
      </c>
      <c r="G7">
        <v>6</v>
      </c>
      <c r="H7">
        <v>42</v>
      </c>
      <c r="I7" s="238" t="s">
        <v>4052</v>
      </c>
      <c r="J7">
        <v>31.88</v>
      </c>
      <c r="K7" s="238" t="s">
        <v>36</v>
      </c>
      <c r="L7">
        <v>1316644</v>
      </c>
      <c r="M7">
        <v>0</v>
      </c>
      <c r="N7">
        <v>1316644</v>
      </c>
      <c r="O7">
        <v>41300</v>
      </c>
      <c r="P7">
        <v>0</v>
      </c>
      <c r="Q7">
        <v>1316644</v>
      </c>
      <c r="R7">
        <v>41300</v>
      </c>
      <c r="S7" s="238" t="s">
        <v>121</v>
      </c>
      <c r="T7" s="238" t="s">
        <v>1167</v>
      </c>
      <c r="V7" t="s">
        <v>1167</v>
      </c>
      <c r="W7" s="24">
        <v>43806</v>
      </c>
      <c r="X7" s="238" t="s">
        <v>125</v>
      </c>
      <c r="Y7" s="238" t="s">
        <v>39</v>
      </c>
      <c r="Z7" s="238" t="s">
        <v>1168</v>
      </c>
      <c r="AA7" t="s">
        <v>1167</v>
      </c>
      <c r="AB7" s="238" t="s">
        <v>3246</v>
      </c>
      <c r="AC7" t="s">
        <v>4246</v>
      </c>
      <c r="AD7" s="24"/>
      <c r="AE7" s="238" t="s">
        <v>1175</v>
      </c>
      <c r="AF7">
        <v>79179568450</v>
      </c>
      <c r="AG7" s="238" t="s">
        <v>1176</v>
      </c>
      <c r="AH7" s="238" t="s">
        <v>1171</v>
      </c>
      <c r="AI7" s="238" t="s">
        <v>3103</v>
      </c>
      <c r="AJ7" s="238" t="s">
        <v>126</v>
      </c>
      <c r="AK7" s="238" t="s">
        <v>1167</v>
      </c>
      <c r="AL7" t="s">
        <v>8715</v>
      </c>
      <c r="AM7" t="s">
        <v>1167</v>
      </c>
    </row>
    <row r="8" spans="1:39" hidden="1" x14ac:dyDescent="0.25">
      <c r="A8">
        <v>4</v>
      </c>
      <c r="B8">
        <v>4</v>
      </c>
      <c r="C8" s="24">
        <v>43806</v>
      </c>
      <c r="D8" s="238" t="s">
        <v>20</v>
      </c>
      <c r="E8" s="238" t="s">
        <v>6</v>
      </c>
      <c r="F8">
        <v>7</v>
      </c>
      <c r="G8">
        <v>13</v>
      </c>
      <c r="H8">
        <v>117</v>
      </c>
      <c r="I8" s="238" t="s">
        <v>42</v>
      </c>
      <c r="J8">
        <v>41.95</v>
      </c>
      <c r="K8" s="238" t="s">
        <v>36</v>
      </c>
      <c r="L8">
        <v>1732535</v>
      </c>
      <c r="M8">
        <v>0</v>
      </c>
      <c r="N8">
        <v>1732535</v>
      </c>
      <c r="O8">
        <v>41300</v>
      </c>
      <c r="P8">
        <v>0</v>
      </c>
      <c r="Q8">
        <v>1732535</v>
      </c>
      <c r="R8">
        <v>41300</v>
      </c>
      <c r="S8" s="238" t="s">
        <v>124</v>
      </c>
      <c r="T8" s="238" t="s">
        <v>1167</v>
      </c>
      <c r="V8" t="s">
        <v>1167</v>
      </c>
      <c r="W8" s="24">
        <v>43806</v>
      </c>
      <c r="X8" s="238" t="s">
        <v>128</v>
      </c>
      <c r="Y8" s="238" t="s">
        <v>39</v>
      </c>
      <c r="Z8" s="238" t="s">
        <v>1168</v>
      </c>
      <c r="AA8" t="s">
        <v>1167</v>
      </c>
      <c r="AB8" s="238" t="s">
        <v>3246</v>
      </c>
      <c r="AC8" t="s">
        <v>4246</v>
      </c>
      <c r="AD8" s="24"/>
      <c r="AE8" s="238" t="s">
        <v>1177</v>
      </c>
      <c r="AF8">
        <v>79270107370</v>
      </c>
      <c r="AG8" s="238" t="s">
        <v>1178</v>
      </c>
      <c r="AH8" s="238" t="s">
        <v>1171</v>
      </c>
      <c r="AI8" s="238" t="s">
        <v>3073</v>
      </c>
      <c r="AJ8" s="238" t="s">
        <v>355</v>
      </c>
      <c r="AK8" s="238" t="s">
        <v>1167</v>
      </c>
      <c r="AL8" t="s">
        <v>8715</v>
      </c>
      <c r="AM8" t="s">
        <v>1167</v>
      </c>
    </row>
    <row r="9" spans="1:39" hidden="1" x14ac:dyDescent="0.25">
      <c r="A9">
        <v>5</v>
      </c>
      <c r="B9">
        <v>5</v>
      </c>
      <c r="C9" s="24">
        <v>43806</v>
      </c>
      <c r="D9" s="238" t="s">
        <v>20</v>
      </c>
      <c r="E9" s="238" t="s">
        <v>6</v>
      </c>
      <c r="F9">
        <v>2</v>
      </c>
      <c r="G9">
        <v>9</v>
      </c>
      <c r="H9">
        <v>72</v>
      </c>
      <c r="I9" s="238" t="s">
        <v>4052</v>
      </c>
      <c r="J9">
        <v>31.88</v>
      </c>
      <c r="K9" s="238" t="s">
        <v>36</v>
      </c>
      <c r="L9">
        <v>1316644</v>
      </c>
      <c r="M9">
        <v>0</v>
      </c>
      <c r="N9">
        <v>1316644</v>
      </c>
      <c r="O9">
        <v>41300</v>
      </c>
      <c r="P9">
        <v>0</v>
      </c>
      <c r="Q9">
        <v>1316644</v>
      </c>
      <c r="R9">
        <v>41300</v>
      </c>
      <c r="S9" s="238" t="s">
        <v>124</v>
      </c>
      <c r="T9" s="238" t="s">
        <v>1167</v>
      </c>
      <c r="V9" t="s">
        <v>1167</v>
      </c>
      <c r="W9" s="24">
        <v>43806</v>
      </c>
      <c r="X9" s="238" t="s">
        <v>127</v>
      </c>
      <c r="Y9" s="238" t="s">
        <v>39</v>
      </c>
      <c r="Z9" s="238" t="s">
        <v>1168</v>
      </c>
      <c r="AA9" t="s">
        <v>1167</v>
      </c>
      <c r="AB9" s="238" t="s">
        <v>3246</v>
      </c>
      <c r="AC9" t="s">
        <v>4246</v>
      </c>
      <c r="AD9" s="24"/>
      <c r="AE9" s="238" t="s">
        <v>1175</v>
      </c>
      <c r="AG9" s="238" t="s">
        <v>1176</v>
      </c>
      <c r="AH9" s="238" t="s">
        <v>1171</v>
      </c>
      <c r="AI9" s="238" t="s">
        <v>3072</v>
      </c>
      <c r="AJ9" s="238" t="s">
        <v>126</v>
      </c>
      <c r="AK9" s="238" t="s">
        <v>1167</v>
      </c>
      <c r="AL9" t="s">
        <v>8715</v>
      </c>
      <c r="AM9" t="s">
        <v>1167</v>
      </c>
    </row>
    <row r="10" spans="1:39" hidden="1" x14ac:dyDescent="0.25">
      <c r="A10">
        <v>6</v>
      </c>
      <c r="B10">
        <v>6</v>
      </c>
      <c r="C10" s="24">
        <v>43808</v>
      </c>
      <c r="D10" s="238" t="s">
        <v>20</v>
      </c>
      <c r="E10" s="238" t="s">
        <v>5</v>
      </c>
      <c r="F10">
        <v>5</v>
      </c>
      <c r="G10">
        <v>21</v>
      </c>
      <c r="H10">
        <v>288</v>
      </c>
      <c r="I10" s="238" t="s">
        <v>44</v>
      </c>
      <c r="J10">
        <v>78.03</v>
      </c>
      <c r="K10" s="238" t="s">
        <v>36</v>
      </c>
      <c r="L10">
        <v>3004155</v>
      </c>
      <c r="M10">
        <v>0</v>
      </c>
      <c r="N10">
        <v>3004155</v>
      </c>
      <c r="O10">
        <v>38500</v>
      </c>
      <c r="P10">
        <v>0</v>
      </c>
      <c r="Q10">
        <v>3004155</v>
      </c>
      <c r="R10">
        <v>38500</v>
      </c>
      <c r="S10" s="238" t="s">
        <v>124</v>
      </c>
      <c r="T10" s="238" t="s">
        <v>1167</v>
      </c>
      <c r="V10" t="s">
        <v>1167</v>
      </c>
      <c r="W10" s="24">
        <v>43802</v>
      </c>
      <c r="X10" s="238" t="s">
        <v>129</v>
      </c>
      <c r="Y10" s="238" t="s">
        <v>39</v>
      </c>
      <c r="Z10" s="238" t="s">
        <v>1168</v>
      </c>
      <c r="AA10" t="s">
        <v>1167</v>
      </c>
      <c r="AB10" s="238" t="s">
        <v>3246</v>
      </c>
      <c r="AC10" t="s">
        <v>4246</v>
      </c>
      <c r="AD10" s="24"/>
      <c r="AE10" s="238" t="s">
        <v>1179</v>
      </c>
      <c r="AF10">
        <v>79608170398</v>
      </c>
      <c r="AG10" s="238" t="s">
        <v>1180</v>
      </c>
      <c r="AH10" s="238" t="s">
        <v>1171</v>
      </c>
      <c r="AI10" s="238" t="s">
        <v>3074</v>
      </c>
      <c r="AJ10" s="238" t="s">
        <v>130</v>
      </c>
      <c r="AK10" s="238" t="s">
        <v>1167</v>
      </c>
      <c r="AL10" t="s">
        <v>8715</v>
      </c>
      <c r="AM10" t="s">
        <v>1167</v>
      </c>
    </row>
    <row r="11" spans="1:39" hidden="1" x14ac:dyDescent="0.25">
      <c r="A11">
        <v>7</v>
      </c>
      <c r="B11">
        <v>7</v>
      </c>
      <c r="C11" s="24">
        <v>43809</v>
      </c>
      <c r="D11" s="238" t="s">
        <v>20</v>
      </c>
      <c r="E11" s="238" t="s">
        <v>6</v>
      </c>
      <c r="F11">
        <v>7</v>
      </c>
      <c r="G11">
        <v>16</v>
      </c>
      <c r="H11">
        <v>147</v>
      </c>
      <c r="I11" s="238" t="s">
        <v>42</v>
      </c>
      <c r="J11">
        <v>41.95</v>
      </c>
      <c r="K11" s="238" t="s">
        <v>36</v>
      </c>
      <c r="L11">
        <v>1732535</v>
      </c>
      <c r="M11">
        <v>0</v>
      </c>
      <c r="N11">
        <v>1732535</v>
      </c>
      <c r="O11">
        <v>41300</v>
      </c>
      <c r="P11">
        <v>0</v>
      </c>
      <c r="Q11">
        <v>1732535</v>
      </c>
      <c r="R11">
        <v>41300</v>
      </c>
      <c r="S11" s="238" t="s">
        <v>121</v>
      </c>
      <c r="T11" s="238" t="s">
        <v>1167</v>
      </c>
      <c r="V11" t="s">
        <v>1167</v>
      </c>
      <c r="W11" s="24">
        <v>43809</v>
      </c>
      <c r="X11" s="238" t="s">
        <v>131</v>
      </c>
      <c r="Y11" s="238" t="s">
        <v>39</v>
      </c>
      <c r="Z11" s="238" t="s">
        <v>1168</v>
      </c>
      <c r="AA11" t="s">
        <v>1167</v>
      </c>
      <c r="AB11" s="238" t="s">
        <v>3246</v>
      </c>
      <c r="AC11" t="s">
        <v>4246</v>
      </c>
      <c r="AD11" s="24"/>
      <c r="AE11" s="238" t="s">
        <v>1181</v>
      </c>
      <c r="AF11">
        <v>79272085711</v>
      </c>
      <c r="AG11" s="238" t="s">
        <v>1182</v>
      </c>
      <c r="AH11" s="238" t="s">
        <v>1171</v>
      </c>
      <c r="AI11" s="238" t="s">
        <v>3072</v>
      </c>
      <c r="AJ11" s="238" t="s">
        <v>126</v>
      </c>
      <c r="AK11" s="238" t="s">
        <v>1167</v>
      </c>
      <c r="AL11" t="s">
        <v>8715</v>
      </c>
      <c r="AM11" t="s">
        <v>1167</v>
      </c>
    </row>
    <row r="12" spans="1:39" hidden="1" x14ac:dyDescent="0.25">
      <c r="A12">
        <v>8</v>
      </c>
      <c r="B12">
        <v>8</v>
      </c>
      <c r="C12" s="24">
        <v>43811</v>
      </c>
      <c r="D12" s="238" t="s">
        <v>20</v>
      </c>
      <c r="E12" s="238" t="s">
        <v>5</v>
      </c>
      <c r="F12">
        <v>4</v>
      </c>
      <c r="G12">
        <v>23</v>
      </c>
      <c r="H12">
        <v>301</v>
      </c>
      <c r="I12" s="238" t="s">
        <v>42</v>
      </c>
      <c r="J12">
        <v>40.229999999999997</v>
      </c>
      <c r="K12" s="238" t="s">
        <v>37</v>
      </c>
      <c r="L12">
        <v>1577016</v>
      </c>
      <c r="M12">
        <v>0</v>
      </c>
      <c r="N12">
        <v>1577016</v>
      </c>
      <c r="O12">
        <v>39200</v>
      </c>
      <c r="P12">
        <v>0</v>
      </c>
      <c r="Q12">
        <v>1577016</v>
      </c>
      <c r="R12">
        <v>39200</v>
      </c>
      <c r="S12" s="238" t="s">
        <v>124</v>
      </c>
      <c r="T12" s="238" t="s">
        <v>1167</v>
      </c>
      <c r="V12" t="s">
        <v>1167</v>
      </c>
      <c r="W12" s="24">
        <v>43814</v>
      </c>
      <c r="X12" s="238" t="s">
        <v>132</v>
      </c>
      <c r="Y12" s="238" t="s">
        <v>39</v>
      </c>
      <c r="Z12" s="238" t="s">
        <v>1168</v>
      </c>
      <c r="AA12" t="s">
        <v>1167</v>
      </c>
      <c r="AB12" s="238" t="s">
        <v>3246</v>
      </c>
      <c r="AC12" t="s">
        <v>4246</v>
      </c>
      <c r="AD12" s="24"/>
      <c r="AE12" s="238" t="s">
        <v>1183</v>
      </c>
      <c r="AF12">
        <v>79608146060</v>
      </c>
      <c r="AG12" s="238" t="s">
        <v>1184</v>
      </c>
      <c r="AH12" s="238" t="s">
        <v>1171</v>
      </c>
      <c r="AI12" s="238" t="s">
        <v>3075</v>
      </c>
      <c r="AJ12" s="238" t="s">
        <v>355</v>
      </c>
      <c r="AK12" s="238" t="s">
        <v>1167</v>
      </c>
      <c r="AL12" t="s">
        <v>8715</v>
      </c>
      <c r="AM12" t="s">
        <v>1167</v>
      </c>
    </row>
    <row r="13" spans="1:39" hidden="1" x14ac:dyDescent="0.25">
      <c r="A13">
        <v>9</v>
      </c>
      <c r="B13">
        <v>9</v>
      </c>
      <c r="C13" s="24">
        <v>43815</v>
      </c>
      <c r="D13" s="238" t="s">
        <v>20</v>
      </c>
      <c r="E13" s="238" t="s">
        <v>5</v>
      </c>
      <c r="F13">
        <v>2</v>
      </c>
      <c r="G13">
        <v>9</v>
      </c>
      <c r="H13">
        <v>201</v>
      </c>
      <c r="I13" s="238" t="s">
        <v>42</v>
      </c>
      <c r="J13">
        <v>40.39</v>
      </c>
      <c r="K13" s="238" t="s">
        <v>36</v>
      </c>
      <c r="L13">
        <v>1583288</v>
      </c>
      <c r="M13">
        <v>0</v>
      </c>
      <c r="N13">
        <v>1583288</v>
      </c>
      <c r="O13">
        <v>39200</v>
      </c>
      <c r="P13">
        <v>0</v>
      </c>
      <c r="Q13">
        <v>1583288</v>
      </c>
      <c r="R13">
        <v>39200</v>
      </c>
      <c r="S13" s="238" t="s">
        <v>124</v>
      </c>
      <c r="T13" s="238" t="s">
        <v>1167</v>
      </c>
      <c r="V13" t="s">
        <v>1167</v>
      </c>
      <c r="W13" s="24">
        <v>43815</v>
      </c>
      <c r="X13" s="238" t="s">
        <v>134</v>
      </c>
      <c r="Y13" s="238" t="s">
        <v>39</v>
      </c>
      <c r="Z13" s="238" t="s">
        <v>1168</v>
      </c>
      <c r="AA13" t="s">
        <v>1167</v>
      </c>
      <c r="AB13" s="238" t="s">
        <v>3246</v>
      </c>
      <c r="AC13" t="s">
        <v>4246</v>
      </c>
      <c r="AD13" s="24"/>
      <c r="AE13" s="238" t="s">
        <v>1185</v>
      </c>
      <c r="AF13">
        <v>79276883846</v>
      </c>
      <c r="AG13" s="238" t="s">
        <v>1186</v>
      </c>
      <c r="AH13" s="238" t="s">
        <v>1171</v>
      </c>
      <c r="AI13" s="238" t="s">
        <v>135</v>
      </c>
      <c r="AJ13" s="238" t="s">
        <v>126</v>
      </c>
      <c r="AK13" s="238" t="s">
        <v>1167</v>
      </c>
      <c r="AL13" t="s">
        <v>8715</v>
      </c>
      <c r="AM13" t="s">
        <v>1167</v>
      </c>
    </row>
    <row r="14" spans="1:39" hidden="1" x14ac:dyDescent="0.25">
      <c r="A14">
        <v>10</v>
      </c>
      <c r="B14">
        <v>10</v>
      </c>
      <c r="C14" s="24">
        <v>43815</v>
      </c>
      <c r="D14" s="238" t="s">
        <v>20</v>
      </c>
      <c r="E14" s="238" t="s">
        <v>6</v>
      </c>
      <c r="F14">
        <v>9</v>
      </c>
      <c r="G14">
        <v>8</v>
      </c>
      <c r="H14">
        <v>69</v>
      </c>
      <c r="I14" s="238" t="s">
        <v>43</v>
      </c>
      <c r="J14">
        <v>66.14</v>
      </c>
      <c r="K14" s="238" t="s">
        <v>36</v>
      </c>
      <c r="L14">
        <v>2546390</v>
      </c>
      <c r="M14">
        <v>0</v>
      </c>
      <c r="N14">
        <v>2546390</v>
      </c>
      <c r="O14">
        <v>38500</v>
      </c>
      <c r="P14">
        <v>0</v>
      </c>
      <c r="Q14">
        <v>2546390</v>
      </c>
      <c r="R14">
        <v>38500</v>
      </c>
      <c r="S14" s="238" t="s">
        <v>124</v>
      </c>
      <c r="T14" s="238" t="s">
        <v>1167</v>
      </c>
      <c r="V14" t="s">
        <v>1167</v>
      </c>
      <c r="W14" s="24">
        <v>43815</v>
      </c>
      <c r="X14" s="238" t="s">
        <v>133</v>
      </c>
      <c r="Y14" s="238" t="s">
        <v>39</v>
      </c>
      <c r="Z14" s="238" t="s">
        <v>1168</v>
      </c>
      <c r="AA14" t="s">
        <v>1167</v>
      </c>
      <c r="AB14" s="238" t="s">
        <v>3246</v>
      </c>
      <c r="AC14" t="s">
        <v>4246</v>
      </c>
      <c r="AD14" s="24"/>
      <c r="AE14" s="238" t="s">
        <v>1187</v>
      </c>
      <c r="AF14">
        <v>79272613607</v>
      </c>
      <c r="AG14" s="238" t="s">
        <v>1188</v>
      </c>
      <c r="AH14" s="238" t="s">
        <v>1171</v>
      </c>
      <c r="AI14" s="238" t="s">
        <v>3072</v>
      </c>
      <c r="AJ14" s="238" t="s">
        <v>130</v>
      </c>
      <c r="AK14" s="238" t="s">
        <v>1167</v>
      </c>
      <c r="AL14" t="s">
        <v>8715</v>
      </c>
      <c r="AM14" t="s">
        <v>1167</v>
      </c>
    </row>
    <row r="15" spans="1:39" hidden="1" x14ac:dyDescent="0.25">
      <c r="A15">
        <v>11</v>
      </c>
      <c r="B15">
        <v>11</v>
      </c>
      <c r="C15" s="24">
        <v>43822</v>
      </c>
      <c r="D15" s="238" t="s">
        <v>20</v>
      </c>
      <c r="E15" s="238" t="s">
        <v>5</v>
      </c>
      <c r="F15">
        <v>4</v>
      </c>
      <c r="G15">
        <v>9</v>
      </c>
      <c r="H15">
        <v>203</v>
      </c>
      <c r="I15" s="238" t="s">
        <v>42</v>
      </c>
      <c r="J15">
        <v>40.58</v>
      </c>
      <c r="K15" s="238" t="s">
        <v>36</v>
      </c>
      <c r="L15">
        <v>1590736</v>
      </c>
      <c r="M15">
        <v>0</v>
      </c>
      <c r="N15">
        <v>1590736</v>
      </c>
      <c r="O15">
        <v>39200</v>
      </c>
      <c r="P15">
        <v>0</v>
      </c>
      <c r="Q15">
        <v>1590736</v>
      </c>
      <c r="R15">
        <v>39200</v>
      </c>
      <c r="S15" s="238" t="s">
        <v>137</v>
      </c>
      <c r="T15" s="238" t="s">
        <v>1167</v>
      </c>
      <c r="V15" t="s">
        <v>1167</v>
      </c>
      <c r="W15" s="24">
        <v>43813</v>
      </c>
      <c r="X15" s="238" t="s">
        <v>136</v>
      </c>
      <c r="Y15" s="238" t="s">
        <v>39</v>
      </c>
      <c r="Z15" s="238" t="s">
        <v>1168</v>
      </c>
      <c r="AA15" t="s">
        <v>1167</v>
      </c>
      <c r="AB15" s="238" t="s">
        <v>3246</v>
      </c>
      <c r="AC15" t="s">
        <v>3076</v>
      </c>
      <c r="AD15" s="24"/>
      <c r="AE15" s="238" t="s">
        <v>1189</v>
      </c>
      <c r="AF15">
        <v>79277661383</v>
      </c>
      <c r="AG15" s="238" t="s">
        <v>1190</v>
      </c>
      <c r="AH15" s="238" t="s">
        <v>1171</v>
      </c>
      <c r="AI15" s="238" t="s">
        <v>3103</v>
      </c>
      <c r="AJ15" s="238" t="s">
        <v>120</v>
      </c>
      <c r="AK15" s="238" t="s">
        <v>138</v>
      </c>
      <c r="AL15" t="s">
        <v>8715</v>
      </c>
      <c r="AM15" t="s">
        <v>1167</v>
      </c>
    </row>
    <row r="16" spans="1:39" hidden="1" x14ac:dyDescent="0.25">
      <c r="A16">
        <v>12</v>
      </c>
      <c r="B16">
        <v>12</v>
      </c>
      <c r="C16" s="24">
        <v>43822</v>
      </c>
      <c r="D16" s="238" t="s">
        <v>20</v>
      </c>
      <c r="E16" s="238" t="s">
        <v>5</v>
      </c>
      <c r="F16">
        <v>5</v>
      </c>
      <c r="G16">
        <v>23</v>
      </c>
      <c r="H16">
        <v>302</v>
      </c>
      <c r="I16" s="238" t="s">
        <v>44</v>
      </c>
      <c r="J16">
        <v>78.03</v>
      </c>
      <c r="K16" s="238" t="s">
        <v>36</v>
      </c>
      <c r="L16">
        <v>3004155</v>
      </c>
      <c r="M16">
        <v>0</v>
      </c>
      <c r="N16">
        <v>3004155</v>
      </c>
      <c r="O16">
        <v>38500</v>
      </c>
      <c r="P16">
        <v>0</v>
      </c>
      <c r="Q16">
        <v>3004155</v>
      </c>
      <c r="R16">
        <v>38500</v>
      </c>
      <c r="S16" s="238" t="s">
        <v>137</v>
      </c>
      <c r="T16" s="238" t="s">
        <v>1167</v>
      </c>
      <c r="V16" t="s">
        <v>1167</v>
      </c>
      <c r="W16" s="24">
        <v>43822</v>
      </c>
      <c r="X16" s="238" t="s">
        <v>139</v>
      </c>
      <c r="Y16" s="238" t="s">
        <v>39</v>
      </c>
      <c r="Z16" s="238" t="s">
        <v>1168</v>
      </c>
      <c r="AA16" t="s">
        <v>1167</v>
      </c>
      <c r="AB16" s="238" t="s">
        <v>3246</v>
      </c>
      <c r="AC16" t="s">
        <v>3077</v>
      </c>
      <c r="AD16" s="24"/>
      <c r="AE16" s="238" t="s">
        <v>1191</v>
      </c>
      <c r="AF16">
        <v>79171133544</v>
      </c>
      <c r="AG16" s="238" t="s">
        <v>1192</v>
      </c>
      <c r="AH16" s="238" t="s">
        <v>1171</v>
      </c>
      <c r="AI16" s="238" t="s">
        <v>3078</v>
      </c>
      <c r="AJ16" s="238" t="s">
        <v>130</v>
      </c>
      <c r="AK16" s="238" t="s">
        <v>138</v>
      </c>
      <c r="AL16" t="s">
        <v>8715</v>
      </c>
      <c r="AM16" t="s">
        <v>1167</v>
      </c>
    </row>
    <row r="17" spans="1:39" hidden="1" x14ac:dyDescent="0.25">
      <c r="A17">
        <v>13</v>
      </c>
      <c r="B17">
        <v>13</v>
      </c>
      <c r="C17" s="24">
        <v>43823</v>
      </c>
      <c r="D17" s="238" t="s">
        <v>20</v>
      </c>
      <c r="E17" s="238" t="s">
        <v>5</v>
      </c>
      <c r="F17">
        <v>6</v>
      </c>
      <c r="G17">
        <v>19</v>
      </c>
      <c r="H17">
        <v>275</v>
      </c>
      <c r="I17" s="238" t="s">
        <v>43</v>
      </c>
      <c r="J17">
        <v>64.150000000000006</v>
      </c>
      <c r="K17" s="238" t="s">
        <v>36</v>
      </c>
      <c r="L17">
        <v>2469775</v>
      </c>
      <c r="M17">
        <v>0</v>
      </c>
      <c r="N17">
        <v>2469775</v>
      </c>
      <c r="O17">
        <v>38500</v>
      </c>
      <c r="P17">
        <v>0</v>
      </c>
      <c r="Q17">
        <v>2469775</v>
      </c>
      <c r="R17">
        <v>38500</v>
      </c>
      <c r="S17" s="238" t="s">
        <v>137</v>
      </c>
      <c r="T17" s="238" t="s">
        <v>1167</v>
      </c>
      <c r="V17" t="s">
        <v>1167</v>
      </c>
      <c r="W17" s="24">
        <v>43823</v>
      </c>
      <c r="X17" s="238" t="s">
        <v>143</v>
      </c>
      <c r="Y17" s="238" t="s">
        <v>39</v>
      </c>
      <c r="Z17" s="238" t="s">
        <v>1168</v>
      </c>
      <c r="AA17" t="s">
        <v>1167</v>
      </c>
      <c r="AB17" s="238" t="s">
        <v>3246</v>
      </c>
      <c r="AC17" t="s">
        <v>3079</v>
      </c>
      <c r="AD17" s="24"/>
      <c r="AE17" s="238" t="s">
        <v>1193</v>
      </c>
      <c r="AF17">
        <v>79608111867</v>
      </c>
      <c r="AG17" s="238" t="s">
        <v>1194</v>
      </c>
      <c r="AH17" s="238" t="s">
        <v>1171</v>
      </c>
      <c r="AI17" s="238" t="s">
        <v>3072</v>
      </c>
      <c r="AJ17" s="238" t="s">
        <v>355</v>
      </c>
      <c r="AK17" s="238" t="s">
        <v>138</v>
      </c>
      <c r="AL17" t="s">
        <v>8715</v>
      </c>
      <c r="AM17" t="s">
        <v>1167</v>
      </c>
    </row>
    <row r="18" spans="1:39" hidden="1" x14ac:dyDescent="0.25">
      <c r="A18">
        <v>14</v>
      </c>
      <c r="B18">
        <v>14</v>
      </c>
      <c r="C18" s="24">
        <v>43823</v>
      </c>
      <c r="D18" s="238" t="s">
        <v>20</v>
      </c>
      <c r="E18" s="238" t="s">
        <v>5</v>
      </c>
      <c r="F18">
        <v>3</v>
      </c>
      <c r="G18">
        <v>24</v>
      </c>
      <c r="H18">
        <v>307</v>
      </c>
      <c r="I18" s="238" t="s">
        <v>42</v>
      </c>
      <c r="J18">
        <v>41.1</v>
      </c>
      <c r="K18" s="238" t="s">
        <v>36</v>
      </c>
      <c r="L18">
        <v>1611120</v>
      </c>
      <c r="M18">
        <v>0</v>
      </c>
      <c r="N18">
        <v>1611120</v>
      </c>
      <c r="O18">
        <v>39200</v>
      </c>
      <c r="P18">
        <v>0</v>
      </c>
      <c r="Q18">
        <v>1611120</v>
      </c>
      <c r="R18">
        <v>39200</v>
      </c>
      <c r="S18" s="238" t="s">
        <v>137</v>
      </c>
      <c r="T18" s="238" t="s">
        <v>1167</v>
      </c>
      <c r="V18" t="s">
        <v>1167</v>
      </c>
      <c r="W18" s="24">
        <v>43823</v>
      </c>
      <c r="X18" s="238" t="s">
        <v>142</v>
      </c>
      <c r="Y18" s="238" t="s">
        <v>39</v>
      </c>
      <c r="Z18" s="238" t="s">
        <v>1168</v>
      </c>
      <c r="AA18" t="s">
        <v>1167</v>
      </c>
      <c r="AB18" s="238" t="s">
        <v>3246</v>
      </c>
      <c r="AC18" t="s">
        <v>3080</v>
      </c>
      <c r="AD18" s="24"/>
      <c r="AE18" s="238" t="s">
        <v>1195</v>
      </c>
      <c r="AF18">
        <v>79879209668</v>
      </c>
      <c r="AG18" s="238" t="s">
        <v>1196</v>
      </c>
      <c r="AH18" s="238" t="s">
        <v>1197</v>
      </c>
      <c r="AI18" s="238" t="s">
        <v>3103</v>
      </c>
      <c r="AJ18" s="238" t="s">
        <v>130</v>
      </c>
      <c r="AK18" s="238" t="s">
        <v>141</v>
      </c>
      <c r="AL18" t="s">
        <v>8715</v>
      </c>
      <c r="AM18" t="s">
        <v>1167</v>
      </c>
    </row>
    <row r="19" spans="1:39" hidden="1" x14ac:dyDescent="0.25">
      <c r="A19">
        <v>15</v>
      </c>
      <c r="B19">
        <v>15</v>
      </c>
      <c r="C19" s="24">
        <v>43823</v>
      </c>
      <c r="D19" s="238" t="s">
        <v>20</v>
      </c>
      <c r="E19" s="238" t="s">
        <v>16</v>
      </c>
      <c r="F19">
        <v>3</v>
      </c>
      <c r="G19">
        <v>2</v>
      </c>
      <c r="H19">
        <v>314</v>
      </c>
      <c r="I19" s="238" t="s">
        <v>42</v>
      </c>
      <c r="J19">
        <v>41.9</v>
      </c>
      <c r="K19" s="238" t="s">
        <v>36</v>
      </c>
      <c r="L19">
        <v>1642480</v>
      </c>
      <c r="M19">
        <v>0</v>
      </c>
      <c r="N19">
        <v>1642480</v>
      </c>
      <c r="O19">
        <v>39200</v>
      </c>
      <c r="P19">
        <v>0</v>
      </c>
      <c r="Q19">
        <v>1642480</v>
      </c>
      <c r="R19">
        <v>39200</v>
      </c>
      <c r="S19" s="238" t="s">
        <v>137</v>
      </c>
      <c r="T19" s="238" t="s">
        <v>1167</v>
      </c>
      <c r="V19" t="s">
        <v>1167</v>
      </c>
      <c r="W19" s="24">
        <v>43823</v>
      </c>
      <c r="X19" s="238" t="s">
        <v>140</v>
      </c>
      <c r="Y19" s="238" t="s">
        <v>39</v>
      </c>
      <c r="Z19" s="238" t="s">
        <v>1168</v>
      </c>
      <c r="AA19" t="s">
        <v>1167</v>
      </c>
      <c r="AB19" s="238" t="s">
        <v>3246</v>
      </c>
      <c r="AC19" t="s">
        <v>3077</v>
      </c>
      <c r="AD19" s="24"/>
      <c r="AE19" s="238" t="s">
        <v>1198</v>
      </c>
      <c r="AF19">
        <v>79272099676</v>
      </c>
      <c r="AG19" s="238" t="s">
        <v>1199</v>
      </c>
      <c r="AH19" s="238" t="s">
        <v>1171</v>
      </c>
      <c r="AI19" s="238" t="s">
        <v>3103</v>
      </c>
      <c r="AJ19" s="238" t="s">
        <v>120</v>
      </c>
      <c r="AK19" s="238" t="s">
        <v>141</v>
      </c>
      <c r="AL19" t="s">
        <v>8715</v>
      </c>
      <c r="AM19" t="s">
        <v>1167</v>
      </c>
    </row>
    <row r="20" spans="1:39" hidden="1" x14ac:dyDescent="0.25">
      <c r="A20">
        <v>16</v>
      </c>
      <c r="B20">
        <v>16</v>
      </c>
      <c r="C20" s="24">
        <v>43824</v>
      </c>
      <c r="D20" s="238" t="s">
        <v>20</v>
      </c>
      <c r="E20" s="238" t="s">
        <v>5</v>
      </c>
      <c r="F20">
        <v>4</v>
      </c>
      <c r="G20">
        <v>20</v>
      </c>
      <c r="H20">
        <v>280</v>
      </c>
      <c r="I20" s="238" t="s">
        <v>42</v>
      </c>
      <c r="J20">
        <v>40.229999999999997</v>
      </c>
      <c r="K20" s="238" t="s">
        <v>36</v>
      </c>
      <c r="L20">
        <v>1661499</v>
      </c>
      <c r="M20">
        <v>0</v>
      </c>
      <c r="N20">
        <v>1661499</v>
      </c>
      <c r="O20">
        <v>41300</v>
      </c>
      <c r="P20">
        <v>0</v>
      </c>
      <c r="Q20">
        <v>1661499</v>
      </c>
      <c r="R20">
        <v>41300</v>
      </c>
      <c r="S20" s="238" t="s">
        <v>137</v>
      </c>
      <c r="T20" s="238" t="s">
        <v>1167</v>
      </c>
      <c r="V20" t="s">
        <v>1167</v>
      </c>
      <c r="W20" s="24">
        <v>43824</v>
      </c>
      <c r="X20" s="238" t="s">
        <v>144</v>
      </c>
      <c r="Y20" s="238" t="s">
        <v>39</v>
      </c>
      <c r="Z20" s="238" t="s">
        <v>1168</v>
      </c>
      <c r="AA20" t="s">
        <v>1167</v>
      </c>
      <c r="AB20" s="238" t="s">
        <v>3246</v>
      </c>
      <c r="AC20" t="s">
        <v>3079</v>
      </c>
      <c r="AD20" s="24"/>
      <c r="AE20" s="238" t="s">
        <v>1200</v>
      </c>
      <c r="AF20">
        <v>79277499793</v>
      </c>
      <c r="AG20" s="238" t="s">
        <v>1201</v>
      </c>
      <c r="AH20" s="238" t="s">
        <v>1171</v>
      </c>
      <c r="AI20" s="238" t="s">
        <v>3081</v>
      </c>
      <c r="AJ20" s="238" t="s">
        <v>120</v>
      </c>
      <c r="AK20" s="238" t="s">
        <v>138</v>
      </c>
      <c r="AL20" t="s">
        <v>8715</v>
      </c>
      <c r="AM20" t="s">
        <v>1167</v>
      </c>
    </row>
    <row r="21" spans="1:39" hidden="1" x14ac:dyDescent="0.25">
      <c r="A21">
        <v>17</v>
      </c>
      <c r="B21">
        <v>1</v>
      </c>
      <c r="C21" s="24">
        <v>43834</v>
      </c>
      <c r="D21" s="238" t="s">
        <v>20</v>
      </c>
      <c r="E21" s="238" t="s">
        <v>6</v>
      </c>
      <c r="F21">
        <v>1</v>
      </c>
      <c r="G21">
        <v>5</v>
      </c>
      <c r="H21">
        <v>31</v>
      </c>
      <c r="I21" s="238" t="s">
        <v>4052</v>
      </c>
      <c r="J21">
        <v>32.03</v>
      </c>
      <c r="K21" s="238" t="s">
        <v>36</v>
      </c>
      <c r="L21">
        <v>1322839</v>
      </c>
      <c r="M21">
        <v>0</v>
      </c>
      <c r="N21">
        <v>1322839</v>
      </c>
      <c r="O21">
        <v>41300</v>
      </c>
      <c r="P21">
        <v>0</v>
      </c>
      <c r="Q21">
        <v>1322839</v>
      </c>
      <c r="R21">
        <v>41300</v>
      </c>
      <c r="S21" s="238" t="s">
        <v>124</v>
      </c>
      <c r="T21" s="238" t="s">
        <v>1167</v>
      </c>
      <c r="V21" t="s">
        <v>1167</v>
      </c>
      <c r="W21" s="24">
        <v>43834</v>
      </c>
      <c r="X21" s="238" t="s">
        <v>145</v>
      </c>
      <c r="Y21" s="238" t="s">
        <v>39</v>
      </c>
      <c r="Z21" s="238" t="s">
        <v>1168</v>
      </c>
      <c r="AA21" t="s">
        <v>1167</v>
      </c>
      <c r="AB21" s="238" t="s">
        <v>3246</v>
      </c>
      <c r="AC21" t="s">
        <v>4246</v>
      </c>
      <c r="AD21" s="24"/>
      <c r="AE21" s="238" t="s">
        <v>1202</v>
      </c>
      <c r="AF21">
        <v>79966224077</v>
      </c>
      <c r="AG21" s="238" t="s">
        <v>1203</v>
      </c>
      <c r="AH21" s="238" t="s">
        <v>1171</v>
      </c>
      <c r="AI21" s="238" t="s">
        <v>135</v>
      </c>
      <c r="AJ21" s="238" t="s">
        <v>355</v>
      </c>
      <c r="AK21" s="238" t="s">
        <v>1167</v>
      </c>
      <c r="AL21" t="s">
        <v>8715</v>
      </c>
      <c r="AM21" t="s">
        <v>1167</v>
      </c>
    </row>
    <row r="22" spans="1:39" hidden="1" x14ac:dyDescent="0.25">
      <c r="A22">
        <v>18</v>
      </c>
      <c r="B22">
        <v>2</v>
      </c>
      <c r="C22" s="24">
        <v>43838</v>
      </c>
      <c r="D22" s="238" t="s">
        <v>20</v>
      </c>
      <c r="E22" s="238" t="s">
        <v>5</v>
      </c>
      <c r="F22">
        <v>2</v>
      </c>
      <c r="G22">
        <v>17</v>
      </c>
      <c r="H22">
        <v>257</v>
      </c>
      <c r="I22" s="238" t="s">
        <v>42</v>
      </c>
      <c r="J22">
        <v>40.39</v>
      </c>
      <c r="K22" s="238" t="s">
        <v>36</v>
      </c>
      <c r="L22">
        <v>1668107</v>
      </c>
      <c r="M22">
        <v>0</v>
      </c>
      <c r="N22">
        <v>1668107</v>
      </c>
      <c r="O22">
        <v>41300</v>
      </c>
      <c r="P22">
        <v>0</v>
      </c>
      <c r="Q22">
        <v>1668107</v>
      </c>
      <c r="R22">
        <v>41300</v>
      </c>
      <c r="S22" s="238" t="s">
        <v>124</v>
      </c>
      <c r="T22" s="238" t="s">
        <v>1167</v>
      </c>
      <c r="V22" t="s">
        <v>1167</v>
      </c>
      <c r="W22" s="24">
        <v>43838</v>
      </c>
      <c r="X22" s="238" t="s">
        <v>148</v>
      </c>
      <c r="Y22" s="238" t="s">
        <v>39</v>
      </c>
      <c r="Z22" s="238" t="s">
        <v>1168</v>
      </c>
      <c r="AA22" t="s">
        <v>1167</v>
      </c>
      <c r="AB22" s="238" t="s">
        <v>3246</v>
      </c>
      <c r="AC22" t="s">
        <v>4246</v>
      </c>
      <c r="AD22" s="24"/>
      <c r="AE22" s="238" t="s">
        <v>1204</v>
      </c>
      <c r="AF22">
        <v>79297000197</v>
      </c>
      <c r="AG22" s="238" t="s">
        <v>1205</v>
      </c>
      <c r="AH22" s="238" t="s">
        <v>1171</v>
      </c>
      <c r="AI22" s="238" t="s">
        <v>135</v>
      </c>
      <c r="AJ22" s="238" t="s">
        <v>120</v>
      </c>
      <c r="AK22" s="238" t="s">
        <v>1167</v>
      </c>
      <c r="AL22" t="s">
        <v>8715</v>
      </c>
      <c r="AM22" t="s">
        <v>1167</v>
      </c>
    </row>
    <row r="23" spans="1:39" hidden="1" x14ac:dyDescent="0.25">
      <c r="A23">
        <v>19</v>
      </c>
      <c r="B23">
        <v>3</v>
      </c>
      <c r="C23" s="24">
        <v>43838</v>
      </c>
      <c r="D23" s="238" t="s">
        <v>20</v>
      </c>
      <c r="E23" s="238" t="s">
        <v>5</v>
      </c>
      <c r="F23">
        <v>2</v>
      </c>
      <c r="G23">
        <v>18</v>
      </c>
      <c r="H23">
        <v>264</v>
      </c>
      <c r="I23" s="238" t="s">
        <v>42</v>
      </c>
      <c r="J23">
        <v>40.39</v>
      </c>
      <c r="K23" s="238" t="s">
        <v>36</v>
      </c>
      <c r="L23">
        <v>1668107</v>
      </c>
      <c r="M23">
        <v>0</v>
      </c>
      <c r="N23">
        <v>1668107</v>
      </c>
      <c r="O23">
        <v>41300</v>
      </c>
      <c r="P23">
        <v>0</v>
      </c>
      <c r="Q23">
        <v>1668107</v>
      </c>
      <c r="R23">
        <v>41300</v>
      </c>
      <c r="S23" s="238" t="s">
        <v>121</v>
      </c>
      <c r="T23" s="238" t="s">
        <v>1167</v>
      </c>
      <c r="V23" t="s">
        <v>1167</v>
      </c>
      <c r="W23" s="24">
        <v>43838</v>
      </c>
      <c r="X23" s="238" t="s">
        <v>147</v>
      </c>
      <c r="Y23" s="238" t="s">
        <v>39</v>
      </c>
      <c r="Z23" s="238" t="s">
        <v>1168</v>
      </c>
      <c r="AA23" t="s">
        <v>1167</v>
      </c>
      <c r="AB23" s="238" t="s">
        <v>3246</v>
      </c>
      <c r="AC23" t="s">
        <v>4246</v>
      </c>
      <c r="AD23" s="24"/>
      <c r="AE23" s="238" t="s">
        <v>1204</v>
      </c>
      <c r="AF23">
        <v>79297000197</v>
      </c>
      <c r="AG23" s="238" t="s">
        <v>1205</v>
      </c>
      <c r="AH23" s="238" t="s">
        <v>1197</v>
      </c>
      <c r="AI23" s="238" t="s">
        <v>3082</v>
      </c>
      <c r="AJ23" s="238" t="s">
        <v>120</v>
      </c>
      <c r="AK23" s="238" t="s">
        <v>1167</v>
      </c>
      <c r="AL23" t="s">
        <v>8715</v>
      </c>
      <c r="AM23" t="s">
        <v>1167</v>
      </c>
    </row>
    <row r="24" spans="1:39" hidden="1" x14ac:dyDescent="0.25">
      <c r="A24">
        <v>20</v>
      </c>
      <c r="B24">
        <v>4</v>
      </c>
      <c r="C24" s="24">
        <v>43839</v>
      </c>
      <c r="D24" s="238" t="s">
        <v>20</v>
      </c>
      <c r="E24" s="238" t="s">
        <v>6</v>
      </c>
      <c r="F24">
        <v>7</v>
      </c>
      <c r="G24">
        <v>8</v>
      </c>
      <c r="H24">
        <v>67</v>
      </c>
      <c r="I24" s="238" t="s">
        <v>42</v>
      </c>
      <c r="J24">
        <v>42.32</v>
      </c>
      <c r="K24" s="238" t="s">
        <v>36</v>
      </c>
      <c r="L24">
        <v>1658944</v>
      </c>
      <c r="M24">
        <v>0</v>
      </c>
      <c r="N24">
        <v>1658944</v>
      </c>
      <c r="O24">
        <v>39200</v>
      </c>
      <c r="P24">
        <v>0</v>
      </c>
      <c r="Q24">
        <v>1658944</v>
      </c>
      <c r="R24">
        <v>39200</v>
      </c>
      <c r="S24" s="238" t="s">
        <v>137</v>
      </c>
      <c r="T24" s="238" t="s">
        <v>1167</v>
      </c>
      <c r="V24" t="s">
        <v>1167</v>
      </c>
      <c r="W24" s="24">
        <v>43839</v>
      </c>
      <c r="X24" s="238" t="s">
        <v>149</v>
      </c>
      <c r="Y24" s="238" t="s">
        <v>39</v>
      </c>
      <c r="Z24" s="238" t="s">
        <v>1168</v>
      </c>
      <c r="AA24" t="s">
        <v>1167</v>
      </c>
      <c r="AB24" s="238" t="s">
        <v>3246</v>
      </c>
      <c r="AC24" t="s">
        <v>3079</v>
      </c>
      <c r="AD24" s="24"/>
      <c r="AE24" s="238" t="s">
        <v>1206</v>
      </c>
      <c r="AF24">
        <v>79179540217</v>
      </c>
      <c r="AG24" s="238" t="s">
        <v>1207</v>
      </c>
      <c r="AH24" s="238" t="s">
        <v>1171</v>
      </c>
      <c r="AI24" s="238" t="s">
        <v>3083</v>
      </c>
      <c r="AJ24" s="238" t="s">
        <v>355</v>
      </c>
      <c r="AK24" s="238" t="s">
        <v>141</v>
      </c>
      <c r="AL24" t="s">
        <v>8715</v>
      </c>
      <c r="AM24" t="s">
        <v>1167</v>
      </c>
    </row>
    <row r="25" spans="1:39" hidden="1" x14ac:dyDescent="0.25">
      <c r="A25">
        <v>21</v>
      </c>
      <c r="B25">
        <v>5</v>
      </c>
      <c r="C25" s="24">
        <v>43840</v>
      </c>
      <c r="D25" s="238" t="s">
        <v>20</v>
      </c>
      <c r="E25" s="238" t="s">
        <v>16</v>
      </c>
      <c r="F25">
        <v>3</v>
      </c>
      <c r="G25">
        <v>3</v>
      </c>
      <c r="H25">
        <v>322</v>
      </c>
      <c r="I25" s="238" t="s">
        <v>42</v>
      </c>
      <c r="J25">
        <v>41.9</v>
      </c>
      <c r="K25" s="238" t="s">
        <v>36</v>
      </c>
      <c r="L25">
        <v>1730470</v>
      </c>
      <c r="M25">
        <v>0</v>
      </c>
      <c r="N25">
        <v>1730470</v>
      </c>
      <c r="O25">
        <v>41300</v>
      </c>
      <c r="P25">
        <v>0</v>
      </c>
      <c r="Q25">
        <v>1730470</v>
      </c>
      <c r="R25">
        <v>41300</v>
      </c>
      <c r="S25" s="238" t="s">
        <v>124</v>
      </c>
      <c r="T25" s="238" t="s">
        <v>1167</v>
      </c>
      <c r="V25" t="s">
        <v>1167</v>
      </c>
      <c r="W25" s="24">
        <v>43840</v>
      </c>
      <c r="X25" s="238" t="s">
        <v>150</v>
      </c>
      <c r="Y25" s="238" t="s">
        <v>39</v>
      </c>
      <c r="Z25" s="238" t="s">
        <v>1168</v>
      </c>
      <c r="AA25" t="s">
        <v>1167</v>
      </c>
      <c r="AB25" s="238" t="s">
        <v>3246</v>
      </c>
      <c r="AC25" t="s">
        <v>4246</v>
      </c>
      <c r="AD25" s="24"/>
      <c r="AE25" s="238" t="s">
        <v>1208</v>
      </c>
      <c r="AF25">
        <v>79270179449</v>
      </c>
      <c r="AG25" s="238" t="s">
        <v>1209</v>
      </c>
      <c r="AH25" s="238" t="s">
        <v>1171</v>
      </c>
      <c r="AI25" s="238" t="s">
        <v>135</v>
      </c>
      <c r="AJ25" s="238" t="s">
        <v>355</v>
      </c>
      <c r="AK25" s="238" t="s">
        <v>1167</v>
      </c>
      <c r="AL25" t="s">
        <v>8715</v>
      </c>
      <c r="AM25" t="s">
        <v>1167</v>
      </c>
    </row>
    <row r="26" spans="1:39" hidden="1" x14ac:dyDescent="0.25">
      <c r="A26">
        <v>22</v>
      </c>
      <c r="B26">
        <v>6</v>
      </c>
      <c r="C26" s="24">
        <v>43844</v>
      </c>
      <c r="D26" s="238" t="s">
        <v>20</v>
      </c>
      <c r="E26" s="238" t="s">
        <v>6</v>
      </c>
      <c r="F26">
        <v>1</v>
      </c>
      <c r="G26">
        <v>4</v>
      </c>
      <c r="H26">
        <v>21</v>
      </c>
      <c r="I26" s="238" t="s">
        <v>4052</v>
      </c>
      <c r="J26">
        <v>32.03</v>
      </c>
      <c r="K26" s="238" t="s">
        <v>36</v>
      </c>
      <c r="L26">
        <v>1322839</v>
      </c>
      <c r="M26">
        <v>0</v>
      </c>
      <c r="N26">
        <v>1322839</v>
      </c>
      <c r="O26">
        <v>41300</v>
      </c>
      <c r="P26">
        <v>0</v>
      </c>
      <c r="Q26">
        <v>1322839</v>
      </c>
      <c r="R26">
        <v>41300</v>
      </c>
      <c r="S26" s="238" t="s">
        <v>121</v>
      </c>
      <c r="T26" s="238" t="s">
        <v>1167</v>
      </c>
      <c r="V26" t="s">
        <v>1167</v>
      </c>
      <c r="W26" s="24">
        <v>43844</v>
      </c>
      <c r="X26" s="238" t="s">
        <v>152</v>
      </c>
      <c r="Y26" s="238" t="s">
        <v>39</v>
      </c>
      <c r="Z26" s="238" t="s">
        <v>1168</v>
      </c>
      <c r="AA26" t="s">
        <v>1167</v>
      </c>
      <c r="AB26" s="238" t="s">
        <v>3246</v>
      </c>
      <c r="AC26" t="s">
        <v>4246</v>
      </c>
      <c r="AD26" s="24">
        <v>44438</v>
      </c>
      <c r="AE26" s="238" t="s">
        <v>1210</v>
      </c>
      <c r="AF26">
        <v>79171409247</v>
      </c>
      <c r="AG26" s="238" t="s">
        <v>1211</v>
      </c>
      <c r="AH26" s="238" t="s">
        <v>1212</v>
      </c>
      <c r="AI26" s="238" t="s">
        <v>135</v>
      </c>
      <c r="AJ26" s="238" t="s">
        <v>399</v>
      </c>
      <c r="AK26" s="238" t="s">
        <v>1167</v>
      </c>
      <c r="AL26" t="s">
        <v>8715</v>
      </c>
      <c r="AM26" t="s">
        <v>1167</v>
      </c>
    </row>
    <row r="27" spans="1:39" hidden="1" x14ac:dyDescent="0.25">
      <c r="A27">
        <v>23</v>
      </c>
      <c r="B27">
        <v>7</v>
      </c>
      <c r="C27" s="24">
        <v>43844</v>
      </c>
      <c r="D27" s="238" t="s">
        <v>20</v>
      </c>
      <c r="E27" s="238" t="s">
        <v>6</v>
      </c>
      <c r="F27">
        <v>2</v>
      </c>
      <c r="G27">
        <v>11</v>
      </c>
      <c r="H27">
        <v>92</v>
      </c>
      <c r="I27" s="238" t="s">
        <v>4052</v>
      </c>
      <c r="J27">
        <v>31.88</v>
      </c>
      <c r="K27" s="238" t="s">
        <v>36</v>
      </c>
      <c r="L27">
        <v>1316644</v>
      </c>
      <c r="M27">
        <v>0</v>
      </c>
      <c r="N27">
        <v>1316644</v>
      </c>
      <c r="O27">
        <v>41300</v>
      </c>
      <c r="P27">
        <v>0</v>
      </c>
      <c r="Q27">
        <v>1316644</v>
      </c>
      <c r="R27">
        <v>41300</v>
      </c>
      <c r="S27" s="238" t="s">
        <v>121</v>
      </c>
      <c r="T27" s="238" t="s">
        <v>1167</v>
      </c>
      <c r="V27" t="s">
        <v>1167</v>
      </c>
      <c r="W27" s="24">
        <v>43844</v>
      </c>
      <c r="X27" s="238" t="s">
        <v>151</v>
      </c>
      <c r="Y27" s="238" t="s">
        <v>39</v>
      </c>
      <c r="Z27" s="238" t="s">
        <v>1168</v>
      </c>
      <c r="AA27" t="s">
        <v>1167</v>
      </c>
      <c r="AB27" s="238" t="s">
        <v>3246</v>
      </c>
      <c r="AC27" t="s">
        <v>4246</v>
      </c>
      <c r="AD27" s="24"/>
      <c r="AE27" s="238" t="s">
        <v>1213</v>
      </c>
      <c r="AF27">
        <v>79277221112</v>
      </c>
      <c r="AG27" s="238" t="s">
        <v>1214</v>
      </c>
      <c r="AH27" s="238" t="s">
        <v>1212</v>
      </c>
      <c r="AI27" s="238" t="s">
        <v>3084</v>
      </c>
      <c r="AJ27" s="238" t="s">
        <v>355</v>
      </c>
      <c r="AK27" s="238" t="s">
        <v>1167</v>
      </c>
      <c r="AL27" t="s">
        <v>8715</v>
      </c>
      <c r="AM27" t="s">
        <v>1167</v>
      </c>
    </row>
    <row r="28" spans="1:39" hidden="1" x14ac:dyDescent="0.25">
      <c r="A28">
        <v>24</v>
      </c>
      <c r="B28">
        <v>8</v>
      </c>
      <c r="C28" s="24">
        <v>43844</v>
      </c>
      <c r="D28" s="238" t="s">
        <v>20</v>
      </c>
      <c r="E28" s="238" t="s">
        <v>16</v>
      </c>
      <c r="F28">
        <v>4</v>
      </c>
      <c r="G28">
        <v>7</v>
      </c>
      <c r="H28">
        <v>355</v>
      </c>
      <c r="I28" s="238" t="s">
        <v>43</v>
      </c>
      <c r="J28">
        <v>60.38</v>
      </c>
      <c r="K28" s="238" t="s">
        <v>36</v>
      </c>
      <c r="L28">
        <v>2388029</v>
      </c>
      <c r="M28">
        <v>0</v>
      </c>
      <c r="N28">
        <v>2388029</v>
      </c>
      <c r="O28">
        <v>39550</v>
      </c>
      <c r="P28">
        <v>0</v>
      </c>
      <c r="Q28">
        <v>2388029</v>
      </c>
      <c r="R28">
        <v>39550</v>
      </c>
      <c r="S28" s="238" t="s">
        <v>124</v>
      </c>
      <c r="T28" s="238" t="s">
        <v>1167</v>
      </c>
      <c r="V28" t="s">
        <v>1167</v>
      </c>
      <c r="W28" s="24">
        <v>43844</v>
      </c>
      <c r="X28" s="238" t="s">
        <v>153</v>
      </c>
      <c r="Y28" s="238" t="s">
        <v>39</v>
      </c>
      <c r="Z28" s="238" t="s">
        <v>1168</v>
      </c>
      <c r="AA28" t="s">
        <v>1167</v>
      </c>
      <c r="AB28" s="238" t="s">
        <v>3246</v>
      </c>
      <c r="AC28" t="s">
        <v>4246</v>
      </c>
      <c r="AD28" s="24"/>
      <c r="AE28" s="238" t="s">
        <v>1215</v>
      </c>
      <c r="AF28">
        <v>79171289321</v>
      </c>
      <c r="AG28" s="238" t="s">
        <v>1216</v>
      </c>
      <c r="AH28" s="238" t="s">
        <v>1197</v>
      </c>
      <c r="AI28" s="238" t="s">
        <v>3072</v>
      </c>
      <c r="AJ28" s="238" t="s">
        <v>126</v>
      </c>
      <c r="AK28" s="238" t="s">
        <v>1167</v>
      </c>
      <c r="AL28" t="s">
        <v>8715</v>
      </c>
      <c r="AM28" t="s">
        <v>1167</v>
      </c>
    </row>
    <row r="29" spans="1:39" hidden="1" x14ac:dyDescent="0.25">
      <c r="A29">
        <v>25</v>
      </c>
      <c r="B29">
        <v>9</v>
      </c>
      <c r="C29" s="24">
        <v>43847</v>
      </c>
      <c r="D29" s="238" t="s">
        <v>20</v>
      </c>
      <c r="E29" s="238" t="s">
        <v>6</v>
      </c>
      <c r="F29">
        <v>4</v>
      </c>
      <c r="G29">
        <v>7</v>
      </c>
      <c r="H29">
        <v>54</v>
      </c>
      <c r="I29" s="238" t="s">
        <v>44</v>
      </c>
      <c r="J29">
        <v>80.33</v>
      </c>
      <c r="K29" s="238" t="s">
        <v>36</v>
      </c>
      <c r="L29">
        <v>3092705</v>
      </c>
      <c r="M29">
        <v>0</v>
      </c>
      <c r="N29">
        <v>3092705</v>
      </c>
      <c r="O29">
        <v>38500</v>
      </c>
      <c r="P29">
        <v>0</v>
      </c>
      <c r="Q29">
        <v>3092705</v>
      </c>
      <c r="R29">
        <v>38500</v>
      </c>
      <c r="S29" s="238" t="s">
        <v>137</v>
      </c>
      <c r="T29" s="238" t="s">
        <v>1167</v>
      </c>
      <c r="V29" t="s">
        <v>1167</v>
      </c>
      <c r="W29" s="24">
        <v>43847</v>
      </c>
      <c r="X29" s="238" t="s">
        <v>154</v>
      </c>
      <c r="Y29" s="238" t="s">
        <v>39</v>
      </c>
      <c r="Z29" s="238" t="s">
        <v>1168</v>
      </c>
      <c r="AA29" t="s">
        <v>1167</v>
      </c>
      <c r="AB29" s="238" t="s">
        <v>3246</v>
      </c>
      <c r="AC29" t="s">
        <v>3076</v>
      </c>
      <c r="AD29" s="24"/>
      <c r="AE29" s="238" t="s">
        <v>1217</v>
      </c>
      <c r="AF29">
        <v>79639171662</v>
      </c>
      <c r="AG29" s="238" t="s">
        <v>1218</v>
      </c>
      <c r="AH29" s="238" t="s">
        <v>1171</v>
      </c>
      <c r="AI29" s="238" t="s">
        <v>135</v>
      </c>
      <c r="AJ29" s="238" t="s">
        <v>355</v>
      </c>
      <c r="AK29" s="238" t="s">
        <v>141</v>
      </c>
      <c r="AL29" t="s">
        <v>8715</v>
      </c>
      <c r="AM29" t="s">
        <v>1167</v>
      </c>
    </row>
    <row r="30" spans="1:39" hidden="1" x14ac:dyDescent="0.25">
      <c r="A30">
        <v>26</v>
      </c>
      <c r="B30">
        <v>10</v>
      </c>
      <c r="C30" s="24">
        <v>43847</v>
      </c>
      <c r="D30" s="238" t="s">
        <v>20</v>
      </c>
      <c r="E30" s="238" t="s">
        <v>6</v>
      </c>
      <c r="F30">
        <v>4</v>
      </c>
      <c r="G30">
        <v>15</v>
      </c>
      <c r="H30">
        <v>134</v>
      </c>
      <c r="I30" s="238" t="s">
        <v>44</v>
      </c>
      <c r="J30">
        <v>80.33</v>
      </c>
      <c r="K30" s="238" t="s">
        <v>36</v>
      </c>
      <c r="L30">
        <v>3092705</v>
      </c>
      <c r="M30">
        <v>0</v>
      </c>
      <c r="N30">
        <v>3092705</v>
      </c>
      <c r="O30">
        <v>38500</v>
      </c>
      <c r="P30">
        <v>0</v>
      </c>
      <c r="Q30">
        <v>3092705</v>
      </c>
      <c r="R30">
        <v>38500</v>
      </c>
      <c r="S30" s="238" t="s">
        <v>137</v>
      </c>
      <c r="T30" s="238" t="s">
        <v>1167</v>
      </c>
      <c r="V30" t="s">
        <v>1167</v>
      </c>
      <c r="W30" s="24">
        <v>43847</v>
      </c>
      <c r="X30" s="238" t="s">
        <v>156</v>
      </c>
      <c r="Y30" s="238" t="s">
        <v>39</v>
      </c>
      <c r="Z30" s="238" t="s">
        <v>1168</v>
      </c>
      <c r="AA30" t="s">
        <v>1167</v>
      </c>
      <c r="AB30" s="238" t="s">
        <v>3246</v>
      </c>
      <c r="AC30" t="s">
        <v>3076</v>
      </c>
      <c r="AD30" s="24"/>
      <c r="AE30" s="238" t="s">
        <v>1219</v>
      </c>
      <c r="AF30">
        <v>79272041378</v>
      </c>
      <c r="AG30" s="238" t="s">
        <v>1220</v>
      </c>
      <c r="AH30" s="238" t="s">
        <v>1171</v>
      </c>
      <c r="AI30" s="238" t="s">
        <v>3072</v>
      </c>
      <c r="AJ30" s="238" t="s">
        <v>130</v>
      </c>
      <c r="AK30" s="238" t="s">
        <v>141</v>
      </c>
      <c r="AL30" t="s">
        <v>8715</v>
      </c>
      <c r="AM30" t="s">
        <v>1167</v>
      </c>
    </row>
    <row r="31" spans="1:39" hidden="1" x14ac:dyDescent="0.25">
      <c r="A31">
        <v>27</v>
      </c>
      <c r="B31">
        <v>11</v>
      </c>
      <c r="C31" s="24">
        <v>43847</v>
      </c>
      <c r="D31" s="238" t="s">
        <v>20</v>
      </c>
      <c r="E31" s="238" t="s">
        <v>5</v>
      </c>
      <c r="F31">
        <v>4</v>
      </c>
      <c r="G31">
        <v>21</v>
      </c>
      <c r="H31">
        <v>287</v>
      </c>
      <c r="I31" s="238" t="s">
        <v>42</v>
      </c>
      <c r="J31">
        <v>40.229999999999997</v>
      </c>
      <c r="K31" s="238" t="s">
        <v>36</v>
      </c>
      <c r="L31">
        <v>1661499</v>
      </c>
      <c r="M31">
        <v>0</v>
      </c>
      <c r="N31">
        <v>1661499</v>
      </c>
      <c r="O31">
        <v>41300</v>
      </c>
      <c r="P31">
        <v>0</v>
      </c>
      <c r="Q31">
        <v>1661499</v>
      </c>
      <c r="R31">
        <v>41300</v>
      </c>
      <c r="S31" s="238" t="s">
        <v>124</v>
      </c>
      <c r="T31" s="238" t="s">
        <v>1167</v>
      </c>
      <c r="V31" t="s">
        <v>1167</v>
      </c>
      <c r="W31" s="24">
        <v>43847</v>
      </c>
      <c r="X31" s="238" t="s">
        <v>155</v>
      </c>
      <c r="Y31" s="238" t="s">
        <v>39</v>
      </c>
      <c r="Z31" s="238" t="s">
        <v>1168</v>
      </c>
      <c r="AA31" t="s">
        <v>1167</v>
      </c>
      <c r="AB31" s="238" t="s">
        <v>3246</v>
      </c>
      <c r="AC31" t="s">
        <v>4246</v>
      </c>
      <c r="AD31" s="24"/>
      <c r="AE31" s="238" t="s">
        <v>1221</v>
      </c>
      <c r="AF31">
        <v>79276979754</v>
      </c>
      <c r="AG31" s="238" t="s">
        <v>1222</v>
      </c>
      <c r="AH31" s="238" t="s">
        <v>1171</v>
      </c>
      <c r="AI31" s="238" t="s">
        <v>3084</v>
      </c>
      <c r="AJ31" s="238" t="s">
        <v>126</v>
      </c>
      <c r="AK31" s="238" t="s">
        <v>1167</v>
      </c>
      <c r="AL31" t="s">
        <v>8715</v>
      </c>
      <c r="AM31" t="s">
        <v>1167</v>
      </c>
    </row>
    <row r="32" spans="1:39" hidden="1" x14ac:dyDescent="0.25">
      <c r="A32">
        <v>28</v>
      </c>
      <c r="B32">
        <v>12</v>
      </c>
      <c r="C32" s="24">
        <v>43848</v>
      </c>
      <c r="D32" s="238" t="s">
        <v>20</v>
      </c>
      <c r="E32" s="238" t="s">
        <v>5</v>
      </c>
      <c r="F32">
        <v>1</v>
      </c>
      <c r="G32">
        <v>7</v>
      </c>
      <c r="H32">
        <v>186</v>
      </c>
      <c r="I32" s="238" t="s">
        <v>44</v>
      </c>
      <c r="J32">
        <v>89.56</v>
      </c>
      <c r="K32" s="238" t="s">
        <v>36</v>
      </c>
      <c r="L32">
        <v>3448060</v>
      </c>
      <c r="M32">
        <v>0</v>
      </c>
      <c r="N32">
        <v>3448060</v>
      </c>
      <c r="O32">
        <v>38500</v>
      </c>
      <c r="P32">
        <v>0</v>
      </c>
      <c r="Q32">
        <v>3448060</v>
      </c>
      <c r="R32">
        <v>38500</v>
      </c>
      <c r="S32" s="238" t="s">
        <v>137</v>
      </c>
      <c r="T32" s="238" t="s">
        <v>1167</v>
      </c>
      <c r="V32" t="s">
        <v>1167</v>
      </c>
      <c r="W32" s="24">
        <v>43848</v>
      </c>
      <c r="X32" s="238" t="s">
        <v>157</v>
      </c>
      <c r="Y32" s="238" t="s">
        <v>39</v>
      </c>
      <c r="Z32" s="238" t="s">
        <v>1168</v>
      </c>
      <c r="AA32" t="s">
        <v>1167</v>
      </c>
      <c r="AB32" s="238" t="s">
        <v>3246</v>
      </c>
      <c r="AC32" t="s">
        <v>3079</v>
      </c>
      <c r="AD32" s="24"/>
      <c r="AE32" s="238" t="s">
        <v>1223</v>
      </c>
      <c r="AF32">
        <v>79277256232</v>
      </c>
      <c r="AG32" s="238" t="s">
        <v>1224</v>
      </c>
      <c r="AH32" s="238" t="s">
        <v>135</v>
      </c>
      <c r="AI32" s="238" t="s">
        <v>135</v>
      </c>
      <c r="AJ32" s="238" t="s">
        <v>126</v>
      </c>
      <c r="AK32" s="238" t="s">
        <v>141</v>
      </c>
      <c r="AL32" t="s">
        <v>8715</v>
      </c>
      <c r="AM32" t="s">
        <v>1167</v>
      </c>
    </row>
    <row r="33" spans="1:39" hidden="1" x14ac:dyDescent="0.25">
      <c r="A33">
        <v>29</v>
      </c>
      <c r="B33">
        <v>13</v>
      </c>
      <c r="C33" s="24">
        <v>43850</v>
      </c>
      <c r="D33" s="238" t="s">
        <v>20</v>
      </c>
      <c r="E33" s="238" t="s">
        <v>5</v>
      </c>
      <c r="F33">
        <v>3</v>
      </c>
      <c r="G33">
        <v>23</v>
      </c>
      <c r="H33">
        <v>300</v>
      </c>
      <c r="I33" s="238" t="s">
        <v>42</v>
      </c>
      <c r="J33">
        <v>41.1</v>
      </c>
      <c r="K33" s="238" t="s">
        <v>36</v>
      </c>
      <c r="L33">
        <v>1650165</v>
      </c>
      <c r="M33">
        <v>0</v>
      </c>
      <c r="N33">
        <v>1650165</v>
      </c>
      <c r="O33">
        <v>40150</v>
      </c>
      <c r="P33">
        <v>0</v>
      </c>
      <c r="Q33">
        <v>1650165</v>
      </c>
      <c r="R33">
        <v>40150</v>
      </c>
      <c r="S33" s="238" t="s">
        <v>137</v>
      </c>
      <c r="T33" s="238" t="s">
        <v>1167</v>
      </c>
      <c r="V33" t="s">
        <v>1167</v>
      </c>
      <c r="W33" s="24">
        <v>43850</v>
      </c>
      <c r="X33" s="238" t="s">
        <v>158</v>
      </c>
      <c r="Y33" s="238" t="s">
        <v>39</v>
      </c>
      <c r="Z33" s="238" t="s">
        <v>1168</v>
      </c>
      <c r="AA33" t="s">
        <v>1167</v>
      </c>
      <c r="AB33" s="238" t="s">
        <v>3246</v>
      </c>
      <c r="AC33" t="s">
        <v>3076</v>
      </c>
      <c r="AD33" s="24"/>
      <c r="AE33" s="238" t="s">
        <v>1225</v>
      </c>
      <c r="AF33">
        <v>79277566651</v>
      </c>
      <c r="AG33" s="238" t="s">
        <v>1226</v>
      </c>
      <c r="AH33" s="238" t="s">
        <v>1197</v>
      </c>
      <c r="AI33" s="238" t="s">
        <v>3075</v>
      </c>
      <c r="AJ33" s="238" t="s">
        <v>130</v>
      </c>
      <c r="AK33" s="238" t="s">
        <v>141</v>
      </c>
      <c r="AL33" t="s">
        <v>8715</v>
      </c>
      <c r="AM33" t="s">
        <v>1167</v>
      </c>
    </row>
    <row r="34" spans="1:39" hidden="1" x14ac:dyDescent="0.25">
      <c r="A34">
        <v>30</v>
      </c>
      <c r="B34">
        <v>14</v>
      </c>
      <c r="C34" s="24">
        <v>43853</v>
      </c>
      <c r="D34" s="238" t="s">
        <v>20</v>
      </c>
      <c r="E34" s="238" t="s">
        <v>5</v>
      </c>
      <c r="F34">
        <v>4</v>
      </c>
      <c r="G34">
        <v>16</v>
      </c>
      <c r="H34">
        <v>252</v>
      </c>
      <c r="I34" s="238" t="s">
        <v>42</v>
      </c>
      <c r="J34">
        <v>40.58</v>
      </c>
      <c r="K34" s="238" t="s">
        <v>37</v>
      </c>
      <c r="L34">
        <v>1718563</v>
      </c>
      <c r="M34">
        <v>0</v>
      </c>
      <c r="N34">
        <v>1718563</v>
      </c>
      <c r="O34">
        <v>42350</v>
      </c>
      <c r="P34">
        <v>0</v>
      </c>
      <c r="Q34">
        <v>1718563</v>
      </c>
      <c r="R34">
        <v>42350</v>
      </c>
      <c r="S34" s="238" t="s">
        <v>124</v>
      </c>
      <c r="T34" s="238" t="s">
        <v>1167</v>
      </c>
      <c r="V34" t="s">
        <v>1167</v>
      </c>
      <c r="W34" s="24">
        <v>43853</v>
      </c>
      <c r="X34" s="238" t="s">
        <v>159</v>
      </c>
      <c r="Y34" s="238" t="s">
        <v>39</v>
      </c>
      <c r="Z34" s="238" t="s">
        <v>1168</v>
      </c>
      <c r="AA34" t="s">
        <v>1167</v>
      </c>
      <c r="AB34" s="238" t="s">
        <v>3246</v>
      </c>
      <c r="AC34" t="s">
        <v>4246</v>
      </c>
      <c r="AD34" s="24"/>
      <c r="AE34" s="238" t="s">
        <v>1227</v>
      </c>
      <c r="AF34">
        <v>79270094503</v>
      </c>
      <c r="AG34" s="238" t="s">
        <v>1228</v>
      </c>
      <c r="AH34" s="238" t="s">
        <v>1212</v>
      </c>
      <c r="AI34" s="238" t="s">
        <v>135</v>
      </c>
      <c r="AJ34" s="238" t="s">
        <v>120</v>
      </c>
      <c r="AK34" s="238" t="s">
        <v>1167</v>
      </c>
      <c r="AL34" t="s">
        <v>8715</v>
      </c>
      <c r="AM34" t="s">
        <v>1167</v>
      </c>
    </row>
    <row r="35" spans="1:39" hidden="1" x14ac:dyDescent="0.25">
      <c r="A35">
        <v>31</v>
      </c>
      <c r="B35">
        <v>15</v>
      </c>
      <c r="C35" s="24">
        <v>43854</v>
      </c>
      <c r="D35" s="238" t="s">
        <v>20</v>
      </c>
      <c r="E35" s="238" t="s">
        <v>5</v>
      </c>
      <c r="F35">
        <v>4</v>
      </c>
      <c r="G35">
        <v>2</v>
      </c>
      <c r="H35">
        <v>154</v>
      </c>
      <c r="I35" s="238" t="s">
        <v>42</v>
      </c>
      <c r="J35">
        <v>41.36</v>
      </c>
      <c r="K35" s="238" t="s">
        <v>37</v>
      </c>
      <c r="L35">
        <v>1621312</v>
      </c>
      <c r="M35">
        <v>0</v>
      </c>
      <c r="N35">
        <v>1621312</v>
      </c>
      <c r="O35">
        <v>39200</v>
      </c>
      <c r="P35">
        <v>0</v>
      </c>
      <c r="Q35">
        <v>1621312</v>
      </c>
      <c r="R35">
        <v>39200</v>
      </c>
      <c r="S35" s="238" t="s">
        <v>137</v>
      </c>
      <c r="T35" s="238" t="s">
        <v>1167</v>
      </c>
      <c r="V35" t="s">
        <v>1167</v>
      </c>
      <c r="W35" s="24">
        <v>43854</v>
      </c>
      <c r="X35" s="238" t="s">
        <v>160</v>
      </c>
      <c r="Y35" s="238" t="s">
        <v>39</v>
      </c>
      <c r="Z35" s="238" t="s">
        <v>1168</v>
      </c>
      <c r="AA35" t="s">
        <v>1167</v>
      </c>
      <c r="AB35" s="238" t="s">
        <v>3246</v>
      </c>
      <c r="AC35" t="s">
        <v>3080</v>
      </c>
      <c r="AD35" s="24"/>
      <c r="AE35" s="238" t="s">
        <v>1229</v>
      </c>
      <c r="AF35">
        <v>79371769779</v>
      </c>
      <c r="AG35" s="238" t="s">
        <v>1230</v>
      </c>
      <c r="AH35" s="238" t="s">
        <v>1197</v>
      </c>
      <c r="AI35" s="238" t="s">
        <v>3085</v>
      </c>
      <c r="AJ35" s="238" t="s">
        <v>126</v>
      </c>
      <c r="AK35" s="238" t="s">
        <v>141</v>
      </c>
      <c r="AL35" t="s">
        <v>8715</v>
      </c>
      <c r="AM35" t="s">
        <v>1167</v>
      </c>
    </row>
    <row r="36" spans="1:39" hidden="1" x14ac:dyDescent="0.25">
      <c r="A36">
        <v>32</v>
      </c>
      <c r="B36">
        <v>16</v>
      </c>
      <c r="C36" s="24">
        <v>43856</v>
      </c>
      <c r="D36" s="238" t="s">
        <v>20</v>
      </c>
      <c r="E36" s="238" t="s">
        <v>6</v>
      </c>
      <c r="F36">
        <v>5</v>
      </c>
      <c r="G36">
        <v>6</v>
      </c>
      <c r="H36">
        <v>45</v>
      </c>
      <c r="I36" s="238" t="s">
        <v>43</v>
      </c>
      <c r="J36">
        <v>60.2</v>
      </c>
      <c r="K36" s="238" t="s">
        <v>37</v>
      </c>
      <c r="L36">
        <v>2423050</v>
      </c>
      <c r="M36">
        <v>0</v>
      </c>
      <c r="N36">
        <v>2423050</v>
      </c>
      <c r="O36">
        <v>40250</v>
      </c>
      <c r="P36">
        <v>0</v>
      </c>
      <c r="Q36">
        <v>2423050</v>
      </c>
      <c r="R36">
        <v>40250</v>
      </c>
      <c r="S36" s="238" t="s">
        <v>137</v>
      </c>
      <c r="T36" s="238" t="s">
        <v>1167</v>
      </c>
      <c r="V36" t="s">
        <v>1167</v>
      </c>
      <c r="W36" s="24">
        <v>43856</v>
      </c>
      <c r="X36" s="238" t="s">
        <v>161</v>
      </c>
      <c r="Y36" s="238" t="s">
        <v>39</v>
      </c>
      <c r="Z36" s="238" t="s">
        <v>1168</v>
      </c>
      <c r="AA36" t="s">
        <v>1167</v>
      </c>
      <c r="AB36" s="238" t="s">
        <v>3246</v>
      </c>
      <c r="AC36" t="s">
        <v>3079</v>
      </c>
      <c r="AD36" s="24"/>
      <c r="AE36" s="238" t="s">
        <v>1231</v>
      </c>
      <c r="AF36">
        <v>79272019224</v>
      </c>
      <c r="AG36" s="238" t="s">
        <v>1232</v>
      </c>
      <c r="AH36" s="238" t="s">
        <v>135</v>
      </c>
      <c r="AI36" s="238" t="s">
        <v>135</v>
      </c>
      <c r="AJ36" s="238" t="s">
        <v>120</v>
      </c>
      <c r="AK36" s="238" t="s">
        <v>162</v>
      </c>
      <c r="AL36" t="s">
        <v>8715</v>
      </c>
      <c r="AM36" t="s">
        <v>1167</v>
      </c>
    </row>
    <row r="37" spans="1:39" hidden="1" x14ac:dyDescent="0.25">
      <c r="A37">
        <v>33</v>
      </c>
      <c r="B37">
        <v>17</v>
      </c>
      <c r="C37" s="24">
        <v>43858</v>
      </c>
      <c r="D37" s="238" t="s">
        <v>20</v>
      </c>
      <c r="E37" s="238" t="s">
        <v>6</v>
      </c>
      <c r="F37">
        <v>6</v>
      </c>
      <c r="G37">
        <v>7</v>
      </c>
      <c r="H37">
        <v>56</v>
      </c>
      <c r="I37" s="238" t="s">
        <v>43</v>
      </c>
      <c r="J37">
        <v>63.03</v>
      </c>
      <c r="K37" s="238" t="s">
        <v>36</v>
      </c>
      <c r="L37">
        <v>2378122</v>
      </c>
      <c r="M37">
        <v>0</v>
      </c>
      <c r="N37">
        <v>2378122</v>
      </c>
      <c r="O37">
        <v>37730.001586546088</v>
      </c>
      <c r="P37">
        <v>0</v>
      </c>
      <c r="Q37">
        <v>2378122</v>
      </c>
      <c r="R37">
        <v>37730.001586546088</v>
      </c>
      <c r="S37" s="238" t="s">
        <v>124</v>
      </c>
      <c r="T37" s="238" t="s">
        <v>3540</v>
      </c>
      <c r="U37">
        <v>48533</v>
      </c>
      <c r="V37" t="s">
        <v>1167</v>
      </c>
      <c r="W37" s="24">
        <v>43858</v>
      </c>
      <c r="X37" s="238" t="s">
        <v>163</v>
      </c>
      <c r="Y37" s="238" t="s">
        <v>39</v>
      </c>
      <c r="Z37" s="238" t="s">
        <v>1168</v>
      </c>
      <c r="AA37" t="s">
        <v>1167</v>
      </c>
      <c r="AB37" s="238" t="s">
        <v>3246</v>
      </c>
      <c r="AC37" t="s">
        <v>4246</v>
      </c>
      <c r="AD37" s="24"/>
      <c r="AE37" s="238" t="s">
        <v>1233</v>
      </c>
      <c r="AF37">
        <v>79371751122</v>
      </c>
      <c r="AG37" s="238" t="s">
        <v>1234</v>
      </c>
      <c r="AH37" s="238" t="s">
        <v>1171</v>
      </c>
      <c r="AI37" s="238" t="s">
        <v>3072</v>
      </c>
      <c r="AJ37" s="238" t="s">
        <v>355</v>
      </c>
      <c r="AK37" s="238" t="s">
        <v>1167</v>
      </c>
      <c r="AL37" t="s">
        <v>8715</v>
      </c>
      <c r="AM37" t="s">
        <v>1167</v>
      </c>
    </row>
    <row r="38" spans="1:39" hidden="1" x14ac:dyDescent="0.25">
      <c r="A38">
        <v>34</v>
      </c>
      <c r="B38">
        <v>18</v>
      </c>
      <c r="C38" s="24">
        <v>43862</v>
      </c>
      <c r="D38" s="238" t="s">
        <v>20</v>
      </c>
      <c r="E38" s="238" t="s">
        <v>5</v>
      </c>
      <c r="F38">
        <v>5</v>
      </c>
      <c r="G38">
        <v>17</v>
      </c>
      <c r="H38">
        <v>260</v>
      </c>
      <c r="I38" s="238" t="s">
        <v>44</v>
      </c>
      <c r="J38">
        <v>78.03</v>
      </c>
      <c r="K38" s="238" t="s">
        <v>36</v>
      </c>
      <c r="L38">
        <v>2997600</v>
      </c>
      <c r="M38">
        <v>0</v>
      </c>
      <c r="N38">
        <v>2997600</v>
      </c>
      <c r="O38">
        <v>38415.9938485198</v>
      </c>
      <c r="P38">
        <v>0</v>
      </c>
      <c r="Q38">
        <v>2997600</v>
      </c>
      <c r="R38">
        <v>38415.9938485198</v>
      </c>
      <c r="S38" s="238" t="s">
        <v>137</v>
      </c>
      <c r="T38" s="238" t="s">
        <v>3540</v>
      </c>
      <c r="U38">
        <v>61176</v>
      </c>
      <c r="V38" t="s">
        <v>1167</v>
      </c>
      <c r="W38" s="24">
        <v>43868</v>
      </c>
      <c r="X38" s="238" t="s">
        <v>164</v>
      </c>
      <c r="Y38" s="238" t="s">
        <v>39</v>
      </c>
      <c r="Z38" s="238" t="s">
        <v>1168</v>
      </c>
      <c r="AA38" t="s">
        <v>1167</v>
      </c>
      <c r="AB38" s="238" t="s">
        <v>3246</v>
      </c>
      <c r="AC38" t="s">
        <v>3077</v>
      </c>
      <c r="AD38" s="24"/>
      <c r="AE38" s="238" t="s">
        <v>1235</v>
      </c>
      <c r="AF38">
        <v>79270191118</v>
      </c>
      <c r="AG38" s="238" t="s">
        <v>1236</v>
      </c>
      <c r="AH38" s="238" t="s">
        <v>1212</v>
      </c>
      <c r="AI38" s="238" t="s">
        <v>3086</v>
      </c>
      <c r="AJ38" s="238" t="s">
        <v>130</v>
      </c>
      <c r="AK38" s="238" t="s">
        <v>162</v>
      </c>
      <c r="AL38" t="s">
        <v>8715</v>
      </c>
      <c r="AM38" t="s">
        <v>1167</v>
      </c>
    </row>
    <row r="39" spans="1:39" hidden="1" x14ac:dyDescent="0.25">
      <c r="A39">
        <v>35</v>
      </c>
      <c r="B39">
        <v>19</v>
      </c>
      <c r="C39" s="24">
        <v>43859</v>
      </c>
      <c r="D39" s="238" t="s">
        <v>20</v>
      </c>
      <c r="E39" s="238" t="s">
        <v>16</v>
      </c>
      <c r="F39">
        <v>8</v>
      </c>
      <c r="G39">
        <v>4</v>
      </c>
      <c r="H39">
        <v>335</v>
      </c>
      <c r="I39" s="238" t="s">
        <v>43</v>
      </c>
      <c r="J39">
        <v>60.25</v>
      </c>
      <c r="K39" s="238" t="s">
        <v>36</v>
      </c>
      <c r="L39">
        <v>2551587.5</v>
      </c>
      <c r="M39">
        <v>0</v>
      </c>
      <c r="N39">
        <v>2551587.5</v>
      </c>
      <c r="O39">
        <v>42350</v>
      </c>
      <c r="P39">
        <v>0</v>
      </c>
      <c r="Q39">
        <v>2551587.5</v>
      </c>
      <c r="R39">
        <v>42350</v>
      </c>
      <c r="S39" s="238" t="s">
        <v>137</v>
      </c>
      <c r="T39" s="238" t="s">
        <v>1167</v>
      </c>
      <c r="V39" t="s">
        <v>1167</v>
      </c>
      <c r="W39" s="24">
        <v>43859</v>
      </c>
      <c r="X39" s="238" t="s">
        <v>165</v>
      </c>
      <c r="Y39" s="238" t="s">
        <v>39</v>
      </c>
      <c r="Z39" s="238" t="s">
        <v>1168</v>
      </c>
      <c r="AA39" t="s">
        <v>1167</v>
      </c>
      <c r="AB39" s="238" t="s">
        <v>3246</v>
      </c>
      <c r="AC39" t="s">
        <v>3079</v>
      </c>
      <c r="AD39" s="24"/>
      <c r="AE39" s="238" t="s">
        <v>1237</v>
      </c>
      <c r="AF39">
        <v>79198080577</v>
      </c>
      <c r="AG39" s="238" t="s">
        <v>1238</v>
      </c>
      <c r="AH39" s="238" t="s">
        <v>1212</v>
      </c>
      <c r="AI39" s="238" t="s">
        <v>135</v>
      </c>
      <c r="AJ39" s="238" t="s">
        <v>355</v>
      </c>
      <c r="AK39" s="238" t="s">
        <v>141</v>
      </c>
      <c r="AL39" t="s">
        <v>8715</v>
      </c>
      <c r="AM39" t="s">
        <v>1167</v>
      </c>
    </row>
    <row r="40" spans="1:39" hidden="1" x14ac:dyDescent="0.25">
      <c r="A40">
        <v>36</v>
      </c>
      <c r="B40">
        <v>20</v>
      </c>
      <c r="C40" s="24">
        <v>43862</v>
      </c>
      <c r="D40" s="238" t="s">
        <v>20</v>
      </c>
      <c r="E40" s="238" t="s">
        <v>6</v>
      </c>
      <c r="F40">
        <v>5</v>
      </c>
      <c r="G40">
        <v>9</v>
      </c>
      <c r="H40">
        <v>75</v>
      </c>
      <c r="I40" s="238" t="s">
        <v>43</v>
      </c>
      <c r="J40">
        <v>60.2</v>
      </c>
      <c r="K40" s="238" t="s">
        <v>36</v>
      </c>
      <c r="L40">
        <v>2318000</v>
      </c>
      <c r="M40">
        <v>0</v>
      </c>
      <c r="N40">
        <v>2318000</v>
      </c>
      <c r="O40">
        <v>38504.983388704321</v>
      </c>
      <c r="P40">
        <v>0</v>
      </c>
      <c r="Q40">
        <v>2318000</v>
      </c>
      <c r="R40">
        <v>38504.983388704321</v>
      </c>
      <c r="S40" s="238" t="s">
        <v>137</v>
      </c>
      <c r="T40" s="238" t="s">
        <v>1167</v>
      </c>
      <c r="V40" t="s">
        <v>1167</v>
      </c>
      <c r="W40" s="24">
        <v>43864</v>
      </c>
      <c r="X40" s="238" t="s">
        <v>167</v>
      </c>
      <c r="Y40" s="238" t="s">
        <v>39</v>
      </c>
      <c r="Z40" s="238" t="s">
        <v>1168</v>
      </c>
      <c r="AA40" t="s">
        <v>1167</v>
      </c>
      <c r="AB40" s="238" t="s">
        <v>3246</v>
      </c>
      <c r="AC40" t="s">
        <v>3087</v>
      </c>
      <c r="AD40" s="24"/>
      <c r="AE40" s="238" t="s">
        <v>1239</v>
      </c>
      <c r="AF40">
        <v>79991715464</v>
      </c>
      <c r="AG40" s="238" t="s">
        <v>1240</v>
      </c>
      <c r="AH40" s="238" t="s">
        <v>1171</v>
      </c>
      <c r="AI40" s="238" t="s">
        <v>135</v>
      </c>
      <c r="AJ40" s="238" t="s">
        <v>126</v>
      </c>
      <c r="AK40" s="238" t="s">
        <v>162</v>
      </c>
      <c r="AL40" t="s">
        <v>8715</v>
      </c>
      <c r="AM40" t="s">
        <v>1167</v>
      </c>
    </row>
    <row r="41" spans="1:39" hidden="1" x14ac:dyDescent="0.25">
      <c r="A41">
        <v>37</v>
      </c>
      <c r="B41">
        <v>21</v>
      </c>
      <c r="C41" s="24">
        <v>43862</v>
      </c>
      <c r="D41" s="238" t="s">
        <v>20</v>
      </c>
      <c r="E41" s="238" t="s">
        <v>5</v>
      </c>
      <c r="F41">
        <v>2</v>
      </c>
      <c r="G41">
        <v>15</v>
      </c>
      <c r="H41">
        <v>243</v>
      </c>
      <c r="I41" s="238" t="s">
        <v>42</v>
      </c>
      <c r="J41">
        <v>40.39</v>
      </c>
      <c r="K41" s="238" t="s">
        <v>36</v>
      </c>
      <c r="L41">
        <v>1668107</v>
      </c>
      <c r="M41">
        <v>0</v>
      </c>
      <c r="N41">
        <v>1668107</v>
      </c>
      <c r="O41">
        <v>41300</v>
      </c>
      <c r="P41">
        <v>0</v>
      </c>
      <c r="Q41">
        <v>1668107</v>
      </c>
      <c r="R41">
        <v>41300</v>
      </c>
      <c r="S41" s="238" t="s">
        <v>137</v>
      </c>
      <c r="T41" s="238" t="s">
        <v>1167</v>
      </c>
      <c r="V41" t="s">
        <v>1167</v>
      </c>
      <c r="W41" s="24">
        <v>43864</v>
      </c>
      <c r="X41" s="238" t="s">
        <v>166</v>
      </c>
      <c r="Y41" s="238" t="s">
        <v>39</v>
      </c>
      <c r="Z41" s="238" t="s">
        <v>1168</v>
      </c>
      <c r="AA41" t="s">
        <v>1167</v>
      </c>
      <c r="AB41" s="238" t="s">
        <v>3246</v>
      </c>
      <c r="AC41" t="s">
        <v>3076</v>
      </c>
      <c r="AD41" s="24"/>
      <c r="AE41" s="238" t="s">
        <v>1204</v>
      </c>
      <c r="AF41">
        <v>79297000197</v>
      </c>
      <c r="AG41" s="238" t="s">
        <v>1205</v>
      </c>
      <c r="AH41" s="238" t="s">
        <v>1197</v>
      </c>
      <c r="AI41" s="238" t="s">
        <v>3082</v>
      </c>
      <c r="AJ41" s="238" t="s">
        <v>120</v>
      </c>
      <c r="AK41" s="238" t="s">
        <v>141</v>
      </c>
      <c r="AL41" t="s">
        <v>8715</v>
      </c>
      <c r="AM41" t="s">
        <v>1167</v>
      </c>
    </row>
    <row r="42" spans="1:39" hidden="1" x14ac:dyDescent="0.25">
      <c r="A42">
        <v>38</v>
      </c>
      <c r="B42">
        <v>1</v>
      </c>
      <c r="C42" s="24">
        <v>43862</v>
      </c>
      <c r="D42" s="238" t="s">
        <v>20</v>
      </c>
      <c r="E42" s="238" t="s">
        <v>5</v>
      </c>
      <c r="F42">
        <v>7</v>
      </c>
      <c r="G42">
        <v>21</v>
      </c>
      <c r="H42">
        <v>290</v>
      </c>
      <c r="I42" s="238" t="s">
        <v>43</v>
      </c>
      <c r="J42">
        <v>63.74</v>
      </c>
      <c r="K42" s="238" t="s">
        <v>36</v>
      </c>
      <c r="L42">
        <v>2448636</v>
      </c>
      <c r="M42">
        <v>0</v>
      </c>
      <c r="N42">
        <v>2448636</v>
      </c>
      <c r="O42">
        <v>38416.002510197679</v>
      </c>
      <c r="P42">
        <v>0</v>
      </c>
      <c r="Q42">
        <v>2448636</v>
      </c>
      <c r="R42">
        <v>38416.002510197679</v>
      </c>
      <c r="S42" s="238" t="s">
        <v>124</v>
      </c>
      <c r="T42" s="238" t="s">
        <v>3540</v>
      </c>
      <c r="U42">
        <v>49972</v>
      </c>
      <c r="V42" t="s">
        <v>1167</v>
      </c>
      <c r="W42" s="24">
        <v>43864</v>
      </c>
      <c r="X42" s="238" t="s">
        <v>168</v>
      </c>
      <c r="Y42" s="238" t="s">
        <v>39</v>
      </c>
      <c r="Z42" s="238" t="s">
        <v>1168</v>
      </c>
      <c r="AA42" t="s">
        <v>1167</v>
      </c>
      <c r="AB42" s="238" t="s">
        <v>3246</v>
      </c>
      <c r="AC42" t="s">
        <v>4246</v>
      </c>
      <c r="AD42" s="24"/>
      <c r="AE42" s="238" t="s">
        <v>1241</v>
      </c>
      <c r="AF42">
        <v>79371812626</v>
      </c>
      <c r="AG42" s="238" t="s">
        <v>1242</v>
      </c>
      <c r="AH42" s="238" t="s">
        <v>1212</v>
      </c>
      <c r="AI42" s="238" t="s">
        <v>3088</v>
      </c>
      <c r="AJ42" s="238" t="s">
        <v>126</v>
      </c>
      <c r="AK42" s="238" t="s">
        <v>1167</v>
      </c>
      <c r="AL42" t="s">
        <v>8715</v>
      </c>
      <c r="AM42" t="s">
        <v>1167</v>
      </c>
    </row>
    <row r="43" spans="1:39" hidden="1" x14ac:dyDescent="0.25">
      <c r="A43">
        <v>39</v>
      </c>
      <c r="B43">
        <v>2</v>
      </c>
      <c r="C43" s="24">
        <v>43864</v>
      </c>
      <c r="D43" s="238" t="s">
        <v>20</v>
      </c>
      <c r="E43" s="238" t="s">
        <v>5</v>
      </c>
      <c r="F43">
        <v>2</v>
      </c>
      <c r="G43">
        <v>12</v>
      </c>
      <c r="H43">
        <v>222</v>
      </c>
      <c r="I43" s="238" t="s">
        <v>42</v>
      </c>
      <c r="J43">
        <v>40.39</v>
      </c>
      <c r="K43" s="238" t="s">
        <v>36</v>
      </c>
      <c r="L43">
        <v>1710516.5</v>
      </c>
      <c r="M43">
        <v>0</v>
      </c>
      <c r="N43">
        <v>1710516.5</v>
      </c>
      <c r="O43">
        <v>42350</v>
      </c>
      <c r="P43">
        <v>0</v>
      </c>
      <c r="Q43">
        <v>1710516.5</v>
      </c>
      <c r="R43">
        <v>42350</v>
      </c>
      <c r="S43" s="238" t="s">
        <v>121</v>
      </c>
      <c r="T43" s="238" t="s">
        <v>1167</v>
      </c>
      <c r="V43" t="s">
        <v>1167</v>
      </c>
      <c r="W43" s="24">
        <v>43868</v>
      </c>
      <c r="X43" s="238" t="s">
        <v>169</v>
      </c>
      <c r="Y43" s="238" t="s">
        <v>39</v>
      </c>
      <c r="Z43" s="238" t="s">
        <v>1168</v>
      </c>
      <c r="AA43" t="s">
        <v>1167</v>
      </c>
      <c r="AB43" s="238" t="s">
        <v>3246</v>
      </c>
      <c r="AC43" t="s">
        <v>4246</v>
      </c>
      <c r="AD43" s="24">
        <v>44302</v>
      </c>
      <c r="AE43" s="238" t="s">
        <v>1243</v>
      </c>
      <c r="AF43">
        <v>79991701130</v>
      </c>
      <c r="AG43" s="238" t="s">
        <v>1244</v>
      </c>
      <c r="AH43" s="238" t="s">
        <v>1212</v>
      </c>
      <c r="AI43" s="238" t="s">
        <v>135</v>
      </c>
      <c r="AJ43" s="238" t="s">
        <v>130</v>
      </c>
      <c r="AK43" s="238" t="s">
        <v>1167</v>
      </c>
      <c r="AL43" t="s">
        <v>8715</v>
      </c>
      <c r="AM43" t="s">
        <v>1167</v>
      </c>
    </row>
    <row r="44" spans="1:39" hidden="1" x14ac:dyDescent="0.25">
      <c r="A44">
        <v>40</v>
      </c>
      <c r="B44">
        <v>3</v>
      </c>
      <c r="C44" s="24">
        <v>43865</v>
      </c>
      <c r="D44" s="238" t="s">
        <v>20</v>
      </c>
      <c r="E44" s="238" t="s">
        <v>16</v>
      </c>
      <c r="F44">
        <v>8</v>
      </c>
      <c r="G44">
        <v>6</v>
      </c>
      <c r="H44">
        <v>351</v>
      </c>
      <c r="I44" s="238" t="s">
        <v>43</v>
      </c>
      <c r="J44">
        <v>60.25</v>
      </c>
      <c r="K44" s="238" t="s">
        <v>36</v>
      </c>
      <c r="L44">
        <v>2551587.5</v>
      </c>
      <c r="M44">
        <v>0</v>
      </c>
      <c r="N44">
        <v>2551587.5</v>
      </c>
      <c r="O44">
        <v>42350</v>
      </c>
      <c r="P44">
        <v>0</v>
      </c>
      <c r="Q44">
        <v>2551587.5</v>
      </c>
      <c r="R44">
        <v>42350</v>
      </c>
      <c r="S44" s="238" t="s">
        <v>124</v>
      </c>
      <c r="T44" s="238" t="s">
        <v>1167</v>
      </c>
      <c r="V44" t="s">
        <v>1167</v>
      </c>
      <c r="W44" s="24">
        <v>43882</v>
      </c>
      <c r="X44" s="238" t="s">
        <v>170</v>
      </c>
      <c r="Y44" s="238" t="s">
        <v>39</v>
      </c>
      <c r="Z44" s="238" t="s">
        <v>1168</v>
      </c>
      <c r="AA44" t="s">
        <v>1167</v>
      </c>
      <c r="AB44" s="238" t="s">
        <v>3246</v>
      </c>
      <c r="AC44" t="s">
        <v>4246</v>
      </c>
      <c r="AD44" s="24"/>
      <c r="AE44" s="238" t="s">
        <v>1245</v>
      </c>
      <c r="AF44">
        <v>79277349789</v>
      </c>
      <c r="AG44" s="238" t="s">
        <v>1246</v>
      </c>
      <c r="AH44" s="238" t="s">
        <v>1212</v>
      </c>
      <c r="AI44" s="238" t="s">
        <v>3089</v>
      </c>
      <c r="AJ44" s="238" t="s">
        <v>130</v>
      </c>
      <c r="AK44" s="238" t="s">
        <v>1167</v>
      </c>
      <c r="AL44" t="s">
        <v>8715</v>
      </c>
      <c r="AM44" t="s">
        <v>1167</v>
      </c>
    </row>
    <row r="45" spans="1:39" hidden="1" x14ac:dyDescent="0.25">
      <c r="A45">
        <v>41</v>
      </c>
      <c r="B45">
        <v>4</v>
      </c>
      <c r="C45" s="24">
        <v>43866</v>
      </c>
      <c r="D45" s="238" t="s">
        <v>20</v>
      </c>
      <c r="E45" s="238" t="s">
        <v>16</v>
      </c>
      <c r="F45">
        <v>3</v>
      </c>
      <c r="G45">
        <v>5</v>
      </c>
      <c r="H45">
        <v>338</v>
      </c>
      <c r="I45" s="238" t="s">
        <v>42</v>
      </c>
      <c r="J45">
        <v>41.9</v>
      </c>
      <c r="K45" s="238" t="s">
        <v>36</v>
      </c>
      <c r="L45">
        <v>1847790</v>
      </c>
      <c r="M45">
        <v>0</v>
      </c>
      <c r="N45">
        <v>1847790</v>
      </c>
      <c r="O45">
        <v>44100</v>
      </c>
      <c r="P45">
        <v>0</v>
      </c>
      <c r="Q45">
        <v>1847790</v>
      </c>
      <c r="R45">
        <v>44100</v>
      </c>
      <c r="S45" s="238" t="s">
        <v>137</v>
      </c>
      <c r="T45" s="238" t="s">
        <v>1167</v>
      </c>
      <c r="V45" t="s">
        <v>1167</v>
      </c>
      <c r="W45" s="24">
        <v>43867</v>
      </c>
      <c r="X45" s="238" t="s">
        <v>171</v>
      </c>
      <c r="Y45" s="238" t="s">
        <v>39</v>
      </c>
      <c r="Z45" s="238" t="s">
        <v>1168</v>
      </c>
      <c r="AA45" t="s">
        <v>1167</v>
      </c>
      <c r="AB45" s="238" t="s">
        <v>3246</v>
      </c>
      <c r="AC45" t="s">
        <v>3077</v>
      </c>
      <c r="AD45" s="24"/>
      <c r="AE45" s="238" t="s">
        <v>1247</v>
      </c>
      <c r="AF45">
        <v>79170135382</v>
      </c>
      <c r="AG45" s="238" t="s">
        <v>1248</v>
      </c>
      <c r="AH45" s="238" t="s">
        <v>1171</v>
      </c>
      <c r="AI45" s="238" t="s">
        <v>135</v>
      </c>
      <c r="AJ45" s="238" t="s">
        <v>120</v>
      </c>
      <c r="AK45" s="238" t="s">
        <v>141</v>
      </c>
      <c r="AL45" t="s">
        <v>8715</v>
      </c>
      <c r="AM45" t="s">
        <v>1167</v>
      </c>
    </row>
    <row r="46" spans="1:39" hidden="1" x14ac:dyDescent="0.25">
      <c r="A46">
        <v>42</v>
      </c>
      <c r="B46">
        <v>5</v>
      </c>
      <c r="C46" s="24">
        <v>43868</v>
      </c>
      <c r="D46" s="238" t="s">
        <v>20</v>
      </c>
      <c r="E46" s="238" t="s">
        <v>5</v>
      </c>
      <c r="F46">
        <v>3</v>
      </c>
      <c r="G46">
        <v>5</v>
      </c>
      <c r="H46">
        <v>174</v>
      </c>
      <c r="I46" s="238" t="s">
        <v>42</v>
      </c>
      <c r="J46">
        <v>41.48</v>
      </c>
      <c r="K46" s="238" t="s">
        <v>36</v>
      </c>
      <c r="L46">
        <v>1721544.44</v>
      </c>
      <c r="M46">
        <v>0</v>
      </c>
      <c r="N46">
        <v>1721544.44</v>
      </c>
      <c r="O46">
        <v>41503</v>
      </c>
      <c r="P46">
        <v>0</v>
      </c>
      <c r="Q46">
        <v>1721544.44</v>
      </c>
      <c r="R46">
        <v>41503</v>
      </c>
      <c r="S46" s="238" t="s">
        <v>124</v>
      </c>
      <c r="T46" s="238" t="s">
        <v>3540</v>
      </c>
      <c r="U46">
        <v>35133.56</v>
      </c>
      <c r="V46" t="s">
        <v>1167</v>
      </c>
      <c r="W46" s="24">
        <v>43882</v>
      </c>
      <c r="X46" s="238" t="s">
        <v>173</v>
      </c>
      <c r="Y46" s="238" t="s">
        <v>39</v>
      </c>
      <c r="Z46" s="238" t="s">
        <v>1168</v>
      </c>
      <c r="AA46" t="s">
        <v>1167</v>
      </c>
      <c r="AB46" s="238" t="s">
        <v>3246</v>
      </c>
      <c r="AC46" t="s">
        <v>4246</v>
      </c>
      <c r="AD46" s="24"/>
      <c r="AE46" s="238" t="s">
        <v>1249</v>
      </c>
      <c r="AF46">
        <v>79277902189</v>
      </c>
      <c r="AG46" s="238" t="s">
        <v>1250</v>
      </c>
      <c r="AH46" s="238" t="s">
        <v>1171</v>
      </c>
      <c r="AI46" s="238" t="s">
        <v>3090</v>
      </c>
      <c r="AJ46" s="238" t="s">
        <v>126</v>
      </c>
      <c r="AK46" s="238" t="s">
        <v>1167</v>
      </c>
      <c r="AL46" t="s">
        <v>8715</v>
      </c>
      <c r="AM46" t="s">
        <v>1167</v>
      </c>
    </row>
    <row r="47" spans="1:39" hidden="1" x14ac:dyDescent="0.25">
      <c r="A47">
        <v>43</v>
      </c>
      <c r="B47">
        <v>6</v>
      </c>
      <c r="C47" s="24">
        <v>43868</v>
      </c>
      <c r="D47" s="238" t="s">
        <v>20</v>
      </c>
      <c r="E47" s="238" t="s">
        <v>5</v>
      </c>
      <c r="F47">
        <v>4</v>
      </c>
      <c r="G47">
        <v>5</v>
      </c>
      <c r="H47">
        <v>175</v>
      </c>
      <c r="I47" s="238" t="s">
        <v>42</v>
      </c>
      <c r="J47">
        <v>40.58</v>
      </c>
      <c r="K47" s="238" t="s">
        <v>36</v>
      </c>
      <c r="L47">
        <v>1684191.74</v>
      </c>
      <c r="M47">
        <v>0</v>
      </c>
      <c r="N47">
        <v>1684191.74</v>
      </c>
      <c r="O47">
        <v>41503</v>
      </c>
      <c r="P47">
        <v>0</v>
      </c>
      <c r="Q47">
        <v>1684191.74</v>
      </c>
      <c r="R47">
        <v>41503</v>
      </c>
      <c r="S47" s="238" t="s">
        <v>124</v>
      </c>
      <c r="T47" s="238" t="s">
        <v>3540</v>
      </c>
      <c r="U47">
        <v>34371.26</v>
      </c>
      <c r="V47" t="s">
        <v>1167</v>
      </c>
      <c r="W47" s="24">
        <v>43881</v>
      </c>
      <c r="X47" s="238" t="s">
        <v>172</v>
      </c>
      <c r="Y47" s="238" t="s">
        <v>39</v>
      </c>
      <c r="Z47" s="238" t="s">
        <v>1168</v>
      </c>
      <c r="AA47" t="s">
        <v>1167</v>
      </c>
      <c r="AB47" s="238" t="s">
        <v>3246</v>
      </c>
      <c r="AC47" t="s">
        <v>4246</v>
      </c>
      <c r="AD47" s="24"/>
      <c r="AE47" s="238" t="s">
        <v>1251</v>
      </c>
      <c r="AF47">
        <v>79370621303</v>
      </c>
      <c r="AG47" s="238" t="s">
        <v>1250</v>
      </c>
      <c r="AH47" s="238" t="s">
        <v>1212</v>
      </c>
      <c r="AI47" s="238" t="s">
        <v>135</v>
      </c>
      <c r="AJ47" s="238" t="s">
        <v>126</v>
      </c>
      <c r="AK47" s="238" t="s">
        <v>1167</v>
      </c>
      <c r="AL47" t="s">
        <v>8715</v>
      </c>
      <c r="AM47" t="s">
        <v>1167</v>
      </c>
    </row>
    <row r="48" spans="1:39" hidden="1" x14ac:dyDescent="0.25">
      <c r="A48">
        <v>44</v>
      </c>
      <c r="B48">
        <v>7</v>
      </c>
      <c r="C48" s="24">
        <v>43869</v>
      </c>
      <c r="D48" s="238" t="s">
        <v>20</v>
      </c>
      <c r="E48" s="238" t="s">
        <v>5</v>
      </c>
      <c r="F48">
        <v>4</v>
      </c>
      <c r="G48">
        <v>19</v>
      </c>
      <c r="H48">
        <v>273</v>
      </c>
      <c r="I48" s="238" t="s">
        <v>42</v>
      </c>
      <c r="J48">
        <v>40.58</v>
      </c>
      <c r="K48" s="238" t="s">
        <v>36</v>
      </c>
      <c r="L48">
        <v>1684191.74</v>
      </c>
      <c r="M48">
        <v>0</v>
      </c>
      <c r="N48">
        <v>1684191.74</v>
      </c>
      <c r="O48">
        <v>41503</v>
      </c>
      <c r="P48">
        <v>0</v>
      </c>
      <c r="Q48">
        <v>1684191.74</v>
      </c>
      <c r="R48">
        <v>41503</v>
      </c>
      <c r="S48" s="238" t="s">
        <v>124</v>
      </c>
      <c r="T48" s="238" t="s">
        <v>3540</v>
      </c>
      <c r="U48">
        <v>34371.26</v>
      </c>
      <c r="V48" t="s">
        <v>1167</v>
      </c>
      <c r="W48" s="24">
        <v>43882</v>
      </c>
      <c r="X48" s="238" t="s">
        <v>174</v>
      </c>
      <c r="Y48" s="238" t="s">
        <v>39</v>
      </c>
      <c r="Z48" s="238" t="s">
        <v>1168</v>
      </c>
      <c r="AA48" t="s">
        <v>1167</v>
      </c>
      <c r="AB48" s="238" t="s">
        <v>3246</v>
      </c>
      <c r="AC48" t="s">
        <v>4246</v>
      </c>
      <c r="AD48" s="24"/>
      <c r="AE48" s="238" t="s">
        <v>1252</v>
      </c>
      <c r="AF48">
        <v>79879811240</v>
      </c>
      <c r="AG48" s="238" t="s">
        <v>1253</v>
      </c>
      <c r="AH48" s="238" t="s">
        <v>1171</v>
      </c>
      <c r="AI48" s="238" t="s">
        <v>3085</v>
      </c>
      <c r="AJ48" s="238" t="s">
        <v>130</v>
      </c>
      <c r="AK48" s="238" t="s">
        <v>1167</v>
      </c>
      <c r="AL48" t="s">
        <v>8715</v>
      </c>
      <c r="AM48" t="s">
        <v>1167</v>
      </c>
    </row>
    <row r="49" spans="1:39" hidden="1" x14ac:dyDescent="0.25">
      <c r="A49">
        <v>45</v>
      </c>
      <c r="B49">
        <v>8</v>
      </c>
      <c r="C49" s="24">
        <v>43871</v>
      </c>
      <c r="D49" s="238" t="s">
        <v>20</v>
      </c>
      <c r="E49" s="238" t="s">
        <v>6</v>
      </c>
      <c r="F49">
        <v>8</v>
      </c>
      <c r="G49">
        <v>15</v>
      </c>
      <c r="H49">
        <v>138</v>
      </c>
      <c r="I49" s="238" t="s">
        <v>42</v>
      </c>
      <c r="J49">
        <v>47.97</v>
      </c>
      <c r="K49" s="238" t="s">
        <v>36</v>
      </c>
      <c r="L49">
        <v>1990898.91</v>
      </c>
      <c r="M49">
        <v>0</v>
      </c>
      <c r="N49">
        <v>1990898.91</v>
      </c>
      <c r="O49">
        <v>41503</v>
      </c>
      <c r="P49">
        <v>0</v>
      </c>
      <c r="Q49">
        <v>1990898.91</v>
      </c>
      <c r="R49">
        <v>41503</v>
      </c>
      <c r="S49" s="238" t="s">
        <v>137</v>
      </c>
      <c r="T49" s="238" t="s">
        <v>3540</v>
      </c>
      <c r="U49">
        <v>40630.589999999997</v>
      </c>
      <c r="V49" t="s">
        <v>1167</v>
      </c>
      <c r="W49" s="24">
        <v>43871</v>
      </c>
      <c r="X49" s="238" t="s">
        <v>175</v>
      </c>
      <c r="Y49" s="238" t="s">
        <v>39</v>
      </c>
      <c r="Z49" s="238" t="s">
        <v>1168</v>
      </c>
      <c r="AA49" t="s">
        <v>1167</v>
      </c>
      <c r="AB49" s="238" t="s">
        <v>3246</v>
      </c>
      <c r="AC49" t="s">
        <v>3079</v>
      </c>
      <c r="AD49" s="24"/>
      <c r="AE49" s="238" t="s">
        <v>1254</v>
      </c>
      <c r="AF49">
        <v>79372092098</v>
      </c>
      <c r="AG49" s="238" t="s">
        <v>1255</v>
      </c>
      <c r="AH49" s="238" t="s">
        <v>1171</v>
      </c>
      <c r="AI49" s="238" t="s">
        <v>135</v>
      </c>
      <c r="AJ49" s="238" t="s">
        <v>355</v>
      </c>
      <c r="AK49" s="238" t="s">
        <v>141</v>
      </c>
      <c r="AL49" t="s">
        <v>8715</v>
      </c>
      <c r="AM49" t="s">
        <v>1167</v>
      </c>
    </row>
    <row r="50" spans="1:39" hidden="1" x14ac:dyDescent="0.25">
      <c r="A50">
        <v>46</v>
      </c>
      <c r="B50">
        <v>9</v>
      </c>
      <c r="C50" s="24">
        <v>43874</v>
      </c>
      <c r="D50" s="238" t="s">
        <v>20</v>
      </c>
      <c r="E50" s="238" t="s">
        <v>6</v>
      </c>
      <c r="F50">
        <v>7</v>
      </c>
      <c r="G50">
        <v>4</v>
      </c>
      <c r="I50" s="238" t="s">
        <v>42</v>
      </c>
      <c r="J50">
        <v>42.32</v>
      </c>
      <c r="K50" s="238" t="s">
        <v>36</v>
      </c>
      <c r="L50">
        <v>1866312</v>
      </c>
      <c r="M50">
        <v>0</v>
      </c>
      <c r="N50">
        <v>1866312</v>
      </c>
      <c r="O50">
        <v>44100</v>
      </c>
      <c r="P50">
        <v>0</v>
      </c>
      <c r="Q50">
        <v>1866312</v>
      </c>
      <c r="R50">
        <v>44100</v>
      </c>
      <c r="S50" s="238" t="s">
        <v>124</v>
      </c>
      <c r="T50" s="238" t="s">
        <v>1167</v>
      </c>
      <c r="V50" t="s">
        <v>1167</v>
      </c>
      <c r="W50" s="24">
        <v>43874</v>
      </c>
      <c r="X50" s="238" t="s">
        <v>178</v>
      </c>
      <c r="Y50" s="238" t="s">
        <v>1172</v>
      </c>
      <c r="Z50" s="238" t="s">
        <v>1168</v>
      </c>
      <c r="AA50" t="s">
        <v>1167</v>
      </c>
      <c r="AB50" s="238" t="s">
        <v>3246</v>
      </c>
      <c r="AC50" t="s">
        <v>4246</v>
      </c>
      <c r="AD50" s="24">
        <v>44221</v>
      </c>
      <c r="AE50" s="238" t="s">
        <v>1256</v>
      </c>
      <c r="AF50">
        <v>79376475452</v>
      </c>
      <c r="AG50" s="238" t="s">
        <v>1167</v>
      </c>
      <c r="AH50" s="238" t="s">
        <v>1171</v>
      </c>
      <c r="AI50" s="238" t="s">
        <v>3074</v>
      </c>
      <c r="AJ50" s="238" t="s">
        <v>130</v>
      </c>
      <c r="AK50" s="238" t="s">
        <v>1167</v>
      </c>
      <c r="AL50" t="s">
        <v>8715</v>
      </c>
      <c r="AM50" t="s">
        <v>1167</v>
      </c>
    </row>
    <row r="51" spans="1:39" hidden="1" x14ac:dyDescent="0.25">
      <c r="A51">
        <v>47</v>
      </c>
      <c r="B51">
        <v>10</v>
      </c>
      <c r="C51" s="24">
        <v>43874</v>
      </c>
      <c r="D51" s="238" t="s">
        <v>20</v>
      </c>
      <c r="E51" s="238" t="s">
        <v>5</v>
      </c>
      <c r="F51">
        <v>4</v>
      </c>
      <c r="G51">
        <v>24</v>
      </c>
      <c r="H51">
        <v>308</v>
      </c>
      <c r="I51" s="238" t="s">
        <v>42</v>
      </c>
      <c r="J51">
        <v>40.229999999999997</v>
      </c>
      <c r="K51" s="238" t="s">
        <v>36</v>
      </c>
      <c r="L51">
        <v>1577016</v>
      </c>
      <c r="M51">
        <v>0</v>
      </c>
      <c r="N51">
        <v>1577016</v>
      </c>
      <c r="O51">
        <v>39200</v>
      </c>
      <c r="P51">
        <v>0</v>
      </c>
      <c r="Q51">
        <v>1577016</v>
      </c>
      <c r="R51">
        <v>39200</v>
      </c>
      <c r="S51" s="238" t="s">
        <v>124</v>
      </c>
      <c r="T51" s="238" t="s">
        <v>1167</v>
      </c>
      <c r="V51" t="s">
        <v>1167</v>
      </c>
      <c r="W51" s="24">
        <v>43874</v>
      </c>
      <c r="X51" s="238" t="s">
        <v>176</v>
      </c>
      <c r="Y51" s="238" t="s">
        <v>39</v>
      </c>
      <c r="Z51" s="238" t="s">
        <v>1168</v>
      </c>
      <c r="AA51" t="s">
        <v>1167</v>
      </c>
      <c r="AB51" s="238" t="s">
        <v>3246</v>
      </c>
      <c r="AC51" t="s">
        <v>4246</v>
      </c>
      <c r="AD51" s="24"/>
      <c r="AE51" s="238" t="s">
        <v>1257</v>
      </c>
      <c r="AF51">
        <v>79270123210</v>
      </c>
      <c r="AG51" s="238" t="s">
        <v>1258</v>
      </c>
      <c r="AH51" s="238" t="s">
        <v>1212</v>
      </c>
      <c r="AI51" s="238" t="s">
        <v>135</v>
      </c>
      <c r="AJ51" s="238" t="s">
        <v>120</v>
      </c>
      <c r="AK51" s="238" t="s">
        <v>1167</v>
      </c>
      <c r="AL51" t="s">
        <v>8715</v>
      </c>
      <c r="AM51" t="s">
        <v>1167</v>
      </c>
    </row>
    <row r="52" spans="1:39" hidden="1" x14ac:dyDescent="0.25">
      <c r="A52">
        <v>48</v>
      </c>
      <c r="B52">
        <v>11</v>
      </c>
      <c r="C52" s="24">
        <v>43874</v>
      </c>
      <c r="D52" s="238" t="s">
        <v>20</v>
      </c>
      <c r="E52" s="238" t="s">
        <v>6</v>
      </c>
      <c r="F52">
        <v>5</v>
      </c>
      <c r="G52">
        <v>4</v>
      </c>
      <c r="H52">
        <v>25</v>
      </c>
      <c r="I52" s="238" t="s">
        <v>43</v>
      </c>
      <c r="J52">
        <v>60.2</v>
      </c>
      <c r="K52" s="238" t="s">
        <v>36</v>
      </c>
      <c r="L52">
        <v>2423050</v>
      </c>
      <c r="M52">
        <v>0</v>
      </c>
      <c r="N52">
        <v>2423050</v>
      </c>
      <c r="O52">
        <v>40250</v>
      </c>
      <c r="P52">
        <v>0</v>
      </c>
      <c r="Q52">
        <v>2423050</v>
      </c>
      <c r="R52">
        <v>40250</v>
      </c>
      <c r="S52" s="238" t="s">
        <v>137</v>
      </c>
      <c r="T52" s="238" t="s">
        <v>1167</v>
      </c>
      <c r="V52" t="s">
        <v>1167</v>
      </c>
      <c r="W52" s="24">
        <v>43879</v>
      </c>
      <c r="X52" s="238" t="s">
        <v>177</v>
      </c>
      <c r="Y52" s="238" t="s">
        <v>39</v>
      </c>
      <c r="Z52" s="238" t="s">
        <v>1168</v>
      </c>
      <c r="AA52" t="s">
        <v>1167</v>
      </c>
      <c r="AB52" s="238" t="s">
        <v>3246</v>
      </c>
      <c r="AC52" t="s">
        <v>3077</v>
      </c>
      <c r="AD52" s="24"/>
      <c r="AE52" s="238" t="s">
        <v>1259</v>
      </c>
      <c r="AF52">
        <v>79171400303</v>
      </c>
      <c r="AG52" s="238" t="s">
        <v>1260</v>
      </c>
      <c r="AH52" s="238" t="s">
        <v>1212</v>
      </c>
      <c r="AI52" s="238" t="s">
        <v>3074</v>
      </c>
      <c r="AJ52" s="238" t="s">
        <v>120</v>
      </c>
      <c r="AK52" s="238" t="s">
        <v>141</v>
      </c>
      <c r="AL52" t="s">
        <v>8715</v>
      </c>
      <c r="AM52" t="s">
        <v>1167</v>
      </c>
    </row>
    <row r="53" spans="1:39" hidden="1" x14ac:dyDescent="0.25">
      <c r="A53">
        <v>49</v>
      </c>
      <c r="B53">
        <v>12</v>
      </c>
      <c r="C53" s="24">
        <v>43875</v>
      </c>
      <c r="D53" s="238" t="s">
        <v>20</v>
      </c>
      <c r="E53" s="238" t="s">
        <v>6</v>
      </c>
      <c r="F53">
        <v>8</v>
      </c>
      <c r="G53">
        <v>7</v>
      </c>
      <c r="H53">
        <v>58</v>
      </c>
      <c r="I53" s="238" t="s">
        <v>42</v>
      </c>
      <c r="J53">
        <v>47.97</v>
      </c>
      <c r="K53" s="238" t="s">
        <v>36</v>
      </c>
      <c r="L53">
        <v>1809908.1</v>
      </c>
      <c r="M53">
        <v>0</v>
      </c>
      <c r="N53">
        <v>1809908.1</v>
      </c>
      <c r="O53">
        <v>37730</v>
      </c>
      <c r="P53">
        <v>0</v>
      </c>
      <c r="Q53">
        <v>1809908.1</v>
      </c>
      <c r="R53">
        <v>37730</v>
      </c>
      <c r="S53" s="238" t="s">
        <v>137</v>
      </c>
      <c r="T53" s="238" t="s">
        <v>3540</v>
      </c>
      <c r="U53">
        <v>36936.9</v>
      </c>
      <c r="V53" t="s">
        <v>1167</v>
      </c>
      <c r="W53" s="24">
        <v>43868</v>
      </c>
      <c r="X53" s="238" t="s">
        <v>179</v>
      </c>
      <c r="Y53" s="238" t="s">
        <v>39</v>
      </c>
      <c r="Z53" s="238" t="s">
        <v>1168</v>
      </c>
      <c r="AA53" t="s">
        <v>1167</v>
      </c>
      <c r="AB53" s="238" t="s">
        <v>3246</v>
      </c>
      <c r="AC53" t="s">
        <v>3091</v>
      </c>
      <c r="AD53" s="24"/>
      <c r="AE53" s="238" t="s">
        <v>1261</v>
      </c>
      <c r="AF53">
        <v>79170187495</v>
      </c>
      <c r="AG53" s="238" t="s">
        <v>1262</v>
      </c>
      <c r="AH53" s="238" t="s">
        <v>1212</v>
      </c>
      <c r="AI53" s="238" t="s">
        <v>3089</v>
      </c>
      <c r="AJ53" s="238" t="s">
        <v>355</v>
      </c>
      <c r="AK53" s="238" t="s">
        <v>141</v>
      </c>
      <c r="AL53" t="s">
        <v>8715</v>
      </c>
      <c r="AM53" t="s">
        <v>1167</v>
      </c>
    </row>
    <row r="54" spans="1:39" hidden="1" x14ac:dyDescent="0.25">
      <c r="A54">
        <v>50</v>
      </c>
      <c r="B54">
        <v>13</v>
      </c>
      <c r="C54" s="24">
        <v>43878</v>
      </c>
      <c r="D54" s="238" t="s">
        <v>20</v>
      </c>
      <c r="E54" s="238" t="s">
        <v>6</v>
      </c>
      <c r="F54">
        <v>4</v>
      </c>
      <c r="G54">
        <v>5</v>
      </c>
      <c r="H54">
        <v>34</v>
      </c>
      <c r="I54" s="238" t="s">
        <v>44</v>
      </c>
      <c r="J54">
        <v>80.33</v>
      </c>
      <c r="K54" s="238" t="s">
        <v>36</v>
      </c>
      <c r="L54">
        <v>3148936</v>
      </c>
      <c r="M54">
        <v>0</v>
      </c>
      <c r="N54">
        <v>3148936</v>
      </c>
      <c r="O54">
        <v>39200</v>
      </c>
      <c r="P54">
        <v>0</v>
      </c>
      <c r="Q54">
        <v>3148936</v>
      </c>
      <c r="R54">
        <v>39200</v>
      </c>
      <c r="S54" s="238" t="s">
        <v>137</v>
      </c>
      <c r="T54" s="238" t="s">
        <v>1167</v>
      </c>
      <c r="V54" t="s">
        <v>1167</v>
      </c>
      <c r="W54" s="24">
        <v>43874</v>
      </c>
      <c r="X54" s="238" t="s">
        <v>180</v>
      </c>
      <c r="Y54" s="238" t="s">
        <v>39</v>
      </c>
      <c r="Z54" s="238" t="s">
        <v>1168</v>
      </c>
      <c r="AA54" t="s">
        <v>1167</v>
      </c>
      <c r="AB54" s="238" t="s">
        <v>3246</v>
      </c>
      <c r="AC54" t="s">
        <v>3077</v>
      </c>
      <c r="AD54" s="24"/>
      <c r="AE54" s="238" t="s">
        <v>1263</v>
      </c>
      <c r="AF54">
        <v>79276523507</v>
      </c>
      <c r="AG54" s="238" t="s">
        <v>1264</v>
      </c>
      <c r="AH54" s="238" t="s">
        <v>1212</v>
      </c>
      <c r="AI54" s="238" t="s">
        <v>3092</v>
      </c>
      <c r="AJ54" s="238" t="s">
        <v>120</v>
      </c>
      <c r="AK54" s="238" t="s">
        <v>141</v>
      </c>
      <c r="AL54" t="s">
        <v>8715</v>
      </c>
      <c r="AM54" t="s">
        <v>1167</v>
      </c>
    </row>
    <row r="55" spans="1:39" hidden="1" x14ac:dyDescent="0.25">
      <c r="A55">
        <v>51</v>
      </c>
      <c r="B55">
        <v>14</v>
      </c>
      <c r="C55" s="24">
        <v>43878</v>
      </c>
      <c r="D55" s="238" t="s">
        <v>20</v>
      </c>
      <c r="E55" s="238" t="s">
        <v>5</v>
      </c>
      <c r="F55">
        <v>3</v>
      </c>
      <c r="G55">
        <v>8</v>
      </c>
      <c r="H55">
        <v>195</v>
      </c>
      <c r="I55" s="238" t="s">
        <v>42</v>
      </c>
      <c r="J55">
        <v>41.48</v>
      </c>
      <c r="K55" s="238" t="s">
        <v>36</v>
      </c>
      <c r="L55">
        <v>1721544.44</v>
      </c>
      <c r="M55">
        <v>0</v>
      </c>
      <c r="N55">
        <v>1721544.44</v>
      </c>
      <c r="O55">
        <v>41503</v>
      </c>
      <c r="P55">
        <v>0</v>
      </c>
      <c r="Q55">
        <v>1721544.44</v>
      </c>
      <c r="R55">
        <v>41503</v>
      </c>
      <c r="S55" s="238" t="s">
        <v>124</v>
      </c>
      <c r="T55" s="238" t="s">
        <v>3540</v>
      </c>
      <c r="U55">
        <v>35133.56</v>
      </c>
      <c r="V55" t="s">
        <v>1167</v>
      </c>
      <c r="W55" s="24">
        <v>43878</v>
      </c>
      <c r="X55" s="238" t="s">
        <v>181</v>
      </c>
      <c r="Y55" s="238" t="s">
        <v>39</v>
      </c>
      <c r="Z55" s="238" t="s">
        <v>1168</v>
      </c>
      <c r="AA55" t="s">
        <v>1167</v>
      </c>
      <c r="AB55" s="238" t="s">
        <v>3246</v>
      </c>
      <c r="AC55" t="s">
        <v>4246</v>
      </c>
      <c r="AD55" s="24"/>
      <c r="AE55" s="238" t="s">
        <v>1265</v>
      </c>
      <c r="AF55">
        <v>79276011606</v>
      </c>
      <c r="AG55" s="238" t="s">
        <v>1266</v>
      </c>
      <c r="AH55" s="238" t="s">
        <v>1171</v>
      </c>
      <c r="AI55" s="238" t="s">
        <v>3072</v>
      </c>
      <c r="AJ55" s="238" t="s">
        <v>126</v>
      </c>
      <c r="AK55" s="238" t="s">
        <v>1167</v>
      </c>
      <c r="AL55" t="s">
        <v>8715</v>
      </c>
      <c r="AM55" t="s">
        <v>1167</v>
      </c>
    </row>
    <row r="56" spans="1:39" hidden="1" x14ac:dyDescent="0.25">
      <c r="A56">
        <v>52</v>
      </c>
      <c r="B56">
        <v>15</v>
      </c>
      <c r="C56" s="24">
        <v>43879</v>
      </c>
      <c r="D56" s="238" t="s">
        <v>20</v>
      </c>
      <c r="E56" s="238" t="s">
        <v>16</v>
      </c>
      <c r="F56">
        <v>1</v>
      </c>
      <c r="G56">
        <v>3</v>
      </c>
      <c r="H56">
        <v>320</v>
      </c>
      <c r="I56" s="238" t="s">
        <v>43</v>
      </c>
      <c r="J56">
        <v>59.13</v>
      </c>
      <c r="K56" s="238" t="s">
        <v>36</v>
      </c>
      <c r="L56">
        <v>2442069</v>
      </c>
      <c r="M56">
        <v>0</v>
      </c>
      <c r="N56">
        <v>2442069</v>
      </c>
      <c r="O56">
        <v>41300</v>
      </c>
      <c r="P56">
        <v>0</v>
      </c>
      <c r="Q56">
        <v>2442069</v>
      </c>
      <c r="R56">
        <v>41300</v>
      </c>
      <c r="S56" s="238" t="s">
        <v>137</v>
      </c>
      <c r="T56" s="238" t="s">
        <v>1167</v>
      </c>
      <c r="V56" t="s">
        <v>1167</v>
      </c>
      <c r="W56" s="24">
        <v>43888</v>
      </c>
      <c r="X56" s="238" t="s">
        <v>182</v>
      </c>
      <c r="Y56" s="238" t="s">
        <v>39</v>
      </c>
      <c r="Z56" s="238" t="s">
        <v>1168</v>
      </c>
      <c r="AA56" t="s">
        <v>1167</v>
      </c>
      <c r="AB56" s="238" t="s">
        <v>3246</v>
      </c>
      <c r="AC56" t="s">
        <v>3079</v>
      </c>
      <c r="AD56" s="24"/>
      <c r="AE56" s="238" t="s">
        <v>1267</v>
      </c>
      <c r="AF56">
        <v>79171108422</v>
      </c>
      <c r="AG56" s="238" t="s">
        <v>1268</v>
      </c>
      <c r="AH56" s="238" t="s">
        <v>1171</v>
      </c>
      <c r="AI56" s="238" t="s">
        <v>3093</v>
      </c>
      <c r="AJ56" s="238" t="s">
        <v>120</v>
      </c>
      <c r="AK56" s="238" t="s">
        <v>141</v>
      </c>
      <c r="AL56" t="s">
        <v>8715</v>
      </c>
      <c r="AM56" t="s">
        <v>1167</v>
      </c>
    </row>
    <row r="57" spans="1:39" hidden="1" x14ac:dyDescent="0.25">
      <c r="A57">
        <v>53</v>
      </c>
      <c r="B57">
        <v>16</v>
      </c>
      <c r="C57" s="24">
        <v>43880</v>
      </c>
      <c r="D57" s="238" t="s">
        <v>20</v>
      </c>
      <c r="E57" s="238" t="s">
        <v>6</v>
      </c>
      <c r="F57">
        <v>4</v>
      </c>
      <c r="G57">
        <v>8</v>
      </c>
      <c r="H57">
        <v>64</v>
      </c>
      <c r="I57" s="238" t="s">
        <v>44</v>
      </c>
      <c r="J57">
        <v>80.33</v>
      </c>
      <c r="K57" s="238" t="s">
        <v>36</v>
      </c>
      <c r="L57">
        <v>3030850.9</v>
      </c>
      <c r="M57">
        <v>0</v>
      </c>
      <c r="N57">
        <v>3030850.9</v>
      </c>
      <c r="O57">
        <v>37730</v>
      </c>
      <c r="P57">
        <v>0</v>
      </c>
      <c r="Q57">
        <v>3030850.9</v>
      </c>
      <c r="R57">
        <v>37730</v>
      </c>
      <c r="S57" s="238" t="s">
        <v>137</v>
      </c>
      <c r="T57" s="238" t="s">
        <v>3540</v>
      </c>
      <c r="U57">
        <v>61854</v>
      </c>
      <c r="V57" t="s">
        <v>1167</v>
      </c>
      <c r="W57" s="24">
        <v>43874</v>
      </c>
      <c r="X57" s="238" t="s">
        <v>183</v>
      </c>
      <c r="Y57" s="238" t="s">
        <v>39</v>
      </c>
      <c r="Z57" s="238" t="s">
        <v>1168</v>
      </c>
      <c r="AA57" t="s">
        <v>1167</v>
      </c>
      <c r="AB57" s="238" t="s">
        <v>3246</v>
      </c>
      <c r="AC57" t="s">
        <v>3076</v>
      </c>
      <c r="AD57" s="24"/>
      <c r="AE57" s="238" t="s">
        <v>1269</v>
      </c>
      <c r="AF57">
        <v>79370692509</v>
      </c>
      <c r="AG57" s="238" t="s">
        <v>1270</v>
      </c>
      <c r="AH57" s="238" t="s">
        <v>1171</v>
      </c>
      <c r="AI57" s="238" t="s">
        <v>3074</v>
      </c>
      <c r="AJ57" s="238" t="s">
        <v>130</v>
      </c>
      <c r="AK57" s="238" t="s">
        <v>162</v>
      </c>
      <c r="AL57" t="s">
        <v>8715</v>
      </c>
      <c r="AM57" t="s">
        <v>1167</v>
      </c>
    </row>
    <row r="58" spans="1:39" hidden="1" x14ac:dyDescent="0.25">
      <c r="A58">
        <v>54</v>
      </c>
      <c r="B58">
        <v>17</v>
      </c>
      <c r="C58" s="24">
        <v>43880</v>
      </c>
      <c r="D58" s="238" t="s">
        <v>20</v>
      </c>
      <c r="E58" s="238" t="s">
        <v>5</v>
      </c>
      <c r="F58">
        <v>5</v>
      </c>
      <c r="G58">
        <v>19</v>
      </c>
      <c r="H58">
        <v>274</v>
      </c>
      <c r="I58" s="238" t="s">
        <v>44</v>
      </c>
      <c r="J58">
        <v>78.03</v>
      </c>
      <c r="K58" s="238" t="s">
        <v>36</v>
      </c>
      <c r="L58">
        <v>2997600.48</v>
      </c>
      <c r="M58">
        <v>0</v>
      </c>
      <c r="N58">
        <v>2997600.48</v>
      </c>
      <c r="O58">
        <v>38416</v>
      </c>
      <c r="P58">
        <v>0</v>
      </c>
      <c r="Q58">
        <v>2997600.48</v>
      </c>
      <c r="R58">
        <v>38416</v>
      </c>
      <c r="S58" s="238" t="s">
        <v>137</v>
      </c>
      <c r="T58" s="238" t="s">
        <v>3540</v>
      </c>
      <c r="U58">
        <v>61175.519999999997</v>
      </c>
      <c r="V58" t="s">
        <v>1167</v>
      </c>
      <c r="W58" s="24">
        <v>43880</v>
      </c>
      <c r="X58" s="238" t="s">
        <v>184</v>
      </c>
      <c r="Y58" s="238" t="s">
        <v>39</v>
      </c>
      <c r="Z58" s="238" t="s">
        <v>1168</v>
      </c>
      <c r="AA58" t="s">
        <v>1167</v>
      </c>
      <c r="AB58" s="238" t="s">
        <v>3246</v>
      </c>
      <c r="AC58" t="s">
        <v>3079</v>
      </c>
      <c r="AD58" s="24"/>
      <c r="AE58" s="238" t="s">
        <v>1271</v>
      </c>
      <c r="AF58">
        <v>79371773000</v>
      </c>
      <c r="AG58" s="238" t="s">
        <v>1272</v>
      </c>
      <c r="AH58" s="238" t="s">
        <v>1171</v>
      </c>
      <c r="AI58" s="238" t="s">
        <v>3078</v>
      </c>
      <c r="AJ58" s="238" t="s">
        <v>130</v>
      </c>
      <c r="AK58" s="238" t="s">
        <v>141</v>
      </c>
      <c r="AL58" t="s">
        <v>8715</v>
      </c>
      <c r="AM58" t="s">
        <v>1167</v>
      </c>
    </row>
    <row r="59" spans="1:39" hidden="1" x14ac:dyDescent="0.25">
      <c r="A59">
        <v>55</v>
      </c>
      <c r="B59">
        <v>18</v>
      </c>
      <c r="C59" s="24">
        <v>43881</v>
      </c>
      <c r="D59" s="238" t="s">
        <v>20</v>
      </c>
      <c r="E59" s="238" t="s">
        <v>16</v>
      </c>
      <c r="F59">
        <v>4</v>
      </c>
      <c r="G59">
        <v>2</v>
      </c>
      <c r="H59">
        <v>315</v>
      </c>
      <c r="I59" s="238" t="s">
        <v>43</v>
      </c>
      <c r="J59">
        <v>60.38</v>
      </c>
      <c r="K59" s="238" t="s">
        <v>36</v>
      </c>
      <c r="L59">
        <v>2388029</v>
      </c>
      <c r="M59">
        <v>0</v>
      </c>
      <c r="N59">
        <v>2388029</v>
      </c>
      <c r="O59">
        <v>39550</v>
      </c>
      <c r="P59">
        <v>0</v>
      </c>
      <c r="Q59">
        <v>2388029</v>
      </c>
      <c r="R59">
        <v>39550</v>
      </c>
      <c r="S59" s="238" t="s">
        <v>137</v>
      </c>
      <c r="T59" s="238" t="s">
        <v>1167</v>
      </c>
      <c r="V59" t="s">
        <v>1167</v>
      </c>
      <c r="W59" s="24">
        <v>43886</v>
      </c>
      <c r="X59" s="238" t="s">
        <v>185</v>
      </c>
      <c r="Y59" s="238" t="s">
        <v>39</v>
      </c>
      <c r="Z59" s="238" t="s">
        <v>1168</v>
      </c>
      <c r="AA59" t="s">
        <v>1167</v>
      </c>
      <c r="AB59" s="238" t="s">
        <v>3246</v>
      </c>
      <c r="AC59" t="s">
        <v>3079</v>
      </c>
      <c r="AD59" s="24"/>
      <c r="AE59" s="238" t="s">
        <v>1273</v>
      </c>
      <c r="AF59">
        <v>79277372098</v>
      </c>
      <c r="AG59" s="238" t="s">
        <v>1274</v>
      </c>
      <c r="AH59" s="238" t="s">
        <v>1171</v>
      </c>
      <c r="AI59" s="238" t="s">
        <v>135</v>
      </c>
      <c r="AJ59" s="238" t="s">
        <v>126</v>
      </c>
      <c r="AK59" s="238" t="s">
        <v>141</v>
      </c>
      <c r="AL59" t="s">
        <v>8715</v>
      </c>
      <c r="AM59" t="s">
        <v>1167</v>
      </c>
    </row>
    <row r="60" spans="1:39" hidden="1" x14ac:dyDescent="0.25">
      <c r="A60">
        <v>56</v>
      </c>
      <c r="B60">
        <v>19</v>
      </c>
      <c r="C60" s="24">
        <v>43881</v>
      </c>
      <c r="D60" s="238" t="s">
        <v>20</v>
      </c>
      <c r="E60" s="238" t="s">
        <v>16</v>
      </c>
      <c r="F60">
        <v>1</v>
      </c>
      <c r="G60">
        <v>2</v>
      </c>
      <c r="H60">
        <v>312</v>
      </c>
      <c r="I60" s="238" t="s">
        <v>43</v>
      </c>
      <c r="J60">
        <v>59.13</v>
      </c>
      <c r="K60" s="238" t="s">
        <v>36</v>
      </c>
      <c r="L60">
        <v>2291819.67</v>
      </c>
      <c r="M60">
        <v>0</v>
      </c>
      <c r="N60">
        <v>2291819.67</v>
      </c>
      <c r="O60">
        <v>38759</v>
      </c>
      <c r="P60">
        <v>0</v>
      </c>
      <c r="Q60">
        <v>2291819.67</v>
      </c>
      <c r="R60">
        <v>38759</v>
      </c>
      <c r="S60" s="238" t="s">
        <v>137</v>
      </c>
      <c r="T60" s="238" t="s">
        <v>3540</v>
      </c>
      <c r="U60">
        <v>46771.83</v>
      </c>
      <c r="V60" t="s">
        <v>1167</v>
      </c>
      <c r="W60" s="24">
        <v>43886</v>
      </c>
      <c r="X60" s="238" t="s">
        <v>186</v>
      </c>
      <c r="Y60" s="238" t="s">
        <v>39</v>
      </c>
      <c r="Z60" s="238" t="s">
        <v>1168</v>
      </c>
      <c r="AA60" t="s">
        <v>1167</v>
      </c>
      <c r="AB60" s="238" t="s">
        <v>3246</v>
      </c>
      <c r="AC60" t="s">
        <v>3079</v>
      </c>
      <c r="AD60" s="24"/>
      <c r="AE60" s="238" t="s">
        <v>1275</v>
      </c>
      <c r="AF60">
        <v>79871512043</v>
      </c>
      <c r="AG60" s="238" t="s">
        <v>1276</v>
      </c>
      <c r="AH60" s="238" t="s">
        <v>1171</v>
      </c>
      <c r="AI60" s="238" t="s">
        <v>3072</v>
      </c>
      <c r="AJ60" s="238" t="s">
        <v>355</v>
      </c>
      <c r="AK60" s="238" t="s">
        <v>141</v>
      </c>
      <c r="AL60" t="s">
        <v>8715</v>
      </c>
      <c r="AM60" t="s">
        <v>1167</v>
      </c>
    </row>
    <row r="61" spans="1:39" hidden="1" x14ac:dyDescent="0.25">
      <c r="A61">
        <v>57</v>
      </c>
      <c r="B61">
        <v>20</v>
      </c>
      <c r="C61" s="24">
        <v>43881</v>
      </c>
      <c r="D61" s="238" t="s">
        <v>20</v>
      </c>
      <c r="E61" s="238" t="s">
        <v>5</v>
      </c>
      <c r="F61">
        <v>7</v>
      </c>
      <c r="G61">
        <v>22</v>
      </c>
      <c r="H61">
        <v>297</v>
      </c>
      <c r="I61" s="238" t="s">
        <v>43</v>
      </c>
      <c r="J61">
        <v>63.74</v>
      </c>
      <c r="K61" s="238" t="s">
        <v>36</v>
      </c>
      <c r="L61">
        <v>2498608</v>
      </c>
      <c r="M61">
        <v>0</v>
      </c>
      <c r="N61">
        <v>2498608</v>
      </c>
      <c r="O61">
        <v>39200</v>
      </c>
      <c r="P61">
        <v>0</v>
      </c>
      <c r="Q61">
        <v>2498608</v>
      </c>
      <c r="R61">
        <v>39200</v>
      </c>
      <c r="S61" s="238" t="s">
        <v>137</v>
      </c>
      <c r="T61" s="238" t="s">
        <v>1167</v>
      </c>
      <c r="V61" t="s">
        <v>1167</v>
      </c>
      <c r="W61" s="24">
        <v>43888</v>
      </c>
      <c r="X61" s="238" t="s">
        <v>187</v>
      </c>
      <c r="Y61" s="238" t="s">
        <v>39</v>
      </c>
      <c r="Z61" s="238" t="s">
        <v>1168</v>
      </c>
      <c r="AA61" t="s">
        <v>1167</v>
      </c>
      <c r="AB61" s="238" t="s">
        <v>3246</v>
      </c>
      <c r="AC61" t="s">
        <v>3079</v>
      </c>
      <c r="AD61" s="24"/>
      <c r="AE61" s="238" t="s">
        <v>1277</v>
      </c>
      <c r="AF61">
        <v>79272045826</v>
      </c>
      <c r="AG61" s="238" t="s">
        <v>1278</v>
      </c>
      <c r="AH61" s="238" t="s">
        <v>1197</v>
      </c>
      <c r="AI61" s="238" t="s">
        <v>3074</v>
      </c>
      <c r="AJ61" s="238" t="s">
        <v>120</v>
      </c>
      <c r="AK61" s="238" t="s">
        <v>162</v>
      </c>
      <c r="AL61" t="s">
        <v>8715</v>
      </c>
      <c r="AM61" t="s">
        <v>1167</v>
      </c>
    </row>
    <row r="62" spans="1:39" hidden="1" x14ac:dyDescent="0.25">
      <c r="A62">
        <v>58</v>
      </c>
      <c r="B62">
        <v>21</v>
      </c>
      <c r="C62" s="24">
        <v>43882</v>
      </c>
      <c r="D62" s="238" t="s">
        <v>20</v>
      </c>
      <c r="E62" s="238" t="s">
        <v>16</v>
      </c>
      <c r="F62">
        <v>5</v>
      </c>
      <c r="G62">
        <v>2</v>
      </c>
      <c r="H62">
        <v>316</v>
      </c>
      <c r="I62" s="238" t="s">
        <v>43</v>
      </c>
      <c r="J62">
        <v>60.9</v>
      </c>
      <c r="K62" s="238" t="s">
        <v>36</v>
      </c>
      <c r="L62">
        <v>2360423.1</v>
      </c>
      <c r="M62">
        <v>0</v>
      </c>
      <c r="N62">
        <v>2360423.1</v>
      </c>
      <c r="O62">
        <v>38759</v>
      </c>
      <c r="P62">
        <v>0</v>
      </c>
      <c r="Q62">
        <v>2360423.1</v>
      </c>
      <c r="R62">
        <v>38759</v>
      </c>
      <c r="S62" s="238" t="s">
        <v>124</v>
      </c>
      <c r="T62" s="238" t="s">
        <v>3540</v>
      </c>
      <c r="U62">
        <v>48171</v>
      </c>
      <c r="V62" t="s">
        <v>1167</v>
      </c>
      <c r="W62" s="24">
        <v>43881</v>
      </c>
      <c r="X62" s="238" t="s">
        <v>189</v>
      </c>
      <c r="Y62" s="238" t="s">
        <v>39</v>
      </c>
      <c r="Z62" s="238" t="s">
        <v>1168</v>
      </c>
      <c r="AA62" t="s">
        <v>1167</v>
      </c>
      <c r="AB62" s="238" t="s">
        <v>3246</v>
      </c>
      <c r="AC62" t="s">
        <v>4246</v>
      </c>
      <c r="AD62" s="24"/>
      <c r="AE62" s="238" t="s">
        <v>1279</v>
      </c>
      <c r="AF62">
        <v>79276500215</v>
      </c>
      <c r="AG62" s="238" t="s">
        <v>1280</v>
      </c>
      <c r="AH62" s="238" t="s">
        <v>1171</v>
      </c>
      <c r="AI62" s="238" t="s">
        <v>135</v>
      </c>
      <c r="AJ62" s="238" t="s">
        <v>126</v>
      </c>
      <c r="AK62" s="238" t="s">
        <v>1167</v>
      </c>
      <c r="AL62" t="s">
        <v>8715</v>
      </c>
      <c r="AM62" t="s">
        <v>1167</v>
      </c>
    </row>
    <row r="63" spans="1:39" hidden="1" x14ac:dyDescent="0.25">
      <c r="A63">
        <v>59</v>
      </c>
      <c r="B63">
        <v>22</v>
      </c>
      <c r="C63" s="24">
        <v>43882</v>
      </c>
      <c r="D63" s="238" t="s">
        <v>20</v>
      </c>
      <c r="E63" s="238" t="s">
        <v>6</v>
      </c>
      <c r="F63">
        <v>4</v>
      </c>
      <c r="G63">
        <v>2</v>
      </c>
      <c r="H63">
        <v>4</v>
      </c>
      <c r="I63" s="238" t="s">
        <v>44</v>
      </c>
      <c r="J63">
        <v>81.41</v>
      </c>
      <c r="K63" s="238" t="s">
        <v>36</v>
      </c>
      <c r="L63">
        <v>3134285</v>
      </c>
      <c r="M63">
        <v>0</v>
      </c>
      <c r="N63">
        <v>3134285</v>
      </c>
      <c r="O63">
        <v>38500</v>
      </c>
      <c r="P63">
        <v>0</v>
      </c>
      <c r="Q63">
        <v>3134285</v>
      </c>
      <c r="R63">
        <v>38500</v>
      </c>
      <c r="S63" s="238" t="s">
        <v>137</v>
      </c>
      <c r="T63" s="238" t="s">
        <v>1167</v>
      </c>
      <c r="V63" t="s">
        <v>1167</v>
      </c>
      <c r="W63" s="24">
        <v>43882</v>
      </c>
      <c r="X63" s="238" t="s">
        <v>188</v>
      </c>
      <c r="Y63" s="238" t="s">
        <v>39</v>
      </c>
      <c r="Z63" s="238" t="s">
        <v>1168</v>
      </c>
      <c r="AA63" t="s">
        <v>1167</v>
      </c>
      <c r="AB63" s="238" t="s">
        <v>3246</v>
      </c>
      <c r="AC63" t="s">
        <v>3079</v>
      </c>
      <c r="AD63" s="24"/>
      <c r="AE63" s="238" t="s">
        <v>1281</v>
      </c>
      <c r="AF63">
        <v>79272099214</v>
      </c>
      <c r="AG63" s="238" t="s">
        <v>1282</v>
      </c>
      <c r="AH63" s="238" t="s">
        <v>1171</v>
      </c>
      <c r="AI63" s="238" t="s">
        <v>3075</v>
      </c>
      <c r="AJ63" s="238" t="s">
        <v>355</v>
      </c>
      <c r="AK63" s="238" t="s">
        <v>162</v>
      </c>
      <c r="AL63" t="s">
        <v>8715</v>
      </c>
      <c r="AM63" t="s">
        <v>1167</v>
      </c>
    </row>
    <row r="64" spans="1:39" hidden="1" x14ac:dyDescent="0.25">
      <c r="A64">
        <v>60</v>
      </c>
      <c r="B64">
        <v>23</v>
      </c>
      <c r="C64" s="24">
        <v>43886</v>
      </c>
      <c r="D64" s="238" t="s">
        <v>20</v>
      </c>
      <c r="E64" s="238" t="s">
        <v>6</v>
      </c>
      <c r="F64">
        <v>2</v>
      </c>
      <c r="G64">
        <v>8</v>
      </c>
      <c r="H64">
        <v>62</v>
      </c>
      <c r="I64" s="238" t="s">
        <v>4052</v>
      </c>
      <c r="J64">
        <v>31.88</v>
      </c>
      <c r="K64" s="238" t="s">
        <v>36</v>
      </c>
      <c r="L64">
        <v>1323115.6399999999</v>
      </c>
      <c r="M64">
        <v>0</v>
      </c>
      <c r="N64">
        <v>1323115.6399999999</v>
      </c>
      <c r="O64">
        <v>41503</v>
      </c>
      <c r="P64">
        <v>0</v>
      </c>
      <c r="Q64">
        <v>1323115.6399999999</v>
      </c>
      <c r="R64">
        <v>41503</v>
      </c>
      <c r="S64" s="238" t="s">
        <v>124</v>
      </c>
      <c r="T64" s="238" t="s">
        <v>3540</v>
      </c>
      <c r="U64">
        <v>27002.36</v>
      </c>
      <c r="V64" t="s">
        <v>1167</v>
      </c>
      <c r="W64" s="24">
        <v>43886</v>
      </c>
      <c r="X64" s="238" t="s">
        <v>190</v>
      </c>
      <c r="Y64" s="238" t="s">
        <v>39</v>
      </c>
      <c r="Z64" s="238" t="s">
        <v>1168</v>
      </c>
      <c r="AA64" t="s">
        <v>1167</v>
      </c>
      <c r="AB64" s="238" t="s">
        <v>3246</v>
      </c>
      <c r="AC64" t="s">
        <v>4246</v>
      </c>
      <c r="AD64" s="24"/>
      <c r="AE64" s="238" t="s">
        <v>1283</v>
      </c>
      <c r="AF64">
        <v>79377973620</v>
      </c>
      <c r="AG64" s="238" t="s">
        <v>1284</v>
      </c>
      <c r="AH64" s="238" t="s">
        <v>1171</v>
      </c>
      <c r="AI64" s="238" t="s">
        <v>3072</v>
      </c>
      <c r="AJ64" s="238" t="s">
        <v>126</v>
      </c>
      <c r="AK64" s="238" t="s">
        <v>1167</v>
      </c>
      <c r="AL64" t="s">
        <v>8715</v>
      </c>
      <c r="AM64" t="s">
        <v>1167</v>
      </c>
    </row>
    <row r="65" spans="1:39" hidden="1" x14ac:dyDescent="0.25">
      <c r="A65">
        <v>61</v>
      </c>
      <c r="B65">
        <v>24</v>
      </c>
      <c r="C65" s="24">
        <v>43886</v>
      </c>
      <c r="D65" s="238" t="s">
        <v>20</v>
      </c>
      <c r="E65" s="238" t="s">
        <v>6</v>
      </c>
      <c r="F65">
        <v>6</v>
      </c>
      <c r="G65">
        <v>8</v>
      </c>
      <c r="H65">
        <v>66</v>
      </c>
      <c r="I65" s="238" t="s">
        <v>43</v>
      </c>
      <c r="J65">
        <v>63.03</v>
      </c>
      <c r="K65" s="238" t="s">
        <v>36</v>
      </c>
      <c r="L65">
        <v>2426655</v>
      </c>
      <c r="M65">
        <v>0</v>
      </c>
      <c r="N65">
        <v>2426655</v>
      </c>
      <c r="O65">
        <v>38500</v>
      </c>
      <c r="P65">
        <v>0</v>
      </c>
      <c r="Q65">
        <v>2426655</v>
      </c>
      <c r="R65">
        <v>38500</v>
      </c>
      <c r="S65" s="238" t="s">
        <v>124</v>
      </c>
      <c r="T65" s="238" t="s">
        <v>1167</v>
      </c>
      <c r="V65" t="s">
        <v>1167</v>
      </c>
      <c r="W65" s="24">
        <v>43882</v>
      </c>
      <c r="X65" s="238" t="s">
        <v>192</v>
      </c>
      <c r="Y65" s="238" t="s">
        <v>39</v>
      </c>
      <c r="Z65" s="238" t="s">
        <v>1168</v>
      </c>
      <c r="AA65" t="s">
        <v>1167</v>
      </c>
      <c r="AB65" s="238" t="s">
        <v>3246</v>
      </c>
      <c r="AC65" t="s">
        <v>4246</v>
      </c>
      <c r="AD65" s="24"/>
      <c r="AE65" s="238" t="s">
        <v>1285</v>
      </c>
      <c r="AF65">
        <v>79270071838</v>
      </c>
      <c r="AG65" s="238" t="s">
        <v>1286</v>
      </c>
      <c r="AH65" s="238" t="s">
        <v>1171</v>
      </c>
      <c r="AI65" s="238" t="s">
        <v>3085</v>
      </c>
      <c r="AJ65" s="238" t="s">
        <v>355</v>
      </c>
      <c r="AK65" s="238" t="s">
        <v>1167</v>
      </c>
      <c r="AL65" t="s">
        <v>8715</v>
      </c>
      <c r="AM65" t="s">
        <v>1167</v>
      </c>
    </row>
    <row r="66" spans="1:39" hidden="1" x14ac:dyDescent="0.25">
      <c r="A66">
        <v>62</v>
      </c>
      <c r="B66">
        <v>25</v>
      </c>
      <c r="C66" s="24">
        <v>43886</v>
      </c>
      <c r="D66" s="238" t="s">
        <v>20</v>
      </c>
      <c r="E66" s="238" t="s">
        <v>5</v>
      </c>
      <c r="F66">
        <v>7</v>
      </c>
      <c r="G66">
        <v>24</v>
      </c>
      <c r="H66">
        <v>311</v>
      </c>
      <c r="I66" s="238" t="s">
        <v>43</v>
      </c>
      <c r="J66">
        <v>63.74</v>
      </c>
      <c r="K66" s="238" t="s">
        <v>36</v>
      </c>
      <c r="L66">
        <v>2448635.84</v>
      </c>
      <c r="M66">
        <v>0</v>
      </c>
      <c r="N66">
        <v>2448635.84</v>
      </c>
      <c r="O66">
        <v>38416</v>
      </c>
      <c r="P66">
        <v>0</v>
      </c>
      <c r="Q66">
        <v>2448635.84</v>
      </c>
      <c r="R66">
        <v>38416</v>
      </c>
      <c r="S66" s="238" t="s">
        <v>124</v>
      </c>
      <c r="T66" s="238" t="s">
        <v>3540</v>
      </c>
      <c r="U66">
        <v>49972.160000000003</v>
      </c>
      <c r="V66" t="s">
        <v>1167</v>
      </c>
      <c r="W66" s="24">
        <v>43890</v>
      </c>
      <c r="X66" s="238" t="s">
        <v>191</v>
      </c>
      <c r="Y66" s="238" t="s">
        <v>39</v>
      </c>
      <c r="Z66" s="238" t="s">
        <v>1168</v>
      </c>
      <c r="AA66" t="s">
        <v>1167</v>
      </c>
      <c r="AB66" s="238" t="s">
        <v>3246</v>
      </c>
      <c r="AC66" t="s">
        <v>4246</v>
      </c>
      <c r="AD66" s="24"/>
      <c r="AE66" s="238" t="s">
        <v>1287</v>
      </c>
      <c r="AF66">
        <v>79089224421</v>
      </c>
      <c r="AG66" s="238" t="s">
        <v>1288</v>
      </c>
      <c r="AH66" s="238" t="s">
        <v>1171</v>
      </c>
      <c r="AI66" s="238" t="s">
        <v>3073</v>
      </c>
      <c r="AJ66" s="238" t="s">
        <v>355</v>
      </c>
      <c r="AK66" s="238" t="s">
        <v>1167</v>
      </c>
      <c r="AL66" t="s">
        <v>8715</v>
      </c>
      <c r="AM66" t="s">
        <v>1167</v>
      </c>
    </row>
    <row r="67" spans="1:39" hidden="1" x14ac:dyDescent="0.25">
      <c r="A67">
        <v>63</v>
      </c>
      <c r="B67">
        <v>26</v>
      </c>
      <c r="C67" s="24">
        <v>43887</v>
      </c>
      <c r="D67" s="238" t="s">
        <v>20</v>
      </c>
      <c r="E67" s="238" t="s">
        <v>6</v>
      </c>
      <c r="F67">
        <v>4</v>
      </c>
      <c r="G67">
        <v>10</v>
      </c>
      <c r="H67">
        <v>84</v>
      </c>
      <c r="I67" s="238" t="s">
        <v>44</v>
      </c>
      <c r="J67">
        <v>80.33</v>
      </c>
      <c r="K67" s="238" t="s">
        <v>36</v>
      </c>
      <c r="L67">
        <v>3085957.28</v>
      </c>
      <c r="M67">
        <v>0</v>
      </c>
      <c r="N67">
        <v>3085957.28</v>
      </c>
      <c r="O67">
        <v>38416</v>
      </c>
      <c r="P67">
        <v>0</v>
      </c>
      <c r="Q67">
        <v>3085957.28</v>
      </c>
      <c r="R67">
        <v>38416</v>
      </c>
      <c r="S67" s="238" t="s">
        <v>124</v>
      </c>
      <c r="T67" s="238" t="s">
        <v>3540</v>
      </c>
      <c r="U67">
        <v>62987.72</v>
      </c>
      <c r="V67" t="s">
        <v>1167</v>
      </c>
      <c r="W67" s="24">
        <v>43890</v>
      </c>
      <c r="X67" s="238" t="s">
        <v>193</v>
      </c>
      <c r="Y67" s="238" t="s">
        <v>39</v>
      </c>
      <c r="Z67" s="238" t="s">
        <v>1168</v>
      </c>
      <c r="AA67" t="s">
        <v>1167</v>
      </c>
      <c r="AB67" s="238" t="s">
        <v>3246</v>
      </c>
      <c r="AC67" t="s">
        <v>4246</v>
      </c>
      <c r="AD67" s="24"/>
      <c r="AE67" s="238" t="s">
        <v>1287</v>
      </c>
      <c r="AF67">
        <v>79089224421</v>
      </c>
      <c r="AG67" s="238" t="s">
        <v>1288</v>
      </c>
      <c r="AH67" s="238" t="s">
        <v>1197</v>
      </c>
      <c r="AI67" s="238" t="s">
        <v>3073</v>
      </c>
      <c r="AJ67" s="238" t="s">
        <v>355</v>
      </c>
      <c r="AK67" s="238" t="s">
        <v>1167</v>
      </c>
      <c r="AL67" t="s">
        <v>8715</v>
      </c>
      <c r="AM67" t="s">
        <v>1167</v>
      </c>
    </row>
    <row r="68" spans="1:39" hidden="1" x14ac:dyDescent="0.25">
      <c r="A68">
        <v>64</v>
      </c>
      <c r="B68">
        <v>27</v>
      </c>
      <c r="C68" s="24">
        <v>43889</v>
      </c>
      <c r="D68" s="238" t="s">
        <v>20</v>
      </c>
      <c r="E68" s="238" t="s">
        <v>5</v>
      </c>
      <c r="F68">
        <v>3</v>
      </c>
      <c r="G68">
        <v>7</v>
      </c>
      <c r="H68">
        <v>188</v>
      </c>
      <c r="I68" s="238" t="s">
        <v>42</v>
      </c>
      <c r="J68">
        <v>41.48</v>
      </c>
      <c r="K68" s="238" t="s">
        <v>36</v>
      </c>
      <c r="L68">
        <v>1756678</v>
      </c>
      <c r="M68">
        <v>0</v>
      </c>
      <c r="N68">
        <v>1756678</v>
      </c>
      <c r="O68">
        <v>42350</v>
      </c>
      <c r="P68">
        <v>0</v>
      </c>
      <c r="Q68">
        <v>1756678</v>
      </c>
      <c r="R68">
        <v>42350</v>
      </c>
      <c r="S68" s="238" t="s">
        <v>137</v>
      </c>
      <c r="T68" s="238" t="s">
        <v>1167</v>
      </c>
      <c r="V68" t="s">
        <v>1167</v>
      </c>
      <c r="W68" s="24">
        <v>43876</v>
      </c>
      <c r="X68" s="238" t="s">
        <v>194</v>
      </c>
      <c r="Y68" s="238" t="s">
        <v>39</v>
      </c>
      <c r="Z68" s="238" t="s">
        <v>1168</v>
      </c>
      <c r="AA68" t="s">
        <v>1167</v>
      </c>
      <c r="AB68" s="238" t="s">
        <v>3246</v>
      </c>
      <c r="AC68" t="s">
        <v>3076</v>
      </c>
      <c r="AD68" s="24"/>
      <c r="AE68" s="238" t="s">
        <v>1289</v>
      </c>
      <c r="AF68">
        <v>79379916828</v>
      </c>
      <c r="AG68" s="238" t="s">
        <v>1290</v>
      </c>
      <c r="AH68" s="238" t="s">
        <v>1171</v>
      </c>
      <c r="AI68" s="238" t="s">
        <v>3078</v>
      </c>
      <c r="AJ68" s="238" t="s">
        <v>355</v>
      </c>
      <c r="AK68" s="238" t="s">
        <v>141</v>
      </c>
      <c r="AL68" t="s">
        <v>8715</v>
      </c>
      <c r="AM68" t="s">
        <v>1167</v>
      </c>
    </row>
    <row r="69" spans="1:39" hidden="1" x14ac:dyDescent="0.25">
      <c r="A69">
        <v>65</v>
      </c>
      <c r="B69">
        <v>28</v>
      </c>
      <c r="C69" s="24">
        <v>43889</v>
      </c>
      <c r="D69" s="238" t="s">
        <v>20</v>
      </c>
      <c r="E69" s="238" t="s">
        <v>6</v>
      </c>
      <c r="F69">
        <v>2</v>
      </c>
      <c r="G69">
        <v>3</v>
      </c>
      <c r="H69">
        <v>12</v>
      </c>
      <c r="I69" s="238" t="s">
        <v>4052</v>
      </c>
      <c r="J69">
        <v>31.88</v>
      </c>
      <c r="K69" s="238" t="s">
        <v>36</v>
      </c>
      <c r="L69">
        <v>1350118</v>
      </c>
      <c r="M69">
        <v>0</v>
      </c>
      <c r="N69">
        <v>1350118</v>
      </c>
      <c r="O69">
        <v>42350</v>
      </c>
      <c r="P69">
        <v>0</v>
      </c>
      <c r="Q69">
        <v>1350118</v>
      </c>
      <c r="R69">
        <v>42350</v>
      </c>
      <c r="S69" s="238" t="s">
        <v>137</v>
      </c>
      <c r="T69" s="238" t="s">
        <v>1167</v>
      </c>
      <c r="V69" t="s">
        <v>1167</v>
      </c>
      <c r="W69" s="24">
        <v>43889</v>
      </c>
      <c r="X69" s="238" t="s">
        <v>195</v>
      </c>
      <c r="Y69" s="238" t="s">
        <v>39</v>
      </c>
      <c r="Z69" s="238" t="s">
        <v>1168</v>
      </c>
      <c r="AA69" t="s">
        <v>1167</v>
      </c>
      <c r="AB69" s="238" t="s">
        <v>3246</v>
      </c>
      <c r="AC69" t="s">
        <v>3077</v>
      </c>
      <c r="AD69" s="24"/>
      <c r="AE69" s="238" t="s">
        <v>1291</v>
      </c>
      <c r="AF69">
        <v>79276075505</v>
      </c>
      <c r="AG69" s="238" t="s">
        <v>1292</v>
      </c>
      <c r="AH69" s="238" t="s">
        <v>1171</v>
      </c>
      <c r="AI69" s="238" t="s">
        <v>3089</v>
      </c>
      <c r="AJ69" s="238" t="s">
        <v>120</v>
      </c>
      <c r="AK69" s="238" t="s">
        <v>141</v>
      </c>
      <c r="AL69" t="s">
        <v>8715</v>
      </c>
      <c r="AM69" t="s">
        <v>1167</v>
      </c>
    </row>
    <row r="70" spans="1:39" hidden="1" x14ac:dyDescent="0.25">
      <c r="A70">
        <v>66</v>
      </c>
      <c r="B70">
        <v>1</v>
      </c>
      <c r="C70" s="24">
        <v>43891</v>
      </c>
      <c r="D70" s="238" t="s">
        <v>20</v>
      </c>
      <c r="E70" s="238" t="s">
        <v>6</v>
      </c>
      <c r="F70">
        <v>1</v>
      </c>
      <c r="G70">
        <v>3</v>
      </c>
      <c r="H70">
        <v>11</v>
      </c>
      <c r="I70" s="238" t="s">
        <v>4052</v>
      </c>
      <c r="J70">
        <v>32.03</v>
      </c>
      <c r="K70" s="238" t="s">
        <v>36</v>
      </c>
      <c r="L70">
        <v>1351313.67</v>
      </c>
      <c r="M70">
        <v>0</v>
      </c>
      <c r="N70">
        <v>1351313.67</v>
      </c>
      <c r="O70">
        <v>42188.999999999993</v>
      </c>
      <c r="P70">
        <v>0</v>
      </c>
      <c r="Q70">
        <v>1351313.67</v>
      </c>
      <c r="R70">
        <v>42188.999999999993</v>
      </c>
      <c r="S70" s="238" t="s">
        <v>121</v>
      </c>
      <c r="T70" s="238" t="s">
        <v>1167</v>
      </c>
      <c r="V70" t="s">
        <v>1167</v>
      </c>
      <c r="W70" s="24">
        <v>43891</v>
      </c>
      <c r="X70" s="238" t="s">
        <v>196</v>
      </c>
      <c r="Y70" s="238" t="s">
        <v>39</v>
      </c>
      <c r="Z70" s="238" t="s">
        <v>1168</v>
      </c>
      <c r="AA70" t="s">
        <v>1167</v>
      </c>
      <c r="AB70" s="238" t="s">
        <v>3246</v>
      </c>
      <c r="AC70" t="s">
        <v>4246</v>
      </c>
      <c r="AD70" s="24"/>
      <c r="AE70" s="238" t="s">
        <v>1293</v>
      </c>
      <c r="AF70">
        <v>79277931246</v>
      </c>
      <c r="AG70" s="238" t="s">
        <v>1294</v>
      </c>
      <c r="AH70" s="238" t="s">
        <v>1212</v>
      </c>
      <c r="AI70" s="238" t="s">
        <v>3094</v>
      </c>
      <c r="AJ70" s="238" t="s">
        <v>126</v>
      </c>
      <c r="AK70" s="238" t="s">
        <v>1167</v>
      </c>
      <c r="AL70" t="s">
        <v>8715</v>
      </c>
      <c r="AM70" t="s">
        <v>1167</v>
      </c>
    </row>
    <row r="71" spans="1:39" hidden="1" x14ac:dyDescent="0.25">
      <c r="A71">
        <v>67</v>
      </c>
      <c r="B71">
        <v>2</v>
      </c>
      <c r="C71" s="24">
        <v>43895</v>
      </c>
      <c r="D71" s="238" t="s">
        <v>20</v>
      </c>
      <c r="E71" s="238" t="s">
        <v>6</v>
      </c>
      <c r="F71">
        <v>1</v>
      </c>
      <c r="G71">
        <v>8</v>
      </c>
      <c r="I71" s="238" t="s">
        <v>4052</v>
      </c>
      <c r="J71">
        <v>32.03</v>
      </c>
      <c r="K71" s="238" t="s">
        <v>36</v>
      </c>
      <c r="L71">
        <v>1345260</v>
      </c>
      <c r="M71">
        <v>0</v>
      </c>
      <c r="N71">
        <v>1345260</v>
      </c>
      <c r="O71">
        <v>42000</v>
      </c>
      <c r="P71">
        <v>16015</v>
      </c>
      <c r="Q71">
        <v>1329245</v>
      </c>
      <c r="R71">
        <v>41500</v>
      </c>
      <c r="S71" s="238" t="s">
        <v>124</v>
      </c>
      <c r="T71" s="238" t="s">
        <v>1167</v>
      </c>
      <c r="V71" t="s">
        <v>1167</v>
      </c>
      <c r="W71" s="24">
        <v>43892</v>
      </c>
      <c r="X71" s="238" t="s">
        <v>197</v>
      </c>
      <c r="Y71" s="238" t="s">
        <v>1172</v>
      </c>
      <c r="Z71" s="238" t="s">
        <v>1168</v>
      </c>
      <c r="AA71" t="s">
        <v>1167</v>
      </c>
      <c r="AB71" s="238" t="s">
        <v>3246</v>
      </c>
      <c r="AC71" t="s">
        <v>4246</v>
      </c>
      <c r="AD71" s="24">
        <v>44111</v>
      </c>
      <c r="AE71" s="238" t="s">
        <v>1295</v>
      </c>
      <c r="AF71">
        <v>79276850734</v>
      </c>
      <c r="AG71" s="238" t="s">
        <v>1296</v>
      </c>
      <c r="AH71" s="238" t="s">
        <v>1212</v>
      </c>
      <c r="AI71" s="238" t="s">
        <v>3086</v>
      </c>
      <c r="AJ71" s="238" t="s">
        <v>126</v>
      </c>
      <c r="AK71" s="238" t="s">
        <v>1167</v>
      </c>
      <c r="AL71" t="s">
        <v>8715</v>
      </c>
      <c r="AM71" t="s">
        <v>1167</v>
      </c>
    </row>
    <row r="72" spans="1:39" hidden="1" x14ac:dyDescent="0.25">
      <c r="A72">
        <v>68</v>
      </c>
      <c r="B72">
        <v>3</v>
      </c>
      <c r="C72" s="24">
        <v>43896</v>
      </c>
      <c r="D72" s="238" t="s">
        <v>20</v>
      </c>
      <c r="E72" s="238" t="s">
        <v>5</v>
      </c>
      <c r="F72">
        <v>1</v>
      </c>
      <c r="G72">
        <v>19</v>
      </c>
      <c r="H72">
        <v>270</v>
      </c>
      <c r="I72" s="238" t="s">
        <v>44</v>
      </c>
      <c r="J72">
        <v>89.56</v>
      </c>
      <c r="K72" s="238" t="s">
        <v>36</v>
      </c>
      <c r="L72">
        <v>3510752</v>
      </c>
      <c r="M72">
        <v>0</v>
      </c>
      <c r="N72">
        <v>3510752</v>
      </c>
      <c r="O72">
        <v>39200</v>
      </c>
      <c r="P72">
        <v>44780</v>
      </c>
      <c r="Q72">
        <v>3465972</v>
      </c>
      <c r="R72">
        <v>38700</v>
      </c>
      <c r="S72" s="238" t="s">
        <v>137</v>
      </c>
      <c r="T72" s="238" t="s">
        <v>1167</v>
      </c>
      <c r="V72" t="s">
        <v>1167</v>
      </c>
      <c r="W72" s="24">
        <v>43895</v>
      </c>
      <c r="X72" s="238" t="s">
        <v>198</v>
      </c>
      <c r="Y72" s="238" t="s">
        <v>39</v>
      </c>
      <c r="Z72" s="238" t="s">
        <v>1168</v>
      </c>
      <c r="AA72" t="s">
        <v>1167</v>
      </c>
      <c r="AB72" s="238" t="s">
        <v>3246</v>
      </c>
      <c r="AC72" t="s">
        <v>3079</v>
      </c>
      <c r="AD72" s="24"/>
      <c r="AE72" s="238" t="s">
        <v>1297</v>
      </c>
      <c r="AF72">
        <v>79991720708</v>
      </c>
      <c r="AG72" s="238" t="s">
        <v>1298</v>
      </c>
      <c r="AH72" s="238" t="s">
        <v>1212</v>
      </c>
      <c r="AI72" s="238" t="s">
        <v>3074</v>
      </c>
      <c r="AJ72" s="238" t="s">
        <v>355</v>
      </c>
      <c r="AK72" s="238" t="s">
        <v>162</v>
      </c>
      <c r="AL72" t="s">
        <v>8715</v>
      </c>
      <c r="AM72" t="s">
        <v>1167</v>
      </c>
    </row>
    <row r="73" spans="1:39" hidden="1" x14ac:dyDescent="0.25">
      <c r="A73">
        <v>69</v>
      </c>
      <c r="B73">
        <v>4</v>
      </c>
      <c r="C73" s="24">
        <v>43900</v>
      </c>
      <c r="D73" s="238" t="s">
        <v>20</v>
      </c>
      <c r="E73" s="238" t="s">
        <v>6</v>
      </c>
      <c r="F73">
        <v>10</v>
      </c>
      <c r="G73">
        <v>2</v>
      </c>
      <c r="H73">
        <v>10</v>
      </c>
      <c r="I73" s="238" t="s">
        <v>43</v>
      </c>
      <c r="J73">
        <v>66.400000000000006</v>
      </c>
      <c r="K73" s="238" t="s">
        <v>36</v>
      </c>
      <c r="L73">
        <v>2602880</v>
      </c>
      <c r="M73">
        <v>0</v>
      </c>
      <c r="N73">
        <v>2602880</v>
      </c>
      <c r="O73">
        <v>39200</v>
      </c>
      <c r="P73">
        <v>0</v>
      </c>
      <c r="Q73">
        <v>2602880</v>
      </c>
      <c r="R73">
        <v>39200</v>
      </c>
      <c r="S73" s="238" t="s">
        <v>124</v>
      </c>
      <c r="T73" s="238" t="s">
        <v>1167</v>
      </c>
      <c r="V73" t="s">
        <v>1167</v>
      </c>
      <c r="W73" s="24">
        <v>43900</v>
      </c>
      <c r="X73" s="238" t="s">
        <v>200</v>
      </c>
      <c r="Y73" s="238" t="s">
        <v>39</v>
      </c>
      <c r="Z73" s="238" t="s">
        <v>1168</v>
      </c>
      <c r="AA73" t="s">
        <v>1167</v>
      </c>
      <c r="AB73" s="238" t="s">
        <v>3246</v>
      </c>
      <c r="AC73" t="s">
        <v>4246</v>
      </c>
      <c r="AD73" s="24"/>
      <c r="AE73" s="238" t="s">
        <v>1299</v>
      </c>
      <c r="AF73">
        <v>79277173128</v>
      </c>
      <c r="AG73" s="238" t="s">
        <v>1300</v>
      </c>
      <c r="AH73" s="238" t="s">
        <v>1171</v>
      </c>
      <c r="AI73" s="238" t="s">
        <v>3074</v>
      </c>
      <c r="AJ73" s="238" t="s">
        <v>355</v>
      </c>
      <c r="AK73" s="238" t="s">
        <v>1167</v>
      </c>
      <c r="AL73" t="s">
        <v>8715</v>
      </c>
      <c r="AM73" t="s">
        <v>1167</v>
      </c>
    </row>
    <row r="74" spans="1:39" hidden="1" x14ac:dyDescent="0.25">
      <c r="A74">
        <v>70</v>
      </c>
      <c r="B74">
        <v>5</v>
      </c>
      <c r="C74" s="24">
        <v>43900</v>
      </c>
      <c r="D74" s="238" t="s">
        <v>20</v>
      </c>
      <c r="E74" s="238" t="s">
        <v>6</v>
      </c>
      <c r="F74">
        <v>9</v>
      </c>
      <c r="G74">
        <v>7</v>
      </c>
      <c r="H74">
        <v>59</v>
      </c>
      <c r="I74" s="238" t="s">
        <v>43</v>
      </c>
      <c r="J74">
        <v>66.14</v>
      </c>
      <c r="K74" s="238" t="s">
        <v>36</v>
      </c>
      <c r="L74">
        <v>2528688.2999999998</v>
      </c>
      <c r="M74">
        <v>0</v>
      </c>
      <c r="N74">
        <v>2528688.2999999998</v>
      </c>
      <c r="O74">
        <v>38232.360145146653</v>
      </c>
      <c r="P74">
        <v>46290</v>
      </c>
      <c r="Q74">
        <v>2482398.2999999998</v>
      </c>
      <c r="R74">
        <v>37532.481100695491</v>
      </c>
      <c r="S74" s="238" t="s">
        <v>124</v>
      </c>
      <c r="T74" s="238" t="s">
        <v>3566</v>
      </c>
      <c r="U74">
        <v>64000</v>
      </c>
      <c r="V74" t="s">
        <v>1167</v>
      </c>
      <c r="W74" s="24">
        <v>43900</v>
      </c>
      <c r="X74" s="238" t="s">
        <v>199</v>
      </c>
      <c r="Y74" s="238" t="s">
        <v>39</v>
      </c>
      <c r="Z74" s="238" t="s">
        <v>1168</v>
      </c>
      <c r="AA74" t="s">
        <v>1167</v>
      </c>
      <c r="AB74" s="238" t="s">
        <v>3246</v>
      </c>
      <c r="AC74" t="s">
        <v>4246</v>
      </c>
      <c r="AD74" s="24"/>
      <c r="AE74" s="238" t="s">
        <v>1301</v>
      </c>
      <c r="AF74">
        <v>79277104463</v>
      </c>
      <c r="AG74" s="238" t="s">
        <v>1302</v>
      </c>
      <c r="AH74" s="238" t="s">
        <v>1171</v>
      </c>
      <c r="AI74" s="238" t="s">
        <v>135</v>
      </c>
      <c r="AJ74" s="238" t="s">
        <v>355</v>
      </c>
      <c r="AK74" s="238" t="s">
        <v>1167</v>
      </c>
      <c r="AL74" t="s">
        <v>8715</v>
      </c>
      <c r="AM74" t="s">
        <v>1167</v>
      </c>
    </row>
    <row r="75" spans="1:39" hidden="1" x14ac:dyDescent="0.25">
      <c r="A75">
        <v>71</v>
      </c>
      <c r="B75">
        <v>6</v>
      </c>
      <c r="C75" s="24">
        <v>43900</v>
      </c>
      <c r="D75" s="238" t="s">
        <v>20</v>
      </c>
      <c r="E75" s="238" t="s">
        <v>5</v>
      </c>
      <c r="F75">
        <v>7</v>
      </c>
      <c r="G75">
        <v>3</v>
      </c>
      <c r="H75">
        <v>164</v>
      </c>
      <c r="I75" s="238" t="s">
        <v>43</v>
      </c>
      <c r="J75">
        <v>63.74</v>
      </c>
      <c r="K75" s="238" t="s">
        <v>36</v>
      </c>
      <c r="L75">
        <v>2440158.42</v>
      </c>
      <c r="M75">
        <v>0</v>
      </c>
      <c r="N75">
        <v>2440158.42</v>
      </c>
      <c r="O75">
        <v>38283</v>
      </c>
      <c r="P75">
        <v>31870</v>
      </c>
      <c r="Q75">
        <v>2408288.42</v>
      </c>
      <c r="R75">
        <v>37783</v>
      </c>
      <c r="S75" s="238" t="s">
        <v>124</v>
      </c>
      <c r="T75" s="238" t="s">
        <v>3540</v>
      </c>
      <c r="U75">
        <v>48888.54</v>
      </c>
      <c r="V75" t="s">
        <v>1167</v>
      </c>
      <c r="W75" s="24">
        <v>43903</v>
      </c>
      <c r="X75" s="238" t="s">
        <v>201</v>
      </c>
      <c r="Y75" s="238" t="s">
        <v>39</v>
      </c>
      <c r="Z75" s="238" t="s">
        <v>1168</v>
      </c>
      <c r="AA75" t="s">
        <v>1167</v>
      </c>
      <c r="AB75" s="238" t="s">
        <v>3246</v>
      </c>
      <c r="AC75" t="s">
        <v>4246</v>
      </c>
      <c r="AD75" s="24"/>
      <c r="AE75" s="238" t="s">
        <v>1303</v>
      </c>
      <c r="AF75">
        <v>79196127842</v>
      </c>
      <c r="AG75" s="238" t="s">
        <v>1304</v>
      </c>
      <c r="AH75" s="238" t="s">
        <v>1212</v>
      </c>
      <c r="AI75" s="238" t="s">
        <v>3095</v>
      </c>
      <c r="AJ75" s="238" t="s">
        <v>355</v>
      </c>
      <c r="AK75" s="238" t="s">
        <v>1167</v>
      </c>
      <c r="AL75" t="s">
        <v>8715</v>
      </c>
      <c r="AM75" t="s">
        <v>1167</v>
      </c>
    </row>
    <row r="76" spans="1:39" hidden="1" x14ac:dyDescent="0.25">
      <c r="A76">
        <v>72</v>
      </c>
      <c r="B76">
        <v>7</v>
      </c>
      <c r="C76" s="24">
        <v>43901</v>
      </c>
      <c r="D76" s="238" t="s">
        <v>20</v>
      </c>
      <c r="E76" s="238" t="s">
        <v>6</v>
      </c>
      <c r="F76">
        <v>4</v>
      </c>
      <c r="G76">
        <v>16</v>
      </c>
      <c r="H76">
        <v>144</v>
      </c>
      <c r="I76" s="238" t="s">
        <v>44</v>
      </c>
      <c r="J76">
        <v>80.33</v>
      </c>
      <c r="K76" s="238" t="s">
        <v>36</v>
      </c>
      <c r="L76">
        <v>3148936</v>
      </c>
      <c r="M76">
        <v>0</v>
      </c>
      <c r="N76">
        <v>3148936</v>
      </c>
      <c r="O76">
        <v>39200</v>
      </c>
      <c r="P76">
        <v>40165</v>
      </c>
      <c r="Q76">
        <v>3108771</v>
      </c>
      <c r="R76">
        <v>38700</v>
      </c>
      <c r="S76" s="238" t="s">
        <v>137</v>
      </c>
      <c r="T76" s="238" t="s">
        <v>1167</v>
      </c>
      <c r="V76" t="s">
        <v>1167</v>
      </c>
      <c r="W76" s="24">
        <v>43902</v>
      </c>
      <c r="X76" s="238" t="s">
        <v>202</v>
      </c>
      <c r="Y76" s="238" t="s">
        <v>39</v>
      </c>
      <c r="Z76" s="238" t="s">
        <v>1168</v>
      </c>
      <c r="AA76" t="s">
        <v>1167</v>
      </c>
      <c r="AB76" s="238" t="s">
        <v>3246</v>
      </c>
      <c r="AC76" t="s">
        <v>3079</v>
      </c>
      <c r="AD76" s="24"/>
      <c r="AE76" s="238" t="s">
        <v>1305</v>
      </c>
      <c r="AF76">
        <v>79033003012</v>
      </c>
      <c r="AG76" s="238" t="s">
        <v>1306</v>
      </c>
      <c r="AH76" s="238" t="s">
        <v>1171</v>
      </c>
      <c r="AI76" s="238" t="s">
        <v>3086</v>
      </c>
      <c r="AJ76" s="238" t="s">
        <v>120</v>
      </c>
      <c r="AK76" s="238" t="s">
        <v>141</v>
      </c>
      <c r="AL76" t="s">
        <v>8715</v>
      </c>
      <c r="AM76" t="s">
        <v>1167</v>
      </c>
    </row>
    <row r="77" spans="1:39" hidden="1" x14ac:dyDescent="0.25">
      <c r="A77">
        <v>73</v>
      </c>
      <c r="B77">
        <v>8</v>
      </c>
      <c r="C77" s="24">
        <v>43902</v>
      </c>
      <c r="D77" s="238" t="s">
        <v>20</v>
      </c>
      <c r="E77" s="238" t="s">
        <v>6</v>
      </c>
      <c r="F77">
        <v>1</v>
      </c>
      <c r="G77">
        <v>13</v>
      </c>
      <c r="H77">
        <v>111</v>
      </c>
      <c r="I77" s="238" t="s">
        <v>4052</v>
      </c>
      <c r="J77">
        <v>32.03</v>
      </c>
      <c r="K77" s="238" t="s">
        <v>37</v>
      </c>
      <c r="L77">
        <v>1523026.5</v>
      </c>
      <c r="M77">
        <v>0</v>
      </c>
      <c r="N77">
        <v>1523026.5</v>
      </c>
      <c r="O77">
        <v>47550</v>
      </c>
      <c r="P77">
        <v>150541</v>
      </c>
      <c r="Q77">
        <v>1372485.5</v>
      </c>
      <c r="R77">
        <v>42850</v>
      </c>
      <c r="S77" s="238" t="s">
        <v>137</v>
      </c>
      <c r="T77" s="238" t="s">
        <v>1167</v>
      </c>
      <c r="V77" t="s">
        <v>1167</v>
      </c>
      <c r="W77" s="24">
        <v>43909</v>
      </c>
      <c r="X77" s="238" t="s">
        <v>203</v>
      </c>
      <c r="Y77" s="238" t="s">
        <v>39</v>
      </c>
      <c r="Z77" s="238" t="s">
        <v>1168</v>
      </c>
      <c r="AA77" t="s">
        <v>1167</v>
      </c>
      <c r="AB77" s="238" t="s">
        <v>3246</v>
      </c>
      <c r="AC77" t="s">
        <v>3077</v>
      </c>
      <c r="AD77" s="24"/>
      <c r="AE77" s="238" t="s">
        <v>1307</v>
      </c>
      <c r="AF77">
        <v>79272619769</v>
      </c>
      <c r="AG77" s="238" t="s">
        <v>1308</v>
      </c>
      <c r="AH77" s="238" t="s">
        <v>1171</v>
      </c>
      <c r="AI77" s="238" t="s">
        <v>3096</v>
      </c>
      <c r="AJ77" s="238" t="s">
        <v>126</v>
      </c>
      <c r="AK77" s="238" t="s">
        <v>141</v>
      </c>
      <c r="AL77" t="s">
        <v>8715</v>
      </c>
      <c r="AM77" t="s">
        <v>1167</v>
      </c>
    </row>
    <row r="78" spans="1:39" hidden="1" x14ac:dyDescent="0.25">
      <c r="A78">
        <v>74</v>
      </c>
      <c r="B78">
        <v>9</v>
      </c>
      <c r="C78" s="24">
        <v>43903</v>
      </c>
      <c r="D78" s="238" t="s">
        <v>20</v>
      </c>
      <c r="E78" s="238" t="s">
        <v>5</v>
      </c>
      <c r="F78">
        <v>7</v>
      </c>
      <c r="G78">
        <v>19</v>
      </c>
      <c r="H78">
        <v>276</v>
      </c>
      <c r="I78" s="238" t="s">
        <v>43</v>
      </c>
      <c r="J78">
        <v>63.74</v>
      </c>
      <c r="K78" s="238" t="s">
        <v>36</v>
      </c>
      <c r="L78">
        <v>2624430.7599999998</v>
      </c>
      <c r="M78">
        <v>0</v>
      </c>
      <c r="N78">
        <v>2624430.7599999998</v>
      </c>
      <c r="O78">
        <v>41173.999999999993</v>
      </c>
      <c r="P78">
        <v>31870</v>
      </c>
      <c r="Q78">
        <v>2592560.7599999998</v>
      </c>
      <c r="R78">
        <v>40673.999999999993</v>
      </c>
      <c r="S78" s="238" t="s">
        <v>124</v>
      </c>
      <c r="T78" s="238" t="s">
        <v>3540</v>
      </c>
      <c r="U78">
        <v>52904.2</v>
      </c>
      <c r="V78" t="s">
        <v>1167</v>
      </c>
      <c r="W78" s="24">
        <v>43903</v>
      </c>
      <c r="X78" s="238" t="s">
        <v>204</v>
      </c>
      <c r="Y78" s="238" t="s">
        <v>39</v>
      </c>
      <c r="Z78" s="238" t="s">
        <v>1168</v>
      </c>
      <c r="AA78" t="s">
        <v>1167</v>
      </c>
      <c r="AB78" s="238" t="s">
        <v>3246</v>
      </c>
      <c r="AC78" t="s">
        <v>4246</v>
      </c>
      <c r="AD78" s="24"/>
      <c r="AE78" s="238" t="s">
        <v>1309</v>
      </c>
      <c r="AF78">
        <v>79879622214</v>
      </c>
      <c r="AG78" s="238" t="s">
        <v>1310</v>
      </c>
      <c r="AH78" s="238" t="s">
        <v>1171</v>
      </c>
      <c r="AI78" s="238" t="s">
        <v>3085</v>
      </c>
      <c r="AJ78" s="238" t="s">
        <v>120</v>
      </c>
      <c r="AK78" s="238" t="s">
        <v>1167</v>
      </c>
      <c r="AL78" t="s">
        <v>8715</v>
      </c>
      <c r="AM78" t="s">
        <v>1167</v>
      </c>
    </row>
    <row r="79" spans="1:39" hidden="1" x14ac:dyDescent="0.25">
      <c r="A79">
        <v>75</v>
      </c>
      <c r="B79">
        <v>10</v>
      </c>
      <c r="C79" s="24">
        <v>43906</v>
      </c>
      <c r="D79" s="238" t="s">
        <v>20</v>
      </c>
      <c r="E79" s="238" t="s">
        <v>5</v>
      </c>
      <c r="F79">
        <v>5</v>
      </c>
      <c r="G79">
        <v>5</v>
      </c>
      <c r="H79">
        <v>176</v>
      </c>
      <c r="I79" s="238" t="s">
        <v>44</v>
      </c>
      <c r="J79">
        <v>78.03</v>
      </c>
      <c r="K79" s="238" t="s">
        <v>37</v>
      </c>
      <c r="L79">
        <v>3409911</v>
      </c>
      <c r="M79">
        <v>0</v>
      </c>
      <c r="N79">
        <v>3409911</v>
      </c>
      <c r="O79">
        <v>43700</v>
      </c>
      <c r="P79">
        <v>335529</v>
      </c>
      <c r="Q79">
        <v>3074382</v>
      </c>
      <c r="R79">
        <v>39400</v>
      </c>
      <c r="S79" s="238" t="s">
        <v>137</v>
      </c>
      <c r="T79" s="238" t="s">
        <v>1167</v>
      </c>
      <c r="V79" t="s">
        <v>1167</v>
      </c>
      <c r="W79" s="24">
        <v>43900</v>
      </c>
      <c r="X79" s="238" t="s">
        <v>205</v>
      </c>
      <c r="Y79" s="238" t="s">
        <v>39</v>
      </c>
      <c r="Z79" s="238" t="s">
        <v>1168</v>
      </c>
      <c r="AA79" t="s">
        <v>1167</v>
      </c>
      <c r="AB79" s="238" t="s">
        <v>3246</v>
      </c>
      <c r="AC79" t="s">
        <v>3079</v>
      </c>
      <c r="AD79" s="24"/>
      <c r="AE79" s="238" t="s">
        <v>1311</v>
      </c>
      <c r="AF79">
        <v>79277688183</v>
      </c>
      <c r="AG79" s="238" t="s">
        <v>1312</v>
      </c>
      <c r="AH79" s="238" t="s">
        <v>135</v>
      </c>
      <c r="AI79" s="238" t="s">
        <v>135</v>
      </c>
      <c r="AJ79" s="238" t="s">
        <v>126</v>
      </c>
      <c r="AK79" s="238" t="s">
        <v>162</v>
      </c>
      <c r="AL79" t="s">
        <v>8715</v>
      </c>
      <c r="AM79" t="s">
        <v>1167</v>
      </c>
    </row>
    <row r="80" spans="1:39" hidden="1" x14ac:dyDescent="0.25">
      <c r="A80">
        <v>76</v>
      </c>
      <c r="B80">
        <v>11</v>
      </c>
      <c r="C80" s="24">
        <v>43906</v>
      </c>
      <c r="D80" s="238" t="s">
        <v>20</v>
      </c>
      <c r="E80" s="238" t="s">
        <v>6</v>
      </c>
      <c r="F80">
        <v>10</v>
      </c>
      <c r="G80">
        <v>7</v>
      </c>
      <c r="H80">
        <v>60</v>
      </c>
      <c r="I80" s="238" t="s">
        <v>43</v>
      </c>
      <c r="J80">
        <v>65.540000000000006</v>
      </c>
      <c r="K80" s="238" t="s">
        <v>37</v>
      </c>
      <c r="L80">
        <v>2852628.5</v>
      </c>
      <c r="M80">
        <v>0</v>
      </c>
      <c r="N80">
        <v>2852628.5</v>
      </c>
      <c r="O80">
        <v>43524.999999999993</v>
      </c>
      <c r="P80">
        <v>281822</v>
      </c>
      <c r="Q80">
        <v>2570806.5</v>
      </c>
      <c r="R80">
        <v>39224.999999999993</v>
      </c>
      <c r="S80" s="238" t="s">
        <v>137</v>
      </c>
      <c r="T80" s="238" t="s">
        <v>1167</v>
      </c>
      <c r="V80" t="s">
        <v>1167</v>
      </c>
      <c r="W80" s="24">
        <v>43903</v>
      </c>
      <c r="X80" s="238" t="s">
        <v>206</v>
      </c>
      <c r="Y80" s="238" t="s">
        <v>39</v>
      </c>
      <c r="Z80" s="238" t="s">
        <v>1168</v>
      </c>
      <c r="AA80" t="s">
        <v>1167</v>
      </c>
      <c r="AB80" s="238" t="s">
        <v>3246</v>
      </c>
      <c r="AC80" t="s">
        <v>3077</v>
      </c>
      <c r="AD80" s="24"/>
      <c r="AE80" s="238" t="s">
        <v>1313</v>
      </c>
      <c r="AF80">
        <v>79377918912</v>
      </c>
      <c r="AG80" s="238" t="s">
        <v>1314</v>
      </c>
      <c r="AH80" s="238" t="s">
        <v>1212</v>
      </c>
      <c r="AI80" s="238" t="s">
        <v>3097</v>
      </c>
      <c r="AJ80" s="238" t="s">
        <v>126</v>
      </c>
      <c r="AK80" s="238" t="s">
        <v>162</v>
      </c>
      <c r="AL80" t="s">
        <v>8715</v>
      </c>
      <c r="AM80" t="s">
        <v>1167</v>
      </c>
    </row>
    <row r="81" spans="1:39" hidden="1" x14ac:dyDescent="0.25">
      <c r="A81">
        <v>77</v>
      </c>
      <c r="B81">
        <v>12</v>
      </c>
      <c r="C81" s="24">
        <v>43906</v>
      </c>
      <c r="D81" s="238" t="s">
        <v>20</v>
      </c>
      <c r="E81" s="238" t="s">
        <v>16</v>
      </c>
      <c r="F81">
        <v>3</v>
      </c>
      <c r="G81">
        <v>6</v>
      </c>
      <c r="H81">
        <v>346</v>
      </c>
      <c r="I81" s="238" t="s">
        <v>42</v>
      </c>
      <c r="J81">
        <v>41.9</v>
      </c>
      <c r="K81" s="238" t="s">
        <v>36</v>
      </c>
      <c r="L81">
        <v>1825792.5</v>
      </c>
      <c r="M81">
        <v>0</v>
      </c>
      <c r="N81">
        <v>1825792.5</v>
      </c>
      <c r="O81">
        <v>43575</v>
      </c>
      <c r="P81">
        <v>20950</v>
      </c>
      <c r="Q81">
        <v>1804842.5</v>
      </c>
      <c r="R81">
        <v>43075</v>
      </c>
      <c r="S81" s="238" t="s">
        <v>124</v>
      </c>
      <c r="T81" s="238" t="s">
        <v>1167</v>
      </c>
      <c r="V81" t="s">
        <v>1167</v>
      </c>
      <c r="W81" s="24">
        <v>43906</v>
      </c>
      <c r="X81" s="238" t="s">
        <v>208</v>
      </c>
      <c r="Y81" s="238" t="s">
        <v>39</v>
      </c>
      <c r="Z81" s="238" t="s">
        <v>1168</v>
      </c>
      <c r="AA81" t="s">
        <v>1167</v>
      </c>
      <c r="AB81" s="238" t="s">
        <v>3246</v>
      </c>
      <c r="AC81" t="s">
        <v>4246</v>
      </c>
      <c r="AD81" s="24"/>
      <c r="AE81" s="238" t="s">
        <v>1315</v>
      </c>
      <c r="AF81">
        <v>79272982772</v>
      </c>
      <c r="AG81" s="238" t="s">
        <v>1300</v>
      </c>
      <c r="AH81" s="238" t="s">
        <v>1212</v>
      </c>
      <c r="AI81" s="238" t="s">
        <v>3095</v>
      </c>
      <c r="AJ81" s="238" t="s">
        <v>355</v>
      </c>
      <c r="AK81" s="238" t="s">
        <v>1167</v>
      </c>
      <c r="AL81" t="s">
        <v>8715</v>
      </c>
      <c r="AM81" t="s">
        <v>1167</v>
      </c>
    </row>
    <row r="82" spans="1:39" hidden="1" x14ac:dyDescent="0.25">
      <c r="A82">
        <v>78</v>
      </c>
      <c r="B82">
        <v>13</v>
      </c>
      <c r="C82" s="24">
        <v>43906</v>
      </c>
      <c r="D82" s="238" t="s">
        <v>20</v>
      </c>
      <c r="E82" s="238" t="s">
        <v>5</v>
      </c>
      <c r="F82">
        <v>2</v>
      </c>
      <c r="G82">
        <v>7</v>
      </c>
      <c r="H82">
        <v>187</v>
      </c>
      <c r="I82" s="238" t="s">
        <v>42</v>
      </c>
      <c r="J82">
        <v>40.39</v>
      </c>
      <c r="K82" s="238" t="s">
        <v>36</v>
      </c>
      <c r="L82">
        <v>1773848</v>
      </c>
      <c r="M82">
        <v>0</v>
      </c>
      <c r="N82">
        <v>1773848</v>
      </c>
      <c r="O82">
        <v>43917.999504827931</v>
      </c>
      <c r="P82">
        <v>20195</v>
      </c>
      <c r="Q82">
        <v>1753653</v>
      </c>
      <c r="R82">
        <v>43417.999504827931</v>
      </c>
      <c r="S82" s="238" t="s">
        <v>137</v>
      </c>
      <c r="T82" s="238" t="s">
        <v>3540</v>
      </c>
      <c r="U82">
        <v>35623.980000000003</v>
      </c>
      <c r="V82" t="s">
        <v>1167</v>
      </c>
      <c r="W82" s="24">
        <v>43908</v>
      </c>
      <c r="X82" s="238" t="s">
        <v>207</v>
      </c>
      <c r="Y82" s="238" t="s">
        <v>39</v>
      </c>
      <c r="Z82" s="238" t="s">
        <v>1168</v>
      </c>
      <c r="AA82" t="s">
        <v>1167</v>
      </c>
      <c r="AB82" s="238" t="s">
        <v>3246</v>
      </c>
      <c r="AC82" t="s">
        <v>3077</v>
      </c>
      <c r="AD82" s="24"/>
      <c r="AE82" s="238" t="s">
        <v>1316</v>
      </c>
      <c r="AF82">
        <v>79608194106</v>
      </c>
      <c r="AG82" s="238" t="s">
        <v>1317</v>
      </c>
      <c r="AH82" s="238" t="s">
        <v>1212</v>
      </c>
      <c r="AI82" s="238" t="s">
        <v>135</v>
      </c>
      <c r="AJ82" s="238" t="s">
        <v>130</v>
      </c>
      <c r="AK82" s="238" t="s">
        <v>162</v>
      </c>
      <c r="AL82" t="s">
        <v>8715</v>
      </c>
      <c r="AM82" t="s">
        <v>1167</v>
      </c>
    </row>
    <row r="83" spans="1:39" hidden="1" x14ac:dyDescent="0.25">
      <c r="A83">
        <v>79</v>
      </c>
      <c r="B83">
        <v>14</v>
      </c>
      <c r="C83" s="24">
        <v>43907</v>
      </c>
      <c r="D83" s="238" t="s">
        <v>20</v>
      </c>
      <c r="E83" s="238" t="s">
        <v>5</v>
      </c>
      <c r="F83">
        <v>4</v>
      </c>
      <c r="G83">
        <v>18</v>
      </c>
      <c r="H83">
        <v>266</v>
      </c>
      <c r="I83" s="238" t="s">
        <v>42</v>
      </c>
      <c r="J83">
        <v>40.58</v>
      </c>
      <c r="K83" s="238" t="s">
        <v>36</v>
      </c>
      <c r="L83">
        <v>1684191.74</v>
      </c>
      <c r="M83">
        <v>0</v>
      </c>
      <c r="N83">
        <v>1684191.74</v>
      </c>
      <c r="O83">
        <v>41503</v>
      </c>
      <c r="P83">
        <v>0</v>
      </c>
      <c r="Q83">
        <v>1684191.74</v>
      </c>
      <c r="R83">
        <v>41503</v>
      </c>
      <c r="S83" s="238" t="s">
        <v>137</v>
      </c>
      <c r="T83" s="238" t="s">
        <v>3540</v>
      </c>
      <c r="U83">
        <v>34371.26</v>
      </c>
      <c r="V83" t="s">
        <v>1167</v>
      </c>
      <c r="W83" s="24">
        <v>43903</v>
      </c>
      <c r="X83" s="238" t="s">
        <v>209</v>
      </c>
      <c r="Y83" s="238" t="s">
        <v>39</v>
      </c>
      <c r="Z83" s="238" t="s">
        <v>1168</v>
      </c>
      <c r="AA83" t="s">
        <v>1167</v>
      </c>
      <c r="AB83" s="238" t="s">
        <v>3246</v>
      </c>
      <c r="AC83" t="s">
        <v>3077</v>
      </c>
      <c r="AD83" s="24"/>
      <c r="AE83" s="238" t="s">
        <v>1318</v>
      </c>
      <c r="AF83">
        <v>78462778349</v>
      </c>
      <c r="AG83" s="238" t="s">
        <v>1319</v>
      </c>
      <c r="AH83" s="238" t="s">
        <v>1212</v>
      </c>
      <c r="AI83" s="238" t="s">
        <v>3095</v>
      </c>
      <c r="AJ83" s="238" t="s">
        <v>355</v>
      </c>
      <c r="AK83" s="238" t="s">
        <v>141</v>
      </c>
      <c r="AL83" t="s">
        <v>8715</v>
      </c>
      <c r="AM83" t="s">
        <v>1167</v>
      </c>
    </row>
    <row r="84" spans="1:39" hidden="1" x14ac:dyDescent="0.25">
      <c r="A84">
        <v>80</v>
      </c>
      <c r="B84">
        <v>15</v>
      </c>
      <c r="C84" s="24">
        <v>43908</v>
      </c>
      <c r="D84" s="238" t="s">
        <v>20</v>
      </c>
      <c r="E84" s="238" t="s">
        <v>5</v>
      </c>
      <c r="F84">
        <v>6</v>
      </c>
      <c r="G84">
        <v>17</v>
      </c>
      <c r="H84">
        <v>261</v>
      </c>
      <c r="I84" s="238" t="s">
        <v>43</v>
      </c>
      <c r="J84">
        <v>64.150000000000006</v>
      </c>
      <c r="K84" s="238" t="s">
        <v>36</v>
      </c>
      <c r="L84">
        <v>2694300</v>
      </c>
      <c r="M84">
        <v>0</v>
      </c>
      <c r="N84">
        <v>2694300</v>
      </c>
      <c r="O84">
        <v>41999.999999999993</v>
      </c>
      <c r="P84">
        <v>32075</v>
      </c>
      <c r="Q84">
        <v>2662225</v>
      </c>
      <c r="R84">
        <v>41499.999999999993</v>
      </c>
      <c r="S84" s="238" t="s">
        <v>137</v>
      </c>
      <c r="T84" s="238" t="s">
        <v>1167</v>
      </c>
      <c r="V84" t="s">
        <v>1167</v>
      </c>
      <c r="W84" s="24">
        <v>43904</v>
      </c>
      <c r="X84" s="238" t="s">
        <v>210</v>
      </c>
      <c r="Y84" s="238" t="s">
        <v>39</v>
      </c>
      <c r="Z84" s="238" t="s">
        <v>1168</v>
      </c>
      <c r="AA84" t="s">
        <v>1167</v>
      </c>
      <c r="AB84" s="238" t="s">
        <v>3246</v>
      </c>
      <c r="AC84" t="s">
        <v>3079</v>
      </c>
      <c r="AD84" s="24"/>
      <c r="AE84" s="238" t="s">
        <v>1320</v>
      </c>
      <c r="AF84">
        <v>79272085701</v>
      </c>
      <c r="AG84" s="238" t="s">
        <v>1321</v>
      </c>
      <c r="AH84" s="238" t="s">
        <v>1212</v>
      </c>
      <c r="AI84" s="238" t="s">
        <v>3095</v>
      </c>
      <c r="AJ84" s="238" t="s">
        <v>355</v>
      </c>
      <c r="AK84" s="238" t="s">
        <v>141</v>
      </c>
      <c r="AL84" t="s">
        <v>8715</v>
      </c>
      <c r="AM84" t="s">
        <v>1167</v>
      </c>
    </row>
    <row r="85" spans="1:39" hidden="1" x14ac:dyDescent="0.25">
      <c r="A85">
        <v>81</v>
      </c>
      <c r="B85">
        <v>16</v>
      </c>
      <c r="C85" s="24">
        <v>43908</v>
      </c>
      <c r="D85" s="238" t="s">
        <v>20</v>
      </c>
      <c r="E85" s="238" t="s">
        <v>5</v>
      </c>
      <c r="F85">
        <v>1</v>
      </c>
      <c r="G85">
        <v>22</v>
      </c>
      <c r="H85">
        <v>291</v>
      </c>
      <c r="I85" s="238" t="s">
        <v>43</v>
      </c>
      <c r="J85">
        <v>63.88</v>
      </c>
      <c r="K85" s="238" t="s">
        <v>36</v>
      </c>
      <c r="L85">
        <v>2615886</v>
      </c>
      <c r="M85">
        <v>0</v>
      </c>
      <c r="N85">
        <v>2615886</v>
      </c>
      <c r="O85">
        <v>40950</v>
      </c>
      <c r="P85">
        <v>31940</v>
      </c>
      <c r="Q85">
        <v>2583946</v>
      </c>
      <c r="R85">
        <v>40450</v>
      </c>
      <c r="S85" s="238" t="s">
        <v>137</v>
      </c>
      <c r="T85" s="238" t="s">
        <v>1167</v>
      </c>
      <c r="V85" t="s">
        <v>1167</v>
      </c>
      <c r="W85" s="24">
        <v>43907</v>
      </c>
      <c r="X85" s="238" t="s">
        <v>211</v>
      </c>
      <c r="Y85" s="238" t="s">
        <v>39</v>
      </c>
      <c r="Z85" s="238" t="s">
        <v>1168</v>
      </c>
      <c r="AA85" t="s">
        <v>1167</v>
      </c>
      <c r="AB85" s="238" t="s">
        <v>3246</v>
      </c>
      <c r="AC85" t="s">
        <v>3079</v>
      </c>
      <c r="AD85" s="24"/>
      <c r="AE85" s="238" t="s">
        <v>1322</v>
      </c>
      <c r="AF85">
        <v>79277014975</v>
      </c>
      <c r="AG85" s="238" t="s">
        <v>1323</v>
      </c>
      <c r="AH85" s="238" t="s">
        <v>1171</v>
      </c>
      <c r="AI85" s="238" t="s">
        <v>3074</v>
      </c>
      <c r="AJ85" s="238" t="s">
        <v>130</v>
      </c>
      <c r="AK85" s="238" t="s">
        <v>162</v>
      </c>
      <c r="AL85" t="s">
        <v>8715</v>
      </c>
      <c r="AM85" t="s">
        <v>1167</v>
      </c>
    </row>
    <row r="86" spans="1:39" hidden="1" x14ac:dyDescent="0.25">
      <c r="A86">
        <v>82</v>
      </c>
      <c r="B86">
        <v>17</v>
      </c>
      <c r="C86" s="24">
        <v>43908</v>
      </c>
      <c r="D86" s="238" t="s">
        <v>20</v>
      </c>
      <c r="E86" s="238" t="s">
        <v>5</v>
      </c>
      <c r="F86">
        <v>6</v>
      </c>
      <c r="G86">
        <v>18</v>
      </c>
      <c r="H86">
        <v>268</v>
      </c>
      <c r="I86" s="238" t="s">
        <v>43</v>
      </c>
      <c r="J86">
        <v>64.150000000000006</v>
      </c>
      <c r="K86" s="238" t="s">
        <v>37</v>
      </c>
      <c r="L86">
        <v>2837033.75</v>
      </c>
      <c r="M86">
        <v>0</v>
      </c>
      <c r="N86">
        <v>2837033.75</v>
      </c>
      <c r="O86">
        <v>44224.999999999993</v>
      </c>
      <c r="P86">
        <v>275845</v>
      </c>
      <c r="Q86">
        <v>2561188.75</v>
      </c>
      <c r="R86">
        <v>39925</v>
      </c>
      <c r="S86" s="238" t="s">
        <v>137</v>
      </c>
      <c r="T86" s="238" t="s">
        <v>1167</v>
      </c>
      <c r="V86" t="s">
        <v>1167</v>
      </c>
      <c r="W86" s="24">
        <v>43910</v>
      </c>
      <c r="X86" s="238" t="s">
        <v>213</v>
      </c>
      <c r="Y86" s="238" t="s">
        <v>39</v>
      </c>
      <c r="Z86" s="238" t="s">
        <v>1168</v>
      </c>
      <c r="AA86" t="s">
        <v>1167</v>
      </c>
      <c r="AB86" s="238" t="s">
        <v>3246</v>
      </c>
      <c r="AC86" t="s">
        <v>3079</v>
      </c>
      <c r="AD86" s="24"/>
      <c r="AE86" s="238" t="s">
        <v>1324</v>
      </c>
      <c r="AF86">
        <v>79179763086</v>
      </c>
      <c r="AG86" s="238" t="s">
        <v>1325</v>
      </c>
      <c r="AH86" s="238" t="s">
        <v>1171</v>
      </c>
      <c r="AI86" s="238" t="s">
        <v>3098</v>
      </c>
      <c r="AJ86" s="238" t="s">
        <v>120</v>
      </c>
      <c r="AK86" s="238" t="s">
        <v>141</v>
      </c>
      <c r="AL86" t="s">
        <v>8715</v>
      </c>
      <c r="AM86" t="s">
        <v>1167</v>
      </c>
    </row>
    <row r="87" spans="1:39" hidden="1" x14ac:dyDescent="0.25">
      <c r="A87">
        <v>83</v>
      </c>
      <c r="B87">
        <v>18</v>
      </c>
      <c r="C87" s="24">
        <v>43908</v>
      </c>
      <c r="D87" s="238" t="s">
        <v>20</v>
      </c>
      <c r="E87" s="238" t="s">
        <v>5</v>
      </c>
      <c r="F87">
        <v>6</v>
      </c>
      <c r="G87">
        <v>3</v>
      </c>
      <c r="H87">
        <v>163</v>
      </c>
      <c r="I87" s="238" t="s">
        <v>43</v>
      </c>
      <c r="J87">
        <v>64.150000000000006</v>
      </c>
      <c r="K87" s="238" t="s">
        <v>36</v>
      </c>
      <c r="L87">
        <v>2503453.75</v>
      </c>
      <c r="M87">
        <v>0</v>
      </c>
      <c r="N87">
        <v>2503453.75</v>
      </c>
      <c r="O87">
        <v>39025</v>
      </c>
      <c r="P87">
        <v>32075</v>
      </c>
      <c r="Q87">
        <v>2471378.75</v>
      </c>
      <c r="R87">
        <v>38525</v>
      </c>
      <c r="S87" s="238" t="s">
        <v>137</v>
      </c>
      <c r="T87" s="238" t="s">
        <v>1167</v>
      </c>
      <c r="V87" t="s">
        <v>1167</v>
      </c>
      <c r="W87" s="24">
        <v>43911</v>
      </c>
      <c r="X87" s="238" t="s">
        <v>212</v>
      </c>
      <c r="Y87" s="238" t="s">
        <v>39</v>
      </c>
      <c r="Z87" s="238" t="s">
        <v>1168</v>
      </c>
      <c r="AA87" t="s">
        <v>1167</v>
      </c>
      <c r="AB87" s="238" t="s">
        <v>3246</v>
      </c>
      <c r="AC87" t="s">
        <v>3079</v>
      </c>
      <c r="AD87" s="24"/>
      <c r="AE87" s="238" t="s">
        <v>1326</v>
      </c>
      <c r="AF87">
        <v>79871670067</v>
      </c>
      <c r="AG87" s="238" t="s">
        <v>1327</v>
      </c>
      <c r="AH87" s="238" t="s">
        <v>1171</v>
      </c>
      <c r="AI87" s="238" t="s">
        <v>3099</v>
      </c>
      <c r="AJ87" s="238" t="s">
        <v>120</v>
      </c>
      <c r="AK87" s="238" t="s">
        <v>162</v>
      </c>
      <c r="AL87" t="s">
        <v>8715</v>
      </c>
      <c r="AM87" t="s">
        <v>1167</v>
      </c>
    </row>
    <row r="88" spans="1:39" hidden="1" x14ac:dyDescent="0.25">
      <c r="A88">
        <v>84</v>
      </c>
      <c r="B88">
        <v>19</v>
      </c>
      <c r="C88" s="24">
        <v>43910</v>
      </c>
      <c r="D88" s="238" t="s">
        <v>20</v>
      </c>
      <c r="E88" s="238" t="s">
        <v>5</v>
      </c>
      <c r="F88">
        <v>4</v>
      </c>
      <c r="G88">
        <v>14</v>
      </c>
      <c r="H88">
        <v>238</v>
      </c>
      <c r="I88" s="238" t="s">
        <v>42</v>
      </c>
      <c r="J88">
        <v>40.58</v>
      </c>
      <c r="K88" s="238" t="s">
        <v>36</v>
      </c>
      <c r="L88">
        <v>1839288.5</v>
      </c>
      <c r="M88">
        <v>0</v>
      </c>
      <c r="N88">
        <v>1839288.5</v>
      </c>
      <c r="O88">
        <v>45325</v>
      </c>
      <c r="P88">
        <v>20290</v>
      </c>
      <c r="Q88">
        <v>1818998.5</v>
      </c>
      <c r="R88">
        <v>44825</v>
      </c>
      <c r="S88" s="238" t="s">
        <v>137</v>
      </c>
      <c r="T88" s="238" t="s">
        <v>1167</v>
      </c>
      <c r="V88" t="s">
        <v>1167</v>
      </c>
      <c r="W88" s="24">
        <v>43907</v>
      </c>
      <c r="X88" s="238" t="s">
        <v>214</v>
      </c>
      <c r="Y88" s="238" t="s">
        <v>39</v>
      </c>
      <c r="Z88" s="238" t="s">
        <v>1168</v>
      </c>
      <c r="AA88" t="s">
        <v>1167</v>
      </c>
      <c r="AB88" s="238" t="s">
        <v>3246</v>
      </c>
      <c r="AC88" t="s">
        <v>3079</v>
      </c>
      <c r="AD88" s="24"/>
      <c r="AE88" s="238" t="s">
        <v>1328</v>
      </c>
      <c r="AF88">
        <v>79179474215</v>
      </c>
      <c r="AG88" s="238" t="s">
        <v>1329</v>
      </c>
      <c r="AH88" s="238" t="s">
        <v>1212</v>
      </c>
      <c r="AI88" s="238" t="s">
        <v>135</v>
      </c>
      <c r="AJ88" s="238" t="s">
        <v>126</v>
      </c>
      <c r="AK88" s="238" t="s">
        <v>141</v>
      </c>
      <c r="AL88" t="s">
        <v>8715</v>
      </c>
      <c r="AM88" t="s">
        <v>1167</v>
      </c>
    </row>
    <row r="89" spans="1:39" hidden="1" x14ac:dyDescent="0.25">
      <c r="A89">
        <v>85</v>
      </c>
      <c r="B89">
        <v>20</v>
      </c>
      <c r="C89" s="24">
        <v>43911</v>
      </c>
      <c r="D89" s="238" t="s">
        <v>20</v>
      </c>
      <c r="E89" s="238" t="s">
        <v>6</v>
      </c>
      <c r="F89">
        <v>2</v>
      </c>
      <c r="G89">
        <v>16</v>
      </c>
      <c r="H89">
        <v>142</v>
      </c>
      <c r="I89" s="238" t="s">
        <v>4052</v>
      </c>
      <c r="J89">
        <v>31.88</v>
      </c>
      <c r="K89" s="238" t="s">
        <v>36</v>
      </c>
      <c r="L89">
        <v>1411487</v>
      </c>
      <c r="M89">
        <v>0</v>
      </c>
      <c r="N89">
        <v>1411487</v>
      </c>
      <c r="O89">
        <v>44275</v>
      </c>
      <c r="P89">
        <v>15940</v>
      </c>
      <c r="Q89">
        <v>1395547</v>
      </c>
      <c r="R89">
        <v>43775</v>
      </c>
      <c r="S89" s="238" t="s">
        <v>124</v>
      </c>
      <c r="T89" s="238" t="s">
        <v>1167</v>
      </c>
      <c r="V89" t="s">
        <v>1167</v>
      </c>
      <c r="W89" s="24">
        <v>43910</v>
      </c>
      <c r="X89" s="238" t="s">
        <v>215</v>
      </c>
      <c r="Y89" s="238" t="s">
        <v>39</v>
      </c>
      <c r="Z89" s="238" t="s">
        <v>1168</v>
      </c>
      <c r="AA89" t="s">
        <v>1167</v>
      </c>
      <c r="AB89" s="238" t="s">
        <v>3246</v>
      </c>
      <c r="AC89" t="s">
        <v>4246</v>
      </c>
      <c r="AD89" s="24"/>
      <c r="AE89" s="238" t="s">
        <v>1330</v>
      </c>
      <c r="AF89">
        <v>79053004535</v>
      </c>
      <c r="AG89" s="238" t="s">
        <v>1331</v>
      </c>
      <c r="AH89" s="238" t="s">
        <v>1171</v>
      </c>
      <c r="AI89" s="238" t="s">
        <v>3075</v>
      </c>
      <c r="AJ89" s="238" t="s">
        <v>355</v>
      </c>
      <c r="AK89" s="238" t="s">
        <v>1167</v>
      </c>
      <c r="AL89" t="s">
        <v>8715</v>
      </c>
      <c r="AM89" t="s">
        <v>1167</v>
      </c>
    </row>
    <row r="90" spans="1:39" hidden="1" x14ac:dyDescent="0.25">
      <c r="A90">
        <v>86</v>
      </c>
      <c r="B90">
        <v>21</v>
      </c>
      <c r="C90" s="24">
        <v>43914</v>
      </c>
      <c r="D90" s="238" t="s">
        <v>20</v>
      </c>
      <c r="E90" s="238" t="s">
        <v>6</v>
      </c>
      <c r="F90">
        <v>5</v>
      </c>
      <c r="G90">
        <v>16</v>
      </c>
      <c r="H90">
        <v>145</v>
      </c>
      <c r="I90" s="238" t="s">
        <v>43</v>
      </c>
      <c r="J90">
        <v>60.2</v>
      </c>
      <c r="K90" s="238" t="s">
        <v>36</v>
      </c>
      <c r="L90">
        <v>2496795</v>
      </c>
      <c r="M90">
        <v>0</v>
      </c>
      <c r="N90">
        <v>2496795</v>
      </c>
      <c r="O90">
        <v>41475</v>
      </c>
      <c r="P90">
        <v>30100</v>
      </c>
      <c r="Q90">
        <v>2466695</v>
      </c>
      <c r="R90">
        <v>40975</v>
      </c>
      <c r="S90" s="238" t="s">
        <v>137</v>
      </c>
      <c r="T90" s="238" t="s">
        <v>1167</v>
      </c>
      <c r="V90" t="s">
        <v>1167</v>
      </c>
      <c r="W90" s="24">
        <v>43912</v>
      </c>
      <c r="X90" s="238" t="s">
        <v>216</v>
      </c>
      <c r="Y90" s="238" t="s">
        <v>39</v>
      </c>
      <c r="Z90" s="238" t="s">
        <v>1168</v>
      </c>
      <c r="AA90" t="s">
        <v>1167</v>
      </c>
      <c r="AB90" s="238" t="s">
        <v>3246</v>
      </c>
      <c r="AC90" t="s">
        <v>3079</v>
      </c>
      <c r="AD90" s="24"/>
      <c r="AE90" s="238" t="s">
        <v>1332</v>
      </c>
      <c r="AF90">
        <v>79276084899</v>
      </c>
      <c r="AG90" s="238" t="s">
        <v>1333</v>
      </c>
      <c r="AH90" s="238" t="s">
        <v>1171</v>
      </c>
      <c r="AI90" s="238" t="s">
        <v>3084</v>
      </c>
      <c r="AJ90" s="238" t="s">
        <v>130</v>
      </c>
      <c r="AK90" s="238" t="s">
        <v>162</v>
      </c>
      <c r="AL90" t="s">
        <v>8715</v>
      </c>
      <c r="AM90" t="s">
        <v>1167</v>
      </c>
    </row>
    <row r="91" spans="1:39" hidden="1" x14ac:dyDescent="0.25">
      <c r="A91">
        <v>87</v>
      </c>
      <c r="B91">
        <v>22</v>
      </c>
      <c r="C91" s="24">
        <v>43916</v>
      </c>
      <c r="D91" s="238" t="s">
        <v>20</v>
      </c>
      <c r="E91" s="238" t="s">
        <v>6</v>
      </c>
      <c r="F91">
        <v>9</v>
      </c>
      <c r="G91">
        <v>9</v>
      </c>
      <c r="H91">
        <v>79</v>
      </c>
      <c r="I91" s="238" t="s">
        <v>43</v>
      </c>
      <c r="J91">
        <v>66.14</v>
      </c>
      <c r="K91" s="238" t="s">
        <v>36</v>
      </c>
      <c r="L91">
        <v>2592688</v>
      </c>
      <c r="M91">
        <v>0</v>
      </c>
      <c r="N91">
        <v>2592688</v>
      </c>
      <c r="O91">
        <v>39200</v>
      </c>
      <c r="P91">
        <v>33070</v>
      </c>
      <c r="Q91">
        <v>2559618</v>
      </c>
      <c r="R91">
        <v>38700</v>
      </c>
      <c r="S91" s="238" t="s">
        <v>137</v>
      </c>
      <c r="T91" s="238" t="s">
        <v>1167</v>
      </c>
      <c r="V91" t="s">
        <v>1167</v>
      </c>
      <c r="W91" s="24">
        <v>43906</v>
      </c>
      <c r="X91" s="238" t="s">
        <v>217</v>
      </c>
      <c r="Y91" s="238" t="s">
        <v>39</v>
      </c>
      <c r="Z91" s="238" t="s">
        <v>1168</v>
      </c>
      <c r="AA91" t="s">
        <v>1167</v>
      </c>
      <c r="AB91" s="238" t="s">
        <v>3246</v>
      </c>
      <c r="AC91" t="s">
        <v>3100</v>
      </c>
      <c r="AD91" s="24"/>
      <c r="AE91" s="238" t="s">
        <v>1334</v>
      </c>
      <c r="AF91">
        <v>79272098526</v>
      </c>
      <c r="AG91" s="238" t="s">
        <v>1335</v>
      </c>
      <c r="AH91" s="238" t="s">
        <v>1212</v>
      </c>
      <c r="AI91" s="238" t="s">
        <v>3088</v>
      </c>
      <c r="AJ91" s="238" t="s">
        <v>120</v>
      </c>
      <c r="AK91" s="238" t="s">
        <v>162</v>
      </c>
      <c r="AL91" t="s">
        <v>8715</v>
      </c>
      <c r="AM91" t="s">
        <v>1167</v>
      </c>
    </row>
    <row r="92" spans="1:39" hidden="1" x14ac:dyDescent="0.25">
      <c r="A92">
        <v>88</v>
      </c>
      <c r="B92">
        <v>23</v>
      </c>
      <c r="C92" s="24">
        <v>43920</v>
      </c>
      <c r="D92" s="238" t="s">
        <v>20</v>
      </c>
      <c r="E92" s="238" t="s">
        <v>16</v>
      </c>
      <c r="F92">
        <v>7</v>
      </c>
      <c r="G92">
        <v>5</v>
      </c>
      <c r="H92">
        <v>342</v>
      </c>
      <c r="I92" s="238" t="s">
        <v>43</v>
      </c>
      <c r="J92">
        <v>65.5</v>
      </c>
      <c r="K92" s="238" t="s">
        <v>36</v>
      </c>
      <c r="L92">
        <v>2819775</v>
      </c>
      <c r="M92">
        <v>0</v>
      </c>
      <c r="N92">
        <v>2819775</v>
      </c>
      <c r="O92">
        <v>43050</v>
      </c>
      <c r="P92">
        <v>0</v>
      </c>
      <c r="Q92">
        <v>2819775</v>
      </c>
      <c r="R92">
        <v>43050</v>
      </c>
      <c r="S92" s="238" t="s">
        <v>137</v>
      </c>
      <c r="T92" s="238" t="s">
        <v>1167</v>
      </c>
      <c r="V92" t="s">
        <v>1167</v>
      </c>
      <c r="W92" s="24">
        <v>43920</v>
      </c>
      <c r="X92" s="238" t="s">
        <v>218</v>
      </c>
      <c r="Y92" s="238" t="s">
        <v>39</v>
      </c>
      <c r="Z92" s="238" t="s">
        <v>1340</v>
      </c>
      <c r="AA92" t="s">
        <v>1167</v>
      </c>
      <c r="AB92" s="238" t="s">
        <v>3246</v>
      </c>
      <c r="AC92" t="s">
        <v>3079</v>
      </c>
      <c r="AD92" s="24"/>
      <c r="AE92" s="238" t="s">
        <v>1336</v>
      </c>
      <c r="AF92">
        <v>79277552491</v>
      </c>
      <c r="AG92" s="238" t="s">
        <v>1337</v>
      </c>
      <c r="AH92" s="238" t="s">
        <v>1212</v>
      </c>
      <c r="AI92" s="238" t="s">
        <v>135</v>
      </c>
      <c r="AJ92" s="238" t="s">
        <v>355</v>
      </c>
      <c r="AK92" s="238" t="s">
        <v>162</v>
      </c>
      <c r="AL92" t="s">
        <v>8715</v>
      </c>
      <c r="AM92" t="s">
        <v>1167</v>
      </c>
    </row>
    <row r="93" spans="1:39" hidden="1" x14ac:dyDescent="0.25">
      <c r="A93">
        <v>89</v>
      </c>
      <c r="B93">
        <v>24</v>
      </c>
      <c r="C93" s="24">
        <v>43922</v>
      </c>
      <c r="D93" s="238" t="s">
        <v>20</v>
      </c>
      <c r="E93" s="238" t="s">
        <v>5</v>
      </c>
      <c r="F93">
        <v>6</v>
      </c>
      <c r="G93">
        <v>13</v>
      </c>
      <c r="H93">
        <v>233</v>
      </c>
      <c r="I93" s="238" t="s">
        <v>43</v>
      </c>
      <c r="J93">
        <v>64.150000000000006</v>
      </c>
      <c r="K93" s="238" t="s">
        <v>36</v>
      </c>
      <c r="L93">
        <v>2694300</v>
      </c>
      <c r="M93">
        <v>0</v>
      </c>
      <c r="N93">
        <v>2694300</v>
      </c>
      <c r="O93">
        <v>41999.999999999993</v>
      </c>
      <c r="P93">
        <v>0</v>
      </c>
      <c r="Q93">
        <v>2694300</v>
      </c>
      <c r="R93">
        <v>41999.999999999993</v>
      </c>
      <c r="S93" s="238" t="s">
        <v>137</v>
      </c>
      <c r="T93" s="238" t="s">
        <v>1167</v>
      </c>
      <c r="V93" t="s">
        <v>1167</v>
      </c>
      <c r="W93" s="24">
        <v>43934</v>
      </c>
      <c r="X93" s="238" t="s">
        <v>219</v>
      </c>
      <c r="Y93" s="238" t="s">
        <v>39</v>
      </c>
      <c r="Z93" s="238" t="s">
        <v>1340</v>
      </c>
      <c r="AA93" t="s">
        <v>1167</v>
      </c>
      <c r="AB93" s="238" t="s">
        <v>3246</v>
      </c>
      <c r="AC93" t="s">
        <v>3079</v>
      </c>
      <c r="AD93" s="24"/>
      <c r="AE93" s="238" t="s">
        <v>1338</v>
      </c>
      <c r="AF93">
        <v>79279017980</v>
      </c>
      <c r="AG93" s="238" t="s">
        <v>1339</v>
      </c>
      <c r="AH93" s="238" t="s">
        <v>135</v>
      </c>
      <c r="AI93" s="238" t="s">
        <v>3075</v>
      </c>
      <c r="AJ93" s="238" t="s">
        <v>126</v>
      </c>
      <c r="AK93" s="238" t="s">
        <v>141</v>
      </c>
      <c r="AL93" t="s">
        <v>8715</v>
      </c>
      <c r="AM93" t="s">
        <v>1167</v>
      </c>
    </row>
    <row r="94" spans="1:39" hidden="1" x14ac:dyDescent="0.25">
      <c r="A94">
        <v>90</v>
      </c>
      <c r="B94">
        <v>25</v>
      </c>
      <c r="C94" s="24">
        <v>43922</v>
      </c>
      <c r="D94" s="238" t="s">
        <v>20</v>
      </c>
      <c r="E94" s="238" t="s">
        <v>5</v>
      </c>
      <c r="F94">
        <v>6</v>
      </c>
      <c r="G94">
        <v>2</v>
      </c>
      <c r="H94">
        <v>156</v>
      </c>
      <c r="I94" s="238" t="s">
        <v>43</v>
      </c>
      <c r="J94">
        <v>65.099999999999994</v>
      </c>
      <c r="K94" s="238" t="s">
        <v>37</v>
      </c>
      <c r="L94">
        <v>2787907.5</v>
      </c>
      <c r="M94">
        <v>0</v>
      </c>
      <c r="N94">
        <v>2787907.5</v>
      </c>
      <c r="O94">
        <v>42825.000000000007</v>
      </c>
      <c r="P94">
        <v>279929.99999999953</v>
      </c>
      <c r="Q94">
        <v>2507977.5000000005</v>
      </c>
      <c r="R94">
        <v>38525.000000000007</v>
      </c>
      <c r="S94" s="238" t="s">
        <v>137</v>
      </c>
      <c r="T94" s="238" t="s">
        <v>1167</v>
      </c>
      <c r="V94" t="s">
        <v>1167</v>
      </c>
      <c r="W94" s="24">
        <v>43923</v>
      </c>
      <c r="X94" s="238" t="s">
        <v>220</v>
      </c>
      <c r="Y94" s="238" t="s">
        <v>39</v>
      </c>
      <c r="Z94" s="238" t="s">
        <v>1340</v>
      </c>
      <c r="AA94" t="s">
        <v>1167</v>
      </c>
      <c r="AB94" s="238" t="s">
        <v>3246</v>
      </c>
      <c r="AC94" t="s">
        <v>3079</v>
      </c>
      <c r="AD94" s="24"/>
      <c r="AE94" s="238" t="s">
        <v>1341</v>
      </c>
      <c r="AF94">
        <v>79277017415</v>
      </c>
      <c r="AG94" s="238" t="s">
        <v>1342</v>
      </c>
      <c r="AH94" s="238" t="s">
        <v>1171</v>
      </c>
      <c r="AI94" s="238" t="s">
        <v>3089</v>
      </c>
      <c r="AJ94" s="238" t="s">
        <v>120</v>
      </c>
      <c r="AK94" s="238" t="s">
        <v>162</v>
      </c>
      <c r="AL94" t="s">
        <v>8715</v>
      </c>
      <c r="AM94" t="s">
        <v>1167</v>
      </c>
    </row>
    <row r="95" spans="1:39" hidden="1" x14ac:dyDescent="0.25">
      <c r="A95">
        <v>91</v>
      </c>
      <c r="B95">
        <v>1</v>
      </c>
      <c r="C95" s="24">
        <v>43934</v>
      </c>
      <c r="D95" s="238" t="s">
        <v>20</v>
      </c>
      <c r="E95" s="238" t="s">
        <v>5</v>
      </c>
      <c r="F95">
        <v>6</v>
      </c>
      <c r="G95">
        <v>6</v>
      </c>
      <c r="H95">
        <v>184</v>
      </c>
      <c r="I95" s="238" t="s">
        <v>43</v>
      </c>
      <c r="J95">
        <v>64.150000000000006</v>
      </c>
      <c r="K95" s="238" t="s">
        <v>36</v>
      </c>
      <c r="L95">
        <v>2503453.75</v>
      </c>
      <c r="M95">
        <v>0</v>
      </c>
      <c r="N95">
        <v>2503453.75</v>
      </c>
      <c r="O95">
        <v>39025</v>
      </c>
      <c r="P95">
        <v>32075</v>
      </c>
      <c r="Q95">
        <v>2471378.75</v>
      </c>
      <c r="R95">
        <v>38525</v>
      </c>
      <c r="S95" s="238" t="s">
        <v>137</v>
      </c>
      <c r="T95" s="238" t="s">
        <v>1167</v>
      </c>
      <c r="V95" t="s">
        <v>1167</v>
      </c>
      <c r="W95" s="24">
        <v>43923</v>
      </c>
      <c r="X95" s="238" t="s">
        <v>222</v>
      </c>
      <c r="Y95" s="238" t="s">
        <v>39</v>
      </c>
      <c r="Z95" s="238" t="s">
        <v>1168</v>
      </c>
      <c r="AA95" t="s">
        <v>1167</v>
      </c>
      <c r="AB95" s="238" t="s">
        <v>3246</v>
      </c>
      <c r="AC95" t="s">
        <v>3079</v>
      </c>
      <c r="AD95" s="24"/>
      <c r="AE95" s="238" t="s">
        <v>1343</v>
      </c>
      <c r="AF95">
        <v>79178151344</v>
      </c>
      <c r="AG95" s="238" t="s">
        <v>1344</v>
      </c>
      <c r="AH95" s="238" t="s">
        <v>135</v>
      </c>
      <c r="AI95" s="238" t="s">
        <v>3075</v>
      </c>
      <c r="AJ95" s="238" t="s">
        <v>355</v>
      </c>
      <c r="AK95" s="238" t="s">
        <v>141</v>
      </c>
      <c r="AL95" t="s">
        <v>8715</v>
      </c>
      <c r="AM95" t="s">
        <v>1167</v>
      </c>
    </row>
    <row r="96" spans="1:39" hidden="1" x14ac:dyDescent="0.25">
      <c r="A96">
        <v>92</v>
      </c>
      <c r="B96">
        <v>2</v>
      </c>
      <c r="C96" s="24">
        <v>43934</v>
      </c>
      <c r="D96" s="238" t="s">
        <v>20</v>
      </c>
      <c r="E96" s="238" t="s">
        <v>6</v>
      </c>
      <c r="F96">
        <v>9</v>
      </c>
      <c r="G96">
        <v>15</v>
      </c>
      <c r="H96">
        <v>139</v>
      </c>
      <c r="I96" s="238" t="s">
        <v>43</v>
      </c>
      <c r="J96">
        <v>66.14</v>
      </c>
      <c r="K96" s="238" t="s">
        <v>36</v>
      </c>
      <c r="L96">
        <v>2743156.5</v>
      </c>
      <c r="M96">
        <v>0</v>
      </c>
      <c r="N96">
        <v>2743156.5</v>
      </c>
      <c r="O96">
        <v>41475</v>
      </c>
      <c r="P96">
        <v>33070</v>
      </c>
      <c r="Q96">
        <v>2710086.5</v>
      </c>
      <c r="R96">
        <v>40975</v>
      </c>
      <c r="S96" s="238" t="s">
        <v>137</v>
      </c>
      <c r="T96" s="238" t="s">
        <v>1167</v>
      </c>
      <c r="V96" t="s">
        <v>1167</v>
      </c>
      <c r="W96" s="24">
        <v>43931</v>
      </c>
      <c r="X96" s="238" t="s">
        <v>221</v>
      </c>
      <c r="Y96" s="238" t="s">
        <v>39</v>
      </c>
      <c r="Z96" s="238" t="s">
        <v>1168</v>
      </c>
      <c r="AA96" t="s">
        <v>1167</v>
      </c>
      <c r="AB96" s="238" t="s">
        <v>3246</v>
      </c>
      <c r="AC96" t="s">
        <v>3077</v>
      </c>
      <c r="AD96" s="24"/>
      <c r="AE96" s="238" t="s">
        <v>1345</v>
      </c>
      <c r="AF96">
        <v>79295185090</v>
      </c>
      <c r="AG96" s="238" t="s">
        <v>1346</v>
      </c>
      <c r="AH96" s="238" t="s">
        <v>1171</v>
      </c>
      <c r="AI96" s="238" t="s">
        <v>3095</v>
      </c>
      <c r="AJ96" s="238" t="s">
        <v>126</v>
      </c>
      <c r="AK96" s="238" t="s">
        <v>162</v>
      </c>
      <c r="AL96" t="s">
        <v>8715</v>
      </c>
      <c r="AM96" t="s">
        <v>1167</v>
      </c>
    </row>
    <row r="97" spans="1:39" hidden="1" x14ac:dyDescent="0.25">
      <c r="A97">
        <v>93</v>
      </c>
      <c r="B97">
        <v>3</v>
      </c>
      <c r="C97" s="24">
        <v>43935</v>
      </c>
      <c r="D97" s="238" t="s">
        <v>20</v>
      </c>
      <c r="E97" s="238" t="s">
        <v>5</v>
      </c>
      <c r="F97">
        <v>4</v>
      </c>
      <c r="G97">
        <v>12</v>
      </c>
      <c r="H97">
        <v>224</v>
      </c>
      <c r="I97" s="238" t="s">
        <v>42</v>
      </c>
      <c r="J97">
        <v>40.58</v>
      </c>
      <c r="K97" s="238" t="s">
        <v>37</v>
      </c>
      <c r="L97">
        <v>2048062.45</v>
      </c>
      <c r="M97">
        <v>0</v>
      </c>
      <c r="N97">
        <v>2048062.45</v>
      </c>
      <c r="O97">
        <v>50469.749876786598</v>
      </c>
      <c r="P97">
        <v>174494</v>
      </c>
      <c r="Q97">
        <v>1873568.45</v>
      </c>
      <c r="R97">
        <v>46169.749876786598</v>
      </c>
      <c r="S97" s="238" t="s">
        <v>137</v>
      </c>
      <c r="T97" s="238" t="s">
        <v>1167</v>
      </c>
      <c r="V97" t="s">
        <v>1167</v>
      </c>
      <c r="W97" s="24">
        <v>43935</v>
      </c>
      <c r="X97" s="238" t="s">
        <v>223</v>
      </c>
      <c r="Y97" s="238" t="s">
        <v>39</v>
      </c>
      <c r="Z97" s="238" t="s">
        <v>1340</v>
      </c>
      <c r="AA97" t="s">
        <v>1167</v>
      </c>
      <c r="AB97" s="238" t="s">
        <v>3246</v>
      </c>
      <c r="AC97" t="s">
        <v>3079</v>
      </c>
      <c r="AD97" s="24"/>
      <c r="AE97" s="238" t="s">
        <v>1347</v>
      </c>
      <c r="AF97">
        <v>79277467602</v>
      </c>
      <c r="AG97" s="238" t="s">
        <v>1348</v>
      </c>
      <c r="AH97" s="238" t="s">
        <v>1171</v>
      </c>
      <c r="AI97" s="238" t="s">
        <v>135</v>
      </c>
      <c r="AJ97" s="238" t="s">
        <v>120</v>
      </c>
      <c r="AK97" s="238" t="s">
        <v>141</v>
      </c>
      <c r="AL97" t="s">
        <v>8715</v>
      </c>
      <c r="AM97" t="s">
        <v>1167</v>
      </c>
    </row>
    <row r="98" spans="1:39" hidden="1" x14ac:dyDescent="0.25">
      <c r="A98">
        <v>94</v>
      </c>
      <c r="B98">
        <v>4</v>
      </c>
      <c r="C98" s="24">
        <v>43936</v>
      </c>
      <c r="D98" s="238" t="s">
        <v>20</v>
      </c>
      <c r="E98" s="238" t="s">
        <v>5</v>
      </c>
      <c r="F98">
        <v>4</v>
      </c>
      <c r="G98">
        <v>13</v>
      </c>
      <c r="H98">
        <v>231</v>
      </c>
      <c r="I98" s="238" t="s">
        <v>42</v>
      </c>
      <c r="J98">
        <v>40.58</v>
      </c>
      <c r="K98" s="238" t="s">
        <v>36</v>
      </c>
      <c r="L98">
        <v>1839288.5</v>
      </c>
      <c r="M98">
        <v>0</v>
      </c>
      <c r="N98">
        <v>1839288.5</v>
      </c>
      <c r="O98">
        <v>45325</v>
      </c>
      <c r="P98">
        <v>20290</v>
      </c>
      <c r="Q98">
        <v>1818998.5</v>
      </c>
      <c r="R98">
        <v>44825</v>
      </c>
      <c r="S98" s="238" t="s">
        <v>137</v>
      </c>
      <c r="T98" s="238" t="s">
        <v>1167</v>
      </c>
      <c r="V98" t="s">
        <v>1167</v>
      </c>
      <c r="W98" s="24">
        <v>43928</v>
      </c>
      <c r="X98" s="238" t="s">
        <v>224</v>
      </c>
      <c r="Y98" s="238" t="s">
        <v>39</v>
      </c>
      <c r="Z98" s="238" t="s">
        <v>1168</v>
      </c>
      <c r="AA98" t="s">
        <v>1167</v>
      </c>
      <c r="AB98" s="238" t="s">
        <v>3246</v>
      </c>
      <c r="AC98" t="s">
        <v>3077</v>
      </c>
      <c r="AD98" s="24"/>
      <c r="AE98" s="238" t="s">
        <v>1349</v>
      </c>
      <c r="AF98">
        <v>79276570056</v>
      </c>
      <c r="AG98" s="238" t="s">
        <v>1350</v>
      </c>
      <c r="AH98" s="238" t="s">
        <v>1212</v>
      </c>
      <c r="AI98" s="238" t="s">
        <v>3095</v>
      </c>
      <c r="AJ98" s="238" t="s">
        <v>355</v>
      </c>
      <c r="AK98" s="238" t="s">
        <v>141</v>
      </c>
      <c r="AL98" t="s">
        <v>8715</v>
      </c>
      <c r="AM98" t="s">
        <v>1167</v>
      </c>
    </row>
    <row r="99" spans="1:39" hidden="1" x14ac:dyDescent="0.25">
      <c r="A99">
        <v>95</v>
      </c>
      <c r="B99">
        <v>5</v>
      </c>
      <c r="C99" s="24">
        <v>43941</v>
      </c>
      <c r="D99" s="238" t="s">
        <v>20</v>
      </c>
      <c r="E99" s="238" t="s">
        <v>5</v>
      </c>
      <c r="F99">
        <v>1</v>
      </c>
      <c r="G99">
        <v>24</v>
      </c>
      <c r="H99">
        <v>305</v>
      </c>
      <c r="I99" s="238" t="s">
        <v>43</v>
      </c>
      <c r="J99">
        <v>63.88</v>
      </c>
      <c r="K99" s="238" t="s">
        <v>37</v>
      </c>
      <c r="L99">
        <v>2892167</v>
      </c>
      <c r="M99">
        <v>0</v>
      </c>
      <c r="N99">
        <v>2892167</v>
      </c>
      <c r="O99">
        <v>45275</v>
      </c>
      <c r="P99">
        <v>274684</v>
      </c>
      <c r="Q99">
        <v>2617483</v>
      </c>
      <c r="R99">
        <v>40975</v>
      </c>
      <c r="S99" s="238" t="s">
        <v>137</v>
      </c>
      <c r="T99" s="238" t="s">
        <v>1167</v>
      </c>
      <c r="V99" t="s">
        <v>1167</v>
      </c>
      <c r="W99" s="24">
        <v>43936</v>
      </c>
      <c r="X99" s="238" t="s">
        <v>226</v>
      </c>
      <c r="Y99" s="238" t="s">
        <v>39</v>
      </c>
      <c r="Z99" s="238" t="s">
        <v>1168</v>
      </c>
      <c r="AA99" t="s">
        <v>1167</v>
      </c>
      <c r="AB99" s="238" t="s">
        <v>3246</v>
      </c>
      <c r="AC99" t="s">
        <v>3079</v>
      </c>
      <c r="AD99" s="24"/>
      <c r="AE99" s="238" t="s">
        <v>1351</v>
      </c>
      <c r="AF99">
        <v>79171537896</v>
      </c>
      <c r="AG99" s="238" t="s">
        <v>1352</v>
      </c>
      <c r="AH99" s="238" t="s">
        <v>1212</v>
      </c>
      <c r="AI99" s="238" t="s">
        <v>3074</v>
      </c>
      <c r="AJ99" s="238" t="s">
        <v>130</v>
      </c>
      <c r="AK99" s="238" t="s">
        <v>141</v>
      </c>
      <c r="AL99" t="s">
        <v>8715</v>
      </c>
      <c r="AM99" t="s">
        <v>1167</v>
      </c>
    </row>
    <row r="100" spans="1:39" hidden="1" x14ac:dyDescent="0.25">
      <c r="A100">
        <v>96</v>
      </c>
      <c r="B100">
        <v>6</v>
      </c>
      <c r="C100" s="24">
        <v>43941</v>
      </c>
      <c r="D100" s="238" t="s">
        <v>20</v>
      </c>
      <c r="E100" s="238" t="s">
        <v>5</v>
      </c>
      <c r="F100">
        <v>6</v>
      </c>
      <c r="G100">
        <v>23</v>
      </c>
      <c r="H100">
        <v>303</v>
      </c>
      <c r="I100" s="238" t="s">
        <v>43</v>
      </c>
      <c r="J100">
        <v>64.150000000000006</v>
      </c>
      <c r="K100" s="238" t="s">
        <v>36</v>
      </c>
      <c r="L100">
        <v>2559585</v>
      </c>
      <c r="M100">
        <v>0</v>
      </c>
      <c r="N100">
        <v>2559585</v>
      </c>
      <c r="O100">
        <v>39900</v>
      </c>
      <c r="P100">
        <v>32075</v>
      </c>
      <c r="Q100">
        <v>2527510</v>
      </c>
      <c r="R100">
        <v>39400</v>
      </c>
      <c r="S100" s="238" t="s">
        <v>137</v>
      </c>
      <c r="T100" s="238" t="s">
        <v>1167</v>
      </c>
      <c r="V100" t="s">
        <v>1167</v>
      </c>
      <c r="W100" s="24">
        <v>43942</v>
      </c>
      <c r="X100" s="238" t="s">
        <v>225</v>
      </c>
      <c r="Y100" s="238" t="s">
        <v>39</v>
      </c>
      <c r="Z100" s="238" t="s">
        <v>1168</v>
      </c>
      <c r="AA100" t="s">
        <v>1167</v>
      </c>
      <c r="AB100" s="238" t="s">
        <v>3246</v>
      </c>
      <c r="AC100" t="s">
        <v>3077</v>
      </c>
      <c r="AD100" s="24"/>
      <c r="AE100" s="238" t="s">
        <v>1353</v>
      </c>
      <c r="AF100">
        <v>79991716151</v>
      </c>
      <c r="AG100" s="238" t="s">
        <v>1354</v>
      </c>
      <c r="AH100" s="238" t="s">
        <v>1212</v>
      </c>
      <c r="AI100" s="238" t="s">
        <v>3074</v>
      </c>
      <c r="AJ100" s="238" t="s">
        <v>399</v>
      </c>
      <c r="AK100" s="238" t="s">
        <v>141</v>
      </c>
      <c r="AL100" t="s">
        <v>8715</v>
      </c>
      <c r="AM100" t="s">
        <v>1167</v>
      </c>
    </row>
    <row r="101" spans="1:39" hidden="1" x14ac:dyDescent="0.25">
      <c r="A101">
        <v>97</v>
      </c>
      <c r="B101">
        <v>7</v>
      </c>
      <c r="C101" s="24">
        <v>43942</v>
      </c>
      <c r="D101" s="238" t="s">
        <v>20</v>
      </c>
      <c r="E101" s="238" t="s">
        <v>5</v>
      </c>
      <c r="F101">
        <v>5</v>
      </c>
      <c r="G101">
        <v>24</v>
      </c>
      <c r="H101">
        <v>309</v>
      </c>
      <c r="I101" s="238" t="s">
        <v>44</v>
      </c>
      <c r="J101">
        <v>78.03</v>
      </c>
      <c r="K101" s="238" t="s">
        <v>36</v>
      </c>
      <c r="L101">
        <v>3154362.75</v>
      </c>
      <c r="M101">
        <v>0</v>
      </c>
      <c r="N101">
        <v>3154362.75</v>
      </c>
      <c r="O101">
        <v>40425</v>
      </c>
      <c r="P101">
        <v>39015</v>
      </c>
      <c r="Q101">
        <v>3115347.75</v>
      </c>
      <c r="R101">
        <v>39925</v>
      </c>
      <c r="S101" s="238" t="s">
        <v>137</v>
      </c>
      <c r="T101" s="238" t="s">
        <v>1167</v>
      </c>
      <c r="V101" t="s">
        <v>1167</v>
      </c>
      <c r="W101" s="24">
        <v>43924</v>
      </c>
      <c r="X101" s="238" t="s">
        <v>227</v>
      </c>
      <c r="Y101" s="238" t="s">
        <v>39</v>
      </c>
      <c r="Z101" s="238" t="s">
        <v>1340</v>
      </c>
      <c r="AA101" t="s">
        <v>1167</v>
      </c>
      <c r="AB101" s="238" t="s">
        <v>3246</v>
      </c>
      <c r="AC101" t="s">
        <v>3079</v>
      </c>
      <c r="AD101" s="24"/>
      <c r="AE101" s="238" t="s">
        <v>1355</v>
      </c>
      <c r="AF101">
        <v>79277637785</v>
      </c>
      <c r="AG101" s="238" t="s">
        <v>1356</v>
      </c>
      <c r="AH101" s="238" t="s">
        <v>1171</v>
      </c>
      <c r="AI101" s="238" t="s">
        <v>135</v>
      </c>
      <c r="AJ101" s="238" t="s">
        <v>355</v>
      </c>
      <c r="AK101" s="238" t="s">
        <v>141</v>
      </c>
      <c r="AL101" t="s">
        <v>8715</v>
      </c>
      <c r="AM101" t="s">
        <v>1167</v>
      </c>
    </row>
    <row r="102" spans="1:39" hidden="1" x14ac:dyDescent="0.25">
      <c r="A102">
        <v>98</v>
      </c>
      <c r="B102">
        <v>8</v>
      </c>
      <c r="C102" s="24">
        <v>43949</v>
      </c>
      <c r="D102" s="238" t="s">
        <v>20</v>
      </c>
      <c r="E102" s="238" t="s">
        <v>5</v>
      </c>
      <c r="F102">
        <v>2</v>
      </c>
      <c r="G102">
        <v>10</v>
      </c>
      <c r="H102">
        <v>208</v>
      </c>
      <c r="I102" s="238" t="s">
        <v>42</v>
      </c>
      <c r="J102">
        <v>40.39</v>
      </c>
      <c r="K102" s="238" t="s">
        <v>36</v>
      </c>
      <c r="L102">
        <v>1809472</v>
      </c>
      <c r="M102">
        <v>0</v>
      </c>
      <c r="N102">
        <v>1809472</v>
      </c>
      <c r="O102">
        <v>44800</v>
      </c>
      <c r="P102">
        <v>20195</v>
      </c>
      <c r="Q102">
        <v>1789277</v>
      </c>
      <c r="R102">
        <v>44300</v>
      </c>
      <c r="S102" s="238" t="s">
        <v>124</v>
      </c>
      <c r="T102" s="238" t="s">
        <v>1167</v>
      </c>
      <c r="V102" t="s">
        <v>1167</v>
      </c>
      <c r="W102" s="24">
        <v>43948</v>
      </c>
      <c r="X102" s="238" t="s">
        <v>228</v>
      </c>
      <c r="Y102" s="238" t="s">
        <v>39</v>
      </c>
      <c r="Z102" s="238" t="s">
        <v>1340</v>
      </c>
      <c r="AA102" t="s">
        <v>1167</v>
      </c>
      <c r="AB102" s="238" t="s">
        <v>3246</v>
      </c>
      <c r="AC102" t="s">
        <v>4246</v>
      </c>
      <c r="AD102" s="24"/>
      <c r="AE102" s="238" t="s">
        <v>1357</v>
      </c>
      <c r="AF102">
        <v>79379815349</v>
      </c>
      <c r="AG102" s="238" t="s">
        <v>1358</v>
      </c>
      <c r="AH102" s="238" t="s">
        <v>1212</v>
      </c>
      <c r="AI102" s="238" t="s">
        <v>135</v>
      </c>
      <c r="AJ102" s="238" t="s">
        <v>126</v>
      </c>
      <c r="AK102" s="238" t="s">
        <v>1167</v>
      </c>
      <c r="AL102" t="s">
        <v>8715</v>
      </c>
      <c r="AM102" t="s">
        <v>1167</v>
      </c>
    </row>
    <row r="103" spans="1:39" hidden="1" x14ac:dyDescent="0.25">
      <c r="A103">
        <v>99</v>
      </c>
      <c r="B103">
        <v>9</v>
      </c>
      <c r="C103" s="24">
        <v>43950</v>
      </c>
      <c r="D103" s="238" t="s">
        <v>20</v>
      </c>
      <c r="E103" s="238" t="s">
        <v>6</v>
      </c>
      <c r="F103">
        <v>7</v>
      </c>
      <c r="G103">
        <v>5</v>
      </c>
      <c r="H103">
        <v>37</v>
      </c>
      <c r="I103" s="238" t="s">
        <v>42</v>
      </c>
      <c r="J103">
        <v>42.32</v>
      </c>
      <c r="K103" s="238" t="s">
        <v>36</v>
      </c>
      <c r="L103">
        <v>1854570.32</v>
      </c>
      <c r="M103">
        <v>0</v>
      </c>
      <c r="N103">
        <v>1854570.32</v>
      </c>
      <c r="O103">
        <v>43822.550094517959</v>
      </c>
      <c r="P103">
        <v>21160</v>
      </c>
      <c r="Q103">
        <v>1833410.32</v>
      </c>
      <c r="R103">
        <v>43322.550094517959</v>
      </c>
      <c r="S103" s="238" t="s">
        <v>124</v>
      </c>
      <c r="T103" s="238" t="s">
        <v>321</v>
      </c>
      <c r="U103">
        <v>96551</v>
      </c>
      <c r="V103" t="s">
        <v>1167</v>
      </c>
      <c r="W103" s="24">
        <v>43950</v>
      </c>
      <c r="X103" s="238" t="s">
        <v>229</v>
      </c>
      <c r="Y103" s="238" t="s">
        <v>39</v>
      </c>
      <c r="Z103" s="238" t="s">
        <v>1340</v>
      </c>
      <c r="AA103" t="s">
        <v>1167</v>
      </c>
      <c r="AB103" s="238" t="s">
        <v>3246</v>
      </c>
      <c r="AC103" t="s">
        <v>4246</v>
      </c>
      <c r="AD103" s="24"/>
      <c r="AE103" s="238" t="s">
        <v>1359</v>
      </c>
      <c r="AF103">
        <v>79270091009</v>
      </c>
      <c r="AG103" s="238" t="s">
        <v>1360</v>
      </c>
      <c r="AH103" s="238" t="s">
        <v>1212</v>
      </c>
      <c r="AI103" s="238" t="s">
        <v>135</v>
      </c>
      <c r="AJ103" s="238" t="s">
        <v>126</v>
      </c>
      <c r="AK103" s="238" t="s">
        <v>1167</v>
      </c>
      <c r="AL103" t="s">
        <v>8715</v>
      </c>
      <c r="AM103" t="s">
        <v>1167</v>
      </c>
    </row>
    <row r="104" spans="1:39" hidden="1" x14ac:dyDescent="0.25">
      <c r="A104">
        <v>100</v>
      </c>
      <c r="B104">
        <v>10</v>
      </c>
      <c r="C104" s="24">
        <v>43951</v>
      </c>
      <c r="D104" s="238" t="s">
        <v>20</v>
      </c>
      <c r="E104" s="238" t="s">
        <v>6</v>
      </c>
      <c r="F104">
        <v>2</v>
      </c>
      <c r="G104">
        <v>12</v>
      </c>
      <c r="H104">
        <v>102</v>
      </c>
      <c r="I104" s="238" t="s">
        <v>4052</v>
      </c>
      <c r="J104">
        <v>31.88</v>
      </c>
      <c r="K104" s="238" t="s">
        <v>36</v>
      </c>
      <c r="L104">
        <v>1453353.41</v>
      </c>
      <c r="M104">
        <v>0</v>
      </c>
      <c r="N104">
        <v>1453353.41</v>
      </c>
      <c r="O104">
        <v>45588.25</v>
      </c>
      <c r="P104">
        <v>15940</v>
      </c>
      <c r="Q104">
        <v>1437413.41</v>
      </c>
      <c r="R104">
        <v>45088.25</v>
      </c>
      <c r="S104" s="238" t="s">
        <v>137</v>
      </c>
      <c r="T104" s="238" t="s">
        <v>1167</v>
      </c>
      <c r="V104" t="s">
        <v>1167</v>
      </c>
      <c r="W104" s="24">
        <v>43934</v>
      </c>
      <c r="X104" s="238" t="s">
        <v>230</v>
      </c>
      <c r="Y104" s="238" t="s">
        <v>39</v>
      </c>
      <c r="Z104" s="238" t="s">
        <v>1340</v>
      </c>
      <c r="AA104" t="s">
        <v>1167</v>
      </c>
      <c r="AB104" s="238" t="s">
        <v>3246</v>
      </c>
      <c r="AC104" t="s">
        <v>3077</v>
      </c>
      <c r="AD104" s="24"/>
      <c r="AE104" s="238" t="s">
        <v>1361</v>
      </c>
      <c r="AF104">
        <v>79171412800</v>
      </c>
      <c r="AG104" s="238" t="s">
        <v>1362</v>
      </c>
      <c r="AH104" s="238" t="s">
        <v>1171</v>
      </c>
      <c r="AI104" s="238" t="s">
        <v>3072</v>
      </c>
      <c r="AJ104" s="238" t="s">
        <v>126</v>
      </c>
      <c r="AK104" s="238" t="s">
        <v>141</v>
      </c>
      <c r="AL104" t="s">
        <v>8715</v>
      </c>
      <c r="AM104" t="s">
        <v>1167</v>
      </c>
    </row>
    <row r="105" spans="1:39" hidden="1" x14ac:dyDescent="0.25">
      <c r="A105">
        <v>101</v>
      </c>
      <c r="B105">
        <v>11</v>
      </c>
      <c r="C105" s="24">
        <v>43951</v>
      </c>
      <c r="D105" s="238" t="s">
        <v>20</v>
      </c>
      <c r="E105" s="238" t="s">
        <v>5</v>
      </c>
      <c r="F105">
        <v>2</v>
      </c>
      <c r="G105">
        <v>2</v>
      </c>
      <c r="H105">
        <v>152</v>
      </c>
      <c r="I105" s="238" t="s">
        <v>42</v>
      </c>
      <c r="J105">
        <v>41.21</v>
      </c>
      <c r="K105" s="238" t="s">
        <v>36</v>
      </c>
      <c r="L105">
        <v>1802938</v>
      </c>
      <c r="M105">
        <v>0</v>
      </c>
      <c r="N105">
        <v>1802938</v>
      </c>
      <c r="O105">
        <v>43750.012132977434</v>
      </c>
      <c r="P105">
        <v>20605</v>
      </c>
      <c r="Q105">
        <v>1782333</v>
      </c>
      <c r="R105">
        <v>43250.012132977434</v>
      </c>
      <c r="S105" s="238" t="s">
        <v>137</v>
      </c>
      <c r="T105" s="238" t="s">
        <v>1167</v>
      </c>
      <c r="V105" t="s">
        <v>1167</v>
      </c>
      <c r="W105" s="24">
        <v>43950</v>
      </c>
      <c r="X105" s="238" t="s">
        <v>231</v>
      </c>
      <c r="Y105" s="238" t="s">
        <v>39</v>
      </c>
      <c r="Z105" s="238" t="s">
        <v>1340</v>
      </c>
      <c r="AA105" t="s">
        <v>1167</v>
      </c>
      <c r="AB105" s="238" t="s">
        <v>3246</v>
      </c>
      <c r="AC105" t="s">
        <v>3077</v>
      </c>
      <c r="AD105" s="24"/>
      <c r="AE105" s="238" t="s">
        <v>1363</v>
      </c>
      <c r="AF105">
        <v>79023719733</v>
      </c>
      <c r="AG105" s="238" t="s">
        <v>1364</v>
      </c>
      <c r="AH105" s="238" t="s">
        <v>1212</v>
      </c>
      <c r="AI105" s="238" t="s">
        <v>3095</v>
      </c>
      <c r="AJ105" s="238" t="s">
        <v>130</v>
      </c>
      <c r="AK105" s="238" t="s">
        <v>141</v>
      </c>
      <c r="AL105" t="s">
        <v>8715</v>
      </c>
      <c r="AM105" t="s">
        <v>1167</v>
      </c>
    </row>
    <row r="106" spans="1:39" hidden="1" x14ac:dyDescent="0.25">
      <c r="A106">
        <v>102</v>
      </c>
      <c r="B106">
        <v>1</v>
      </c>
      <c r="C106" s="24">
        <v>43959</v>
      </c>
      <c r="D106" s="238" t="s">
        <v>20</v>
      </c>
      <c r="E106" s="238" t="s">
        <v>16</v>
      </c>
      <c r="F106">
        <v>2</v>
      </c>
      <c r="G106">
        <v>3</v>
      </c>
      <c r="H106">
        <v>321</v>
      </c>
      <c r="I106" s="238" t="s">
        <v>44</v>
      </c>
      <c r="J106">
        <v>89.8</v>
      </c>
      <c r="K106" s="238" t="s">
        <v>36</v>
      </c>
      <c r="L106">
        <v>3770096</v>
      </c>
      <c r="M106">
        <v>0</v>
      </c>
      <c r="N106">
        <v>3770096</v>
      </c>
      <c r="O106">
        <v>41983.251670378624</v>
      </c>
      <c r="P106">
        <v>44900</v>
      </c>
      <c r="Q106">
        <v>3725196</v>
      </c>
      <c r="R106">
        <v>41483.251670378617</v>
      </c>
      <c r="S106" s="238" t="s">
        <v>137</v>
      </c>
      <c r="T106" s="238" t="s">
        <v>1167</v>
      </c>
      <c r="V106" t="s">
        <v>1167</v>
      </c>
      <c r="W106" s="24">
        <v>43964</v>
      </c>
      <c r="X106" s="238" t="s">
        <v>232</v>
      </c>
      <c r="Y106" s="238" t="s">
        <v>39</v>
      </c>
      <c r="Z106" s="238" t="s">
        <v>1340</v>
      </c>
      <c r="AA106" t="s">
        <v>1167</v>
      </c>
      <c r="AB106" s="238" t="s">
        <v>3246</v>
      </c>
      <c r="AC106" t="s">
        <v>3079</v>
      </c>
      <c r="AD106" s="24"/>
      <c r="AE106" s="238" t="s">
        <v>1365</v>
      </c>
      <c r="AF106">
        <v>79061261962</v>
      </c>
      <c r="AG106" s="238" t="s">
        <v>1366</v>
      </c>
      <c r="AH106" s="238" t="s">
        <v>1212</v>
      </c>
      <c r="AI106" s="238" t="s">
        <v>3074</v>
      </c>
      <c r="AJ106" s="238" t="s">
        <v>130</v>
      </c>
      <c r="AK106" s="238" t="s">
        <v>141</v>
      </c>
      <c r="AL106" t="s">
        <v>8715</v>
      </c>
      <c r="AM106" t="s">
        <v>1167</v>
      </c>
    </row>
    <row r="107" spans="1:39" hidden="1" x14ac:dyDescent="0.25">
      <c r="A107">
        <v>103</v>
      </c>
      <c r="B107">
        <v>2</v>
      </c>
      <c r="C107" s="24">
        <v>43963</v>
      </c>
      <c r="D107" s="238" t="s">
        <v>20</v>
      </c>
      <c r="E107" s="238" t="s">
        <v>6</v>
      </c>
      <c r="F107">
        <v>2</v>
      </c>
      <c r="G107">
        <v>4</v>
      </c>
      <c r="H107">
        <v>22</v>
      </c>
      <c r="I107" s="238" t="s">
        <v>4052</v>
      </c>
      <c r="J107">
        <v>31.88</v>
      </c>
      <c r="K107" s="238" t="s">
        <v>36</v>
      </c>
      <c r="L107">
        <v>1453353.41</v>
      </c>
      <c r="M107">
        <v>0</v>
      </c>
      <c r="N107">
        <v>1453353.41</v>
      </c>
      <c r="O107">
        <v>45588.25</v>
      </c>
      <c r="P107">
        <v>15940</v>
      </c>
      <c r="Q107">
        <v>1437413.41</v>
      </c>
      <c r="R107">
        <v>45088.25</v>
      </c>
      <c r="S107" s="238" t="s">
        <v>137</v>
      </c>
      <c r="T107" s="238" t="s">
        <v>1167</v>
      </c>
      <c r="V107" t="s">
        <v>1167</v>
      </c>
      <c r="W107" s="24">
        <v>43952</v>
      </c>
      <c r="X107" s="238" t="s">
        <v>233</v>
      </c>
      <c r="Y107" s="238" t="s">
        <v>39</v>
      </c>
      <c r="Z107" s="238" t="s">
        <v>1340</v>
      </c>
      <c r="AA107" t="s">
        <v>1167</v>
      </c>
      <c r="AB107" s="238" t="s">
        <v>3246</v>
      </c>
      <c r="AC107" t="s">
        <v>3079</v>
      </c>
      <c r="AD107" s="24"/>
      <c r="AE107" s="238" t="s">
        <v>1367</v>
      </c>
      <c r="AF107">
        <v>79879448723</v>
      </c>
      <c r="AG107" s="238" t="s">
        <v>1368</v>
      </c>
      <c r="AH107" s="238" t="s">
        <v>1212</v>
      </c>
      <c r="AI107" s="238" t="s">
        <v>135</v>
      </c>
      <c r="AJ107" s="238" t="s">
        <v>126</v>
      </c>
      <c r="AK107" s="238" t="s">
        <v>141</v>
      </c>
      <c r="AL107" t="s">
        <v>8715</v>
      </c>
      <c r="AM107" t="s">
        <v>1167</v>
      </c>
    </row>
    <row r="108" spans="1:39" hidden="1" x14ac:dyDescent="0.25">
      <c r="A108">
        <v>104</v>
      </c>
      <c r="B108">
        <v>3</v>
      </c>
      <c r="C108" s="24">
        <v>43963</v>
      </c>
      <c r="D108" s="238" t="s">
        <v>20</v>
      </c>
      <c r="E108" s="238" t="s">
        <v>5</v>
      </c>
      <c r="F108">
        <v>5</v>
      </c>
      <c r="G108">
        <v>18</v>
      </c>
      <c r="H108">
        <v>267</v>
      </c>
      <c r="I108" s="238" t="s">
        <v>44</v>
      </c>
      <c r="J108">
        <v>78.03</v>
      </c>
      <c r="K108" s="238" t="s">
        <v>37</v>
      </c>
      <c r="L108">
        <v>3332212.63</v>
      </c>
      <c r="M108">
        <v>0</v>
      </c>
      <c r="N108">
        <v>3332212.63</v>
      </c>
      <c r="O108">
        <v>42704.250032038959</v>
      </c>
      <c r="P108">
        <v>39015</v>
      </c>
      <c r="Q108">
        <v>3293197.63</v>
      </c>
      <c r="R108">
        <v>42204.250032038959</v>
      </c>
      <c r="S108" s="238" t="s">
        <v>137</v>
      </c>
      <c r="T108" s="238" t="s">
        <v>1167</v>
      </c>
      <c r="V108" t="s">
        <v>1167</v>
      </c>
      <c r="W108" s="24">
        <v>43958</v>
      </c>
      <c r="X108" s="238" t="s">
        <v>235</v>
      </c>
      <c r="Y108" s="238" t="s">
        <v>39</v>
      </c>
      <c r="Z108" s="238" t="s">
        <v>1340</v>
      </c>
      <c r="AA108" t="s">
        <v>1167</v>
      </c>
      <c r="AB108" s="238" t="s">
        <v>3246</v>
      </c>
      <c r="AC108" t="s">
        <v>3079</v>
      </c>
      <c r="AD108" s="24"/>
      <c r="AE108" s="238" t="s">
        <v>1369</v>
      </c>
      <c r="AF108">
        <v>79272073244</v>
      </c>
      <c r="AG108" s="238" t="s">
        <v>1203</v>
      </c>
      <c r="AH108" s="238" t="s">
        <v>1171</v>
      </c>
      <c r="AI108" s="238" t="s">
        <v>3094</v>
      </c>
      <c r="AJ108" s="238" t="s">
        <v>126</v>
      </c>
      <c r="AK108" s="238" t="s">
        <v>141</v>
      </c>
      <c r="AL108" t="s">
        <v>8715</v>
      </c>
      <c r="AM108" t="s">
        <v>1167</v>
      </c>
    </row>
    <row r="109" spans="1:39" hidden="1" x14ac:dyDescent="0.25">
      <c r="A109">
        <v>105</v>
      </c>
      <c r="B109">
        <v>4</v>
      </c>
      <c r="C109" s="24">
        <v>43963</v>
      </c>
      <c r="D109" s="238" t="s">
        <v>20</v>
      </c>
      <c r="E109" s="238" t="s">
        <v>5</v>
      </c>
      <c r="F109">
        <v>7</v>
      </c>
      <c r="G109">
        <v>4</v>
      </c>
      <c r="H109">
        <v>171</v>
      </c>
      <c r="I109" s="238" t="s">
        <v>43</v>
      </c>
      <c r="J109">
        <v>63.74</v>
      </c>
      <c r="K109" s="238" t="s">
        <v>36</v>
      </c>
      <c r="L109">
        <v>2561121</v>
      </c>
      <c r="M109">
        <v>0</v>
      </c>
      <c r="N109">
        <v>2561121</v>
      </c>
      <c r="O109">
        <v>40180.749921556322</v>
      </c>
      <c r="P109">
        <v>31870</v>
      </c>
      <c r="Q109">
        <v>2529251</v>
      </c>
      <c r="R109">
        <v>39680.749921556322</v>
      </c>
      <c r="S109" s="238" t="s">
        <v>137</v>
      </c>
      <c r="T109" s="238" t="s">
        <v>1167</v>
      </c>
      <c r="V109" t="s">
        <v>1167</v>
      </c>
      <c r="W109" s="24">
        <v>43964</v>
      </c>
      <c r="X109" s="238" t="s">
        <v>234</v>
      </c>
      <c r="Y109" s="238" t="s">
        <v>39</v>
      </c>
      <c r="Z109" s="238" t="s">
        <v>1340</v>
      </c>
      <c r="AA109" t="s">
        <v>1167</v>
      </c>
      <c r="AB109" s="238" t="s">
        <v>3246</v>
      </c>
      <c r="AC109" t="s">
        <v>3079</v>
      </c>
      <c r="AD109" s="24"/>
      <c r="AE109" s="238" t="s">
        <v>1370</v>
      </c>
      <c r="AF109">
        <v>79370764719</v>
      </c>
      <c r="AG109" s="238" t="s">
        <v>1371</v>
      </c>
      <c r="AH109" s="238" t="s">
        <v>1212</v>
      </c>
      <c r="AI109" s="238" t="s">
        <v>3097</v>
      </c>
      <c r="AJ109" s="238" t="s">
        <v>130</v>
      </c>
      <c r="AK109" s="238" t="s">
        <v>141</v>
      </c>
      <c r="AL109" t="s">
        <v>8715</v>
      </c>
      <c r="AM109" t="s">
        <v>1167</v>
      </c>
    </row>
    <row r="110" spans="1:39" hidden="1" x14ac:dyDescent="0.25">
      <c r="A110">
        <v>106</v>
      </c>
      <c r="B110">
        <v>5</v>
      </c>
      <c r="C110" s="24">
        <v>43965</v>
      </c>
      <c r="D110" s="238" t="s">
        <v>20</v>
      </c>
      <c r="E110" s="238" t="s">
        <v>6</v>
      </c>
      <c r="F110">
        <v>6</v>
      </c>
      <c r="G110">
        <v>9</v>
      </c>
      <c r="H110">
        <v>76</v>
      </c>
      <c r="I110" s="238" t="s">
        <v>43</v>
      </c>
      <c r="J110">
        <v>63.03</v>
      </c>
      <c r="K110" s="238" t="s">
        <v>36</v>
      </c>
      <c r="L110">
        <v>2623481.9300000002</v>
      </c>
      <c r="M110">
        <v>0</v>
      </c>
      <c r="N110">
        <v>2623481.9300000002</v>
      </c>
      <c r="O110">
        <v>41622.749960336347</v>
      </c>
      <c r="P110">
        <v>31515</v>
      </c>
      <c r="Q110">
        <v>2591966.9300000002</v>
      </c>
      <c r="R110">
        <v>41122.749960336347</v>
      </c>
      <c r="S110" s="238" t="s">
        <v>137</v>
      </c>
      <c r="T110" s="238" t="s">
        <v>1167</v>
      </c>
      <c r="V110" t="s">
        <v>1167</v>
      </c>
      <c r="W110" s="24">
        <v>43961</v>
      </c>
      <c r="X110" s="238" t="s">
        <v>237</v>
      </c>
      <c r="Y110" s="238" t="s">
        <v>39</v>
      </c>
      <c r="Z110" s="238" t="s">
        <v>1168</v>
      </c>
      <c r="AA110" t="s">
        <v>1167</v>
      </c>
      <c r="AB110" s="238" t="s">
        <v>3246</v>
      </c>
      <c r="AC110" t="s">
        <v>3080</v>
      </c>
      <c r="AD110" s="24"/>
      <c r="AE110" s="238" t="s">
        <v>1372</v>
      </c>
      <c r="AF110">
        <v>79879869850</v>
      </c>
      <c r="AG110" s="238" t="s">
        <v>1373</v>
      </c>
      <c r="AH110" s="238" t="s">
        <v>1212</v>
      </c>
      <c r="AI110" s="238" t="s">
        <v>135</v>
      </c>
      <c r="AJ110" s="238" t="s">
        <v>126</v>
      </c>
      <c r="AK110" s="238" t="s">
        <v>141</v>
      </c>
      <c r="AL110" t="s">
        <v>8715</v>
      </c>
      <c r="AM110" t="s">
        <v>1167</v>
      </c>
    </row>
    <row r="111" spans="1:39" hidden="1" x14ac:dyDescent="0.25">
      <c r="A111">
        <v>107</v>
      </c>
      <c r="B111">
        <v>6</v>
      </c>
      <c r="C111" s="24">
        <v>43965</v>
      </c>
      <c r="D111" s="238" t="s">
        <v>20</v>
      </c>
      <c r="E111" s="238" t="s">
        <v>6</v>
      </c>
      <c r="F111">
        <v>7</v>
      </c>
      <c r="G111">
        <v>2</v>
      </c>
      <c r="H111">
        <v>7</v>
      </c>
      <c r="I111" s="238" t="s">
        <v>42</v>
      </c>
      <c r="J111">
        <v>43.12</v>
      </c>
      <c r="K111" s="238" t="s">
        <v>36</v>
      </c>
      <c r="L111">
        <v>1872496.78</v>
      </c>
      <c r="M111">
        <v>0</v>
      </c>
      <c r="N111">
        <v>1872496.78</v>
      </c>
      <c r="O111">
        <v>43425.25</v>
      </c>
      <c r="P111">
        <v>21560</v>
      </c>
      <c r="Q111">
        <v>1850936.78</v>
      </c>
      <c r="R111">
        <v>42925.25</v>
      </c>
      <c r="S111" s="238" t="s">
        <v>137</v>
      </c>
      <c r="T111" s="238" t="s">
        <v>1167</v>
      </c>
      <c r="V111" t="s">
        <v>1167</v>
      </c>
      <c r="W111" s="24">
        <v>43965</v>
      </c>
      <c r="X111" s="238" t="s">
        <v>236</v>
      </c>
      <c r="Y111" s="238" t="s">
        <v>39</v>
      </c>
      <c r="Z111" s="238" t="s">
        <v>1340</v>
      </c>
      <c r="AA111" t="s">
        <v>1167</v>
      </c>
      <c r="AB111" s="238" t="s">
        <v>3246</v>
      </c>
      <c r="AC111" t="s">
        <v>3077</v>
      </c>
      <c r="AD111" s="24"/>
      <c r="AE111" s="238" t="s">
        <v>1374</v>
      </c>
      <c r="AF111">
        <v>79225376592</v>
      </c>
      <c r="AG111" s="238" t="s">
        <v>1375</v>
      </c>
      <c r="AH111" s="238" t="s">
        <v>135</v>
      </c>
      <c r="AI111" s="238" t="s">
        <v>135</v>
      </c>
      <c r="AJ111" s="238" t="s">
        <v>120</v>
      </c>
      <c r="AK111" s="238" t="s">
        <v>141</v>
      </c>
      <c r="AL111" t="s">
        <v>8715</v>
      </c>
      <c r="AM111" t="s">
        <v>1167</v>
      </c>
    </row>
    <row r="112" spans="1:39" hidden="1" x14ac:dyDescent="0.25">
      <c r="A112">
        <v>108</v>
      </c>
      <c r="B112">
        <v>7</v>
      </c>
      <c r="C112" s="24">
        <v>43969</v>
      </c>
      <c r="D112" s="238" t="s">
        <v>20</v>
      </c>
      <c r="E112" s="238" t="s">
        <v>5</v>
      </c>
      <c r="F112">
        <v>3</v>
      </c>
      <c r="G112">
        <v>21</v>
      </c>
      <c r="H112">
        <v>286</v>
      </c>
      <c r="I112" s="238" t="s">
        <v>42</v>
      </c>
      <c r="J112">
        <v>41.1</v>
      </c>
      <c r="K112" s="238" t="s">
        <v>36</v>
      </c>
      <c r="L112">
        <v>1888493.63</v>
      </c>
      <c r="M112">
        <v>0</v>
      </c>
      <c r="N112">
        <v>1888493.63</v>
      </c>
      <c r="O112">
        <v>45948.750121654499</v>
      </c>
      <c r="P112">
        <v>20550</v>
      </c>
      <c r="Q112">
        <v>1867943.63</v>
      </c>
      <c r="R112">
        <v>45448.750121654499</v>
      </c>
      <c r="S112" s="238" t="s">
        <v>124</v>
      </c>
      <c r="T112" s="238" t="s">
        <v>1167</v>
      </c>
      <c r="V112" t="s">
        <v>1167</v>
      </c>
      <c r="W112" s="24">
        <v>43965</v>
      </c>
      <c r="X112" s="238" t="s">
        <v>239</v>
      </c>
      <c r="Y112" s="238" t="s">
        <v>39</v>
      </c>
      <c r="Z112" s="238" t="s">
        <v>1340</v>
      </c>
      <c r="AA112" t="s">
        <v>1167</v>
      </c>
      <c r="AB112" s="238" t="s">
        <v>3246</v>
      </c>
      <c r="AC112" t="s">
        <v>4246</v>
      </c>
      <c r="AD112" s="24"/>
      <c r="AE112" s="238" t="s">
        <v>1376</v>
      </c>
      <c r="AF112">
        <v>79372856666</v>
      </c>
      <c r="AG112" s="238" t="s">
        <v>1377</v>
      </c>
      <c r="AH112" s="238" t="s">
        <v>1212</v>
      </c>
      <c r="AI112" s="238" t="s">
        <v>3097</v>
      </c>
      <c r="AJ112" s="238" t="s">
        <v>130</v>
      </c>
      <c r="AK112" s="238" t="s">
        <v>1167</v>
      </c>
      <c r="AL112" t="s">
        <v>8715</v>
      </c>
      <c r="AM112" t="s">
        <v>1167</v>
      </c>
    </row>
    <row r="113" spans="1:39" hidden="1" x14ac:dyDescent="0.25">
      <c r="A113">
        <v>109</v>
      </c>
      <c r="B113">
        <v>8</v>
      </c>
      <c r="C113" s="24">
        <v>43969</v>
      </c>
      <c r="D113" s="238" t="s">
        <v>20</v>
      </c>
      <c r="E113" s="238" t="s">
        <v>5</v>
      </c>
      <c r="F113">
        <v>5</v>
      </c>
      <c r="G113">
        <v>6</v>
      </c>
      <c r="H113">
        <v>183</v>
      </c>
      <c r="I113" s="238" t="s">
        <v>44</v>
      </c>
      <c r="J113">
        <v>78.03</v>
      </c>
      <c r="K113" s="238" t="s">
        <v>36</v>
      </c>
      <c r="L113">
        <v>3154362.75</v>
      </c>
      <c r="M113">
        <v>0</v>
      </c>
      <c r="N113">
        <v>3154362.75</v>
      </c>
      <c r="O113">
        <v>40425</v>
      </c>
      <c r="P113">
        <v>39015</v>
      </c>
      <c r="Q113">
        <v>3115347.75</v>
      </c>
      <c r="R113">
        <v>39925</v>
      </c>
      <c r="S113" s="238" t="s">
        <v>137</v>
      </c>
      <c r="T113" s="238" t="s">
        <v>1167</v>
      </c>
      <c r="V113" t="s">
        <v>1167</v>
      </c>
      <c r="W113" s="24">
        <v>43970</v>
      </c>
      <c r="X113" s="238" t="s">
        <v>238</v>
      </c>
      <c r="Y113" s="238" t="s">
        <v>39</v>
      </c>
      <c r="Z113" s="238" t="s">
        <v>1340</v>
      </c>
      <c r="AA113" t="s">
        <v>1167</v>
      </c>
      <c r="AB113" s="238" t="s">
        <v>3246</v>
      </c>
      <c r="AC113" t="s">
        <v>3079</v>
      </c>
      <c r="AD113" s="24"/>
      <c r="AE113" s="238" t="s">
        <v>1378</v>
      </c>
      <c r="AF113">
        <v>79874495288</v>
      </c>
      <c r="AG113" s="238" t="s">
        <v>1379</v>
      </c>
      <c r="AH113" s="238" t="s">
        <v>135</v>
      </c>
      <c r="AI113" s="238" t="s">
        <v>3075</v>
      </c>
      <c r="AJ113" s="238" t="s">
        <v>130</v>
      </c>
      <c r="AK113" s="238" t="s">
        <v>141</v>
      </c>
      <c r="AL113" t="s">
        <v>8715</v>
      </c>
      <c r="AM113" t="s">
        <v>1167</v>
      </c>
    </row>
    <row r="114" spans="1:39" hidden="1" x14ac:dyDescent="0.25">
      <c r="A114">
        <v>110</v>
      </c>
      <c r="B114">
        <v>9</v>
      </c>
      <c r="C114" s="24">
        <v>43969</v>
      </c>
      <c r="D114" s="238" t="s">
        <v>20</v>
      </c>
      <c r="E114" s="238" t="s">
        <v>6</v>
      </c>
      <c r="F114">
        <v>10</v>
      </c>
      <c r="G114">
        <v>3</v>
      </c>
      <c r="H114">
        <v>20</v>
      </c>
      <c r="I114" s="238" t="s">
        <v>43</v>
      </c>
      <c r="J114">
        <v>65.540000000000006</v>
      </c>
      <c r="K114" s="238" t="s">
        <v>36</v>
      </c>
      <c r="L114">
        <v>2718271.5</v>
      </c>
      <c r="M114">
        <v>0</v>
      </c>
      <c r="N114">
        <v>2718271.5</v>
      </c>
      <c r="O114">
        <v>41474.999999999993</v>
      </c>
      <c r="P114">
        <v>32770</v>
      </c>
      <c r="Q114">
        <v>2685501.5</v>
      </c>
      <c r="R114">
        <v>40974.999999999993</v>
      </c>
      <c r="S114" s="238" t="s">
        <v>137</v>
      </c>
      <c r="T114" s="238" t="s">
        <v>1167</v>
      </c>
      <c r="V114" t="s">
        <v>1167</v>
      </c>
      <c r="W114" s="24">
        <v>43970</v>
      </c>
      <c r="X114" s="238" t="s">
        <v>240</v>
      </c>
      <c r="Y114" s="238" t="s">
        <v>39</v>
      </c>
      <c r="Z114" s="238" t="s">
        <v>1340</v>
      </c>
      <c r="AA114" t="s">
        <v>1167</v>
      </c>
      <c r="AB114" s="238" t="s">
        <v>3246</v>
      </c>
      <c r="AC114" t="s">
        <v>3079</v>
      </c>
      <c r="AD114" s="24"/>
      <c r="AE114" s="238" t="s">
        <v>1380</v>
      </c>
      <c r="AF114">
        <v>79125631107</v>
      </c>
      <c r="AG114" s="238" t="s">
        <v>1381</v>
      </c>
      <c r="AH114" s="238" t="s">
        <v>1212</v>
      </c>
      <c r="AI114" s="238" t="s">
        <v>3090</v>
      </c>
      <c r="AJ114" s="238" t="s">
        <v>130</v>
      </c>
      <c r="AK114" s="238" t="s">
        <v>141</v>
      </c>
      <c r="AL114" t="s">
        <v>8715</v>
      </c>
      <c r="AM114" t="s">
        <v>1167</v>
      </c>
    </row>
    <row r="115" spans="1:39" hidden="1" x14ac:dyDescent="0.25">
      <c r="A115">
        <v>111</v>
      </c>
      <c r="B115">
        <v>10</v>
      </c>
      <c r="C115" s="24">
        <v>43970</v>
      </c>
      <c r="D115" s="238" t="s">
        <v>20</v>
      </c>
      <c r="E115" s="238" t="s">
        <v>5</v>
      </c>
      <c r="F115">
        <v>7</v>
      </c>
      <c r="G115">
        <v>14</v>
      </c>
      <c r="H115">
        <v>241</v>
      </c>
      <c r="I115" s="238" t="s">
        <v>43</v>
      </c>
      <c r="J115">
        <v>63.74</v>
      </c>
      <c r="K115" s="238" t="s">
        <v>36</v>
      </c>
      <c r="L115">
        <v>2756436.3</v>
      </c>
      <c r="M115">
        <v>0</v>
      </c>
      <c r="N115">
        <v>2756436.3</v>
      </c>
      <c r="O115">
        <v>43244.999999999993</v>
      </c>
      <c r="P115">
        <v>31870</v>
      </c>
      <c r="Q115">
        <v>2724566.3</v>
      </c>
      <c r="R115">
        <v>42744.999999999993</v>
      </c>
      <c r="S115" s="238" t="s">
        <v>137</v>
      </c>
      <c r="T115" s="238" t="s">
        <v>1167</v>
      </c>
      <c r="V115" t="s">
        <v>1167</v>
      </c>
      <c r="W115" s="24">
        <v>43972</v>
      </c>
      <c r="X115" s="238" t="s">
        <v>241</v>
      </c>
      <c r="Y115" s="238" t="s">
        <v>39</v>
      </c>
      <c r="Z115" s="238" t="s">
        <v>1340</v>
      </c>
      <c r="AA115" t="s">
        <v>1167</v>
      </c>
      <c r="AB115" s="238" t="s">
        <v>3246</v>
      </c>
      <c r="AC115" t="s">
        <v>3079</v>
      </c>
      <c r="AD115" s="24"/>
      <c r="AE115" s="238" t="s">
        <v>1382</v>
      </c>
      <c r="AF115">
        <v>79991709069</v>
      </c>
      <c r="AG115" s="238" t="s">
        <v>1383</v>
      </c>
      <c r="AH115" s="238" t="s">
        <v>1212</v>
      </c>
      <c r="AI115" s="238" t="s">
        <v>3097</v>
      </c>
      <c r="AJ115" s="238" t="s">
        <v>130</v>
      </c>
      <c r="AK115" s="238" t="s">
        <v>141</v>
      </c>
      <c r="AL115" t="s">
        <v>8715</v>
      </c>
      <c r="AM115" t="s">
        <v>1167</v>
      </c>
    </row>
    <row r="116" spans="1:39" hidden="1" x14ac:dyDescent="0.25">
      <c r="A116">
        <v>112</v>
      </c>
      <c r="B116">
        <v>11</v>
      </c>
      <c r="C116" s="24">
        <v>43971</v>
      </c>
      <c r="D116" s="238" t="s">
        <v>20</v>
      </c>
      <c r="E116" s="238" t="s">
        <v>5</v>
      </c>
      <c r="F116">
        <v>1</v>
      </c>
      <c r="G116">
        <v>12</v>
      </c>
      <c r="H116">
        <v>221</v>
      </c>
      <c r="I116" s="238" t="s">
        <v>44</v>
      </c>
      <c r="J116">
        <v>89.56</v>
      </c>
      <c r="K116" s="238" t="s">
        <v>36</v>
      </c>
      <c r="L116">
        <v>3727733.49</v>
      </c>
      <c r="M116">
        <v>0</v>
      </c>
      <c r="N116">
        <v>3727733.49</v>
      </c>
      <c r="O116">
        <v>41622.75</v>
      </c>
      <c r="P116">
        <v>44780</v>
      </c>
      <c r="Q116">
        <v>3682953.49</v>
      </c>
      <c r="R116">
        <v>41122.75</v>
      </c>
      <c r="S116" s="238" t="s">
        <v>137</v>
      </c>
      <c r="T116" s="238" t="s">
        <v>1167</v>
      </c>
      <c r="V116" t="s">
        <v>1167</v>
      </c>
      <c r="W116" s="24">
        <v>43972</v>
      </c>
      <c r="X116" s="238" t="s">
        <v>242</v>
      </c>
      <c r="Y116" s="238" t="s">
        <v>39</v>
      </c>
      <c r="Z116" s="238" t="s">
        <v>1340</v>
      </c>
      <c r="AA116" t="s">
        <v>1167</v>
      </c>
      <c r="AB116" s="238" t="s">
        <v>3246</v>
      </c>
      <c r="AC116" t="s">
        <v>3079</v>
      </c>
      <c r="AD116" s="24"/>
      <c r="AE116" s="238" t="s">
        <v>1384</v>
      </c>
      <c r="AF116">
        <v>79084918094</v>
      </c>
      <c r="AG116" s="238" t="s">
        <v>1385</v>
      </c>
      <c r="AH116" s="238" t="s">
        <v>1212</v>
      </c>
      <c r="AI116" s="238" t="s">
        <v>135</v>
      </c>
      <c r="AJ116" s="238" t="s">
        <v>130</v>
      </c>
      <c r="AK116" s="238" t="s">
        <v>141</v>
      </c>
      <c r="AL116" t="s">
        <v>8715</v>
      </c>
      <c r="AM116" t="s">
        <v>1167</v>
      </c>
    </row>
    <row r="117" spans="1:39" hidden="1" x14ac:dyDescent="0.25">
      <c r="A117">
        <v>113</v>
      </c>
      <c r="B117">
        <v>12</v>
      </c>
      <c r="C117" s="24">
        <v>43972</v>
      </c>
      <c r="D117" s="238" t="s">
        <v>20</v>
      </c>
      <c r="E117" s="238" t="s">
        <v>6</v>
      </c>
      <c r="F117">
        <v>10</v>
      </c>
      <c r="G117">
        <v>8</v>
      </c>
      <c r="H117">
        <v>70</v>
      </c>
      <c r="I117" s="238" t="s">
        <v>43</v>
      </c>
      <c r="J117">
        <v>65.540000000000006</v>
      </c>
      <c r="K117" s="238" t="s">
        <v>37</v>
      </c>
      <c r="L117">
        <v>2977007.04</v>
      </c>
      <c r="M117">
        <v>0</v>
      </c>
      <c r="N117">
        <v>2977007.04</v>
      </c>
      <c r="O117">
        <v>45422.750076289289</v>
      </c>
      <c r="P117">
        <v>281822</v>
      </c>
      <c r="Q117">
        <v>2695185.04</v>
      </c>
      <c r="R117">
        <v>41122.750076289289</v>
      </c>
      <c r="S117" s="238" t="s">
        <v>137</v>
      </c>
      <c r="T117" s="238" t="s">
        <v>1167</v>
      </c>
      <c r="V117" t="s">
        <v>1167</v>
      </c>
      <c r="W117" s="24">
        <v>43972</v>
      </c>
      <c r="X117" s="238" t="s">
        <v>243</v>
      </c>
      <c r="Y117" s="238" t="s">
        <v>39</v>
      </c>
      <c r="Z117" s="238" t="s">
        <v>1340</v>
      </c>
      <c r="AA117" t="s">
        <v>1167</v>
      </c>
      <c r="AB117" s="238" t="s">
        <v>3246</v>
      </c>
      <c r="AC117" t="s">
        <v>3079</v>
      </c>
      <c r="AD117" s="24"/>
      <c r="AE117" s="238" t="s">
        <v>1386</v>
      </c>
      <c r="AF117">
        <v>79146238268</v>
      </c>
      <c r="AG117" s="238" t="s">
        <v>1387</v>
      </c>
      <c r="AH117" s="238" t="s">
        <v>1212</v>
      </c>
      <c r="AI117" s="238" t="s">
        <v>135</v>
      </c>
      <c r="AJ117" s="238" t="s">
        <v>120</v>
      </c>
      <c r="AK117" s="238" t="s">
        <v>141</v>
      </c>
      <c r="AL117" t="s">
        <v>8715</v>
      </c>
      <c r="AM117" t="s">
        <v>1167</v>
      </c>
    </row>
    <row r="118" spans="1:39" hidden="1" x14ac:dyDescent="0.25">
      <c r="A118">
        <v>114</v>
      </c>
      <c r="B118">
        <v>13</v>
      </c>
      <c r="C118" s="24">
        <v>43972</v>
      </c>
      <c r="D118" s="238" t="s">
        <v>20</v>
      </c>
      <c r="E118" s="238" t="s">
        <v>5</v>
      </c>
      <c r="F118">
        <v>6</v>
      </c>
      <c r="G118">
        <v>21</v>
      </c>
      <c r="H118">
        <v>289</v>
      </c>
      <c r="I118" s="238" t="s">
        <v>43</v>
      </c>
      <c r="J118">
        <v>64.150000000000006</v>
      </c>
      <c r="K118" s="238" t="s">
        <v>36</v>
      </c>
      <c r="L118">
        <v>2670099.41</v>
      </c>
      <c r="M118">
        <v>0</v>
      </c>
      <c r="N118">
        <v>2670099.41</v>
      </c>
      <c r="O118">
        <v>41622.749961028836</v>
      </c>
      <c r="P118">
        <v>32075</v>
      </c>
      <c r="Q118">
        <v>2638024.41</v>
      </c>
      <c r="R118">
        <v>41122.749961028836</v>
      </c>
      <c r="S118" s="238" t="s">
        <v>137</v>
      </c>
      <c r="T118" s="238" t="s">
        <v>1167</v>
      </c>
      <c r="V118" t="s">
        <v>1167</v>
      </c>
      <c r="W118" s="24">
        <v>43973</v>
      </c>
      <c r="X118" s="238" t="s">
        <v>244</v>
      </c>
      <c r="Y118" s="238" t="s">
        <v>39</v>
      </c>
      <c r="Z118" s="238" t="s">
        <v>1168</v>
      </c>
      <c r="AA118" t="s">
        <v>1167</v>
      </c>
      <c r="AB118" s="238" t="s">
        <v>3246</v>
      </c>
      <c r="AC118" t="s">
        <v>3076</v>
      </c>
      <c r="AD118" s="24"/>
      <c r="AE118" s="238" t="s">
        <v>1388</v>
      </c>
      <c r="AF118">
        <v>79272604349</v>
      </c>
      <c r="AG118" s="238" t="s">
        <v>1389</v>
      </c>
      <c r="AH118" s="238" t="s">
        <v>1212</v>
      </c>
      <c r="AI118" s="238" t="s">
        <v>3096</v>
      </c>
      <c r="AJ118" s="238" t="s">
        <v>355</v>
      </c>
      <c r="AK118" s="238" t="s">
        <v>141</v>
      </c>
      <c r="AL118" t="s">
        <v>8715</v>
      </c>
      <c r="AM118" t="s">
        <v>1167</v>
      </c>
    </row>
    <row r="119" spans="1:39" hidden="1" x14ac:dyDescent="0.25">
      <c r="A119">
        <v>115</v>
      </c>
      <c r="B119">
        <v>14</v>
      </c>
      <c r="C119" s="24">
        <v>43977</v>
      </c>
      <c r="D119" s="238" t="s">
        <v>20</v>
      </c>
      <c r="E119" s="238" t="s">
        <v>5</v>
      </c>
      <c r="F119">
        <v>2</v>
      </c>
      <c r="G119">
        <v>3</v>
      </c>
      <c r="H119">
        <v>159</v>
      </c>
      <c r="I119" s="238" t="s">
        <v>42</v>
      </c>
      <c r="J119">
        <v>40.39</v>
      </c>
      <c r="K119" s="238" t="s">
        <v>36</v>
      </c>
      <c r="L119">
        <v>1863150.31</v>
      </c>
      <c r="M119">
        <v>0</v>
      </c>
      <c r="N119">
        <v>1863150.31</v>
      </c>
      <c r="O119">
        <v>46129</v>
      </c>
      <c r="P119">
        <v>20195</v>
      </c>
      <c r="Q119">
        <v>1842955.31</v>
      </c>
      <c r="R119">
        <v>45629</v>
      </c>
      <c r="S119" s="238" t="s">
        <v>137</v>
      </c>
      <c r="T119" s="238" t="s">
        <v>1167</v>
      </c>
      <c r="V119" t="s">
        <v>1167</v>
      </c>
      <c r="W119" s="24">
        <v>43977</v>
      </c>
      <c r="X119" s="238" t="s">
        <v>245</v>
      </c>
      <c r="Y119" s="238" t="s">
        <v>39</v>
      </c>
      <c r="Z119" s="238" t="s">
        <v>1340</v>
      </c>
      <c r="AA119" t="s">
        <v>1167</v>
      </c>
      <c r="AB119" s="238" t="s">
        <v>3246</v>
      </c>
      <c r="AC119" t="s">
        <v>3079</v>
      </c>
      <c r="AD119" s="24"/>
      <c r="AE119" s="238" t="s">
        <v>1390</v>
      </c>
      <c r="AF119">
        <v>79276564580</v>
      </c>
      <c r="AG119" s="238" t="s">
        <v>1391</v>
      </c>
      <c r="AH119" s="238" t="s">
        <v>1212</v>
      </c>
      <c r="AI119" s="238" t="s">
        <v>3086</v>
      </c>
      <c r="AJ119" s="238" t="s">
        <v>120</v>
      </c>
      <c r="AK119" s="238" t="s">
        <v>141</v>
      </c>
      <c r="AL119" t="s">
        <v>8715</v>
      </c>
      <c r="AM119" t="s">
        <v>1167</v>
      </c>
    </row>
    <row r="120" spans="1:39" hidden="1" x14ac:dyDescent="0.25">
      <c r="A120">
        <v>116</v>
      </c>
      <c r="B120">
        <v>15</v>
      </c>
      <c r="C120" s="24">
        <v>43977</v>
      </c>
      <c r="D120" s="238" t="s">
        <v>20</v>
      </c>
      <c r="E120" s="238" t="s">
        <v>5</v>
      </c>
      <c r="F120">
        <v>7</v>
      </c>
      <c r="G120">
        <v>10</v>
      </c>
      <c r="H120">
        <v>213</v>
      </c>
      <c r="I120" s="238" t="s">
        <v>43</v>
      </c>
      <c r="J120">
        <v>63.74</v>
      </c>
      <c r="K120" s="238" t="s">
        <v>36</v>
      </c>
      <c r="L120">
        <v>2687501.49</v>
      </c>
      <c r="M120">
        <v>0</v>
      </c>
      <c r="N120">
        <v>2687501.49</v>
      </c>
      <c r="O120">
        <v>42163.5</v>
      </c>
      <c r="P120">
        <v>31870</v>
      </c>
      <c r="Q120">
        <v>2655631.4900000002</v>
      </c>
      <c r="R120">
        <v>41663.5</v>
      </c>
      <c r="S120" s="238" t="s">
        <v>137</v>
      </c>
      <c r="T120" s="238" t="s">
        <v>1167</v>
      </c>
      <c r="V120" t="s">
        <v>1167</v>
      </c>
      <c r="W120" s="24">
        <v>43979</v>
      </c>
      <c r="X120" s="238" t="s">
        <v>247</v>
      </c>
      <c r="Y120" s="238" t="s">
        <v>39</v>
      </c>
      <c r="Z120" s="238" t="s">
        <v>1340</v>
      </c>
      <c r="AA120" t="s">
        <v>1167</v>
      </c>
      <c r="AB120" s="238" t="s">
        <v>3246</v>
      </c>
      <c r="AC120" t="s">
        <v>3079</v>
      </c>
      <c r="AD120" s="24"/>
      <c r="AE120" s="238" t="s">
        <v>1392</v>
      </c>
      <c r="AF120">
        <v>79963411920</v>
      </c>
      <c r="AG120" s="238" t="s">
        <v>1393</v>
      </c>
      <c r="AH120" s="238" t="s">
        <v>1212</v>
      </c>
      <c r="AI120" s="238" t="s">
        <v>3095</v>
      </c>
      <c r="AJ120" s="238" t="s">
        <v>355</v>
      </c>
      <c r="AK120" s="238" t="s">
        <v>162</v>
      </c>
      <c r="AL120" t="s">
        <v>8715</v>
      </c>
      <c r="AM120" t="s">
        <v>1167</v>
      </c>
    </row>
    <row r="121" spans="1:39" hidden="1" x14ac:dyDescent="0.25">
      <c r="A121">
        <v>117</v>
      </c>
      <c r="B121">
        <v>16</v>
      </c>
      <c r="C121" s="24">
        <v>43977</v>
      </c>
      <c r="D121" s="238" t="s">
        <v>20</v>
      </c>
      <c r="E121" s="238" t="s">
        <v>16</v>
      </c>
      <c r="F121">
        <v>6</v>
      </c>
      <c r="G121">
        <v>7</v>
      </c>
      <c r="H121">
        <v>357</v>
      </c>
      <c r="I121" s="238" t="s">
        <v>43</v>
      </c>
      <c r="J121">
        <v>65.72</v>
      </c>
      <c r="K121" s="238" t="s">
        <v>36</v>
      </c>
      <c r="L121">
        <v>2984213.76</v>
      </c>
      <c r="M121">
        <v>0</v>
      </c>
      <c r="N121">
        <v>2984213.76</v>
      </c>
      <c r="O121">
        <v>45408</v>
      </c>
      <c r="P121">
        <v>32860</v>
      </c>
      <c r="Q121">
        <v>2951353.76</v>
      </c>
      <c r="R121">
        <v>44908</v>
      </c>
      <c r="S121" s="238" t="s">
        <v>137</v>
      </c>
      <c r="T121" s="238" t="s">
        <v>1167</v>
      </c>
      <c r="V121" t="s">
        <v>1167</v>
      </c>
      <c r="W121" s="24">
        <v>43981</v>
      </c>
      <c r="X121" s="238" t="s">
        <v>246</v>
      </c>
      <c r="Y121" s="238" t="s">
        <v>39</v>
      </c>
      <c r="Z121" s="238" t="s">
        <v>1340</v>
      </c>
      <c r="AA121" t="s">
        <v>1167</v>
      </c>
      <c r="AB121" s="238" t="s">
        <v>3246</v>
      </c>
      <c r="AC121" t="s">
        <v>3079</v>
      </c>
      <c r="AD121" s="24"/>
      <c r="AE121" s="238" t="s">
        <v>1394</v>
      </c>
      <c r="AF121">
        <v>79277008449</v>
      </c>
      <c r="AG121" s="238" t="s">
        <v>1395</v>
      </c>
      <c r="AH121" s="238" t="s">
        <v>1212</v>
      </c>
      <c r="AI121" s="238" t="s">
        <v>135</v>
      </c>
      <c r="AJ121" s="238" t="s">
        <v>120</v>
      </c>
      <c r="AK121" s="238" t="s">
        <v>162</v>
      </c>
      <c r="AL121" t="s">
        <v>8715</v>
      </c>
      <c r="AM121" t="s">
        <v>1167</v>
      </c>
    </row>
    <row r="122" spans="1:39" hidden="1" x14ac:dyDescent="0.25">
      <c r="A122">
        <v>118</v>
      </c>
      <c r="B122">
        <v>17</v>
      </c>
      <c r="C122" s="24">
        <v>43978</v>
      </c>
      <c r="D122" s="238" t="s">
        <v>20</v>
      </c>
      <c r="E122" s="238" t="s">
        <v>5</v>
      </c>
      <c r="F122">
        <v>2</v>
      </c>
      <c r="G122">
        <v>24</v>
      </c>
      <c r="H122">
        <v>306</v>
      </c>
      <c r="I122" s="238" t="s">
        <v>43</v>
      </c>
      <c r="J122">
        <v>65.78</v>
      </c>
      <c r="K122" s="238" t="s">
        <v>36</v>
      </c>
      <c r="L122">
        <v>2737944.5</v>
      </c>
      <c r="M122">
        <v>0</v>
      </c>
      <c r="N122">
        <v>2737944.5</v>
      </c>
      <c r="O122">
        <v>41622.750076010947</v>
      </c>
      <c r="P122">
        <v>32890</v>
      </c>
      <c r="Q122">
        <v>2705054.5</v>
      </c>
      <c r="R122">
        <v>41122.750076010947</v>
      </c>
      <c r="S122" s="238" t="s">
        <v>137</v>
      </c>
      <c r="T122" s="238" t="s">
        <v>1167</v>
      </c>
      <c r="V122" t="s">
        <v>1167</v>
      </c>
      <c r="W122" s="24">
        <v>43978</v>
      </c>
      <c r="X122" s="238" t="s">
        <v>248</v>
      </c>
      <c r="Y122" s="238" t="s">
        <v>39</v>
      </c>
      <c r="Z122" s="238" t="s">
        <v>1340</v>
      </c>
      <c r="AA122" t="s">
        <v>1167</v>
      </c>
      <c r="AB122" s="238" t="s">
        <v>3246</v>
      </c>
      <c r="AC122" t="s">
        <v>3079</v>
      </c>
      <c r="AD122" s="24"/>
      <c r="AE122" s="238" t="s">
        <v>1396</v>
      </c>
      <c r="AF122">
        <v>79061250560</v>
      </c>
      <c r="AG122" s="238" t="s">
        <v>1397</v>
      </c>
      <c r="AH122" s="238" t="s">
        <v>1212</v>
      </c>
      <c r="AI122" s="238" t="s">
        <v>3097</v>
      </c>
      <c r="AJ122" s="238" t="s">
        <v>355</v>
      </c>
      <c r="AK122" s="238" t="s">
        <v>141</v>
      </c>
      <c r="AL122" t="s">
        <v>8715</v>
      </c>
      <c r="AM122" t="s">
        <v>1167</v>
      </c>
    </row>
    <row r="123" spans="1:39" hidden="1" x14ac:dyDescent="0.25">
      <c r="A123">
        <v>119</v>
      </c>
      <c r="B123">
        <v>18</v>
      </c>
      <c r="C123" s="24">
        <v>43979</v>
      </c>
      <c r="D123" s="238" t="s">
        <v>20</v>
      </c>
      <c r="E123" s="238" t="s">
        <v>6</v>
      </c>
      <c r="F123">
        <v>4</v>
      </c>
      <c r="G123">
        <v>12</v>
      </c>
      <c r="H123">
        <v>104</v>
      </c>
      <c r="I123" s="238" t="s">
        <v>44</v>
      </c>
      <c r="J123">
        <v>80.33</v>
      </c>
      <c r="K123" s="238" t="s">
        <v>36</v>
      </c>
      <c r="L123">
        <v>3343555.51</v>
      </c>
      <c r="M123">
        <v>0</v>
      </c>
      <c r="N123">
        <v>3343555.51</v>
      </c>
      <c r="O123">
        <v>41622.750031121621</v>
      </c>
      <c r="P123">
        <v>40165</v>
      </c>
      <c r="Q123">
        <v>3303390.51</v>
      </c>
      <c r="R123">
        <v>41122.750031121621</v>
      </c>
      <c r="S123" s="238" t="s">
        <v>137</v>
      </c>
      <c r="T123" s="238" t="s">
        <v>1167</v>
      </c>
      <c r="V123" t="s">
        <v>1167</v>
      </c>
      <c r="W123" s="24">
        <v>43979</v>
      </c>
      <c r="X123" s="238" t="s">
        <v>249</v>
      </c>
      <c r="Y123" s="238" t="s">
        <v>39</v>
      </c>
      <c r="Z123" s="238" t="s">
        <v>1340</v>
      </c>
      <c r="AA123" t="s">
        <v>1167</v>
      </c>
      <c r="AB123" s="238" t="s">
        <v>3246</v>
      </c>
      <c r="AC123" t="s">
        <v>3079</v>
      </c>
      <c r="AD123" s="24"/>
      <c r="AE123" s="238" t="s">
        <v>1398</v>
      </c>
      <c r="AF123">
        <v>79272626481</v>
      </c>
      <c r="AG123" s="238" t="s">
        <v>1399</v>
      </c>
      <c r="AH123" s="238" t="s">
        <v>1171</v>
      </c>
      <c r="AI123" s="238" t="s">
        <v>135</v>
      </c>
      <c r="AJ123" s="238" t="s">
        <v>355</v>
      </c>
      <c r="AK123" s="238" t="s">
        <v>162</v>
      </c>
      <c r="AL123" t="s">
        <v>8715</v>
      </c>
      <c r="AM123" t="s">
        <v>1167</v>
      </c>
    </row>
    <row r="124" spans="1:39" hidden="1" x14ac:dyDescent="0.25">
      <c r="A124">
        <v>120</v>
      </c>
      <c r="B124">
        <v>19</v>
      </c>
      <c r="C124" s="24">
        <v>43980</v>
      </c>
      <c r="D124" s="238" t="s">
        <v>20</v>
      </c>
      <c r="E124" s="238" t="s">
        <v>16</v>
      </c>
      <c r="F124">
        <v>8</v>
      </c>
      <c r="G124">
        <v>3</v>
      </c>
      <c r="H124">
        <v>327</v>
      </c>
      <c r="I124" s="238" t="s">
        <v>43</v>
      </c>
      <c r="J124">
        <v>60.25</v>
      </c>
      <c r="K124" s="238" t="s">
        <v>36</v>
      </c>
      <c r="L124">
        <v>2703251.81</v>
      </c>
      <c r="M124">
        <v>0</v>
      </c>
      <c r="N124">
        <v>2703251.81</v>
      </c>
      <c r="O124">
        <v>44867.249958506225</v>
      </c>
      <c r="P124">
        <v>30125</v>
      </c>
      <c r="Q124">
        <v>2673126.81</v>
      </c>
      <c r="R124">
        <v>44367.249958506225</v>
      </c>
      <c r="S124" s="238" t="s">
        <v>137</v>
      </c>
      <c r="T124" s="238" t="s">
        <v>1167</v>
      </c>
      <c r="V124" t="s">
        <v>1167</v>
      </c>
      <c r="W124" s="24">
        <v>43975</v>
      </c>
      <c r="X124" s="238" t="s">
        <v>252</v>
      </c>
      <c r="Y124" s="238" t="s">
        <v>39</v>
      </c>
      <c r="Z124" s="238" t="s">
        <v>1168</v>
      </c>
      <c r="AA124" t="s">
        <v>1167</v>
      </c>
      <c r="AB124" s="238" t="s">
        <v>3246</v>
      </c>
      <c r="AC124" t="s">
        <v>3079</v>
      </c>
      <c r="AD124" s="24"/>
      <c r="AE124" s="238" t="s">
        <v>1400</v>
      </c>
      <c r="AF124">
        <v>79270067646</v>
      </c>
      <c r="AG124" s="238" t="s">
        <v>1401</v>
      </c>
      <c r="AH124" s="238" t="s">
        <v>1212</v>
      </c>
      <c r="AI124" s="238" t="s">
        <v>135</v>
      </c>
      <c r="AJ124" s="238" t="s">
        <v>126</v>
      </c>
      <c r="AK124" s="238" t="s">
        <v>141</v>
      </c>
      <c r="AL124" t="s">
        <v>8715</v>
      </c>
      <c r="AM124" t="s">
        <v>1167</v>
      </c>
    </row>
    <row r="125" spans="1:39" hidden="1" x14ac:dyDescent="0.25">
      <c r="A125">
        <v>121</v>
      </c>
      <c r="B125">
        <v>20</v>
      </c>
      <c r="C125" s="24">
        <v>43980</v>
      </c>
      <c r="D125" s="238" t="s">
        <v>20</v>
      </c>
      <c r="E125" s="238" t="s">
        <v>6</v>
      </c>
      <c r="F125">
        <v>1</v>
      </c>
      <c r="G125">
        <v>16</v>
      </c>
      <c r="H125">
        <v>141</v>
      </c>
      <c r="I125" s="238" t="s">
        <v>4052</v>
      </c>
      <c r="J125">
        <v>32.03</v>
      </c>
      <c r="K125" s="238" t="s">
        <v>36</v>
      </c>
      <c r="L125">
        <v>1445191.65</v>
      </c>
      <c r="M125">
        <v>15000</v>
      </c>
      <c r="N125">
        <v>1460191.65</v>
      </c>
      <c r="O125">
        <v>45588.250078051824</v>
      </c>
      <c r="P125">
        <v>16015</v>
      </c>
      <c r="Q125">
        <v>1444176.65</v>
      </c>
      <c r="R125">
        <v>45088.250078051824</v>
      </c>
      <c r="S125" s="238" t="s">
        <v>137</v>
      </c>
      <c r="T125" s="238" t="s">
        <v>1167</v>
      </c>
      <c r="V125" t="s">
        <v>1167</v>
      </c>
      <c r="W125" s="24">
        <v>43975</v>
      </c>
      <c r="X125" s="238" t="s">
        <v>251</v>
      </c>
      <c r="Y125" s="238" t="s">
        <v>39</v>
      </c>
      <c r="Z125" s="238" t="s">
        <v>1340</v>
      </c>
      <c r="AA125" t="s">
        <v>1167</v>
      </c>
      <c r="AB125" s="238" t="s">
        <v>3246</v>
      </c>
      <c r="AC125" t="s">
        <v>3079</v>
      </c>
      <c r="AD125" s="24"/>
      <c r="AE125" s="238" t="s">
        <v>1402</v>
      </c>
      <c r="AF125">
        <v>79376506817</v>
      </c>
      <c r="AG125" s="238" t="s">
        <v>1403</v>
      </c>
      <c r="AH125" s="238" t="s">
        <v>1171</v>
      </c>
      <c r="AI125" s="238" t="s">
        <v>135</v>
      </c>
      <c r="AJ125" s="238" t="s">
        <v>126</v>
      </c>
      <c r="AK125" s="238" t="s">
        <v>141</v>
      </c>
      <c r="AL125" t="s">
        <v>8715</v>
      </c>
      <c r="AM125" t="s">
        <v>1167</v>
      </c>
    </row>
    <row r="126" spans="1:39" hidden="1" x14ac:dyDescent="0.25">
      <c r="A126">
        <v>122</v>
      </c>
      <c r="B126">
        <v>21</v>
      </c>
      <c r="C126" s="24">
        <v>43980</v>
      </c>
      <c r="D126" s="238" t="s">
        <v>20</v>
      </c>
      <c r="E126" s="238" t="s">
        <v>6</v>
      </c>
      <c r="F126">
        <v>9</v>
      </c>
      <c r="G126">
        <v>10</v>
      </c>
      <c r="H126">
        <v>89</v>
      </c>
      <c r="I126" s="238" t="s">
        <v>43</v>
      </c>
      <c r="J126">
        <v>66.14</v>
      </c>
      <c r="K126" s="238" t="s">
        <v>36</v>
      </c>
      <c r="L126">
        <v>2824459.09</v>
      </c>
      <c r="M126">
        <v>0</v>
      </c>
      <c r="N126">
        <v>2824459.09</v>
      </c>
      <c r="O126">
        <v>42704.249924402779</v>
      </c>
      <c r="P126">
        <v>33070</v>
      </c>
      <c r="Q126">
        <v>2791389.09</v>
      </c>
      <c r="R126">
        <v>42204.249924402779</v>
      </c>
      <c r="S126" s="238" t="s">
        <v>137</v>
      </c>
      <c r="T126" s="238" t="s">
        <v>1167</v>
      </c>
      <c r="V126" t="s">
        <v>1167</v>
      </c>
      <c r="W126" s="24">
        <v>43978</v>
      </c>
      <c r="X126" s="238" t="s">
        <v>250</v>
      </c>
      <c r="Y126" s="238" t="s">
        <v>39</v>
      </c>
      <c r="Z126" s="238" t="s">
        <v>1340</v>
      </c>
      <c r="AA126" t="s">
        <v>1167</v>
      </c>
      <c r="AB126" s="238" t="s">
        <v>3246</v>
      </c>
      <c r="AC126" t="s">
        <v>3079</v>
      </c>
      <c r="AD126" s="24"/>
      <c r="AE126" s="238" t="s">
        <v>1404</v>
      </c>
      <c r="AF126">
        <v>79270085954</v>
      </c>
      <c r="AG126" s="238" t="s">
        <v>1405</v>
      </c>
      <c r="AH126" s="238" t="s">
        <v>1171</v>
      </c>
      <c r="AI126" s="238" t="s">
        <v>135</v>
      </c>
      <c r="AJ126" s="238" t="s">
        <v>126</v>
      </c>
      <c r="AK126" s="238" t="s">
        <v>141</v>
      </c>
      <c r="AL126" t="s">
        <v>8715</v>
      </c>
      <c r="AM126" t="s">
        <v>1167</v>
      </c>
    </row>
    <row r="127" spans="1:39" hidden="1" x14ac:dyDescent="0.25">
      <c r="A127">
        <v>123</v>
      </c>
      <c r="B127">
        <v>1</v>
      </c>
      <c r="C127" s="24">
        <v>43990</v>
      </c>
      <c r="D127" s="238" t="s">
        <v>20</v>
      </c>
      <c r="E127" s="238" t="s">
        <v>5</v>
      </c>
      <c r="F127">
        <v>4</v>
      </c>
      <c r="G127">
        <v>4</v>
      </c>
      <c r="H127">
        <v>168</v>
      </c>
      <c r="I127" s="238" t="s">
        <v>42</v>
      </c>
      <c r="J127">
        <v>40.58</v>
      </c>
      <c r="K127" s="238" t="s">
        <v>37</v>
      </c>
      <c r="L127">
        <v>2048062.45</v>
      </c>
      <c r="M127">
        <v>0</v>
      </c>
      <c r="N127">
        <v>2048062.45</v>
      </c>
      <c r="O127">
        <v>50469.749876786598</v>
      </c>
      <c r="P127">
        <v>174494</v>
      </c>
      <c r="Q127">
        <v>1873568.45</v>
      </c>
      <c r="R127">
        <v>46169.749876786598</v>
      </c>
      <c r="S127" s="238" t="s">
        <v>137</v>
      </c>
      <c r="T127" s="238" t="s">
        <v>1167</v>
      </c>
      <c r="V127" t="s">
        <v>1167</v>
      </c>
      <c r="W127" s="24">
        <v>43990</v>
      </c>
      <c r="X127" s="238" t="s">
        <v>253</v>
      </c>
      <c r="Y127" s="238" t="s">
        <v>39</v>
      </c>
      <c r="Z127" s="238" t="s">
        <v>1340</v>
      </c>
      <c r="AA127" t="s">
        <v>1167</v>
      </c>
      <c r="AB127" s="238" t="s">
        <v>3246</v>
      </c>
      <c r="AC127" t="s">
        <v>3079</v>
      </c>
      <c r="AD127" s="24"/>
      <c r="AE127" s="238" t="s">
        <v>1406</v>
      </c>
      <c r="AF127">
        <v>79024260959</v>
      </c>
      <c r="AG127" s="238" t="s">
        <v>1407</v>
      </c>
      <c r="AH127" s="238" t="s">
        <v>1212</v>
      </c>
      <c r="AI127" s="238" t="s">
        <v>135</v>
      </c>
      <c r="AJ127" s="238" t="s">
        <v>355</v>
      </c>
      <c r="AK127" s="238" t="s">
        <v>162</v>
      </c>
      <c r="AL127" t="s">
        <v>8715</v>
      </c>
      <c r="AM127" t="s">
        <v>1167</v>
      </c>
    </row>
    <row r="128" spans="1:39" hidden="1" x14ac:dyDescent="0.25">
      <c r="A128">
        <v>124</v>
      </c>
      <c r="B128">
        <v>2</v>
      </c>
      <c r="C128" s="24">
        <v>43991</v>
      </c>
      <c r="D128" s="238" t="s">
        <v>20</v>
      </c>
      <c r="E128" s="238" t="s">
        <v>5</v>
      </c>
      <c r="F128">
        <v>6</v>
      </c>
      <c r="G128">
        <v>4</v>
      </c>
      <c r="H128">
        <v>170</v>
      </c>
      <c r="I128" s="238" t="s">
        <v>43</v>
      </c>
      <c r="J128">
        <v>64.150000000000006</v>
      </c>
      <c r="K128" s="238" t="s">
        <v>37</v>
      </c>
      <c r="L128">
        <v>2821365.11</v>
      </c>
      <c r="M128">
        <v>0</v>
      </c>
      <c r="N128">
        <v>2821365.11</v>
      </c>
      <c r="O128">
        <v>43980.749961028836</v>
      </c>
      <c r="P128">
        <v>275845</v>
      </c>
      <c r="Q128">
        <v>2545520.11</v>
      </c>
      <c r="R128">
        <v>39680.749961028836</v>
      </c>
      <c r="S128" s="238" t="s">
        <v>137</v>
      </c>
      <c r="T128" s="238" t="s">
        <v>1167</v>
      </c>
      <c r="V128" t="s">
        <v>1167</v>
      </c>
      <c r="W128" s="24">
        <v>43983</v>
      </c>
      <c r="X128" s="238" t="s">
        <v>255</v>
      </c>
      <c r="Y128" s="238" t="s">
        <v>39</v>
      </c>
      <c r="Z128" s="238" t="s">
        <v>1340</v>
      </c>
      <c r="AA128" t="s">
        <v>1167</v>
      </c>
      <c r="AB128" s="238" t="s">
        <v>3246</v>
      </c>
      <c r="AC128" t="s">
        <v>3079</v>
      </c>
      <c r="AD128" s="24"/>
      <c r="AE128" s="238" t="s">
        <v>1408</v>
      </c>
      <c r="AF128">
        <v>79649853736</v>
      </c>
      <c r="AG128" s="238" t="s">
        <v>1409</v>
      </c>
      <c r="AH128" s="238" t="s">
        <v>1212</v>
      </c>
      <c r="AI128" s="238" t="s">
        <v>135</v>
      </c>
      <c r="AJ128" s="238" t="s">
        <v>130</v>
      </c>
      <c r="AK128" s="238" t="s">
        <v>162</v>
      </c>
      <c r="AL128" t="s">
        <v>8715</v>
      </c>
      <c r="AM128" t="s">
        <v>1167</v>
      </c>
    </row>
    <row r="129" spans="1:39" hidden="1" x14ac:dyDescent="0.25">
      <c r="A129">
        <v>125</v>
      </c>
      <c r="B129">
        <v>3</v>
      </c>
      <c r="C129" s="24">
        <v>43991</v>
      </c>
      <c r="D129" s="238" t="s">
        <v>20</v>
      </c>
      <c r="E129" s="238" t="s">
        <v>6</v>
      </c>
      <c r="F129">
        <v>3</v>
      </c>
      <c r="G129">
        <v>16</v>
      </c>
      <c r="H129">
        <v>143</v>
      </c>
      <c r="I129" s="238" t="s">
        <v>43</v>
      </c>
      <c r="J129">
        <v>67.16</v>
      </c>
      <c r="K129" s="238" t="s">
        <v>36</v>
      </c>
      <c r="L129">
        <v>2904334.2</v>
      </c>
      <c r="M129">
        <v>0</v>
      </c>
      <c r="N129">
        <v>2904334.2</v>
      </c>
      <c r="O129">
        <v>43245.000000000007</v>
      </c>
      <c r="P129">
        <v>33580</v>
      </c>
      <c r="Q129">
        <v>2870754.2</v>
      </c>
      <c r="R129">
        <v>42745.000000000007</v>
      </c>
      <c r="S129" s="238" t="s">
        <v>137</v>
      </c>
      <c r="T129" s="238" t="s">
        <v>1167</v>
      </c>
      <c r="V129" t="s">
        <v>1167</v>
      </c>
      <c r="W129" s="24">
        <v>43988</v>
      </c>
      <c r="X129" s="238" t="s">
        <v>254</v>
      </c>
      <c r="Y129" s="238" t="s">
        <v>39</v>
      </c>
      <c r="Z129" s="238" t="s">
        <v>1340</v>
      </c>
      <c r="AA129" t="s">
        <v>1167</v>
      </c>
      <c r="AB129" s="238" t="s">
        <v>3246</v>
      </c>
      <c r="AC129" t="s">
        <v>3079</v>
      </c>
      <c r="AD129" s="24"/>
      <c r="AE129" s="238" t="s">
        <v>1410</v>
      </c>
      <c r="AF129">
        <v>79277675028</v>
      </c>
      <c r="AG129" s="238" t="s">
        <v>1411</v>
      </c>
      <c r="AH129" s="238" t="s">
        <v>1212</v>
      </c>
      <c r="AI129" s="238" t="s">
        <v>3090</v>
      </c>
      <c r="AJ129" s="238" t="s">
        <v>126</v>
      </c>
      <c r="AK129" s="238" t="s">
        <v>141</v>
      </c>
      <c r="AL129" t="s">
        <v>8715</v>
      </c>
      <c r="AM129" t="s">
        <v>1167</v>
      </c>
    </row>
    <row r="130" spans="1:39" hidden="1" x14ac:dyDescent="0.25">
      <c r="A130">
        <v>126</v>
      </c>
      <c r="B130">
        <v>4</v>
      </c>
      <c r="C130" s="24">
        <v>43991</v>
      </c>
      <c r="D130" s="238" t="s">
        <v>20</v>
      </c>
      <c r="E130" s="238" t="s">
        <v>6</v>
      </c>
      <c r="F130">
        <v>4</v>
      </c>
      <c r="G130">
        <v>14</v>
      </c>
      <c r="H130">
        <v>124</v>
      </c>
      <c r="I130" s="238" t="s">
        <v>44</v>
      </c>
      <c r="J130">
        <v>80.33</v>
      </c>
      <c r="K130" s="238" t="s">
        <v>36</v>
      </c>
      <c r="L130">
        <v>3343555.51</v>
      </c>
      <c r="M130">
        <v>0</v>
      </c>
      <c r="N130">
        <v>3343555.51</v>
      </c>
      <c r="O130">
        <v>41622.750031121621</v>
      </c>
      <c r="P130">
        <v>40165</v>
      </c>
      <c r="Q130">
        <v>3303390.51</v>
      </c>
      <c r="R130">
        <v>41122.750031121621</v>
      </c>
      <c r="S130" s="238" t="s">
        <v>137</v>
      </c>
      <c r="T130" s="238" t="s">
        <v>1167</v>
      </c>
      <c r="V130" t="s">
        <v>1167</v>
      </c>
      <c r="W130" s="24">
        <v>43990</v>
      </c>
      <c r="X130" s="238" t="s">
        <v>256</v>
      </c>
      <c r="Y130" s="238" t="s">
        <v>39</v>
      </c>
      <c r="Z130" s="238" t="s">
        <v>1340</v>
      </c>
      <c r="AA130" t="s">
        <v>1167</v>
      </c>
      <c r="AB130" s="238" t="s">
        <v>3246</v>
      </c>
      <c r="AC130" t="s">
        <v>3079</v>
      </c>
      <c r="AD130" s="24"/>
      <c r="AE130" s="238" t="s">
        <v>1412</v>
      </c>
      <c r="AF130">
        <v>79279075834</v>
      </c>
      <c r="AG130" s="238" t="s">
        <v>1413</v>
      </c>
      <c r="AH130" s="238" t="s">
        <v>1212</v>
      </c>
      <c r="AI130" s="238" t="s">
        <v>3074</v>
      </c>
      <c r="AJ130" s="238" t="s">
        <v>355</v>
      </c>
      <c r="AK130" s="238" t="s">
        <v>141</v>
      </c>
      <c r="AL130" t="s">
        <v>8715</v>
      </c>
      <c r="AM130" t="s">
        <v>1167</v>
      </c>
    </row>
    <row r="131" spans="1:39" hidden="1" x14ac:dyDescent="0.25">
      <c r="A131">
        <v>127</v>
      </c>
      <c r="B131">
        <v>5</v>
      </c>
      <c r="C131" s="24">
        <v>43993</v>
      </c>
      <c r="D131" s="238" t="s">
        <v>20</v>
      </c>
      <c r="E131" s="238" t="s">
        <v>6</v>
      </c>
      <c r="F131">
        <v>1</v>
      </c>
      <c r="G131">
        <v>10</v>
      </c>
      <c r="H131">
        <v>81</v>
      </c>
      <c r="I131" s="238" t="s">
        <v>4052</v>
      </c>
      <c r="J131">
        <v>32.03</v>
      </c>
      <c r="K131" s="238" t="s">
        <v>36</v>
      </c>
      <c r="L131">
        <v>1491378.91</v>
      </c>
      <c r="M131">
        <v>15000</v>
      </c>
      <c r="N131">
        <v>1506378.91</v>
      </c>
      <c r="O131">
        <v>47030.250078051824</v>
      </c>
      <c r="P131">
        <v>16015</v>
      </c>
      <c r="Q131">
        <v>1490363.91</v>
      </c>
      <c r="R131">
        <v>46530.250078051824</v>
      </c>
      <c r="S131" s="238" t="s">
        <v>121</v>
      </c>
      <c r="T131" s="238" t="s">
        <v>1167</v>
      </c>
      <c r="V131" t="s">
        <v>1167</v>
      </c>
      <c r="W131" s="24">
        <v>43991</v>
      </c>
      <c r="X131" s="238" t="s">
        <v>257</v>
      </c>
      <c r="Y131" s="238" t="s">
        <v>39</v>
      </c>
      <c r="Z131" s="238" t="s">
        <v>1340</v>
      </c>
      <c r="AA131" t="s">
        <v>1167</v>
      </c>
      <c r="AB131" s="238" t="s">
        <v>3246</v>
      </c>
      <c r="AC131" t="s">
        <v>4246</v>
      </c>
      <c r="AD131" s="24"/>
      <c r="AE131" s="238" t="s">
        <v>1414</v>
      </c>
      <c r="AF131">
        <v>79277445724</v>
      </c>
      <c r="AG131" s="238" t="s">
        <v>1415</v>
      </c>
      <c r="AH131" s="238" t="s">
        <v>1212</v>
      </c>
      <c r="AI131" s="238" t="s">
        <v>3097</v>
      </c>
      <c r="AJ131" s="238" t="s">
        <v>120</v>
      </c>
      <c r="AK131" s="238" t="s">
        <v>1167</v>
      </c>
      <c r="AL131" t="s">
        <v>8715</v>
      </c>
      <c r="AM131" t="s">
        <v>1167</v>
      </c>
    </row>
    <row r="132" spans="1:39" hidden="1" x14ac:dyDescent="0.25">
      <c r="A132">
        <v>128</v>
      </c>
      <c r="B132">
        <v>6</v>
      </c>
      <c r="C132" s="24">
        <v>43993</v>
      </c>
      <c r="D132" s="238" t="s">
        <v>20</v>
      </c>
      <c r="E132" s="238" t="s">
        <v>5</v>
      </c>
      <c r="F132">
        <v>7</v>
      </c>
      <c r="G132">
        <v>5</v>
      </c>
      <c r="H132">
        <v>178</v>
      </c>
      <c r="I132" s="238" t="s">
        <v>43</v>
      </c>
      <c r="J132">
        <v>63.74</v>
      </c>
      <c r="K132" s="238" t="s">
        <v>36</v>
      </c>
      <c r="L132">
        <v>2561121</v>
      </c>
      <c r="M132">
        <v>0</v>
      </c>
      <c r="N132">
        <v>2561121</v>
      </c>
      <c r="O132">
        <v>40180.749921556322</v>
      </c>
      <c r="P132">
        <v>31870</v>
      </c>
      <c r="Q132">
        <v>2529251</v>
      </c>
      <c r="R132">
        <v>39680.749921556322</v>
      </c>
      <c r="S132" s="238" t="s">
        <v>137</v>
      </c>
      <c r="T132" s="238" t="s">
        <v>1167</v>
      </c>
      <c r="V132" t="s">
        <v>1167</v>
      </c>
      <c r="W132" s="24">
        <v>43993</v>
      </c>
      <c r="X132" s="238" t="s">
        <v>259</v>
      </c>
      <c r="Y132" s="238" t="s">
        <v>39</v>
      </c>
      <c r="Z132" s="238" t="s">
        <v>1340</v>
      </c>
      <c r="AA132" t="s">
        <v>1167</v>
      </c>
      <c r="AB132" s="238" t="s">
        <v>3246</v>
      </c>
      <c r="AC132" t="s">
        <v>3079</v>
      </c>
      <c r="AD132" s="24"/>
      <c r="AE132" s="238" t="s">
        <v>1416</v>
      </c>
      <c r="AF132">
        <v>79171442719</v>
      </c>
      <c r="AG132" s="238" t="s">
        <v>1417</v>
      </c>
      <c r="AH132" s="238" t="s">
        <v>1212</v>
      </c>
      <c r="AI132" s="238" t="s">
        <v>135</v>
      </c>
      <c r="AJ132" s="238" t="s">
        <v>355</v>
      </c>
      <c r="AK132" s="238" t="s">
        <v>162</v>
      </c>
      <c r="AL132" t="s">
        <v>8715</v>
      </c>
      <c r="AM132" t="s">
        <v>1167</v>
      </c>
    </row>
    <row r="133" spans="1:39" hidden="1" x14ac:dyDescent="0.25">
      <c r="A133">
        <v>129</v>
      </c>
      <c r="B133">
        <v>7</v>
      </c>
      <c r="C133" s="24">
        <v>43993</v>
      </c>
      <c r="D133" s="238" t="s">
        <v>20</v>
      </c>
      <c r="E133" s="238" t="s">
        <v>5</v>
      </c>
      <c r="F133">
        <v>2</v>
      </c>
      <c r="G133">
        <v>13</v>
      </c>
      <c r="H133">
        <v>229</v>
      </c>
      <c r="I133" s="238" t="s">
        <v>42</v>
      </c>
      <c r="J133">
        <v>40.39</v>
      </c>
      <c r="K133" s="238" t="s">
        <v>36</v>
      </c>
      <c r="L133">
        <v>1863150.31</v>
      </c>
      <c r="M133">
        <v>0</v>
      </c>
      <c r="N133">
        <v>1863150.31</v>
      </c>
      <c r="O133">
        <v>46129</v>
      </c>
      <c r="P133">
        <v>20195</v>
      </c>
      <c r="Q133">
        <v>1842955.31</v>
      </c>
      <c r="R133">
        <v>45629</v>
      </c>
      <c r="S133" s="238" t="s">
        <v>137</v>
      </c>
      <c r="T133" s="238" t="s">
        <v>1167</v>
      </c>
      <c r="V133" t="s">
        <v>1167</v>
      </c>
      <c r="W133" s="24">
        <v>43993</v>
      </c>
      <c r="X133" s="238" t="s">
        <v>258</v>
      </c>
      <c r="Y133" s="238" t="s">
        <v>39</v>
      </c>
      <c r="Z133" s="238" t="s">
        <v>1340</v>
      </c>
      <c r="AA133" t="s">
        <v>1167</v>
      </c>
      <c r="AB133" s="238" t="s">
        <v>3246</v>
      </c>
      <c r="AC133" t="s">
        <v>3079</v>
      </c>
      <c r="AD133" s="24"/>
      <c r="AE133" s="238" t="s">
        <v>1418</v>
      </c>
      <c r="AF133">
        <v>79198095424</v>
      </c>
      <c r="AG133" s="238" t="s">
        <v>1419</v>
      </c>
      <c r="AH133" s="238" t="s">
        <v>1212</v>
      </c>
      <c r="AI133" s="238" t="s">
        <v>135</v>
      </c>
      <c r="AJ133" s="238" t="s">
        <v>355</v>
      </c>
      <c r="AK133" s="238" t="s">
        <v>162</v>
      </c>
      <c r="AL133" t="s">
        <v>8715</v>
      </c>
      <c r="AM133" t="s">
        <v>1167</v>
      </c>
    </row>
    <row r="134" spans="1:39" hidden="1" x14ac:dyDescent="0.25">
      <c r="A134">
        <v>130</v>
      </c>
      <c r="B134">
        <v>8</v>
      </c>
      <c r="C134" s="24">
        <v>43997</v>
      </c>
      <c r="D134" s="238" t="s">
        <v>20</v>
      </c>
      <c r="E134" s="238" t="s">
        <v>5</v>
      </c>
      <c r="F134">
        <v>6</v>
      </c>
      <c r="G134">
        <v>10</v>
      </c>
      <c r="H134">
        <v>212</v>
      </c>
      <c r="I134" s="238" t="s">
        <v>43</v>
      </c>
      <c r="J134">
        <v>64.150000000000006</v>
      </c>
      <c r="K134" s="238" t="s">
        <v>36</v>
      </c>
      <c r="L134">
        <v>2704788.53</v>
      </c>
      <c r="M134">
        <v>0</v>
      </c>
      <c r="N134">
        <v>2704788.53</v>
      </c>
      <c r="O134">
        <v>42163.500077942314</v>
      </c>
      <c r="P134">
        <v>32075</v>
      </c>
      <c r="Q134">
        <v>2672713.5299999998</v>
      </c>
      <c r="R134">
        <v>41663.500077942314</v>
      </c>
      <c r="S134" s="238" t="s">
        <v>137</v>
      </c>
      <c r="T134" s="238" t="s">
        <v>1167</v>
      </c>
      <c r="V134" t="s">
        <v>1167</v>
      </c>
      <c r="W134" s="24">
        <v>43984</v>
      </c>
      <c r="X134" s="238" t="s">
        <v>260</v>
      </c>
      <c r="Y134" s="238" t="s">
        <v>39</v>
      </c>
      <c r="Z134" s="238" t="s">
        <v>1340</v>
      </c>
      <c r="AA134" t="s">
        <v>1167</v>
      </c>
      <c r="AB134" s="238" t="s">
        <v>3246</v>
      </c>
      <c r="AC134" t="s">
        <v>3079</v>
      </c>
      <c r="AD134" s="24"/>
      <c r="AE134" s="238" t="s">
        <v>1420</v>
      </c>
      <c r="AF134">
        <v>79144404827</v>
      </c>
      <c r="AG134" s="238" t="s">
        <v>1421</v>
      </c>
      <c r="AH134" s="238" t="s">
        <v>1212</v>
      </c>
      <c r="AI134" s="238" t="s">
        <v>3075</v>
      </c>
      <c r="AJ134" s="238" t="s">
        <v>126</v>
      </c>
      <c r="AK134" s="238" t="s">
        <v>162</v>
      </c>
      <c r="AL134" t="s">
        <v>8715</v>
      </c>
      <c r="AM134" t="s">
        <v>1167</v>
      </c>
    </row>
    <row r="135" spans="1:39" hidden="1" x14ac:dyDescent="0.25">
      <c r="A135">
        <v>131</v>
      </c>
      <c r="B135">
        <v>9</v>
      </c>
      <c r="C135" s="24">
        <v>44008</v>
      </c>
      <c r="D135" s="238" t="s">
        <v>20</v>
      </c>
      <c r="E135" s="238" t="s">
        <v>6</v>
      </c>
      <c r="F135">
        <v>10</v>
      </c>
      <c r="G135">
        <v>12</v>
      </c>
      <c r="H135">
        <v>110</v>
      </c>
      <c r="I135" s="238" t="s">
        <v>43</v>
      </c>
      <c r="J135">
        <v>65.540000000000006</v>
      </c>
      <c r="K135" s="238" t="s">
        <v>37</v>
      </c>
      <c r="L135">
        <v>3047888.55</v>
      </c>
      <c r="M135">
        <v>0</v>
      </c>
      <c r="N135">
        <v>3047888.55</v>
      </c>
      <c r="O135">
        <v>46504.250076289281</v>
      </c>
      <c r="P135">
        <v>281822</v>
      </c>
      <c r="Q135">
        <v>2766066.55</v>
      </c>
      <c r="R135">
        <v>42204.250076289281</v>
      </c>
      <c r="S135" s="238" t="s">
        <v>137</v>
      </c>
      <c r="T135" s="238" t="s">
        <v>1167</v>
      </c>
      <c r="V135" t="s">
        <v>1167</v>
      </c>
      <c r="W135" s="24">
        <v>43998</v>
      </c>
      <c r="X135" s="238" t="s">
        <v>261</v>
      </c>
      <c r="Y135" s="238" t="s">
        <v>39</v>
      </c>
      <c r="Z135" s="238" t="s">
        <v>1340</v>
      </c>
      <c r="AA135" t="s">
        <v>1167</v>
      </c>
      <c r="AB135" s="238" t="s">
        <v>3246</v>
      </c>
      <c r="AC135" t="s">
        <v>3079</v>
      </c>
      <c r="AD135" s="24"/>
      <c r="AE135" s="238" t="s">
        <v>1422</v>
      </c>
      <c r="AF135">
        <v>79376363869</v>
      </c>
      <c r="AG135" s="238" t="s">
        <v>1423</v>
      </c>
      <c r="AH135" s="238" t="s">
        <v>1212</v>
      </c>
      <c r="AI135" s="238" t="s">
        <v>3074</v>
      </c>
      <c r="AJ135" s="238" t="s">
        <v>355</v>
      </c>
      <c r="AK135" s="238" t="s">
        <v>141</v>
      </c>
      <c r="AL135" t="s">
        <v>8715</v>
      </c>
      <c r="AM135" t="s">
        <v>1167</v>
      </c>
    </row>
    <row r="136" spans="1:39" hidden="1" x14ac:dyDescent="0.25">
      <c r="A136">
        <v>132</v>
      </c>
      <c r="B136">
        <v>10</v>
      </c>
      <c r="C136" s="24">
        <v>44011</v>
      </c>
      <c r="D136" s="238" t="s">
        <v>20</v>
      </c>
      <c r="E136" s="238" t="s">
        <v>5</v>
      </c>
      <c r="F136">
        <v>7</v>
      </c>
      <c r="G136">
        <v>13</v>
      </c>
      <c r="H136">
        <v>234</v>
      </c>
      <c r="I136" s="238" t="s">
        <v>43</v>
      </c>
      <c r="J136">
        <v>63.74</v>
      </c>
      <c r="K136" s="238" t="s">
        <v>36</v>
      </c>
      <c r="L136">
        <v>2838173.29</v>
      </c>
      <c r="M136">
        <v>0</v>
      </c>
      <c r="N136">
        <v>2838173.29</v>
      </c>
      <c r="O136">
        <v>44527.350015688731</v>
      </c>
      <c r="P136">
        <v>31870</v>
      </c>
      <c r="Q136">
        <v>2806303.29</v>
      </c>
      <c r="R136">
        <v>44027.350015688731</v>
      </c>
      <c r="S136" s="238" t="s">
        <v>137</v>
      </c>
      <c r="T136" s="238" t="s">
        <v>1167</v>
      </c>
      <c r="V136" t="s">
        <v>1167</v>
      </c>
      <c r="W136" s="24">
        <v>44005</v>
      </c>
      <c r="X136" s="238" t="s">
        <v>264</v>
      </c>
      <c r="Y136" s="238" t="s">
        <v>39</v>
      </c>
      <c r="Z136" s="238" t="s">
        <v>1340</v>
      </c>
      <c r="AA136" t="s">
        <v>1167</v>
      </c>
      <c r="AB136" s="238" t="s">
        <v>3246</v>
      </c>
      <c r="AC136" t="s">
        <v>3079</v>
      </c>
      <c r="AD136" s="24"/>
      <c r="AE136" s="238" t="s">
        <v>1424</v>
      </c>
      <c r="AF136">
        <v>79372008544</v>
      </c>
      <c r="AG136" s="238" t="s">
        <v>1425</v>
      </c>
      <c r="AH136" s="238" t="s">
        <v>135</v>
      </c>
      <c r="AI136" s="238" t="s">
        <v>135</v>
      </c>
      <c r="AJ136" s="238" t="s">
        <v>130</v>
      </c>
      <c r="AK136" s="238" t="s">
        <v>141</v>
      </c>
      <c r="AL136" t="s">
        <v>8715</v>
      </c>
      <c r="AM136" t="s">
        <v>1167</v>
      </c>
    </row>
    <row r="137" spans="1:39" hidden="1" x14ac:dyDescent="0.25">
      <c r="A137">
        <v>133</v>
      </c>
      <c r="B137">
        <v>11</v>
      </c>
      <c r="C137" s="24">
        <v>44011</v>
      </c>
      <c r="D137" s="238" t="s">
        <v>20</v>
      </c>
      <c r="E137" s="238" t="s">
        <v>6</v>
      </c>
      <c r="F137">
        <v>9</v>
      </c>
      <c r="G137">
        <v>3</v>
      </c>
      <c r="H137">
        <v>19</v>
      </c>
      <c r="I137" s="238" t="s">
        <v>43</v>
      </c>
      <c r="J137">
        <v>66.14</v>
      </c>
      <c r="K137" s="238" t="s">
        <v>36</v>
      </c>
      <c r="L137">
        <v>2908200.77</v>
      </c>
      <c r="M137">
        <v>0</v>
      </c>
      <c r="N137">
        <v>2908200.77</v>
      </c>
      <c r="O137">
        <v>43970.377532506805</v>
      </c>
      <c r="P137">
        <v>33070</v>
      </c>
      <c r="Q137">
        <v>2875130.77</v>
      </c>
      <c r="R137">
        <v>43470.377532506805</v>
      </c>
      <c r="S137" s="238" t="s">
        <v>137</v>
      </c>
      <c r="T137" s="238" t="s">
        <v>1167</v>
      </c>
      <c r="V137" t="s">
        <v>1167</v>
      </c>
      <c r="W137" s="24">
        <v>44010</v>
      </c>
      <c r="X137" s="238" t="s">
        <v>262</v>
      </c>
      <c r="Y137" s="238" t="s">
        <v>39</v>
      </c>
      <c r="Z137" s="238" t="s">
        <v>1340</v>
      </c>
      <c r="AA137" t="s">
        <v>1167</v>
      </c>
      <c r="AB137" s="238" t="s">
        <v>3246</v>
      </c>
      <c r="AC137" t="s">
        <v>3079</v>
      </c>
      <c r="AD137" s="24"/>
      <c r="AE137" s="238" t="s">
        <v>1426</v>
      </c>
      <c r="AF137">
        <v>79377973730</v>
      </c>
      <c r="AG137" s="238" t="s">
        <v>1427</v>
      </c>
      <c r="AH137" s="238" t="s">
        <v>1212</v>
      </c>
      <c r="AI137" s="238" t="s">
        <v>135</v>
      </c>
      <c r="AJ137" s="238" t="s">
        <v>120</v>
      </c>
      <c r="AK137" s="238" t="s">
        <v>141</v>
      </c>
      <c r="AL137" t="s">
        <v>8715</v>
      </c>
      <c r="AM137" t="s">
        <v>1167</v>
      </c>
    </row>
    <row r="138" spans="1:39" hidden="1" x14ac:dyDescent="0.25">
      <c r="A138">
        <v>134</v>
      </c>
      <c r="B138">
        <v>12</v>
      </c>
      <c r="C138" s="24">
        <v>44011</v>
      </c>
      <c r="D138" s="238" t="s">
        <v>20</v>
      </c>
      <c r="E138" s="238" t="s">
        <v>5</v>
      </c>
      <c r="F138">
        <v>3</v>
      </c>
      <c r="G138">
        <v>10</v>
      </c>
      <c r="H138">
        <v>209</v>
      </c>
      <c r="I138" s="238" t="s">
        <v>42</v>
      </c>
      <c r="J138">
        <v>41.48</v>
      </c>
      <c r="K138" s="238" t="s">
        <v>37</v>
      </c>
      <c r="L138">
        <v>2093485.23</v>
      </c>
      <c r="M138">
        <v>0</v>
      </c>
      <c r="N138">
        <v>2093485.23</v>
      </c>
      <c r="O138">
        <v>50469.75</v>
      </c>
      <c r="P138">
        <v>178364</v>
      </c>
      <c r="Q138">
        <v>1915121.23</v>
      </c>
      <c r="R138">
        <v>46169.75</v>
      </c>
      <c r="S138" s="238" t="s">
        <v>137</v>
      </c>
      <c r="T138" s="238" t="s">
        <v>1167</v>
      </c>
      <c r="V138" t="s">
        <v>1167</v>
      </c>
      <c r="W138" s="24">
        <v>44011</v>
      </c>
      <c r="X138" s="238" t="s">
        <v>263</v>
      </c>
      <c r="Y138" s="238" t="s">
        <v>39</v>
      </c>
      <c r="Z138" s="238" t="s">
        <v>1340</v>
      </c>
      <c r="AA138" t="s">
        <v>1167</v>
      </c>
      <c r="AB138" s="238" t="s">
        <v>3246</v>
      </c>
      <c r="AC138" t="s">
        <v>3079</v>
      </c>
      <c r="AD138" s="24"/>
      <c r="AE138" s="238" t="s">
        <v>1428</v>
      </c>
      <c r="AF138">
        <v>79198187988</v>
      </c>
      <c r="AG138" s="238" t="s">
        <v>1429</v>
      </c>
      <c r="AH138" s="238" t="s">
        <v>135</v>
      </c>
      <c r="AI138" s="238" t="s">
        <v>3099</v>
      </c>
      <c r="AJ138" s="238" t="s">
        <v>130</v>
      </c>
      <c r="AK138" s="238" t="s">
        <v>141</v>
      </c>
      <c r="AL138" t="s">
        <v>8715</v>
      </c>
      <c r="AM138" t="s">
        <v>1167</v>
      </c>
    </row>
    <row r="139" spans="1:39" hidden="1" x14ac:dyDescent="0.25">
      <c r="A139">
        <v>135</v>
      </c>
      <c r="B139">
        <v>13</v>
      </c>
      <c r="C139" s="24">
        <v>44012</v>
      </c>
      <c r="D139" s="238" t="s">
        <v>20</v>
      </c>
      <c r="E139" s="238" t="s">
        <v>5</v>
      </c>
      <c r="F139">
        <v>7</v>
      </c>
      <c r="G139">
        <v>6</v>
      </c>
      <c r="H139">
        <v>185</v>
      </c>
      <c r="I139" s="238" t="s">
        <v>43</v>
      </c>
      <c r="J139">
        <v>63.74</v>
      </c>
      <c r="K139" s="238" t="s">
        <v>36</v>
      </c>
      <c r="L139">
        <v>2546121</v>
      </c>
      <c r="M139">
        <v>15000</v>
      </c>
      <c r="N139">
        <v>2561121</v>
      </c>
      <c r="O139">
        <v>40180.749921556322</v>
      </c>
      <c r="P139">
        <v>31870</v>
      </c>
      <c r="Q139">
        <v>2529251</v>
      </c>
      <c r="R139">
        <v>39680.749921556322</v>
      </c>
      <c r="S139" s="238" t="s">
        <v>137</v>
      </c>
      <c r="T139" s="238" t="s">
        <v>1167</v>
      </c>
      <c r="V139" t="s">
        <v>1167</v>
      </c>
      <c r="W139" s="24">
        <v>43987</v>
      </c>
      <c r="X139" s="238" t="s">
        <v>268</v>
      </c>
      <c r="Y139" s="238" t="s">
        <v>39</v>
      </c>
      <c r="Z139" s="238" t="s">
        <v>1340</v>
      </c>
      <c r="AA139" t="s">
        <v>1167</v>
      </c>
      <c r="AB139" s="238" t="s">
        <v>3246</v>
      </c>
      <c r="AC139" t="s">
        <v>3079</v>
      </c>
      <c r="AD139" s="24"/>
      <c r="AE139" s="238" t="s">
        <v>1430</v>
      </c>
      <c r="AF139">
        <v>79370734620</v>
      </c>
      <c r="AG139" s="238" t="s">
        <v>1431</v>
      </c>
      <c r="AH139" s="238" t="s">
        <v>1212</v>
      </c>
      <c r="AI139" s="238" t="s">
        <v>135</v>
      </c>
      <c r="AJ139" s="238" t="s">
        <v>120</v>
      </c>
      <c r="AK139" s="238" t="s">
        <v>141</v>
      </c>
      <c r="AL139" t="s">
        <v>8715</v>
      </c>
      <c r="AM139" t="s">
        <v>1167</v>
      </c>
    </row>
    <row r="140" spans="1:39" hidden="1" x14ac:dyDescent="0.25">
      <c r="A140">
        <v>136</v>
      </c>
      <c r="B140">
        <v>14</v>
      </c>
      <c r="C140" s="24">
        <v>44012</v>
      </c>
      <c r="D140" s="238" t="s">
        <v>20</v>
      </c>
      <c r="E140" s="238" t="s">
        <v>16</v>
      </c>
      <c r="F140">
        <v>8</v>
      </c>
      <c r="G140">
        <v>2</v>
      </c>
      <c r="H140">
        <v>319</v>
      </c>
      <c r="I140" s="238" t="s">
        <v>43</v>
      </c>
      <c r="J140">
        <v>60.25</v>
      </c>
      <c r="K140" s="238" t="s">
        <v>36</v>
      </c>
      <c r="L140">
        <v>2529490.81</v>
      </c>
      <c r="M140">
        <v>0</v>
      </c>
      <c r="N140">
        <v>2529490.81</v>
      </c>
      <c r="O140">
        <v>41983.249958506225</v>
      </c>
      <c r="P140">
        <v>30125</v>
      </c>
      <c r="Q140">
        <v>2499365.81</v>
      </c>
      <c r="R140">
        <v>41483.249958506225</v>
      </c>
      <c r="S140" s="238" t="s">
        <v>137</v>
      </c>
      <c r="T140" s="238" t="s">
        <v>1167</v>
      </c>
      <c r="V140" t="s">
        <v>1167</v>
      </c>
      <c r="W140" s="24">
        <v>43998</v>
      </c>
      <c r="X140" s="238" t="s">
        <v>265</v>
      </c>
      <c r="Y140" s="238" t="s">
        <v>39</v>
      </c>
      <c r="Z140" s="238" t="s">
        <v>1340</v>
      </c>
      <c r="AA140" t="s">
        <v>1167</v>
      </c>
      <c r="AB140" s="238" t="s">
        <v>3246</v>
      </c>
      <c r="AC140" t="s">
        <v>3079</v>
      </c>
      <c r="AD140" s="24"/>
      <c r="AE140" s="238" t="s">
        <v>1432</v>
      </c>
      <c r="AF140">
        <v>79371808242</v>
      </c>
      <c r="AG140" s="238" t="s">
        <v>1433</v>
      </c>
      <c r="AH140" s="238" t="s">
        <v>135</v>
      </c>
      <c r="AI140" s="238" t="s">
        <v>135</v>
      </c>
      <c r="AJ140" s="238" t="s">
        <v>355</v>
      </c>
      <c r="AK140" s="238" t="s">
        <v>162</v>
      </c>
      <c r="AL140" t="s">
        <v>8715</v>
      </c>
      <c r="AM140" t="s">
        <v>1167</v>
      </c>
    </row>
    <row r="141" spans="1:39" hidden="1" x14ac:dyDescent="0.25">
      <c r="A141">
        <v>137</v>
      </c>
      <c r="B141">
        <v>15</v>
      </c>
      <c r="C141" s="24">
        <v>44012</v>
      </c>
      <c r="D141" s="238" t="s">
        <v>20</v>
      </c>
      <c r="E141" s="238" t="s">
        <v>5</v>
      </c>
      <c r="F141">
        <v>3</v>
      </c>
      <c r="G141">
        <v>19</v>
      </c>
      <c r="H141">
        <v>272</v>
      </c>
      <c r="I141" s="238" t="s">
        <v>42</v>
      </c>
      <c r="J141">
        <v>41.48</v>
      </c>
      <c r="K141" s="238" t="s">
        <v>36</v>
      </c>
      <c r="L141">
        <v>1935861.23</v>
      </c>
      <c r="M141">
        <v>0</v>
      </c>
      <c r="N141">
        <v>1935861.23</v>
      </c>
      <c r="O141">
        <v>46669.75</v>
      </c>
      <c r="P141">
        <v>20740</v>
      </c>
      <c r="Q141">
        <v>1915121.23</v>
      </c>
      <c r="R141">
        <v>46169.75</v>
      </c>
      <c r="S141" s="238" t="s">
        <v>137</v>
      </c>
      <c r="T141" s="238" t="s">
        <v>1167</v>
      </c>
      <c r="V141" t="s">
        <v>1167</v>
      </c>
      <c r="W141" s="24">
        <v>44006</v>
      </c>
      <c r="X141" s="238" t="s">
        <v>267</v>
      </c>
      <c r="Y141" s="238" t="s">
        <v>39</v>
      </c>
      <c r="Z141" s="238" t="s">
        <v>1340</v>
      </c>
      <c r="AA141" t="s">
        <v>1167</v>
      </c>
      <c r="AB141" s="238" t="s">
        <v>3246</v>
      </c>
      <c r="AC141" t="s">
        <v>3079</v>
      </c>
      <c r="AD141" s="24"/>
      <c r="AE141" s="238" t="s">
        <v>1434</v>
      </c>
      <c r="AF141">
        <v>79171498551</v>
      </c>
      <c r="AG141" s="238" t="s">
        <v>1435</v>
      </c>
      <c r="AH141" s="238" t="s">
        <v>1212</v>
      </c>
      <c r="AI141" s="238" t="s">
        <v>3099</v>
      </c>
      <c r="AJ141" s="238" t="s">
        <v>130</v>
      </c>
      <c r="AK141" s="238" t="s">
        <v>162</v>
      </c>
      <c r="AL141" t="s">
        <v>8715</v>
      </c>
      <c r="AM141" t="s">
        <v>1167</v>
      </c>
    </row>
    <row r="142" spans="1:39" hidden="1" x14ac:dyDescent="0.25">
      <c r="A142">
        <v>138</v>
      </c>
      <c r="B142">
        <v>16</v>
      </c>
      <c r="C142" s="24">
        <v>44012</v>
      </c>
      <c r="D142" s="238" t="s">
        <v>20</v>
      </c>
      <c r="E142" s="238" t="s">
        <v>6</v>
      </c>
      <c r="F142">
        <v>5</v>
      </c>
      <c r="G142">
        <v>12</v>
      </c>
      <c r="H142">
        <v>105</v>
      </c>
      <c r="I142" s="238" t="s">
        <v>43</v>
      </c>
      <c r="J142">
        <v>60.2</v>
      </c>
      <c r="K142" s="238" t="s">
        <v>36</v>
      </c>
      <c r="L142">
        <v>2555795.85</v>
      </c>
      <c r="M142">
        <v>15000</v>
      </c>
      <c r="N142">
        <v>2570795.85</v>
      </c>
      <c r="O142">
        <v>42704.25</v>
      </c>
      <c r="P142">
        <v>30100</v>
      </c>
      <c r="Q142">
        <v>2540695.85</v>
      </c>
      <c r="R142">
        <v>42204.25</v>
      </c>
      <c r="S142" s="238" t="s">
        <v>137</v>
      </c>
      <c r="T142" s="238" t="s">
        <v>1167</v>
      </c>
      <c r="V142" t="s">
        <v>1167</v>
      </c>
      <c r="W142" s="24">
        <v>44010</v>
      </c>
      <c r="X142" s="238" t="s">
        <v>269</v>
      </c>
      <c r="Y142" s="238" t="s">
        <v>39</v>
      </c>
      <c r="Z142" s="238" t="s">
        <v>1340</v>
      </c>
      <c r="AA142" t="s">
        <v>1167</v>
      </c>
      <c r="AB142" s="238" t="s">
        <v>3246</v>
      </c>
      <c r="AC142" t="s">
        <v>3079</v>
      </c>
      <c r="AD142" s="24"/>
      <c r="AE142" s="238" t="s">
        <v>1436</v>
      </c>
      <c r="AF142">
        <v>79879188906</v>
      </c>
      <c r="AG142" s="238" t="s">
        <v>1437</v>
      </c>
      <c r="AH142" s="238" t="s">
        <v>1212</v>
      </c>
      <c r="AI142" s="238" t="s">
        <v>135</v>
      </c>
      <c r="AJ142" s="238" t="s">
        <v>120</v>
      </c>
      <c r="AK142" s="238" t="s">
        <v>141</v>
      </c>
      <c r="AL142" t="s">
        <v>8715</v>
      </c>
      <c r="AM142" t="s">
        <v>1167</v>
      </c>
    </row>
    <row r="143" spans="1:39" hidden="1" x14ac:dyDescent="0.25">
      <c r="A143">
        <v>139</v>
      </c>
      <c r="B143">
        <v>17</v>
      </c>
      <c r="C143" s="24">
        <v>44012</v>
      </c>
      <c r="D143" s="238" t="s">
        <v>20</v>
      </c>
      <c r="E143" s="238" t="s">
        <v>5</v>
      </c>
      <c r="F143">
        <v>7</v>
      </c>
      <c r="G143">
        <v>17</v>
      </c>
      <c r="H143">
        <v>262</v>
      </c>
      <c r="I143" s="238" t="s">
        <v>43</v>
      </c>
      <c r="J143">
        <v>63.74</v>
      </c>
      <c r="K143" s="238" t="s">
        <v>36</v>
      </c>
      <c r="L143">
        <v>2741436.3</v>
      </c>
      <c r="M143">
        <v>15000</v>
      </c>
      <c r="N143">
        <v>2756436.3</v>
      </c>
      <c r="O143">
        <v>43244.999999999993</v>
      </c>
      <c r="P143">
        <v>31870</v>
      </c>
      <c r="Q143">
        <v>2724566.3</v>
      </c>
      <c r="R143">
        <v>42744.999999999993</v>
      </c>
      <c r="S143" s="238" t="s">
        <v>137</v>
      </c>
      <c r="T143" s="238" t="s">
        <v>1167</v>
      </c>
      <c r="V143" t="s">
        <v>1167</v>
      </c>
      <c r="W143" s="24">
        <v>44010</v>
      </c>
      <c r="X143" s="238" t="s">
        <v>270</v>
      </c>
      <c r="Y143" s="238" t="s">
        <v>39</v>
      </c>
      <c r="Z143" s="238" t="s">
        <v>1340</v>
      </c>
      <c r="AA143" t="s">
        <v>1167</v>
      </c>
      <c r="AB143" s="238" t="s">
        <v>3246</v>
      </c>
      <c r="AC143" t="s">
        <v>3079</v>
      </c>
      <c r="AD143" s="24"/>
      <c r="AE143" s="238" t="s">
        <v>1438</v>
      </c>
      <c r="AF143">
        <v>79276867435</v>
      </c>
      <c r="AG143" s="238" t="s">
        <v>1439</v>
      </c>
      <c r="AH143" s="238" t="s">
        <v>1171</v>
      </c>
      <c r="AI143" s="238" t="s">
        <v>3074</v>
      </c>
      <c r="AJ143" s="238" t="s">
        <v>120</v>
      </c>
      <c r="AK143" s="238" t="s">
        <v>141</v>
      </c>
      <c r="AL143" t="s">
        <v>8715</v>
      </c>
      <c r="AM143" t="s">
        <v>1167</v>
      </c>
    </row>
    <row r="144" spans="1:39" hidden="1" x14ac:dyDescent="0.25">
      <c r="A144">
        <v>140</v>
      </c>
      <c r="B144">
        <v>18</v>
      </c>
      <c r="C144" s="24">
        <v>44012</v>
      </c>
      <c r="D144" s="238" t="s">
        <v>20</v>
      </c>
      <c r="E144" s="238" t="s">
        <v>5</v>
      </c>
      <c r="F144">
        <v>6</v>
      </c>
      <c r="G144">
        <v>9</v>
      </c>
      <c r="H144">
        <v>205</v>
      </c>
      <c r="I144" s="238" t="s">
        <v>43</v>
      </c>
      <c r="J144">
        <v>64.150000000000006</v>
      </c>
      <c r="K144" s="238" t="s">
        <v>37</v>
      </c>
      <c r="L144">
        <v>3028739.61</v>
      </c>
      <c r="M144">
        <v>0</v>
      </c>
      <c r="N144">
        <v>3028739.61</v>
      </c>
      <c r="O144">
        <v>47213.399999999994</v>
      </c>
      <c r="P144">
        <v>275845</v>
      </c>
      <c r="Q144">
        <v>2752894.61</v>
      </c>
      <c r="R144">
        <v>42913.399999999994</v>
      </c>
      <c r="S144" s="238" t="s">
        <v>137</v>
      </c>
      <c r="T144" s="238" t="s">
        <v>1167</v>
      </c>
      <c r="V144" t="s">
        <v>1167</v>
      </c>
      <c r="W144" s="24">
        <v>44012</v>
      </c>
      <c r="X144" s="238" t="s">
        <v>266</v>
      </c>
      <c r="Y144" s="238" t="s">
        <v>39</v>
      </c>
      <c r="Z144" s="238" t="s">
        <v>1340</v>
      </c>
      <c r="AA144" t="s">
        <v>1167</v>
      </c>
      <c r="AB144" s="238" t="s">
        <v>3246</v>
      </c>
      <c r="AC144" t="s">
        <v>3079</v>
      </c>
      <c r="AD144" s="24"/>
      <c r="AE144" s="238" t="s">
        <v>1440</v>
      </c>
      <c r="AF144">
        <v>79276059240</v>
      </c>
      <c r="AG144" s="238" t="s">
        <v>1441</v>
      </c>
      <c r="AH144" s="238" t="s">
        <v>1212</v>
      </c>
      <c r="AI144" s="238" t="s">
        <v>3089</v>
      </c>
      <c r="AJ144" s="238" t="s">
        <v>130</v>
      </c>
      <c r="AK144" s="238" t="s">
        <v>141</v>
      </c>
      <c r="AL144" t="s">
        <v>8715</v>
      </c>
      <c r="AM144" t="s">
        <v>1167</v>
      </c>
    </row>
    <row r="145" spans="1:39" hidden="1" x14ac:dyDescent="0.25">
      <c r="A145">
        <v>141</v>
      </c>
      <c r="B145">
        <v>1</v>
      </c>
      <c r="C145" s="24">
        <v>44018</v>
      </c>
      <c r="D145" s="238" t="s">
        <v>20</v>
      </c>
      <c r="E145" s="238" t="s">
        <v>6</v>
      </c>
      <c r="F145">
        <v>8</v>
      </c>
      <c r="G145">
        <v>14</v>
      </c>
      <c r="H145">
        <v>128</v>
      </c>
      <c r="I145" s="238" t="s">
        <v>42</v>
      </c>
      <c r="J145">
        <v>47.97</v>
      </c>
      <c r="K145" s="238" t="s">
        <v>36</v>
      </c>
      <c r="L145">
        <v>2197808.13</v>
      </c>
      <c r="M145">
        <v>15000</v>
      </c>
      <c r="N145">
        <v>2212808.13</v>
      </c>
      <c r="O145">
        <v>46129</v>
      </c>
      <c r="P145">
        <v>23985</v>
      </c>
      <c r="Q145">
        <v>2188823.13</v>
      </c>
      <c r="R145">
        <v>45629</v>
      </c>
      <c r="S145" s="238" t="s">
        <v>124</v>
      </c>
      <c r="T145" s="238" t="s">
        <v>1167</v>
      </c>
      <c r="V145" t="s">
        <v>1167</v>
      </c>
      <c r="W145" s="24">
        <v>44020</v>
      </c>
      <c r="X145" s="238" t="s">
        <v>272</v>
      </c>
      <c r="Y145" s="238" t="s">
        <v>39</v>
      </c>
      <c r="Z145" s="238" t="s">
        <v>1340</v>
      </c>
      <c r="AA145" t="s">
        <v>1167</v>
      </c>
      <c r="AB145" s="238" t="s">
        <v>3246</v>
      </c>
      <c r="AC145" t="s">
        <v>4246</v>
      </c>
      <c r="AD145" s="24"/>
      <c r="AE145" s="238" t="s">
        <v>1442</v>
      </c>
      <c r="AF145">
        <v>79660505506</v>
      </c>
      <c r="AG145" s="238" t="s">
        <v>1443</v>
      </c>
      <c r="AH145" s="238" t="s">
        <v>1212</v>
      </c>
      <c r="AI145" s="238" t="s">
        <v>3101</v>
      </c>
      <c r="AJ145" s="238" t="s">
        <v>120</v>
      </c>
      <c r="AK145" s="238" t="s">
        <v>1167</v>
      </c>
      <c r="AL145" t="s">
        <v>8715</v>
      </c>
      <c r="AM145" t="s">
        <v>1167</v>
      </c>
    </row>
    <row r="146" spans="1:39" hidden="1" x14ac:dyDescent="0.25">
      <c r="A146">
        <v>142</v>
      </c>
      <c r="B146">
        <v>2</v>
      </c>
      <c r="C146" s="24">
        <v>44018</v>
      </c>
      <c r="D146" s="238" t="s">
        <v>20</v>
      </c>
      <c r="E146" s="238" t="s">
        <v>5</v>
      </c>
      <c r="F146">
        <v>7</v>
      </c>
      <c r="G146">
        <v>7</v>
      </c>
      <c r="H146">
        <v>192</v>
      </c>
      <c r="I146" s="238" t="s">
        <v>43</v>
      </c>
      <c r="J146">
        <v>63.74</v>
      </c>
      <c r="K146" s="238" t="s">
        <v>37</v>
      </c>
      <c r="L146">
        <v>2958881.01</v>
      </c>
      <c r="M146">
        <v>15000</v>
      </c>
      <c r="N146">
        <v>2973881.01</v>
      </c>
      <c r="O146">
        <v>46656.432538437395</v>
      </c>
      <c r="P146">
        <v>274082</v>
      </c>
      <c r="Q146">
        <v>2699799.01</v>
      </c>
      <c r="R146">
        <v>42356.432538437395</v>
      </c>
      <c r="S146" s="238" t="s">
        <v>137</v>
      </c>
      <c r="T146" s="238" t="s">
        <v>1167</v>
      </c>
      <c r="V146" t="s">
        <v>1167</v>
      </c>
      <c r="W146" s="24">
        <v>44020</v>
      </c>
      <c r="X146" s="238" t="s">
        <v>271</v>
      </c>
      <c r="Y146" s="238" t="s">
        <v>39</v>
      </c>
      <c r="Z146" s="238" t="s">
        <v>1340</v>
      </c>
      <c r="AA146" t="s">
        <v>1167</v>
      </c>
      <c r="AB146" s="238" t="s">
        <v>3246</v>
      </c>
      <c r="AC146" t="s">
        <v>3079</v>
      </c>
      <c r="AD146" s="24"/>
      <c r="AE146" s="238" t="s">
        <v>1444</v>
      </c>
      <c r="AF146">
        <v>79044852818</v>
      </c>
      <c r="AG146" s="238" t="s">
        <v>1445</v>
      </c>
      <c r="AH146" s="238" t="s">
        <v>1212</v>
      </c>
      <c r="AI146" s="238" t="s">
        <v>3102</v>
      </c>
      <c r="AJ146" s="238" t="s">
        <v>120</v>
      </c>
      <c r="AK146" s="238" t="s">
        <v>162</v>
      </c>
      <c r="AL146" t="s">
        <v>8715</v>
      </c>
      <c r="AM146" t="s">
        <v>1167</v>
      </c>
    </row>
    <row r="147" spans="1:39" hidden="1" x14ac:dyDescent="0.25">
      <c r="A147">
        <v>143</v>
      </c>
      <c r="B147">
        <v>3</v>
      </c>
      <c r="C147" s="24">
        <v>44027</v>
      </c>
      <c r="D147" s="238" t="s">
        <v>20</v>
      </c>
      <c r="E147" s="238" t="s">
        <v>5</v>
      </c>
      <c r="F147">
        <v>4</v>
      </c>
      <c r="G147">
        <v>8</v>
      </c>
      <c r="H147">
        <v>196</v>
      </c>
      <c r="I147" s="238" t="s">
        <v>42</v>
      </c>
      <c r="J147">
        <v>40.58</v>
      </c>
      <c r="K147" s="238" t="s">
        <v>36</v>
      </c>
      <c r="L147">
        <v>1950065.4</v>
      </c>
      <c r="M147">
        <v>0</v>
      </c>
      <c r="N147">
        <v>1950065.4</v>
      </c>
      <c r="O147">
        <v>48054.839822572692</v>
      </c>
      <c r="P147">
        <v>20290</v>
      </c>
      <c r="Q147">
        <v>1929775.4</v>
      </c>
      <c r="R147">
        <v>47554.839822572692</v>
      </c>
      <c r="S147" s="238" t="s">
        <v>121</v>
      </c>
      <c r="T147" s="238" t="s">
        <v>1167</v>
      </c>
      <c r="V147" t="s">
        <v>1167</v>
      </c>
      <c r="W147" s="24">
        <v>44022</v>
      </c>
      <c r="X147" s="238" t="s">
        <v>273</v>
      </c>
      <c r="Y147" s="238" t="s">
        <v>39</v>
      </c>
      <c r="Z147" s="238" t="s">
        <v>1340</v>
      </c>
      <c r="AA147" t="s">
        <v>1167</v>
      </c>
      <c r="AB147" s="238" t="s">
        <v>3246</v>
      </c>
      <c r="AC147" t="s">
        <v>4246</v>
      </c>
      <c r="AD147" s="24"/>
      <c r="AE147" s="238" t="s">
        <v>1446</v>
      </c>
      <c r="AF147">
        <v>78469533838</v>
      </c>
      <c r="AG147" s="238" t="s">
        <v>1447</v>
      </c>
      <c r="AH147" s="238" t="s">
        <v>1212</v>
      </c>
      <c r="AI147" s="238" t="s">
        <v>3074</v>
      </c>
      <c r="AJ147" s="238" t="s">
        <v>355</v>
      </c>
      <c r="AK147" s="238" t="s">
        <v>1167</v>
      </c>
      <c r="AL147" t="s">
        <v>8715</v>
      </c>
      <c r="AM147" t="s">
        <v>1167</v>
      </c>
    </row>
    <row r="148" spans="1:39" hidden="1" x14ac:dyDescent="0.25">
      <c r="A148">
        <v>144</v>
      </c>
      <c r="B148">
        <v>4</v>
      </c>
      <c r="C148" s="24">
        <v>44028</v>
      </c>
      <c r="D148" s="238" t="s">
        <v>20</v>
      </c>
      <c r="E148" s="238" t="s">
        <v>6</v>
      </c>
      <c r="F148">
        <v>4</v>
      </c>
      <c r="G148">
        <v>13</v>
      </c>
      <c r="H148">
        <v>114</v>
      </c>
      <c r="I148" s="238" t="s">
        <v>44</v>
      </c>
      <c r="J148">
        <v>80.33</v>
      </c>
      <c r="K148" s="238" t="s">
        <v>37</v>
      </c>
      <c r="L148">
        <v>3732911.22</v>
      </c>
      <c r="M148">
        <v>15000</v>
      </c>
      <c r="N148">
        <v>3747911.22</v>
      </c>
      <c r="O148">
        <v>46656.432466077436</v>
      </c>
      <c r="P148">
        <v>345419</v>
      </c>
      <c r="Q148">
        <v>3402492.22</v>
      </c>
      <c r="R148">
        <v>42356.432466077436</v>
      </c>
      <c r="S148" s="238" t="s">
        <v>137</v>
      </c>
      <c r="T148" s="238" t="s">
        <v>1167</v>
      </c>
      <c r="V148" t="s">
        <v>1167</v>
      </c>
      <c r="W148" s="24">
        <v>44028</v>
      </c>
      <c r="X148" s="238" t="s">
        <v>274</v>
      </c>
      <c r="Y148" s="238" t="s">
        <v>39</v>
      </c>
      <c r="Z148" s="238" t="s">
        <v>1168</v>
      </c>
      <c r="AA148" t="s">
        <v>1167</v>
      </c>
      <c r="AB148" s="238" t="s">
        <v>3246</v>
      </c>
      <c r="AC148" t="s">
        <v>3079</v>
      </c>
      <c r="AD148" s="24"/>
      <c r="AE148" s="238" t="s">
        <v>1448</v>
      </c>
      <c r="AF148">
        <v>79084161293</v>
      </c>
      <c r="AG148" s="238" t="s">
        <v>1449</v>
      </c>
      <c r="AH148" s="238" t="s">
        <v>1171</v>
      </c>
      <c r="AI148" s="238" t="s">
        <v>135</v>
      </c>
      <c r="AJ148" s="238" t="s">
        <v>126</v>
      </c>
      <c r="AK148" s="238" t="s">
        <v>141</v>
      </c>
      <c r="AL148" t="s">
        <v>8715</v>
      </c>
      <c r="AM148" t="s">
        <v>1167</v>
      </c>
    </row>
    <row r="149" spans="1:39" hidden="1" x14ac:dyDescent="0.25">
      <c r="A149">
        <v>145</v>
      </c>
      <c r="B149">
        <v>5</v>
      </c>
      <c r="C149" s="24">
        <v>44029</v>
      </c>
      <c r="D149" s="238" t="s">
        <v>20</v>
      </c>
      <c r="E149" s="238" t="s">
        <v>5</v>
      </c>
      <c r="F149">
        <v>2</v>
      </c>
      <c r="G149">
        <v>6</v>
      </c>
      <c r="H149">
        <v>180</v>
      </c>
      <c r="I149" s="238" t="s">
        <v>42</v>
      </c>
      <c r="J149">
        <v>40.39</v>
      </c>
      <c r="K149" s="238" t="s">
        <v>37</v>
      </c>
      <c r="L149">
        <v>2071920.97</v>
      </c>
      <c r="M149">
        <v>0</v>
      </c>
      <c r="N149">
        <v>2071920.97</v>
      </c>
      <c r="O149">
        <v>51297.870017331021</v>
      </c>
      <c r="P149">
        <v>173677</v>
      </c>
      <c r="Q149">
        <v>1898243.97</v>
      </c>
      <c r="R149">
        <v>46997.870017331021</v>
      </c>
      <c r="S149" s="238" t="s">
        <v>137</v>
      </c>
      <c r="T149" s="238" t="s">
        <v>1167</v>
      </c>
      <c r="V149" t="s">
        <v>1167</v>
      </c>
      <c r="W149" s="24">
        <v>44029</v>
      </c>
      <c r="X149" s="238" t="s">
        <v>276</v>
      </c>
      <c r="Y149" s="238" t="s">
        <v>39</v>
      </c>
      <c r="Z149" s="238" t="s">
        <v>1168</v>
      </c>
      <c r="AA149" t="s">
        <v>1167</v>
      </c>
      <c r="AB149" s="238" t="s">
        <v>3246</v>
      </c>
      <c r="AC149" t="s">
        <v>3079</v>
      </c>
      <c r="AD149" s="24"/>
      <c r="AE149" s="238" t="s">
        <v>1450</v>
      </c>
      <c r="AF149">
        <v>79270097867</v>
      </c>
      <c r="AG149" s="238" t="s">
        <v>1451</v>
      </c>
      <c r="AH149" s="238" t="s">
        <v>1171</v>
      </c>
      <c r="AI149" s="238" t="s">
        <v>3084</v>
      </c>
      <c r="AJ149" s="238" t="s">
        <v>355</v>
      </c>
      <c r="AK149" s="238" t="s">
        <v>141</v>
      </c>
      <c r="AL149" t="s">
        <v>8715</v>
      </c>
      <c r="AM149" t="s">
        <v>1167</v>
      </c>
    </row>
    <row r="150" spans="1:39" hidden="1" x14ac:dyDescent="0.25">
      <c r="A150">
        <v>146</v>
      </c>
      <c r="B150">
        <v>6</v>
      </c>
      <c r="C150" s="24">
        <v>44029</v>
      </c>
      <c r="D150" s="238" t="s">
        <v>20</v>
      </c>
      <c r="E150" s="238" t="s">
        <v>5</v>
      </c>
      <c r="F150">
        <v>3</v>
      </c>
      <c r="G150">
        <v>11</v>
      </c>
      <c r="H150">
        <v>216</v>
      </c>
      <c r="I150" s="238" t="s">
        <v>42</v>
      </c>
      <c r="J150">
        <v>41.48</v>
      </c>
      <c r="K150" s="238" t="s">
        <v>36</v>
      </c>
      <c r="L150">
        <v>1935861.23</v>
      </c>
      <c r="M150">
        <v>0</v>
      </c>
      <c r="N150">
        <v>1935861.23</v>
      </c>
      <c r="O150">
        <v>46669.75</v>
      </c>
      <c r="P150">
        <v>20740</v>
      </c>
      <c r="Q150">
        <v>1915121.23</v>
      </c>
      <c r="R150">
        <v>46169.75</v>
      </c>
      <c r="S150" s="238" t="s">
        <v>137</v>
      </c>
      <c r="T150" s="238" t="s">
        <v>1167</v>
      </c>
      <c r="V150" t="s">
        <v>1167</v>
      </c>
      <c r="W150" s="24">
        <v>44026</v>
      </c>
      <c r="X150" s="238" t="s">
        <v>277</v>
      </c>
      <c r="Y150" s="238" t="s">
        <v>39</v>
      </c>
      <c r="Z150" s="238" t="s">
        <v>1340</v>
      </c>
      <c r="AA150" t="s">
        <v>1167</v>
      </c>
      <c r="AB150" s="238" t="s">
        <v>3246</v>
      </c>
      <c r="AC150" t="s">
        <v>3079</v>
      </c>
      <c r="AD150" s="24"/>
      <c r="AE150" s="238" t="s">
        <v>1452</v>
      </c>
      <c r="AF150">
        <v>79171189956</v>
      </c>
      <c r="AG150" s="238" t="s">
        <v>1453</v>
      </c>
      <c r="AH150" s="238" t="s">
        <v>1212</v>
      </c>
      <c r="AI150" s="238" t="s">
        <v>3088</v>
      </c>
      <c r="AJ150" s="238" t="s">
        <v>126</v>
      </c>
      <c r="AK150" s="238" t="s">
        <v>162</v>
      </c>
      <c r="AL150" t="s">
        <v>8715</v>
      </c>
      <c r="AM150" t="s">
        <v>1167</v>
      </c>
    </row>
    <row r="151" spans="1:39" hidden="1" x14ac:dyDescent="0.25">
      <c r="A151">
        <v>147</v>
      </c>
      <c r="B151">
        <v>7</v>
      </c>
      <c r="C151" s="24">
        <v>44029</v>
      </c>
      <c r="D151" s="238" t="s">
        <v>20</v>
      </c>
      <c r="E151" s="238" t="s">
        <v>6</v>
      </c>
      <c r="F151">
        <v>1</v>
      </c>
      <c r="G151">
        <v>7</v>
      </c>
      <c r="H151">
        <v>51</v>
      </c>
      <c r="I151" s="238" t="s">
        <v>4052</v>
      </c>
      <c r="J151">
        <v>32.03</v>
      </c>
      <c r="K151" s="238" t="s">
        <v>36</v>
      </c>
      <c r="L151">
        <v>1608941.85</v>
      </c>
      <c r="M151">
        <v>0</v>
      </c>
      <c r="N151">
        <v>1608941.85</v>
      </c>
      <c r="O151">
        <v>50232.339993755857</v>
      </c>
      <c r="P151">
        <v>16015</v>
      </c>
      <c r="Q151">
        <v>1592926.85</v>
      </c>
      <c r="R151">
        <v>49732.339993755857</v>
      </c>
      <c r="S151" s="238" t="s">
        <v>124</v>
      </c>
      <c r="T151" s="238" t="s">
        <v>1167</v>
      </c>
      <c r="V151" t="s">
        <v>1167</v>
      </c>
      <c r="W151" s="24">
        <v>44026</v>
      </c>
      <c r="X151" s="238" t="s">
        <v>275</v>
      </c>
      <c r="Y151" s="238" t="s">
        <v>39</v>
      </c>
      <c r="Z151" s="238" t="s">
        <v>1340</v>
      </c>
      <c r="AA151" t="s">
        <v>1167</v>
      </c>
      <c r="AB151" s="238" t="s">
        <v>3246</v>
      </c>
      <c r="AC151" t="s">
        <v>4246</v>
      </c>
      <c r="AD151" s="24"/>
      <c r="AE151" s="238" t="s">
        <v>1454</v>
      </c>
      <c r="AF151">
        <v>79272047764</v>
      </c>
      <c r="AG151" s="238" t="s">
        <v>1455</v>
      </c>
      <c r="AH151" s="238" t="s">
        <v>1212</v>
      </c>
      <c r="AI151" s="238" t="s">
        <v>3095</v>
      </c>
      <c r="AJ151" s="238" t="s">
        <v>355</v>
      </c>
      <c r="AK151" s="238" t="s">
        <v>1167</v>
      </c>
      <c r="AL151" t="s">
        <v>8715</v>
      </c>
      <c r="AM151" t="s">
        <v>1167</v>
      </c>
    </row>
    <row r="152" spans="1:39" hidden="1" x14ac:dyDescent="0.25">
      <c r="A152">
        <v>148</v>
      </c>
      <c r="B152">
        <v>8</v>
      </c>
      <c r="C152" s="24">
        <v>44032</v>
      </c>
      <c r="D152" s="238" t="s">
        <v>20</v>
      </c>
      <c r="E152" s="238" t="s">
        <v>5</v>
      </c>
      <c r="F152">
        <v>2</v>
      </c>
      <c r="G152">
        <v>4</v>
      </c>
      <c r="H152">
        <v>166</v>
      </c>
      <c r="I152" s="238" t="s">
        <v>42</v>
      </c>
      <c r="J152">
        <v>40.39</v>
      </c>
      <c r="K152" s="238" t="s">
        <v>37</v>
      </c>
      <c r="L152">
        <v>2071920.97</v>
      </c>
      <c r="M152">
        <v>0</v>
      </c>
      <c r="N152">
        <v>2071920.97</v>
      </c>
      <c r="O152">
        <v>51297.870017331021</v>
      </c>
      <c r="P152">
        <v>173677</v>
      </c>
      <c r="Q152">
        <v>1898243.97</v>
      </c>
      <c r="R152">
        <v>46997.870017331021</v>
      </c>
      <c r="S152" s="238" t="s">
        <v>137</v>
      </c>
      <c r="T152" s="238" t="s">
        <v>1167</v>
      </c>
      <c r="V152" t="s">
        <v>1167</v>
      </c>
      <c r="W152" s="24">
        <v>44018</v>
      </c>
      <c r="X152" s="238" t="s">
        <v>278</v>
      </c>
      <c r="Y152" s="238" t="s">
        <v>39</v>
      </c>
      <c r="Z152" s="238" t="s">
        <v>1340</v>
      </c>
      <c r="AA152" t="s">
        <v>1167</v>
      </c>
      <c r="AB152" s="238" t="s">
        <v>3246</v>
      </c>
      <c r="AC152" t="s">
        <v>3079</v>
      </c>
      <c r="AD152" s="24"/>
      <c r="AE152" s="238" t="s">
        <v>1456</v>
      </c>
      <c r="AF152">
        <v>79272670493</v>
      </c>
      <c r="AG152" s="238" t="s">
        <v>1457</v>
      </c>
      <c r="AH152" s="238" t="s">
        <v>1171</v>
      </c>
      <c r="AI152" s="238" t="s">
        <v>135</v>
      </c>
      <c r="AJ152" s="238" t="s">
        <v>355</v>
      </c>
      <c r="AK152" s="238" t="s">
        <v>162</v>
      </c>
      <c r="AL152" t="s">
        <v>8715</v>
      </c>
      <c r="AM152" t="s">
        <v>1167</v>
      </c>
    </row>
    <row r="153" spans="1:39" hidden="1" x14ac:dyDescent="0.25">
      <c r="A153">
        <v>149</v>
      </c>
      <c r="B153">
        <v>9</v>
      </c>
      <c r="C153" s="24">
        <v>44035</v>
      </c>
      <c r="D153" s="238" t="s">
        <v>20</v>
      </c>
      <c r="E153" s="238" t="s">
        <v>16</v>
      </c>
      <c r="F153">
        <v>4</v>
      </c>
      <c r="G153">
        <v>3</v>
      </c>
      <c r="H153">
        <v>323</v>
      </c>
      <c r="I153" s="238" t="s">
        <v>43</v>
      </c>
      <c r="J153">
        <v>60.38</v>
      </c>
      <c r="K153" s="238" t="s">
        <v>37</v>
      </c>
      <c r="L153">
        <v>3015454.49</v>
      </c>
      <c r="M153">
        <v>0</v>
      </c>
      <c r="N153">
        <v>3015454.49</v>
      </c>
      <c r="O153">
        <v>49941.28005962239</v>
      </c>
      <c r="P153">
        <v>283786</v>
      </c>
      <c r="Q153">
        <v>2731668.49</v>
      </c>
      <c r="R153">
        <v>45241.28005962239</v>
      </c>
      <c r="S153" s="238" t="s">
        <v>137</v>
      </c>
      <c r="T153" s="238" t="s">
        <v>301</v>
      </c>
      <c r="U153">
        <v>27592.62</v>
      </c>
      <c r="V153" t="s">
        <v>1167</v>
      </c>
      <c r="W153" s="24">
        <v>44026</v>
      </c>
      <c r="X153" s="238" t="s">
        <v>279</v>
      </c>
      <c r="Y153" s="238" t="s">
        <v>39</v>
      </c>
      <c r="Z153" s="238" t="s">
        <v>1340</v>
      </c>
      <c r="AA153" t="s">
        <v>1167</v>
      </c>
      <c r="AB153" s="238" t="s">
        <v>3246</v>
      </c>
      <c r="AC153" t="s">
        <v>3079</v>
      </c>
      <c r="AD153" s="24"/>
      <c r="AE153" s="238" t="s">
        <v>1458</v>
      </c>
      <c r="AF153">
        <v>79991091355</v>
      </c>
      <c r="AG153" s="238" t="s">
        <v>1459</v>
      </c>
      <c r="AH153" s="238" t="s">
        <v>1212</v>
      </c>
      <c r="AI153" s="238" t="s">
        <v>3102</v>
      </c>
      <c r="AJ153" s="238" t="s">
        <v>355</v>
      </c>
      <c r="AK153" s="238" t="s">
        <v>162</v>
      </c>
      <c r="AL153" t="s">
        <v>8715</v>
      </c>
      <c r="AM153" t="s">
        <v>1167</v>
      </c>
    </row>
    <row r="154" spans="1:39" hidden="1" x14ac:dyDescent="0.25">
      <c r="A154">
        <v>150</v>
      </c>
      <c r="B154">
        <v>10</v>
      </c>
      <c r="C154" s="24">
        <v>44036</v>
      </c>
      <c r="D154" s="238" t="s">
        <v>20</v>
      </c>
      <c r="E154" s="238" t="s">
        <v>6</v>
      </c>
      <c r="F154">
        <v>9</v>
      </c>
      <c r="G154">
        <v>16</v>
      </c>
      <c r="H154">
        <v>149</v>
      </c>
      <c r="I154" s="238" t="s">
        <v>43</v>
      </c>
      <c r="J154">
        <v>66.14</v>
      </c>
      <c r="K154" s="238" t="s">
        <v>36</v>
      </c>
      <c r="L154">
        <v>2908200.93</v>
      </c>
      <c r="M154">
        <v>0</v>
      </c>
      <c r="N154">
        <v>2908200.93</v>
      </c>
      <c r="O154">
        <v>43970.379951617782</v>
      </c>
      <c r="P154">
        <v>33070</v>
      </c>
      <c r="Q154">
        <v>2875130.93</v>
      </c>
      <c r="R154">
        <v>43470.379951617782</v>
      </c>
      <c r="S154" s="238" t="s">
        <v>137</v>
      </c>
      <c r="T154" s="238" t="s">
        <v>1167</v>
      </c>
      <c r="V154" t="s">
        <v>1167</v>
      </c>
      <c r="W154" s="24">
        <v>44036</v>
      </c>
      <c r="X154" s="238" t="s">
        <v>281</v>
      </c>
      <c r="Y154" s="238" t="s">
        <v>39</v>
      </c>
      <c r="Z154" s="238" t="s">
        <v>1168</v>
      </c>
      <c r="AA154" t="s">
        <v>1167</v>
      </c>
      <c r="AB154" s="238" t="s">
        <v>3246</v>
      </c>
      <c r="AC154" t="s">
        <v>3079</v>
      </c>
      <c r="AD154" s="24"/>
      <c r="AE154" s="238" t="s">
        <v>1460</v>
      </c>
      <c r="AF154">
        <v>79292837938</v>
      </c>
      <c r="AG154" s="238" t="s">
        <v>1461</v>
      </c>
      <c r="AH154" s="238" t="s">
        <v>1212</v>
      </c>
      <c r="AI154" s="238" t="s">
        <v>3075</v>
      </c>
      <c r="AJ154" s="238" t="s">
        <v>355</v>
      </c>
      <c r="AK154" s="238" t="s">
        <v>141</v>
      </c>
      <c r="AL154" t="s">
        <v>8715</v>
      </c>
      <c r="AM154" t="s">
        <v>1167</v>
      </c>
    </row>
    <row r="155" spans="1:39" hidden="1" x14ac:dyDescent="0.25">
      <c r="A155">
        <v>151</v>
      </c>
      <c r="B155">
        <v>11</v>
      </c>
      <c r="C155" s="24">
        <v>44036</v>
      </c>
      <c r="D155" s="238" t="s">
        <v>20</v>
      </c>
      <c r="E155" s="238" t="s">
        <v>6</v>
      </c>
      <c r="F155">
        <v>9</v>
      </c>
      <c r="G155">
        <v>4</v>
      </c>
      <c r="H155">
        <v>29</v>
      </c>
      <c r="I155" s="238" t="s">
        <v>43</v>
      </c>
      <c r="J155">
        <v>66.14</v>
      </c>
      <c r="K155" s="238" t="s">
        <v>36</v>
      </c>
      <c r="L155">
        <v>2908200.93</v>
      </c>
      <c r="M155">
        <v>0</v>
      </c>
      <c r="N155">
        <v>2908200.93</v>
      </c>
      <c r="O155">
        <v>43970.379951617782</v>
      </c>
      <c r="P155">
        <v>33070</v>
      </c>
      <c r="Q155">
        <v>2875130.93</v>
      </c>
      <c r="R155">
        <v>43470.379951617782</v>
      </c>
      <c r="S155" s="238" t="s">
        <v>137</v>
      </c>
      <c r="T155" s="238" t="s">
        <v>1167</v>
      </c>
      <c r="V155" t="s">
        <v>1167</v>
      </c>
      <c r="W155" s="24">
        <v>44030</v>
      </c>
      <c r="X155" s="238" t="s">
        <v>280</v>
      </c>
      <c r="Y155" s="238" t="s">
        <v>39</v>
      </c>
      <c r="Z155" s="238" t="s">
        <v>1340</v>
      </c>
      <c r="AA155" t="s">
        <v>1167</v>
      </c>
      <c r="AB155" s="238" t="s">
        <v>3246</v>
      </c>
      <c r="AC155" t="s">
        <v>3079</v>
      </c>
      <c r="AD155" s="24"/>
      <c r="AE155" s="238" t="s">
        <v>1462</v>
      </c>
      <c r="AF155">
        <v>79961126672</v>
      </c>
      <c r="AG155" s="238" t="s">
        <v>1463</v>
      </c>
      <c r="AH155" s="238" t="s">
        <v>1197</v>
      </c>
      <c r="AI155" s="238" t="s">
        <v>135</v>
      </c>
      <c r="AJ155" s="238" t="s">
        <v>130</v>
      </c>
      <c r="AK155" s="238" t="s">
        <v>162</v>
      </c>
      <c r="AL155" t="s">
        <v>8715</v>
      </c>
      <c r="AM155" t="s">
        <v>1167</v>
      </c>
    </row>
    <row r="156" spans="1:39" hidden="1" x14ac:dyDescent="0.25">
      <c r="A156">
        <v>152</v>
      </c>
      <c r="B156">
        <v>12</v>
      </c>
      <c r="C156" s="24">
        <v>44039</v>
      </c>
      <c r="D156" s="238" t="s">
        <v>20</v>
      </c>
      <c r="E156" s="238" t="s">
        <v>6</v>
      </c>
      <c r="F156">
        <v>5</v>
      </c>
      <c r="G156">
        <v>14</v>
      </c>
      <c r="H156">
        <v>125</v>
      </c>
      <c r="I156" s="238" t="s">
        <v>43</v>
      </c>
      <c r="J156">
        <v>60.2</v>
      </c>
      <c r="K156" s="238" t="s">
        <v>36</v>
      </c>
      <c r="L156">
        <v>2647016.88</v>
      </c>
      <c r="M156">
        <v>0</v>
      </c>
      <c r="N156">
        <v>2647016.88</v>
      </c>
      <c r="O156">
        <v>43970.380066445177</v>
      </c>
      <c r="P156">
        <v>30100</v>
      </c>
      <c r="Q156">
        <v>2616916.88</v>
      </c>
      <c r="R156">
        <v>43470.380066445177</v>
      </c>
      <c r="S156" s="238" t="s">
        <v>137</v>
      </c>
      <c r="T156" s="238" t="s">
        <v>1167</v>
      </c>
      <c r="V156" t="s">
        <v>1167</v>
      </c>
      <c r="W156" s="24">
        <v>44039</v>
      </c>
      <c r="X156" s="238" t="s">
        <v>282</v>
      </c>
      <c r="Y156" s="238" t="s">
        <v>39</v>
      </c>
      <c r="Z156" s="238" t="s">
        <v>1168</v>
      </c>
      <c r="AA156" t="s">
        <v>1167</v>
      </c>
      <c r="AB156" s="238" t="s">
        <v>3246</v>
      </c>
      <c r="AC156" t="s">
        <v>3079</v>
      </c>
      <c r="AD156" s="24"/>
      <c r="AE156" s="238" t="s">
        <v>1464</v>
      </c>
      <c r="AF156">
        <v>79277226441</v>
      </c>
      <c r="AG156" s="238" t="s">
        <v>1465</v>
      </c>
      <c r="AH156" s="238" t="s">
        <v>1212</v>
      </c>
      <c r="AI156" s="238" t="s">
        <v>3075</v>
      </c>
      <c r="AJ156" s="238" t="s">
        <v>355</v>
      </c>
      <c r="AK156" s="238" t="s">
        <v>141</v>
      </c>
      <c r="AL156" t="s">
        <v>8715</v>
      </c>
      <c r="AM156" t="s">
        <v>1167</v>
      </c>
    </row>
    <row r="157" spans="1:39" hidden="1" x14ac:dyDescent="0.25">
      <c r="A157">
        <v>153</v>
      </c>
      <c r="B157">
        <v>13</v>
      </c>
      <c r="C157" s="24">
        <v>44039</v>
      </c>
      <c r="D157" s="238" t="s">
        <v>20</v>
      </c>
      <c r="E157" s="238" t="s">
        <v>5</v>
      </c>
      <c r="F157">
        <v>3</v>
      </c>
      <c r="G157">
        <v>14</v>
      </c>
      <c r="H157">
        <v>237</v>
      </c>
      <c r="I157" s="238" t="s">
        <v>42</v>
      </c>
      <c r="J157">
        <v>41.48</v>
      </c>
      <c r="K157" s="238" t="s">
        <v>37</v>
      </c>
      <c r="L157">
        <v>2110077.23</v>
      </c>
      <c r="M157">
        <v>0</v>
      </c>
      <c r="N157">
        <v>2110077.23</v>
      </c>
      <c r="O157">
        <v>50869.75</v>
      </c>
      <c r="P157">
        <v>194956</v>
      </c>
      <c r="Q157">
        <v>1915121.23</v>
      </c>
      <c r="R157">
        <v>46169.75</v>
      </c>
      <c r="S157" s="238" t="s">
        <v>137</v>
      </c>
      <c r="T157" s="238" t="s">
        <v>1167</v>
      </c>
      <c r="V157" t="s">
        <v>1167</v>
      </c>
      <c r="W157" s="24">
        <v>44035</v>
      </c>
      <c r="X157" s="238" t="s">
        <v>284</v>
      </c>
      <c r="Y157" s="238" t="s">
        <v>39</v>
      </c>
      <c r="Z157" s="238" t="s">
        <v>1340</v>
      </c>
      <c r="AA157" t="s">
        <v>1167</v>
      </c>
      <c r="AB157" s="238" t="s">
        <v>3246</v>
      </c>
      <c r="AC157" t="s">
        <v>3079</v>
      </c>
      <c r="AD157" s="24"/>
      <c r="AE157" s="238" t="s">
        <v>1466</v>
      </c>
      <c r="AF157">
        <v>79871552562</v>
      </c>
      <c r="AG157" s="238" t="s">
        <v>1467</v>
      </c>
      <c r="AH157" s="238" t="s">
        <v>135</v>
      </c>
      <c r="AI157" s="238" t="s">
        <v>135</v>
      </c>
      <c r="AJ157" s="238" t="s">
        <v>120</v>
      </c>
      <c r="AK157" s="238" t="s">
        <v>162</v>
      </c>
      <c r="AL157" t="s">
        <v>8715</v>
      </c>
      <c r="AM157" t="s">
        <v>1167</v>
      </c>
    </row>
    <row r="158" spans="1:39" hidden="1" x14ac:dyDescent="0.25">
      <c r="A158">
        <v>154</v>
      </c>
      <c r="B158">
        <v>14</v>
      </c>
      <c r="C158" s="24">
        <v>44039</v>
      </c>
      <c r="D158" s="238" t="s">
        <v>20</v>
      </c>
      <c r="E158" s="238" t="s">
        <v>5</v>
      </c>
      <c r="F158">
        <v>4</v>
      </c>
      <c r="G158">
        <v>6</v>
      </c>
      <c r="H158">
        <v>182</v>
      </c>
      <c r="I158" s="238" t="s">
        <v>42</v>
      </c>
      <c r="J158">
        <v>40.58</v>
      </c>
      <c r="K158" s="238" t="s">
        <v>36</v>
      </c>
      <c r="L158">
        <v>1950065.41</v>
      </c>
      <c r="M158">
        <v>0</v>
      </c>
      <c r="N158">
        <v>1950065.41</v>
      </c>
      <c r="O158">
        <v>48054.840068999511</v>
      </c>
      <c r="P158">
        <v>20290</v>
      </c>
      <c r="Q158">
        <v>1929775.41</v>
      </c>
      <c r="R158">
        <v>47554.840068999511</v>
      </c>
      <c r="S158" s="238" t="s">
        <v>137</v>
      </c>
      <c r="T158" s="238" t="s">
        <v>1167</v>
      </c>
      <c r="V158" t="s">
        <v>1167</v>
      </c>
      <c r="W158" s="24">
        <v>44035</v>
      </c>
      <c r="X158" s="238" t="s">
        <v>286</v>
      </c>
      <c r="Y158" s="238" t="s">
        <v>39</v>
      </c>
      <c r="Z158" s="238" t="s">
        <v>1340</v>
      </c>
      <c r="AA158" t="s">
        <v>1167</v>
      </c>
      <c r="AB158" s="238" t="s">
        <v>3246</v>
      </c>
      <c r="AC158" t="s">
        <v>3079</v>
      </c>
      <c r="AD158" s="24"/>
      <c r="AE158" s="238" t="s">
        <v>1468</v>
      </c>
      <c r="AF158">
        <v>79270008212</v>
      </c>
      <c r="AG158" s="238" t="s">
        <v>1469</v>
      </c>
      <c r="AH158" s="238" t="s">
        <v>1171</v>
      </c>
      <c r="AI158" s="238" t="s">
        <v>135</v>
      </c>
      <c r="AJ158" s="238" t="s">
        <v>120</v>
      </c>
      <c r="AK158" s="238" t="s">
        <v>141</v>
      </c>
      <c r="AL158" t="s">
        <v>8715</v>
      </c>
      <c r="AM158" t="s">
        <v>1167</v>
      </c>
    </row>
    <row r="159" spans="1:39" hidden="1" x14ac:dyDescent="0.25">
      <c r="A159">
        <v>155</v>
      </c>
      <c r="B159">
        <v>15</v>
      </c>
      <c r="C159" s="24">
        <v>44039</v>
      </c>
      <c r="D159" s="238" t="s">
        <v>20</v>
      </c>
      <c r="E159" s="238" t="s">
        <v>5</v>
      </c>
      <c r="F159">
        <v>3</v>
      </c>
      <c r="G159">
        <v>15</v>
      </c>
      <c r="H159">
        <v>244</v>
      </c>
      <c r="I159" s="238" t="s">
        <v>42</v>
      </c>
      <c r="J159">
        <v>41.48</v>
      </c>
      <c r="K159" s="238" t="s">
        <v>36</v>
      </c>
      <c r="L159">
        <v>1935861.23</v>
      </c>
      <c r="M159">
        <v>0</v>
      </c>
      <c r="N159">
        <v>1935861.23</v>
      </c>
      <c r="O159">
        <v>46669.75</v>
      </c>
      <c r="P159">
        <v>20740</v>
      </c>
      <c r="Q159">
        <v>1915121.23</v>
      </c>
      <c r="R159">
        <v>46169.75</v>
      </c>
      <c r="S159" s="238" t="s">
        <v>137</v>
      </c>
      <c r="T159" s="238" t="s">
        <v>1167</v>
      </c>
      <c r="V159" t="s">
        <v>1167</v>
      </c>
      <c r="W159" s="24">
        <v>44035</v>
      </c>
      <c r="X159" s="238" t="s">
        <v>285</v>
      </c>
      <c r="Y159" s="238" t="s">
        <v>39</v>
      </c>
      <c r="Z159" s="238" t="s">
        <v>1340</v>
      </c>
      <c r="AA159" t="s">
        <v>1167</v>
      </c>
      <c r="AB159" s="238" t="s">
        <v>3246</v>
      </c>
      <c r="AC159" t="s">
        <v>3079</v>
      </c>
      <c r="AD159" s="24"/>
      <c r="AE159" s="238" t="s">
        <v>1470</v>
      </c>
      <c r="AF159">
        <v>79272069851</v>
      </c>
      <c r="AG159" s="238" t="s">
        <v>1471</v>
      </c>
      <c r="AH159" s="238" t="s">
        <v>1212</v>
      </c>
      <c r="AI159" s="238" t="s">
        <v>135</v>
      </c>
      <c r="AJ159" s="238" t="s">
        <v>355</v>
      </c>
      <c r="AK159" s="238" t="s">
        <v>162</v>
      </c>
      <c r="AL159" t="s">
        <v>8715</v>
      </c>
      <c r="AM159" t="s">
        <v>1167</v>
      </c>
    </row>
    <row r="160" spans="1:39" hidden="1" x14ac:dyDescent="0.25">
      <c r="A160">
        <v>156</v>
      </c>
      <c r="B160">
        <v>16</v>
      </c>
      <c r="C160" s="24">
        <v>44039</v>
      </c>
      <c r="D160" s="238" t="s">
        <v>20</v>
      </c>
      <c r="E160" s="238" t="s">
        <v>5</v>
      </c>
      <c r="F160">
        <v>4</v>
      </c>
      <c r="G160">
        <v>7</v>
      </c>
      <c r="H160">
        <v>189</v>
      </c>
      <c r="I160" s="238" t="s">
        <v>42</v>
      </c>
      <c r="J160">
        <v>40.58</v>
      </c>
      <c r="K160" s="238" t="s">
        <v>36</v>
      </c>
      <c r="L160">
        <v>1950065.41</v>
      </c>
      <c r="M160">
        <v>0</v>
      </c>
      <c r="N160">
        <v>1950065.41</v>
      </c>
      <c r="O160">
        <v>48054.840068999511</v>
      </c>
      <c r="P160">
        <v>20290</v>
      </c>
      <c r="Q160">
        <v>1929775.41</v>
      </c>
      <c r="R160">
        <v>47554.840068999511</v>
      </c>
      <c r="S160" s="238" t="s">
        <v>124</v>
      </c>
      <c r="T160" s="238" t="s">
        <v>1167</v>
      </c>
      <c r="V160" t="s">
        <v>1167</v>
      </c>
      <c r="W160" s="24">
        <v>44036</v>
      </c>
      <c r="X160" s="238" t="s">
        <v>283</v>
      </c>
      <c r="Y160" s="238" t="s">
        <v>39</v>
      </c>
      <c r="Z160" s="238" t="s">
        <v>1168</v>
      </c>
      <c r="AA160" t="s">
        <v>1167</v>
      </c>
      <c r="AB160" s="238" t="s">
        <v>3246</v>
      </c>
      <c r="AC160" t="s">
        <v>4246</v>
      </c>
      <c r="AD160" s="24"/>
      <c r="AE160" s="238" t="s">
        <v>1472</v>
      </c>
      <c r="AF160">
        <v>78457954213</v>
      </c>
      <c r="AG160" s="238" t="s">
        <v>1203</v>
      </c>
      <c r="AH160" s="238" t="s">
        <v>1212</v>
      </c>
      <c r="AI160" s="238" t="s">
        <v>3097</v>
      </c>
      <c r="AJ160" s="238" t="s">
        <v>126</v>
      </c>
      <c r="AK160" s="238" t="s">
        <v>1167</v>
      </c>
      <c r="AL160" t="s">
        <v>8715</v>
      </c>
      <c r="AM160" t="s">
        <v>1167</v>
      </c>
    </row>
    <row r="161" spans="1:39" hidden="1" x14ac:dyDescent="0.25">
      <c r="A161">
        <v>157</v>
      </c>
      <c r="B161">
        <v>17</v>
      </c>
      <c r="C161" s="24">
        <v>44040</v>
      </c>
      <c r="D161" s="238" t="s">
        <v>20</v>
      </c>
      <c r="E161" s="238" t="s">
        <v>5</v>
      </c>
      <c r="F161">
        <v>3</v>
      </c>
      <c r="G161">
        <v>22</v>
      </c>
      <c r="H161">
        <v>293</v>
      </c>
      <c r="I161" s="238" t="s">
        <v>42</v>
      </c>
      <c r="J161">
        <v>41.1</v>
      </c>
      <c r="K161" s="238" t="s">
        <v>38</v>
      </c>
      <c r="L161">
        <v>2556851.5499999998</v>
      </c>
      <c r="M161">
        <v>0</v>
      </c>
      <c r="N161">
        <v>2556851.5499999998</v>
      </c>
      <c r="O161">
        <v>62210.499999999993</v>
      </c>
      <c r="P161">
        <v>637050</v>
      </c>
      <c r="Q161">
        <v>1919801.5499999998</v>
      </c>
      <c r="R161">
        <v>46710.499999999993</v>
      </c>
      <c r="S161" s="238" t="s">
        <v>137</v>
      </c>
      <c r="T161" s="238" t="s">
        <v>1167</v>
      </c>
      <c r="V161" t="s">
        <v>1167</v>
      </c>
      <c r="W161" s="24">
        <v>44018</v>
      </c>
      <c r="X161" s="238" t="s">
        <v>287</v>
      </c>
      <c r="Y161" s="238" t="s">
        <v>39</v>
      </c>
      <c r="Z161" s="238" t="s">
        <v>1168</v>
      </c>
      <c r="AA161" t="s">
        <v>1167</v>
      </c>
      <c r="AB161" s="238" t="s">
        <v>3246</v>
      </c>
      <c r="AC161" t="s">
        <v>3077</v>
      </c>
      <c r="AD161" s="24"/>
      <c r="AE161" s="238" t="s">
        <v>1473</v>
      </c>
      <c r="AF161">
        <v>79296521912</v>
      </c>
      <c r="AG161" s="238" t="s">
        <v>1474</v>
      </c>
      <c r="AH161" s="238" t="s">
        <v>1212</v>
      </c>
      <c r="AI161" s="238" t="s">
        <v>3085</v>
      </c>
      <c r="AJ161" s="238" t="s">
        <v>355</v>
      </c>
      <c r="AK161" s="238" t="s">
        <v>141</v>
      </c>
      <c r="AL161" t="s">
        <v>8715</v>
      </c>
      <c r="AM161" t="s">
        <v>1167</v>
      </c>
    </row>
    <row r="162" spans="1:39" hidden="1" x14ac:dyDescent="0.25">
      <c r="A162">
        <v>158</v>
      </c>
      <c r="B162">
        <v>18</v>
      </c>
      <c r="C162" s="24">
        <v>44040</v>
      </c>
      <c r="D162" s="238" t="s">
        <v>20</v>
      </c>
      <c r="E162" s="238" t="s">
        <v>6</v>
      </c>
      <c r="F162">
        <v>1</v>
      </c>
      <c r="G162">
        <v>6</v>
      </c>
      <c r="H162">
        <v>41</v>
      </c>
      <c r="I162" s="238" t="s">
        <v>4052</v>
      </c>
      <c r="J162">
        <v>32.03</v>
      </c>
      <c r="K162" s="238" t="s">
        <v>37</v>
      </c>
      <c r="L162">
        <v>1823114.29</v>
      </c>
      <c r="M162">
        <v>0</v>
      </c>
      <c r="N162">
        <v>1823114.29</v>
      </c>
      <c r="O162">
        <v>56918.960037464873</v>
      </c>
      <c r="P162">
        <v>150541</v>
      </c>
      <c r="Q162">
        <v>1672573.29</v>
      </c>
      <c r="R162">
        <v>52218.960037464873</v>
      </c>
      <c r="S162" s="238" t="s">
        <v>137</v>
      </c>
      <c r="T162" s="238" t="s">
        <v>1167</v>
      </c>
      <c r="V162" t="s">
        <v>1167</v>
      </c>
      <c r="W162" s="24">
        <v>44033</v>
      </c>
      <c r="X162" s="238" t="s">
        <v>288</v>
      </c>
      <c r="Y162" s="238" t="s">
        <v>39</v>
      </c>
      <c r="Z162" s="238" t="s">
        <v>1340</v>
      </c>
      <c r="AA162" t="s">
        <v>1167</v>
      </c>
      <c r="AB162" s="238" t="s">
        <v>3246</v>
      </c>
      <c r="AC162" t="s">
        <v>3079</v>
      </c>
      <c r="AD162" s="24"/>
      <c r="AE162" s="238" t="s">
        <v>1475</v>
      </c>
      <c r="AF162">
        <v>79379981066</v>
      </c>
      <c r="AG162" s="238" t="s">
        <v>1476</v>
      </c>
      <c r="AH162" s="238" t="s">
        <v>135</v>
      </c>
      <c r="AI162" s="238" t="s">
        <v>135</v>
      </c>
      <c r="AJ162" s="238" t="s">
        <v>126</v>
      </c>
      <c r="AK162" s="238" t="s">
        <v>162</v>
      </c>
      <c r="AL162" t="s">
        <v>8715</v>
      </c>
      <c r="AM162" t="s">
        <v>1167</v>
      </c>
    </row>
    <row r="163" spans="1:39" hidden="1" x14ac:dyDescent="0.25">
      <c r="A163">
        <v>159</v>
      </c>
      <c r="B163">
        <v>19</v>
      </c>
      <c r="C163" s="24">
        <v>44042</v>
      </c>
      <c r="D163" s="238" t="s">
        <v>20</v>
      </c>
      <c r="E163" s="238" t="s">
        <v>5</v>
      </c>
      <c r="F163">
        <v>5</v>
      </c>
      <c r="G163">
        <v>16</v>
      </c>
      <c r="H163">
        <v>253</v>
      </c>
      <c r="I163" s="238" t="s">
        <v>44</v>
      </c>
      <c r="J163">
        <v>78.03</v>
      </c>
      <c r="K163" s="238" t="s">
        <v>37</v>
      </c>
      <c r="L163">
        <v>3758734.75</v>
      </c>
      <c r="M163">
        <v>0</v>
      </c>
      <c r="N163">
        <v>3758734.75</v>
      </c>
      <c r="O163">
        <v>48170.379982058184</v>
      </c>
      <c r="P163">
        <v>366741</v>
      </c>
      <c r="Q163">
        <v>3391993.75</v>
      </c>
      <c r="R163">
        <v>43470.379982058184</v>
      </c>
      <c r="S163" s="238" t="s">
        <v>137</v>
      </c>
      <c r="T163" s="238" t="s">
        <v>1167</v>
      </c>
      <c r="V163" t="s">
        <v>1167</v>
      </c>
      <c r="W163" s="24">
        <v>44036</v>
      </c>
      <c r="X163" s="238" t="s">
        <v>290</v>
      </c>
      <c r="Y163" s="238" t="s">
        <v>39</v>
      </c>
      <c r="Z163" s="238" t="s">
        <v>1168</v>
      </c>
      <c r="AA163" t="s">
        <v>1167</v>
      </c>
      <c r="AB163" s="238" t="s">
        <v>3246</v>
      </c>
      <c r="AC163" t="s">
        <v>3080</v>
      </c>
      <c r="AD163" s="24"/>
      <c r="AE163" s="238" t="s">
        <v>1477</v>
      </c>
      <c r="AF163">
        <v>79138043008</v>
      </c>
      <c r="AG163" s="238" t="s">
        <v>1478</v>
      </c>
      <c r="AH163" s="238" t="s">
        <v>1212</v>
      </c>
      <c r="AI163" s="238" t="s">
        <v>3074</v>
      </c>
      <c r="AJ163" s="238" t="s">
        <v>126</v>
      </c>
      <c r="AK163" s="238" t="s">
        <v>162</v>
      </c>
      <c r="AL163" t="s">
        <v>8715</v>
      </c>
      <c r="AM163" t="s">
        <v>1167</v>
      </c>
    </row>
    <row r="164" spans="1:39" hidden="1" x14ac:dyDescent="0.25">
      <c r="A164">
        <v>160</v>
      </c>
      <c r="B164">
        <v>20</v>
      </c>
      <c r="C164" s="24">
        <v>44042</v>
      </c>
      <c r="D164" s="238" t="s">
        <v>20</v>
      </c>
      <c r="E164" s="238" t="s">
        <v>6</v>
      </c>
      <c r="F164">
        <v>5</v>
      </c>
      <c r="G164">
        <v>5</v>
      </c>
      <c r="H164">
        <v>35</v>
      </c>
      <c r="I164" s="238" t="s">
        <v>43</v>
      </c>
      <c r="J164">
        <v>60.2</v>
      </c>
      <c r="K164" s="238" t="s">
        <v>38</v>
      </c>
      <c r="L164">
        <v>3550016.88</v>
      </c>
      <c r="M164">
        <v>0</v>
      </c>
      <c r="N164">
        <v>3550016.88</v>
      </c>
      <c r="O164">
        <v>58970.380066445177</v>
      </c>
      <c r="P164">
        <v>933100</v>
      </c>
      <c r="Q164">
        <v>2616916.88</v>
      </c>
      <c r="R164">
        <v>43470.380066445177</v>
      </c>
      <c r="S164" s="238" t="s">
        <v>137</v>
      </c>
      <c r="T164" s="238" t="s">
        <v>1167</v>
      </c>
      <c r="V164" t="s">
        <v>1167</v>
      </c>
      <c r="W164" s="24">
        <v>44038</v>
      </c>
      <c r="X164" s="238" t="s">
        <v>289</v>
      </c>
      <c r="Y164" s="238" t="s">
        <v>39</v>
      </c>
      <c r="Z164" s="238" t="s">
        <v>1340</v>
      </c>
      <c r="AA164" t="s">
        <v>1167</v>
      </c>
      <c r="AB164" s="238" t="s">
        <v>3246</v>
      </c>
      <c r="AC164" t="s">
        <v>3079</v>
      </c>
      <c r="AD164" s="24"/>
      <c r="AE164" s="238" t="s">
        <v>1479</v>
      </c>
      <c r="AF164">
        <v>79244830639</v>
      </c>
      <c r="AG164" s="238" t="s">
        <v>1480</v>
      </c>
      <c r="AH164" s="238" t="s">
        <v>135</v>
      </c>
      <c r="AI164" s="238" t="s">
        <v>3099</v>
      </c>
      <c r="AJ164" s="238" t="s">
        <v>130</v>
      </c>
      <c r="AK164" s="238" t="s">
        <v>162</v>
      </c>
      <c r="AL164" t="s">
        <v>8715</v>
      </c>
      <c r="AM164" t="s">
        <v>1167</v>
      </c>
    </row>
    <row r="165" spans="1:39" hidden="1" x14ac:dyDescent="0.25">
      <c r="A165">
        <v>161</v>
      </c>
      <c r="B165">
        <v>21</v>
      </c>
      <c r="C165" s="24">
        <v>44042</v>
      </c>
      <c r="D165" s="238" t="s">
        <v>20</v>
      </c>
      <c r="E165" s="238" t="s">
        <v>5</v>
      </c>
      <c r="F165">
        <v>6</v>
      </c>
      <c r="G165">
        <v>15</v>
      </c>
      <c r="H165">
        <v>247</v>
      </c>
      <c r="I165" s="238" t="s">
        <v>43</v>
      </c>
      <c r="J165">
        <v>64.150000000000006</v>
      </c>
      <c r="K165" s="238" t="s">
        <v>36</v>
      </c>
      <c r="L165">
        <v>2856429.5</v>
      </c>
      <c r="M165">
        <v>0</v>
      </c>
      <c r="N165">
        <v>2856429.5</v>
      </c>
      <c r="O165">
        <v>44527.349961028835</v>
      </c>
      <c r="P165">
        <v>32075</v>
      </c>
      <c r="Q165">
        <v>2824354.5</v>
      </c>
      <c r="R165">
        <v>44027.349961028835</v>
      </c>
      <c r="S165" s="238" t="s">
        <v>137</v>
      </c>
      <c r="T165" s="238" t="s">
        <v>1167</v>
      </c>
      <c r="V165" t="s">
        <v>1167</v>
      </c>
      <c r="W165" s="24">
        <v>44040</v>
      </c>
      <c r="X165" s="238" t="s">
        <v>291</v>
      </c>
      <c r="Y165" s="238" t="s">
        <v>39</v>
      </c>
      <c r="Z165" s="238" t="s">
        <v>1340</v>
      </c>
      <c r="AA165" t="s">
        <v>1167</v>
      </c>
      <c r="AB165" s="238" t="s">
        <v>3246</v>
      </c>
      <c r="AC165" t="s">
        <v>3079</v>
      </c>
      <c r="AD165" s="24"/>
      <c r="AE165" s="238" t="s">
        <v>1481</v>
      </c>
      <c r="AF165">
        <v>79370648940</v>
      </c>
      <c r="AG165" s="238" t="s">
        <v>1482</v>
      </c>
      <c r="AH165" s="238" t="s">
        <v>1171</v>
      </c>
      <c r="AI165" s="238" t="s">
        <v>3090</v>
      </c>
      <c r="AJ165" s="238" t="s">
        <v>355</v>
      </c>
      <c r="AK165" s="238" t="s">
        <v>141</v>
      </c>
      <c r="AL165" t="s">
        <v>8715</v>
      </c>
      <c r="AM165" t="s">
        <v>1167</v>
      </c>
    </row>
    <row r="166" spans="1:39" hidden="1" x14ac:dyDescent="0.25">
      <c r="A166">
        <v>162</v>
      </c>
      <c r="B166">
        <v>1</v>
      </c>
      <c r="C166" s="24">
        <v>44047</v>
      </c>
      <c r="D166" s="238" t="s">
        <v>20</v>
      </c>
      <c r="E166" s="238" t="s">
        <v>5</v>
      </c>
      <c r="F166">
        <v>4</v>
      </c>
      <c r="G166">
        <v>22</v>
      </c>
      <c r="H166">
        <v>294</v>
      </c>
      <c r="I166" s="238" t="s">
        <v>42</v>
      </c>
      <c r="J166">
        <v>40.229999999999997</v>
      </c>
      <c r="K166" s="238" t="s">
        <v>37</v>
      </c>
      <c r="L166">
        <v>2105264.13</v>
      </c>
      <c r="M166">
        <v>0</v>
      </c>
      <c r="N166">
        <v>2105264.13</v>
      </c>
      <c r="O166">
        <v>52330.701715137955</v>
      </c>
      <c r="P166">
        <v>189081</v>
      </c>
      <c r="Q166">
        <v>1916183.13</v>
      </c>
      <c r="R166">
        <v>47630.701715137955</v>
      </c>
      <c r="S166" s="238" t="s">
        <v>137</v>
      </c>
      <c r="T166" s="238" t="s">
        <v>1167</v>
      </c>
      <c r="V166" t="s">
        <v>1167</v>
      </c>
      <c r="W166" s="24">
        <v>44047</v>
      </c>
      <c r="X166" s="238" t="s">
        <v>293</v>
      </c>
      <c r="Y166" s="238" t="s">
        <v>39</v>
      </c>
      <c r="Z166" s="238" t="s">
        <v>1340</v>
      </c>
      <c r="AA166" t="s">
        <v>1167</v>
      </c>
      <c r="AB166" s="238" t="s">
        <v>3246</v>
      </c>
      <c r="AC166" t="s">
        <v>3079</v>
      </c>
      <c r="AD166" s="24"/>
      <c r="AE166" s="238" t="s">
        <v>1483</v>
      </c>
      <c r="AF166">
        <v>79129891999</v>
      </c>
      <c r="AG166" s="238" t="s">
        <v>1484</v>
      </c>
      <c r="AH166" s="238" t="s">
        <v>1212</v>
      </c>
      <c r="AI166" s="238" t="s">
        <v>3102</v>
      </c>
      <c r="AJ166" s="238" t="s">
        <v>130</v>
      </c>
      <c r="AK166" s="238" t="s">
        <v>162</v>
      </c>
      <c r="AL166" t="s">
        <v>8715</v>
      </c>
      <c r="AM166" t="s">
        <v>1167</v>
      </c>
    </row>
    <row r="167" spans="1:39" hidden="1" x14ac:dyDescent="0.25">
      <c r="A167">
        <v>163</v>
      </c>
      <c r="B167">
        <v>2</v>
      </c>
      <c r="C167" s="24">
        <v>44047</v>
      </c>
      <c r="D167" s="238" t="s">
        <v>20</v>
      </c>
      <c r="E167" s="238" t="s">
        <v>5</v>
      </c>
      <c r="F167">
        <v>3</v>
      </c>
      <c r="G167">
        <v>18</v>
      </c>
      <c r="H167">
        <v>265</v>
      </c>
      <c r="I167" s="238" t="s">
        <v>42</v>
      </c>
      <c r="J167">
        <v>41.48</v>
      </c>
      <c r="K167" s="238" t="s">
        <v>36</v>
      </c>
      <c r="L167">
        <v>1897559.01</v>
      </c>
      <c r="M167">
        <v>0</v>
      </c>
      <c r="N167">
        <v>1897559.01</v>
      </c>
      <c r="O167">
        <v>45746.359932497595</v>
      </c>
      <c r="P167">
        <v>20740</v>
      </c>
      <c r="Q167">
        <v>1876819.01</v>
      </c>
      <c r="R167">
        <v>45246.359932497595</v>
      </c>
      <c r="S167" s="238" t="s">
        <v>124</v>
      </c>
      <c r="T167" s="238" t="s">
        <v>3536</v>
      </c>
      <c r="U167">
        <v>38302.42</v>
      </c>
      <c r="V167" t="s">
        <v>1167</v>
      </c>
      <c r="W167" s="24">
        <v>44047</v>
      </c>
      <c r="X167" s="238" t="s">
        <v>292</v>
      </c>
      <c r="Y167" s="238" t="s">
        <v>39</v>
      </c>
      <c r="Z167" s="238" t="s">
        <v>1340</v>
      </c>
      <c r="AA167" t="s">
        <v>1167</v>
      </c>
      <c r="AB167" s="238" t="s">
        <v>3246</v>
      </c>
      <c r="AC167" t="s">
        <v>4246</v>
      </c>
      <c r="AD167" s="24"/>
      <c r="AE167" s="238" t="s">
        <v>1485</v>
      </c>
      <c r="AF167">
        <v>79270584273</v>
      </c>
      <c r="AG167" s="238" t="s">
        <v>1486</v>
      </c>
      <c r="AH167" s="238" t="s">
        <v>1171</v>
      </c>
      <c r="AI167" s="238" t="s">
        <v>3078</v>
      </c>
      <c r="AJ167" s="238" t="s">
        <v>355</v>
      </c>
      <c r="AK167" s="238" t="s">
        <v>1167</v>
      </c>
      <c r="AL167" t="s">
        <v>8715</v>
      </c>
      <c r="AM167" t="s">
        <v>1167</v>
      </c>
    </row>
    <row r="168" spans="1:39" hidden="1" x14ac:dyDescent="0.25">
      <c r="A168">
        <v>164</v>
      </c>
      <c r="B168">
        <v>3</v>
      </c>
      <c r="C168" s="24">
        <v>44049</v>
      </c>
      <c r="D168" s="238" t="s">
        <v>20</v>
      </c>
      <c r="E168" s="238" t="s">
        <v>16</v>
      </c>
      <c r="F168">
        <v>3</v>
      </c>
      <c r="G168">
        <v>7</v>
      </c>
      <c r="H168">
        <v>354</v>
      </c>
      <c r="I168" s="238" t="s">
        <v>42</v>
      </c>
      <c r="J168">
        <v>41.9</v>
      </c>
      <c r="K168" s="238" t="s">
        <v>36</v>
      </c>
      <c r="L168">
        <v>2036835.26</v>
      </c>
      <c r="M168">
        <v>0</v>
      </c>
      <c r="N168">
        <v>2036835.26</v>
      </c>
      <c r="O168">
        <v>48611.820047732697</v>
      </c>
      <c r="P168">
        <v>20950</v>
      </c>
      <c r="Q168">
        <v>2015885.26</v>
      </c>
      <c r="R168">
        <v>48111.820047732697</v>
      </c>
      <c r="S168" s="238" t="s">
        <v>124</v>
      </c>
      <c r="T168" s="238" t="s">
        <v>1167</v>
      </c>
      <c r="V168" t="s">
        <v>1167</v>
      </c>
      <c r="W168" s="24">
        <v>44049</v>
      </c>
      <c r="X168" s="238" t="s">
        <v>294</v>
      </c>
      <c r="Y168" s="238" t="s">
        <v>39</v>
      </c>
      <c r="Z168" s="238" t="s">
        <v>1168</v>
      </c>
      <c r="AA168" t="s">
        <v>1167</v>
      </c>
      <c r="AB168" s="238" t="s">
        <v>3246</v>
      </c>
      <c r="AC168" t="s">
        <v>4246</v>
      </c>
      <c r="AD168" s="24"/>
      <c r="AE168" s="238" t="s">
        <v>1487</v>
      </c>
      <c r="AF168">
        <v>79272956659</v>
      </c>
      <c r="AG168" s="238" t="s">
        <v>1488</v>
      </c>
      <c r="AH168" s="238" t="s">
        <v>1197</v>
      </c>
      <c r="AI168" s="238" t="s">
        <v>3095</v>
      </c>
      <c r="AJ168" s="238" t="s">
        <v>120</v>
      </c>
      <c r="AK168" s="238" t="s">
        <v>1167</v>
      </c>
      <c r="AL168" t="s">
        <v>8715</v>
      </c>
      <c r="AM168" t="s">
        <v>1167</v>
      </c>
    </row>
    <row r="169" spans="1:39" hidden="1" x14ac:dyDescent="0.25">
      <c r="A169">
        <v>165</v>
      </c>
      <c r="B169">
        <v>4</v>
      </c>
      <c r="C169" s="24">
        <v>44050</v>
      </c>
      <c r="D169" s="238" t="s">
        <v>20</v>
      </c>
      <c r="E169" s="238" t="s">
        <v>6</v>
      </c>
      <c r="F169">
        <v>10</v>
      </c>
      <c r="G169">
        <v>16</v>
      </c>
      <c r="H169">
        <v>150</v>
      </c>
      <c r="I169" s="238" t="s">
        <v>43</v>
      </c>
      <c r="J169">
        <v>65.88</v>
      </c>
      <c r="K169" s="238" t="s">
        <v>38</v>
      </c>
      <c r="L169">
        <v>3884968.63</v>
      </c>
      <c r="M169">
        <v>0</v>
      </c>
      <c r="N169">
        <v>3884968.63</v>
      </c>
      <c r="O169">
        <v>58970.379933211902</v>
      </c>
      <c r="P169">
        <v>1021140</v>
      </c>
      <c r="Q169">
        <v>2863828.63</v>
      </c>
      <c r="R169">
        <v>43470.379933211902</v>
      </c>
      <c r="S169" s="238" t="s">
        <v>137</v>
      </c>
      <c r="T169" s="238" t="s">
        <v>1167</v>
      </c>
      <c r="V169" t="s">
        <v>1167</v>
      </c>
      <c r="W169" s="24">
        <v>44044</v>
      </c>
      <c r="X169" s="238" t="s">
        <v>296</v>
      </c>
      <c r="Y169" s="238" t="s">
        <v>39</v>
      </c>
      <c r="Z169" s="238" t="s">
        <v>1340</v>
      </c>
      <c r="AA169" t="s">
        <v>1167</v>
      </c>
      <c r="AB169" s="238" t="s">
        <v>3246</v>
      </c>
      <c r="AC169" t="s">
        <v>3079</v>
      </c>
      <c r="AD169" s="24"/>
      <c r="AE169" s="238" t="s">
        <v>1489</v>
      </c>
      <c r="AF169">
        <v>79871902619</v>
      </c>
      <c r="AG169" s="238" t="s">
        <v>1490</v>
      </c>
      <c r="AH169" s="238" t="s">
        <v>1212</v>
      </c>
      <c r="AI169" s="238" t="s">
        <v>3097</v>
      </c>
      <c r="AJ169" s="238" t="s">
        <v>355</v>
      </c>
      <c r="AK169" s="238" t="s">
        <v>141</v>
      </c>
      <c r="AL169" t="s">
        <v>8715</v>
      </c>
      <c r="AM169" t="s">
        <v>1167</v>
      </c>
    </row>
    <row r="170" spans="1:39" hidden="1" x14ac:dyDescent="0.25">
      <c r="A170">
        <v>166</v>
      </c>
      <c r="B170">
        <v>5</v>
      </c>
      <c r="C170" s="24">
        <v>44050</v>
      </c>
      <c r="D170" s="238" t="s">
        <v>20</v>
      </c>
      <c r="E170" s="238" t="s">
        <v>6</v>
      </c>
      <c r="F170">
        <v>9</v>
      </c>
      <c r="G170">
        <v>2</v>
      </c>
      <c r="H170">
        <v>9</v>
      </c>
      <c r="I170" s="238" t="s">
        <v>43</v>
      </c>
      <c r="J170">
        <v>67.11</v>
      </c>
      <c r="K170" s="238" t="s">
        <v>37</v>
      </c>
      <c r="L170">
        <v>3157957.02</v>
      </c>
      <c r="M170">
        <v>0</v>
      </c>
      <c r="N170">
        <v>3157957.02</v>
      </c>
      <c r="O170">
        <v>47056.430040232452</v>
      </c>
      <c r="P170">
        <v>315417</v>
      </c>
      <c r="Q170">
        <v>2842540.02</v>
      </c>
      <c r="R170">
        <v>42356.430040232452</v>
      </c>
      <c r="S170" s="238" t="s">
        <v>137</v>
      </c>
      <c r="T170" s="238" t="s">
        <v>1167</v>
      </c>
      <c r="V170" t="s">
        <v>1167</v>
      </c>
      <c r="W170" s="24">
        <v>44045</v>
      </c>
      <c r="X170" s="238" t="s">
        <v>295</v>
      </c>
      <c r="Y170" s="238" t="s">
        <v>39</v>
      </c>
      <c r="Z170" s="238" t="s">
        <v>1340</v>
      </c>
      <c r="AA170" t="s">
        <v>1167</v>
      </c>
      <c r="AB170" s="238" t="s">
        <v>3246</v>
      </c>
      <c r="AC170" t="s">
        <v>3079</v>
      </c>
      <c r="AD170" s="24"/>
      <c r="AE170" s="238" t="s">
        <v>1491</v>
      </c>
      <c r="AF170">
        <v>79171655750</v>
      </c>
      <c r="AG170" s="238" t="s">
        <v>1492</v>
      </c>
      <c r="AH170" s="238" t="s">
        <v>1212</v>
      </c>
      <c r="AI170" s="238" t="s">
        <v>135</v>
      </c>
      <c r="AJ170" s="238" t="s">
        <v>126</v>
      </c>
      <c r="AK170" s="238" t="s">
        <v>162</v>
      </c>
      <c r="AL170" t="s">
        <v>8715</v>
      </c>
      <c r="AM170" t="s">
        <v>1167</v>
      </c>
    </row>
    <row r="171" spans="1:39" hidden="1" x14ac:dyDescent="0.25">
      <c r="A171">
        <v>167</v>
      </c>
      <c r="B171">
        <v>6</v>
      </c>
      <c r="C171" s="24">
        <v>44050</v>
      </c>
      <c r="D171" s="238" t="s">
        <v>20</v>
      </c>
      <c r="E171" s="238" t="s">
        <v>6</v>
      </c>
      <c r="F171">
        <v>9</v>
      </c>
      <c r="G171">
        <v>14</v>
      </c>
      <c r="H171">
        <v>129</v>
      </c>
      <c r="I171" s="238" t="s">
        <v>43</v>
      </c>
      <c r="J171">
        <v>66.14</v>
      </c>
      <c r="K171" s="238" t="s">
        <v>37</v>
      </c>
      <c r="L171">
        <v>3185988.93</v>
      </c>
      <c r="M171">
        <v>0</v>
      </c>
      <c r="N171">
        <v>3185988.93</v>
      </c>
      <c r="O171">
        <v>48170.379951617782</v>
      </c>
      <c r="P171">
        <v>310858</v>
      </c>
      <c r="Q171">
        <v>2875130.93</v>
      </c>
      <c r="R171">
        <v>43470.379951617782</v>
      </c>
      <c r="S171" s="238" t="s">
        <v>124</v>
      </c>
      <c r="T171" s="238" t="s">
        <v>1167</v>
      </c>
      <c r="V171" t="s">
        <v>1167</v>
      </c>
      <c r="W171" s="24">
        <v>44054</v>
      </c>
      <c r="X171" s="238" t="s">
        <v>297</v>
      </c>
      <c r="Y171" s="238" t="s">
        <v>39</v>
      </c>
      <c r="Z171" s="238" t="s">
        <v>1168</v>
      </c>
      <c r="AA171" t="s">
        <v>1167</v>
      </c>
      <c r="AB171" s="238" t="s">
        <v>3246</v>
      </c>
      <c r="AC171" t="s">
        <v>4246</v>
      </c>
      <c r="AD171" s="24"/>
      <c r="AE171" s="238" t="s">
        <v>1493</v>
      </c>
      <c r="AF171">
        <v>79279086068</v>
      </c>
      <c r="AG171" s="238" t="s">
        <v>1494</v>
      </c>
      <c r="AH171" s="238" t="s">
        <v>135</v>
      </c>
      <c r="AI171" s="238" t="s">
        <v>3099</v>
      </c>
      <c r="AJ171" s="238" t="s">
        <v>130</v>
      </c>
      <c r="AK171" s="238" t="s">
        <v>1167</v>
      </c>
      <c r="AL171" t="s">
        <v>8715</v>
      </c>
      <c r="AM171" t="s">
        <v>1167</v>
      </c>
    </row>
    <row r="172" spans="1:39" hidden="1" x14ac:dyDescent="0.25">
      <c r="A172">
        <v>168</v>
      </c>
      <c r="B172">
        <v>7</v>
      </c>
      <c r="C172" s="24">
        <v>44053</v>
      </c>
      <c r="D172" s="238" t="s">
        <v>20</v>
      </c>
      <c r="E172" s="238" t="s">
        <v>6</v>
      </c>
      <c r="F172">
        <v>5</v>
      </c>
      <c r="G172">
        <v>7</v>
      </c>
      <c r="H172">
        <v>55</v>
      </c>
      <c r="I172" s="238" t="s">
        <v>43</v>
      </c>
      <c r="J172">
        <v>60.2</v>
      </c>
      <c r="K172" s="238" t="s">
        <v>36</v>
      </c>
      <c r="L172">
        <v>2632017.44</v>
      </c>
      <c r="M172">
        <v>15000</v>
      </c>
      <c r="N172">
        <v>2647017.44</v>
      </c>
      <c r="O172">
        <v>43970.38936877076</v>
      </c>
      <c r="P172">
        <v>30100</v>
      </c>
      <c r="Q172">
        <v>2616917.44</v>
      </c>
      <c r="R172">
        <v>43470.38936877076</v>
      </c>
      <c r="S172" s="238" t="s">
        <v>137</v>
      </c>
      <c r="T172" s="238" t="s">
        <v>1167</v>
      </c>
      <c r="V172" t="s">
        <v>1167</v>
      </c>
      <c r="W172" s="24">
        <v>44044</v>
      </c>
      <c r="X172" s="238" t="s">
        <v>298</v>
      </c>
      <c r="Y172" s="238" t="s">
        <v>39</v>
      </c>
      <c r="Z172" s="238" t="s">
        <v>1340</v>
      </c>
      <c r="AA172" t="s">
        <v>1167</v>
      </c>
      <c r="AB172" s="238" t="s">
        <v>3246</v>
      </c>
      <c r="AC172" t="s">
        <v>3076</v>
      </c>
      <c r="AD172" s="24"/>
      <c r="AE172" s="238" t="s">
        <v>1495</v>
      </c>
      <c r="AF172">
        <v>79276932330</v>
      </c>
      <c r="AG172" s="238" t="s">
        <v>1496</v>
      </c>
      <c r="AH172" s="238" t="s">
        <v>135</v>
      </c>
      <c r="AI172" s="238" t="s">
        <v>3099</v>
      </c>
      <c r="AJ172" s="238" t="s">
        <v>355</v>
      </c>
      <c r="AK172" s="238" t="s">
        <v>141</v>
      </c>
      <c r="AL172" t="s">
        <v>8715</v>
      </c>
      <c r="AM172" t="s">
        <v>1167</v>
      </c>
    </row>
    <row r="173" spans="1:39" hidden="1" x14ac:dyDescent="0.25">
      <c r="A173">
        <v>169</v>
      </c>
      <c r="B173">
        <v>8</v>
      </c>
      <c r="C173" s="24">
        <v>44053</v>
      </c>
      <c r="D173" s="238" t="s">
        <v>20</v>
      </c>
      <c r="E173" s="238" t="s">
        <v>5</v>
      </c>
      <c r="F173">
        <v>5</v>
      </c>
      <c r="G173">
        <v>10</v>
      </c>
      <c r="H173">
        <v>211</v>
      </c>
      <c r="I173" s="238" t="s">
        <v>44</v>
      </c>
      <c r="J173">
        <v>78.03</v>
      </c>
      <c r="K173" s="238" t="s">
        <v>36</v>
      </c>
      <c r="L173">
        <v>3344087.23</v>
      </c>
      <c r="M173">
        <v>0</v>
      </c>
      <c r="N173">
        <v>3344087.23</v>
      </c>
      <c r="O173">
        <v>42856.429962834809</v>
      </c>
      <c r="P173">
        <v>39015</v>
      </c>
      <c r="Q173">
        <v>3305072.23</v>
      </c>
      <c r="R173">
        <v>42356.429962834809</v>
      </c>
      <c r="S173" s="238" t="s">
        <v>137</v>
      </c>
      <c r="T173" s="238" t="s">
        <v>1167</v>
      </c>
      <c r="V173" t="s">
        <v>1167</v>
      </c>
      <c r="W173" s="24">
        <v>44045</v>
      </c>
      <c r="X173" s="238" t="s">
        <v>299</v>
      </c>
      <c r="Y173" s="238" t="s">
        <v>39</v>
      </c>
      <c r="Z173" s="238" t="s">
        <v>1340</v>
      </c>
      <c r="AA173" t="s">
        <v>1167</v>
      </c>
      <c r="AB173" s="238" t="s">
        <v>3246</v>
      </c>
      <c r="AC173" t="s">
        <v>3079</v>
      </c>
      <c r="AD173" s="24"/>
      <c r="AE173" s="238" t="s">
        <v>1497</v>
      </c>
      <c r="AF173">
        <v>79176036474</v>
      </c>
      <c r="AG173" s="238" t="s">
        <v>1498</v>
      </c>
      <c r="AH173" s="238" t="s">
        <v>1212</v>
      </c>
      <c r="AI173" s="238" t="s">
        <v>135</v>
      </c>
      <c r="AJ173" s="238" t="s">
        <v>126</v>
      </c>
      <c r="AK173" s="238" t="s">
        <v>162</v>
      </c>
      <c r="AL173" t="s">
        <v>8715</v>
      </c>
      <c r="AM173" t="s">
        <v>1167</v>
      </c>
    </row>
    <row r="174" spans="1:39" hidden="1" x14ac:dyDescent="0.25">
      <c r="A174">
        <v>170</v>
      </c>
      <c r="B174">
        <v>9</v>
      </c>
      <c r="C174" s="24">
        <v>44055</v>
      </c>
      <c r="D174" s="238" t="s">
        <v>20</v>
      </c>
      <c r="E174" s="238" t="s">
        <v>5</v>
      </c>
      <c r="F174">
        <v>3</v>
      </c>
      <c r="G174">
        <v>4</v>
      </c>
      <c r="H174">
        <v>167</v>
      </c>
      <c r="I174" s="238" t="s">
        <v>42</v>
      </c>
      <c r="J174">
        <v>41.48</v>
      </c>
      <c r="K174" s="238" t="s">
        <v>38</v>
      </c>
      <c r="L174">
        <v>2538909.91</v>
      </c>
      <c r="M174">
        <v>0</v>
      </c>
      <c r="N174">
        <v>2538909.91</v>
      </c>
      <c r="O174">
        <v>61208.04990356799</v>
      </c>
      <c r="P174">
        <v>642940</v>
      </c>
      <c r="Q174">
        <v>1895969.9100000001</v>
      </c>
      <c r="R174">
        <v>45708.04990356799</v>
      </c>
      <c r="S174" s="238" t="s">
        <v>137</v>
      </c>
      <c r="T174" s="238" t="s">
        <v>301</v>
      </c>
      <c r="U174">
        <v>19151.22</v>
      </c>
      <c r="V174" t="s">
        <v>1167</v>
      </c>
      <c r="W174" s="24">
        <v>44054</v>
      </c>
      <c r="X174" s="238" t="s">
        <v>300</v>
      </c>
      <c r="Y174" s="238" t="s">
        <v>39</v>
      </c>
      <c r="Z174" s="238" t="s">
        <v>1340</v>
      </c>
      <c r="AA174" t="s">
        <v>1167</v>
      </c>
      <c r="AB174" s="238" t="s">
        <v>3246</v>
      </c>
      <c r="AC174" t="s">
        <v>3079</v>
      </c>
      <c r="AD174" s="24"/>
      <c r="AE174" s="238" t="s">
        <v>1499</v>
      </c>
      <c r="AF174">
        <v>79370711033</v>
      </c>
      <c r="AG174" s="238" t="s">
        <v>1500</v>
      </c>
      <c r="AH174" s="238" t="s">
        <v>135</v>
      </c>
      <c r="AI174" s="238" t="s">
        <v>3099</v>
      </c>
      <c r="AJ174" s="238" t="s">
        <v>130</v>
      </c>
      <c r="AK174" s="238" t="s">
        <v>162</v>
      </c>
      <c r="AL174" t="s">
        <v>8715</v>
      </c>
      <c r="AM174" t="s">
        <v>1167</v>
      </c>
    </row>
    <row r="175" spans="1:39" hidden="1" x14ac:dyDescent="0.25">
      <c r="A175">
        <v>171</v>
      </c>
      <c r="B175">
        <v>10</v>
      </c>
      <c r="C175" s="24">
        <v>44056</v>
      </c>
      <c r="D175" s="238" t="s">
        <v>20</v>
      </c>
      <c r="E175" s="238" t="s">
        <v>16</v>
      </c>
      <c r="F175">
        <v>2</v>
      </c>
      <c r="G175">
        <v>7</v>
      </c>
      <c r="H175">
        <v>353</v>
      </c>
      <c r="I175" s="238" t="s">
        <v>44</v>
      </c>
      <c r="J175">
        <v>89.8</v>
      </c>
      <c r="K175" s="238" t="s">
        <v>36</v>
      </c>
      <c r="L175">
        <v>3948506</v>
      </c>
      <c r="M175">
        <v>0</v>
      </c>
      <c r="N175">
        <v>3948506</v>
      </c>
      <c r="O175">
        <v>43970</v>
      </c>
      <c r="P175">
        <v>44900</v>
      </c>
      <c r="Q175">
        <v>3903606</v>
      </c>
      <c r="R175">
        <v>43470</v>
      </c>
      <c r="S175" s="238" t="s">
        <v>137</v>
      </c>
      <c r="T175" s="238" t="s">
        <v>1167</v>
      </c>
      <c r="V175" t="s">
        <v>1167</v>
      </c>
      <c r="W175" s="24">
        <v>44049</v>
      </c>
      <c r="X175" s="238" t="s">
        <v>303</v>
      </c>
      <c r="Y175" s="238" t="s">
        <v>39</v>
      </c>
      <c r="Z175" s="238" t="s">
        <v>1168</v>
      </c>
      <c r="AA175" t="s">
        <v>1167</v>
      </c>
      <c r="AB175" s="238" t="s">
        <v>3246</v>
      </c>
      <c r="AC175" t="s">
        <v>3080</v>
      </c>
      <c r="AD175" s="24"/>
      <c r="AE175" s="238" t="s">
        <v>1501</v>
      </c>
      <c r="AF175">
        <v>79171139417</v>
      </c>
      <c r="AG175" s="238" t="s">
        <v>1502</v>
      </c>
      <c r="AH175" s="238" t="s">
        <v>1212</v>
      </c>
      <c r="AI175" s="238" t="s">
        <v>3095</v>
      </c>
      <c r="AJ175" s="238" t="s">
        <v>130</v>
      </c>
      <c r="AK175" s="238" t="s">
        <v>162</v>
      </c>
      <c r="AL175" t="s">
        <v>8715</v>
      </c>
      <c r="AM175" t="s">
        <v>1167</v>
      </c>
    </row>
    <row r="176" spans="1:39" hidden="1" x14ac:dyDescent="0.25">
      <c r="A176">
        <v>172</v>
      </c>
      <c r="B176">
        <v>11</v>
      </c>
      <c r="C176" s="24">
        <v>44056</v>
      </c>
      <c r="D176" s="238" t="s">
        <v>20</v>
      </c>
      <c r="E176" s="238" t="s">
        <v>16</v>
      </c>
      <c r="F176">
        <v>6</v>
      </c>
      <c r="G176">
        <v>4</v>
      </c>
      <c r="H176">
        <v>333</v>
      </c>
      <c r="I176" s="238" t="s">
        <v>43</v>
      </c>
      <c r="J176">
        <v>65.72</v>
      </c>
      <c r="K176" s="238" t="s">
        <v>38</v>
      </c>
      <c r="L176">
        <v>4021950.3</v>
      </c>
      <c r="M176">
        <v>0</v>
      </c>
      <c r="N176">
        <v>4021950.3</v>
      </c>
      <c r="O176">
        <v>61198.269933049298</v>
      </c>
      <c r="P176">
        <v>1018660</v>
      </c>
      <c r="Q176">
        <v>3003290.3</v>
      </c>
      <c r="R176">
        <v>45698.269933049298</v>
      </c>
      <c r="S176" s="238" t="s">
        <v>137</v>
      </c>
      <c r="T176" s="238" t="s">
        <v>1167</v>
      </c>
      <c r="V176" t="s">
        <v>1167</v>
      </c>
      <c r="W176" s="24">
        <v>44054</v>
      </c>
      <c r="X176" s="238" t="s">
        <v>302</v>
      </c>
      <c r="Y176" s="238" t="s">
        <v>39</v>
      </c>
      <c r="Z176" s="238" t="s">
        <v>1340</v>
      </c>
      <c r="AA176" t="s">
        <v>1167</v>
      </c>
      <c r="AB176" s="238" t="s">
        <v>3246</v>
      </c>
      <c r="AC176" t="s">
        <v>3079</v>
      </c>
      <c r="AD176" s="24"/>
      <c r="AE176" s="238" t="s">
        <v>1503</v>
      </c>
      <c r="AF176">
        <v>79124284288</v>
      </c>
      <c r="AG176" s="238" t="s">
        <v>1504</v>
      </c>
      <c r="AH176" s="238" t="s">
        <v>1171</v>
      </c>
      <c r="AI176" s="238" t="s">
        <v>3103</v>
      </c>
      <c r="AJ176" s="238" t="s">
        <v>126</v>
      </c>
      <c r="AK176" s="238" t="s">
        <v>162</v>
      </c>
      <c r="AL176" t="s">
        <v>8715</v>
      </c>
      <c r="AM176" t="s">
        <v>1167</v>
      </c>
    </row>
    <row r="177" spans="1:39" hidden="1" x14ac:dyDescent="0.25">
      <c r="A177">
        <v>173</v>
      </c>
      <c r="B177">
        <v>12</v>
      </c>
      <c r="C177" s="24">
        <v>44056</v>
      </c>
      <c r="D177" s="238" t="s">
        <v>20</v>
      </c>
      <c r="E177" s="238" t="s">
        <v>5</v>
      </c>
      <c r="F177">
        <v>3</v>
      </c>
      <c r="G177">
        <v>13</v>
      </c>
      <c r="H177">
        <v>230</v>
      </c>
      <c r="I177" s="238" t="s">
        <v>42</v>
      </c>
      <c r="J177">
        <v>41.48</v>
      </c>
      <c r="K177" s="238" t="s">
        <v>36</v>
      </c>
      <c r="L177">
        <v>1905861.23</v>
      </c>
      <c r="M177">
        <v>0</v>
      </c>
      <c r="N177">
        <v>1905861.23</v>
      </c>
      <c r="O177">
        <v>45946.509884281586</v>
      </c>
      <c r="P177">
        <v>20740</v>
      </c>
      <c r="Q177">
        <v>1885121.23</v>
      </c>
      <c r="R177">
        <v>45446.509884281586</v>
      </c>
      <c r="S177" s="238" t="s">
        <v>124</v>
      </c>
      <c r="T177" s="238" t="s">
        <v>3566</v>
      </c>
      <c r="U177">
        <v>30000</v>
      </c>
      <c r="V177" t="s">
        <v>1167</v>
      </c>
      <c r="W177" s="24">
        <v>44054</v>
      </c>
      <c r="X177" s="238" t="s">
        <v>304</v>
      </c>
      <c r="Y177" s="238" t="s">
        <v>39</v>
      </c>
      <c r="Z177" s="238" t="s">
        <v>1340</v>
      </c>
      <c r="AA177" t="s">
        <v>1167</v>
      </c>
      <c r="AB177" s="238" t="s">
        <v>3246</v>
      </c>
      <c r="AC177" t="s">
        <v>4246</v>
      </c>
      <c r="AD177" s="24"/>
      <c r="AE177" s="238" t="s">
        <v>1505</v>
      </c>
      <c r="AF177">
        <v>79048009827</v>
      </c>
      <c r="AG177" s="238" t="s">
        <v>1506</v>
      </c>
      <c r="AH177" s="238" t="s">
        <v>1171</v>
      </c>
      <c r="AI177" s="238" t="s">
        <v>135</v>
      </c>
      <c r="AJ177" s="238" t="s">
        <v>120</v>
      </c>
      <c r="AK177" s="238" t="s">
        <v>1167</v>
      </c>
      <c r="AL177" t="s">
        <v>8715</v>
      </c>
      <c r="AM177" t="s">
        <v>1167</v>
      </c>
    </row>
    <row r="178" spans="1:39" hidden="1" x14ac:dyDescent="0.25">
      <c r="A178">
        <v>174</v>
      </c>
      <c r="B178">
        <v>13</v>
      </c>
      <c r="C178" s="24">
        <v>44057</v>
      </c>
      <c r="D178" s="238" t="s">
        <v>20</v>
      </c>
      <c r="E178" s="238" t="s">
        <v>6</v>
      </c>
      <c r="F178">
        <v>8</v>
      </c>
      <c r="G178">
        <v>9</v>
      </c>
      <c r="H178">
        <v>78</v>
      </c>
      <c r="I178" s="238" t="s">
        <v>42</v>
      </c>
      <c r="J178">
        <v>47.97</v>
      </c>
      <c r="K178" s="238" t="s">
        <v>37</v>
      </c>
      <c r="L178">
        <v>2399282.39</v>
      </c>
      <c r="M178">
        <v>15000</v>
      </c>
      <c r="N178">
        <v>2414282.39</v>
      </c>
      <c r="O178">
        <v>50329.005420054207</v>
      </c>
      <c r="P178">
        <v>225459</v>
      </c>
      <c r="Q178">
        <v>2188823.39</v>
      </c>
      <c r="R178">
        <v>45629.005420054207</v>
      </c>
      <c r="S178" s="238" t="s">
        <v>137</v>
      </c>
      <c r="T178" s="238" t="s">
        <v>1167</v>
      </c>
      <c r="V178" t="s">
        <v>1167</v>
      </c>
      <c r="W178" s="24">
        <v>44055</v>
      </c>
      <c r="X178" s="238" t="s">
        <v>305</v>
      </c>
      <c r="Y178" s="238" t="s">
        <v>39</v>
      </c>
      <c r="Z178" s="238" t="s">
        <v>1168</v>
      </c>
      <c r="AA178" t="s">
        <v>1167</v>
      </c>
      <c r="AB178" s="238" t="s">
        <v>3246</v>
      </c>
      <c r="AC178" t="s">
        <v>3100</v>
      </c>
      <c r="AD178" s="24"/>
      <c r="AE178" s="238" t="s">
        <v>1507</v>
      </c>
      <c r="AF178">
        <v>79171149411</v>
      </c>
      <c r="AG178" s="238" t="s">
        <v>1508</v>
      </c>
      <c r="AH178" s="238" t="s">
        <v>1212</v>
      </c>
      <c r="AI178" s="238" t="s">
        <v>135</v>
      </c>
      <c r="AJ178" s="238" t="s">
        <v>120</v>
      </c>
      <c r="AK178" s="238" t="s">
        <v>162</v>
      </c>
      <c r="AL178" t="s">
        <v>8715</v>
      </c>
      <c r="AM178" t="s">
        <v>1167</v>
      </c>
    </row>
    <row r="179" spans="1:39" hidden="1" x14ac:dyDescent="0.25">
      <c r="A179">
        <v>175</v>
      </c>
      <c r="B179">
        <v>14</v>
      </c>
      <c r="C179" s="24">
        <v>44062</v>
      </c>
      <c r="D179" s="238" t="s">
        <v>20</v>
      </c>
      <c r="E179" s="238" t="s">
        <v>5</v>
      </c>
      <c r="F179">
        <v>6</v>
      </c>
      <c r="G179">
        <v>8</v>
      </c>
      <c r="H179">
        <v>198</v>
      </c>
      <c r="I179" s="238" t="s">
        <v>43</v>
      </c>
      <c r="J179">
        <v>64.150000000000006</v>
      </c>
      <c r="K179" s="238" t="s">
        <v>36</v>
      </c>
      <c r="L179">
        <v>2784969.61</v>
      </c>
      <c r="M179">
        <v>0</v>
      </c>
      <c r="N179">
        <v>2784969.61</v>
      </c>
      <c r="O179">
        <v>43413.399999999994</v>
      </c>
      <c r="P179">
        <v>32075</v>
      </c>
      <c r="Q179">
        <v>2752894.61</v>
      </c>
      <c r="R179">
        <v>42913.399999999994</v>
      </c>
      <c r="S179" s="238" t="s">
        <v>137</v>
      </c>
      <c r="T179" s="238" t="s">
        <v>1167</v>
      </c>
      <c r="V179" t="s">
        <v>1167</v>
      </c>
      <c r="W179" s="24">
        <v>44054</v>
      </c>
      <c r="X179" s="238" t="s">
        <v>306</v>
      </c>
      <c r="Y179" s="238" t="s">
        <v>39</v>
      </c>
      <c r="Z179" s="238" t="s">
        <v>1340</v>
      </c>
      <c r="AA179" t="s">
        <v>1167</v>
      </c>
      <c r="AB179" s="238" t="s">
        <v>3246</v>
      </c>
      <c r="AC179" t="s">
        <v>3079</v>
      </c>
      <c r="AD179" s="24"/>
      <c r="AE179" s="238" t="s">
        <v>1509</v>
      </c>
      <c r="AF179">
        <v>79370682552</v>
      </c>
      <c r="AG179" s="238" t="s">
        <v>1510</v>
      </c>
      <c r="AH179" s="238" t="s">
        <v>1212</v>
      </c>
      <c r="AI179" s="238" t="s">
        <v>135</v>
      </c>
      <c r="AJ179" s="238" t="s">
        <v>120</v>
      </c>
      <c r="AK179" s="238" t="s">
        <v>162</v>
      </c>
      <c r="AL179" t="s">
        <v>8715</v>
      </c>
      <c r="AM179" t="s">
        <v>1167</v>
      </c>
    </row>
    <row r="180" spans="1:39" hidden="1" x14ac:dyDescent="0.25">
      <c r="A180">
        <v>176</v>
      </c>
      <c r="B180">
        <v>15</v>
      </c>
      <c r="C180" s="24">
        <v>44063</v>
      </c>
      <c r="D180" s="238" t="s">
        <v>20</v>
      </c>
      <c r="E180" s="238" t="s">
        <v>6</v>
      </c>
      <c r="F180">
        <v>9</v>
      </c>
      <c r="G180">
        <v>5</v>
      </c>
      <c r="H180">
        <v>39</v>
      </c>
      <c r="I180" s="238" t="s">
        <v>43</v>
      </c>
      <c r="J180">
        <v>66.14</v>
      </c>
      <c r="K180" s="238" t="s">
        <v>38</v>
      </c>
      <c r="L180">
        <v>3900300.93</v>
      </c>
      <c r="M180">
        <v>0</v>
      </c>
      <c r="N180">
        <v>3900300.93</v>
      </c>
      <c r="O180">
        <v>58970.379951617782</v>
      </c>
      <c r="P180">
        <v>1025170</v>
      </c>
      <c r="Q180">
        <v>2875130.93</v>
      </c>
      <c r="R180">
        <v>43470.379951617782</v>
      </c>
      <c r="S180" s="238" t="s">
        <v>137</v>
      </c>
      <c r="T180" s="238" t="s">
        <v>1167</v>
      </c>
      <c r="V180" t="s">
        <v>1167</v>
      </c>
      <c r="W180" s="24">
        <v>44044</v>
      </c>
      <c r="X180" s="238" t="s">
        <v>307</v>
      </c>
      <c r="Y180" s="238" t="s">
        <v>39</v>
      </c>
      <c r="Z180" s="238" t="s">
        <v>1340</v>
      </c>
      <c r="AA180" t="s">
        <v>1167</v>
      </c>
      <c r="AB180" s="238" t="s">
        <v>3246</v>
      </c>
      <c r="AC180" t="s">
        <v>3079</v>
      </c>
      <c r="AD180" s="24"/>
      <c r="AE180" s="238" t="s">
        <v>1511</v>
      </c>
      <c r="AF180">
        <v>79129593645</v>
      </c>
      <c r="AG180" s="238" t="s">
        <v>1512</v>
      </c>
      <c r="AH180" s="238" t="s">
        <v>1212</v>
      </c>
      <c r="AI180" s="238" t="s">
        <v>3102</v>
      </c>
      <c r="AJ180" s="238" t="s">
        <v>120</v>
      </c>
      <c r="AK180" s="238" t="s">
        <v>141</v>
      </c>
      <c r="AL180" t="s">
        <v>8715</v>
      </c>
      <c r="AM180" t="s">
        <v>1167</v>
      </c>
    </row>
    <row r="181" spans="1:39" hidden="1" x14ac:dyDescent="0.25">
      <c r="A181">
        <v>177</v>
      </c>
      <c r="B181">
        <v>16</v>
      </c>
      <c r="C181" s="24">
        <v>44063</v>
      </c>
      <c r="D181" s="238" t="s">
        <v>20</v>
      </c>
      <c r="E181" s="238" t="s">
        <v>16</v>
      </c>
      <c r="F181">
        <v>4</v>
      </c>
      <c r="G181">
        <v>4</v>
      </c>
      <c r="H181">
        <v>331</v>
      </c>
      <c r="I181" s="238" t="s">
        <v>43</v>
      </c>
      <c r="J181">
        <v>60.38</v>
      </c>
      <c r="K181" s="238" t="s">
        <v>37</v>
      </c>
      <c r="L181">
        <v>3043047.54</v>
      </c>
      <c r="M181">
        <v>0</v>
      </c>
      <c r="N181">
        <v>3043047.54</v>
      </c>
      <c r="O181">
        <v>50398.269956939381</v>
      </c>
      <c r="P181">
        <v>283786</v>
      </c>
      <c r="Q181">
        <v>2759261.54</v>
      </c>
      <c r="R181">
        <v>45698.269956939381</v>
      </c>
      <c r="S181" s="238" t="s">
        <v>137</v>
      </c>
      <c r="T181" s="238" t="s">
        <v>1167</v>
      </c>
      <c r="V181" t="s">
        <v>1167</v>
      </c>
      <c r="W181" s="24">
        <v>44057</v>
      </c>
      <c r="X181" s="238" t="s">
        <v>308</v>
      </c>
      <c r="Y181" s="238" t="s">
        <v>39</v>
      </c>
      <c r="Z181" s="238" t="s">
        <v>1340</v>
      </c>
      <c r="AA181" t="s">
        <v>1167</v>
      </c>
      <c r="AB181" s="238" t="s">
        <v>3246</v>
      </c>
      <c r="AC181" t="s">
        <v>3079</v>
      </c>
      <c r="AD181" s="24"/>
      <c r="AE181" s="238" t="s">
        <v>1513</v>
      </c>
      <c r="AF181">
        <v>79022361785</v>
      </c>
      <c r="AG181" s="238" t="s">
        <v>1514</v>
      </c>
      <c r="AH181" s="238" t="s">
        <v>1212</v>
      </c>
      <c r="AI181" s="238" t="s">
        <v>135</v>
      </c>
      <c r="AJ181" s="238" t="s">
        <v>120</v>
      </c>
      <c r="AK181" s="238" t="s">
        <v>141</v>
      </c>
      <c r="AL181" t="s">
        <v>8715</v>
      </c>
      <c r="AM181" t="s">
        <v>1167</v>
      </c>
    </row>
    <row r="182" spans="1:39" hidden="1" x14ac:dyDescent="0.25">
      <c r="A182">
        <v>178</v>
      </c>
      <c r="B182">
        <v>17</v>
      </c>
      <c r="C182" s="24">
        <v>44064</v>
      </c>
      <c r="D182" s="238" t="s">
        <v>20</v>
      </c>
      <c r="E182" s="238" t="s">
        <v>16</v>
      </c>
      <c r="F182">
        <v>5</v>
      </c>
      <c r="G182">
        <v>6</v>
      </c>
      <c r="H182">
        <v>348</v>
      </c>
      <c r="I182" s="238" t="s">
        <v>43</v>
      </c>
      <c r="J182">
        <v>60.9</v>
      </c>
      <c r="K182" s="238" t="s">
        <v>37</v>
      </c>
      <c r="L182">
        <v>3103174.12</v>
      </c>
      <c r="M182">
        <v>0</v>
      </c>
      <c r="N182">
        <v>3103174.12</v>
      </c>
      <c r="O182">
        <v>50955.24006568145</v>
      </c>
      <c r="P182">
        <v>286230</v>
      </c>
      <c r="Q182">
        <v>2816944.12</v>
      </c>
      <c r="R182">
        <v>46255.24006568145</v>
      </c>
      <c r="S182" s="238" t="s">
        <v>137</v>
      </c>
      <c r="T182" s="238" t="s">
        <v>1167</v>
      </c>
      <c r="V182" t="s">
        <v>1167</v>
      </c>
      <c r="W182" s="24">
        <v>44057</v>
      </c>
      <c r="X182" s="238" t="s">
        <v>311</v>
      </c>
      <c r="Y182" s="238" t="s">
        <v>39</v>
      </c>
      <c r="Z182" s="238" t="s">
        <v>1340</v>
      </c>
      <c r="AA182" t="s">
        <v>1167</v>
      </c>
      <c r="AB182" s="238" t="s">
        <v>3246</v>
      </c>
      <c r="AC182" t="s">
        <v>3079</v>
      </c>
      <c r="AD182" s="24"/>
      <c r="AE182" s="238" t="s">
        <v>1515</v>
      </c>
      <c r="AF182">
        <v>79228132199</v>
      </c>
      <c r="AG182" s="238" t="s">
        <v>1516</v>
      </c>
      <c r="AH182" s="238" t="s">
        <v>1171</v>
      </c>
      <c r="AI182" s="238" t="s">
        <v>135</v>
      </c>
      <c r="AJ182" s="238" t="s">
        <v>126</v>
      </c>
      <c r="AK182" s="238" t="s">
        <v>141</v>
      </c>
      <c r="AL182" t="s">
        <v>8715</v>
      </c>
      <c r="AM182" t="s">
        <v>1167</v>
      </c>
    </row>
    <row r="183" spans="1:39" hidden="1" x14ac:dyDescent="0.25">
      <c r="A183">
        <v>179</v>
      </c>
      <c r="B183">
        <v>18</v>
      </c>
      <c r="C183" s="24">
        <v>44064</v>
      </c>
      <c r="D183" s="238" t="s">
        <v>20</v>
      </c>
      <c r="E183" s="238" t="s">
        <v>6</v>
      </c>
      <c r="F183">
        <v>3</v>
      </c>
      <c r="G183">
        <v>14</v>
      </c>
      <c r="H183">
        <v>123</v>
      </c>
      <c r="I183" s="238" t="s">
        <v>43</v>
      </c>
      <c r="J183">
        <v>67.16</v>
      </c>
      <c r="K183" s="238" t="s">
        <v>37</v>
      </c>
      <c r="L183">
        <v>3182528.83</v>
      </c>
      <c r="M183">
        <v>15000</v>
      </c>
      <c r="N183">
        <v>3197528.83</v>
      </c>
      <c r="O183">
        <v>47610.613907087558</v>
      </c>
      <c r="P183">
        <v>315652</v>
      </c>
      <c r="Q183">
        <v>2881876.83</v>
      </c>
      <c r="R183">
        <v>42910.613907087558</v>
      </c>
      <c r="S183" s="238" t="s">
        <v>137</v>
      </c>
      <c r="T183" s="238" t="s">
        <v>3515</v>
      </c>
      <c r="U183">
        <v>60000</v>
      </c>
      <c r="V183" t="s">
        <v>1167</v>
      </c>
      <c r="W183" s="24">
        <v>44061</v>
      </c>
      <c r="X183" s="238" t="s">
        <v>309</v>
      </c>
      <c r="Y183" s="238" t="s">
        <v>39</v>
      </c>
      <c r="Z183" s="238" t="s">
        <v>1340</v>
      </c>
      <c r="AA183" t="s">
        <v>1167</v>
      </c>
      <c r="AB183" s="238" t="s">
        <v>3246</v>
      </c>
      <c r="AC183" t="s">
        <v>3079</v>
      </c>
      <c r="AD183" s="24"/>
      <c r="AE183" s="238" t="s">
        <v>1517</v>
      </c>
      <c r="AF183">
        <v>79170374974</v>
      </c>
      <c r="AG183" s="238" t="s">
        <v>1518</v>
      </c>
      <c r="AH183" s="238" t="s">
        <v>1212</v>
      </c>
      <c r="AI183" s="238" t="s">
        <v>3097</v>
      </c>
      <c r="AJ183" s="238" t="s">
        <v>120</v>
      </c>
      <c r="AK183" s="238" t="s">
        <v>141</v>
      </c>
      <c r="AL183" t="s">
        <v>8715</v>
      </c>
      <c r="AM183" t="s">
        <v>1167</v>
      </c>
    </row>
    <row r="184" spans="1:39" hidden="1" x14ac:dyDescent="0.25">
      <c r="A184">
        <v>180</v>
      </c>
      <c r="B184">
        <v>19</v>
      </c>
      <c r="C184" s="24">
        <v>44064</v>
      </c>
      <c r="D184" s="238" t="s">
        <v>20</v>
      </c>
      <c r="E184" s="238" t="s">
        <v>6</v>
      </c>
      <c r="F184">
        <v>9</v>
      </c>
      <c r="G184">
        <v>11</v>
      </c>
      <c r="H184">
        <v>99</v>
      </c>
      <c r="I184" s="238" t="s">
        <v>43</v>
      </c>
      <c r="J184">
        <v>66.14</v>
      </c>
      <c r="K184" s="238" t="s">
        <v>38</v>
      </c>
      <c r="L184">
        <v>3986554.77</v>
      </c>
      <c r="M184">
        <v>0</v>
      </c>
      <c r="N184">
        <v>3986554.77</v>
      </c>
      <c r="O184">
        <v>60274.490021167221</v>
      </c>
      <c r="P184">
        <v>1025170</v>
      </c>
      <c r="Q184">
        <v>2961384.77</v>
      </c>
      <c r="R184">
        <v>44774.490021167221</v>
      </c>
      <c r="S184" s="238" t="s">
        <v>124</v>
      </c>
      <c r="T184" s="238" t="s">
        <v>1167</v>
      </c>
      <c r="V184" t="s">
        <v>1167</v>
      </c>
      <c r="W184" s="24">
        <v>44063</v>
      </c>
      <c r="X184" s="238" t="s">
        <v>310</v>
      </c>
      <c r="Y184" s="238" t="s">
        <v>39</v>
      </c>
      <c r="Z184" s="238" t="s">
        <v>1340</v>
      </c>
      <c r="AA184" t="s">
        <v>1167</v>
      </c>
      <c r="AB184" s="238" t="s">
        <v>3246</v>
      </c>
      <c r="AC184" t="s">
        <v>4246</v>
      </c>
      <c r="AD184" s="24"/>
      <c r="AE184" s="238" t="s">
        <v>1519</v>
      </c>
      <c r="AF184">
        <v>79112505666</v>
      </c>
      <c r="AG184" s="238" t="s">
        <v>1520</v>
      </c>
      <c r="AH184" s="238" t="s">
        <v>1212</v>
      </c>
      <c r="AI184" s="238" t="s">
        <v>135</v>
      </c>
      <c r="AJ184" s="238" t="s">
        <v>120</v>
      </c>
      <c r="AK184" s="238" t="s">
        <v>1167</v>
      </c>
      <c r="AL184" t="s">
        <v>8715</v>
      </c>
      <c r="AM184" t="s">
        <v>1167</v>
      </c>
    </row>
    <row r="185" spans="1:39" hidden="1" x14ac:dyDescent="0.25">
      <c r="A185">
        <v>181</v>
      </c>
      <c r="B185">
        <v>20</v>
      </c>
      <c r="C185" s="24">
        <v>44065</v>
      </c>
      <c r="D185" s="238" t="s">
        <v>20</v>
      </c>
      <c r="E185" s="238" t="s">
        <v>6</v>
      </c>
      <c r="F185">
        <v>8</v>
      </c>
      <c r="G185">
        <v>10</v>
      </c>
      <c r="H185">
        <v>88</v>
      </c>
      <c r="I185" s="238" t="s">
        <v>42</v>
      </c>
      <c r="J185">
        <v>47.97</v>
      </c>
      <c r="K185" s="238" t="s">
        <v>37</v>
      </c>
      <c r="L185">
        <v>2414282.13</v>
      </c>
      <c r="M185">
        <v>0</v>
      </c>
      <c r="N185">
        <v>2414282.13</v>
      </c>
      <c r="O185">
        <v>50329</v>
      </c>
      <c r="P185">
        <v>225459</v>
      </c>
      <c r="Q185">
        <v>2188823.13</v>
      </c>
      <c r="R185">
        <v>45629</v>
      </c>
      <c r="S185" s="238" t="s">
        <v>137</v>
      </c>
      <c r="T185" s="238" t="s">
        <v>1167</v>
      </c>
      <c r="V185" t="s">
        <v>1167</v>
      </c>
      <c r="W185" s="24">
        <v>44067</v>
      </c>
      <c r="X185" s="238" t="s">
        <v>312</v>
      </c>
      <c r="Y185" s="238" t="s">
        <v>39</v>
      </c>
      <c r="Z185" s="238" t="s">
        <v>1340</v>
      </c>
      <c r="AA185" t="s">
        <v>1167</v>
      </c>
      <c r="AB185" s="238" t="s">
        <v>3246</v>
      </c>
      <c r="AC185" t="s">
        <v>3079</v>
      </c>
      <c r="AD185" s="24"/>
      <c r="AE185" s="238" t="s">
        <v>1521</v>
      </c>
      <c r="AF185">
        <v>79292554354</v>
      </c>
      <c r="AG185" s="238" t="s">
        <v>1522</v>
      </c>
      <c r="AH185" s="238" t="s">
        <v>1212</v>
      </c>
      <c r="AI185" s="238" t="s">
        <v>135</v>
      </c>
      <c r="AJ185" s="238" t="s">
        <v>130</v>
      </c>
      <c r="AK185" s="238" t="s">
        <v>141</v>
      </c>
      <c r="AL185" t="s">
        <v>8715</v>
      </c>
      <c r="AM185" t="s">
        <v>1167</v>
      </c>
    </row>
    <row r="186" spans="1:39" hidden="1" x14ac:dyDescent="0.25">
      <c r="A186">
        <v>182</v>
      </c>
      <c r="B186">
        <v>21</v>
      </c>
      <c r="C186" s="24">
        <v>44069</v>
      </c>
      <c r="D186" s="238" t="s">
        <v>20</v>
      </c>
      <c r="E186" s="238" t="s">
        <v>5</v>
      </c>
      <c r="F186">
        <v>3</v>
      </c>
      <c r="G186">
        <v>17</v>
      </c>
      <c r="H186">
        <v>258</v>
      </c>
      <c r="I186" s="238" t="s">
        <v>42</v>
      </c>
      <c r="J186">
        <v>41.48</v>
      </c>
      <c r="K186" s="238" t="s">
        <v>37</v>
      </c>
      <c r="L186">
        <v>2110077.23</v>
      </c>
      <c r="M186">
        <v>0</v>
      </c>
      <c r="N186">
        <v>2110077.23</v>
      </c>
      <c r="O186">
        <v>50869.75</v>
      </c>
      <c r="P186">
        <v>194956</v>
      </c>
      <c r="Q186">
        <v>1915121.23</v>
      </c>
      <c r="R186">
        <v>46169.75</v>
      </c>
      <c r="S186" s="238" t="s">
        <v>137</v>
      </c>
      <c r="T186" s="238" t="s">
        <v>1167</v>
      </c>
      <c r="V186" t="s">
        <v>1167</v>
      </c>
      <c r="W186" s="24">
        <v>44062</v>
      </c>
      <c r="X186" s="238" t="s">
        <v>314</v>
      </c>
      <c r="Y186" s="238" t="s">
        <v>39</v>
      </c>
      <c r="Z186" s="238" t="s">
        <v>1168</v>
      </c>
      <c r="AA186" t="s">
        <v>1167</v>
      </c>
      <c r="AB186" s="238" t="s">
        <v>3246</v>
      </c>
      <c r="AC186" t="s">
        <v>3076</v>
      </c>
      <c r="AD186" s="24"/>
      <c r="AE186" s="238" t="s">
        <v>1523</v>
      </c>
      <c r="AF186">
        <v>79178139690</v>
      </c>
      <c r="AG186" s="238" t="s">
        <v>1524</v>
      </c>
      <c r="AH186" s="238" t="s">
        <v>1212</v>
      </c>
      <c r="AI186" s="238" t="s">
        <v>3074</v>
      </c>
      <c r="AJ186" s="238" t="s">
        <v>126</v>
      </c>
      <c r="AK186" s="238" t="s">
        <v>162</v>
      </c>
      <c r="AL186" t="s">
        <v>8715</v>
      </c>
      <c r="AM186" t="s">
        <v>1167</v>
      </c>
    </row>
    <row r="187" spans="1:39" hidden="1" x14ac:dyDescent="0.25">
      <c r="A187">
        <v>183</v>
      </c>
      <c r="B187">
        <v>22</v>
      </c>
      <c r="C187" s="24">
        <v>44069</v>
      </c>
      <c r="D187" s="238" t="s">
        <v>20</v>
      </c>
      <c r="E187" s="238" t="s">
        <v>6</v>
      </c>
      <c r="F187">
        <v>8</v>
      </c>
      <c r="G187">
        <v>12</v>
      </c>
      <c r="H187">
        <v>108</v>
      </c>
      <c r="I187" s="238" t="s">
        <v>42</v>
      </c>
      <c r="J187">
        <v>47.97</v>
      </c>
      <c r="K187" s="238" t="s">
        <v>38</v>
      </c>
      <c r="L187">
        <v>2998022.82</v>
      </c>
      <c r="M187">
        <v>0</v>
      </c>
      <c r="N187">
        <v>2998022.82</v>
      </c>
      <c r="O187">
        <v>62497.869918699187</v>
      </c>
      <c r="P187">
        <v>743535</v>
      </c>
      <c r="Q187">
        <v>2254487.8199999998</v>
      </c>
      <c r="R187">
        <v>46997.869918699187</v>
      </c>
      <c r="S187" s="238" t="s">
        <v>137</v>
      </c>
      <c r="T187" s="238" t="s">
        <v>1167</v>
      </c>
      <c r="V187" t="s">
        <v>1167</v>
      </c>
      <c r="W187" s="24">
        <v>44065</v>
      </c>
      <c r="X187" s="238" t="s">
        <v>313</v>
      </c>
      <c r="Y187" s="238" t="s">
        <v>39</v>
      </c>
      <c r="Z187" s="238" t="s">
        <v>1340</v>
      </c>
      <c r="AA187" t="s">
        <v>1167</v>
      </c>
      <c r="AB187" s="238" t="s">
        <v>3246</v>
      </c>
      <c r="AC187" t="s">
        <v>3079</v>
      </c>
      <c r="AD187" s="24"/>
      <c r="AE187" s="238" t="s">
        <v>1525</v>
      </c>
      <c r="AF187">
        <v>79371001926</v>
      </c>
      <c r="AG187" s="238" t="s">
        <v>1526</v>
      </c>
      <c r="AH187" s="238" t="s">
        <v>1197</v>
      </c>
      <c r="AI187" s="238" t="s">
        <v>3088</v>
      </c>
      <c r="AJ187" s="238" t="s">
        <v>126</v>
      </c>
      <c r="AK187" s="238" t="s">
        <v>141</v>
      </c>
      <c r="AL187" t="s">
        <v>8715</v>
      </c>
      <c r="AM187" t="s">
        <v>1167</v>
      </c>
    </row>
    <row r="188" spans="1:39" hidden="1" x14ac:dyDescent="0.25">
      <c r="A188">
        <v>184</v>
      </c>
      <c r="B188">
        <v>23</v>
      </c>
      <c r="C188" s="24">
        <v>44069</v>
      </c>
      <c r="D188" s="238" t="s">
        <v>20</v>
      </c>
      <c r="E188" s="238" t="s">
        <v>6</v>
      </c>
      <c r="F188">
        <v>10</v>
      </c>
      <c r="G188">
        <v>13</v>
      </c>
      <c r="H188">
        <v>120</v>
      </c>
      <c r="I188" s="238" t="s">
        <v>43</v>
      </c>
      <c r="J188">
        <v>65.88</v>
      </c>
      <c r="K188" s="238" t="s">
        <v>37</v>
      </c>
      <c r="L188">
        <v>3259379.32</v>
      </c>
      <c r="M188">
        <v>0</v>
      </c>
      <c r="N188">
        <v>3259379.32</v>
      </c>
      <c r="O188">
        <v>49474.48876745598</v>
      </c>
      <c r="P188">
        <v>309636</v>
      </c>
      <c r="Q188">
        <v>2949743.32</v>
      </c>
      <c r="R188">
        <v>44774.48876745598</v>
      </c>
      <c r="S188" s="238" t="s">
        <v>137</v>
      </c>
      <c r="T188" s="238" t="s">
        <v>1167</v>
      </c>
      <c r="V188" t="s">
        <v>1167</v>
      </c>
      <c r="W188" s="24">
        <v>44068</v>
      </c>
      <c r="X188" s="238" t="s">
        <v>315</v>
      </c>
      <c r="Y188" s="238" t="s">
        <v>39</v>
      </c>
      <c r="Z188" s="238" t="s">
        <v>1340</v>
      </c>
      <c r="AA188" t="s">
        <v>1167</v>
      </c>
      <c r="AB188" s="238" t="s">
        <v>3246</v>
      </c>
      <c r="AC188" t="s">
        <v>3079</v>
      </c>
      <c r="AD188" s="24"/>
      <c r="AE188" s="238" t="s">
        <v>1527</v>
      </c>
      <c r="AF188">
        <v>79649843252</v>
      </c>
      <c r="AG188" s="238" t="s">
        <v>1528</v>
      </c>
      <c r="AH188" s="238" t="s">
        <v>135</v>
      </c>
      <c r="AI188" s="238" t="s">
        <v>3099</v>
      </c>
      <c r="AJ188" s="238" t="s">
        <v>126</v>
      </c>
      <c r="AK188" s="238" t="s">
        <v>162</v>
      </c>
      <c r="AL188" t="s">
        <v>8715</v>
      </c>
      <c r="AM188" t="s">
        <v>1167</v>
      </c>
    </row>
    <row r="189" spans="1:39" hidden="1" x14ac:dyDescent="0.25">
      <c r="A189">
        <v>185</v>
      </c>
      <c r="B189">
        <v>24</v>
      </c>
      <c r="C189" s="24">
        <v>44070</v>
      </c>
      <c r="D189" s="238" t="s">
        <v>20</v>
      </c>
      <c r="E189" s="238" t="s">
        <v>6</v>
      </c>
      <c r="F189">
        <v>5</v>
      </c>
      <c r="G189">
        <v>3</v>
      </c>
      <c r="H189">
        <v>15</v>
      </c>
      <c r="I189" s="238" t="s">
        <v>43</v>
      </c>
      <c r="J189">
        <v>60.2</v>
      </c>
      <c r="K189" s="238" t="s">
        <v>37</v>
      </c>
      <c r="L189">
        <v>2978364.23</v>
      </c>
      <c r="M189">
        <v>0</v>
      </c>
      <c r="N189">
        <v>2978364.23</v>
      </c>
      <c r="O189">
        <v>49474.488870431895</v>
      </c>
      <c r="P189">
        <v>282940</v>
      </c>
      <c r="Q189">
        <v>2695424.23</v>
      </c>
      <c r="R189">
        <v>44774.488870431895</v>
      </c>
      <c r="S189" s="238" t="s">
        <v>137</v>
      </c>
      <c r="T189" s="238" t="s">
        <v>1167</v>
      </c>
      <c r="V189" t="s">
        <v>1167</v>
      </c>
      <c r="W189" s="24">
        <v>44065</v>
      </c>
      <c r="X189" s="238" t="s">
        <v>316</v>
      </c>
      <c r="Y189" s="238" t="s">
        <v>39</v>
      </c>
      <c r="Z189" s="238" t="s">
        <v>1340</v>
      </c>
      <c r="AA189" t="s">
        <v>1167</v>
      </c>
      <c r="AB189" s="238" t="s">
        <v>3246</v>
      </c>
      <c r="AC189" t="s">
        <v>3079</v>
      </c>
      <c r="AD189" s="24"/>
      <c r="AE189" s="238" t="s">
        <v>1529</v>
      </c>
      <c r="AF189">
        <v>79272951905</v>
      </c>
      <c r="AG189" s="238" t="s">
        <v>1530</v>
      </c>
      <c r="AH189" s="238" t="s">
        <v>1212</v>
      </c>
      <c r="AI189" s="238" t="s">
        <v>3103</v>
      </c>
      <c r="AJ189" s="238" t="s">
        <v>126</v>
      </c>
      <c r="AK189" s="238" t="s">
        <v>162</v>
      </c>
      <c r="AL189" t="s">
        <v>8715</v>
      </c>
      <c r="AM189" t="s">
        <v>1167</v>
      </c>
    </row>
    <row r="190" spans="1:39" hidden="1" x14ac:dyDescent="0.25">
      <c r="A190">
        <v>186</v>
      </c>
      <c r="B190">
        <v>25</v>
      </c>
      <c r="C190" s="24">
        <v>44071</v>
      </c>
      <c r="D190" s="238" t="s">
        <v>20</v>
      </c>
      <c r="E190" s="238" t="s">
        <v>16</v>
      </c>
      <c r="F190">
        <v>6</v>
      </c>
      <c r="G190">
        <v>2</v>
      </c>
      <c r="H190">
        <v>317</v>
      </c>
      <c r="I190" s="238" t="s">
        <v>43</v>
      </c>
      <c r="J190">
        <v>65.72</v>
      </c>
      <c r="K190" s="238" t="s">
        <v>37</v>
      </c>
      <c r="L190">
        <v>3035163.19</v>
      </c>
      <c r="M190">
        <v>0</v>
      </c>
      <c r="N190">
        <v>3035163.19</v>
      </c>
      <c r="O190">
        <v>46183.25</v>
      </c>
      <c r="P190">
        <v>308884</v>
      </c>
      <c r="Q190">
        <v>2726279.19</v>
      </c>
      <c r="R190">
        <v>41483.25</v>
      </c>
      <c r="S190" s="238" t="s">
        <v>137</v>
      </c>
      <c r="T190" s="238" t="s">
        <v>1167</v>
      </c>
      <c r="V190" t="s">
        <v>1167</v>
      </c>
      <c r="W190" s="24">
        <v>44071</v>
      </c>
      <c r="X190" s="238" t="s">
        <v>319</v>
      </c>
      <c r="Y190" s="238" t="s">
        <v>39</v>
      </c>
      <c r="Z190" s="238" t="s">
        <v>1168</v>
      </c>
      <c r="AA190" t="s">
        <v>1167</v>
      </c>
      <c r="AB190" s="238" t="s">
        <v>3246</v>
      </c>
      <c r="AC190" t="s">
        <v>3104</v>
      </c>
      <c r="AD190" s="24"/>
      <c r="AE190" s="238" t="s">
        <v>1531</v>
      </c>
      <c r="AF190">
        <v>79266033667</v>
      </c>
      <c r="AG190" s="238" t="s">
        <v>1532</v>
      </c>
      <c r="AH190" s="238" t="s">
        <v>1212</v>
      </c>
      <c r="AI190" s="238" t="s">
        <v>135</v>
      </c>
      <c r="AJ190" s="238" t="s">
        <v>130</v>
      </c>
      <c r="AK190" s="238" t="s">
        <v>162</v>
      </c>
      <c r="AL190" t="s">
        <v>8715</v>
      </c>
      <c r="AM190" t="s">
        <v>1167</v>
      </c>
    </row>
    <row r="191" spans="1:39" hidden="1" x14ac:dyDescent="0.25">
      <c r="A191">
        <v>187</v>
      </c>
      <c r="B191">
        <v>26</v>
      </c>
      <c r="C191" s="24">
        <v>44071</v>
      </c>
      <c r="D191" s="238" t="s">
        <v>20</v>
      </c>
      <c r="E191" s="238" t="s">
        <v>6</v>
      </c>
      <c r="F191">
        <v>10</v>
      </c>
      <c r="G191">
        <v>6</v>
      </c>
      <c r="H191">
        <v>50</v>
      </c>
      <c r="I191" s="238" t="s">
        <v>43</v>
      </c>
      <c r="J191">
        <v>65.540000000000006</v>
      </c>
      <c r="K191" s="238" t="s">
        <v>36</v>
      </c>
      <c r="L191">
        <v>2937290.07</v>
      </c>
      <c r="M191">
        <v>0</v>
      </c>
      <c r="N191">
        <v>2937290.07</v>
      </c>
      <c r="O191">
        <v>44816.754195910886</v>
      </c>
      <c r="P191">
        <v>32770</v>
      </c>
      <c r="Q191">
        <v>2904520.07</v>
      </c>
      <c r="R191">
        <v>44316.754195910886</v>
      </c>
      <c r="S191" s="238" t="s">
        <v>137</v>
      </c>
      <c r="T191" s="238" t="s">
        <v>321</v>
      </c>
      <c r="U191">
        <v>30000</v>
      </c>
      <c r="V191" t="s">
        <v>1167</v>
      </c>
      <c r="W191" s="24">
        <v>44064</v>
      </c>
      <c r="X191" s="238" t="s">
        <v>320</v>
      </c>
      <c r="Y191" s="238" t="s">
        <v>39</v>
      </c>
      <c r="Z191" s="238" t="s">
        <v>1340</v>
      </c>
      <c r="AA191" t="s">
        <v>1167</v>
      </c>
      <c r="AB191" s="238" t="s">
        <v>3246</v>
      </c>
      <c r="AC191" t="s">
        <v>3077</v>
      </c>
      <c r="AD191" s="24"/>
      <c r="AE191" s="238" t="s">
        <v>1533</v>
      </c>
      <c r="AF191">
        <v>79277286629</v>
      </c>
      <c r="AG191" s="238" t="s">
        <v>1534</v>
      </c>
      <c r="AH191" s="238" t="s">
        <v>1197</v>
      </c>
      <c r="AI191" s="238" t="s">
        <v>135</v>
      </c>
      <c r="AJ191" s="238" t="s">
        <v>126</v>
      </c>
      <c r="AK191" s="238" t="s">
        <v>141</v>
      </c>
      <c r="AL191" t="s">
        <v>8715</v>
      </c>
      <c r="AM191" t="s">
        <v>1167</v>
      </c>
    </row>
    <row r="192" spans="1:39" hidden="1" x14ac:dyDescent="0.25">
      <c r="A192">
        <v>188</v>
      </c>
      <c r="B192">
        <v>27</v>
      </c>
      <c r="C192" s="24">
        <v>44071</v>
      </c>
      <c r="D192" s="238" t="s">
        <v>20</v>
      </c>
      <c r="E192" s="238" t="s">
        <v>6</v>
      </c>
      <c r="F192">
        <v>8</v>
      </c>
      <c r="G192">
        <v>5</v>
      </c>
      <c r="H192">
        <v>38</v>
      </c>
      <c r="I192" s="238" t="s">
        <v>42</v>
      </c>
      <c r="J192">
        <v>47.97</v>
      </c>
      <c r="K192" s="238" t="s">
        <v>36</v>
      </c>
      <c r="L192">
        <v>2258472.8199999998</v>
      </c>
      <c r="M192">
        <v>0</v>
      </c>
      <c r="N192">
        <v>2258472.8199999998</v>
      </c>
      <c r="O192">
        <v>47080.942672503646</v>
      </c>
      <c r="P192">
        <v>23985</v>
      </c>
      <c r="Q192">
        <v>2234487.8199999998</v>
      </c>
      <c r="R192">
        <v>46580.942672503646</v>
      </c>
      <c r="S192" s="238" t="s">
        <v>137</v>
      </c>
      <c r="T192" s="238" t="s">
        <v>324</v>
      </c>
      <c r="U192">
        <v>20000</v>
      </c>
      <c r="V192" t="s">
        <v>1167</v>
      </c>
      <c r="W192" s="24">
        <v>44064</v>
      </c>
      <c r="X192" s="238" t="s">
        <v>322</v>
      </c>
      <c r="Y192" s="238" t="s">
        <v>39</v>
      </c>
      <c r="Z192" s="238" t="s">
        <v>1340</v>
      </c>
      <c r="AA192" t="s">
        <v>1167</v>
      </c>
      <c r="AB192" s="238" t="s">
        <v>3246</v>
      </c>
      <c r="AC192" t="s">
        <v>3079</v>
      </c>
      <c r="AD192" s="24"/>
      <c r="AE192" s="238" t="s">
        <v>1535</v>
      </c>
      <c r="AF192">
        <v>79328422922</v>
      </c>
      <c r="AG192" s="238" t="s">
        <v>1536</v>
      </c>
      <c r="AH192" s="238" t="s">
        <v>1171</v>
      </c>
      <c r="AI192" s="238" t="s">
        <v>135</v>
      </c>
      <c r="AJ192" s="238" t="s">
        <v>126</v>
      </c>
      <c r="AK192" s="238" t="s">
        <v>141</v>
      </c>
      <c r="AL192" t="s">
        <v>8715</v>
      </c>
      <c r="AM192" t="s">
        <v>1167</v>
      </c>
    </row>
    <row r="193" spans="1:39" hidden="1" x14ac:dyDescent="0.25">
      <c r="A193">
        <v>189</v>
      </c>
      <c r="B193">
        <v>28</v>
      </c>
      <c r="C193" s="24">
        <v>44071</v>
      </c>
      <c r="D193" s="238" t="s">
        <v>20</v>
      </c>
      <c r="E193" s="238" t="s">
        <v>6</v>
      </c>
      <c r="F193">
        <v>8</v>
      </c>
      <c r="G193">
        <v>6</v>
      </c>
      <c r="H193">
        <v>48</v>
      </c>
      <c r="I193" s="238" t="s">
        <v>42</v>
      </c>
      <c r="J193">
        <v>47.97</v>
      </c>
      <c r="K193" s="238" t="s">
        <v>38</v>
      </c>
      <c r="L193">
        <v>2968022.82</v>
      </c>
      <c r="M193">
        <v>0</v>
      </c>
      <c r="N193">
        <v>2968022.82</v>
      </c>
      <c r="O193">
        <v>61872.479049405876</v>
      </c>
      <c r="P193">
        <v>743535</v>
      </c>
      <c r="Q193">
        <v>2224487.8199999998</v>
      </c>
      <c r="R193">
        <v>46372.479049405876</v>
      </c>
      <c r="S193" s="238" t="s">
        <v>124</v>
      </c>
      <c r="T193" s="238" t="s">
        <v>3566</v>
      </c>
      <c r="U193">
        <v>30000</v>
      </c>
      <c r="V193" t="s">
        <v>1167</v>
      </c>
      <c r="W193" s="24">
        <v>44069</v>
      </c>
      <c r="X193" s="238" t="s">
        <v>317</v>
      </c>
      <c r="Y193" s="238" t="s">
        <v>39</v>
      </c>
      <c r="Z193" s="238" t="s">
        <v>1168</v>
      </c>
      <c r="AA193" t="s">
        <v>1167</v>
      </c>
      <c r="AB193" s="238" t="s">
        <v>3246</v>
      </c>
      <c r="AC193" t="s">
        <v>4246</v>
      </c>
      <c r="AD193" s="24"/>
      <c r="AE193" s="238" t="s">
        <v>1537</v>
      </c>
      <c r="AF193">
        <v>79033004545</v>
      </c>
      <c r="AG193" s="238" t="s">
        <v>1538</v>
      </c>
      <c r="AH193" s="238" t="s">
        <v>1212</v>
      </c>
      <c r="AI193" s="238" t="s">
        <v>3089</v>
      </c>
      <c r="AJ193" s="238" t="s">
        <v>126</v>
      </c>
      <c r="AK193" s="238" t="s">
        <v>1167</v>
      </c>
      <c r="AL193" t="s">
        <v>8715</v>
      </c>
      <c r="AM193" t="s">
        <v>1167</v>
      </c>
    </row>
    <row r="194" spans="1:39" hidden="1" x14ac:dyDescent="0.25">
      <c r="A194">
        <v>190</v>
      </c>
      <c r="B194">
        <v>29</v>
      </c>
      <c r="C194" s="24">
        <v>44071</v>
      </c>
      <c r="D194" s="238" t="s">
        <v>20</v>
      </c>
      <c r="E194" s="238" t="s">
        <v>6</v>
      </c>
      <c r="F194">
        <v>8</v>
      </c>
      <c r="G194">
        <v>11</v>
      </c>
      <c r="H194">
        <v>98</v>
      </c>
      <c r="I194" s="238" t="s">
        <v>42</v>
      </c>
      <c r="J194">
        <v>47.97</v>
      </c>
      <c r="K194" s="238" t="s">
        <v>36</v>
      </c>
      <c r="L194">
        <v>2212808.13</v>
      </c>
      <c r="M194">
        <v>0</v>
      </c>
      <c r="N194">
        <v>2212808.13</v>
      </c>
      <c r="O194">
        <v>46129</v>
      </c>
      <c r="P194">
        <v>23985</v>
      </c>
      <c r="Q194">
        <v>2188823.13</v>
      </c>
      <c r="R194">
        <v>45629</v>
      </c>
      <c r="S194" s="238" t="s">
        <v>137</v>
      </c>
      <c r="T194" s="238" t="s">
        <v>1167</v>
      </c>
      <c r="V194" t="s">
        <v>1167</v>
      </c>
      <c r="W194" s="24">
        <v>44071</v>
      </c>
      <c r="X194" s="238" t="s">
        <v>318</v>
      </c>
      <c r="Y194" s="238" t="s">
        <v>39</v>
      </c>
      <c r="Z194" s="238" t="s">
        <v>1340</v>
      </c>
      <c r="AA194" t="s">
        <v>1167</v>
      </c>
      <c r="AB194" s="238" t="s">
        <v>3246</v>
      </c>
      <c r="AC194" t="s">
        <v>3079</v>
      </c>
      <c r="AD194" s="24"/>
      <c r="AE194" s="238" t="s">
        <v>1539</v>
      </c>
      <c r="AF194">
        <v>79171587607</v>
      </c>
      <c r="AG194" s="238" t="s">
        <v>1540</v>
      </c>
      <c r="AH194" s="238" t="s">
        <v>1212</v>
      </c>
      <c r="AI194" s="238" t="s">
        <v>3090</v>
      </c>
      <c r="AJ194" s="238" t="s">
        <v>130</v>
      </c>
      <c r="AK194" s="238" t="s">
        <v>141</v>
      </c>
      <c r="AL194" t="s">
        <v>8715</v>
      </c>
      <c r="AM194" t="s">
        <v>1167</v>
      </c>
    </row>
    <row r="195" spans="1:39" hidden="1" x14ac:dyDescent="0.25">
      <c r="A195">
        <v>191</v>
      </c>
      <c r="B195">
        <v>30</v>
      </c>
      <c r="C195" s="24">
        <v>44072</v>
      </c>
      <c r="D195" s="238" t="s">
        <v>20</v>
      </c>
      <c r="E195" s="238" t="s">
        <v>5</v>
      </c>
      <c r="F195">
        <v>3</v>
      </c>
      <c r="G195">
        <v>16</v>
      </c>
      <c r="H195">
        <v>251</v>
      </c>
      <c r="I195" s="238" t="s">
        <v>42</v>
      </c>
      <c r="J195">
        <v>41.48</v>
      </c>
      <c r="K195" s="238" t="s">
        <v>37</v>
      </c>
      <c r="L195">
        <v>2054522.23</v>
      </c>
      <c r="M195">
        <v>0</v>
      </c>
      <c r="N195">
        <v>2054522.23</v>
      </c>
      <c r="O195">
        <v>49530.429845708779</v>
      </c>
      <c r="P195">
        <v>194956</v>
      </c>
      <c r="Q195">
        <v>1859566.23</v>
      </c>
      <c r="R195">
        <v>44830.429845708779</v>
      </c>
      <c r="S195" s="238" t="s">
        <v>137</v>
      </c>
      <c r="T195" s="238" t="s">
        <v>324</v>
      </c>
      <c r="U195">
        <v>55555</v>
      </c>
      <c r="V195" t="s">
        <v>1167</v>
      </c>
      <c r="W195" s="24">
        <v>44072</v>
      </c>
      <c r="X195" s="238" t="s">
        <v>323</v>
      </c>
      <c r="Y195" s="238" t="s">
        <v>39</v>
      </c>
      <c r="Z195" s="238" t="s">
        <v>1340</v>
      </c>
      <c r="AA195" t="s">
        <v>1167</v>
      </c>
      <c r="AB195" s="238" t="s">
        <v>3246</v>
      </c>
      <c r="AC195" t="s">
        <v>3077</v>
      </c>
      <c r="AD195" s="24"/>
      <c r="AE195" s="238" t="s">
        <v>1541</v>
      </c>
      <c r="AF195">
        <v>79182931416</v>
      </c>
      <c r="AG195" s="238" t="s">
        <v>1542</v>
      </c>
      <c r="AH195" s="238" t="s">
        <v>1212</v>
      </c>
      <c r="AI195" s="238" t="s">
        <v>135</v>
      </c>
      <c r="AJ195" s="238" t="s">
        <v>120</v>
      </c>
      <c r="AK195" s="238" t="s">
        <v>162</v>
      </c>
      <c r="AL195" t="s">
        <v>8715</v>
      </c>
      <c r="AM195" t="s">
        <v>1167</v>
      </c>
    </row>
    <row r="196" spans="1:39" hidden="1" x14ac:dyDescent="0.25">
      <c r="A196">
        <v>192</v>
      </c>
      <c r="B196">
        <v>31</v>
      </c>
      <c r="C196" s="24">
        <v>44074</v>
      </c>
      <c r="D196" s="238" t="s">
        <v>20</v>
      </c>
      <c r="E196" s="238" t="s">
        <v>5</v>
      </c>
      <c r="F196">
        <v>4</v>
      </c>
      <c r="G196">
        <v>3</v>
      </c>
      <c r="H196">
        <v>161</v>
      </c>
      <c r="I196" s="238" t="s">
        <v>42</v>
      </c>
      <c r="J196">
        <v>40.58</v>
      </c>
      <c r="K196" s="238" t="s">
        <v>38</v>
      </c>
      <c r="L196">
        <v>2558765.41</v>
      </c>
      <c r="M196">
        <v>15000</v>
      </c>
      <c r="N196">
        <v>2573765.41</v>
      </c>
      <c r="O196">
        <v>63424.480285855105</v>
      </c>
      <c r="P196">
        <v>628990</v>
      </c>
      <c r="Q196">
        <v>1944775.4100000001</v>
      </c>
      <c r="R196">
        <v>47924.480285855105</v>
      </c>
      <c r="S196" s="238" t="s">
        <v>137</v>
      </c>
      <c r="T196" s="238" t="s">
        <v>1167</v>
      </c>
      <c r="V196" t="s">
        <v>1167</v>
      </c>
      <c r="W196" s="24">
        <v>44063</v>
      </c>
      <c r="X196" s="238" t="s">
        <v>326</v>
      </c>
      <c r="Y196" s="238" t="s">
        <v>39</v>
      </c>
      <c r="Z196" s="238" t="s">
        <v>1340</v>
      </c>
      <c r="AA196" t="s">
        <v>1167</v>
      </c>
      <c r="AB196" s="238" t="s">
        <v>3246</v>
      </c>
      <c r="AC196" t="s">
        <v>3079</v>
      </c>
      <c r="AD196" s="24"/>
      <c r="AE196" s="238" t="s">
        <v>1543</v>
      </c>
      <c r="AF196">
        <v>79277200244</v>
      </c>
      <c r="AG196" s="238" t="s">
        <v>1544</v>
      </c>
      <c r="AH196" s="238" t="s">
        <v>1212</v>
      </c>
      <c r="AI196" s="238" t="s">
        <v>3074</v>
      </c>
      <c r="AJ196" s="238" t="s">
        <v>120</v>
      </c>
      <c r="AK196" s="238" t="s">
        <v>141</v>
      </c>
      <c r="AL196" t="s">
        <v>8715</v>
      </c>
      <c r="AM196" t="s">
        <v>1167</v>
      </c>
    </row>
    <row r="197" spans="1:39" hidden="1" x14ac:dyDescent="0.25">
      <c r="A197">
        <v>193</v>
      </c>
      <c r="B197">
        <v>32</v>
      </c>
      <c r="C197" s="24">
        <v>44074</v>
      </c>
      <c r="D197" s="238" t="s">
        <v>20</v>
      </c>
      <c r="E197" s="238" t="s">
        <v>5</v>
      </c>
      <c r="F197">
        <v>5</v>
      </c>
      <c r="G197">
        <v>8</v>
      </c>
      <c r="H197">
        <v>197</v>
      </c>
      <c r="I197" s="238" t="s">
        <v>44</v>
      </c>
      <c r="J197">
        <v>78.03</v>
      </c>
      <c r="K197" s="238" t="s">
        <v>36</v>
      </c>
      <c r="L197">
        <v>3344087.23</v>
      </c>
      <c r="M197">
        <v>0</v>
      </c>
      <c r="N197">
        <v>3344087.23</v>
      </c>
      <c r="O197">
        <v>42856.429962834809</v>
      </c>
      <c r="P197">
        <v>39015</v>
      </c>
      <c r="Q197">
        <v>3305072.23</v>
      </c>
      <c r="R197">
        <v>42356.429962834809</v>
      </c>
      <c r="S197" s="238" t="s">
        <v>137</v>
      </c>
      <c r="T197" s="238" t="s">
        <v>1167</v>
      </c>
      <c r="V197" t="s">
        <v>1167</v>
      </c>
      <c r="W197" s="24">
        <v>44074</v>
      </c>
      <c r="X197" s="238" t="s">
        <v>325</v>
      </c>
      <c r="Y197" s="238" t="s">
        <v>39</v>
      </c>
      <c r="Z197" s="238" t="s">
        <v>1168</v>
      </c>
      <c r="AA197" t="s">
        <v>1167</v>
      </c>
      <c r="AB197" s="238" t="s">
        <v>3246</v>
      </c>
      <c r="AC197" t="s">
        <v>3080</v>
      </c>
      <c r="AD197" s="24"/>
      <c r="AE197" s="238" t="s">
        <v>1545</v>
      </c>
      <c r="AF197">
        <v>79372072667</v>
      </c>
      <c r="AG197" s="238" t="s">
        <v>1546</v>
      </c>
      <c r="AH197" s="238" t="s">
        <v>1212</v>
      </c>
      <c r="AI197" s="238" t="s">
        <v>3088</v>
      </c>
      <c r="AJ197" s="238" t="s">
        <v>130</v>
      </c>
      <c r="AK197" s="238" t="s">
        <v>141</v>
      </c>
      <c r="AL197" t="s">
        <v>8715</v>
      </c>
      <c r="AM197" t="s">
        <v>1167</v>
      </c>
    </row>
    <row r="198" spans="1:39" hidden="1" x14ac:dyDescent="0.25">
      <c r="A198">
        <v>194</v>
      </c>
      <c r="B198">
        <v>33</v>
      </c>
      <c r="C198" s="24">
        <v>44075</v>
      </c>
      <c r="D198" s="238" t="s">
        <v>20</v>
      </c>
      <c r="E198" s="238" t="s">
        <v>6</v>
      </c>
      <c r="F198">
        <v>3</v>
      </c>
      <c r="G198">
        <v>10</v>
      </c>
      <c r="H198">
        <v>83</v>
      </c>
      <c r="I198" s="238" t="s">
        <v>43</v>
      </c>
      <c r="J198">
        <v>67.16</v>
      </c>
      <c r="K198" s="238" t="s">
        <v>37</v>
      </c>
      <c r="L198">
        <v>3361235.1</v>
      </c>
      <c r="M198">
        <v>0</v>
      </c>
      <c r="N198">
        <v>3361235.1</v>
      </c>
      <c r="O198">
        <v>50048.17004169149</v>
      </c>
      <c r="P198">
        <v>315652</v>
      </c>
      <c r="Q198">
        <v>3045583.1</v>
      </c>
      <c r="R198">
        <v>45348.17004169149</v>
      </c>
      <c r="S198" s="238" t="s">
        <v>137</v>
      </c>
      <c r="T198" s="238" t="s">
        <v>1167</v>
      </c>
      <c r="V198" t="s">
        <v>1167</v>
      </c>
      <c r="W198" s="24">
        <v>44091</v>
      </c>
      <c r="X198" s="238" t="s">
        <v>327</v>
      </c>
      <c r="Y198" s="238" t="s">
        <v>39</v>
      </c>
      <c r="Z198" s="238" t="s">
        <v>1340</v>
      </c>
      <c r="AA198" t="s">
        <v>1167</v>
      </c>
      <c r="AB198" s="238" t="s">
        <v>3246</v>
      </c>
      <c r="AC198" t="s">
        <v>3079</v>
      </c>
      <c r="AD198" s="24"/>
      <c r="AE198" s="238" t="s">
        <v>1547</v>
      </c>
      <c r="AF198">
        <v>79376419080</v>
      </c>
      <c r="AG198" s="238" t="s">
        <v>1548</v>
      </c>
      <c r="AH198" s="238" t="s">
        <v>135</v>
      </c>
      <c r="AI198" s="238" t="s">
        <v>3099</v>
      </c>
      <c r="AJ198" s="238" t="s">
        <v>130</v>
      </c>
      <c r="AK198" s="238" t="s">
        <v>162</v>
      </c>
      <c r="AL198" t="s">
        <v>8715</v>
      </c>
      <c r="AM198" t="s">
        <v>1167</v>
      </c>
    </row>
    <row r="199" spans="1:39" hidden="1" x14ac:dyDescent="0.25">
      <c r="A199">
        <v>195</v>
      </c>
      <c r="B199">
        <v>1</v>
      </c>
      <c r="C199" s="24">
        <v>44077</v>
      </c>
      <c r="D199" s="238" t="s">
        <v>20</v>
      </c>
      <c r="E199" s="238" t="s">
        <v>6</v>
      </c>
      <c r="F199">
        <v>8</v>
      </c>
      <c r="G199">
        <v>2</v>
      </c>
      <c r="H199">
        <v>8</v>
      </c>
      <c r="I199" s="238" t="s">
        <v>42</v>
      </c>
      <c r="J199">
        <v>48.79</v>
      </c>
      <c r="K199" s="238" t="s">
        <v>37</v>
      </c>
      <c r="L199">
        <v>2495164.5099999998</v>
      </c>
      <c r="M199">
        <v>0</v>
      </c>
      <c r="N199">
        <v>2495164.5099999998</v>
      </c>
      <c r="O199">
        <v>51140.899979503993</v>
      </c>
      <c r="P199">
        <v>229313</v>
      </c>
      <c r="Q199">
        <v>2265851.5099999998</v>
      </c>
      <c r="R199">
        <v>46440.899979503993</v>
      </c>
      <c r="S199" s="238" t="s">
        <v>124</v>
      </c>
      <c r="T199" s="238" t="s">
        <v>1167</v>
      </c>
      <c r="V199" t="s">
        <v>1167</v>
      </c>
      <c r="W199" s="24">
        <v>44076</v>
      </c>
      <c r="X199" s="238" t="s">
        <v>328</v>
      </c>
      <c r="Y199" s="238" t="s">
        <v>39</v>
      </c>
      <c r="Z199" s="238" t="s">
        <v>1340</v>
      </c>
      <c r="AA199" t="s">
        <v>1167</v>
      </c>
      <c r="AB199" s="238" t="s">
        <v>3246</v>
      </c>
      <c r="AC199" t="s">
        <v>4246</v>
      </c>
      <c r="AD199" s="24"/>
      <c r="AE199" s="238" t="s">
        <v>1549</v>
      </c>
      <c r="AF199">
        <v>79649729217</v>
      </c>
      <c r="AG199" s="238" t="s">
        <v>1550</v>
      </c>
      <c r="AH199" s="238" t="s">
        <v>1212</v>
      </c>
      <c r="AI199" s="238" t="s">
        <v>135</v>
      </c>
      <c r="AJ199" s="238" t="s">
        <v>120</v>
      </c>
      <c r="AK199" s="238" t="s">
        <v>1167</v>
      </c>
      <c r="AL199" t="s">
        <v>8715</v>
      </c>
      <c r="AM199" t="s">
        <v>1167</v>
      </c>
    </row>
    <row r="200" spans="1:39" hidden="1" x14ac:dyDescent="0.25">
      <c r="A200">
        <v>196</v>
      </c>
      <c r="B200">
        <v>2</v>
      </c>
      <c r="C200" s="24">
        <v>44081</v>
      </c>
      <c r="D200" s="238" t="s">
        <v>20</v>
      </c>
      <c r="E200" s="238" t="s">
        <v>5</v>
      </c>
      <c r="F200">
        <v>5</v>
      </c>
      <c r="G200">
        <v>11</v>
      </c>
      <c r="I200" s="238" t="s">
        <v>44</v>
      </c>
      <c r="J200">
        <v>78.03</v>
      </c>
      <c r="K200" s="238" t="s">
        <v>38</v>
      </c>
      <c r="L200">
        <v>4613689.95</v>
      </c>
      <c r="M200">
        <v>0</v>
      </c>
      <c r="N200">
        <v>4613689.95</v>
      </c>
      <c r="O200">
        <v>59127.129950019225</v>
      </c>
      <c r="P200">
        <v>1209465</v>
      </c>
      <c r="Q200">
        <v>3404224.95</v>
      </c>
      <c r="R200">
        <v>43627.129950019225</v>
      </c>
      <c r="S200" s="238" t="s">
        <v>124</v>
      </c>
      <c r="T200" s="238" t="s">
        <v>1167</v>
      </c>
      <c r="V200" t="s">
        <v>1167</v>
      </c>
      <c r="W200" s="24">
        <v>44081</v>
      </c>
      <c r="X200" s="238" t="s">
        <v>329</v>
      </c>
      <c r="Y200" s="238" t="s">
        <v>1172</v>
      </c>
      <c r="Z200" s="238" t="s">
        <v>1168</v>
      </c>
      <c r="AA200" t="s">
        <v>1167</v>
      </c>
      <c r="AB200" s="238" t="s">
        <v>3246</v>
      </c>
      <c r="AC200" t="s">
        <v>4246</v>
      </c>
      <c r="AD200" s="24">
        <v>44257</v>
      </c>
      <c r="AE200" s="238" t="s">
        <v>1551</v>
      </c>
      <c r="AF200">
        <v>79272678717</v>
      </c>
      <c r="AG200" s="238" t="s">
        <v>1167</v>
      </c>
      <c r="AH200" s="238" t="s">
        <v>1212</v>
      </c>
      <c r="AI200" s="238" t="s">
        <v>3075</v>
      </c>
      <c r="AJ200" s="238" t="s">
        <v>130</v>
      </c>
      <c r="AK200" s="238" t="s">
        <v>1167</v>
      </c>
      <c r="AL200" t="s">
        <v>8715</v>
      </c>
      <c r="AM200" t="s">
        <v>1167</v>
      </c>
    </row>
    <row r="201" spans="1:39" hidden="1" x14ac:dyDescent="0.25">
      <c r="A201">
        <v>197</v>
      </c>
      <c r="B201">
        <v>3</v>
      </c>
      <c r="C201" s="24">
        <v>44083</v>
      </c>
      <c r="D201" s="238" t="s">
        <v>20</v>
      </c>
      <c r="E201" s="238" t="s">
        <v>6</v>
      </c>
      <c r="F201">
        <v>1</v>
      </c>
      <c r="G201">
        <v>12</v>
      </c>
      <c r="H201">
        <v>101</v>
      </c>
      <c r="I201" s="238" t="s">
        <v>4052</v>
      </c>
      <c r="J201">
        <v>32.03</v>
      </c>
      <c r="K201" s="238" t="s">
        <v>38</v>
      </c>
      <c r="L201">
        <v>2219215.5299999998</v>
      </c>
      <c r="M201">
        <v>0</v>
      </c>
      <c r="N201">
        <v>2219215.5299999998</v>
      </c>
      <c r="O201">
        <v>69285.53012800499</v>
      </c>
      <c r="P201">
        <v>496465</v>
      </c>
      <c r="Q201">
        <v>1722750.5299999998</v>
      </c>
      <c r="R201">
        <v>53785.53012800499</v>
      </c>
      <c r="S201" s="238" t="s">
        <v>137</v>
      </c>
      <c r="T201" s="238" t="s">
        <v>1167</v>
      </c>
      <c r="V201" t="s">
        <v>1167</v>
      </c>
      <c r="W201" s="24">
        <v>44082</v>
      </c>
      <c r="X201" s="238" t="s">
        <v>330</v>
      </c>
      <c r="Y201" s="238" t="s">
        <v>39</v>
      </c>
      <c r="Z201" s="238" t="s">
        <v>1340</v>
      </c>
      <c r="AA201" t="s">
        <v>1167</v>
      </c>
      <c r="AB201" s="238" t="s">
        <v>3246</v>
      </c>
      <c r="AC201" t="s">
        <v>3077</v>
      </c>
      <c r="AD201" s="24"/>
      <c r="AE201" s="238" t="s">
        <v>1552</v>
      </c>
      <c r="AF201">
        <v>79272656678</v>
      </c>
      <c r="AG201" s="238" t="s">
        <v>1553</v>
      </c>
      <c r="AH201" s="238" t="s">
        <v>1212</v>
      </c>
      <c r="AI201" s="238" t="s">
        <v>3089</v>
      </c>
      <c r="AJ201" s="238" t="s">
        <v>130</v>
      </c>
      <c r="AK201" s="238" t="s">
        <v>162</v>
      </c>
      <c r="AL201" t="s">
        <v>8715</v>
      </c>
      <c r="AM201" t="s">
        <v>1167</v>
      </c>
    </row>
    <row r="202" spans="1:39" hidden="1" x14ac:dyDescent="0.25">
      <c r="A202">
        <v>198</v>
      </c>
      <c r="B202">
        <v>4</v>
      </c>
      <c r="C202" s="24">
        <v>44085</v>
      </c>
      <c r="D202" s="238" t="s">
        <v>20</v>
      </c>
      <c r="E202" s="238" t="s">
        <v>6</v>
      </c>
      <c r="F202">
        <v>6</v>
      </c>
      <c r="G202">
        <v>14</v>
      </c>
      <c r="H202">
        <v>126</v>
      </c>
      <c r="I202" s="238" t="s">
        <v>43</v>
      </c>
      <c r="J202">
        <v>63.03</v>
      </c>
      <c r="K202" s="238" t="s">
        <v>37</v>
      </c>
      <c r="L202">
        <v>3118377.1</v>
      </c>
      <c r="M202">
        <v>0</v>
      </c>
      <c r="N202">
        <v>3118377.1</v>
      </c>
      <c r="O202">
        <v>49474.489925432332</v>
      </c>
      <c r="P202">
        <v>296241</v>
      </c>
      <c r="Q202">
        <v>2822136.1</v>
      </c>
      <c r="R202">
        <v>44774.489925432332</v>
      </c>
      <c r="S202" s="238" t="s">
        <v>137</v>
      </c>
      <c r="T202" s="238" t="s">
        <v>1167</v>
      </c>
      <c r="V202" t="s">
        <v>1167</v>
      </c>
      <c r="W202" s="24">
        <v>44082</v>
      </c>
      <c r="X202" s="238" t="s">
        <v>331</v>
      </c>
      <c r="Y202" s="238" t="s">
        <v>39</v>
      </c>
      <c r="Z202" s="238" t="s">
        <v>1340</v>
      </c>
      <c r="AA202" t="s">
        <v>1167</v>
      </c>
      <c r="AB202" s="238" t="s">
        <v>3246</v>
      </c>
      <c r="AC202" t="s">
        <v>3077</v>
      </c>
      <c r="AD202" s="24"/>
      <c r="AE202" s="238" t="s">
        <v>1554</v>
      </c>
      <c r="AF202">
        <v>79879108286</v>
      </c>
      <c r="AG202" s="238" t="s">
        <v>1555</v>
      </c>
      <c r="AH202" s="238" t="s">
        <v>1212</v>
      </c>
      <c r="AI202" s="238" t="s">
        <v>135</v>
      </c>
      <c r="AJ202" s="238" t="s">
        <v>130</v>
      </c>
      <c r="AK202" s="238" t="s">
        <v>141</v>
      </c>
      <c r="AL202" t="s">
        <v>8715</v>
      </c>
      <c r="AM202" t="s">
        <v>1167</v>
      </c>
    </row>
    <row r="203" spans="1:39" hidden="1" x14ac:dyDescent="0.25">
      <c r="A203">
        <v>199</v>
      </c>
      <c r="B203">
        <v>5</v>
      </c>
      <c r="C203" s="24">
        <v>44091</v>
      </c>
      <c r="D203" s="238" t="s">
        <v>20</v>
      </c>
      <c r="E203" s="238" t="s">
        <v>6</v>
      </c>
      <c r="F203">
        <v>9</v>
      </c>
      <c r="G203">
        <v>6</v>
      </c>
      <c r="H203">
        <v>49</v>
      </c>
      <c r="I203" s="238" t="s">
        <v>43</v>
      </c>
      <c r="J203">
        <v>66.14</v>
      </c>
      <c r="K203" s="238" t="s">
        <v>37</v>
      </c>
      <c r="L203">
        <v>3272242.77</v>
      </c>
      <c r="M203">
        <v>0</v>
      </c>
      <c r="N203">
        <v>3272242.77</v>
      </c>
      <c r="O203">
        <v>49474.490021167221</v>
      </c>
      <c r="P203">
        <v>310858</v>
      </c>
      <c r="Q203">
        <v>2961384.77</v>
      </c>
      <c r="R203">
        <v>44774.490021167221</v>
      </c>
      <c r="S203" s="238" t="s">
        <v>137</v>
      </c>
      <c r="T203" s="238" t="s">
        <v>1167</v>
      </c>
      <c r="V203" t="s">
        <v>1167</v>
      </c>
      <c r="W203" s="24">
        <v>44083</v>
      </c>
      <c r="X203" s="238" t="s">
        <v>333</v>
      </c>
      <c r="Y203" s="238" t="s">
        <v>39</v>
      </c>
      <c r="Z203" s="238" t="s">
        <v>1168</v>
      </c>
      <c r="AA203" t="s">
        <v>1167</v>
      </c>
      <c r="AB203" s="238" t="s">
        <v>3246</v>
      </c>
      <c r="AC203" t="s">
        <v>3076</v>
      </c>
      <c r="AD203" s="24"/>
      <c r="AE203" s="238" t="s">
        <v>1556</v>
      </c>
      <c r="AF203">
        <v>79277255479</v>
      </c>
      <c r="AG203" s="238" t="s">
        <v>1557</v>
      </c>
      <c r="AH203" s="238" t="s">
        <v>1212</v>
      </c>
      <c r="AI203" s="238" t="s">
        <v>3075</v>
      </c>
      <c r="AJ203" s="238" t="s">
        <v>120</v>
      </c>
      <c r="AK203" s="238" t="s">
        <v>141</v>
      </c>
      <c r="AL203" t="s">
        <v>8715</v>
      </c>
      <c r="AM203" t="s">
        <v>1167</v>
      </c>
    </row>
    <row r="204" spans="1:39" hidden="1" x14ac:dyDescent="0.25">
      <c r="A204">
        <v>200</v>
      </c>
      <c r="B204">
        <v>6</v>
      </c>
      <c r="C204" s="24">
        <v>44091</v>
      </c>
      <c r="D204" s="238" t="s">
        <v>20</v>
      </c>
      <c r="E204" s="238" t="s">
        <v>6</v>
      </c>
      <c r="F204">
        <v>7</v>
      </c>
      <c r="G204">
        <v>12</v>
      </c>
      <c r="H204">
        <v>107</v>
      </c>
      <c r="I204" s="238" t="s">
        <v>42</v>
      </c>
      <c r="J204">
        <v>42.32</v>
      </c>
      <c r="K204" s="238" t="s">
        <v>36</v>
      </c>
      <c r="L204">
        <v>2069778.52</v>
      </c>
      <c r="M204">
        <v>0</v>
      </c>
      <c r="N204">
        <v>2069778.52</v>
      </c>
      <c r="O204">
        <v>48907.81001890359</v>
      </c>
      <c r="P204">
        <v>21160</v>
      </c>
      <c r="Q204">
        <v>2048618.52</v>
      </c>
      <c r="R204">
        <v>48407.81001890359</v>
      </c>
      <c r="S204" s="238" t="s">
        <v>124</v>
      </c>
      <c r="T204" s="238" t="s">
        <v>1167</v>
      </c>
      <c r="V204" t="s">
        <v>1167</v>
      </c>
      <c r="W204" s="24">
        <v>44092</v>
      </c>
      <c r="X204" s="238" t="s">
        <v>332</v>
      </c>
      <c r="Y204" s="238" t="s">
        <v>39</v>
      </c>
      <c r="Z204" s="238" t="s">
        <v>1168</v>
      </c>
      <c r="AA204" t="s">
        <v>1167</v>
      </c>
      <c r="AB204" s="238" t="s">
        <v>3246</v>
      </c>
      <c r="AC204" t="s">
        <v>4246</v>
      </c>
      <c r="AD204" s="24"/>
      <c r="AE204" s="238" t="s">
        <v>1558</v>
      </c>
      <c r="AF204">
        <v>79276096777</v>
      </c>
      <c r="AG204" s="238" t="s">
        <v>1559</v>
      </c>
      <c r="AH204" s="238" t="s">
        <v>1197</v>
      </c>
      <c r="AI204" s="238" t="s">
        <v>3093</v>
      </c>
      <c r="AJ204" s="238" t="s">
        <v>120</v>
      </c>
      <c r="AK204" s="238" t="s">
        <v>1167</v>
      </c>
      <c r="AL204" t="s">
        <v>8715</v>
      </c>
      <c r="AM204" t="s">
        <v>1167</v>
      </c>
    </row>
    <row r="205" spans="1:39" hidden="1" x14ac:dyDescent="0.25">
      <c r="A205">
        <v>201</v>
      </c>
      <c r="B205">
        <v>7</v>
      </c>
      <c r="C205" s="24">
        <v>44092</v>
      </c>
      <c r="D205" s="238" t="s">
        <v>20</v>
      </c>
      <c r="E205" s="238" t="s">
        <v>6</v>
      </c>
      <c r="F205">
        <v>9</v>
      </c>
      <c r="G205">
        <v>12</v>
      </c>
      <c r="H205">
        <v>109</v>
      </c>
      <c r="I205" s="238" t="s">
        <v>43</v>
      </c>
      <c r="J205">
        <v>66.14</v>
      </c>
      <c r="K205" s="238" t="s">
        <v>37</v>
      </c>
      <c r="L205">
        <v>3257242.77</v>
      </c>
      <c r="M205">
        <v>15000</v>
      </c>
      <c r="N205">
        <v>3272242.77</v>
      </c>
      <c r="O205">
        <v>49474.490021167221</v>
      </c>
      <c r="P205">
        <v>310858</v>
      </c>
      <c r="Q205">
        <v>2961384.77</v>
      </c>
      <c r="R205">
        <v>44774.490021167221</v>
      </c>
      <c r="S205" s="238" t="s">
        <v>137</v>
      </c>
      <c r="T205" s="238" t="s">
        <v>1167</v>
      </c>
      <c r="V205" t="s">
        <v>1167</v>
      </c>
      <c r="W205" s="24">
        <v>44080</v>
      </c>
      <c r="X205" s="238" t="s">
        <v>334</v>
      </c>
      <c r="Y205" s="238" t="s">
        <v>39</v>
      </c>
      <c r="Z205" s="238" t="s">
        <v>1340</v>
      </c>
      <c r="AA205" t="s">
        <v>1167</v>
      </c>
      <c r="AB205" s="238" t="s">
        <v>3246</v>
      </c>
      <c r="AC205" t="s">
        <v>3079</v>
      </c>
      <c r="AD205" s="24"/>
      <c r="AE205" s="238" t="s">
        <v>1560</v>
      </c>
      <c r="AF205">
        <v>79967380723</v>
      </c>
      <c r="AG205" s="238" t="s">
        <v>1561</v>
      </c>
      <c r="AH205" s="238" t="s">
        <v>1171</v>
      </c>
      <c r="AI205" s="238" t="s">
        <v>3074</v>
      </c>
      <c r="AJ205" s="238" t="s">
        <v>120</v>
      </c>
      <c r="AK205" s="238" t="s">
        <v>141</v>
      </c>
      <c r="AL205" t="s">
        <v>8715</v>
      </c>
      <c r="AM205" t="s">
        <v>1167</v>
      </c>
    </row>
    <row r="206" spans="1:39" hidden="1" x14ac:dyDescent="0.25">
      <c r="A206">
        <v>202</v>
      </c>
      <c r="B206">
        <v>8</v>
      </c>
      <c r="C206" s="24">
        <v>44092</v>
      </c>
      <c r="D206" s="238" t="s">
        <v>20</v>
      </c>
      <c r="E206" s="238" t="s">
        <v>6</v>
      </c>
      <c r="F206">
        <v>10</v>
      </c>
      <c r="G206">
        <v>14</v>
      </c>
      <c r="H206">
        <v>130</v>
      </c>
      <c r="I206" s="238" t="s">
        <v>43</v>
      </c>
      <c r="J206">
        <v>65.88</v>
      </c>
      <c r="K206" s="238" t="s">
        <v>37</v>
      </c>
      <c r="L206">
        <v>3259379.4</v>
      </c>
      <c r="M206">
        <v>0</v>
      </c>
      <c r="N206">
        <v>3259379.4</v>
      </c>
      <c r="O206">
        <v>49474.489981785067</v>
      </c>
      <c r="P206">
        <v>309636</v>
      </c>
      <c r="Q206">
        <v>2949743.4</v>
      </c>
      <c r="R206">
        <v>44774.489981785067</v>
      </c>
      <c r="S206" s="238" t="s">
        <v>137</v>
      </c>
      <c r="T206" s="238" t="s">
        <v>1167</v>
      </c>
      <c r="V206" t="s">
        <v>1167</v>
      </c>
      <c r="W206" s="24">
        <v>44084</v>
      </c>
      <c r="X206" s="238" t="s">
        <v>336</v>
      </c>
      <c r="Y206" s="238" t="s">
        <v>39</v>
      </c>
      <c r="Z206" s="238" t="s">
        <v>1340</v>
      </c>
      <c r="AA206" t="s">
        <v>1167</v>
      </c>
      <c r="AB206" s="238" t="s">
        <v>3246</v>
      </c>
      <c r="AC206" t="s">
        <v>3079</v>
      </c>
      <c r="AD206" s="24"/>
      <c r="AE206" s="238" t="s">
        <v>1562</v>
      </c>
      <c r="AF206">
        <v>79272053167</v>
      </c>
      <c r="AG206" s="238" t="s">
        <v>1563</v>
      </c>
      <c r="AH206" s="238" t="s">
        <v>1212</v>
      </c>
      <c r="AI206" s="238" t="s">
        <v>135</v>
      </c>
      <c r="AJ206" s="238" t="s">
        <v>126</v>
      </c>
      <c r="AK206" s="238" t="s">
        <v>141</v>
      </c>
      <c r="AL206" t="s">
        <v>8715</v>
      </c>
      <c r="AM206" t="s">
        <v>1167</v>
      </c>
    </row>
    <row r="207" spans="1:39" hidden="1" x14ac:dyDescent="0.25">
      <c r="A207">
        <v>203</v>
      </c>
      <c r="B207">
        <v>9</v>
      </c>
      <c r="C207" s="24">
        <v>44092</v>
      </c>
      <c r="D207" s="238" t="s">
        <v>20</v>
      </c>
      <c r="E207" s="238" t="s">
        <v>6</v>
      </c>
      <c r="F207">
        <v>8</v>
      </c>
      <c r="G207">
        <v>8</v>
      </c>
      <c r="H207">
        <v>68</v>
      </c>
      <c r="I207" s="238" t="s">
        <v>42</v>
      </c>
      <c r="J207">
        <v>47.97</v>
      </c>
      <c r="K207" s="238" t="s">
        <v>37</v>
      </c>
      <c r="L207">
        <v>2479946.8199999998</v>
      </c>
      <c r="M207">
        <v>0</v>
      </c>
      <c r="N207">
        <v>2479946.8199999998</v>
      </c>
      <c r="O207">
        <v>51697.869918699187</v>
      </c>
      <c r="P207">
        <v>225459</v>
      </c>
      <c r="Q207">
        <v>2254487.8199999998</v>
      </c>
      <c r="R207">
        <v>46997.869918699187</v>
      </c>
      <c r="S207" s="238" t="s">
        <v>137</v>
      </c>
      <c r="T207" s="238" t="s">
        <v>1167</v>
      </c>
      <c r="V207" t="s">
        <v>1167</v>
      </c>
      <c r="W207" s="24">
        <v>44090</v>
      </c>
      <c r="X207" s="238" t="s">
        <v>335</v>
      </c>
      <c r="Y207" s="238" t="s">
        <v>39</v>
      </c>
      <c r="Z207" s="238" t="s">
        <v>1340</v>
      </c>
      <c r="AA207" t="s">
        <v>1167</v>
      </c>
      <c r="AB207" s="238" t="s">
        <v>3246</v>
      </c>
      <c r="AC207" t="s">
        <v>3079</v>
      </c>
      <c r="AD207" s="24"/>
      <c r="AE207" s="238" t="s">
        <v>1564</v>
      </c>
      <c r="AF207">
        <v>79277241095</v>
      </c>
      <c r="AG207" s="238" t="s">
        <v>1565</v>
      </c>
      <c r="AH207" s="238" t="s">
        <v>1171</v>
      </c>
      <c r="AI207" s="238" t="s">
        <v>135</v>
      </c>
      <c r="AJ207" s="238" t="s">
        <v>120</v>
      </c>
      <c r="AK207" s="238" t="s">
        <v>141</v>
      </c>
      <c r="AL207" t="s">
        <v>8715</v>
      </c>
      <c r="AM207" t="s">
        <v>1167</v>
      </c>
    </row>
    <row r="208" spans="1:39" hidden="1" x14ac:dyDescent="0.25">
      <c r="A208">
        <v>204</v>
      </c>
      <c r="B208">
        <v>10</v>
      </c>
      <c r="C208" s="24">
        <v>44095</v>
      </c>
      <c r="D208" s="238" t="s">
        <v>20</v>
      </c>
      <c r="E208" s="238" t="s">
        <v>5</v>
      </c>
      <c r="F208">
        <v>2</v>
      </c>
      <c r="G208">
        <v>11</v>
      </c>
      <c r="H208">
        <v>215</v>
      </c>
      <c r="I208" s="238" t="s">
        <v>42</v>
      </c>
      <c r="J208">
        <v>40.39</v>
      </c>
      <c r="K208" s="238" t="s">
        <v>36</v>
      </c>
      <c r="L208">
        <v>1955834.53</v>
      </c>
      <c r="M208">
        <v>0</v>
      </c>
      <c r="N208">
        <v>1955834.53</v>
      </c>
      <c r="O208">
        <v>48423.73186432285</v>
      </c>
      <c r="P208">
        <v>20195</v>
      </c>
      <c r="Q208">
        <v>1935639.53</v>
      </c>
      <c r="R208">
        <v>47923.73186432285</v>
      </c>
      <c r="S208" s="238" t="s">
        <v>137</v>
      </c>
      <c r="T208" s="238" t="s">
        <v>1167</v>
      </c>
      <c r="V208" t="s">
        <v>1167</v>
      </c>
      <c r="W208" s="24">
        <v>44095</v>
      </c>
      <c r="X208" s="238" t="s">
        <v>337</v>
      </c>
      <c r="Y208" s="238" t="s">
        <v>39</v>
      </c>
      <c r="Z208" s="238" t="s">
        <v>1340</v>
      </c>
      <c r="AA208" t="s">
        <v>1167</v>
      </c>
      <c r="AB208" s="238" t="s">
        <v>3246</v>
      </c>
      <c r="AC208" t="s">
        <v>3079</v>
      </c>
      <c r="AD208" s="24"/>
      <c r="AE208" s="238" t="s">
        <v>1566</v>
      </c>
      <c r="AF208">
        <v>79277339085</v>
      </c>
      <c r="AG208" s="238" t="s">
        <v>1567</v>
      </c>
      <c r="AH208" s="238" t="s">
        <v>135</v>
      </c>
      <c r="AI208" s="238" t="s">
        <v>3099</v>
      </c>
      <c r="AJ208" s="238" t="s">
        <v>130</v>
      </c>
      <c r="AK208" s="238" t="s">
        <v>141</v>
      </c>
      <c r="AL208" t="s">
        <v>8715</v>
      </c>
      <c r="AM208" t="s">
        <v>1167</v>
      </c>
    </row>
    <row r="209" spans="1:39" hidden="1" x14ac:dyDescent="0.25">
      <c r="A209">
        <v>205</v>
      </c>
      <c r="B209">
        <v>11</v>
      </c>
      <c r="C209" s="24">
        <v>44096</v>
      </c>
      <c r="D209" s="238" t="s">
        <v>20</v>
      </c>
      <c r="E209" s="238" t="s">
        <v>6</v>
      </c>
      <c r="F209">
        <v>7</v>
      </c>
      <c r="G209">
        <v>14</v>
      </c>
      <c r="H209">
        <v>127</v>
      </c>
      <c r="I209" s="238" t="s">
        <v>42</v>
      </c>
      <c r="J209">
        <v>41.95</v>
      </c>
      <c r="K209" s="238" t="s">
        <v>36</v>
      </c>
      <c r="L209">
        <v>2051682.63</v>
      </c>
      <c r="M209">
        <v>0</v>
      </c>
      <c r="N209">
        <v>2051682.63</v>
      </c>
      <c r="O209">
        <v>48907.810011918948</v>
      </c>
      <c r="P209">
        <v>20975</v>
      </c>
      <c r="Q209">
        <v>2030707.63</v>
      </c>
      <c r="R209">
        <v>48407.810011918948</v>
      </c>
      <c r="S209" s="238" t="s">
        <v>137</v>
      </c>
      <c r="T209" s="238" t="s">
        <v>1167</v>
      </c>
      <c r="V209" t="s">
        <v>1167</v>
      </c>
      <c r="W209" s="24">
        <v>44090</v>
      </c>
      <c r="X209" s="238" t="s">
        <v>339</v>
      </c>
      <c r="Y209" s="238" t="s">
        <v>39</v>
      </c>
      <c r="Z209" s="238" t="s">
        <v>1340</v>
      </c>
      <c r="AA209" t="s">
        <v>1167</v>
      </c>
      <c r="AB209" s="238" t="s">
        <v>3246</v>
      </c>
      <c r="AC209" t="s">
        <v>3079</v>
      </c>
      <c r="AD209" s="24"/>
      <c r="AE209" s="238" t="s">
        <v>1568</v>
      </c>
      <c r="AF209">
        <v>79171154783</v>
      </c>
      <c r="AG209" s="238" t="s">
        <v>1569</v>
      </c>
      <c r="AH209" s="238" t="s">
        <v>1171</v>
      </c>
      <c r="AI209" s="238" t="s">
        <v>3093</v>
      </c>
      <c r="AJ209" s="238" t="s">
        <v>120</v>
      </c>
      <c r="AK209" s="238" t="s">
        <v>141</v>
      </c>
      <c r="AL209" t="s">
        <v>8715</v>
      </c>
      <c r="AM209" t="s">
        <v>1167</v>
      </c>
    </row>
    <row r="210" spans="1:39" hidden="1" x14ac:dyDescent="0.25">
      <c r="A210">
        <v>206</v>
      </c>
      <c r="B210">
        <v>12</v>
      </c>
      <c r="C210" s="24">
        <v>44096</v>
      </c>
      <c r="D210" s="238" t="s">
        <v>20</v>
      </c>
      <c r="E210" s="238" t="s">
        <v>6</v>
      </c>
      <c r="F210">
        <v>5</v>
      </c>
      <c r="G210">
        <v>2</v>
      </c>
      <c r="H210">
        <v>5</v>
      </c>
      <c r="I210" s="238" t="s">
        <v>43</v>
      </c>
      <c r="J210">
        <v>61.12</v>
      </c>
      <c r="K210" s="238" t="s">
        <v>38</v>
      </c>
      <c r="L210">
        <v>3613850.19</v>
      </c>
      <c r="M210">
        <v>0</v>
      </c>
      <c r="N210">
        <v>3613850.19</v>
      </c>
      <c r="O210">
        <v>59127.13007198953</v>
      </c>
      <c r="P210">
        <v>947360</v>
      </c>
      <c r="Q210">
        <v>2666490.19</v>
      </c>
      <c r="R210">
        <v>43627.13007198953</v>
      </c>
      <c r="S210" s="238" t="s">
        <v>137</v>
      </c>
      <c r="T210" s="238" t="s">
        <v>1167</v>
      </c>
      <c r="V210" t="s">
        <v>1167</v>
      </c>
      <c r="W210" s="24">
        <v>44090</v>
      </c>
      <c r="X210" s="238" t="s">
        <v>338</v>
      </c>
      <c r="Y210" s="238" t="s">
        <v>39</v>
      </c>
      <c r="Z210" s="238" t="s">
        <v>1340</v>
      </c>
      <c r="AA210" t="s">
        <v>1167</v>
      </c>
      <c r="AB210" s="238" t="s">
        <v>3246</v>
      </c>
      <c r="AC210" t="s">
        <v>3079</v>
      </c>
      <c r="AD210" s="24"/>
      <c r="AE210" s="238" t="s">
        <v>1570</v>
      </c>
      <c r="AF210">
        <v>79226201769</v>
      </c>
      <c r="AG210" s="238" t="s">
        <v>1571</v>
      </c>
      <c r="AH210" s="238" t="s">
        <v>1171</v>
      </c>
      <c r="AI210" s="238" t="s">
        <v>135</v>
      </c>
      <c r="AJ210" s="238" t="s">
        <v>120</v>
      </c>
      <c r="AK210" s="238" t="s">
        <v>162</v>
      </c>
      <c r="AL210" t="s">
        <v>8715</v>
      </c>
      <c r="AM210" t="s">
        <v>1167</v>
      </c>
    </row>
    <row r="211" spans="1:39" hidden="1" x14ac:dyDescent="0.25">
      <c r="A211">
        <v>207</v>
      </c>
      <c r="B211">
        <v>13</v>
      </c>
      <c r="C211" s="24">
        <v>44097</v>
      </c>
      <c r="D211" s="238" t="s">
        <v>20</v>
      </c>
      <c r="E211" s="238" t="s">
        <v>5</v>
      </c>
      <c r="F211">
        <v>1</v>
      </c>
      <c r="G211">
        <v>4</v>
      </c>
      <c r="H211">
        <v>165</v>
      </c>
      <c r="I211" s="238" t="s">
        <v>44</v>
      </c>
      <c r="J211">
        <v>89.56</v>
      </c>
      <c r="K211" s="238" t="s">
        <v>38</v>
      </c>
      <c r="L211">
        <v>5295425.76</v>
      </c>
      <c r="M211">
        <v>0</v>
      </c>
      <c r="N211">
        <v>5295425.76</v>
      </c>
      <c r="O211">
        <v>59127.129968736037</v>
      </c>
      <c r="P211">
        <v>1388180</v>
      </c>
      <c r="Q211">
        <v>3907245.76</v>
      </c>
      <c r="R211">
        <v>43627.129968736037</v>
      </c>
      <c r="S211" s="238" t="s">
        <v>137</v>
      </c>
      <c r="T211" s="238" t="s">
        <v>1167</v>
      </c>
      <c r="V211" t="s">
        <v>1167</v>
      </c>
      <c r="W211" s="24">
        <v>44083</v>
      </c>
      <c r="X211" s="238" t="s">
        <v>341</v>
      </c>
      <c r="Y211" s="238" t="s">
        <v>39</v>
      </c>
      <c r="Z211" s="238" t="s">
        <v>1340</v>
      </c>
      <c r="AA211" t="s">
        <v>1167</v>
      </c>
      <c r="AB211" s="238" t="s">
        <v>3246</v>
      </c>
      <c r="AC211" t="s">
        <v>3079</v>
      </c>
      <c r="AD211" s="24"/>
      <c r="AE211" s="238" t="s">
        <v>1572</v>
      </c>
      <c r="AF211">
        <v>79272014307</v>
      </c>
      <c r="AG211" s="238" t="s">
        <v>1573</v>
      </c>
      <c r="AH211" s="238" t="s">
        <v>1212</v>
      </c>
      <c r="AI211" s="238" t="s">
        <v>3074</v>
      </c>
      <c r="AJ211" s="238" t="s">
        <v>120</v>
      </c>
      <c r="AK211" s="238" t="s">
        <v>141</v>
      </c>
      <c r="AL211" t="s">
        <v>8715</v>
      </c>
      <c r="AM211" t="s">
        <v>1167</v>
      </c>
    </row>
    <row r="212" spans="1:39" hidden="1" x14ac:dyDescent="0.25">
      <c r="A212">
        <v>208</v>
      </c>
      <c r="B212">
        <v>14</v>
      </c>
      <c r="C212" s="24">
        <v>44097</v>
      </c>
      <c r="D212" s="238" t="s">
        <v>20</v>
      </c>
      <c r="E212" s="238" t="s">
        <v>5</v>
      </c>
      <c r="F212">
        <v>3</v>
      </c>
      <c r="G212">
        <v>2</v>
      </c>
      <c r="H212">
        <v>153</v>
      </c>
      <c r="I212" s="238" t="s">
        <v>42</v>
      </c>
      <c r="J212">
        <v>42.29</v>
      </c>
      <c r="K212" s="238" t="s">
        <v>36</v>
      </c>
      <c r="L212">
        <v>1992017.3</v>
      </c>
      <c r="M212">
        <v>0</v>
      </c>
      <c r="N212">
        <v>1992017.3</v>
      </c>
      <c r="O212">
        <v>47103.743201702535</v>
      </c>
      <c r="P212">
        <v>21145</v>
      </c>
      <c r="Q212">
        <v>1970872.3</v>
      </c>
      <c r="R212">
        <v>46603.743201702535</v>
      </c>
      <c r="S212" s="238" t="s">
        <v>121</v>
      </c>
      <c r="T212" s="238" t="s">
        <v>3536</v>
      </c>
      <c r="U212">
        <v>40221.89</v>
      </c>
      <c r="V212" t="s">
        <v>1167</v>
      </c>
      <c r="W212" s="24">
        <v>44090</v>
      </c>
      <c r="X212" s="238" t="s">
        <v>343</v>
      </c>
      <c r="Y212" s="238" t="s">
        <v>39</v>
      </c>
      <c r="Z212" s="238" t="s">
        <v>1168</v>
      </c>
      <c r="AA212" t="s">
        <v>1167</v>
      </c>
      <c r="AB212" s="238" t="s">
        <v>3246</v>
      </c>
      <c r="AC212" t="s">
        <v>4246</v>
      </c>
      <c r="AD212" s="24"/>
      <c r="AE212" s="238" t="s">
        <v>1574</v>
      </c>
      <c r="AF212">
        <v>79376469665</v>
      </c>
      <c r="AG212" s="238" t="s">
        <v>1575</v>
      </c>
      <c r="AH212" s="238" t="s">
        <v>135</v>
      </c>
      <c r="AI212" s="238" t="s">
        <v>3099</v>
      </c>
      <c r="AJ212" s="238" t="s">
        <v>130</v>
      </c>
      <c r="AK212" s="238" t="s">
        <v>1167</v>
      </c>
      <c r="AL212" t="s">
        <v>8715</v>
      </c>
      <c r="AM212" t="s">
        <v>1167</v>
      </c>
    </row>
    <row r="213" spans="1:39" hidden="1" x14ac:dyDescent="0.25">
      <c r="A213">
        <v>209</v>
      </c>
      <c r="B213">
        <v>15</v>
      </c>
      <c r="C213" s="24">
        <v>44097</v>
      </c>
      <c r="D213" s="238" t="s">
        <v>20</v>
      </c>
      <c r="E213" s="238" t="s">
        <v>16</v>
      </c>
      <c r="F213">
        <v>2</v>
      </c>
      <c r="G213">
        <v>2</v>
      </c>
      <c r="H213">
        <v>313</v>
      </c>
      <c r="I213" s="238" t="s">
        <v>44</v>
      </c>
      <c r="J213">
        <v>89.8</v>
      </c>
      <c r="K213" s="238" t="s">
        <v>37</v>
      </c>
      <c r="L213">
        <v>4442809.2</v>
      </c>
      <c r="M213">
        <v>0</v>
      </c>
      <c r="N213">
        <v>4442809.2</v>
      </c>
      <c r="O213">
        <v>49474.489977728292</v>
      </c>
      <c r="P213">
        <v>422060</v>
      </c>
      <c r="Q213">
        <v>4020749.2</v>
      </c>
      <c r="R213">
        <v>44774.489977728292</v>
      </c>
      <c r="S213" s="238" t="s">
        <v>137</v>
      </c>
      <c r="T213" s="238" t="s">
        <v>1167</v>
      </c>
      <c r="V213" t="s">
        <v>1167</v>
      </c>
      <c r="W213" s="24">
        <v>44090</v>
      </c>
      <c r="X213" s="238" t="s">
        <v>340</v>
      </c>
      <c r="Y213" s="238" t="s">
        <v>39</v>
      </c>
      <c r="Z213" s="238" t="s">
        <v>1340</v>
      </c>
      <c r="AA213" t="s">
        <v>1167</v>
      </c>
      <c r="AB213" s="238" t="s">
        <v>3246</v>
      </c>
      <c r="AC213" t="s">
        <v>3079</v>
      </c>
      <c r="AD213" s="24"/>
      <c r="AE213" s="238" t="s">
        <v>1576</v>
      </c>
      <c r="AF213">
        <v>79276551273</v>
      </c>
      <c r="AG213" s="238" t="s">
        <v>1577</v>
      </c>
      <c r="AH213" s="238" t="s">
        <v>1212</v>
      </c>
      <c r="AI213" s="238" t="s">
        <v>3102</v>
      </c>
      <c r="AJ213" s="238" t="s">
        <v>120</v>
      </c>
      <c r="AK213" s="238" t="s">
        <v>141</v>
      </c>
      <c r="AL213" t="s">
        <v>8715</v>
      </c>
      <c r="AM213" t="s">
        <v>1167</v>
      </c>
    </row>
    <row r="214" spans="1:39" hidden="1" x14ac:dyDescent="0.25">
      <c r="A214">
        <v>210</v>
      </c>
      <c r="B214">
        <v>16</v>
      </c>
      <c r="C214" s="24">
        <v>44097</v>
      </c>
      <c r="D214" s="238" t="s">
        <v>20</v>
      </c>
      <c r="E214" s="238" t="s">
        <v>6</v>
      </c>
      <c r="F214">
        <v>10</v>
      </c>
      <c r="G214">
        <v>11</v>
      </c>
      <c r="H214">
        <v>100</v>
      </c>
      <c r="I214" s="238" t="s">
        <v>43</v>
      </c>
      <c r="J214">
        <v>65.540000000000006</v>
      </c>
      <c r="K214" s="238" t="s">
        <v>37</v>
      </c>
      <c r="L214">
        <v>3242558.07</v>
      </c>
      <c r="M214">
        <v>0</v>
      </c>
      <c r="N214">
        <v>3242558.07</v>
      </c>
      <c r="O214">
        <v>49474.489929813848</v>
      </c>
      <c r="P214">
        <v>308038</v>
      </c>
      <c r="Q214">
        <v>2934520.07</v>
      </c>
      <c r="R214">
        <v>44774.489929813848</v>
      </c>
      <c r="S214" s="238" t="s">
        <v>137</v>
      </c>
      <c r="T214" s="238" t="s">
        <v>1167</v>
      </c>
      <c r="V214" t="s">
        <v>1167</v>
      </c>
      <c r="W214" s="24">
        <v>44096</v>
      </c>
      <c r="X214" s="238" t="s">
        <v>342</v>
      </c>
      <c r="Y214" s="238" t="s">
        <v>39</v>
      </c>
      <c r="Z214" s="238" t="s">
        <v>1340</v>
      </c>
      <c r="AA214" t="s">
        <v>1167</v>
      </c>
      <c r="AB214" s="238" t="s">
        <v>3246</v>
      </c>
      <c r="AC214" t="s">
        <v>3079</v>
      </c>
      <c r="AD214" s="24"/>
      <c r="AE214" s="238" t="s">
        <v>1578</v>
      </c>
      <c r="AF214">
        <v>79376501978</v>
      </c>
      <c r="AG214" s="238" t="s">
        <v>1579</v>
      </c>
      <c r="AH214" s="238" t="s">
        <v>1212</v>
      </c>
      <c r="AI214" s="238" t="s">
        <v>3095</v>
      </c>
      <c r="AJ214" s="238" t="s">
        <v>130</v>
      </c>
      <c r="AK214" s="238" t="s">
        <v>141</v>
      </c>
      <c r="AL214" t="s">
        <v>8715</v>
      </c>
      <c r="AM214" t="s">
        <v>1167</v>
      </c>
    </row>
    <row r="215" spans="1:39" hidden="1" x14ac:dyDescent="0.25">
      <c r="A215">
        <v>211</v>
      </c>
      <c r="B215">
        <v>17</v>
      </c>
      <c r="C215" s="24">
        <v>44098</v>
      </c>
      <c r="D215" s="238" t="s">
        <v>20</v>
      </c>
      <c r="E215" s="238" t="s">
        <v>5</v>
      </c>
      <c r="F215">
        <v>1</v>
      </c>
      <c r="G215">
        <v>16</v>
      </c>
      <c r="H215">
        <v>249</v>
      </c>
      <c r="I215" s="238" t="s">
        <v>44</v>
      </c>
      <c r="J215">
        <v>89.56</v>
      </c>
      <c r="K215" s="238" t="s">
        <v>37</v>
      </c>
      <c r="L215">
        <v>4415935.32</v>
      </c>
      <c r="M215">
        <v>15000</v>
      </c>
      <c r="N215">
        <v>4430935.32</v>
      </c>
      <c r="O215">
        <v>49474.489950870928</v>
      </c>
      <c r="P215">
        <v>420932</v>
      </c>
      <c r="Q215">
        <v>4010003.3200000003</v>
      </c>
      <c r="R215">
        <v>44774.489950870928</v>
      </c>
      <c r="S215" s="238" t="s">
        <v>137</v>
      </c>
      <c r="T215" s="238" t="s">
        <v>1167</v>
      </c>
      <c r="V215" t="s">
        <v>1167</v>
      </c>
      <c r="W215" s="24">
        <v>44084</v>
      </c>
      <c r="X215" s="238" t="s">
        <v>344</v>
      </c>
      <c r="Y215" s="238" t="s">
        <v>39</v>
      </c>
      <c r="Z215" s="238" t="s">
        <v>1340</v>
      </c>
      <c r="AA215" t="s">
        <v>1167</v>
      </c>
      <c r="AB215" s="238" t="s">
        <v>3246</v>
      </c>
      <c r="AC215" t="s">
        <v>3079</v>
      </c>
      <c r="AD215" s="24"/>
      <c r="AE215" s="238" t="s">
        <v>1580</v>
      </c>
      <c r="AF215">
        <v>79370701525</v>
      </c>
      <c r="AG215" s="238" t="s">
        <v>1581</v>
      </c>
      <c r="AH215" s="238" t="s">
        <v>1212</v>
      </c>
      <c r="AI215" s="238" t="s">
        <v>135</v>
      </c>
      <c r="AJ215" s="238" t="s">
        <v>120</v>
      </c>
      <c r="AK215" s="238" t="s">
        <v>141</v>
      </c>
      <c r="AL215" t="s">
        <v>8715</v>
      </c>
      <c r="AM215" t="s">
        <v>1167</v>
      </c>
    </row>
    <row r="216" spans="1:39" hidden="1" x14ac:dyDescent="0.25">
      <c r="A216">
        <v>212</v>
      </c>
      <c r="B216">
        <v>18</v>
      </c>
      <c r="C216" s="24">
        <v>44098</v>
      </c>
      <c r="D216" s="238" t="s">
        <v>20</v>
      </c>
      <c r="E216" s="238" t="s">
        <v>16</v>
      </c>
      <c r="F216">
        <v>2</v>
      </c>
      <c r="G216">
        <v>4</v>
      </c>
      <c r="H216">
        <v>329</v>
      </c>
      <c r="I216" s="238" t="s">
        <v>44</v>
      </c>
      <c r="J216">
        <v>89.8</v>
      </c>
      <c r="K216" s="238" t="s">
        <v>38</v>
      </c>
      <c r="L216">
        <v>5412649.2000000002</v>
      </c>
      <c r="M216">
        <v>0</v>
      </c>
      <c r="N216">
        <v>5412649.2000000002</v>
      </c>
      <c r="O216">
        <v>60274.489977728292</v>
      </c>
      <c r="P216">
        <v>1391900</v>
      </c>
      <c r="Q216">
        <v>4020749.2</v>
      </c>
      <c r="R216">
        <v>44774.489977728292</v>
      </c>
      <c r="S216" s="238" t="s">
        <v>137</v>
      </c>
      <c r="T216" s="238" t="s">
        <v>1167</v>
      </c>
      <c r="V216" t="s">
        <v>1167</v>
      </c>
      <c r="W216" s="24">
        <v>44090</v>
      </c>
      <c r="X216" s="238" t="s">
        <v>345</v>
      </c>
      <c r="Y216" s="238" t="s">
        <v>39</v>
      </c>
      <c r="Z216" s="238" t="s">
        <v>1340</v>
      </c>
      <c r="AA216" t="s">
        <v>1167</v>
      </c>
      <c r="AB216" s="238" t="s">
        <v>3246</v>
      </c>
      <c r="AC216" t="s">
        <v>3079</v>
      </c>
      <c r="AD216" s="24"/>
      <c r="AE216" s="238" t="s">
        <v>1582</v>
      </c>
      <c r="AF216">
        <v>79879502594</v>
      </c>
      <c r="AG216" s="238" t="s">
        <v>1583</v>
      </c>
      <c r="AH216" s="238" t="s">
        <v>1212</v>
      </c>
      <c r="AI216" s="238" t="s">
        <v>3085</v>
      </c>
      <c r="AJ216" s="238" t="s">
        <v>120</v>
      </c>
      <c r="AK216" s="238" t="s">
        <v>162</v>
      </c>
      <c r="AL216" t="s">
        <v>8715</v>
      </c>
      <c r="AM216" t="s">
        <v>1167</v>
      </c>
    </row>
    <row r="217" spans="1:39" hidden="1" x14ac:dyDescent="0.25">
      <c r="A217">
        <v>213</v>
      </c>
      <c r="B217">
        <v>19</v>
      </c>
      <c r="C217" s="24">
        <v>44098</v>
      </c>
      <c r="D217" s="238" t="s">
        <v>20</v>
      </c>
      <c r="E217" s="238" t="s">
        <v>6</v>
      </c>
      <c r="F217">
        <v>8</v>
      </c>
      <c r="G217">
        <v>4</v>
      </c>
      <c r="H217">
        <v>28</v>
      </c>
      <c r="I217" s="238" t="s">
        <v>42</v>
      </c>
      <c r="J217">
        <v>47.97</v>
      </c>
      <c r="K217" s="238" t="s">
        <v>36</v>
      </c>
      <c r="L217">
        <v>2340635.4</v>
      </c>
      <c r="M217">
        <v>0</v>
      </c>
      <c r="N217">
        <v>2340635.4</v>
      </c>
      <c r="O217">
        <v>48793.73358348968</v>
      </c>
      <c r="P217">
        <v>23985</v>
      </c>
      <c r="Q217">
        <v>2316650.4</v>
      </c>
      <c r="R217">
        <v>48293.73358348968</v>
      </c>
      <c r="S217" s="238" t="s">
        <v>137</v>
      </c>
      <c r="T217" s="238" t="s">
        <v>3536</v>
      </c>
      <c r="U217">
        <v>47278.58</v>
      </c>
      <c r="V217" t="s">
        <v>1167</v>
      </c>
      <c r="W217" s="24">
        <v>44094</v>
      </c>
      <c r="X217" s="238" t="s">
        <v>346</v>
      </c>
      <c r="Y217" s="238" t="s">
        <v>39</v>
      </c>
      <c r="Z217" s="238" t="s">
        <v>1340</v>
      </c>
      <c r="AA217" t="s">
        <v>1167</v>
      </c>
      <c r="AB217" s="238" t="s">
        <v>3246</v>
      </c>
      <c r="AC217" t="s">
        <v>3079</v>
      </c>
      <c r="AD217" s="24"/>
      <c r="AE217" s="238" t="s">
        <v>1584</v>
      </c>
      <c r="AF217">
        <v>79371841228</v>
      </c>
      <c r="AG217" s="238" t="s">
        <v>1585</v>
      </c>
      <c r="AH217" s="238" t="s">
        <v>1171</v>
      </c>
      <c r="AI217" s="238" t="s">
        <v>135</v>
      </c>
      <c r="AJ217" s="238" t="s">
        <v>130</v>
      </c>
      <c r="AK217" s="238" t="s">
        <v>141</v>
      </c>
      <c r="AL217" t="s">
        <v>8715</v>
      </c>
      <c r="AM217" t="s">
        <v>1167</v>
      </c>
    </row>
    <row r="218" spans="1:39" hidden="1" x14ac:dyDescent="0.25">
      <c r="A218">
        <v>214</v>
      </c>
      <c r="B218">
        <v>20</v>
      </c>
      <c r="C218" s="24">
        <v>44099</v>
      </c>
      <c r="D218" s="238" t="s">
        <v>20</v>
      </c>
      <c r="E218" s="238" t="s">
        <v>6</v>
      </c>
      <c r="F218">
        <v>7</v>
      </c>
      <c r="G218">
        <v>15</v>
      </c>
      <c r="H218">
        <v>137</v>
      </c>
      <c r="I218" s="238" t="s">
        <v>42</v>
      </c>
      <c r="J218">
        <v>41.95</v>
      </c>
      <c r="K218" s="238" t="s">
        <v>36</v>
      </c>
      <c r="L218">
        <v>1468250</v>
      </c>
      <c r="M218">
        <v>0</v>
      </c>
      <c r="N218">
        <v>1468250</v>
      </c>
      <c r="O218">
        <v>35000</v>
      </c>
      <c r="P218">
        <v>20975</v>
      </c>
      <c r="Q218">
        <v>1447275</v>
      </c>
      <c r="R218">
        <v>34500</v>
      </c>
      <c r="S218" s="238" t="s">
        <v>121</v>
      </c>
      <c r="T218" s="238" t="s">
        <v>350</v>
      </c>
      <c r="U218">
        <v>15.44</v>
      </c>
      <c r="V218" t="s">
        <v>1167</v>
      </c>
      <c r="W218" s="24">
        <v>44104</v>
      </c>
      <c r="X218" s="238" t="s">
        <v>349</v>
      </c>
      <c r="Y218" s="238" t="s">
        <v>39</v>
      </c>
      <c r="Z218" s="238" t="s">
        <v>1168</v>
      </c>
      <c r="AA218" t="s">
        <v>1167</v>
      </c>
      <c r="AB218" s="238" t="s">
        <v>3246</v>
      </c>
      <c r="AC218" t="s">
        <v>4246</v>
      </c>
      <c r="AD218" s="24"/>
      <c r="AE218" s="238" t="s">
        <v>1586</v>
      </c>
      <c r="AG218" s="238" t="s">
        <v>1587</v>
      </c>
      <c r="AH218" s="238" t="s">
        <v>1171</v>
      </c>
      <c r="AI218" s="238" t="s">
        <v>3094</v>
      </c>
      <c r="AJ218" s="238" t="s">
        <v>130</v>
      </c>
      <c r="AK218" s="238" t="s">
        <v>1167</v>
      </c>
      <c r="AL218" t="s">
        <v>8715</v>
      </c>
      <c r="AM218" t="s">
        <v>1167</v>
      </c>
    </row>
    <row r="219" spans="1:39" hidden="1" x14ac:dyDescent="0.25">
      <c r="A219">
        <v>215</v>
      </c>
      <c r="B219">
        <v>21</v>
      </c>
      <c r="C219" s="24">
        <v>44099</v>
      </c>
      <c r="D219" s="238" t="s">
        <v>20</v>
      </c>
      <c r="E219" s="238" t="s">
        <v>6</v>
      </c>
      <c r="F219">
        <v>3</v>
      </c>
      <c r="G219">
        <v>13</v>
      </c>
      <c r="H219">
        <v>113</v>
      </c>
      <c r="I219" s="238" t="s">
        <v>43</v>
      </c>
      <c r="J219">
        <v>67.16</v>
      </c>
      <c r="K219" s="238" t="s">
        <v>36</v>
      </c>
      <c r="L219">
        <v>3227007.11</v>
      </c>
      <c r="M219">
        <v>0</v>
      </c>
      <c r="N219">
        <v>3227007.11</v>
      </c>
      <c r="O219">
        <v>48049.540053603334</v>
      </c>
      <c r="P219">
        <v>33580</v>
      </c>
      <c r="Q219">
        <v>3193427.11</v>
      </c>
      <c r="R219">
        <v>47549.540053603334</v>
      </c>
      <c r="S219" s="238" t="s">
        <v>124</v>
      </c>
      <c r="T219" s="238" t="s">
        <v>1167</v>
      </c>
      <c r="V219" t="s">
        <v>1167</v>
      </c>
      <c r="W219" s="24">
        <v>44098</v>
      </c>
      <c r="X219" s="238" t="s">
        <v>347</v>
      </c>
      <c r="Y219" s="238" t="s">
        <v>39</v>
      </c>
      <c r="Z219" s="238" t="s">
        <v>1168</v>
      </c>
      <c r="AA219" t="s">
        <v>1167</v>
      </c>
      <c r="AB219" s="238" t="s">
        <v>3246</v>
      </c>
      <c r="AC219" t="s">
        <v>4246</v>
      </c>
      <c r="AD219" s="24"/>
      <c r="AE219" s="238" t="s">
        <v>1588</v>
      </c>
      <c r="AF219">
        <v>79033349220</v>
      </c>
      <c r="AG219" s="238" t="s">
        <v>1589</v>
      </c>
      <c r="AH219" s="238" t="s">
        <v>1212</v>
      </c>
      <c r="AI219" s="238" t="s">
        <v>3088</v>
      </c>
      <c r="AJ219" s="238" t="s">
        <v>130</v>
      </c>
      <c r="AK219" s="238" t="s">
        <v>1167</v>
      </c>
      <c r="AL219" t="s">
        <v>8715</v>
      </c>
      <c r="AM219" t="s">
        <v>1167</v>
      </c>
    </row>
    <row r="220" spans="1:39" hidden="1" x14ac:dyDescent="0.25">
      <c r="A220">
        <v>216</v>
      </c>
      <c r="B220">
        <v>22</v>
      </c>
      <c r="C220" s="24">
        <v>44099</v>
      </c>
      <c r="D220" s="238" t="s">
        <v>20</v>
      </c>
      <c r="E220" s="238" t="s">
        <v>5</v>
      </c>
      <c r="F220">
        <v>5</v>
      </c>
      <c r="G220">
        <v>4</v>
      </c>
      <c r="H220">
        <v>169</v>
      </c>
      <c r="I220" s="238" t="s">
        <v>44</v>
      </c>
      <c r="J220">
        <v>78.03</v>
      </c>
      <c r="K220" s="238" t="s">
        <v>36</v>
      </c>
      <c r="L220">
        <v>3443239.95</v>
      </c>
      <c r="M220">
        <v>0</v>
      </c>
      <c r="N220">
        <v>3443239.95</v>
      </c>
      <c r="O220">
        <v>44127.129950019225</v>
      </c>
      <c r="P220">
        <v>39015</v>
      </c>
      <c r="Q220">
        <v>3404224.95</v>
      </c>
      <c r="R220">
        <v>43627.129950019225</v>
      </c>
      <c r="S220" s="238" t="s">
        <v>137</v>
      </c>
      <c r="T220" s="238" t="s">
        <v>1167</v>
      </c>
      <c r="V220" t="s">
        <v>1167</v>
      </c>
      <c r="W220" s="24">
        <v>44098</v>
      </c>
      <c r="X220" s="238" t="s">
        <v>348</v>
      </c>
      <c r="Y220" s="238" t="s">
        <v>39</v>
      </c>
      <c r="Z220" s="238" t="s">
        <v>1340</v>
      </c>
      <c r="AA220" t="s">
        <v>1167</v>
      </c>
      <c r="AB220" s="238" t="s">
        <v>3246</v>
      </c>
      <c r="AC220" t="s">
        <v>3077</v>
      </c>
      <c r="AD220" s="24"/>
      <c r="AE220" s="238" t="s">
        <v>1590</v>
      </c>
      <c r="AF220">
        <v>79171079089</v>
      </c>
      <c r="AG220" s="238" t="s">
        <v>1591</v>
      </c>
      <c r="AH220" s="238" t="s">
        <v>1212</v>
      </c>
      <c r="AI220" s="238" t="s">
        <v>3095</v>
      </c>
      <c r="AJ220" s="238" t="s">
        <v>130</v>
      </c>
      <c r="AK220" s="238" t="s">
        <v>162</v>
      </c>
      <c r="AL220" t="s">
        <v>8715</v>
      </c>
      <c r="AM220" t="s">
        <v>1167</v>
      </c>
    </row>
    <row r="221" spans="1:39" hidden="1" x14ac:dyDescent="0.25">
      <c r="A221">
        <v>217</v>
      </c>
      <c r="B221">
        <v>23</v>
      </c>
      <c r="C221" s="24">
        <v>44100</v>
      </c>
      <c r="D221" s="238" t="s">
        <v>20</v>
      </c>
      <c r="E221" s="238" t="s">
        <v>6</v>
      </c>
      <c r="F221">
        <v>9</v>
      </c>
      <c r="G221">
        <v>13</v>
      </c>
      <c r="H221">
        <v>119</v>
      </c>
      <c r="I221" s="238" t="s">
        <v>43</v>
      </c>
      <c r="J221">
        <v>66.14</v>
      </c>
      <c r="K221" s="238" t="s">
        <v>36</v>
      </c>
      <c r="L221">
        <v>2979454.77</v>
      </c>
      <c r="M221">
        <v>15000</v>
      </c>
      <c r="N221">
        <v>2994454.77</v>
      </c>
      <c r="O221">
        <v>45274.490021167221</v>
      </c>
      <c r="P221">
        <v>33070</v>
      </c>
      <c r="Q221">
        <v>2961384.77</v>
      </c>
      <c r="R221">
        <v>44774.490021167221</v>
      </c>
      <c r="S221" s="238" t="s">
        <v>137</v>
      </c>
      <c r="T221" s="238" t="s">
        <v>1167</v>
      </c>
      <c r="V221" t="s">
        <v>1167</v>
      </c>
      <c r="W221" s="24">
        <v>44083</v>
      </c>
      <c r="X221" s="238" t="s">
        <v>352</v>
      </c>
      <c r="Y221" s="238" t="s">
        <v>39</v>
      </c>
      <c r="Z221" s="238" t="s">
        <v>1340</v>
      </c>
      <c r="AA221" t="s">
        <v>1167</v>
      </c>
      <c r="AB221" s="238" t="s">
        <v>3246</v>
      </c>
      <c r="AC221" t="s">
        <v>3079</v>
      </c>
      <c r="AD221" s="24"/>
      <c r="AE221" s="238" t="s">
        <v>1592</v>
      </c>
      <c r="AF221">
        <v>79295504650</v>
      </c>
      <c r="AG221" s="238" t="s">
        <v>1593</v>
      </c>
      <c r="AH221" s="238" t="s">
        <v>1212</v>
      </c>
      <c r="AI221" s="238" t="s">
        <v>135</v>
      </c>
      <c r="AJ221" s="238" t="s">
        <v>120</v>
      </c>
      <c r="AK221" s="238" t="s">
        <v>141</v>
      </c>
      <c r="AL221" t="s">
        <v>8715</v>
      </c>
      <c r="AM221" t="s">
        <v>1167</v>
      </c>
    </row>
    <row r="222" spans="1:39" hidden="1" x14ac:dyDescent="0.25">
      <c r="A222">
        <v>218</v>
      </c>
      <c r="B222">
        <v>24</v>
      </c>
      <c r="C222" s="24">
        <v>44100</v>
      </c>
      <c r="D222" s="238" t="s">
        <v>20</v>
      </c>
      <c r="E222" s="238" t="s">
        <v>16</v>
      </c>
      <c r="F222">
        <v>5</v>
      </c>
      <c r="G222">
        <v>3</v>
      </c>
      <c r="H222">
        <v>324</v>
      </c>
      <c r="I222" s="238" t="s">
        <v>43</v>
      </c>
      <c r="J222">
        <v>60.9</v>
      </c>
      <c r="K222" s="238" t="s">
        <v>36</v>
      </c>
      <c r="L222">
        <v>2896965.5</v>
      </c>
      <c r="M222">
        <v>0</v>
      </c>
      <c r="N222">
        <v>2896965.5</v>
      </c>
      <c r="O222">
        <v>47569.220032840727</v>
      </c>
      <c r="P222">
        <v>30450</v>
      </c>
      <c r="Q222">
        <v>2866515.5</v>
      </c>
      <c r="R222">
        <v>47069.220032840727</v>
      </c>
      <c r="S222" s="238" t="s">
        <v>137</v>
      </c>
      <c r="T222" s="238" t="s">
        <v>1167</v>
      </c>
      <c r="V222" t="s">
        <v>1167</v>
      </c>
      <c r="W222" s="24">
        <v>44096</v>
      </c>
      <c r="X222" s="238" t="s">
        <v>353</v>
      </c>
      <c r="Y222" s="238" t="s">
        <v>39</v>
      </c>
      <c r="Z222" s="238" t="s">
        <v>1340</v>
      </c>
      <c r="AA222" t="s">
        <v>1167</v>
      </c>
      <c r="AB222" s="238" t="s">
        <v>3246</v>
      </c>
      <c r="AC222" t="s">
        <v>3079</v>
      </c>
      <c r="AD222" s="24"/>
      <c r="AE222" s="238" t="s">
        <v>1594</v>
      </c>
      <c r="AF222">
        <v>79608457483</v>
      </c>
      <c r="AG222" s="238" t="s">
        <v>1595</v>
      </c>
      <c r="AH222" s="238" t="s">
        <v>1171</v>
      </c>
      <c r="AI222" s="238" t="s">
        <v>3074</v>
      </c>
      <c r="AJ222" s="238" t="s">
        <v>126</v>
      </c>
      <c r="AK222" s="238" t="s">
        <v>141</v>
      </c>
      <c r="AL222" t="s">
        <v>8715</v>
      </c>
      <c r="AM222" t="s">
        <v>1167</v>
      </c>
    </row>
    <row r="223" spans="1:39" hidden="1" x14ac:dyDescent="0.25">
      <c r="A223">
        <v>219</v>
      </c>
      <c r="B223">
        <v>25</v>
      </c>
      <c r="C223" s="24">
        <v>44100</v>
      </c>
      <c r="D223" s="238" t="s">
        <v>20</v>
      </c>
      <c r="E223" s="238" t="s">
        <v>5</v>
      </c>
      <c r="F223">
        <v>5</v>
      </c>
      <c r="G223">
        <v>9</v>
      </c>
      <c r="H223">
        <v>204</v>
      </c>
      <c r="I223" s="238" t="s">
        <v>44</v>
      </c>
      <c r="J223">
        <v>78.03</v>
      </c>
      <c r="K223" s="238" t="s">
        <v>36</v>
      </c>
      <c r="L223">
        <v>3428239.95</v>
      </c>
      <c r="M223">
        <v>15000</v>
      </c>
      <c r="N223">
        <v>3443239.95</v>
      </c>
      <c r="O223">
        <v>44127.129950019225</v>
      </c>
      <c r="P223">
        <v>39015</v>
      </c>
      <c r="Q223">
        <v>3404224.95</v>
      </c>
      <c r="R223">
        <v>43627.129950019225</v>
      </c>
      <c r="S223" s="238" t="s">
        <v>137</v>
      </c>
      <c r="T223" s="238" t="s">
        <v>1167</v>
      </c>
      <c r="V223" t="s">
        <v>1167</v>
      </c>
      <c r="W223" s="24">
        <v>44100</v>
      </c>
      <c r="X223" s="238" t="s">
        <v>351</v>
      </c>
      <c r="Y223" s="238" t="s">
        <v>39</v>
      </c>
      <c r="Z223" s="238" t="s">
        <v>1340</v>
      </c>
      <c r="AA223" t="s">
        <v>1167</v>
      </c>
      <c r="AB223" s="238" t="s">
        <v>3246</v>
      </c>
      <c r="AC223" t="s">
        <v>3079</v>
      </c>
      <c r="AD223" s="24"/>
      <c r="AE223" s="238" t="s">
        <v>1596</v>
      </c>
      <c r="AF223">
        <v>79277509595</v>
      </c>
      <c r="AG223" s="238" t="s">
        <v>1597</v>
      </c>
      <c r="AH223" s="238" t="s">
        <v>1197</v>
      </c>
      <c r="AI223" s="238" t="s">
        <v>3085</v>
      </c>
      <c r="AJ223" s="238" t="s">
        <v>120</v>
      </c>
      <c r="AK223" s="238" t="s">
        <v>162</v>
      </c>
      <c r="AL223" t="s">
        <v>8715</v>
      </c>
      <c r="AM223" t="s">
        <v>1167</v>
      </c>
    </row>
    <row r="224" spans="1:39" hidden="1" x14ac:dyDescent="0.25">
      <c r="A224">
        <v>220</v>
      </c>
      <c r="B224">
        <v>26</v>
      </c>
      <c r="C224" s="24">
        <v>44102</v>
      </c>
      <c r="D224" s="238" t="s">
        <v>20</v>
      </c>
      <c r="E224" s="238" t="s">
        <v>6</v>
      </c>
      <c r="F224">
        <v>7</v>
      </c>
      <c r="G224">
        <v>3</v>
      </c>
      <c r="H224">
        <v>17</v>
      </c>
      <c r="I224" s="238" t="s">
        <v>42</v>
      </c>
      <c r="J224">
        <v>42.32</v>
      </c>
      <c r="K224" s="238" t="s">
        <v>36</v>
      </c>
      <c r="L224">
        <v>2169226.0099999998</v>
      </c>
      <c r="M224">
        <v>0</v>
      </c>
      <c r="N224">
        <v>2169226.0099999998</v>
      </c>
      <c r="O224">
        <v>51257.703449905479</v>
      </c>
      <c r="P224">
        <v>21160</v>
      </c>
      <c r="Q224">
        <v>2148066.0099999998</v>
      </c>
      <c r="R224">
        <v>50757.703449905479</v>
      </c>
      <c r="S224" s="238" t="s">
        <v>137</v>
      </c>
      <c r="T224" s="238" t="s">
        <v>1167</v>
      </c>
      <c r="V224" t="s">
        <v>1167</v>
      </c>
      <c r="W224" s="24">
        <v>44100</v>
      </c>
      <c r="X224" s="238" t="s">
        <v>354</v>
      </c>
      <c r="Y224" s="238" t="s">
        <v>39</v>
      </c>
      <c r="Z224" s="238" t="s">
        <v>1340</v>
      </c>
      <c r="AA224" t="s">
        <v>1167</v>
      </c>
      <c r="AB224" s="238" t="s">
        <v>3246</v>
      </c>
      <c r="AC224" t="s">
        <v>3079</v>
      </c>
      <c r="AD224" s="24"/>
      <c r="AE224" s="238" t="s">
        <v>1598</v>
      </c>
      <c r="AF224">
        <v>79276891285</v>
      </c>
      <c r="AG224" s="238" t="s">
        <v>1599</v>
      </c>
      <c r="AH224" s="238" t="s">
        <v>1197</v>
      </c>
      <c r="AI224" s="238" t="s">
        <v>3103</v>
      </c>
      <c r="AJ224" s="238" t="s">
        <v>399</v>
      </c>
      <c r="AK224" s="238" t="s">
        <v>162</v>
      </c>
      <c r="AL224" t="s">
        <v>8715</v>
      </c>
      <c r="AM224" t="s">
        <v>1167</v>
      </c>
    </row>
    <row r="225" spans="1:39" hidden="1" x14ac:dyDescent="0.25">
      <c r="A225">
        <v>221</v>
      </c>
      <c r="B225">
        <v>27</v>
      </c>
      <c r="C225" s="24">
        <v>44102</v>
      </c>
      <c r="D225" s="238" t="s">
        <v>20</v>
      </c>
      <c r="E225" s="238" t="s">
        <v>6</v>
      </c>
      <c r="F225">
        <v>7</v>
      </c>
      <c r="G225">
        <v>7</v>
      </c>
      <c r="H225">
        <v>57</v>
      </c>
      <c r="I225" s="238" t="s">
        <v>42</v>
      </c>
      <c r="J225">
        <v>42.32</v>
      </c>
      <c r="K225" s="238" t="s">
        <v>37</v>
      </c>
      <c r="L225">
        <v>2446417.21</v>
      </c>
      <c r="M225">
        <v>0</v>
      </c>
      <c r="N225">
        <v>2446417.21</v>
      </c>
      <c r="O225">
        <v>57807.590028355386</v>
      </c>
      <c r="P225">
        <v>198904</v>
      </c>
      <c r="Q225">
        <v>2247513.21</v>
      </c>
      <c r="R225">
        <v>53107.590028355386</v>
      </c>
      <c r="S225" s="238" t="s">
        <v>137</v>
      </c>
      <c r="T225" s="238" t="s">
        <v>1167</v>
      </c>
      <c r="V225" t="s">
        <v>1167</v>
      </c>
      <c r="W225" s="24">
        <v>44101</v>
      </c>
      <c r="X225" s="238" t="s">
        <v>356</v>
      </c>
      <c r="Y225" s="238" t="s">
        <v>39</v>
      </c>
      <c r="Z225" s="238" t="s">
        <v>1340</v>
      </c>
      <c r="AA225" t="s">
        <v>1167</v>
      </c>
      <c r="AB225" s="238" t="s">
        <v>3246</v>
      </c>
      <c r="AC225" t="s">
        <v>3079</v>
      </c>
      <c r="AD225" s="24"/>
      <c r="AE225" s="238" t="s">
        <v>1600</v>
      </c>
      <c r="AF225">
        <v>79179549256</v>
      </c>
      <c r="AG225" s="238" t="s">
        <v>1601</v>
      </c>
      <c r="AH225" s="238" t="s">
        <v>1212</v>
      </c>
      <c r="AI225" s="238" t="s">
        <v>3088</v>
      </c>
      <c r="AJ225" s="238" t="s">
        <v>126</v>
      </c>
      <c r="AK225" s="238" t="s">
        <v>162</v>
      </c>
      <c r="AL225" t="s">
        <v>8715</v>
      </c>
      <c r="AM225" t="s">
        <v>1167</v>
      </c>
    </row>
    <row r="226" spans="1:39" hidden="1" x14ac:dyDescent="0.25">
      <c r="A226">
        <v>222</v>
      </c>
      <c r="B226">
        <v>28</v>
      </c>
      <c r="C226" s="24">
        <v>44105</v>
      </c>
      <c r="D226" s="238" t="s">
        <v>20</v>
      </c>
      <c r="E226" s="238" t="s">
        <v>6</v>
      </c>
      <c r="F226">
        <v>6</v>
      </c>
      <c r="G226">
        <v>2</v>
      </c>
      <c r="H226">
        <v>6</v>
      </c>
      <c r="I226" s="238" t="s">
        <v>43</v>
      </c>
      <c r="J226">
        <v>63.93</v>
      </c>
      <c r="K226" s="238" t="s">
        <v>37</v>
      </c>
      <c r="L226">
        <v>3089553.42</v>
      </c>
      <c r="M226">
        <v>0</v>
      </c>
      <c r="N226">
        <v>3089553.42</v>
      </c>
      <c r="O226">
        <v>48327.129985922104</v>
      </c>
      <c r="P226">
        <v>300471</v>
      </c>
      <c r="Q226">
        <v>2789082.42</v>
      </c>
      <c r="R226">
        <v>43627.129985922104</v>
      </c>
      <c r="S226" s="238" t="s">
        <v>137</v>
      </c>
      <c r="T226" s="238" t="s">
        <v>1167</v>
      </c>
      <c r="V226" t="s">
        <v>1167</v>
      </c>
      <c r="W226" s="24">
        <v>44118</v>
      </c>
      <c r="X226" s="238" t="s">
        <v>357</v>
      </c>
      <c r="Y226" s="238" t="s">
        <v>39</v>
      </c>
      <c r="Z226" s="238" t="s">
        <v>1340</v>
      </c>
      <c r="AA226" t="s">
        <v>1167</v>
      </c>
      <c r="AB226" s="238" t="s">
        <v>3246</v>
      </c>
      <c r="AC226" t="s">
        <v>3079</v>
      </c>
      <c r="AD226" s="24"/>
      <c r="AE226" s="238" t="s">
        <v>1602</v>
      </c>
      <c r="AF226">
        <v>79068140909</v>
      </c>
      <c r="AG226" s="238" t="s">
        <v>1603</v>
      </c>
      <c r="AH226" s="238" t="s">
        <v>135</v>
      </c>
      <c r="AI226" s="238" t="s">
        <v>135</v>
      </c>
      <c r="AJ226" s="238" t="s">
        <v>126</v>
      </c>
      <c r="AK226" s="238" t="s">
        <v>141</v>
      </c>
      <c r="AL226" t="s">
        <v>8715</v>
      </c>
      <c r="AM226" t="s">
        <v>1167</v>
      </c>
    </row>
    <row r="227" spans="1:39" hidden="1" x14ac:dyDescent="0.25">
      <c r="A227">
        <v>223</v>
      </c>
      <c r="B227">
        <v>29</v>
      </c>
      <c r="C227" s="24">
        <v>44103</v>
      </c>
      <c r="D227" s="238" t="s">
        <v>20</v>
      </c>
      <c r="E227" s="238" t="s">
        <v>6</v>
      </c>
      <c r="F227">
        <v>7</v>
      </c>
      <c r="G227">
        <v>11</v>
      </c>
      <c r="H227">
        <v>97</v>
      </c>
      <c r="I227" s="238" t="s">
        <v>42</v>
      </c>
      <c r="J227">
        <v>42.32</v>
      </c>
      <c r="K227" s="238" t="s">
        <v>36</v>
      </c>
      <c r="L227">
        <v>2069778.52</v>
      </c>
      <c r="M227">
        <v>0</v>
      </c>
      <c r="N227">
        <v>2069778.52</v>
      </c>
      <c r="O227">
        <v>48907.81001890359</v>
      </c>
      <c r="P227">
        <v>21160</v>
      </c>
      <c r="Q227">
        <v>2048618.52</v>
      </c>
      <c r="R227">
        <v>48407.81001890359</v>
      </c>
      <c r="S227" s="238" t="s">
        <v>137</v>
      </c>
      <c r="T227" s="238" t="s">
        <v>1167</v>
      </c>
      <c r="V227" t="s">
        <v>1167</v>
      </c>
      <c r="W227" s="24">
        <v>44083</v>
      </c>
      <c r="X227" s="238" t="s">
        <v>360</v>
      </c>
      <c r="Y227" s="238" t="s">
        <v>39</v>
      </c>
      <c r="Z227" s="238" t="s">
        <v>1340</v>
      </c>
      <c r="AA227" t="s">
        <v>1167</v>
      </c>
      <c r="AB227" s="238" t="s">
        <v>3246</v>
      </c>
      <c r="AC227" t="s">
        <v>3079</v>
      </c>
      <c r="AD227" s="24"/>
      <c r="AE227" s="238" t="s">
        <v>1604</v>
      </c>
      <c r="AF227">
        <v>79371817722</v>
      </c>
      <c r="AG227" s="238" t="s">
        <v>1605</v>
      </c>
      <c r="AH227" s="238" t="s">
        <v>1171</v>
      </c>
      <c r="AI227" s="238" t="s">
        <v>135</v>
      </c>
      <c r="AJ227" s="238" t="s">
        <v>126</v>
      </c>
      <c r="AK227" s="238" t="s">
        <v>162</v>
      </c>
      <c r="AL227" t="s">
        <v>8715</v>
      </c>
      <c r="AM227" t="s">
        <v>1167</v>
      </c>
    </row>
    <row r="228" spans="1:39" hidden="1" x14ac:dyDescent="0.25">
      <c r="A228">
        <v>224</v>
      </c>
      <c r="B228">
        <v>30</v>
      </c>
      <c r="C228" s="24">
        <v>44103</v>
      </c>
      <c r="D228" s="238" t="s">
        <v>20</v>
      </c>
      <c r="E228" s="238" t="s">
        <v>16</v>
      </c>
      <c r="F228">
        <v>1</v>
      </c>
      <c r="G228">
        <v>5</v>
      </c>
      <c r="H228">
        <v>336</v>
      </c>
      <c r="I228" s="238" t="s">
        <v>43</v>
      </c>
      <c r="J228">
        <v>59.13</v>
      </c>
      <c r="K228" s="238" t="s">
        <v>36</v>
      </c>
      <c r="L228">
        <v>2983443.18</v>
      </c>
      <c r="M228">
        <v>0</v>
      </c>
      <c r="N228">
        <v>2983443.18</v>
      </c>
      <c r="O228">
        <v>50455.660071029932</v>
      </c>
      <c r="P228">
        <v>29565</v>
      </c>
      <c r="Q228">
        <v>2953878.18</v>
      </c>
      <c r="R228">
        <v>49955.660071029932</v>
      </c>
      <c r="S228" s="238" t="s">
        <v>137</v>
      </c>
      <c r="T228" s="238" t="s">
        <v>1167</v>
      </c>
      <c r="V228" t="s">
        <v>1167</v>
      </c>
      <c r="W228" s="24">
        <v>44097</v>
      </c>
      <c r="X228" s="238" t="s">
        <v>358</v>
      </c>
      <c r="Y228" s="238" t="s">
        <v>39</v>
      </c>
      <c r="Z228" s="238" t="s">
        <v>1340</v>
      </c>
      <c r="AA228" t="s">
        <v>1167</v>
      </c>
      <c r="AB228" s="238" t="s">
        <v>3246</v>
      </c>
      <c r="AC228" t="s">
        <v>3079</v>
      </c>
      <c r="AD228" s="24"/>
      <c r="AE228" s="238" t="s">
        <v>1606</v>
      </c>
      <c r="AF228">
        <v>79306669962</v>
      </c>
      <c r="AG228" s="238" t="s">
        <v>1607</v>
      </c>
      <c r="AH228" s="238" t="s">
        <v>1212</v>
      </c>
      <c r="AI228" s="238" t="s">
        <v>3086</v>
      </c>
      <c r="AJ228" s="238" t="s">
        <v>120</v>
      </c>
      <c r="AK228" s="238" t="s">
        <v>141</v>
      </c>
      <c r="AL228" t="s">
        <v>8715</v>
      </c>
      <c r="AM228" t="s">
        <v>1167</v>
      </c>
    </row>
    <row r="229" spans="1:39" hidden="1" x14ac:dyDescent="0.25">
      <c r="A229">
        <v>225</v>
      </c>
      <c r="B229">
        <v>31</v>
      </c>
      <c r="C229" s="24">
        <v>44103</v>
      </c>
      <c r="D229" s="238" t="s">
        <v>20</v>
      </c>
      <c r="E229" s="238" t="s">
        <v>6</v>
      </c>
      <c r="F229">
        <v>10</v>
      </c>
      <c r="G229">
        <v>4</v>
      </c>
      <c r="H229">
        <v>30</v>
      </c>
      <c r="I229" s="238" t="s">
        <v>43</v>
      </c>
      <c r="J229">
        <v>65.540000000000006</v>
      </c>
      <c r="K229" s="238" t="s">
        <v>36</v>
      </c>
      <c r="L229">
        <v>3109742.58</v>
      </c>
      <c r="M229">
        <v>0</v>
      </c>
      <c r="N229">
        <v>3109742.58</v>
      </c>
      <c r="O229">
        <v>47448.010070186145</v>
      </c>
      <c r="P229">
        <v>32770</v>
      </c>
      <c r="Q229">
        <v>3076972.58</v>
      </c>
      <c r="R229">
        <v>46948.010070186145</v>
      </c>
      <c r="S229" s="238" t="s">
        <v>137</v>
      </c>
      <c r="T229" s="238" t="s">
        <v>1167</v>
      </c>
      <c r="V229" t="s">
        <v>1167</v>
      </c>
      <c r="W229" s="24">
        <v>44099</v>
      </c>
      <c r="X229" s="238" t="s">
        <v>359</v>
      </c>
      <c r="Y229" s="238" t="s">
        <v>39</v>
      </c>
      <c r="Z229" s="238" t="s">
        <v>1340</v>
      </c>
      <c r="AA229" t="s">
        <v>1167</v>
      </c>
      <c r="AB229" s="238" t="s">
        <v>3246</v>
      </c>
      <c r="AC229" t="s">
        <v>3079</v>
      </c>
      <c r="AD229" s="24"/>
      <c r="AE229" s="238" t="s">
        <v>1608</v>
      </c>
      <c r="AF229">
        <v>79277174516</v>
      </c>
      <c r="AG229" s="238" t="s">
        <v>1609</v>
      </c>
      <c r="AH229" s="238" t="s">
        <v>1171</v>
      </c>
      <c r="AI229" s="238" t="s">
        <v>3099</v>
      </c>
      <c r="AJ229" s="238" t="s">
        <v>120</v>
      </c>
      <c r="AK229" s="238" t="s">
        <v>162</v>
      </c>
      <c r="AL229" t="s">
        <v>8715</v>
      </c>
      <c r="AM229" t="s">
        <v>1167</v>
      </c>
    </row>
    <row r="230" spans="1:39" hidden="1" x14ac:dyDescent="0.25">
      <c r="A230">
        <v>226</v>
      </c>
      <c r="B230">
        <v>32</v>
      </c>
      <c r="C230" s="24">
        <v>44103</v>
      </c>
      <c r="D230" s="238" t="s">
        <v>20</v>
      </c>
      <c r="E230" s="238" t="s">
        <v>16</v>
      </c>
      <c r="F230">
        <v>7</v>
      </c>
      <c r="G230">
        <v>7</v>
      </c>
      <c r="H230">
        <v>358</v>
      </c>
      <c r="I230" s="238" t="s">
        <v>43</v>
      </c>
      <c r="J230">
        <v>65.5</v>
      </c>
      <c r="K230" s="238" t="s">
        <v>36</v>
      </c>
      <c r="L230">
        <v>3304845.86</v>
      </c>
      <c r="M230">
        <v>0</v>
      </c>
      <c r="N230">
        <v>3304845.86</v>
      </c>
      <c r="O230">
        <v>50455.661984732826</v>
      </c>
      <c r="P230">
        <v>32750</v>
      </c>
      <c r="Q230">
        <v>3272095.86</v>
      </c>
      <c r="R230">
        <v>49955.661984732826</v>
      </c>
      <c r="S230" s="238" t="s">
        <v>137</v>
      </c>
      <c r="T230" s="238" t="s">
        <v>1167</v>
      </c>
      <c r="V230" t="s">
        <v>1167</v>
      </c>
      <c r="W230" s="24">
        <v>44099</v>
      </c>
      <c r="X230" s="238" t="s">
        <v>361</v>
      </c>
      <c r="Y230" s="238" t="s">
        <v>39</v>
      </c>
      <c r="Z230" s="238" t="s">
        <v>1340</v>
      </c>
      <c r="AA230" t="s">
        <v>1167</v>
      </c>
      <c r="AB230" s="238" t="s">
        <v>3246</v>
      </c>
      <c r="AC230" t="s">
        <v>3079</v>
      </c>
      <c r="AD230" s="24"/>
      <c r="AE230" s="238" t="s">
        <v>1610</v>
      </c>
      <c r="AF230">
        <v>79879461443</v>
      </c>
      <c r="AG230" s="238" t="s">
        <v>1611</v>
      </c>
      <c r="AH230" s="238" t="s">
        <v>1212</v>
      </c>
      <c r="AI230" s="238" t="s">
        <v>135</v>
      </c>
      <c r="AJ230" s="238" t="s">
        <v>126</v>
      </c>
      <c r="AK230" s="238" t="s">
        <v>162</v>
      </c>
      <c r="AL230" t="s">
        <v>8715</v>
      </c>
      <c r="AM230" t="s">
        <v>1167</v>
      </c>
    </row>
    <row r="231" spans="1:39" hidden="1" x14ac:dyDescent="0.25">
      <c r="A231">
        <v>227</v>
      </c>
      <c r="B231">
        <v>33</v>
      </c>
      <c r="C231" s="24">
        <v>44104</v>
      </c>
      <c r="D231" s="238" t="s">
        <v>20</v>
      </c>
      <c r="E231" s="238" t="s">
        <v>5</v>
      </c>
      <c r="F231">
        <v>2</v>
      </c>
      <c r="G231">
        <v>20</v>
      </c>
      <c r="H231">
        <v>278</v>
      </c>
      <c r="I231" s="238" t="s">
        <v>43</v>
      </c>
      <c r="J231">
        <v>65.78</v>
      </c>
      <c r="K231" s="238" t="s">
        <v>36</v>
      </c>
      <c r="L231">
        <v>3038629.44</v>
      </c>
      <c r="M231">
        <v>15000</v>
      </c>
      <c r="N231">
        <v>3053629.4399999999</v>
      </c>
      <c r="O231">
        <v>46421.852234721795</v>
      </c>
      <c r="P231">
        <v>32890</v>
      </c>
      <c r="Q231">
        <v>3020739.44</v>
      </c>
      <c r="R231">
        <v>45921.852234721795</v>
      </c>
      <c r="S231" s="238" t="s">
        <v>137</v>
      </c>
      <c r="T231" s="238" t="s">
        <v>1167</v>
      </c>
      <c r="V231" t="s">
        <v>1167</v>
      </c>
      <c r="W231" s="24">
        <v>44075</v>
      </c>
      <c r="X231" s="238" t="s">
        <v>362</v>
      </c>
      <c r="Y231" s="238" t="s">
        <v>39</v>
      </c>
      <c r="Z231" s="238" t="s">
        <v>1168</v>
      </c>
      <c r="AA231" t="s">
        <v>1167</v>
      </c>
      <c r="AB231" s="238" t="s">
        <v>3246</v>
      </c>
      <c r="AC231" t="s">
        <v>3079</v>
      </c>
      <c r="AD231" s="24"/>
      <c r="AE231" s="238" t="s">
        <v>1612</v>
      </c>
      <c r="AF231">
        <v>79502067114</v>
      </c>
      <c r="AG231" s="238" t="s">
        <v>1613</v>
      </c>
      <c r="AH231" s="238" t="s">
        <v>1212</v>
      </c>
      <c r="AI231" s="238" t="s">
        <v>135</v>
      </c>
      <c r="AJ231" s="238" t="s">
        <v>126</v>
      </c>
      <c r="AK231" s="238" t="s">
        <v>162</v>
      </c>
      <c r="AL231" t="s">
        <v>8715</v>
      </c>
      <c r="AM231" t="s">
        <v>1167</v>
      </c>
    </row>
    <row r="232" spans="1:39" hidden="1" x14ac:dyDescent="0.25">
      <c r="A232">
        <v>228</v>
      </c>
      <c r="B232">
        <v>34</v>
      </c>
      <c r="C232" s="24">
        <v>44104</v>
      </c>
      <c r="D232" s="238" t="s">
        <v>20</v>
      </c>
      <c r="E232" s="238" t="s">
        <v>16</v>
      </c>
      <c r="F232">
        <v>7</v>
      </c>
      <c r="G232">
        <v>4</v>
      </c>
      <c r="H232">
        <v>334</v>
      </c>
      <c r="I232" s="238" t="s">
        <v>43</v>
      </c>
      <c r="J232">
        <v>65.5</v>
      </c>
      <c r="K232" s="238" t="s">
        <v>37</v>
      </c>
      <c r="L232">
        <v>3390883.91</v>
      </c>
      <c r="M232">
        <v>0</v>
      </c>
      <c r="N232">
        <v>3390883.91</v>
      </c>
      <c r="O232">
        <v>51769.22</v>
      </c>
      <c r="P232">
        <v>307850</v>
      </c>
      <c r="Q232">
        <v>3083033.91</v>
      </c>
      <c r="R232">
        <v>47069.22</v>
      </c>
      <c r="S232" s="238" t="s">
        <v>137</v>
      </c>
      <c r="T232" s="238" t="s">
        <v>1167</v>
      </c>
      <c r="V232" t="s">
        <v>1167</v>
      </c>
      <c r="W232" s="24">
        <v>44099</v>
      </c>
      <c r="X232" s="238" t="s">
        <v>363</v>
      </c>
      <c r="Y232" s="238" t="s">
        <v>39</v>
      </c>
      <c r="Z232" s="238" t="s">
        <v>1340</v>
      </c>
      <c r="AA232" t="s">
        <v>1167</v>
      </c>
      <c r="AB232" s="238" t="s">
        <v>3246</v>
      </c>
      <c r="AC232" t="s">
        <v>3079</v>
      </c>
      <c r="AD232" s="24"/>
      <c r="AE232" s="238" t="s">
        <v>1614</v>
      </c>
      <c r="AF232">
        <v>79024259680</v>
      </c>
      <c r="AG232" s="238" t="s">
        <v>1615</v>
      </c>
      <c r="AH232" s="238" t="s">
        <v>1171</v>
      </c>
      <c r="AI232" s="238" t="s">
        <v>3074</v>
      </c>
      <c r="AJ232" s="238" t="s">
        <v>120</v>
      </c>
      <c r="AK232" s="238" t="s">
        <v>162</v>
      </c>
      <c r="AL232" t="s">
        <v>8715</v>
      </c>
      <c r="AM232" t="s">
        <v>1167</v>
      </c>
    </row>
    <row r="233" spans="1:39" hidden="1" x14ac:dyDescent="0.25">
      <c r="A233">
        <v>229</v>
      </c>
      <c r="B233">
        <v>1</v>
      </c>
      <c r="C233" s="24">
        <v>44106</v>
      </c>
      <c r="D233" s="238" t="s">
        <v>20</v>
      </c>
      <c r="E233" s="238" t="s">
        <v>6</v>
      </c>
      <c r="F233">
        <v>8</v>
      </c>
      <c r="G233">
        <v>16</v>
      </c>
      <c r="H233">
        <v>148</v>
      </c>
      <c r="I233" s="238" t="s">
        <v>42</v>
      </c>
      <c r="J233">
        <v>47.97</v>
      </c>
      <c r="K233" s="238" t="s">
        <v>36</v>
      </c>
      <c r="L233">
        <v>2387913.98</v>
      </c>
      <c r="M233">
        <v>0</v>
      </c>
      <c r="N233">
        <v>2387913.98</v>
      </c>
      <c r="O233">
        <v>49779.319991661454</v>
      </c>
      <c r="P233">
        <v>23985</v>
      </c>
      <c r="Q233">
        <v>2363928.98</v>
      </c>
      <c r="R233">
        <v>49279.319991661454</v>
      </c>
      <c r="S233" s="238" t="s">
        <v>137</v>
      </c>
      <c r="T233" s="238" t="s">
        <v>1167</v>
      </c>
      <c r="V233" t="s">
        <v>1167</v>
      </c>
      <c r="W233" s="24">
        <v>44106</v>
      </c>
      <c r="X233" s="238" t="s">
        <v>364</v>
      </c>
      <c r="Y233" s="238" t="s">
        <v>39</v>
      </c>
      <c r="Z233" s="238" t="s">
        <v>1340</v>
      </c>
      <c r="AA233" t="s">
        <v>1167</v>
      </c>
      <c r="AB233" s="238" t="s">
        <v>3246</v>
      </c>
      <c r="AC233" t="s">
        <v>3079</v>
      </c>
      <c r="AD233" s="24"/>
      <c r="AE233" s="238" t="s">
        <v>1616</v>
      </c>
      <c r="AF233">
        <v>79274615456</v>
      </c>
      <c r="AG233" s="238" t="s">
        <v>1617</v>
      </c>
      <c r="AH233" s="238" t="s">
        <v>1212</v>
      </c>
      <c r="AI233" s="238" t="s">
        <v>3088</v>
      </c>
      <c r="AJ233" s="238" t="s">
        <v>120</v>
      </c>
      <c r="AK233" s="238" t="s">
        <v>141</v>
      </c>
      <c r="AL233" t="s">
        <v>8715</v>
      </c>
      <c r="AM233" t="s">
        <v>1167</v>
      </c>
    </row>
    <row r="234" spans="1:39" hidden="1" x14ac:dyDescent="0.25">
      <c r="A234">
        <v>230</v>
      </c>
      <c r="B234">
        <v>2</v>
      </c>
      <c r="C234" s="24">
        <v>44111</v>
      </c>
      <c r="D234" s="238" t="s">
        <v>20</v>
      </c>
      <c r="E234" s="238" t="s">
        <v>5</v>
      </c>
      <c r="F234">
        <v>1</v>
      </c>
      <c r="G234">
        <v>18</v>
      </c>
      <c r="H234">
        <v>263</v>
      </c>
      <c r="I234" s="238" t="s">
        <v>44</v>
      </c>
      <c r="J234">
        <v>89.56</v>
      </c>
      <c r="K234" s="238" t="s">
        <v>36</v>
      </c>
      <c r="L234">
        <v>4249443.67</v>
      </c>
      <c r="M234">
        <v>0</v>
      </c>
      <c r="N234">
        <v>4249443.67</v>
      </c>
      <c r="O234">
        <v>47448.008820902185</v>
      </c>
      <c r="P234">
        <v>44780</v>
      </c>
      <c r="Q234">
        <v>4204663.67</v>
      </c>
      <c r="R234">
        <v>46948.008820902185</v>
      </c>
      <c r="S234" s="238" t="s">
        <v>137</v>
      </c>
      <c r="T234" s="238" t="s">
        <v>1167</v>
      </c>
      <c r="V234" t="s">
        <v>1167</v>
      </c>
      <c r="W234" s="24">
        <v>44111</v>
      </c>
      <c r="X234" s="238" t="s">
        <v>366</v>
      </c>
      <c r="Y234" s="238" t="s">
        <v>39</v>
      </c>
      <c r="Z234" s="238" t="s">
        <v>1340</v>
      </c>
      <c r="AA234" t="s">
        <v>1167</v>
      </c>
      <c r="AB234" s="238" t="s">
        <v>3246</v>
      </c>
      <c r="AC234" t="s">
        <v>3079</v>
      </c>
      <c r="AD234" s="24"/>
      <c r="AE234" s="238" t="s">
        <v>1618</v>
      </c>
      <c r="AF234">
        <v>79171450000</v>
      </c>
      <c r="AG234" s="238" t="s">
        <v>1619</v>
      </c>
      <c r="AH234" s="238" t="s">
        <v>135</v>
      </c>
      <c r="AI234" s="238" t="s">
        <v>3099</v>
      </c>
      <c r="AJ234" s="238" t="s">
        <v>126</v>
      </c>
      <c r="AK234" s="238" t="s">
        <v>162</v>
      </c>
      <c r="AL234" t="s">
        <v>8715</v>
      </c>
      <c r="AM234" t="s">
        <v>1167</v>
      </c>
    </row>
    <row r="235" spans="1:39" hidden="1" x14ac:dyDescent="0.25">
      <c r="A235">
        <v>231</v>
      </c>
      <c r="B235">
        <v>3</v>
      </c>
      <c r="C235" s="24">
        <v>44111</v>
      </c>
      <c r="D235" s="238" t="s">
        <v>20</v>
      </c>
      <c r="E235" s="238" t="s">
        <v>6</v>
      </c>
      <c r="F235">
        <v>7</v>
      </c>
      <c r="G235">
        <v>9</v>
      </c>
      <c r="H235">
        <v>77</v>
      </c>
      <c r="I235" s="238" t="s">
        <v>42</v>
      </c>
      <c r="J235">
        <v>42.32</v>
      </c>
      <c r="K235" s="238" t="s">
        <v>36</v>
      </c>
      <c r="L235">
        <v>2169225.86</v>
      </c>
      <c r="M235">
        <v>0</v>
      </c>
      <c r="N235">
        <v>2169225.86</v>
      </c>
      <c r="O235">
        <v>51257.699905482041</v>
      </c>
      <c r="P235">
        <v>21160</v>
      </c>
      <c r="Q235">
        <v>2148065.86</v>
      </c>
      <c r="R235">
        <v>50757.699905482041</v>
      </c>
      <c r="S235" s="238" t="s">
        <v>137</v>
      </c>
      <c r="T235" s="238" t="s">
        <v>1167</v>
      </c>
      <c r="V235" t="s">
        <v>1167</v>
      </c>
      <c r="W235" s="24">
        <v>44111</v>
      </c>
      <c r="X235" s="238" t="s">
        <v>365</v>
      </c>
      <c r="Y235" s="238" t="s">
        <v>39</v>
      </c>
      <c r="Z235" s="238" t="s">
        <v>1340</v>
      </c>
      <c r="AA235" t="s">
        <v>1167</v>
      </c>
      <c r="AB235" s="238" t="s">
        <v>3246</v>
      </c>
      <c r="AC235" t="s">
        <v>3079</v>
      </c>
      <c r="AD235" s="24"/>
      <c r="AE235" s="238" t="s">
        <v>1620</v>
      </c>
      <c r="AF235">
        <v>79179431556</v>
      </c>
      <c r="AG235" s="238" t="s">
        <v>1621</v>
      </c>
      <c r="AH235" s="238" t="s">
        <v>1212</v>
      </c>
      <c r="AI235" s="238" t="s">
        <v>3095</v>
      </c>
      <c r="AJ235" s="238" t="s">
        <v>126</v>
      </c>
      <c r="AK235" s="238" t="s">
        <v>162</v>
      </c>
      <c r="AL235" t="s">
        <v>8715</v>
      </c>
      <c r="AM235" t="s">
        <v>1167</v>
      </c>
    </row>
    <row r="236" spans="1:39" hidden="1" x14ac:dyDescent="0.25">
      <c r="A236">
        <v>232</v>
      </c>
      <c r="B236">
        <v>4</v>
      </c>
      <c r="C236" s="24">
        <v>44112</v>
      </c>
      <c r="D236" s="238" t="s">
        <v>20</v>
      </c>
      <c r="E236" s="238" t="s">
        <v>5</v>
      </c>
      <c r="F236">
        <v>5</v>
      </c>
      <c r="G236">
        <v>12</v>
      </c>
      <c r="H236">
        <v>225</v>
      </c>
      <c r="I236" s="238" t="s">
        <v>44</v>
      </c>
      <c r="J236">
        <v>78.03</v>
      </c>
      <c r="K236" s="238" t="s">
        <v>37</v>
      </c>
      <c r="L236">
        <v>3656813.23</v>
      </c>
      <c r="M236">
        <v>15000</v>
      </c>
      <c r="N236">
        <v>3671813.23</v>
      </c>
      <c r="O236">
        <v>47056.429962834809</v>
      </c>
      <c r="P236">
        <v>366741</v>
      </c>
      <c r="Q236">
        <v>3305072.23</v>
      </c>
      <c r="R236">
        <v>42356.429962834809</v>
      </c>
      <c r="S236" s="238" t="s">
        <v>137</v>
      </c>
      <c r="T236" s="238" t="s">
        <v>1167</v>
      </c>
      <c r="V236" t="s">
        <v>1167</v>
      </c>
      <c r="W236" s="24">
        <v>44112</v>
      </c>
      <c r="X236" s="238" t="s">
        <v>368</v>
      </c>
      <c r="Y236" s="238" t="s">
        <v>39</v>
      </c>
      <c r="Z236" s="238" t="s">
        <v>1340</v>
      </c>
      <c r="AA236" t="s">
        <v>1167</v>
      </c>
      <c r="AB236" s="238" t="s">
        <v>3246</v>
      </c>
      <c r="AC236" t="s">
        <v>3079</v>
      </c>
      <c r="AD236" s="24"/>
      <c r="AE236" s="238" t="s">
        <v>1622</v>
      </c>
      <c r="AF236">
        <v>79140214505</v>
      </c>
      <c r="AG236" s="238" t="s">
        <v>1623</v>
      </c>
      <c r="AH236" s="238" t="s">
        <v>1212</v>
      </c>
      <c r="AI236" s="238" t="s">
        <v>135</v>
      </c>
      <c r="AJ236" s="238" t="s">
        <v>126</v>
      </c>
      <c r="AK236" s="238" t="s">
        <v>162</v>
      </c>
      <c r="AL236" t="s">
        <v>8715</v>
      </c>
      <c r="AM236" t="s">
        <v>1167</v>
      </c>
    </row>
    <row r="237" spans="1:39" hidden="1" x14ac:dyDescent="0.25">
      <c r="A237">
        <v>233</v>
      </c>
      <c r="B237">
        <v>5</v>
      </c>
      <c r="C237" s="24">
        <v>44112</v>
      </c>
      <c r="D237" s="238" t="s">
        <v>20</v>
      </c>
      <c r="E237" s="238" t="s">
        <v>6</v>
      </c>
      <c r="F237">
        <v>3</v>
      </c>
      <c r="G237">
        <v>9</v>
      </c>
      <c r="H237">
        <v>73</v>
      </c>
      <c r="I237" s="238" t="s">
        <v>43</v>
      </c>
      <c r="J237">
        <v>67.16</v>
      </c>
      <c r="K237" s="238" t="s">
        <v>36</v>
      </c>
      <c r="L237">
        <v>3227007.11</v>
      </c>
      <c r="M237">
        <v>0</v>
      </c>
      <c r="N237">
        <v>3227007.11</v>
      </c>
      <c r="O237">
        <v>48049.540053603334</v>
      </c>
      <c r="P237">
        <v>33580</v>
      </c>
      <c r="Q237">
        <v>3193427.11</v>
      </c>
      <c r="R237">
        <v>47549.540053603334</v>
      </c>
      <c r="S237" s="238" t="s">
        <v>137</v>
      </c>
      <c r="T237" s="238" t="s">
        <v>1167</v>
      </c>
      <c r="V237" t="s">
        <v>1167</v>
      </c>
      <c r="W237" s="24">
        <v>44112</v>
      </c>
      <c r="X237" s="238" t="s">
        <v>369</v>
      </c>
      <c r="Y237" s="238" t="s">
        <v>39</v>
      </c>
      <c r="Z237" s="238" t="s">
        <v>1340</v>
      </c>
      <c r="AA237" t="s">
        <v>1167</v>
      </c>
      <c r="AB237" s="238" t="s">
        <v>3246</v>
      </c>
      <c r="AC237" t="s">
        <v>3079</v>
      </c>
      <c r="AD237" s="24"/>
      <c r="AE237" s="238" t="s">
        <v>1624</v>
      </c>
      <c r="AF237">
        <v>79272073665</v>
      </c>
      <c r="AG237" s="238" t="s">
        <v>1625</v>
      </c>
      <c r="AH237" s="238" t="s">
        <v>1212</v>
      </c>
      <c r="AI237" s="238" t="s">
        <v>3089</v>
      </c>
      <c r="AJ237" s="238" t="s">
        <v>120</v>
      </c>
      <c r="AK237" s="238" t="s">
        <v>141</v>
      </c>
      <c r="AL237" t="s">
        <v>8715</v>
      </c>
      <c r="AM237" t="s">
        <v>1167</v>
      </c>
    </row>
    <row r="238" spans="1:39" hidden="1" x14ac:dyDescent="0.25">
      <c r="A238">
        <v>234</v>
      </c>
      <c r="B238">
        <v>6</v>
      </c>
      <c r="C238" s="24">
        <v>44112</v>
      </c>
      <c r="D238" s="238" t="s">
        <v>20</v>
      </c>
      <c r="E238" s="238" t="s">
        <v>6</v>
      </c>
      <c r="F238">
        <v>3</v>
      </c>
      <c r="G238">
        <v>8</v>
      </c>
      <c r="H238">
        <v>63</v>
      </c>
      <c r="I238" s="238" t="s">
        <v>43</v>
      </c>
      <c r="J238">
        <v>67.16</v>
      </c>
      <c r="K238" s="238" t="s">
        <v>36</v>
      </c>
      <c r="L238">
        <v>3227007.11</v>
      </c>
      <c r="M238">
        <v>0</v>
      </c>
      <c r="N238">
        <v>3227007.11</v>
      </c>
      <c r="O238">
        <v>48049.540053603334</v>
      </c>
      <c r="P238">
        <v>33580</v>
      </c>
      <c r="Q238">
        <v>3193427.11</v>
      </c>
      <c r="R238">
        <v>47549.540053603334</v>
      </c>
      <c r="S238" s="238" t="s">
        <v>124</v>
      </c>
      <c r="T238" s="238" t="s">
        <v>1167</v>
      </c>
      <c r="V238" t="s">
        <v>1167</v>
      </c>
      <c r="W238" s="24">
        <v>44112</v>
      </c>
      <c r="X238" s="238" t="s">
        <v>367</v>
      </c>
      <c r="Y238" s="238" t="s">
        <v>39</v>
      </c>
      <c r="Z238" s="238" t="s">
        <v>1168</v>
      </c>
      <c r="AA238" t="s">
        <v>1167</v>
      </c>
      <c r="AB238" s="238" t="s">
        <v>3246</v>
      </c>
      <c r="AC238" t="s">
        <v>4246</v>
      </c>
      <c r="AD238" s="24"/>
      <c r="AE238" s="238" t="s">
        <v>1626</v>
      </c>
      <c r="AF238">
        <v>79277612520</v>
      </c>
      <c r="AG238" s="238" t="s">
        <v>1627</v>
      </c>
      <c r="AH238" s="238" t="s">
        <v>1197</v>
      </c>
      <c r="AI238" s="238" t="s">
        <v>3099</v>
      </c>
      <c r="AJ238" s="238" t="s">
        <v>126</v>
      </c>
      <c r="AK238" s="238" t="s">
        <v>1167</v>
      </c>
      <c r="AL238" t="s">
        <v>8715</v>
      </c>
      <c r="AM238" t="s">
        <v>1167</v>
      </c>
    </row>
    <row r="239" spans="1:39" hidden="1" x14ac:dyDescent="0.25">
      <c r="A239">
        <v>235</v>
      </c>
      <c r="B239">
        <v>7</v>
      </c>
      <c r="C239" s="24">
        <v>44113</v>
      </c>
      <c r="D239" s="238" t="s">
        <v>20</v>
      </c>
      <c r="E239" s="238" t="s">
        <v>5</v>
      </c>
      <c r="F239">
        <v>4</v>
      </c>
      <c r="G239">
        <v>10</v>
      </c>
      <c r="H239">
        <v>210</v>
      </c>
      <c r="I239" s="238" t="s">
        <v>42</v>
      </c>
      <c r="J239">
        <v>40.58</v>
      </c>
      <c r="K239" s="238" t="s">
        <v>38</v>
      </c>
      <c r="L239">
        <v>2855491.64</v>
      </c>
      <c r="M239">
        <v>0</v>
      </c>
      <c r="N239">
        <v>2855491.64</v>
      </c>
      <c r="O239">
        <v>70366.969935929039</v>
      </c>
      <c r="P239">
        <v>628990</v>
      </c>
      <c r="Q239">
        <v>2226501.64</v>
      </c>
      <c r="R239">
        <v>54866.969935929032</v>
      </c>
      <c r="S239" s="238" t="s">
        <v>137</v>
      </c>
      <c r="T239" s="238" t="s">
        <v>1167</v>
      </c>
      <c r="V239" t="s">
        <v>1167</v>
      </c>
      <c r="W239" s="24">
        <v>44113</v>
      </c>
      <c r="X239" s="238" t="s">
        <v>370</v>
      </c>
      <c r="Y239" s="238" t="s">
        <v>39</v>
      </c>
      <c r="Z239" s="238" t="s">
        <v>1340</v>
      </c>
      <c r="AA239" t="s">
        <v>1167</v>
      </c>
      <c r="AB239" s="238" t="s">
        <v>3246</v>
      </c>
      <c r="AC239" t="s">
        <v>3079</v>
      </c>
      <c r="AD239" s="24"/>
      <c r="AE239" s="238" t="s">
        <v>1628</v>
      </c>
      <c r="AF239">
        <v>79277230012</v>
      </c>
      <c r="AG239" s="238" t="s">
        <v>1629</v>
      </c>
      <c r="AH239" s="238" t="s">
        <v>1171</v>
      </c>
      <c r="AI239" s="238" t="s">
        <v>135</v>
      </c>
      <c r="AJ239" s="238" t="s">
        <v>120</v>
      </c>
      <c r="AK239" s="238" t="s">
        <v>162</v>
      </c>
      <c r="AL239" t="s">
        <v>8715</v>
      </c>
      <c r="AM239" t="s">
        <v>1167</v>
      </c>
    </row>
    <row r="240" spans="1:39" hidden="1" x14ac:dyDescent="0.25">
      <c r="A240">
        <v>236</v>
      </c>
      <c r="B240">
        <v>8</v>
      </c>
      <c r="C240" s="24">
        <v>44117</v>
      </c>
      <c r="D240" s="238" t="s">
        <v>20</v>
      </c>
      <c r="E240" s="238" t="s">
        <v>6</v>
      </c>
      <c r="F240">
        <v>4</v>
      </c>
      <c r="G240">
        <v>3</v>
      </c>
      <c r="H240">
        <v>14</v>
      </c>
      <c r="I240" s="238" t="s">
        <v>44</v>
      </c>
      <c r="J240">
        <v>80.33</v>
      </c>
      <c r="K240" s="238" t="s">
        <v>38</v>
      </c>
      <c r="L240">
        <v>4919806.83</v>
      </c>
      <c r="M240">
        <v>0</v>
      </c>
      <c r="N240">
        <v>4919806.83</v>
      </c>
      <c r="O240">
        <v>61244.949956429729</v>
      </c>
      <c r="P240">
        <v>1245115</v>
      </c>
      <c r="Q240">
        <v>3674691.83</v>
      </c>
      <c r="R240">
        <v>45744.949956429729</v>
      </c>
      <c r="S240" s="238" t="s">
        <v>137</v>
      </c>
      <c r="T240" s="238" t="s">
        <v>1167</v>
      </c>
      <c r="V240" t="s">
        <v>1167</v>
      </c>
      <c r="W240" s="24">
        <v>44114</v>
      </c>
      <c r="X240" s="238" t="s">
        <v>371</v>
      </c>
      <c r="Y240" s="238" t="s">
        <v>39</v>
      </c>
      <c r="Z240" s="238" t="s">
        <v>1340</v>
      </c>
      <c r="AA240" t="s">
        <v>1167</v>
      </c>
      <c r="AB240" s="238" t="s">
        <v>3246</v>
      </c>
      <c r="AC240" t="s">
        <v>3079</v>
      </c>
      <c r="AD240" s="24"/>
      <c r="AE240" s="238" t="s">
        <v>1630</v>
      </c>
      <c r="AF240">
        <v>79171046747</v>
      </c>
      <c r="AG240" s="238" t="s">
        <v>1631</v>
      </c>
      <c r="AH240" s="238" t="s">
        <v>1171</v>
      </c>
      <c r="AI240" s="238" t="s">
        <v>135</v>
      </c>
      <c r="AJ240" s="238" t="s">
        <v>126</v>
      </c>
      <c r="AK240" s="238" t="s">
        <v>162</v>
      </c>
      <c r="AL240" t="s">
        <v>8715</v>
      </c>
      <c r="AM240" t="s">
        <v>1167</v>
      </c>
    </row>
    <row r="241" spans="1:39" hidden="1" x14ac:dyDescent="0.25">
      <c r="A241">
        <v>237</v>
      </c>
      <c r="B241">
        <v>9</v>
      </c>
      <c r="C241" s="24">
        <v>44119</v>
      </c>
      <c r="D241" s="238" t="s">
        <v>20</v>
      </c>
      <c r="E241" s="238" t="s">
        <v>6</v>
      </c>
      <c r="F241">
        <v>3</v>
      </c>
      <c r="G241">
        <v>12</v>
      </c>
      <c r="H241">
        <v>103</v>
      </c>
      <c r="I241" s="238" t="s">
        <v>43</v>
      </c>
      <c r="J241">
        <v>67.16</v>
      </c>
      <c r="K241" s="238" t="s">
        <v>37</v>
      </c>
      <c r="L241">
        <v>3257528.83</v>
      </c>
      <c r="M241">
        <v>15000</v>
      </c>
      <c r="N241">
        <v>3272528.83</v>
      </c>
      <c r="O241">
        <v>48727.350059559263</v>
      </c>
      <c r="P241">
        <v>315652</v>
      </c>
      <c r="Q241">
        <v>2956876.83</v>
      </c>
      <c r="R241">
        <v>44027.350059559263</v>
      </c>
      <c r="S241" s="238" t="s">
        <v>137</v>
      </c>
      <c r="T241" s="238" t="s">
        <v>1167</v>
      </c>
      <c r="V241" t="s">
        <v>1167</v>
      </c>
      <c r="W241" s="24">
        <v>44119</v>
      </c>
      <c r="X241" s="238" t="s">
        <v>372</v>
      </c>
      <c r="Y241" s="238" t="s">
        <v>39</v>
      </c>
      <c r="Z241" s="238" t="s">
        <v>1168</v>
      </c>
      <c r="AA241" t="s">
        <v>1167</v>
      </c>
      <c r="AB241" s="238" t="s">
        <v>3246</v>
      </c>
      <c r="AC241" t="s">
        <v>3079</v>
      </c>
      <c r="AD241" s="24"/>
      <c r="AE241" s="238" t="s">
        <v>1632</v>
      </c>
      <c r="AF241">
        <v>79276007256</v>
      </c>
      <c r="AG241" s="238" t="s">
        <v>1633</v>
      </c>
      <c r="AH241" s="238" t="s">
        <v>135</v>
      </c>
      <c r="AI241" s="238" t="s">
        <v>135</v>
      </c>
      <c r="AJ241" s="238" t="s">
        <v>126</v>
      </c>
      <c r="AK241" s="238" t="s">
        <v>162</v>
      </c>
      <c r="AL241" t="s">
        <v>8715</v>
      </c>
      <c r="AM241" t="s">
        <v>1167</v>
      </c>
    </row>
    <row r="242" spans="1:39" hidden="1" x14ac:dyDescent="0.25">
      <c r="A242">
        <v>238</v>
      </c>
      <c r="B242">
        <v>10</v>
      </c>
      <c r="C242" s="24">
        <v>44123</v>
      </c>
      <c r="D242" s="238" t="s">
        <v>20</v>
      </c>
      <c r="E242" s="238" t="s">
        <v>6</v>
      </c>
      <c r="F242">
        <v>6</v>
      </c>
      <c r="G242">
        <v>6</v>
      </c>
      <c r="H242">
        <v>46</v>
      </c>
      <c r="I242" s="238" t="s">
        <v>43</v>
      </c>
      <c r="J242">
        <v>63.03</v>
      </c>
      <c r="K242" s="238" t="s">
        <v>38</v>
      </c>
      <c r="L242">
        <v>3921098.07</v>
      </c>
      <c r="M242">
        <v>15000</v>
      </c>
      <c r="N242">
        <v>3936098.07</v>
      </c>
      <c r="O242">
        <v>62448.009995240354</v>
      </c>
      <c r="P242">
        <v>976965</v>
      </c>
      <c r="Q242">
        <v>2959133.07</v>
      </c>
      <c r="R242">
        <v>46948.009995240362</v>
      </c>
      <c r="S242" s="238" t="s">
        <v>137</v>
      </c>
      <c r="T242" s="238" t="s">
        <v>1167</v>
      </c>
      <c r="V242" t="s">
        <v>1167</v>
      </c>
      <c r="W242" s="24">
        <v>44123</v>
      </c>
      <c r="X242" s="238" t="s">
        <v>373</v>
      </c>
      <c r="Y242" s="238" t="s">
        <v>39</v>
      </c>
      <c r="Z242" s="238" t="s">
        <v>1340</v>
      </c>
      <c r="AA242" t="s">
        <v>1167</v>
      </c>
      <c r="AB242" s="238" t="s">
        <v>3246</v>
      </c>
      <c r="AC242" t="s">
        <v>3079</v>
      </c>
      <c r="AD242" s="24"/>
      <c r="AE242" s="238" t="s">
        <v>1634</v>
      </c>
      <c r="AF242">
        <v>79959099261</v>
      </c>
      <c r="AG242" s="238" t="s">
        <v>1635</v>
      </c>
      <c r="AH242" s="238" t="s">
        <v>1212</v>
      </c>
      <c r="AI242" s="238" t="s">
        <v>135</v>
      </c>
      <c r="AJ242" s="238" t="s">
        <v>120</v>
      </c>
      <c r="AK242" s="238" t="s">
        <v>162</v>
      </c>
      <c r="AL242" t="s">
        <v>8715</v>
      </c>
      <c r="AM242" t="s">
        <v>1167</v>
      </c>
    </row>
    <row r="243" spans="1:39" hidden="1" x14ac:dyDescent="0.25">
      <c r="A243">
        <v>239</v>
      </c>
      <c r="B243">
        <v>11</v>
      </c>
      <c r="C243" s="24">
        <v>44123</v>
      </c>
      <c r="D243" s="238" t="s">
        <v>20</v>
      </c>
      <c r="E243" s="238" t="s">
        <v>16</v>
      </c>
      <c r="F243">
        <v>5</v>
      </c>
      <c r="G243">
        <v>5</v>
      </c>
      <c r="H243">
        <v>340</v>
      </c>
      <c r="I243" s="238" t="s">
        <v>43</v>
      </c>
      <c r="J243">
        <v>60.9</v>
      </c>
      <c r="K243" s="238" t="s">
        <v>36</v>
      </c>
      <c r="L243">
        <v>2931902.61</v>
      </c>
      <c r="M243">
        <v>0</v>
      </c>
      <c r="N243">
        <v>2931902.61</v>
      </c>
      <c r="O243">
        <v>48142.9</v>
      </c>
      <c r="P243">
        <v>30450</v>
      </c>
      <c r="Q243">
        <v>2901452.61</v>
      </c>
      <c r="R243">
        <v>47642.9</v>
      </c>
      <c r="S243" s="238" t="s">
        <v>137</v>
      </c>
      <c r="T243" s="238" t="s">
        <v>1167</v>
      </c>
      <c r="V243" t="s">
        <v>1167</v>
      </c>
      <c r="W243" s="24">
        <v>44123</v>
      </c>
      <c r="X243" s="238" t="s">
        <v>374</v>
      </c>
      <c r="Y243" s="238" t="s">
        <v>39</v>
      </c>
      <c r="Z243" s="238" t="s">
        <v>1340</v>
      </c>
      <c r="AA243" t="s">
        <v>1167</v>
      </c>
      <c r="AB243" s="238" t="s">
        <v>3246</v>
      </c>
      <c r="AC243" t="s">
        <v>3079</v>
      </c>
      <c r="AD243" s="24"/>
      <c r="AE243" s="238" t="s">
        <v>1636</v>
      </c>
      <c r="AF243">
        <v>79279001157</v>
      </c>
      <c r="AG243" s="238" t="s">
        <v>1637</v>
      </c>
      <c r="AH243" s="238" t="s">
        <v>1212</v>
      </c>
      <c r="AI243" s="238" t="s">
        <v>3075</v>
      </c>
      <c r="AJ243" s="238" t="s">
        <v>126</v>
      </c>
      <c r="AK243" s="238" t="s">
        <v>141</v>
      </c>
      <c r="AL243" t="s">
        <v>8715</v>
      </c>
      <c r="AM243" t="s">
        <v>1167</v>
      </c>
    </row>
    <row r="244" spans="1:39" hidden="1" x14ac:dyDescent="0.25">
      <c r="A244">
        <v>240</v>
      </c>
      <c r="B244">
        <v>12</v>
      </c>
      <c r="C244" s="24">
        <v>44124</v>
      </c>
      <c r="D244" s="238" t="s">
        <v>20</v>
      </c>
      <c r="E244" s="238" t="s">
        <v>6</v>
      </c>
      <c r="F244">
        <v>7</v>
      </c>
      <c r="G244">
        <v>10</v>
      </c>
      <c r="H244">
        <v>87</v>
      </c>
      <c r="I244" s="238" t="s">
        <v>42</v>
      </c>
      <c r="J244">
        <v>42.32</v>
      </c>
      <c r="K244" s="238" t="s">
        <v>38</v>
      </c>
      <c r="L244">
        <v>2888473.21</v>
      </c>
      <c r="M244">
        <v>15000</v>
      </c>
      <c r="N244">
        <v>2903473.21</v>
      </c>
      <c r="O244">
        <v>68607.590028355393</v>
      </c>
      <c r="P244">
        <v>655960</v>
      </c>
      <c r="Q244">
        <v>2247513.21</v>
      </c>
      <c r="R244">
        <v>53107.590028355386</v>
      </c>
      <c r="S244" s="238" t="s">
        <v>137</v>
      </c>
      <c r="T244" s="238" t="s">
        <v>1167</v>
      </c>
      <c r="V244" t="s">
        <v>1167</v>
      </c>
      <c r="W244" s="24">
        <v>44124</v>
      </c>
      <c r="X244" s="238" t="s">
        <v>375</v>
      </c>
      <c r="Y244" s="238" t="s">
        <v>39</v>
      </c>
      <c r="Z244" s="238" t="s">
        <v>1340</v>
      </c>
      <c r="AA244" t="s">
        <v>1167</v>
      </c>
      <c r="AB244" s="238" t="s">
        <v>3246</v>
      </c>
      <c r="AC244" t="s">
        <v>3079</v>
      </c>
      <c r="AD244" s="24"/>
      <c r="AE244" s="238" t="s">
        <v>1638</v>
      </c>
      <c r="AF244">
        <v>79376407660</v>
      </c>
      <c r="AG244" s="238" t="s">
        <v>1639</v>
      </c>
      <c r="AH244" s="238" t="s">
        <v>1212</v>
      </c>
      <c r="AI244" s="238" t="s">
        <v>3094</v>
      </c>
      <c r="AJ244" s="238" t="s">
        <v>120</v>
      </c>
      <c r="AK244" s="238" t="s">
        <v>162</v>
      </c>
      <c r="AL244" t="s">
        <v>8715</v>
      </c>
      <c r="AM244" t="s">
        <v>1167</v>
      </c>
    </row>
    <row r="245" spans="1:39" hidden="1" x14ac:dyDescent="0.25">
      <c r="A245">
        <v>241</v>
      </c>
      <c r="B245">
        <v>13</v>
      </c>
      <c r="C245" s="24">
        <v>44125</v>
      </c>
      <c r="D245" s="238" t="s">
        <v>20</v>
      </c>
      <c r="E245" s="238" t="s">
        <v>6</v>
      </c>
      <c r="F245">
        <v>6</v>
      </c>
      <c r="G245">
        <v>16</v>
      </c>
      <c r="H245">
        <v>146</v>
      </c>
      <c r="I245" s="238" t="s">
        <v>43</v>
      </c>
      <c r="J245">
        <v>63.03</v>
      </c>
      <c r="K245" s="238" t="s">
        <v>37</v>
      </c>
      <c r="L245">
        <v>3240374.07</v>
      </c>
      <c r="M245">
        <v>15000</v>
      </c>
      <c r="N245">
        <v>3255374.07</v>
      </c>
      <c r="O245">
        <v>51648.009995240362</v>
      </c>
      <c r="P245">
        <v>296241</v>
      </c>
      <c r="Q245">
        <v>2959133.07</v>
      </c>
      <c r="R245">
        <v>46948.009995240362</v>
      </c>
      <c r="S245" s="238" t="s">
        <v>137</v>
      </c>
      <c r="T245" s="238" t="s">
        <v>1167</v>
      </c>
      <c r="V245" t="s">
        <v>1167</v>
      </c>
      <c r="W245" s="24">
        <v>44118</v>
      </c>
      <c r="X245" s="238" t="s">
        <v>376</v>
      </c>
      <c r="Y245" s="238" t="s">
        <v>39</v>
      </c>
      <c r="Z245" s="238" t="s">
        <v>1340</v>
      </c>
      <c r="AA245" t="s">
        <v>1167</v>
      </c>
      <c r="AB245" s="238" t="s">
        <v>3246</v>
      </c>
      <c r="AC245" t="s">
        <v>3079</v>
      </c>
      <c r="AD245" s="24"/>
      <c r="AE245" s="238" t="s">
        <v>1640</v>
      </c>
      <c r="AF245">
        <v>79869510603</v>
      </c>
      <c r="AG245" s="238" t="s">
        <v>1641</v>
      </c>
      <c r="AH245" s="238" t="s">
        <v>1171</v>
      </c>
      <c r="AI245" s="238" t="s">
        <v>3074</v>
      </c>
      <c r="AJ245" s="238" t="s">
        <v>120</v>
      </c>
      <c r="AK245" s="238" t="s">
        <v>162</v>
      </c>
      <c r="AL245" t="s">
        <v>8715</v>
      </c>
      <c r="AM245" t="s">
        <v>1167</v>
      </c>
    </row>
    <row r="246" spans="1:39" hidden="1" x14ac:dyDescent="0.25">
      <c r="A246">
        <v>242</v>
      </c>
      <c r="B246">
        <v>14</v>
      </c>
      <c r="C246" s="24">
        <v>44125</v>
      </c>
      <c r="D246" s="238" t="s">
        <v>20</v>
      </c>
      <c r="E246" s="238" t="s">
        <v>5</v>
      </c>
      <c r="F246">
        <v>7</v>
      </c>
      <c r="G246">
        <v>2</v>
      </c>
      <c r="I246" s="238" t="s">
        <v>43</v>
      </c>
      <c r="J246">
        <v>64.17</v>
      </c>
      <c r="K246" s="238" t="s">
        <v>36</v>
      </c>
      <c r="L246">
        <v>2849604.63</v>
      </c>
      <c r="M246">
        <v>15000</v>
      </c>
      <c r="N246">
        <v>2864604.63</v>
      </c>
      <c r="O246">
        <v>44640.870032725572</v>
      </c>
      <c r="P246">
        <v>32085</v>
      </c>
      <c r="Q246">
        <v>2832519.63</v>
      </c>
      <c r="R246">
        <v>44140.870032725572</v>
      </c>
      <c r="S246" s="238" t="s">
        <v>124</v>
      </c>
      <c r="T246" s="238" t="s">
        <v>1167</v>
      </c>
      <c r="V246" t="s">
        <v>1167</v>
      </c>
      <c r="W246" s="24">
        <v>44126</v>
      </c>
      <c r="X246" s="238" t="s">
        <v>377</v>
      </c>
      <c r="Y246" s="238" t="s">
        <v>1172</v>
      </c>
      <c r="Z246" s="238" t="s">
        <v>1168</v>
      </c>
      <c r="AA246" t="s">
        <v>1167</v>
      </c>
      <c r="AB246" s="238" t="s">
        <v>3246</v>
      </c>
      <c r="AC246" t="s">
        <v>4246</v>
      </c>
      <c r="AD246" s="24">
        <v>44244</v>
      </c>
      <c r="AE246" s="238" t="s">
        <v>1642</v>
      </c>
      <c r="AF246">
        <v>79649781449</v>
      </c>
      <c r="AG246" s="238" t="s">
        <v>1643</v>
      </c>
      <c r="AH246" s="238" t="s">
        <v>1212</v>
      </c>
      <c r="AI246" s="238" t="s">
        <v>3088</v>
      </c>
      <c r="AJ246" s="238" t="s">
        <v>120</v>
      </c>
      <c r="AK246" s="238" t="s">
        <v>1167</v>
      </c>
      <c r="AL246" t="s">
        <v>8715</v>
      </c>
      <c r="AM246" t="s">
        <v>1167</v>
      </c>
    </row>
    <row r="247" spans="1:39" hidden="1" x14ac:dyDescent="0.25">
      <c r="A247">
        <v>243</v>
      </c>
      <c r="B247">
        <v>15</v>
      </c>
      <c r="C247" s="24">
        <v>44126</v>
      </c>
      <c r="D247" s="238" t="s">
        <v>20</v>
      </c>
      <c r="E247" s="238" t="s">
        <v>6</v>
      </c>
      <c r="F247">
        <v>6</v>
      </c>
      <c r="G247">
        <v>13</v>
      </c>
      <c r="H247">
        <v>116</v>
      </c>
      <c r="I247" s="238" t="s">
        <v>43</v>
      </c>
      <c r="J247">
        <v>63.03</v>
      </c>
      <c r="K247" s="238" t="s">
        <v>36</v>
      </c>
      <c r="L247">
        <v>2990648.07</v>
      </c>
      <c r="M247">
        <v>0</v>
      </c>
      <c r="N247">
        <v>2990648.07</v>
      </c>
      <c r="O247">
        <v>47448.009995240362</v>
      </c>
      <c r="P247">
        <v>31515</v>
      </c>
      <c r="Q247">
        <v>2959133.07</v>
      </c>
      <c r="R247">
        <v>46948.009995240362</v>
      </c>
      <c r="S247" s="238" t="s">
        <v>137</v>
      </c>
      <c r="T247" s="238" t="s">
        <v>1167</v>
      </c>
      <c r="V247" t="s">
        <v>1167</v>
      </c>
      <c r="W247" s="24">
        <v>44116</v>
      </c>
      <c r="X247" s="238" t="s">
        <v>380</v>
      </c>
      <c r="Y247" s="238" t="s">
        <v>39</v>
      </c>
      <c r="Z247" s="238" t="s">
        <v>1340</v>
      </c>
      <c r="AA247" t="s">
        <v>1167</v>
      </c>
      <c r="AB247" s="238" t="s">
        <v>3246</v>
      </c>
      <c r="AC247" t="s">
        <v>3079</v>
      </c>
      <c r="AD247" s="24"/>
      <c r="AE247" s="238" t="s">
        <v>1644</v>
      </c>
      <c r="AF247">
        <v>79277232664</v>
      </c>
      <c r="AG247" s="238" t="s">
        <v>1645</v>
      </c>
      <c r="AH247" s="238" t="s">
        <v>1171</v>
      </c>
      <c r="AI247" s="238" t="s">
        <v>135</v>
      </c>
      <c r="AJ247" s="238" t="s">
        <v>130</v>
      </c>
      <c r="AK247" s="238" t="s">
        <v>162</v>
      </c>
      <c r="AL247" t="s">
        <v>8715</v>
      </c>
      <c r="AM247" t="s">
        <v>1167</v>
      </c>
    </row>
    <row r="248" spans="1:39" hidden="1" x14ac:dyDescent="0.25">
      <c r="A248">
        <v>244</v>
      </c>
      <c r="B248">
        <v>16</v>
      </c>
      <c r="C248" s="24">
        <v>44126</v>
      </c>
      <c r="D248" s="238" t="s">
        <v>20</v>
      </c>
      <c r="E248" s="238" t="s">
        <v>6</v>
      </c>
      <c r="F248">
        <v>5</v>
      </c>
      <c r="G248">
        <v>8</v>
      </c>
      <c r="H248">
        <v>65</v>
      </c>
      <c r="I248" s="238" t="s">
        <v>43</v>
      </c>
      <c r="J248">
        <v>60.2</v>
      </c>
      <c r="K248" s="238" t="s">
        <v>37</v>
      </c>
      <c r="L248">
        <v>2981709.07</v>
      </c>
      <c r="M248">
        <v>0</v>
      </c>
      <c r="N248">
        <v>2981709.07</v>
      </c>
      <c r="O248">
        <v>49530.050996677739</v>
      </c>
      <c r="P248">
        <v>282940</v>
      </c>
      <c r="Q248">
        <v>2698769.07</v>
      </c>
      <c r="R248">
        <v>44830.050996677739</v>
      </c>
      <c r="S248" s="238" t="s">
        <v>137</v>
      </c>
      <c r="T248" s="238" t="s">
        <v>321</v>
      </c>
      <c r="U248">
        <v>55076.92</v>
      </c>
      <c r="V248" t="s">
        <v>1167</v>
      </c>
      <c r="W248" s="24">
        <v>44117</v>
      </c>
      <c r="X248" s="238" t="s">
        <v>378</v>
      </c>
      <c r="Y248" s="238" t="s">
        <v>39</v>
      </c>
      <c r="Z248" s="238" t="s">
        <v>1340</v>
      </c>
      <c r="AA248" t="s">
        <v>1167</v>
      </c>
      <c r="AB248" s="238" t="s">
        <v>3246</v>
      </c>
      <c r="AC248" t="s">
        <v>3079</v>
      </c>
      <c r="AD248" s="24"/>
      <c r="AE248" s="238" t="s">
        <v>1612</v>
      </c>
      <c r="AF248">
        <v>79502067114</v>
      </c>
      <c r="AG248" s="238" t="s">
        <v>1613</v>
      </c>
      <c r="AH248" s="238" t="s">
        <v>1171</v>
      </c>
      <c r="AI248" s="238" t="s">
        <v>3082</v>
      </c>
      <c r="AJ248" s="238" t="s">
        <v>126</v>
      </c>
      <c r="AK248" s="238" t="s">
        <v>141</v>
      </c>
      <c r="AL248" t="s">
        <v>8715</v>
      </c>
      <c r="AM248" t="s">
        <v>1167</v>
      </c>
    </row>
    <row r="249" spans="1:39" hidden="1" x14ac:dyDescent="0.25">
      <c r="A249">
        <v>245</v>
      </c>
      <c r="B249">
        <v>17</v>
      </c>
      <c r="C249" s="24">
        <v>44126</v>
      </c>
      <c r="D249" s="238" t="s">
        <v>20</v>
      </c>
      <c r="E249" s="238" t="s">
        <v>5</v>
      </c>
      <c r="F249">
        <v>6</v>
      </c>
      <c r="G249">
        <v>5</v>
      </c>
      <c r="H249">
        <v>177</v>
      </c>
      <c r="I249" s="238" t="s">
        <v>43</v>
      </c>
      <c r="J249">
        <v>64.150000000000006</v>
      </c>
      <c r="K249" s="238" t="s">
        <v>38</v>
      </c>
      <c r="L249">
        <v>3957055.54</v>
      </c>
      <c r="M249">
        <v>0</v>
      </c>
      <c r="N249">
        <v>3957055.54</v>
      </c>
      <c r="O249">
        <v>61684.419953234603</v>
      </c>
      <c r="P249">
        <v>994325</v>
      </c>
      <c r="Q249">
        <v>2962730.54</v>
      </c>
      <c r="R249">
        <v>46184.419953234603</v>
      </c>
      <c r="S249" s="238" t="s">
        <v>137</v>
      </c>
      <c r="T249" s="238" t="s">
        <v>1167</v>
      </c>
      <c r="V249" t="s">
        <v>1167</v>
      </c>
      <c r="W249" s="24">
        <v>44124</v>
      </c>
      <c r="X249" s="238" t="s">
        <v>379</v>
      </c>
      <c r="Y249" s="238" t="s">
        <v>39</v>
      </c>
      <c r="Z249" s="238" t="s">
        <v>1340</v>
      </c>
      <c r="AA249" t="s">
        <v>1167</v>
      </c>
      <c r="AB249" s="238" t="s">
        <v>3246</v>
      </c>
      <c r="AC249" t="s">
        <v>3079</v>
      </c>
      <c r="AD249" s="24"/>
      <c r="AE249" s="238" t="s">
        <v>1646</v>
      </c>
      <c r="AF249">
        <v>79128977297</v>
      </c>
      <c r="AG249" s="238" t="s">
        <v>1647</v>
      </c>
      <c r="AH249" s="238" t="s">
        <v>135</v>
      </c>
      <c r="AI249" s="238" t="s">
        <v>3099</v>
      </c>
      <c r="AJ249" s="238" t="s">
        <v>120</v>
      </c>
      <c r="AK249" s="238" t="s">
        <v>141</v>
      </c>
      <c r="AL249" t="s">
        <v>8715</v>
      </c>
      <c r="AM249" t="s">
        <v>1167</v>
      </c>
    </row>
    <row r="250" spans="1:39" hidden="1" x14ac:dyDescent="0.25">
      <c r="A250">
        <v>246</v>
      </c>
      <c r="B250">
        <v>18</v>
      </c>
      <c r="C250" s="24">
        <v>44127</v>
      </c>
      <c r="D250" s="238" t="s">
        <v>20</v>
      </c>
      <c r="E250" s="238" t="s">
        <v>5</v>
      </c>
      <c r="F250">
        <v>5</v>
      </c>
      <c r="G250">
        <v>13</v>
      </c>
      <c r="H250">
        <v>232</v>
      </c>
      <c r="I250" s="238" t="s">
        <v>44</v>
      </c>
      <c r="J250">
        <v>78.03</v>
      </c>
      <c r="K250" s="238" t="s">
        <v>36</v>
      </c>
      <c r="L250">
        <v>3608493.45</v>
      </c>
      <c r="M250">
        <v>0</v>
      </c>
      <c r="N250">
        <v>3608493.45</v>
      </c>
      <c r="O250">
        <v>46244.950019223375</v>
      </c>
      <c r="P250">
        <v>39015</v>
      </c>
      <c r="Q250">
        <v>3569478.45</v>
      </c>
      <c r="R250">
        <v>45744.950019223375</v>
      </c>
      <c r="S250" s="238" t="s">
        <v>137</v>
      </c>
      <c r="T250" s="238" t="s">
        <v>1167</v>
      </c>
      <c r="V250" t="s">
        <v>1167</v>
      </c>
      <c r="W250" s="24">
        <v>44116</v>
      </c>
      <c r="X250" s="238" t="s">
        <v>381</v>
      </c>
      <c r="Y250" s="238" t="s">
        <v>39</v>
      </c>
      <c r="Z250" s="238" t="s">
        <v>1340</v>
      </c>
      <c r="AA250" t="s">
        <v>1167</v>
      </c>
      <c r="AB250" s="238" t="s">
        <v>3246</v>
      </c>
      <c r="AC250" t="s">
        <v>3079</v>
      </c>
      <c r="AD250" s="24"/>
      <c r="AE250" s="238" t="s">
        <v>1648</v>
      </c>
      <c r="AF250">
        <v>79608319968</v>
      </c>
      <c r="AG250" s="238" t="s">
        <v>1649</v>
      </c>
      <c r="AH250" s="238" t="s">
        <v>1212</v>
      </c>
      <c r="AI250" s="238" t="s">
        <v>135</v>
      </c>
      <c r="AJ250" s="238" t="s">
        <v>399</v>
      </c>
      <c r="AK250" s="238" t="s">
        <v>162</v>
      </c>
      <c r="AL250" t="s">
        <v>8715</v>
      </c>
      <c r="AM250" t="s">
        <v>1167</v>
      </c>
    </row>
    <row r="251" spans="1:39" hidden="1" x14ac:dyDescent="0.25">
      <c r="A251">
        <v>247</v>
      </c>
      <c r="B251">
        <v>19</v>
      </c>
      <c r="C251" s="24">
        <v>44127</v>
      </c>
      <c r="D251" s="238" t="s">
        <v>20</v>
      </c>
      <c r="E251" s="238" t="s">
        <v>6</v>
      </c>
      <c r="F251">
        <v>10</v>
      </c>
      <c r="G251">
        <v>9</v>
      </c>
      <c r="H251">
        <v>80</v>
      </c>
      <c r="I251" s="238" t="s">
        <v>43</v>
      </c>
      <c r="J251">
        <v>65.540000000000006</v>
      </c>
      <c r="K251" s="238" t="s">
        <v>37</v>
      </c>
      <c r="L251">
        <v>3444963.95</v>
      </c>
      <c r="M251">
        <v>0</v>
      </c>
      <c r="N251">
        <v>3444963.95</v>
      </c>
      <c r="O251">
        <v>52562.770064083001</v>
      </c>
      <c r="P251">
        <v>308038</v>
      </c>
      <c r="Q251">
        <v>3136925.95</v>
      </c>
      <c r="R251">
        <v>47862.770064083001</v>
      </c>
      <c r="S251" s="238" t="s">
        <v>137</v>
      </c>
      <c r="T251" s="238" t="s">
        <v>1167</v>
      </c>
      <c r="V251" t="s">
        <v>1167</v>
      </c>
      <c r="W251" s="24">
        <v>44123</v>
      </c>
      <c r="X251" s="238" t="s">
        <v>383</v>
      </c>
      <c r="Y251" s="238" t="s">
        <v>39</v>
      </c>
      <c r="Z251" s="238" t="s">
        <v>1340</v>
      </c>
      <c r="AA251" t="s">
        <v>1167</v>
      </c>
      <c r="AB251" s="238" t="s">
        <v>3246</v>
      </c>
      <c r="AC251" t="s">
        <v>3079</v>
      </c>
      <c r="AD251" s="24"/>
      <c r="AE251" s="238" t="s">
        <v>1650</v>
      </c>
      <c r="AF251">
        <v>79170363082</v>
      </c>
      <c r="AG251" s="238" t="s">
        <v>1651</v>
      </c>
      <c r="AH251" s="238" t="s">
        <v>1212</v>
      </c>
      <c r="AI251" s="238" t="s">
        <v>135</v>
      </c>
      <c r="AJ251" s="238" t="s">
        <v>126</v>
      </c>
      <c r="AK251" s="238" t="s">
        <v>162</v>
      </c>
      <c r="AL251" t="s">
        <v>8715</v>
      </c>
      <c r="AM251" t="s">
        <v>1167</v>
      </c>
    </row>
    <row r="252" spans="1:39" hidden="1" x14ac:dyDescent="0.25">
      <c r="A252">
        <v>248</v>
      </c>
      <c r="B252">
        <v>20</v>
      </c>
      <c r="C252" s="24">
        <v>44127</v>
      </c>
      <c r="D252" s="238" t="s">
        <v>20</v>
      </c>
      <c r="E252" s="238" t="s">
        <v>6</v>
      </c>
      <c r="F252">
        <v>6</v>
      </c>
      <c r="G252">
        <v>12</v>
      </c>
      <c r="H252">
        <v>106</v>
      </c>
      <c r="I252" s="238" t="s">
        <v>43</v>
      </c>
      <c r="J252">
        <v>63.03</v>
      </c>
      <c r="K252" s="238" t="s">
        <v>37</v>
      </c>
      <c r="L252">
        <v>3240374.07</v>
      </c>
      <c r="M252">
        <v>15000</v>
      </c>
      <c r="N252">
        <v>3255374.07</v>
      </c>
      <c r="O252">
        <v>51648.009995240362</v>
      </c>
      <c r="P252">
        <v>296241</v>
      </c>
      <c r="Q252">
        <v>2959133.07</v>
      </c>
      <c r="R252">
        <v>46948.009995240362</v>
      </c>
      <c r="S252" s="238" t="s">
        <v>137</v>
      </c>
      <c r="T252" s="238" t="s">
        <v>1167</v>
      </c>
      <c r="V252" t="s">
        <v>1167</v>
      </c>
      <c r="W252" s="24">
        <v>44124</v>
      </c>
      <c r="X252" s="238" t="s">
        <v>382</v>
      </c>
      <c r="Y252" s="238" t="s">
        <v>39</v>
      </c>
      <c r="Z252" s="238" t="s">
        <v>1340</v>
      </c>
      <c r="AA252" t="s">
        <v>1167</v>
      </c>
      <c r="AB252" s="238" t="s">
        <v>3246</v>
      </c>
      <c r="AC252" t="s">
        <v>3077</v>
      </c>
      <c r="AD252" s="24"/>
      <c r="AE252" s="238" t="s">
        <v>1652</v>
      </c>
      <c r="AF252">
        <v>79874496259</v>
      </c>
      <c r="AG252" s="238" t="s">
        <v>1653</v>
      </c>
      <c r="AH252" s="238" t="s">
        <v>1171</v>
      </c>
      <c r="AI252" s="238" t="s">
        <v>3088</v>
      </c>
      <c r="AJ252" s="238" t="s">
        <v>120</v>
      </c>
      <c r="AK252" s="238" t="s">
        <v>141</v>
      </c>
      <c r="AL252" t="s">
        <v>8715</v>
      </c>
      <c r="AM252" t="s">
        <v>1167</v>
      </c>
    </row>
    <row r="253" spans="1:39" hidden="1" x14ac:dyDescent="0.25">
      <c r="A253">
        <v>249</v>
      </c>
      <c r="B253">
        <v>21</v>
      </c>
      <c r="C253" s="24">
        <v>44131</v>
      </c>
      <c r="D253" s="238" t="s">
        <v>20</v>
      </c>
      <c r="E253" s="238" t="s">
        <v>5</v>
      </c>
      <c r="F253">
        <v>5</v>
      </c>
      <c r="G253">
        <v>22</v>
      </c>
      <c r="H253">
        <v>295</v>
      </c>
      <c r="I253" s="238" t="s">
        <v>44</v>
      </c>
      <c r="J253">
        <v>78.03</v>
      </c>
      <c r="K253" s="238" t="s">
        <v>38</v>
      </c>
      <c r="L253">
        <v>5042417.99</v>
      </c>
      <c r="M253">
        <v>0</v>
      </c>
      <c r="N253">
        <v>5042417.99</v>
      </c>
      <c r="O253">
        <v>64621.530052543894</v>
      </c>
      <c r="P253">
        <v>1209465</v>
      </c>
      <c r="Q253">
        <v>3832952.99</v>
      </c>
      <c r="R253">
        <v>49121.530052543894</v>
      </c>
      <c r="S253" s="238" t="s">
        <v>137</v>
      </c>
      <c r="T253" s="238" t="s">
        <v>1167</v>
      </c>
      <c r="V253" t="s">
        <v>1167</v>
      </c>
      <c r="W253" s="24">
        <v>44121</v>
      </c>
      <c r="X253" s="238" t="s">
        <v>384</v>
      </c>
      <c r="Y253" s="238" t="s">
        <v>39</v>
      </c>
      <c r="Z253" s="238" t="s">
        <v>1340</v>
      </c>
      <c r="AA253" t="s">
        <v>1167</v>
      </c>
      <c r="AB253" s="238" t="s">
        <v>3246</v>
      </c>
      <c r="AC253" t="s">
        <v>3079</v>
      </c>
      <c r="AD253" s="24"/>
      <c r="AE253" s="238" t="s">
        <v>1654</v>
      </c>
      <c r="AF253">
        <v>79376579454</v>
      </c>
      <c r="AG253" s="238" t="s">
        <v>1655</v>
      </c>
      <c r="AH253" s="238" t="s">
        <v>135</v>
      </c>
      <c r="AI253" s="238" t="s">
        <v>3105</v>
      </c>
      <c r="AJ253" s="238" t="s">
        <v>120</v>
      </c>
      <c r="AK253" s="238" t="s">
        <v>141</v>
      </c>
      <c r="AL253" t="s">
        <v>8715</v>
      </c>
      <c r="AM253" t="s">
        <v>1167</v>
      </c>
    </row>
    <row r="254" spans="1:39" hidden="1" x14ac:dyDescent="0.25">
      <c r="A254">
        <v>250</v>
      </c>
      <c r="B254">
        <v>22</v>
      </c>
      <c r="C254" s="24">
        <v>44132</v>
      </c>
      <c r="D254" s="238" t="s">
        <v>20</v>
      </c>
      <c r="E254" s="238" t="s">
        <v>6</v>
      </c>
      <c r="F254">
        <v>6</v>
      </c>
      <c r="G254">
        <v>3</v>
      </c>
      <c r="H254">
        <v>16</v>
      </c>
      <c r="I254" s="238" t="s">
        <v>43</v>
      </c>
      <c r="J254">
        <v>63.03</v>
      </c>
      <c r="K254" s="238" t="s">
        <v>36</v>
      </c>
      <c r="L254">
        <v>2931465.41</v>
      </c>
      <c r="M254">
        <v>0</v>
      </c>
      <c r="N254">
        <v>2931465.41</v>
      </c>
      <c r="O254">
        <v>46509.049817547202</v>
      </c>
      <c r="P254">
        <v>31515</v>
      </c>
      <c r="Q254">
        <v>2899950.41</v>
      </c>
      <c r="R254">
        <v>46009.049817547202</v>
      </c>
      <c r="S254" s="238" t="s">
        <v>137</v>
      </c>
      <c r="T254" s="238" t="s">
        <v>1167</v>
      </c>
      <c r="V254" t="s">
        <v>1167</v>
      </c>
      <c r="W254" s="24">
        <v>44106</v>
      </c>
      <c r="X254" s="238" t="s">
        <v>385</v>
      </c>
      <c r="Y254" s="238" t="s">
        <v>39</v>
      </c>
      <c r="Z254" s="238" t="s">
        <v>1340</v>
      </c>
      <c r="AA254" t="s">
        <v>1167</v>
      </c>
      <c r="AB254" s="238" t="s">
        <v>3246</v>
      </c>
      <c r="AC254" t="s">
        <v>3079</v>
      </c>
      <c r="AD254" s="24"/>
      <c r="AE254" s="238" t="s">
        <v>1602</v>
      </c>
      <c r="AF254">
        <v>79068140909</v>
      </c>
      <c r="AG254" s="238" t="s">
        <v>1603</v>
      </c>
      <c r="AH254" s="238" t="s">
        <v>1171</v>
      </c>
      <c r="AI254" s="238" t="s">
        <v>3082</v>
      </c>
      <c r="AJ254" s="238" t="s">
        <v>126</v>
      </c>
      <c r="AK254" s="238" t="s">
        <v>141</v>
      </c>
      <c r="AL254" t="s">
        <v>8715</v>
      </c>
      <c r="AM254" t="s">
        <v>1167</v>
      </c>
    </row>
    <row r="255" spans="1:39" hidden="1" x14ac:dyDescent="0.25">
      <c r="A255">
        <v>251</v>
      </c>
      <c r="B255">
        <v>23</v>
      </c>
      <c r="C255" s="24">
        <v>44132</v>
      </c>
      <c r="D255" s="238" t="s">
        <v>20</v>
      </c>
      <c r="E255" s="238" t="s">
        <v>6</v>
      </c>
      <c r="F255">
        <v>3</v>
      </c>
      <c r="G255">
        <v>11</v>
      </c>
      <c r="H255">
        <v>93</v>
      </c>
      <c r="I255" s="238" t="s">
        <v>43</v>
      </c>
      <c r="J255">
        <v>67.16</v>
      </c>
      <c r="K255" s="238" t="s">
        <v>36</v>
      </c>
      <c r="L255">
        <v>3227007.11</v>
      </c>
      <c r="M255">
        <v>0</v>
      </c>
      <c r="N255">
        <v>3227007.11</v>
      </c>
      <c r="O255">
        <v>48049.540053603334</v>
      </c>
      <c r="P255">
        <v>33580</v>
      </c>
      <c r="Q255">
        <v>3193427.11</v>
      </c>
      <c r="R255">
        <v>47549.540053603334</v>
      </c>
      <c r="S255" s="238" t="s">
        <v>137</v>
      </c>
      <c r="T255" s="238" t="s">
        <v>1167</v>
      </c>
      <c r="V255" t="s">
        <v>1167</v>
      </c>
      <c r="W255" s="24">
        <v>44119</v>
      </c>
      <c r="X255" s="238" t="s">
        <v>387</v>
      </c>
      <c r="Y255" s="238" t="s">
        <v>39</v>
      </c>
      <c r="Z255" s="238" t="s">
        <v>1340</v>
      </c>
      <c r="AA255" t="s">
        <v>1167</v>
      </c>
      <c r="AB255" s="238" t="s">
        <v>3246</v>
      </c>
      <c r="AC255" t="s">
        <v>3079</v>
      </c>
      <c r="AD255" s="24"/>
      <c r="AE255" s="238" t="s">
        <v>1656</v>
      </c>
      <c r="AF255">
        <v>79631168333</v>
      </c>
      <c r="AG255" s="238" t="s">
        <v>1657</v>
      </c>
      <c r="AH255" s="238" t="s">
        <v>1171</v>
      </c>
      <c r="AI255" s="238" t="s">
        <v>135</v>
      </c>
      <c r="AJ255" s="238" t="s">
        <v>130</v>
      </c>
      <c r="AK255" s="238" t="s">
        <v>141</v>
      </c>
      <c r="AL255" t="s">
        <v>8715</v>
      </c>
      <c r="AM255" t="s">
        <v>1167</v>
      </c>
    </row>
    <row r="256" spans="1:39" hidden="1" x14ac:dyDescent="0.25">
      <c r="A256">
        <v>252</v>
      </c>
      <c r="B256">
        <v>24</v>
      </c>
      <c r="C256" s="24">
        <v>44132</v>
      </c>
      <c r="D256" s="238" t="s">
        <v>20</v>
      </c>
      <c r="E256" s="238" t="s">
        <v>5</v>
      </c>
      <c r="F256">
        <v>2</v>
      </c>
      <c r="G256">
        <v>14</v>
      </c>
      <c r="H256">
        <v>236</v>
      </c>
      <c r="I256" s="238" t="s">
        <v>42</v>
      </c>
      <c r="J256">
        <v>40.39</v>
      </c>
      <c r="K256" s="238" t="s">
        <v>36</v>
      </c>
      <c r="L256">
        <v>2165210.56</v>
      </c>
      <c r="M256">
        <v>0</v>
      </c>
      <c r="N256">
        <v>2165210.56</v>
      </c>
      <c r="O256">
        <v>53607.589997524141</v>
      </c>
      <c r="P256">
        <v>20195</v>
      </c>
      <c r="Q256">
        <v>2145015.56</v>
      </c>
      <c r="R256">
        <v>53107.589997524141</v>
      </c>
      <c r="S256" s="238" t="s">
        <v>137</v>
      </c>
      <c r="T256" s="238" t="s">
        <v>1167</v>
      </c>
      <c r="V256" t="s">
        <v>1167</v>
      </c>
      <c r="W256" s="24">
        <v>44126</v>
      </c>
      <c r="X256" s="238" t="s">
        <v>386</v>
      </c>
      <c r="Y256" s="238" t="s">
        <v>39</v>
      </c>
      <c r="Z256" s="238" t="s">
        <v>1340</v>
      </c>
      <c r="AA256" t="s">
        <v>1167</v>
      </c>
      <c r="AB256" s="238" t="s">
        <v>3246</v>
      </c>
      <c r="AC256" t="s">
        <v>3079</v>
      </c>
      <c r="AD256" s="24"/>
      <c r="AE256" s="238" t="s">
        <v>1658</v>
      </c>
      <c r="AF256">
        <v>79093643527</v>
      </c>
      <c r="AG256" s="238" t="s">
        <v>1659</v>
      </c>
      <c r="AH256" s="238" t="s">
        <v>1171</v>
      </c>
      <c r="AI256" s="238" t="s">
        <v>135</v>
      </c>
      <c r="AJ256" s="238" t="s">
        <v>126</v>
      </c>
      <c r="AK256" s="238" t="s">
        <v>141</v>
      </c>
      <c r="AL256" t="s">
        <v>8715</v>
      </c>
      <c r="AM256" t="s">
        <v>1167</v>
      </c>
    </row>
    <row r="257" spans="1:39" hidden="1" x14ac:dyDescent="0.25">
      <c r="A257">
        <v>253</v>
      </c>
      <c r="B257">
        <v>25</v>
      </c>
      <c r="C257" s="24">
        <v>44132</v>
      </c>
      <c r="D257" s="238" t="s">
        <v>20</v>
      </c>
      <c r="E257" s="238" t="s">
        <v>5</v>
      </c>
      <c r="F257">
        <v>3</v>
      </c>
      <c r="G257">
        <v>9</v>
      </c>
      <c r="H257">
        <v>202</v>
      </c>
      <c r="I257" s="238" t="s">
        <v>42</v>
      </c>
      <c r="J257">
        <v>41.48</v>
      </c>
      <c r="K257" s="238" t="s">
        <v>36</v>
      </c>
      <c r="L257">
        <v>2184827.09</v>
      </c>
      <c r="M257">
        <v>0</v>
      </c>
      <c r="N257">
        <v>2184827.09</v>
      </c>
      <c r="O257">
        <v>52671.819913211184</v>
      </c>
      <c r="P257">
        <v>20740</v>
      </c>
      <c r="Q257">
        <v>2164087.09</v>
      </c>
      <c r="R257">
        <v>52171.819913211184</v>
      </c>
      <c r="S257" s="238" t="s">
        <v>124</v>
      </c>
      <c r="T257" s="238" t="s">
        <v>1167</v>
      </c>
      <c r="V257" t="s">
        <v>1167</v>
      </c>
      <c r="W257" s="24">
        <v>44135</v>
      </c>
      <c r="X257" s="238" t="s">
        <v>388</v>
      </c>
      <c r="Y257" s="238" t="s">
        <v>39</v>
      </c>
      <c r="Z257" s="238" t="s">
        <v>1168</v>
      </c>
      <c r="AA257" t="s">
        <v>1167</v>
      </c>
      <c r="AB257" s="238" t="s">
        <v>3246</v>
      </c>
      <c r="AC257" t="s">
        <v>4246</v>
      </c>
      <c r="AD257" s="24"/>
      <c r="AE257" s="238" t="s">
        <v>1660</v>
      </c>
      <c r="AF257">
        <v>79608122668</v>
      </c>
      <c r="AG257" s="238" t="s">
        <v>1661</v>
      </c>
      <c r="AH257" s="238" t="s">
        <v>1212</v>
      </c>
      <c r="AI257" s="238" t="s">
        <v>135</v>
      </c>
      <c r="AJ257" s="238" t="s">
        <v>120</v>
      </c>
      <c r="AK257" s="238" t="s">
        <v>1167</v>
      </c>
      <c r="AL257" t="s">
        <v>8715</v>
      </c>
      <c r="AM257" t="s">
        <v>1167</v>
      </c>
    </row>
    <row r="258" spans="1:39" hidden="1" x14ac:dyDescent="0.25">
      <c r="A258">
        <v>254</v>
      </c>
      <c r="B258">
        <v>26</v>
      </c>
      <c r="C258" s="24">
        <v>44133</v>
      </c>
      <c r="D258" s="238" t="s">
        <v>20</v>
      </c>
      <c r="E258" s="238" t="s">
        <v>5</v>
      </c>
      <c r="F258">
        <v>3</v>
      </c>
      <c r="G258">
        <v>3</v>
      </c>
      <c r="H258">
        <v>160</v>
      </c>
      <c r="I258" s="238" t="s">
        <v>42</v>
      </c>
      <c r="J258">
        <v>41.48</v>
      </c>
      <c r="K258" s="238" t="s">
        <v>36</v>
      </c>
      <c r="L258">
        <v>2074070.93</v>
      </c>
      <c r="M258">
        <v>15000</v>
      </c>
      <c r="N258">
        <v>2089070.93</v>
      </c>
      <c r="O258">
        <v>50363.330038572807</v>
      </c>
      <c r="P258">
        <v>20740</v>
      </c>
      <c r="Q258">
        <v>2068330.93</v>
      </c>
      <c r="R258">
        <v>49863.330038572807</v>
      </c>
      <c r="S258" s="238" t="s">
        <v>137</v>
      </c>
      <c r="T258" s="238" t="s">
        <v>1167</v>
      </c>
      <c r="V258" t="s">
        <v>1167</v>
      </c>
      <c r="W258" s="24">
        <v>44133</v>
      </c>
      <c r="X258" s="238" t="s">
        <v>390</v>
      </c>
      <c r="Y258" s="238" t="s">
        <v>39</v>
      </c>
      <c r="Z258" s="238" t="s">
        <v>1340</v>
      </c>
      <c r="AA258" t="s">
        <v>1167</v>
      </c>
      <c r="AB258" s="238" t="s">
        <v>3246</v>
      </c>
      <c r="AC258" t="s">
        <v>3079</v>
      </c>
      <c r="AD258" s="24"/>
      <c r="AE258" s="238" t="s">
        <v>1662</v>
      </c>
      <c r="AF258">
        <v>79171302469</v>
      </c>
      <c r="AG258" s="238" t="s">
        <v>1663</v>
      </c>
      <c r="AH258" s="238" t="s">
        <v>1212</v>
      </c>
      <c r="AI258" s="238" t="s">
        <v>135</v>
      </c>
      <c r="AJ258" s="238" t="s">
        <v>120</v>
      </c>
      <c r="AK258" s="238" t="s">
        <v>162</v>
      </c>
      <c r="AL258" t="s">
        <v>8715</v>
      </c>
      <c r="AM258" t="s">
        <v>1167</v>
      </c>
    </row>
    <row r="259" spans="1:39" hidden="1" x14ac:dyDescent="0.25">
      <c r="A259">
        <v>255</v>
      </c>
      <c r="B259">
        <v>27</v>
      </c>
      <c r="C259" s="24">
        <v>44133</v>
      </c>
      <c r="D259" s="238" t="s">
        <v>20</v>
      </c>
      <c r="E259" s="238" t="s">
        <v>6</v>
      </c>
      <c r="F259">
        <v>2</v>
      </c>
      <c r="G259">
        <v>7</v>
      </c>
      <c r="H259">
        <v>52</v>
      </c>
      <c r="I259" s="238" t="s">
        <v>4052</v>
      </c>
      <c r="J259">
        <v>31.88</v>
      </c>
      <c r="K259" s="238" t="s">
        <v>36</v>
      </c>
      <c r="L259">
        <v>1897096.55</v>
      </c>
      <c r="M259">
        <v>0</v>
      </c>
      <c r="N259">
        <v>1897096.55</v>
      </c>
      <c r="O259">
        <v>59507.420012547052</v>
      </c>
      <c r="P259">
        <v>15940</v>
      </c>
      <c r="Q259">
        <v>1881156.55</v>
      </c>
      <c r="R259">
        <v>59007.420012547052</v>
      </c>
      <c r="S259" s="238" t="s">
        <v>137</v>
      </c>
      <c r="T259" s="238" t="s">
        <v>1167</v>
      </c>
      <c r="V259" t="s">
        <v>1167</v>
      </c>
      <c r="W259" s="24">
        <v>44133</v>
      </c>
      <c r="X259" s="238" t="s">
        <v>389</v>
      </c>
      <c r="Y259" s="238" t="s">
        <v>39</v>
      </c>
      <c r="Z259" s="238" t="s">
        <v>1340</v>
      </c>
      <c r="AA259" t="s">
        <v>1167</v>
      </c>
      <c r="AB259" s="238" t="s">
        <v>3246</v>
      </c>
      <c r="AC259" t="s">
        <v>3079</v>
      </c>
      <c r="AD259" s="24"/>
      <c r="AE259" s="238" t="s">
        <v>1664</v>
      </c>
      <c r="AF259">
        <v>79277820699</v>
      </c>
      <c r="AG259" s="238" t="s">
        <v>1665</v>
      </c>
      <c r="AH259" s="238" t="s">
        <v>146</v>
      </c>
      <c r="AI259" s="238" t="s">
        <v>135</v>
      </c>
      <c r="AJ259" s="238" t="s">
        <v>399</v>
      </c>
      <c r="AK259" s="238" t="s">
        <v>141</v>
      </c>
      <c r="AL259" t="s">
        <v>8715</v>
      </c>
      <c r="AM259" t="s">
        <v>1167</v>
      </c>
    </row>
    <row r="260" spans="1:39" hidden="1" x14ac:dyDescent="0.25">
      <c r="A260">
        <v>256</v>
      </c>
      <c r="B260">
        <v>28</v>
      </c>
      <c r="C260" s="24">
        <v>44134</v>
      </c>
      <c r="D260" s="238" t="s">
        <v>20</v>
      </c>
      <c r="E260" s="238" t="s">
        <v>6</v>
      </c>
      <c r="F260">
        <v>4</v>
      </c>
      <c r="G260">
        <v>9</v>
      </c>
      <c r="H260">
        <v>74</v>
      </c>
      <c r="I260" s="238" t="s">
        <v>44</v>
      </c>
      <c r="J260">
        <v>80.33</v>
      </c>
      <c r="K260" s="238" t="s">
        <v>37</v>
      </c>
      <c r="L260">
        <v>4222367.3099999996</v>
      </c>
      <c r="M260">
        <v>0</v>
      </c>
      <c r="N260">
        <v>4222367.3099999996</v>
      </c>
      <c r="O260">
        <v>52562.769948960537</v>
      </c>
      <c r="P260">
        <v>377551</v>
      </c>
      <c r="Q260">
        <v>3844816.3099999996</v>
      </c>
      <c r="R260">
        <v>47862.769948960537</v>
      </c>
      <c r="S260" s="238" t="s">
        <v>137</v>
      </c>
      <c r="T260" s="238" t="s">
        <v>1167</v>
      </c>
      <c r="V260" t="s">
        <v>1167</v>
      </c>
      <c r="W260" s="24">
        <v>44134</v>
      </c>
      <c r="X260" s="238" t="s">
        <v>392</v>
      </c>
      <c r="Y260" s="238" t="s">
        <v>39</v>
      </c>
      <c r="Z260" s="238" t="s">
        <v>1340</v>
      </c>
      <c r="AA260" t="s">
        <v>1167</v>
      </c>
      <c r="AB260" s="238" t="s">
        <v>3246</v>
      </c>
      <c r="AC260" t="s">
        <v>3079</v>
      </c>
      <c r="AD260" s="24"/>
      <c r="AE260" s="238" t="s">
        <v>1666</v>
      </c>
      <c r="AF260">
        <v>79379880145</v>
      </c>
      <c r="AG260" s="238" t="s">
        <v>1667</v>
      </c>
      <c r="AH260" s="238" t="s">
        <v>146</v>
      </c>
      <c r="AI260" s="238" t="s">
        <v>135</v>
      </c>
      <c r="AJ260" s="238" t="s">
        <v>126</v>
      </c>
      <c r="AK260" s="238" t="s">
        <v>162</v>
      </c>
      <c r="AL260" t="s">
        <v>8715</v>
      </c>
      <c r="AM260" t="s">
        <v>1167</v>
      </c>
    </row>
    <row r="261" spans="1:39" hidden="1" x14ac:dyDescent="0.25">
      <c r="A261">
        <v>257</v>
      </c>
      <c r="B261">
        <v>29</v>
      </c>
      <c r="C261" s="24">
        <v>44134</v>
      </c>
      <c r="D261" s="238" t="s">
        <v>20</v>
      </c>
      <c r="E261" s="238" t="s">
        <v>6</v>
      </c>
      <c r="F261">
        <v>7</v>
      </c>
      <c r="G261">
        <v>6</v>
      </c>
      <c r="H261">
        <v>47</v>
      </c>
      <c r="I261" s="238" t="s">
        <v>42</v>
      </c>
      <c r="J261">
        <v>42.32</v>
      </c>
      <c r="K261" s="238" t="s">
        <v>37</v>
      </c>
      <c r="L261">
        <v>2175124.59</v>
      </c>
      <c r="M261">
        <v>0</v>
      </c>
      <c r="N261">
        <v>2175124.59</v>
      </c>
      <c r="O261">
        <v>51397.083884688087</v>
      </c>
      <c r="P261">
        <v>198904</v>
      </c>
      <c r="Q261">
        <v>1976220.5899999999</v>
      </c>
      <c r="R261">
        <v>46697.083884688087</v>
      </c>
      <c r="S261" s="238" t="s">
        <v>137</v>
      </c>
      <c r="T261" s="238" t="s">
        <v>1167</v>
      </c>
      <c r="V261" t="s">
        <v>1167</v>
      </c>
      <c r="W261" s="24">
        <v>44134</v>
      </c>
      <c r="X261" s="238" t="s">
        <v>391</v>
      </c>
      <c r="Y261" s="238" t="s">
        <v>39</v>
      </c>
      <c r="Z261" s="238" t="s">
        <v>1340</v>
      </c>
      <c r="AA261" t="s">
        <v>1167</v>
      </c>
      <c r="AB261" s="238" t="s">
        <v>3246</v>
      </c>
      <c r="AC261" t="s">
        <v>3079</v>
      </c>
      <c r="AD261" s="24"/>
      <c r="AE261" s="238" t="s">
        <v>1668</v>
      </c>
      <c r="AF261">
        <v>79276589367</v>
      </c>
      <c r="AG261" s="238" t="s">
        <v>1669</v>
      </c>
      <c r="AH261" s="238" t="s">
        <v>1171</v>
      </c>
      <c r="AI261" s="238" t="s">
        <v>3094</v>
      </c>
      <c r="AJ261" s="238" t="s">
        <v>126</v>
      </c>
      <c r="AK261" s="238" t="s">
        <v>162</v>
      </c>
      <c r="AL261" t="s">
        <v>8715</v>
      </c>
      <c r="AM261" t="s">
        <v>1167</v>
      </c>
    </row>
    <row r="262" spans="1:39" hidden="1" x14ac:dyDescent="0.25">
      <c r="A262">
        <v>258</v>
      </c>
      <c r="B262">
        <v>30</v>
      </c>
      <c r="C262" s="24">
        <v>44135</v>
      </c>
      <c r="D262" s="238" t="s">
        <v>20</v>
      </c>
      <c r="E262" s="238" t="s">
        <v>5</v>
      </c>
      <c r="F262">
        <v>7</v>
      </c>
      <c r="G262">
        <v>15</v>
      </c>
      <c r="H262">
        <v>248</v>
      </c>
      <c r="I262" s="238" t="s">
        <v>43</v>
      </c>
      <c r="J262">
        <v>63.74</v>
      </c>
      <c r="K262" s="238" t="s">
        <v>37</v>
      </c>
      <c r="L262">
        <v>3455700.37</v>
      </c>
      <c r="M262">
        <v>15000</v>
      </c>
      <c r="N262">
        <v>3470700.37</v>
      </c>
      <c r="O262">
        <v>54450.900062754939</v>
      </c>
      <c r="P262">
        <v>299578</v>
      </c>
      <c r="Q262">
        <v>3171122.37</v>
      </c>
      <c r="R262">
        <v>49750.900062754939</v>
      </c>
      <c r="S262" s="238" t="s">
        <v>137</v>
      </c>
      <c r="T262" s="238" t="s">
        <v>1167</v>
      </c>
      <c r="V262" t="s">
        <v>1167</v>
      </c>
      <c r="W262" s="24">
        <v>44135</v>
      </c>
      <c r="X262" s="238" t="s">
        <v>394</v>
      </c>
      <c r="Y262" s="238" t="s">
        <v>39</v>
      </c>
      <c r="Z262" s="238" t="s">
        <v>1340</v>
      </c>
      <c r="AA262" t="s">
        <v>1167</v>
      </c>
      <c r="AB262" s="238" t="s">
        <v>3246</v>
      </c>
      <c r="AC262" t="s">
        <v>3079</v>
      </c>
      <c r="AD262" s="24"/>
      <c r="AE262" s="238" t="s">
        <v>1670</v>
      </c>
      <c r="AF262">
        <v>79171287541</v>
      </c>
      <c r="AG262" s="238" t="s">
        <v>1671</v>
      </c>
      <c r="AH262" s="238" t="s">
        <v>1212</v>
      </c>
      <c r="AI262" s="238" t="s">
        <v>135</v>
      </c>
      <c r="AJ262" s="238" t="s">
        <v>120</v>
      </c>
      <c r="AK262" s="238" t="s">
        <v>141</v>
      </c>
      <c r="AL262" t="s">
        <v>8715</v>
      </c>
      <c r="AM262" t="s">
        <v>1167</v>
      </c>
    </row>
    <row r="263" spans="1:39" hidden="1" x14ac:dyDescent="0.25">
      <c r="A263">
        <v>259</v>
      </c>
      <c r="B263">
        <v>31</v>
      </c>
      <c r="C263" s="24">
        <v>44135</v>
      </c>
      <c r="D263" s="238" t="s">
        <v>20</v>
      </c>
      <c r="E263" s="238" t="s">
        <v>5</v>
      </c>
      <c r="F263">
        <v>4</v>
      </c>
      <c r="G263">
        <v>11</v>
      </c>
      <c r="H263">
        <v>217</v>
      </c>
      <c r="I263" s="238" t="s">
        <v>42</v>
      </c>
      <c r="J263">
        <v>40.58</v>
      </c>
      <c r="K263" s="238" t="s">
        <v>37</v>
      </c>
      <c r="L263">
        <v>2303709.9500000002</v>
      </c>
      <c r="M263">
        <v>15000</v>
      </c>
      <c r="N263">
        <v>2318709.9500000002</v>
      </c>
      <c r="O263">
        <v>57139.229916214892</v>
      </c>
      <c r="P263">
        <v>190726</v>
      </c>
      <c r="Q263">
        <v>2127983.9500000002</v>
      </c>
      <c r="R263">
        <v>52439.229916214892</v>
      </c>
      <c r="S263" s="238" t="s">
        <v>124</v>
      </c>
      <c r="T263" s="238" t="s">
        <v>1167</v>
      </c>
      <c r="V263" t="s">
        <v>1167</v>
      </c>
      <c r="W263" s="24">
        <v>44118</v>
      </c>
      <c r="X263" s="238" t="s">
        <v>393</v>
      </c>
      <c r="Y263" s="238" t="s">
        <v>39</v>
      </c>
      <c r="Z263" s="238" t="s">
        <v>1340</v>
      </c>
      <c r="AA263" t="s">
        <v>1167</v>
      </c>
      <c r="AB263" s="238" t="s">
        <v>3246</v>
      </c>
      <c r="AC263" t="s">
        <v>4246</v>
      </c>
      <c r="AD263" s="24"/>
      <c r="AE263" s="238" t="s">
        <v>1672</v>
      </c>
      <c r="AF263">
        <v>79277530606</v>
      </c>
      <c r="AG263" s="238" t="s">
        <v>1673</v>
      </c>
      <c r="AH263" s="238" t="s">
        <v>1171</v>
      </c>
      <c r="AI263" s="238" t="s">
        <v>3106</v>
      </c>
      <c r="AJ263" s="238" t="s">
        <v>120</v>
      </c>
      <c r="AK263" s="238" t="s">
        <v>1167</v>
      </c>
      <c r="AL263" t="s">
        <v>8715</v>
      </c>
      <c r="AM263" t="s">
        <v>1167</v>
      </c>
    </row>
    <row r="264" spans="1:39" hidden="1" x14ac:dyDescent="0.25">
      <c r="A264">
        <v>260</v>
      </c>
      <c r="B264">
        <v>1</v>
      </c>
      <c r="C264" s="24">
        <v>44144</v>
      </c>
      <c r="D264" s="238" t="s">
        <v>20</v>
      </c>
      <c r="E264" s="238" t="s">
        <v>16</v>
      </c>
      <c r="F264">
        <v>3</v>
      </c>
      <c r="G264">
        <v>4</v>
      </c>
      <c r="H264">
        <v>330</v>
      </c>
      <c r="I264" s="238" t="s">
        <v>42</v>
      </c>
      <c r="J264">
        <v>41.9</v>
      </c>
      <c r="K264" s="238" t="s">
        <v>36</v>
      </c>
      <c r="L264">
        <v>1676000</v>
      </c>
      <c r="M264">
        <v>0</v>
      </c>
      <c r="N264">
        <v>1676000</v>
      </c>
      <c r="O264">
        <v>40000</v>
      </c>
      <c r="P264">
        <v>20950</v>
      </c>
      <c r="Q264">
        <v>1655050</v>
      </c>
      <c r="R264">
        <v>39500</v>
      </c>
      <c r="S264" s="238" t="s">
        <v>121</v>
      </c>
      <c r="T264" s="238" t="s">
        <v>1167</v>
      </c>
      <c r="V264" t="s">
        <v>1167</v>
      </c>
      <c r="W264" s="24">
        <v>44144</v>
      </c>
      <c r="X264" s="238" t="s">
        <v>395</v>
      </c>
      <c r="Y264" s="238" t="s">
        <v>39</v>
      </c>
      <c r="Z264" s="238" t="s">
        <v>1168</v>
      </c>
      <c r="AA264" t="s">
        <v>1167</v>
      </c>
      <c r="AB264" s="238" t="s">
        <v>3246</v>
      </c>
      <c r="AC264" t="s">
        <v>4246</v>
      </c>
      <c r="AD264" s="24"/>
      <c r="AE264" s="238" t="s">
        <v>1674</v>
      </c>
      <c r="AF264">
        <v>79171105057</v>
      </c>
      <c r="AG264" s="238" t="s">
        <v>1675</v>
      </c>
      <c r="AH264" s="238" t="s">
        <v>1171</v>
      </c>
      <c r="AI264" s="238" t="s">
        <v>3094</v>
      </c>
      <c r="AJ264" s="238" t="s">
        <v>126</v>
      </c>
      <c r="AK264" s="238" t="s">
        <v>1167</v>
      </c>
      <c r="AL264" t="s">
        <v>8715</v>
      </c>
      <c r="AM264" t="s">
        <v>1167</v>
      </c>
    </row>
    <row r="265" spans="1:39" hidden="1" x14ac:dyDescent="0.25">
      <c r="A265">
        <v>261</v>
      </c>
      <c r="B265">
        <v>2</v>
      </c>
      <c r="C265" s="24">
        <v>44145</v>
      </c>
      <c r="D265" s="238" t="s">
        <v>20</v>
      </c>
      <c r="E265" s="238" t="s">
        <v>6</v>
      </c>
      <c r="F265">
        <v>8</v>
      </c>
      <c r="G265">
        <v>13</v>
      </c>
      <c r="H265">
        <v>118</v>
      </c>
      <c r="I265" s="238" t="s">
        <v>42</v>
      </c>
      <c r="J265">
        <v>47.97</v>
      </c>
      <c r="K265" s="238" t="s">
        <v>36</v>
      </c>
      <c r="L265">
        <v>2497355.14</v>
      </c>
      <c r="M265">
        <v>0</v>
      </c>
      <c r="N265">
        <v>2497355.14</v>
      </c>
      <c r="O265">
        <v>52060.770064623728</v>
      </c>
      <c r="P265">
        <v>23985</v>
      </c>
      <c r="Q265">
        <v>2473370.14</v>
      </c>
      <c r="R265">
        <v>51560.770064623728</v>
      </c>
      <c r="S265" s="238" t="s">
        <v>137</v>
      </c>
      <c r="T265" s="238" t="s">
        <v>1167</v>
      </c>
      <c r="V265" t="s">
        <v>1167</v>
      </c>
      <c r="W265" s="24">
        <v>44138</v>
      </c>
      <c r="X265" s="238" t="s">
        <v>397</v>
      </c>
      <c r="Y265" s="238" t="s">
        <v>39</v>
      </c>
      <c r="Z265" s="238" t="s">
        <v>1340</v>
      </c>
      <c r="AA265" t="s">
        <v>1167</v>
      </c>
      <c r="AB265" s="238" t="s">
        <v>3246</v>
      </c>
      <c r="AC265" t="s">
        <v>3079</v>
      </c>
      <c r="AD265" s="24"/>
      <c r="AE265" s="238" t="s">
        <v>1676</v>
      </c>
      <c r="AF265">
        <v>79372096001</v>
      </c>
      <c r="AG265" s="238" t="s">
        <v>1677</v>
      </c>
      <c r="AH265" s="238" t="s">
        <v>135</v>
      </c>
      <c r="AI265" s="238" t="s">
        <v>3075</v>
      </c>
      <c r="AJ265" s="238" t="s">
        <v>126</v>
      </c>
      <c r="AK265" s="238" t="s">
        <v>141</v>
      </c>
      <c r="AL265" t="s">
        <v>8715</v>
      </c>
      <c r="AM265" t="s">
        <v>1167</v>
      </c>
    </row>
    <row r="266" spans="1:39" hidden="1" x14ac:dyDescent="0.25">
      <c r="A266">
        <v>262</v>
      </c>
      <c r="B266">
        <v>3</v>
      </c>
      <c r="C266" s="24">
        <v>44145</v>
      </c>
      <c r="D266" s="238" t="s">
        <v>20</v>
      </c>
      <c r="E266" s="238" t="s">
        <v>6</v>
      </c>
      <c r="F266">
        <v>2</v>
      </c>
      <c r="G266">
        <v>5</v>
      </c>
      <c r="H266">
        <v>32</v>
      </c>
      <c r="I266" s="238" t="s">
        <v>4052</v>
      </c>
      <c r="J266">
        <v>31.88</v>
      </c>
      <c r="K266" s="238" t="s">
        <v>36</v>
      </c>
      <c r="L266">
        <v>1930391.38</v>
      </c>
      <c r="M266">
        <v>0</v>
      </c>
      <c r="N266">
        <v>1930391.38</v>
      </c>
      <c r="O266">
        <v>60551.799874529483</v>
      </c>
      <c r="P266">
        <v>15940</v>
      </c>
      <c r="Q266">
        <v>1914451.38</v>
      </c>
      <c r="R266">
        <v>60051.799874529483</v>
      </c>
      <c r="S266" s="238" t="s">
        <v>137</v>
      </c>
      <c r="T266" s="238" t="s">
        <v>1167</v>
      </c>
      <c r="V266" t="s">
        <v>1167</v>
      </c>
      <c r="W266" s="24">
        <v>44141</v>
      </c>
      <c r="X266" s="238" t="s">
        <v>396</v>
      </c>
      <c r="Y266" s="238" t="s">
        <v>39</v>
      </c>
      <c r="Z266" s="238" t="s">
        <v>1340</v>
      </c>
      <c r="AA266" t="s">
        <v>1167</v>
      </c>
      <c r="AB266" s="238" t="s">
        <v>3246</v>
      </c>
      <c r="AC266" t="s">
        <v>3079</v>
      </c>
      <c r="AD266" s="24"/>
      <c r="AE266" s="238" t="s">
        <v>1678</v>
      </c>
      <c r="AF266">
        <v>79279036324</v>
      </c>
      <c r="AG266" s="238" t="s">
        <v>1679</v>
      </c>
      <c r="AH266" s="238" t="s">
        <v>1212</v>
      </c>
      <c r="AI266" s="238" t="s">
        <v>135</v>
      </c>
      <c r="AJ266" s="238" t="s">
        <v>120</v>
      </c>
      <c r="AK266" s="238" t="s">
        <v>141</v>
      </c>
      <c r="AL266" t="s">
        <v>8715</v>
      </c>
      <c r="AM266" t="s">
        <v>1167</v>
      </c>
    </row>
    <row r="267" spans="1:39" hidden="1" x14ac:dyDescent="0.25">
      <c r="A267">
        <v>263</v>
      </c>
      <c r="B267">
        <v>4</v>
      </c>
      <c r="C267" s="24">
        <v>44148</v>
      </c>
      <c r="D267" s="238" t="s">
        <v>20</v>
      </c>
      <c r="E267" s="238" t="s">
        <v>5</v>
      </c>
      <c r="F267">
        <v>1</v>
      </c>
      <c r="G267">
        <v>17</v>
      </c>
      <c r="H267">
        <v>256</v>
      </c>
      <c r="I267" s="238" t="s">
        <v>44</v>
      </c>
      <c r="J267">
        <v>89.56</v>
      </c>
      <c r="K267" s="238" t="s">
        <v>36</v>
      </c>
      <c r="L267">
        <v>4444104.2300000004</v>
      </c>
      <c r="M267">
        <v>0</v>
      </c>
      <c r="N267">
        <v>4444104.2300000004</v>
      </c>
      <c r="O267">
        <v>49621.53003573024</v>
      </c>
      <c r="P267">
        <v>44780</v>
      </c>
      <c r="Q267">
        <v>4399324.2300000004</v>
      </c>
      <c r="R267">
        <v>49121.53003573024</v>
      </c>
      <c r="S267" s="238" t="s">
        <v>137</v>
      </c>
      <c r="T267" s="238" t="s">
        <v>1167</v>
      </c>
      <c r="V267" t="s">
        <v>1167</v>
      </c>
      <c r="W267" s="24">
        <v>44136</v>
      </c>
      <c r="X267" s="238" t="s">
        <v>400</v>
      </c>
      <c r="Y267" s="238" t="s">
        <v>39</v>
      </c>
      <c r="Z267" s="238" t="s">
        <v>1340</v>
      </c>
      <c r="AA267" t="s">
        <v>1167</v>
      </c>
      <c r="AB267" s="238" t="s">
        <v>3246</v>
      </c>
      <c r="AC267" t="s">
        <v>3079</v>
      </c>
      <c r="AD267" s="24"/>
      <c r="AE267" s="238" t="s">
        <v>1680</v>
      </c>
      <c r="AF267">
        <v>79966217475</v>
      </c>
      <c r="AG267" s="238" t="s">
        <v>1681</v>
      </c>
      <c r="AH267" s="238" t="s">
        <v>135</v>
      </c>
      <c r="AI267" s="238" t="s">
        <v>3088</v>
      </c>
      <c r="AJ267" s="238" t="s">
        <v>355</v>
      </c>
      <c r="AK267" s="238" t="s">
        <v>141</v>
      </c>
      <c r="AL267" t="s">
        <v>8715</v>
      </c>
      <c r="AM267" t="s">
        <v>1167</v>
      </c>
    </row>
    <row r="268" spans="1:39" hidden="1" x14ac:dyDescent="0.25">
      <c r="A268">
        <v>264</v>
      </c>
      <c r="B268">
        <v>5</v>
      </c>
      <c r="C268" s="24">
        <v>44148</v>
      </c>
      <c r="D268" s="238" t="s">
        <v>20</v>
      </c>
      <c r="E268" s="238" t="s">
        <v>6</v>
      </c>
      <c r="F268">
        <v>2</v>
      </c>
      <c r="G268">
        <v>13</v>
      </c>
      <c r="H268">
        <v>112</v>
      </c>
      <c r="I268" s="238" t="s">
        <v>4052</v>
      </c>
      <c r="J268">
        <v>31.88</v>
      </c>
      <c r="K268" s="238" t="s">
        <v>36</v>
      </c>
      <c r="L268">
        <v>1930391.38</v>
      </c>
      <c r="M268">
        <v>0</v>
      </c>
      <c r="N268">
        <v>1930391.38</v>
      </c>
      <c r="O268">
        <v>60551.799874529483</v>
      </c>
      <c r="P268">
        <v>15940</v>
      </c>
      <c r="Q268">
        <v>1914451.38</v>
      </c>
      <c r="R268">
        <v>60051.799874529483</v>
      </c>
      <c r="S268" s="238" t="s">
        <v>121</v>
      </c>
      <c r="T268" s="238" t="s">
        <v>1167</v>
      </c>
      <c r="V268" t="s">
        <v>1167</v>
      </c>
      <c r="W268" s="24">
        <v>44143</v>
      </c>
      <c r="X268" s="238" t="s">
        <v>398</v>
      </c>
      <c r="Y268" s="238" t="s">
        <v>39</v>
      </c>
      <c r="Z268" s="238" t="s">
        <v>1340</v>
      </c>
      <c r="AA268" t="s">
        <v>1167</v>
      </c>
      <c r="AB268" s="238" t="s">
        <v>3246</v>
      </c>
      <c r="AC268" t="s">
        <v>4246</v>
      </c>
      <c r="AD268" s="24"/>
      <c r="AE268" s="238" t="s">
        <v>1682</v>
      </c>
      <c r="AF268">
        <v>79180672232</v>
      </c>
      <c r="AG268" s="238" t="s">
        <v>1683</v>
      </c>
      <c r="AH268" s="238" t="s">
        <v>1212</v>
      </c>
      <c r="AI268" s="238" t="s">
        <v>135</v>
      </c>
      <c r="AJ268" s="238" t="s">
        <v>399</v>
      </c>
      <c r="AK268" s="238" t="s">
        <v>1167</v>
      </c>
      <c r="AL268" t="s">
        <v>8715</v>
      </c>
      <c r="AM268" t="s">
        <v>1167</v>
      </c>
    </row>
    <row r="269" spans="1:39" hidden="1" x14ac:dyDescent="0.25">
      <c r="A269">
        <v>265</v>
      </c>
      <c r="B269">
        <v>6</v>
      </c>
      <c r="C269" s="24">
        <v>44151</v>
      </c>
      <c r="D269" s="238" t="s">
        <v>20</v>
      </c>
      <c r="E269" s="238" t="s">
        <v>5</v>
      </c>
      <c r="F269">
        <v>2</v>
      </c>
      <c r="G269">
        <v>5</v>
      </c>
      <c r="H269">
        <v>173</v>
      </c>
      <c r="I269" s="238" t="s">
        <v>42</v>
      </c>
      <c r="J269">
        <v>40.39</v>
      </c>
      <c r="K269" s="238" t="s">
        <v>36</v>
      </c>
      <c r="L269">
        <v>2203175.54</v>
      </c>
      <c r="M269">
        <v>0</v>
      </c>
      <c r="N269">
        <v>2203175.54</v>
      </c>
      <c r="O269">
        <v>54547.549888586283</v>
      </c>
      <c r="P269">
        <v>20195</v>
      </c>
      <c r="Q269">
        <v>2182980.54</v>
      </c>
      <c r="R269">
        <v>54047.549888586283</v>
      </c>
      <c r="S269" s="238" t="s">
        <v>137</v>
      </c>
      <c r="T269" s="238" t="s">
        <v>1167</v>
      </c>
      <c r="V269" t="s">
        <v>1167</v>
      </c>
      <c r="W269" s="24">
        <v>44145</v>
      </c>
      <c r="X269" s="238" t="s">
        <v>401</v>
      </c>
      <c r="Y269" s="238" t="s">
        <v>39</v>
      </c>
      <c r="Z269" s="238" t="s">
        <v>1340</v>
      </c>
      <c r="AA269" t="s">
        <v>1167</v>
      </c>
      <c r="AB269" s="238" t="s">
        <v>3246</v>
      </c>
      <c r="AC269" t="s">
        <v>3079</v>
      </c>
      <c r="AD269" s="24"/>
      <c r="AE269" s="238" t="s">
        <v>1684</v>
      </c>
      <c r="AF269">
        <v>79277140129</v>
      </c>
      <c r="AG269" s="238" t="s">
        <v>1685</v>
      </c>
      <c r="AH269" s="238" t="s">
        <v>1171</v>
      </c>
      <c r="AI269" s="238" t="s">
        <v>3074</v>
      </c>
      <c r="AJ269" s="238" t="s">
        <v>399</v>
      </c>
      <c r="AK269" s="238" t="s">
        <v>141</v>
      </c>
      <c r="AL269" t="s">
        <v>8715</v>
      </c>
      <c r="AM269" t="s">
        <v>1167</v>
      </c>
    </row>
    <row r="270" spans="1:39" hidden="1" x14ac:dyDescent="0.25">
      <c r="A270">
        <v>266</v>
      </c>
      <c r="B270">
        <v>7</v>
      </c>
      <c r="C270" s="24">
        <v>44152</v>
      </c>
      <c r="D270" s="238" t="s">
        <v>20</v>
      </c>
      <c r="E270" s="238" t="s">
        <v>6</v>
      </c>
      <c r="F270">
        <v>2</v>
      </c>
      <c r="G270">
        <v>10</v>
      </c>
      <c r="H270">
        <v>82</v>
      </c>
      <c r="I270" s="238" t="s">
        <v>4052</v>
      </c>
      <c r="J270">
        <v>31.88</v>
      </c>
      <c r="K270" s="238" t="s">
        <v>38</v>
      </c>
      <c r="L270">
        <v>2149557.7599999998</v>
      </c>
      <c r="M270">
        <v>0</v>
      </c>
      <c r="N270">
        <v>2149557.7599999998</v>
      </c>
      <c r="O270">
        <v>67426.529485570893</v>
      </c>
      <c r="P270">
        <v>494140</v>
      </c>
      <c r="Q270">
        <v>1655417.7599999998</v>
      </c>
      <c r="R270">
        <v>51926.529485570885</v>
      </c>
      <c r="S270" s="238" t="s">
        <v>137</v>
      </c>
      <c r="T270" s="238" t="s">
        <v>350</v>
      </c>
      <c r="U270">
        <v>225738.78595200001</v>
      </c>
      <c r="V270" t="s">
        <v>1167</v>
      </c>
      <c r="W270" s="24">
        <v>44147</v>
      </c>
      <c r="X270" s="238" t="s">
        <v>402</v>
      </c>
      <c r="Y270" s="238" t="s">
        <v>39</v>
      </c>
      <c r="Z270" s="238" t="s">
        <v>1340</v>
      </c>
      <c r="AA270" t="s">
        <v>1167</v>
      </c>
      <c r="AB270" s="238" t="s">
        <v>3246</v>
      </c>
      <c r="AC270" t="s">
        <v>3079</v>
      </c>
      <c r="AD270" s="24"/>
      <c r="AE270" s="238" t="s">
        <v>1686</v>
      </c>
      <c r="AF270">
        <v>79371810476</v>
      </c>
      <c r="AG270" s="238" t="s">
        <v>1687</v>
      </c>
      <c r="AH270" s="238" t="s">
        <v>1212</v>
      </c>
      <c r="AI270" s="238" t="s">
        <v>3094</v>
      </c>
      <c r="AJ270" s="238" t="s">
        <v>120</v>
      </c>
      <c r="AK270" s="238" t="s">
        <v>141</v>
      </c>
      <c r="AL270" t="s">
        <v>8715</v>
      </c>
      <c r="AM270" t="s">
        <v>1167</v>
      </c>
    </row>
    <row r="271" spans="1:39" hidden="1" x14ac:dyDescent="0.25">
      <c r="A271">
        <v>267</v>
      </c>
      <c r="B271">
        <v>8</v>
      </c>
      <c r="C271" s="24">
        <v>44158</v>
      </c>
      <c r="D271" s="238" t="s">
        <v>20</v>
      </c>
      <c r="E271" s="238" t="s">
        <v>5</v>
      </c>
      <c r="F271">
        <v>3</v>
      </c>
      <c r="G271">
        <v>12</v>
      </c>
      <c r="H271">
        <v>223</v>
      </c>
      <c r="I271" s="238" t="s">
        <v>42</v>
      </c>
      <c r="J271">
        <v>41.48</v>
      </c>
      <c r="K271" s="238" t="s">
        <v>36</v>
      </c>
      <c r="L271">
        <v>2208129.31</v>
      </c>
      <c r="M271">
        <v>15000</v>
      </c>
      <c r="N271">
        <v>2223129.31</v>
      </c>
      <c r="O271">
        <v>53595.209980713604</v>
      </c>
      <c r="P271">
        <v>20740</v>
      </c>
      <c r="Q271">
        <v>2202389.31</v>
      </c>
      <c r="R271">
        <v>53095.209980713604</v>
      </c>
      <c r="S271" s="238" t="s">
        <v>137</v>
      </c>
      <c r="T271" s="238" t="s">
        <v>1167</v>
      </c>
      <c r="V271" t="s">
        <v>1167</v>
      </c>
      <c r="W271" s="24">
        <v>44154</v>
      </c>
      <c r="X271" s="238" t="s">
        <v>403</v>
      </c>
      <c r="Y271" s="238" t="s">
        <v>39</v>
      </c>
      <c r="Z271" s="238" t="s">
        <v>1340</v>
      </c>
      <c r="AA271" t="s">
        <v>1167</v>
      </c>
      <c r="AB271" s="238" t="s">
        <v>3246</v>
      </c>
      <c r="AC271" t="s">
        <v>3079</v>
      </c>
      <c r="AD271" s="24"/>
      <c r="AE271" s="238" t="s">
        <v>1688</v>
      </c>
      <c r="AF271">
        <v>79228774747</v>
      </c>
      <c r="AG271" s="238" t="s">
        <v>1689</v>
      </c>
      <c r="AH271" s="238" t="s">
        <v>1171</v>
      </c>
      <c r="AI271" s="238" t="s">
        <v>3097</v>
      </c>
      <c r="AJ271" s="238" t="s">
        <v>120</v>
      </c>
      <c r="AK271" s="238" t="s">
        <v>162</v>
      </c>
      <c r="AL271" t="s">
        <v>8715</v>
      </c>
      <c r="AM271" t="s">
        <v>1167</v>
      </c>
    </row>
    <row r="272" spans="1:39" hidden="1" x14ac:dyDescent="0.25">
      <c r="A272">
        <v>268</v>
      </c>
      <c r="B272">
        <v>9</v>
      </c>
      <c r="C272" s="24">
        <v>44162</v>
      </c>
      <c r="D272" s="238" t="s">
        <v>20</v>
      </c>
      <c r="E272" s="238" t="s">
        <v>5</v>
      </c>
      <c r="F272">
        <v>7</v>
      </c>
      <c r="G272">
        <v>8</v>
      </c>
      <c r="H272">
        <v>199</v>
      </c>
      <c r="I272" s="238" t="s">
        <v>43</v>
      </c>
      <c r="J272">
        <v>63.74</v>
      </c>
      <c r="K272" s="238" t="s">
        <v>37</v>
      </c>
      <c r="L272">
        <v>3390467.64</v>
      </c>
      <c r="M272">
        <v>0</v>
      </c>
      <c r="N272">
        <v>3390467.64</v>
      </c>
      <c r="O272">
        <v>53192.149984311262</v>
      </c>
      <c r="P272">
        <v>299578</v>
      </c>
      <c r="Q272">
        <v>3090889.64</v>
      </c>
      <c r="R272">
        <v>48492.149984311262</v>
      </c>
      <c r="S272" s="238" t="s">
        <v>137</v>
      </c>
      <c r="T272" s="238" t="s">
        <v>1167</v>
      </c>
      <c r="V272" t="s">
        <v>1167</v>
      </c>
      <c r="W272" s="24">
        <v>44144</v>
      </c>
      <c r="X272" s="238" t="s">
        <v>404</v>
      </c>
      <c r="Y272" s="238" t="s">
        <v>39</v>
      </c>
      <c r="Z272" s="238" t="s">
        <v>1340</v>
      </c>
      <c r="AA272" t="s">
        <v>1167</v>
      </c>
      <c r="AB272" s="238" t="s">
        <v>3246</v>
      </c>
      <c r="AC272" t="s">
        <v>3079</v>
      </c>
      <c r="AD272" s="24"/>
      <c r="AE272" s="238" t="s">
        <v>1690</v>
      </c>
      <c r="AF272">
        <v>79879230391</v>
      </c>
      <c r="AG272" s="238" t="s">
        <v>1691</v>
      </c>
      <c r="AH272" s="238" t="s">
        <v>1212</v>
      </c>
      <c r="AI272" s="238" t="s">
        <v>135</v>
      </c>
      <c r="AJ272" s="238" t="s">
        <v>126</v>
      </c>
      <c r="AK272" s="238" t="s">
        <v>141</v>
      </c>
      <c r="AL272" t="s">
        <v>8715</v>
      </c>
      <c r="AM272" t="s">
        <v>1167</v>
      </c>
    </row>
    <row r="273" spans="1:39" hidden="1" x14ac:dyDescent="0.25">
      <c r="A273">
        <v>269</v>
      </c>
      <c r="B273">
        <v>10</v>
      </c>
      <c r="C273" s="24">
        <v>44162</v>
      </c>
      <c r="D273" s="238" t="s">
        <v>20</v>
      </c>
      <c r="E273" s="238" t="s">
        <v>5</v>
      </c>
      <c r="F273">
        <v>2</v>
      </c>
      <c r="G273">
        <v>8</v>
      </c>
      <c r="H273">
        <v>194</v>
      </c>
      <c r="I273" s="238" t="s">
        <v>42</v>
      </c>
      <c r="J273">
        <v>40.39</v>
      </c>
      <c r="K273" s="238" t="s">
        <v>36</v>
      </c>
      <c r="L273">
        <v>2158175.54</v>
      </c>
      <c r="M273">
        <v>15000</v>
      </c>
      <c r="N273">
        <v>2173175.54</v>
      </c>
      <c r="O273">
        <v>53804.791780143598</v>
      </c>
      <c r="P273">
        <v>20195</v>
      </c>
      <c r="Q273">
        <v>2152980.54</v>
      </c>
      <c r="R273">
        <v>53304.791780143598</v>
      </c>
      <c r="S273" s="238" t="s">
        <v>124</v>
      </c>
      <c r="T273" s="238" t="s">
        <v>3566</v>
      </c>
      <c r="U273">
        <v>30000</v>
      </c>
      <c r="V273" t="s">
        <v>1167</v>
      </c>
      <c r="W273" s="24">
        <v>44154</v>
      </c>
      <c r="X273" s="238" t="s">
        <v>406</v>
      </c>
      <c r="Y273" s="238" t="s">
        <v>39</v>
      </c>
      <c r="Z273" s="238" t="s">
        <v>1340</v>
      </c>
      <c r="AA273" t="s">
        <v>1167</v>
      </c>
      <c r="AB273" s="238" t="s">
        <v>3246</v>
      </c>
      <c r="AC273" t="s">
        <v>4246</v>
      </c>
      <c r="AD273" s="24"/>
      <c r="AE273" s="238" t="s">
        <v>1692</v>
      </c>
      <c r="AF273">
        <v>79178239521</v>
      </c>
      <c r="AG273" s="238" t="s">
        <v>1693</v>
      </c>
      <c r="AH273" s="238" t="s">
        <v>1212</v>
      </c>
      <c r="AI273" s="238" t="s">
        <v>135</v>
      </c>
      <c r="AJ273" s="238" t="s">
        <v>120</v>
      </c>
      <c r="AK273" s="238" t="s">
        <v>1167</v>
      </c>
      <c r="AL273" t="s">
        <v>8715</v>
      </c>
      <c r="AM273" t="s">
        <v>1167</v>
      </c>
    </row>
    <row r="274" spans="1:39" hidden="1" x14ac:dyDescent="0.25">
      <c r="A274">
        <v>270</v>
      </c>
      <c r="B274">
        <v>11</v>
      </c>
      <c r="C274" s="24">
        <v>44162</v>
      </c>
      <c r="D274" s="238" t="s">
        <v>20</v>
      </c>
      <c r="E274" s="238" t="s">
        <v>16</v>
      </c>
      <c r="F274">
        <v>8</v>
      </c>
      <c r="G274">
        <v>5</v>
      </c>
      <c r="H274">
        <v>343</v>
      </c>
      <c r="I274" s="238" t="s">
        <v>43</v>
      </c>
      <c r="J274">
        <v>60.25</v>
      </c>
      <c r="K274" s="238" t="s">
        <v>37</v>
      </c>
      <c r="L274">
        <v>3432347.31</v>
      </c>
      <c r="M274">
        <v>0</v>
      </c>
      <c r="N274">
        <v>3432347.31</v>
      </c>
      <c r="O274">
        <v>56968.420082987555</v>
      </c>
      <c r="P274">
        <v>283175</v>
      </c>
      <c r="Q274">
        <v>3149172.31</v>
      </c>
      <c r="R274">
        <v>52268.420082987555</v>
      </c>
      <c r="S274" s="238" t="s">
        <v>137</v>
      </c>
      <c r="T274" s="238" t="s">
        <v>1167</v>
      </c>
      <c r="V274" t="s">
        <v>1167</v>
      </c>
      <c r="W274" s="24">
        <v>44159</v>
      </c>
      <c r="X274" s="238" t="s">
        <v>407</v>
      </c>
      <c r="Y274" s="238" t="s">
        <v>39</v>
      </c>
      <c r="Z274" s="238" t="s">
        <v>1340</v>
      </c>
      <c r="AA274" t="s">
        <v>1167</v>
      </c>
      <c r="AB274" s="238" t="s">
        <v>3246</v>
      </c>
      <c r="AC274" t="s">
        <v>3079</v>
      </c>
      <c r="AD274" s="24"/>
      <c r="AE274" s="238" t="s">
        <v>1694</v>
      </c>
      <c r="AF274">
        <v>79178221946</v>
      </c>
      <c r="AG274" s="238" t="s">
        <v>1695</v>
      </c>
      <c r="AH274" s="238" t="s">
        <v>1171</v>
      </c>
      <c r="AI274" s="238" t="s">
        <v>135</v>
      </c>
      <c r="AJ274" s="238" t="s">
        <v>399</v>
      </c>
      <c r="AK274" s="238" t="s">
        <v>162</v>
      </c>
      <c r="AL274" t="s">
        <v>8715</v>
      </c>
      <c r="AM274" t="s">
        <v>1167</v>
      </c>
    </row>
    <row r="275" spans="1:39" hidden="1" x14ac:dyDescent="0.25">
      <c r="A275">
        <v>271</v>
      </c>
      <c r="B275">
        <v>12</v>
      </c>
      <c r="C275" s="24">
        <v>44162</v>
      </c>
      <c r="D275" s="238" t="s">
        <v>20</v>
      </c>
      <c r="E275" s="238" t="s">
        <v>5</v>
      </c>
      <c r="F275">
        <v>5</v>
      </c>
      <c r="G275">
        <v>2</v>
      </c>
      <c r="H275">
        <v>155</v>
      </c>
      <c r="I275" s="238" t="s">
        <v>44</v>
      </c>
      <c r="J275">
        <v>79.150000000000006</v>
      </c>
      <c r="K275" s="238" t="s">
        <v>36</v>
      </c>
      <c r="L275">
        <v>3747931.45</v>
      </c>
      <c r="M275">
        <v>0</v>
      </c>
      <c r="N275">
        <v>3747931.45</v>
      </c>
      <c r="O275">
        <v>47352.260897030952</v>
      </c>
      <c r="P275">
        <v>39575</v>
      </c>
      <c r="Q275">
        <v>3708356.45</v>
      </c>
      <c r="R275">
        <v>46852.260897030952</v>
      </c>
      <c r="S275" s="238" t="s">
        <v>137</v>
      </c>
      <c r="T275" s="238" t="s">
        <v>1167</v>
      </c>
      <c r="V275" t="s">
        <v>1167</v>
      </c>
      <c r="W275" s="24">
        <v>44160</v>
      </c>
      <c r="X275" s="238" t="s">
        <v>405</v>
      </c>
      <c r="Y275" s="238" t="s">
        <v>39</v>
      </c>
      <c r="Z275" s="238" t="s">
        <v>1340</v>
      </c>
      <c r="AA275" t="s">
        <v>1167</v>
      </c>
      <c r="AB275" s="238" t="s">
        <v>3246</v>
      </c>
      <c r="AC275" t="s">
        <v>3079</v>
      </c>
      <c r="AD275" s="24"/>
      <c r="AE275" s="238" t="s">
        <v>1696</v>
      </c>
      <c r="AF275">
        <v>79228549767</v>
      </c>
      <c r="AG275" s="238" t="s">
        <v>1697</v>
      </c>
      <c r="AH275" s="238" t="s">
        <v>135</v>
      </c>
      <c r="AI275" s="238" t="s">
        <v>3099</v>
      </c>
      <c r="AJ275" s="238" t="s">
        <v>399</v>
      </c>
      <c r="AK275" s="238" t="s">
        <v>141</v>
      </c>
      <c r="AL275" t="s">
        <v>8715</v>
      </c>
      <c r="AM275" t="s">
        <v>1167</v>
      </c>
    </row>
    <row r="276" spans="1:39" hidden="1" x14ac:dyDescent="0.25">
      <c r="A276">
        <v>272</v>
      </c>
      <c r="B276">
        <v>13</v>
      </c>
      <c r="C276" s="24">
        <v>44165</v>
      </c>
      <c r="D276" s="238" t="s">
        <v>20</v>
      </c>
      <c r="E276" s="238" t="s">
        <v>6</v>
      </c>
      <c r="F276">
        <v>8</v>
      </c>
      <c r="G276">
        <v>3</v>
      </c>
      <c r="H276">
        <v>18</v>
      </c>
      <c r="I276" s="238" t="s">
        <v>42</v>
      </c>
      <c r="J276">
        <v>47.97</v>
      </c>
      <c r="K276" s="238" t="s">
        <v>36</v>
      </c>
      <c r="L276">
        <v>2729349.09</v>
      </c>
      <c r="M276">
        <v>0</v>
      </c>
      <c r="N276">
        <v>2729349.09</v>
      </c>
      <c r="O276">
        <v>56897</v>
      </c>
      <c r="P276">
        <v>23985</v>
      </c>
      <c r="Q276">
        <v>2705364.09</v>
      </c>
      <c r="R276">
        <v>56397</v>
      </c>
      <c r="S276" s="238" t="s">
        <v>137</v>
      </c>
      <c r="T276" s="238" t="s">
        <v>1167</v>
      </c>
      <c r="V276" t="s">
        <v>1167</v>
      </c>
      <c r="W276" s="24">
        <v>44161</v>
      </c>
      <c r="X276" s="238" t="s">
        <v>408</v>
      </c>
      <c r="Y276" s="238" t="s">
        <v>39</v>
      </c>
      <c r="Z276" s="238" t="s">
        <v>1340</v>
      </c>
      <c r="AA276" t="s">
        <v>1167</v>
      </c>
      <c r="AB276" s="238" t="s">
        <v>3246</v>
      </c>
      <c r="AC276" t="s">
        <v>3079</v>
      </c>
      <c r="AD276" s="24"/>
      <c r="AE276" s="238" t="s">
        <v>1698</v>
      </c>
      <c r="AF276">
        <v>79371847300</v>
      </c>
      <c r="AG276" s="238" t="s">
        <v>1699</v>
      </c>
      <c r="AH276" s="238" t="s">
        <v>1171</v>
      </c>
      <c r="AI276" s="238" t="s">
        <v>3074</v>
      </c>
      <c r="AJ276" s="238" t="s">
        <v>126</v>
      </c>
      <c r="AK276" s="238" t="s">
        <v>162</v>
      </c>
      <c r="AL276" t="s">
        <v>8715</v>
      </c>
      <c r="AM276" t="s">
        <v>1167</v>
      </c>
    </row>
    <row r="277" spans="1:39" hidden="1" x14ac:dyDescent="0.25">
      <c r="A277">
        <v>273</v>
      </c>
      <c r="B277">
        <v>1</v>
      </c>
      <c r="C277" s="24">
        <v>44169</v>
      </c>
      <c r="D277" s="238" t="s">
        <v>20</v>
      </c>
      <c r="E277" s="238" t="s">
        <v>5</v>
      </c>
      <c r="F277">
        <v>7</v>
      </c>
      <c r="G277">
        <v>11</v>
      </c>
      <c r="H277">
        <v>220</v>
      </c>
      <c r="I277" s="238" t="s">
        <v>43</v>
      </c>
      <c r="J277">
        <v>63.74</v>
      </c>
      <c r="K277" s="238" t="s">
        <v>38</v>
      </c>
      <c r="L277">
        <v>4159093</v>
      </c>
      <c r="M277">
        <v>0</v>
      </c>
      <c r="N277">
        <v>4159093</v>
      </c>
      <c r="O277">
        <v>65250.909946658299</v>
      </c>
      <c r="P277">
        <v>987970</v>
      </c>
      <c r="Q277">
        <v>3171123</v>
      </c>
      <c r="R277">
        <v>49750.909946658299</v>
      </c>
      <c r="S277" s="238" t="s">
        <v>137</v>
      </c>
      <c r="T277" s="238" t="s">
        <v>1167</v>
      </c>
      <c r="V277" t="s">
        <v>1167</v>
      </c>
      <c r="W277" s="24">
        <v>44169</v>
      </c>
      <c r="X277" s="238" t="s">
        <v>409</v>
      </c>
      <c r="Y277" s="238" t="s">
        <v>39</v>
      </c>
      <c r="Z277" s="238" t="s">
        <v>1340</v>
      </c>
      <c r="AA277" t="s">
        <v>1167</v>
      </c>
      <c r="AB277" s="238" t="s">
        <v>3246</v>
      </c>
      <c r="AC277" t="s">
        <v>3079</v>
      </c>
      <c r="AD277" s="24"/>
      <c r="AE277" s="238" t="s">
        <v>1700</v>
      </c>
      <c r="AF277">
        <v>79171552494</v>
      </c>
      <c r="AG277" s="238" t="s">
        <v>1701</v>
      </c>
      <c r="AH277" s="238" t="s">
        <v>1171</v>
      </c>
      <c r="AI277" s="238" t="s">
        <v>135</v>
      </c>
      <c r="AJ277" s="238" t="s">
        <v>126</v>
      </c>
      <c r="AK277" s="238" t="s">
        <v>162</v>
      </c>
      <c r="AL277" t="s">
        <v>8715</v>
      </c>
      <c r="AM277" t="s">
        <v>1167</v>
      </c>
    </row>
    <row r="278" spans="1:39" hidden="1" x14ac:dyDescent="0.25">
      <c r="A278">
        <v>274</v>
      </c>
      <c r="B278">
        <v>2</v>
      </c>
      <c r="C278" s="24">
        <v>44169</v>
      </c>
      <c r="D278" s="238" t="s">
        <v>20</v>
      </c>
      <c r="E278" s="238" t="s">
        <v>6</v>
      </c>
      <c r="F278">
        <v>5</v>
      </c>
      <c r="G278">
        <v>13</v>
      </c>
      <c r="H278">
        <v>115</v>
      </c>
      <c r="I278" s="238" t="s">
        <v>43</v>
      </c>
      <c r="J278">
        <v>60.2</v>
      </c>
      <c r="K278" s="238" t="s">
        <v>38</v>
      </c>
      <c r="L278">
        <v>3890244.4</v>
      </c>
      <c r="M278">
        <v>0</v>
      </c>
      <c r="N278">
        <v>3890244.4</v>
      </c>
      <c r="O278">
        <v>64621.999999999993</v>
      </c>
      <c r="P278">
        <v>933100</v>
      </c>
      <c r="Q278">
        <v>2957144.4</v>
      </c>
      <c r="R278">
        <v>49121.999999999993</v>
      </c>
      <c r="S278" s="238" t="s">
        <v>137</v>
      </c>
      <c r="T278" s="238" t="s">
        <v>1167</v>
      </c>
      <c r="V278" t="s">
        <v>1167</v>
      </c>
      <c r="W278" s="24">
        <v>44169</v>
      </c>
      <c r="X278" s="238" t="s">
        <v>410</v>
      </c>
      <c r="Y278" s="238" t="s">
        <v>39</v>
      </c>
      <c r="Z278" s="238" t="s">
        <v>1340</v>
      </c>
      <c r="AA278" t="s">
        <v>1167</v>
      </c>
      <c r="AB278" s="238" t="s">
        <v>3246</v>
      </c>
      <c r="AC278" t="s">
        <v>3079</v>
      </c>
      <c r="AD278" s="24"/>
      <c r="AE278" s="238" t="s">
        <v>1702</v>
      </c>
      <c r="AF278">
        <v>79279032739</v>
      </c>
      <c r="AG278" s="238" t="s">
        <v>1703</v>
      </c>
      <c r="AH278" s="238" t="s">
        <v>1212</v>
      </c>
      <c r="AI278" s="238" t="s">
        <v>3102</v>
      </c>
      <c r="AJ278" s="238" t="s">
        <v>126</v>
      </c>
      <c r="AK278" s="238" t="s">
        <v>162</v>
      </c>
      <c r="AL278" t="s">
        <v>8715</v>
      </c>
      <c r="AM278" t="s">
        <v>1167</v>
      </c>
    </row>
    <row r="279" spans="1:39" hidden="1" x14ac:dyDescent="0.25">
      <c r="A279">
        <v>275</v>
      </c>
      <c r="B279">
        <v>3</v>
      </c>
      <c r="C279" s="24">
        <v>44172</v>
      </c>
      <c r="D279" s="238" t="s">
        <v>20</v>
      </c>
      <c r="E279" s="238" t="s">
        <v>5</v>
      </c>
      <c r="F279">
        <v>6</v>
      </c>
      <c r="G279">
        <v>24</v>
      </c>
      <c r="H279">
        <v>310</v>
      </c>
      <c r="I279" s="238" t="s">
        <v>43</v>
      </c>
      <c r="J279">
        <v>64.150000000000006</v>
      </c>
      <c r="K279" s="238" t="s">
        <v>36</v>
      </c>
      <c r="L279">
        <v>3134587.85</v>
      </c>
      <c r="M279">
        <v>0</v>
      </c>
      <c r="N279">
        <v>3134587.85</v>
      </c>
      <c r="O279">
        <v>48863.411535463754</v>
      </c>
      <c r="P279">
        <v>32075</v>
      </c>
      <c r="Q279">
        <v>3102512.85</v>
      </c>
      <c r="R279">
        <v>48363.411535463754</v>
      </c>
      <c r="S279" s="238" t="s">
        <v>137</v>
      </c>
      <c r="T279" s="238" t="s">
        <v>3536</v>
      </c>
      <c r="U279">
        <v>63316.59</v>
      </c>
      <c r="V279" t="s">
        <v>1167</v>
      </c>
      <c r="W279" s="24">
        <v>44172</v>
      </c>
      <c r="X279" s="238" t="s">
        <v>411</v>
      </c>
      <c r="Y279" s="238" t="s">
        <v>39</v>
      </c>
      <c r="Z279" s="238" t="s">
        <v>1340</v>
      </c>
      <c r="AA279" t="s">
        <v>1167</v>
      </c>
      <c r="AB279" s="238" t="s">
        <v>3246</v>
      </c>
      <c r="AC279" t="s">
        <v>3079</v>
      </c>
      <c r="AD279" s="24"/>
      <c r="AE279" s="238" t="s">
        <v>1704</v>
      </c>
      <c r="AF279">
        <v>79262563499</v>
      </c>
      <c r="AG279" s="238" t="s">
        <v>1705</v>
      </c>
      <c r="AH279" s="238" t="s">
        <v>1212</v>
      </c>
      <c r="AI279" s="238" t="s">
        <v>3074</v>
      </c>
      <c r="AJ279" s="238" t="s">
        <v>126</v>
      </c>
      <c r="AK279" s="238" t="s">
        <v>162</v>
      </c>
      <c r="AL279" t="s">
        <v>8715</v>
      </c>
      <c r="AM279" t="s">
        <v>1167</v>
      </c>
    </row>
    <row r="280" spans="1:39" hidden="1" x14ac:dyDescent="0.25">
      <c r="A280">
        <v>276</v>
      </c>
      <c r="B280">
        <v>4</v>
      </c>
      <c r="C280" s="24">
        <v>44173</v>
      </c>
      <c r="D280" s="238" t="s">
        <v>20</v>
      </c>
      <c r="E280" s="238" t="s">
        <v>16</v>
      </c>
      <c r="F280">
        <v>7</v>
      </c>
      <c r="G280">
        <v>6</v>
      </c>
      <c r="H280">
        <v>350</v>
      </c>
      <c r="I280" s="238" t="s">
        <v>43</v>
      </c>
      <c r="J280">
        <v>65.5</v>
      </c>
      <c r="K280" s="238" t="s">
        <v>36</v>
      </c>
      <c r="L280">
        <v>3441304</v>
      </c>
      <c r="M280">
        <v>15000</v>
      </c>
      <c r="N280">
        <v>3456304</v>
      </c>
      <c r="O280">
        <v>52768</v>
      </c>
      <c r="P280">
        <v>32750</v>
      </c>
      <c r="Q280">
        <v>3423554</v>
      </c>
      <c r="R280">
        <v>52268</v>
      </c>
      <c r="S280" s="238" t="s">
        <v>137</v>
      </c>
      <c r="T280" s="238" t="s">
        <v>1167</v>
      </c>
      <c r="V280" t="s">
        <v>1167</v>
      </c>
      <c r="W280" s="24">
        <v>44173</v>
      </c>
      <c r="X280" s="238" t="s">
        <v>412</v>
      </c>
      <c r="Y280" s="238" t="s">
        <v>39</v>
      </c>
      <c r="Z280" s="238" t="s">
        <v>1340</v>
      </c>
      <c r="AA280" t="s">
        <v>1167</v>
      </c>
      <c r="AB280" s="238" t="s">
        <v>3246</v>
      </c>
      <c r="AC280" t="s">
        <v>3079</v>
      </c>
      <c r="AD280" s="24"/>
      <c r="AE280" s="238" t="s">
        <v>1706</v>
      </c>
      <c r="AF280">
        <v>79397502267</v>
      </c>
      <c r="AG280" s="238" t="s">
        <v>1707</v>
      </c>
      <c r="AH280" s="238" t="s">
        <v>1212</v>
      </c>
      <c r="AI280" s="238" t="s">
        <v>135</v>
      </c>
      <c r="AJ280" s="238" t="s">
        <v>126</v>
      </c>
      <c r="AK280" s="238" t="s">
        <v>141</v>
      </c>
      <c r="AL280" t="s">
        <v>8715</v>
      </c>
      <c r="AM280" t="s">
        <v>1167</v>
      </c>
    </row>
    <row r="281" spans="1:39" hidden="1" x14ac:dyDescent="0.25">
      <c r="A281">
        <v>277</v>
      </c>
      <c r="B281">
        <v>5</v>
      </c>
      <c r="C281" s="24">
        <v>44173</v>
      </c>
      <c r="D281" s="238" t="s">
        <v>20</v>
      </c>
      <c r="E281" s="238" t="s">
        <v>5</v>
      </c>
      <c r="F281">
        <v>2</v>
      </c>
      <c r="G281">
        <v>16</v>
      </c>
      <c r="H281">
        <v>250</v>
      </c>
      <c r="I281" s="238" t="s">
        <v>42</v>
      </c>
      <c r="J281">
        <v>40.39</v>
      </c>
      <c r="K281" s="238" t="s">
        <v>36</v>
      </c>
      <c r="L281">
        <v>2336036.4300000002</v>
      </c>
      <c r="M281">
        <v>0</v>
      </c>
      <c r="N281">
        <v>2336036.4300000002</v>
      </c>
      <c r="O281">
        <v>57837</v>
      </c>
      <c r="P281">
        <v>20195</v>
      </c>
      <c r="Q281">
        <v>2315841.4300000002</v>
      </c>
      <c r="R281">
        <v>57337</v>
      </c>
      <c r="S281" s="238" t="s">
        <v>137</v>
      </c>
      <c r="T281" s="238" t="s">
        <v>1167</v>
      </c>
      <c r="V281" t="s">
        <v>1167</v>
      </c>
      <c r="W281" s="24">
        <v>44176</v>
      </c>
      <c r="X281" s="238" t="s">
        <v>413</v>
      </c>
      <c r="Y281" s="238" t="s">
        <v>39</v>
      </c>
      <c r="Z281" s="238" t="s">
        <v>1340</v>
      </c>
      <c r="AA281" t="s">
        <v>1167</v>
      </c>
      <c r="AB281" s="238" t="s">
        <v>3246</v>
      </c>
      <c r="AC281" t="s">
        <v>3079</v>
      </c>
      <c r="AD281" s="24"/>
      <c r="AE281" s="238" t="s">
        <v>1708</v>
      </c>
      <c r="AF281">
        <v>79372043052</v>
      </c>
      <c r="AG281" s="238" t="s">
        <v>1709</v>
      </c>
      <c r="AH281" s="238" t="s">
        <v>1212</v>
      </c>
      <c r="AI281" s="238" t="s">
        <v>135</v>
      </c>
      <c r="AJ281" s="238" t="s">
        <v>130</v>
      </c>
      <c r="AK281" s="238" t="s">
        <v>141</v>
      </c>
      <c r="AL281" t="s">
        <v>8715</v>
      </c>
      <c r="AM281" t="s">
        <v>1167</v>
      </c>
    </row>
    <row r="282" spans="1:39" hidden="1" x14ac:dyDescent="0.25">
      <c r="A282">
        <v>278</v>
      </c>
      <c r="B282">
        <v>6</v>
      </c>
      <c r="C282" s="24">
        <v>44175</v>
      </c>
      <c r="D282" s="238" t="s">
        <v>20</v>
      </c>
      <c r="E282" s="238" t="s">
        <v>5</v>
      </c>
      <c r="F282">
        <v>1</v>
      </c>
      <c r="G282">
        <v>5</v>
      </c>
      <c r="H282">
        <v>172</v>
      </c>
      <c r="I282" s="238" t="s">
        <v>44</v>
      </c>
      <c r="J282">
        <v>89.56</v>
      </c>
      <c r="K282" s="238" t="s">
        <v>36</v>
      </c>
      <c r="L282">
        <v>4331390.28</v>
      </c>
      <c r="M282">
        <v>0</v>
      </c>
      <c r="N282">
        <v>4331390.28</v>
      </c>
      <c r="O282">
        <v>48363</v>
      </c>
      <c r="P282">
        <v>44780</v>
      </c>
      <c r="Q282">
        <v>4286610.28</v>
      </c>
      <c r="R282">
        <v>47863</v>
      </c>
      <c r="S282" s="238" t="s">
        <v>137</v>
      </c>
      <c r="T282" s="238" t="s">
        <v>1167</v>
      </c>
      <c r="V282" t="s">
        <v>1167</v>
      </c>
      <c r="W282" s="24">
        <v>44175</v>
      </c>
      <c r="X282" s="238" t="s">
        <v>414</v>
      </c>
      <c r="Y282" s="238" t="s">
        <v>39</v>
      </c>
      <c r="Z282" s="238" t="s">
        <v>1340</v>
      </c>
      <c r="AA282" t="s">
        <v>1167</v>
      </c>
      <c r="AB282" s="238" t="s">
        <v>3246</v>
      </c>
      <c r="AC282" t="s">
        <v>3079</v>
      </c>
      <c r="AD282" s="24"/>
      <c r="AE282" s="238" t="s">
        <v>1710</v>
      </c>
      <c r="AF282">
        <v>79276077475</v>
      </c>
      <c r="AG282" s="238" t="s">
        <v>1711</v>
      </c>
      <c r="AH282" s="238" t="s">
        <v>135</v>
      </c>
      <c r="AI282" s="238" t="s">
        <v>3099</v>
      </c>
      <c r="AJ282" s="238" t="s">
        <v>120</v>
      </c>
      <c r="AK282" s="238" t="s">
        <v>162</v>
      </c>
      <c r="AL282" t="s">
        <v>8715</v>
      </c>
      <c r="AM282" t="s">
        <v>1167</v>
      </c>
    </row>
    <row r="283" spans="1:39" hidden="1" x14ac:dyDescent="0.25">
      <c r="A283">
        <v>279</v>
      </c>
      <c r="B283">
        <v>7</v>
      </c>
      <c r="C283" s="24">
        <v>44175</v>
      </c>
      <c r="D283" s="238" t="s">
        <v>20</v>
      </c>
      <c r="E283" s="238" t="s">
        <v>16</v>
      </c>
      <c r="F283">
        <v>6</v>
      </c>
      <c r="G283">
        <v>6</v>
      </c>
      <c r="H283">
        <v>349</v>
      </c>
      <c r="I283" s="238" t="s">
        <v>43</v>
      </c>
      <c r="J283">
        <v>65.72</v>
      </c>
      <c r="K283" s="238" t="s">
        <v>36</v>
      </c>
      <c r="L283">
        <v>3452912.96</v>
      </c>
      <c r="M283">
        <v>15000</v>
      </c>
      <c r="N283">
        <v>3467912.96</v>
      </c>
      <c r="O283">
        <v>52768</v>
      </c>
      <c r="P283">
        <v>32860</v>
      </c>
      <c r="Q283">
        <v>3435052.96</v>
      </c>
      <c r="R283">
        <v>52268</v>
      </c>
      <c r="S283" s="238" t="s">
        <v>137</v>
      </c>
      <c r="T283" s="238" t="s">
        <v>1167</v>
      </c>
      <c r="V283" t="s">
        <v>1167</v>
      </c>
      <c r="W283" s="24">
        <v>44175</v>
      </c>
      <c r="X283" s="238" t="s">
        <v>415</v>
      </c>
      <c r="Y283" s="238" t="s">
        <v>39</v>
      </c>
      <c r="Z283" s="238" t="s">
        <v>1340</v>
      </c>
      <c r="AA283" t="s">
        <v>1167</v>
      </c>
      <c r="AB283" s="238" t="s">
        <v>3246</v>
      </c>
      <c r="AC283" t="s">
        <v>3079</v>
      </c>
      <c r="AD283" s="24"/>
      <c r="AE283" s="238" t="s">
        <v>1712</v>
      </c>
      <c r="AF283">
        <v>79224256425</v>
      </c>
      <c r="AG283" s="238" t="s">
        <v>1713</v>
      </c>
      <c r="AH283" s="238" t="s">
        <v>1212</v>
      </c>
      <c r="AI283" s="238" t="s">
        <v>3084</v>
      </c>
      <c r="AJ283" s="238" t="s">
        <v>120</v>
      </c>
      <c r="AK283" s="238" t="s">
        <v>141</v>
      </c>
      <c r="AL283" t="s">
        <v>8715</v>
      </c>
      <c r="AM283" t="s">
        <v>1167</v>
      </c>
    </row>
    <row r="284" spans="1:39" hidden="1" x14ac:dyDescent="0.25">
      <c r="A284">
        <v>280</v>
      </c>
      <c r="B284">
        <v>8</v>
      </c>
      <c r="C284" s="24">
        <v>44180</v>
      </c>
      <c r="D284" s="238" t="s">
        <v>20</v>
      </c>
      <c r="E284" s="238" t="s">
        <v>5</v>
      </c>
      <c r="F284">
        <v>5</v>
      </c>
      <c r="G284">
        <v>14</v>
      </c>
      <c r="H284">
        <v>239</v>
      </c>
      <c r="I284" s="238" t="s">
        <v>44</v>
      </c>
      <c r="J284">
        <v>78.03</v>
      </c>
      <c r="K284" s="238" t="s">
        <v>36</v>
      </c>
      <c r="L284">
        <v>3862004.66</v>
      </c>
      <c r="M284">
        <v>0</v>
      </c>
      <c r="N284">
        <v>3862004.66</v>
      </c>
      <c r="O284">
        <v>49493.844162501606</v>
      </c>
      <c r="P284">
        <v>39015</v>
      </c>
      <c r="Q284">
        <v>3822989.66</v>
      </c>
      <c r="R284">
        <v>48993.844162501606</v>
      </c>
      <c r="S284" s="238" t="s">
        <v>137</v>
      </c>
      <c r="T284" s="238" t="s">
        <v>321</v>
      </c>
      <c r="U284">
        <v>10000</v>
      </c>
      <c r="V284" t="s">
        <v>1167</v>
      </c>
      <c r="W284" s="24">
        <v>44180</v>
      </c>
      <c r="X284" s="238" t="s">
        <v>416</v>
      </c>
      <c r="Y284" s="238" t="s">
        <v>39</v>
      </c>
      <c r="Z284" s="238" t="s">
        <v>1340</v>
      </c>
      <c r="AA284" t="s">
        <v>1167</v>
      </c>
      <c r="AB284" s="238" t="s">
        <v>3246</v>
      </c>
      <c r="AC284" t="s">
        <v>3079</v>
      </c>
      <c r="AD284" s="24"/>
      <c r="AE284" s="238" t="s">
        <v>1714</v>
      </c>
      <c r="AF284">
        <v>79371899607</v>
      </c>
      <c r="AG284" s="238" t="s">
        <v>1715</v>
      </c>
      <c r="AH284" s="238" t="s">
        <v>1171</v>
      </c>
      <c r="AI284" s="238" t="s">
        <v>3090</v>
      </c>
      <c r="AJ284" s="238" t="s">
        <v>126</v>
      </c>
      <c r="AK284" s="238" t="s">
        <v>141</v>
      </c>
      <c r="AL284" t="s">
        <v>8715</v>
      </c>
      <c r="AM284" t="s">
        <v>1167</v>
      </c>
    </row>
    <row r="285" spans="1:39" hidden="1" x14ac:dyDescent="0.25">
      <c r="A285">
        <v>281</v>
      </c>
      <c r="B285">
        <v>9</v>
      </c>
      <c r="C285" s="24">
        <v>44181</v>
      </c>
      <c r="D285" s="238" t="s">
        <v>20</v>
      </c>
      <c r="E285" s="238" t="s">
        <v>16</v>
      </c>
      <c r="F285">
        <v>4</v>
      </c>
      <c r="G285">
        <v>6</v>
      </c>
      <c r="H285">
        <v>347</v>
      </c>
      <c r="I285" s="238" t="s">
        <v>43</v>
      </c>
      <c r="J285">
        <v>60.38</v>
      </c>
      <c r="K285" s="238" t="s">
        <v>36</v>
      </c>
      <c r="L285">
        <v>3186131.84</v>
      </c>
      <c r="M285">
        <v>0</v>
      </c>
      <c r="N285">
        <v>3186131.84</v>
      </c>
      <c r="O285">
        <v>52767.999999999993</v>
      </c>
      <c r="P285">
        <v>30190</v>
      </c>
      <c r="Q285">
        <v>3155941.84</v>
      </c>
      <c r="R285">
        <v>52267.999999999993</v>
      </c>
      <c r="S285" s="238" t="s">
        <v>137</v>
      </c>
      <c r="T285" s="238" t="s">
        <v>1167</v>
      </c>
      <c r="V285" t="s">
        <v>1167</v>
      </c>
      <c r="W285" s="24">
        <v>44181</v>
      </c>
      <c r="X285" s="238" t="s">
        <v>417</v>
      </c>
      <c r="Y285" s="238" t="s">
        <v>39</v>
      </c>
      <c r="Z285" s="238" t="s">
        <v>1340</v>
      </c>
      <c r="AA285" t="s">
        <v>1167</v>
      </c>
      <c r="AB285" s="238" t="s">
        <v>3246</v>
      </c>
      <c r="AC285" t="s">
        <v>3079</v>
      </c>
      <c r="AD285" s="24"/>
      <c r="AE285" s="238" t="s">
        <v>1716</v>
      </c>
      <c r="AF285">
        <v>79178146126</v>
      </c>
      <c r="AG285" s="238" t="s">
        <v>1717</v>
      </c>
      <c r="AH285" s="238" t="s">
        <v>1212</v>
      </c>
      <c r="AI285" s="238" t="s">
        <v>135</v>
      </c>
      <c r="AJ285" s="238" t="s">
        <v>399</v>
      </c>
      <c r="AK285" s="238" t="s">
        <v>141</v>
      </c>
      <c r="AL285" t="s">
        <v>8715</v>
      </c>
      <c r="AM285" t="s">
        <v>1167</v>
      </c>
    </row>
    <row r="286" spans="1:39" hidden="1" x14ac:dyDescent="0.25">
      <c r="A286">
        <v>282</v>
      </c>
      <c r="B286">
        <v>10</v>
      </c>
      <c r="C286" s="24">
        <v>44181</v>
      </c>
      <c r="D286" s="238" t="s">
        <v>20</v>
      </c>
      <c r="E286" s="238" t="s">
        <v>5</v>
      </c>
      <c r="F286">
        <v>1</v>
      </c>
      <c r="G286">
        <v>6</v>
      </c>
      <c r="H286">
        <v>179</v>
      </c>
      <c r="I286" s="238" t="s">
        <v>44</v>
      </c>
      <c r="J286">
        <v>89.56</v>
      </c>
      <c r="K286" s="238" t="s">
        <v>36</v>
      </c>
      <c r="L286">
        <v>4331390.28</v>
      </c>
      <c r="M286">
        <v>0</v>
      </c>
      <c r="N286">
        <v>4331390.28</v>
      </c>
      <c r="O286">
        <v>48363</v>
      </c>
      <c r="P286">
        <v>44780</v>
      </c>
      <c r="Q286">
        <v>4286610.28</v>
      </c>
      <c r="R286">
        <v>47863</v>
      </c>
      <c r="S286" s="238" t="s">
        <v>137</v>
      </c>
      <c r="T286" s="238" t="s">
        <v>1167</v>
      </c>
      <c r="V286" t="s">
        <v>1167</v>
      </c>
      <c r="W286" s="24">
        <v>44186</v>
      </c>
      <c r="X286" s="238" t="s">
        <v>420</v>
      </c>
      <c r="Y286" s="238" t="s">
        <v>39</v>
      </c>
      <c r="Z286" s="238" t="s">
        <v>1340</v>
      </c>
      <c r="AA286" t="s">
        <v>1167</v>
      </c>
      <c r="AB286" s="238" t="s">
        <v>3246</v>
      </c>
      <c r="AC286" t="s">
        <v>3079</v>
      </c>
      <c r="AD286" s="24"/>
      <c r="AE286" s="238" t="s">
        <v>1718</v>
      </c>
      <c r="AF286">
        <v>79277935093</v>
      </c>
      <c r="AG286" s="238" t="s">
        <v>1719</v>
      </c>
      <c r="AH286" s="238" t="s">
        <v>1171</v>
      </c>
      <c r="AI286" s="238" t="s">
        <v>135</v>
      </c>
      <c r="AJ286" s="238" t="s">
        <v>399</v>
      </c>
      <c r="AK286" s="238" t="s">
        <v>141</v>
      </c>
      <c r="AL286" t="s">
        <v>8715</v>
      </c>
      <c r="AM286" t="s">
        <v>1167</v>
      </c>
    </row>
    <row r="287" spans="1:39" hidden="1" x14ac:dyDescent="0.25">
      <c r="A287">
        <v>283</v>
      </c>
      <c r="B287">
        <v>11</v>
      </c>
      <c r="C287" s="24">
        <v>44181</v>
      </c>
      <c r="D287" s="238" t="s">
        <v>20</v>
      </c>
      <c r="E287" s="238" t="s">
        <v>5</v>
      </c>
      <c r="F287">
        <v>7</v>
      </c>
      <c r="G287">
        <v>20</v>
      </c>
      <c r="H287">
        <v>283</v>
      </c>
      <c r="I287" s="238" t="s">
        <v>43</v>
      </c>
      <c r="J287">
        <v>63.74</v>
      </c>
      <c r="K287" s="238" t="s">
        <v>36</v>
      </c>
      <c r="L287">
        <v>3343290.48</v>
      </c>
      <c r="M287">
        <v>0</v>
      </c>
      <c r="N287">
        <v>3343290.48</v>
      </c>
      <c r="O287">
        <v>52452</v>
      </c>
      <c r="P287">
        <v>31870</v>
      </c>
      <c r="Q287">
        <v>3311420.48</v>
      </c>
      <c r="R287">
        <v>51952</v>
      </c>
      <c r="S287" s="238" t="s">
        <v>137</v>
      </c>
      <c r="T287" s="238" t="s">
        <v>1167</v>
      </c>
      <c r="V287" t="s">
        <v>1167</v>
      </c>
      <c r="W287" s="24">
        <v>44181</v>
      </c>
      <c r="X287" s="238" t="s">
        <v>418</v>
      </c>
      <c r="Y287" s="238" t="s">
        <v>39</v>
      </c>
      <c r="Z287" s="238" t="s">
        <v>1340</v>
      </c>
      <c r="AA287" t="s">
        <v>1167</v>
      </c>
      <c r="AB287" s="238" t="s">
        <v>3246</v>
      </c>
      <c r="AC287" t="s">
        <v>3079</v>
      </c>
      <c r="AD287" s="24"/>
      <c r="AE287" s="238" t="s">
        <v>1720</v>
      </c>
      <c r="AF287">
        <v>79277260333</v>
      </c>
      <c r="AG287" s="238" t="s">
        <v>1721</v>
      </c>
      <c r="AH287" s="238" t="s">
        <v>135</v>
      </c>
      <c r="AI287" s="238" t="s">
        <v>3099</v>
      </c>
      <c r="AJ287" s="238" t="s">
        <v>126</v>
      </c>
      <c r="AK287" s="238" t="s">
        <v>141</v>
      </c>
      <c r="AL287" t="s">
        <v>8715</v>
      </c>
      <c r="AM287" t="s">
        <v>1167</v>
      </c>
    </row>
    <row r="288" spans="1:39" hidden="1" x14ac:dyDescent="0.25">
      <c r="A288">
        <v>284</v>
      </c>
      <c r="B288">
        <v>12</v>
      </c>
      <c r="C288" s="24">
        <v>44181</v>
      </c>
      <c r="D288" s="238" t="s">
        <v>20</v>
      </c>
      <c r="E288" s="238" t="s">
        <v>16</v>
      </c>
      <c r="F288">
        <v>5</v>
      </c>
      <c r="G288">
        <v>4</v>
      </c>
      <c r="H288">
        <v>332</v>
      </c>
      <c r="I288" s="238" t="s">
        <v>43</v>
      </c>
      <c r="J288">
        <v>60.9</v>
      </c>
      <c r="K288" s="238" t="s">
        <v>36</v>
      </c>
      <c r="L288">
        <v>3160265.1</v>
      </c>
      <c r="M288">
        <v>15000</v>
      </c>
      <c r="N288">
        <v>3175265.1</v>
      </c>
      <c r="O288">
        <v>52139</v>
      </c>
      <c r="P288">
        <v>30450</v>
      </c>
      <c r="Q288">
        <v>3144815.1</v>
      </c>
      <c r="R288">
        <v>51639</v>
      </c>
      <c r="S288" s="238" t="s">
        <v>121</v>
      </c>
      <c r="T288" s="238" t="s">
        <v>1167</v>
      </c>
      <c r="V288" t="s">
        <v>1167</v>
      </c>
      <c r="W288" s="24">
        <v>44181</v>
      </c>
      <c r="X288" s="238" t="s">
        <v>419</v>
      </c>
      <c r="Y288" s="238" t="s">
        <v>39</v>
      </c>
      <c r="Z288" s="238" t="s">
        <v>1168</v>
      </c>
      <c r="AA288" t="s">
        <v>1167</v>
      </c>
      <c r="AB288" s="238" t="s">
        <v>3246</v>
      </c>
      <c r="AC288" t="s">
        <v>4246</v>
      </c>
      <c r="AD288" s="24"/>
      <c r="AE288" s="238" t="s">
        <v>1722</v>
      </c>
      <c r="AF288">
        <v>77016430574</v>
      </c>
      <c r="AG288" s="238" t="s">
        <v>1723</v>
      </c>
      <c r="AH288" s="238" t="s">
        <v>135</v>
      </c>
      <c r="AI288" s="238" t="s">
        <v>135</v>
      </c>
      <c r="AJ288" s="238" t="s">
        <v>399</v>
      </c>
      <c r="AK288" s="238" t="s">
        <v>1167</v>
      </c>
      <c r="AL288" t="s">
        <v>8715</v>
      </c>
      <c r="AM288" t="s">
        <v>1167</v>
      </c>
    </row>
    <row r="289" spans="1:39" hidden="1" x14ac:dyDescent="0.25">
      <c r="A289">
        <v>285</v>
      </c>
      <c r="B289">
        <v>13</v>
      </c>
      <c r="C289" s="24">
        <v>44183</v>
      </c>
      <c r="D289" s="238" t="s">
        <v>20</v>
      </c>
      <c r="E289" s="238" t="s">
        <v>5</v>
      </c>
      <c r="F289">
        <v>6</v>
      </c>
      <c r="G289">
        <v>16</v>
      </c>
      <c r="H289">
        <v>254</v>
      </c>
      <c r="I289" s="238" t="s">
        <v>43</v>
      </c>
      <c r="J289">
        <v>64.150000000000006</v>
      </c>
      <c r="K289" s="238" t="s">
        <v>36</v>
      </c>
      <c r="L289">
        <v>3305339.85</v>
      </c>
      <c r="M289">
        <v>15000</v>
      </c>
      <c r="N289">
        <v>3320339.85</v>
      </c>
      <c r="O289">
        <v>51759</v>
      </c>
      <c r="P289">
        <v>32075</v>
      </c>
      <c r="Q289">
        <v>3288264.85</v>
      </c>
      <c r="R289">
        <v>51259</v>
      </c>
      <c r="S289" s="238" t="s">
        <v>137</v>
      </c>
      <c r="T289" s="238" t="s">
        <v>1167</v>
      </c>
      <c r="V289" t="s">
        <v>1167</v>
      </c>
      <c r="W289" s="24">
        <v>44183</v>
      </c>
      <c r="X289" s="238" t="s">
        <v>421</v>
      </c>
      <c r="Y289" s="238" t="s">
        <v>39</v>
      </c>
      <c r="Z289" s="238" t="s">
        <v>1340</v>
      </c>
      <c r="AA289" t="s">
        <v>1167</v>
      </c>
      <c r="AB289" s="238" t="s">
        <v>3246</v>
      </c>
      <c r="AC289" t="s">
        <v>3077</v>
      </c>
      <c r="AD289" s="24"/>
      <c r="AE289" s="238" t="s">
        <v>1724</v>
      </c>
      <c r="AF289">
        <v>79272046589</v>
      </c>
      <c r="AG289" s="238" t="s">
        <v>1725</v>
      </c>
      <c r="AH289" s="238" t="s">
        <v>1171</v>
      </c>
      <c r="AI289" s="238" t="s">
        <v>3074</v>
      </c>
      <c r="AJ289" s="238" t="s">
        <v>120</v>
      </c>
      <c r="AK289" s="238" t="s">
        <v>162</v>
      </c>
      <c r="AL289" t="s">
        <v>8715</v>
      </c>
      <c r="AM289" t="s">
        <v>1167</v>
      </c>
    </row>
    <row r="290" spans="1:39" hidden="1" x14ac:dyDescent="0.25">
      <c r="A290">
        <v>286</v>
      </c>
      <c r="B290">
        <v>14</v>
      </c>
      <c r="C290" s="24">
        <v>44183</v>
      </c>
      <c r="D290" s="238" t="s">
        <v>20</v>
      </c>
      <c r="E290" s="238" t="s">
        <v>5</v>
      </c>
      <c r="F290">
        <v>4</v>
      </c>
      <c r="G290">
        <v>17</v>
      </c>
      <c r="H290">
        <v>259</v>
      </c>
      <c r="I290" s="238" t="s">
        <v>42</v>
      </c>
      <c r="J290">
        <v>41.5</v>
      </c>
      <c r="K290" s="238" t="s">
        <v>36</v>
      </c>
      <c r="L290">
        <v>2390428.2200000002</v>
      </c>
      <c r="M290">
        <v>0</v>
      </c>
      <c r="N290">
        <v>2390428.2200000002</v>
      </c>
      <c r="O290">
        <v>57600.680000000008</v>
      </c>
      <c r="P290">
        <v>20750</v>
      </c>
      <c r="Q290">
        <v>2369678.2200000002</v>
      </c>
      <c r="R290">
        <v>57100.680000000008</v>
      </c>
      <c r="S290" s="238" t="s">
        <v>137</v>
      </c>
      <c r="T290" s="238" t="s">
        <v>3540</v>
      </c>
      <c r="U290">
        <v>48360.78</v>
      </c>
      <c r="V290" t="s">
        <v>1167</v>
      </c>
      <c r="W290" s="24">
        <v>44186</v>
      </c>
      <c r="X290" s="238" t="s">
        <v>422</v>
      </c>
      <c r="Y290" s="238" t="s">
        <v>39</v>
      </c>
      <c r="Z290" s="238" t="s">
        <v>1340</v>
      </c>
      <c r="AA290" t="s">
        <v>1167</v>
      </c>
      <c r="AB290" s="238" t="s">
        <v>3246</v>
      </c>
      <c r="AC290" t="s">
        <v>3079</v>
      </c>
      <c r="AD290" s="24"/>
      <c r="AE290" s="238" t="s">
        <v>1726</v>
      </c>
      <c r="AF290">
        <v>79228811811</v>
      </c>
      <c r="AG290" s="238" t="s">
        <v>1727</v>
      </c>
      <c r="AH290" s="238" t="s">
        <v>146</v>
      </c>
      <c r="AI290" s="238" t="s">
        <v>135</v>
      </c>
      <c r="AJ290" s="238" t="s">
        <v>126</v>
      </c>
      <c r="AK290" s="238" t="s">
        <v>141</v>
      </c>
      <c r="AL290" t="s">
        <v>8715</v>
      </c>
      <c r="AM290" t="s">
        <v>1167</v>
      </c>
    </row>
    <row r="291" spans="1:39" hidden="1" x14ac:dyDescent="0.25">
      <c r="A291">
        <v>287</v>
      </c>
      <c r="B291">
        <v>15</v>
      </c>
      <c r="C291" s="24">
        <v>44186</v>
      </c>
      <c r="D291" s="238" t="s">
        <v>20</v>
      </c>
      <c r="E291" s="238" t="s">
        <v>5</v>
      </c>
      <c r="F291">
        <v>2</v>
      </c>
      <c r="G291">
        <v>19</v>
      </c>
      <c r="H291">
        <v>271</v>
      </c>
      <c r="I291" s="238" t="s">
        <v>42</v>
      </c>
      <c r="J291">
        <v>40.39</v>
      </c>
      <c r="K291" s="238" t="s">
        <v>36</v>
      </c>
      <c r="L291">
        <v>2252512.33</v>
      </c>
      <c r="M291">
        <v>0</v>
      </c>
      <c r="N291">
        <v>2252512.33</v>
      </c>
      <c r="O291">
        <v>55769.059915820748</v>
      </c>
      <c r="P291">
        <v>20195</v>
      </c>
      <c r="Q291">
        <v>2232317.33</v>
      </c>
      <c r="R291">
        <v>55269.059915820748</v>
      </c>
      <c r="S291" s="238" t="s">
        <v>137</v>
      </c>
      <c r="T291" s="238" t="s">
        <v>3536</v>
      </c>
      <c r="U291">
        <v>45557.5</v>
      </c>
      <c r="V291" t="s">
        <v>1167</v>
      </c>
      <c r="W291" s="24">
        <v>44186</v>
      </c>
      <c r="X291" s="238" t="s">
        <v>423</v>
      </c>
      <c r="Y291" s="238" t="s">
        <v>39</v>
      </c>
      <c r="Z291" s="238" t="s">
        <v>1340</v>
      </c>
      <c r="AA291" t="s">
        <v>1167</v>
      </c>
      <c r="AB291" s="238" t="s">
        <v>3246</v>
      </c>
      <c r="AC291" t="s">
        <v>3079</v>
      </c>
      <c r="AD291" s="24"/>
      <c r="AE291" s="238" t="s">
        <v>1728</v>
      </c>
      <c r="AF291">
        <v>79372729755</v>
      </c>
      <c r="AG291" s="238" t="s">
        <v>1729</v>
      </c>
      <c r="AH291" s="238" t="s">
        <v>1171</v>
      </c>
      <c r="AI291" s="238" t="s">
        <v>3088</v>
      </c>
      <c r="AJ291" s="238" t="s">
        <v>130</v>
      </c>
      <c r="AK291" s="238" t="s">
        <v>141</v>
      </c>
      <c r="AL291" t="s">
        <v>8715</v>
      </c>
      <c r="AM291" t="s">
        <v>1167</v>
      </c>
    </row>
    <row r="292" spans="1:39" hidden="1" x14ac:dyDescent="0.25">
      <c r="A292">
        <v>288</v>
      </c>
      <c r="B292">
        <v>16</v>
      </c>
      <c r="C292" s="24">
        <v>44188</v>
      </c>
      <c r="D292" s="238" t="s">
        <v>20</v>
      </c>
      <c r="E292" s="238" t="s">
        <v>5</v>
      </c>
      <c r="F292">
        <v>7</v>
      </c>
      <c r="G292">
        <v>23</v>
      </c>
      <c r="H292">
        <v>304</v>
      </c>
      <c r="I292" s="238" t="s">
        <v>43</v>
      </c>
      <c r="J292">
        <v>63.74</v>
      </c>
      <c r="K292" s="238" t="s">
        <v>37</v>
      </c>
      <c r="L292">
        <v>3559857.9</v>
      </c>
      <c r="M292">
        <v>15000</v>
      </c>
      <c r="N292">
        <v>3574857.9</v>
      </c>
      <c r="O292">
        <v>56085</v>
      </c>
      <c r="P292">
        <v>299578</v>
      </c>
      <c r="Q292">
        <v>3275279.9</v>
      </c>
      <c r="R292">
        <v>51385</v>
      </c>
      <c r="S292" s="238" t="s">
        <v>137</v>
      </c>
      <c r="T292" s="238" t="s">
        <v>1167</v>
      </c>
      <c r="V292" t="s">
        <v>1167</v>
      </c>
      <c r="W292" s="24">
        <v>44188</v>
      </c>
      <c r="X292" s="238" t="s">
        <v>424</v>
      </c>
      <c r="Y292" s="238" t="s">
        <v>39</v>
      </c>
      <c r="Z292" s="238" t="s">
        <v>1340</v>
      </c>
      <c r="AA292" t="s">
        <v>1167</v>
      </c>
      <c r="AB292" s="238" t="s">
        <v>3246</v>
      </c>
      <c r="AC292" t="s">
        <v>3079</v>
      </c>
      <c r="AD292" s="24"/>
      <c r="AE292" s="238" t="s">
        <v>1730</v>
      </c>
      <c r="AF292">
        <v>79871598486</v>
      </c>
      <c r="AG292" s="238" t="s">
        <v>1731</v>
      </c>
      <c r="AH292" s="238" t="s">
        <v>1171</v>
      </c>
      <c r="AI292" s="238" t="s">
        <v>3085</v>
      </c>
      <c r="AJ292" s="238" t="s">
        <v>130</v>
      </c>
      <c r="AK292" s="238" t="s">
        <v>162</v>
      </c>
      <c r="AL292" t="s">
        <v>8715</v>
      </c>
      <c r="AM292" t="s">
        <v>1167</v>
      </c>
    </row>
    <row r="293" spans="1:39" hidden="1" x14ac:dyDescent="0.25">
      <c r="A293">
        <v>289</v>
      </c>
      <c r="B293">
        <v>17</v>
      </c>
      <c r="C293" s="24">
        <v>44189</v>
      </c>
      <c r="D293" s="238" t="s">
        <v>20</v>
      </c>
      <c r="E293" s="238" t="s">
        <v>16</v>
      </c>
      <c r="F293">
        <v>7</v>
      </c>
      <c r="G293">
        <v>2</v>
      </c>
      <c r="H293">
        <v>318</v>
      </c>
      <c r="I293" s="238" t="s">
        <v>43</v>
      </c>
      <c r="J293">
        <v>65.5</v>
      </c>
      <c r="K293" s="238" t="s">
        <v>37</v>
      </c>
      <c r="L293">
        <v>3461954.03</v>
      </c>
      <c r="M293">
        <v>0</v>
      </c>
      <c r="N293">
        <v>3461954.03</v>
      </c>
      <c r="O293">
        <v>52854.259999999995</v>
      </c>
      <c r="P293">
        <v>307850</v>
      </c>
      <c r="Q293">
        <v>3154104.03</v>
      </c>
      <c r="R293">
        <v>48154.259999999995</v>
      </c>
      <c r="S293" s="238" t="s">
        <v>137</v>
      </c>
      <c r="T293" s="238" t="s">
        <v>3540</v>
      </c>
      <c r="U293">
        <v>64369.47</v>
      </c>
      <c r="V293" t="s">
        <v>1167</v>
      </c>
      <c r="W293" s="24">
        <v>44189</v>
      </c>
      <c r="X293" s="238" t="s">
        <v>425</v>
      </c>
      <c r="Y293" s="238" t="s">
        <v>39</v>
      </c>
      <c r="Z293" s="238" t="s">
        <v>1340</v>
      </c>
      <c r="AA293" t="s">
        <v>1167</v>
      </c>
      <c r="AB293" s="238" t="s">
        <v>3246</v>
      </c>
      <c r="AC293" t="s">
        <v>3079</v>
      </c>
      <c r="AD293" s="24"/>
      <c r="AE293" s="238" t="s">
        <v>1732</v>
      </c>
      <c r="AF293">
        <v>79171255638</v>
      </c>
      <c r="AG293" s="238" t="s">
        <v>1733</v>
      </c>
      <c r="AH293" s="238" t="s">
        <v>146</v>
      </c>
      <c r="AI293" s="238" t="s">
        <v>135</v>
      </c>
      <c r="AJ293" s="238" t="s">
        <v>399</v>
      </c>
      <c r="AK293" s="238" t="s">
        <v>141</v>
      </c>
      <c r="AL293" t="s">
        <v>8715</v>
      </c>
      <c r="AM293" t="s">
        <v>1167</v>
      </c>
    </row>
    <row r="294" spans="1:39" hidden="1" x14ac:dyDescent="0.25">
      <c r="A294">
        <v>290</v>
      </c>
      <c r="B294">
        <v>18</v>
      </c>
      <c r="C294" s="24">
        <v>44190</v>
      </c>
      <c r="D294" s="238" t="s">
        <v>20</v>
      </c>
      <c r="E294" s="238" t="s">
        <v>5</v>
      </c>
      <c r="F294">
        <v>7</v>
      </c>
      <c r="G294">
        <v>18</v>
      </c>
      <c r="H294">
        <v>269</v>
      </c>
      <c r="I294" s="238" t="s">
        <v>43</v>
      </c>
      <c r="J294">
        <v>63.74</v>
      </c>
      <c r="K294" s="238" t="s">
        <v>36</v>
      </c>
      <c r="L294">
        <v>3277062.07</v>
      </c>
      <c r="M294">
        <v>0</v>
      </c>
      <c r="N294">
        <v>3277062.07</v>
      </c>
      <c r="O294">
        <v>51412.9599937245</v>
      </c>
      <c r="P294">
        <v>31870</v>
      </c>
      <c r="Q294">
        <v>3245192.07</v>
      </c>
      <c r="R294">
        <v>50912.9599937245</v>
      </c>
      <c r="S294" s="238" t="s">
        <v>137</v>
      </c>
      <c r="T294" s="238" t="s">
        <v>3540</v>
      </c>
      <c r="U294">
        <v>66228.41</v>
      </c>
      <c r="V294" t="s">
        <v>1167</v>
      </c>
      <c r="W294" s="24">
        <v>44190</v>
      </c>
      <c r="X294" s="238" t="s">
        <v>426</v>
      </c>
      <c r="Y294" s="238" t="s">
        <v>39</v>
      </c>
      <c r="Z294" s="238" t="s">
        <v>1340</v>
      </c>
      <c r="AA294" t="s">
        <v>1167</v>
      </c>
      <c r="AB294" s="238" t="s">
        <v>3246</v>
      </c>
      <c r="AC294" t="s">
        <v>3079</v>
      </c>
      <c r="AD294" s="24"/>
      <c r="AE294" s="238" t="s">
        <v>1734</v>
      </c>
      <c r="AF294">
        <v>79276924605</v>
      </c>
      <c r="AG294" s="238" t="s">
        <v>1735</v>
      </c>
      <c r="AH294" s="238" t="s">
        <v>1212</v>
      </c>
      <c r="AI294" s="238" t="s">
        <v>3072</v>
      </c>
      <c r="AJ294" s="238" t="s">
        <v>126</v>
      </c>
      <c r="AK294" s="238" t="s">
        <v>162</v>
      </c>
      <c r="AL294" t="s">
        <v>8715</v>
      </c>
      <c r="AM294" t="s">
        <v>1167</v>
      </c>
    </row>
    <row r="295" spans="1:39" hidden="1" x14ac:dyDescent="0.25">
      <c r="A295">
        <v>291</v>
      </c>
      <c r="B295">
        <v>19</v>
      </c>
      <c r="C295" s="24">
        <v>44190</v>
      </c>
      <c r="D295" s="238" t="s">
        <v>20</v>
      </c>
      <c r="E295" s="238" t="s">
        <v>5</v>
      </c>
      <c r="F295">
        <v>4</v>
      </c>
      <c r="G295">
        <v>15</v>
      </c>
      <c r="H295">
        <v>245</v>
      </c>
      <c r="I295" s="238" t="s">
        <v>42</v>
      </c>
      <c r="J295">
        <v>41.8</v>
      </c>
      <c r="K295" s="238" t="s">
        <v>36</v>
      </c>
      <c r="L295">
        <v>2407708.42</v>
      </c>
      <c r="M295">
        <v>0</v>
      </c>
      <c r="N295">
        <v>2407708.42</v>
      </c>
      <c r="O295">
        <v>57600.67990430622</v>
      </c>
      <c r="P295">
        <v>20900</v>
      </c>
      <c r="Q295">
        <v>2386808.42</v>
      </c>
      <c r="R295">
        <v>57100.67990430622</v>
      </c>
      <c r="S295" s="238" t="s">
        <v>137</v>
      </c>
      <c r="T295" s="238" t="s">
        <v>3540</v>
      </c>
      <c r="U295">
        <v>48710.38</v>
      </c>
      <c r="V295" t="s">
        <v>1167</v>
      </c>
      <c r="W295" s="24">
        <v>44190</v>
      </c>
      <c r="X295" s="238" t="s">
        <v>427</v>
      </c>
      <c r="Y295" s="238" t="s">
        <v>39</v>
      </c>
      <c r="Z295" s="238" t="s">
        <v>1340</v>
      </c>
      <c r="AA295" t="s">
        <v>1167</v>
      </c>
      <c r="AB295" s="238" t="s">
        <v>3246</v>
      </c>
      <c r="AC295" t="s">
        <v>3079</v>
      </c>
      <c r="AD295" s="24"/>
      <c r="AE295" s="238" t="s">
        <v>1736</v>
      </c>
      <c r="AF295">
        <v>79871693613</v>
      </c>
      <c r="AG295" s="238" t="s">
        <v>1737</v>
      </c>
      <c r="AH295" s="238" t="s">
        <v>135</v>
      </c>
      <c r="AI295" s="238" t="s">
        <v>3099</v>
      </c>
      <c r="AJ295" s="238" t="s">
        <v>399</v>
      </c>
      <c r="AK295" s="238" t="s">
        <v>141</v>
      </c>
      <c r="AL295" t="s">
        <v>8715</v>
      </c>
      <c r="AM295" t="s">
        <v>1167</v>
      </c>
    </row>
    <row r="296" spans="1:39" hidden="1" x14ac:dyDescent="0.25">
      <c r="A296">
        <v>292</v>
      </c>
      <c r="B296">
        <v>20</v>
      </c>
      <c r="C296" s="24">
        <v>44190</v>
      </c>
      <c r="D296" s="238" t="s">
        <v>20</v>
      </c>
      <c r="E296" s="238" t="s">
        <v>6</v>
      </c>
      <c r="F296">
        <v>6</v>
      </c>
      <c r="G296">
        <v>4</v>
      </c>
      <c r="H296">
        <v>26</v>
      </c>
      <c r="I296" s="238" t="s">
        <v>43</v>
      </c>
      <c r="J296">
        <v>64.8</v>
      </c>
      <c r="K296" s="238" t="s">
        <v>36</v>
      </c>
      <c r="L296">
        <v>3200505.6</v>
      </c>
      <c r="M296">
        <v>15000</v>
      </c>
      <c r="N296">
        <v>3215505.6</v>
      </c>
      <c r="O296">
        <v>49622</v>
      </c>
      <c r="P296">
        <v>32400</v>
      </c>
      <c r="Q296">
        <v>3183105.6</v>
      </c>
      <c r="R296">
        <v>49122</v>
      </c>
      <c r="S296" s="238" t="s">
        <v>137</v>
      </c>
      <c r="T296" s="238" t="s">
        <v>1167</v>
      </c>
      <c r="V296" t="s">
        <v>1167</v>
      </c>
      <c r="W296" s="24">
        <v>44190</v>
      </c>
      <c r="X296" s="238" t="s">
        <v>428</v>
      </c>
      <c r="Y296" s="238" t="s">
        <v>39</v>
      </c>
      <c r="Z296" s="238" t="s">
        <v>1340</v>
      </c>
      <c r="AA296" t="s">
        <v>1167</v>
      </c>
      <c r="AB296" s="238" t="s">
        <v>3246</v>
      </c>
      <c r="AC296" t="s">
        <v>3079</v>
      </c>
      <c r="AD296" s="24"/>
      <c r="AE296" s="238" t="s">
        <v>1738</v>
      </c>
      <c r="AF296">
        <v>79171038200</v>
      </c>
      <c r="AG296" s="238" t="s">
        <v>1739</v>
      </c>
      <c r="AH296" s="238" t="s">
        <v>1171</v>
      </c>
      <c r="AI296" s="238" t="s">
        <v>135</v>
      </c>
      <c r="AJ296" s="238" t="s">
        <v>120</v>
      </c>
      <c r="AK296" s="238" t="s">
        <v>141</v>
      </c>
      <c r="AL296" t="s">
        <v>8715</v>
      </c>
      <c r="AM296" t="s">
        <v>1167</v>
      </c>
    </row>
    <row r="297" spans="1:39" hidden="1" x14ac:dyDescent="0.25">
      <c r="A297">
        <v>293</v>
      </c>
      <c r="B297">
        <v>21</v>
      </c>
      <c r="C297" s="24">
        <v>44191</v>
      </c>
      <c r="D297" s="238" t="s">
        <v>20</v>
      </c>
      <c r="E297" s="238" t="s">
        <v>6</v>
      </c>
      <c r="F297">
        <v>3</v>
      </c>
      <c r="G297">
        <v>6</v>
      </c>
      <c r="H297">
        <v>43</v>
      </c>
      <c r="I297" s="238" t="s">
        <v>43</v>
      </c>
      <c r="J297">
        <v>68.7</v>
      </c>
      <c r="K297" s="238" t="s">
        <v>36</v>
      </c>
      <c r="L297">
        <v>3368885.83</v>
      </c>
      <c r="M297">
        <v>15000</v>
      </c>
      <c r="N297">
        <v>3383885.83</v>
      </c>
      <c r="O297">
        <v>49255.980058224159</v>
      </c>
      <c r="P297">
        <v>34350</v>
      </c>
      <c r="Q297">
        <v>3349535.83</v>
      </c>
      <c r="R297">
        <v>48755.980058224159</v>
      </c>
      <c r="S297" s="238" t="s">
        <v>137</v>
      </c>
      <c r="T297" s="238" t="s">
        <v>3540</v>
      </c>
      <c r="U297">
        <v>68357.87</v>
      </c>
      <c r="V297" t="s">
        <v>1167</v>
      </c>
      <c r="W297" s="24">
        <v>44191</v>
      </c>
      <c r="X297" s="238" t="s">
        <v>429</v>
      </c>
      <c r="Y297" s="238" t="s">
        <v>39</v>
      </c>
      <c r="Z297" s="238" t="s">
        <v>1340</v>
      </c>
      <c r="AA297" t="s">
        <v>1167</v>
      </c>
      <c r="AB297" s="238" t="s">
        <v>3246</v>
      </c>
      <c r="AC297" t="s">
        <v>3079</v>
      </c>
      <c r="AD297" s="24"/>
      <c r="AE297" s="238" t="s">
        <v>1740</v>
      </c>
      <c r="AF297">
        <v>79277553371</v>
      </c>
      <c r="AG297" s="238" t="s">
        <v>1741</v>
      </c>
      <c r="AH297" s="238" t="s">
        <v>1212</v>
      </c>
      <c r="AI297" s="238" t="s">
        <v>135</v>
      </c>
      <c r="AJ297" s="238" t="s">
        <v>120</v>
      </c>
      <c r="AK297" s="238" t="s">
        <v>162</v>
      </c>
      <c r="AL297" t="s">
        <v>8715</v>
      </c>
      <c r="AM297" t="s">
        <v>1167</v>
      </c>
    </row>
    <row r="298" spans="1:39" hidden="1" x14ac:dyDescent="0.25">
      <c r="A298">
        <v>294</v>
      </c>
      <c r="B298">
        <v>22</v>
      </c>
      <c r="C298" s="24">
        <v>44193</v>
      </c>
      <c r="D298" s="238" t="s">
        <v>20</v>
      </c>
      <c r="E298" s="238" t="s">
        <v>6</v>
      </c>
      <c r="F298">
        <v>5</v>
      </c>
      <c r="G298">
        <v>10</v>
      </c>
      <c r="H298">
        <v>85</v>
      </c>
      <c r="I298" s="238" t="s">
        <v>43</v>
      </c>
      <c r="J298">
        <v>62</v>
      </c>
      <c r="K298" s="238" t="s">
        <v>38</v>
      </c>
      <c r="L298">
        <v>4141290</v>
      </c>
      <c r="M298">
        <v>0</v>
      </c>
      <c r="N298">
        <v>4141290</v>
      </c>
      <c r="O298">
        <v>66795</v>
      </c>
      <c r="P298">
        <v>961000</v>
      </c>
      <c r="Q298">
        <v>3180290</v>
      </c>
      <c r="R298">
        <v>51295</v>
      </c>
      <c r="S298" s="238" t="s">
        <v>137</v>
      </c>
      <c r="T298" s="238" t="s">
        <v>1167</v>
      </c>
      <c r="V298" t="s">
        <v>1167</v>
      </c>
      <c r="W298" s="24">
        <v>44193</v>
      </c>
      <c r="X298" s="238" t="s">
        <v>431</v>
      </c>
      <c r="Y298" s="238" t="s">
        <v>39</v>
      </c>
      <c r="Z298" s="238" t="s">
        <v>1340</v>
      </c>
      <c r="AA298" t="s">
        <v>1167</v>
      </c>
      <c r="AB298" s="238" t="s">
        <v>3246</v>
      </c>
      <c r="AC298" t="s">
        <v>3079</v>
      </c>
      <c r="AD298" s="24"/>
      <c r="AE298" s="238" t="s">
        <v>1742</v>
      </c>
      <c r="AF298">
        <v>79370617420</v>
      </c>
      <c r="AG298" s="238" t="s">
        <v>1743</v>
      </c>
      <c r="AH298" s="238" t="s">
        <v>146</v>
      </c>
      <c r="AI298" s="238" t="s">
        <v>3099</v>
      </c>
      <c r="AJ298" s="238" t="s">
        <v>399</v>
      </c>
      <c r="AK298" s="238" t="s">
        <v>141</v>
      </c>
      <c r="AL298" t="s">
        <v>8715</v>
      </c>
      <c r="AM298" t="s">
        <v>1167</v>
      </c>
    </row>
    <row r="299" spans="1:39" hidden="1" x14ac:dyDescent="0.25">
      <c r="A299">
        <v>295</v>
      </c>
      <c r="B299">
        <v>23</v>
      </c>
      <c r="C299" s="24">
        <v>44193</v>
      </c>
      <c r="D299" s="238" t="s">
        <v>20</v>
      </c>
      <c r="E299" s="238" t="s">
        <v>5</v>
      </c>
      <c r="F299">
        <v>7</v>
      </c>
      <c r="G299">
        <v>9</v>
      </c>
      <c r="H299">
        <v>206</v>
      </c>
      <c r="I299" s="238" t="s">
        <v>43</v>
      </c>
      <c r="J299">
        <v>65.5</v>
      </c>
      <c r="K299" s="238" t="s">
        <v>36</v>
      </c>
      <c r="L299">
        <v>3200526.5</v>
      </c>
      <c r="M299">
        <v>0</v>
      </c>
      <c r="N299">
        <v>3200526.5</v>
      </c>
      <c r="O299">
        <v>48863</v>
      </c>
      <c r="P299">
        <v>32750</v>
      </c>
      <c r="Q299">
        <v>3167776.5</v>
      </c>
      <c r="R299">
        <v>48363</v>
      </c>
      <c r="S299" s="238" t="s">
        <v>137</v>
      </c>
      <c r="T299" s="238" t="s">
        <v>3540</v>
      </c>
      <c r="U299">
        <v>64648.5</v>
      </c>
      <c r="V299" t="s">
        <v>1167</v>
      </c>
      <c r="W299" s="24">
        <v>44193</v>
      </c>
      <c r="X299" s="238" t="s">
        <v>430</v>
      </c>
      <c r="Y299" s="238" t="s">
        <v>39</v>
      </c>
      <c r="Z299" s="238" t="s">
        <v>1340</v>
      </c>
      <c r="AA299" t="s">
        <v>1167</v>
      </c>
      <c r="AB299" s="238" t="s">
        <v>3246</v>
      </c>
      <c r="AC299" t="s">
        <v>3079</v>
      </c>
      <c r="AD299" s="24"/>
      <c r="AE299" s="238" t="s">
        <v>1744</v>
      </c>
      <c r="AF299">
        <v>79179555853</v>
      </c>
      <c r="AG299" s="238" t="s">
        <v>1745</v>
      </c>
      <c r="AH299" s="238" t="s">
        <v>135</v>
      </c>
      <c r="AI299" s="238" t="s">
        <v>3099</v>
      </c>
      <c r="AJ299" s="238" t="s">
        <v>120</v>
      </c>
      <c r="AK299" s="238" t="s">
        <v>141</v>
      </c>
      <c r="AL299" t="s">
        <v>8715</v>
      </c>
      <c r="AM299" t="s">
        <v>1167</v>
      </c>
    </row>
    <row r="300" spans="1:39" hidden="1" x14ac:dyDescent="0.25">
      <c r="A300">
        <v>296</v>
      </c>
      <c r="B300">
        <v>24</v>
      </c>
      <c r="C300" s="24">
        <v>44193</v>
      </c>
      <c r="D300" s="238" t="s">
        <v>20</v>
      </c>
      <c r="E300" s="238" t="s">
        <v>16</v>
      </c>
      <c r="F300">
        <v>6</v>
      </c>
      <c r="G300">
        <v>5</v>
      </c>
      <c r="H300">
        <v>341</v>
      </c>
      <c r="I300" s="238" t="s">
        <v>43</v>
      </c>
      <c r="J300">
        <v>67.400000000000006</v>
      </c>
      <c r="K300" s="238" t="s">
        <v>36</v>
      </c>
      <c r="L300">
        <v>3486105.94</v>
      </c>
      <c r="M300">
        <v>0</v>
      </c>
      <c r="N300">
        <v>3486105.94</v>
      </c>
      <c r="O300">
        <v>51722.640059347177</v>
      </c>
      <c r="P300">
        <v>33700</v>
      </c>
      <c r="Q300">
        <v>3452405.94</v>
      </c>
      <c r="R300">
        <v>51222.640059347177</v>
      </c>
      <c r="S300" s="238" t="s">
        <v>137</v>
      </c>
      <c r="T300" s="238" t="s">
        <v>3540</v>
      </c>
      <c r="U300">
        <v>70457.259999999995</v>
      </c>
      <c r="V300" t="s">
        <v>1167</v>
      </c>
      <c r="W300" s="24">
        <v>44194</v>
      </c>
      <c r="X300" s="238" t="s">
        <v>432</v>
      </c>
      <c r="Y300" s="238" t="s">
        <v>39</v>
      </c>
      <c r="Z300" s="238" t="s">
        <v>1340</v>
      </c>
      <c r="AA300" t="s">
        <v>1167</v>
      </c>
      <c r="AB300" s="238" t="s">
        <v>3246</v>
      </c>
      <c r="AC300" t="s">
        <v>3079</v>
      </c>
      <c r="AD300" s="24"/>
      <c r="AE300" s="238" t="s">
        <v>1746</v>
      </c>
      <c r="AF300">
        <v>79879456730</v>
      </c>
      <c r="AG300" s="238" t="s">
        <v>1747</v>
      </c>
      <c r="AH300" s="238" t="s">
        <v>135</v>
      </c>
      <c r="AI300" s="238" t="s">
        <v>3099</v>
      </c>
      <c r="AJ300" s="238" t="s">
        <v>120</v>
      </c>
      <c r="AK300" s="238" t="s">
        <v>141</v>
      </c>
      <c r="AL300" t="s">
        <v>8715</v>
      </c>
      <c r="AM300" t="s">
        <v>1167</v>
      </c>
    </row>
    <row r="301" spans="1:39" hidden="1" x14ac:dyDescent="0.25">
      <c r="A301">
        <v>297</v>
      </c>
      <c r="B301">
        <v>25</v>
      </c>
      <c r="C301" s="24">
        <v>44195</v>
      </c>
      <c r="D301" s="238" t="s">
        <v>20</v>
      </c>
      <c r="E301" s="238" t="s">
        <v>6</v>
      </c>
      <c r="F301">
        <v>4</v>
      </c>
      <c r="G301">
        <v>11</v>
      </c>
      <c r="H301">
        <v>94</v>
      </c>
      <c r="I301" s="238" t="s">
        <v>44</v>
      </c>
      <c r="J301">
        <v>82.3</v>
      </c>
      <c r="K301" s="238" t="s">
        <v>36</v>
      </c>
      <c r="L301">
        <v>3901492.4</v>
      </c>
      <c r="M301">
        <v>0</v>
      </c>
      <c r="N301">
        <v>3901492.4</v>
      </c>
      <c r="O301">
        <v>47405.739975698663</v>
      </c>
      <c r="P301">
        <v>41150</v>
      </c>
      <c r="Q301">
        <v>3860342.4</v>
      </c>
      <c r="R301">
        <v>46905.739975698663</v>
      </c>
      <c r="S301" s="238" t="s">
        <v>137</v>
      </c>
      <c r="T301" s="238" t="s">
        <v>3540</v>
      </c>
      <c r="U301">
        <v>78782.5</v>
      </c>
      <c r="V301" t="s">
        <v>1167</v>
      </c>
      <c r="W301" s="24">
        <v>44195</v>
      </c>
      <c r="X301" s="238" t="s">
        <v>433</v>
      </c>
      <c r="Y301" s="238" t="s">
        <v>39</v>
      </c>
      <c r="Z301" s="238" t="s">
        <v>1340</v>
      </c>
      <c r="AA301" t="s">
        <v>1167</v>
      </c>
      <c r="AB301" s="238" t="s">
        <v>3246</v>
      </c>
      <c r="AC301" t="s">
        <v>3079</v>
      </c>
      <c r="AD301" s="24"/>
      <c r="AE301" s="238" t="s">
        <v>1748</v>
      </c>
      <c r="AF301">
        <v>79171533338</v>
      </c>
      <c r="AG301" s="238" t="s">
        <v>1749</v>
      </c>
      <c r="AH301" s="238" t="s">
        <v>1171</v>
      </c>
      <c r="AI301" s="238" t="s">
        <v>135</v>
      </c>
      <c r="AJ301" s="238" t="s">
        <v>126</v>
      </c>
      <c r="AK301" s="238" t="s">
        <v>141</v>
      </c>
      <c r="AL301" t="s">
        <v>8715</v>
      </c>
      <c r="AM301" t="s">
        <v>1167</v>
      </c>
    </row>
    <row r="302" spans="1:39" hidden="1" x14ac:dyDescent="0.25">
      <c r="A302">
        <v>298</v>
      </c>
      <c r="B302">
        <v>1</v>
      </c>
      <c r="C302" s="24">
        <v>44209</v>
      </c>
      <c r="D302" s="238" t="s">
        <v>20</v>
      </c>
      <c r="E302" s="238" t="s">
        <v>5</v>
      </c>
      <c r="F302">
        <v>6</v>
      </c>
      <c r="G302">
        <v>11</v>
      </c>
      <c r="H302">
        <v>219</v>
      </c>
      <c r="I302" s="238" t="s">
        <v>43</v>
      </c>
      <c r="J302">
        <v>66.2</v>
      </c>
      <c r="K302" s="238" t="s">
        <v>36</v>
      </c>
      <c r="L302">
        <v>3260745.88</v>
      </c>
      <c r="M302">
        <v>0</v>
      </c>
      <c r="N302">
        <v>3260745.88</v>
      </c>
      <c r="O302">
        <v>49255.98006042296</v>
      </c>
      <c r="P302">
        <v>33100</v>
      </c>
      <c r="Q302">
        <v>3227645.88</v>
      </c>
      <c r="R302">
        <v>48755.98006042296</v>
      </c>
      <c r="S302" s="238" t="s">
        <v>137</v>
      </c>
      <c r="T302" s="238" t="s">
        <v>3540</v>
      </c>
      <c r="U302">
        <v>65870.320000000007</v>
      </c>
      <c r="V302" t="s">
        <v>1167</v>
      </c>
      <c r="W302" s="24">
        <v>44209</v>
      </c>
      <c r="X302" s="238" t="s">
        <v>434</v>
      </c>
      <c r="Y302" s="238" t="s">
        <v>39</v>
      </c>
      <c r="Z302" s="238" t="s">
        <v>1340</v>
      </c>
      <c r="AA302" t="s">
        <v>1167</v>
      </c>
      <c r="AB302" s="238" t="s">
        <v>3246</v>
      </c>
      <c r="AC302" t="s">
        <v>3079</v>
      </c>
      <c r="AD302" s="24"/>
      <c r="AE302" s="238" t="s">
        <v>1750</v>
      </c>
      <c r="AF302">
        <v>79277153130</v>
      </c>
      <c r="AG302" s="238" t="s">
        <v>1751</v>
      </c>
      <c r="AH302" s="238" t="s">
        <v>1212</v>
      </c>
      <c r="AI302" s="238" t="s">
        <v>3078</v>
      </c>
      <c r="AJ302" s="238" t="s">
        <v>399</v>
      </c>
      <c r="AK302" s="238" t="s">
        <v>162</v>
      </c>
      <c r="AL302" t="s">
        <v>8715</v>
      </c>
      <c r="AM302" t="s">
        <v>1167</v>
      </c>
    </row>
    <row r="303" spans="1:39" hidden="1" x14ac:dyDescent="0.25">
      <c r="A303">
        <v>299</v>
      </c>
      <c r="B303">
        <v>2</v>
      </c>
      <c r="C303" s="24">
        <v>44222</v>
      </c>
      <c r="D303" s="238" t="s">
        <v>20</v>
      </c>
      <c r="E303" s="238" t="s">
        <v>6</v>
      </c>
      <c r="F303">
        <v>5</v>
      </c>
      <c r="G303">
        <v>11</v>
      </c>
      <c r="H303">
        <v>95</v>
      </c>
      <c r="I303" s="238" t="s">
        <v>43</v>
      </c>
      <c r="J303">
        <v>61.8</v>
      </c>
      <c r="K303" s="238" t="s">
        <v>36</v>
      </c>
      <c r="L303">
        <v>3036639.6</v>
      </c>
      <c r="M303">
        <v>0</v>
      </c>
      <c r="N303">
        <v>3036639.6</v>
      </c>
      <c r="O303">
        <v>49136.563106796122</v>
      </c>
      <c r="P303">
        <v>30900</v>
      </c>
      <c r="Q303">
        <v>3005739.6</v>
      </c>
      <c r="R303">
        <v>48636.563106796122</v>
      </c>
      <c r="S303" s="238" t="s">
        <v>137</v>
      </c>
      <c r="T303" s="238" t="s">
        <v>321</v>
      </c>
      <c r="U303">
        <v>30000</v>
      </c>
      <c r="V303" t="s">
        <v>1167</v>
      </c>
      <c r="W303" s="24">
        <v>44222</v>
      </c>
      <c r="X303" s="238" t="s">
        <v>435</v>
      </c>
      <c r="Y303" s="238" t="s">
        <v>39</v>
      </c>
      <c r="Z303" s="238" t="s">
        <v>1168</v>
      </c>
      <c r="AA303" t="s">
        <v>1167</v>
      </c>
      <c r="AB303" s="238" t="s">
        <v>3246</v>
      </c>
      <c r="AC303" t="s">
        <v>3080</v>
      </c>
      <c r="AD303" s="24"/>
      <c r="AE303" s="238" t="s">
        <v>1752</v>
      </c>
      <c r="AF303">
        <v>79376485000</v>
      </c>
      <c r="AG303" s="238" t="s">
        <v>1753</v>
      </c>
      <c r="AH303" s="238" t="s">
        <v>1171</v>
      </c>
      <c r="AI303" s="238" t="s">
        <v>3074</v>
      </c>
      <c r="AJ303" s="238" t="s">
        <v>130</v>
      </c>
      <c r="AK303" s="238" t="s">
        <v>162</v>
      </c>
      <c r="AL303" t="s">
        <v>8715</v>
      </c>
      <c r="AM303" t="s">
        <v>1167</v>
      </c>
    </row>
    <row r="304" spans="1:39" hidden="1" x14ac:dyDescent="0.25">
      <c r="A304">
        <v>300</v>
      </c>
      <c r="B304">
        <v>3</v>
      </c>
      <c r="C304" s="24">
        <v>44224</v>
      </c>
      <c r="D304" s="238" t="s">
        <v>20</v>
      </c>
      <c r="E304" s="238" t="s">
        <v>6</v>
      </c>
      <c r="F304">
        <v>6</v>
      </c>
      <c r="G304">
        <v>10</v>
      </c>
      <c r="H304">
        <v>86</v>
      </c>
      <c r="I304" s="238" t="s">
        <v>43</v>
      </c>
      <c r="J304">
        <v>64.7</v>
      </c>
      <c r="K304" s="238" t="s">
        <v>36</v>
      </c>
      <c r="L304">
        <v>3131979.53</v>
      </c>
      <c r="M304">
        <v>15000</v>
      </c>
      <c r="N304">
        <v>3146979.53</v>
      </c>
      <c r="O304">
        <v>48639.559969088092</v>
      </c>
      <c r="P304">
        <v>32350</v>
      </c>
      <c r="Q304">
        <v>3114629.53</v>
      </c>
      <c r="R304">
        <v>48139.559969088092</v>
      </c>
      <c r="S304" s="238" t="s">
        <v>137</v>
      </c>
      <c r="T304" s="238" t="s">
        <v>3540</v>
      </c>
      <c r="U304">
        <v>63563.87</v>
      </c>
      <c r="V304" t="s">
        <v>1167</v>
      </c>
      <c r="W304" s="24">
        <v>44224</v>
      </c>
      <c r="X304" s="238" t="s">
        <v>436</v>
      </c>
      <c r="Y304" s="238" t="s">
        <v>39</v>
      </c>
      <c r="Z304" s="238" t="s">
        <v>1340</v>
      </c>
      <c r="AA304" t="s">
        <v>1167</v>
      </c>
      <c r="AB304" s="238" t="s">
        <v>3246</v>
      </c>
      <c r="AC304" t="s">
        <v>3079</v>
      </c>
      <c r="AD304" s="24"/>
      <c r="AE304" s="238" t="s">
        <v>1754</v>
      </c>
      <c r="AF304">
        <v>79272088701</v>
      </c>
      <c r="AG304" s="238" t="s">
        <v>1755</v>
      </c>
      <c r="AH304" s="238" t="s">
        <v>146</v>
      </c>
      <c r="AI304" s="238" t="s">
        <v>135</v>
      </c>
      <c r="AJ304" s="238" t="s">
        <v>120</v>
      </c>
      <c r="AK304" s="238" t="s">
        <v>141</v>
      </c>
      <c r="AL304" t="s">
        <v>8715</v>
      </c>
      <c r="AM304" t="s">
        <v>1167</v>
      </c>
    </row>
    <row r="305" spans="1:39" hidden="1" x14ac:dyDescent="0.25">
      <c r="A305">
        <v>301</v>
      </c>
      <c r="B305">
        <v>4</v>
      </c>
      <c r="C305" s="24">
        <v>44225</v>
      </c>
      <c r="D305" s="238" t="s">
        <v>20</v>
      </c>
      <c r="E305" s="238" t="s">
        <v>6</v>
      </c>
      <c r="F305">
        <v>1</v>
      </c>
      <c r="G305">
        <v>8</v>
      </c>
      <c r="H305">
        <v>61</v>
      </c>
      <c r="I305" s="238" t="s">
        <v>4052</v>
      </c>
      <c r="J305">
        <v>33.5</v>
      </c>
      <c r="K305" s="238" t="s">
        <v>36</v>
      </c>
      <c r="L305">
        <v>2002261.5</v>
      </c>
      <c r="M305">
        <v>0</v>
      </c>
      <c r="N305">
        <v>2002261.5</v>
      </c>
      <c r="O305">
        <v>59769</v>
      </c>
      <c r="P305">
        <v>16750</v>
      </c>
      <c r="Q305">
        <v>1985511.5</v>
      </c>
      <c r="R305">
        <v>59269</v>
      </c>
      <c r="S305" s="238" t="s">
        <v>137</v>
      </c>
      <c r="T305" s="238" t="s">
        <v>1167</v>
      </c>
      <c r="V305" t="s">
        <v>1167</v>
      </c>
      <c r="W305" s="24">
        <v>44225</v>
      </c>
      <c r="X305" s="238" t="s">
        <v>197</v>
      </c>
      <c r="Y305" s="238" t="s">
        <v>39</v>
      </c>
      <c r="Z305" s="238" t="s">
        <v>1340</v>
      </c>
      <c r="AA305" t="s">
        <v>1167</v>
      </c>
      <c r="AB305" s="238" t="s">
        <v>3246</v>
      </c>
      <c r="AC305" t="s">
        <v>3079</v>
      </c>
      <c r="AD305" s="24"/>
      <c r="AE305" s="238" t="s">
        <v>1756</v>
      </c>
      <c r="AF305">
        <v>79277230582</v>
      </c>
      <c r="AG305" s="238" t="s">
        <v>1757</v>
      </c>
      <c r="AH305" s="238" t="s">
        <v>1212</v>
      </c>
      <c r="AI305" s="238" t="s">
        <v>3095</v>
      </c>
      <c r="AJ305" s="238" t="s">
        <v>399</v>
      </c>
      <c r="AK305" s="238" t="s">
        <v>162</v>
      </c>
      <c r="AL305" t="s">
        <v>8715</v>
      </c>
      <c r="AM305" t="s">
        <v>1167</v>
      </c>
    </row>
    <row r="306" spans="1:39" hidden="1" x14ac:dyDescent="0.25">
      <c r="A306">
        <v>302</v>
      </c>
      <c r="B306">
        <v>5</v>
      </c>
      <c r="C306" s="24">
        <v>44225</v>
      </c>
      <c r="D306" s="238" t="s">
        <v>20</v>
      </c>
      <c r="E306" s="238" t="s">
        <v>5</v>
      </c>
      <c r="F306">
        <v>5</v>
      </c>
      <c r="G306">
        <v>7</v>
      </c>
      <c r="H306">
        <v>190</v>
      </c>
      <c r="I306" s="238" t="s">
        <v>44</v>
      </c>
      <c r="J306">
        <v>80.599999999999994</v>
      </c>
      <c r="K306" s="238" t="s">
        <v>36</v>
      </c>
      <c r="L306">
        <v>3965419.8</v>
      </c>
      <c r="M306">
        <v>0</v>
      </c>
      <c r="N306">
        <v>3965419.8</v>
      </c>
      <c r="O306">
        <v>49198.756823821343</v>
      </c>
      <c r="P306">
        <v>40300</v>
      </c>
      <c r="Q306">
        <v>3925119.8</v>
      </c>
      <c r="R306">
        <v>48698.756823821343</v>
      </c>
      <c r="S306" s="238" t="s">
        <v>137</v>
      </c>
      <c r="T306" s="238" t="s">
        <v>321</v>
      </c>
      <c r="U306">
        <v>35000</v>
      </c>
      <c r="V306" t="s">
        <v>1167</v>
      </c>
      <c r="W306" s="24">
        <v>44225</v>
      </c>
      <c r="X306" s="238" t="s">
        <v>437</v>
      </c>
      <c r="Y306" s="238" t="s">
        <v>39</v>
      </c>
      <c r="Z306" s="238" t="s">
        <v>1340</v>
      </c>
      <c r="AA306" t="s">
        <v>1167</v>
      </c>
      <c r="AB306" s="238" t="s">
        <v>3246</v>
      </c>
      <c r="AC306" t="s">
        <v>3079</v>
      </c>
      <c r="AD306" s="24"/>
      <c r="AE306" s="238" t="s">
        <v>1758</v>
      </c>
      <c r="AF306">
        <v>79277572986</v>
      </c>
      <c r="AG306" s="238" t="s">
        <v>1759</v>
      </c>
      <c r="AH306" s="238" t="s">
        <v>1212</v>
      </c>
      <c r="AI306" s="238" t="s">
        <v>3074</v>
      </c>
      <c r="AJ306" s="238" t="s">
        <v>126</v>
      </c>
      <c r="AK306" s="238" t="s">
        <v>141</v>
      </c>
      <c r="AL306" t="s">
        <v>8715</v>
      </c>
      <c r="AM306" t="s">
        <v>1167</v>
      </c>
    </row>
    <row r="307" spans="1:39" hidden="1" x14ac:dyDescent="0.25">
      <c r="A307">
        <v>303</v>
      </c>
      <c r="B307">
        <v>6</v>
      </c>
      <c r="C307" s="24">
        <v>44225</v>
      </c>
      <c r="D307" s="238" t="s">
        <v>20</v>
      </c>
      <c r="E307" s="238" t="s">
        <v>5</v>
      </c>
      <c r="F307">
        <v>3</v>
      </c>
      <c r="G307">
        <v>20</v>
      </c>
      <c r="H307">
        <v>279</v>
      </c>
      <c r="I307" s="238" t="s">
        <v>42</v>
      </c>
      <c r="J307">
        <v>42.8</v>
      </c>
      <c r="K307" s="238" t="s">
        <v>36</v>
      </c>
      <c r="L307">
        <v>2411662.73</v>
      </c>
      <c r="M307">
        <v>0</v>
      </c>
      <c r="N307">
        <v>2411662.73</v>
      </c>
      <c r="O307">
        <v>56347.260046728974</v>
      </c>
      <c r="P307">
        <v>21400</v>
      </c>
      <c r="Q307">
        <v>2390262.73</v>
      </c>
      <c r="R307">
        <v>55847.260046728974</v>
      </c>
      <c r="S307" s="238" t="s">
        <v>137</v>
      </c>
      <c r="T307" s="238" t="s">
        <v>3540</v>
      </c>
      <c r="U307">
        <v>48780.87</v>
      </c>
      <c r="V307" t="s">
        <v>1167</v>
      </c>
      <c r="W307" s="24">
        <v>44225</v>
      </c>
      <c r="X307" s="238" t="s">
        <v>438</v>
      </c>
      <c r="Y307" s="238" t="s">
        <v>39</v>
      </c>
      <c r="Z307" s="238" t="s">
        <v>1340</v>
      </c>
      <c r="AA307" t="s">
        <v>1167</v>
      </c>
      <c r="AB307" s="238" t="s">
        <v>3246</v>
      </c>
      <c r="AC307" t="s">
        <v>3079</v>
      </c>
      <c r="AD307" s="24"/>
      <c r="AE307" s="238" t="s">
        <v>1760</v>
      </c>
      <c r="AF307">
        <v>79372334055</v>
      </c>
      <c r="AG307" s="238" t="s">
        <v>1761</v>
      </c>
      <c r="AH307" s="238" t="s">
        <v>1212</v>
      </c>
      <c r="AI307" s="238" t="s">
        <v>3099</v>
      </c>
      <c r="AJ307" s="238" t="s">
        <v>399</v>
      </c>
      <c r="AK307" s="238" t="s">
        <v>141</v>
      </c>
      <c r="AL307" t="s">
        <v>8715</v>
      </c>
      <c r="AM307" t="s">
        <v>1167</v>
      </c>
    </row>
    <row r="308" spans="1:39" hidden="1" x14ac:dyDescent="0.25">
      <c r="A308">
        <v>304</v>
      </c>
      <c r="B308">
        <v>1</v>
      </c>
      <c r="C308" s="24">
        <v>44229</v>
      </c>
      <c r="D308" s="238" t="s">
        <v>20</v>
      </c>
      <c r="E308" s="238" t="s">
        <v>5</v>
      </c>
      <c r="F308">
        <v>1</v>
      </c>
      <c r="G308">
        <v>2</v>
      </c>
      <c r="H308">
        <v>151</v>
      </c>
      <c r="I308" s="238" t="s">
        <v>44</v>
      </c>
      <c r="J308">
        <v>93.3</v>
      </c>
      <c r="K308" s="238" t="s">
        <v>36</v>
      </c>
      <c r="L308">
        <v>4422955.54</v>
      </c>
      <c r="M308">
        <v>0</v>
      </c>
      <c r="N308">
        <v>4422955.54</v>
      </c>
      <c r="O308">
        <v>47405.739978563775</v>
      </c>
      <c r="P308">
        <v>46650</v>
      </c>
      <c r="Q308">
        <v>4376305.54</v>
      </c>
      <c r="R308">
        <v>46905.739978563775</v>
      </c>
      <c r="S308" s="238" t="s">
        <v>137</v>
      </c>
      <c r="T308" s="238" t="s">
        <v>3540</v>
      </c>
      <c r="U308">
        <v>89312.36</v>
      </c>
      <c r="V308" t="s">
        <v>1167</v>
      </c>
      <c r="W308" s="24">
        <v>44229</v>
      </c>
      <c r="X308" s="238" t="s">
        <v>439</v>
      </c>
      <c r="Y308" s="238" t="s">
        <v>39</v>
      </c>
      <c r="Z308" s="238" t="s">
        <v>1340</v>
      </c>
      <c r="AA308" t="s">
        <v>1167</v>
      </c>
      <c r="AB308" s="238" t="s">
        <v>3246</v>
      </c>
      <c r="AC308" t="s">
        <v>3079</v>
      </c>
      <c r="AD308" s="24"/>
      <c r="AE308" s="238" t="s">
        <v>1762</v>
      </c>
      <c r="AF308">
        <v>79277390627</v>
      </c>
      <c r="AG308" s="238" t="s">
        <v>1763</v>
      </c>
      <c r="AH308" s="238" t="s">
        <v>1764</v>
      </c>
      <c r="AI308" s="238" t="s">
        <v>3103</v>
      </c>
      <c r="AJ308" s="238" t="s">
        <v>399</v>
      </c>
      <c r="AK308" s="238" t="s">
        <v>162</v>
      </c>
      <c r="AL308" t="s">
        <v>8715</v>
      </c>
      <c r="AM308" t="s">
        <v>1167</v>
      </c>
    </row>
    <row r="309" spans="1:39" hidden="1" x14ac:dyDescent="0.25">
      <c r="A309">
        <v>305</v>
      </c>
      <c r="B309">
        <v>2</v>
      </c>
      <c r="C309" s="24">
        <v>44230</v>
      </c>
      <c r="D309" s="238" t="s">
        <v>20</v>
      </c>
      <c r="E309" s="238" t="s">
        <v>6</v>
      </c>
      <c r="F309">
        <v>1</v>
      </c>
      <c r="G309">
        <v>14</v>
      </c>
      <c r="H309">
        <v>121</v>
      </c>
      <c r="I309" s="238" t="s">
        <v>4052</v>
      </c>
      <c r="J309">
        <v>33.5</v>
      </c>
      <c r="K309" s="238" t="s">
        <v>37</v>
      </c>
      <c r="L309">
        <v>2142961.5</v>
      </c>
      <c r="M309">
        <v>0</v>
      </c>
      <c r="N309">
        <v>2142961.5</v>
      </c>
      <c r="O309">
        <v>63969</v>
      </c>
      <c r="P309">
        <v>157450</v>
      </c>
      <c r="Q309">
        <v>1985511.5</v>
      </c>
      <c r="R309">
        <v>59269</v>
      </c>
      <c r="S309" s="238" t="s">
        <v>137</v>
      </c>
      <c r="T309" s="238" t="s">
        <v>1167</v>
      </c>
      <c r="V309" t="s">
        <v>1167</v>
      </c>
      <c r="W309" s="24">
        <v>44230</v>
      </c>
      <c r="X309" s="238" t="s">
        <v>440</v>
      </c>
      <c r="Y309" s="238" t="s">
        <v>39</v>
      </c>
      <c r="Z309" s="238" t="s">
        <v>1340</v>
      </c>
      <c r="AA309" t="s">
        <v>1167</v>
      </c>
      <c r="AB309" s="238" t="s">
        <v>3246</v>
      </c>
      <c r="AC309" t="s">
        <v>3079</v>
      </c>
      <c r="AD309" s="24"/>
      <c r="AE309" s="238" t="s">
        <v>1765</v>
      </c>
      <c r="AF309">
        <v>79171484238</v>
      </c>
      <c r="AG309" s="238" t="s">
        <v>1766</v>
      </c>
      <c r="AH309" s="238" t="s">
        <v>135</v>
      </c>
      <c r="AI309" s="238" t="s">
        <v>135</v>
      </c>
      <c r="AJ309" s="238" t="s">
        <v>126</v>
      </c>
      <c r="AK309" s="238" t="s">
        <v>162</v>
      </c>
      <c r="AL309" t="s">
        <v>8715</v>
      </c>
      <c r="AM309" t="s">
        <v>7674</v>
      </c>
    </row>
    <row r="310" spans="1:39" hidden="1" x14ac:dyDescent="0.25">
      <c r="A310">
        <v>306</v>
      </c>
      <c r="B310">
        <v>3</v>
      </c>
      <c r="C310" s="24">
        <v>44231</v>
      </c>
      <c r="D310" s="238" t="s">
        <v>20</v>
      </c>
      <c r="E310" s="238" t="s">
        <v>16</v>
      </c>
      <c r="F310">
        <v>5</v>
      </c>
      <c r="G310">
        <v>7</v>
      </c>
      <c r="H310">
        <v>356</v>
      </c>
      <c r="I310" s="238" t="s">
        <v>43</v>
      </c>
      <c r="J310">
        <v>62.1</v>
      </c>
      <c r="K310" s="238" t="s">
        <v>36</v>
      </c>
      <c r="L310">
        <v>3231892.8</v>
      </c>
      <c r="M310">
        <v>0</v>
      </c>
      <c r="N310">
        <v>3231892.8</v>
      </c>
      <c r="O310">
        <v>52043.362318840576</v>
      </c>
      <c r="P310">
        <v>31050</v>
      </c>
      <c r="Q310">
        <v>3200842.8</v>
      </c>
      <c r="R310">
        <v>51543.362318840576</v>
      </c>
      <c r="S310" s="238" t="s">
        <v>137</v>
      </c>
      <c r="T310" s="238" t="s">
        <v>321</v>
      </c>
      <c r="U310">
        <v>45000</v>
      </c>
      <c r="V310" t="s">
        <v>1167</v>
      </c>
      <c r="W310" s="24">
        <v>44231</v>
      </c>
      <c r="X310" s="238" t="s">
        <v>441</v>
      </c>
      <c r="Y310" s="238" t="s">
        <v>39</v>
      </c>
      <c r="Z310" s="238" t="s">
        <v>1340</v>
      </c>
      <c r="AA310" t="s">
        <v>1167</v>
      </c>
      <c r="AB310" s="238" t="s">
        <v>3246</v>
      </c>
      <c r="AC310" t="s">
        <v>3079</v>
      </c>
      <c r="AD310" s="24"/>
      <c r="AE310" s="238" t="s">
        <v>1767</v>
      </c>
      <c r="AF310">
        <v>79179459550</v>
      </c>
      <c r="AG310" s="238" t="s">
        <v>1768</v>
      </c>
      <c r="AH310" s="238" t="s">
        <v>1212</v>
      </c>
      <c r="AI310" s="238" t="s">
        <v>3074</v>
      </c>
      <c r="AJ310" s="238" t="s">
        <v>399</v>
      </c>
      <c r="AK310" s="238" t="s">
        <v>141</v>
      </c>
      <c r="AL310" t="s">
        <v>8715</v>
      </c>
      <c r="AM310" t="s">
        <v>1167</v>
      </c>
    </row>
    <row r="311" spans="1:39" hidden="1" x14ac:dyDescent="0.25">
      <c r="A311">
        <v>307</v>
      </c>
      <c r="B311">
        <v>4</v>
      </c>
      <c r="C311" s="24">
        <v>44236</v>
      </c>
      <c r="D311" s="238" t="s">
        <v>20</v>
      </c>
      <c r="E311" s="238" t="s">
        <v>6</v>
      </c>
      <c r="F311">
        <v>10</v>
      </c>
      <c r="G311">
        <v>10</v>
      </c>
      <c r="H311">
        <v>90</v>
      </c>
      <c r="I311" s="238" t="s">
        <v>43</v>
      </c>
      <c r="J311">
        <v>67.400000000000006</v>
      </c>
      <c r="K311" s="238" t="s">
        <v>36</v>
      </c>
      <c r="L311">
        <v>3344522.8</v>
      </c>
      <c r="M311">
        <v>0</v>
      </c>
      <c r="N311">
        <v>3344522.8</v>
      </c>
      <c r="O311">
        <v>49621.999999999993</v>
      </c>
      <c r="P311">
        <v>33700</v>
      </c>
      <c r="Q311">
        <v>3310822.8</v>
      </c>
      <c r="R311">
        <v>49121.999999999993</v>
      </c>
      <c r="S311" s="238" t="s">
        <v>137</v>
      </c>
      <c r="T311" s="238" t="s">
        <v>1167</v>
      </c>
      <c r="V311" t="s">
        <v>1167</v>
      </c>
      <c r="W311" s="24">
        <v>44236</v>
      </c>
      <c r="X311" s="238" t="s">
        <v>442</v>
      </c>
      <c r="Y311" s="238" t="s">
        <v>39</v>
      </c>
      <c r="Z311" s="238" t="s">
        <v>1340</v>
      </c>
      <c r="AA311" t="s">
        <v>1167</v>
      </c>
      <c r="AB311" s="238" t="s">
        <v>3246</v>
      </c>
      <c r="AC311" t="s">
        <v>3079</v>
      </c>
      <c r="AD311" s="24"/>
      <c r="AE311" s="238" t="s">
        <v>1769</v>
      </c>
      <c r="AF311">
        <v>79255517464</v>
      </c>
      <c r="AG311" s="238" t="s">
        <v>1770</v>
      </c>
      <c r="AH311" s="238" t="s">
        <v>1212</v>
      </c>
      <c r="AI311" s="238" t="s">
        <v>3102</v>
      </c>
      <c r="AJ311" s="238" t="s">
        <v>126</v>
      </c>
      <c r="AK311" s="238" t="s">
        <v>162</v>
      </c>
      <c r="AL311" t="s">
        <v>8715</v>
      </c>
      <c r="AM311" t="s">
        <v>1167</v>
      </c>
    </row>
    <row r="312" spans="1:39" hidden="1" x14ac:dyDescent="0.25">
      <c r="A312">
        <v>308</v>
      </c>
      <c r="B312">
        <v>5</v>
      </c>
      <c r="C312" s="24">
        <v>44236</v>
      </c>
      <c r="D312" s="238" t="s">
        <v>20</v>
      </c>
      <c r="E312" s="238" t="s">
        <v>5</v>
      </c>
      <c r="F312">
        <v>1</v>
      </c>
      <c r="G312">
        <v>10</v>
      </c>
      <c r="H312">
        <v>207</v>
      </c>
      <c r="I312" s="238" t="s">
        <v>44</v>
      </c>
      <c r="J312">
        <v>92.3</v>
      </c>
      <c r="K312" s="238" t="s">
        <v>36</v>
      </c>
      <c r="L312">
        <v>4463904.9000000004</v>
      </c>
      <c r="M312">
        <v>0</v>
      </c>
      <c r="N312">
        <v>4463904.9000000004</v>
      </c>
      <c r="O312">
        <v>48363.000000000007</v>
      </c>
      <c r="P312">
        <v>46150</v>
      </c>
      <c r="Q312">
        <v>4417754.9000000004</v>
      </c>
      <c r="R312">
        <v>47863.000000000007</v>
      </c>
      <c r="S312" s="238" t="s">
        <v>121</v>
      </c>
      <c r="T312" s="238" t="s">
        <v>1167</v>
      </c>
      <c r="V312" t="s">
        <v>1167</v>
      </c>
      <c r="W312" s="24">
        <v>44236</v>
      </c>
      <c r="X312" s="238" t="s">
        <v>443</v>
      </c>
      <c r="Y312" s="238" t="s">
        <v>39</v>
      </c>
      <c r="Z312" s="238" t="s">
        <v>1340</v>
      </c>
      <c r="AA312" t="s">
        <v>1167</v>
      </c>
      <c r="AB312" s="238" t="s">
        <v>3246</v>
      </c>
      <c r="AC312" t="s">
        <v>4246</v>
      </c>
      <c r="AD312" s="24"/>
      <c r="AE312" s="238" t="s">
        <v>1771</v>
      </c>
      <c r="AF312">
        <v>79379928829</v>
      </c>
      <c r="AG312" s="238" t="s">
        <v>1772</v>
      </c>
      <c r="AH312" s="238" t="s">
        <v>1212</v>
      </c>
      <c r="AI312" s="238" t="s">
        <v>3097</v>
      </c>
      <c r="AJ312" s="238" t="s">
        <v>120</v>
      </c>
      <c r="AK312" s="238" t="s">
        <v>1167</v>
      </c>
      <c r="AL312" t="s">
        <v>8715</v>
      </c>
      <c r="AM312" t="s">
        <v>1167</v>
      </c>
    </row>
    <row r="313" spans="1:39" hidden="1" x14ac:dyDescent="0.25">
      <c r="A313">
        <v>309</v>
      </c>
      <c r="B313">
        <v>6</v>
      </c>
      <c r="C313" s="24">
        <v>44238</v>
      </c>
      <c r="D313" s="238" t="s">
        <v>20</v>
      </c>
      <c r="E313" s="238" t="s">
        <v>6</v>
      </c>
      <c r="F313">
        <v>5</v>
      </c>
      <c r="G313">
        <v>15</v>
      </c>
      <c r="H313">
        <v>135</v>
      </c>
      <c r="I313" s="238" t="s">
        <v>43</v>
      </c>
      <c r="J313">
        <v>62</v>
      </c>
      <c r="K313" s="238" t="s">
        <v>38</v>
      </c>
      <c r="L313">
        <v>4156915.24</v>
      </c>
      <c r="M313">
        <v>0</v>
      </c>
      <c r="N313">
        <v>4156915.24</v>
      </c>
      <c r="O313">
        <v>67047.02</v>
      </c>
      <c r="P313">
        <v>961000</v>
      </c>
      <c r="Q313">
        <v>3195915.24</v>
      </c>
      <c r="R313">
        <v>51547.020000000004</v>
      </c>
      <c r="S313" s="238" t="s">
        <v>137</v>
      </c>
      <c r="T313" s="238" t="s">
        <v>3540</v>
      </c>
      <c r="U313">
        <v>65222.76</v>
      </c>
      <c r="V313" t="s">
        <v>1167</v>
      </c>
      <c r="W313" s="24">
        <v>44238</v>
      </c>
      <c r="X313" s="238" t="s">
        <v>444</v>
      </c>
      <c r="Y313" s="238" t="s">
        <v>39</v>
      </c>
      <c r="Z313" s="238" t="s">
        <v>1340</v>
      </c>
      <c r="AA313" t="s">
        <v>1167</v>
      </c>
      <c r="AB313" s="238" t="s">
        <v>3246</v>
      </c>
      <c r="AC313" t="s">
        <v>3079</v>
      </c>
      <c r="AD313" s="24"/>
      <c r="AE313" s="238" t="s">
        <v>1773</v>
      </c>
      <c r="AF313">
        <v>79270159558</v>
      </c>
      <c r="AG313" s="238" t="s">
        <v>1774</v>
      </c>
      <c r="AH313" s="238" t="s">
        <v>1212</v>
      </c>
      <c r="AI313" s="238" t="s">
        <v>135</v>
      </c>
      <c r="AJ313" s="238" t="s">
        <v>126</v>
      </c>
      <c r="AK313" s="238" t="s">
        <v>141</v>
      </c>
      <c r="AL313" t="s">
        <v>8715</v>
      </c>
      <c r="AM313" t="s">
        <v>1167</v>
      </c>
    </row>
    <row r="314" spans="1:39" hidden="1" x14ac:dyDescent="0.25">
      <c r="A314">
        <v>310</v>
      </c>
      <c r="B314">
        <v>7</v>
      </c>
      <c r="C314" s="24">
        <v>44239</v>
      </c>
      <c r="D314" s="238" t="s">
        <v>20</v>
      </c>
      <c r="E314" s="238" t="s">
        <v>16</v>
      </c>
      <c r="F314">
        <v>6</v>
      </c>
      <c r="G314">
        <v>3</v>
      </c>
      <c r="H314">
        <v>325</v>
      </c>
      <c r="I314" s="238" t="s">
        <v>43</v>
      </c>
      <c r="J314">
        <v>67.2</v>
      </c>
      <c r="K314" s="238" t="s">
        <v>36</v>
      </c>
      <c r="L314">
        <v>3448740.8</v>
      </c>
      <c r="M314">
        <v>15000</v>
      </c>
      <c r="N314">
        <v>3463740.8</v>
      </c>
      <c r="O314">
        <v>51543.761904761901</v>
      </c>
      <c r="P314">
        <v>33600</v>
      </c>
      <c r="Q314">
        <v>3430140.8</v>
      </c>
      <c r="R314">
        <v>51043.761904761901</v>
      </c>
      <c r="S314" s="238" t="s">
        <v>137</v>
      </c>
      <c r="T314" s="238" t="s">
        <v>1167</v>
      </c>
      <c r="V314" t="s">
        <v>1167</v>
      </c>
      <c r="W314" s="24">
        <v>44239</v>
      </c>
      <c r="X314" s="238" t="s">
        <v>445</v>
      </c>
      <c r="Y314" s="238" t="s">
        <v>39</v>
      </c>
      <c r="Z314" s="238" t="s">
        <v>1340</v>
      </c>
      <c r="AA314" t="s">
        <v>1167</v>
      </c>
      <c r="AB314" s="238" t="s">
        <v>3246</v>
      </c>
      <c r="AC314" t="s">
        <v>3079</v>
      </c>
      <c r="AD314" s="24"/>
      <c r="AE314" s="238" t="s">
        <v>1775</v>
      </c>
      <c r="AF314">
        <v>79277106378</v>
      </c>
      <c r="AG314" s="238" t="s">
        <v>1776</v>
      </c>
      <c r="AH314" s="238" t="s">
        <v>1212</v>
      </c>
      <c r="AI314" s="238" t="s">
        <v>3086</v>
      </c>
      <c r="AJ314" s="238" t="s">
        <v>120</v>
      </c>
      <c r="AK314" s="238" t="s">
        <v>162</v>
      </c>
      <c r="AL314" t="s">
        <v>8715</v>
      </c>
      <c r="AM314" t="s">
        <v>1167</v>
      </c>
    </row>
    <row r="315" spans="1:39" hidden="1" x14ac:dyDescent="0.25">
      <c r="A315">
        <v>311</v>
      </c>
      <c r="B315">
        <v>8</v>
      </c>
      <c r="C315" s="24">
        <v>44240</v>
      </c>
      <c r="D315" s="238" t="s">
        <v>20</v>
      </c>
      <c r="E315" s="238" t="s">
        <v>6</v>
      </c>
      <c r="F315">
        <v>6</v>
      </c>
      <c r="G315">
        <v>15</v>
      </c>
      <c r="H315">
        <v>136</v>
      </c>
      <c r="I315" s="238" t="s">
        <v>43</v>
      </c>
      <c r="J315">
        <v>63.03</v>
      </c>
      <c r="K315" s="238" t="s">
        <v>38</v>
      </c>
      <c r="L315">
        <v>4114581.2</v>
      </c>
      <c r="M315">
        <v>0</v>
      </c>
      <c r="N315">
        <v>4114581.2</v>
      </c>
      <c r="O315">
        <v>65279.727114072666</v>
      </c>
      <c r="P315">
        <v>976965</v>
      </c>
      <c r="Q315">
        <v>3137616.2</v>
      </c>
      <c r="R315">
        <v>49779.727114072666</v>
      </c>
      <c r="S315" s="238" t="s">
        <v>137</v>
      </c>
      <c r="T315" s="238" t="s">
        <v>3515</v>
      </c>
      <c r="U315">
        <v>60000</v>
      </c>
      <c r="V315" t="s">
        <v>1167</v>
      </c>
      <c r="W315" s="24">
        <v>44240</v>
      </c>
      <c r="X315" s="238" t="s">
        <v>446</v>
      </c>
      <c r="Y315" s="238" t="s">
        <v>39</v>
      </c>
      <c r="Z315" s="238" t="s">
        <v>1340</v>
      </c>
      <c r="AA315" t="s">
        <v>1167</v>
      </c>
      <c r="AB315" s="238" t="s">
        <v>3246</v>
      </c>
      <c r="AC315" t="s">
        <v>3079</v>
      </c>
      <c r="AD315" s="24"/>
      <c r="AE315" s="238" t="s">
        <v>1777</v>
      </c>
      <c r="AF315">
        <v>79603476757</v>
      </c>
      <c r="AG315" s="238" t="s">
        <v>1778</v>
      </c>
      <c r="AH315" s="238" t="s">
        <v>1212</v>
      </c>
      <c r="AI315" s="238" t="s">
        <v>135</v>
      </c>
      <c r="AJ315" s="238" t="s">
        <v>130</v>
      </c>
      <c r="AK315" s="238" t="s">
        <v>162</v>
      </c>
      <c r="AL315" t="s">
        <v>8715</v>
      </c>
      <c r="AM315" t="s">
        <v>1167</v>
      </c>
    </row>
    <row r="316" spans="1:39" hidden="1" x14ac:dyDescent="0.25">
      <c r="A316">
        <v>312</v>
      </c>
      <c r="B316">
        <v>9</v>
      </c>
      <c r="C316" s="24">
        <v>44245</v>
      </c>
      <c r="D316" s="238" t="s">
        <v>20</v>
      </c>
      <c r="E316" s="238" t="s">
        <v>5</v>
      </c>
      <c r="F316">
        <v>1</v>
      </c>
      <c r="G316">
        <v>23</v>
      </c>
      <c r="H316">
        <v>298</v>
      </c>
      <c r="I316" s="238" t="s">
        <v>43</v>
      </c>
      <c r="J316">
        <v>63.88</v>
      </c>
      <c r="K316" s="238" t="s">
        <v>36</v>
      </c>
      <c r="L316">
        <v>3387931.5</v>
      </c>
      <c r="M316">
        <v>15000</v>
      </c>
      <c r="N316">
        <v>3402931.5</v>
      </c>
      <c r="O316">
        <v>53270.687226048838</v>
      </c>
      <c r="P316">
        <v>31940</v>
      </c>
      <c r="Q316">
        <v>3370991.5</v>
      </c>
      <c r="R316">
        <v>52770.687226048838</v>
      </c>
      <c r="S316" s="238" t="s">
        <v>137</v>
      </c>
      <c r="T316" s="238" t="s">
        <v>1167</v>
      </c>
      <c r="V316" t="s">
        <v>1167</v>
      </c>
      <c r="W316" s="24">
        <v>44245</v>
      </c>
      <c r="X316" s="238" t="s">
        <v>447</v>
      </c>
      <c r="Y316" s="238" t="s">
        <v>39</v>
      </c>
      <c r="Z316" s="238" t="s">
        <v>1340</v>
      </c>
      <c r="AA316" t="s">
        <v>1167</v>
      </c>
      <c r="AB316" s="238" t="s">
        <v>3246</v>
      </c>
      <c r="AC316" t="s">
        <v>3079</v>
      </c>
      <c r="AD316" s="24"/>
      <c r="AE316" s="238" t="s">
        <v>1779</v>
      </c>
      <c r="AF316">
        <v>79171090199</v>
      </c>
      <c r="AG316" s="238" t="s">
        <v>1780</v>
      </c>
      <c r="AH316" s="238" t="s">
        <v>135</v>
      </c>
      <c r="AI316" s="238" t="s">
        <v>135</v>
      </c>
      <c r="AJ316" s="238" t="s">
        <v>120</v>
      </c>
      <c r="AK316" s="238" t="s">
        <v>141</v>
      </c>
      <c r="AL316" t="s">
        <v>8715</v>
      </c>
      <c r="AM316" t="s">
        <v>1167</v>
      </c>
    </row>
    <row r="317" spans="1:39" hidden="1" x14ac:dyDescent="0.25">
      <c r="A317">
        <v>313</v>
      </c>
      <c r="B317">
        <v>10</v>
      </c>
      <c r="C317" s="24">
        <v>44245</v>
      </c>
      <c r="D317" s="238" t="s">
        <v>20</v>
      </c>
      <c r="E317" s="238" t="s">
        <v>6</v>
      </c>
      <c r="F317">
        <v>2</v>
      </c>
      <c r="G317">
        <v>14</v>
      </c>
      <c r="H317">
        <v>122</v>
      </c>
      <c r="I317" s="238" t="s">
        <v>4052</v>
      </c>
      <c r="J317">
        <v>31.88</v>
      </c>
      <c r="K317" s="238" t="s">
        <v>36</v>
      </c>
      <c r="L317">
        <v>2103327.9</v>
      </c>
      <c r="M317">
        <v>0</v>
      </c>
      <c r="N317">
        <v>2103327.9</v>
      </c>
      <c r="O317">
        <v>65976.408406524468</v>
      </c>
      <c r="P317">
        <v>15940</v>
      </c>
      <c r="Q317">
        <v>2087387.9</v>
      </c>
      <c r="R317">
        <v>65476.408406524468</v>
      </c>
      <c r="S317" s="238" t="s">
        <v>137</v>
      </c>
      <c r="T317" s="238" t="s">
        <v>1167</v>
      </c>
      <c r="V317" t="s">
        <v>1167</v>
      </c>
      <c r="W317" s="24">
        <v>44245</v>
      </c>
      <c r="X317" s="238" t="s">
        <v>448</v>
      </c>
      <c r="Y317" s="238" t="s">
        <v>39</v>
      </c>
      <c r="Z317" s="238" t="s">
        <v>1340</v>
      </c>
      <c r="AA317" t="s">
        <v>1167</v>
      </c>
      <c r="AB317" s="238" t="s">
        <v>3246</v>
      </c>
      <c r="AC317" t="s">
        <v>3079</v>
      </c>
      <c r="AD317" s="24"/>
      <c r="AE317" s="238" t="s">
        <v>1781</v>
      </c>
      <c r="AF317">
        <v>79170327233</v>
      </c>
      <c r="AG317" s="238" t="s">
        <v>1782</v>
      </c>
      <c r="AH317" s="238" t="s">
        <v>137</v>
      </c>
      <c r="AI317" s="238" t="s">
        <v>3107</v>
      </c>
      <c r="AJ317" s="238" t="s">
        <v>120</v>
      </c>
      <c r="AK317" s="238" t="s">
        <v>141</v>
      </c>
      <c r="AL317" t="s">
        <v>8715</v>
      </c>
      <c r="AM317" t="s">
        <v>1167</v>
      </c>
    </row>
    <row r="318" spans="1:39" hidden="1" x14ac:dyDescent="0.25">
      <c r="A318">
        <v>314</v>
      </c>
      <c r="B318">
        <v>11</v>
      </c>
      <c r="C318" s="24">
        <v>44246</v>
      </c>
      <c r="D318" s="238" t="s">
        <v>20</v>
      </c>
      <c r="E318" s="238" t="s">
        <v>5</v>
      </c>
      <c r="F318">
        <v>6</v>
      </c>
      <c r="G318">
        <v>20</v>
      </c>
      <c r="H318">
        <v>282</v>
      </c>
      <c r="I318" s="238" t="s">
        <v>43</v>
      </c>
      <c r="J318">
        <v>64.150000000000006</v>
      </c>
      <c r="K318" s="238" t="s">
        <v>36</v>
      </c>
      <c r="L318">
        <v>3261591.1</v>
      </c>
      <c r="M318">
        <v>0</v>
      </c>
      <c r="N318">
        <v>3261591.1</v>
      </c>
      <c r="O318">
        <v>50843.197194076383</v>
      </c>
      <c r="P318">
        <v>32075</v>
      </c>
      <c r="Q318">
        <v>3229516.1</v>
      </c>
      <c r="R318">
        <v>50343.197194076383</v>
      </c>
      <c r="S318" s="238" t="s">
        <v>137</v>
      </c>
      <c r="T318" s="238" t="s">
        <v>3515</v>
      </c>
      <c r="U318">
        <v>60000</v>
      </c>
      <c r="V318" t="s">
        <v>1167</v>
      </c>
      <c r="W318" s="24">
        <v>44247</v>
      </c>
      <c r="X318" s="238" t="s">
        <v>449</v>
      </c>
      <c r="Y318" s="238" t="s">
        <v>39</v>
      </c>
      <c r="Z318" s="238" t="s">
        <v>1340</v>
      </c>
      <c r="AA318" t="s">
        <v>1167</v>
      </c>
      <c r="AB318" s="238" t="s">
        <v>3246</v>
      </c>
      <c r="AC318" t="s">
        <v>3079</v>
      </c>
      <c r="AD318" s="24"/>
      <c r="AE318" s="238" t="s">
        <v>1783</v>
      </c>
      <c r="AF318">
        <v>79171650806</v>
      </c>
      <c r="AG318" s="238" t="s">
        <v>1784</v>
      </c>
      <c r="AH318" s="238" t="s">
        <v>1171</v>
      </c>
      <c r="AI318" s="238" t="s">
        <v>135</v>
      </c>
      <c r="AJ318" s="238" t="s">
        <v>126</v>
      </c>
      <c r="AK318" s="238" t="s">
        <v>162</v>
      </c>
      <c r="AL318" t="s">
        <v>8715</v>
      </c>
      <c r="AM318" t="s">
        <v>1167</v>
      </c>
    </row>
    <row r="319" spans="1:39" hidden="1" x14ac:dyDescent="0.25">
      <c r="A319">
        <v>315</v>
      </c>
      <c r="B319">
        <v>12</v>
      </c>
      <c r="C319" s="24">
        <v>44247</v>
      </c>
      <c r="D319" s="238" t="s">
        <v>20</v>
      </c>
      <c r="E319" s="238" t="s">
        <v>6</v>
      </c>
      <c r="F319">
        <v>1</v>
      </c>
      <c r="G319">
        <v>15</v>
      </c>
      <c r="H319">
        <v>131</v>
      </c>
      <c r="I319" s="238" t="s">
        <v>4052</v>
      </c>
      <c r="J319">
        <v>32.03</v>
      </c>
      <c r="K319" s="238" t="s">
        <v>36</v>
      </c>
      <c r="L319">
        <v>2109644.2000000002</v>
      </c>
      <c r="M319">
        <v>0</v>
      </c>
      <c r="N319">
        <v>2109644.2000000002</v>
      </c>
      <c r="O319">
        <v>65864.633156415861</v>
      </c>
      <c r="P319">
        <v>16015</v>
      </c>
      <c r="Q319">
        <v>2093629.2000000002</v>
      </c>
      <c r="R319">
        <v>65364.633156415861</v>
      </c>
      <c r="S319" s="238" t="s">
        <v>137</v>
      </c>
      <c r="T319" s="238" t="s">
        <v>1167</v>
      </c>
      <c r="V319" t="s">
        <v>1167</v>
      </c>
      <c r="W319" s="24">
        <v>44247</v>
      </c>
      <c r="X319" s="238" t="s">
        <v>450</v>
      </c>
      <c r="Y319" s="238" t="s">
        <v>39</v>
      </c>
      <c r="Z319" s="238" t="s">
        <v>1340</v>
      </c>
      <c r="AA319" t="s">
        <v>1167</v>
      </c>
      <c r="AB319" s="238" t="s">
        <v>3246</v>
      </c>
      <c r="AC319" t="s">
        <v>3079</v>
      </c>
      <c r="AD319" s="24"/>
      <c r="AE319" s="238" t="s">
        <v>1785</v>
      </c>
      <c r="AF319">
        <v>79277049513</v>
      </c>
      <c r="AG319" s="238" t="s">
        <v>1786</v>
      </c>
      <c r="AH319" s="238" t="s">
        <v>135</v>
      </c>
      <c r="AI319" s="238" t="s">
        <v>135</v>
      </c>
      <c r="AJ319" s="238" t="s">
        <v>399</v>
      </c>
      <c r="AK319" s="238" t="s">
        <v>141</v>
      </c>
      <c r="AL319" t="s">
        <v>8715</v>
      </c>
      <c r="AM319" t="s">
        <v>1167</v>
      </c>
    </row>
    <row r="320" spans="1:39" hidden="1" x14ac:dyDescent="0.25">
      <c r="A320">
        <v>316</v>
      </c>
      <c r="B320">
        <v>13</v>
      </c>
      <c r="C320" s="24">
        <v>44256</v>
      </c>
      <c r="D320" s="238" t="s">
        <v>20</v>
      </c>
      <c r="E320" s="238" t="s">
        <v>5</v>
      </c>
      <c r="F320">
        <v>7</v>
      </c>
      <c r="G320">
        <v>12</v>
      </c>
      <c r="H320">
        <v>227</v>
      </c>
      <c r="I320" s="238" t="s">
        <v>43</v>
      </c>
      <c r="J320">
        <v>63.74</v>
      </c>
      <c r="K320" s="238" t="s">
        <v>36</v>
      </c>
      <c r="L320">
        <v>3202998.74</v>
      </c>
      <c r="M320">
        <v>0</v>
      </c>
      <c r="N320">
        <v>3202998.74</v>
      </c>
      <c r="O320">
        <v>50251</v>
      </c>
      <c r="P320">
        <v>31870</v>
      </c>
      <c r="Q320">
        <v>3171128.74</v>
      </c>
      <c r="R320">
        <v>49751</v>
      </c>
      <c r="S320" s="238" t="s">
        <v>121</v>
      </c>
      <c r="T320" s="238" t="s">
        <v>1167</v>
      </c>
      <c r="V320" t="s">
        <v>1167</v>
      </c>
      <c r="W320" s="24">
        <v>44247</v>
      </c>
      <c r="X320" s="238" t="s">
        <v>451</v>
      </c>
      <c r="Y320" s="238" t="s">
        <v>39</v>
      </c>
      <c r="Z320" s="238" t="s">
        <v>1168</v>
      </c>
      <c r="AA320" t="s">
        <v>1167</v>
      </c>
      <c r="AB320" s="238" t="s">
        <v>3246</v>
      </c>
      <c r="AC320" t="s">
        <v>4246</v>
      </c>
      <c r="AD320" s="24"/>
      <c r="AE320" s="238" t="s">
        <v>1787</v>
      </c>
      <c r="AF320">
        <v>79143736110</v>
      </c>
      <c r="AG320" s="238" t="s">
        <v>1788</v>
      </c>
      <c r="AH320" s="238" t="s">
        <v>1212</v>
      </c>
      <c r="AI320" s="238" t="s">
        <v>3097</v>
      </c>
      <c r="AJ320" s="238" t="s">
        <v>120</v>
      </c>
      <c r="AK320" s="238" t="s">
        <v>1167</v>
      </c>
      <c r="AL320" t="s">
        <v>8715</v>
      </c>
      <c r="AM320" t="s">
        <v>1167</v>
      </c>
    </row>
    <row r="321" spans="1:39" hidden="1" x14ac:dyDescent="0.25">
      <c r="A321">
        <v>317</v>
      </c>
      <c r="B321">
        <v>14</v>
      </c>
      <c r="C321" s="24">
        <v>44251</v>
      </c>
      <c r="D321" s="238" t="s">
        <v>20</v>
      </c>
      <c r="E321" s="238" t="s">
        <v>5</v>
      </c>
      <c r="F321">
        <v>6</v>
      </c>
      <c r="G321">
        <v>14</v>
      </c>
      <c r="H321">
        <v>240</v>
      </c>
      <c r="I321" s="238" t="s">
        <v>43</v>
      </c>
      <c r="J321">
        <v>64.150000000000006</v>
      </c>
      <c r="K321" s="238" t="s">
        <v>36</v>
      </c>
      <c r="L321">
        <v>3316566</v>
      </c>
      <c r="M321">
        <v>0</v>
      </c>
      <c r="N321">
        <v>3316566</v>
      </c>
      <c r="O321">
        <v>51700.171473109891</v>
      </c>
      <c r="P321">
        <v>32075</v>
      </c>
      <c r="Q321">
        <v>3284491</v>
      </c>
      <c r="R321">
        <v>51200.171473109891</v>
      </c>
      <c r="S321" s="238" t="s">
        <v>137</v>
      </c>
      <c r="T321" s="238" t="s">
        <v>1167</v>
      </c>
      <c r="V321" t="s">
        <v>1167</v>
      </c>
      <c r="W321" s="24">
        <v>44251</v>
      </c>
      <c r="X321" s="238" t="s">
        <v>452</v>
      </c>
      <c r="Y321" s="238" t="s">
        <v>39</v>
      </c>
      <c r="Z321" s="238" t="s">
        <v>1340</v>
      </c>
      <c r="AA321" t="s">
        <v>1167</v>
      </c>
      <c r="AB321" s="238" t="s">
        <v>3246</v>
      </c>
      <c r="AC321" t="s">
        <v>3079</v>
      </c>
      <c r="AD321" s="24"/>
      <c r="AE321" s="238" t="s">
        <v>1789</v>
      </c>
      <c r="AF321">
        <v>79397574225</v>
      </c>
      <c r="AG321" s="238" t="s">
        <v>1790</v>
      </c>
      <c r="AH321" s="238" t="s">
        <v>1171</v>
      </c>
      <c r="AI321" s="238" t="s">
        <v>3074</v>
      </c>
      <c r="AJ321" s="238" t="s">
        <v>399</v>
      </c>
      <c r="AK321" s="238" t="s">
        <v>162</v>
      </c>
      <c r="AL321" t="s">
        <v>8715</v>
      </c>
      <c r="AM321" t="s">
        <v>1167</v>
      </c>
    </row>
    <row r="322" spans="1:39" hidden="1" x14ac:dyDescent="0.25">
      <c r="A322">
        <v>318</v>
      </c>
      <c r="B322">
        <v>15</v>
      </c>
      <c r="C322" s="24">
        <v>44251</v>
      </c>
      <c r="D322" s="238" t="s">
        <v>20</v>
      </c>
      <c r="E322" s="238" t="s">
        <v>5</v>
      </c>
      <c r="F322">
        <v>5</v>
      </c>
      <c r="G322">
        <v>15</v>
      </c>
      <c r="H322">
        <v>246</v>
      </c>
      <c r="I322" s="238" t="s">
        <v>44</v>
      </c>
      <c r="J322">
        <v>78.03</v>
      </c>
      <c r="K322" s="238" t="s">
        <v>36</v>
      </c>
      <c r="L322">
        <v>3913755.78</v>
      </c>
      <c r="M322">
        <v>0</v>
      </c>
      <c r="N322">
        <v>3913755.78</v>
      </c>
      <c r="O322">
        <v>50157.064975009605</v>
      </c>
      <c r="P322">
        <v>39015</v>
      </c>
      <c r="Q322">
        <v>3874740.78</v>
      </c>
      <c r="R322">
        <v>49657.064975009605</v>
      </c>
      <c r="S322" s="238" t="s">
        <v>137</v>
      </c>
      <c r="T322" s="238" t="s">
        <v>3515</v>
      </c>
      <c r="U322">
        <v>60000</v>
      </c>
      <c r="V322" t="s">
        <v>1167</v>
      </c>
      <c r="W322" s="24">
        <v>44251</v>
      </c>
      <c r="X322" s="238" t="s">
        <v>453</v>
      </c>
      <c r="Y322" s="238" t="s">
        <v>39</v>
      </c>
      <c r="Z322" s="238" t="s">
        <v>1340</v>
      </c>
      <c r="AA322" t="s">
        <v>1167</v>
      </c>
      <c r="AB322" s="238" t="s">
        <v>3246</v>
      </c>
      <c r="AC322" t="s">
        <v>3079</v>
      </c>
      <c r="AD322" s="24"/>
      <c r="AE322" s="238" t="s">
        <v>1791</v>
      </c>
      <c r="AF322">
        <v>79639161511</v>
      </c>
      <c r="AG322" s="238" t="s">
        <v>1792</v>
      </c>
      <c r="AH322" s="238" t="s">
        <v>1212</v>
      </c>
      <c r="AI322" s="238" t="s">
        <v>3088</v>
      </c>
      <c r="AJ322" s="238" t="s">
        <v>126</v>
      </c>
      <c r="AK322" s="238" t="s">
        <v>162</v>
      </c>
      <c r="AL322" t="s">
        <v>8715</v>
      </c>
      <c r="AM322" t="s">
        <v>1167</v>
      </c>
    </row>
    <row r="323" spans="1:39" hidden="1" x14ac:dyDescent="0.25">
      <c r="A323">
        <v>319</v>
      </c>
      <c r="B323">
        <v>16</v>
      </c>
      <c r="C323" s="24">
        <v>44253</v>
      </c>
      <c r="D323" s="238" t="s">
        <v>20</v>
      </c>
      <c r="E323" s="238" t="s">
        <v>6</v>
      </c>
      <c r="F323">
        <v>10</v>
      </c>
      <c r="G323">
        <v>15</v>
      </c>
      <c r="H323">
        <v>140</v>
      </c>
      <c r="I323" s="238" t="s">
        <v>43</v>
      </c>
      <c r="J323">
        <v>65.88</v>
      </c>
      <c r="K323" s="238" t="s">
        <v>36</v>
      </c>
      <c r="L323">
        <v>3344409.4</v>
      </c>
      <c r="M323">
        <v>15000</v>
      </c>
      <c r="N323">
        <v>3359409.4</v>
      </c>
      <c r="O323">
        <v>50992.856709168183</v>
      </c>
      <c r="P323">
        <v>32940</v>
      </c>
      <c r="Q323">
        <v>3326469.4</v>
      </c>
      <c r="R323">
        <v>50492.856709168183</v>
      </c>
      <c r="S323" s="238" t="s">
        <v>137</v>
      </c>
      <c r="T323" s="238" t="s">
        <v>1167</v>
      </c>
      <c r="V323" t="s">
        <v>1167</v>
      </c>
      <c r="W323" s="24">
        <v>44251</v>
      </c>
      <c r="X323" s="238" t="s">
        <v>454</v>
      </c>
      <c r="Y323" s="238" t="s">
        <v>39</v>
      </c>
      <c r="Z323" s="238" t="s">
        <v>1340</v>
      </c>
      <c r="AA323" t="s">
        <v>1167</v>
      </c>
      <c r="AB323" s="238" t="s">
        <v>3246</v>
      </c>
      <c r="AC323" t="s">
        <v>3079</v>
      </c>
      <c r="AD323" s="24"/>
      <c r="AE323" s="238" t="s">
        <v>1793</v>
      </c>
      <c r="AF323">
        <v>79277646666</v>
      </c>
      <c r="AG323" s="238" t="s">
        <v>1794</v>
      </c>
      <c r="AH323" s="238" t="s">
        <v>1212</v>
      </c>
      <c r="AI323" s="238" t="s">
        <v>135</v>
      </c>
      <c r="AJ323" s="238" t="s">
        <v>120</v>
      </c>
      <c r="AK323" s="238" t="s">
        <v>141</v>
      </c>
      <c r="AL323" t="s">
        <v>8715</v>
      </c>
      <c r="AM323" t="s">
        <v>1167</v>
      </c>
    </row>
    <row r="324" spans="1:39" hidden="1" x14ac:dyDescent="0.25">
      <c r="A324">
        <v>320</v>
      </c>
      <c r="B324">
        <v>1</v>
      </c>
      <c r="C324" s="24">
        <v>44287</v>
      </c>
      <c r="D324" s="238" t="s">
        <v>19</v>
      </c>
      <c r="E324" s="238" t="s">
        <v>6</v>
      </c>
      <c r="F324">
        <v>2</v>
      </c>
      <c r="G324">
        <v>21</v>
      </c>
      <c r="H324">
        <v>135</v>
      </c>
      <c r="I324" s="238" t="s">
        <v>43</v>
      </c>
      <c r="J324">
        <v>58.99</v>
      </c>
      <c r="K324" s="238" t="s">
        <v>37</v>
      </c>
      <c r="L324">
        <v>2812230.27</v>
      </c>
      <c r="M324">
        <v>0</v>
      </c>
      <c r="N324">
        <v>2812230.27</v>
      </c>
      <c r="O324">
        <v>47673</v>
      </c>
      <c r="P324">
        <v>265455</v>
      </c>
      <c r="Q324">
        <v>2546775.27</v>
      </c>
      <c r="R324">
        <v>43173</v>
      </c>
      <c r="S324" s="238" t="s">
        <v>124</v>
      </c>
      <c r="T324" s="238" t="s">
        <v>1167</v>
      </c>
      <c r="V324" t="s">
        <v>1167</v>
      </c>
      <c r="W324" s="24">
        <v>44258</v>
      </c>
      <c r="X324" s="238" t="s">
        <v>456</v>
      </c>
      <c r="Y324" s="238" t="s">
        <v>39</v>
      </c>
      <c r="Z324" s="238" t="s">
        <v>1168</v>
      </c>
      <c r="AA324" t="s">
        <v>1167</v>
      </c>
      <c r="AB324" s="238" t="s">
        <v>3246</v>
      </c>
      <c r="AC324" t="s">
        <v>4246</v>
      </c>
      <c r="AD324" s="24"/>
      <c r="AE324" s="238" t="s">
        <v>1825</v>
      </c>
      <c r="AF324">
        <v>79171056528</v>
      </c>
      <c r="AG324" s="238" t="s">
        <v>1826</v>
      </c>
      <c r="AH324" s="238" t="s">
        <v>1171</v>
      </c>
      <c r="AI324" s="238" t="s">
        <v>3074</v>
      </c>
      <c r="AJ324" s="238" t="s">
        <v>126</v>
      </c>
      <c r="AK324" s="238" t="s">
        <v>1167</v>
      </c>
      <c r="AL324" t="s">
        <v>8715</v>
      </c>
      <c r="AM324" t="s">
        <v>1167</v>
      </c>
    </row>
    <row r="325" spans="1:39" hidden="1" x14ac:dyDescent="0.25">
      <c r="A325">
        <v>321</v>
      </c>
      <c r="B325">
        <v>2</v>
      </c>
      <c r="C325" s="24">
        <v>44258</v>
      </c>
      <c r="D325" s="238" t="s">
        <v>20</v>
      </c>
      <c r="E325" s="238" t="s">
        <v>5</v>
      </c>
      <c r="F325">
        <v>6</v>
      </c>
      <c r="G325">
        <v>12</v>
      </c>
      <c r="H325">
        <v>226</v>
      </c>
      <c r="I325" s="238" t="s">
        <v>43</v>
      </c>
      <c r="J325">
        <v>64.150000000000006</v>
      </c>
      <c r="K325" s="238" t="s">
        <v>36</v>
      </c>
      <c r="L325">
        <v>3223601.65</v>
      </c>
      <c r="M325">
        <v>0</v>
      </c>
      <c r="N325">
        <v>3223601.65</v>
      </c>
      <c r="O325">
        <v>50250.999999999993</v>
      </c>
      <c r="P325">
        <v>32075</v>
      </c>
      <c r="Q325">
        <v>3191526.65</v>
      </c>
      <c r="R325">
        <v>49750.999999999993</v>
      </c>
      <c r="S325" s="238" t="s">
        <v>137</v>
      </c>
      <c r="T325" s="238" t="s">
        <v>1167</v>
      </c>
      <c r="V325" t="s">
        <v>1167</v>
      </c>
      <c r="W325" s="24">
        <v>44258</v>
      </c>
      <c r="X325" s="238" t="s">
        <v>455</v>
      </c>
      <c r="Y325" s="238" t="s">
        <v>39</v>
      </c>
      <c r="Z325" s="238" t="s">
        <v>1168</v>
      </c>
      <c r="AA325" t="s">
        <v>1167</v>
      </c>
      <c r="AB325" s="238" t="s">
        <v>3246</v>
      </c>
      <c r="AC325" t="s">
        <v>3079</v>
      </c>
      <c r="AD325" s="24"/>
      <c r="AE325" s="238" t="s">
        <v>1795</v>
      </c>
      <c r="AF325">
        <v>79093701855</v>
      </c>
      <c r="AG325" s="238" t="s">
        <v>1796</v>
      </c>
      <c r="AH325" s="238" t="s">
        <v>1212</v>
      </c>
      <c r="AI325" s="238" t="s">
        <v>135</v>
      </c>
      <c r="AJ325" s="238" t="s">
        <v>130</v>
      </c>
      <c r="AK325" s="238" t="s">
        <v>141</v>
      </c>
      <c r="AL325" t="s">
        <v>8715</v>
      </c>
      <c r="AM325" t="s">
        <v>1167</v>
      </c>
    </row>
    <row r="326" spans="1:39" hidden="1" x14ac:dyDescent="0.25">
      <c r="A326">
        <v>322</v>
      </c>
      <c r="B326">
        <v>3</v>
      </c>
      <c r="C326" s="24">
        <v>44261</v>
      </c>
      <c r="D326" s="238" t="s">
        <v>20</v>
      </c>
      <c r="E326" s="238" t="s">
        <v>16</v>
      </c>
      <c r="F326">
        <v>8</v>
      </c>
      <c r="G326">
        <v>7</v>
      </c>
      <c r="H326">
        <v>359</v>
      </c>
      <c r="I326" s="238" t="s">
        <v>43</v>
      </c>
      <c r="J326">
        <v>60.25</v>
      </c>
      <c r="K326" s="238" t="s">
        <v>36</v>
      </c>
      <c r="L326">
        <v>3179272</v>
      </c>
      <c r="M326">
        <v>0</v>
      </c>
      <c r="N326">
        <v>3179272</v>
      </c>
      <c r="O326">
        <v>52768</v>
      </c>
      <c r="P326">
        <v>30125</v>
      </c>
      <c r="Q326">
        <v>3149147</v>
      </c>
      <c r="R326">
        <v>52268</v>
      </c>
      <c r="S326" s="238" t="s">
        <v>137</v>
      </c>
      <c r="T326" s="238" t="s">
        <v>1167</v>
      </c>
      <c r="V326" t="s">
        <v>1167</v>
      </c>
      <c r="W326" s="24">
        <v>44261</v>
      </c>
      <c r="X326" s="238" t="s">
        <v>457</v>
      </c>
      <c r="Y326" s="238" t="s">
        <v>39</v>
      </c>
      <c r="Z326" s="238" t="s">
        <v>1168</v>
      </c>
      <c r="AA326" t="s">
        <v>1167</v>
      </c>
      <c r="AB326" s="238" t="s">
        <v>3246</v>
      </c>
      <c r="AC326" t="s">
        <v>3079</v>
      </c>
      <c r="AD326" s="24"/>
      <c r="AE326" s="238" t="s">
        <v>1797</v>
      </c>
      <c r="AF326">
        <v>79371885942</v>
      </c>
      <c r="AG326" s="238" t="s">
        <v>1798</v>
      </c>
      <c r="AH326" s="238" t="s">
        <v>1212</v>
      </c>
      <c r="AI326" s="238" t="s">
        <v>135</v>
      </c>
      <c r="AJ326" s="238" t="s">
        <v>399</v>
      </c>
      <c r="AK326" s="238" t="s">
        <v>141</v>
      </c>
      <c r="AL326" t="s">
        <v>8715</v>
      </c>
      <c r="AM326" t="s">
        <v>1167</v>
      </c>
    </row>
    <row r="327" spans="1:39" hidden="1" x14ac:dyDescent="0.25">
      <c r="A327">
        <v>323</v>
      </c>
      <c r="B327">
        <v>4</v>
      </c>
      <c r="C327" s="24">
        <v>44264</v>
      </c>
      <c r="D327" s="238" t="s">
        <v>20</v>
      </c>
      <c r="E327" s="238" t="s">
        <v>5</v>
      </c>
      <c r="F327">
        <v>3</v>
      </c>
      <c r="G327">
        <v>6</v>
      </c>
      <c r="H327">
        <v>181</v>
      </c>
      <c r="I327" s="238" t="s">
        <v>42</v>
      </c>
      <c r="J327">
        <v>41.48</v>
      </c>
      <c r="K327" s="238" t="s">
        <v>36</v>
      </c>
      <c r="L327">
        <v>2476473.6</v>
      </c>
      <c r="M327">
        <v>15000</v>
      </c>
      <c r="N327">
        <v>2491473.6</v>
      </c>
      <c r="O327">
        <v>60064.455159112833</v>
      </c>
      <c r="P327">
        <v>20740</v>
      </c>
      <c r="Q327">
        <v>2470733.6</v>
      </c>
      <c r="R327">
        <v>59564.455159112833</v>
      </c>
      <c r="S327" s="238" t="s">
        <v>137</v>
      </c>
      <c r="T327" s="238" t="s">
        <v>1167</v>
      </c>
      <c r="V327" t="s">
        <v>1167</v>
      </c>
      <c r="W327" s="24">
        <v>44264</v>
      </c>
      <c r="X327" s="238" t="s">
        <v>458</v>
      </c>
      <c r="Y327" s="238" t="s">
        <v>39</v>
      </c>
      <c r="Z327" s="238" t="s">
        <v>1168</v>
      </c>
      <c r="AA327" t="s">
        <v>1167</v>
      </c>
      <c r="AB327" s="238" t="s">
        <v>3246</v>
      </c>
      <c r="AC327" t="s">
        <v>3076</v>
      </c>
      <c r="AD327" s="24"/>
      <c r="AE327" s="238" t="s">
        <v>1799</v>
      </c>
      <c r="AF327">
        <v>79372005475</v>
      </c>
      <c r="AG327" s="238" t="s">
        <v>1800</v>
      </c>
      <c r="AH327" s="238" t="s">
        <v>1212</v>
      </c>
      <c r="AI327" s="238" t="s">
        <v>3085</v>
      </c>
      <c r="AJ327" s="238" t="s">
        <v>120</v>
      </c>
      <c r="AK327" s="238" t="s">
        <v>141</v>
      </c>
      <c r="AL327" t="s">
        <v>8715</v>
      </c>
      <c r="AM327" t="s">
        <v>1167</v>
      </c>
    </row>
    <row r="328" spans="1:39" hidden="1" x14ac:dyDescent="0.25">
      <c r="A328">
        <v>324</v>
      </c>
      <c r="B328">
        <v>5</v>
      </c>
      <c r="C328" s="24">
        <v>44271</v>
      </c>
      <c r="D328" s="238" t="s">
        <v>20</v>
      </c>
      <c r="E328" s="238" t="s">
        <v>5</v>
      </c>
      <c r="F328">
        <v>1</v>
      </c>
      <c r="G328">
        <v>14</v>
      </c>
      <c r="H328">
        <v>235</v>
      </c>
      <c r="I328" s="238" t="s">
        <v>44</v>
      </c>
      <c r="J328">
        <v>89.56</v>
      </c>
      <c r="K328" s="238" t="s">
        <v>37</v>
      </c>
      <c r="L328">
        <v>4820298.32</v>
      </c>
      <c r="M328">
        <v>0</v>
      </c>
      <c r="N328">
        <v>4820298.32</v>
      </c>
      <c r="O328">
        <v>53822</v>
      </c>
      <c r="P328">
        <v>420932</v>
      </c>
      <c r="Q328">
        <v>4399366.32</v>
      </c>
      <c r="R328">
        <v>49122</v>
      </c>
      <c r="S328" s="238" t="s">
        <v>137</v>
      </c>
      <c r="T328" s="238" t="s">
        <v>1167</v>
      </c>
      <c r="V328" t="s">
        <v>1167</v>
      </c>
      <c r="W328" s="24">
        <v>44271</v>
      </c>
      <c r="X328" s="238" t="s">
        <v>459</v>
      </c>
      <c r="Y328" s="238" t="s">
        <v>39</v>
      </c>
      <c r="Z328" s="238" t="s">
        <v>1168</v>
      </c>
      <c r="AA328" t="s">
        <v>1167</v>
      </c>
      <c r="AB328" s="238" t="s">
        <v>3246</v>
      </c>
      <c r="AC328" t="s">
        <v>3079</v>
      </c>
      <c r="AD328" s="24"/>
      <c r="AE328" s="238" t="s">
        <v>1801</v>
      </c>
      <c r="AF328">
        <v>79124220104</v>
      </c>
      <c r="AG328" s="238" t="s">
        <v>1802</v>
      </c>
      <c r="AH328" s="238" t="s">
        <v>1212</v>
      </c>
      <c r="AI328" s="238" t="s">
        <v>3099</v>
      </c>
      <c r="AJ328" s="238" t="s">
        <v>120</v>
      </c>
      <c r="AK328" s="238" t="s">
        <v>141</v>
      </c>
      <c r="AL328" t="s">
        <v>8715</v>
      </c>
      <c r="AM328" t="s">
        <v>7674</v>
      </c>
    </row>
    <row r="329" spans="1:39" hidden="1" x14ac:dyDescent="0.25">
      <c r="A329">
        <v>325</v>
      </c>
      <c r="B329">
        <v>6</v>
      </c>
      <c r="C329" s="24">
        <v>44273</v>
      </c>
      <c r="D329" s="238" t="s">
        <v>20</v>
      </c>
      <c r="E329" s="238" t="s">
        <v>5</v>
      </c>
      <c r="F329">
        <v>7</v>
      </c>
      <c r="G329">
        <v>16</v>
      </c>
      <c r="H329">
        <v>255</v>
      </c>
      <c r="I329" s="238" t="s">
        <v>43</v>
      </c>
      <c r="J329">
        <v>63.74</v>
      </c>
      <c r="K329" s="238" t="s">
        <v>37</v>
      </c>
      <c r="L329">
        <v>3470706.74</v>
      </c>
      <c r="M329">
        <v>0</v>
      </c>
      <c r="N329">
        <v>3470706.74</v>
      </c>
      <c r="O329">
        <v>54451</v>
      </c>
      <c r="P329">
        <v>299578</v>
      </c>
      <c r="Q329">
        <v>3171128.74</v>
      </c>
      <c r="R329">
        <v>49751</v>
      </c>
      <c r="S329" s="238" t="s">
        <v>137</v>
      </c>
      <c r="T329" s="238" t="s">
        <v>1167</v>
      </c>
      <c r="V329" t="s">
        <v>1167</v>
      </c>
      <c r="W329" s="24">
        <v>44273</v>
      </c>
      <c r="X329" s="238" t="s">
        <v>460</v>
      </c>
      <c r="Y329" s="238" t="s">
        <v>39</v>
      </c>
      <c r="Z329" s="238" t="s">
        <v>1168</v>
      </c>
      <c r="AA329" t="s">
        <v>1167</v>
      </c>
      <c r="AB329" s="238" t="s">
        <v>3246</v>
      </c>
      <c r="AC329" t="s">
        <v>3079</v>
      </c>
      <c r="AD329" s="24"/>
      <c r="AE329" s="238" t="s">
        <v>1803</v>
      </c>
      <c r="AF329">
        <v>79275336687</v>
      </c>
      <c r="AG329" s="238" t="s">
        <v>1804</v>
      </c>
      <c r="AH329" s="238" t="s">
        <v>1212</v>
      </c>
      <c r="AI329" s="238" t="s">
        <v>135</v>
      </c>
      <c r="AJ329" s="238" t="s">
        <v>120</v>
      </c>
      <c r="AK329" s="238" t="s">
        <v>141</v>
      </c>
      <c r="AL329" t="s">
        <v>8715</v>
      </c>
      <c r="AM329" t="s">
        <v>7674</v>
      </c>
    </row>
    <row r="330" spans="1:39" hidden="1" x14ac:dyDescent="0.25">
      <c r="A330">
        <v>326</v>
      </c>
      <c r="B330">
        <v>7</v>
      </c>
      <c r="C330" s="24">
        <v>44273</v>
      </c>
      <c r="D330" s="238" t="s">
        <v>20</v>
      </c>
      <c r="E330" s="238" t="s">
        <v>6</v>
      </c>
      <c r="F330">
        <v>10</v>
      </c>
      <c r="G330">
        <v>5</v>
      </c>
      <c r="H330">
        <v>40</v>
      </c>
      <c r="I330" s="238" t="s">
        <v>43</v>
      </c>
      <c r="J330">
        <v>65.540000000000006</v>
      </c>
      <c r="K330" s="238" t="s">
        <v>36</v>
      </c>
      <c r="L330">
        <v>3252225.88</v>
      </c>
      <c r="M330">
        <v>0</v>
      </c>
      <c r="N330">
        <v>3252225.88</v>
      </c>
      <c r="O330">
        <v>49621.999999999993</v>
      </c>
      <c r="P330">
        <v>32770</v>
      </c>
      <c r="Q330">
        <v>3219455.88</v>
      </c>
      <c r="R330">
        <v>49121.999999999993</v>
      </c>
      <c r="S330" s="238" t="s">
        <v>121</v>
      </c>
      <c r="T330" s="238" t="s">
        <v>1167</v>
      </c>
      <c r="V330" t="s">
        <v>1167</v>
      </c>
      <c r="W330" s="24">
        <v>44273</v>
      </c>
      <c r="X330" s="238" t="s">
        <v>461</v>
      </c>
      <c r="Y330" s="238" t="s">
        <v>39</v>
      </c>
      <c r="Z330" s="238" t="s">
        <v>1168</v>
      </c>
      <c r="AA330" t="s">
        <v>1167</v>
      </c>
      <c r="AB330" s="238" t="s">
        <v>3246</v>
      </c>
      <c r="AC330" t="s">
        <v>4246</v>
      </c>
      <c r="AD330" s="24"/>
      <c r="AE330" s="238" t="s">
        <v>1805</v>
      </c>
      <c r="AF330">
        <v>79171612574</v>
      </c>
      <c r="AG330" s="238" t="s">
        <v>1806</v>
      </c>
      <c r="AH330" s="238" t="s">
        <v>1171</v>
      </c>
      <c r="AI330" s="238" t="s">
        <v>135</v>
      </c>
      <c r="AJ330" s="238" t="s">
        <v>120</v>
      </c>
      <c r="AK330" s="238" t="s">
        <v>1167</v>
      </c>
      <c r="AL330" t="s">
        <v>8715</v>
      </c>
      <c r="AM330" t="s">
        <v>1167</v>
      </c>
    </row>
    <row r="331" spans="1:39" hidden="1" x14ac:dyDescent="0.25">
      <c r="A331">
        <v>327</v>
      </c>
      <c r="B331">
        <v>8</v>
      </c>
      <c r="C331" s="24">
        <v>44287</v>
      </c>
      <c r="D331" s="238" t="s">
        <v>20</v>
      </c>
      <c r="E331" s="238" t="s">
        <v>5</v>
      </c>
      <c r="F331">
        <v>1</v>
      </c>
      <c r="G331">
        <v>11</v>
      </c>
      <c r="H331">
        <v>214</v>
      </c>
      <c r="I331" s="238" t="s">
        <v>44</v>
      </c>
      <c r="J331">
        <v>89.56</v>
      </c>
      <c r="K331" s="238" t="s">
        <v>36</v>
      </c>
      <c r="L331">
        <v>4271390.28</v>
      </c>
      <c r="M331">
        <v>0</v>
      </c>
      <c r="N331">
        <v>4271390.28</v>
      </c>
      <c r="O331">
        <v>47693.058061634663</v>
      </c>
      <c r="P331">
        <v>44780</v>
      </c>
      <c r="Q331">
        <v>4226610.28</v>
      </c>
      <c r="R331">
        <v>47193.058061634663</v>
      </c>
      <c r="S331" s="238" t="s">
        <v>137</v>
      </c>
      <c r="T331" s="238" t="s">
        <v>3515</v>
      </c>
      <c r="U331">
        <v>60000</v>
      </c>
      <c r="V331" t="s">
        <v>1167</v>
      </c>
      <c r="W331" s="24">
        <v>44287</v>
      </c>
      <c r="X331" s="238" t="s">
        <v>462</v>
      </c>
      <c r="Y331" s="238" t="s">
        <v>39</v>
      </c>
      <c r="Z331" s="238" t="s">
        <v>1168</v>
      </c>
      <c r="AA331" t="s">
        <v>1167</v>
      </c>
      <c r="AB331" s="238" t="s">
        <v>3246</v>
      </c>
      <c r="AC331" t="s">
        <v>3108</v>
      </c>
      <c r="AD331" s="24"/>
      <c r="AE331" s="238" t="s">
        <v>1807</v>
      </c>
      <c r="AF331">
        <v>79991728999</v>
      </c>
      <c r="AG331" s="238" t="s">
        <v>1808</v>
      </c>
      <c r="AH331" s="238" t="s">
        <v>1212</v>
      </c>
      <c r="AI331" s="238" t="s">
        <v>3074</v>
      </c>
      <c r="AJ331" s="238" t="s">
        <v>126</v>
      </c>
      <c r="AK331" s="238" t="s">
        <v>141</v>
      </c>
      <c r="AL331" t="s">
        <v>8715</v>
      </c>
      <c r="AM331" t="s">
        <v>1167</v>
      </c>
    </row>
    <row r="332" spans="1:39" hidden="1" x14ac:dyDescent="0.25">
      <c r="A332">
        <v>328</v>
      </c>
      <c r="B332">
        <v>9</v>
      </c>
      <c r="C332" s="24">
        <v>44274</v>
      </c>
      <c r="D332" s="238" t="s">
        <v>20</v>
      </c>
      <c r="E332" s="238" t="s">
        <v>6</v>
      </c>
      <c r="F332">
        <v>3</v>
      </c>
      <c r="G332">
        <v>7</v>
      </c>
      <c r="H332">
        <v>53</v>
      </c>
      <c r="I332" s="238" t="s">
        <v>43</v>
      </c>
      <c r="J332">
        <v>67.16</v>
      </c>
      <c r="K332" s="238" t="s">
        <v>36</v>
      </c>
      <c r="L332">
        <v>3374857.16</v>
      </c>
      <c r="M332">
        <v>0</v>
      </c>
      <c r="N332">
        <v>3374857.16</v>
      </c>
      <c r="O332">
        <v>50251.000000000007</v>
      </c>
      <c r="P332">
        <v>33580</v>
      </c>
      <c r="Q332">
        <v>3341277.16</v>
      </c>
      <c r="R332">
        <v>49751.000000000007</v>
      </c>
      <c r="S332" s="238" t="s">
        <v>137</v>
      </c>
      <c r="T332" s="238" t="s">
        <v>1167</v>
      </c>
      <c r="V332" t="s">
        <v>1167</v>
      </c>
      <c r="W332" s="24">
        <v>44274</v>
      </c>
      <c r="X332" s="238" t="s">
        <v>463</v>
      </c>
      <c r="Y332" s="238" t="s">
        <v>39</v>
      </c>
      <c r="Z332" s="238" t="s">
        <v>1168</v>
      </c>
      <c r="AA332" t="s">
        <v>1167</v>
      </c>
      <c r="AB332" s="238" t="s">
        <v>3246</v>
      </c>
      <c r="AC332" t="s">
        <v>3079</v>
      </c>
      <c r="AD332" s="24"/>
      <c r="AE332" s="238" t="s">
        <v>1809</v>
      </c>
      <c r="AF332">
        <v>79226202514</v>
      </c>
      <c r="AG332" s="238" t="s">
        <v>1810</v>
      </c>
      <c r="AH332" s="238" t="s">
        <v>1171</v>
      </c>
      <c r="AI332" s="238" t="s">
        <v>135</v>
      </c>
      <c r="AJ332" s="238" t="s">
        <v>120</v>
      </c>
      <c r="AK332" s="238" t="s">
        <v>141</v>
      </c>
      <c r="AL332" t="s">
        <v>8715</v>
      </c>
      <c r="AM332" t="s">
        <v>1167</v>
      </c>
    </row>
    <row r="333" spans="1:39" hidden="1" x14ac:dyDescent="0.25">
      <c r="A333">
        <v>329</v>
      </c>
      <c r="B333">
        <v>10</v>
      </c>
      <c r="C333" s="24">
        <v>44275</v>
      </c>
      <c r="D333" s="238" t="s">
        <v>20</v>
      </c>
      <c r="E333" s="238" t="s">
        <v>6</v>
      </c>
      <c r="F333">
        <v>3</v>
      </c>
      <c r="G333">
        <v>3</v>
      </c>
      <c r="H333">
        <v>13</v>
      </c>
      <c r="I333" s="238" t="s">
        <v>43</v>
      </c>
      <c r="J333">
        <v>67.16</v>
      </c>
      <c r="K333" s="238" t="s">
        <v>36</v>
      </c>
      <c r="L333">
        <v>3359857.16</v>
      </c>
      <c r="M333">
        <v>15000</v>
      </c>
      <c r="N333">
        <v>3374857.16</v>
      </c>
      <c r="O333">
        <v>50251.000000000007</v>
      </c>
      <c r="P333">
        <v>33580</v>
      </c>
      <c r="Q333">
        <v>3341277.16</v>
      </c>
      <c r="R333">
        <v>49751.000000000007</v>
      </c>
      <c r="S333" s="238" t="s">
        <v>137</v>
      </c>
      <c r="T333" s="238" t="s">
        <v>1167</v>
      </c>
      <c r="V333" t="s">
        <v>1167</v>
      </c>
      <c r="W333" s="24">
        <v>44275</v>
      </c>
      <c r="X333" s="238" t="s">
        <v>464</v>
      </c>
      <c r="Y333" s="238" t="s">
        <v>39</v>
      </c>
      <c r="Z333" s="238" t="s">
        <v>1168</v>
      </c>
      <c r="AA333" t="s">
        <v>1167</v>
      </c>
      <c r="AB333" s="238" t="s">
        <v>3246</v>
      </c>
      <c r="AC333" t="s">
        <v>3079</v>
      </c>
      <c r="AD333" s="24"/>
      <c r="AE333" s="238" t="s">
        <v>1811</v>
      </c>
      <c r="AF333">
        <v>79325573007</v>
      </c>
      <c r="AG333" s="238" t="s">
        <v>1812</v>
      </c>
      <c r="AH333" s="238" t="s">
        <v>1171</v>
      </c>
      <c r="AI333" s="238" t="s">
        <v>3075</v>
      </c>
      <c r="AJ333" s="238" t="s">
        <v>120</v>
      </c>
      <c r="AK333" s="238" t="s">
        <v>141</v>
      </c>
      <c r="AL333" t="s">
        <v>8715</v>
      </c>
      <c r="AM333" t="s">
        <v>1167</v>
      </c>
    </row>
    <row r="334" spans="1:39" hidden="1" x14ac:dyDescent="0.25">
      <c r="A334">
        <v>330</v>
      </c>
      <c r="B334">
        <v>11</v>
      </c>
      <c r="C334" s="24">
        <v>44278</v>
      </c>
      <c r="D334" s="238" t="s">
        <v>20</v>
      </c>
      <c r="E334" s="238" t="s">
        <v>6</v>
      </c>
      <c r="F334">
        <v>1</v>
      </c>
      <c r="G334">
        <v>11</v>
      </c>
      <c r="H334">
        <v>91</v>
      </c>
      <c r="I334" s="238" t="s">
        <v>4052</v>
      </c>
      <c r="J334">
        <v>32.03</v>
      </c>
      <c r="K334" s="238" t="s">
        <v>37</v>
      </c>
      <c r="L334">
        <v>2142636.89</v>
      </c>
      <c r="M334">
        <v>15000</v>
      </c>
      <c r="N334">
        <v>2157636.89</v>
      </c>
      <c r="O334">
        <v>67363</v>
      </c>
      <c r="P334">
        <v>150541</v>
      </c>
      <c r="Q334">
        <v>2007095.8900000001</v>
      </c>
      <c r="R334">
        <v>62663</v>
      </c>
      <c r="S334" s="238" t="s">
        <v>137</v>
      </c>
      <c r="T334" s="238" t="s">
        <v>1167</v>
      </c>
      <c r="V334" t="s">
        <v>1167</v>
      </c>
      <c r="W334" s="24">
        <v>44278</v>
      </c>
      <c r="X334" s="238" t="s">
        <v>465</v>
      </c>
      <c r="Y334" s="238" t="s">
        <v>39</v>
      </c>
      <c r="Z334" s="238" t="s">
        <v>1168</v>
      </c>
      <c r="AA334" t="s">
        <v>1167</v>
      </c>
      <c r="AB334" s="238" t="s">
        <v>3246</v>
      </c>
      <c r="AC334" t="s">
        <v>3079</v>
      </c>
      <c r="AD334" s="24"/>
      <c r="AE334" s="238" t="s">
        <v>1813</v>
      </c>
      <c r="AF334">
        <v>79279082042</v>
      </c>
      <c r="AG334" s="238" t="s">
        <v>1814</v>
      </c>
      <c r="AH334" s="238" t="s">
        <v>1171</v>
      </c>
      <c r="AI334" s="238" t="s">
        <v>135</v>
      </c>
      <c r="AJ334" s="238" t="s">
        <v>120</v>
      </c>
      <c r="AK334" s="238" t="s">
        <v>141</v>
      </c>
      <c r="AL334" t="s">
        <v>8715</v>
      </c>
      <c r="AM334" t="s">
        <v>1167</v>
      </c>
    </row>
    <row r="335" spans="1:39" hidden="1" x14ac:dyDescent="0.25">
      <c r="A335">
        <v>331</v>
      </c>
      <c r="B335">
        <v>12</v>
      </c>
      <c r="C335" s="24">
        <v>44279</v>
      </c>
      <c r="D335" s="238" t="s">
        <v>20</v>
      </c>
      <c r="E335" s="238" t="s">
        <v>6</v>
      </c>
      <c r="F335">
        <v>7</v>
      </c>
      <c r="G335">
        <v>4</v>
      </c>
      <c r="H335">
        <v>27</v>
      </c>
      <c r="I335" s="238" t="s">
        <v>42</v>
      </c>
      <c r="J335">
        <v>42.32</v>
      </c>
      <c r="K335" s="238" t="s">
        <v>36</v>
      </c>
      <c r="L335">
        <v>2488416</v>
      </c>
      <c r="M335">
        <v>0</v>
      </c>
      <c r="N335">
        <v>2488416</v>
      </c>
      <c r="O335">
        <v>58800</v>
      </c>
      <c r="P335">
        <v>0</v>
      </c>
      <c r="Q335">
        <v>2488416</v>
      </c>
      <c r="R335">
        <v>58800</v>
      </c>
      <c r="S335" s="238" t="s">
        <v>137</v>
      </c>
      <c r="T335" s="238" t="s">
        <v>3536</v>
      </c>
      <c r="U335">
        <v>50784</v>
      </c>
      <c r="V335" t="s">
        <v>1167</v>
      </c>
      <c r="W335" s="24">
        <v>44273</v>
      </c>
      <c r="X335" s="238" t="s">
        <v>178</v>
      </c>
      <c r="Y335" s="238" t="s">
        <v>39</v>
      </c>
      <c r="Z335" s="238" t="s">
        <v>1168</v>
      </c>
      <c r="AA335" t="s">
        <v>1167</v>
      </c>
      <c r="AB335" s="238" t="s">
        <v>3246</v>
      </c>
      <c r="AC335" t="s">
        <v>3079</v>
      </c>
      <c r="AD335" s="24"/>
      <c r="AE335" s="238" t="s">
        <v>1815</v>
      </c>
      <c r="AF335">
        <v>79171439576</v>
      </c>
      <c r="AG335" s="238" t="s">
        <v>1816</v>
      </c>
      <c r="AH335" s="238" t="s">
        <v>1212</v>
      </c>
      <c r="AI335" s="238" t="s">
        <v>3102</v>
      </c>
      <c r="AJ335" s="238" t="s">
        <v>399</v>
      </c>
      <c r="AK335" s="238" t="s">
        <v>141</v>
      </c>
      <c r="AL335" t="s">
        <v>8715</v>
      </c>
      <c r="AM335" t="s">
        <v>1167</v>
      </c>
    </row>
    <row r="336" spans="1:39" hidden="1" x14ac:dyDescent="0.25">
      <c r="A336">
        <v>332</v>
      </c>
      <c r="B336">
        <v>13</v>
      </c>
      <c r="C336" s="24">
        <v>44281</v>
      </c>
      <c r="D336" s="238" t="s">
        <v>20</v>
      </c>
      <c r="E336" s="238" t="s">
        <v>6</v>
      </c>
      <c r="F336">
        <v>3</v>
      </c>
      <c r="G336">
        <v>4</v>
      </c>
      <c r="H336">
        <v>23</v>
      </c>
      <c r="I336" s="238" t="s">
        <v>43</v>
      </c>
      <c r="J336">
        <v>67.16</v>
      </c>
      <c r="K336" s="238" t="s">
        <v>36</v>
      </c>
      <c r="L336">
        <v>3359857.16</v>
      </c>
      <c r="M336">
        <v>15000</v>
      </c>
      <c r="N336">
        <v>3374857.16</v>
      </c>
      <c r="O336">
        <v>50251.000000000007</v>
      </c>
      <c r="P336">
        <v>33580</v>
      </c>
      <c r="Q336">
        <v>3341277.16</v>
      </c>
      <c r="R336">
        <v>49751.000000000007</v>
      </c>
      <c r="S336" s="238" t="s">
        <v>137</v>
      </c>
      <c r="T336" s="238" t="s">
        <v>1167</v>
      </c>
      <c r="V336" t="s">
        <v>1167</v>
      </c>
      <c r="W336" s="24">
        <v>44285</v>
      </c>
      <c r="X336" s="238" t="s">
        <v>466</v>
      </c>
      <c r="Y336" s="238" t="s">
        <v>39</v>
      </c>
      <c r="Z336" s="238" t="s">
        <v>1168</v>
      </c>
      <c r="AA336" t="s">
        <v>1167</v>
      </c>
      <c r="AB336" s="238" t="s">
        <v>3246</v>
      </c>
      <c r="AC336" t="s">
        <v>3079</v>
      </c>
      <c r="AD336" s="24"/>
      <c r="AE336" s="238" t="s">
        <v>1817</v>
      </c>
      <c r="AF336">
        <v>79625443035</v>
      </c>
      <c r="AG336" s="238" t="s">
        <v>1818</v>
      </c>
      <c r="AH336" s="238" t="s">
        <v>1212</v>
      </c>
      <c r="AI336" s="238" t="s">
        <v>135</v>
      </c>
      <c r="AJ336" s="238" t="s">
        <v>120</v>
      </c>
      <c r="AK336" s="238" t="s">
        <v>141</v>
      </c>
      <c r="AL336" t="s">
        <v>8715</v>
      </c>
      <c r="AM336" t="s">
        <v>1167</v>
      </c>
    </row>
    <row r="337" spans="1:39" hidden="1" x14ac:dyDescent="0.25">
      <c r="A337">
        <v>333</v>
      </c>
      <c r="B337">
        <v>14</v>
      </c>
      <c r="C337" s="24">
        <v>44286</v>
      </c>
      <c r="D337" s="238" t="s">
        <v>20</v>
      </c>
      <c r="E337" s="238" t="s">
        <v>5</v>
      </c>
      <c r="F337">
        <v>6</v>
      </c>
      <c r="G337">
        <v>7</v>
      </c>
      <c r="H337">
        <v>191</v>
      </c>
      <c r="I337" s="238" t="s">
        <v>43</v>
      </c>
      <c r="J337">
        <v>64.150000000000006</v>
      </c>
      <c r="K337" s="238" t="s">
        <v>38</v>
      </c>
      <c r="L337">
        <v>4064736.45</v>
      </c>
      <c r="M337">
        <v>0</v>
      </c>
      <c r="N337">
        <v>4064736.45</v>
      </c>
      <c r="O337">
        <v>63363</v>
      </c>
      <c r="P337">
        <v>994325</v>
      </c>
      <c r="Q337">
        <v>3070411.45</v>
      </c>
      <c r="R337">
        <v>47863</v>
      </c>
      <c r="S337" s="238" t="s">
        <v>137</v>
      </c>
      <c r="T337" s="238" t="s">
        <v>1167</v>
      </c>
      <c r="V337" t="s">
        <v>1167</v>
      </c>
      <c r="W337" s="24">
        <v>44286</v>
      </c>
      <c r="X337" s="238" t="s">
        <v>467</v>
      </c>
      <c r="Y337" s="238" t="s">
        <v>39</v>
      </c>
      <c r="Z337" s="238" t="s">
        <v>1168</v>
      </c>
      <c r="AA337" t="s">
        <v>1167</v>
      </c>
      <c r="AB337" s="238" t="s">
        <v>3246</v>
      </c>
      <c r="AC337" t="s">
        <v>3079</v>
      </c>
      <c r="AD337" s="24"/>
      <c r="AE337" s="238" t="s">
        <v>1819</v>
      </c>
      <c r="AF337">
        <v>79966198699</v>
      </c>
      <c r="AG337" s="238" t="s">
        <v>1820</v>
      </c>
      <c r="AH337" s="238" t="s">
        <v>1212</v>
      </c>
      <c r="AI337" s="238" t="s">
        <v>135</v>
      </c>
      <c r="AJ337" s="238" t="s">
        <v>399</v>
      </c>
      <c r="AK337" s="238" t="s">
        <v>141</v>
      </c>
      <c r="AL337" t="s">
        <v>8715</v>
      </c>
      <c r="AM337" t="s">
        <v>7675</v>
      </c>
    </row>
    <row r="338" spans="1:39" hidden="1" x14ac:dyDescent="0.25">
      <c r="A338">
        <v>334</v>
      </c>
      <c r="B338">
        <v>15</v>
      </c>
      <c r="C338" s="24">
        <v>44286</v>
      </c>
      <c r="D338" s="238" t="s">
        <v>20</v>
      </c>
      <c r="E338" s="238" t="s">
        <v>6</v>
      </c>
      <c r="F338">
        <v>3</v>
      </c>
      <c r="G338">
        <v>15</v>
      </c>
      <c r="H338">
        <v>133</v>
      </c>
      <c r="I338" s="238" t="s">
        <v>43</v>
      </c>
      <c r="J338">
        <v>67.16</v>
      </c>
      <c r="K338" s="238" t="s">
        <v>36</v>
      </c>
      <c r="L338">
        <v>3374857.16</v>
      </c>
      <c r="M338">
        <v>0</v>
      </c>
      <c r="N338">
        <v>3374857.16</v>
      </c>
      <c r="O338">
        <v>50251.000000000007</v>
      </c>
      <c r="P338">
        <v>33580</v>
      </c>
      <c r="Q338">
        <v>3341277.16</v>
      </c>
      <c r="R338">
        <v>49751.000000000007</v>
      </c>
      <c r="S338" s="238" t="s">
        <v>137</v>
      </c>
      <c r="T338" s="238" t="s">
        <v>1167</v>
      </c>
      <c r="V338" t="s">
        <v>1167</v>
      </c>
      <c r="W338" s="24">
        <v>44286</v>
      </c>
      <c r="X338" s="238" t="s">
        <v>469</v>
      </c>
      <c r="Y338" s="238" t="s">
        <v>39</v>
      </c>
      <c r="Z338" s="238" t="s">
        <v>1168</v>
      </c>
      <c r="AA338" t="s">
        <v>1167</v>
      </c>
      <c r="AB338" s="238" t="s">
        <v>3246</v>
      </c>
      <c r="AC338" t="s">
        <v>3079</v>
      </c>
      <c r="AD338" s="24"/>
      <c r="AE338" s="238" t="s">
        <v>1821</v>
      </c>
      <c r="AF338">
        <v>79033027980</v>
      </c>
      <c r="AG338" s="238" t="s">
        <v>1822</v>
      </c>
      <c r="AH338" s="238" t="s">
        <v>1212</v>
      </c>
      <c r="AI338" s="238" t="s">
        <v>135</v>
      </c>
      <c r="AJ338" s="238" t="s">
        <v>120</v>
      </c>
      <c r="AK338" s="238" t="s">
        <v>141</v>
      </c>
      <c r="AL338" t="s">
        <v>8715</v>
      </c>
      <c r="AM338" t="s">
        <v>1167</v>
      </c>
    </row>
    <row r="339" spans="1:39" hidden="1" x14ac:dyDescent="0.25">
      <c r="A339">
        <v>335</v>
      </c>
      <c r="B339">
        <v>16</v>
      </c>
      <c r="C339" s="24">
        <v>44286</v>
      </c>
      <c r="D339" s="238" t="s">
        <v>20</v>
      </c>
      <c r="E339" s="238" t="s">
        <v>16</v>
      </c>
      <c r="F339">
        <v>1</v>
      </c>
      <c r="G339">
        <v>4</v>
      </c>
      <c r="H339">
        <v>328</v>
      </c>
      <c r="I339" s="238" t="s">
        <v>43</v>
      </c>
      <c r="J339">
        <v>59.13</v>
      </c>
      <c r="K339" s="238" t="s">
        <v>36</v>
      </c>
      <c r="L339">
        <v>3082979.07</v>
      </c>
      <c r="M339">
        <v>0</v>
      </c>
      <c r="N339">
        <v>3082979.07</v>
      </c>
      <c r="O339">
        <v>52138.999999999993</v>
      </c>
      <c r="P339">
        <v>29565</v>
      </c>
      <c r="Q339">
        <v>3053414.07</v>
      </c>
      <c r="R339">
        <v>51638.999999999993</v>
      </c>
      <c r="S339" s="238" t="s">
        <v>137</v>
      </c>
      <c r="T339" s="238" t="s">
        <v>1167</v>
      </c>
      <c r="V339" t="s">
        <v>1167</v>
      </c>
      <c r="W339" s="24">
        <v>44286</v>
      </c>
      <c r="X339" s="238" t="s">
        <v>468</v>
      </c>
      <c r="Y339" s="238" t="s">
        <v>39</v>
      </c>
      <c r="Z339" s="238" t="s">
        <v>1168</v>
      </c>
      <c r="AA339" t="s">
        <v>1167</v>
      </c>
      <c r="AB339" s="238" t="s">
        <v>3246</v>
      </c>
      <c r="AC339" t="s">
        <v>3079</v>
      </c>
      <c r="AD339" s="24"/>
      <c r="AE339" s="238" t="s">
        <v>1823</v>
      </c>
      <c r="AF339">
        <v>79649884462</v>
      </c>
      <c r="AG339" s="238" t="s">
        <v>1824</v>
      </c>
      <c r="AH339" s="238" t="s">
        <v>1212</v>
      </c>
      <c r="AI339" s="238" t="s">
        <v>3074</v>
      </c>
      <c r="AJ339" s="238" t="s">
        <v>120</v>
      </c>
      <c r="AK339" s="238" t="s">
        <v>141</v>
      </c>
      <c r="AL339" t="s">
        <v>8715</v>
      </c>
      <c r="AM339" t="s">
        <v>1167</v>
      </c>
    </row>
    <row r="340" spans="1:39" hidden="1" x14ac:dyDescent="0.25">
      <c r="A340">
        <v>336</v>
      </c>
      <c r="B340">
        <v>1</v>
      </c>
      <c r="C340" s="24">
        <v>44292</v>
      </c>
      <c r="D340" s="238" t="s">
        <v>20</v>
      </c>
      <c r="E340" s="238" t="s">
        <v>6</v>
      </c>
      <c r="F340">
        <v>6</v>
      </c>
      <c r="G340">
        <v>11</v>
      </c>
      <c r="H340">
        <v>96</v>
      </c>
      <c r="I340" s="238" t="s">
        <v>43</v>
      </c>
      <c r="J340">
        <v>63.03</v>
      </c>
      <c r="K340" s="238" t="s">
        <v>36</v>
      </c>
      <c r="L340">
        <v>3050751.47</v>
      </c>
      <c r="M340">
        <v>15000</v>
      </c>
      <c r="N340">
        <v>3065751.47</v>
      </c>
      <c r="O340">
        <v>48639.560050769476</v>
      </c>
      <c r="P340">
        <v>31515</v>
      </c>
      <c r="Q340">
        <v>3034236.47</v>
      </c>
      <c r="R340">
        <v>48139.560050769476</v>
      </c>
      <c r="S340" s="238" t="s">
        <v>121</v>
      </c>
      <c r="T340" s="238" t="s">
        <v>3536</v>
      </c>
      <c r="U340">
        <v>61923.19</v>
      </c>
      <c r="V340" t="s">
        <v>1167</v>
      </c>
      <c r="W340" s="24">
        <v>44287</v>
      </c>
      <c r="X340" s="238" t="s">
        <v>470</v>
      </c>
      <c r="Y340" s="238" t="s">
        <v>39</v>
      </c>
      <c r="Z340" s="238" t="s">
        <v>1168</v>
      </c>
      <c r="AA340" t="s">
        <v>1167</v>
      </c>
      <c r="AB340" s="238" t="s">
        <v>3246</v>
      </c>
      <c r="AC340" t="s">
        <v>4246</v>
      </c>
      <c r="AD340" s="24"/>
      <c r="AE340" s="238" t="s">
        <v>1827</v>
      </c>
      <c r="AF340">
        <v>79277299191</v>
      </c>
      <c r="AG340" s="238" t="s">
        <v>1828</v>
      </c>
      <c r="AH340" s="238" t="s">
        <v>1212</v>
      </c>
      <c r="AI340" s="238" t="s">
        <v>3097</v>
      </c>
      <c r="AJ340" s="238" t="s">
        <v>120</v>
      </c>
      <c r="AK340" s="238" t="s">
        <v>1167</v>
      </c>
      <c r="AL340" t="s">
        <v>8715</v>
      </c>
      <c r="AM340" t="s">
        <v>1167</v>
      </c>
    </row>
    <row r="341" spans="1:39" hidden="1" x14ac:dyDescent="0.25">
      <c r="A341">
        <v>337</v>
      </c>
      <c r="B341">
        <v>2</v>
      </c>
      <c r="C341" s="24">
        <v>44293</v>
      </c>
      <c r="D341" s="238" t="s">
        <v>19</v>
      </c>
      <c r="E341" s="238" t="s">
        <v>6</v>
      </c>
      <c r="F341">
        <v>2</v>
      </c>
      <c r="G341">
        <v>3</v>
      </c>
      <c r="H341">
        <v>9</v>
      </c>
      <c r="I341" s="238" t="s">
        <v>43</v>
      </c>
      <c r="J341">
        <v>58.99</v>
      </c>
      <c r="K341" s="238" t="s">
        <v>37</v>
      </c>
      <c r="L341">
        <v>2756575.56</v>
      </c>
      <c r="M341">
        <v>0</v>
      </c>
      <c r="N341">
        <v>2756575.56</v>
      </c>
      <c r="O341">
        <v>46729.539922020682</v>
      </c>
      <c r="P341">
        <v>265455</v>
      </c>
      <c r="Q341">
        <v>2491120.56</v>
      </c>
      <c r="R341">
        <v>42229.539922020682</v>
      </c>
      <c r="S341" s="238" t="s">
        <v>137</v>
      </c>
      <c r="T341" s="238" t="s">
        <v>3537</v>
      </c>
      <c r="U341">
        <v>55654.71</v>
      </c>
      <c r="V341" t="s">
        <v>1167</v>
      </c>
      <c r="W341" s="24">
        <v>44287</v>
      </c>
      <c r="X341" s="238" t="s">
        <v>471</v>
      </c>
      <c r="Y341" s="238" t="s">
        <v>39</v>
      </c>
      <c r="Z341" s="238" t="s">
        <v>1168</v>
      </c>
      <c r="AA341" t="s">
        <v>1167</v>
      </c>
      <c r="AB341" s="238" t="s">
        <v>3246</v>
      </c>
      <c r="AC341" t="s">
        <v>3079</v>
      </c>
      <c r="AD341" s="24"/>
      <c r="AE341" s="238" t="s">
        <v>1829</v>
      </c>
      <c r="AF341">
        <v>79170386180</v>
      </c>
      <c r="AG341" s="238" t="s">
        <v>1830</v>
      </c>
      <c r="AH341" s="238" t="s">
        <v>1171</v>
      </c>
      <c r="AI341" s="238" t="s">
        <v>3074</v>
      </c>
      <c r="AJ341" s="238" t="s">
        <v>399</v>
      </c>
      <c r="AK341" s="238" t="s">
        <v>141</v>
      </c>
      <c r="AL341" t="s">
        <v>8715</v>
      </c>
      <c r="AM341" t="s">
        <v>1167</v>
      </c>
    </row>
    <row r="342" spans="1:39" hidden="1" x14ac:dyDescent="0.25">
      <c r="A342">
        <v>338</v>
      </c>
      <c r="B342">
        <v>3</v>
      </c>
      <c r="C342" s="24">
        <v>44293</v>
      </c>
      <c r="D342" s="238" t="s">
        <v>19</v>
      </c>
      <c r="E342" s="238" t="s">
        <v>5</v>
      </c>
      <c r="F342">
        <v>5</v>
      </c>
      <c r="G342">
        <v>4</v>
      </c>
      <c r="H342">
        <v>188</v>
      </c>
      <c r="I342" s="238" t="s">
        <v>43</v>
      </c>
      <c r="J342">
        <v>60.19</v>
      </c>
      <c r="K342" s="238" t="s">
        <v>36</v>
      </c>
      <c r="L342">
        <v>2598582.87</v>
      </c>
      <c r="M342">
        <v>0</v>
      </c>
      <c r="N342">
        <v>2598582.87</v>
      </c>
      <c r="O342">
        <v>43173</v>
      </c>
      <c r="P342">
        <v>0</v>
      </c>
      <c r="Q342">
        <v>2598582.87</v>
      </c>
      <c r="R342">
        <v>43173</v>
      </c>
      <c r="S342" s="238" t="s">
        <v>137</v>
      </c>
      <c r="T342" s="238" t="s">
        <v>1167</v>
      </c>
      <c r="V342" t="s">
        <v>1167</v>
      </c>
      <c r="W342" s="24">
        <v>44287</v>
      </c>
      <c r="X342" s="238" t="s">
        <v>479</v>
      </c>
      <c r="Y342" s="238" t="s">
        <v>39</v>
      </c>
      <c r="Z342" s="238" t="s">
        <v>1168</v>
      </c>
      <c r="AA342" t="s">
        <v>1167</v>
      </c>
      <c r="AB342" s="238" t="s">
        <v>3246</v>
      </c>
      <c r="AC342" t="s">
        <v>3079</v>
      </c>
      <c r="AD342" s="24"/>
      <c r="AE342" s="238" t="s">
        <v>1831</v>
      </c>
      <c r="AF342">
        <v>79871597562</v>
      </c>
      <c r="AG342" s="238" t="s">
        <v>1832</v>
      </c>
      <c r="AH342" s="238" t="s">
        <v>1212</v>
      </c>
      <c r="AI342" s="238" t="s">
        <v>3090</v>
      </c>
      <c r="AJ342" s="238" t="s">
        <v>120</v>
      </c>
      <c r="AK342" s="238" t="s">
        <v>141</v>
      </c>
      <c r="AL342" t="s">
        <v>8715</v>
      </c>
      <c r="AM342" t="s">
        <v>1167</v>
      </c>
    </row>
    <row r="343" spans="1:39" hidden="1" x14ac:dyDescent="0.25">
      <c r="A343">
        <v>339</v>
      </c>
      <c r="B343">
        <v>4</v>
      </c>
      <c r="C343" s="24">
        <v>44293</v>
      </c>
      <c r="D343" s="238" t="s">
        <v>19</v>
      </c>
      <c r="E343" s="238" t="s">
        <v>6</v>
      </c>
      <c r="F343">
        <v>6</v>
      </c>
      <c r="G343">
        <v>19</v>
      </c>
      <c r="H343">
        <v>125</v>
      </c>
      <c r="I343" s="238" t="s">
        <v>43</v>
      </c>
      <c r="J343">
        <v>59.96</v>
      </c>
      <c r="K343" s="238" t="s">
        <v>37</v>
      </c>
      <c r="L343">
        <v>3209239.08</v>
      </c>
      <c r="M343">
        <v>0</v>
      </c>
      <c r="N343">
        <v>3209239.08</v>
      </c>
      <c r="O343">
        <v>53523</v>
      </c>
      <c r="P343">
        <v>269819.99999999953</v>
      </c>
      <c r="Q343">
        <v>2939419.0800000005</v>
      </c>
      <c r="R343">
        <v>49023.000000000007</v>
      </c>
      <c r="S343" s="238" t="s">
        <v>137</v>
      </c>
      <c r="T343" s="238" t="s">
        <v>1167</v>
      </c>
      <c r="V343" t="s">
        <v>1167</v>
      </c>
      <c r="W343" s="24">
        <v>44287</v>
      </c>
      <c r="X343" s="238" t="s">
        <v>475</v>
      </c>
      <c r="Y343" s="238" t="s">
        <v>39</v>
      </c>
      <c r="Z343" s="238" t="s">
        <v>1168</v>
      </c>
      <c r="AA343" t="s">
        <v>1167</v>
      </c>
      <c r="AB343" s="238" t="s">
        <v>3246</v>
      </c>
      <c r="AC343" t="s">
        <v>3079</v>
      </c>
      <c r="AD343" s="24"/>
      <c r="AE343" s="238" t="s">
        <v>1833</v>
      </c>
      <c r="AF343">
        <v>79608190101</v>
      </c>
      <c r="AG343" s="238" t="s">
        <v>1834</v>
      </c>
      <c r="AH343" s="238" t="s">
        <v>1212</v>
      </c>
      <c r="AI343" s="238" t="s">
        <v>3084</v>
      </c>
      <c r="AJ343" s="238" t="s">
        <v>120</v>
      </c>
      <c r="AK343" s="238" t="s">
        <v>141</v>
      </c>
      <c r="AL343" t="s">
        <v>8715</v>
      </c>
      <c r="AM343" t="s">
        <v>1167</v>
      </c>
    </row>
    <row r="344" spans="1:39" hidden="1" x14ac:dyDescent="0.25">
      <c r="A344">
        <v>340</v>
      </c>
      <c r="B344">
        <v>5</v>
      </c>
      <c r="C344" s="24">
        <v>44293</v>
      </c>
      <c r="D344" s="238" t="s">
        <v>19</v>
      </c>
      <c r="E344" s="238" t="s">
        <v>5</v>
      </c>
      <c r="F344">
        <v>10</v>
      </c>
      <c r="G344">
        <v>2</v>
      </c>
      <c r="H344">
        <v>171</v>
      </c>
      <c r="I344" s="238" t="s">
        <v>4052</v>
      </c>
      <c r="J344">
        <v>25.91</v>
      </c>
      <c r="K344" s="238" t="s">
        <v>37</v>
      </c>
      <c r="L344">
        <v>1531281</v>
      </c>
      <c r="M344">
        <v>0</v>
      </c>
      <c r="N344">
        <v>1531281</v>
      </c>
      <c r="O344">
        <v>59100</v>
      </c>
      <c r="P344">
        <v>116595</v>
      </c>
      <c r="Q344">
        <v>1414686</v>
      </c>
      <c r="R344">
        <v>54600</v>
      </c>
      <c r="S344" s="238" t="s">
        <v>137</v>
      </c>
      <c r="T344" s="238" t="s">
        <v>1167</v>
      </c>
      <c r="V344" t="s">
        <v>1167</v>
      </c>
      <c r="W344" s="24">
        <v>44287</v>
      </c>
      <c r="X344" s="238" t="s">
        <v>477</v>
      </c>
      <c r="Y344" s="238" t="s">
        <v>39</v>
      </c>
      <c r="Z344" s="238" t="s">
        <v>1168</v>
      </c>
      <c r="AA344" t="s">
        <v>1167</v>
      </c>
      <c r="AB344" s="238" t="s">
        <v>3246</v>
      </c>
      <c r="AC344" t="s">
        <v>3079</v>
      </c>
      <c r="AD344" s="24"/>
      <c r="AE344" s="238" t="s">
        <v>1835</v>
      </c>
      <c r="AF344">
        <v>79277760059</v>
      </c>
      <c r="AG344" s="238" t="s">
        <v>1836</v>
      </c>
      <c r="AH344" s="238" t="s">
        <v>146</v>
      </c>
      <c r="AI344" s="238" t="s">
        <v>135</v>
      </c>
      <c r="AJ344" s="238" t="s">
        <v>126</v>
      </c>
      <c r="AK344" s="238" t="s">
        <v>141</v>
      </c>
      <c r="AL344" t="s">
        <v>8715</v>
      </c>
      <c r="AM344" t="s">
        <v>1167</v>
      </c>
    </row>
    <row r="345" spans="1:39" hidden="1" x14ac:dyDescent="0.25">
      <c r="A345">
        <v>341</v>
      </c>
      <c r="B345">
        <v>6</v>
      </c>
      <c r="C345" s="24">
        <v>44293</v>
      </c>
      <c r="D345" s="238" t="s">
        <v>19</v>
      </c>
      <c r="E345" s="238" t="s">
        <v>6</v>
      </c>
      <c r="F345">
        <v>6</v>
      </c>
      <c r="G345">
        <v>3</v>
      </c>
      <c r="H345">
        <v>13</v>
      </c>
      <c r="I345" s="238" t="s">
        <v>43</v>
      </c>
      <c r="J345">
        <v>59.96</v>
      </c>
      <c r="K345" s="238" t="s">
        <v>37</v>
      </c>
      <c r="L345">
        <v>2858473.08</v>
      </c>
      <c r="M345">
        <v>0</v>
      </c>
      <c r="N345">
        <v>2858473.08</v>
      </c>
      <c r="O345">
        <v>47673</v>
      </c>
      <c r="P345">
        <v>269820</v>
      </c>
      <c r="Q345">
        <v>2588653.08</v>
      </c>
      <c r="R345">
        <v>43173</v>
      </c>
      <c r="S345" s="238" t="s">
        <v>137</v>
      </c>
      <c r="T345" s="238" t="s">
        <v>1167</v>
      </c>
      <c r="V345" t="s">
        <v>1167</v>
      </c>
      <c r="W345" s="24">
        <v>44287</v>
      </c>
      <c r="X345" s="238" t="s">
        <v>472</v>
      </c>
      <c r="Y345" s="238" t="s">
        <v>39</v>
      </c>
      <c r="Z345" s="238" t="s">
        <v>1168</v>
      </c>
      <c r="AA345" t="s">
        <v>1167</v>
      </c>
      <c r="AB345" s="238" t="s">
        <v>3246</v>
      </c>
      <c r="AC345" t="s">
        <v>3079</v>
      </c>
      <c r="AD345" s="24"/>
      <c r="AE345" s="238" t="s">
        <v>1837</v>
      </c>
      <c r="AF345">
        <v>79276921591</v>
      </c>
      <c r="AG345" s="238" t="s">
        <v>1838</v>
      </c>
      <c r="AH345" s="238" t="s">
        <v>1212</v>
      </c>
      <c r="AI345" s="238" t="s">
        <v>135</v>
      </c>
      <c r="AJ345" s="238" t="s">
        <v>126</v>
      </c>
      <c r="AK345" s="238" t="s">
        <v>141</v>
      </c>
      <c r="AL345" t="s">
        <v>8715</v>
      </c>
      <c r="AM345" t="s">
        <v>1167</v>
      </c>
    </row>
    <row r="346" spans="1:39" hidden="1" x14ac:dyDescent="0.25">
      <c r="A346">
        <v>342</v>
      </c>
      <c r="B346">
        <v>7</v>
      </c>
      <c r="C346" s="24">
        <v>44293</v>
      </c>
      <c r="D346" s="238" t="s">
        <v>19</v>
      </c>
      <c r="E346" s="238" t="s">
        <v>6</v>
      </c>
      <c r="F346">
        <v>7</v>
      </c>
      <c r="G346">
        <v>3</v>
      </c>
      <c r="H346">
        <v>14</v>
      </c>
      <c r="I346" s="238" t="s">
        <v>43</v>
      </c>
      <c r="J346">
        <v>58.17</v>
      </c>
      <c r="K346" s="238" t="s">
        <v>37</v>
      </c>
      <c r="L346">
        <v>2773138.41</v>
      </c>
      <c r="M346">
        <v>0</v>
      </c>
      <c r="N346">
        <v>2773138.41</v>
      </c>
      <c r="O346">
        <v>47673</v>
      </c>
      <c r="P346">
        <v>261765</v>
      </c>
      <c r="Q346">
        <v>2511373.41</v>
      </c>
      <c r="R346">
        <v>43173</v>
      </c>
      <c r="S346" s="238" t="s">
        <v>137</v>
      </c>
      <c r="T346" s="238" t="s">
        <v>1167</v>
      </c>
      <c r="V346" t="s">
        <v>1167</v>
      </c>
      <c r="W346" s="24">
        <v>44287</v>
      </c>
      <c r="X346" s="238" t="s">
        <v>473</v>
      </c>
      <c r="Y346" s="238" t="s">
        <v>39</v>
      </c>
      <c r="Z346" s="238" t="s">
        <v>1168</v>
      </c>
      <c r="AA346" t="s">
        <v>1167</v>
      </c>
      <c r="AB346" s="238" t="s">
        <v>3246</v>
      </c>
      <c r="AC346" t="s">
        <v>3079</v>
      </c>
      <c r="AD346" s="24"/>
      <c r="AE346" s="238" t="s">
        <v>1839</v>
      </c>
      <c r="AF346">
        <v>79874360673</v>
      </c>
      <c r="AG346" s="238" t="s">
        <v>1840</v>
      </c>
      <c r="AH346" s="238" t="s">
        <v>1197</v>
      </c>
      <c r="AI346" s="238" t="s">
        <v>135</v>
      </c>
      <c r="AJ346" s="238" t="s">
        <v>126</v>
      </c>
      <c r="AK346" s="238" t="s">
        <v>141</v>
      </c>
      <c r="AL346" t="s">
        <v>8715</v>
      </c>
      <c r="AM346" t="s">
        <v>1167</v>
      </c>
    </row>
    <row r="347" spans="1:39" hidden="1" x14ac:dyDescent="0.25">
      <c r="A347">
        <v>343</v>
      </c>
      <c r="B347">
        <v>8</v>
      </c>
      <c r="C347" s="24">
        <v>44293</v>
      </c>
      <c r="D347" s="238" t="s">
        <v>19</v>
      </c>
      <c r="E347" s="238" t="s">
        <v>5</v>
      </c>
      <c r="F347">
        <v>3</v>
      </c>
      <c r="G347">
        <v>10</v>
      </c>
      <c r="H347">
        <v>252</v>
      </c>
      <c r="I347" s="238" t="s">
        <v>44</v>
      </c>
      <c r="J347">
        <v>86.58</v>
      </c>
      <c r="K347" s="238" t="s">
        <v>37</v>
      </c>
      <c r="L347">
        <v>4195060.74</v>
      </c>
      <c r="M347">
        <v>0</v>
      </c>
      <c r="N347">
        <v>4195060.74</v>
      </c>
      <c r="O347">
        <v>48453</v>
      </c>
      <c r="P347">
        <v>389610</v>
      </c>
      <c r="Q347">
        <v>3805450.74</v>
      </c>
      <c r="R347">
        <v>43953</v>
      </c>
      <c r="S347" s="238" t="s">
        <v>137</v>
      </c>
      <c r="T347" s="238" t="s">
        <v>1167</v>
      </c>
      <c r="V347" t="s">
        <v>1167</v>
      </c>
      <c r="W347" s="24">
        <v>44287</v>
      </c>
      <c r="X347" s="238" t="s">
        <v>481</v>
      </c>
      <c r="Y347" s="238" t="s">
        <v>39</v>
      </c>
      <c r="Z347" s="238" t="s">
        <v>1168</v>
      </c>
      <c r="AA347" t="s">
        <v>1167</v>
      </c>
      <c r="AB347" s="238" t="s">
        <v>3246</v>
      </c>
      <c r="AC347" t="s">
        <v>3079</v>
      </c>
      <c r="AD347" s="24"/>
      <c r="AE347" s="238" t="s">
        <v>1841</v>
      </c>
      <c r="AF347">
        <v>79125343888</v>
      </c>
      <c r="AG347" s="238" t="s">
        <v>1842</v>
      </c>
      <c r="AH347" s="238" t="s">
        <v>1171</v>
      </c>
      <c r="AI347" s="238" t="s">
        <v>3097</v>
      </c>
      <c r="AJ347" s="238" t="s">
        <v>120</v>
      </c>
      <c r="AK347" s="238" t="s">
        <v>141</v>
      </c>
      <c r="AL347" t="s">
        <v>8715</v>
      </c>
      <c r="AM347" t="s">
        <v>1167</v>
      </c>
    </row>
    <row r="348" spans="1:39" hidden="1" x14ac:dyDescent="0.25">
      <c r="A348">
        <v>344</v>
      </c>
      <c r="B348">
        <v>9</v>
      </c>
      <c r="C348" s="24">
        <v>44293</v>
      </c>
      <c r="D348" s="238" t="s">
        <v>19</v>
      </c>
      <c r="E348" s="238" t="s">
        <v>5</v>
      </c>
      <c r="F348">
        <v>6</v>
      </c>
      <c r="G348">
        <v>2</v>
      </c>
      <c r="H348">
        <v>167</v>
      </c>
      <c r="I348" s="238" t="s">
        <v>43</v>
      </c>
      <c r="J348">
        <v>60.24</v>
      </c>
      <c r="K348" s="238" t="s">
        <v>36</v>
      </c>
      <c r="L348">
        <v>2600741.52</v>
      </c>
      <c r="M348">
        <v>0</v>
      </c>
      <c r="N348">
        <v>2600741.52</v>
      </c>
      <c r="O348">
        <v>43173</v>
      </c>
      <c r="P348">
        <v>0</v>
      </c>
      <c r="Q348">
        <v>2600741.52</v>
      </c>
      <c r="R348">
        <v>43173</v>
      </c>
      <c r="S348" s="238" t="s">
        <v>137</v>
      </c>
      <c r="T348" s="238" t="s">
        <v>1167</v>
      </c>
      <c r="V348" t="s">
        <v>1167</v>
      </c>
      <c r="W348" s="24">
        <v>44287</v>
      </c>
      <c r="X348" s="238" t="s">
        <v>476</v>
      </c>
      <c r="Y348" s="238" t="s">
        <v>39</v>
      </c>
      <c r="Z348" s="238" t="s">
        <v>1168</v>
      </c>
      <c r="AA348" t="s">
        <v>1167</v>
      </c>
      <c r="AB348" s="238" t="s">
        <v>3246</v>
      </c>
      <c r="AC348" t="s">
        <v>3079</v>
      </c>
      <c r="AD348" s="24"/>
      <c r="AE348" s="238" t="s">
        <v>1843</v>
      </c>
      <c r="AF348">
        <v>79991719158</v>
      </c>
      <c r="AG348" s="238" t="s">
        <v>1844</v>
      </c>
      <c r="AH348" s="238" t="s">
        <v>1212</v>
      </c>
      <c r="AI348" s="238" t="s">
        <v>135</v>
      </c>
      <c r="AJ348" s="238" t="s">
        <v>126</v>
      </c>
      <c r="AK348" s="238" t="s">
        <v>141</v>
      </c>
      <c r="AL348" t="s">
        <v>8715</v>
      </c>
      <c r="AM348" t="s">
        <v>1167</v>
      </c>
    </row>
    <row r="349" spans="1:39" hidden="1" x14ac:dyDescent="0.25">
      <c r="A349">
        <v>345</v>
      </c>
      <c r="B349">
        <v>10</v>
      </c>
      <c r="C349" s="24">
        <v>44293</v>
      </c>
      <c r="D349" s="238" t="s">
        <v>19</v>
      </c>
      <c r="E349" s="238" t="s">
        <v>5</v>
      </c>
      <c r="F349">
        <v>1</v>
      </c>
      <c r="G349">
        <v>12</v>
      </c>
      <c r="H349">
        <v>272</v>
      </c>
      <c r="I349" s="238" t="s">
        <v>42</v>
      </c>
      <c r="J349">
        <v>38.83</v>
      </c>
      <c r="K349" s="238" t="s">
        <v>36</v>
      </c>
      <c r="L349">
        <v>1921580.21</v>
      </c>
      <c r="M349">
        <v>0</v>
      </c>
      <c r="N349">
        <v>1921580.21</v>
      </c>
      <c r="O349">
        <v>49487</v>
      </c>
      <c r="P349">
        <v>0</v>
      </c>
      <c r="Q349">
        <v>1921580.21</v>
      </c>
      <c r="R349">
        <v>49487</v>
      </c>
      <c r="S349" s="238" t="s">
        <v>137</v>
      </c>
      <c r="T349" s="238" t="s">
        <v>1167</v>
      </c>
      <c r="V349" t="s">
        <v>1167</v>
      </c>
      <c r="W349" s="24">
        <v>44287</v>
      </c>
      <c r="X349" s="238" t="s">
        <v>482</v>
      </c>
      <c r="Y349" s="238" t="s">
        <v>39</v>
      </c>
      <c r="Z349" s="238" t="s">
        <v>1168</v>
      </c>
      <c r="AA349" t="s">
        <v>1167</v>
      </c>
      <c r="AB349" s="238" t="s">
        <v>3246</v>
      </c>
      <c r="AC349" t="s">
        <v>3079</v>
      </c>
      <c r="AD349" s="24"/>
      <c r="AE349" s="238" t="s">
        <v>1845</v>
      </c>
      <c r="AF349">
        <v>79178103314</v>
      </c>
      <c r="AG349" s="238" t="s">
        <v>1846</v>
      </c>
      <c r="AH349" s="238" t="s">
        <v>1171</v>
      </c>
      <c r="AI349" s="238" t="s">
        <v>135</v>
      </c>
      <c r="AJ349" s="238" t="s">
        <v>120</v>
      </c>
      <c r="AK349" s="238" t="s">
        <v>141</v>
      </c>
      <c r="AL349" t="s">
        <v>8715</v>
      </c>
      <c r="AM349" t="s">
        <v>1167</v>
      </c>
    </row>
    <row r="350" spans="1:39" hidden="1" x14ac:dyDescent="0.25">
      <c r="A350">
        <v>346</v>
      </c>
      <c r="B350">
        <v>11</v>
      </c>
      <c r="C350" s="24">
        <v>44293</v>
      </c>
      <c r="D350" s="238" t="s">
        <v>19</v>
      </c>
      <c r="E350" s="238" t="s">
        <v>6</v>
      </c>
      <c r="F350">
        <v>6</v>
      </c>
      <c r="G350">
        <v>9</v>
      </c>
      <c r="H350">
        <v>55</v>
      </c>
      <c r="I350" s="238" t="s">
        <v>43</v>
      </c>
      <c r="J350">
        <v>59.96</v>
      </c>
      <c r="K350" s="238" t="s">
        <v>37</v>
      </c>
      <c r="L350">
        <v>2910246.14</v>
      </c>
      <c r="M350">
        <v>0</v>
      </c>
      <c r="N350">
        <v>2910246.14</v>
      </c>
      <c r="O350">
        <v>48536.459973315548</v>
      </c>
      <c r="P350">
        <v>269820</v>
      </c>
      <c r="Q350">
        <v>2640426.14</v>
      </c>
      <c r="R350">
        <v>44036.459973315548</v>
      </c>
      <c r="S350" s="238" t="s">
        <v>137</v>
      </c>
      <c r="T350" s="238" t="s">
        <v>1167</v>
      </c>
      <c r="V350" t="s">
        <v>1167</v>
      </c>
      <c r="W350" s="24">
        <v>44287</v>
      </c>
      <c r="X350" s="238" t="s">
        <v>474</v>
      </c>
      <c r="Y350" s="238" t="s">
        <v>39</v>
      </c>
      <c r="Z350" s="238" t="s">
        <v>1168</v>
      </c>
      <c r="AA350" t="s">
        <v>1167</v>
      </c>
      <c r="AB350" s="238" t="s">
        <v>3246</v>
      </c>
      <c r="AC350" t="s">
        <v>3079</v>
      </c>
      <c r="AD350" s="24"/>
      <c r="AE350" s="238" t="s">
        <v>1847</v>
      </c>
      <c r="AF350">
        <v>79089003849</v>
      </c>
      <c r="AG350" s="238" t="s">
        <v>1848</v>
      </c>
      <c r="AH350" s="238" t="s">
        <v>1212</v>
      </c>
      <c r="AI350" s="238" t="s">
        <v>135</v>
      </c>
      <c r="AJ350" s="238" t="s">
        <v>120</v>
      </c>
      <c r="AK350" s="238" t="s">
        <v>141</v>
      </c>
      <c r="AL350" t="s">
        <v>8715</v>
      </c>
      <c r="AM350" t="s">
        <v>1167</v>
      </c>
    </row>
    <row r="351" spans="1:39" hidden="1" x14ac:dyDescent="0.25">
      <c r="A351">
        <v>347</v>
      </c>
      <c r="B351">
        <v>12</v>
      </c>
      <c r="C351" s="24">
        <v>44293</v>
      </c>
      <c r="D351" s="238" t="s">
        <v>19</v>
      </c>
      <c r="E351" s="238" t="s">
        <v>5</v>
      </c>
      <c r="F351">
        <v>3</v>
      </c>
      <c r="G351">
        <v>4</v>
      </c>
      <c r="H351">
        <v>186</v>
      </c>
      <c r="I351" s="238" t="s">
        <v>44</v>
      </c>
      <c r="J351">
        <v>86.58</v>
      </c>
      <c r="K351" s="238" t="s">
        <v>36</v>
      </c>
      <c r="L351">
        <v>3805450.74</v>
      </c>
      <c r="M351">
        <v>0</v>
      </c>
      <c r="N351">
        <v>3805450.74</v>
      </c>
      <c r="O351">
        <v>43953</v>
      </c>
      <c r="P351">
        <v>0</v>
      </c>
      <c r="Q351">
        <v>3805450.74</v>
      </c>
      <c r="R351">
        <v>43953</v>
      </c>
      <c r="S351" s="238" t="s">
        <v>137</v>
      </c>
      <c r="T351" s="238" t="s">
        <v>1167</v>
      </c>
      <c r="V351" t="s">
        <v>1167</v>
      </c>
      <c r="W351" s="24">
        <v>44287</v>
      </c>
      <c r="X351" s="238" t="s">
        <v>478</v>
      </c>
      <c r="Y351" s="238" t="s">
        <v>39</v>
      </c>
      <c r="Z351" s="238" t="s">
        <v>1168</v>
      </c>
      <c r="AA351" t="s">
        <v>1167</v>
      </c>
      <c r="AB351" s="238" t="s">
        <v>3246</v>
      </c>
      <c r="AC351" t="s">
        <v>3079</v>
      </c>
      <c r="AD351" s="24"/>
      <c r="AE351" s="238" t="s">
        <v>1849</v>
      </c>
      <c r="AF351">
        <v>79179452860</v>
      </c>
      <c r="AG351" s="238" t="s">
        <v>1850</v>
      </c>
      <c r="AH351" s="238" t="s">
        <v>1171</v>
      </c>
      <c r="AI351" s="238" t="s">
        <v>3074</v>
      </c>
      <c r="AJ351" s="238" t="s">
        <v>126</v>
      </c>
      <c r="AK351" s="238" t="s">
        <v>141</v>
      </c>
      <c r="AL351" t="s">
        <v>8715</v>
      </c>
      <c r="AM351" t="s">
        <v>1167</v>
      </c>
    </row>
    <row r="352" spans="1:39" hidden="1" x14ac:dyDescent="0.25">
      <c r="A352">
        <v>348</v>
      </c>
      <c r="B352">
        <v>13</v>
      </c>
      <c r="C352" s="24">
        <v>44293</v>
      </c>
      <c r="D352" s="238" t="s">
        <v>19</v>
      </c>
      <c r="E352" s="238" t="s">
        <v>5</v>
      </c>
      <c r="F352">
        <v>11</v>
      </c>
      <c r="G352">
        <v>13</v>
      </c>
      <c r="H352">
        <v>293</v>
      </c>
      <c r="I352" s="238" t="s">
        <v>4052</v>
      </c>
      <c r="J352">
        <v>25.85</v>
      </c>
      <c r="K352" s="238" t="s">
        <v>37</v>
      </c>
      <c r="L352">
        <v>1527735</v>
      </c>
      <c r="M352">
        <v>0</v>
      </c>
      <c r="N352">
        <v>1527735</v>
      </c>
      <c r="O352">
        <v>59100</v>
      </c>
      <c r="P352">
        <v>116325</v>
      </c>
      <c r="Q352">
        <v>1411410</v>
      </c>
      <c r="R352">
        <v>54600</v>
      </c>
      <c r="S352" s="238" t="s">
        <v>137</v>
      </c>
      <c r="T352" s="238" t="s">
        <v>1167</v>
      </c>
      <c r="V352" t="s">
        <v>1167</v>
      </c>
      <c r="W352" s="24">
        <v>44287</v>
      </c>
      <c r="X352" s="238" t="s">
        <v>484</v>
      </c>
      <c r="Y352" s="238" t="s">
        <v>39</v>
      </c>
      <c r="Z352" s="238" t="s">
        <v>1168</v>
      </c>
      <c r="AA352" t="s">
        <v>1167</v>
      </c>
      <c r="AB352" s="238" t="s">
        <v>3246</v>
      </c>
      <c r="AC352" t="s">
        <v>3079</v>
      </c>
      <c r="AD352" s="24"/>
      <c r="AE352" s="238" t="s">
        <v>1851</v>
      </c>
      <c r="AF352">
        <v>79093637764</v>
      </c>
      <c r="AG352" s="238" t="s">
        <v>1852</v>
      </c>
      <c r="AH352" s="238" t="s">
        <v>1212</v>
      </c>
      <c r="AI352" s="238" t="s">
        <v>135</v>
      </c>
      <c r="AJ352" s="238" t="s">
        <v>120</v>
      </c>
      <c r="AK352" s="238" t="s">
        <v>141</v>
      </c>
      <c r="AL352" t="s">
        <v>8715</v>
      </c>
      <c r="AM352" t="s">
        <v>1167</v>
      </c>
    </row>
    <row r="353" spans="1:39" hidden="1" x14ac:dyDescent="0.25">
      <c r="A353">
        <v>349</v>
      </c>
      <c r="B353">
        <v>14</v>
      </c>
      <c r="C353" s="24">
        <v>44293</v>
      </c>
      <c r="D353" s="238" t="s">
        <v>19</v>
      </c>
      <c r="E353" s="238" t="s">
        <v>5</v>
      </c>
      <c r="F353">
        <v>4</v>
      </c>
      <c r="G353">
        <v>7</v>
      </c>
      <c r="H353">
        <v>220</v>
      </c>
      <c r="I353" s="238" t="s">
        <v>42</v>
      </c>
      <c r="J353">
        <v>37.89</v>
      </c>
      <c r="K353" s="238" t="s">
        <v>37</v>
      </c>
      <c r="L353">
        <v>2162296.67</v>
      </c>
      <c r="M353">
        <v>0</v>
      </c>
      <c r="N353">
        <v>2162296.67</v>
      </c>
      <c r="O353">
        <v>57067.740036949057</v>
      </c>
      <c r="P353">
        <v>170505</v>
      </c>
      <c r="Q353">
        <v>1991791.67</v>
      </c>
      <c r="R353">
        <v>52567.740036949057</v>
      </c>
      <c r="S353" s="238" t="s">
        <v>137</v>
      </c>
      <c r="T353" s="238" t="s">
        <v>1167</v>
      </c>
      <c r="V353" t="s">
        <v>1167</v>
      </c>
      <c r="W353" s="24">
        <v>44287</v>
      </c>
      <c r="X353" s="238" t="s">
        <v>480</v>
      </c>
      <c r="Y353" s="238" t="s">
        <v>39</v>
      </c>
      <c r="Z353" s="238" t="s">
        <v>1168</v>
      </c>
      <c r="AA353" t="s">
        <v>1167</v>
      </c>
      <c r="AB353" s="238" t="s">
        <v>3246</v>
      </c>
      <c r="AC353" t="s">
        <v>3079</v>
      </c>
      <c r="AD353" s="24"/>
      <c r="AE353" s="238" t="s">
        <v>1853</v>
      </c>
      <c r="AF353">
        <v>79328453804</v>
      </c>
      <c r="AG353" s="238" t="s">
        <v>1854</v>
      </c>
      <c r="AH353" s="238" t="s">
        <v>135</v>
      </c>
      <c r="AI353" s="238" t="s">
        <v>3099</v>
      </c>
      <c r="AJ353" s="238" t="s">
        <v>126</v>
      </c>
      <c r="AK353" s="238" t="s">
        <v>141</v>
      </c>
      <c r="AL353" t="s">
        <v>8715</v>
      </c>
      <c r="AM353" t="s">
        <v>1167</v>
      </c>
    </row>
    <row r="354" spans="1:39" hidden="1" x14ac:dyDescent="0.25">
      <c r="A354">
        <v>350</v>
      </c>
      <c r="B354">
        <v>15</v>
      </c>
      <c r="C354" s="24">
        <v>44293</v>
      </c>
      <c r="D354" s="238" t="s">
        <v>19</v>
      </c>
      <c r="E354" s="238" t="s">
        <v>5</v>
      </c>
      <c r="F354">
        <v>7</v>
      </c>
      <c r="G354">
        <v>13</v>
      </c>
      <c r="H354">
        <v>289</v>
      </c>
      <c r="I354" s="238" t="s">
        <v>4052</v>
      </c>
      <c r="J354">
        <v>24.23</v>
      </c>
      <c r="K354" s="238" t="s">
        <v>37</v>
      </c>
      <c r="L354">
        <v>1438607.79</v>
      </c>
      <c r="M354">
        <v>0</v>
      </c>
      <c r="N354">
        <v>1438607.79</v>
      </c>
      <c r="O354">
        <v>59373</v>
      </c>
      <c r="P354">
        <v>109035</v>
      </c>
      <c r="Q354">
        <v>1329572.79</v>
      </c>
      <c r="R354">
        <v>54873</v>
      </c>
      <c r="S354" s="238" t="s">
        <v>124</v>
      </c>
      <c r="T354" s="238" t="s">
        <v>1167</v>
      </c>
      <c r="V354" t="s">
        <v>1167</v>
      </c>
      <c r="W354" s="24">
        <v>44287</v>
      </c>
      <c r="X354" s="238" t="s">
        <v>483</v>
      </c>
      <c r="Y354" s="238" t="s">
        <v>39</v>
      </c>
      <c r="Z354" s="238" t="s">
        <v>1168</v>
      </c>
      <c r="AA354" t="s">
        <v>1167</v>
      </c>
      <c r="AB354" s="238" t="s">
        <v>3246</v>
      </c>
      <c r="AC354" t="s">
        <v>4246</v>
      </c>
      <c r="AD354" s="24"/>
      <c r="AE354" s="238" t="s">
        <v>1855</v>
      </c>
      <c r="AF354">
        <v>79178139896</v>
      </c>
      <c r="AG354" s="238" t="s">
        <v>1856</v>
      </c>
      <c r="AH354" s="238" t="s">
        <v>1171</v>
      </c>
      <c r="AI354" s="238" t="s">
        <v>3074</v>
      </c>
      <c r="AJ354" s="238" t="s">
        <v>130</v>
      </c>
      <c r="AK354" s="238" t="s">
        <v>1167</v>
      </c>
      <c r="AL354" t="s">
        <v>8715</v>
      </c>
      <c r="AM354" t="s">
        <v>1167</v>
      </c>
    </row>
    <row r="355" spans="1:39" hidden="1" x14ac:dyDescent="0.25">
      <c r="A355">
        <v>351</v>
      </c>
      <c r="B355">
        <v>16</v>
      </c>
      <c r="C355" s="24">
        <v>44294</v>
      </c>
      <c r="D355" s="238" t="s">
        <v>19</v>
      </c>
      <c r="E355" s="238" t="s">
        <v>5</v>
      </c>
      <c r="F355">
        <v>8</v>
      </c>
      <c r="G355">
        <v>3</v>
      </c>
      <c r="H355">
        <v>180</v>
      </c>
      <c r="I355" s="238" t="s">
        <v>43</v>
      </c>
      <c r="J355">
        <v>56.93</v>
      </c>
      <c r="K355" s="238" t="s">
        <v>37</v>
      </c>
      <c r="L355">
        <v>2758429.29</v>
      </c>
      <c r="M355">
        <v>0</v>
      </c>
      <c r="N355">
        <v>2758429.29</v>
      </c>
      <c r="O355">
        <v>48453</v>
      </c>
      <c r="P355">
        <v>256185</v>
      </c>
      <c r="Q355">
        <v>2502244.29</v>
      </c>
      <c r="R355">
        <v>43953</v>
      </c>
      <c r="S355" s="238" t="s">
        <v>137</v>
      </c>
      <c r="T355" s="238" t="s">
        <v>1167</v>
      </c>
      <c r="V355" t="s">
        <v>1167</v>
      </c>
      <c r="W355" s="24">
        <v>44287</v>
      </c>
      <c r="X355" s="238" t="s">
        <v>490</v>
      </c>
      <c r="Y355" s="238" t="s">
        <v>39</v>
      </c>
      <c r="Z355" s="238" t="s">
        <v>1168</v>
      </c>
      <c r="AA355" t="s">
        <v>1167</v>
      </c>
      <c r="AB355" s="238" t="s">
        <v>3246</v>
      </c>
      <c r="AC355" t="s">
        <v>3079</v>
      </c>
      <c r="AD355" s="24"/>
      <c r="AE355" s="238" t="s">
        <v>1857</v>
      </c>
      <c r="AF355">
        <v>79277340035</v>
      </c>
      <c r="AG355" s="238" t="s">
        <v>1858</v>
      </c>
      <c r="AH355" s="238" t="s">
        <v>1171</v>
      </c>
      <c r="AI355" s="238" t="s">
        <v>3074</v>
      </c>
      <c r="AJ355" s="238" t="s">
        <v>130</v>
      </c>
      <c r="AK355" s="238" t="s">
        <v>141</v>
      </c>
      <c r="AL355" t="s">
        <v>8715</v>
      </c>
      <c r="AM355" t="s">
        <v>1167</v>
      </c>
    </row>
    <row r="356" spans="1:39" hidden="1" x14ac:dyDescent="0.25">
      <c r="A356">
        <v>352</v>
      </c>
      <c r="B356">
        <v>17</v>
      </c>
      <c r="C356" s="24">
        <v>44294</v>
      </c>
      <c r="D356" s="238" t="s">
        <v>19</v>
      </c>
      <c r="E356" s="238" t="s">
        <v>5</v>
      </c>
      <c r="F356">
        <v>1</v>
      </c>
      <c r="G356">
        <v>2</v>
      </c>
      <c r="H356">
        <v>162</v>
      </c>
      <c r="I356" s="238" t="s">
        <v>42</v>
      </c>
      <c r="J356">
        <v>38.83</v>
      </c>
      <c r="K356" s="238" t="s">
        <v>36</v>
      </c>
      <c r="L356">
        <v>1921580.21</v>
      </c>
      <c r="M356">
        <v>0</v>
      </c>
      <c r="N356">
        <v>1921580.21</v>
      </c>
      <c r="O356">
        <v>49487</v>
      </c>
      <c r="P356">
        <v>0</v>
      </c>
      <c r="Q356">
        <v>1921580.21</v>
      </c>
      <c r="R356">
        <v>49487</v>
      </c>
      <c r="S356" s="238" t="s">
        <v>137</v>
      </c>
      <c r="T356" s="238" t="s">
        <v>1167</v>
      </c>
      <c r="V356" t="s">
        <v>1167</v>
      </c>
      <c r="W356" s="24">
        <v>44287</v>
      </c>
      <c r="X356" s="238" t="s">
        <v>488</v>
      </c>
      <c r="Y356" s="238" t="s">
        <v>39</v>
      </c>
      <c r="Z356" s="238" t="s">
        <v>1340</v>
      </c>
      <c r="AA356" t="s">
        <v>1167</v>
      </c>
      <c r="AB356" s="238" t="s">
        <v>3246</v>
      </c>
      <c r="AC356" t="s">
        <v>3079</v>
      </c>
      <c r="AD356" s="24"/>
      <c r="AE356" s="238" t="s">
        <v>1762</v>
      </c>
      <c r="AF356">
        <v>79277390627</v>
      </c>
      <c r="AG356" s="238" t="s">
        <v>1763</v>
      </c>
      <c r="AH356" s="238" t="s">
        <v>1764</v>
      </c>
      <c r="AI356" s="238" t="s">
        <v>3082</v>
      </c>
      <c r="AJ356" s="238" t="s">
        <v>399</v>
      </c>
      <c r="AK356" s="238" t="s">
        <v>141</v>
      </c>
      <c r="AL356" t="s">
        <v>8715</v>
      </c>
      <c r="AM356" t="s">
        <v>1167</v>
      </c>
    </row>
    <row r="357" spans="1:39" hidden="1" x14ac:dyDescent="0.25">
      <c r="A357">
        <v>353</v>
      </c>
      <c r="B357">
        <v>18</v>
      </c>
      <c r="C357" s="24">
        <v>44294</v>
      </c>
      <c r="D357" s="238" t="s">
        <v>19</v>
      </c>
      <c r="E357" s="238" t="s">
        <v>6</v>
      </c>
      <c r="F357">
        <v>2</v>
      </c>
      <c r="G357">
        <v>12</v>
      </c>
      <c r="H357">
        <v>72</v>
      </c>
      <c r="I357" s="238" t="s">
        <v>43</v>
      </c>
      <c r="J357">
        <v>58.99</v>
      </c>
      <c r="K357" s="238" t="s">
        <v>37</v>
      </c>
      <c r="L357">
        <v>2733280.24</v>
      </c>
      <c r="M357">
        <v>0</v>
      </c>
      <c r="N357">
        <v>2733280.24</v>
      </c>
      <c r="O357">
        <v>46334.637057128326</v>
      </c>
      <c r="P357">
        <v>265455</v>
      </c>
      <c r="Q357">
        <v>2467825.2400000002</v>
      </c>
      <c r="R357">
        <v>41834.637057128326</v>
      </c>
      <c r="S357" s="238" t="s">
        <v>137</v>
      </c>
      <c r="T357" s="238" t="s">
        <v>350</v>
      </c>
      <c r="U357">
        <v>129885.53539999994</v>
      </c>
      <c r="V357" t="s">
        <v>1167</v>
      </c>
      <c r="W357" s="24">
        <v>44287</v>
      </c>
      <c r="X357" s="238" t="s">
        <v>487</v>
      </c>
      <c r="Y357" s="238" t="s">
        <v>39</v>
      </c>
      <c r="Z357" s="238" t="s">
        <v>1340</v>
      </c>
      <c r="AA357" t="s">
        <v>1167</v>
      </c>
      <c r="AB357" s="238" t="s">
        <v>3246</v>
      </c>
      <c r="AC357" t="s">
        <v>3079</v>
      </c>
      <c r="AD357" s="24"/>
      <c r="AE357" s="238" t="s">
        <v>1859</v>
      </c>
      <c r="AF357">
        <v>79277599163</v>
      </c>
      <c r="AG357" s="238" t="s">
        <v>1860</v>
      </c>
      <c r="AH357" s="238" t="s">
        <v>1171</v>
      </c>
      <c r="AI357" s="238" t="s">
        <v>135</v>
      </c>
      <c r="AJ357" s="238" t="s">
        <v>126</v>
      </c>
      <c r="AK357" s="238" t="s">
        <v>141</v>
      </c>
      <c r="AL357" t="s">
        <v>8715</v>
      </c>
      <c r="AM357" t="s">
        <v>1167</v>
      </c>
    </row>
    <row r="358" spans="1:39" hidden="1" x14ac:dyDescent="0.25">
      <c r="A358">
        <v>354</v>
      </c>
      <c r="B358">
        <v>19</v>
      </c>
      <c r="C358" s="24">
        <v>44294</v>
      </c>
      <c r="D358" s="238" t="s">
        <v>19</v>
      </c>
      <c r="E358" s="238" t="s">
        <v>5</v>
      </c>
      <c r="F358">
        <v>3</v>
      </c>
      <c r="G358">
        <v>15</v>
      </c>
      <c r="H358">
        <v>307</v>
      </c>
      <c r="I358" s="238" t="s">
        <v>44</v>
      </c>
      <c r="J358">
        <v>86.58</v>
      </c>
      <c r="K358" s="238" t="s">
        <v>37</v>
      </c>
      <c r="L358">
        <v>4180060.74</v>
      </c>
      <c r="M358">
        <v>15000</v>
      </c>
      <c r="N358">
        <v>4195060.74</v>
      </c>
      <c r="O358">
        <v>48453</v>
      </c>
      <c r="P358">
        <v>389610</v>
      </c>
      <c r="Q358">
        <v>3805450.74</v>
      </c>
      <c r="R358">
        <v>43953</v>
      </c>
      <c r="S358" s="238" t="s">
        <v>137</v>
      </c>
      <c r="T358" s="238" t="s">
        <v>1167</v>
      </c>
      <c r="V358" t="s">
        <v>1167</v>
      </c>
      <c r="W358" s="24">
        <v>44287</v>
      </c>
      <c r="X358" s="238" t="s">
        <v>491</v>
      </c>
      <c r="Y358" s="238" t="s">
        <v>39</v>
      </c>
      <c r="Z358" s="238" t="s">
        <v>1340</v>
      </c>
      <c r="AA358" t="s">
        <v>1167</v>
      </c>
      <c r="AB358" s="238" t="s">
        <v>3246</v>
      </c>
      <c r="AC358" t="s">
        <v>3079</v>
      </c>
      <c r="AD358" s="24"/>
      <c r="AE358" s="238" t="s">
        <v>1861</v>
      </c>
      <c r="AF358">
        <v>79277079812</v>
      </c>
      <c r="AG358" s="238" t="s">
        <v>1862</v>
      </c>
      <c r="AH358" s="238" t="s">
        <v>1171</v>
      </c>
      <c r="AI358" s="238" t="s">
        <v>135</v>
      </c>
      <c r="AJ358" s="238" t="s">
        <v>130</v>
      </c>
      <c r="AK358" s="238" t="s">
        <v>141</v>
      </c>
      <c r="AL358" t="s">
        <v>8715</v>
      </c>
      <c r="AM358" t="s">
        <v>1167</v>
      </c>
    </row>
    <row r="359" spans="1:39" hidden="1" x14ac:dyDescent="0.25">
      <c r="A359">
        <v>355</v>
      </c>
      <c r="B359">
        <v>20</v>
      </c>
      <c r="C359" s="24">
        <v>44294</v>
      </c>
      <c r="D359" s="238" t="s">
        <v>20</v>
      </c>
      <c r="E359" s="238" t="s">
        <v>6</v>
      </c>
      <c r="F359">
        <v>3</v>
      </c>
      <c r="G359">
        <v>5</v>
      </c>
      <c r="H359">
        <v>33</v>
      </c>
      <c r="I359" s="238" t="s">
        <v>43</v>
      </c>
      <c r="J359">
        <v>67.16</v>
      </c>
      <c r="K359" s="238" t="s">
        <v>36</v>
      </c>
      <c r="L359">
        <v>3359857.16</v>
      </c>
      <c r="M359">
        <v>15000</v>
      </c>
      <c r="N359">
        <v>3374857.16</v>
      </c>
      <c r="O359">
        <v>50251.000000000007</v>
      </c>
      <c r="P359">
        <v>33580</v>
      </c>
      <c r="Q359">
        <v>3341277.16</v>
      </c>
      <c r="R359">
        <v>49751.000000000007</v>
      </c>
      <c r="S359" s="238" t="s">
        <v>137</v>
      </c>
      <c r="T359" s="238" t="s">
        <v>1167</v>
      </c>
      <c r="V359" t="s">
        <v>1167</v>
      </c>
      <c r="W359" s="24">
        <v>44287</v>
      </c>
      <c r="X359" s="238" t="s">
        <v>485</v>
      </c>
      <c r="Y359" s="238" t="s">
        <v>39</v>
      </c>
      <c r="Z359" s="238" t="s">
        <v>1168</v>
      </c>
      <c r="AA359" t="s">
        <v>1167</v>
      </c>
      <c r="AB359" s="238" t="s">
        <v>3246</v>
      </c>
      <c r="AC359" t="s">
        <v>3080</v>
      </c>
      <c r="AD359" s="24"/>
      <c r="AE359" s="238" t="s">
        <v>1863</v>
      </c>
      <c r="AF359">
        <v>79879143907</v>
      </c>
      <c r="AG359" s="238" t="s">
        <v>1864</v>
      </c>
      <c r="AH359" s="238" t="s">
        <v>1171</v>
      </c>
      <c r="AI359" s="238" t="s">
        <v>3074</v>
      </c>
      <c r="AJ359" s="238" t="s">
        <v>120</v>
      </c>
      <c r="AK359" s="238" t="s">
        <v>141</v>
      </c>
      <c r="AL359" t="s">
        <v>8715</v>
      </c>
      <c r="AM359" t="s">
        <v>1167</v>
      </c>
    </row>
    <row r="360" spans="1:39" hidden="1" x14ac:dyDescent="0.25">
      <c r="A360">
        <v>356</v>
      </c>
      <c r="B360">
        <v>21</v>
      </c>
      <c r="C360" s="24">
        <v>44294</v>
      </c>
      <c r="D360" s="238" t="s">
        <v>19</v>
      </c>
      <c r="E360" s="238" t="s">
        <v>5</v>
      </c>
      <c r="F360">
        <v>7</v>
      </c>
      <c r="G360">
        <v>3</v>
      </c>
      <c r="H360">
        <v>179</v>
      </c>
      <c r="I360" s="238" t="s">
        <v>4052</v>
      </c>
      <c r="J360">
        <v>24.23</v>
      </c>
      <c r="K360" s="238" t="s">
        <v>37</v>
      </c>
      <c r="L360">
        <v>1320618.8400000001</v>
      </c>
      <c r="M360">
        <v>0</v>
      </c>
      <c r="N360">
        <v>1320618.8400000001</v>
      </c>
      <c r="O360">
        <v>54503.460173338841</v>
      </c>
      <c r="P360">
        <v>109035</v>
      </c>
      <c r="Q360">
        <v>1211583.8400000001</v>
      </c>
      <c r="R360">
        <v>50003.460173338841</v>
      </c>
      <c r="S360" s="238" t="s">
        <v>124</v>
      </c>
      <c r="T360" s="238" t="s">
        <v>1167</v>
      </c>
      <c r="V360" t="s">
        <v>1167</v>
      </c>
      <c r="W360" s="24">
        <v>44288</v>
      </c>
      <c r="X360" s="238" t="s">
        <v>489</v>
      </c>
      <c r="Y360" s="238" t="s">
        <v>39</v>
      </c>
      <c r="Z360" s="238" t="s">
        <v>1168</v>
      </c>
      <c r="AA360" t="s">
        <v>1167</v>
      </c>
      <c r="AB360" s="238" t="s">
        <v>3246</v>
      </c>
      <c r="AC360" t="s">
        <v>4246</v>
      </c>
      <c r="AD360" s="24"/>
      <c r="AE360" s="238" t="s">
        <v>1865</v>
      </c>
      <c r="AF360">
        <v>79171567706</v>
      </c>
      <c r="AG360" s="238" t="s">
        <v>1866</v>
      </c>
      <c r="AH360" s="238" t="s">
        <v>1212</v>
      </c>
      <c r="AI360" s="238" t="s">
        <v>3084</v>
      </c>
      <c r="AJ360" s="238" t="s">
        <v>130</v>
      </c>
      <c r="AK360" s="238" t="s">
        <v>1167</v>
      </c>
      <c r="AL360" t="s">
        <v>8715</v>
      </c>
      <c r="AM360" t="s">
        <v>1167</v>
      </c>
    </row>
    <row r="361" spans="1:39" hidden="1" x14ac:dyDescent="0.25">
      <c r="A361">
        <v>357</v>
      </c>
      <c r="B361">
        <v>22</v>
      </c>
      <c r="C361" s="24">
        <v>44294</v>
      </c>
      <c r="D361" s="238" t="s">
        <v>20</v>
      </c>
      <c r="E361" s="238" t="s">
        <v>6</v>
      </c>
      <c r="F361">
        <v>1</v>
      </c>
      <c r="G361">
        <v>2</v>
      </c>
      <c r="H361">
        <v>1</v>
      </c>
      <c r="I361" s="238" t="s">
        <v>4052</v>
      </c>
      <c r="J361">
        <v>32.770000000000003</v>
      </c>
      <c r="K361" s="238" t="s">
        <v>36</v>
      </c>
      <c r="L361">
        <v>2069851.51</v>
      </c>
      <c r="M361">
        <v>0</v>
      </c>
      <c r="N361">
        <v>2069851.51</v>
      </c>
      <c r="O361">
        <v>63162.999999999993</v>
      </c>
      <c r="P361">
        <v>16385</v>
      </c>
      <c r="Q361">
        <v>2053466.51</v>
      </c>
      <c r="R361">
        <v>62662.999999999993</v>
      </c>
      <c r="S361" s="238" t="s">
        <v>137</v>
      </c>
      <c r="T361" s="238" t="s">
        <v>1167</v>
      </c>
      <c r="V361" t="s">
        <v>1167</v>
      </c>
      <c r="W361" s="24">
        <v>44289</v>
      </c>
      <c r="X361" s="238" t="s">
        <v>122</v>
      </c>
      <c r="Y361" s="238" t="s">
        <v>39</v>
      </c>
      <c r="Z361" s="238" t="s">
        <v>1340</v>
      </c>
      <c r="AA361" t="s">
        <v>1167</v>
      </c>
      <c r="AB361" s="238" t="s">
        <v>3246</v>
      </c>
      <c r="AC361" t="s">
        <v>3079</v>
      </c>
      <c r="AD361" s="24"/>
      <c r="AE361" s="238" t="s">
        <v>1867</v>
      </c>
      <c r="AF361">
        <v>79277450907</v>
      </c>
      <c r="AG361" s="238" t="s">
        <v>1868</v>
      </c>
      <c r="AH361" s="238" t="s">
        <v>1171</v>
      </c>
      <c r="AI361" s="238" t="s">
        <v>3090</v>
      </c>
      <c r="AJ361" s="238" t="s">
        <v>130</v>
      </c>
      <c r="AK361" s="238" t="s">
        <v>141</v>
      </c>
      <c r="AL361" t="s">
        <v>8715</v>
      </c>
      <c r="AM361" t="s">
        <v>1167</v>
      </c>
    </row>
    <row r="362" spans="1:39" hidden="1" x14ac:dyDescent="0.25">
      <c r="A362">
        <v>358</v>
      </c>
      <c r="B362">
        <v>23</v>
      </c>
      <c r="C362" s="24">
        <v>44294</v>
      </c>
      <c r="D362" s="238" t="s">
        <v>20</v>
      </c>
      <c r="E362" s="238" t="s">
        <v>16</v>
      </c>
      <c r="F362">
        <v>1</v>
      </c>
      <c r="G362">
        <v>7</v>
      </c>
      <c r="H362">
        <v>352</v>
      </c>
      <c r="I362" s="238" t="s">
        <v>43</v>
      </c>
      <c r="J362">
        <v>59.13</v>
      </c>
      <c r="K362" s="238" t="s">
        <v>36</v>
      </c>
      <c r="L362">
        <v>3120171.84</v>
      </c>
      <c r="M362">
        <v>0</v>
      </c>
      <c r="N362">
        <v>3120171.84</v>
      </c>
      <c r="O362">
        <v>52767.999999999993</v>
      </c>
      <c r="P362">
        <v>29565</v>
      </c>
      <c r="Q362">
        <v>3090606.84</v>
      </c>
      <c r="R362">
        <v>52267.999999999993</v>
      </c>
      <c r="S362" s="238" t="s">
        <v>121</v>
      </c>
      <c r="T362" s="238" t="s">
        <v>1167</v>
      </c>
      <c r="V362" t="s">
        <v>1167</v>
      </c>
      <c r="W362" s="24">
        <v>44298</v>
      </c>
      <c r="X362" s="238" t="s">
        <v>486</v>
      </c>
      <c r="Y362" s="238" t="s">
        <v>39</v>
      </c>
      <c r="Z362" s="238" t="s">
        <v>1340</v>
      </c>
      <c r="AA362" t="s">
        <v>1167</v>
      </c>
      <c r="AB362" s="238" t="s">
        <v>3246</v>
      </c>
      <c r="AC362" t="s">
        <v>4246</v>
      </c>
      <c r="AD362" s="24"/>
      <c r="AE362" s="238" t="s">
        <v>1869</v>
      </c>
      <c r="AF362">
        <v>79023738950</v>
      </c>
      <c r="AG362" s="238" t="s">
        <v>1870</v>
      </c>
      <c r="AH362" s="238" t="s">
        <v>1212</v>
      </c>
      <c r="AI362" s="238" t="s">
        <v>3097</v>
      </c>
      <c r="AJ362" s="238" t="s">
        <v>130</v>
      </c>
      <c r="AK362" s="238" t="s">
        <v>1167</v>
      </c>
      <c r="AL362" t="s">
        <v>8715</v>
      </c>
      <c r="AM362" t="s">
        <v>1167</v>
      </c>
    </row>
    <row r="363" spans="1:39" hidden="1" x14ac:dyDescent="0.25">
      <c r="A363">
        <v>359</v>
      </c>
      <c r="B363">
        <v>24</v>
      </c>
      <c r="C363" s="24">
        <v>44295</v>
      </c>
      <c r="D363" s="238" t="s">
        <v>19</v>
      </c>
      <c r="E363" s="238" t="s">
        <v>5</v>
      </c>
      <c r="F363">
        <v>10</v>
      </c>
      <c r="G363">
        <v>14</v>
      </c>
      <c r="H363">
        <v>303</v>
      </c>
      <c r="I363" s="238" t="s">
        <v>4052</v>
      </c>
      <c r="J363">
        <v>25.91</v>
      </c>
      <c r="K363" s="238" t="s">
        <v>37</v>
      </c>
      <c r="L363">
        <v>1531281</v>
      </c>
      <c r="M363">
        <v>0</v>
      </c>
      <c r="N363">
        <v>1531281</v>
      </c>
      <c r="O363">
        <v>59100</v>
      </c>
      <c r="P363">
        <v>116595</v>
      </c>
      <c r="Q363">
        <v>1414686</v>
      </c>
      <c r="R363">
        <v>54600</v>
      </c>
      <c r="S363" s="238" t="s">
        <v>137</v>
      </c>
      <c r="T363" s="238" t="s">
        <v>1167</v>
      </c>
      <c r="V363" t="s">
        <v>1167</v>
      </c>
      <c r="W363" s="24">
        <v>44287</v>
      </c>
      <c r="X363" s="238" t="s">
        <v>499</v>
      </c>
      <c r="Y363" s="238" t="s">
        <v>39</v>
      </c>
      <c r="Z363" s="238" t="s">
        <v>1168</v>
      </c>
      <c r="AA363" t="s">
        <v>1167</v>
      </c>
      <c r="AB363" s="238" t="s">
        <v>3246</v>
      </c>
      <c r="AC363" t="s">
        <v>3079</v>
      </c>
      <c r="AD363" s="24"/>
      <c r="AE363" s="238" t="s">
        <v>1871</v>
      </c>
      <c r="AF363">
        <v>79279095300</v>
      </c>
      <c r="AG363" s="238" t="s">
        <v>1872</v>
      </c>
      <c r="AH363" s="238" t="s">
        <v>1171</v>
      </c>
      <c r="AI363" s="238" t="s">
        <v>3095</v>
      </c>
      <c r="AJ363" s="238" t="s">
        <v>399</v>
      </c>
      <c r="AK363" s="238" t="s">
        <v>141</v>
      </c>
      <c r="AL363" t="s">
        <v>8715</v>
      </c>
      <c r="AM363" t="s">
        <v>1167</v>
      </c>
    </row>
    <row r="364" spans="1:39" hidden="1" x14ac:dyDescent="0.25">
      <c r="A364">
        <v>360</v>
      </c>
      <c r="B364">
        <v>25</v>
      </c>
      <c r="C364" s="24">
        <v>44295</v>
      </c>
      <c r="D364" s="238" t="s">
        <v>19</v>
      </c>
      <c r="E364" s="238" t="s">
        <v>5</v>
      </c>
      <c r="F364">
        <v>1</v>
      </c>
      <c r="G364">
        <v>4</v>
      </c>
      <c r="H364">
        <v>184</v>
      </c>
      <c r="I364" s="238" t="s">
        <v>42</v>
      </c>
      <c r="J364">
        <v>38.83</v>
      </c>
      <c r="K364" s="238" t="s">
        <v>36</v>
      </c>
      <c r="L364">
        <v>1921580.21</v>
      </c>
      <c r="M364">
        <v>0</v>
      </c>
      <c r="N364">
        <v>1921580.21</v>
      </c>
      <c r="O364">
        <v>49487</v>
      </c>
      <c r="P364">
        <v>0</v>
      </c>
      <c r="Q364">
        <v>1921580.21</v>
      </c>
      <c r="R364">
        <v>49487</v>
      </c>
      <c r="S364" s="238" t="s">
        <v>124</v>
      </c>
      <c r="T364" s="238" t="s">
        <v>1167</v>
      </c>
      <c r="V364" t="s">
        <v>1167</v>
      </c>
      <c r="W364" s="24">
        <v>44287</v>
      </c>
      <c r="X364" s="238" t="s">
        <v>494</v>
      </c>
      <c r="Y364" s="238" t="s">
        <v>39</v>
      </c>
      <c r="Z364" s="238" t="s">
        <v>1168</v>
      </c>
      <c r="AA364" t="s">
        <v>1167</v>
      </c>
      <c r="AB364" s="238" t="s">
        <v>3246</v>
      </c>
      <c r="AC364" t="s">
        <v>4246</v>
      </c>
      <c r="AD364" s="24"/>
      <c r="AE364" s="238" t="s">
        <v>1873</v>
      </c>
      <c r="AF364">
        <v>79171010893</v>
      </c>
      <c r="AG364" s="238" t="s">
        <v>1874</v>
      </c>
      <c r="AH364" s="238" t="s">
        <v>1171</v>
      </c>
      <c r="AI364" s="238" t="s">
        <v>3074</v>
      </c>
      <c r="AJ364" s="238" t="s">
        <v>399</v>
      </c>
      <c r="AK364" s="238" t="s">
        <v>1167</v>
      </c>
      <c r="AL364" t="s">
        <v>8715</v>
      </c>
      <c r="AM364" t="s">
        <v>1167</v>
      </c>
    </row>
    <row r="365" spans="1:39" hidden="1" x14ac:dyDescent="0.25">
      <c r="A365">
        <v>361</v>
      </c>
      <c r="B365">
        <v>26</v>
      </c>
      <c r="C365" s="24">
        <v>44295</v>
      </c>
      <c r="D365" s="238" t="s">
        <v>19</v>
      </c>
      <c r="E365" s="238" t="s">
        <v>5</v>
      </c>
      <c r="F365">
        <v>8</v>
      </c>
      <c r="G365">
        <v>13</v>
      </c>
      <c r="H365">
        <v>290</v>
      </c>
      <c r="I365" s="238" t="s">
        <v>43</v>
      </c>
      <c r="J365">
        <v>56.93</v>
      </c>
      <c r="K365" s="238" t="s">
        <v>37</v>
      </c>
      <c r="L365">
        <v>3076469.79</v>
      </c>
      <c r="M365">
        <v>15000</v>
      </c>
      <c r="N365">
        <v>3091469.79</v>
      </c>
      <c r="O365">
        <v>54303</v>
      </c>
      <c r="P365">
        <v>256185</v>
      </c>
      <c r="Q365">
        <v>2835284.79</v>
      </c>
      <c r="R365">
        <v>49803</v>
      </c>
      <c r="S365" s="238" t="s">
        <v>121</v>
      </c>
      <c r="T365" s="238" t="s">
        <v>1167</v>
      </c>
      <c r="V365" t="s">
        <v>1167</v>
      </c>
      <c r="W365" s="24">
        <v>44287</v>
      </c>
      <c r="X365" s="238" t="s">
        <v>498</v>
      </c>
      <c r="Y365" s="238" t="s">
        <v>39</v>
      </c>
      <c r="Z365" s="238" t="s">
        <v>1340</v>
      </c>
      <c r="AA365" t="s">
        <v>1167</v>
      </c>
      <c r="AB365" s="238" t="s">
        <v>3246</v>
      </c>
      <c r="AC365" t="s">
        <v>4246</v>
      </c>
      <c r="AD365" s="24"/>
      <c r="AE365" s="238" t="s">
        <v>1875</v>
      </c>
      <c r="AF365">
        <v>79228015935</v>
      </c>
      <c r="AG365" s="238" t="s">
        <v>1876</v>
      </c>
      <c r="AH365" s="238" t="s">
        <v>1212</v>
      </c>
      <c r="AI365" s="238" t="s">
        <v>135</v>
      </c>
      <c r="AJ365" s="238" t="s">
        <v>399</v>
      </c>
      <c r="AK365" s="238" t="s">
        <v>1167</v>
      </c>
      <c r="AL365" t="s">
        <v>8715</v>
      </c>
      <c r="AM365" t="s">
        <v>1167</v>
      </c>
    </row>
    <row r="366" spans="1:39" hidden="1" x14ac:dyDescent="0.25">
      <c r="A366">
        <v>362</v>
      </c>
      <c r="B366">
        <v>27</v>
      </c>
      <c r="C366" s="24">
        <v>44295</v>
      </c>
      <c r="D366" s="238" t="s">
        <v>19</v>
      </c>
      <c r="E366" s="238" t="s">
        <v>5</v>
      </c>
      <c r="F366">
        <v>10</v>
      </c>
      <c r="G366">
        <v>9</v>
      </c>
      <c r="H366">
        <v>248</v>
      </c>
      <c r="I366" s="238" t="s">
        <v>4052</v>
      </c>
      <c r="J366">
        <v>25.91</v>
      </c>
      <c r="K366" s="238" t="s">
        <v>36</v>
      </c>
      <c r="L366">
        <v>1263112.5</v>
      </c>
      <c r="M366">
        <v>0</v>
      </c>
      <c r="N366">
        <v>1263112.5</v>
      </c>
      <c r="O366">
        <v>48750</v>
      </c>
      <c r="P366">
        <v>0</v>
      </c>
      <c r="Q366">
        <v>1263112.5</v>
      </c>
      <c r="R366">
        <v>48750</v>
      </c>
      <c r="S366" s="238" t="s">
        <v>124</v>
      </c>
      <c r="T366" s="238" t="s">
        <v>1167</v>
      </c>
      <c r="V366" t="s">
        <v>1167</v>
      </c>
      <c r="W366" s="24">
        <v>44287</v>
      </c>
      <c r="X366" s="238" t="s">
        <v>497</v>
      </c>
      <c r="Y366" s="238" t="s">
        <v>39</v>
      </c>
      <c r="Z366" s="238" t="s">
        <v>1168</v>
      </c>
      <c r="AA366" t="s">
        <v>1167</v>
      </c>
      <c r="AB366" s="238" t="s">
        <v>3246</v>
      </c>
      <c r="AC366" t="s">
        <v>4246</v>
      </c>
      <c r="AD366" s="24"/>
      <c r="AE366" s="238" t="s">
        <v>1877</v>
      </c>
      <c r="AF366">
        <v>79277209974</v>
      </c>
      <c r="AG366" s="238" t="s">
        <v>1878</v>
      </c>
      <c r="AH366" s="238" t="s">
        <v>1212</v>
      </c>
      <c r="AI366" s="238" t="s">
        <v>3101</v>
      </c>
      <c r="AJ366" s="238" t="s">
        <v>130</v>
      </c>
      <c r="AK366" s="238" t="s">
        <v>1167</v>
      </c>
      <c r="AL366" t="s">
        <v>8715</v>
      </c>
      <c r="AM366" t="s">
        <v>1167</v>
      </c>
    </row>
    <row r="367" spans="1:39" hidden="1" x14ac:dyDescent="0.25">
      <c r="A367">
        <v>363</v>
      </c>
      <c r="B367">
        <v>28</v>
      </c>
      <c r="C367" s="24">
        <v>44295</v>
      </c>
      <c r="D367" s="238" t="s">
        <v>19</v>
      </c>
      <c r="E367" s="238" t="s">
        <v>5</v>
      </c>
      <c r="F367">
        <v>2</v>
      </c>
      <c r="G367">
        <v>3</v>
      </c>
      <c r="H367">
        <v>174</v>
      </c>
      <c r="I367" s="238" t="s">
        <v>42</v>
      </c>
      <c r="J367">
        <v>38.22</v>
      </c>
      <c r="K367" s="238" t="s">
        <v>37</v>
      </c>
      <c r="L367">
        <v>2141734.14</v>
      </c>
      <c r="M367">
        <v>0</v>
      </c>
      <c r="N367">
        <v>2141734.14</v>
      </c>
      <c r="O367">
        <v>56037.000000000007</v>
      </c>
      <c r="P367">
        <v>171990.00000000047</v>
      </c>
      <c r="Q367">
        <v>1969744.1399999997</v>
      </c>
      <c r="R367">
        <v>51536.999999999993</v>
      </c>
      <c r="S367" s="238" t="s">
        <v>137</v>
      </c>
      <c r="T367" s="238" t="s">
        <v>1167</v>
      </c>
      <c r="V367" t="s">
        <v>1167</v>
      </c>
      <c r="W367" s="24">
        <v>44287</v>
      </c>
      <c r="X367" s="238" t="s">
        <v>492</v>
      </c>
      <c r="Y367" s="238" t="s">
        <v>39</v>
      </c>
      <c r="Z367" s="238" t="s">
        <v>1168</v>
      </c>
      <c r="AA367" t="s">
        <v>1167</v>
      </c>
      <c r="AB367" s="238" t="s">
        <v>3246</v>
      </c>
      <c r="AC367" t="s">
        <v>3079</v>
      </c>
      <c r="AD367" s="24"/>
      <c r="AE367" s="238" t="s">
        <v>1644</v>
      </c>
      <c r="AF367">
        <v>79991586528</v>
      </c>
      <c r="AG367" s="238" t="s">
        <v>1645</v>
      </c>
      <c r="AH367" s="238" t="s">
        <v>1171</v>
      </c>
      <c r="AI367" s="238" t="s">
        <v>3090</v>
      </c>
      <c r="AJ367" s="238" t="s">
        <v>399</v>
      </c>
      <c r="AK367" s="238" t="s">
        <v>141</v>
      </c>
      <c r="AL367" t="s">
        <v>8715</v>
      </c>
      <c r="AM367" t="s">
        <v>1167</v>
      </c>
    </row>
    <row r="368" spans="1:39" hidden="1" x14ac:dyDescent="0.25">
      <c r="A368">
        <v>364</v>
      </c>
      <c r="B368">
        <v>29</v>
      </c>
      <c r="C368" s="24">
        <v>44295</v>
      </c>
      <c r="D368" s="238" t="s">
        <v>19</v>
      </c>
      <c r="E368" s="238" t="s">
        <v>5</v>
      </c>
      <c r="F368">
        <v>6</v>
      </c>
      <c r="G368">
        <v>3</v>
      </c>
      <c r="H368">
        <v>178</v>
      </c>
      <c r="I368" s="238" t="s">
        <v>43</v>
      </c>
      <c r="J368">
        <v>60.24</v>
      </c>
      <c r="K368" s="238" t="s">
        <v>38</v>
      </c>
      <c r="L368">
        <v>3556356.35</v>
      </c>
      <c r="M368">
        <v>0</v>
      </c>
      <c r="N368">
        <v>3556356.35</v>
      </c>
      <c r="O368">
        <v>59036.459993359895</v>
      </c>
      <c r="P368">
        <v>903600</v>
      </c>
      <c r="Q368">
        <v>2652756.35</v>
      </c>
      <c r="R368">
        <v>44036.459993359895</v>
      </c>
      <c r="S368" s="238" t="s">
        <v>137</v>
      </c>
      <c r="T368" s="238" t="s">
        <v>1167</v>
      </c>
      <c r="V368" t="s">
        <v>1167</v>
      </c>
      <c r="W368" s="24">
        <v>44287</v>
      </c>
      <c r="X368" s="238" t="s">
        <v>493</v>
      </c>
      <c r="Y368" s="238" t="s">
        <v>39</v>
      </c>
      <c r="Z368" s="238" t="s">
        <v>1168</v>
      </c>
      <c r="AA368" t="s">
        <v>1167</v>
      </c>
      <c r="AB368" s="238" t="s">
        <v>3246</v>
      </c>
      <c r="AC368" t="s">
        <v>3079</v>
      </c>
      <c r="AD368" s="24"/>
      <c r="AE368" s="238" t="s">
        <v>1879</v>
      </c>
      <c r="AF368">
        <v>79379867380</v>
      </c>
      <c r="AG368" s="238" t="s">
        <v>1880</v>
      </c>
      <c r="AH368" s="238" t="s">
        <v>1212</v>
      </c>
      <c r="AI368" s="238" t="s">
        <v>135</v>
      </c>
      <c r="AJ368" s="238" t="s">
        <v>399</v>
      </c>
      <c r="AK368" s="238" t="s">
        <v>141</v>
      </c>
      <c r="AL368" t="s">
        <v>8715</v>
      </c>
      <c r="AM368" t="s">
        <v>1167</v>
      </c>
    </row>
    <row r="369" spans="1:39" hidden="1" x14ac:dyDescent="0.25">
      <c r="A369">
        <v>365</v>
      </c>
      <c r="B369">
        <v>30</v>
      </c>
      <c r="C369" s="24">
        <v>44295</v>
      </c>
      <c r="D369" s="238" t="s">
        <v>19</v>
      </c>
      <c r="E369" s="238" t="s">
        <v>5</v>
      </c>
      <c r="F369">
        <v>8</v>
      </c>
      <c r="G369">
        <v>9</v>
      </c>
      <c r="H369">
        <v>246</v>
      </c>
      <c r="I369" s="238" t="s">
        <v>43</v>
      </c>
      <c r="J369">
        <v>56.93</v>
      </c>
      <c r="K369" s="238" t="s">
        <v>37</v>
      </c>
      <c r="L369">
        <v>2758429.29</v>
      </c>
      <c r="M369">
        <v>0</v>
      </c>
      <c r="N369">
        <v>2758429.29</v>
      </c>
      <c r="O369">
        <v>48453</v>
      </c>
      <c r="P369">
        <v>256185</v>
      </c>
      <c r="Q369">
        <v>2502244.29</v>
      </c>
      <c r="R369">
        <v>43953</v>
      </c>
      <c r="S369" s="238" t="s">
        <v>137</v>
      </c>
      <c r="T369" s="238" t="s">
        <v>1167</v>
      </c>
      <c r="V369" t="s">
        <v>1167</v>
      </c>
      <c r="W369" s="24">
        <v>44287</v>
      </c>
      <c r="X369" s="238" t="s">
        <v>495</v>
      </c>
      <c r="Y369" s="238" t="s">
        <v>39</v>
      </c>
      <c r="Z369" s="238" t="s">
        <v>1168</v>
      </c>
      <c r="AA369" t="s">
        <v>1167</v>
      </c>
      <c r="AB369" s="238" t="s">
        <v>3246</v>
      </c>
      <c r="AC369" t="s">
        <v>3077</v>
      </c>
      <c r="AD369" s="24"/>
      <c r="AE369" s="238" t="s">
        <v>1881</v>
      </c>
      <c r="AF369">
        <v>79276080409</v>
      </c>
      <c r="AG369" s="238" t="s">
        <v>1882</v>
      </c>
      <c r="AH369" s="238" t="s">
        <v>1171</v>
      </c>
      <c r="AI369" s="238" t="s">
        <v>135</v>
      </c>
      <c r="AJ369" s="238" t="s">
        <v>126</v>
      </c>
      <c r="AK369" s="238" t="s">
        <v>141</v>
      </c>
      <c r="AL369" t="s">
        <v>8715</v>
      </c>
      <c r="AM369" t="s">
        <v>1167</v>
      </c>
    </row>
    <row r="370" spans="1:39" hidden="1" x14ac:dyDescent="0.25">
      <c r="A370">
        <v>366</v>
      </c>
      <c r="B370">
        <v>31</v>
      </c>
      <c r="C370" s="24">
        <v>44295</v>
      </c>
      <c r="D370" s="238" t="s">
        <v>19</v>
      </c>
      <c r="E370" s="238" t="s">
        <v>5</v>
      </c>
      <c r="F370">
        <v>9</v>
      </c>
      <c r="G370">
        <v>9</v>
      </c>
      <c r="H370">
        <v>247</v>
      </c>
      <c r="I370" s="238" t="s">
        <v>43</v>
      </c>
      <c r="J370">
        <v>60.3</v>
      </c>
      <c r="K370" s="238" t="s">
        <v>37</v>
      </c>
      <c r="L370">
        <v>2859681.9</v>
      </c>
      <c r="M370">
        <v>15000</v>
      </c>
      <c r="N370">
        <v>2874681.9</v>
      </c>
      <c r="O370">
        <v>47673</v>
      </c>
      <c r="P370">
        <v>271350</v>
      </c>
      <c r="Q370">
        <v>2603331.9</v>
      </c>
      <c r="R370">
        <v>43173</v>
      </c>
      <c r="S370" s="238" t="s">
        <v>124</v>
      </c>
      <c r="T370" s="238" t="s">
        <v>1167</v>
      </c>
      <c r="V370" t="s">
        <v>1167</v>
      </c>
      <c r="W370" s="24">
        <v>44288</v>
      </c>
      <c r="X370" s="238" t="s">
        <v>496</v>
      </c>
      <c r="Y370" s="238" t="s">
        <v>39</v>
      </c>
      <c r="Z370" s="238" t="s">
        <v>1168</v>
      </c>
      <c r="AA370" t="s">
        <v>1167</v>
      </c>
      <c r="AB370" s="238" t="s">
        <v>3246</v>
      </c>
      <c r="AC370" t="s">
        <v>4246</v>
      </c>
      <c r="AD370" s="24"/>
      <c r="AE370" s="238" t="s">
        <v>1883</v>
      </c>
      <c r="AF370">
        <v>79276173222</v>
      </c>
      <c r="AG370" s="238" t="s">
        <v>1884</v>
      </c>
      <c r="AH370" s="238" t="s">
        <v>1171</v>
      </c>
      <c r="AI370" s="238" t="s">
        <v>3074</v>
      </c>
      <c r="AJ370" s="238" t="s">
        <v>399</v>
      </c>
      <c r="AK370" s="238" t="s">
        <v>1167</v>
      </c>
      <c r="AL370" t="s">
        <v>8715</v>
      </c>
      <c r="AM370" t="s">
        <v>1167</v>
      </c>
    </row>
    <row r="371" spans="1:39" hidden="1" x14ac:dyDescent="0.25">
      <c r="A371">
        <v>367</v>
      </c>
      <c r="B371">
        <v>32</v>
      </c>
      <c r="C371" s="24">
        <v>44296</v>
      </c>
      <c r="D371" s="238" t="s">
        <v>19</v>
      </c>
      <c r="E371" s="238" t="s">
        <v>5</v>
      </c>
      <c r="F371">
        <v>3</v>
      </c>
      <c r="G371">
        <v>13</v>
      </c>
      <c r="H371">
        <v>285</v>
      </c>
      <c r="I371" s="238" t="s">
        <v>44</v>
      </c>
      <c r="J371">
        <v>86.58</v>
      </c>
      <c r="K371" s="238" t="s">
        <v>36</v>
      </c>
      <c r="L371">
        <v>3805450.74</v>
      </c>
      <c r="M371">
        <v>0</v>
      </c>
      <c r="N371">
        <v>3805450.74</v>
      </c>
      <c r="O371">
        <v>43953</v>
      </c>
      <c r="P371">
        <v>0</v>
      </c>
      <c r="Q371">
        <v>3805450.74</v>
      </c>
      <c r="R371">
        <v>43953</v>
      </c>
      <c r="S371" s="238" t="s">
        <v>137</v>
      </c>
      <c r="T371" s="238" t="s">
        <v>1167</v>
      </c>
      <c r="V371" t="s">
        <v>1167</v>
      </c>
      <c r="W371" s="24">
        <v>44287</v>
      </c>
      <c r="X371" s="238" t="s">
        <v>502</v>
      </c>
      <c r="Y371" s="238" t="s">
        <v>39</v>
      </c>
      <c r="Z371" s="238" t="s">
        <v>1168</v>
      </c>
      <c r="AA371" t="s">
        <v>1167</v>
      </c>
      <c r="AB371" s="238" t="s">
        <v>3246</v>
      </c>
      <c r="AC371" t="s">
        <v>3079</v>
      </c>
      <c r="AD371" s="24"/>
      <c r="AE371" s="238" t="s">
        <v>1885</v>
      </c>
      <c r="AF371">
        <v>79277442177</v>
      </c>
      <c r="AG371" s="238" t="s">
        <v>1886</v>
      </c>
      <c r="AH371" s="238" t="s">
        <v>1171</v>
      </c>
      <c r="AI371" s="238" t="s">
        <v>3088</v>
      </c>
      <c r="AJ371" s="238" t="s">
        <v>399</v>
      </c>
      <c r="AK371" s="238" t="s">
        <v>141</v>
      </c>
      <c r="AL371" t="s">
        <v>8715</v>
      </c>
      <c r="AM371" t="s">
        <v>1167</v>
      </c>
    </row>
    <row r="372" spans="1:39" hidden="1" x14ac:dyDescent="0.25">
      <c r="A372">
        <v>368</v>
      </c>
      <c r="B372">
        <v>33</v>
      </c>
      <c r="C372" s="24">
        <v>44296</v>
      </c>
      <c r="D372" s="238" t="s">
        <v>19</v>
      </c>
      <c r="E372" s="238" t="s">
        <v>5</v>
      </c>
      <c r="F372">
        <v>4</v>
      </c>
      <c r="G372">
        <v>8</v>
      </c>
      <c r="H372">
        <v>231</v>
      </c>
      <c r="I372" s="238" t="s">
        <v>42</v>
      </c>
      <c r="J372">
        <v>37.89</v>
      </c>
      <c r="K372" s="238" t="s">
        <v>37</v>
      </c>
      <c r="L372">
        <v>2162296.67</v>
      </c>
      <c r="M372">
        <v>0</v>
      </c>
      <c r="N372">
        <v>2162296.67</v>
      </c>
      <c r="O372">
        <v>57067.740036949057</v>
      </c>
      <c r="P372">
        <v>170505</v>
      </c>
      <c r="Q372">
        <v>1991791.67</v>
      </c>
      <c r="R372">
        <v>52567.740036949057</v>
      </c>
      <c r="S372" s="238" t="s">
        <v>137</v>
      </c>
      <c r="T372" s="238" t="s">
        <v>1167</v>
      </c>
      <c r="V372" t="s">
        <v>1167</v>
      </c>
      <c r="W372" s="24">
        <v>44287</v>
      </c>
      <c r="X372" s="238" t="s">
        <v>501</v>
      </c>
      <c r="Y372" s="238" t="s">
        <v>39</v>
      </c>
      <c r="Z372" s="238" t="s">
        <v>1168</v>
      </c>
      <c r="AA372" t="s">
        <v>1167</v>
      </c>
      <c r="AB372" s="238" t="s">
        <v>3246</v>
      </c>
      <c r="AC372" t="s">
        <v>3077</v>
      </c>
      <c r="AD372" s="24"/>
      <c r="AE372" s="238" t="s">
        <v>1887</v>
      </c>
      <c r="AF372">
        <v>79990806620</v>
      </c>
      <c r="AG372" s="238" t="s">
        <v>1888</v>
      </c>
      <c r="AH372" s="238" t="s">
        <v>1212</v>
      </c>
      <c r="AI372" s="238" t="s">
        <v>3088</v>
      </c>
      <c r="AJ372" s="238" t="s">
        <v>130</v>
      </c>
      <c r="AK372" s="238" t="s">
        <v>141</v>
      </c>
      <c r="AL372" t="s">
        <v>8715</v>
      </c>
      <c r="AM372" t="s">
        <v>1167</v>
      </c>
    </row>
    <row r="373" spans="1:39" hidden="1" x14ac:dyDescent="0.25">
      <c r="A373">
        <v>369</v>
      </c>
      <c r="B373">
        <v>34</v>
      </c>
      <c r="C373" s="24">
        <v>44296</v>
      </c>
      <c r="D373" s="238" t="s">
        <v>19</v>
      </c>
      <c r="E373" s="238" t="s">
        <v>5</v>
      </c>
      <c r="F373">
        <v>1</v>
      </c>
      <c r="G373">
        <v>14</v>
      </c>
      <c r="H373">
        <v>294</v>
      </c>
      <c r="I373" s="238" t="s">
        <v>42</v>
      </c>
      <c r="J373">
        <v>38.83</v>
      </c>
      <c r="K373" s="238" t="s">
        <v>38</v>
      </c>
      <c r="L373">
        <v>2568631.71</v>
      </c>
      <c r="M373">
        <v>15000</v>
      </c>
      <c r="N373">
        <v>2583631.71</v>
      </c>
      <c r="O373">
        <v>66537</v>
      </c>
      <c r="P373">
        <v>582450</v>
      </c>
      <c r="Q373">
        <v>2001181.71</v>
      </c>
      <c r="R373">
        <v>51537</v>
      </c>
      <c r="S373" s="238" t="s">
        <v>137</v>
      </c>
      <c r="T373" s="238" t="s">
        <v>1167</v>
      </c>
      <c r="V373" t="s">
        <v>1167</v>
      </c>
      <c r="W373" s="24">
        <v>44287</v>
      </c>
      <c r="X373" s="238" t="s">
        <v>503</v>
      </c>
      <c r="Y373" s="238" t="s">
        <v>39</v>
      </c>
      <c r="Z373" s="238" t="s">
        <v>1340</v>
      </c>
      <c r="AA373" t="s">
        <v>1167</v>
      </c>
      <c r="AB373" s="238" t="s">
        <v>3246</v>
      </c>
      <c r="AC373" t="s">
        <v>3079</v>
      </c>
      <c r="AD373" s="24"/>
      <c r="AE373" s="238" t="s">
        <v>1889</v>
      </c>
      <c r="AF373">
        <v>79135885747</v>
      </c>
      <c r="AG373" s="238" t="s">
        <v>1890</v>
      </c>
      <c r="AH373" s="238" t="s">
        <v>1212</v>
      </c>
      <c r="AI373" s="238" t="s">
        <v>135</v>
      </c>
      <c r="AJ373" s="238" t="s">
        <v>130</v>
      </c>
      <c r="AK373" s="238" t="s">
        <v>141</v>
      </c>
      <c r="AL373" t="s">
        <v>8715</v>
      </c>
      <c r="AM373" t="s">
        <v>1167</v>
      </c>
    </row>
    <row r="374" spans="1:39" hidden="1" x14ac:dyDescent="0.25">
      <c r="A374">
        <v>370</v>
      </c>
      <c r="B374">
        <v>35</v>
      </c>
      <c r="C374" s="24">
        <v>44296</v>
      </c>
      <c r="D374" s="238" t="s">
        <v>19</v>
      </c>
      <c r="E374" s="238" t="s">
        <v>6</v>
      </c>
      <c r="F374">
        <v>4</v>
      </c>
      <c r="G374">
        <v>20</v>
      </c>
      <c r="H374">
        <v>130</v>
      </c>
      <c r="I374" s="238" t="s">
        <v>42</v>
      </c>
      <c r="J374">
        <v>36.86</v>
      </c>
      <c r="K374" s="238" t="s">
        <v>37</v>
      </c>
      <c r="L374">
        <v>2292212.8199999998</v>
      </c>
      <c r="M374">
        <v>0</v>
      </c>
      <c r="N374">
        <v>2292212.8199999998</v>
      </c>
      <c r="O374">
        <v>62187</v>
      </c>
      <c r="P374">
        <v>165870</v>
      </c>
      <c r="Q374">
        <v>2126342.8199999998</v>
      </c>
      <c r="R374">
        <v>57686.999999999993</v>
      </c>
      <c r="S374" s="238" t="s">
        <v>137</v>
      </c>
      <c r="T374" s="238" t="s">
        <v>1167</v>
      </c>
      <c r="V374" t="s">
        <v>1167</v>
      </c>
      <c r="W374" s="24">
        <v>44292</v>
      </c>
      <c r="X374" s="238" t="s">
        <v>500</v>
      </c>
      <c r="Y374" s="238" t="s">
        <v>39</v>
      </c>
      <c r="Z374" s="238" t="s">
        <v>1340</v>
      </c>
      <c r="AA374" t="s">
        <v>1167</v>
      </c>
      <c r="AB374" s="238" t="s">
        <v>3246</v>
      </c>
      <c r="AC374" t="s">
        <v>3079</v>
      </c>
      <c r="AD374" s="24"/>
      <c r="AE374" s="238" t="s">
        <v>1891</v>
      </c>
      <c r="AF374">
        <v>79270073349</v>
      </c>
      <c r="AG374" s="238" t="s">
        <v>1892</v>
      </c>
      <c r="AH374" s="238" t="s">
        <v>1212</v>
      </c>
      <c r="AI374" s="238" t="s">
        <v>3074</v>
      </c>
      <c r="AJ374" s="238" t="s">
        <v>120</v>
      </c>
      <c r="AK374" s="238" t="s">
        <v>141</v>
      </c>
      <c r="AL374" t="s">
        <v>8715</v>
      </c>
      <c r="AM374" t="s">
        <v>1167</v>
      </c>
    </row>
    <row r="375" spans="1:39" hidden="1" x14ac:dyDescent="0.25">
      <c r="A375">
        <v>371</v>
      </c>
      <c r="B375">
        <v>36</v>
      </c>
      <c r="C375" s="24">
        <v>44298</v>
      </c>
      <c r="D375" s="238" t="s">
        <v>19</v>
      </c>
      <c r="E375" s="238" t="s">
        <v>5</v>
      </c>
      <c r="F375">
        <v>2</v>
      </c>
      <c r="G375">
        <v>11</v>
      </c>
      <c r="H375">
        <v>262</v>
      </c>
      <c r="I375" s="238" t="s">
        <v>42</v>
      </c>
      <c r="J375">
        <v>38.22</v>
      </c>
      <c r="K375" s="238" t="s">
        <v>37</v>
      </c>
      <c r="L375">
        <v>2141734.14</v>
      </c>
      <c r="M375">
        <v>0</v>
      </c>
      <c r="N375">
        <v>2141734.14</v>
      </c>
      <c r="O375">
        <v>56037.000000000007</v>
      </c>
      <c r="P375">
        <v>171990</v>
      </c>
      <c r="Q375">
        <v>1969744.1400000001</v>
      </c>
      <c r="R375">
        <v>51537.000000000007</v>
      </c>
      <c r="S375" s="238" t="s">
        <v>137</v>
      </c>
      <c r="T375" s="238" t="s">
        <v>1167</v>
      </c>
      <c r="V375" t="s">
        <v>1167</v>
      </c>
      <c r="W375" s="24">
        <v>44287</v>
      </c>
      <c r="X375" s="238" t="s">
        <v>508</v>
      </c>
      <c r="Y375" s="238" t="s">
        <v>39</v>
      </c>
      <c r="Z375" s="238" t="s">
        <v>1168</v>
      </c>
      <c r="AA375" t="s">
        <v>1167</v>
      </c>
      <c r="AB375" s="238" t="s">
        <v>3246</v>
      </c>
      <c r="AC375" t="s">
        <v>3079</v>
      </c>
      <c r="AD375" s="24"/>
      <c r="AE375" s="238" t="s">
        <v>1893</v>
      </c>
      <c r="AF375">
        <v>79228535831</v>
      </c>
      <c r="AG375" s="238" t="s">
        <v>1894</v>
      </c>
      <c r="AH375" s="238" t="s">
        <v>1171</v>
      </c>
      <c r="AI375" s="238" t="s">
        <v>3094</v>
      </c>
      <c r="AJ375" s="238" t="s">
        <v>399</v>
      </c>
      <c r="AK375" s="238" t="s">
        <v>141</v>
      </c>
      <c r="AL375" t="s">
        <v>8715</v>
      </c>
      <c r="AM375" t="s">
        <v>1167</v>
      </c>
    </row>
    <row r="376" spans="1:39" hidden="1" x14ac:dyDescent="0.25">
      <c r="A376">
        <v>372</v>
      </c>
      <c r="B376">
        <v>37</v>
      </c>
      <c r="C376" s="24">
        <v>44298</v>
      </c>
      <c r="D376" s="238" t="s">
        <v>19</v>
      </c>
      <c r="E376" s="238" t="s">
        <v>5</v>
      </c>
      <c r="F376">
        <v>4</v>
      </c>
      <c r="G376">
        <v>10</v>
      </c>
      <c r="H376">
        <v>253</v>
      </c>
      <c r="I376" s="238" t="s">
        <v>42</v>
      </c>
      <c r="J376">
        <v>37.89</v>
      </c>
      <c r="K376" s="238" t="s">
        <v>36</v>
      </c>
      <c r="L376">
        <v>1673438.31</v>
      </c>
      <c r="M376">
        <v>0</v>
      </c>
      <c r="N376">
        <v>1673438.31</v>
      </c>
      <c r="O376">
        <v>44165.69833729216</v>
      </c>
      <c r="P376">
        <v>0</v>
      </c>
      <c r="Q376">
        <v>1673438.31</v>
      </c>
      <c r="R376">
        <v>44165.69833729216</v>
      </c>
      <c r="S376" s="238" t="s">
        <v>137</v>
      </c>
      <c r="T376" s="238" t="s">
        <v>350</v>
      </c>
      <c r="U376">
        <v>201624.12</v>
      </c>
      <c r="V376" t="s">
        <v>1167</v>
      </c>
      <c r="W376" s="24">
        <v>44287</v>
      </c>
      <c r="X376" s="238" t="s">
        <v>507</v>
      </c>
      <c r="Y376" s="238" t="s">
        <v>39</v>
      </c>
      <c r="Z376" s="238" t="s">
        <v>1168</v>
      </c>
      <c r="AA376" t="s">
        <v>1167</v>
      </c>
      <c r="AB376" s="238" t="s">
        <v>3246</v>
      </c>
      <c r="AC376" t="s">
        <v>3079</v>
      </c>
      <c r="AD376" s="24"/>
      <c r="AE376" s="238" t="s">
        <v>1895</v>
      </c>
      <c r="AF376">
        <v>79297141053</v>
      </c>
      <c r="AG376" s="238" t="s">
        <v>1896</v>
      </c>
      <c r="AH376" s="238" t="s">
        <v>1764</v>
      </c>
      <c r="AI376" s="238" t="s">
        <v>3103</v>
      </c>
      <c r="AJ376" s="238" t="s">
        <v>141</v>
      </c>
      <c r="AK376" s="238" t="s">
        <v>141</v>
      </c>
      <c r="AL376" t="s">
        <v>8715</v>
      </c>
      <c r="AM376" t="s">
        <v>1167</v>
      </c>
    </row>
    <row r="377" spans="1:39" hidden="1" x14ac:dyDescent="0.25">
      <c r="A377">
        <v>373</v>
      </c>
      <c r="B377">
        <v>38</v>
      </c>
      <c r="C377" s="24">
        <v>44298</v>
      </c>
      <c r="D377" s="238" t="s">
        <v>19</v>
      </c>
      <c r="E377" s="238" t="s">
        <v>6</v>
      </c>
      <c r="F377">
        <v>7</v>
      </c>
      <c r="G377">
        <v>12</v>
      </c>
      <c r="H377">
        <v>77</v>
      </c>
      <c r="I377" s="238" t="s">
        <v>43</v>
      </c>
      <c r="J377">
        <v>58.17</v>
      </c>
      <c r="K377" s="238" t="s">
        <v>36</v>
      </c>
      <c r="L377">
        <v>2561600.88</v>
      </c>
      <c r="M377">
        <v>0</v>
      </c>
      <c r="N377">
        <v>2561600.88</v>
      </c>
      <c r="O377">
        <v>44036.460030943781</v>
      </c>
      <c r="P377">
        <v>0</v>
      </c>
      <c r="Q377">
        <v>2561600.88</v>
      </c>
      <c r="R377">
        <v>44036.460030943781</v>
      </c>
      <c r="S377" s="238" t="s">
        <v>137</v>
      </c>
      <c r="T377" s="238" t="s">
        <v>1167</v>
      </c>
      <c r="V377" t="s">
        <v>1167</v>
      </c>
      <c r="W377" s="24">
        <v>44290</v>
      </c>
      <c r="X377" s="238" t="s">
        <v>505</v>
      </c>
      <c r="Y377" s="238" t="s">
        <v>39</v>
      </c>
      <c r="Z377" s="238" t="s">
        <v>1340</v>
      </c>
      <c r="AA377" t="s">
        <v>1167</v>
      </c>
      <c r="AB377" s="238" t="s">
        <v>3246</v>
      </c>
      <c r="AC377" t="s">
        <v>3079</v>
      </c>
      <c r="AD377" s="24"/>
      <c r="AE377" s="238" t="s">
        <v>1897</v>
      </c>
      <c r="AF377">
        <v>79272035983</v>
      </c>
      <c r="AG377" s="238" t="s">
        <v>1898</v>
      </c>
      <c r="AH377" s="238" t="s">
        <v>1171</v>
      </c>
      <c r="AI377" s="238" t="s">
        <v>3074</v>
      </c>
      <c r="AJ377" s="238" t="s">
        <v>130</v>
      </c>
      <c r="AK377" s="238" t="s">
        <v>141</v>
      </c>
      <c r="AL377" t="s">
        <v>8715</v>
      </c>
      <c r="AM377" t="s">
        <v>1167</v>
      </c>
    </row>
    <row r="378" spans="1:39" hidden="1" x14ac:dyDescent="0.25">
      <c r="A378">
        <v>374</v>
      </c>
      <c r="B378">
        <v>39</v>
      </c>
      <c r="C378" s="24">
        <v>44298</v>
      </c>
      <c r="D378" s="238" t="s">
        <v>19</v>
      </c>
      <c r="E378" s="238" t="s">
        <v>5</v>
      </c>
      <c r="F378">
        <v>2</v>
      </c>
      <c r="G378">
        <v>9</v>
      </c>
      <c r="H378">
        <v>240</v>
      </c>
      <c r="I378" s="238" t="s">
        <v>42</v>
      </c>
      <c r="J378">
        <v>38.22</v>
      </c>
      <c r="K378" s="238" t="s">
        <v>37</v>
      </c>
      <c r="L378">
        <v>2141734.14</v>
      </c>
      <c r="M378">
        <v>0</v>
      </c>
      <c r="N378">
        <v>2141734.14</v>
      </c>
      <c r="O378">
        <v>56037.000000000007</v>
      </c>
      <c r="P378">
        <v>171990</v>
      </c>
      <c r="Q378">
        <v>1969744.1400000001</v>
      </c>
      <c r="R378">
        <v>51537.000000000007</v>
      </c>
      <c r="S378" s="238" t="s">
        <v>137</v>
      </c>
      <c r="T378" s="238" t="s">
        <v>1167</v>
      </c>
      <c r="V378" t="s">
        <v>1167</v>
      </c>
      <c r="W378" s="24">
        <v>44294</v>
      </c>
      <c r="X378" s="238" t="s">
        <v>506</v>
      </c>
      <c r="Y378" s="238" t="s">
        <v>39</v>
      </c>
      <c r="Z378" s="238" t="s">
        <v>1340</v>
      </c>
      <c r="AA378" t="s">
        <v>1167</v>
      </c>
      <c r="AB378" s="238" t="s">
        <v>3246</v>
      </c>
      <c r="AC378" t="s">
        <v>3079</v>
      </c>
      <c r="AD378" s="24"/>
      <c r="AE378" s="238" t="s">
        <v>1899</v>
      </c>
      <c r="AF378">
        <v>79228129111</v>
      </c>
      <c r="AG378" s="238" t="s">
        <v>1900</v>
      </c>
      <c r="AH378" s="238" t="s">
        <v>146</v>
      </c>
      <c r="AI378" s="238" t="s">
        <v>135</v>
      </c>
      <c r="AJ378" s="238" t="s">
        <v>126</v>
      </c>
      <c r="AK378" s="238" t="s">
        <v>141</v>
      </c>
      <c r="AL378" t="s">
        <v>8715</v>
      </c>
      <c r="AM378" t="s">
        <v>1167</v>
      </c>
    </row>
    <row r="379" spans="1:39" hidden="1" x14ac:dyDescent="0.25">
      <c r="A379">
        <v>375</v>
      </c>
      <c r="B379">
        <v>40</v>
      </c>
      <c r="C379" s="24">
        <v>44298</v>
      </c>
      <c r="D379" s="238" t="s">
        <v>20</v>
      </c>
      <c r="E379" s="238" t="s">
        <v>5</v>
      </c>
      <c r="F379">
        <v>5</v>
      </c>
      <c r="G379">
        <v>20</v>
      </c>
      <c r="H379">
        <v>281</v>
      </c>
      <c r="I379" s="238" t="s">
        <v>44</v>
      </c>
      <c r="J379">
        <v>78.03</v>
      </c>
      <c r="K379" s="238" t="s">
        <v>36</v>
      </c>
      <c r="L379">
        <v>3300000</v>
      </c>
      <c r="M379">
        <v>0</v>
      </c>
      <c r="N379">
        <v>3300000</v>
      </c>
      <c r="O379">
        <v>42291.426374471353</v>
      </c>
      <c r="P379">
        <v>39015</v>
      </c>
      <c r="Q379">
        <v>3260985</v>
      </c>
      <c r="R379">
        <v>41791.426374471353</v>
      </c>
      <c r="S379" s="238" t="s">
        <v>137</v>
      </c>
      <c r="T379" s="238" t="s">
        <v>321</v>
      </c>
      <c r="U379">
        <v>857672.49</v>
      </c>
      <c r="V379" t="s">
        <v>1167</v>
      </c>
      <c r="W379" s="24">
        <v>44295</v>
      </c>
      <c r="X379" s="238" t="s">
        <v>504</v>
      </c>
      <c r="Y379" s="238" t="s">
        <v>39</v>
      </c>
      <c r="Z379" s="238" t="s">
        <v>1340</v>
      </c>
      <c r="AA379" t="s">
        <v>1167</v>
      </c>
      <c r="AB379" s="238" t="s">
        <v>3246</v>
      </c>
      <c r="AC379" t="s">
        <v>3079</v>
      </c>
      <c r="AD379" s="24"/>
      <c r="AE379" s="238" t="s">
        <v>1901</v>
      </c>
      <c r="AF379">
        <v>79272028429</v>
      </c>
      <c r="AG379" s="238" t="s">
        <v>1902</v>
      </c>
      <c r="AH379" s="238" t="s">
        <v>1212</v>
      </c>
      <c r="AI379" s="238" t="s">
        <v>135</v>
      </c>
      <c r="AJ379" s="238" t="s">
        <v>120</v>
      </c>
      <c r="AK379" s="238" t="s">
        <v>141</v>
      </c>
      <c r="AL379" t="s">
        <v>8715</v>
      </c>
      <c r="AM379" t="s">
        <v>1167</v>
      </c>
    </row>
    <row r="380" spans="1:39" hidden="1" x14ac:dyDescent="0.25">
      <c r="A380">
        <v>376</v>
      </c>
      <c r="B380">
        <v>41</v>
      </c>
      <c r="C380" s="24">
        <v>44299</v>
      </c>
      <c r="D380" s="238" t="s">
        <v>19</v>
      </c>
      <c r="E380" s="238" t="s">
        <v>5</v>
      </c>
      <c r="F380">
        <v>11</v>
      </c>
      <c r="G380">
        <v>11</v>
      </c>
      <c r="H380">
        <v>271</v>
      </c>
      <c r="I380" s="238" t="s">
        <v>4052</v>
      </c>
      <c r="J380">
        <v>25.85</v>
      </c>
      <c r="K380" s="238" t="s">
        <v>37</v>
      </c>
      <c r="L380">
        <v>1512735</v>
      </c>
      <c r="M380">
        <v>15000</v>
      </c>
      <c r="N380">
        <v>1527735</v>
      </c>
      <c r="O380">
        <v>59100</v>
      </c>
      <c r="P380">
        <v>116325</v>
      </c>
      <c r="Q380">
        <v>1411410</v>
      </c>
      <c r="R380">
        <v>54600</v>
      </c>
      <c r="S380" s="238" t="s">
        <v>121</v>
      </c>
      <c r="T380" s="238" t="s">
        <v>1167</v>
      </c>
      <c r="V380" t="s">
        <v>1167</v>
      </c>
      <c r="W380" s="24">
        <v>44287</v>
      </c>
      <c r="X380" s="238" t="s">
        <v>510</v>
      </c>
      <c r="Y380" s="238" t="s">
        <v>39</v>
      </c>
      <c r="Z380" s="238" t="s">
        <v>1168</v>
      </c>
      <c r="AA380" t="s">
        <v>1167</v>
      </c>
      <c r="AB380" s="238" t="s">
        <v>3246</v>
      </c>
      <c r="AC380" t="s">
        <v>4246</v>
      </c>
      <c r="AD380" s="24"/>
      <c r="AE380" s="238" t="s">
        <v>1903</v>
      </c>
      <c r="AF380">
        <v>79170367801</v>
      </c>
      <c r="AG380" s="238" t="s">
        <v>1904</v>
      </c>
      <c r="AH380" s="238" t="s">
        <v>1212</v>
      </c>
      <c r="AI380" s="238" t="s">
        <v>3074</v>
      </c>
      <c r="AJ380" s="238" t="s">
        <v>399</v>
      </c>
      <c r="AK380" s="238" t="s">
        <v>1167</v>
      </c>
      <c r="AL380" t="s">
        <v>8715</v>
      </c>
      <c r="AM380" t="s">
        <v>1167</v>
      </c>
    </row>
    <row r="381" spans="1:39" hidden="1" x14ac:dyDescent="0.25">
      <c r="A381">
        <v>377</v>
      </c>
      <c r="B381">
        <v>42</v>
      </c>
      <c r="C381" s="24">
        <v>44299</v>
      </c>
      <c r="D381" s="238" t="s">
        <v>19</v>
      </c>
      <c r="E381" s="238" t="s">
        <v>5</v>
      </c>
      <c r="F381">
        <v>4</v>
      </c>
      <c r="G381">
        <v>4</v>
      </c>
      <c r="H381">
        <v>187</v>
      </c>
      <c r="I381" s="238" t="s">
        <v>42</v>
      </c>
      <c r="J381">
        <v>37.89</v>
      </c>
      <c r="K381" s="238" t="s">
        <v>36</v>
      </c>
      <c r="L381">
        <v>1937736.93</v>
      </c>
      <c r="M381">
        <v>15000</v>
      </c>
      <c r="N381">
        <v>1952736.93</v>
      </c>
      <c r="O381">
        <v>51537</v>
      </c>
      <c r="P381">
        <v>0</v>
      </c>
      <c r="Q381">
        <v>1952736.93</v>
      </c>
      <c r="R381">
        <v>51537</v>
      </c>
      <c r="S381" s="238" t="s">
        <v>121</v>
      </c>
      <c r="T381" s="238" t="s">
        <v>1167</v>
      </c>
      <c r="V381" t="s">
        <v>1167</v>
      </c>
      <c r="W381" s="24">
        <v>44287</v>
      </c>
      <c r="X381" s="238" t="s">
        <v>509</v>
      </c>
      <c r="Y381" s="238" t="s">
        <v>39</v>
      </c>
      <c r="Z381" s="238" t="s">
        <v>1168</v>
      </c>
      <c r="AA381" t="s">
        <v>1167</v>
      </c>
      <c r="AB381" s="238" t="s">
        <v>3246</v>
      </c>
      <c r="AC381" t="s">
        <v>4246</v>
      </c>
      <c r="AD381" s="24"/>
      <c r="AE381" s="238" t="s">
        <v>1905</v>
      </c>
      <c r="AF381">
        <v>79277341919</v>
      </c>
      <c r="AG381" s="238" t="s">
        <v>1906</v>
      </c>
      <c r="AH381" s="238" t="s">
        <v>1171</v>
      </c>
      <c r="AI381" s="238" t="s">
        <v>3089</v>
      </c>
      <c r="AJ381" s="238" t="s">
        <v>130</v>
      </c>
      <c r="AK381" s="238" t="s">
        <v>1167</v>
      </c>
      <c r="AL381" t="s">
        <v>8715</v>
      </c>
      <c r="AM381" t="s">
        <v>1167</v>
      </c>
    </row>
    <row r="382" spans="1:39" hidden="1" x14ac:dyDescent="0.25">
      <c r="A382">
        <v>378</v>
      </c>
      <c r="B382">
        <v>43</v>
      </c>
      <c r="C382" s="24">
        <v>44300</v>
      </c>
      <c r="D382" s="238" t="s">
        <v>19</v>
      </c>
      <c r="E382" s="238" t="s">
        <v>5</v>
      </c>
      <c r="F382">
        <v>1</v>
      </c>
      <c r="G382">
        <v>8</v>
      </c>
      <c r="H382">
        <v>228</v>
      </c>
      <c r="I382" s="238" t="s">
        <v>42</v>
      </c>
      <c r="J382">
        <v>38.83</v>
      </c>
      <c r="K382" s="238" t="s">
        <v>37</v>
      </c>
      <c r="L382">
        <v>2175916.71</v>
      </c>
      <c r="M382">
        <v>0</v>
      </c>
      <c r="N382">
        <v>2175916.71</v>
      </c>
      <c r="O382">
        <v>56037</v>
      </c>
      <c r="P382">
        <v>174735</v>
      </c>
      <c r="Q382">
        <v>2001181.71</v>
      </c>
      <c r="R382">
        <v>51537</v>
      </c>
      <c r="S382" s="238" t="s">
        <v>121</v>
      </c>
      <c r="T382" s="238" t="s">
        <v>1167</v>
      </c>
      <c r="V382" t="s">
        <v>1167</v>
      </c>
      <c r="W382" s="24">
        <v>44292</v>
      </c>
      <c r="X382" s="238" t="s">
        <v>513</v>
      </c>
      <c r="Y382" s="238" t="s">
        <v>39</v>
      </c>
      <c r="Z382" s="238" t="s">
        <v>1168</v>
      </c>
      <c r="AA382" t="s">
        <v>1167</v>
      </c>
      <c r="AB382" s="238" t="s">
        <v>3246</v>
      </c>
      <c r="AC382" t="s">
        <v>4246</v>
      </c>
      <c r="AD382" s="24"/>
      <c r="AE382" s="238" t="s">
        <v>1907</v>
      </c>
      <c r="AF382">
        <v>79376355236</v>
      </c>
      <c r="AG382" s="238" t="s">
        <v>1908</v>
      </c>
      <c r="AH382" s="238" t="s">
        <v>1171</v>
      </c>
      <c r="AI382" s="238" t="s">
        <v>3074</v>
      </c>
      <c r="AJ382" s="238" t="s">
        <v>126</v>
      </c>
      <c r="AK382" s="238" t="s">
        <v>1167</v>
      </c>
      <c r="AL382" t="s">
        <v>8715</v>
      </c>
      <c r="AM382" t="s">
        <v>1167</v>
      </c>
    </row>
    <row r="383" spans="1:39" hidden="1" x14ac:dyDescent="0.25">
      <c r="A383">
        <v>379</v>
      </c>
      <c r="B383">
        <v>44</v>
      </c>
      <c r="C383" s="24">
        <v>44300</v>
      </c>
      <c r="D383" s="238" t="s">
        <v>19</v>
      </c>
      <c r="E383" s="238" t="s">
        <v>5</v>
      </c>
      <c r="F383">
        <v>1</v>
      </c>
      <c r="G383">
        <v>6</v>
      </c>
      <c r="H383">
        <v>206</v>
      </c>
      <c r="I383" s="238" t="s">
        <v>42</v>
      </c>
      <c r="J383">
        <v>38.83</v>
      </c>
      <c r="K383" s="238" t="s">
        <v>38</v>
      </c>
      <c r="L383">
        <v>2608655.34</v>
      </c>
      <c r="M383">
        <v>15000</v>
      </c>
      <c r="N383">
        <v>2623655.34</v>
      </c>
      <c r="O383">
        <v>67567.739891836201</v>
      </c>
      <c r="P383">
        <v>582450</v>
      </c>
      <c r="Q383">
        <v>2041205.3399999999</v>
      </c>
      <c r="R383">
        <v>52567.739891836209</v>
      </c>
      <c r="S383" s="238" t="s">
        <v>137</v>
      </c>
      <c r="T383" s="238" t="s">
        <v>1167</v>
      </c>
      <c r="V383" t="s">
        <v>1167</v>
      </c>
      <c r="W383" s="24">
        <v>44294</v>
      </c>
      <c r="X383" s="238" t="s">
        <v>512</v>
      </c>
      <c r="Y383" s="238" t="s">
        <v>39</v>
      </c>
      <c r="Z383" s="238" t="s">
        <v>1340</v>
      </c>
      <c r="AA383" t="s">
        <v>1167</v>
      </c>
      <c r="AB383" s="238" t="s">
        <v>3246</v>
      </c>
      <c r="AC383" t="s">
        <v>3079</v>
      </c>
      <c r="AD383" s="24"/>
      <c r="AE383" s="238" t="s">
        <v>1909</v>
      </c>
      <c r="AF383">
        <v>79270020601</v>
      </c>
      <c r="AG383" s="238" t="s">
        <v>1910</v>
      </c>
      <c r="AH383" s="238" t="s">
        <v>1212</v>
      </c>
      <c r="AI383" s="238" t="s">
        <v>135</v>
      </c>
      <c r="AJ383" s="238" t="s">
        <v>399</v>
      </c>
      <c r="AK383" s="238" t="s">
        <v>141</v>
      </c>
      <c r="AL383" t="s">
        <v>8715</v>
      </c>
      <c r="AM383" t="s">
        <v>1167</v>
      </c>
    </row>
    <row r="384" spans="1:39" hidden="1" x14ac:dyDescent="0.25">
      <c r="A384">
        <v>380</v>
      </c>
      <c r="B384">
        <v>45</v>
      </c>
      <c r="C384" s="24">
        <v>44300</v>
      </c>
      <c r="D384" s="238" t="s">
        <v>19</v>
      </c>
      <c r="E384" s="238" t="s">
        <v>5</v>
      </c>
      <c r="F384">
        <v>11</v>
      </c>
      <c r="G384">
        <v>2</v>
      </c>
      <c r="H384">
        <v>172</v>
      </c>
      <c r="I384" s="238" t="s">
        <v>4052</v>
      </c>
      <c r="J384">
        <v>25.85</v>
      </c>
      <c r="K384" s="238" t="s">
        <v>37</v>
      </c>
      <c r="L384">
        <v>1527735</v>
      </c>
      <c r="M384">
        <v>0</v>
      </c>
      <c r="N384">
        <v>1527735</v>
      </c>
      <c r="O384">
        <v>59100</v>
      </c>
      <c r="P384">
        <v>116325</v>
      </c>
      <c r="Q384">
        <v>1411410</v>
      </c>
      <c r="R384">
        <v>54600</v>
      </c>
      <c r="S384" s="238" t="s">
        <v>137</v>
      </c>
      <c r="T384" s="238" t="s">
        <v>1167</v>
      </c>
      <c r="V384" t="s">
        <v>1167</v>
      </c>
      <c r="W384" s="24">
        <v>44299</v>
      </c>
      <c r="X384" s="238" t="s">
        <v>511</v>
      </c>
      <c r="Y384" s="238" t="s">
        <v>39</v>
      </c>
      <c r="Z384" s="238" t="s">
        <v>1340</v>
      </c>
      <c r="AA384" t="s">
        <v>1167</v>
      </c>
      <c r="AB384" s="238" t="s">
        <v>3246</v>
      </c>
      <c r="AC384" t="s">
        <v>3079</v>
      </c>
      <c r="AD384" s="24"/>
      <c r="AE384" s="238" t="s">
        <v>1911</v>
      </c>
      <c r="AF384">
        <v>79371773166</v>
      </c>
      <c r="AG384" s="238" t="s">
        <v>1912</v>
      </c>
      <c r="AH384" s="238" t="s">
        <v>1212</v>
      </c>
      <c r="AI384" s="238" t="s">
        <v>135</v>
      </c>
      <c r="AJ384" s="238" t="s">
        <v>120</v>
      </c>
      <c r="AK384" s="238" t="s">
        <v>141</v>
      </c>
      <c r="AL384" t="s">
        <v>8715</v>
      </c>
      <c r="AM384" t="s">
        <v>1167</v>
      </c>
    </row>
    <row r="385" spans="1:39" hidden="1" x14ac:dyDescent="0.25">
      <c r="A385">
        <v>381</v>
      </c>
      <c r="B385">
        <v>46</v>
      </c>
      <c r="C385" s="24">
        <v>44301</v>
      </c>
      <c r="D385" s="238" t="s">
        <v>20</v>
      </c>
      <c r="E385" s="238" t="s">
        <v>5</v>
      </c>
      <c r="F385">
        <v>1</v>
      </c>
      <c r="G385">
        <v>21</v>
      </c>
      <c r="H385">
        <v>284</v>
      </c>
      <c r="I385" s="238" t="s">
        <v>43</v>
      </c>
      <c r="J385">
        <v>63.88</v>
      </c>
      <c r="K385" s="238" t="s">
        <v>36</v>
      </c>
      <c r="L385">
        <v>3243130.11</v>
      </c>
      <c r="M385">
        <v>0</v>
      </c>
      <c r="N385">
        <v>3243130.11</v>
      </c>
      <c r="O385">
        <v>50769.100031308699</v>
      </c>
      <c r="P385">
        <v>31940</v>
      </c>
      <c r="Q385">
        <v>3211190.11</v>
      </c>
      <c r="R385">
        <v>50269.100031308699</v>
      </c>
      <c r="S385" s="238" t="s">
        <v>121</v>
      </c>
      <c r="T385" s="238" t="s">
        <v>3538</v>
      </c>
      <c r="U385">
        <v>64223.802199999998</v>
      </c>
      <c r="V385" t="s">
        <v>1167</v>
      </c>
      <c r="W385" s="24">
        <v>44287</v>
      </c>
      <c r="X385" s="238" t="s">
        <v>514</v>
      </c>
      <c r="Y385" s="238" t="s">
        <v>39</v>
      </c>
      <c r="Z385" s="238" t="s">
        <v>1168</v>
      </c>
      <c r="AA385" t="s">
        <v>1167</v>
      </c>
      <c r="AB385" s="238" t="s">
        <v>3246</v>
      </c>
      <c r="AC385" t="s">
        <v>4246</v>
      </c>
      <c r="AD385" s="24"/>
      <c r="AE385" s="238" t="s">
        <v>1913</v>
      </c>
      <c r="AF385">
        <v>79272640122</v>
      </c>
      <c r="AG385" s="238" t="s">
        <v>1914</v>
      </c>
      <c r="AH385" s="238" t="s">
        <v>1212</v>
      </c>
      <c r="AI385" s="238" t="s">
        <v>3088</v>
      </c>
      <c r="AJ385" s="238" t="s">
        <v>126</v>
      </c>
      <c r="AK385" s="238" t="s">
        <v>1167</v>
      </c>
      <c r="AL385" t="s">
        <v>8715</v>
      </c>
      <c r="AM385" t="s">
        <v>1167</v>
      </c>
    </row>
    <row r="386" spans="1:39" hidden="1" x14ac:dyDescent="0.25">
      <c r="A386">
        <v>382</v>
      </c>
      <c r="B386">
        <v>47</v>
      </c>
      <c r="C386" s="24">
        <v>44302</v>
      </c>
      <c r="D386" s="238" t="s">
        <v>19</v>
      </c>
      <c r="E386" s="238" t="s">
        <v>6</v>
      </c>
      <c r="F386">
        <v>7</v>
      </c>
      <c r="G386">
        <v>10</v>
      </c>
      <c r="H386">
        <v>63</v>
      </c>
      <c r="I386" s="238" t="s">
        <v>43</v>
      </c>
      <c r="J386">
        <v>58.17</v>
      </c>
      <c r="K386" s="238" t="s">
        <v>37</v>
      </c>
      <c r="L386">
        <v>3113432.91</v>
      </c>
      <c r="M386">
        <v>0</v>
      </c>
      <c r="N386">
        <v>3113432.91</v>
      </c>
      <c r="O386">
        <v>53523</v>
      </c>
      <c r="P386">
        <v>261765</v>
      </c>
      <c r="Q386">
        <v>2851667.91</v>
      </c>
      <c r="R386">
        <v>49023</v>
      </c>
      <c r="S386" s="238" t="s">
        <v>137</v>
      </c>
      <c r="T386" s="238" t="s">
        <v>1167</v>
      </c>
      <c r="V386" t="s">
        <v>1167</v>
      </c>
      <c r="W386" s="24">
        <v>44287</v>
      </c>
      <c r="X386" s="238" t="s">
        <v>515</v>
      </c>
      <c r="Y386" s="238" t="s">
        <v>39</v>
      </c>
      <c r="Z386" s="238" t="s">
        <v>1168</v>
      </c>
      <c r="AA386" t="s">
        <v>1167</v>
      </c>
      <c r="AB386" s="238" t="s">
        <v>3246</v>
      </c>
      <c r="AC386" t="s">
        <v>3079</v>
      </c>
      <c r="AD386" s="24"/>
      <c r="AE386" s="238" t="s">
        <v>1915</v>
      </c>
      <c r="AF386">
        <v>79279052251</v>
      </c>
      <c r="AG386" s="238" t="s">
        <v>1916</v>
      </c>
      <c r="AH386" s="238" t="s">
        <v>1171</v>
      </c>
      <c r="AI386" s="238" t="s">
        <v>3074</v>
      </c>
      <c r="AJ386" s="238" t="s">
        <v>399</v>
      </c>
      <c r="AK386" s="238" t="s">
        <v>141</v>
      </c>
      <c r="AL386" t="s">
        <v>8715</v>
      </c>
      <c r="AM386" t="s">
        <v>1167</v>
      </c>
    </row>
    <row r="387" spans="1:39" hidden="1" x14ac:dyDescent="0.25">
      <c r="A387">
        <v>383</v>
      </c>
      <c r="B387">
        <v>48</v>
      </c>
      <c r="C387" s="24">
        <v>44303</v>
      </c>
      <c r="D387" s="238" t="s">
        <v>19</v>
      </c>
      <c r="E387" s="238" t="s">
        <v>5</v>
      </c>
      <c r="F387">
        <v>10</v>
      </c>
      <c r="G387">
        <v>6</v>
      </c>
      <c r="H387">
        <v>215</v>
      </c>
      <c r="I387" s="238" t="s">
        <v>4052</v>
      </c>
      <c r="J387">
        <v>25.91</v>
      </c>
      <c r="K387" s="238" t="s">
        <v>37</v>
      </c>
      <c r="L387">
        <v>1364707.5</v>
      </c>
      <c r="M387">
        <v>15000</v>
      </c>
      <c r="N387">
        <v>1379707.5</v>
      </c>
      <c r="O387">
        <v>53250</v>
      </c>
      <c r="P387">
        <v>116595</v>
      </c>
      <c r="Q387">
        <v>1263112.5</v>
      </c>
      <c r="R387">
        <v>48750</v>
      </c>
      <c r="S387" s="238" t="s">
        <v>121</v>
      </c>
      <c r="T387" s="238" t="s">
        <v>1167</v>
      </c>
      <c r="V387" t="s">
        <v>1167</v>
      </c>
      <c r="W387" s="24">
        <v>44287</v>
      </c>
      <c r="X387" s="238" t="s">
        <v>517</v>
      </c>
      <c r="Y387" s="238" t="s">
        <v>39</v>
      </c>
      <c r="Z387" s="238" t="s">
        <v>1168</v>
      </c>
      <c r="AA387" t="s">
        <v>1167</v>
      </c>
      <c r="AB387" s="238" t="s">
        <v>3246</v>
      </c>
      <c r="AC387" t="s">
        <v>4246</v>
      </c>
      <c r="AD387" s="24"/>
      <c r="AE387" s="238" t="s">
        <v>1917</v>
      </c>
      <c r="AF387">
        <v>79053016770</v>
      </c>
      <c r="AG387" s="238" t="s">
        <v>1918</v>
      </c>
      <c r="AH387" s="238" t="s">
        <v>1212</v>
      </c>
      <c r="AI387" s="238" t="s">
        <v>3093</v>
      </c>
      <c r="AJ387" s="238" t="s">
        <v>120</v>
      </c>
      <c r="AK387" s="238" t="s">
        <v>1167</v>
      </c>
      <c r="AL387" t="s">
        <v>8715</v>
      </c>
      <c r="AM387" t="s">
        <v>1167</v>
      </c>
    </row>
    <row r="388" spans="1:39" hidden="1" x14ac:dyDescent="0.25">
      <c r="A388">
        <v>384</v>
      </c>
      <c r="B388">
        <v>49</v>
      </c>
      <c r="C388" s="24">
        <v>44303</v>
      </c>
      <c r="D388" s="238" t="s">
        <v>19</v>
      </c>
      <c r="E388" s="238" t="s">
        <v>6</v>
      </c>
      <c r="F388">
        <v>6</v>
      </c>
      <c r="G388">
        <v>6</v>
      </c>
      <c r="H388">
        <v>34</v>
      </c>
      <c r="I388" s="238" t="s">
        <v>43</v>
      </c>
      <c r="J388">
        <v>59.96</v>
      </c>
      <c r="K388" s="238" t="s">
        <v>38</v>
      </c>
      <c r="L388">
        <v>3539826.14</v>
      </c>
      <c r="M388">
        <v>0</v>
      </c>
      <c r="N388">
        <v>3539826.14</v>
      </c>
      <c r="O388">
        <v>59036.459973315548</v>
      </c>
      <c r="P388">
        <v>899400</v>
      </c>
      <c r="Q388">
        <v>2640426.14</v>
      </c>
      <c r="R388">
        <v>44036.459973315548</v>
      </c>
      <c r="S388" s="238" t="s">
        <v>137</v>
      </c>
      <c r="T388" s="238" t="s">
        <v>1167</v>
      </c>
      <c r="V388" t="s">
        <v>1167</v>
      </c>
      <c r="W388" s="24">
        <v>44287</v>
      </c>
      <c r="X388" s="238" t="s">
        <v>516</v>
      </c>
      <c r="Y388" s="238" t="s">
        <v>39</v>
      </c>
      <c r="Z388" s="238" t="s">
        <v>1340</v>
      </c>
      <c r="AA388" t="s">
        <v>1167</v>
      </c>
      <c r="AB388" s="238" t="s">
        <v>3246</v>
      </c>
      <c r="AC388" t="s">
        <v>3079</v>
      </c>
      <c r="AD388" s="24"/>
      <c r="AE388" s="238" t="s">
        <v>1919</v>
      </c>
      <c r="AF388">
        <v>79276858807</v>
      </c>
      <c r="AG388" s="238" t="s">
        <v>1920</v>
      </c>
      <c r="AH388" s="238" t="s">
        <v>135</v>
      </c>
      <c r="AI388" s="238" t="s">
        <v>3099</v>
      </c>
      <c r="AJ388" s="238" t="s">
        <v>120</v>
      </c>
      <c r="AK388" s="238" t="s">
        <v>141</v>
      </c>
      <c r="AL388" t="s">
        <v>8715</v>
      </c>
      <c r="AM388" t="s">
        <v>1167</v>
      </c>
    </row>
    <row r="389" spans="1:39" hidden="1" x14ac:dyDescent="0.25">
      <c r="A389">
        <v>385</v>
      </c>
      <c r="B389">
        <v>50</v>
      </c>
      <c r="C389" s="24">
        <v>44303</v>
      </c>
      <c r="D389" s="238" t="s">
        <v>19</v>
      </c>
      <c r="E389" s="238" t="s">
        <v>5</v>
      </c>
      <c r="F389">
        <v>5</v>
      </c>
      <c r="G389">
        <v>14</v>
      </c>
      <c r="H389">
        <v>298</v>
      </c>
      <c r="I389" s="238" t="s">
        <v>43</v>
      </c>
      <c r="J389">
        <v>60.19</v>
      </c>
      <c r="K389" s="238" t="s">
        <v>38</v>
      </c>
      <c r="L389">
        <v>3553404.53</v>
      </c>
      <c r="M389">
        <v>0</v>
      </c>
      <c r="N389">
        <v>3553404.53</v>
      </c>
      <c r="O389">
        <v>59036.460043196545</v>
      </c>
      <c r="P389">
        <v>902850</v>
      </c>
      <c r="Q389">
        <v>2650554.5299999998</v>
      </c>
      <c r="R389">
        <v>44036.460043196545</v>
      </c>
      <c r="S389" s="238" t="s">
        <v>137</v>
      </c>
      <c r="T389" s="238" t="s">
        <v>1167</v>
      </c>
      <c r="V389" t="s">
        <v>1167</v>
      </c>
      <c r="W389" s="24">
        <v>44301</v>
      </c>
      <c r="X389" s="238" t="s">
        <v>518</v>
      </c>
      <c r="Y389" s="238" t="s">
        <v>39</v>
      </c>
      <c r="Z389" s="238" t="s">
        <v>1340</v>
      </c>
      <c r="AA389" t="s">
        <v>1167</v>
      </c>
      <c r="AB389" s="238" t="s">
        <v>3246</v>
      </c>
      <c r="AC389" t="s">
        <v>3079</v>
      </c>
      <c r="AD389" s="24"/>
      <c r="AE389" s="238" t="s">
        <v>1921</v>
      </c>
      <c r="AF389">
        <v>79879278157</v>
      </c>
      <c r="AG389" s="238" t="s">
        <v>1922</v>
      </c>
      <c r="AH389" s="238" t="s">
        <v>1212</v>
      </c>
      <c r="AI389" s="238" t="s">
        <v>135</v>
      </c>
      <c r="AJ389" s="238" t="s">
        <v>120</v>
      </c>
      <c r="AK389" s="238" t="s">
        <v>141</v>
      </c>
      <c r="AL389" t="s">
        <v>8715</v>
      </c>
      <c r="AM389" t="s">
        <v>1167</v>
      </c>
    </row>
    <row r="390" spans="1:39" hidden="1" x14ac:dyDescent="0.25">
      <c r="A390">
        <v>386</v>
      </c>
      <c r="B390">
        <v>51</v>
      </c>
      <c r="C390" s="24">
        <v>44305</v>
      </c>
      <c r="D390" s="238" t="s">
        <v>19</v>
      </c>
      <c r="E390" s="238" t="s">
        <v>5</v>
      </c>
      <c r="F390">
        <v>10</v>
      </c>
      <c r="G390">
        <v>12</v>
      </c>
      <c r="H390">
        <v>281</v>
      </c>
      <c r="I390" s="238" t="s">
        <v>4052</v>
      </c>
      <c r="J390">
        <v>25.91</v>
      </c>
      <c r="K390" s="238" t="s">
        <v>36</v>
      </c>
      <c r="L390">
        <v>1248112.5</v>
      </c>
      <c r="M390">
        <v>15000</v>
      </c>
      <c r="N390">
        <v>1263112.5</v>
      </c>
      <c r="O390">
        <v>48750</v>
      </c>
      <c r="P390">
        <v>0</v>
      </c>
      <c r="Q390">
        <v>1263112.5</v>
      </c>
      <c r="R390">
        <v>48750</v>
      </c>
      <c r="S390" s="238" t="s">
        <v>124</v>
      </c>
      <c r="T390" s="238" t="s">
        <v>1167</v>
      </c>
      <c r="V390" t="s">
        <v>1167</v>
      </c>
      <c r="W390" s="24">
        <v>44287</v>
      </c>
      <c r="X390" s="238" t="s">
        <v>520</v>
      </c>
      <c r="Y390" s="238" t="s">
        <v>39</v>
      </c>
      <c r="Z390" s="238" t="s">
        <v>1168</v>
      </c>
      <c r="AA390" t="s">
        <v>1167</v>
      </c>
      <c r="AB390" s="238" t="s">
        <v>3246</v>
      </c>
      <c r="AC390" t="s">
        <v>4246</v>
      </c>
      <c r="AD390" s="24"/>
      <c r="AE390" s="238" t="s">
        <v>1923</v>
      </c>
      <c r="AF390">
        <v>79874479928</v>
      </c>
      <c r="AG390" s="238" t="s">
        <v>1924</v>
      </c>
      <c r="AH390" s="238" t="s">
        <v>1212</v>
      </c>
      <c r="AI390" s="238" t="s">
        <v>3081</v>
      </c>
      <c r="AJ390" s="238" t="s">
        <v>120</v>
      </c>
      <c r="AK390" s="238" t="s">
        <v>1167</v>
      </c>
      <c r="AL390" t="s">
        <v>8715</v>
      </c>
      <c r="AM390" t="s">
        <v>1167</v>
      </c>
    </row>
    <row r="391" spans="1:39" hidden="1" x14ac:dyDescent="0.25">
      <c r="A391">
        <v>387</v>
      </c>
      <c r="B391">
        <v>52</v>
      </c>
      <c r="C391" s="24">
        <v>44305</v>
      </c>
      <c r="D391" s="238" t="s">
        <v>19</v>
      </c>
      <c r="E391" s="238" t="s">
        <v>5</v>
      </c>
      <c r="F391">
        <v>8</v>
      </c>
      <c r="G391">
        <v>12</v>
      </c>
      <c r="H391">
        <v>279</v>
      </c>
      <c r="I391" s="238" t="s">
        <v>43</v>
      </c>
      <c r="J391">
        <v>56.93</v>
      </c>
      <c r="K391" s="238" t="s">
        <v>37</v>
      </c>
      <c r="L391">
        <v>2757428.39</v>
      </c>
      <c r="M391">
        <v>0</v>
      </c>
      <c r="N391">
        <v>2757428.39</v>
      </c>
      <c r="O391">
        <v>48435.418759880558</v>
      </c>
      <c r="P391">
        <v>256185</v>
      </c>
      <c r="Q391">
        <v>2501243.39</v>
      </c>
      <c r="R391">
        <v>43935.418759880558</v>
      </c>
      <c r="S391" s="238" t="s">
        <v>137</v>
      </c>
      <c r="T391" s="238" t="s">
        <v>350</v>
      </c>
      <c r="U391">
        <v>51045.785799999721</v>
      </c>
      <c r="V391" t="s">
        <v>1167</v>
      </c>
      <c r="W391" s="24">
        <v>44296</v>
      </c>
      <c r="X391" s="238" t="s">
        <v>519</v>
      </c>
      <c r="Y391" s="238" t="s">
        <v>39</v>
      </c>
      <c r="Z391" s="238" t="s">
        <v>1340</v>
      </c>
      <c r="AA391" t="s">
        <v>1167</v>
      </c>
      <c r="AB391" s="238" t="s">
        <v>3246</v>
      </c>
      <c r="AC391" t="s">
        <v>3079</v>
      </c>
      <c r="AD391" s="24"/>
      <c r="AE391" s="238" t="s">
        <v>1369</v>
      </c>
      <c r="AF391">
        <v>79272073244</v>
      </c>
      <c r="AG391" s="238" t="s">
        <v>1203</v>
      </c>
      <c r="AH391" s="238" t="s">
        <v>1171</v>
      </c>
      <c r="AI391" s="238" t="s">
        <v>3082</v>
      </c>
      <c r="AJ391" s="238" t="s">
        <v>130</v>
      </c>
      <c r="AK391" s="238" t="s">
        <v>141</v>
      </c>
      <c r="AL391" t="s">
        <v>8715</v>
      </c>
      <c r="AM391" t="s">
        <v>1167</v>
      </c>
    </row>
    <row r="392" spans="1:39" hidden="1" x14ac:dyDescent="0.25">
      <c r="A392">
        <v>388</v>
      </c>
      <c r="B392">
        <v>53</v>
      </c>
      <c r="C392" s="24">
        <v>44306</v>
      </c>
      <c r="D392" s="238" t="s">
        <v>19</v>
      </c>
      <c r="E392" s="238" t="s">
        <v>5</v>
      </c>
      <c r="F392">
        <v>11</v>
      </c>
      <c r="G392">
        <v>9</v>
      </c>
      <c r="H392">
        <v>249</v>
      </c>
      <c r="I392" s="238" t="s">
        <v>4052</v>
      </c>
      <c r="J392">
        <v>25.85</v>
      </c>
      <c r="K392" s="238" t="s">
        <v>37</v>
      </c>
      <c r="L392">
        <v>1401716.25</v>
      </c>
      <c r="M392">
        <v>0</v>
      </c>
      <c r="N392">
        <v>1401716.25</v>
      </c>
      <c r="O392">
        <v>54225</v>
      </c>
      <c r="P392">
        <v>116325</v>
      </c>
      <c r="Q392">
        <v>1285391.25</v>
      </c>
      <c r="R392">
        <v>49725</v>
      </c>
      <c r="S392" s="238" t="s">
        <v>121</v>
      </c>
      <c r="T392" s="238" t="s">
        <v>1167</v>
      </c>
      <c r="V392" t="s">
        <v>1167</v>
      </c>
      <c r="W392" s="24">
        <v>44292</v>
      </c>
      <c r="X392" s="238" t="s">
        <v>524</v>
      </c>
      <c r="Y392" s="238" t="s">
        <v>39</v>
      </c>
      <c r="Z392" s="238" t="s">
        <v>1168</v>
      </c>
      <c r="AA392" t="s">
        <v>1167</v>
      </c>
      <c r="AB392" s="238" t="s">
        <v>3246</v>
      </c>
      <c r="AC392" t="s">
        <v>4246</v>
      </c>
      <c r="AD392" s="24"/>
      <c r="AE392" s="238" t="s">
        <v>1925</v>
      </c>
      <c r="AF392">
        <v>79272082830</v>
      </c>
      <c r="AG392" s="238" t="s">
        <v>1926</v>
      </c>
      <c r="AH392" s="238" t="s">
        <v>1212</v>
      </c>
      <c r="AI392" s="238" t="s">
        <v>3097</v>
      </c>
      <c r="AJ392" s="238" t="s">
        <v>126</v>
      </c>
      <c r="AK392" s="238" t="s">
        <v>1167</v>
      </c>
      <c r="AL392" t="s">
        <v>8715</v>
      </c>
      <c r="AM392" t="s">
        <v>1167</v>
      </c>
    </row>
    <row r="393" spans="1:39" hidden="1" x14ac:dyDescent="0.25">
      <c r="A393">
        <v>389</v>
      </c>
      <c r="B393">
        <v>54</v>
      </c>
      <c r="C393" s="24">
        <v>44306</v>
      </c>
      <c r="D393" s="238" t="s">
        <v>19</v>
      </c>
      <c r="E393" s="238" t="s">
        <v>6</v>
      </c>
      <c r="F393">
        <v>1</v>
      </c>
      <c r="G393">
        <v>21</v>
      </c>
      <c r="H393">
        <v>134</v>
      </c>
      <c r="I393" s="238" t="s">
        <v>43</v>
      </c>
      <c r="J393">
        <v>59.52</v>
      </c>
      <c r="K393" s="238" t="s">
        <v>37</v>
      </c>
      <c r="L393">
        <v>2837496.96</v>
      </c>
      <c r="M393">
        <v>0</v>
      </c>
      <c r="N393">
        <v>2837496.96</v>
      </c>
      <c r="O393">
        <v>47673</v>
      </c>
      <c r="P393">
        <v>267840</v>
      </c>
      <c r="Q393">
        <v>2569656.96</v>
      </c>
      <c r="R393">
        <v>43173</v>
      </c>
      <c r="S393" s="238" t="s">
        <v>124</v>
      </c>
      <c r="T393" s="238" t="s">
        <v>1167</v>
      </c>
      <c r="V393" t="s">
        <v>1167</v>
      </c>
      <c r="W393" s="24">
        <v>44293</v>
      </c>
      <c r="X393" s="238" t="s">
        <v>523</v>
      </c>
      <c r="Y393" s="238" t="s">
        <v>39</v>
      </c>
      <c r="Z393" s="238" t="s">
        <v>1168</v>
      </c>
      <c r="AA393" t="s">
        <v>1167</v>
      </c>
      <c r="AB393" s="238" t="s">
        <v>3246</v>
      </c>
      <c r="AC393" t="s">
        <v>4246</v>
      </c>
      <c r="AD393" s="24"/>
      <c r="AE393" s="238" t="s">
        <v>1927</v>
      </c>
      <c r="AF393">
        <v>79091507295</v>
      </c>
      <c r="AG393" s="238" t="s">
        <v>1928</v>
      </c>
      <c r="AH393" s="238" t="s">
        <v>1212</v>
      </c>
      <c r="AI393" s="238" t="s">
        <v>3090</v>
      </c>
      <c r="AJ393" s="238" t="s">
        <v>126</v>
      </c>
      <c r="AK393" s="238" t="s">
        <v>1167</v>
      </c>
      <c r="AL393" t="s">
        <v>8715</v>
      </c>
      <c r="AM393" t="s">
        <v>1167</v>
      </c>
    </row>
    <row r="394" spans="1:39" hidden="1" x14ac:dyDescent="0.25">
      <c r="A394">
        <v>390</v>
      </c>
      <c r="B394">
        <v>55</v>
      </c>
      <c r="C394" s="24">
        <v>44306</v>
      </c>
      <c r="D394" s="238" t="s">
        <v>19</v>
      </c>
      <c r="E394" s="238" t="s">
        <v>6</v>
      </c>
      <c r="F394">
        <v>7</v>
      </c>
      <c r="G394">
        <v>20</v>
      </c>
      <c r="H394">
        <v>133</v>
      </c>
      <c r="I394" s="238" t="s">
        <v>43</v>
      </c>
      <c r="J394">
        <v>58.17</v>
      </c>
      <c r="K394" s="238" t="s">
        <v>36</v>
      </c>
      <c r="L394">
        <v>2851667.91</v>
      </c>
      <c r="M394">
        <v>0</v>
      </c>
      <c r="N394">
        <v>2851667.91</v>
      </c>
      <c r="O394">
        <v>49023</v>
      </c>
      <c r="P394">
        <v>0</v>
      </c>
      <c r="Q394">
        <v>2851667.91</v>
      </c>
      <c r="R394">
        <v>49023</v>
      </c>
      <c r="S394" s="238" t="s">
        <v>137</v>
      </c>
      <c r="T394" s="238" t="s">
        <v>1167</v>
      </c>
      <c r="V394" t="s">
        <v>1167</v>
      </c>
      <c r="W394" s="24">
        <v>44302</v>
      </c>
      <c r="X394" s="238" t="s">
        <v>522</v>
      </c>
      <c r="Y394" s="238" t="s">
        <v>39</v>
      </c>
      <c r="Z394" s="238" t="s">
        <v>1340</v>
      </c>
      <c r="AA394" t="s">
        <v>1167</v>
      </c>
      <c r="AB394" s="238" t="s">
        <v>3246</v>
      </c>
      <c r="AC394" t="s">
        <v>3079</v>
      </c>
      <c r="AD394" s="24"/>
      <c r="AE394" s="238" t="s">
        <v>1929</v>
      </c>
      <c r="AF394">
        <v>79376472155</v>
      </c>
      <c r="AG394" s="238" t="s">
        <v>1930</v>
      </c>
      <c r="AH394" s="238" t="s">
        <v>1171</v>
      </c>
      <c r="AI394" s="238" t="s">
        <v>3074</v>
      </c>
      <c r="AJ394" s="238" t="s">
        <v>130</v>
      </c>
      <c r="AK394" s="238" t="s">
        <v>141</v>
      </c>
      <c r="AL394" t="s">
        <v>8715</v>
      </c>
      <c r="AM394" t="s">
        <v>1167</v>
      </c>
    </row>
    <row r="395" spans="1:39" hidden="1" x14ac:dyDescent="0.25">
      <c r="A395">
        <v>391</v>
      </c>
      <c r="B395">
        <v>56</v>
      </c>
      <c r="C395" s="24">
        <v>44306</v>
      </c>
      <c r="D395" s="238" t="s">
        <v>19</v>
      </c>
      <c r="E395" s="238" t="s">
        <v>6</v>
      </c>
      <c r="F395">
        <v>7</v>
      </c>
      <c r="G395">
        <v>6</v>
      </c>
      <c r="H395">
        <v>35</v>
      </c>
      <c r="I395" s="238" t="s">
        <v>43</v>
      </c>
      <c r="J395">
        <v>58.17</v>
      </c>
      <c r="K395" s="238" t="s">
        <v>36</v>
      </c>
      <c r="L395">
        <v>2561600.88</v>
      </c>
      <c r="M395">
        <v>0</v>
      </c>
      <c r="N395">
        <v>2561600.88</v>
      </c>
      <c r="O395">
        <v>44036.460030943781</v>
      </c>
      <c r="P395">
        <v>0</v>
      </c>
      <c r="Q395">
        <v>2561600.88</v>
      </c>
      <c r="R395">
        <v>44036.460030943781</v>
      </c>
      <c r="S395" s="238" t="s">
        <v>121</v>
      </c>
      <c r="T395" s="238" t="s">
        <v>1167</v>
      </c>
      <c r="V395" t="s">
        <v>1167</v>
      </c>
      <c r="W395" s="24">
        <v>44302</v>
      </c>
      <c r="X395" s="238" t="s">
        <v>521</v>
      </c>
      <c r="Y395" s="238" t="s">
        <v>39</v>
      </c>
      <c r="Z395" s="238" t="s">
        <v>1168</v>
      </c>
      <c r="AA395" t="s">
        <v>1167</v>
      </c>
      <c r="AB395" s="238" t="s">
        <v>3246</v>
      </c>
      <c r="AC395" t="s">
        <v>4246</v>
      </c>
      <c r="AD395" s="24"/>
      <c r="AE395" s="238" t="s">
        <v>1931</v>
      </c>
      <c r="AF395">
        <v>79376566270</v>
      </c>
      <c r="AG395" s="238" t="s">
        <v>1932</v>
      </c>
      <c r="AH395" s="238" t="s">
        <v>1171</v>
      </c>
      <c r="AI395" s="238" t="s">
        <v>135</v>
      </c>
      <c r="AJ395" s="238" t="s">
        <v>126</v>
      </c>
      <c r="AK395" s="238" t="s">
        <v>1167</v>
      </c>
      <c r="AL395" t="s">
        <v>8715</v>
      </c>
      <c r="AM395" t="s">
        <v>1167</v>
      </c>
    </row>
    <row r="396" spans="1:39" hidden="1" x14ac:dyDescent="0.25">
      <c r="A396">
        <v>392</v>
      </c>
      <c r="B396">
        <v>57</v>
      </c>
      <c r="C396" s="24">
        <v>44307</v>
      </c>
      <c r="D396" s="238" t="s">
        <v>19</v>
      </c>
      <c r="E396" s="238" t="s">
        <v>5</v>
      </c>
      <c r="F396">
        <v>11</v>
      </c>
      <c r="G396">
        <v>5</v>
      </c>
      <c r="H396">
        <v>205</v>
      </c>
      <c r="I396" s="238" t="s">
        <v>4052</v>
      </c>
      <c r="J396">
        <v>25.85</v>
      </c>
      <c r="K396" s="238" t="s">
        <v>37</v>
      </c>
      <c r="L396">
        <v>1512735</v>
      </c>
      <c r="M396">
        <v>15000</v>
      </c>
      <c r="N396">
        <v>1527735</v>
      </c>
      <c r="O396">
        <v>59100</v>
      </c>
      <c r="P396">
        <v>116325</v>
      </c>
      <c r="Q396">
        <v>1411410</v>
      </c>
      <c r="R396">
        <v>54600</v>
      </c>
      <c r="S396" s="238" t="s">
        <v>124</v>
      </c>
      <c r="T396" s="238" t="s">
        <v>1167</v>
      </c>
      <c r="V396" t="s">
        <v>1167</v>
      </c>
      <c r="W396" s="24">
        <v>44288</v>
      </c>
      <c r="X396" s="238" t="s">
        <v>528</v>
      </c>
      <c r="Y396" s="238" t="s">
        <v>39</v>
      </c>
      <c r="Z396" s="238" t="s">
        <v>1168</v>
      </c>
      <c r="AA396" t="s">
        <v>1167</v>
      </c>
      <c r="AB396" s="238" t="s">
        <v>3246</v>
      </c>
      <c r="AC396" t="s">
        <v>4246</v>
      </c>
      <c r="AD396" s="24"/>
      <c r="AE396" s="238" t="s">
        <v>1933</v>
      </c>
      <c r="AF396">
        <v>79272052428</v>
      </c>
      <c r="AG396" s="238" t="s">
        <v>1934</v>
      </c>
      <c r="AH396" s="238" t="s">
        <v>1212</v>
      </c>
      <c r="AI396" s="238" t="s">
        <v>135</v>
      </c>
      <c r="AJ396" s="238" t="s">
        <v>130</v>
      </c>
      <c r="AK396" s="238" t="s">
        <v>1167</v>
      </c>
      <c r="AL396" t="s">
        <v>8715</v>
      </c>
      <c r="AM396" t="s">
        <v>1167</v>
      </c>
    </row>
    <row r="397" spans="1:39" hidden="1" x14ac:dyDescent="0.25">
      <c r="A397">
        <v>393</v>
      </c>
      <c r="B397">
        <v>58</v>
      </c>
      <c r="C397" s="24">
        <v>44307</v>
      </c>
      <c r="D397" s="238" t="s">
        <v>19</v>
      </c>
      <c r="E397" s="238" t="s">
        <v>6</v>
      </c>
      <c r="F397">
        <v>6</v>
      </c>
      <c r="G397">
        <v>12</v>
      </c>
      <c r="H397">
        <v>76</v>
      </c>
      <c r="I397" s="238" t="s">
        <v>43</v>
      </c>
      <c r="J397">
        <v>59.96</v>
      </c>
      <c r="K397" s="238" t="s">
        <v>36</v>
      </c>
      <c r="L397">
        <v>2640426.14</v>
      </c>
      <c r="M397">
        <v>0</v>
      </c>
      <c r="N397">
        <v>2640426.14</v>
      </c>
      <c r="O397">
        <v>44036.459973315548</v>
      </c>
      <c r="P397">
        <v>0</v>
      </c>
      <c r="Q397">
        <v>2640426.14</v>
      </c>
      <c r="R397">
        <v>44036.459973315548</v>
      </c>
      <c r="S397" s="238" t="s">
        <v>124</v>
      </c>
      <c r="T397" s="238" t="s">
        <v>1167</v>
      </c>
      <c r="V397" t="s">
        <v>1167</v>
      </c>
      <c r="W397" s="24">
        <v>44295</v>
      </c>
      <c r="X397" s="238" t="s">
        <v>526</v>
      </c>
      <c r="Y397" s="238" t="s">
        <v>39</v>
      </c>
      <c r="Z397" s="238" t="s">
        <v>1168</v>
      </c>
      <c r="AA397" t="s">
        <v>1167</v>
      </c>
      <c r="AB397" s="238" t="s">
        <v>3246</v>
      </c>
      <c r="AC397" t="s">
        <v>4246</v>
      </c>
      <c r="AD397" s="24"/>
      <c r="AE397" s="238" t="s">
        <v>1935</v>
      </c>
      <c r="AF397">
        <v>79277129422</v>
      </c>
      <c r="AG397" s="238" t="s">
        <v>1936</v>
      </c>
      <c r="AH397" s="238" t="s">
        <v>1212</v>
      </c>
      <c r="AI397" s="238" t="s">
        <v>135</v>
      </c>
      <c r="AJ397" s="238" t="s">
        <v>120</v>
      </c>
      <c r="AK397" s="238" t="s">
        <v>1167</v>
      </c>
      <c r="AL397" t="s">
        <v>8715</v>
      </c>
      <c r="AM397" t="s">
        <v>1167</v>
      </c>
    </row>
    <row r="398" spans="1:39" hidden="1" x14ac:dyDescent="0.25">
      <c r="A398">
        <v>394</v>
      </c>
      <c r="B398">
        <v>59</v>
      </c>
      <c r="C398" s="24">
        <v>44307</v>
      </c>
      <c r="D398" s="238" t="s">
        <v>19</v>
      </c>
      <c r="E398" s="238" t="s">
        <v>6</v>
      </c>
      <c r="F398">
        <v>1</v>
      </c>
      <c r="G398">
        <v>12</v>
      </c>
      <c r="H398">
        <v>71</v>
      </c>
      <c r="I398" s="238" t="s">
        <v>43</v>
      </c>
      <c r="J398">
        <v>59.52</v>
      </c>
      <c r="K398" s="238" t="s">
        <v>36</v>
      </c>
      <c r="L398">
        <v>2621050.1</v>
      </c>
      <c r="M398">
        <v>0</v>
      </c>
      <c r="N398">
        <v>2621050.1</v>
      </c>
      <c r="O398">
        <v>44036.460013440861</v>
      </c>
      <c r="P398">
        <v>0</v>
      </c>
      <c r="Q398">
        <v>2621050.1</v>
      </c>
      <c r="R398">
        <v>44036.460013440861</v>
      </c>
      <c r="S398" s="238" t="s">
        <v>121</v>
      </c>
      <c r="T398" s="238" t="s">
        <v>1167</v>
      </c>
      <c r="V398" t="s">
        <v>1167</v>
      </c>
      <c r="W398" s="24">
        <v>44298</v>
      </c>
      <c r="X398" s="238" t="s">
        <v>525</v>
      </c>
      <c r="Y398" s="238" t="s">
        <v>39</v>
      </c>
      <c r="Z398" s="238" t="s">
        <v>1168</v>
      </c>
      <c r="AA398" t="s">
        <v>1167</v>
      </c>
      <c r="AB398" s="238" t="s">
        <v>3246</v>
      </c>
      <c r="AC398" t="s">
        <v>4246</v>
      </c>
      <c r="AD398" s="24"/>
      <c r="AE398" s="238" t="s">
        <v>1937</v>
      </c>
      <c r="AF398">
        <v>79613808657</v>
      </c>
      <c r="AG398" s="238" t="s">
        <v>1938</v>
      </c>
      <c r="AH398" s="238" t="s">
        <v>1212</v>
      </c>
      <c r="AI398" s="238" t="s">
        <v>3084</v>
      </c>
      <c r="AJ398" s="238" t="s">
        <v>120</v>
      </c>
      <c r="AK398" s="238" t="s">
        <v>1167</v>
      </c>
      <c r="AL398" t="s">
        <v>8715</v>
      </c>
      <c r="AM398" t="s">
        <v>1167</v>
      </c>
    </row>
    <row r="399" spans="1:39" hidden="1" x14ac:dyDescent="0.25">
      <c r="A399">
        <v>395</v>
      </c>
      <c r="B399">
        <v>60</v>
      </c>
      <c r="C399" s="24">
        <v>44307</v>
      </c>
      <c r="D399" s="238" t="s">
        <v>19</v>
      </c>
      <c r="E399" s="238" t="s">
        <v>5</v>
      </c>
      <c r="F399">
        <v>4</v>
      </c>
      <c r="G399">
        <v>14</v>
      </c>
      <c r="H399">
        <v>297</v>
      </c>
      <c r="I399" s="238" t="s">
        <v>42</v>
      </c>
      <c r="J399">
        <v>37.89</v>
      </c>
      <c r="K399" s="238" t="s">
        <v>36</v>
      </c>
      <c r="L399">
        <v>1991791.67</v>
      </c>
      <c r="M399">
        <v>0</v>
      </c>
      <c r="N399">
        <v>1991791.67</v>
      </c>
      <c r="O399">
        <v>52567.740036949057</v>
      </c>
      <c r="P399">
        <v>0</v>
      </c>
      <c r="Q399">
        <v>1991791.67</v>
      </c>
      <c r="R399">
        <v>52567.740036949057</v>
      </c>
      <c r="S399" s="238" t="s">
        <v>121</v>
      </c>
      <c r="T399" s="238" t="s">
        <v>1167</v>
      </c>
      <c r="V399" t="s">
        <v>1167</v>
      </c>
      <c r="W399" s="24">
        <v>44298</v>
      </c>
      <c r="X399" s="238" t="s">
        <v>530</v>
      </c>
      <c r="Y399" s="238" t="s">
        <v>39</v>
      </c>
      <c r="Z399" s="238" t="s">
        <v>1168</v>
      </c>
      <c r="AA399" t="s">
        <v>1167</v>
      </c>
      <c r="AB399" s="238" t="s">
        <v>3246</v>
      </c>
      <c r="AC399" t="s">
        <v>4246</v>
      </c>
      <c r="AD399" s="24"/>
      <c r="AE399" s="238" t="s">
        <v>1937</v>
      </c>
      <c r="AF399">
        <v>79613808657</v>
      </c>
      <c r="AG399" s="238" t="s">
        <v>1938</v>
      </c>
      <c r="AH399" s="238" t="s">
        <v>1197</v>
      </c>
      <c r="AI399" s="238" t="s">
        <v>3082</v>
      </c>
      <c r="AJ399" s="238" t="s">
        <v>120</v>
      </c>
      <c r="AK399" s="238" t="s">
        <v>1167</v>
      </c>
      <c r="AL399" t="s">
        <v>8715</v>
      </c>
      <c r="AM399" t="s">
        <v>1167</v>
      </c>
    </row>
    <row r="400" spans="1:39" hidden="1" x14ac:dyDescent="0.25">
      <c r="A400">
        <v>396</v>
      </c>
      <c r="B400">
        <v>61</v>
      </c>
      <c r="C400" s="24">
        <v>44307</v>
      </c>
      <c r="D400" s="238" t="s">
        <v>19</v>
      </c>
      <c r="E400" s="238" t="s">
        <v>5</v>
      </c>
      <c r="F400">
        <v>6</v>
      </c>
      <c r="G400">
        <v>7</v>
      </c>
      <c r="H400">
        <v>222</v>
      </c>
      <c r="I400" s="238" t="s">
        <v>43</v>
      </c>
      <c r="J400">
        <v>60.24</v>
      </c>
      <c r="K400" s="238" t="s">
        <v>37</v>
      </c>
      <c r="L400">
        <v>2923836.35</v>
      </c>
      <c r="M400">
        <v>0</v>
      </c>
      <c r="N400">
        <v>2923836.35</v>
      </c>
      <c r="O400">
        <v>48536.459993359895</v>
      </c>
      <c r="P400">
        <v>271080</v>
      </c>
      <c r="Q400">
        <v>2652756.35</v>
      </c>
      <c r="R400">
        <v>44036.459993359895</v>
      </c>
      <c r="S400" s="238" t="s">
        <v>137</v>
      </c>
      <c r="T400" s="238" t="s">
        <v>1167</v>
      </c>
      <c r="V400" t="s">
        <v>1167</v>
      </c>
      <c r="W400" s="24">
        <v>44299</v>
      </c>
      <c r="X400" s="238" t="s">
        <v>529</v>
      </c>
      <c r="Y400" s="238" t="s">
        <v>39</v>
      </c>
      <c r="Z400" s="238" t="s">
        <v>1340</v>
      </c>
      <c r="AA400" t="s">
        <v>1167</v>
      </c>
      <c r="AB400" s="238" t="s">
        <v>3246</v>
      </c>
      <c r="AC400" t="s">
        <v>3079</v>
      </c>
      <c r="AD400" s="24"/>
      <c r="AE400" s="238" t="s">
        <v>1939</v>
      </c>
      <c r="AF400">
        <v>79276558805</v>
      </c>
      <c r="AG400" s="238" t="s">
        <v>1940</v>
      </c>
      <c r="AH400" s="238" t="s">
        <v>1212</v>
      </c>
      <c r="AI400" s="238" t="s">
        <v>3102</v>
      </c>
      <c r="AJ400" s="238" t="s">
        <v>120</v>
      </c>
      <c r="AK400" s="238" t="s">
        <v>141</v>
      </c>
      <c r="AL400" t="s">
        <v>8715</v>
      </c>
      <c r="AM400" t="s">
        <v>1167</v>
      </c>
    </row>
    <row r="401" spans="1:39" hidden="1" x14ac:dyDescent="0.25">
      <c r="A401">
        <v>397</v>
      </c>
      <c r="B401">
        <v>62</v>
      </c>
      <c r="C401" s="24">
        <v>44307</v>
      </c>
      <c r="D401" s="238" t="s">
        <v>19</v>
      </c>
      <c r="E401" s="238" t="s">
        <v>6</v>
      </c>
      <c r="F401">
        <v>2</v>
      </c>
      <c r="G401">
        <v>23</v>
      </c>
      <c r="H401">
        <v>149</v>
      </c>
      <c r="I401" s="238" t="s">
        <v>43</v>
      </c>
      <c r="J401">
        <v>58.99</v>
      </c>
      <c r="K401" s="238" t="s">
        <v>36</v>
      </c>
      <c r="L401">
        <v>2891866.77</v>
      </c>
      <c r="M401">
        <v>0</v>
      </c>
      <c r="N401">
        <v>2891866.77</v>
      </c>
      <c r="O401">
        <v>49023</v>
      </c>
      <c r="P401">
        <v>0</v>
      </c>
      <c r="Q401">
        <v>2891866.77</v>
      </c>
      <c r="R401">
        <v>49023</v>
      </c>
      <c r="S401" s="238" t="s">
        <v>121</v>
      </c>
      <c r="T401" s="238" t="s">
        <v>1167</v>
      </c>
      <c r="V401" t="s">
        <v>1167</v>
      </c>
      <c r="W401" s="24">
        <v>44300</v>
      </c>
      <c r="X401" s="238" t="s">
        <v>527</v>
      </c>
      <c r="Y401" s="238" t="s">
        <v>39</v>
      </c>
      <c r="Z401" s="238" t="s">
        <v>1168</v>
      </c>
      <c r="AA401" t="s">
        <v>1167</v>
      </c>
      <c r="AB401" s="238" t="s">
        <v>3246</v>
      </c>
      <c r="AC401" t="s">
        <v>4246</v>
      </c>
      <c r="AD401" s="24"/>
      <c r="AE401" s="238" t="s">
        <v>1941</v>
      </c>
      <c r="AF401">
        <v>79277398611</v>
      </c>
      <c r="AG401" s="238" t="s">
        <v>1942</v>
      </c>
      <c r="AH401" s="238" t="s">
        <v>135</v>
      </c>
      <c r="AI401" s="238" t="s">
        <v>3099</v>
      </c>
      <c r="AJ401" s="238" t="s">
        <v>399</v>
      </c>
      <c r="AK401" s="238" t="s">
        <v>1167</v>
      </c>
      <c r="AL401" t="s">
        <v>8715</v>
      </c>
      <c r="AM401" t="s">
        <v>1167</v>
      </c>
    </row>
    <row r="402" spans="1:39" hidden="1" x14ac:dyDescent="0.25">
      <c r="A402">
        <v>398</v>
      </c>
      <c r="B402">
        <v>63</v>
      </c>
      <c r="C402" s="24">
        <v>44308</v>
      </c>
      <c r="D402" s="238" t="s">
        <v>19</v>
      </c>
      <c r="E402" s="238" t="s">
        <v>6</v>
      </c>
      <c r="F402">
        <v>5</v>
      </c>
      <c r="G402">
        <v>12</v>
      </c>
      <c r="H402">
        <v>75</v>
      </c>
      <c r="I402" s="238" t="s">
        <v>42</v>
      </c>
      <c r="J402">
        <v>36.42</v>
      </c>
      <c r="K402" s="238" t="s">
        <v>36</v>
      </c>
      <c r="L402">
        <v>1787316.54</v>
      </c>
      <c r="M402">
        <v>15000</v>
      </c>
      <c r="N402">
        <v>1802316.54</v>
      </c>
      <c r="O402">
        <v>49487</v>
      </c>
      <c r="P402">
        <v>0</v>
      </c>
      <c r="Q402">
        <v>1802316.54</v>
      </c>
      <c r="R402">
        <v>49487</v>
      </c>
      <c r="S402" s="238" t="s">
        <v>121</v>
      </c>
      <c r="T402" s="238" t="s">
        <v>1167</v>
      </c>
      <c r="V402" t="s">
        <v>1167</v>
      </c>
      <c r="W402" s="24">
        <v>44287</v>
      </c>
      <c r="X402" s="238" t="s">
        <v>532</v>
      </c>
      <c r="Y402" s="238" t="s">
        <v>39</v>
      </c>
      <c r="Z402" s="238" t="s">
        <v>1168</v>
      </c>
      <c r="AA402" t="s">
        <v>1167</v>
      </c>
      <c r="AB402" s="238" t="s">
        <v>3246</v>
      </c>
      <c r="AC402" t="s">
        <v>4246</v>
      </c>
      <c r="AD402" s="24"/>
      <c r="AE402" s="238" t="s">
        <v>1943</v>
      </c>
      <c r="AF402">
        <v>79063475043</v>
      </c>
      <c r="AG402" s="238" t="s">
        <v>1944</v>
      </c>
      <c r="AH402" s="238" t="s">
        <v>1212</v>
      </c>
      <c r="AI402" s="238" t="s">
        <v>3084</v>
      </c>
      <c r="AJ402" s="238" t="s">
        <v>120</v>
      </c>
      <c r="AK402" s="238" t="s">
        <v>1167</v>
      </c>
      <c r="AL402" t="s">
        <v>8715</v>
      </c>
      <c r="AM402" t="s">
        <v>1167</v>
      </c>
    </row>
    <row r="403" spans="1:39" hidden="1" x14ac:dyDescent="0.25">
      <c r="A403">
        <v>399</v>
      </c>
      <c r="B403">
        <v>64</v>
      </c>
      <c r="C403" s="24">
        <v>44308</v>
      </c>
      <c r="D403" s="238" t="s">
        <v>19</v>
      </c>
      <c r="E403" s="238" t="s">
        <v>6</v>
      </c>
      <c r="F403">
        <v>3</v>
      </c>
      <c r="G403">
        <v>9</v>
      </c>
      <c r="H403">
        <v>52</v>
      </c>
      <c r="I403" s="238" t="s">
        <v>44</v>
      </c>
      <c r="J403">
        <v>76.56</v>
      </c>
      <c r="K403" s="238" t="s">
        <v>38</v>
      </c>
      <c r="L403">
        <v>4580742.51</v>
      </c>
      <c r="M403">
        <v>0</v>
      </c>
      <c r="N403">
        <v>4580742.51</v>
      </c>
      <c r="O403">
        <v>59832.059952978052</v>
      </c>
      <c r="P403">
        <v>1148400</v>
      </c>
      <c r="Q403">
        <v>3432342.51</v>
      </c>
      <c r="R403">
        <v>44832.059952978052</v>
      </c>
      <c r="S403" s="238" t="s">
        <v>137</v>
      </c>
      <c r="T403" s="238" t="s">
        <v>1167</v>
      </c>
      <c r="V403" t="s">
        <v>1167</v>
      </c>
      <c r="W403" s="24">
        <v>44289</v>
      </c>
      <c r="X403" s="238" t="s">
        <v>531</v>
      </c>
      <c r="Y403" s="238" t="s">
        <v>39</v>
      </c>
      <c r="Z403" s="238" t="s">
        <v>1168</v>
      </c>
      <c r="AA403" t="s">
        <v>1167</v>
      </c>
      <c r="AB403" s="238" t="s">
        <v>3246</v>
      </c>
      <c r="AC403" t="s">
        <v>3079</v>
      </c>
      <c r="AD403" s="24"/>
      <c r="AE403" s="238" t="s">
        <v>1945</v>
      </c>
      <c r="AF403">
        <v>79272064681</v>
      </c>
      <c r="AG403" s="238" t="s">
        <v>1946</v>
      </c>
      <c r="AH403" s="238" t="s">
        <v>1212</v>
      </c>
      <c r="AI403" s="238" t="s">
        <v>3074</v>
      </c>
      <c r="AJ403" s="238" t="s">
        <v>399</v>
      </c>
      <c r="AK403" s="238" t="s">
        <v>141</v>
      </c>
      <c r="AL403" t="s">
        <v>8715</v>
      </c>
      <c r="AM403" t="s">
        <v>1167</v>
      </c>
    </row>
    <row r="404" spans="1:39" hidden="1" x14ac:dyDescent="0.25">
      <c r="A404">
        <v>400</v>
      </c>
      <c r="B404">
        <v>65</v>
      </c>
      <c r="C404" s="24">
        <v>44308</v>
      </c>
      <c r="D404" s="238" t="s">
        <v>19</v>
      </c>
      <c r="E404" s="238" t="s">
        <v>6</v>
      </c>
      <c r="F404">
        <v>7</v>
      </c>
      <c r="G404">
        <v>22</v>
      </c>
      <c r="H404">
        <v>147</v>
      </c>
      <c r="I404" s="238" t="s">
        <v>43</v>
      </c>
      <c r="J404">
        <v>58.17</v>
      </c>
      <c r="K404" s="238" t="s">
        <v>37</v>
      </c>
      <c r="L404">
        <v>3098432.91</v>
      </c>
      <c r="M404">
        <v>15000</v>
      </c>
      <c r="N404">
        <v>3113432.91</v>
      </c>
      <c r="O404">
        <v>53523</v>
      </c>
      <c r="P404">
        <v>261765</v>
      </c>
      <c r="Q404">
        <v>2851667.91</v>
      </c>
      <c r="R404">
        <v>49023</v>
      </c>
      <c r="S404" s="238" t="s">
        <v>137</v>
      </c>
      <c r="T404" s="238" t="s">
        <v>1167</v>
      </c>
      <c r="V404" t="s">
        <v>1167</v>
      </c>
      <c r="W404" s="24">
        <v>44295</v>
      </c>
      <c r="X404" s="238" t="s">
        <v>534</v>
      </c>
      <c r="Y404" s="238" t="s">
        <v>39</v>
      </c>
      <c r="Z404" s="238" t="s">
        <v>1340</v>
      </c>
      <c r="AA404" t="s">
        <v>1167</v>
      </c>
      <c r="AB404" s="238" t="s">
        <v>3246</v>
      </c>
      <c r="AC404" t="s">
        <v>3079</v>
      </c>
      <c r="AD404" s="24"/>
      <c r="AE404" s="238" t="s">
        <v>1947</v>
      </c>
      <c r="AF404">
        <v>79272097374</v>
      </c>
      <c r="AG404" s="238" t="s">
        <v>1948</v>
      </c>
      <c r="AH404" s="238" t="s">
        <v>135</v>
      </c>
      <c r="AI404" s="238" t="s">
        <v>3099</v>
      </c>
      <c r="AJ404" s="238" t="s">
        <v>399</v>
      </c>
      <c r="AK404" s="238" t="s">
        <v>141</v>
      </c>
      <c r="AL404" t="s">
        <v>8715</v>
      </c>
      <c r="AM404" t="s">
        <v>1167</v>
      </c>
    </row>
    <row r="405" spans="1:39" hidden="1" x14ac:dyDescent="0.25">
      <c r="A405">
        <v>401</v>
      </c>
      <c r="B405">
        <v>66</v>
      </c>
      <c r="C405" s="24">
        <v>44308</v>
      </c>
      <c r="D405" s="238" t="s">
        <v>19</v>
      </c>
      <c r="E405" s="238" t="s">
        <v>6</v>
      </c>
      <c r="F405">
        <v>1</v>
      </c>
      <c r="G405">
        <v>23</v>
      </c>
      <c r="H405">
        <v>148</v>
      </c>
      <c r="I405" s="238" t="s">
        <v>43</v>
      </c>
      <c r="J405">
        <v>59.52</v>
      </c>
      <c r="K405" s="238" t="s">
        <v>37</v>
      </c>
      <c r="L405">
        <v>3185688.96</v>
      </c>
      <c r="M405">
        <v>0</v>
      </c>
      <c r="N405">
        <v>3185688.96</v>
      </c>
      <c r="O405">
        <v>53523</v>
      </c>
      <c r="P405">
        <v>267840</v>
      </c>
      <c r="Q405">
        <v>2917848.96</v>
      </c>
      <c r="R405">
        <v>49023</v>
      </c>
      <c r="S405" s="238" t="s">
        <v>137</v>
      </c>
      <c r="T405" s="238" t="s">
        <v>1167</v>
      </c>
      <c r="V405" t="s">
        <v>4091</v>
      </c>
      <c r="W405" s="24">
        <v>44302</v>
      </c>
      <c r="X405" s="238" t="s">
        <v>535</v>
      </c>
      <c r="Y405" s="238" t="s">
        <v>39</v>
      </c>
      <c r="Z405" s="238" t="s">
        <v>1340</v>
      </c>
      <c r="AA405" t="s">
        <v>1167</v>
      </c>
      <c r="AB405" s="238" t="s">
        <v>3246</v>
      </c>
      <c r="AC405" t="s">
        <v>3079</v>
      </c>
      <c r="AD405" s="24"/>
      <c r="AE405" s="238" t="s">
        <v>1949</v>
      </c>
      <c r="AF405">
        <v>79277056944</v>
      </c>
      <c r="AG405" s="238" t="s">
        <v>1950</v>
      </c>
      <c r="AH405" s="238" t="s">
        <v>1171</v>
      </c>
      <c r="AI405" s="238" t="s">
        <v>3074</v>
      </c>
      <c r="AJ405" s="238" t="s">
        <v>126</v>
      </c>
      <c r="AK405" s="238" t="s">
        <v>141</v>
      </c>
      <c r="AL405" t="s">
        <v>8715</v>
      </c>
      <c r="AM405" t="s">
        <v>1167</v>
      </c>
    </row>
    <row r="406" spans="1:39" hidden="1" x14ac:dyDescent="0.25">
      <c r="A406">
        <v>402</v>
      </c>
      <c r="B406">
        <v>67</v>
      </c>
      <c r="C406" s="24">
        <v>44308</v>
      </c>
      <c r="D406" s="238" t="s">
        <v>20</v>
      </c>
      <c r="E406" s="238" t="s">
        <v>5</v>
      </c>
      <c r="F406">
        <v>1</v>
      </c>
      <c r="G406">
        <v>8</v>
      </c>
      <c r="H406">
        <v>193</v>
      </c>
      <c r="I406" s="238" t="s">
        <v>44</v>
      </c>
      <c r="J406">
        <v>89.56</v>
      </c>
      <c r="K406" s="238" t="s">
        <v>36</v>
      </c>
      <c r="L406">
        <v>3981390.28</v>
      </c>
      <c r="M406">
        <v>0</v>
      </c>
      <c r="N406">
        <v>3981390.28</v>
      </c>
      <c r="O406">
        <v>44455.005359535506</v>
      </c>
      <c r="P406">
        <v>44780</v>
      </c>
      <c r="Q406">
        <v>3936610.28</v>
      </c>
      <c r="R406">
        <v>43955.005359535506</v>
      </c>
      <c r="S406" s="238" t="s">
        <v>137</v>
      </c>
      <c r="T406" s="238" t="s">
        <v>321</v>
      </c>
      <c r="U406">
        <v>350000</v>
      </c>
      <c r="V406" t="s">
        <v>1167</v>
      </c>
      <c r="W406" s="24">
        <v>44306</v>
      </c>
      <c r="X406" s="238" t="s">
        <v>533</v>
      </c>
      <c r="Y406" s="238" t="s">
        <v>39</v>
      </c>
      <c r="Z406" s="238" t="s">
        <v>1340</v>
      </c>
      <c r="AA406" t="s">
        <v>1167</v>
      </c>
      <c r="AB406" s="238" t="s">
        <v>3246</v>
      </c>
      <c r="AC406" t="s">
        <v>3079</v>
      </c>
      <c r="AD406" s="24"/>
      <c r="AE406" s="238" t="s">
        <v>1951</v>
      </c>
      <c r="AF406">
        <v>79277294185</v>
      </c>
      <c r="AG406" s="238" t="s">
        <v>1952</v>
      </c>
      <c r="AH406" s="238" t="s">
        <v>1171</v>
      </c>
      <c r="AI406" s="238" t="s">
        <v>3101</v>
      </c>
      <c r="AJ406" s="238" t="s">
        <v>126</v>
      </c>
      <c r="AK406" s="238" t="s">
        <v>141</v>
      </c>
      <c r="AL406" t="s">
        <v>8715</v>
      </c>
      <c r="AM406" t="s">
        <v>1167</v>
      </c>
    </row>
    <row r="407" spans="1:39" hidden="1" x14ac:dyDescent="0.25">
      <c r="A407">
        <v>403</v>
      </c>
      <c r="B407">
        <v>68</v>
      </c>
      <c r="C407" s="24">
        <v>44309</v>
      </c>
      <c r="D407" s="238" t="s">
        <v>19</v>
      </c>
      <c r="E407" s="238" t="s">
        <v>6</v>
      </c>
      <c r="F407">
        <v>4</v>
      </c>
      <c r="G407">
        <v>9</v>
      </c>
      <c r="H407">
        <v>53</v>
      </c>
      <c r="I407" s="238" t="s">
        <v>42</v>
      </c>
      <c r="J407">
        <v>36.86</v>
      </c>
      <c r="K407" s="238" t="s">
        <v>37</v>
      </c>
      <c r="L407">
        <v>2050523.82</v>
      </c>
      <c r="M407">
        <v>15000</v>
      </c>
      <c r="N407">
        <v>2065523.82</v>
      </c>
      <c r="O407">
        <v>56037</v>
      </c>
      <c r="P407">
        <v>165870</v>
      </c>
      <c r="Q407">
        <v>1899653.82</v>
      </c>
      <c r="R407">
        <v>51537</v>
      </c>
      <c r="S407" s="238" t="s">
        <v>121</v>
      </c>
      <c r="T407" s="238" t="s">
        <v>1167</v>
      </c>
      <c r="V407" t="s">
        <v>1167</v>
      </c>
      <c r="W407" s="24">
        <v>44287</v>
      </c>
      <c r="X407" s="238" t="s">
        <v>537</v>
      </c>
      <c r="Y407" s="238" t="s">
        <v>39</v>
      </c>
      <c r="Z407" s="238" t="s">
        <v>1168</v>
      </c>
      <c r="AA407" t="s">
        <v>1167</v>
      </c>
      <c r="AB407" s="238" t="s">
        <v>3246</v>
      </c>
      <c r="AC407" t="s">
        <v>4246</v>
      </c>
      <c r="AD407" s="24"/>
      <c r="AE407" s="238" t="s">
        <v>1953</v>
      </c>
      <c r="AF407">
        <v>79879516453</v>
      </c>
      <c r="AG407" s="238" t="s">
        <v>1954</v>
      </c>
      <c r="AH407" s="238" t="s">
        <v>1171</v>
      </c>
      <c r="AI407" s="238" t="s">
        <v>3098</v>
      </c>
      <c r="AJ407" s="238" t="s">
        <v>399</v>
      </c>
      <c r="AK407" s="238" t="s">
        <v>1167</v>
      </c>
      <c r="AL407" t="s">
        <v>8715</v>
      </c>
      <c r="AM407" t="s">
        <v>1167</v>
      </c>
    </row>
    <row r="408" spans="1:39" hidden="1" x14ac:dyDescent="0.25">
      <c r="A408">
        <v>404</v>
      </c>
      <c r="B408">
        <v>69</v>
      </c>
      <c r="C408" s="24">
        <v>44309</v>
      </c>
      <c r="D408" s="238" t="s">
        <v>19</v>
      </c>
      <c r="E408" s="238" t="s">
        <v>5</v>
      </c>
      <c r="F408">
        <v>10</v>
      </c>
      <c r="G408">
        <v>8</v>
      </c>
      <c r="H408">
        <v>237</v>
      </c>
      <c r="I408" s="238" t="s">
        <v>4052</v>
      </c>
      <c r="J408">
        <v>25.91</v>
      </c>
      <c r="K408" s="238" t="s">
        <v>37</v>
      </c>
      <c r="L408">
        <v>1531281</v>
      </c>
      <c r="M408">
        <v>0</v>
      </c>
      <c r="N408">
        <v>1531281</v>
      </c>
      <c r="O408">
        <v>59100</v>
      </c>
      <c r="P408">
        <v>116595</v>
      </c>
      <c r="Q408">
        <v>1414686</v>
      </c>
      <c r="R408">
        <v>54600</v>
      </c>
      <c r="S408" s="238" t="s">
        <v>124</v>
      </c>
      <c r="T408" s="238" t="s">
        <v>1167</v>
      </c>
      <c r="V408" t="s">
        <v>1167</v>
      </c>
      <c r="W408" s="24">
        <v>44287</v>
      </c>
      <c r="X408" s="238" t="s">
        <v>543</v>
      </c>
      <c r="Y408" s="238" t="s">
        <v>39</v>
      </c>
      <c r="Z408" s="238" t="s">
        <v>1168</v>
      </c>
      <c r="AA408" t="s">
        <v>1167</v>
      </c>
      <c r="AB408" s="238" t="s">
        <v>3246</v>
      </c>
      <c r="AC408" t="s">
        <v>4246</v>
      </c>
      <c r="AD408" s="24"/>
      <c r="AE408" s="238" t="s">
        <v>1955</v>
      </c>
      <c r="AF408">
        <v>79879830482</v>
      </c>
      <c r="AG408" s="238" t="s">
        <v>1956</v>
      </c>
      <c r="AH408" s="238" t="s">
        <v>1212</v>
      </c>
      <c r="AI408" s="238" t="s">
        <v>135</v>
      </c>
      <c r="AJ408" s="238" t="s">
        <v>120</v>
      </c>
      <c r="AK408" s="238" t="s">
        <v>1167</v>
      </c>
      <c r="AL408" t="s">
        <v>8715</v>
      </c>
      <c r="AM408" t="s">
        <v>1167</v>
      </c>
    </row>
    <row r="409" spans="1:39" hidden="1" x14ac:dyDescent="0.25">
      <c r="A409">
        <v>405</v>
      </c>
      <c r="B409">
        <v>70</v>
      </c>
      <c r="C409" s="24">
        <v>44309</v>
      </c>
      <c r="D409" s="238" t="s">
        <v>19</v>
      </c>
      <c r="E409" s="238" t="s">
        <v>5</v>
      </c>
      <c r="F409">
        <v>9</v>
      </c>
      <c r="G409">
        <v>3</v>
      </c>
      <c r="H409">
        <v>181</v>
      </c>
      <c r="I409" s="238" t="s">
        <v>43</v>
      </c>
      <c r="J409">
        <v>60.3</v>
      </c>
      <c r="K409" s="238" t="s">
        <v>37</v>
      </c>
      <c r="L409">
        <v>2859681.9</v>
      </c>
      <c r="M409">
        <v>15000</v>
      </c>
      <c r="N409">
        <v>2874681.9</v>
      </c>
      <c r="O409">
        <v>47673</v>
      </c>
      <c r="P409">
        <v>271350</v>
      </c>
      <c r="Q409">
        <v>2603331.9</v>
      </c>
      <c r="R409">
        <v>43173</v>
      </c>
      <c r="S409" s="238" t="s">
        <v>121</v>
      </c>
      <c r="T409" s="238" t="s">
        <v>1167</v>
      </c>
      <c r="V409" t="s">
        <v>1167</v>
      </c>
      <c r="W409" s="24">
        <v>44287</v>
      </c>
      <c r="X409" s="238" t="s">
        <v>542</v>
      </c>
      <c r="Y409" s="238" t="s">
        <v>39</v>
      </c>
      <c r="Z409" s="238" t="s">
        <v>1168</v>
      </c>
      <c r="AA409" t="s">
        <v>1167</v>
      </c>
      <c r="AB409" s="238" t="s">
        <v>3246</v>
      </c>
      <c r="AC409" t="s">
        <v>4246</v>
      </c>
      <c r="AD409" s="24"/>
      <c r="AE409" s="238" t="s">
        <v>1957</v>
      </c>
      <c r="AF409">
        <v>79674823640</v>
      </c>
      <c r="AG409" s="238" t="s">
        <v>1958</v>
      </c>
      <c r="AH409" s="238" t="s">
        <v>1171</v>
      </c>
      <c r="AI409" s="238" t="s">
        <v>3088</v>
      </c>
      <c r="AJ409" s="238" t="s">
        <v>130</v>
      </c>
      <c r="AK409" s="238" t="s">
        <v>1167</v>
      </c>
      <c r="AL409" t="s">
        <v>8715</v>
      </c>
      <c r="AM409" t="s">
        <v>1167</v>
      </c>
    </row>
    <row r="410" spans="1:39" hidden="1" x14ac:dyDescent="0.25">
      <c r="A410">
        <v>406</v>
      </c>
      <c r="B410">
        <v>71</v>
      </c>
      <c r="C410" s="24">
        <v>44309</v>
      </c>
      <c r="D410" s="238" t="s">
        <v>19</v>
      </c>
      <c r="E410" s="238" t="s">
        <v>6</v>
      </c>
      <c r="F410">
        <v>1</v>
      </c>
      <c r="G410">
        <v>24</v>
      </c>
      <c r="H410">
        <v>155</v>
      </c>
      <c r="I410" s="238" t="s">
        <v>43</v>
      </c>
      <c r="J410">
        <v>59.52</v>
      </c>
      <c r="K410" s="238" t="s">
        <v>37</v>
      </c>
      <c r="L410">
        <v>3170688.96</v>
      </c>
      <c r="M410">
        <v>15000</v>
      </c>
      <c r="N410">
        <v>3185688.96</v>
      </c>
      <c r="O410">
        <v>53523</v>
      </c>
      <c r="P410">
        <v>267840</v>
      </c>
      <c r="Q410">
        <v>2917848.96</v>
      </c>
      <c r="R410">
        <v>49023</v>
      </c>
      <c r="S410" s="238" t="s">
        <v>137</v>
      </c>
      <c r="T410" s="238" t="s">
        <v>1167</v>
      </c>
      <c r="V410" t="s">
        <v>4091</v>
      </c>
      <c r="W410" s="24">
        <v>44292</v>
      </c>
      <c r="X410" s="238" t="s">
        <v>540</v>
      </c>
      <c r="Y410" s="238" t="s">
        <v>39</v>
      </c>
      <c r="Z410" s="238" t="s">
        <v>1340</v>
      </c>
      <c r="AA410" t="s">
        <v>1167</v>
      </c>
      <c r="AB410" s="238" t="s">
        <v>3246</v>
      </c>
      <c r="AC410" t="s">
        <v>3079</v>
      </c>
      <c r="AD410" s="24"/>
      <c r="AE410" s="238" t="s">
        <v>1959</v>
      </c>
      <c r="AF410">
        <v>79270044842</v>
      </c>
      <c r="AG410" s="238" t="s">
        <v>1960</v>
      </c>
      <c r="AH410" s="238" t="s">
        <v>1212</v>
      </c>
      <c r="AI410" s="238" t="s">
        <v>3084</v>
      </c>
      <c r="AJ410" s="238" t="s">
        <v>120</v>
      </c>
      <c r="AK410" s="238" t="s">
        <v>141</v>
      </c>
      <c r="AL410" t="s">
        <v>8715</v>
      </c>
      <c r="AM410" t="s">
        <v>1167</v>
      </c>
    </row>
    <row r="411" spans="1:39" hidden="1" x14ac:dyDescent="0.25">
      <c r="A411">
        <v>407</v>
      </c>
      <c r="B411">
        <v>72</v>
      </c>
      <c r="C411" s="24">
        <v>44309</v>
      </c>
      <c r="D411" s="238" t="s">
        <v>19</v>
      </c>
      <c r="E411" s="238" t="s">
        <v>5</v>
      </c>
      <c r="F411">
        <v>10</v>
      </c>
      <c r="G411">
        <v>10</v>
      </c>
      <c r="H411">
        <v>259</v>
      </c>
      <c r="I411" s="238" t="s">
        <v>4052</v>
      </c>
      <c r="J411">
        <v>25.91</v>
      </c>
      <c r="K411" s="238" t="s">
        <v>37</v>
      </c>
      <c r="L411">
        <v>1516281</v>
      </c>
      <c r="M411">
        <v>15000</v>
      </c>
      <c r="N411">
        <v>1531281</v>
      </c>
      <c r="O411">
        <v>59100</v>
      </c>
      <c r="P411">
        <v>116595</v>
      </c>
      <c r="Q411">
        <v>1414686</v>
      </c>
      <c r="R411">
        <v>54600</v>
      </c>
      <c r="S411" s="238" t="s">
        <v>137</v>
      </c>
      <c r="T411" s="238" t="s">
        <v>1167</v>
      </c>
      <c r="V411" t="s">
        <v>1167</v>
      </c>
      <c r="W411" s="24">
        <v>44303</v>
      </c>
      <c r="X411" s="238" t="s">
        <v>544</v>
      </c>
      <c r="Y411" s="238" t="s">
        <v>39</v>
      </c>
      <c r="Z411" s="238" t="s">
        <v>1340</v>
      </c>
      <c r="AA411" t="s">
        <v>1167</v>
      </c>
      <c r="AB411" s="238" t="s">
        <v>3246</v>
      </c>
      <c r="AC411" t="s">
        <v>3079</v>
      </c>
      <c r="AD411" s="24"/>
      <c r="AE411" s="238" t="s">
        <v>1961</v>
      </c>
      <c r="AF411">
        <v>79277514419</v>
      </c>
      <c r="AG411" s="238" t="s">
        <v>1962</v>
      </c>
      <c r="AH411" s="238" t="s">
        <v>1171</v>
      </c>
      <c r="AI411" s="238" t="s">
        <v>135</v>
      </c>
      <c r="AJ411" s="238" t="s">
        <v>130</v>
      </c>
      <c r="AK411" s="238" t="s">
        <v>141</v>
      </c>
      <c r="AL411" t="s">
        <v>8715</v>
      </c>
      <c r="AM411" t="s">
        <v>1167</v>
      </c>
    </row>
    <row r="412" spans="1:39" hidden="1" x14ac:dyDescent="0.25">
      <c r="A412">
        <v>408</v>
      </c>
      <c r="B412">
        <v>73</v>
      </c>
      <c r="C412" s="24">
        <v>44309</v>
      </c>
      <c r="D412" s="238" t="s">
        <v>19</v>
      </c>
      <c r="E412" s="238" t="s">
        <v>5</v>
      </c>
      <c r="F412">
        <v>7</v>
      </c>
      <c r="G412">
        <v>11</v>
      </c>
      <c r="H412">
        <v>267</v>
      </c>
      <c r="I412" s="238" t="s">
        <v>4052</v>
      </c>
      <c r="J412">
        <v>24.23</v>
      </c>
      <c r="K412" s="238" t="s">
        <v>36</v>
      </c>
      <c r="L412">
        <v>1329572.79</v>
      </c>
      <c r="M412">
        <v>0</v>
      </c>
      <c r="N412">
        <v>1329572.79</v>
      </c>
      <c r="O412">
        <v>54873</v>
      </c>
      <c r="P412">
        <v>0</v>
      </c>
      <c r="Q412">
        <v>1329572.79</v>
      </c>
      <c r="R412">
        <v>54873</v>
      </c>
      <c r="S412" s="238" t="s">
        <v>137</v>
      </c>
      <c r="T412" s="238" t="s">
        <v>1167</v>
      </c>
      <c r="V412" t="s">
        <v>1167</v>
      </c>
      <c r="W412" s="24">
        <v>44303</v>
      </c>
      <c r="X412" s="238" t="s">
        <v>545</v>
      </c>
      <c r="Y412" s="238" t="s">
        <v>39</v>
      </c>
      <c r="Z412" s="238" t="s">
        <v>1340</v>
      </c>
      <c r="AA412" t="s">
        <v>1167</v>
      </c>
      <c r="AB412" s="238" t="s">
        <v>3246</v>
      </c>
      <c r="AC412" t="s">
        <v>3079</v>
      </c>
      <c r="AD412" s="24"/>
      <c r="AE412" s="238" t="s">
        <v>1963</v>
      </c>
      <c r="AF412">
        <v>79277257478</v>
      </c>
      <c r="AG412" s="238" t="s">
        <v>1964</v>
      </c>
      <c r="AH412" s="238" t="s">
        <v>1212</v>
      </c>
      <c r="AI412" s="238" t="s">
        <v>3086</v>
      </c>
      <c r="AJ412" s="238" t="s">
        <v>120</v>
      </c>
      <c r="AK412" s="238" t="s">
        <v>141</v>
      </c>
      <c r="AL412" t="s">
        <v>8715</v>
      </c>
      <c r="AM412" t="s">
        <v>1167</v>
      </c>
    </row>
    <row r="413" spans="1:39" hidden="1" x14ac:dyDescent="0.25">
      <c r="A413">
        <v>409</v>
      </c>
      <c r="B413">
        <v>74</v>
      </c>
      <c r="C413" s="24">
        <v>44309</v>
      </c>
      <c r="D413" s="238" t="s">
        <v>19</v>
      </c>
      <c r="E413" s="238" t="s">
        <v>5</v>
      </c>
      <c r="F413">
        <v>5</v>
      </c>
      <c r="G413">
        <v>2</v>
      </c>
      <c r="H413">
        <v>166</v>
      </c>
      <c r="I413" s="238" t="s">
        <v>43</v>
      </c>
      <c r="J413">
        <v>60.19</v>
      </c>
      <c r="K413" s="238" t="s">
        <v>36</v>
      </c>
      <c r="L413">
        <v>2650554.5299999998</v>
      </c>
      <c r="M413">
        <v>0</v>
      </c>
      <c r="N413">
        <v>2650554.5299999998</v>
      </c>
      <c r="O413">
        <v>44036.460043196545</v>
      </c>
      <c r="P413">
        <v>0</v>
      </c>
      <c r="Q413">
        <v>2650554.5299999998</v>
      </c>
      <c r="R413">
        <v>44036.460043196545</v>
      </c>
      <c r="S413" s="238" t="s">
        <v>137</v>
      </c>
      <c r="T413" s="238" t="s">
        <v>1167</v>
      </c>
      <c r="V413" t="s">
        <v>1167</v>
      </c>
      <c r="W413" s="24">
        <v>44306</v>
      </c>
      <c r="X413" s="238" t="s">
        <v>541</v>
      </c>
      <c r="Y413" s="238" t="s">
        <v>39</v>
      </c>
      <c r="Z413" s="238" t="s">
        <v>1340</v>
      </c>
      <c r="AA413" t="s">
        <v>1167</v>
      </c>
      <c r="AB413" s="238" t="s">
        <v>3246</v>
      </c>
      <c r="AC413" t="s">
        <v>3079</v>
      </c>
      <c r="AD413" s="24"/>
      <c r="AE413" s="238" t="s">
        <v>1965</v>
      </c>
      <c r="AF413">
        <v>79649905681</v>
      </c>
      <c r="AG413" s="238" t="s">
        <v>1966</v>
      </c>
      <c r="AH413" s="238" t="s">
        <v>1212</v>
      </c>
      <c r="AI413" s="238" t="s">
        <v>135</v>
      </c>
      <c r="AJ413" s="238" t="s">
        <v>130</v>
      </c>
      <c r="AK413" s="238" t="s">
        <v>141</v>
      </c>
      <c r="AL413" t="s">
        <v>8715</v>
      </c>
      <c r="AM413" t="s">
        <v>1167</v>
      </c>
    </row>
    <row r="414" spans="1:39" hidden="1" x14ac:dyDescent="0.25">
      <c r="A414">
        <v>410</v>
      </c>
      <c r="B414">
        <v>75</v>
      </c>
      <c r="C414" s="24">
        <v>44309</v>
      </c>
      <c r="D414" s="238" t="s">
        <v>19</v>
      </c>
      <c r="E414" s="238" t="s">
        <v>6</v>
      </c>
      <c r="F414">
        <v>4</v>
      </c>
      <c r="G414">
        <v>12</v>
      </c>
      <c r="H414">
        <v>74</v>
      </c>
      <c r="I414" s="238" t="s">
        <v>42</v>
      </c>
      <c r="J414">
        <v>36.86</v>
      </c>
      <c r="K414" s="238" t="s">
        <v>36</v>
      </c>
      <c r="L414">
        <v>1860572.64</v>
      </c>
      <c r="M414">
        <v>0</v>
      </c>
      <c r="N414">
        <v>1860572.64</v>
      </c>
      <c r="O414">
        <v>50476.740097666843</v>
      </c>
      <c r="P414">
        <v>0</v>
      </c>
      <c r="Q414">
        <v>1860572.64</v>
      </c>
      <c r="R414">
        <v>50476.740097666843</v>
      </c>
      <c r="S414" s="238" t="s">
        <v>137</v>
      </c>
      <c r="T414" s="238" t="s">
        <v>1167</v>
      </c>
      <c r="V414" t="s">
        <v>1167</v>
      </c>
      <c r="W414" s="24">
        <v>44307</v>
      </c>
      <c r="X414" s="238" t="s">
        <v>538</v>
      </c>
      <c r="Y414" s="238" t="s">
        <v>39</v>
      </c>
      <c r="Z414" s="238" t="s">
        <v>1340</v>
      </c>
      <c r="AA414" t="s">
        <v>1167</v>
      </c>
      <c r="AB414" s="238" t="s">
        <v>3246</v>
      </c>
      <c r="AC414" t="s">
        <v>3079</v>
      </c>
      <c r="AD414" s="24"/>
      <c r="AE414" s="238" t="s">
        <v>1967</v>
      </c>
      <c r="AF414">
        <v>79171526617</v>
      </c>
      <c r="AG414" s="238" t="s">
        <v>1968</v>
      </c>
      <c r="AH414" s="238" t="s">
        <v>1212</v>
      </c>
      <c r="AI414" s="238" t="s">
        <v>135</v>
      </c>
      <c r="AJ414" s="238" t="s">
        <v>120</v>
      </c>
      <c r="AK414" s="238" t="s">
        <v>141</v>
      </c>
      <c r="AL414" t="s">
        <v>8715</v>
      </c>
      <c r="AM414" t="s">
        <v>1167</v>
      </c>
    </row>
    <row r="415" spans="1:39" hidden="1" x14ac:dyDescent="0.25">
      <c r="A415">
        <v>411</v>
      </c>
      <c r="B415">
        <v>76</v>
      </c>
      <c r="C415" s="24">
        <v>44309</v>
      </c>
      <c r="D415" s="238" t="s">
        <v>19</v>
      </c>
      <c r="E415" s="238" t="s">
        <v>6</v>
      </c>
      <c r="F415">
        <v>1</v>
      </c>
      <c r="G415">
        <v>6</v>
      </c>
      <c r="H415">
        <v>29</v>
      </c>
      <c r="I415" s="238" t="s">
        <v>43</v>
      </c>
      <c r="J415">
        <v>59.52</v>
      </c>
      <c r="K415" s="238" t="s">
        <v>37</v>
      </c>
      <c r="L415">
        <v>2888890.1</v>
      </c>
      <c r="M415">
        <v>0</v>
      </c>
      <c r="N415">
        <v>2888890.1</v>
      </c>
      <c r="O415">
        <v>48536.460013440861</v>
      </c>
      <c r="P415">
        <v>267840</v>
      </c>
      <c r="Q415">
        <v>2621050.1</v>
      </c>
      <c r="R415">
        <v>44036.460013440861</v>
      </c>
      <c r="S415" s="238" t="s">
        <v>137</v>
      </c>
      <c r="T415" s="238" t="s">
        <v>1167</v>
      </c>
      <c r="V415" t="s">
        <v>4091</v>
      </c>
      <c r="W415" s="24">
        <v>44307</v>
      </c>
      <c r="X415" s="238" t="s">
        <v>536</v>
      </c>
      <c r="Y415" s="238" t="s">
        <v>39</v>
      </c>
      <c r="Z415" s="238" t="s">
        <v>1340</v>
      </c>
      <c r="AA415" t="s">
        <v>1167</v>
      </c>
      <c r="AB415" s="238" t="s">
        <v>3246</v>
      </c>
      <c r="AC415" t="s">
        <v>3079</v>
      </c>
      <c r="AD415" s="24"/>
      <c r="AE415" s="238" t="s">
        <v>1969</v>
      </c>
      <c r="AF415">
        <v>79370613111</v>
      </c>
      <c r="AG415" s="238" t="s">
        <v>1970</v>
      </c>
      <c r="AH415" s="238" t="s">
        <v>135</v>
      </c>
      <c r="AI415" s="238" t="s">
        <v>3099</v>
      </c>
      <c r="AJ415" s="238" t="s">
        <v>399</v>
      </c>
      <c r="AK415" s="238" t="s">
        <v>141</v>
      </c>
      <c r="AL415" t="s">
        <v>8715</v>
      </c>
      <c r="AM415" t="s">
        <v>1167</v>
      </c>
    </row>
    <row r="416" spans="1:39" hidden="1" x14ac:dyDescent="0.25">
      <c r="A416">
        <v>412</v>
      </c>
      <c r="B416">
        <v>77</v>
      </c>
      <c r="C416" s="24">
        <v>44309</v>
      </c>
      <c r="D416" s="238" t="s">
        <v>19</v>
      </c>
      <c r="E416" s="238" t="s">
        <v>6</v>
      </c>
      <c r="F416">
        <v>7</v>
      </c>
      <c r="G416">
        <v>16</v>
      </c>
      <c r="H416">
        <v>105</v>
      </c>
      <c r="I416" s="238" t="s">
        <v>43</v>
      </c>
      <c r="J416">
        <v>58.17</v>
      </c>
      <c r="K416" s="238" t="s">
        <v>37</v>
      </c>
      <c r="L416">
        <v>3113432.91</v>
      </c>
      <c r="M416">
        <v>0</v>
      </c>
      <c r="N416">
        <v>3113432.91</v>
      </c>
      <c r="O416">
        <v>53523</v>
      </c>
      <c r="P416">
        <v>261765</v>
      </c>
      <c r="Q416">
        <v>2851667.91</v>
      </c>
      <c r="R416">
        <v>49023</v>
      </c>
      <c r="S416" s="238" t="s">
        <v>137</v>
      </c>
      <c r="T416" s="238" t="s">
        <v>1167</v>
      </c>
      <c r="V416" t="s">
        <v>4091</v>
      </c>
      <c r="W416" s="24">
        <v>44307</v>
      </c>
      <c r="X416" s="238" t="s">
        <v>539</v>
      </c>
      <c r="Y416" s="238" t="s">
        <v>39</v>
      </c>
      <c r="Z416" s="238" t="s">
        <v>1340</v>
      </c>
      <c r="AA416" t="s">
        <v>1167</v>
      </c>
      <c r="AB416" s="238" t="s">
        <v>3246</v>
      </c>
      <c r="AC416" t="s">
        <v>3079</v>
      </c>
      <c r="AD416" s="24"/>
      <c r="AE416" s="238" t="s">
        <v>1971</v>
      </c>
      <c r="AF416">
        <v>79272668626</v>
      </c>
      <c r="AG416" s="238" t="s">
        <v>1972</v>
      </c>
      <c r="AH416" s="238" t="s">
        <v>1212</v>
      </c>
      <c r="AI416" s="238" t="s">
        <v>135</v>
      </c>
      <c r="AJ416" s="238" t="s">
        <v>120</v>
      </c>
      <c r="AK416" s="238" t="s">
        <v>141</v>
      </c>
      <c r="AL416" t="s">
        <v>8715</v>
      </c>
      <c r="AM416" t="s">
        <v>1167</v>
      </c>
    </row>
    <row r="417" spans="1:39" hidden="1" x14ac:dyDescent="0.25">
      <c r="A417">
        <v>413</v>
      </c>
      <c r="B417">
        <v>78</v>
      </c>
      <c r="C417" s="24">
        <v>44312</v>
      </c>
      <c r="D417" s="238" t="s">
        <v>19</v>
      </c>
      <c r="E417" s="238" t="s">
        <v>5</v>
      </c>
      <c r="F417">
        <v>5</v>
      </c>
      <c r="G417">
        <v>6</v>
      </c>
      <c r="H417">
        <v>210</v>
      </c>
      <c r="I417" s="238" t="s">
        <v>43</v>
      </c>
      <c r="J417">
        <v>60.19</v>
      </c>
      <c r="K417" s="238" t="s">
        <v>36</v>
      </c>
      <c r="L417">
        <v>2650554.5299999998</v>
      </c>
      <c r="M417">
        <v>0</v>
      </c>
      <c r="N417">
        <v>2650554.5299999998</v>
      </c>
      <c r="O417">
        <v>44036.460043196545</v>
      </c>
      <c r="P417">
        <v>0</v>
      </c>
      <c r="Q417">
        <v>2650554.5299999998</v>
      </c>
      <c r="R417">
        <v>44036.460043196545</v>
      </c>
      <c r="S417" s="238" t="s">
        <v>124</v>
      </c>
      <c r="T417" s="238" t="s">
        <v>1167</v>
      </c>
      <c r="V417" t="s">
        <v>1167</v>
      </c>
      <c r="W417" s="24">
        <v>44306</v>
      </c>
      <c r="X417" s="238" t="s">
        <v>546</v>
      </c>
      <c r="Y417" s="238" t="s">
        <v>39</v>
      </c>
      <c r="Z417" s="238" t="s">
        <v>1168</v>
      </c>
      <c r="AA417" t="s">
        <v>1167</v>
      </c>
      <c r="AB417" s="238" t="s">
        <v>3246</v>
      </c>
      <c r="AC417" t="s">
        <v>4246</v>
      </c>
      <c r="AD417" s="24"/>
      <c r="AE417" s="238" t="s">
        <v>1973</v>
      </c>
      <c r="AF417">
        <v>79171419131</v>
      </c>
      <c r="AG417" s="238" t="s">
        <v>1974</v>
      </c>
      <c r="AH417" s="238" t="s">
        <v>1212</v>
      </c>
      <c r="AI417" s="238" t="s">
        <v>135</v>
      </c>
      <c r="AJ417" s="238" t="s">
        <v>130</v>
      </c>
      <c r="AK417" s="238" t="s">
        <v>1167</v>
      </c>
      <c r="AL417" t="s">
        <v>8715</v>
      </c>
      <c r="AM417" t="s">
        <v>1167</v>
      </c>
    </row>
    <row r="418" spans="1:39" hidden="1" x14ac:dyDescent="0.25">
      <c r="A418">
        <v>414</v>
      </c>
      <c r="B418">
        <v>79</v>
      </c>
      <c r="C418" s="24">
        <v>44313</v>
      </c>
      <c r="D418" s="238" t="s">
        <v>19</v>
      </c>
      <c r="E418" s="238" t="s">
        <v>5</v>
      </c>
      <c r="F418">
        <v>2</v>
      </c>
      <c r="G418">
        <v>13</v>
      </c>
      <c r="H418">
        <v>284</v>
      </c>
      <c r="I418" s="238" t="s">
        <v>42</v>
      </c>
      <c r="J418">
        <v>38.22</v>
      </c>
      <c r="K418" s="238" t="s">
        <v>37</v>
      </c>
      <c r="L418">
        <v>2126734.14</v>
      </c>
      <c r="M418">
        <v>15000</v>
      </c>
      <c r="N418">
        <v>2141734.14</v>
      </c>
      <c r="O418">
        <v>56037.000000000007</v>
      </c>
      <c r="P418">
        <v>171990</v>
      </c>
      <c r="Q418">
        <v>1969744.1400000001</v>
      </c>
      <c r="R418">
        <v>51537.000000000007</v>
      </c>
      <c r="S418" s="238" t="s">
        <v>137</v>
      </c>
      <c r="T418" s="238" t="s">
        <v>1167</v>
      </c>
      <c r="V418" t="s">
        <v>1167</v>
      </c>
      <c r="W418" s="24">
        <v>44299</v>
      </c>
      <c r="X418" s="238" t="s">
        <v>550</v>
      </c>
      <c r="Y418" s="238" t="s">
        <v>39</v>
      </c>
      <c r="Z418" s="238" t="s">
        <v>1340</v>
      </c>
      <c r="AA418" t="s">
        <v>1167</v>
      </c>
      <c r="AB418" s="238" t="s">
        <v>3246</v>
      </c>
      <c r="AC418" t="s">
        <v>3079</v>
      </c>
      <c r="AD418" s="24"/>
      <c r="AE418" s="238" t="s">
        <v>1975</v>
      </c>
      <c r="AF418">
        <v>79991719727</v>
      </c>
      <c r="AG418" s="238" t="s">
        <v>1976</v>
      </c>
      <c r="AH418" s="238" t="s">
        <v>1171</v>
      </c>
      <c r="AI418" s="238" t="s">
        <v>3088</v>
      </c>
      <c r="AJ418" s="238" t="s">
        <v>130</v>
      </c>
      <c r="AK418" s="238" t="s">
        <v>141</v>
      </c>
      <c r="AL418" t="s">
        <v>8715</v>
      </c>
      <c r="AM418" t="s">
        <v>1167</v>
      </c>
    </row>
    <row r="419" spans="1:39" hidden="1" x14ac:dyDescent="0.25">
      <c r="A419">
        <v>415</v>
      </c>
      <c r="B419">
        <v>80</v>
      </c>
      <c r="C419" s="24">
        <v>44313</v>
      </c>
      <c r="D419" s="238" t="s">
        <v>19</v>
      </c>
      <c r="E419" s="238" t="s">
        <v>5</v>
      </c>
      <c r="F419">
        <v>11</v>
      </c>
      <c r="G419">
        <v>12</v>
      </c>
      <c r="H419">
        <v>282</v>
      </c>
      <c r="I419" s="238" t="s">
        <v>4052</v>
      </c>
      <c r="J419">
        <v>25.85</v>
      </c>
      <c r="K419" s="238" t="s">
        <v>36</v>
      </c>
      <c r="L419">
        <v>1285391.25</v>
      </c>
      <c r="M419">
        <v>0</v>
      </c>
      <c r="N419">
        <v>1285391.25</v>
      </c>
      <c r="O419">
        <v>49725</v>
      </c>
      <c r="P419">
        <v>0</v>
      </c>
      <c r="Q419">
        <v>1285391.25</v>
      </c>
      <c r="R419">
        <v>49725</v>
      </c>
      <c r="S419" s="238" t="s">
        <v>137</v>
      </c>
      <c r="T419" s="238" t="s">
        <v>1167</v>
      </c>
      <c r="V419" t="s">
        <v>4091</v>
      </c>
      <c r="W419" s="24">
        <v>44303</v>
      </c>
      <c r="X419" s="238" t="s">
        <v>549</v>
      </c>
      <c r="Y419" s="238" t="s">
        <v>39</v>
      </c>
      <c r="Z419" s="238" t="s">
        <v>1340</v>
      </c>
      <c r="AA419" t="s">
        <v>1167</v>
      </c>
      <c r="AB419" s="238" t="s">
        <v>3246</v>
      </c>
      <c r="AC419" t="s">
        <v>3079</v>
      </c>
      <c r="AD419" s="24"/>
      <c r="AE419" s="238" t="s">
        <v>1977</v>
      </c>
      <c r="AF419">
        <v>79022931981</v>
      </c>
      <c r="AG419" s="238" t="s">
        <v>1978</v>
      </c>
      <c r="AH419" s="238" t="s">
        <v>1171</v>
      </c>
      <c r="AI419" s="238" t="s">
        <v>3084</v>
      </c>
      <c r="AJ419" s="238" t="s">
        <v>130</v>
      </c>
      <c r="AK419" s="238" t="s">
        <v>141</v>
      </c>
      <c r="AL419" t="s">
        <v>8715</v>
      </c>
      <c r="AM419" t="s">
        <v>1167</v>
      </c>
    </row>
    <row r="420" spans="1:39" hidden="1" x14ac:dyDescent="0.25">
      <c r="A420">
        <v>416</v>
      </c>
      <c r="B420">
        <v>81</v>
      </c>
      <c r="C420" s="24">
        <v>44313</v>
      </c>
      <c r="D420" s="238" t="s">
        <v>19</v>
      </c>
      <c r="E420" s="238" t="s">
        <v>6</v>
      </c>
      <c r="F420">
        <v>1</v>
      </c>
      <c r="G420">
        <v>18</v>
      </c>
      <c r="H420">
        <v>113</v>
      </c>
      <c r="I420" s="238" t="s">
        <v>43</v>
      </c>
      <c r="J420">
        <v>59.52</v>
      </c>
      <c r="K420" s="238" t="s">
        <v>37</v>
      </c>
      <c r="L420">
        <v>3185688.96</v>
      </c>
      <c r="M420">
        <v>0</v>
      </c>
      <c r="N420">
        <v>3185688.96</v>
      </c>
      <c r="O420">
        <v>53523</v>
      </c>
      <c r="P420">
        <v>267840</v>
      </c>
      <c r="Q420">
        <v>2917848.96</v>
      </c>
      <c r="R420">
        <v>49023</v>
      </c>
      <c r="S420" s="238" t="s">
        <v>124</v>
      </c>
      <c r="T420" s="238" t="s">
        <v>1167</v>
      </c>
      <c r="V420" t="s">
        <v>1167</v>
      </c>
      <c r="W420" s="24">
        <v>44308</v>
      </c>
      <c r="X420" s="238" t="s">
        <v>548</v>
      </c>
      <c r="Y420" s="238" t="s">
        <v>39</v>
      </c>
      <c r="Z420" s="238" t="s">
        <v>1168</v>
      </c>
      <c r="AA420" t="s">
        <v>1167</v>
      </c>
      <c r="AB420" s="238" t="s">
        <v>3246</v>
      </c>
      <c r="AC420" t="s">
        <v>4246</v>
      </c>
      <c r="AD420" s="24"/>
      <c r="AE420" s="238" t="s">
        <v>1979</v>
      </c>
      <c r="AF420">
        <v>79276111482</v>
      </c>
      <c r="AG420" s="238" t="s">
        <v>1980</v>
      </c>
      <c r="AH420" s="238" t="s">
        <v>1212</v>
      </c>
      <c r="AI420" s="238" t="s">
        <v>135</v>
      </c>
      <c r="AJ420" s="238" t="s">
        <v>130</v>
      </c>
      <c r="AK420" s="238" t="s">
        <v>1167</v>
      </c>
      <c r="AL420" t="s">
        <v>8715</v>
      </c>
      <c r="AM420" t="s">
        <v>1167</v>
      </c>
    </row>
    <row r="421" spans="1:39" hidden="1" x14ac:dyDescent="0.25">
      <c r="A421">
        <v>417</v>
      </c>
      <c r="B421">
        <v>82</v>
      </c>
      <c r="C421" s="24">
        <v>44313</v>
      </c>
      <c r="D421" s="238" t="s">
        <v>19</v>
      </c>
      <c r="E421" s="238" t="s">
        <v>6</v>
      </c>
      <c r="F421">
        <v>7</v>
      </c>
      <c r="G421">
        <v>7</v>
      </c>
      <c r="H421">
        <v>42</v>
      </c>
      <c r="I421" s="238" t="s">
        <v>43</v>
      </c>
      <c r="J421">
        <v>58.17</v>
      </c>
      <c r="K421" s="238" t="s">
        <v>37</v>
      </c>
      <c r="L421">
        <v>3098432.91</v>
      </c>
      <c r="M421">
        <v>15000</v>
      </c>
      <c r="N421">
        <v>3113432.91</v>
      </c>
      <c r="O421">
        <v>53523</v>
      </c>
      <c r="P421">
        <v>261765</v>
      </c>
      <c r="Q421">
        <v>2851667.91</v>
      </c>
      <c r="R421">
        <v>49023</v>
      </c>
      <c r="S421" s="238" t="s">
        <v>124</v>
      </c>
      <c r="T421" s="238" t="s">
        <v>1167</v>
      </c>
      <c r="V421" t="s">
        <v>1167</v>
      </c>
      <c r="W421" s="24">
        <v>44309</v>
      </c>
      <c r="X421" s="238" t="s">
        <v>547</v>
      </c>
      <c r="Y421" s="238" t="s">
        <v>39</v>
      </c>
      <c r="Z421" s="238" t="s">
        <v>1168</v>
      </c>
      <c r="AA421" t="s">
        <v>1167</v>
      </c>
      <c r="AB421" s="238" t="s">
        <v>3246</v>
      </c>
      <c r="AC421" t="s">
        <v>4246</v>
      </c>
      <c r="AD421" s="24"/>
      <c r="AE421" s="238" t="s">
        <v>1981</v>
      </c>
      <c r="AF421">
        <v>79649762434</v>
      </c>
      <c r="AG421" s="238" t="s">
        <v>1982</v>
      </c>
      <c r="AH421" s="238" t="s">
        <v>135</v>
      </c>
      <c r="AI421" s="238" t="s">
        <v>135</v>
      </c>
      <c r="AJ421" s="238" t="s">
        <v>126</v>
      </c>
      <c r="AK421" s="238" t="s">
        <v>1167</v>
      </c>
      <c r="AL421" t="s">
        <v>8715</v>
      </c>
      <c r="AM421" t="s">
        <v>1167</v>
      </c>
    </row>
    <row r="422" spans="1:39" hidden="1" x14ac:dyDescent="0.25">
      <c r="A422">
        <v>418</v>
      </c>
      <c r="B422">
        <v>83</v>
      </c>
      <c r="C422" s="24">
        <v>44314</v>
      </c>
      <c r="D422" s="238" t="s">
        <v>19</v>
      </c>
      <c r="E422" s="238" t="s">
        <v>5</v>
      </c>
      <c r="F422">
        <v>1</v>
      </c>
      <c r="G422">
        <v>9</v>
      </c>
      <c r="H422">
        <v>239</v>
      </c>
      <c r="I422" s="238" t="s">
        <v>42</v>
      </c>
      <c r="J422">
        <v>38.83</v>
      </c>
      <c r="K422" s="238" t="s">
        <v>36</v>
      </c>
      <c r="L422">
        <v>2026205.34</v>
      </c>
      <c r="M422">
        <v>15000</v>
      </c>
      <c r="N422">
        <v>2041205.34</v>
      </c>
      <c r="O422">
        <v>52567.739891836216</v>
      </c>
      <c r="P422">
        <v>0</v>
      </c>
      <c r="Q422">
        <v>2041205.34</v>
      </c>
      <c r="R422">
        <v>52567.739891836216</v>
      </c>
      <c r="S422" s="238" t="s">
        <v>137</v>
      </c>
      <c r="T422" s="238" t="s">
        <v>1167</v>
      </c>
      <c r="V422" t="s">
        <v>1167</v>
      </c>
      <c r="W422" s="24">
        <v>44308</v>
      </c>
      <c r="X422" s="238" t="s">
        <v>552</v>
      </c>
      <c r="Y422" s="238" t="s">
        <v>39</v>
      </c>
      <c r="Z422" s="238" t="s">
        <v>1340</v>
      </c>
      <c r="AA422" t="s">
        <v>1167</v>
      </c>
      <c r="AB422" s="238" t="s">
        <v>3246</v>
      </c>
      <c r="AC422" t="s">
        <v>3079</v>
      </c>
      <c r="AD422" s="24"/>
      <c r="AE422" s="238" t="s">
        <v>1983</v>
      </c>
      <c r="AF422">
        <v>79277537442</v>
      </c>
      <c r="AG422" s="238" t="s">
        <v>1984</v>
      </c>
      <c r="AH422" s="238" t="s">
        <v>1171</v>
      </c>
      <c r="AI422" s="238" t="s">
        <v>3074</v>
      </c>
      <c r="AJ422" s="238" t="s">
        <v>130</v>
      </c>
      <c r="AK422" s="238" t="s">
        <v>141</v>
      </c>
      <c r="AL422" t="s">
        <v>8715</v>
      </c>
      <c r="AM422" t="s">
        <v>1167</v>
      </c>
    </row>
    <row r="423" spans="1:39" hidden="1" x14ac:dyDescent="0.25">
      <c r="A423">
        <v>419</v>
      </c>
      <c r="B423">
        <v>84</v>
      </c>
      <c r="C423" s="24">
        <v>44314</v>
      </c>
      <c r="D423" s="238" t="s">
        <v>19</v>
      </c>
      <c r="E423" s="238" t="s">
        <v>5</v>
      </c>
      <c r="F423">
        <v>11</v>
      </c>
      <c r="G423">
        <v>7</v>
      </c>
      <c r="H423">
        <v>227</v>
      </c>
      <c r="I423" s="238" t="s">
        <v>4052</v>
      </c>
      <c r="J423">
        <v>25.85</v>
      </c>
      <c r="K423" s="238" t="s">
        <v>38</v>
      </c>
      <c r="L423">
        <v>1799160</v>
      </c>
      <c r="M423">
        <v>0</v>
      </c>
      <c r="N423">
        <v>1799160</v>
      </c>
      <c r="O423">
        <v>69600</v>
      </c>
      <c r="P423">
        <v>387750</v>
      </c>
      <c r="Q423">
        <v>1411410</v>
      </c>
      <c r="R423">
        <v>54600</v>
      </c>
      <c r="S423" s="238" t="s">
        <v>137</v>
      </c>
      <c r="T423" s="238" t="s">
        <v>1167</v>
      </c>
      <c r="V423" t="s">
        <v>1167</v>
      </c>
      <c r="W423" s="24">
        <v>44310</v>
      </c>
      <c r="X423" s="238" t="s">
        <v>551</v>
      </c>
      <c r="Y423" s="238" t="s">
        <v>39</v>
      </c>
      <c r="Z423" s="238" t="s">
        <v>1340</v>
      </c>
      <c r="AA423" t="s">
        <v>1167</v>
      </c>
      <c r="AB423" s="238" t="s">
        <v>3246</v>
      </c>
      <c r="AC423" t="s">
        <v>3079</v>
      </c>
      <c r="AD423" s="24"/>
      <c r="AE423" s="238" t="s">
        <v>1985</v>
      </c>
      <c r="AF423">
        <v>79371773737</v>
      </c>
      <c r="AG423" s="238" t="s">
        <v>1986</v>
      </c>
      <c r="AH423" s="238" t="s">
        <v>1212</v>
      </c>
      <c r="AI423" s="238" t="s">
        <v>135</v>
      </c>
      <c r="AJ423" s="238" t="s">
        <v>130</v>
      </c>
      <c r="AK423" s="238" t="s">
        <v>141</v>
      </c>
      <c r="AL423" t="s">
        <v>8715</v>
      </c>
      <c r="AM423" t="s">
        <v>1167</v>
      </c>
    </row>
    <row r="424" spans="1:39" hidden="1" x14ac:dyDescent="0.25">
      <c r="A424">
        <v>420</v>
      </c>
      <c r="B424">
        <v>85</v>
      </c>
      <c r="C424" s="24">
        <v>44315</v>
      </c>
      <c r="D424" s="238" t="s">
        <v>19</v>
      </c>
      <c r="E424" s="238" t="s">
        <v>5</v>
      </c>
      <c r="F424">
        <v>10</v>
      </c>
      <c r="G424">
        <v>4</v>
      </c>
      <c r="H424">
        <v>193</v>
      </c>
      <c r="I424" s="238" t="s">
        <v>4052</v>
      </c>
      <c r="J424">
        <v>25.91</v>
      </c>
      <c r="K424" s="238" t="s">
        <v>37</v>
      </c>
      <c r="L424">
        <v>1516281</v>
      </c>
      <c r="M424">
        <v>15000</v>
      </c>
      <c r="N424">
        <v>1531281</v>
      </c>
      <c r="O424">
        <v>59100</v>
      </c>
      <c r="P424">
        <v>116595</v>
      </c>
      <c r="Q424">
        <v>1414686</v>
      </c>
      <c r="R424">
        <v>54600</v>
      </c>
      <c r="S424" s="238" t="s">
        <v>124</v>
      </c>
      <c r="T424" s="238" t="s">
        <v>1167</v>
      </c>
      <c r="V424" t="s">
        <v>1167</v>
      </c>
      <c r="W424" s="24">
        <v>44287</v>
      </c>
      <c r="X424" s="238" t="s">
        <v>554</v>
      </c>
      <c r="Y424" s="238" t="s">
        <v>39</v>
      </c>
      <c r="Z424" s="238" t="s">
        <v>1340</v>
      </c>
      <c r="AA424" t="s">
        <v>1167</v>
      </c>
      <c r="AB424" s="238" t="s">
        <v>3246</v>
      </c>
      <c r="AC424" t="s">
        <v>4246</v>
      </c>
      <c r="AD424" s="24"/>
      <c r="AE424" s="238" t="s">
        <v>1987</v>
      </c>
      <c r="AF424">
        <v>79277399455</v>
      </c>
      <c r="AG424" s="238" t="s">
        <v>1872</v>
      </c>
      <c r="AH424" s="238" t="s">
        <v>1212</v>
      </c>
      <c r="AI424" s="238" t="s">
        <v>3090</v>
      </c>
      <c r="AJ424" s="238" t="s">
        <v>399</v>
      </c>
      <c r="AK424" s="238" t="s">
        <v>1167</v>
      </c>
      <c r="AL424" t="s">
        <v>8715</v>
      </c>
      <c r="AM424" t="s">
        <v>1167</v>
      </c>
    </row>
    <row r="425" spans="1:39" hidden="1" x14ac:dyDescent="0.25">
      <c r="A425">
        <v>421</v>
      </c>
      <c r="B425">
        <v>86</v>
      </c>
      <c r="C425" s="24">
        <v>44315</v>
      </c>
      <c r="D425" s="238" t="s">
        <v>19</v>
      </c>
      <c r="E425" s="238" t="s">
        <v>6</v>
      </c>
      <c r="F425">
        <v>3</v>
      </c>
      <c r="G425">
        <v>12</v>
      </c>
      <c r="H425">
        <v>73</v>
      </c>
      <c r="I425" s="238" t="s">
        <v>44</v>
      </c>
      <c r="J425">
        <v>76.56</v>
      </c>
      <c r="K425" s="238" t="s">
        <v>37</v>
      </c>
      <c r="L425">
        <v>3776862.51</v>
      </c>
      <c r="M425">
        <v>0</v>
      </c>
      <c r="N425">
        <v>3776862.51</v>
      </c>
      <c r="O425">
        <v>49332.059952978052</v>
      </c>
      <c r="P425">
        <v>344520</v>
      </c>
      <c r="Q425">
        <v>3432342.51</v>
      </c>
      <c r="R425">
        <v>44832.059952978052</v>
      </c>
      <c r="S425" s="238" t="s">
        <v>137</v>
      </c>
      <c r="T425" s="238" t="s">
        <v>1167</v>
      </c>
      <c r="V425" t="s">
        <v>4091</v>
      </c>
      <c r="W425" s="24">
        <v>44313</v>
      </c>
      <c r="X425" s="238" t="s">
        <v>553</v>
      </c>
      <c r="Y425" s="238" t="s">
        <v>39</v>
      </c>
      <c r="Z425" s="238" t="s">
        <v>1340</v>
      </c>
      <c r="AA425" t="s">
        <v>1167</v>
      </c>
      <c r="AB425" s="238" t="s">
        <v>3246</v>
      </c>
      <c r="AC425" t="s">
        <v>3079</v>
      </c>
      <c r="AD425" s="24"/>
      <c r="AE425" s="238" t="s">
        <v>1988</v>
      </c>
      <c r="AF425">
        <v>79376445915</v>
      </c>
      <c r="AG425" s="238" t="s">
        <v>1989</v>
      </c>
      <c r="AH425" s="238" t="s">
        <v>1171</v>
      </c>
      <c r="AI425" s="238" t="s">
        <v>3074</v>
      </c>
      <c r="AJ425" s="238" t="s">
        <v>126</v>
      </c>
      <c r="AK425" s="238" t="s">
        <v>141</v>
      </c>
      <c r="AL425" t="s">
        <v>8715</v>
      </c>
      <c r="AM425" t="s">
        <v>1167</v>
      </c>
    </row>
    <row r="426" spans="1:39" hidden="1" x14ac:dyDescent="0.25">
      <c r="A426">
        <v>422</v>
      </c>
      <c r="B426">
        <v>87</v>
      </c>
      <c r="C426" s="24">
        <v>44316</v>
      </c>
      <c r="D426" s="238" t="s">
        <v>19</v>
      </c>
      <c r="E426" s="238" t="s">
        <v>6</v>
      </c>
      <c r="F426">
        <v>2</v>
      </c>
      <c r="G426">
        <v>20</v>
      </c>
      <c r="H426">
        <v>128</v>
      </c>
      <c r="I426" s="238" t="s">
        <v>43</v>
      </c>
      <c r="J426">
        <v>58.99</v>
      </c>
      <c r="K426" s="238" t="s">
        <v>37</v>
      </c>
      <c r="L426">
        <v>3157321.77</v>
      </c>
      <c r="M426">
        <v>0</v>
      </c>
      <c r="N426">
        <v>3157321.77</v>
      </c>
      <c r="O426">
        <v>53523</v>
      </c>
      <c r="P426">
        <v>265455</v>
      </c>
      <c r="Q426">
        <v>2891866.77</v>
      </c>
      <c r="R426">
        <v>49023</v>
      </c>
      <c r="S426" s="238" t="s">
        <v>137</v>
      </c>
      <c r="T426" s="238" t="s">
        <v>1167</v>
      </c>
      <c r="V426" t="s">
        <v>4091</v>
      </c>
      <c r="W426" s="24">
        <v>44308</v>
      </c>
      <c r="X426" s="238" t="s">
        <v>556</v>
      </c>
      <c r="Y426" s="238" t="s">
        <v>39</v>
      </c>
      <c r="Z426" s="238" t="s">
        <v>1340</v>
      </c>
      <c r="AA426" t="s">
        <v>1167</v>
      </c>
      <c r="AB426" s="238" t="s">
        <v>3246</v>
      </c>
      <c r="AC426" t="s">
        <v>3079</v>
      </c>
      <c r="AD426" s="24"/>
      <c r="AE426" s="238" t="s">
        <v>1990</v>
      </c>
      <c r="AF426">
        <v>79277047641</v>
      </c>
      <c r="AG426" s="238" t="s">
        <v>1991</v>
      </c>
      <c r="AH426" s="238" t="s">
        <v>1171</v>
      </c>
      <c r="AI426" s="238" t="s">
        <v>3097</v>
      </c>
      <c r="AJ426" s="238" t="s">
        <v>120</v>
      </c>
      <c r="AK426" s="238" t="s">
        <v>141</v>
      </c>
      <c r="AL426" t="s">
        <v>8715</v>
      </c>
      <c r="AM426" t="s">
        <v>1167</v>
      </c>
    </row>
    <row r="427" spans="1:39" hidden="1" x14ac:dyDescent="0.25">
      <c r="A427">
        <v>423</v>
      </c>
      <c r="B427">
        <v>88</v>
      </c>
      <c r="C427" s="24">
        <v>44316</v>
      </c>
      <c r="D427" s="238" t="s">
        <v>19</v>
      </c>
      <c r="E427" s="238" t="s">
        <v>5</v>
      </c>
      <c r="F427">
        <v>6</v>
      </c>
      <c r="G427">
        <v>14</v>
      </c>
      <c r="H427">
        <v>299</v>
      </c>
      <c r="I427" s="238" t="s">
        <v>43</v>
      </c>
      <c r="J427">
        <v>60.24</v>
      </c>
      <c r="K427" s="238" t="s">
        <v>36</v>
      </c>
      <c r="L427">
        <v>2652756.35</v>
      </c>
      <c r="M427">
        <v>0</v>
      </c>
      <c r="N427">
        <v>2652756.35</v>
      </c>
      <c r="O427">
        <v>44036.459993359895</v>
      </c>
      <c r="P427">
        <v>0</v>
      </c>
      <c r="Q427">
        <v>2652756.35</v>
      </c>
      <c r="R427">
        <v>44036.459993359895</v>
      </c>
      <c r="S427" s="238" t="s">
        <v>137</v>
      </c>
      <c r="T427" s="238" t="s">
        <v>1167</v>
      </c>
      <c r="V427" t="s">
        <v>4091</v>
      </c>
      <c r="W427" s="24">
        <v>44310</v>
      </c>
      <c r="X427" s="238" t="s">
        <v>558</v>
      </c>
      <c r="Y427" s="238" t="s">
        <v>39</v>
      </c>
      <c r="Z427" s="238" t="s">
        <v>1340</v>
      </c>
      <c r="AA427" t="s">
        <v>1167</v>
      </c>
      <c r="AB427" s="238" t="s">
        <v>3246</v>
      </c>
      <c r="AC427" t="s">
        <v>3079</v>
      </c>
      <c r="AD427" s="24"/>
      <c r="AE427" s="238" t="s">
        <v>1992</v>
      </c>
      <c r="AF427">
        <v>79171000404</v>
      </c>
      <c r="AG427" s="238" t="s">
        <v>1993</v>
      </c>
      <c r="AH427" s="238" t="s">
        <v>1212</v>
      </c>
      <c r="AI427" s="238" t="s">
        <v>3088</v>
      </c>
      <c r="AJ427" s="238" t="s">
        <v>126</v>
      </c>
      <c r="AK427" s="238" t="s">
        <v>141</v>
      </c>
      <c r="AL427" t="s">
        <v>8715</v>
      </c>
      <c r="AM427" t="s">
        <v>1167</v>
      </c>
    </row>
    <row r="428" spans="1:39" hidden="1" x14ac:dyDescent="0.25">
      <c r="A428">
        <v>424</v>
      </c>
      <c r="B428">
        <v>89</v>
      </c>
      <c r="C428" s="24">
        <v>44316</v>
      </c>
      <c r="D428" s="238" t="s">
        <v>19</v>
      </c>
      <c r="E428" s="238" t="s">
        <v>6</v>
      </c>
      <c r="F428">
        <v>3</v>
      </c>
      <c r="G428">
        <v>3</v>
      </c>
      <c r="H428">
        <v>10</v>
      </c>
      <c r="I428" s="238" t="s">
        <v>44</v>
      </c>
      <c r="J428">
        <v>76.56</v>
      </c>
      <c r="K428" s="238" t="s">
        <v>37</v>
      </c>
      <c r="L428">
        <v>3715951.38</v>
      </c>
      <c r="M428">
        <v>0</v>
      </c>
      <c r="N428">
        <v>3715951.38</v>
      </c>
      <c r="O428">
        <v>48536.46003134796</v>
      </c>
      <c r="P428">
        <v>344520</v>
      </c>
      <c r="Q428">
        <v>3371431.38</v>
      </c>
      <c r="R428">
        <v>44036.46003134796</v>
      </c>
      <c r="S428" s="238" t="s">
        <v>137</v>
      </c>
      <c r="T428" s="238" t="s">
        <v>1167</v>
      </c>
      <c r="V428" t="s">
        <v>4091</v>
      </c>
      <c r="W428" s="24">
        <v>44313</v>
      </c>
      <c r="X428" s="238" t="s">
        <v>555</v>
      </c>
      <c r="Y428" s="238" t="s">
        <v>39</v>
      </c>
      <c r="Z428" s="238" t="s">
        <v>1340</v>
      </c>
      <c r="AA428" t="s">
        <v>1167</v>
      </c>
      <c r="AB428" s="238" t="s">
        <v>3246</v>
      </c>
      <c r="AC428" t="s">
        <v>3079</v>
      </c>
      <c r="AD428" s="24"/>
      <c r="AE428" s="238" t="s">
        <v>1994</v>
      </c>
      <c r="AF428">
        <v>79276904164</v>
      </c>
      <c r="AG428" s="238" t="s">
        <v>1995</v>
      </c>
      <c r="AH428" s="238" t="s">
        <v>135</v>
      </c>
      <c r="AI428" s="238" t="s">
        <v>3075</v>
      </c>
      <c r="AJ428" s="238" t="s">
        <v>126</v>
      </c>
      <c r="AK428" s="238" t="s">
        <v>141</v>
      </c>
      <c r="AL428" t="s">
        <v>8715</v>
      </c>
      <c r="AM428" t="s">
        <v>1167</v>
      </c>
    </row>
    <row r="429" spans="1:39" hidden="1" x14ac:dyDescent="0.25">
      <c r="A429">
        <v>425</v>
      </c>
      <c r="B429">
        <v>90</v>
      </c>
      <c r="C429" s="24">
        <v>44316</v>
      </c>
      <c r="D429" s="238" t="s">
        <v>19</v>
      </c>
      <c r="E429" s="238" t="s">
        <v>5</v>
      </c>
      <c r="F429">
        <v>5</v>
      </c>
      <c r="G429">
        <v>7</v>
      </c>
      <c r="H429">
        <v>221</v>
      </c>
      <c r="I429" s="238" t="s">
        <v>43</v>
      </c>
      <c r="J429">
        <v>60.19</v>
      </c>
      <c r="K429" s="238" t="s">
        <v>37</v>
      </c>
      <c r="L429">
        <v>3051338.67</v>
      </c>
      <c r="M429">
        <v>0</v>
      </c>
      <c r="N429">
        <v>3051338.67</v>
      </c>
      <c r="O429">
        <v>50695.109985047347</v>
      </c>
      <c r="P429">
        <v>270855</v>
      </c>
      <c r="Q429">
        <v>2780483.67</v>
      </c>
      <c r="R429">
        <v>46195.109985047347</v>
      </c>
      <c r="S429" s="238" t="s">
        <v>137</v>
      </c>
      <c r="T429" s="238" t="s">
        <v>1167</v>
      </c>
      <c r="V429" t="s">
        <v>4091</v>
      </c>
      <c r="W429" s="24">
        <v>44314</v>
      </c>
      <c r="X429" s="238" t="s">
        <v>557</v>
      </c>
      <c r="Y429" s="238" t="s">
        <v>39</v>
      </c>
      <c r="Z429" s="238" t="s">
        <v>1168</v>
      </c>
      <c r="AA429" t="s">
        <v>1167</v>
      </c>
      <c r="AB429" s="238" t="s">
        <v>3246</v>
      </c>
      <c r="AC429" t="s">
        <v>3079</v>
      </c>
      <c r="AD429" s="24"/>
      <c r="AE429" s="238" t="s">
        <v>1996</v>
      </c>
      <c r="AF429">
        <v>79373966646</v>
      </c>
      <c r="AG429" s="238" t="s">
        <v>1997</v>
      </c>
      <c r="AH429" s="238" t="s">
        <v>146</v>
      </c>
      <c r="AI429" s="238" t="s">
        <v>135</v>
      </c>
      <c r="AJ429" s="238" t="s">
        <v>399</v>
      </c>
      <c r="AK429" s="238" t="s">
        <v>141</v>
      </c>
      <c r="AL429" t="s">
        <v>8715</v>
      </c>
      <c r="AM429" t="s">
        <v>1167</v>
      </c>
    </row>
    <row r="430" spans="1:39" hidden="1" x14ac:dyDescent="0.25">
      <c r="A430">
        <v>426</v>
      </c>
      <c r="B430">
        <v>1</v>
      </c>
      <c r="C430" s="24">
        <v>44320</v>
      </c>
      <c r="D430" s="238" t="s">
        <v>19</v>
      </c>
      <c r="E430" s="238" t="s">
        <v>6</v>
      </c>
      <c r="F430">
        <v>1</v>
      </c>
      <c r="G430">
        <v>2</v>
      </c>
      <c r="H430">
        <v>1</v>
      </c>
      <c r="I430" s="238" t="s">
        <v>43</v>
      </c>
      <c r="J430">
        <v>59.52</v>
      </c>
      <c r="K430" s="238" t="s">
        <v>36</v>
      </c>
      <c r="L430">
        <v>2917848.96</v>
      </c>
      <c r="M430">
        <v>0</v>
      </c>
      <c r="N430">
        <v>2917848.96</v>
      </c>
      <c r="O430">
        <v>49023</v>
      </c>
      <c r="P430">
        <v>0</v>
      </c>
      <c r="Q430">
        <v>2917848.96</v>
      </c>
      <c r="R430">
        <v>49023</v>
      </c>
      <c r="S430" s="238" t="s">
        <v>137</v>
      </c>
      <c r="T430" s="238" t="s">
        <v>1167</v>
      </c>
      <c r="V430" t="s">
        <v>4091</v>
      </c>
      <c r="W430" s="24">
        <v>44316</v>
      </c>
      <c r="X430" s="238" t="s">
        <v>559</v>
      </c>
      <c r="Y430" s="238" t="s">
        <v>39</v>
      </c>
      <c r="Z430" s="238" t="s">
        <v>1168</v>
      </c>
      <c r="AA430" t="s">
        <v>1167</v>
      </c>
      <c r="AB430" s="238" t="s">
        <v>3246</v>
      </c>
      <c r="AC430" t="s">
        <v>3079</v>
      </c>
      <c r="AD430" s="24"/>
      <c r="AE430" s="238" t="s">
        <v>1998</v>
      </c>
      <c r="AF430">
        <v>79277224822</v>
      </c>
      <c r="AG430" s="238" t="s">
        <v>1999</v>
      </c>
      <c r="AH430" s="238" t="s">
        <v>1171</v>
      </c>
      <c r="AI430" s="238" t="s">
        <v>3074</v>
      </c>
      <c r="AJ430" s="238" t="s">
        <v>130</v>
      </c>
      <c r="AK430" s="238" t="s">
        <v>141</v>
      </c>
      <c r="AL430" t="s">
        <v>8715</v>
      </c>
      <c r="AM430" t="s">
        <v>1167</v>
      </c>
    </row>
    <row r="431" spans="1:39" hidden="1" x14ac:dyDescent="0.25">
      <c r="A431">
        <v>427</v>
      </c>
      <c r="B431">
        <v>2</v>
      </c>
      <c r="C431" s="24">
        <v>44327</v>
      </c>
      <c r="D431" s="238" t="s">
        <v>19</v>
      </c>
      <c r="E431" s="238" t="s">
        <v>5</v>
      </c>
      <c r="F431">
        <v>11</v>
      </c>
      <c r="G431">
        <v>10</v>
      </c>
      <c r="H431">
        <v>260</v>
      </c>
      <c r="I431" s="238" t="s">
        <v>4052</v>
      </c>
      <c r="J431">
        <v>25.85</v>
      </c>
      <c r="K431" s="238" t="s">
        <v>36</v>
      </c>
      <c r="L431">
        <v>1438752.3</v>
      </c>
      <c r="M431">
        <v>15000</v>
      </c>
      <c r="N431">
        <v>1453752.3</v>
      </c>
      <c r="O431">
        <v>56238</v>
      </c>
      <c r="P431">
        <v>0</v>
      </c>
      <c r="Q431">
        <v>1453752.3</v>
      </c>
      <c r="R431">
        <v>56238</v>
      </c>
      <c r="S431" s="238" t="s">
        <v>121</v>
      </c>
      <c r="T431" s="238" t="s">
        <v>1167</v>
      </c>
      <c r="V431" t="s">
        <v>1167</v>
      </c>
      <c r="W431" s="24">
        <v>44318</v>
      </c>
      <c r="X431" s="238" t="s">
        <v>561</v>
      </c>
      <c r="Y431" s="238" t="s">
        <v>39</v>
      </c>
      <c r="Z431" s="238" t="s">
        <v>1168</v>
      </c>
      <c r="AA431" t="s">
        <v>1167</v>
      </c>
      <c r="AB431" s="238" t="s">
        <v>3246</v>
      </c>
      <c r="AC431" t="s">
        <v>4246</v>
      </c>
      <c r="AD431" s="24"/>
      <c r="AE431" s="238" t="s">
        <v>2000</v>
      </c>
      <c r="AF431">
        <v>79966229763</v>
      </c>
      <c r="AG431" s="238" t="s">
        <v>2001</v>
      </c>
      <c r="AH431" s="238" t="s">
        <v>1212</v>
      </c>
      <c r="AI431" s="238" t="s">
        <v>3075</v>
      </c>
      <c r="AJ431" s="238" t="s">
        <v>130</v>
      </c>
      <c r="AK431" s="238" t="s">
        <v>1167</v>
      </c>
      <c r="AL431" t="s">
        <v>8715</v>
      </c>
      <c r="AM431" t="s">
        <v>1167</v>
      </c>
    </row>
    <row r="432" spans="1:39" hidden="1" x14ac:dyDescent="0.25">
      <c r="A432">
        <v>428</v>
      </c>
      <c r="B432">
        <v>3</v>
      </c>
      <c r="C432" s="24">
        <v>44327</v>
      </c>
      <c r="D432" s="238" t="s">
        <v>19</v>
      </c>
      <c r="E432" s="238" t="s">
        <v>5</v>
      </c>
      <c r="F432">
        <v>6</v>
      </c>
      <c r="G432">
        <v>6</v>
      </c>
      <c r="H432">
        <v>211</v>
      </c>
      <c r="I432" s="238" t="s">
        <v>43</v>
      </c>
      <c r="J432">
        <v>60.24</v>
      </c>
      <c r="K432" s="238" t="s">
        <v>36</v>
      </c>
      <c r="L432">
        <v>2637756.35</v>
      </c>
      <c r="M432">
        <v>15000</v>
      </c>
      <c r="N432">
        <v>2652756.35</v>
      </c>
      <c r="O432">
        <v>44036.459993359895</v>
      </c>
      <c r="P432">
        <v>0</v>
      </c>
      <c r="Q432">
        <v>2652756.35</v>
      </c>
      <c r="R432">
        <v>44036.459993359895</v>
      </c>
      <c r="S432" s="238" t="s">
        <v>121</v>
      </c>
      <c r="T432" s="238" t="s">
        <v>1167</v>
      </c>
      <c r="V432" t="s">
        <v>1167</v>
      </c>
      <c r="W432" s="24">
        <v>44321</v>
      </c>
      <c r="X432" s="238" t="s">
        <v>560</v>
      </c>
      <c r="Y432" s="238" t="s">
        <v>39</v>
      </c>
      <c r="Z432" s="238" t="s">
        <v>1168</v>
      </c>
      <c r="AA432" t="s">
        <v>1167</v>
      </c>
      <c r="AB432" s="238" t="s">
        <v>3246</v>
      </c>
      <c r="AC432" t="s">
        <v>4246</v>
      </c>
      <c r="AD432" s="24"/>
      <c r="AE432" s="238" t="s">
        <v>2002</v>
      </c>
      <c r="AF432">
        <v>79225527036</v>
      </c>
      <c r="AG432" s="238" t="s">
        <v>2003</v>
      </c>
      <c r="AH432" s="238" t="s">
        <v>1212</v>
      </c>
      <c r="AI432" s="238" t="s">
        <v>135</v>
      </c>
      <c r="AJ432" s="238" t="s">
        <v>399</v>
      </c>
      <c r="AK432" s="238" t="s">
        <v>1167</v>
      </c>
      <c r="AL432" t="s">
        <v>8715</v>
      </c>
      <c r="AM432" t="s">
        <v>1167</v>
      </c>
    </row>
    <row r="433" spans="1:39" hidden="1" x14ac:dyDescent="0.25">
      <c r="A433">
        <v>429</v>
      </c>
      <c r="B433">
        <v>4</v>
      </c>
      <c r="C433" s="24">
        <v>44328</v>
      </c>
      <c r="D433" s="238" t="s">
        <v>19</v>
      </c>
      <c r="E433" s="238" t="s">
        <v>5</v>
      </c>
      <c r="F433">
        <v>10</v>
      </c>
      <c r="G433">
        <v>3</v>
      </c>
      <c r="H433">
        <v>182</v>
      </c>
      <c r="I433" s="238" t="s">
        <v>4052</v>
      </c>
      <c r="J433">
        <v>25.91</v>
      </c>
      <c r="K433" s="238" t="s">
        <v>36</v>
      </c>
      <c r="L433">
        <v>1288374.75</v>
      </c>
      <c r="M433">
        <v>0</v>
      </c>
      <c r="N433">
        <v>1288374.75</v>
      </c>
      <c r="O433">
        <v>49725</v>
      </c>
      <c r="P433">
        <v>0</v>
      </c>
      <c r="Q433">
        <v>1288374.75</v>
      </c>
      <c r="R433">
        <v>49725</v>
      </c>
      <c r="S433" s="238" t="s">
        <v>121</v>
      </c>
      <c r="T433" s="238" t="s">
        <v>1167</v>
      </c>
      <c r="V433" t="s">
        <v>1167</v>
      </c>
      <c r="W433" s="24">
        <v>44313</v>
      </c>
      <c r="X433" s="238" t="s">
        <v>562</v>
      </c>
      <c r="Y433" s="238" t="s">
        <v>39</v>
      </c>
      <c r="Z433" s="238" t="s">
        <v>1168</v>
      </c>
      <c r="AA433" t="s">
        <v>1167</v>
      </c>
      <c r="AB433" s="238" t="s">
        <v>3246</v>
      </c>
      <c r="AC433" t="s">
        <v>4246</v>
      </c>
      <c r="AD433" s="24"/>
      <c r="AE433" s="238" t="s">
        <v>2004</v>
      </c>
      <c r="AF433">
        <v>79276927299</v>
      </c>
      <c r="AG433" s="238" t="s">
        <v>1978</v>
      </c>
      <c r="AH433" s="238" t="s">
        <v>1212</v>
      </c>
      <c r="AI433" s="238" t="s">
        <v>3082</v>
      </c>
      <c r="AJ433" s="238" t="s">
        <v>130</v>
      </c>
      <c r="AK433" s="238" t="s">
        <v>1167</v>
      </c>
      <c r="AL433" t="s">
        <v>8715</v>
      </c>
      <c r="AM433" t="s">
        <v>1167</v>
      </c>
    </row>
    <row r="434" spans="1:39" hidden="1" x14ac:dyDescent="0.25">
      <c r="A434">
        <v>430</v>
      </c>
      <c r="B434">
        <v>5</v>
      </c>
      <c r="C434" s="24">
        <v>44329</v>
      </c>
      <c r="D434" s="238" t="s">
        <v>19</v>
      </c>
      <c r="E434" s="238" t="s">
        <v>5</v>
      </c>
      <c r="F434">
        <v>5</v>
      </c>
      <c r="G434">
        <v>11</v>
      </c>
      <c r="H434">
        <v>265</v>
      </c>
      <c r="I434" s="238" t="s">
        <v>43</v>
      </c>
      <c r="J434">
        <v>60.19</v>
      </c>
      <c r="K434" s="238" t="s">
        <v>37</v>
      </c>
      <c r="L434">
        <v>2906409.53</v>
      </c>
      <c r="M434">
        <v>15000</v>
      </c>
      <c r="N434">
        <v>2921409.53</v>
      </c>
      <c r="O434">
        <v>48536.460043196545</v>
      </c>
      <c r="P434">
        <v>270855</v>
      </c>
      <c r="Q434">
        <v>2650554.5299999998</v>
      </c>
      <c r="R434">
        <v>44036.460043196545</v>
      </c>
      <c r="S434" s="238" t="s">
        <v>124</v>
      </c>
      <c r="T434" s="238" t="s">
        <v>1167</v>
      </c>
      <c r="V434" t="s">
        <v>1167</v>
      </c>
      <c r="W434" s="24">
        <v>44320</v>
      </c>
      <c r="X434" s="238" t="s">
        <v>563</v>
      </c>
      <c r="Y434" s="238" t="s">
        <v>39</v>
      </c>
      <c r="Z434" s="238" t="s">
        <v>1168</v>
      </c>
      <c r="AA434" t="s">
        <v>1167</v>
      </c>
      <c r="AB434" s="238" t="s">
        <v>3246</v>
      </c>
      <c r="AC434" t="s">
        <v>4246</v>
      </c>
      <c r="AD434" s="24"/>
      <c r="AE434" s="238" t="s">
        <v>2005</v>
      </c>
      <c r="AF434">
        <v>79277385374</v>
      </c>
      <c r="AG434" s="238" t="s">
        <v>2006</v>
      </c>
      <c r="AH434" s="238" t="s">
        <v>1212</v>
      </c>
      <c r="AI434" s="238" t="s">
        <v>3078</v>
      </c>
      <c r="AJ434" s="238" t="s">
        <v>130</v>
      </c>
      <c r="AK434" s="238" t="s">
        <v>1167</v>
      </c>
      <c r="AL434" t="s">
        <v>8715</v>
      </c>
      <c r="AM434" t="s">
        <v>1167</v>
      </c>
    </row>
    <row r="435" spans="1:39" hidden="1" x14ac:dyDescent="0.25">
      <c r="A435">
        <v>431</v>
      </c>
      <c r="B435">
        <v>6</v>
      </c>
      <c r="C435" s="24">
        <v>44330</v>
      </c>
      <c r="D435" s="238" t="s">
        <v>19</v>
      </c>
      <c r="E435" s="238" t="s">
        <v>5</v>
      </c>
      <c r="F435">
        <v>5</v>
      </c>
      <c r="G435">
        <v>10</v>
      </c>
      <c r="H435">
        <v>254</v>
      </c>
      <c r="I435" s="238" t="s">
        <v>43</v>
      </c>
      <c r="J435">
        <v>60.19</v>
      </c>
      <c r="K435" s="238" t="s">
        <v>37</v>
      </c>
      <c r="L435">
        <v>2906409.53</v>
      </c>
      <c r="M435">
        <v>15000</v>
      </c>
      <c r="N435">
        <v>2921409.53</v>
      </c>
      <c r="O435">
        <v>48536.460043196545</v>
      </c>
      <c r="P435">
        <v>270855</v>
      </c>
      <c r="Q435">
        <v>2650554.5299999998</v>
      </c>
      <c r="R435">
        <v>44036.460043196545</v>
      </c>
      <c r="S435" s="238" t="s">
        <v>137</v>
      </c>
      <c r="T435" s="238" t="s">
        <v>1167</v>
      </c>
      <c r="V435" t="s">
        <v>4091</v>
      </c>
      <c r="W435" s="24">
        <v>44307</v>
      </c>
      <c r="X435" s="238" t="s">
        <v>566</v>
      </c>
      <c r="Y435" s="238" t="s">
        <v>39</v>
      </c>
      <c r="Z435" s="238" t="s">
        <v>1340</v>
      </c>
      <c r="AA435" t="s">
        <v>1167</v>
      </c>
      <c r="AB435" s="238" t="s">
        <v>3246</v>
      </c>
      <c r="AC435" t="s">
        <v>3079</v>
      </c>
      <c r="AD435" s="24"/>
      <c r="AE435" s="238" t="s">
        <v>2007</v>
      </c>
      <c r="AF435">
        <v>79270746967</v>
      </c>
      <c r="AG435" s="238" t="s">
        <v>2008</v>
      </c>
      <c r="AH435" s="238" t="s">
        <v>1212</v>
      </c>
      <c r="AI435" s="238" t="s">
        <v>135</v>
      </c>
      <c r="AJ435" s="238" t="s">
        <v>120</v>
      </c>
      <c r="AK435" s="238" t="s">
        <v>141</v>
      </c>
      <c r="AL435" t="s">
        <v>8715</v>
      </c>
      <c r="AM435" t="s">
        <v>1167</v>
      </c>
    </row>
    <row r="436" spans="1:39" hidden="1" x14ac:dyDescent="0.25">
      <c r="A436">
        <v>432</v>
      </c>
      <c r="B436">
        <v>7</v>
      </c>
      <c r="C436" s="24">
        <v>44330</v>
      </c>
      <c r="D436" s="238" t="s">
        <v>19</v>
      </c>
      <c r="E436" s="238" t="s">
        <v>6</v>
      </c>
      <c r="F436">
        <v>5</v>
      </c>
      <c r="G436">
        <v>2</v>
      </c>
      <c r="H436">
        <v>5</v>
      </c>
      <c r="I436" s="238" t="s">
        <v>42</v>
      </c>
      <c r="J436">
        <v>36.42</v>
      </c>
      <c r="K436" s="238" t="s">
        <v>37</v>
      </c>
      <c r="L436">
        <v>2228840.9300000002</v>
      </c>
      <c r="M436">
        <v>15000</v>
      </c>
      <c r="N436">
        <v>2243840.9300000002</v>
      </c>
      <c r="O436">
        <v>61610.129873695776</v>
      </c>
      <c r="P436">
        <v>163890</v>
      </c>
      <c r="Q436">
        <v>2079950.9300000002</v>
      </c>
      <c r="R436">
        <v>57110.129873695776</v>
      </c>
      <c r="S436" s="238" t="s">
        <v>137</v>
      </c>
      <c r="T436" s="238" t="s">
        <v>321</v>
      </c>
      <c r="U436">
        <v>21009.610000000102</v>
      </c>
      <c r="V436" t="s">
        <v>1167</v>
      </c>
      <c r="W436" s="24">
        <v>44320</v>
      </c>
      <c r="X436" s="238" t="s">
        <v>564</v>
      </c>
      <c r="Y436" s="238" t="s">
        <v>39</v>
      </c>
      <c r="Z436" s="238" t="s">
        <v>1340</v>
      </c>
      <c r="AA436" t="s">
        <v>1167</v>
      </c>
      <c r="AB436" s="238" t="s">
        <v>3246</v>
      </c>
      <c r="AC436" t="s">
        <v>3077</v>
      </c>
      <c r="AD436" s="24"/>
      <c r="AE436" s="238" t="s">
        <v>2009</v>
      </c>
      <c r="AF436">
        <v>79129891999</v>
      </c>
      <c r="AG436" s="238" t="s">
        <v>2010</v>
      </c>
      <c r="AH436" s="238" t="s">
        <v>1212</v>
      </c>
      <c r="AI436" s="238" t="s">
        <v>3082</v>
      </c>
      <c r="AJ436" s="238" t="s">
        <v>130</v>
      </c>
      <c r="AK436" s="238" t="s">
        <v>141</v>
      </c>
      <c r="AL436" t="s">
        <v>8715</v>
      </c>
      <c r="AM436" t="s">
        <v>1167</v>
      </c>
    </row>
    <row r="437" spans="1:39" hidden="1" x14ac:dyDescent="0.25">
      <c r="A437">
        <v>433</v>
      </c>
      <c r="B437">
        <v>8</v>
      </c>
      <c r="C437" s="24">
        <v>44330</v>
      </c>
      <c r="D437" s="238" t="s">
        <v>19</v>
      </c>
      <c r="E437" s="238" t="s">
        <v>5</v>
      </c>
      <c r="F437">
        <v>3</v>
      </c>
      <c r="G437">
        <v>8</v>
      </c>
      <c r="H437">
        <v>230</v>
      </c>
      <c r="I437" s="238" t="s">
        <v>44</v>
      </c>
      <c r="J437">
        <v>86.58</v>
      </c>
      <c r="K437" s="238" t="s">
        <v>37</v>
      </c>
      <c r="L437">
        <v>4241169.75</v>
      </c>
      <c r="M437">
        <v>30000</v>
      </c>
      <c r="N437">
        <v>4271169.75</v>
      </c>
      <c r="O437">
        <v>49332.059944559944</v>
      </c>
      <c r="P437">
        <v>389610</v>
      </c>
      <c r="Q437">
        <v>3881559.75</v>
      </c>
      <c r="R437">
        <v>44832.059944559944</v>
      </c>
      <c r="S437" s="238" t="s">
        <v>121</v>
      </c>
      <c r="T437" s="238" t="s">
        <v>1167</v>
      </c>
      <c r="V437" t="s">
        <v>1167</v>
      </c>
      <c r="W437" s="24">
        <v>44328</v>
      </c>
      <c r="X437" s="238" t="s">
        <v>565</v>
      </c>
      <c r="Y437" s="238" t="s">
        <v>39</v>
      </c>
      <c r="Z437" s="238" t="s">
        <v>1168</v>
      </c>
      <c r="AA437" t="s">
        <v>1167</v>
      </c>
      <c r="AB437" s="238" t="s">
        <v>3246</v>
      </c>
      <c r="AC437" t="s">
        <v>4246</v>
      </c>
      <c r="AD437" s="24"/>
      <c r="AE437" s="238" t="s">
        <v>2011</v>
      </c>
      <c r="AF437">
        <v>79967421769</v>
      </c>
      <c r="AG437" s="238" t="s">
        <v>2012</v>
      </c>
      <c r="AH437" s="238" t="s">
        <v>1212</v>
      </c>
      <c r="AI437" s="238" t="s">
        <v>3088</v>
      </c>
      <c r="AJ437" s="238" t="s">
        <v>399</v>
      </c>
      <c r="AK437" s="238" t="s">
        <v>1167</v>
      </c>
      <c r="AL437" t="s">
        <v>8715</v>
      </c>
      <c r="AM437" t="s">
        <v>1167</v>
      </c>
    </row>
    <row r="438" spans="1:39" hidden="1" x14ac:dyDescent="0.25">
      <c r="A438">
        <v>434</v>
      </c>
      <c r="B438">
        <v>9</v>
      </c>
      <c r="C438" s="24">
        <v>44333</v>
      </c>
      <c r="D438" s="238" t="s">
        <v>19</v>
      </c>
      <c r="E438" s="238" t="s">
        <v>5</v>
      </c>
      <c r="F438">
        <v>11</v>
      </c>
      <c r="G438">
        <v>3</v>
      </c>
      <c r="H438">
        <v>183</v>
      </c>
      <c r="I438" s="238" t="s">
        <v>4052</v>
      </c>
      <c r="J438">
        <v>25.85</v>
      </c>
      <c r="K438" s="238" t="s">
        <v>37</v>
      </c>
      <c r="L438">
        <v>1361512.5</v>
      </c>
      <c r="M438">
        <v>15000</v>
      </c>
      <c r="N438">
        <v>1376512.5</v>
      </c>
      <c r="O438">
        <v>53250</v>
      </c>
      <c r="P438">
        <v>116325</v>
      </c>
      <c r="Q438">
        <v>1260187.5</v>
      </c>
      <c r="R438">
        <v>48750</v>
      </c>
      <c r="S438" s="238" t="s">
        <v>121</v>
      </c>
      <c r="T438" s="238" t="s">
        <v>1167</v>
      </c>
      <c r="V438" t="s">
        <v>1167</v>
      </c>
      <c r="W438" s="24">
        <v>44326</v>
      </c>
      <c r="X438" s="238" t="s">
        <v>567</v>
      </c>
      <c r="Y438" s="238" t="s">
        <v>39</v>
      </c>
      <c r="Z438" s="238" t="s">
        <v>1168</v>
      </c>
      <c r="AA438" t="s">
        <v>1167</v>
      </c>
      <c r="AB438" s="238" t="s">
        <v>3246</v>
      </c>
      <c r="AC438" t="s">
        <v>4246</v>
      </c>
      <c r="AD438" s="24"/>
      <c r="AE438" s="238" t="s">
        <v>2013</v>
      </c>
      <c r="AF438">
        <v>79277269001</v>
      </c>
      <c r="AG438" s="238" t="s">
        <v>2014</v>
      </c>
      <c r="AH438" s="238" t="s">
        <v>1212</v>
      </c>
      <c r="AI438" s="238" t="s">
        <v>3089</v>
      </c>
      <c r="AJ438" s="238" t="s">
        <v>126</v>
      </c>
      <c r="AK438" s="238" t="s">
        <v>1167</v>
      </c>
      <c r="AL438" t="s">
        <v>8715</v>
      </c>
      <c r="AM438" t="s">
        <v>1167</v>
      </c>
    </row>
    <row r="439" spans="1:39" hidden="1" x14ac:dyDescent="0.25">
      <c r="A439">
        <v>435</v>
      </c>
      <c r="B439">
        <v>10</v>
      </c>
      <c r="C439" s="24">
        <v>44334</v>
      </c>
      <c r="D439" s="238" t="s">
        <v>19</v>
      </c>
      <c r="E439" s="238" t="s">
        <v>6</v>
      </c>
      <c r="F439">
        <v>1</v>
      </c>
      <c r="G439">
        <v>14</v>
      </c>
      <c r="H439">
        <v>85</v>
      </c>
      <c r="I439" s="238" t="s">
        <v>43</v>
      </c>
      <c r="J439">
        <v>59.52</v>
      </c>
      <c r="K439" s="238" t="s">
        <v>38</v>
      </c>
      <c r="L439">
        <v>3795648.96</v>
      </c>
      <c r="M439">
        <v>15000</v>
      </c>
      <c r="N439">
        <v>3810648.96</v>
      </c>
      <c r="O439">
        <v>64022.999999999993</v>
      </c>
      <c r="P439">
        <v>892800</v>
      </c>
      <c r="Q439">
        <v>2917848.96</v>
      </c>
      <c r="R439">
        <v>49023</v>
      </c>
      <c r="S439" s="238" t="s">
        <v>137</v>
      </c>
      <c r="T439" s="238" t="s">
        <v>1167</v>
      </c>
      <c r="V439" t="s">
        <v>4091</v>
      </c>
      <c r="W439" s="24">
        <v>44322</v>
      </c>
      <c r="X439" s="238" t="s">
        <v>569</v>
      </c>
      <c r="Y439" s="238" t="s">
        <v>39</v>
      </c>
      <c r="Z439" s="238" t="s">
        <v>1340</v>
      </c>
      <c r="AA439" t="s">
        <v>1167</v>
      </c>
      <c r="AB439" s="238" t="s">
        <v>3246</v>
      </c>
      <c r="AC439" t="s">
        <v>3079</v>
      </c>
      <c r="AD439" s="24"/>
      <c r="AE439" s="238" t="s">
        <v>2015</v>
      </c>
      <c r="AF439">
        <v>79371710381</v>
      </c>
      <c r="AG439" s="238" t="s">
        <v>2016</v>
      </c>
      <c r="AH439" s="238" t="s">
        <v>1212</v>
      </c>
      <c r="AI439" s="238" t="s">
        <v>3089</v>
      </c>
      <c r="AJ439" s="238" t="s">
        <v>399</v>
      </c>
      <c r="AK439" s="238" t="s">
        <v>141</v>
      </c>
      <c r="AL439" t="s">
        <v>8715</v>
      </c>
      <c r="AM439" t="s">
        <v>1167</v>
      </c>
    </row>
    <row r="440" spans="1:39" hidden="1" x14ac:dyDescent="0.25">
      <c r="A440">
        <v>436</v>
      </c>
      <c r="B440">
        <v>11</v>
      </c>
      <c r="C440" s="24">
        <v>44334</v>
      </c>
      <c r="D440" s="238" t="s">
        <v>19</v>
      </c>
      <c r="E440" s="238" t="s">
        <v>6</v>
      </c>
      <c r="F440">
        <v>7</v>
      </c>
      <c r="G440">
        <v>4</v>
      </c>
      <c r="H440">
        <v>21</v>
      </c>
      <c r="I440" s="238" t="s">
        <v>43</v>
      </c>
      <c r="J440">
        <v>58.17</v>
      </c>
      <c r="K440" s="238" t="s">
        <v>36</v>
      </c>
      <c r="L440">
        <v>2994251.31</v>
      </c>
      <c r="M440">
        <v>0</v>
      </c>
      <c r="N440">
        <v>2994251.31</v>
      </c>
      <c r="O440">
        <v>51474.15007735946</v>
      </c>
      <c r="P440">
        <v>0</v>
      </c>
      <c r="Q440">
        <v>2994251.31</v>
      </c>
      <c r="R440">
        <v>51474.15007735946</v>
      </c>
      <c r="S440" s="238" t="s">
        <v>137</v>
      </c>
      <c r="T440" s="238" t="s">
        <v>1167</v>
      </c>
      <c r="V440" t="s">
        <v>1167</v>
      </c>
      <c r="W440" s="24">
        <v>44324</v>
      </c>
      <c r="X440" s="238" t="s">
        <v>568</v>
      </c>
      <c r="Y440" s="238" t="s">
        <v>39</v>
      </c>
      <c r="Z440" s="238" t="s">
        <v>1168</v>
      </c>
      <c r="AA440" t="s">
        <v>1167</v>
      </c>
      <c r="AB440" s="238" t="s">
        <v>3246</v>
      </c>
      <c r="AC440" t="s">
        <v>3080</v>
      </c>
      <c r="AD440" s="24"/>
      <c r="AE440" s="238" t="s">
        <v>2017</v>
      </c>
      <c r="AF440">
        <v>79022380263</v>
      </c>
      <c r="AG440" s="238" t="s">
        <v>2018</v>
      </c>
      <c r="AH440" s="238" t="s">
        <v>1171</v>
      </c>
      <c r="AI440" s="238" t="s">
        <v>3088</v>
      </c>
      <c r="AJ440" s="238" t="s">
        <v>126</v>
      </c>
      <c r="AK440" s="238" t="s">
        <v>141</v>
      </c>
      <c r="AL440" t="s">
        <v>8715</v>
      </c>
      <c r="AM440" t="s">
        <v>1167</v>
      </c>
    </row>
    <row r="441" spans="1:39" hidden="1" x14ac:dyDescent="0.25">
      <c r="A441">
        <v>437</v>
      </c>
      <c r="B441">
        <v>12</v>
      </c>
      <c r="C441" s="24">
        <v>44336</v>
      </c>
      <c r="D441" s="238" t="s">
        <v>19</v>
      </c>
      <c r="E441" s="238" t="s">
        <v>5</v>
      </c>
      <c r="F441">
        <v>9</v>
      </c>
      <c r="G441">
        <v>6</v>
      </c>
      <c r="H441">
        <v>214</v>
      </c>
      <c r="I441" s="238" t="s">
        <v>43</v>
      </c>
      <c r="J441">
        <v>60.3</v>
      </c>
      <c r="K441" s="238" t="s">
        <v>37</v>
      </c>
      <c r="L441">
        <v>3163094.39</v>
      </c>
      <c r="M441">
        <v>0</v>
      </c>
      <c r="N441">
        <v>3163094.39</v>
      </c>
      <c r="O441">
        <v>52455.960033167503</v>
      </c>
      <c r="P441">
        <v>271350</v>
      </c>
      <c r="Q441">
        <v>2891744.39</v>
      </c>
      <c r="R441">
        <v>47955.960033167503</v>
      </c>
      <c r="S441" s="238" t="s">
        <v>137</v>
      </c>
      <c r="T441" s="238" t="s">
        <v>1167</v>
      </c>
      <c r="V441" t="s">
        <v>4091</v>
      </c>
      <c r="W441" s="24">
        <v>44329</v>
      </c>
      <c r="X441" s="238" t="s">
        <v>571</v>
      </c>
      <c r="Y441" s="238" t="s">
        <v>39</v>
      </c>
      <c r="Z441" s="238" t="s">
        <v>1340</v>
      </c>
      <c r="AA441" t="s">
        <v>1167</v>
      </c>
      <c r="AB441" s="238" t="s">
        <v>3246</v>
      </c>
      <c r="AC441" t="s">
        <v>3079</v>
      </c>
      <c r="AD441" s="24"/>
      <c r="AE441" s="238" t="s">
        <v>2019</v>
      </c>
      <c r="AF441">
        <v>79372162268</v>
      </c>
      <c r="AG441" s="238" t="s">
        <v>2020</v>
      </c>
      <c r="AH441" s="238" t="s">
        <v>1212</v>
      </c>
      <c r="AI441" s="238" t="s">
        <v>135</v>
      </c>
      <c r="AJ441" s="238" t="s">
        <v>126</v>
      </c>
      <c r="AK441" s="238" t="s">
        <v>141</v>
      </c>
      <c r="AL441" t="s">
        <v>8715</v>
      </c>
      <c r="AM441" t="s">
        <v>1167</v>
      </c>
    </row>
    <row r="442" spans="1:39" hidden="1" x14ac:dyDescent="0.25">
      <c r="A442">
        <v>438</v>
      </c>
      <c r="B442">
        <v>13</v>
      </c>
      <c r="C442" s="24">
        <v>44336</v>
      </c>
      <c r="D442" s="238" t="s">
        <v>19</v>
      </c>
      <c r="E442" s="238" t="s">
        <v>5</v>
      </c>
      <c r="F442">
        <v>6</v>
      </c>
      <c r="G442">
        <v>12</v>
      </c>
      <c r="H442">
        <v>277</v>
      </c>
      <c r="I442" s="238" t="s">
        <v>43</v>
      </c>
      <c r="J442">
        <v>60.24</v>
      </c>
      <c r="K442" s="238" t="s">
        <v>36</v>
      </c>
      <c r="L442">
        <v>2715778.6</v>
      </c>
      <c r="M442">
        <v>15000</v>
      </c>
      <c r="N442">
        <v>2730778.6</v>
      </c>
      <c r="O442">
        <v>45331.65006640106</v>
      </c>
      <c r="P442">
        <v>0</v>
      </c>
      <c r="Q442">
        <v>2730778.6</v>
      </c>
      <c r="R442">
        <v>45331.65006640106</v>
      </c>
      <c r="S442" s="238" t="s">
        <v>124</v>
      </c>
      <c r="T442" s="238" t="s">
        <v>1167</v>
      </c>
      <c r="V442" t="s">
        <v>1167</v>
      </c>
      <c r="W442" s="24">
        <v>44331</v>
      </c>
      <c r="X442" s="238" t="s">
        <v>573</v>
      </c>
      <c r="Y442" s="238" t="s">
        <v>39</v>
      </c>
      <c r="Z442" s="238" t="s">
        <v>1168</v>
      </c>
      <c r="AA442" t="s">
        <v>1167</v>
      </c>
      <c r="AB442" s="238" t="s">
        <v>3246</v>
      </c>
      <c r="AC442" t="s">
        <v>4246</v>
      </c>
      <c r="AD442" s="24"/>
      <c r="AE442" s="238" t="s">
        <v>2021</v>
      </c>
      <c r="AF442">
        <v>79171484587</v>
      </c>
      <c r="AG442" s="238" t="s">
        <v>2022</v>
      </c>
      <c r="AH442" s="238" t="s">
        <v>1171</v>
      </c>
      <c r="AI442" s="238" t="s">
        <v>3074</v>
      </c>
      <c r="AJ442" s="238" t="s">
        <v>399</v>
      </c>
      <c r="AK442" s="238" t="s">
        <v>1167</v>
      </c>
      <c r="AL442" t="s">
        <v>8715</v>
      </c>
      <c r="AM442" t="s">
        <v>1167</v>
      </c>
    </row>
    <row r="443" spans="1:39" hidden="1" x14ac:dyDescent="0.25">
      <c r="A443">
        <v>439</v>
      </c>
      <c r="B443">
        <v>14</v>
      </c>
      <c r="C443" s="24">
        <v>44336</v>
      </c>
      <c r="D443" s="238" t="s">
        <v>19</v>
      </c>
      <c r="E443" s="238" t="s">
        <v>5</v>
      </c>
      <c r="F443">
        <v>7</v>
      </c>
      <c r="G443">
        <v>10</v>
      </c>
      <c r="H443">
        <v>256</v>
      </c>
      <c r="I443" s="238" t="s">
        <v>4052</v>
      </c>
      <c r="J443">
        <v>24.23</v>
      </c>
      <c r="K443" s="238" t="s">
        <v>36</v>
      </c>
      <c r="L443">
        <v>1555600.16</v>
      </c>
      <c r="M443">
        <v>0</v>
      </c>
      <c r="N443">
        <v>1555600.16</v>
      </c>
      <c r="O443">
        <v>64201.409822534042</v>
      </c>
      <c r="P443">
        <v>0</v>
      </c>
      <c r="Q443">
        <v>1555600.16</v>
      </c>
      <c r="R443">
        <v>64201.409822534042</v>
      </c>
      <c r="S443" s="238" t="s">
        <v>124</v>
      </c>
      <c r="T443" s="238" t="s">
        <v>1167</v>
      </c>
      <c r="V443" t="s">
        <v>1167</v>
      </c>
      <c r="W443" s="24">
        <v>44334</v>
      </c>
      <c r="X443" s="238" t="s">
        <v>572</v>
      </c>
      <c r="Y443" s="238" t="s">
        <v>39</v>
      </c>
      <c r="Z443" s="238" t="s">
        <v>1168</v>
      </c>
      <c r="AA443" t="s">
        <v>1167</v>
      </c>
      <c r="AB443" s="238" t="s">
        <v>3246</v>
      </c>
      <c r="AC443" t="s">
        <v>4246</v>
      </c>
      <c r="AD443" s="24"/>
      <c r="AE443" s="238" t="s">
        <v>2023</v>
      </c>
      <c r="AF443">
        <v>79178149824</v>
      </c>
      <c r="AG443" s="238" t="s">
        <v>2024</v>
      </c>
      <c r="AH443" s="238" t="s">
        <v>1212</v>
      </c>
      <c r="AI443" s="238" t="s">
        <v>3074</v>
      </c>
      <c r="AJ443" s="238" t="s">
        <v>120</v>
      </c>
      <c r="AK443" s="238" t="s">
        <v>1167</v>
      </c>
      <c r="AL443" t="s">
        <v>8715</v>
      </c>
      <c r="AM443" t="s">
        <v>1167</v>
      </c>
    </row>
    <row r="444" spans="1:39" hidden="1" x14ac:dyDescent="0.25">
      <c r="A444">
        <v>440</v>
      </c>
      <c r="B444">
        <v>15</v>
      </c>
      <c r="C444" s="24">
        <v>44336</v>
      </c>
      <c r="D444" s="238" t="s">
        <v>19</v>
      </c>
      <c r="E444" s="238" t="s">
        <v>6</v>
      </c>
      <c r="F444">
        <v>1</v>
      </c>
      <c r="G444">
        <v>15</v>
      </c>
      <c r="H444">
        <v>92</v>
      </c>
      <c r="I444" s="238" t="s">
        <v>43</v>
      </c>
      <c r="J444">
        <v>59.52</v>
      </c>
      <c r="K444" s="238" t="s">
        <v>37</v>
      </c>
      <c r="L444">
        <v>3389736.44</v>
      </c>
      <c r="M444">
        <v>0</v>
      </c>
      <c r="N444">
        <v>3389736.44</v>
      </c>
      <c r="O444">
        <v>56951.217069892467</v>
      </c>
      <c r="P444">
        <v>267840</v>
      </c>
      <c r="Q444">
        <v>3121896.44</v>
      </c>
      <c r="R444">
        <v>52451.217069892467</v>
      </c>
      <c r="S444" s="238" t="s">
        <v>137</v>
      </c>
      <c r="T444" s="238" t="s">
        <v>3540</v>
      </c>
      <c r="U444">
        <v>63712.168000000529</v>
      </c>
      <c r="V444" t="s">
        <v>4091</v>
      </c>
      <c r="W444" s="24">
        <v>44335</v>
      </c>
      <c r="X444" s="238" t="s">
        <v>570</v>
      </c>
      <c r="Y444" s="238" t="s">
        <v>39</v>
      </c>
      <c r="Z444" s="238" t="s">
        <v>1340</v>
      </c>
      <c r="AA444" t="s">
        <v>1167</v>
      </c>
      <c r="AB444" s="238" t="s">
        <v>3246</v>
      </c>
      <c r="AC444" t="s">
        <v>3079</v>
      </c>
      <c r="AD444" s="24"/>
      <c r="AE444" s="238" t="s">
        <v>2025</v>
      </c>
      <c r="AF444">
        <v>79179527769</v>
      </c>
      <c r="AG444" s="238" t="s">
        <v>2026</v>
      </c>
      <c r="AH444" s="238" t="s">
        <v>146</v>
      </c>
      <c r="AI444" s="238" t="s">
        <v>135</v>
      </c>
      <c r="AJ444" s="238" t="s">
        <v>130</v>
      </c>
      <c r="AK444" s="238" t="s">
        <v>141</v>
      </c>
      <c r="AL444" t="s">
        <v>8715</v>
      </c>
      <c r="AM444" t="s">
        <v>1167</v>
      </c>
    </row>
    <row r="445" spans="1:39" hidden="1" x14ac:dyDescent="0.25">
      <c r="A445">
        <v>441</v>
      </c>
      <c r="B445">
        <v>16</v>
      </c>
      <c r="C445" s="24">
        <v>44337</v>
      </c>
      <c r="D445" s="238" t="s">
        <v>19</v>
      </c>
      <c r="E445" s="238" t="s">
        <v>6</v>
      </c>
      <c r="F445">
        <v>2</v>
      </c>
      <c r="G445">
        <v>9</v>
      </c>
      <c r="H445">
        <v>51</v>
      </c>
      <c r="I445" s="238" t="s">
        <v>43</v>
      </c>
      <c r="J445">
        <v>58.99</v>
      </c>
      <c r="K445" s="238" t="s">
        <v>37</v>
      </c>
      <c r="L445">
        <v>2797230.27</v>
      </c>
      <c r="M445">
        <v>15000</v>
      </c>
      <c r="N445">
        <v>2812230.27</v>
      </c>
      <c r="O445">
        <v>47673</v>
      </c>
      <c r="P445">
        <v>265455</v>
      </c>
      <c r="Q445">
        <v>2546775.27</v>
      </c>
      <c r="R445">
        <v>43173</v>
      </c>
      <c r="S445" s="238" t="s">
        <v>137</v>
      </c>
      <c r="T445" s="238" t="s">
        <v>1167</v>
      </c>
      <c r="V445" t="s">
        <v>4091</v>
      </c>
      <c r="W445" s="24">
        <v>44326</v>
      </c>
      <c r="X445" s="238" t="s">
        <v>575</v>
      </c>
      <c r="Y445" s="238" t="s">
        <v>39</v>
      </c>
      <c r="Z445" s="238" t="s">
        <v>1340</v>
      </c>
      <c r="AA445" t="s">
        <v>1167</v>
      </c>
      <c r="AB445" s="238" t="s">
        <v>3246</v>
      </c>
      <c r="AC445" t="s">
        <v>3079</v>
      </c>
      <c r="AD445" s="24"/>
      <c r="AE445" s="238" t="s">
        <v>2013</v>
      </c>
      <c r="AF445">
        <v>79277269001</v>
      </c>
      <c r="AG445" s="238" t="s">
        <v>2014</v>
      </c>
      <c r="AH445" s="238" t="s">
        <v>1197</v>
      </c>
      <c r="AI445" s="238" t="s">
        <v>3089</v>
      </c>
      <c r="AJ445" s="238" t="s">
        <v>126</v>
      </c>
      <c r="AK445" s="238" t="s">
        <v>141</v>
      </c>
      <c r="AL445" t="s">
        <v>8715</v>
      </c>
      <c r="AM445" t="s">
        <v>1167</v>
      </c>
    </row>
    <row r="446" spans="1:39" hidden="1" x14ac:dyDescent="0.25">
      <c r="A446">
        <v>442</v>
      </c>
      <c r="B446">
        <v>17</v>
      </c>
      <c r="C446" s="24">
        <v>44337</v>
      </c>
      <c r="D446" s="238" t="s">
        <v>19</v>
      </c>
      <c r="E446" s="238" t="s">
        <v>6</v>
      </c>
      <c r="F446">
        <v>1</v>
      </c>
      <c r="G446">
        <v>4</v>
      </c>
      <c r="H446">
        <v>15</v>
      </c>
      <c r="I446" s="238" t="s">
        <v>43</v>
      </c>
      <c r="J446">
        <v>59.52</v>
      </c>
      <c r="K446" s="238" t="s">
        <v>36</v>
      </c>
      <c r="L446">
        <v>2902848.96</v>
      </c>
      <c r="M446">
        <v>15000</v>
      </c>
      <c r="N446">
        <v>2917848.96</v>
      </c>
      <c r="O446">
        <v>49023</v>
      </c>
      <c r="P446">
        <v>0</v>
      </c>
      <c r="Q446">
        <v>2917848.96</v>
      </c>
      <c r="R446">
        <v>49023</v>
      </c>
      <c r="S446" s="238" t="s">
        <v>137</v>
      </c>
      <c r="T446" s="238" t="s">
        <v>1167</v>
      </c>
      <c r="V446" t="s">
        <v>4091</v>
      </c>
      <c r="W446" s="24">
        <v>44335</v>
      </c>
      <c r="X446" s="238" t="s">
        <v>574</v>
      </c>
      <c r="Y446" s="238" t="s">
        <v>39</v>
      </c>
      <c r="Z446" s="238" t="s">
        <v>1340</v>
      </c>
      <c r="AA446" t="s">
        <v>1167</v>
      </c>
      <c r="AB446" s="238" t="s">
        <v>3246</v>
      </c>
      <c r="AC446" t="s">
        <v>3079</v>
      </c>
      <c r="AD446" s="24"/>
      <c r="AE446" s="238" t="s">
        <v>2027</v>
      </c>
      <c r="AF446">
        <v>79510375402</v>
      </c>
      <c r="AG446" s="238" t="s">
        <v>2028</v>
      </c>
      <c r="AH446" s="238" t="s">
        <v>1212</v>
      </c>
      <c r="AI446" s="238" t="s">
        <v>135</v>
      </c>
      <c r="AJ446" s="238" t="s">
        <v>130</v>
      </c>
      <c r="AK446" s="238" t="s">
        <v>141</v>
      </c>
      <c r="AL446" t="s">
        <v>8715</v>
      </c>
      <c r="AM446" t="s">
        <v>1167</v>
      </c>
    </row>
    <row r="447" spans="1:39" hidden="1" x14ac:dyDescent="0.25">
      <c r="A447">
        <v>443</v>
      </c>
      <c r="B447">
        <v>18</v>
      </c>
      <c r="C447" s="24">
        <v>44420</v>
      </c>
      <c r="D447" s="238" t="s">
        <v>20</v>
      </c>
      <c r="E447" s="238" t="s">
        <v>6</v>
      </c>
      <c r="F447">
        <v>2</v>
      </c>
      <c r="G447">
        <v>2</v>
      </c>
      <c r="H447">
        <v>2</v>
      </c>
      <c r="I447" s="238" t="s">
        <v>4052</v>
      </c>
      <c r="J447">
        <v>31.6</v>
      </c>
      <c r="K447" s="238" t="s">
        <v>36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38" t="s">
        <v>644</v>
      </c>
      <c r="T447" s="238" t="s">
        <v>1167</v>
      </c>
      <c r="V447" t="s">
        <v>1167</v>
      </c>
      <c r="W447" s="24">
        <v>44420</v>
      </c>
      <c r="X447" s="238" t="s">
        <v>2262</v>
      </c>
      <c r="Y447" s="238" t="s">
        <v>39</v>
      </c>
      <c r="Z447" s="238" t="s">
        <v>1168</v>
      </c>
      <c r="AA447" t="s">
        <v>1167</v>
      </c>
      <c r="AB447" s="238" t="s">
        <v>643</v>
      </c>
      <c r="AC447" t="s">
        <v>4246</v>
      </c>
      <c r="AD447" s="24"/>
      <c r="AE447" s="238" t="s">
        <v>2263</v>
      </c>
      <c r="AG447" s="238" t="s">
        <v>1167</v>
      </c>
      <c r="AH447" s="238" t="s">
        <v>1167</v>
      </c>
      <c r="AI447" s="238" t="s">
        <v>3103</v>
      </c>
      <c r="AJ447" s="238" t="s">
        <v>982</v>
      </c>
      <c r="AK447" s="238" t="s">
        <v>1167</v>
      </c>
      <c r="AL447" t="s">
        <v>8715</v>
      </c>
      <c r="AM447" t="s">
        <v>644</v>
      </c>
    </row>
    <row r="448" spans="1:39" hidden="1" x14ac:dyDescent="0.25">
      <c r="A448">
        <v>444</v>
      </c>
      <c r="B448">
        <v>19</v>
      </c>
      <c r="C448" s="24">
        <v>44410</v>
      </c>
      <c r="D448" s="238" t="s">
        <v>20</v>
      </c>
      <c r="E448" s="238" t="s">
        <v>6</v>
      </c>
      <c r="F448">
        <v>2</v>
      </c>
      <c r="G448">
        <v>15</v>
      </c>
      <c r="H448">
        <v>132</v>
      </c>
      <c r="I448" s="238" t="s">
        <v>4052</v>
      </c>
      <c r="J448">
        <v>31.1</v>
      </c>
      <c r="K448" s="238" t="s">
        <v>36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38" t="s">
        <v>644</v>
      </c>
      <c r="T448" s="238" t="s">
        <v>1167</v>
      </c>
      <c r="V448" t="s">
        <v>1167</v>
      </c>
      <c r="W448" s="24">
        <v>44410</v>
      </c>
      <c r="X448" s="238" t="s">
        <v>2240</v>
      </c>
      <c r="Y448" s="238" t="s">
        <v>39</v>
      </c>
      <c r="Z448" s="238" t="s">
        <v>1168</v>
      </c>
      <c r="AA448" t="s">
        <v>1167</v>
      </c>
      <c r="AB448" s="238" t="s">
        <v>643</v>
      </c>
      <c r="AC448" t="s">
        <v>4246</v>
      </c>
      <c r="AD448" s="24"/>
      <c r="AE448" s="238" t="s">
        <v>2241</v>
      </c>
      <c r="AG448" s="238" t="s">
        <v>1167</v>
      </c>
      <c r="AH448" s="238" t="s">
        <v>1167</v>
      </c>
      <c r="AI448" s="238" t="s">
        <v>3103</v>
      </c>
      <c r="AJ448" s="238" t="s">
        <v>982</v>
      </c>
      <c r="AK448" s="238" t="s">
        <v>1167</v>
      </c>
      <c r="AL448" t="s">
        <v>8715</v>
      </c>
      <c r="AM448" t="s">
        <v>644</v>
      </c>
    </row>
    <row r="449" spans="1:39" hidden="1" x14ac:dyDescent="0.25">
      <c r="A449">
        <v>445</v>
      </c>
      <c r="B449">
        <v>20</v>
      </c>
      <c r="C449" s="24">
        <v>44341</v>
      </c>
      <c r="D449" s="238" t="s">
        <v>19</v>
      </c>
      <c r="E449" s="238" t="s">
        <v>5</v>
      </c>
      <c r="F449">
        <v>7</v>
      </c>
      <c r="G449">
        <v>7</v>
      </c>
      <c r="H449">
        <v>223</v>
      </c>
      <c r="I449" s="238" t="s">
        <v>4052</v>
      </c>
      <c r="J449">
        <v>24.23</v>
      </c>
      <c r="K449" s="238" t="s">
        <v>37</v>
      </c>
      <c r="L449">
        <v>1438607.79</v>
      </c>
      <c r="M449">
        <v>0</v>
      </c>
      <c r="N449">
        <v>1438607.79</v>
      </c>
      <c r="O449">
        <v>59373</v>
      </c>
      <c r="P449">
        <v>109035</v>
      </c>
      <c r="Q449">
        <v>1329572.79</v>
      </c>
      <c r="R449">
        <v>54873</v>
      </c>
      <c r="S449" s="238" t="s">
        <v>137</v>
      </c>
      <c r="T449" s="238" t="s">
        <v>1167</v>
      </c>
      <c r="V449" t="s">
        <v>1167</v>
      </c>
      <c r="W449" s="24">
        <v>44302</v>
      </c>
      <c r="X449" s="238" t="s">
        <v>578</v>
      </c>
      <c r="Y449" s="238" t="s">
        <v>39</v>
      </c>
      <c r="Z449" s="238" t="s">
        <v>1340</v>
      </c>
      <c r="AA449" t="s">
        <v>1167</v>
      </c>
      <c r="AB449" s="238" t="s">
        <v>3246</v>
      </c>
      <c r="AC449" t="s">
        <v>3079</v>
      </c>
      <c r="AD449" s="24"/>
      <c r="AE449" s="238" t="s">
        <v>2029</v>
      </c>
      <c r="AF449">
        <v>79379932888</v>
      </c>
      <c r="AG449" s="238" t="s">
        <v>2030</v>
      </c>
      <c r="AH449" s="238" t="s">
        <v>135</v>
      </c>
      <c r="AI449" s="238" t="s">
        <v>3099</v>
      </c>
      <c r="AJ449" s="238" t="s">
        <v>126</v>
      </c>
      <c r="AK449" s="238" t="s">
        <v>141</v>
      </c>
      <c r="AL449" t="s">
        <v>8715</v>
      </c>
      <c r="AM449" t="s">
        <v>1167</v>
      </c>
    </row>
    <row r="450" spans="1:39" hidden="1" x14ac:dyDescent="0.25">
      <c r="A450">
        <v>446</v>
      </c>
      <c r="B450">
        <v>21</v>
      </c>
      <c r="C450" s="24">
        <v>44341</v>
      </c>
      <c r="D450" s="238" t="s">
        <v>19</v>
      </c>
      <c r="E450" s="238" t="s">
        <v>6</v>
      </c>
      <c r="F450">
        <v>1</v>
      </c>
      <c r="G450">
        <v>17</v>
      </c>
      <c r="H450">
        <v>106</v>
      </c>
      <c r="I450" s="238" t="s">
        <v>43</v>
      </c>
      <c r="J450">
        <v>59.52</v>
      </c>
      <c r="K450" s="238" t="s">
        <v>37</v>
      </c>
      <c r="L450">
        <v>3453448.61</v>
      </c>
      <c r="M450">
        <v>0</v>
      </c>
      <c r="N450">
        <v>3453448.61</v>
      </c>
      <c r="O450">
        <v>58021.650033602142</v>
      </c>
      <c r="P450">
        <v>267840</v>
      </c>
      <c r="Q450">
        <v>3185608.61</v>
      </c>
      <c r="R450">
        <v>53521.650033602149</v>
      </c>
      <c r="S450" s="238" t="s">
        <v>137</v>
      </c>
      <c r="T450" s="238" t="s">
        <v>1167</v>
      </c>
      <c r="V450" t="s">
        <v>4091</v>
      </c>
      <c r="W450" s="24">
        <v>44333</v>
      </c>
      <c r="X450" s="238" t="s">
        <v>576</v>
      </c>
      <c r="Y450" s="238" t="s">
        <v>39</v>
      </c>
      <c r="Z450" s="238" t="s">
        <v>1340</v>
      </c>
      <c r="AA450" t="s">
        <v>1167</v>
      </c>
      <c r="AB450" s="238" t="s">
        <v>3246</v>
      </c>
      <c r="AC450" t="s">
        <v>3079</v>
      </c>
      <c r="AD450" s="24"/>
      <c r="AE450" s="238" t="s">
        <v>2031</v>
      </c>
      <c r="AF450">
        <v>79228506155</v>
      </c>
      <c r="AG450" s="238" t="s">
        <v>2032</v>
      </c>
      <c r="AH450" s="238" t="s">
        <v>1212</v>
      </c>
      <c r="AI450" s="238" t="s">
        <v>3090</v>
      </c>
      <c r="AJ450" s="238" t="s">
        <v>126</v>
      </c>
      <c r="AK450" s="238" t="s">
        <v>141</v>
      </c>
      <c r="AL450" t="s">
        <v>8715</v>
      </c>
      <c r="AM450" t="s">
        <v>1167</v>
      </c>
    </row>
    <row r="451" spans="1:39" hidden="1" x14ac:dyDescent="0.25">
      <c r="A451">
        <v>447</v>
      </c>
      <c r="B451">
        <v>22</v>
      </c>
      <c r="C451" s="24">
        <v>44341</v>
      </c>
      <c r="D451" s="238" t="s">
        <v>19</v>
      </c>
      <c r="E451" s="238" t="s">
        <v>6</v>
      </c>
      <c r="F451">
        <v>2</v>
      </c>
      <c r="G451">
        <v>17</v>
      </c>
      <c r="H451">
        <v>107</v>
      </c>
      <c r="I451" s="238" t="s">
        <v>43</v>
      </c>
      <c r="J451">
        <v>58.99</v>
      </c>
      <c r="K451" s="238" t="s">
        <v>37</v>
      </c>
      <c r="L451">
        <v>3471009.94</v>
      </c>
      <c r="M451">
        <v>0</v>
      </c>
      <c r="N451">
        <v>3471009.94</v>
      </c>
      <c r="O451">
        <v>58840.649940667907</v>
      </c>
      <c r="P451">
        <v>265455</v>
      </c>
      <c r="Q451">
        <v>3205554.94</v>
      </c>
      <c r="R451">
        <v>54340.649940667907</v>
      </c>
      <c r="S451" s="238" t="s">
        <v>137</v>
      </c>
      <c r="T451" s="238" t="s">
        <v>1167</v>
      </c>
      <c r="V451" t="s">
        <v>4091</v>
      </c>
      <c r="W451" s="24">
        <v>44333</v>
      </c>
      <c r="X451" s="238" t="s">
        <v>577</v>
      </c>
      <c r="Y451" s="238" t="s">
        <v>39</v>
      </c>
      <c r="Z451" s="238" t="s">
        <v>1340</v>
      </c>
      <c r="AA451" t="s">
        <v>1167</v>
      </c>
      <c r="AB451" s="238" t="s">
        <v>3246</v>
      </c>
      <c r="AC451" t="s">
        <v>3079</v>
      </c>
      <c r="AD451" s="24"/>
      <c r="AE451" s="238" t="s">
        <v>2033</v>
      </c>
      <c r="AF451">
        <v>79277464688</v>
      </c>
      <c r="AG451" s="238" t="s">
        <v>2034</v>
      </c>
      <c r="AH451" s="238" t="s">
        <v>1212</v>
      </c>
      <c r="AI451" s="238" t="s">
        <v>135</v>
      </c>
      <c r="AJ451" s="238" t="s">
        <v>120</v>
      </c>
      <c r="AK451" s="238" t="s">
        <v>141</v>
      </c>
      <c r="AL451" t="s">
        <v>8715</v>
      </c>
      <c r="AM451" t="s">
        <v>1167</v>
      </c>
    </row>
    <row r="452" spans="1:39" hidden="1" x14ac:dyDescent="0.25">
      <c r="A452">
        <v>448</v>
      </c>
      <c r="B452">
        <v>23</v>
      </c>
      <c r="C452" s="24">
        <v>44391</v>
      </c>
      <c r="D452" s="238" t="s">
        <v>20</v>
      </c>
      <c r="E452" s="238" t="s">
        <v>16</v>
      </c>
      <c r="F452">
        <v>2</v>
      </c>
      <c r="G452">
        <v>5</v>
      </c>
      <c r="H452">
        <v>337</v>
      </c>
      <c r="I452" s="238" t="s">
        <v>44</v>
      </c>
      <c r="J452">
        <v>89.8</v>
      </c>
      <c r="K452" s="238" t="s">
        <v>36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38" t="s">
        <v>644</v>
      </c>
      <c r="T452" s="238" t="s">
        <v>1167</v>
      </c>
      <c r="V452" t="s">
        <v>1167</v>
      </c>
      <c r="W452" s="24">
        <v>44391</v>
      </c>
      <c r="X452" s="238" t="s">
        <v>2153</v>
      </c>
      <c r="Y452" s="238" t="s">
        <v>39</v>
      </c>
      <c r="Z452" s="238" t="s">
        <v>1168</v>
      </c>
      <c r="AA452" t="s">
        <v>1167</v>
      </c>
      <c r="AB452" s="238" t="s">
        <v>643</v>
      </c>
      <c r="AC452" t="s">
        <v>4246</v>
      </c>
      <c r="AD452" s="24"/>
      <c r="AE452" s="238" t="s">
        <v>2154</v>
      </c>
      <c r="AG452" s="238" t="s">
        <v>1167</v>
      </c>
      <c r="AH452" s="238" t="s">
        <v>1167</v>
      </c>
      <c r="AI452" s="238" t="s">
        <v>3103</v>
      </c>
      <c r="AJ452" s="238" t="s">
        <v>982</v>
      </c>
      <c r="AK452" s="238" t="s">
        <v>1167</v>
      </c>
      <c r="AL452" t="s">
        <v>8715</v>
      </c>
      <c r="AM452" t="s">
        <v>644</v>
      </c>
    </row>
    <row r="453" spans="1:39" hidden="1" x14ac:dyDescent="0.25">
      <c r="A453">
        <v>449</v>
      </c>
      <c r="B453">
        <v>24</v>
      </c>
      <c r="C453" s="24">
        <v>44342</v>
      </c>
      <c r="D453" s="238" t="s">
        <v>19</v>
      </c>
      <c r="E453" s="238" t="s">
        <v>5</v>
      </c>
      <c r="F453">
        <v>10</v>
      </c>
      <c r="G453">
        <v>7</v>
      </c>
      <c r="H453">
        <v>226</v>
      </c>
      <c r="I453" s="238" t="s">
        <v>4052</v>
      </c>
      <c r="J453">
        <v>25.91</v>
      </c>
      <c r="K453" s="238" t="s">
        <v>36</v>
      </c>
      <c r="L453">
        <v>1399686</v>
      </c>
      <c r="M453">
        <v>15000</v>
      </c>
      <c r="N453">
        <v>1414686</v>
      </c>
      <c r="O453">
        <v>54600</v>
      </c>
      <c r="P453">
        <v>0</v>
      </c>
      <c r="Q453">
        <v>1414686</v>
      </c>
      <c r="R453">
        <v>54600</v>
      </c>
      <c r="S453" s="238" t="s">
        <v>121</v>
      </c>
      <c r="T453" s="238" t="s">
        <v>1167</v>
      </c>
      <c r="V453" t="s">
        <v>1167</v>
      </c>
      <c r="W453" s="24">
        <v>44339</v>
      </c>
      <c r="X453" s="238" t="s">
        <v>579</v>
      </c>
      <c r="Y453" s="238" t="s">
        <v>39</v>
      </c>
      <c r="Z453" s="238" t="s">
        <v>1168</v>
      </c>
      <c r="AA453" t="s">
        <v>1167</v>
      </c>
      <c r="AB453" s="238" t="s">
        <v>3246</v>
      </c>
      <c r="AC453" t="s">
        <v>4246</v>
      </c>
      <c r="AD453" s="24"/>
      <c r="AE453" s="238" t="s">
        <v>2035</v>
      </c>
      <c r="AF453">
        <v>79505083605</v>
      </c>
      <c r="AG453" s="238" t="s">
        <v>2036</v>
      </c>
      <c r="AH453" s="238" t="s">
        <v>1171</v>
      </c>
      <c r="AI453" s="238" t="s">
        <v>3097</v>
      </c>
      <c r="AJ453" s="238" t="s">
        <v>399</v>
      </c>
      <c r="AK453" s="238" t="s">
        <v>1167</v>
      </c>
      <c r="AL453" t="s">
        <v>8715</v>
      </c>
      <c r="AM453" t="s">
        <v>1167</v>
      </c>
    </row>
    <row r="454" spans="1:39" hidden="1" x14ac:dyDescent="0.25">
      <c r="A454">
        <v>450</v>
      </c>
      <c r="B454">
        <v>25</v>
      </c>
      <c r="C454" s="24">
        <v>44343</v>
      </c>
      <c r="D454" s="238" t="s">
        <v>19</v>
      </c>
      <c r="E454" s="238" t="s">
        <v>6</v>
      </c>
      <c r="F454">
        <v>6</v>
      </c>
      <c r="G454">
        <v>16</v>
      </c>
      <c r="H454">
        <v>104</v>
      </c>
      <c r="I454" s="238" t="s">
        <v>43</v>
      </c>
      <c r="J454">
        <v>59.96</v>
      </c>
      <c r="K454" s="238" t="s">
        <v>37</v>
      </c>
      <c r="L454">
        <v>3194239.08</v>
      </c>
      <c r="M454">
        <v>15000</v>
      </c>
      <c r="N454">
        <v>3209239.08</v>
      </c>
      <c r="O454">
        <v>53523</v>
      </c>
      <c r="P454">
        <v>269820</v>
      </c>
      <c r="Q454">
        <v>2939419.08</v>
      </c>
      <c r="R454">
        <v>49023</v>
      </c>
      <c r="S454" s="238" t="s">
        <v>137</v>
      </c>
      <c r="T454" s="238" t="s">
        <v>1167</v>
      </c>
      <c r="V454" t="s">
        <v>4091</v>
      </c>
      <c r="W454" s="24">
        <v>44328</v>
      </c>
      <c r="X454" s="238" t="s">
        <v>580</v>
      </c>
      <c r="Y454" s="238" t="s">
        <v>39</v>
      </c>
      <c r="Z454" s="238" t="s">
        <v>1340</v>
      </c>
      <c r="AA454" t="s">
        <v>1167</v>
      </c>
      <c r="AB454" s="238" t="s">
        <v>3246</v>
      </c>
      <c r="AC454" t="s">
        <v>3079</v>
      </c>
      <c r="AD454" s="24"/>
      <c r="AE454" s="238" t="s">
        <v>2037</v>
      </c>
      <c r="AF454">
        <v>79825580142</v>
      </c>
      <c r="AG454" s="238" t="s">
        <v>2038</v>
      </c>
      <c r="AH454" s="238" t="s">
        <v>135</v>
      </c>
      <c r="AI454" s="238" t="s">
        <v>135</v>
      </c>
      <c r="AJ454" s="238" t="s">
        <v>130</v>
      </c>
      <c r="AK454" s="238" t="s">
        <v>141</v>
      </c>
      <c r="AL454" t="s">
        <v>8715</v>
      </c>
      <c r="AM454" t="s">
        <v>1167</v>
      </c>
    </row>
    <row r="455" spans="1:39" hidden="1" x14ac:dyDescent="0.25">
      <c r="A455">
        <v>451</v>
      </c>
      <c r="B455">
        <v>26</v>
      </c>
      <c r="C455" s="24">
        <v>44344</v>
      </c>
      <c r="D455" s="238" t="s">
        <v>19</v>
      </c>
      <c r="E455" s="238" t="s">
        <v>5</v>
      </c>
      <c r="F455">
        <v>5</v>
      </c>
      <c r="G455">
        <v>8</v>
      </c>
      <c r="H455">
        <v>232</v>
      </c>
      <c r="I455" s="238" t="s">
        <v>43</v>
      </c>
      <c r="J455">
        <v>60.19</v>
      </c>
      <c r="K455" s="238" t="s">
        <v>36</v>
      </c>
      <c r="L455">
        <v>2903722.7</v>
      </c>
      <c r="M455">
        <v>0</v>
      </c>
      <c r="N455">
        <v>2903722.7</v>
      </c>
      <c r="O455">
        <v>48242.610068117632</v>
      </c>
      <c r="P455">
        <v>0</v>
      </c>
      <c r="Q455">
        <v>2903722.7</v>
      </c>
      <c r="R455">
        <v>48242.610068117632</v>
      </c>
      <c r="S455" s="238" t="s">
        <v>137</v>
      </c>
      <c r="T455" s="238" t="s">
        <v>1167</v>
      </c>
      <c r="V455" t="s">
        <v>1167</v>
      </c>
      <c r="W455" s="24">
        <v>44338</v>
      </c>
      <c r="X455" s="238" t="s">
        <v>585</v>
      </c>
      <c r="Y455" s="238" t="s">
        <v>39</v>
      </c>
      <c r="Z455" s="238" t="s">
        <v>1340</v>
      </c>
      <c r="AA455" t="s">
        <v>1167</v>
      </c>
      <c r="AB455" s="238" t="s">
        <v>3246</v>
      </c>
      <c r="AC455" t="s">
        <v>3077</v>
      </c>
      <c r="AD455" s="24"/>
      <c r="AE455" s="238" t="s">
        <v>2039</v>
      </c>
      <c r="AF455">
        <v>79277562348</v>
      </c>
      <c r="AG455" s="238" t="s">
        <v>2040</v>
      </c>
      <c r="AH455" s="238" t="s">
        <v>1171</v>
      </c>
      <c r="AI455" s="238" t="s">
        <v>3084</v>
      </c>
      <c r="AJ455" s="238" t="s">
        <v>120</v>
      </c>
      <c r="AK455" s="238" t="s">
        <v>141</v>
      </c>
      <c r="AL455" t="s">
        <v>8715</v>
      </c>
      <c r="AM455" t="s">
        <v>1167</v>
      </c>
    </row>
    <row r="456" spans="1:39" hidden="1" x14ac:dyDescent="0.25">
      <c r="A456">
        <v>452</v>
      </c>
      <c r="B456">
        <v>27</v>
      </c>
      <c r="C456" s="24">
        <v>44344</v>
      </c>
      <c r="D456" s="238" t="s">
        <v>19</v>
      </c>
      <c r="E456" s="238" t="s">
        <v>6</v>
      </c>
      <c r="F456">
        <v>1</v>
      </c>
      <c r="G456">
        <v>20</v>
      </c>
      <c r="H456">
        <v>127</v>
      </c>
      <c r="I456" s="238" t="s">
        <v>43</v>
      </c>
      <c r="J456">
        <v>59.52</v>
      </c>
      <c r="K456" s="238" t="s">
        <v>38</v>
      </c>
      <c r="L456">
        <v>4175902.37</v>
      </c>
      <c r="M456">
        <v>0</v>
      </c>
      <c r="N456">
        <v>4175902.37</v>
      </c>
      <c r="O456">
        <v>70159.650033602142</v>
      </c>
      <c r="P456">
        <v>892800</v>
      </c>
      <c r="Q456">
        <v>3283102.37</v>
      </c>
      <c r="R456">
        <v>55159.650033602149</v>
      </c>
      <c r="S456" s="238" t="s">
        <v>124</v>
      </c>
      <c r="T456" s="238" t="s">
        <v>1167</v>
      </c>
      <c r="V456" t="s">
        <v>1167</v>
      </c>
      <c r="W456" s="24">
        <v>44341</v>
      </c>
      <c r="X456" s="238" t="s">
        <v>583</v>
      </c>
      <c r="Y456" s="238" t="s">
        <v>39</v>
      </c>
      <c r="Z456" s="238" t="s">
        <v>1168</v>
      </c>
      <c r="AA456" t="s">
        <v>1167</v>
      </c>
      <c r="AB456" s="238" t="s">
        <v>3246</v>
      </c>
      <c r="AC456" t="s">
        <v>4246</v>
      </c>
      <c r="AD456" s="24"/>
      <c r="AE456" s="238" t="s">
        <v>2041</v>
      </c>
      <c r="AF456">
        <v>79198058922</v>
      </c>
      <c r="AG456" s="238" t="s">
        <v>2042</v>
      </c>
      <c r="AH456" s="238" t="s">
        <v>1171</v>
      </c>
      <c r="AI456" s="238" t="s">
        <v>135</v>
      </c>
      <c r="AJ456" s="238" t="s">
        <v>120</v>
      </c>
      <c r="AK456" s="238" t="s">
        <v>1167</v>
      </c>
      <c r="AL456" t="s">
        <v>8715</v>
      </c>
      <c r="AM456" t="s">
        <v>1167</v>
      </c>
    </row>
    <row r="457" spans="1:39" hidden="1" x14ac:dyDescent="0.25">
      <c r="A457">
        <v>453</v>
      </c>
      <c r="B457">
        <v>28</v>
      </c>
      <c r="C457" s="24">
        <v>44344</v>
      </c>
      <c r="D457" s="238" t="s">
        <v>19</v>
      </c>
      <c r="E457" s="238" t="s">
        <v>6</v>
      </c>
      <c r="F457">
        <v>2</v>
      </c>
      <c r="G457">
        <v>14</v>
      </c>
      <c r="H457">
        <v>86</v>
      </c>
      <c r="I457" s="238" t="s">
        <v>43</v>
      </c>
      <c r="J457">
        <v>58.99</v>
      </c>
      <c r="K457" s="238" t="s">
        <v>38</v>
      </c>
      <c r="L457">
        <v>4090404.94</v>
      </c>
      <c r="M457">
        <v>0</v>
      </c>
      <c r="N457">
        <v>4090404.94</v>
      </c>
      <c r="O457">
        <v>69340.649940667907</v>
      </c>
      <c r="P457">
        <v>884850</v>
      </c>
      <c r="Q457">
        <v>3205554.94</v>
      </c>
      <c r="R457">
        <v>54340.649940667907</v>
      </c>
      <c r="S457" s="238" t="s">
        <v>124</v>
      </c>
      <c r="T457" s="238" t="s">
        <v>1167</v>
      </c>
      <c r="V457" t="s">
        <v>1167</v>
      </c>
      <c r="W457" s="24">
        <v>44341</v>
      </c>
      <c r="X457" s="238" t="s">
        <v>582</v>
      </c>
      <c r="Y457" s="238" t="s">
        <v>39</v>
      </c>
      <c r="Z457" s="238" t="s">
        <v>1168</v>
      </c>
      <c r="AA457" t="s">
        <v>1167</v>
      </c>
      <c r="AB457" s="238" t="s">
        <v>3246</v>
      </c>
      <c r="AC457" t="s">
        <v>4246</v>
      </c>
      <c r="AD457" s="24"/>
      <c r="AE457" s="238" t="s">
        <v>2041</v>
      </c>
      <c r="AF457">
        <v>79198058922</v>
      </c>
      <c r="AG457" s="238" t="s">
        <v>2042</v>
      </c>
      <c r="AH457" s="238" t="s">
        <v>1197</v>
      </c>
      <c r="AI457" s="238" t="s">
        <v>3082</v>
      </c>
      <c r="AJ457" s="238" t="s">
        <v>120</v>
      </c>
      <c r="AK457" s="238" t="s">
        <v>1167</v>
      </c>
      <c r="AL457" t="s">
        <v>8715</v>
      </c>
      <c r="AM457" t="s">
        <v>1167</v>
      </c>
    </row>
    <row r="458" spans="1:39" hidden="1" x14ac:dyDescent="0.25">
      <c r="A458">
        <v>454</v>
      </c>
      <c r="B458">
        <v>29</v>
      </c>
      <c r="C458" s="24">
        <v>44344</v>
      </c>
      <c r="D458" s="238" t="s">
        <v>19</v>
      </c>
      <c r="E458" s="238" t="s">
        <v>5</v>
      </c>
      <c r="F458">
        <v>7</v>
      </c>
      <c r="G458">
        <v>4</v>
      </c>
      <c r="H458">
        <v>190</v>
      </c>
      <c r="I458" s="238" t="s">
        <v>4052</v>
      </c>
      <c r="J458">
        <v>24.23</v>
      </c>
      <c r="K458" s="238" t="s">
        <v>37</v>
      </c>
      <c r="L458">
        <v>1641895.86</v>
      </c>
      <c r="M458">
        <v>15000</v>
      </c>
      <c r="N458">
        <v>1656895.86</v>
      </c>
      <c r="O458">
        <v>68382</v>
      </c>
      <c r="P458">
        <v>109035</v>
      </c>
      <c r="Q458">
        <v>1547860.86</v>
      </c>
      <c r="R458">
        <v>63882</v>
      </c>
      <c r="S458" s="238" t="s">
        <v>137</v>
      </c>
      <c r="T458" s="238" t="s">
        <v>1167</v>
      </c>
      <c r="V458" t="s">
        <v>1167</v>
      </c>
      <c r="W458" s="24">
        <v>44342</v>
      </c>
      <c r="X458" s="238" t="s">
        <v>584</v>
      </c>
      <c r="Y458" s="238" t="s">
        <v>39</v>
      </c>
      <c r="Z458" s="238" t="s">
        <v>1340</v>
      </c>
      <c r="AA458" t="s">
        <v>1167</v>
      </c>
      <c r="AB458" s="238" t="s">
        <v>3246</v>
      </c>
      <c r="AC458" t="s">
        <v>3079</v>
      </c>
      <c r="AD458" s="24"/>
      <c r="AE458" s="238" t="s">
        <v>2043</v>
      </c>
      <c r="AF458">
        <v>79276979700</v>
      </c>
      <c r="AG458" s="238" t="s">
        <v>2044</v>
      </c>
      <c r="AH458" s="238" t="s">
        <v>1212</v>
      </c>
      <c r="AI458" s="238" t="s">
        <v>135</v>
      </c>
      <c r="AJ458" s="238" t="s">
        <v>120</v>
      </c>
      <c r="AK458" s="238" t="s">
        <v>141</v>
      </c>
      <c r="AL458" t="s">
        <v>8715</v>
      </c>
      <c r="AM458" t="s">
        <v>1167</v>
      </c>
    </row>
    <row r="459" spans="1:39" hidden="1" x14ac:dyDescent="0.25">
      <c r="A459">
        <v>455</v>
      </c>
      <c r="B459">
        <v>30</v>
      </c>
      <c r="C459" s="24">
        <v>44344</v>
      </c>
      <c r="D459" s="238" t="s">
        <v>19</v>
      </c>
      <c r="E459" s="238" t="s">
        <v>6</v>
      </c>
      <c r="F459">
        <v>4</v>
      </c>
      <c r="G459">
        <v>13</v>
      </c>
      <c r="H459">
        <v>81</v>
      </c>
      <c r="I459" s="238" t="s">
        <v>42</v>
      </c>
      <c r="J459">
        <v>36.86</v>
      </c>
      <c r="K459" s="238" t="s">
        <v>37</v>
      </c>
      <c r="L459">
        <v>2441056.8199999998</v>
      </c>
      <c r="M459">
        <v>0</v>
      </c>
      <c r="N459">
        <v>2441056.8199999998</v>
      </c>
      <c r="O459">
        <v>66225.09007053716</v>
      </c>
      <c r="P459">
        <v>165870</v>
      </c>
      <c r="Q459">
        <v>2275186.8199999998</v>
      </c>
      <c r="R459">
        <v>61725.09007053716</v>
      </c>
      <c r="S459" s="238" t="s">
        <v>137</v>
      </c>
      <c r="T459" s="238" t="s">
        <v>1167</v>
      </c>
      <c r="V459" t="s">
        <v>1167</v>
      </c>
      <c r="W459" s="24">
        <v>44342</v>
      </c>
      <c r="X459" s="238" t="s">
        <v>581</v>
      </c>
      <c r="Y459" s="238" t="s">
        <v>39</v>
      </c>
      <c r="Z459" s="238" t="s">
        <v>1340</v>
      </c>
      <c r="AA459" t="s">
        <v>1167</v>
      </c>
      <c r="AB459" s="238" t="s">
        <v>3246</v>
      </c>
      <c r="AC459" t="s">
        <v>3079</v>
      </c>
      <c r="AD459" s="24"/>
      <c r="AE459" s="238" t="s">
        <v>2045</v>
      </c>
      <c r="AF459">
        <v>79097868729</v>
      </c>
      <c r="AG459" s="238" t="s">
        <v>2046</v>
      </c>
      <c r="AH459" s="238" t="s">
        <v>1212</v>
      </c>
      <c r="AI459" s="238" t="s">
        <v>3084</v>
      </c>
      <c r="AJ459" s="238" t="s">
        <v>130</v>
      </c>
      <c r="AK459" s="238" t="s">
        <v>141</v>
      </c>
      <c r="AL459" t="s">
        <v>8715</v>
      </c>
      <c r="AM459" t="s">
        <v>1167</v>
      </c>
    </row>
    <row r="460" spans="1:39" hidden="1" x14ac:dyDescent="0.25">
      <c r="A460">
        <v>456</v>
      </c>
      <c r="B460">
        <v>31</v>
      </c>
      <c r="C460" s="24">
        <v>44347</v>
      </c>
      <c r="D460" s="238" t="s">
        <v>19</v>
      </c>
      <c r="E460" s="238" t="s">
        <v>6</v>
      </c>
      <c r="F460">
        <v>7</v>
      </c>
      <c r="G460">
        <v>2</v>
      </c>
      <c r="H460">
        <v>7</v>
      </c>
      <c r="I460" s="238" t="s">
        <v>43</v>
      </c>
      <c r="J460">
        <v>58.17</v>
      </c>
      <c r="K460" s="238" t="s">
        <v>37</v>
      </c>
      <c r="L460">
        <v>3256016.31</v>
      </c>
      <c r="M460">
        <v>0</v>
      </c>
      <c r="N460">
        <v>3256016.31</v>
      </c>
      <c r="O460">
        <v>55974.15007735946</v>
      </c>
      <c r="P460">
        <v>261765</v>
      </c>
      <c r="Q460">
        <v>2994251.31</v>
      </c>
      <c r="R460">
        <v>51474.15007735946</v>
      </c>
      <c r="S460" s="238" t="s">
        <v>137</v>
      </c>
      <c r="T460" s="238" t="s">
        <v>1167</v>
      </c>
      <c r="V460" t="s">
        <v>4091</v>
      </c>
      <c r="W460" s="24">
        <v>44341</v>
      </c>
      <c r="X460" s="238" t="s">
        <v>586</v>
      </c>
      <c r="Y460" s="238" t="s">
        <v>39</v>
      </c>
      <c r="Z460" s="238" t="s">
        <v>1340</v>
      </c>
      <c r="AA460" t="s">
        <v>1167</v>
      </c>
      <c r="AB460" s="238" t="s">
        <v>3246</v>
      </c>
      <c r="AC460" t="s">
        <v>3079</v>
      </c>
      <c r="AD460" s="24"/>
      <c r="AE460" s="238" t="s">
        <v>2047</v>
      </c>
      <c r="AF460">
        <v>79021836993</v>
      </c>
      <c r="AG460" s="238" t="s">
        <v>2048</v>
      </c>
      <c r="AH460" s="238" t="s">
        <v>1171</v>
      </c>
      <c r="AI460" s="238" t="s">
        <v>3078</v>
      </c>
      <c r="AJ460" s="238" t="s">
        <v>126</v>
      </c>
      <c r="AK460" s="238" t="s">
        <v>141</v>
      </c>
      <c r="AL460" t="s">
        <v>8715</v>
      </c>
      <c r="AM460" t="s">
        <v>1167</v>
      </c>
    </row>
    <row r="461" spans="1:39" hidden="1" x14ac:dyDescent="0.25">
      <c r="A461">
        <v>457</v>
      </c>
      <c r="B461">
        <v>32</v>
      </c>
      <c r="C461" s="24">
        <v>44347</v>
      </c>
      <c r="D461" s="238" t="s">
        <v>19</v>
      </c>
      <c r="E461" s="238" t="s">
        <v>6</v>
      </c>
      <c r="F461">
        <v>2</v>
      </c>
      <c r="G461">
        <v>5</v>
      </c>
      <c r="H461">
        <v>23</v>
      </c>
      <c r="I461" s="238" t="s">
        <v>43</v>
      </c>
      <c r="J461">
        <v>58.99</v>
      </c>
      <c r="K461" s="238" t="s">
        <v>37</v>
      </c>
      <c r="L461">
        <v>3471009.94</v>
      </c>
      <c r="M461">
        <v>0</v>
      </c>
      <c r="N461">
        <v>3471009.94</v>
      </c>
      <c r="O461">
        <v>58840.649940667907</v>
      </c>
      <c r="P461">
        <v>265455</v>
      </c>
      <c r="Q461">
        <v>3205554.94</v>
      </c>
      <c r="R461">
        <v>54340.649940667907</v>
      </c>
      <c r="S461" s="238" t="s">
        <v>137</v>
      </c>
      <c r="T461" s="238" t="s">
        <v>1167</v>
      </c>
      <c r="V461" t="s">
        <v>4091</v>
      </c>
      <c r="W461" s="24">
        <v>44342</v>
      </c>
      <c r="X461" s="238" t="s">
        <v>588</v>
      </c>
      <c r="Y461" s="238" t="s">
        <v>39</v>
      </c>
      <c r="Z461" s="238" t="s">
        <v>1168</v>
      </c>
      <c r="AA461" t="s">
        <v>1167</v>
      </c>
      <c r="AB461" s="238" t="s">
        <v>3246</v>
      </c>
      <c r="AC461" t="s">
        <v>3079</v>
      </c>
      <c r="AD461" s="24"/>
      <c r="AE461" s="238" t="s">
        <v>2049</v>
      </c>
      <c r="AF461">
        <v>79277613993</v>
      </c>
      <c r="AG461" s="238" t="s">
        <v>2050</v>
      </c>
      <c r="AH461" s="238" t="s">
        <v>135</v>
      </c>
      <c r="AI461" s="238" t="s">
        <v>3099</v>
      </c>
      <c r="AJ461" s="238" t="s">
        <v>399</v>
      </c>
      <c r="AK461" s="238" t="s">
        <v>141</v>
      </c>
      <c r="AL461" t="s">
        <v>8715</v>
      </c>
      <c r="AM461" t="s">
        <v>1167</v>
      </c>
    </row>
    <row r="462" spans="1:39" hidden="1" x14ac:dyDescent="0.25">
      <c r="A462">
        <v>458</v>
      </c>
      <c r="B462">
        <v>33</v>
      </c>
      <c r="C462" s="24">
        <v>44347</v>
      </c>
      <c r="D462" s="238" t="s">
        <v>19</v>
      </c>
      <c r="E462" s="238" t="s">
        <v>6</v>
      </c>
      <c r="F462">
        <v>2</v>
      </c>
      <c r="G462">
        <v>8</v>
      </c>
      <c r="H462">
        <v>44</v>
      </c>
      <c r="I462" s="238" t="s">
        <v>43</v>
      </c>
      <c r="J462">
        <v>58.99</v>
      </c>
      <c r="K462" s="238" t="s">
        <v>38</v>
      </c>
      <c r="L462">
        <v>4026293.84</v>
      </c>
      <c r="M462">
        <v>0</v>
      </c>
      <c r="N462">
        <v>4026293.84</v>
      </c>
      <c r="O462">
        <v>68253.83692151212</v>
      </c>
      <c r="P462">
        <v>884850</v>
      </c>
      <c r="Q462">
        <v>3141443.84</v>
      </c>
      <c r="R462">
        <v>53253.836921512113</v>
      </c>
      <c r="S462" s="238" t="s">
        <v>137</v>
      </c>
      <c r="T462" s="238" t="s">
        <v>3540</v>
      </c>
      <c r="U462">
        <v>64111.100000000093</v>
      </c>
      <c r="V462" t="s">
        <v>4091</v>
      </c>
      <c r="W462" s="24">
        <v>44343</v>
      </c>
      <c r="X462" s="238" t="s">
        <v>589</v>
      </c>
      <c r="Y462" s="238" t="s">
        <v>39</v>
      </c>
      <c r="Z462" s="238" t="s">
        <v>1340</v>
      </c>
      <c r="AA462" t="s">
        <v>1167</v>
      </c>
      <c r="AB462" s="238" t="s">
        <v>3246</v>
      </c>
      <c r="AC462" t="s">
        <v>3079</v>
      </c>
      <c r="AD462" s="24"/>
      <c r="AE462" s="238" t="s">
        <v>2051</v>
      </c>
      <c r="AF462">
        <v>79608341877</v>
      </c>
      <c r="AG462" s="238" t="s">
        <v>2052</v>
      </c>
      <c r="AH462" s="238" t="s">
        <v>1171</v>
      </c>
      <c r="AI462" s="238" t="s">
        <v>135</v>
      </c>
      <c r="AJ462" s="238" t="s">
        <v>120</v>
      </c>
      <c r="AK462" s="238" t="s">
        <v>141</v>
      </c>
      <c r="AL462" t="s">
        <v>8715</v>
      </c>
      <c r="AM462" t="s">
        <v>1167</v>
      </c>
    </row>
    <row r="463" spans="1:39" hidden="1" x14ac:dyDescent="0.25">
      <c r="A463">
        <v>459</v>
      </c>
      <c r="B463">
        <v>34</v>
      </c>
      <c r="C463" s="24">
        <v>44347</v>
      </c>
      <c r="D463" s="238" t="s">
        <v>19</v>
      </c>
      <c r="E463" s="238" t="s">
        <v>5</v>
      </c>
      <c r="F463">
        <v>11</v>
      </c>
      <c r="G463">
        <v>8</v>
      </c>
      <c r="H463">
        <v>238</v>
      </c>
      <c r="I463" s="238" t="s">
        <v>4052</v>
      </c>
      <c r="J463">
        <v>25.85</v>
      </c>
      <c r="K463" s="238" t="s">
        <v>36</v>
      </c>
      <c r="L463">
        <v>1438752.3</v>
      </c>
      <c r="M463">
        <v>15000</v>
      </c>
      <c r="N463">
        <v>1453752.3</v>
      </c>
      <c r="O463">
        <v>56238</v>
      </c>
      <c r="P463">
        <v>0</v>
      </c>
      <c r="Q463">
        <v>1453752.3</v>
      </c>
      <c r="R463">
        <v>56238</v>
      </c>
      <c r="S463" s="238" t="s">
        <v>137</v>
      </c>
      <c r="T463" s="238" t="s">
        <v>1167</v>
      </c>
      <c r="V463" t="s">
        <v>1167</v>
      </c>
      <c r="W463" s="24">
        <v>44343</v>
      </c>
      <c r="X463" s="238" t="s">
        <v>590</v>
      </c>
      <c r="Y463" s="238" t="s">
        <v>39</v>
      </c>
      <c r="Z463" s="238" t="s">
        <v>1340</v>
      </c>
      <c r="AA463" t="s">
        <v>1167</v>
      </c>
      <c r="AB463" s="238" t="s">
        <v>3246</v>
      </c>
      <c r="AC463" t="s">
        <v>3077</v>
      </c>
      <c r="AD463" s="24"/>
      <c r="AE463" s="238" t="s">
        <v>2053</v>
      </c>
      <c r="AF463">
        <v>79397122729</v>
      </c>
      <c r="AG463" s="238" t="s">
        <v>2054</v>
      </c>
      <c r="AH463" s="238" t="s">
        <v>1212</v>
      </c>
      <c r="AI463" s="238" t="s">
        <v>3097</v>
      </c>
      <c r="AJ463" s="238" t="s">
        <v>399</v>
      </c>
      <c r="AK463" s="238" t="s">
        <v>141</v>
      </c>
      <c r="AL463" t="s">
        <v>8715</v>
      </c>
      <c r="AM463" t="s">
        <v>1167</v>
      </c>
    </row>
    <row r="464" spans="1:39" hidden="1" x14ac:dyDescent="0.25">
      <c r="A464">
        <v>460</v>
      </c>
      <c r="B464">
        <v>35</v>
      </c>
      <c r="C464" s="24">
        <v>44347</v>
      </c>
      <c r="D464" s="238" t="s">
        <v>19</v>
      </c>
      <c r="E464" s="238" t="s">
        <v>5</v>
      </c>
      <c r="F464">
        <v>7</v>
      </c>
      <c r="G464">
        <v>9</v>
      </c>
      <c r="H464">
        <v>245</v>
      </c>
      <c r="I464" s="238" t="s">
        <v>4052</v>
      </c>
      <c r="J464">
        <v>24.23</v>
      </c>
      <c r="K464" s="238" t="s">
        <v>37</v>
      </c>
      <c r="L464">
        <v>1669596.26</v>
      </c>
      <c r="M464">
        <v>0</v>
      </c>
      <c r="N464">
        <v>1669596.26</v>
      </c>
      <c r="O464">
        <v>68906.160132067685</v>
      </c>
      <c r="P464">
        <v>109035</v>
      </c>
      <c r="Q464">
        <v>1560561.26</v>
      </c>
      <c r="R464">
        <v>64406.160132067685</v>
      </c>
      <c r="S464" s="238" t="s">
        <v>137</v>
      </c>
      <c r="T464" s="238" t="s">
        <v>1167</v>
      </c>
      <c r="V464" t="s">
        <v>1167</v>
      </c>
      <c r="W464" s="24">
        <v>44344</v>
      </c>
      <c r="X464" s="238" t="s">
        <v>591</v>
      </c>
      <c r="Y464" s="238" t="s">
        <v>39</v>
      </c>
      <c r="Z464" s="238" t="s">
        <v>1340</v>
      </c>
      <c r="AA464" t="s">
        <v>1167</v>
      </c>
      <c r="AB464" s="238" t="s">
        <v>3246</v>
      </c>
      <c r="AC464" t="s">
        <v>3079</v>
      </c>
      <c r="AD464" s="24"/>
      <c r="AE464" s="238" t="s">
        <v>2055</v>
      </c>
      <c r="AF464">
        <v>79371780906</v>
      </c>
      <c r="AG464" s="238" t="s">
        <v>2056</v>
      </c>
      <c r="AH464" s="238" t="s">
        <v>135</v>
      </c>
      <c r="AI464" s="238" t="s">
        <v>3099</v>
      </c>
      <c r="AJ464" s="238" t="s">
        <v>126</v>
      </c>
      <c r="AK464" s="238" t="s">
        <v>141</v>
      </c>
      <c r="AL464" t="s">
        <v>8715</v>
      </c>
      <c r="AM464" t="s">
        <v>1167</v>
      </c>
    </row>
    <row r="465" spans="1:39" hidden="1" x14ac:dyDescent="0.25">
      <c r="A465">
        <v>461</v>
      </c>
      <c r="B465">
        <v>36</v>
      </c>
      <c r="C465" s="24">
        <v>44347</v>
      </c>
      <c r="D465" s="238" t="s">
        <v>19</v>
      </c>
      <c r="E465" s="238" t="s">
        <v>6</v>
      </c>
      <c r="F465">
        <v>11</v>
      </c>
      <c r="G465">
        <v>3</v>
      </c>
      <c r="H465">
        <v>8</v>
      </c>
      <c r="I465" s="238" t="s">
        <v>43</v>
      </c>
      <c r="J465">
        <v>59.52</v>
      </c>
      <c r="K465" s="238" t="s">
        <v>37</v>
      </c>
      <c r="L465">
        <v>3160635.85</v>
      </c>
      <c r="M465">
        <v>0</v>
      </c>
      <c r="N465">
        <v>3160635.85</v>
      </c>
      <c r="O465">
        <v>53102.080813172041</v>
      </c>
      <c r="P465">
        <v>267840</v>
      </c>
      <c r="Q465">
        <v>2892795.85</v>
      </c>
      <c r="R465">
        <v>48602.080813172041</v>
      </c>
      <c r="S465" s="238" t="s">
        <v>137</v>
      </c>
      <c r="T465" s="238" t="s">
        <v>3540</v>
      </c>
      <c r="U465">
        <v>59036.649984000003</v>
      </c>
      <c r="V465" t="s">
        <v>4091</v>
      </c>
      <c r="W465" s="24">
        <v>44344</v>
      </c>
      <c r="X465" s="238" t="s">
        <v>587</v>
      </c>
      <c r="Y465" s="238" t="s">
        <v>39</v>
      </c>
      <c r="Z465" s="238" t="s">
        <v>1168</v>
      </c>
      <c r="AA465" t="s">
        <v>1167</v>
      </c>
      <c r="AB465" s="238" t="s">
        <v>3246</v>
      </c>
      <c r="AC465" t="s">
        <v>3079</v>
      </c>
      <c r="AD465" s="24"/>
      <c r="AE465" s="238" t="s">
        <v>2057</v>
      </c>
      <c r="AF465">
        <v>79021593815</v>
      </c>
      <c r="AG465" s="238" t="s">
        <v>2058</v>
      </c>
      <c r="AH465" s="238" t="s">
        <v>135</v>
      </c>
      <c r="AI465" s="238" t="s">
        <v>3099</v>
      </c>
      <c r="AJ465" s="238" t="s">
        <v>399</v>
      </c>
      <c r="AK465" s="238" t="s">
        <v>141</v>
      </c>
      <c r="AL465" t="s">
        <v>8715</v>
      </c>
      <c r="AM465" t="s">
        <v>1167</v>
      </c>
    </row>
    <row r="466" spans="1:39" hidden="1" x14ac:dyDescent="0.25">
      <c r="A466">
        <v>462</v>
      </c>
      <c r="B466">
        <v>1</v>
      </c>
      <c r="C466" s="24">
        <v>44350</v>
      </c>
      <c r="D466" s="238" t="s">
        <v>20</v>
      </c>
      <c r="E466" s="238" t="s">
        <v>5</v>
      </c>
      <c r="F466">
        <v>5</v>
      </c>
      <c r="G466">
        <v>3</v>
      </c>
      <c r="H466">
        <v>162</v>
      </c>
      <c r="I466" s="238" t="s">
        <v>44</v>
      </c>
      <c r="J466">
        <v>78.099999999999994</v>
      </c>
      <c r="K466" s="238" t="s">
        <v>36</v>
      </c>
      <c r="L466">
        <v>4444805.95</v>
      </c>
      <c r="M466">
        <v>0</v>
      </c>
      <c r="N466">
        <v>4444805.95</v>
      </c>
      <c r="O466">
        <v>56911.727912932147</v>
      </c>
      <c r="P466">
        <v>40275</v>
      </c>
      <c r="Q466">
        <v>4404530.95</v>
      </c>
      <c r="R466">
        <v>56396.042893726</v>
      </c>
      <c r="S466" s="238" t="s">
        <v>137</v>
      </c>
      <c r="T466" s="238" t="s">
        <v>321</v>
      </c>
      <c r="U466">
        <v>20000</v>
      </c>
      <c r="V466" t="s">
        <v>4091</v>
      </c>
      <c r="W466" s="24">
        <v>44315</v>
      </c>
      <c r="X466" s="238" t="s">
        <v>593</v>
      </c>
      <c r="Y466" s="238" t="s">
        <v>39</v>
      </c>
      <c r="Z466" s="238" t="s">
        <v>1340</v>
      </c>
      <c r="AA466" t="s">
        <v>1167</v>
      </c>
      <c r="AB466" s="238" t="s">
        <v>3124</v>
      </c>
      <c r="AC466" t="s">
        <v>3079</v>
      </c>
      <c r="AD466" s="24"/>
      <c r="AE466" s="238" t="s">
        <v>2059</v>
      </c>
      <c r="AF466">
        <v>79879080192</v>
      </c>
      <c r="AG466" s="238" t="s">
        <v>2060</v>
      </c>
      <c r="AH466" s="238" t="s">
        <v>1212</v>
      </c>
      <c r="AI466" s="238" t="s">
        <v>135</v>
      </c>
      <c r="AJ466" s="238" t="s">
        <v>399</v>
      </c>
      <c r="AK466" s="238" t="s">
        <v>141</v>
      </c>
      <c r="AL466" t="s">
        <v>8715</v>
      </c>
      <c r="AM466" t="s">
        <v>1167</v>
      </c>
    </row>
    <row r="467" spans="1:39" hidden="1" x14ac:dyDescent="0.25">
      <c r="A467">
        <v>463</v>
      </c>
      <c r="B467">
        <v>2</v>
      </c>
      <c r="C467" s="24">
        <v>44350</v>
      </c>
      <c r="D467" s="238" t="s">
        <v>19</v>
      </c>
      <c r="E467" s="238" t="s">
        <v>6</v>
      </c>
      <c r="F467">
        <v>6</v>
      </c>
      <c r="G467">
        <v>4</v>
      </c>
      <c r="H467">
        <v>20</v>
      </c>
      <c r="I467" s="238" t="s">
        <v>43</v>
      </c>
      <c r="J467">
        <v>59.96</v>
      </c>
      <c r="K467" s="238" t="s">
        <v>36</v>
      </c>
      <c r="L467">
        <v>3127863.36</v>
      </c>
      <c r="M467">
        <v>15000</v>
      </c>
      <c r="N467">
        <v>3142863.36</v>
      </c>
      <c r="O467">
        <v>52416</v>
      </c>
      <c r="P467">
        <v>0</v>
      </c>
      <c r="Q467">
        <v>3142863.36</v>
      </c>
      <c r="R467">
        <v>52416</v>
      </c>
      <c r="S467" s="238" t="s">
        <v>137</v>
      </c>
      <c r="T467" s="238" t="s">
        <v>1167</v>
      </c>
      <c r="V467" t="s">
        <v>4091</v>
      </c>
      <c r="W467" s="24">
        <v>44343</v>
      </c>
      <c r="X467" s="238" t="s">
        <v>592</v>
      </c>
      <c r="Y467" s="238" t="s">
        <v>39</v>
      </c>
      <c r="Z467" s="238" t="s">
        <v>1340</v>
      </c>
      <c r="AA467" t="s">
        <v>1167</v>
      </c>
      <c r="AB467" s="238" t="s">
        <v>3246</v>
      </c>
      <c r="AC467" t="s">
        <v>3079</v>
      </c>
      <c r="AD467" s="24"/>
      <c r="AE467" s="238" t="s">
        <v>2061</v>
      </c>
      <c r="AF467">
        <v>79277213909</v>
      </c>
      <c r="AG467" s="238" t="s">
        <v>2062</v>
      </c>
      <c r="AH467" s="238" t="s">
        <v>1212</v>
      </c>
      <c r="AI467" s="238" t="s">
        <v>135</v>
      </c>
      <c r="AJ467" s="238" t="s">
        <v>399</v>
      </c>
      <c r="AK467" s="238" t="s">
        <v>141</v>
      </c>
      <c r="AL467" t="s">
        <v>8715</v>
      </c>
      <c r="AM467" t="s">
        <v>1167</v>
      </c>
    </row>
    <row r="468" spans="1:39" hidden="1" x14ac:dyDescent="0.25">
      <c r="A468">
        <v>464</v>
      </c>
      <c r="B468">
        <v>3</v>
      </c>
      <c r="C468" s="24">
        <v>44355</v>
      </c>
      <c r="D468" s="238" t="s">
        <v>20</v>
      </c>
      <c r="E468" s="238" t="s">
        <v>16</v>
      </c>
      <c r="F468">
        <v>2</v>
      </c>
      <c r="G468">
        <v>6</v>
      </c>
      <c r="H468">
        <v>345</v>
      </c>
      <c r="I468" s="238" t="s">
        <v>44</v>
      </c>
      <c r="J468">
        <v>93.8</v>
      </c>
      <c r="K468" s="238" t="s">
        <v>36</v>
      </c>
      <c r="L468">
        <v>3500000.67</v>
      </c>
      <c r="M468">
        <v>0</v>
      </c>
      <c r="N468">
        <v>3500000.67</v>
      </c>
      <c r="O468">
        <v>37313.439978678041</v>
      </c>
      <c r="P468">
        <v>46900</v>
      </c>
      <c r="Q468">
        <v>3453100.67</v>
      </c>
      <c r="R468">
        <v>36813.439978678041</v>
      </c>
      <c r="S468" s="238" t="s">
        <v>124</v>
      </c>
      <c r="T468" s="238" t="s">
        <v>321</v>
      </c>
      <c r="U468">
        <v>248054.77</v>
      </c>
      <c r="V468" t="s">
        <v>1167</v>
      </c>
      <c r="W468" s="24">
        <v>44344</v>
      </c>
      <c r="X468" s="238" t="s">
        <v>594</v>
      </c>
      <c r="Y468" s="238" t="s">
        <v>39</v>
      </c>
      <c r="Z468" s="238" t="s">
        <v>1168</v>
      </c>
      <c r="AA468" t="s">
        <v>1167</v>
      </c>
      <c r="AB468" s="238" t="s">
        <v>3124</v>
      </c>
      <c r="AC468" t="s">
        <v>4246</v>
      </c>
      <c r="AD468" s="24"/>
      <c r="AE468" s="238" t="s">
        <v>2063</v>
      </c>
      <c r="AF468">
        <v>79171513120</v>
      </c>
      <c r="AG468" s="238" t="s">
        <v>2064</v>
      </c>
      <c r="AH468" s="238" t="s">
        <v>1212</v>
      </c>
      <c r="AI468" s="238" t="s">
        <v>3094</v>
      </c>
      <c r="AJ468" s="238" t="s">
        <v>130</v>
      </c>
      <c r="AK468" s="238" t="s">
        <v>1167</v>
      </c>
      <c r="AL468" t="s">
        <v>8715</v>
      </c>
      <c r="AM468" t="s">
        <v>1167</v>
      </c>
    </row>
    <row r="469" spans="1:39" hidden="1" x14ac:dyDescent="0.25">
      <c r="A469">
        <v>465</v>
      </c>
      <c r="B469">
        <v>4</v>
      </c>
      <c r="C469" s="24">
        <v>44357</v>
      </c>
      <c r="D469" s="238" t="s">
        <v>19</v>
      </c>
      <c r="E469" s="238" t="s">
        <v>6</v>
      </c>
      <c r="F469">
        <v>2</v>
      </c>
      <c r="G469">
        <v>19</v>
      </c>
      <c r="H469">
        <v>121</v>
      </c>
      <c r="I469" s="238" t="s">
        <v>43</v>
      </c>
      <c r="J469">
        <v>58.99</v>
      </c>
      <c r="K469" s="238" t="s">
        <v>37</v>
      </c>
      <c r="L469">
        <v>3286915.11</v>
      </c>
      <c r="M469">
        <v>15000</v>
      </c>
      <c r="N469">
        <v>3301915.11</v>
      </c>
      <c r="O469">
        <v>55974.150025428033</v>
      </c>
      <c r="P469">
        <v>265455</v>
      </c>
      <c r="Q469">
        <v>3036460.11</v>
      </c>
      <c r="R469">
        <v>51474.150025428033</v>
      </c>
      <c r="S469" s="238" t="s">
        <v>137</v>
      </c>
      <c r="T469" s="238" t="s">
        <v>1167</v>
      </c>
      <c r="V469" t="s">
        <v>4091</v>
      </c>
      <c r="W469" s="24">
        <v>44330</v>
      </c>
      <c r="X469" s="238" t="s">
        <v>596</v>
      </c>
      <c r="Y469" s="238" t="s">
        <v>39</v>
      </c>
      <c r="Z469" s="238" t="s">
        <v>1340</v>
      </c>
      <c r="AA469" t="s">
        <v>1167</v>
      </c>
      <c r="AB469" s="238" t="s">
        <v>3246</v>
      </c>
      <c r="AC469" t="s">
        <v>3079</v>
      </c>
      <c r="AD469" s="24"/>
      <c r="AE469" s="238" t="s">
        <v>2065</v>
      </c>
      <c r="AF469">
        <v>79328477787</v>
      </c>
      <c r="AG469" s="238" t="s">
        <v>2066</v>
      </c>
      <c r="AH469" s="238" t="s">
        <v>1212</v>
      </c>
      <c r="AI469" s="238" t="s">
        <v>3097</v>
      </c>
      <c r="AJ469" s="238" t="s">
        <v>130</v>
      </c>
      <c r="AK469" s="238" t="s">
        <v>141</v>
      </c>
      <c r="AL469" t="s">
        <v>8715</v>
      </c>
      <c r="AM469" t="s">
        <v>1167</v>
      </c>
    </row>
    <row r="470" spans="1:39" hidden="1" x14ac:dyDescent="0.25">
      <c r="A470">
        <v>466</v>
      </c>
      <c r="B470">
        <v>5</v>
      </c>
      <c r="C470" s="24">
        <v>44357</v>
      </c>
      <c r="D470" s="238" t="s">
        <v>19</v>
      </c>
      <c r="E470" s="238" t="s">
        <v>6</v>
      </c>
      <c r="F470">
        <v>4</v>
      </c>
      <c r="G470">
        <v>15</v>
      </c>
      <c r="H470">
        <v>95</v>
      </c>
      <c r="I470" s="238" t="s">
        <v>42</v>
      </c>
      <c r="J470">
        <v>36.86</v>
      </c>
      <c r="K470" s="238" t="s">
        <v>37</v>
      </c>
      <c r="L470">
        <v>2441056.8199999998</v>
      </c>
      <c r="M470">
        <v>0</v>
      </c>
      <c r="N470">
        <v>2441056.8199999998</v>
      </c>
      <c r="O470">
        <v>66225.09007053716</v>
      </c>
      <c r="P470">
        <v>165870</v>
      </c>
      <c r="Q470">
        <v>2275186.8199999998</v>
      </c>
      <c r="R470">
        <v>61725.09007053716</v>
      </c>
      <c r="S470" s="238" t="s">
        <v>137</v>
      </c>
      <c r="T470" s="238" t="s">
        <v>1167</v>
      </c>
      <c r="V470" t="s">
        <v>1167</v>
      </c>
      <c r="W470" s="24">
        <v>44352</v>
      </c>
      <c r="X470" s="238" t="s">
        <v>595</v>
      </c>
      <c r="Y470" s="238" t="s">
        <v>39</v>
      </c>
      <c r="Z470" s="238" t="s">
        <v>1340</v>
      </c>
      <c r="AA470" t="s">
        <v>1167</v>
      </c>
      <c r="AB470" s="238" t="s">
        <v>3246</v>
      </c>
      <c r="AC470" t="s">
        <v>3079</v>
      </c>
      <c r="AD470" s="24"/>
      <c r="AE470" s="238" t="s">
        <v>2067</v>
      </c>
      <c r="AF470">
        <v>79276040772</v>
      </c>
      <c r="AG470" s="238" t="s">
        <v>2068</v>
      </c>
      <c r="AH470" s="238" t="s">
        <v>1212</v>
      </c>
      <c r="AI470" s="238" t="s">
        <v>3109</v>
      </c>
      <c r="AJ470" s="238" t="s">
        <v>120</v>
      </c>
      <c r="AK470" s="238" t="s">
        <v>141</v>
      </c>
      <c r="AL470" t="s">
        <v>8715</v>
      </c>
      <c r="AM470" t="s">
        <v>1167</v>
      </c>
    </row>
    <row r="471" spans="1:39" hidden="1" x14ac:dyDescent="0.25">
      <c r="A471">
        <v>467</v>
      </c>
      <c r="B471">
        <v>6</v>
      </c>
      <c r="C471" s="24">
        <v>44358</v>
      </c>
      <c r="D471" s="238" t="s">
        <v>19</v>
      </c>
      <c r="E471" s="238" t="s">
        <v>6</v>
      </c>
      <c r="F471">
        <v>6</v>
      </c>
      <c r="G471">
        <v>2</v>
      </c>
      <c r="H471">
        <v>6</v>
      </c>
      <c r="I471" s="238" t="s">
        <v>43</v>
      </c>
      <c r="J471">
        <v>59.44</v>
      </c>
      <c r="K471" s="238" t="s">
        <v>36</v>
      </c>
      <c r="L471">
        <v>3108304.84</v>
      </c>
      <c r="M471">
        <v>0</v>
      </c>
      <c r="N471">
        <v>3108304.84</v>
      </c>
      <c r="O471">
        <v>52293.150067294751</v>
      </c>
      <c r="P471">
        <v>0</v>
      </c>
      <c r="Q471">
        <v>3108304.84</v>
      </c>
      <c r="R471">
        <v>52293.150067294751</v>
      </c>
      <c r="S471" s="238" t="s">
        <v>121</v>
      </c>
      <c r="T471" s="238" t="s">
        <v>1167</v>
      </c>
      <c r="V471" t="s">
        <v>1167</v>
      </c>
      <c r="W471" s="24">
        <v>44350</v>
      </c>
      <c r="X471" s="238" t="s">
        <v>597</v>
      </c>
      <c r="Y471" s="238" t="s">
        <v>39</v>
      </c>
      <c r="Z471" s="238" t="s">
        <v>1168</v>
      </c>
      <c r="AA471" t="s">
        <v>1167</v>
      </c>
      <c r="AB471" s="238" t="s">
        <v>3246</v>
      </c>
      <c r="AC471" t="s">
        <v>4246</v>
      </c>
      <c r="AD471" s="24"/>
      <c r="AE471" s="238" t="s">
        <v>2069</v>
      </c>
      <c r="AF471">
        <v>79272691472</v>
      </c>
      <c r="AG471" s="238" t="s">
        <v>2070</v>
      </c>
      <c r="AH471" s="238" t="s">
        <v>1212</v>
      </c>
      <c r="AI471" s="238" t="s">
        <v>135</v>
      </c>
      <c r="AJ471" s="238" t="s">
        <v>399</v>
      </c>
      <c r="AK471" s="238" t="s">
        <v>1167</v>
      </c>
      <c r="AL471" t="s">
        <v>8715</v>
      </c>
      <c r="AM471" t="s">
        <v>1167</v>
      </c>
    </row>
    <row r="472" spans="1:39" hidden="1" x14ac:dyDescent="0.25">
      <c r="A472">
        <v>468</v>
      </c>
      <c r="B472">
        <v>7</v>
      </c>
      <c r="C472" s="24">
        <v>44363</v>
      </c>
      <c r="D472" s="238" t="s">
        <v>19</v>
      </c>
      <c r="E472" s="238" t="s">
        <v>6</v>
      </c>
      <c r="F472">
        <v>3</v>
      </c>
      <c r="G472">
        <v>6</v>
      </c>
      <c r="H472">
        <v>31</v>
      </c>
      <c r="I472" s="238" t="s">
        <v>44</v>
      </c>
      <c r="J472">
        <v>76.56</v>
      </c>
      <c r="K472" s="238" t="s">
        <v>37</v>
      </c>
      <c r="L472">
        <v>3858102.71</v>
      </c>
      <c r="M472">
        <v>15000</v>
      </c>
      <c r="N472">
        <v>3873102.71</v>
      </c>
      <c r="O472">
        <v>50589.115856844306</v>
      </c>
      <c r="P472">
        <v>344520</v>
      </c>
      <c r="Q472">
        <v>3528582.71</v>
      </c>
      <c r="R472">
        <v>46089.115856844306</v>
      </c>
      <c r="S472" s="238" t="s">
        <v>137</v>
      </c>
      <c r="T472" s="238" t="s">
        <v>3539</v>
      </c>
      <c r="U472">
        <v>72011.887600000016</v>
      </c>
      <c r="V472" t="s">
        <v>4091</v>
      </c>
      <c r="W472" s="24">
        <v>44334</v>
      </c>
      <c r="X472" s="238" t="s">
        <v>598</v>
      </c>
      <c r="Y472" s="238" t="s">
        <v>39</v>
      </c>
      <c r="Z472" s="238" t="s">
        <v>1340</v>
      </c>
      <c r="AA472" t="s">
        <v>1167</v>
      </c>
      <c r="AB472" s="238" t="s">
        <v>3246</v>
      </c>
      <c r="AC472" t="s">
        <v>3079</v>
      </c>
      <c r="AD472" s="24"/>
      <c r="AE472" s="238" t="s">
        <v>2071</v>
      </c>
      <c r="AF472">
        <v>79277016052</v>
      </c>
      <c r="AG472" s="238" t="s">
        <v>2072</v>
      </c>
      <c r="AH472" s="238" t="s">
        <v>1171</v>
      </c>
      <c r="AI472" s="238" t="s">
        <v>3084</v>
      </c>
      <c r="AJ472" s="238" t="s">
        <v>120</v>
      </c>
      <c r="AK472" s="238" t="s">
        <v>141</v>
      </c>
      <c r="AL472" t="s">
        <v>8715</v>
      </c>
      <c r="AM472" t="s">
        <v>1167</v>
      </c>
    </row>
    <row r="473" spans="1:39" hidden="1" x14ac:dyDescent="0.25">
      <c r="A473">
        <v>469</v>
      </c>
      <c r="B473">
        <v>8</v>
      </c>
      <c r="C473" s="24">
        <v>44363</v>
      </c>
      <c r="D473" s="238" t="s">
        <v>19</v>
      </c>
      <c r="E473" s="238" t="s">
        <v>5</v>
      </c>
      <c r="F473">
        <v>3</v>
      </c>
      <c r="G473">
        <v>12</v>
      </c>
      <c r="H473">
        <v>274</v>
      </c>
      <c r="I473" s="238" t="s">
        <v>44</v>
      </c>
      <c r="J473">
        <v>86.58</v>
      </c>
      <c r="K473" s="238" t="s">
        <v>36</v>
      </c>
      <c r="L473">
        <v>4331875.67</v>
      </c>
      <c r="M473">
        <v>0</v>
      </c>
      <c r="N473">
        <v>4331875.67</v>
      </c>
      <c r="O473">
        <v>50033.214021714019</v>
      </c>
      <c r="P473">
        <v>0</v>
      </c>
      <c r="Q473">
        <v>4331875.67</v>
      </c>
      <c r="R473">
        <v>50033.214021714019</v>
      </c>
      <c r="S473" s="238" t="s">
        <v>137</v>
      </c>
      <c r="T473" s="238" t="s">
        <v>3540</v>
      </c>
      <c r="U473">
        <v>88405.623999998905</v>
      </c>
      <c r="V473" t="s">
        <v>4091</v>
      </c>
      <c r="W473" s="24">
        <v>44357</v>
      </c>
      <c r="X473" s="238" t="s">
        <v>600</v>
      </c>
      <c r="Y473" s="238" t="s">
        <v>39</v>
      </c>
      <c r="Z473" s="238" t="s">
        <v>1340</v>
      </c>
      <c r="AA473" t="s">
        <v>1167</v>
      </c>
      <c r="AB473" s="238" t="s">
        <v>3246</v>
      </c>
      <c r="AC473" t="s">
        <v>3079</v>
      </c>
      <c r="AD473" s="24"/>
      <c r="AE473" s="238" t="s">
        <v>2073</v>
      </c>
      <c r="AF473">
        <v>79372062245</v>
      </c>
      <c r="AG473" s="238" t="s">
        <v>2074</v>
      </c>
      <c r="AH473" s="238" t="s">
        <v>1171</v>
      </c>
      <c r="AI473" s="238" t="s">
        <v>3074</v>
      </c>
      <c r="AJ473" s="238" t="s">
        <v>399</v>
      </c>
      <c r="AK473" s="238" t="s">
        <v>141</v>
      </c>
      <c r="AL473" t="s">
        <v>8715</v>
      </c>
      <c r="AM473" t="s">
        <v>1167</v>
      </c>
    </row>
    <row r="474" spans="1:39" hidden="1" x14ac:dyDescent="0.25">
      <c r="A474">
        <v>470</v>
      </c>
      <c r="B474">
        <v>9</v>
      </c>
      <c r="C474" s="24">
        <v>44363</v>
      </c>
      <c r="D474" s="238" t="s">
        <v>19</v>
      </c>
      <c r="E474" s="238" t="s">
        <v>6</v>
      </c>
      <c r="F474">
        <v>1</v>
      </c>
      <c r="G474">
        <v>16</v>
      </c>
      <c r="H474">
        <v>99</v>
      </c>
      <c r="I474" s="238" t="s">
        <v>43</v>
      </c>
      <c r="J474">
        <v>59.52</v>
      </c>
      <c r="K474" s="238" t="s">
        <v>37</v>
      </c>
      <c r="L474">
        <v>3374736.44</v>
      </c>
      <c r="M474">
        <v>15000</v>
      </c>
      <c r="N474">
        <v>3389736.44</v>
      </c>
      <c r="O474">
        <v>56951.217069892467</v>
      </c>
      <c r="P474">
        <v>267840</v>
      </c>
      <c r="Q474">
        <v>3121896.44</v>
      </c>
      <c r="R474">
        <v>52451.217069892467</v>
      </c>
      <c r="S474" s="238" t="s">
        <v>137</v>
      </c>
      <c r="T474" s="238" t="s">
        <v>3540</v>
      </c>
      <c r="U474">
        <v>63712.168000000529</v>
      </c>
      <c r="V474" t="s">
        <v>4091</v>
      </c>
      <c r="W474" s="24">
        <v>44358</v>
      </c>
      <c r="X474" s="238" t="s">
        <v>599</v>
      </c>
      <c r="Y474" s="238" t="s">
        <v>39</v>
      </c>
      <c r="Z474" s="238" t="s">
        <v>1340</v>
      </c>
      <c r="AA474" t="s">
        <v>1167</v>
      </c>
      <c r="AB474" s="238" t="s">
        <v>3246</v>
      </c>
      <c r="AC474" t="s">
        <v>3079</v>
      </c>
      <c r="AD474" s="24"/>
      <c r="AE474" s="238" t="s">
        <v>2075</v>
      </c>
      <c r="AF474">
        <v>79991701230</v>
      </c>
      <c r="AG474" s="238" t="s">
        <v>2076</v>
      </c>
      <c r="AH474" s="238" t="s">
        <v>1212</v>
      </c>
      <c r="AI474" s="238" t="s">
        <v>3088</v>
      </c>
      <c r="AJ474" s="238" t="s">
        <v>399</v>
      </c>
      <c r="AK474" s="238" t="s">
        <v>141</v>
      </c>
      <c r="AL474" t="s">
        <v>8715</v>
      </c>
      <c r="AM474" t="s">
        <v>1167</v>
      </c>
    </row>
    <row r="475" spans="1:39" hidden="1" x14ac:dyDescent="0.25">
      <c r="A475">
        <v>471</v>
      </c>
      <c r="B475">
        <v>10</v>
      </c>
      <c r="C475" s="24">
        <v>44364</v>
      </c>
      <c r="D475" s="238" t="s">
        <v>20</v>
      </c>
      <c r="E475" s="238" t="s">
        <v>6</v>
      </c>
      <c r="F475">
        <v>6</v>
      </c>
      <c r="G475">
        <v>5</v>
      </c>
      <c r="H475">
        <v>36</v>
      </c>
      <c r="I475" s="238" t="s">
        <v>43</v>
      </c>
      <c r="J475">
        <v>63.2</v>
      </c>
      <c r="K475" s="238" t="s">
        <v>36</v>
      </c>
      <c r="L475">
        <v>3321136.5</v>
      </c>
      <c r="M475">
        <v>15000</v>
      </c>
      <c r="N475">
        <v>3336136.5</v>
      </c>
      <c r="O475">
        <v>52786.969936708861</v>
      </c>
      <c r="P475">
        <v>32350</v>
      </c>
      <c r="Q475">
        <v>3303786.5</v>
      </c>
      <c r="R475">
        <v>52275.102848101262</v>
      </c>
      <c r="S475" s="238" t="s">
        <v>137</v>
      </c>
      <c r="T475" s="238" t="s">
        <v>321</v>
      </c>
      <c r="U475">
        <v>15000</v>
      </c>
      <c r="V475" t="s">
        <v>1167</v>
      </c>
      <c r="W475" s="24">
        <v>44320</v>
      </c>
      <c r="X475" s="238" t="s">
        <v>603</v>
      </c>
      <c r="Y475" s="238" t="s">
        <v>39</v>
      </c>
      <c r="Z475" s="238" t="s">
        <v>1340</v>
      </c>
      <c r="AA475" t="s">
        <v>1167</v>
      </c>
      <c r="AB475" s="238" t="s">
        <v>3124</v>
      </c>
      <c r="AC475" t="s">
        <v>3079</v>
      </c>
      <c r="AD475" s="24"/>
      <c r="AE475" s="238" t="s">
        <v>2077</v>
      </c>
      <c r="AF475">
        <v>79270040603</v>
      </c>
      <c r="AG475" s="238" t="s">
        <v>2078</v>
      </c>
      <c r="AH475" s="238" t="s">
        <v>1171</v>
      </c>
      <c r="AI475" s="238" t="s">
        <v>3074</v>
      </c>
      <c r="AJ475" s="238" t="s">
        <v>399</v>
      </c>
      <c r="AK475" s="238" t="s">
        <v>141</v>
      </c>
      <c r="AL475" t="s">
        <v>8715</v>
      </c>
      <c r="AM475" t="s">
        <v>1167</v>
      </c>
    </row>
    <row r="476" spans="1:39" hidden="1" x14ac:dyDescent="0.25">
      <c r="A476">
        <v>472</v>
      </c>
      <c r="B476">
        <v>11</v>
      </c>
      <c r="C476" s="24">
        <v>44364</v>
      </c>
      <c r="D476" s="238" t="s">
        <v>19</v>
      </c>
      <c r="E476" s="238" t="s">
        <v>5</v>
      </c>
      <c r="F476">
        <v>6</v>
      </c>
      <c r="G476">
        <v>10</v>
      </c>
      <c r="H476">
        <v>255</v>
      </c>
      <c r="I476" s="238" t="s">
        <v>43</v>
      </c>
      <c r="J476">
        <v>60.24</v>
      </c>
      <c r="K476" s="238" t="s">
        <v>38</v>
      </c>
      <c r="L476">
        <v>3845878.83</v>
      </c>
      <c r="M476">
        <v>0</v>
      </c>
      <c r="N476">
        <v>3845878.83</v>
      </c>
      <c r="O476">
        <v>63842.610059760955</v>
      </c>
      <c r="P476">
        <v>903600</v>
      </c>
      <c r="Q476">
        <v>2942278.83</v>
      </c>
      <c r="R476">
        <v>48842.610059760955</v>
      </c>
      <c r="S476" s="238" t="s">
        <v>137</v>
      </c>
      <c r="T476" s="238" t="s">
        <v>1167</v>
      </c>
      <c r="V476" t="s">
        <v>4091</v>
      </c>
      <c r="W476" s="24">
        <v>44356</v>
      </c>
      <c r="X476" s="238" t="s">
        <v>604</v>
      </c>
      <c r="Y476" s="238" t="s">
        <v>39</v>
      </c>
      <c r="Z476" s="238" t="s">
        <v>1340</v>
      </c>
      <c r="AA476" t="s">
        <v>1167</v>
      </c>
      <c r="AB476" s="238" t="s">
        <v>3246</v>
      </c>
      <c r="AC476" t="s">
        <v>3079</v>
      </c>
      <c r="AD476" s="24"/>
      <c r="AE476" s="238" t="s">
        <v>2079</v>
      </c>
      <c r="AF476">
        <v>79171209420</v>
      </c>
      <c r="AG476" s="238" t="s">
        <v>2080</v>
      </c>
      <c r="AH476" s="238" t="s">
        <v>135</v>
      </c>
      <c r="AI476" s="238" t="s">
        <v>3099</v>
      </c>
      <c r="AJ476" s="238" t="s">
        <v>130</v>
      </c>
      <c r="AK476" s="238" t="s">
        <v>141</v>
      </c>
      <c r="AL476" t="s">
        <v>8715</v>
      </c>
      <c r="AM476" t="s">
        <v>1167</v>
      </c>
    </row>
    <row r="477" spans="1:39" hidden="1" x14ac:dyDescent="0.25">
      <c r="A477">
        <v>473</v>
      </c>
      <c r="B477">
        <v>12</v>
      </c>
      <c r="C477" s="24">
        <v>44364</v>
      </c>
      <c r="D477" s="238" t="s">
        <v>19</v>
      </c>
      <c r="E477" s="238" t="s">
        <v>6</v>
      </c>
      <c r="F477">
        <v>7</v>
      </c>
      <c r="G477">
        <v>14</v>
      </c>
      <c r="H477">
        <v>91</v>
      </c>
      <c r="I477" s="238" t="s">
        <v>43</v>
      </c>
      <c r="J477">
        <v>58.17</v>
      </c>
      <c r="K477" s="238" t="s">
        <v>38</v>
      </c>
      <c r="L477">
        <v>3866801.31</v>
      </c>
      <c r="M477">
        <v>0</v>
      </c>
      <c r="N477">
        <v>3866801.31</v>
      </c>
      <c r="O477">
        <v>66474.15007735946</v>
      </c>
      <c r="P477">
        <v>872550</v>
      </c>
      <c r="Q477">
        <v>2994251.31</v>
      </c>
      <c r="R477">
        <v>51474.15007735946</v>
      </c>
      <c r="S477" s="238" t="s">
        <v>137</v>
      </c>
      <c r="T477" s="238" t="s">
        <v>1167</v>
      </c>
      <c r="V477" t="s">
        <v>4091</v>
      </c>
      <c r="W477" s="24">
        <v>44356</v>
      </c>
      <c r="X477" s="238" t="s">
        <v>601</v>
      </c>
      <c r="Y477" s="238" t="s">
        <v>39</v>
      </c>
      <c r="Z477" s="238" t="s">
        <v>1340</v>
      </c>
      <c r="AA477" t="s">
        <v>1167</v>
      </c>
      <c r="AB477" s="238" t="s">
        <v>3246</v>
      </c>
      <c r="AC477" t="s">
        <v>3079</v>
      </c>
      <c r="AD477" s="24"/>
      <c r="AE477" s="238" t="s">
        <v>2081</v>
      </c>
      <c r="AF477">
        <v>79245055063</v>
      </c>
      <c r="AG477" s="238" t="s">
        <v>2082</v>
      </c>
      <c r="AH477" s="238" t="s">
        <v>1171</v>
      </c>
      <c r="AI477" s="238" t="s">
        <v>135</v>
      </c>
      <c r="AJ477" s="238" t="s">
        <v>126</v>
      </c>
      <c r="AK477" s="238" t="s">
        <v>141</v>
      </c>
      <c r="AL477" t="s">
        <v>8715</v>
      </c>
      <c r="AM477" t="s">
        <v>1167</v>
      </c>
    </row>
    <row r="478" spans="1:39" hidden="1" x14ac:dyDescent="0.25">
      <c r="A478">
        <v>474</v>
      </c>
      <c r="B478">
        <v>13</v>
      </c>
      <c r="C478" s="24">
        <v>44364</v>
      </c>
      <c r="D478" s="238" t="s">
        <v>19</v>
      </c>
      <c r="E478" s="238" t="s">
        <v>6</v>
      </c>
      <c r="F478">
        <v>4</v>
      </c>
      <c r="G478">
        <v>19</v>
      </c>
      <c r="H478">
        <v>123</v>
      </c>
      <c r="I478" s="238" t="s">
        <v>42</v>
      </c>
      <c r="J478">
        <v>36.86</v>
      </c>
      <c r="K478" s="238" t="s">
        <v>36</v>
      </c>
      <c r="L478">
        <v>2275186.8199999998</v>
      </c>
      <c r="M478">
        <v>0</v>
      </c>
      <c r="N478">
        <v>2275186.8199999998</v>
      </c>
      <c r="O478">
        <v>61725.09007053716</v>
      </c>
      <c r="P478">
        <v>0</v>
      </c>
      <c r="Q478">
        <v>2275186.8199999998</v>
      </c>
      <c r="R478">
        <v>61725.09007053716</v>
      </c>
      <c r="S478" s="238" t="s">
        <v>137</v>
      </c>
      <c r="T478" s="238" t="s">
        <v>1167</v>
      </c>
      <c r="V478" t="s">
        <v>1167</v>
      </c>
      <c r="W478" s="24">
        <v>44358</v>
      </c>
      <c r="X478" s="238" t="s">
        <v>602</v>
      </c>
      <c r="Y478" s="238" t="s">
        <v>39</v>
      </c>
      <c r="Z478" s="238" t="s">
        <v>1340</v>
      </c>
      <c r="AA478" t="s">
        <v>1167</v>
      </c>
      <c r="AB478" s="238" t="s">
        <v>3246</v>
      </c>
      <c r="AC478" t="s">
        <v>3079</v>
      </c>
      <c r="AD478" s="24"/>
      <c r="AE478" s="238" t="s">
        <v>2083</v>
      </c>
      <c r="AF478">
        <v>79277707095</v>
      </c>
      <c r="AG478" s="238" t="s">
        <v>2084</v>
      </c>
      <c r="AH478" s="238" t="s">
        <v>1171</v>
      </c>
      <c r="AI478" s="238" t="s">
        <v>3097</v>
      </c>
      <c r="AJ478" s="238" t="s">
        <v>399</v>
      </c>
      <c r="AK478" s="238" t="s">
        <v>141</v>
      </c>
      <c r="AL478" t="s">
        <v>8715</v>
      </c>
      <c r="AM478" t="s">
        <v>1167</v>
      </c>
    </row>
    <row r="479" spans="1:39" hidden="1" x14ac:dyDescent="0.25">
      <c r="A479">
        <v>475</v>
      </c>
      <c r="B479">
        <v>14</v>
      </c>
      <c r="C479" s="24">
        <v>44365</v>
      </c>
      <c r="D479" s="238" t="s">
        <v>20</v>
      </c>
      <c r="E479" s="238" t="s">
        <v>16</v>
      </c>
      <c r="F479">
        <v>4</v>
      </c>
      <c r="G479">
        <v>5</v>
      </c>
      <c r="H479">
        <v>339</v>
      </c>
      <c r="I479" s="238" t="s">
        <v>43</v>
      </c>
      <c r="J479">
        <v>60.5</v>
      </c>
      <c r="K479" s="238" t="s">
        <v>36</v>
      </c>
      <c r="L479">
        <v>3184045.28</v>
      </c>
      <c r="M479">
        <v>15000</v>
      </c>
      <c r="N479">
        <v>3199045.28</v>
      </c>
      <c r="O479">
        <v>52876.781487603301</v>
      </c>
      <c r="P479">
        <v>30250</v>
      </c>
      <c r="Q479">
        <v>3168795.28</v>
      </c>
      <c r="R479">
        <v>52376.781487603301</v>
      </c>
      <c r="S479" s="238" t="s">
        <v>121</v>
      </c>
      <c r="T479" s="238" t="s">
        <v>321</v>
      </c>
      <c r="U479">
        <v>63075.905599999998</v>
      </c>
      <c r="V479" t="s">
        <v>1167</v>
      </c>
      <c r="W479" s="24">
        <v>44288</v>
      </c>
      <c r="X479" s="238" t="s">
        <v>605</v>
      </c>
      <c r="Y479" s="238" t="s">
        <v>39</v>
      </c>
      <c r="Z479" s="238" t="s">
        <v>1168</v>
      </c>
      <c r="AA479" t="s">
        <v>1167</v>
      </c>
      <c r="AB479" s="238" t="s">
        <v>3124</v>
      </c>
      <c r="AC479" t="s">
        <v>4246</v>
      </c>
      <c r="AD479" s="24"/>
      <c r="AE479" s="238" t="s">
        <v>2085</v>
      </c>
      <c r="AF479">
        <v>79277145954</v>
      </c>
      <c r="AG479" s="238" t="s">
        <v>1167</v>
      </c>
      <c r="AH479" s="238" t="s">
        <v>1171</v>
      </c>
      <c r="AI479" s="238" t="s">
        <v>135</v>
      </c>
      <c r="AJ479" s="238" t="s">
        <v>399</v>
      </c>
      <c r="AK479" s="238" t="s">
        <v>1167</v>
      </c>
      <c r="AL479" t="s">
        <v>8715</v>
      </c>
      <c r="AM479" t="s">
        <v>1167</v>
      </c>
    </row>
    <row r="480" spans="1:39" hidden="1" x14ac:dyDescent="0.25">
      <c r="A480">
        <v>476</v>
      </c>
      <c r="B480">
        <v>15</v>
      </c>
      <c r="C480" s="24">
        <v>44365</v>
      </c>
      <c r="D480" s="238" t="s">
        <v>19</v>
      </c>
      <c r="E480" s="238" t="s">
        <v>5</v>
      </c>
      <c r="F480">
        <v>5</v>
      </c>
      <c r="G480">
        <v>5</v>
      </c>
      <c r="H480">
        <v>199</v>
      </c>
      <c r="I480" s="238" t="s">
        <v>43</v>
      </c>
      <c r="J480">
        <v>60.19</v>
      </c>
      <c r="K480" s="238" t="s">
        <v>37</v>
      </c>
      <c r="L480">
        <v>3151894.96</v>
      </c>
      <c r="M480">
        <v>0</v>
      </c>
      <c r="N480">
        <v>3151894.96</v>
      </c>
      <c r="O480">
        <v>52365.757767070943</v>
      </c>
      <c r="P480">
        <v>270855</v>
      </c>
      <c r="Q480">
        <v>2881039.96</v>
      </c>
      <c r="R480">
        <v>47865.757767070943</v>
      </c>
      <c r="S480" s="238" t="s">
        <v>137</v>
      </c>
      <c r="T480" s="238" t="s">
        <v>3540</v>
      </c>
      <c r="U480">
        <v>58796.735899999738</v>
      </c>
      <c r="V480" t="s">
        <v>4091</v>
      </c>
      <c r="W480" s="24">
        <v>44357</v>
      </c>
      <c r="X480" s="238" t="s">
        <v>607</v>
      </c>
      <c r="Y480" s="238" t="s">
        <v>39</v>
      </c>
      <c r="Z480" s="238" t="s">
        <v>1340</v>
      </c>
      <c r="AA480" t="s">
        <v>1167</v>
      </c>
      <c r="AB480" s="238" t="s">
        <v>3246</v>
      </c>
      <c r="AC480" t="s">
        <v>3079</v>
      </c>
      <c r="AD480" s="24"/>
      <c r="AE480" s="238" t="s">
        <v>2086</v>
      </c>
      <c r="AF480">
        <v>79825832001</v>
      </c>
      <c r="AG480" s="238" t="s">
        <v>2087</v>
      </c>
      <c r="AH480" s="238" t="s">
        <v>1212</v>
      </c>
      <c r="AI480" s="238" t="s">
        <v>3084</v>
      </c>
      <c r="AJ480" s="238" t="s">
        <v>120</v>
      </c>
      <c r="AK480" s="238" t="s">
        <v>141</v>
      </c>
      <c r="AL480" t="s">
        <v>8715</v>
      </c>
      <c r="AM480" t="s">
        <v>1167</v>
      </c>
    </row>
    <row r="481" spans="1:39" hidden="1" x14ac:dyDescent="0.25">
      <c r="A481">
        <v>477</v>
      </c>
      <c r="B481">
        <v>16</v>
      </c>
      <c r="C481" s="24">
        <v>44365</v>
      </c>
      <c r="D481" s="238" t="s">
        <v>27</v>
      </c>
      <c r="E481" s="238" t="s">
        <v>15</v>
      </c>
      <c r="F481">
        <v>6</v>
      </c>
      <c r="G481">
        <v>8</v>
      </c>
      <c r="H481">
        <v>565</v>
      </c>
      <c r="I481" s="238" t="s">
        <v>42</v>
      </c>
      <c r="J481">
        <v>37.11</v>
      </c>
      <c r="K481" s="238" t="s">
        <v>37</v>
      </c>
      <c r="L481">
        <v>2044761</v>
      </c>
      <c r="M481">
        <v>0</v>
      </c>
      <c r="N481">
        <v>2044761</v>
      </c>
      <c r="O481">
        <v>55100</v>
      </c>
      <c r="P481">
        <v>166995</v>
      </c>
      <c r="Q481">
        <v>1877766</v>
      </c>
      <c r="R481">
        <v>50600</v>
      </c>
      <c r="S481" s="238" t="s">
        <v>121</v>
      </c>
      <c r="T481" s="238" t="s">
        <v>1167</v>
      </c>
      <c r="V481" t="s">
        <v>1167</v>
      </c>
      <c r="W481" s="24">
        <v>44365</v>
      </c>
      <c r="X481" s="238" t="s">
        <v>606</v>
      </c>
      <c r="Y481" s="238" t="s">
        <v>39</v>
      </c>
      <c r="Z481" s="238" t="s">
        <v>1168</v>
      </c>
      <c r="AA481" t="s">
        <v>1167</v>
      </c>
      <c r="AB481" s="238" t="s">
        <v>3246</v>
      </c>
      <c r="AC481" t="s">
        <v>4246</v>
      </c>
      <c r="AD481" s="24"/>
      <c r="AE481" s="238" t="s">
        <v>2088</v>
      </c>
      <c r="AF481">
        <v>79179540343</v>
      </c>
      <c r="AG481" s="238" t="s">
        <v>2089</v>
      </c>
      <c r="AH481" s="238" t="s">
        <v>135</v>
      </c>
      <c r="AI481" s="238" t="s">
        <v>3099</v>
      </c>
      <c r="AJ481" s="238" t="s">
        <v>130</v>
      </c>
      <c r="AK481" s="238" t="s">
        <v>1167</v>
      </c>
      <c r="AL481" t="s">
        <v>8715</v>
      </c>
      <c r="AM481" t="s">
        <v>1167</v>
      </c>
    </row>
    <row r="482" spans="1:39" hidden="1" x14ac:dyDescent="0.25">
      <c r="A482">
        <v>478</v>
      </c>
      <c r="B482">
        <v>17</v>
      </c>
      <c r="C482" s="24">
        <v>44368</v>
      </c>
      <c r="D482" s="238" t="s">
        <v>19</v>
      </c>
      <c r="E482" s="238" t="s">
        <v>5</v>
      </c>
      <c r="F482">
        <v>6</v>
      </c>
      <c r="G482">
        <v>5</v>
      </c>
      <c r="H482">
        <v>200</v>
      </c>
      <c r="I482" s="238" t="s">
        <v>43</v>
      </c>
      <c r="J482">
        <v>60.24</v>
      </c>
      <c r="K482" s="238" t="s">
        <v>37</v>
      </c>
      <c r="L482">
        <v>3154513.25</v>
      </c>
      <c r="M482">
        <v>0</v>
      </c>
      <c r="N482">
        <v>3154513.25</v>
      </c>
      <c r="O482">
        <v>52365.757802124834</v>
      </c>
      <c r="P482">
        <v>271080</v>
      </c>
      <c r="Q482">
        <v>2883433.25</v>
      </c>
      <c r="R482">
        <v>47865.757802124834</v>
      </c>
      <c r="S482" s="238" t="s">
        <v>121</v>
      </c>
      <c r="T482" s="238" t="s">
        <v>3540</v>
      </c>
      <c r="U482">
        <v>58845.576399999671</v>
      </c>
      <c r="V482" t="s">
        <v>1167</v>
      </c>
      <c r="W482" s="24">
        <v>44355</v>
      </c>
      <c r="X482" s="238" t="s">
        <v>608</v>
      </c>
      <c r="Y482" s="238" t="s">
        <v>39</v>
      </c>
      <c r="Z482" s="238" t="s">
        <v>1168</v>
      </c>
      <c r="AA482" t="s">
        <v>1167</v>
      </c>
      <c r="AB482" s="238" t="s">
        <v>3246</v>
      </c>
      <c r="AC482" t="s">
        <v>4246</v>
      </c>
      <c r="AD482" s="24"/>
      <c r="AE482" s="238" t="s">
        <v>2090</v>
      </c>
      <c r="AF482">
        <v>79879438247</v>
      </c>
      <c r="AG482" s="238" t="s">
        <v>2091</v>
      </c>
      <c r="AH482" s="238" t="s">
        <v>1212</v>
      </c>
      <c r="AI482" s="238" t="s">
        <v>135</v>
      </c>
      <c r="AJ482" s="238" t="s">
        <v>399</v>
      </c>
      <c r="AK482" s="238" t="s">
        <v>1167</v>
      </c>
      <c r="AL482" t="s">
        <v>8715</v>
      </c>
      <c r="AM482" t="s">
        <v>1167</v>
      </c>
    </row>
    <row r="483" spans="1:39" hidden="1" x14ac:dyDescent="0.25">
      <c r="A483">
        <v>479</v>
      </c>
      <c r="B483">
        <v>18</v>
      </c>
      <c r="C483" s="24">
        <v>44369</v>
      </c>
      <c r="D483" s="238" t="s">
        <v>20</v>
      </c>
      <c r="E483" s="238" t="s">
        <v>16</v>
      </c>
      <c r="F483">
        <v>7</v>
      </c>
      <c r="G483">
        <v>3</v>
      </c>
      <c r="H483">
        <v>326</v>
      </c>
      <c r="I483" s="238" t="s">
        <v>43</v>
      </c>
      <c r="J483">
        <v>65.599999999999994</v>
      </c>
      <c r="K483" s="238" t="s">
        <v>36</v>
      </c>
      <c r="L483">
        <v>3628686.8</v>
      </c>
      <c r="M483">
        <v>15000</v>
      </c>
      <c r="N483">
        <v>3643686.8</v>
      </c>
      <c r="O483">
        <v>55544.006097560974</v>
      </c>
      <c r="P483">
        <v>33475</v>
      </c>
      <c r="Q483">
        <v>3610211.8</v>
      </c>
      <c r="R483">
        <v>55033.716463414639</v>
      </c>
      <c r="S483" s="238" t="s">
        <v>137</v>
      </c>
      <c r="T483" s="238" t="s">
        <v>1167</v>
      </c>
      <c r="V483" t="s">
        <v>1167</v>
      </c>
      <c r="W483" s="24">
        <v>44308</v>
      </c>
      <c r="X483" s="238" t="s">
        <v>611</v>
      </c>
      <c r="Y483" s="238" t="s">
        <v>39</v>
      </c>
      <c r="Z483" s="238" t="s">
        <v>1168</v>
      </c>
      <c r="AA483" t="s">
        <v>1167</v>
      </c>
      <c r="AB483" s="238" t="s">
        <v>3124</v>
      </c>
      <c r="AC483" t="s">
        <v>3091</v>
      </c>
      <c r="AD483" s="24"/>
      <c r="AE483" s="238" t="s">
        <v>2092</v>
      </c>
      <c r="AF483">
        <v>79276878998</v>
      </c>
      <c r="AG483" s="238" t="s">
        <v>2093</v>
      </c>
      <c r="AH483" s="238" t="s">
        <v>1212</v>
      </c>
      <c r="AI483" s="238" t="s">
        <v>3097</v>
      </c>
      <c r="AJ483" s="238" t="s">
        <v>120</v>
      </c>
      <c r="AK483" s="238" t="s">
        <v>141</v>
      </c>
      <c r="AL483" t="s">
        <v>8715</v>
      </c>
      <c r="AM483" t="s">
        <v>1167</v>
      </c>
    </row>
    <row r="484" spans="1:39" hidden="1" x14ac:dyDescent="0.25">
      <c r="A484">
        <v>480</v>
      </c>
      <c r="B484">
        <v>19</v>
      </c>
      <c r="C484" s="24">
        <v>44369</v>
      </c>
      <c r="D484" s="238" t="s">
        <v>19</v>
      </c>
      <c r="E484" s="238" t="s">
        <v>6</v>
      </c>
      <c r="F484">
        <v>1</v>
      </c>
      <c r="G484">
        <v>5</v>
      </c>
      <c r="H484">
        <v>22</v>
      </c>
      <c r="I484" s="238" t="s">
        <v>43</v>
      </c>
      <c r="J484">
        <v>59.52</v>
      </c>
      <c r="K484" s="238" t="s">
        <v>37</v>
      </c>
      <c r="L484">
        <v>3489160.61</v>
      </c>
      <c r="M484">
        <v>0</v>
      </c>
      <c r="N484">
        <v>3489160.61</v>
      </c>
      <c r="O484">
        <v>58621.650033602142</v>
      </c>
      <c r="P484">
        <v>327360</v>
      </c>
      <c r="Q484">
        <v>3161800.61</v>
      </c>
      <c r="R484">
        <v>53121.650033602149</v>
      </c>
      <c r="S484" s="238" t="s">
        <v>137</v>
      </c>
      <c r="T484" s="238" t="s">
        <v>1167</v>
      </c>
      <c r="V484" t="s">
        <v>4091</v>
      </c>
      <c r="W484" s="24">
        <v>44350</v>
      </c>
      <c r="X484" s="238" t="s">
        <v>609</v>
      </c>
      <c r="Y484" s="238" t="s">
        <v>39</v>
      </c>
      <c r="Z484" s="238" t="s">
        <v>1340</v>
      </c>
      <c r="AA484" t="s">
        <v>1167</v>
      </c>
      <c r="AB484" s="238" t="s">
        <v>3246</v>
      </c>
      <c r="AC484" t="s">
        <v>3079</v>
      </c>
      <c r="AD484" s="24"/>
      <c r="AE484" s="238" t="s">
        <v>2094</v>
      </c>
      <c r="AF484">
        <v>79277778057</v>
      </c>
      <c r="AG484" s="238" t="s">
        <v>2095</v>
      </c>
      <c r="AH484" s="238" t="s">
        <v>1171</v>
      </c>
      <c r="AI484" s="238" t="s">
        <v>135</v>
      </c>
      <c r="AJ484" s="238" t="s">
        <v>399</v>
      </c>
      <c r="AK484" s="238" t="s">
        <v>141</v>
      </c>
      <c r="AL484" t="s">
        <v>8715</v>
      </c>
      <c r="AM484" t="s">
        <v>1167</v>
      </c>
    </row>
    <row r="485" spans="1:39" hidden="1" x14ac:dyDescent="0.25">
      <c r="A485">
        <v>481</v>
      </c>
      <c r="B485">
        <v>20</v>
      </c>
      <c r="C485" s="24">
        <v>44369</v>
      </c>
      <c r="D485" s="238" t="s">
        <v>20</v>
      </c>
      <c r="E485" s="238" t="s">
        <v>16</v>
      </c>
      <c r="F485">
        <v>1</v>
      </c>
      <c r="G485">
        <v>6</v>
      </c>
      <c r="H485">
        <v>344</v>
      </c>
      <c r="I485" s="238" t="s">
        <v>43</v>
      </c>
      <c r="J485">
        <v>59</v>
      </c>
      <c r="K485" s="238" t="s">
        <v>36</v>
      </c>
      <c r="L485">
        <v>3301384.3</v>
      </c>
      <c r="M485">
        <v>0</v>
      </c>
      <c r="N485">
        <v>3301384.3</v>
      </c>
      <c r="O485">
        <v>55955.666101694915</v>
      </c>
      <c r="P485">
        <v>30150</v>
      </c>
      <c r="Q485">
        <v>3271234.3</v>
      </c>
      <c r="R485">
        <v>55444.64915254237</v>
      </c>
      <c r="S485" s="238" t="s">
        <v>137</v>
      </c>
      <c r="T485" s="238" t="s">
        <v>321</v>
      </c>
      <c r="U485">
        <v>20000</v>
      </c>
      <c r="V485" t="s">
        <v>1167</v>
      </c>
      <c r="W485" s="24">
        <v>44353</v>
      </c>
      <c r="X485" s="238" t="s">
        <v>610</v>
      </c>
      <c r="Y485" s="238" t="s">
        <v>39</v>
      </c>
      <c r="Z485" s="238" t="s">
        <v>1168</v>
      </c>
      <c r="AA485" t="s">
        <v>1167</v>
      </c>
      <c r="AB485" s="238" t="s">
        <v>3124</v>
      </c>
      <c r="AC485" t="s">
        <v>3079</v>
      </c>
      <c r="AD485" s="24"/>
      <c r="AE485" s="238" t="s">
        <v>2096</v>
      </c>
      <c r="AF485">
        <v>79397066373</v>
      </c>
      <c r="AG485" s="238" t="s">
        <v>2097</v>
      </c>
      <c r="AH485" s="238" t="s">
        <v>135</v>
      </c>
      <c r="AI485" s="238" t="s">
        <v>135</v>
      </c>
      <c r="AJ485" s="238" t="s">
        <v>399</v>
      </c>
      <c r="AK485" s="238" t="s">
        <v>141</v>
      </c>
      <c r="AL485" t="s">
        <v>8715</v>
      </c>
      <c r="AM485" t="s">
        <v>1167</v>
      </c>
    </row>
    <row r="486" spans="1:39" hidden="1" x14ac:dyDescent="0.25">
      <c r="A486">
        <v>482</v>
      </c>
      <c r="B486">
        <v>21</v>
      </c>
      <c r="C486" s="24">
        <v>44369</v>
      </c>
      <c r="D486" s="238" t="s">
        <v>19</v>
      </c>
      <c r="E486" s="238" t="s">
        <v>5</v>
      </c>
      <c r="F486">
        <v>8</v>
      </c>
      <c r="G486">
        <v>6</v>
      </c>
      <c r="H486">
        <v>213</v>
      </c>
      <c r="I486" s="238" t="s">
        <v>43</v>
      </c>
      <c r="J486">
        <v>56.93</v>
      </c>
      <c r="K486" s="238" t="s">
        <v>37</v>
      </c>
      <c r="L486">
        <v>2997510.24</v>
      </c>
      <c r="M486">
        <v>0</v>
      </c>
      <c r="N486">
        <v>2997510.24</v>
      </c>
      <c r="O486">
        <v>52652.559985947657</v>
      </c>
      <c r="P486">
        <v>256185</v>
      </c>
      <c r="Q486">
        <v>2741325.24</v>
      </c>
      <c r="R486">
        <v>48152.559985947657</v>
      </c>
      <c r="S486" s="238" t="s">
        <v>137</v>
      </c>
      <c r="T486" s="238" t="s">
        <v>1167</v>
      </c>
      <c r="V486" t="s">
        <v>4091</v>
      </c>
      <c r="W486" s="24">
        <v>44356</v>
      </c>
      <c r="X486" s="238" t="s">
        <v>613</v>
      </c>
      <c r="Y486" s="238" t="s">
        <v>39</v>
      </c>
      <c r="Z486" s="238" t="s">
        <v>1340</v>
      </c>
      <c r="AA486" t="s">
        <v>1167</v>
      </c>
      <c r="AB486" s="238" t="s">
        <v>3246</v>
      </c>
      <c r="AC486" t="s">
        <v>3079</v>
      </c>
      <c r="AD486" s="24"/>
      <c r="AE486" s="238" t="s">
        <v>2098</v>
      </c>
      <c r="AF486">
        <v>79297118909</v>
      </c>
      <c r="AG486" s="238" t="s">
        <v>2099</v>
      </c>
      <c r="AH486" s="238" t="s">
        <v>1212</v>
      </c>
      <c r="AI486" s="238" t="s">
        <v>135</v>
      </c>
      <c r="AJ486" s="238" t="s">
        <v>130</v>
      </c>
      <c r="AK486" s="238" t="s">
        <v>141</v>
      </c>
      <c r="AL486" t="s">
        <v>8715</v>
      </c>
      <c r="AM486" t="s">
        <v>1167</v>
      </c>
    </row>
    <row r="487" spans="1:39" hidden="1" x14ac:dyDescent="0.25">
      <c r="A487">
        <v>483</v>
      </c>
      <c r="B487">
        <v>22</v>
      </c>
      <c r="C487" s="24">
        <v>44369</v>
      </c>
      <c r="D487" s="238" t="s">
        <v>19</v>
      </c>
      <c r="E487" s="238" t="s">
        <v>5</v>
      </c>
      <c r="F487">
        <v>6</v>
      </c>
      <c r="G487">
        <v>9</v>
      </c>
      <c r="H487">
        <v>244</v>
      </c>
      <c r="I487" s="238" t="s">
        <v>43</v>
      </c>
      <c r="J487">
        <v>60.24</v>
      </c>
      <c r="K487" s="238" t="s">
        <v>37</v>
      </c>
      <c r="L487">
        <v>3154513.25</v>
      </c>
      <c r="M487">
        <v>0</v>
      </c>
      <c r="N487">
        <v>3154513.25</v>
      </c>
      <c r="O487">
        <v>52365.757802124834</v>
      </c>
      <c r="P487">
        <v>271080</v>
      </c>
      <c r="Q487">
        <v>2883433.25</v>
      </c>
      <c r="R487">
        <v>47865.757802124834</v>
      </c>
      <c r="S487" s="238" t="s">
        <v>137</v>
      </c>
      <c r="T487" s="238" t="s">
        <v>3540</v>
      </c>
      <c r="U487">
        <v>58845.576399999671</v>
      </c>
      <c r="V487" t="s">
        <v>4091</v>
      </c>
      <c r="W487" s="24">
        <v>44356</v>
      </c>
      <c r="X487" s="238" t="s">
        <v>614</v>
      </c>
      <c r="Y487" s="238" t="s">
        <v>39</v>
      </c>
      <c r="Z487" s="238" t="s">
        <v>1340</v>
      </c>
      <c r="AA487" t="s">
        <v>1167</v>
      </c>
      <c r="AB487" s="238" t="s">
        <v>3246</v>
      </c>
      <c r="AC487" t="s">
        <v>3079</v>
      </c>
      <c r="AD487" s="24"/>
      <c r="AE487" s="238" t="s">
        <v>2100</v>
      </c>
      <c r="AF487">
        <v>79220587046</v>
      </c>
      <c r="AG487" s="238" t="s">
        <v>2101</v>
      </c>
      <c r="AH487" s="238" t="s">
        <v>1171</v>
      </c>
      <c r="AI487" s="238" t="s">
        <v>135</v>
      </c>
      <c r="AJ487" s="238" t="s">
        <v>120</v>
      </c>
      <c r="AK487" s="238" t="s">
        <v>141</v>
      </c>
      <c r="AL487" t="s">
        <v>8715</v>
      </c>
      <c r="AM487" t="s">
        <v>1167</v>
      </c>
    </row>
    <row r="488" spans="1:39" hidden="1" x14ac:dyDescent="0.25">
      <c r="A488">
        <v>484</v>
      </c>
      <c r="B488">
        <v>23</v>
      </c>
      <c r="C488" s="24">
        <v>44369</v>
      </c>
      <c r="D488" s="238" t="s">
        <v>19</v>
      </c>
      <c r="E488" s="238" t="s">
        <v>5</v>
      </c>
      <c r="F488">
        <v>4</v>
      </c>
      <c r="G488">
        <v>6</v>
      </c>
      <c r="H488">
        <v>209</v>
      </c>
      <c r="I488" s="238" t="s">
        <v>42</v>
      </c>
      <c r="J488">
        <v>37.89</v>
      </c>
      <c r="K488" s="238" t="s">
        <v>37</v>
      </c>
      <c r="L488">
        <v>2147296.67</v>
      </c>
      <c r="M488">
        <v>15000</v>
      </c>
      <c r="N488">
        <v>2162296.67</v>
      </c>
      <c r="O488">
        <v>57067.740036949057</v>
      </c>
      <c r="P488">
        <v>170505</v>
      </c>
      <c r="Q488">
        <v>1991791.67</v>
      </c>
      <c r="R488">
        <v>52567.740036949057</v>
      </c>
      <c r="S488" s="238" t="s">
        <v>137</v>
      </c>
      <c r="T488" s="238" t="s">
        <v>1167</v>
      </c>
      <c r="V488" t="s">
        <v>1167</v>
      </c>
      <c r="W488" s="24">
        <v>44360</v>
      </c>
      <c r="X488" s="238" t="s">
        <v>612</v>
      </c>
      <c r="Y488" s="238" t="s">
        <v>39</v>
      </c>
      <c r="Z488" s="238" t="s">
        <v>1340</v>
      </c>
      <c r="AA488" t="s">
        <v>1167</v>
      </c>
      <c r="AB488" s="238" t="s">
        <v>3246</v>
      </c>
      <c r="AC488" t="s">
        <v>3077</v>
      </c>
      <c r="AD488" s="24"/>
      <c r="AE488" s="238" t="s">
        <v>2102</v>
      </c>
      <c r="AF488">
        <v>79608326371</v>
      </c>
      <c r="AG488" s="238" t="s">
        <v>2103</v>
      </c>
      <c r="AH488" s="238" t="s">
        <v>1171</v>
      </c>
      <c r="AI488" s="238" t="s">
        <v>3072</v>
      </c>
      <c r="AJ488" s="238" t="s">
        <v>126</v>
      </c>
      <c r="AK488" s="238" t="s">
        <v>141</v>
      </c>
      <c r="AL488" t="s">
        <v>8715</v>
      </c>
      <c r="AM488" t="s">
        <v>1167</v>
      </c>
    </row>
    <row r="489" spans="1:39" hidden="1" x14ac:dyDescent="0.25">
      <c r="A489">
        <v>485</v>
      </c>
      <c r="B489">
        <v>24</v>
      </c>
      <c r="C489" s="24">
        <v>44369</v>
      </c>
      <c r="D489" s="238" t="s">
        <v>19</v>
      </c>
      <c r="E489" s="238" t="s">
        <v>5</v>
      </c>
      <c r="F489">
        <v>8</v>
      </c>
      <c r="G489">
        <v>14</v>
      </c>
      <c r="H489">
        <v>301</v>
      </c>
      <c r="I489" s="238" t="s">
        <v>43</v>
      </c>
      <c r="J489">
        <v>56.93</v>
      </c>
      <c r="K489" s="238" t="s">
        <v>38</v>
      </c>
      <c r="L489">
        <v>3828294.85</v>
      </c>
      <c r="M489">
        <v>0</v>
      </c>
      <c r="N489">
        <v>3828294.85</v>
      </c>
      <c r="O489">
        <v>67245.649920955562</v>
      </c>
      <c r="P489">
        <v>853950</v>
      </c>
      <c r="Q489">
        <v>2974344.85</v>
      </c>
      <c r="R489">
        <v>52245.649920955562</v>
      </c>
      <c r="S489" s="238" t="s">
        <v>137</v>
      </c>
      <c r="T489" s="238" t="s">
        <v>1167</v>
      </c>
      <c r="V489" t="s">
        <v>4091</v>
      </c>
      <c r="W489" s="24">
        <v>44364</v>
      </c>
      <c r="X489" s="238" t="s">
        <v>615</v>
      </c>
      <c r="Y489" s="238" t="s">
        <v>39</v>
      </c>
      <c r="Z489" s="238" t="s">
        <v>1340</v>
      </c>
      <c r="AA489" t="s">
        <v>1167</v>
      </c>
      <c r="AB489" s="238" t="s">
        <v>3246</v>
      </c>
      <c r="AC489" t="s">
        <v>3079</v>
      </c>
      <c r="AD489" s="24"/>
      <c r="AE489" s="238" t="s">
        <v>2104</v>
      </c>
      <c r="AF489">
        <v>79376476070</v>
      </c>
      <c r="AG489" s="238" t="s">
        <v>2105</v>
      </c>
      <c r="AH489" s="238" t="s">
        <v>1212</v>
      </c>
      <c r="AI489" s="238" t="s">
        <v>135</v>
      </c>
      <c r="AJ489" s="238" t="s">
        <v>126</v>
      </c>
      <c r="AK489" s="238" t="s">
        <v>141</v>
      </c>
      <c r="AL489" t="s">
        <v>8715</v>
      </c>
      <c r="AM489" t="s">
        <v>1167</v>
      </c>
    </row>
    <row r="490" spans="1:39" hidden="1" x14ac:dyDescent="0.25">
      <c r="A490">
        <v>486</v>
      </c>
      <c r="B490">
        <v>25</v>
      </c>
      <c r="C490" s="24">
        <v>44370</v>
      </c>
      <c r="D490" s="238" t="s">
        <v>19</v>
      </c>
      <c r="E490" s="238" t="s">
        <v>5</v>
      </c>
      <c r="F490">
        <v>6</v>
      </c>
      <c r="G490">
        <v>11</v>
      </c>
      <c r="H490">
        <v>266</v>
      </c>
      <c r="I490" s="238" t="s">
        <v>43</v>
      </c>
      <c r="J490">
        <v>60.24</v>
      </c>
      <c r="K490" s="238" t="s">
        <v>38</v>
      </c>
      <c r="L490">
        <v>3867022.83</v>
      </c>
      <c r="M490">
        <v>15000</v>
      </c>
      <c r="N490">
        <v>3882022.83</v>
      </c>
      <c r="O490">
        <v>64442.610059760955</v>
      </c>
      <c r="P490">
        <v>903600</v>
      </c>
      <c r="Q490">
        <v>2978422.83</v>
      </c>
      <c r="R490">
        <v>49442.610059760955</v>
      </c>
      <c r="S490" s="238" t="s">
        <v>137</v>
      </c>
      <c r="T490" s="238" t="s">
        <v>1167</v>
      </c>
      <c r="V490" t="s">
        <v>4091</v>
      </c>
      <c r="W490" s="24">
        <v>44364</v>
      </c>
      <c r="X490" s="238" t="s">
        <v>617</v>
      </c>
      <c r="Y490" s="238" t="s">
        <v>39</v>
      </c>
      <c r="Z490" s="238" t="s">
        <v>1340</v>
      </c>
      <c r="AA490" t="s">
        <v>1167</v>
      </c>
      <c r="AB490" s="238" t="s">
        <v>3246</v>
      </c>
      <c r="AC490" t="s">
        <v>3079</v>
      </c>
      <c r="AD490" s="24"/>
      <c r="AE490" s="238" t="s">
        <v>2106</v>
      </c>
      <c r="AF490">
        <v>79277231420</v>
      </c>
      <c r="AG490" s="238" t="s">
        <v>2107</v>
      </c>
      <c r="AH490" s="238" t="s">
        <v>1212</v>
      </c>
      <c r="AI490" s="238" t="s">
        <v>135</v>
      </c>
      <c r="AJ490" s="238" t="s">
        <v>399</v>
      </c>
      <c r="AK490" s="238" t="s">
        <v>141</v>
      </c>
      <c r="AL490" t="s">
        <v>8715</v>
      </c>
      <c r="AM490" t="s">
        <v>1167</v>
      </c>
    </row>
    <row r="491" spans="1:39" hidden="1" x14ac:dyDescent="0.25">
      <c r="A491">
        <v>487</v>
      </c>
      <c r="B491">
        <v>26</v>
      </c>
      <c r="C491" s="24">
        <v>44370</v>
      </c>
      <c r="D491" s="238" t="s">
        <v>19</v>
      </c>
      <c r="E491" s="238" t="s">
        <v>6</v>
      </c>
      <c r="F491">
        <v>4</v>
      </c>
      <c r="G491">
        <v>3</v>
      </c>
      <c r="H491">
        <v>11</v>
      </c>
      <c r="I491" s="238" t="s">
        <v>42</v>
      </c>
      <c r="J491">
        <v>36.86</v>
      </c>
      <c r="K491" s="238" t="s">
        <v>37</v>
      </c>
      <c r="L491">
        <v>2273352.66</v>
      </c>
      <c r="M491">
        <v>0</v>
      </c>
      <c r="N491">
        <v>2273352.66</v>
      </c>
      <c r="O491">
        <v>61675.32989690722</v>
      </c>
      <c r="P491">
        <v>202730</v>
      </c>
      <c r="Q491">
        <v>2070622.6600000001</v>
      </c>
      <c r="R491">
        <v>56175.32989690722</v>
      </c>
      <c r="S491" s="238" t="s">
        <v>137</v>
      </c>
      <c r="T491" s="238" t="s">
        <v>1167</v>
      </c>
      <c r="V491" t="s">
        <v>1167</v>
      </c>
      <c r="W491" s="24">
        <v>44365</v>
      </c>
      <c r="X491" s="238" t="s">
        <v>616</v>
      </c>
      <c r="Y491" s="238" t="s">
        <v>39</v>
      </c>
      <c r="Z491" s="238" t="s">
        <v>1340</v>
      </c>
      <c r="AA491" t="s">
        <v>1167</v>
      </c>
      <c r="AB491" s="238" t="s">
        <v>3246</v>
      </c>
      <c r="AC491" t="s">
        <v>3077</v>
      </c>
      <c r="AD491" s="24"/>
      <c r="AE491" s="238" t="s">
        <v>2108</v>
      </c>
      <c r="AF491">
        <v>79371818140</v>
      </c>
      <c r="AG491" s="238" t="s">
        <v>2109</v>
      </c>
      <c r="AH491" s="238" t="s">
        <v>1212</v>
      </c>
      <c r="AI491" s="238" t="s">
        <v>135</v>
      </c>
      <c r="AJ491" s="238" t="s">
        <v>126</v>
      </c>
      <c r="AK491" s="238" t="s">
        <v>141</v>
      </c>
      <c r="AL491" t="s">
        <v>8715</v>
      </c>
      <c r="AM491" t="s">
        <v>1167</v>
      </c>
    </row>
    <row r="492" spans="1:39" hidden="1" x14ac:dyDescent="0.25">
      <c r="A492">
        <v>488</v>
      </c>
      <c r="B492">
        <v>27</v>
      </c>
      <c r="C492" s="24">
        <v>44371</v>
      </c>
      <c r="D492" s="238" t="s">
        <v>19</v>
      </c>
      <c r="E492" s="238" t="s">
        <v>5</v>
      </c>
      <c r="F492">
        <v>8</v>
      </c>
      <c r="G492">
        <v>5</v>
      </c>
      <c r="H492">
        <v>202</v>
      </c>
      <c r="I492" s="238" t="s">
        <v>43</v>
      </c>
      <c r="J492">
        <v>56.93</v>
      </c>
      <c r="K492" s="238" t="s">
        <v>37</v>
      </c>
      <c r="L492">
        <v>3033722.84</v>
      </c>
      <c r="M492">
        <v>0</v>
      </c>
      <c r="N492">
        <v>3033722.84</v>
      </c>
      <c r="O492">
        <v>53288.649920955555</v>
      </c>
      <c r="P492">
        <v>256185</v>
      </c>
      <c r="Q492">
        <v>2777537.84</v>
      </c>
      <c r="R492">
        <v>48788.649920955555</v>
      </c>
      <c r="S492" s="238" t="s">
        <v>137</v>
      </c>
      <c r="T492" s="238" t="s">
        <v>1167</v>
      </c>
      <c r="V492" t="s">
        <v>4091</v>
      </c>
      <c r="W492" s="24">
        <v>44368</v>
      </c>
      <c r="X492" s="238" t="s">
        <v>618</v>
      </c>
      <c r="Y492" s="238" t="s">
        <v>39</v>
      </c>
      <c r="Z492" s="238" t="s">
        <v>1340</v>
      </c>
      <c r="AA492" t="s">
        <v>1167</v>
      </c>
      <c r="AB492" s="238" t="s">
        <v>3246</v>
      </c>
      <c r="AC492" t="s">
        <v>3079</v>
      </c>
      <c r="AD492" s="24"/>
      <c r="AE492" s="238" t="s">
        <v>1877</v>
      </c>
      <c r="AF492">
        <v>79277209974</v>
      </c>
      <c r="AG492" s="238" t="s">
        <v>1878</v>
      </c>
      <c r="AH492" s="238" t="s">
        <v>1212</v>
      </c>
      <c r="AI492" s="238" t="s">
        <v>3082</v>
      </c>
      <c r="AJ492" s="238" t="s">
        <v>130</v>
      </c>
      <c r="AK492" s="238" t="s">
        <v>141</v>
      </c>
      <c r="AL492" t="s">
        <v>8715</v>
      </c>
      <c r="AM492" t="s">
        <v>1167</v>
      </c>
    </row>
    <row r="493" spans="1:39" hidden="1" x14ac:dyDescent="0.25">
      <c r="A493">
        <v>489</v>
      </c>
      <c r="B493">
        <v>28</v>
      </c>
      <c r="C493" s="24">
        <v>44372</v>
      </c>
      <c r="D493" s="238" t="s">
        <v>19</v>
      </c>
      <c r="E493" s="238" t="s">
        <v>6</v>
      </c>
      <c r="F493">
        <v>3</v>
      </c>
      <c r="G493">
        <v>21</v>
      </c>
      <c r="H493">
        <v>136</v>
      </c>
      <c r="I493" s="238" t="s">
        <v>44</v>
      </c>
      <c r="J493">
        <v>76.56</v>
      </c>
      <c r="K493" s="238" t="s">
        <v>36</v>
      </c>
      <c r="L493">
        <v>3811601.61</v>
      </c>
      <c r="M493">
        <v>0</v>
      </c>
      <c r="N493">
        <v>3811601.61</v>
      </c>
      <c r="O493">
        <v>49785.809952978052</v>
      </c>
      <c r="P493">
        <v>0</v>
      </c>
      <c r="Q493">
        <v>3811601.61</v>
      </c>
      <c r="R493">
        <v>49785.809952978052</v>
      </c>
      <c r="S493" s="238" t="s">
        <v>137</v>
      </c>
      <c r="T493" s="238" t="s">
        <v>1167</v>
      </c>
      <c r="V493" t="s">
        <v>1167</v>
      </c>
      <c r="W493" s="24">
        <v>44363</v>
      </c>
      <c r="X493" s="238" t="s">
        <v>619</v>
      </c>
      <c r="Y493" s="238" t="s">
        <v>39</v>
      </c>
      <c r="Z493" s="238" t="s">
        <v>1340</v>
      </c>
      <c r="AA493" t="s">
        <v>1167</v>
      </c>
      <c r="AB493" s="238" t="s">
        <v>3246</v>
      </c>
      <c r="AC493" t="s">
        <v>3077</v>
      </c>
      <c r="AD493" s="24"/>
      <c r="AE493" s="238" t="s">
        <v>2110</v>
      </c>
      <c r="AF493">
        <v>79276864298</v>
      </c>
      <c r="AG493" s="238" t="s">
        <v>2111</v>
      </c>
      <c r="AH493" s="238" t="s">
        <v>1212</v>
      </c>
      <c r="AI493" s="238" t="s">
        <v>3096</v>
      </c>
      <c r="AJ493" s="238" t="s">
        <v>126</v>
      </c>
      <c r="AK493" s="238" t="s">
        <v>141</v>
      </c>
      <c r="AL493" t="s">
        <v>8715</v>
      </c>
      <c r="AM493" t="s">
        <v>1167</v>
      </c>
    </row>
    <row r="494" spans="1:39" hidden="1" x14ac:dyDescent="0.25">
      <c r="A494">
        <v>490</v>
      </c>
      <c r="B494">
        <v>29</v>
      </c>
      <c r="C494" s="24">
        <v>44372</v>
      </c>
      <c r="D494" s="238" t="s">
        <v>19</v>
      </c>
      <c r="E494" s="238" t="s">
        <v>5</v>
      </c>
      <c r="F494">
        <v>9</v>
      </c>
      <c r="G494">
        <v>8</v>
      </c>
      <c r="H494">
        <v>236</v>
      </c>
      <c r="I494" s="238" t="s">
        <v>43</v>
      </c>
      <c r="J494">
        <v>60.3</v>
      </c>
      <c r="K494" s="238" t="s">
        <v>37</v>
      </c>
      <c r="L494">
        <v>3396421.25</v>
      </c>
      <c r="M494">
        <v>15000</v>
      </c>
      <c r="N494">
        <v>3411421.25</v>
      </c>
      <c r="O494">
        <v>56574.150082918743</v>
      </c>
      <c r="P494">
        <v>271350</v>
      </c>
      <c r="Q494">
        <v>3140071.25</v>
      </c>
      <c r="R494">
        <v>52074.150082918743</v>
      </c>
      <c r="S494" s="238" t="s">
        <v>137</v>
      </c>
      <c r="T494" s="238" t="s">
        <v>1167</v>
      </c>
      <c r="V494" t="s">
        <v>4091</v>
      </c>
      <c r="W494" s="24">
        <v>44366</v>
      </c>
      <c r="X494" s="238" t="s">
        <v>621</v>
      </c>
      <c r="Y494" s="238" t="s">
        <v>39</v>
      </c>
      <c r="Z494" s="238" t="s">
        <v>1340</v>
      </c>
      <c r="AA494" t="s">
        <v>1167</v>
      </c>
      <c r="AB494" s="238" t="s">
        <v>3246</v>
      </c>
      <c r="AC494" t="s">
        <v>3079</v>
      </c>
      <c r="AD494" s="24"/>
      <c r="AE494" s="238" t="s">
        <v>2112</v>
      </c>
      <c r="AF494">
        <v>79247904986</v>
      </c>
      <c r="AG494" s="238" t="s">
        <v>2113</v>
      </c>
      <c r="AH494" s="238" t="s">
        <v>1212</v>
      </c>
      <c r="AI494" s="238" t="s">
        <v>3088</v>
      </c>
      <c r="AJ494" s="238" t="s">
        <v>399</v>
      </c>
      <c r="AK494" s="238" t="s">
        <v>141</v>
      </c>
      <c r="AL494" t="s">
        <v>8715</v>
      </c>
      <c r="AM494" t="s">
        <v>1167</v>
      </c>
    </row>
    <row r="495" spans="1:39" hidden="1" x14ac:dyDescent="0.25">
      <c r="A495">
        <v>491</v>
      </c>
      <c r="B495">
        <v>30</v>
      </c>
      <c r="C495" s="24">
        <v>44372</v>
      </c>
      <c r="D495" s="238" t="s">
        <v>27</v>
      </c>
      <c r="E495" s="238" t="s">
        <v>15</v>
      </c>
      <c r="F495">
        <v>3</v>
      </c>
      <c r="G495">
        <v>3</v>
      </c>
      <c r="H495">
        <v>522</v>
      </c>
      <c r="I495" s="238" t="s">
        <v>4052</v>
      </c>
      <c r="J495">
        <v>23.54</v>
      </c>
      <c r="K495" s="238" t="s">
        <v>36</v>
      </c>
      <c r="L495">
        <v>1377560.8</v>
      </c>
      <c r="M495">
        <v>0</v>
      </c>
      <c r="N495">
        <v>1377560.8</v>
      </c>
      <c r="O495">
        <v>58520.000000000007</v>
      </c>
      <c r="P495">
        <v>0</v>
      </c>
      <c r="Q495">
        <v>1377560.8</v>
      </c>
      <c r="R495">
        <v>58520.000000000007</v>
      </c>
      <c r="S495" s="238" t="s">
        <v>124</v>
      </c>
      <c r="T495" s="238" t="s">
        <v>1167</v>
      </c>
      <c r="V495" t="s">
        <v>1167</v>
      </c>
      <c r="W495" s="24">
        <v>44367</v>
      </c>
      <c r="X495" s="238" t="s">
        <v>620</v>
      </c>
      <c r="Y495" s="238" t="s">
        <v>39</v>
      </c>
      <c r="Z495" s="238" t="s">
        <v>1168</v>
      </c>
      <c r="AA495" t="s">
        <v>1167</v>
      </c>
      <c r="AB495" s="238" t="s">
        <v>3246</v>
      </c>
      <c r="AC495" t="s">
        <v>4246</v>
      </c>
      <c r="AD495" s="24"/>
      <c r="AE495" s="238" t="s">
        <v>2114</v>
      </c>
      <c r="AF495">
        <v>79022386217</v>
      </c>
      <c r="AG495" s="238" t="s">
        <v>2115</v>
      </c>
      <c r="AH495" s="238" t="s">
        <v>1212</v>
      </c>
      <c r="AI495" s="238" t="s">
        <v>3090</v>
      </c>
      <c r="AJ495" s="238" t="s">
        <v>399</v>
      </c>
      <c r="AK495" s="238" t="s">
        <v>1167</v>
      </c>
      <c r="AL495" t="s">
        <v>8715</v>
      </c>
      <c r="AM495" t="s">
        <v>1167</v>
      </c>
    </row>
    <row r="496" spans="1:39" hidden="1" x14ac:dyDescent="0.25">
      <c r="A496">
        <v>492</v>
      </c>
      <c r="B496">
        <v>31</v>
      </c>
      <c r="C496" s="24">
        <v>44373</v>
      </c>
      <c r="D496" s="238" t="s">
        <v>19</v>
      </c>
      <c r="E496" s="238" t="s">
        <v>6</v>
      </c>
      <c r="F496">
        <v>1</v>
      </c>
      <c r="G496">
        <v>8</v>
      </c>
      <c r="H496">
        <v>43</v>
      </c>
      <c r="I496" s="238" t="s">
        <v>43</v>
      </c>
      <c r="J496">
        <v>59.52</v>
      </c>
      <c r="K496" s="238" t="s">
        <v>36</v>
      </c>
      <c r="L496">
        <v>3170608.61</v>
      </c>
      <c r="M496">
        <v>15000</v>
      </c>
      <c r="N496">
        <v>3185608.61</v>
      </c>
      <c r="O496">
        <v>53521.650033602149</v>
      </c>
      <c r="P496">
        <v>0</v>
      </c>
      <c r="Q496">
        <v>3185608.61</v>
      </c>
      <c r="R496">
        <v>53521.650033602149</v>
      </c>
      <c r="S496" s="238" t="s">
        <v>137</v>
      </c>
      <c r="T496" s="238" t="s">
        <v>1167</v>
      </c>
      <c r="V496" t="s">
        <v>4091</v>
      </c>
      <c r="W496" s="24">
        <v>44367</v>
      </c>
      <c r="X496" s="238" t="s">
        <v>622</v>
      </c>
      <c r="Y496" s="238" t="s">
        <v>39</v>
      </c>
      <c r="Z496" s="238" t="s">
        <v>1340</v>
      </c>
      <c r="AA496" t="s">
        <v>1167</v>
      </c>
      <c r="AB496" s="238" t="s">
        <v>3246</v>
      </c>
      <c r="AC496" t="s">
        <v>3079</v>
      </c>
      <c r="AD496" s="24"/>
      <c r="AE496" s="238" t="s">
        <v>2116</v>
      </c>
      <c r="AF496">
        <v>79171083700</v>
      </c>
      <c r="AG496" s="238" t="s">
        <v>2117</v>
      </c>
      <c r="AH496" s="238" t="s">
        <v>1171</v>
      </c>
      <c r="AI496" s="238" t="s">
        <v>135</v>
      </c>
      <c r="AJ496" s="238" t="s">
        <v>130</v>
      </c>
      <c r="AK496" s="238" t="s">
        <v>141</v>
      </c>
      <c r="AL496" t="s">
        <v>8715</v>
      </c>
      <c r="AM496" t="s">
        <v>1167</v>
      </c>
    </row>
    <row r="497" spans="1:39" hidden="1" x14ac:dyDescent="0.25">
      <c r="A497">
        <v>493</v>
      </c>
      <c r="B497">
        <v>32</v>
      </c>
      <c r="C497" s="24">
        <v>44373</v>
      </c>
      <c r="D497" s="238" t="s">
        <v>19</v>
      </c>
      <c r="E497" s="238" t="s">
        <v>5</v>
      </c>
      <c r="F497">
        <v>5</v>
      </c>
      <c r="G497">
        <v>13</v>
      </c>
      <c r="H497">
        <v>287</v>
      </c>
      <c r="I497" s="238" t="s">
        <v>43</v>
      </c>
      <c r="J497">
        <v>60.19</v>
      </c>
      <c r="K497" s="238" t="s">
        <v>38</v>
      </c>
      <c r="L497">
        <v>3819281.68</v>
      </c>
      <c r="M497">
        <v>0</v>
      </c>
      <c r="N497">
        <v>3819281.68</v>
      </c>
      <c r="O497">
        <v>63453.757767070951</v>
      </c>
      <c r="P497">
        <v>902850</v>
      </c>
      <c r="Q497">
        <v>2916431.68</v>
      </c>
      <c r="R497">
        <v>48453.757767070943</v>
      </c>
      <c r="S497" s="238" t="s">
        <v>137</v>
      </c>
      <c r="T497" s="238" t="s">
        <v>350</v>
      </c>
      <c r="U497">
        <v>59519.015899999533</v>
      </c>
      <c r="V497" t="s">
        <v>4091</v>
      </c>
      <c r="W497" s="24">
        <v>44367</v>
      </c>
      <c r="X497" s="238" t="s">
        <v>623</v>
      </c>
      <c r="Y497" s="238" t="s">
        <v>39</v>
      </c>
      <c r="Z497" s="238" t="s">
        <v>1340</v>
      </c>
      <c r="AA497" t="s">
        <v>1167</v>
      </c>
      <c r="AB497" s="238" t="s">
        <v>3246</v>
      </c>
      <c r="AC497" t="s">
        <v>3079</v>
      </c>
      <c r="AD497" s="24"/>
      <c r="AE497" s="238" t="s">
        <v>2118</v>
      </c>
      <c r="AF497">
        <v>79179455220</v>
      </c>
      <c r="AG497" s="238" t="s">
        <v>2119</v>
      </c>
      <c r="AH497" s="238" t="s">
        <v>1212</v>
      </c>
      <c r="AI497" s="238" t="s">
        <v>3090</v>
      </c>
      <c r="AJ497" s="238" t="s">
        <v>399</v>
      </c>
      <c r="AK497" s="238" t="s">
        <v>141</v>
      </c>
      <c r="AL497" t="s">
        <v>8715</v>
      </c>
      <c r="AM497" t="s">
        <v>1167</v>
      </c>
    </row>
    <row r="498" spans="1:39" hidden="1" x14ac:dyDescent="0.25">
      <c r="A498">
        <v>494</v>
      </c>
      <c r="B498">
        <v>33</v>
      </c>
      <c r="C498" s="24">
        <v>44376</v>
      </c>
      <c r="D498" s="238" t="s">
        <v>19</v>
      </c>
      <c r="E498" s="238" t="s">
        <v>6</v>
      </c>
      <c r="F498">
        <v>2</v>
      </c>
      <c r="G498">
        <v>7</v>
      </c>
      <c r="H498">
        <v>37</v>
      </c>
      <c r="I498" s="238" t="s">
        <v>43</v>
      </c>
      <c r="J498">
        <v>58.99</v>
      </c>
      <c r="K498" s="238" t="s">
        <v>37</v>
      </c>
      <c r="L498">
        <v>3506403.94</v>
      </c>
      <c r="M498">
        <v>0</v>
      </c>
      <c r="N498">
        <v>3506403.94</v>
      </c>
      <c r="O498">
        <v>59440.649940667907</v>
      </c>
      <c r="P498">
        <v>265455</v>
      </c>
      <c r="Q498">
        <v>3240948.94</v>
      </c>
      <c r="R498">
        <v>54940.649940667907</v>
      </c>
      <c r="S498" s="238" t="s">
        <v>137</v>
      </c>
      <c r="T498" s="238" t="s">
        <v>1167</v>
      </c>
      <c r="V498" t="s">
        <v>1167</v>
      </c>
      <c r="W498" s="24">
        <v>44355</v>
      </c>
      <c r="X498" s="238" t="s">
        <v>624</v>
      </c>
      <c r="Y498" s="238" t="s">
        <v>39</v>
      </c>
      <c r="Z498" s="238" t="s">
        <v>1168</v>
      </c>
      <c r="AA498" t="s">
        <v>1167</v>
      </c>
      <c r="AB498" s="238" t="s">
        <v>3246</v>
      </c>
      <c r="AC498" t="s">
        <v>3108</v>
      </c>
      <c r="AD498" s="24"/>
      <c r="AE498" s="238" t="s">
        <v>2120</v>
      </c>
      <c r="AF498">
        <v>79377955076</v>
      </c>
      <c r="AG498" s="238" t="s">
        <v>2121</v>
      </c>
      <c r="AH498" s="238" t="s">
        <v>1212</v>
      </c>
      <c r="AI498" s="238" t="s">
        <v>135</v>
      </c>
      <c r="AJ498" s="238" t="s">
        <v>130</v>
      </c>
      <c r="AK498" s="238" t="s">
        <v>141</v>
      </c>
      <c r="AL498" t="s">
        <v>8715</v>
      </c>
      <c r="AM498" t="s">
        <v>1167</v>
      </c>
    </row>
    <row r="499" spans="1:39" hidden="1" x14ac:dyDescent="0.25">
      <c r="A499">
        <v>495</v>
      </c>
      <c r="B499">
        <v>34</v>
      </c>
      <c r="C499" s="24">
        <v>44376</v>
      </c>
      <c r="D499" s="238" t="s">
        <v>27</v>
      </c>
      <c r="E499" s="238" t="s">
        <v>5</v>
      </c>
      <c r="F499">
        <v>5</v>
      </c>
      <c r="G499">
        <v>4</v>
      </c>
      <c r="H499">
        <v>228</v>
      </c>
      <c r="I499" s="238" t="s">
        <v>4052</v>
      </c>
      <c r="J499">
        <v>23.63</v>
      </c>
      <c r="K499" s="238" t="s">
        <v>37</v>
      </c>
      <c r="L499">
        <v>1405985</v>
      </c>
      <c r="M499">
        <v>0</v>
      </c>
      <c r="N499">
        <v>1405985</v>
      </c>
      <c r="O499">
        <v>59500</v>
      </c>
      <c r="P499">
        <v>106335</v>
      </c>
      <c r="Q499">
        <v>1299650</v>
      </c>
      <c r="R499">
        <v>55000</v>
      </c>
      <c r="S499" s="238" t="s">
        <v>121</v>
      </c>
      <c r="T499" s="238" t="s">
        <v>1167</v>
      </c>
      <c r="V499" t="s">
        <v>1167</v>
      </c>
      <c r="W499" s="24">
        <v>44357</v>
      </c>
      <c r="X499" s="238" t="s">
        <v>626</v>
      </c>
      <c r="Y499" s="238" t="s">
        <v>39</v>
      </c>
      <c r="Z499" s="238" t="s">
        <v>1168</v>
      </c>
      <c r="AA499" t="s">
        <v>1167</v>
      </c>
      <c r="AB499" s="238" t="s">
        <v>3246</v>
      </c>
      <c r="AC499" t="s">
        <v>4246</v>
      </c>
      <c r="AD499" s="24"/>
      <c r="AE499" s="238" t="s">
        <v>2122</v>
      </c>
      <c r="AF499">
        <v>79376527447</v>
      </c>
      <c r="AG499" s="238" t="s">
        <v>2123</v>
      </c>
      <c r="AH499" s="238" t="s">
        <v>1171</v>
      </c>
      <c r="AI499" s="238" t="s">
        <v>135</v>
      </c>
      <c r="AJ499" s="238" t="s">
        <v>130</v>
      </c>
      <c r="AK499" s="238" t="s">
        <v>1167</v>
      </c>
      <c r="AL499" t="s">
        <v>8715</v>
      </c>
      <c r="AM499" t="s">
        <v>1167</v>
      </c>
    </row>
    <row r="500" spans="1:39" hidden="1" x14ac:dyDescent="0.25">
      <c r="A500">
        <v>496</v>
      </c>
      <c r="B500">
        <v>35</v>
      </c>
      <c r="C500" s="24">
        <v>44376</v>
      </c>
      <c r="D500" s="238" t="s">
        <v>20</v>
      </c>
      <c r="E500" s="238" t="s">
        <v>5</v>
      </c>
      <c r="F500">
        <v>2</v>
      </c>
      <c r="G500">
        <v>21</v>
      </c>
      <c r="H500">
        <v>285</v>
      </c>
      <c r="I500" s="238" t="s">
        <v>43</v>
      </c>
      <c r="J500">
        <v>65.8</v>
      </c>
      <c r="K500" s="238" t="s">
        <v>36</v>
      </c>
      <c r="L500">
        <v>3651312.5</v>
      </c>
      <c r="M500">
        <v>0</v>
      </c>
      <c r="N500">
        <v>3651312.5</v>
      </c>
      <c r="O500">
        <v>55491.071428571428</v>
      </c>
      <c r="P500">
        <v>34375</v>
      </c>
      <c r="Q500">
        <v>3616937.5</v>
      </c>
      <c r="R500">
        <v>54968.655015197568</v>
      </c>
      <c r="S500" s="238" t="s">
        <v>137</v>
      </c>
      <c r="T500" s="238" t="s">
        <v>1167</v>
      </c>
      <c r="V500" t="s">
        <v>1167</v>
      </c>
      <c r="W500" s="24">
        <v>44365</v>
      </c>
      <c r="X500" s="238" t="s">
        <v>627</v>
      </c>
      <c r="Y500" s="238" t="s">
        <v>39</v>
      </c>
      <c r="Z500" s="238" t="s">
        <v>1168</v>
      </c>
      <c r="AA500" t="s">
        <v>1167</v>
      </c>
      <c r="AB500" s="238" t="s">
        <v>3124</v>
      </c>
      <c r="AC500" t="s">
        <v>3077</v>
      </c>
      <c r="AD500" s="24"/>
      <c r="AE500" s="238" t="s">
        <v>2124</v>
      </c>
      <c r="AF500">
        <v>79370688870</v>
      </c>
      <c r="AG500" s="238" t="s">
        <v>2125</v>
      </c>
      <c r="AH500" s="238" t="s">
        <v>1212</v>
      </c>
      <c r="AI500" s="238" t="s">
        <v>3097</v>
      </c>
      <c r="AJ500" s="238" t="s">
        <v>130</v>
      </c>
      <c r="AK500" s="238" t="s">
        <v>141</v>
      </c>
      <c r="AL500" t="s">
        <v>8715</v>
      </c>
      <c r="AM500" t="s">
        <v>1167</v>
      </c>
    </row>
    <row r="501" spans="1:39" hidden="1" x14ac:dyDescent="0.25">
      <c r="A501">
        <v>497</v>
      </c>
      <c r="B501">
        <v>36</v>
      </c>
      <c r="C501" s="24">
        <v>44376</v>
      </c>
      <c r="D501" s="238" t="s">
        <v>19</v>
      </c>
      <c r="E501" s="238" t="s">
        <v>6</v>
      </c>
      <c r="F501">
        <v>5</v>
      </c>
      <c r="G501">
        <v>13</v>
      </c>
      <c r="H501">
        <v>82</v>
      </c>
      <c r="I501" s="238" t="s">
        <v>42</v>
      </c>
      <c r="J501">
        <v>36.42</v>
      </c>
      <c r="K501" s="238" t="s">
        <v>37</v>
      </c>
      <c r="L501">
        <v>2448337.7799999998</v>
      </c>
      <c r="M501">
        <v>0</v>
      </c>
      <c r="N501">
        <v>2448337.7799999998</v>
      </c>
      <c r="O501">
        <v>67225.090060406365</v>
      </c>
      <c r="P501">
        <v>200310</v>
      </c>
      <c r="Q501">
        <v>2248027.7799999998</v>
      </c>
      <c r="R501">
        <v>61725.090060406365</v>
      </c>
      <c r="S501" s="238" t="s">
        <v>137</v>
      </c>
      <c r="T501" s="238" t="s">
        <v>1167</v>
      </c>
      <c r="V501" t="s">
        <v>1167</v>
      </c>
      <c r="W501" s="24">
        <v>44370</v>
      </c>
      <c r="X501" s="238" t="s">
        <v>625</v>
      </c>
      <c r="Y501" s="238" t="s">
        <v>39</v>
      </c>
      <c r="Z501" s="238" t="s">
        <v>1340</v>
      </c>
      <c r="AA501" t="s">
        <v>1167</v>
      </c>
      <c r="AB501" s="238" t="s">
        <v>3246</v>
      </c>
      <c r="AC501" t="s">
        <v>3077</v>
      </c>
      <c r="AD501" s="24"/>
      <c r="AE501" s="238" t="s">
        <v>2126</v>
      </c>
      <c r="AF501">
        <v>79608336513</v>
      </c>
      <c r="AG501" s="238" t="s">
        <v>2127</v>
      </c>
      <c r="AH501" s="238" t="s">
        <v>1212</v>
      </c>
      <c r="AI501" s="238" t="s">
        <v>135</v>
      </c>
      <c r="AJ501" s="238" t="s">
        <v>399</v>
      </c>
      <c r="AK501" s="238" t="s">
        <v>141</v>
      </c>
      <c r="AL501" t="s">
        <v>8715</v>
      </c>
      <c r="AM501" t="s">
        <v>1167</v>
      </c>
    </row>
    <row r="502" spans="1:39" hidden="1" x14ac:dyDescent="0.25">
      <c r="A502">
        <v>498</v>
      </c>
      <c r="B502">
        <v>37</v>
      </c>
      <c r="C502" s="24">
        <v>44377</v>
      </c>
      <c r="D502" s="238" t="s">
        <v>19</v>
      </c>
      <c r="E502" s="238" t="s">
        <v>5</v>
      </c>
      <c r="F502">
        <v>2</v>
      </c>
      <c r="G502">
        <v>15</v>
      </c>
      <c r="H502">
        <v>306</v>
      </c>
      <c r="I502" s="238" t="s">
        <v>42</v>
      </c>
      <c r="J502">
        <v>38.22</v>
      </c>
      <c r="K502" s="238" t="s">
        <v>37</v>
      </c>
      <c r="L502">
        <v>1860003.05</v>
      </c>
      <c r="M502">
        <v>0</v>
      </c>
      <c r="N502">
        <v>1860003.05</v>
      </c>
      <c r="O502">
        <v>48665.699895342754</v>
      </c>
      <c r="P502">
        <v>171990</v>
      </c>
      <c r="Q502">
        <v>1688013.05</v>
      </c>
      <c r="R502">
        <v>44165.699895342754</v>
      </c>
      <c r="S502" s="238" t="s">
        <v>124</v>
      </c>
      <c r="T502" s="238" t="s">
        <v>350</v>
      </c>
      <c r="U502">
        <v>241207.95</v>
      </c>
      <c r="V502" t="s">
        <v>1167</v>
      </c>
      <c r="W502" s="24">
        <v>44351</v>
      </c>
      <c r="X502" s="238" t="s">
        <v>642</v>
      </c>
      <c r="Y502" s="238" t="s">
        <v>39</v>
      </c>
      <c r="Z502" s="238" t="s">
        <v>1168</v>
      </c>
      <c r="AA502" t="s">
        <v>1167</v>
      </c>
      <c r="AB502" s="238" t="s">
        <v>3246</v>
      </c>
      <c r="AC502" t="s">
        <v>4246</v>
      </c>
      <c r="AD502" s="24"/>
      <c r="AE502" s="238" t="s">
        <v>2128</v>
      </c>
      <c r="AF502">
        <v>79270104567</v>
      </c>
      <c r="AG502" s="238" t="s">
        <v>2129</v>
      </c>
      <c r="AH502" s="238" t="s">
        <v>1764</v>
      </c>
      <c r="AI502" s="238" t="s">
        <v>3101</v>
      </c>
      <c r="AJ502" s="238" t="s">
        <v>126</v>
      </c>
      <c r="AK502" s="238" t="s">
        <v>1167</v>
      </c>
      <c r="AL502" t="s">
        <v>8715</v>
      </c>
      <c r="AM502" t="s">
        <v>1167</v>
      </c>
    </row>
    <row r="503" spans="1:39" hidden="1" x14ac:dyDescent="0.25">
      <c r="A503">
        <v>499</v>
      </c>
      <c r="B503">
        <v>38</v>
      </c>
      <c r="C503" s="24">
        <v>44377</v>
      </c>
      <c r="D503" s="238" t="s">
        <v>27</v>
      </c>
      <c r="E503" s="238" t="s">
        <v>15</v>
      </c>
      <c r="F503">
        <v>8</v>
      </c>
      <c r="G503">
        <v>12</v>
      </c>
      <c r="H503">
        <v>599</v>
      </c>
      <c r="I503" s="238" t="s">
        <v>43</v>
      </c>
      <c r="J503">
        <v>55.8</v>
      </c>
      <c r="K503" s="238" t="s">
        <v>37</v>
      </c>
      <c r="L503">
        <v>2804508</v>
      </c>
      <c r="M503">
        <v>0</v>
      </c>
      <c r="N503">
        <v>2804508</v>
      </c>
      <c r="O503">
        <v>50260</v>
      </c>
      <c r="P503">
        <v>251100</v>
      </c>
      <c r="Q503">
        <v>2553408</v>
      </c>
      <c r="R503">
        <v>45760</v>
      </c>
      <c r="S503" s="238" t="s">
        <v>137</v>
      </c>
      <c r="T503" s="238" t="s">
        <v>1167</v>
      </c>
      <c r="V503" t="s">
        <v>4091</v>
      </c>
      <c r="W503" s="24">
        <v>44377</v>
      </c>
      <c r="X503" s="238" t="s">
        <v>635</v>
      </c>
      <c r="Y503" s="238" t="s">
        <v>39</v>
      </c>
      <c r="Z503" s="238" t="s">
        <v>1340</v>
      </c>
      <c r="AA503" t="s">
        <v>1167</v>
      </c>
      <c r="AB503" s="238" t="s">
        <v>3246</v>
      </c>
      <c r="AC503" t="s">
        <v>3079</v>
      </c>
      <c r="AD503" s="24"/>
      <c r="AE503" s="238" t="s">
        <v>2130</v>
      </c>
      <c r="AF503">
        <v>79379990599</v>
      </c>
      <c r="AG503" s="238" t="s">
        <v>2131</v>
      </c>
      <c r="AH503" s="238" t="s">
        <v>1171</v>
      </c>
      <c r="AI503" s="238" t="s">
        <v>3090</v>
      </c>
      <c r="AJ503" s="238" t="s">
        <v>399</v>
      </c>
      <c r="AK503" s="238" t="s">
        <v>141</v>
      </c>
      <c r="AL503" t="s">
        <v>8715</v>
      </c>
      <c r="AM503" t="s">
        <v>1167</v>
      </c>
    </row>
    <row r="504" spans="1:39" hidden="1" x14ac:dyDescent="0.25">
      <c r="A504">
        <v>500</v>
      </c>
      <c r="B504">
        <v>39</v>
      </c>
      <c r="C504" s="24">
        <v>44377</v>
      </c>
      <c r="D504" s="238" t="s">
        <v>27</v>
      </c>
      <c r="E504" s="238" t="s">
        <v>15</v>
      </c>
      <c r="F504">
        <v>8</v>
      </c>
      <c r="G504">
        <v>7</v>
      </c>
      <c r="H504">
        <v>559</v>
      </c>
      <c r="I504" s="238" t="s">
        <v>43</v>
      </c>
      <c r="J504">
        <v>55.8</v>
      </c>
      <c r="K504" s="238" t="s">
        <v>36</v>
      </c>
      <c r="L504">
        <v>2553408</v>
      </c>
      <c r="M504">
        <v>0</v>
      </c>
      <c r="N504">
        <v>2553408</v>
      </c>
      <c r="O504">
        <v>45760</v>
      </c>
      <c r="P504">
        <v>0</v>
      </c>
      <c r="Q504">
        <v>2553408</v>
      </c>
      <c r="R504">
        <v>45760</v>
      </c>
      <c r="S504" s="238" t="s">
        <v>137</v>
      </c>
      <c r="T504" s="238" t="s">
        <v>1167</v>
      </c>
      <c r="V504" t="s">
        <v>4091</v>
      </c>
      <c r="W504" s="24">
        <v>44377</v>
      </c>
      <c r="X504" s="238" t="s">
        <v>636</v>
      </c>
      <c r="Y504" s="238" t="s">
        <v>39</v>
      </c>
      <c r="Z504" s="238" t="s">
        <v>1340</v>
      </c>
      <c r="AA504" t="s">
        <v>1167</v>
      </c>
      <c r="AB504" s="238" t="s">
        <v>3246</v>
      </c>
      <c r="AC504" t="s">
        <v>3079</v>
      </c>
      <c r="AD504" s="24"/>
      <c r="AE504" s="238" t="s">
        <v>2132</v>
      </c>
      <c r="AF504">
        <v>79272035723</v>
      </c>
      <c r="AG504" s="238" t="s">
        <v>2133</v>
      </c>
      <c r="AH504" s="238" t="s">
        <v>135</v>
      </c>
      <c r="AI504" s="238" t="s">
        <v>3099</v>
      </c>
      <c r="AJ504" s="238" t="s">
        <v>130</v>
      </c>
      <c r="AK504" s="238" t="s">
        <v>141</v>
      </c>
      <c r="AL504" t="s">
        <v>8715</v>
      </c>
      <c r="AM504" t="s">
        <v>1167</v>
      </c>
    </row>
    <row r="505" spans="1:39" hidden="1" x14ac:dyDescent="0.25">
      <c r="A505">
        <v>501</v>
      </c>
      <c r="B505">
        <v>40</v>
      </c>
      <c r="C505" s="24">
        <v>44377</v>
      </c>
      <c r="D505" s="238" t="s">
        <v>27</v>
      </c>
      <c r="E505" s="238" t="s">
        <v>15</v>
      </c>
      <c r="F505">
        <v>5</v>
      </c>
      <c r="G505">
        <v>15</v>
      </c>
      <c r="H505">
        <v>620</v>
      </c>
      <c r="I505" s="238" t="s">
        <v>4052</v>
      </c>
      <c r="J505">
        <v>23.63</v>
      </c>
      <c r="K505" s="238" t="s">
        <v>37</v>
      </c>
      <c r="L505">
        <v>1405985</v>
      </c>
      <c r="M505">
        <v>0</v>
      </c>
      <c r="N505">
        <v>1405985</v>
      </c>
      <c r="O505">
        <v>59500</v>
      </c>
      <c r="P505">
        <v>106335</v>
      </c>
      <c r="Q505">
        <v>1299650</v>
      </c>
      <c r="R505">
        <v>55000</v>
      </c>
      <c r="S505" s="238" t="s">
        <v>137</v>
      </c>
      <c r="T505" s="238" t="s">
        <v>1167</v>
      </c>
      <c r="V505" t="s">
        <v>1167</v>
      </c>
      <c r="W505" s="24">
        <v>44363</v>
      </c>
      <c r="X505" s="238" t="s">
        <v>632</v>
      </c>
      <c r="Y505" s="238" t="s">
        <v>39</v>
      </c>
      <c r="Z505" s="238" t="s">
        <v>1340</v>
      </c>
      <c r="AA505" t="s">
        <v>1167</v>
      </c>
      <c r="AB505" s="238" t="s">
        <v>3246</v>
      </c>
      <c r="AC505" t="s">
        <v>3079</v>
      </c>
      <c r="AD505" s="24"/>
      <c r="AE505" s="238" t="s">
        <v>2134</v>
      </c>
      <c r="AF505">
        <v>79397129145</v>
      </c>
      <c r="AG505" s="238" t="s">
        <v>2135</v>
      </c>
      <c r="AH505" s="238" t="s">
        <v>1212</v>
      </c>
      <c r="AI505" s="238" t="s">
        <v>135</v>
      </c>
      <c r="AJ505" s="238" t="s">
        <v>399</v>
      </c>
      <c r="AK505" s="238" t="s">
        <v>141</v>
      </c>
      <c r="AL505" t="s">
        <v>8715</v>
      </c>
      <c r="AM505" t="s">
        <v>1167</v>
      </c>
    </row>
    <row r="506" spans="1:39" hidden="1" x14ac:dyDescent="0.25">
      <c r="A506">
        <v>502</v>
      </c>
      <c r="B506">
        <v>41</v>
      </c>
      <c r="C506" s="24">
        <v>44377</v>
      </c>
      <c r="D506" s="238" t="s">
        <v>27</v>
      </c>
      <c r="E506" s="238" t="s">
        <v>5</v>
      </c>
      <c r="F506">
        <v>3</v>
      </c>
      <c r="G506">
        <v>12</v>
      </c>
      <c r="H506">
        <v>290</v>
      </c>
      <c r="I506" s="238" t="s">
        <v>4052</v>
      </c>
      <c r="J506">
        <v>23.54</v>
      </c>
      <c r="K506" s="238" t="s">
        <v>36</v>
      </c>
      <c r="L506">
        <v>1279700</v>
      </c>
      <c r="M506">
        <v>15000</v>
      </c>
      <c r="N506">
        <v>1294700</v>
      </c>
      <c r="O506">
        <v>55000</v>
      </c>
      <c r="P506">
        <v>0</v>
      </c>
      <c r="Q506">
        <v>1294700</v>
      </c>
      <c r="R506">
        <v>55000</v>
      </c>
      <c r="S506" s="238" t="s">
        <v>137</v>
      </c>
      <c r="T506" s="238" t="s">
        <v>1167</v>
      </c>
      <c r="V506" t="s">
        <v>1167</v>
      </c>
      <c r="W506" s="24">
        <v>44363</v>
      </c>
      <c r="X506" s="238" t="s">
        <v>630</v>
      </c>
      <c r="Y506" s="238" t="s">
        <v>39</v>
      </c>
      <c r="Z506" s="238" t="s">
        <v>1340</v>
      </c>
      <c r="AA506" t="s">
        <v>1167</v>
      </c>
      <c r="AB506" s="238" t="s">
        <v>3246</v>
      </c>
      <c r="AC506" t="s">
        <v>3079</v>
      </c>
      <c r="AD506" s="24"/>
      <c r="AE506" s="238" t="s">
        <v>2136</v>
      </c>
      <c r="AF506">
        <v>79277347430</v>
      </c>
      <c r="AG506" s="238" t="s">
        <v>2137</v>
      </c>
      <c r="AH506" s="238" t="s">
        <v>1171</v>
      </c>
      <c r="AI506" s="238" t="s">
        <v>3074</v>
      </c>
      <c r="AJ506" s="238" t="s">
        <v>130</v>
      </c>
      <c r="AK506" s="238" t="s">
        <v>141</v>
      </c>
      <c r="AL506" t="s">
        <v>8715</v>
      </c>
      <c r="AM506" t="s">
        <v>1167</v>
      </c>
    </row>
    <row r="507" spans="1:39" hidden="1" x14ac:dyDescent="0.25">
      <c r="A507">
        <v>503</v>
      </c>
      <c r="B507">
        <v>42</v>
      </c>
      <c r="C507" s="24">
        <v>44377</v>
      </c>
      <c r="D507" s="238" t="s">
        <v>27</v>
      </c>
      <c r="E507" s="238" t="s">
        <v>5</v>
      </c>
      <c r="F507">
        <v>8</v>
      </c>
      <c r="G507">
        <v>9</v>
      </c>
      <c r="H507">
        <v>271</v>
      </c>
      <c r="I507" s="238" t="s">
        <v>43</v>
      </c>
      <c r="J507">
        <v>55.8</v>
      </c>
      <c r="K507" s="238" t="s">
        <v>36</v>
      </c>
      <c r="L507">
        <v>2700720</v>
      </c>
      <c r="M507">
        <v>0</v>
      </c>
      <c r="N507">
        <v>2700720</v>
      </c>
      <c r="O507">
        <v>48400</v>
      </c>
      <c r="P507">
        <v>0</v>
      </c>
      <c r="Q507">
        <v>2700720</v>
      </c>
      <c r="R507">
        <v>48400</v>
      </c>
      <c r="S507" s="238" t="s">
        <v>137</v>
      </c>
      <c r="T507" s="238" t="s">
        <v>1167</v>
      </c>
      <c r="V507" t="s">
        <v>4091</v>
      </c>
      <c r="W507" s="24">
        <v>44366</v>
      </c>
      <c r="X507" s="238" t="s">
        <v>638</v>
      </c>
      <c r="Y507" s="238" t="s">
        <v>39</v>
      </c>
      <c r="Z507" s="238" t="s">
        <v>1340</v>
      </c>
      <c r="AA507" t="s">
        <v>1167</v>
      </c>
      <c r="AB507" s="238" t="s">
        <v>3246</v>
      </c>
      <c r="AC507" t="s">
        <v>3079</v>
      </c>
      <c r="AD507" s="24"/>
      <c r="AE507" s="238" t="s">
        <v>2138</v>
      </c>
      <c r="AF507">
        <v>79023790894</v>
      </c>
      <c r="AG507" s="238" t="s">
        <v>2139</v>
      </c>
      <c r="AH507" s="238" t="s">
        <v>1212</v>
      </c>
      <c r="AI507" s="238" t="s">
        <v>3074</v>
      </c>
      <c r="AJ507" s="238" t="s">
        <v>399</v>
      </c>
      <c r="AK507" s="238" t="s">
        <v>141</v>
      </c>
      <c r="AL507" t="s">
        <v>8715</v>
      </c>
      <c r="AM507" t="s">
        <v>1167</v>
      </c>
    </row>
    <row r="508" spans="1:39" hidden="1" x14ac:dyDescent="0.25">
      <c r="A508">
        <v>504</v>
      </c>
      <c r="B508">
        <v>43</v>
      </c>
      <c r="C508" s="24">
        <v>44377</v>
      </c>
      <c r="D508" s="238" t="s">
        <v>27</v>
      </c>
      <c r="E508" s="238" t="s">
        <v>15</v>
      </c>
      <c r="F508">
        <v>2</v>
      </c>
      <c r="G508">
        <v>8</v>
      </c>
      <c r="H508">
        <v>561</v>
      </c>
      <c r="I508" s="238" t="s">
        <v>42</v>
      </c>
      <c r="J508">
        <v>37.159999999999997</v>
      </c>
      <c r="K508" s="238" t="s">
        <v>36</v>
      </c>
      <c r="L508">
        <v>1880296</v>
      </c>
      <c r="M508">
        <v>0</v>
      </c>
      <c r="N508">
        <v>1880296</v>
      </c>
      <c r="O508">
        <v>50600.000000000007</v>
      </c>
      <c r="P508">
        <v>0</v>
      </c>
      <c r="Q508">
        <v>1880296</v>
      </c>
      <c r="R508">
        <v>50600.000000000007</v>
      </c>
      <c r="S508" s="238" t="s">
        <v>137</v>
      </c>
      <c r="T508" s="238" t="s">
        <v>1167</v>
      </c>
      <c r="V508" t="s">
        <v>1167</v>
      </c>
      <c r="W508" s="24">
        <v>44369</v>
      </c>
      <c r="X508" s="238" t="s">
        <v>634</v>
      </c>
      <c r="Y508" s="238" t="s">
        <v>39</v>
      </c>
      <c r="Z508" s="238" t="s">
        <v>1340</v>
      </c>
      <c r="AA508" t="s">
        <v>1167</v>
      </c>
      <c r="AB508" s="238" t="s">
        <v>3246</v>
      </c>
      <c r="AC508" t="s">
        <v>3079</v>
      </c>
      <c r="AD508" s="24"/>
      <c r="AE508" s="238" t="s">
        <v>2140</v>
      </c>
      <c r="AF508">
        <v>79272002970</v>
      </c>
      <c r="AG508" s="238" t="s">
        <v>2141</v>
      </c>
      <c r="AH508" s="238" t="s">
        <v>1171</v>
      </c>
      <c r="AI508" s="238" t="s">
        <v>3088</v>
      </c>
      <c r="AJ508" s="238" t="s">
        <v>399</v>
      </c>
      <c r="AK508" s="238" t="s">
        <v>141</v>
      </c>
      <c r="AL508" t="s">
        <v>8715</v>
      </c>
      <c r="AM508" t="s">
        <v>1167</v>
      </c>
    </row>
    <row r="509" spans="1:39" hidden="1" x14ac:dyDescent="0.25">
      <c r="A509">
        <v>505</v>
      </c>
      <c r="B509">
        <v>44</v>
      </c>
      <c r="C509" s="24">
        <v>44377</v>
      </c>
      <c r="D509" s="238" t="s">
        <v>27</v>
      </c>
      <c r="E509" s="238" t="s">
        <v>15</v>
      </c>
      <c r="F509">
        <v>4</v>
      </c>
      <c r="G509">
        <v>3</v>
      </c>
      <c r="H509">
        <v>523</v>
      </c>
      <c r="I509" s="238" t="s">
        <v>42</v>
      </c>
      <c r="J509">
        <v>40</v>
      </c>
      <c r="K509" s="238" t="s">
        <v>36</v>
      </c>
      <c r="L509">
        <v>2024000</v>
      </c>
      <c r="M509">
        <v>0</v>
      </c>
      <c r="N509">
        <v>2024000</v>
      </c>
      <c r="O509">
        <v>50600</v>
      </c>
      <c r="P509">
        <v>0</v>
      </c>
      <c r="Q509">
        <v>2024000</v>
      </c>
      <c r="R509">
        <v>50600</v>
      </c>
      <c r="S509" s="238" t="s">
        <v>137</v>
      </c>
      <c r="T509" s="238" t="s">
        <v>1167</v>
      </c>
      <c r="V509" t="s">
        <v>1167</v>
      </c>
      <c r="W509" s="24">
        <v>44371</v>
      </c>
      <c r="X509" s="238" t="s">
        <v>629</v>
      </c>
      <c r="Y509" s="238" t="s">
        <v>39</v>
      </c>
      <c r="Z509" s="238" t="s">
        <v>1340</v>
      </c>
      <c r="AA509" t="s">
        <v>1167</v>
      </c>
      <c r="AB509" s="238" t="s">
        <v>3246</v>
      </c>
      <c r="AC509" t="s">
        <v>3079</v>
      </c>
      <c r="AD509" s="24"/>
      <c r="AE509" s="238" t="s">
        <v>2142</v>
      </c>
      <c r="AF509">
        <v>79871585557</v>
      </c>
      <c r="AG509" s="238" t="s">
        <v>2143</v>
      </c>
      <c r="AH509" s="238" t="s">
        <v>1171</v>
      </c>
      <c r="AI509" s="238" t="s">
        <v>135</v>
      </c>
      <c r="AJ509" s="238" t="s">
        <v>130</v>
      </c>
      <c r="AK509" s="238" t="s">
        <v>141</v>
      </c>
      <c r="AL509" t="s">
        <v>8715</v>
      </c>
      <c r="AM509" t="s">
        <v>1167</v>
      </c>
    </row>
    <row r="510" spans="1:39" hidden="1" x14ac:dyDescent="0.25">
      <c r="A510">
        <v>506</v>
      </c>
      <c r="B510">
        <v>45</v>
      </c>
      <c r="C510" s="24">
        <v>44377</v>
      </c>
      <c r="D510" s="238" t="s">
        <v>27</v>
      </c>
      <c r="E510" s="238" t="s">
        <v>16</v>
      </c>
      <c r="F510">
        <v>7</v>
      </c>
      <c r="G510">
        <v>14</v>
      </c>
      <c r="H510">
        <v>494</v>
      </c>
      <c r="I510" s="238" t="s">
        <v>43</v>
      </c>
      <c r="J510">
        <v>59.93</v>
      </c>
      <c r="K510" s="238" t="s">
        <v>37</v>
      </c>
      <c r="L510">
        <v>3414811.4</v>
      </c>
      <c r="M510">
        <v>0</v>
      </c>
      <c r="N510">
        <v>3414811.4</v>
      </c>
      <c r="O510">
        <v>56980</v>
      </c>
      <c r="P510">
        <v>329615</v>
      </c>
      <c r="Q510">
        <v>3085196.4</v>
      </c>
      <c r="R510">
        <v>51480</v>
      </c>
      <c r="S510" s="238" t="s">
        <v>137</v>
      </c>
      <c r="T510" s="238" t="s">
        <v>1167</v>
      </c>
      <c r="V510" t="s">
        <v>4091</v>
      </c>
      <c r="W510" s="24">
        <v>44371</v>
      </c>
      <c r="X510" s="238" t="s">
        <v>631</v>
      </c>
      <c r="Y510" s="238" t="s">
        <v>39</v>
      </c>
      <c r="Z510" s="238" t="s">
        <v>1340</v>
      </c>
      <c r="AA510" t="s">
        <v>1167</v>
      </c>
      <c r="AB510" s="238" t="s">
        <v>3246</v>
      </c>
      <c r="AC510" t="s">
        <v>3079</v>
      </c>
      <c r="AD510" s="24"/>
      <c r="AE510" s="238" t="s">
        <v>2144</v>
      </c>
      <c r="AF510">
        <v>79176229812</v>
      </c>
      <c r="AG510" s="238" t="s">
        <v>2145</v>
      </c>
      <c r="AH510" s="238" t="s">
        <v>1212</v>
      </c>
      <c r="AI510" s="238" t="s">
        <v>135</v>
      </c>
      <c r="AJ510" s="238" t="s">
        <v>126</v>
      </c>
      <c r="AK510" s="238" t="s">
        <v>141</v>
      </c>
      <c r="AL510" t="s">
        <v>8715</v>
      </c>
      <c r="AM510" t="s">
        <v>1167</v>
      </c>
    </row>
    <row r="511" spans="1:39" hidden="1" x14ac:dyDescent="0.25">
      <c r="A511">
        <v>507</v>
      </c>
      <c r="B511">
        <v>46</v>
      </c>
      <c r="C511" s="24">
        <v>44377</v>
      </c>
      <c r="D511" s="238" t="s">
        <v>27</v>
      </c>
      <c r="E511" s="238" t="s">
        <v>15</v>
      </c>
      <c r="F511">
        <v>1</v>
      </c>
      <c r="G511">
        <v>12</v>
      </c>
      <c r="H511">
        <v>592</v>
      </c>
      <c r="I511" s="238" t="s">
        <v>44</v>
      </c>
      <c r="J511">
        <v>82.27</v>
      </c>
      <c r="K511" s="238" t="s">
        <v>36</v>
      </c>
      <c r="L511">
        <v>3764675.2</v>
      </c>
      <c r="M511">
        <v>0</v>
      </c>
      <c r="N511">
        <v>3764675.2</v>
      </c>
      <c r="O511">
        <v>45760.000000000007</v>
      </c>
      <c r="P511">
        <v>0</v>
      </c>
      <c r="Q511">
        <v>3764675.2</v>
      </c>
      <c r="R511">
        <v>45760.000000000007</v>
      </c>
      <c r="S511" s="238" t="s">
        <v>137</v>
      </c>
      <c r="T511" s="238" t="s">
        <v>1167</v>
      </c>
      <c r="V511" t="s">
        <v>1167</v>
      </c>
      <c r="W511" s="24">
        <v>44372</v>
      </c>
      <c r="X511" s="238" t="s">
        <v>633</v>
      </c>
      <c r="Y511" s="238" t="s">
        <v>39</v>
      </c>
      <c r="Z511" s="238" t="s">
        <v>1340</v>
      </c>
      <c r="AA511" t="s">
        <v>1167</v>
      </c>
      <c r="AB511" s="238" t="s">
        <v>3246</v>
      </c>
      <c r="AC511" t="s">
        <v>3079</v>
      </c>
      <c r="AD511" s="24"/>
      <c r="AE511" s="238" t="s">
        <v>2146</v>
      </c>
      <c r="AF511">
        <v>79178171646</v>
      </c>
      <c r="AG511" s="238" t="s">
        <v>2147</v>
      </c>
      <c r="AH511" s="238" t="s">
        <v>1212</v>
      </c>
      <c r="AI511" s="238" t="s">
        <v>135</v>
      </c>
      <c r="AJ511" s="238" t="s">
        <v>120</v>
      </c>
      <c r="AK511" s="238" t="s">
        <v>141</v>
      </c>
      <c r="AL511" t="s">
        <v>8715</v>
      </c>
      <c r="AM511" t="s">
        <v>1167</v>
      </c>
    </row>
    <row r="512" spans="1:39" hidden="1" x14ac:dyDescent="0.25">
      <c r="A512">
        <v>508</v>
      </c>
      <c r="B512">
        <v>47</v>
      </c>
      <c r="C512" s="24">
        <v>44377</v>
      </c>
      <c r="D512" s="238" t="s">
        <v>27</v>
      </c>
      <c r="E512" s="238" t="s">
        <v>15</v>
      </c>
      <c r="F512">
        <v>3</v>
      </c>
      <c r="G512">
        <v>10</v>
      </c>
      <c r="H512">
        <v>578</v>
      </c>
      <c r="I512" s="238" t="s">
        <v>4052</v>
      </c>
      <c r="J512">
        <v>23.54</v>
      </c>
      <c r="K512" s="238" t="s">
        <v>36</v>
      </c>
      <c r="L512">
        <v>1377560.8</v>
      </c>
      <c r="M512">
        <v>0</v>
      </c>
      <c r="N512">
        <v>1377560.8</v>
      </c>
      <c r="O512">
        <v>58520.000000000007</v>
      </c>
      <c r="P512">
        <v>0</v>
      </c>
      <c r="Q512">
        <v>1377560.8</v>
      </c>
      <c r="R512">
        <v>58520.000000000007</v>
      </c>
      <c r="S512" s="238" t="s">
        <v>124</v>
      </c>
      <c r="T512" s="238" t="s">
        <v>1167</v>
      </c>
      <c r="V512" t="s">
        <v>1167</v>
      </c>
      <c r="W512" s="24">
        <v>44372</v>
      </c>
      <c r="X512" s="238" t="s">
        <v>639</v>
      </c>
      <c r="Y512" s="238" t="s">
        <v>39</v>
      </c>
      <c r="Z512" s="238" t="s">
        <v>1168</v>
      </c>
      <c r="AA512" t="s">
        <v>1167</v>
      </c>
      <c r="AB512" s="238" t="s">
        <v>3246</v>
      </c>
      <c r="AC512" t="s">
        <v>4246</v>
      </c>
      <c r="AD512" s="24"/>
      <c r="AE512" s="238" t="s">
        <v>2148</v>
      </c>
      <c r="AF512">
        <v>79170363999</v>
      </c>
      <c r="AG512" s="238" t="s">
        <v>2149</v>
      </c>
      <c r="AH512" s="238" t="s">
        <v>1171</v>
      </c>
      <c r="AI512" s="238" t="s">
        <v>3074</v>
      </c>
      <c r="AJ512" s="238" t="s">
        <v>130</v>
      </c>
      <c r="AK512" s="238" t="s">
        <v>1167</v>
      </c>
      <c r="AL512" t="s">
        <v>8715</v>
      </c>
      <c r="AM512" t="s">
        <v>1167</v>
      </c>
    </row>
    <row r="513" spans="1:39" hidden="1" x14ac:dyDescent="0.25">
      <c r="A513">
        <v>509</v>
      </c>
      <c r="B513">
        <v>48</v>
      </c>
      <c r="C513" s="24">
        <v>44377</v>
      </c>
      <c r="D513" s="238" t="s">
        <v>19</v>
      </c>
      <c r="E513" s="238" t="s">
        <v>6</v>
      </c>
      <c r="F513">
        <v>4</v>
      </c>
      <c r="G513">
        <v>6</v>
      </c>
      <c r="H513">
        <v>32</v>
      </c>
      <c r="I513" s="238" t="s">
        <v>42</v>
      </c>
      <c r="J513">
        <v>36.86</v>
      </c>
      <c r="K513" s="238" t="s">
        <v>38</v>
      </c>
      <c r="L513">
        <v>2623522.66</v>
      </c>
      <c r="M513">
        <v>0</v>
      </c>
      <c r="N513">
        <v>2623522.66</v>
      </c>
      <c r="O513">
        <v>71175.32989690722</v>
      </c>
      <c r="P513">
        <v>552900</v>
      </c>
      <c r="Q513">
        <v>2070622.6600000001</v>
      </c>
      <c r="R513">
        <v>56175.32989690722</v>
      </c>
      <c r="S513" s="238" t="s">
        <v>137</v>
      </c>
      <c r="T513" s="238" t="s">
        <v>1167</v>
      </c>
      <c r="V513" t="s">
        <v>1167</v>
      </c>
      <c r="W513" s="24">
        <v>44373</v>
      </c>
      <c r="X513" s="238" t="s">
        <v>628</v>
      </c>
      <c r="Y513" s="238" t="s">
        <v>39</v>
      </c>
      <c r="Z513" s="238" t="s">
        <v>1340</v>
      </c>
      <c r="AA513" t="s">
        <v>1167</v>
      </c>
      <c r="AB513" s="238" t="s">
        <v>3246</v>
      </c>
      <c r="AC513" t="s">
        <v>3079</v>
      </c>
      <c r="AD513" s="24"/>
      <c r="AE513" s="238" t="s">
        <v>2150</v>
      </c>
      <c r="AF513">
        <v>79370715050</v>
      </c>
      <c r="AG513" s="238" t="s">
        <v>2151</v>
      </c>
      <c r="AH513" s="238" t="s">
        <v>1171</v>
      </c>
      <c r="AI513" s="238" t="s">
        <v>3074</v>
      </c>
      <c r="AJ513" s="238" t="s">
        <v>399</v>
      </c>
      <c r="AK513" s="238" t="s">
        <v>141</v>
      </c>
      <c r="AL513" t="s">
        <v>8715</v>
      </c>
      <c r="AM513" t="s">
        <v>1167</v>
      </c>
    </row>
    <row r="514" spans="1:39" hidden="1" x14ac:dyDescent="0.25">
      <c r="A514">
        <v>510</v>
      </c>
      <c r="B514">
        <v>49</v>
      </c>
      <c r="C514" s="24">
        <v>44377</v>
      </c>
      <c r="D514" s="238" t="s">
        <v>27</v>
      </c>
      <c r="E514" s="238" t="s">
        <v>5</v>
      </c>
      <c r="F514">
        <v>6</v>
      </c>
      <c r="G514">
        <v>12</v>
      </c>
      <c r="H514">
        <v>293</v>
      </c>
      <c r="I514" s="238" t="s">
        <v>42</v>
      </c>
      <c r="J514">
        <v>37.11</v>
      </c>
      <c r="K514" s="238" t="s">
        <v>36</v>
      </c>
      <c r="L514">
        <v>2090035.2</v>
      </c>
      <c r="M514">
        <v>0</v>
      </c>
      <c r="N514">
        <v>2090035.2</v>
      </c>
      <c r="O514">
        <v>56320</v>
      </c>
      <c r="P514">
        <v>0</v>
      </c>
      <c r="Q514">
        <v>2090035.2</v>
      </c>
      <c r="R514">
        <v>56320</v>
      </c>
      <c r="S514" s="238" t="s">
        <v>121</v>
      </c>
      <c r="T514" s="238" t="s">
        <v>1167</v>
      </c>
      <c r="V514" t="s">
        <v>1167</v>
      </c>
      <c r="W514" s="24">
        <v>44374</v>
      </c>
      <c r="X514" s="238" t="s">
        <v>640</v>
      </c>
      <c r="Y514" s="238" t="s">
        <v>39</v>
      </c>
      <c r="Z514" s="238" t="s">
        <v>1168</v>
      </c>
      <c r="AA514" t="s">
        <v>1167</v>
      </c>
      <c r="AB514" s="238" t="s">
        <v>3246</v>
      </c>
      <c r="AC514" t="s">
        <v>4246</v>
      </c>
      <c r="AD514" s="24"/>
      <c r="AE514" s="238" t="s">
        <v>2152</v>
      </c>
      <c r="AF514">
        <v>79967477441</v>
      </c>
      <c r="AG514" s="238" t="s">
        <v>1954</v>
      </c>
      <c r="AH514" s="238" t="s">
        <v>1212</v>
      </c>
      <c r="AI514" s="238" t="s">
        <v>3082</v>
      </c>
      <c r="AJ514" s="238" t="s">
        <v>641</v>
      </c>
      <c r="AK514" s="238" t="s">
        <v>1167</v>
      </c>
      <c r="AL514" t="s">
        <v>8715</v>
      </c>
      <c r="AM514" t="s">
        <v>1167</v>
      </c>
    </row>
    <row r="515" spans="1:39" hidden="1" x14ac:dyDescent="0.25">
      <c r="A515">
        <v>511</v>
      </c>
      <c r="B515">
        <v>50</v>
      </c>
      <c r="C515" s="24">
        <v>44377</v>
      </c>
      <c r="D515" s="238" t="s">
        <v>27</v>
      </c>
      <c r="E515" s="238" t="s">
        <v>15</v>
      </c>
      <c r="F515">
        <v>6</v>
      </c>
      <c r="G515">
        <v>4</v>
      </c>
      <c r="H515">
        <v>533</v>
      </c>
      <c r="I515" s="238" t="s">
        <v>42</v>
      </c>
      <c r="J515">
        <v>37.11</v>
      </c>
      <c r="K515" s="238" t="s">
        <v>37</v>
      </c>
      <c r="L515">
        <v>2044761</v>
      </c>
      <c r="M515">
        <v>0</v>
      </c>
      <c r="N515">
        <v>2044761</v>
      </c>
      <c r="O515">
        <v>55100</v>
      </c>
      <c r="P515">
        <v>166995</v>
      </c>
      <c r="Q515">
        <v>1877766</v>
      </c>
      <c r="R515">
        <v>50600</v>
      </c>
      <c r="S515" s="238" t="s">
        <v>137</v>
      </c>
      <c r="T515" s="238" t="s">
        <v>1167</v>
      </c>
      <c r="V515" t="s">
        <v>1167</v>
      </c>
      <c r="W515" s="24">
        <v>44389</v>
      </c>
      <c r="X515" s="238" t="s">
        <v>637</v>
      </c>
      <c r="Y515" s="238" t="s">
        <v>39</v>
      </c>
      <c r="Z515" s="238" t="s">
        <v>1340</v>
      </c>
      <c r="AA515" t="s">
        <v>1167</v>
      </c>
      <c r="AB515" s="238" t="s">
        <v>3246</v>
      </c>
      <c r="AC515" t="s">
        <v>3079</v>
      </c>
      <c r="AD515" s="24"/>
      <c r="AE515" s="238" t="s">
        <v>3550</v>
      </c>
      <c r="AF515">
        <v>79140133611</v>
      </c>
      <c r="AG515" s="238" t="s">
        <v>3551</v>
      </c>
      <c r="AH515" s="238" t="s">
        <v>1171</v>
      </c>
      <c r="AI515" s="238" t="s">
        <v>135</v>
      </c>
      <c r="AJ515" s="238" t="s">
        <v>120</v>
      </c>
      <c r="AK515" s="238" t="s">
        <v>141</v>
      </c>
      <c r="AL515" t="s">
        <v>8715</v>
      </c>
      <c r="AM515" t="s">
        <v>1167</v>
      </c>
    </row>
    <row r="516" spans="1:39" hidden="1" x14ac:dyDescent="0.25">
      <c r="A516">
        <v>512</v>
      </c>
      <c r="B516">
        <v>1</v>
      </c>
      <c r="C516" s="24">
        <v>44392</v>
      </c>
      <c r="D516" s="238" t="s">
        <v>19</v>
      </c>
      <c r="E516" s="238" t="s">
        <v>5</v>
      </c>
      <c r="F516">
        <v>8</v>
      </c>
      <c r="G516">
        <v>2</v>
      </c>
      <c r="H516">
        <v>169</v>
      </c>
      <c r="I516" s="238" t="s">
        <v>43</v>
      </c>
      <c r="J516">
        <v>56.93</v>
      </c>
      <c r="K516" s="238" t="s">
        <v>37</v>
      </c>
      <c r="L516">
        <v>3147582.84</v>
      </c>
      <c r="M516">
        <v>0</v>
      </c>
      <c r="N516">
        <v>3147582.84</v>
      </c>
      <c r="O516">
        <v>55288.649920955555</v>
      </c>
      <c r="P516">
        <v>313115</v>
      </c>
      <c r="Q516">
        <v>2834467.84</v>
      </c>
      <c r="R516">
        <v>49788.649920955555</v>
      </c>
      <c r="S516" s="238" t="s">
        <v>124</v>
      </c>
      <c r="T516" s="238" t="s">
        <v>1167</v>
      </c>
      <c r="V516" t="s">
        <v>1167</v>
      </c>
      <c r="W516" s="24">
        <v>44388</v>
      </c>
      <c r="X516" s="238" t="s">
        <v>645</v>
      </c>
      <c r="Y516" s="238" t="s">
        <v>39</v>
      </c>
      <c r="Z516" s="238" t="s">
        <v>1340</v>
      </c>
      <c r="AA516" t="s">
        <v>1167</v>
      </c>
      <c r="AB516" s="238" t="s">
        <v>3246</v>
      </c>
      <c r="AC516" t="s">
        <v>4246</v>
      </c>
      <c r="AD516" s="24"/>
      <c r="AE516" s="238" t="s">
        <v>2155</v>
      </c>
      <c r="AF516">
        <v>79242250013</v>
      </c>
      <c r="AG516" s="238" t="s">
        <v>2156</v>
      </c>
      <c r="AH516" s="238" t="s">
        <v>1171</v>
      </c>
      <c r="AI516" s="238" t="s">
        <v>135</v>
      </c>
      <c r="AJ516" s="238" t="s">
        <v>126</v>
      </c>
      <c r="AK516" s="238" t="s">
        <v>1167</v>
      </c>
      <c r="AL516" t="s">
        <v>8715</v>
      </c>
      <c r="AM516" t="s">
        <v>1167</v>
      </c>
    </row>
    <row r="517" spans="1:39" hidden="1" x14ac:dyDescent="0.25">
      <c r="A517">
        <v>513</v>
      </c>
      <c r="B517">
        <v>2</v>
      </c>
      <c r="C517" s="24">
        <v>44393</v>
      </c>
      <c r="D517" s="238" t="s">
        <v>19</v>
      </c>
      <c r="E517" s="238" t="s">
        <v>5</v>
      </c>
      <c r="F517">
        <v>2</v>
      </c>
      <c r="G517">
        <v>14</v>
      </c>
      <c r="H517">
        <v>295</v>
      </c>
      <c r="I517" s="238" t="s">
        <v>42</v>
      </c>
      <c r="J517">
        <v>38.22</v>
      </c>
      <c r="K517" s="238" t="s">
        <v>38</v>
      </c>
      <c r="L517">
        <v>2261313.0499999998</v>
      </c>
      <c r="M517">
        <v>0</v>
      </c>
      <c r="N517">
        <v>2261313.0499999998</v>
      </c>
      <c r="O517">
        <v>59165.699895342746</v>
      </c>
      <c r="P517">
        <v>573300</v>
      </c>
      <c r="Q517">
        <v>1688013.0499999998</v>
      </c>
      <c r="R517">
        <v>44165.699895342746</v>
      </c>
      <c r="S517" s="238" t="s">
        <v>137</v>
      </c>
      <c r="T517" s="238" t="s">
        <v>350</v>
      </c>
      <c r="U517">
        <v>241207.95279999985</v>
      </c>
      <c r="V517" t="s">
        <v>4091</v>
      </c>
      <c r="W517" s="24">
        <v>44376</v>
      </c>
      <c r="X517" s="238" t="s">
        <v>646</v>
      </c>
      <c r="Y517" s="238" t="s">
        <v>39</v>
      </c>
      <c r="Z517" s="238" t="s">
        <v>1168</v>
      </c>
      <c r="AA517" t="s">
        <v>1167</v>
      </c>
      <c r="AB517" s="238" t="s">
        <v>3246</v>
      </c>
      <c r="AC517" t="s">
        <v>3079</v>
      </c>
      <c r="AD517" s="24"/>
      <c r="AE517" s="238" t="s">
        <v>2157</v>
      </c>
      <c r="AF517">
        <v>79871596808</v>
      </c>
      <c r="AG517" s="238" t="s">
        <v>2158</v>
      </c>
      <c r="AH517" s="238" t="s">
        <v>1171</v>
      </c>
      <c r="AI517" s="238" t="s">
        <v>3094</v>
      </c>
      <c r="AJ517" s="238" t="s">
        <v>126</v>
      </c>
      <c r="AK517" s="238" t="s">
        <v>141</v>
      </c>
      <c r="AL517" t="s">
        <v>8715</v>
      </c>
      <c r="AM517" t="s">
        <v>1167</v>
      </c>
    </row>
    <row r="518" spans="1:39" hidden="1" x14ac:dyDescent="0.25">
      <c r="A518">
        <v>514</v>
      </c>
      <c r="B518">
        <v>3</v>
      </c>
      <c r="C518" s="24">
        <v>44393</v>
      </c>
      <c r="D518" s="238" t="s">
        <v>19</v>
      </c>
      <c r="E518" s="238" t="s">
        <v>5</v>
      </c>
      <c r="F518">
        <v>9</v>
      </c>
      <c r="G518">
        <v>14</v>
      </c>
      <c r="H518">
        <v>302</v>
      </c>
      <c r="I518" s="238" t="s">
        <v>43</v>
      </c>
      <c r="J518">
        <v>60.3</v>
      </c>
      <c r="K518" s="238" t="s">
        <v>37</v>
      </c>
      <c r="L518">
        <v>3507901.25</v>
      </c>
      <c r="M518">
        <v>0</v>
      </c>
      <c r="N518">
        <v>3507901.25</v>
      </c>
      <c r="O518">
        <v>58174.150082918743</v>
      </c>
      <c r="P518">
        <v>331650</v>
      </c>
      <c r="Q518">
        <v>3176251.25</v>
      </c>
      <c r="R518">
        <v>52674.150082918743</v>
      </c>
      <c r="S518" s="238" t="s">
        <v>137</v>
      </c>
      <c r="T518" s="238" t="s">
        <v>1167</v>
      </c>
      <c r="V518" t="s">
        <v>4091</v>
      </c>
      <c r="W518" s="24">
        <v>44390</v>
      </c>
      <c r="X518" s="238" t="s">
        <v>647</v>
      </c>
      <c r="Y518" s="238" t="s">
        <v>39</v>
      </c>
      <c r="Z518" s="238" t="s">
        <v>1340</v>
      </c>
      <c r="AA518" t="s">
        <v>1167</v>
      </c>
      <c r="AB518" s="238" t="s">
        <v>3246</v>
      </c>
      <c r="AC518" t="s">
        <v>3079</v>
      </c>
      <c r="AD518" s="24"/>
      <c r="AE518" s="238" t="s">
        <v>2159</v>
      </c>
      <c r="AF518">
        <v>79276902449</v>
      </c>
      <c r="AG518" s="238" t="s">
        <v>2160</v>
      </c>
      <c r="AH518" s="238" t="s">
        <v>135</v>
      </c>
      <c r="AI518" s="238" t="s">
        <v>3075</v>
      </c>
      <c r="AJ518" s="238" t="s">
        <v>130</v>
      </c>
      <c r="AK518" s="238" t="s">
        <v>141</v>
      </c>
      <c r="AL518" t="s">
        <v>8715</v>
      </c>
      <c r="AM518" t="s">
        <v>1167</v>
      </c>
    </row>
    <row r="519" spans="1:39" hidden="1" x14ac:dyDescent="0.25">
      <c r="A519">
        <v>515</v>
      </c>
      <c r="B519">
        <v>4</v>
      </c>
      <c r="C519" s="24">
        <v>44396</v>
      </c>
      <c r="D519" s="238" t="s">
        <v>20</v>
      </c>
      <c r="E519" s="238" t="s">
        <v>5</v>
      </c>
      <c r="F519">
        <v>2</v>
      </c>
      <c r="G519">
        <v>23</v>
      </c>
      <c r="H519">
        <v>299</v>
      </c>
      <c r="I519" s="238" t="s">
        <v>43</v>
      </c>
      <c r="J519">
        <v>63.9</v>
      </c>
      <c r="K519" s="238" t="s">
        <v>37</v>
      </c>
      <c r="L519">
        <v>3813308</v>
      </c>
      <c r="M519">
        <v>15000</v>
      </c>
      <c r="N519">
        <v>3828308</v>
      </c>
      <c r="O519">
        <v>59910.923317683882</v>
      </c>
      <c r="P519">
        <v>313960</v>
      </c>
      <c r="Q519">
        <v>3514348</v>
      </c>
      <c r="R519">
        <v>54997.621283255088</v>
      </c>
      <c r="S519" s="238" t="s">
        <v>137</v>
      </c>
      <c r="T519" s="238" t="s">
        <v>1167</v>
      </c>
      <c r="V519" t="s">
        <v>1167</v>
      </c>
      <c r="W519" s="24">
        <v>44354</v>
      </c>
      <c r="X519" s="238" t="s">
        <v>648</v>
      </c>
      <c r="Y519" s="238" t="s">
        <v>39</v>
      </c>
      <c r="Z519" s="238" t="s">
        <v>1168</v>
      </c>
      <c r="AA519" t="s">
        <v>1167</v>
      </c>
      <c r="AB519" s="238" t="s">
        <v>3124</v>
      </c>
      <c r="AC519" t="s">
        <v>3076</v>
      </c>
      <c r="AD519" s="24"/>
      <c r="AE519" s="238" t="s">
        <v>2161</v>
      </c>
      <c r="AF519">
        <v>79376554007</v>
      </c>
      <c r="AG519" s="238" t="s">
        <v>1167</v>
      </c>
      <c r="AH519" s="238" t="s">
        <v>1171</v>
      </c>
      <c r="AI519" s="238" t="s">
        <v>3097</v>
      </c>
      <c r="AJ519" s="238" t="s">
        <v>130</v>
      </c>
      <c r="AK519" s="238" t="s">
        <v>141</v>
      </c>
      <c r="AL519" t="s">
        <v>8715</v>
      </c>
      <c r="AM519" t="s">
        <v>1167</v>
      </c>
    </row>
    <row r="520" spans="1:39" hidden="1" x14ac:dyDescent="0.25">
      <c r="A520">
        <v>516</v>
      </c>
      <c r="B520">
        <v>5</v>
      </c>
      <c r="C520" s="24">
        <v>44397</v>
      </c>
      <c r="D520" s="238" t="s">
        <v>27</v>
      </c>
      <c r="E520" s="238" t="s">
        <v>15</v>
      </c>
      <c r="F520">
        <v>5</v>
      </c>
      <c r="G520">
        <v>3</v>
      </c>
      <c r="H520">
        <v>524</v>
      </c>
      <c r="I520" s="238" t="s">
        <v>4052</v>
      </c>
      <c r="J520">
        <v>23.63</v>
      </c>
      <c r="K520" s="238" t="s">
        <v>37</v>
      </c>
      <c r="L520">
        <v>1429615</v>
      </c>
      <c r="M520">
        <v>0</v>
      </c>
      <c r="N520">
        <v>1429615</v>
      </c>
      <c r="O520">
        <v>60500</v>
      </c>
      <c r="P520">
        <v>129965</v>
      </c>
      <c r="Q520">
        <v>1299650</v>
      </c>
      <c r="R520">
        <v>55000</v>
      </c>
      <c r="S520" s="238" t="s">
        <v>137</v>
      </c>
      <c r="T520" s="238" t="s">
        <v>1167</v>
      </c>
      <c r="V520" t="s">
        <v>1167</v>
      </c>
      <c r="W520" s="24">
        <v>44385</v>
      </c>
      <c r="X520" s="238" t="s">
        <v>649</v>
      </c>
      <c r="Y520" s="238" t="s">
        <v>39</v>
      </c>
      <c r="Z520" s="238" t="s">
        <v>1340</v>
      </c>
      <c r="AA520" t="s">
        <v>1167</v>
      </c>
      <c r="AB520" s="238" t="s">
        <v>3246</v>
      </c>
      <c r="AC520" t="s">
        <v>3079</v>
      </c>
      <c r="AD520" s="24"/>
      <c r="AE520" s="238" t="s">
        <v>2162</v>
      </c>
      <c r="AF520">
        <v>79372091310</v>
      </c>
      <c r="AG520" s="238" t="s">
        <v>2163</v>
      </c>
      <c r="AH520" s="238" t="s">
        <v>1212</v>
      </c>
      <c r="AI520" s="238" t="s">
        <v>135</v>
      </c>
      <c r="AJ520" s="238" t="s">
        <v>126</v>
      </c>
      <c r="AK520" s="238" t="s">
        <v>141</v>
      </c>
      <c r="AL520" t="s">
        <v>8715</v>
      </c>
      <c r="AM520" t="s">
        <v>1167</v>
      </c>
    </row>
    <row r="521" spans="1:39" hidden="1" x14ac:dyDescent="0.25">
      <c r="A521">
        <v>517</v>
      </c>
      <c r="B521">
        <v>6</v>
      </c>
      <c r="C521" s="24">
        <v>44398</v>
      </c>
      <c r="D521" s="238" t="s">
        <v>27</v>
      </c>
      <c r="E521" s="238" t="s">
        <v>15</v>
      </c>
      <c r="F521">
        <v>8</v>
      </c>
      <c r="G521">
        <v>11</v>
      </c>
      <c r="H521">
        <v>591</v>
      </c>
      <c r="I521" s="238" t="s">
        <v>43</v>
      </c>
      <c r="J521">
        <v>55.8</v>
      </c>
      <c r="K521" s="238" t="s">
        <v>38</v>
      </c>
      <c r="L521">
        <v>3446208</v>
      </c>
      <c r="M521">
        <v>0</v>
      </c>
      <c r="N521">
        <v>3446208</v>
      </c>
      <c r="O521">
        <v>61760</v>
      </c>
      <c r="P521">
        <v>892800</v>
      </c>
      <c r="Q521">
        <v>2553408</v>
      </c>
      <c r="R521">
        <v>45760</v>
      </c>
      <c r="S521" s="238" t="s">
        <v>137</v>
      </c>
      <c r="T521" s="238" t="s">
        <v>1167</v>
      </c>
      <c r="V521" t="s">
        <v>4091</v>
      </c>
      <c r="W521" s="24">
        <v>44391</v>
      </c>
      <c r="X521" s="238" t="s">
        <v>650</v>
      </c>
      <c r="Y521" s="238" t="s">
        <v>39</v>
      </c>
      <c r="Z521" s="238" t="s">
        <v>1340</v>
      </c>
      <c r="AA521" t="s">
        <v>1167</v>
      </c>
      <c r="AB521" s="238" t="s">
        <v>3246</v>
      </c>
      <c r="AC521" t="s">
        <v>3079</v>
      </c>
      <c r="AD521" s="24"/>
      <c r="AE521" s="238" t="s">
        <v>2164</v>
      </c>
      <c r="AF521">
        <v>79170390483</v>
      </c>
      <c r="AG521" s="238" t="s">
        <v>2165</v>
      </c>
      <c r="AH521" s="238" t="s">
        <v>1212</v>
      </c>
      <c r="AI521" s="238" t="s">
        <v>135</v>
      </c>
      <c r="AJ521" s="238" t="s">
        <v>130</v>
      </c>
      <c r="AK521" s="238" t="s">
        <v>141</v>
      </c>
      <c r="AL521" t="s">
        <v>8715</v>
      </c>
      <c r="AM521" t="s">
        <v>1167</v>
      </c>
    </row>
    <row r="522" spans="1:39" hidden="1" x14ac:dyDescent="0.25">
      <c r="A522">
        <v>518</v>
      </c>
      <c r="B522">
        <v>7</v>
      </c>
      <c r="C522" s="24">
        <v>44398</v>
      </c>
      <c r="D522" s="238" t="s">
        <v>19</v>
      </c>
      <c r="E522" s="238" t="s">
        <v>5</v>
      </c>
      <c r="F522">
        <v>8</v>
      </c>
      <c r="G522">
        <v>7</v>
      </c>
      <c r="H522">
        <v>224</v>
      </c>
      <c r="I522" s="238" t="s">
        <v>43</v>
      </c>
      <c r="J522">
        <v>56.93</v>
      </c>
      <c r="K522" s="238" t="s">
        <v>37</v>
      </c>
      <c r="L522">
        <v>3287459.85</v>
      </c>
      <c r="M522">
        <v>0</v>
      </c>
      <c r="N522">
        <v>3287459.85</v>
      </c>
      <c r="O522">
        <v>57745.649920955562</v>
      </c>
      <c r="P522">
        <v>313115</v>
      </c>
      <c r="Q522">
        <v>2974344.85</v>
      </c>
      <c r="R522">
        <v>52245.649920955562</v>
      </c>
      <c r="S522" s="238" t="s">
        <v>137</v>
      </c>
      <c r="T522" s="238" t="s">
        <v>1167</v>
      </c>
      <c r="V522" t="s">
        <v>4091</v>
      </c>
      <c r="W522" s="24">
        <v>44392</v>
      </c>
      <c r="X522" s="238" t="s">
        <v>651</v>
      </c>
      <c r="Y522" s="238" t="s">
        <v>39</v>
      </c>
      <c r="Z522" s="238" t="s">
        <v>1340</v>
      </c>
      <c r="AA522" t="s">
        <v>1167</v>
      </c>
      <c r="AB522" s="238" t="s">
        <v>3246</v>
      </c>
      <c r="AC522" t="s">
        <v>3079</v>
      </c>
      <c r="AD522" s="24"/>
      <c r="AE522" s="238" t="s">
        <v>2166</v>
      </c>
      <c r="AF522">
        <v>79171458157</v>
      </c>
      <c r="AG522" s="238" t="s">
        <v>2167</v>
      </c>
      <c r="AH522" s="238" t="s">
        <v>135</v>
      </c>
      <c r="AI522" s="238" t="s">
        <v>3075</v>
      </c>
      <c r="AJ522" s="238" t="s">
        <v>399</v>
      </c>
      <c r="AK522" s="238" t="s">
        <v>141</v>
      </c>
      <c r="AL522" t="s">
        <v>8715</v>
      </c>
      <c r="AM522" t="s">
        <v>1167</v>
      </c>
    </row>
    <row r="523" spans="1:39" hidden="1" x14ac:dyDescent="0.25">
      <c r="A523">
        <v>519</v>
      </c>
      <c r="B523">
        <v>8</v>
      </c>
      <c r="C523" s="24">
        <v>44399</v>
      </c>
      <c r="D523" s="238" t="s">
        <v>27</v>
      </c>
      <c r="E523" s="238" t="s">
        <v>5</v>
      </c>
      <c r="F523">
        <v>8</v>
      </c>
      <c r="G523">
        <v>17</v>
      </c>
      <c r="H523">
        <v>335</v>
      </c>
      <c r="I523" s="238" t="s">
        <v>43</v>
      </c>
      <c r="J523">
        <v>55.8</v>
      </c>
      <c r="K523" s="238" t="s">
        <v>37</v>
      </c>
      <c r="L523">
        <v>3007620</v>
      </c>
      <c r="M523">
        <v>0</v>
      </c>
      <c r="N523">
        <v>3007620</v>
      </c>
      <c r="O523">
        <v>53900</v>
      </c>
      <c r="P523">
        <v>306900</v>
      </c>
      <c r="Q523">
        <v>2700720</v>
      </c>
      <c r="R523">
        <v>48400</v>
      </c>
      <c r="S523" s="238" t="s">
        <v>121</v>
      </c>
      <c r="T523" s="238" t="s">
        <v>1167</v>
      </c>
      <c r="V523" t="s">
        <v>1167</v>
      </c>
      <c r="W523" s="24">
        <v>44391</v>
      </c>
      <c r="X523" s="238" t="s">
        <v>655</v>
      </c>
      <c r="Y523" s="238" t="s">
        <v>39</v>
      </c>
      <c r="Z523" s="238" t="s">
        <v>1168</v>
      </c>
      <c r="AA523" t="s">
        <v>1167</v>
      </c>
      <c r="AB523" s="238" t="s">
        <v>3246</v>
      </c>
      <c r="AC523" t="s">
        <v>4246</v>
      </c>
      <c r="AD523" s="24"/>
      <c r="AE523" s="238" t="s">
        <v>2168</v>
      </c>
      <c r="AF523">
        <v>79272603824</v>
      </c>
      <c r="AG523" s="238" t="s">
        <v>2169</v>
      </c>
      <c r="AH523" s="238" t="s">
        <v>1212</v>
      </c>
      <c r="AI523" s="238" t="s">
        <v>3097</v>
      </c>
      <c r="AJ523" s="238" t="s">
        <v>641</v>
      </c>
      <c r="AK523" s="238" t="s">
        <v>1167</v>
      </c>
      <c r="AL523" t="s">
        <v>8715</v>
      </c>
      <c r="AM523" t="s">
        <v>1167</v>
      </c>
    </row>
    <row r="524" spans="1:39" hidden="1" x14ac:dyDescent="0.25">
      <c r="A524">
        <v>520</v>
      </c>
      <c r="B524">
        <v>9</v>
      </c>
      <c r="C524" s="24">
        <v>44399</v>
      </c>
      <c r="D524" s="238" t="s">
        <v>27</v>
      </c>
      <c r="E524" s="238" t="s">
        <v>15</v>
      </c>
      <c r="F524">
        <v>8</v>
      </c>
      <c r="G524">
        <v>3</v>
      </c>
      <c r="H524">
        <v>527</v>
      </c>
      <c r="I524" s="238" t="s">
        <v>43</v>
      </c>
      <c r="J524">
        <v>55.8</v>
      </c>
      <c r="K524" s="238" t="s">
        <v>36</v>
      </c>
      <c r="L524">
        <v>2553408</v>
      </c>
      <c r="M524">
        <v>0</v>
      </c>
      <c r="N524">
        <v>2553408</v>
      </c>
      <c r="O524">
        <v>45760</v>
      </c>
      <c r="P524">
        <v>0</v>
      </c>
      <c r="Q524">
        <v>2553408</v>
      </c>
      <c r="R524">
        <v>45760</v>
      </c>
      <c r="S524" s="238" t="s">
        <v>137</v>
      </c>
      <c r="T524" s="238" t="s">
        <v>1167</v>
      </c>
      <c r="V524" t="s">
        <v>1167</v>
      </c>
      <c r="W524" s="24">
        <v>44391</v>
      </c>
      <c r="X524" s="238" t="s">
        <v>652</v>
      </c>
      <c r="Y524" s="238" t="s">
        <v>39</v>
      </c>
      <c r="Z524" s="238" t="s">
        <v>1340</v>
      </c>
      <c r="AA524" t="s">
        <v>1167</v>
      </c>
      <c r="AB524" s="238" t="s">
        <v>3246</v>
      </c>
      <c r="AC524" t="s">
        <v>3079</v>
      </c>
      <c r="AD524" s="24">
        <v>45022</v>
      </c>
      <c r="AE524" s="238" t="s">
        <v>4386</v>
      </c>
      <c r="AF524">
        <v>79871681875</v>
      </c>
      <c r="AG524" s="238" t="s">
        <v>2170</v>
      </c>
      <c r="AH524" s="238" t="s">
        <v>1212</v>
      </c>
      <c r="AI524" s="238" t="s">
        <v>3095</v>
      </c>
      <c r="AJ524" s="238" t="s">
        <v>399</v>
      </c>
      <c r="AK524" s="238" t="s">
        <v>141</v>
      </c>
      <c r="AL524" t="s">
        <v>8715</v>
      </c>
      <c r="AM524" t="s">
        <v>1167</v>
      </c>
    </row>
    <row r="525" spans="1:39" hidden="1" x14ac:dyDescent="0.25">
      <c r="A525">
        <v>521</v>
      </c>
      <c r="B525">
        <v>10</v>
      </c>
      <c r="C525" s="24">
        <v>44399</v>
      </c>
      <c r="D525" s="238" t="s">
        <v>27</v>
      </c>
      <c r="E525" s="238" t="s">
        <v>15</v>
      </c>
      <c r="F525">
        <v>3</v>
      </c>
      <c r="G525">
        <v>9</v>
      </c>
      <c r="H525">
        <v>570</v>
      </c>
      <c r="I525" s="238" t="s">
        <v>4052</v>
      </c>
      <c r="J525">
        <v>23.54</v>
      </c>
      <c r="K525" s="238" t="s">
        <v>36</v>
      </c>
      <c r="L525">
        <v>1377560.8</v>
      </c>
      <c r="M525">
        <v>0</v>
      </c>
      <c r="N525">
        <v>1377560.8</v>
      </c>
      <c r="O525">
        <v>58520.000000000007</v>
      </c>
      <c r="P525">
        <v>0</v>
      </c>
      <c r="Q525">
        <v>1377560.8</v>
      </c>
      <c r="R525">
        <v>58520.000000000007</v>
      </c>
      <c r="S525" s="238" t="s">
        <v>121</v>
      </c>
      <c r="T525" s="238" t="s">
        <v>1167</v>
      </c>
      <c r="V525" t="s">
        <v>1167</v>
      </c>
      <c r="W525" s="24">
        <v>44393</v>
      </c>
      <c r="X525" s="238" t="s">
        <v>654</v>
      </c>
      <c r="Y525" s="238" t="s">
        <v>39</v>
      </c>
      <c r="Z525" s="238" t="s">
        <v>1168</v>
      </c>
      <c r="AA525" t="s">
        <v>1167</v>
      </c>
      <c r="AB525" s="238" t="s">
        <v>3246</v>
      </c>
      <c r="AC525" t="s">
        <v>4246</v>
      </c>
      <c r="AD525" s="24"/>
      <c r="AE525" s="238" t="s">
        <v>2171</v>
      </c>
      <c r="AF525">
        <v>79376405240</v>
      </c>
      <c r="AG525" s="238" t="s">
        <v>2172</v>
      </c>
      <c r="AH525" s="238" t="s">
        <v>1171</v>
      </c>
      <c r="AI525" s="238" t="s">
        <v>135</v>
      </c>
      <c r="AJ525" s="238" t="s">
        <v>126</v>
      </c>
      <c r="AK525" s="238" t="s">
        <v>1167</v>
      </c>
      <c r="AL525" t="s">
        <v>8715</v>
      </c>
      <c r="AM525" t="s">
        <v>1167</v>
      </c>
    </row>
    <row r="526" spans="1:39" hidden="1" x14ac:dyDescent="0.25">
      <c r="A526">
        <v>522</v>
      </c>
      <c r="B526">
        <v>11</v>
      </c>
      <c r="C526" s="24">
        <v>44399</v>
      </c>
      <c r="D526" s="238" t="s">
        <v>27</v>
      </c>
      <c r="E526" s="238" t="s">
        <v>15</v>
      </c>
      <c r="F526">
        <v>4</v>
      </c>
      <c r="G526">
        <v>13</v>
      </c>
      <c r="H526">
        <v>603</v>
      </c>
      <c r="I526" s="238" t="s">
        <v>42</v>
      </c>
      <c r="J526">
        <v>40</v>
      </c>
      <c r="K526" s="238" t="s">
        <v>37</v>
      </c>
      <c r="L526">
        <v>2304720</v>
      </c>
      <c r="M526">
        <v>0</v>
      </c>
      <c r="N526">
        <v>2304720</v>
      </c>
      <c r="O526">
        <v>57618</v>
      </c>
      <c r="P526">
        <v>220000</v>
      </c>
      <c r="Q526">
        <v>2084720</v>
      </c>
      <c r="R526">
        <v>52118</v>
      </c>
      <c r="S526" s="238" t="s">
        <v>124</v>
      </c>
      <c r="T526" s="238" t="s">
        <v>1167</v>
      </c>
      <c r="V526" t="s">
        <v>1167</v>
      </c>
      <c r="W526" s="24">
        <v>44393</v>
      </c>
      <c r="X526" s="238" t="s">
        <v>653</v>
      </c>
      <c r="Y526" s="238" t="s">
        <v>39</v>
      </c>
      <c r="Z526" s="238" t="s">
        <v>1168</v>
      </c>
      <c r="AA526" t="s">
        <v>1167</v>
      </c>
      <c r="AB526" s="238" t="s">
        <v>3246</v>
      </c>
      <c r="AC526" t="s">
        <v>4246</v>
      </c>
      <c r="AD526" s="24"/>
      <c r="AE526" s="238" t="s">
        <v>2173</v>
      </c>
      <c r="AF526">
        <v>79277243574</v>
      </c>
      <c r="AG526" s="238" t="s">
        <v>2174</v>
      </c>
      <c r="AH526" s="238" t="s">
        <v>135</v>
      </c>
      <c r="AI526" s="238" t="s">
        <v>3075</v>
      </c>
      <c r="AJ526" s="238" t="s">
        <v>126</v>
      </c>
      <c r="AK526" s="238" t="s">
        <v>1167</v>
      </c>
      <c r="AL526" t="s">
        <v>8715</v>
      </c>
      <c r="AM526" t="s">
        <v>1167</v>
      </c>
    </row>
    <row r="527" spans="1:39" hidden="1" x14ac:dyDescent="0.25">
      <c r="A527">
        <v>523</v>
      </c>
      <c r="B527">
        <v>12</v>
      </c>
      <c r="C527" s="24">
        <v>44399</v>
      </c>
      <c r="D527" s="238" t="s">
        <v>19</v>
      </c>
      <c r="E527" s="238" t="s">
        <v>5</v>
      </c>
      <c r="F527">
        <v>3</v>
      </c>
      <c r="G527">
        <v>14</v>
      </c>
      <c r="H527">
        <v>296</v>
      </c>
      <c r="I527" s="238" t="s">
        <v>44</v>
      </c>
      <c r="J527">
        <v>86.58</v>
      </c>
      <c r="K527" s="238" t="s">
        <v>38</v>
      </c>
      <c r="L527">
        <v>5857509.29</v>
      </c>
      <c r="M527">
        <v>0</v>
      </c>
      <c r="N527">
        <v>5857509.29</v>
      </c>
      <c r="O527">
        <v>67654.299953799957</v>
      </c>
      <c r="P527">
        <v>1385280</v>
      </c>
      <c r="Q527">
        <v>4472229.29</v>
      </c>
      <c r="R527">
        <v>51654.299953799957</v>
      </c>
      <c r="S527" s="238" t="s">
        <v>137</v>
      </c>
      <c r="T527" s="238" t="s">
        <v>1167</v>
      </c>
      <c r="V527" t="s">
        <v>4091</v>
      </c>
      <c r="W527" s="24">
        <v>44394</v>
      </c>
      <c r="X527" s="238" t="s">
        <v>656</v>
      </c>
      <c r="Y527" s="238" t="s">
        <v>39</v>
      </c>
      <c r="Z527" s="238" t="s">
        <v>1340</v>
      </c>
      <c r="AA527" t="s">
        <v>1167</v>
      </c>
      <c r="AB527" s="238" t="s">
        <v>3246</v>
      </c>
      <c r="AC527" t="s">
        <v>3079</v>
      </c>
      <c r="AD527" s="24"/>
      <c r="AE527" s="238" t="s">
        <v>2175</v>
      </c>
      <c r="AF527">
        <v>79275598382</v>
      </c>
      <c r="AG527" s="238" t="s">
        <v>2176</v>
      </c>
      <c r="AH527" s="238" t="s">
        <v>135</v>
      </c>
      <c r="AI527" s="238" t="s">
        <v>3099</v>
      </c>
      <c r="AJ527" s="238" t="s">
        <v>641</v>
      </c>
      <c r="AK527" s="238" t="s">
        <v>141</v>
      </c>
      <c r="AL527" t="s">
        <v>8715</v>
      </c>
      <c r="AM527" t="s">
        <v>1167</v>
      </c>
    </row>
    <row r="528" spans="1:39" hidden="1" x14ac:dyDescent="0.25">
      <c r="A528">
        <v>524</v>
      </c>
      <c r="B528">
        <v>13</v>
      </c>
      <c r="C528" s="24">
        <v>44400</v>
      </c>
      <c r="D528" s="238" t="s">
        <v>27</v>
      </c>
      <c r="E528" s="238" t="s">
        <v>15</v>
      </c>
      <c r="F528">
        <v>4</v>
      </c>
      <c r="G528">
        <v>14</v>
      </c>
      <c r="H528">
        <v>611</v>
      </c>
      <c r="I528" s="238" t="s">
        <v>42</v>
      </c>
      <c r="J528">
        <v>40</v>
      </c>
      <c r="K528" s="238" t="s">
        <v>37</v>
      </c>
      <c r="L528">
        <v>2304720</v>
      </c>
      <c r="M528">
        <v>0</v>
      </c>
      <c r="N528">
        <v>2304720</v>
      </c>
      <c r="O528">
        <v>57618</v>
      </c>
      <c r="P528">
        <v>220000</v>
      </c>
      <c r="Q528">
        <v>2084720</v>
      </c>
      <c r="R528">
        <v>52118</v>
      </c>
      <c r="S528" s="238" t="s">
        <v>137</v>
      </c>
      <c r="T528" s="238" t="s">
        <v>1167</v>
      </c>
      <c r="V528" t="s">
        <v>1167</v>
      </c>
      <c r="W528" s="24">
        <v>44377</v>
      </c>
      <c r="X528" s="238" t="s">
        <v>659</v>
      </c>
      <c r="Y528" s="238" t="s">
        <v>39</v>
      </c>
      <c r="Z528" s="238" t="s">
        <v>1168</v>
      </c>
      <c r="AA528" t="s">
        <v>1167</v>
      </c>
      <c r="AB528" s="238" t="s">
        <v>3246</v>
      </c>
      <c r="AC528" t="s">
        <v>3080</v>
      </c>
      <c r="AD528" s="24"/>
      <c r="AE528" s="238" t="s">
        <v>2177</v>
      </c>
      <c r="AF528">
        <v>79272014088</v>
      </c>
      <c r="AG528" s="238" t="s">
        <v>2178</v>
      </c>
      <c r="AH528" s="238" t="s">
        <v>135</v>
      </c>
      <c r="AI528" s="238" t="s">
        <v>3084</v>
      </c>
      <c r="AJ528" s="238" t="s">
        <v>126</v>
      </c>
      <c r="AK528" s="238" t="s">
        <v>141</v>
      </c>
      <c r="AL528" t="s">
        <v>8715</v>
      </c>
      <c r="AM528" t="s">
        <v>1167</v>
      </c>
    </row>
    <row r="529" spans="1:39" hidden="1" x14ac:dyDescent="0.25">
      <c r="A529">
        <v>525</v>
      </c>
      <c r="B529">
        <v>14</v>
      </c>
      <c r="C529" s="24">
        <v>44400</v>
      </c>
      <c r="D529" s="238" t="s">
        <v>19</v>
      </c>
      <c r="E529" s="238" t="s">
        <v>6</v>
      </c>
      <c r="F529">
        <v>5</v>
      </c>
      <c r="G529">
        <v>4</v>
      </c>
      <c r="H529">
        <v>19</v>
      </c>
      <c r="I529" s="238" t="s">
        <v>42</v>
      </c>
      <c r="J529">
        <v>36.42</v>
      </c>
      <c r="K529" s="238" t="s">
        <v>36</v>
      </c>
      <c r="L529">
        <v>2248027.7799999998</v>
      </c>
      <c r="M529">
        <v>0</v>
      </c>
      <c r="N529">
        <v>2248027.7799999998</v>
      </c>
      <c r="O529">
        <v>61725.090060406365</v>
      </c>
      <c r="P529">
        <v>0</v>
      </c>
      <c r="Q529">
        <v>2248027.7799999998</v>
      </c>
      <c r="R529">
        <v>61725.090060406365</v>
      </c>
      <c r="S529" s="238" t="s">
        <v>137</v>
      </c>
      <c r="T529" s="238" t="s">
        <v>1167</v>
      </c>
      <c r="V529" t="s">
        <v>1167</v>
      </c>
      <c r="W529" s="24">
        <v>44388</v>
      </c>
      <c r="X529" s="238" t="s">
        <v>657</v>
      </c>
      <c r="Y529" s="238" t="s">
        <v>39</v>
      </c>
      <c r="Z529" s="238" t="s">
        <v>1340</v>
      </c>
      <c r="AA529" t="s">
        <v>1167</v>
      </c>
      <c r="AB529" s="238" t="s">
        <v>3246</v>
      </c>
      <c r="AC529" t="s">
        <v>3079</v>
      </c>
      <c r="AD529" s="24"/>
      <c r="AE529" s="238" t="s">
        <v>2179</v>
      </c>
      <c r="AF529">
        <v>79226002069</v>
      </c>
      <c r="AG529" s="238" t="s">
        <v>2180</v>
      </c>
      <c r="AH529" s="238" t="s">
        <v>1212</v>
      </c>
      <c r="AI529" s="238" t="s">
        <v>135</v>
      </c>
      <c r="AJ529" s="238" t="s">
        <v>126</v>
      </c>
      <c r="AK529" s="238" t="s">
        <v>141</v>
      </c>
      <c r="AL529" t="s">
        <v>8715</v>
      </c>
      <c r="AM529" t="s">
        <v>1167</v>
      </c>
    </row>
    <row r="530" spans="1:39" hidden="1" x14ac:dyDescent="0.25">
      <c r="A530">
        <v>526</v>
      </c>
      <c r="B530">
        <v>15</v>
      </c>
      <c r="C530" s="24">
        <v>44400</v>
      </c>
      <c r="D530" s="238" t="s">
        <v>19</v>
      </c>
      <c r="E530" s="238" t="s">
        <v>6</v>
      </c>
      <c r="F530">
        <v>5</v>
      </c>
      <c r="G530">
        <v>18</v>
      </c>
      <c r="H530">
        <v>117</v>
      </c>
      <c r="I530" s="238" t="s">
        <v>42</v>
      </c>
      <c r="J530">
        <v>36.42</v>
      </c>
      <c r="K530" s="238" t="s">
        <v>36</v>
      </c>
      <c r="L530">
        <v>2248027.7799999998</v>
      </c>
      <c r="M530">
        <v>0</v>
      </c>
      <c r="N530">
        <v>2248027.7799999998</v>
      </c>
      <c r="O530">
        <v>61725.090060406365</v>
      </c>
      <c r="P530">
        <v>0</v>
      </c>
      <c r="Q530">
        <v>2248027.7799999998</v>
      </c>
      <c r="R530">
        <v>61725.090060406365</v>
      </c>
      <c r="S530" s="238" t="s">
        <v>121</v>
      </c>
      <c r="T530" s="238" t="s">
        <v>1167</v>
      </c>
      <c r="V530" t="s">
        <v>1167</v>
      </c>
      <c r="W530" s="24">
        <v>44399</v>
      </c>
      <c r="X530" s="238" t="s">
        <v>658</v>
      </c>
      <c r="Y530" s="238" t="s">
        <v>39</v>
      </c>
      <c r="Z530" s="238" t="s">
        <v>1168</v>
      </c>
      <c r="AA530" t="s">
        <v>1167</v>
      </c>
      <c r="AB530" s="238" t="s">
        <v>3246</v>
      </c>
      <c r="AC530" t="s">
        <v>4246</v>
      </c>
      <c r="AD530" s="24"/>
      <c r="AE530" s="238" t="s">
        <v>2181</v>
      </c>
      <c r="AF530">
        <v>79228205550</v>
      </c>
      <c r="AG530" s="238" t="s">
        <v>2182</v>
      </c>
      <c r="AH530" s="238" t="s">
        <v>1171</v>
      </c>
      <c r="AI530" s="238" t="s">
        <v>3074</v>
      </c>
      <c r="AJ530" s="238" t="s">
        <v>130</v>
      </c>
      <c r="AK530" s="238" t="s">
        <v>1167</v>
      </c>
      <c r="AL530" t="s">
        <v>8715</v>
      </c>
      <c r="AM530" t="s">
        <v>1167</v>
      </c>
    </row>
    <row r="531" spans="1:39" hidden="1" x14ac:dyDescent="0.25">
      <c r="A531">
        <v>527</v>
      </c>
      <c r="B531">
        <v>16</v>
      </c>
      <c r="C531" s="24">
        <v>44401</v>
      </c>
      <c r="D531" s="238" t="s">
        <v>27</v>
      </c>
      <c r="E531" s="238" t="s">
        <v>15</v>
      </c>
      <c r="F531">
        <v>4</v>
      </c>
      <c r="G531">
        <v>4</v>
      </c>
      <c r="H531">
        <v>531</v>
      </c>
      <c r="I531" s="238" t="s">
        <v>42</v>
      </c>
      <c r="J531">
        <v>40</v>
      </c>
      <c r="K531" s="238" t="s">
        <v>36</v>
      </c>
      <c r="L531">
        <v>2024000</v>
      </c>
      <c r="M531">
        <v>0</v>
      </c>
      <c r="N531">
        <v>2024000</v>
      </c>
      <c r="O531">
        <v>50600</v>
      </c>
      <c r="P531">
        <v>0</v>
      </c>
      <c r="Q531">
        <v>2024000</v>
      </c>
      <c r="R531">
        <v>50600</v>
      </c>
      <c r="S531" s="238" t="s">
        <v>121</v>
      </c>
      <c r="T531" s="238" t="s">
        <v>1167</v>
      </c>
      <c r="V531" t="s">
        <v>1167</v>
      </c>
      <c r="W531" s="24">
        <v>44398</v>
      </c>
      <c r="X531" s="238" t="s">
        <v>660</v>
      </c>
      <c r="Y531" s="238" t="s">
        <v>39</v>
      </c>
      <c r="Z531" s="238" t="s">
        <v>1168</v>
      </c>
      <c r="AA531" t="s">
        <v>1167</v>
      </c>
      <c r="AB531" s="238" t="s">
        <v>3246</v>
      </c>
      <c r="AC531" t="s">
        <v>4246</v>
      </c>
      <c r="AD531" s="24"/>
      <c r="AE531" s="238" t="s">
        <v>2183</v>
      </c>
      <c r="AF531">
        <v>79171465954</v>
      </c>
      <c r="AG531" s="238" t="s">
        <v>2184</v>
      </c>
      <c r="AH531" s="238" t="s">
        <v>135</v>
      </c>
      <c r="AI531" s="238" t="s">
        <v>3105</v>
      </c>
      <c r="AJ531" s="238" t="s">
        <v>120</v>
      </c>
      <c r="AK531" s="238" t="s">
        <v>1167</v>
      </c>
      <c r="AL531" t="s">
        <v>8715</v>
      </c>
      <c r="AM531" t="s">
        <v>1167</v>
      </c>
    </row>
    <row r="532" spans="1:39" hidden="1" x14ac:dyDescent="0.25">
      <c r="A532">
        <v>528</v>
      </c>
      <c r="B532">
        <v>17</v>
      </c>
      <c r="C532" s="24">
        <v>44403</v>
      </c>
      <c r="D532" s="238" t="s">
        <v>27</v>
      </c>
      <c r="E532" s="238" t="s">
        <v>15</v>
      </c>
      <c r="F532">
        <v>7</v>
      </c>
      <c r="G532">
        <v>12</v>
      </c>
      <c r="H532">
        <v>598</v>
      </c>
      <c r="I532" s="238" t="s">
        <v>43</v>
      </c>
      <c r="J532">
        <v>59.93</v>
      </c>
      <c r="K532" s="238" t="s">
        <v>37</v>
      </c>
      <c r="L532">
        <v>3181666.2</v>
      </c>
      <c r="M532">
        <v>15000</v>
      </c>
      <c r="N532">
        <v>3196666.2</v>
      </c>
      <c r="O532">
        <v>53340</v>
      </c>
      <c r="P532">
        <v>269685</v>
      </c>
      <c r="Q532">
        <v>2926981.2</v>
      </c>
      <c r="R532">
        <v>48840</v>
      </c>
      <c r="S532" s="238" t="s">
        <v>121</v>
      </c>
      <c r="T532" s="238" t="s">
        <v>1167</v>
      </c>
      <c r="V532" t="s">
        <v>1167</v>
      </c>
      <c r="W532" s="24">
        <v>44378</v>
      </c>
      <c r="X532" s="238" t="s">
        <v>661</v>
      </c>
      <c r="Y532" s="238" t="s">
        <v>39</v>
      </c>
      <c r="Z532" s="238" t="s">
        <v>1340</v>
      </c>
      <c r="AA532" t="s">
        <v>1167</v>
      </c>
      <c r="AB532" s="238" t="s">
        <v>3246</v>
      </c>
      <c r="AC532" t="s">
        <v>4246</v>
      </c>
      <c r="AD532" s="24"/>
      <c r="AE532" s="238" t="s">
        <v>2185</v>
      </c>
      <c r="AF532">
        <v>79141936808</v>
      </c>
      <c r="AG532" s="238" t="s">
        <v>2186</v>
      </c>
      <c r="AH532" s="238" t="s">
        <v>1212</v>
      </c>
      <c r="AI532" s="238" t="s">
        <v>135</v>
      </c>
      <c r="AJ532" s="238" t="s">
        <v>399</v>
      </c>
      <c r="AK532" s="238" t="s">
        <v>1167</v>
      </c>
      <c r="AL532" t="s">
        <v>8715</v>
      </c>
      <c r="AM532" t="s">
        <v>1167</v>
      </c>
    </row>
    <row r="533" spans="1:39" hidden="1" x14ac:dyDescent="0.25">
      <c r="A533">
        <v>529</v>
      </c>
      <c r="B533">
        <v>18</v>
      </c>
      <c r="C533" s="24">
        <v>44403</v>
      </c>
      <c r="D533" s="238" t="s">
        <v>27</v>
      </c>
      <c r="E533" s="238" t="s">
        <v>15</v>
      </c>
      <c r="F533">
        <v>6</v>
      </c>
      <c r="G533">
        <v>2</v>
      </c>
      <c r="H533">
        <v>517</v>
      </c>
      <c r="I533" s="238" t="s">
        <v>42</v>
      </c>
      <c r="J533">
        <v>37.11</v>
      </c>
      <c r="K533" s="238" t="s">
        <v>37</v>
      </c>
      <c r="L533">
        <v>2081871</v>
      </c>
      <c r="M533">
        <v>0</v>
      </c>
      <c r="N533">
        <v>2081871</v>
      </c>
      <c r="O533">
        <v>56100</v>
      </c>
      <c r="P533">
        <v>204105</v>
      </c>
      <c r="Q533">
        <v>1877766</v>
      </c>
      <c r="R533">
        <v>50600</v>
      </c>
      <c r="S533" s="238" t="s">
        <v>137</v>
      </c>
      <c r="T533" s="238" t="s">
        <v>1167</v>
      </c>
      <c r="V533" t="s">
        <v>1167</v>
      </c>
      <c r="W533" s="24">
        <v>44377</v>
      </c>
      <c r="X533" s="238" t="s">
        <v>663</v>
      </c>
      <c r="Y533" s="238" t="s">
        <v>39</v>
      </c>
      <c r="Z533" s="238" t="s">
        <v>1340</v>
      </c>
      <c r="AA533" t="s">
        <v>1167</v>
      </c>
      <c r="AB533" s="238" t="s">
        <v>3246</v>
      </c>
      <c r="AC533" t="s">
        <v>3079</v>
      </c>
      <c r="AD533" s="24"/>
      <c r="AE533" s="238" t="s">
        <v>2187</v>
      </c>
      <c r="AF533">
        <v>79277183923</v>
      </c>
      <c r="AG533" s="238" t="s">
        <v>2188</v>
      </c>
      <c r="AH533" s="238" t="s">
        <v>135</v>
      </c>
      <c r="AI533" s="238" t="s">
        <v>3099</v>
      </c>
      <c r="AJ533" s="238" t="s">
        <v>130</v>
      </c>
      <c r="AK533" s="238" t="s">
        <v>141</v>
      </c>
      <c r="AL533" t="s">
        <v>8715</v>
      </c>
      <c r="AM533" t="s">
        <v>1167</v>
      </c>
    </row>
    <row r="534" spans="1:39" hidden="1" x14ac:dyDescent="0.25">
      <c r="A534">
        <v>530</v>
      </c>
      <c r="B534">
        <v>19</v>
      </c>
      <c r="C534" s="24">
        <v>44403</v>
      </c>
      <c r="D534" s="238" t="s">
        <v>27</v>
      </c>
      <c r="E534" s="238" t="s">
        <v>6</v>
      </c>
      <c r="F534">
        <v>1</v>
      </c>
      <c r="G534">
        <v>24</v>
      </c>
      <c r="H534">
        <v>199</v>
      </c>
      <c r="I534" s="238" t="s">
        <v>44</v>
      </c>
      <c r="J534">
        <v>82.71</v>
      </c>
      <c r="K534" s="238" t="s">
        <v>36</v>
      </c>
      <c r="L534">
        <v>4514861.28</v>
      </c>
      <c r="M534">
        <v>15000</v>
      </c>
      <c r="N534">
        <v>4529861.28</v>
      </c>
      <c r="O534">
        <v>54768.000000000007</v>
      </c>
      <c r="P534">
        <v>0</v>
      </c>
      <c r="Q534">
        <v>4529861.28</v>
      </c>
      <c r="R534">
        <v>54768.000000000007</v>
      </c>
      <c r="S534" s="238" t="s">
        <v>137</v>
      </c>
      <c r="T534" s="238" t="s">
        <v>1167</v>
      </c>
      <c r="V534" t="s">
        <v>4091</v>
      </c>
      <c r="W534" s="24">
        <v>44391</v>
      </c>
      <c r="X534" s="238" t="s">
        <v>662</v>
      </c>
      <c r="Y534" s="238" t="s">
        <v>39</v>
      </c>
      <c r="Z534" s="238" t="s">
        <v>1340</v>
      </c>
      <c r="AA534" t="s">
        <v>1167</v>
      </c>
      <c r="AB534" s="238" t="s">
        <v>3246</v>
      </c>
      <c r="AC534" t="s">
        <v>3079</v>
      </c>
      <c r="AD534" s="24"/>
      <c r="AE534" s="238" t="s">
        <v>2189</v>
      </c>
      <c r="AF534">
        <v>79370777166</v>
      </c>
      <c r="AG534" s="238" t="s">
        <v>2190</v>
      </c>
      <c r="AH534" s="238" t="s">
        <v>1212</v>
      </c>
      <c r="AI534" s="238" t="s">
        <v>135</v>
      </c>
      <c r="AJ534" s="238" t="s">
        <v>641</v>
      </c>
      <c r="AK534" s="238" t="s">
        <v>141</v>
      </c>
      <c r="AL534" t="s">
        <v>8715</v>
      </c>
      <c r="AM534" t="s">
        <v>1167</v>
      </c>
    </row>
    <row r="535" spans="1:39" hidden="1" x14ac:dyDescent="0.25">
      <c r="A535">
        <v>531</v>
      </c>
      <c r="B535">
        <v>20</v>
      </c>
      <c r="C535" s="24">
        <v>44403</v>
      </c>
      <c r="D535" s="238" t="s">
        <v>19</v>
      </c>
      <c r="E535" s="238" t="s">
        <v>5</v>
      </c>
      <c r="F535">
        <v>10</v>
      </c>
      <c r="G535">
        <v>13</v>
      </c>
      <c r="H535">
        <v>292</v>
      </c>
      <c r="I535" s="238" t="s">
        <v>4052</v>
      </c>
      <c r="J535">
        <v>25.91</v>
      </c>
      <c r="K535" s="238" t="s">
        <v>38</v>
      </c>
      <c r="L535">
        <v>2152501.75</v>
      </c>
      <c r="M535">
        <v>0</v>
      </c>
      <c r="N535">
        <v>2152501.75</v>
      </c>
      <c r="O535">
        <v>83076.099961404863</v>
      </c>
      <c r="P535">
        <v>414560</v>
      </c>
      <c r="Q535">
        <v>1737941.75</v>
      </c>
      <c r="R535">
        <v>67076.099961404863</v>
      </c>
      <c r="S535" s="238" t="s">
        <v>137</v>
      </c>
      <c r="T535" s="238" t="s">
        <v>1167</v>
      </c>
      <c r="V535" t="s">
        <v>1167</v>
      </c>
      <c r="W535" s="24">
        <v>44394</v>
      </c>
      <c r="X535" s="238" t="s">
        <v>664</v>
      </c>
      <c r="Y535" s="238" t="s">
        <v>39</v>
      </c>
      <c r="Z535" s="238" t="s">
        <v>1340</v>
      </c>
      <c r="AA535" t="s">
        <v>1167</v>
      </c>
      <c r="AB535" s="238" t="s">
        <v>3246</v>
      </c>
      <c r="AC535" t="s">
        <v>3079</v>
      </c>
      <c r="AD535" s="24"/>
      <c r="AE535" s="238" t="s">
        <v>2191</v>
      </c>
      <c r="AF535">
        <v>79397097730</v>
      </c>
      <c r="AG535" s="238" t="s">
        <v>2192</v>
      </c>
      <c r="AH535" s="238" t="s">
        <v>135</v>
      </c>
      <c r="AI535" s="238" t="s">
        <v>3099</v>
      </c>
      <c r="AJ535" s="238" t="s">
        <v>130</v>
      </c>
      <c r="AK535" s="238" t="s">
        <v>141</v>
      </c>
      <c r="AL535" t="s">
        <v>8715</v>
      </c>
      <c r="AM535" t="s">
        <v>1167</v>
      </c>
    </row>
    <row r="536" spans="1:39" hidden="1" x14ac:dyDescent="0.25">
      <c r="A536">
        <v>532</v>
      </c>
      <c r="B536">
        <v>21</v>
      </c>
      <c r="C536" s="24">
        <v>44404</v>
      </c>
      <c r="D536" s="238" t="s">
        <v>27</v>
      </c>
      <c r="E536" s="238" t="s">
        <v>15</v>
      </c>
      <c r="F536">
        <v>8</v>
      </c>
      <c r="G536">
        <v>10</v>
      </c>
      <c r="H536">
        <v>583</v>
      </c>
      <c r="I536" s="238" t="s">
        <v>43</v>
      </c>
      <c r="J536">
        <v>55.8</v>
      </c>
      <c r="K536" s="238" t="s">
        <v>36</v>
      </c>
      <c r="L536">
        <v>2553408</v>
      </c>
      <c r="M536">
        <v>0</v>
      </c>
      <c r="N536">
        <v>2553408</v>
      </c>
      <c r="O536">
        <v>45760</v>
      </c>
      <c r="P536">
        <v>0</v>
      </c>
      <c r="Q536">
        <v>2553408</v>
      </c>
      <c r="R536">
        <v>45760</v>
      </c>
      <c r="S536" s="238" t="s">
        <v>137</v>
      </c>
      <c r="T536" s="238" t="s">
        <v>1167</v>
      </c>
      <c r="V536" t="s">
        <v>1167</v>
      </c>
      <c r="W536" s="24">
        <v>44377</v>
      </c>
      <c r="X536" s="238" t="s">
        <v>669</v>
      </c>
      <c r="Y536" s="238" t="s">
        <v>39</v>
      </c>
      <c r="Z536" s="238" t="s">
        <v>1340</v>
      </c>
      <c r="AA536" t="s">
        <v>1167</v>
      </c>
      <c r="AB536" s="238" t="s">
        <v>3246</v>
      </c>
      <c r="AC536" t="s">
        <v>3079</v>
      </c>
      <c r="AD536" s="24"/>
      <c r="AE536" s="238" t="s">
        <v>2193</v>
      </c>
      <c r="AF536">
        <v>79277336663</v>
      </c>
      <c r="AG536" s="238" t="s">
        <v>2194</v>
      </c>
      <c r="AH536" s="238" t="s">
        <v>1171</v>
      </c>
      <c r="AI536" s="238" t="s">
        <v>135</v>
      </c>
      <c r="AJ536" s="238" t="s">
        <v>126</v>
      </c>
      <c r="AK536" s="238" t="s">
        <v>141</v>
      </c>
      <c r="AL536" t="s">
        <v>8715</v>
      </c>
      <c r="AM536" t="s">
        <v>1167</v>
      </c>
    </row>
    <row r="537" spans="1:39" hidden="1" x14ac:dyDescent="0.25">
      <c r="A537">
        <v>533</v>
      </c>
      <c r="B537">
        <v>22</v>
      </c>
      <c r="C537" s="24">
        <v>44404</v>
      </c>
      <c r="D537" s="238" t="s">
        <v>27</v>
      </c>
      <c r="E537" s="238" t="s">
        <v>16</v>
      </c>
      <c r="F537">
        <v>3</v>
      </c>
      <c r="G537">
        <v>10</v>
      </c>
      <c r="H537">
        <v>458</v>
      </c>
      <c r="I537" s="238" t="s">
        <v>4052</v>
      </c>
      <c r="J537">
        <v>23.54</v>
      </c>
      <c r="K537" s="238" t="s">
        <v>36</v>
      </c>
      <c r="L537">
        <v>1294700</v>
      </c>
      <c r="M537">
        <v>0</v>
      </c>
      <c r="N537">
        <v>1294700</v>
      </c>
      <c r="O537">
        <v>55000</v>
      </c>
      <c r="P537">
        <v>0</v>
      </c>
      <c r="Q537">
        <v>1294700</v>
      </c>
      <c r="R537">
        <v>55000</v>
      </c>
      <c r="S537" s="238" t="s">
        <v>121</v>
      </c>
      <c r="T537" s="238" t="s">
        <v>1167</v>
      </c>
      <c r="V537" t="s">
        <v>1167</v>
      </c>
      <c r="W537" s="24">
        <v>44383</v>
      </c>
      <c r="X537" s="238" t="s">
        <v>665</v>
      </c>
      <c r="Y537" s="238" t="s">
        <v>39</v>
      </c>
      <c r="Z537" s="238" t="s">
        <v>1168</v>
      </c>
      <c r="AA537" t="s">
        <v>1167</v>
      </c>
      <c r="AB537" s="238" t="s">
        <v>3246</v>
      </c>
      <c r="AC537" t="s">
        <v>4246</v>
      </c>
      <c r="AD537" s="24"/>
      <c r="AE537" s="238" t="s">
        <v>2195</v>
      </c>
      <c r="AF537">
        <v>79277940973</v>
      </c>
      <c r="AG537" s="238" t="s">
        <v>1167</v>
      </c>
      <c r="AH537" s="238" t="s">
        <v>1212</v>
      </c>
      <c r="AI537" s="238" t="s">
        <v>135</v>
      </c>
      <c r="AJ537" s="238" t="s">
        <v>130</v>
      </c>
      <c r="AK537" s="238" t="s">
        <v>1167</v>
      </c>
      <c r="AL537" t="s">
        <v>8715</v>
      </c>
      <c r="AM537" t="s">
        <v>1167</v>
      </c>
    </row>
    <row r="538" spans="1:39" hidden="1" x14ac:dyDescent="0.25">
      <c r="A538">
        <v>534</v>
      </c>
      <c r="B538">
        <v>23</v>
      </c>
      <c r="C538" s="24">
        <v>44404</v>
      </c>
      <c r="D538" s="238" t="s">
        <v>19</v>
      </c>
      <c r="E538" s="238" t="s">
        <v>5</v>
      </c>
      <c r="F538">
        <v>8</v>
      </c>
      <c r="G538">
        <v>8</v>
      </c>
      <c r="H538">
        <v>235</v>
      </c>
      <c r="I538" s="238" t="s">
        <v>43</v>
      </c>
      <c r="J538">
        <v>56.93</v>
      </c>
      <c r="K538" s="238" t="s">
        <v>37</v>
      </c>
      <c r="L538">
        <v>3287459.85</v>
      </c>
      <c r="M538">
        <v>0</v>
      </c>
      <c r="N538">
        <v>3287459.85</v>
      </c>
      <c r="O538">
        <v>57745.649920955562</v>
      </c>
      <c r="P538">
        <v>313115</v>
      </c>
      <c r="Q538">
        <v>2974344.85</v>
      </c>
      <c r="R538">
        <v>52245.649920955562</v>
      </c>
      <c r="S538" s="238" t="s">
        <v>137</v>
      </c>
      <c r="T538" s="238" t="s">
        <v>1167</v>
      </c>
      <c r="V538" t="s">
        <v>4091</v>
      </c>
      <c r="W538" s="24">
        <v>44397</v>
      </c>
      <c r="X538" s="238" t="s">
        <v>671</v>
      </c>
      <c r="Y538" s="238" t="s">
        <v>39</v>
      </c>
      <c r="Z538" s="238" t="s">
        <v>1340</v>
      </c>
      <c r="AA538" t="s">
        <v>1167</v>
      </c>
      <c r="AB538" s="238" t="s">
        <v>3246</v>
      </c>
      <c r="AC538" t="s">
        <v>3079</v>
      </c>
      <c r="AD538" s="24"/>
      <c r="AE538" s="238" t="s">
        <v>2196</v>
      </c>
      <c r="AF538">
        <v>79277009245</v>
      </c>
      <c r="AG538" s="238" t="s">
        <v>2197</v>
      </c>
      <c r="AH538" s="238" t="s">
        <v>1212</v>
      </c>
      <c r="AI538" s="238" t="s">
        <v>135</v>
      </c>
      <c r="AJ538" s="238" t="s">
        <v>126</v>
      </c>
      <c r="AK538" s="238" t="s">
        <v>141</v>
      </c>
      <c r="AL538" t="s">
        <v>8715</v>
      </c>
      <c r="AM538" t="s">
        <v>1167</v>
      </c>
    </row>
    <row r="539" spans="1:39" hidden="1" x14ac:dyDescent="0.25">
      <c r="A539">
        <v>535</v>
      </c>
      <c r="B539">
        <v>24</v>
      </c>
      <c r="C539" s="24">
        <v>44404</v>
      </c>
      <c r="D539" s="238" t="s">
        <v>27</v>
      </c>
      <c r="E539" s="238" t="s">
        <v>16</v>
      </c>
      <c r="F539">
        <v>8</v>
      </c>
      <c r="G539">
        <v>8</v>
      </c>
      <c r="H539">
        <v>447</v>
      </c>
      <c r="I539" s="238" t="s">
        <v>43</v>
      </c>
      <c r="J539">
        <v>55.8</v>
      </c>
      <c r="K539" s="238" t="s">
        <v>36</v>
      </c>
      <c r="L539">
        <v>2700720</v>
      </c>
      <c r="M539">
        <v>0</v>
      </c>
      <c r="N539">
        <v>2700720</v>
      </c>
      <c r="O539">
        <v>48400</v>
      </c>
      <c r="P539">
        <v>0</v>
      </c>
      <c r="Q539">
        <v>2700720</v>
      </c>
      <c r="R539">
        <v>48400</v>
      </c>
      <c r="S539" s="238" t="s">
        <v>137</v>
      </c>
      <c r="T539" s="238" t="s">
        <v>1167</v>
      </c>
      <c r="V539" t="s">
        <v>1167</v>
      </c>
      <c r="W539" s="24">
        <v>44398</v>
      </c>
      <c r="X539" s="238" t="s">
        <v>670</v>
      </c>
      <c r="Y539" s="238" t="s">
        <v>39</v>
      </c>
      <c r="Z539" s="238" t="s">
        <v>1340</v>
      </c>
      <c r="AA539" t="s">
        <v>1167</v>
      </c>
      <c r="AB539" s="238" t="s">
        <v>3246</v>
      </c>
      <c r="AC539" t="s">
        <v>3079</v>
      </c>
      <c r="AD539" s="24"/>
      <c r="AE539" s="238" t="s">
        <v>2198</v>
      </c>
      <c r="AF539">
        <v>79047095039</v>
      </c>
      <c r="AG539" s="238" t="s">
        <v>2199</v>
      </c>
      <c r="AH539" s="238" t="s">
        <v>1212</v>
      </c>
      <c r="AI539" s="238" t="s">
        <v>3088</v>
      </c>
      <c r="AJ539" s="238" t="s">
        <v>130</v>
      </c>
      <c r="AK539" s="238" t="s">
        <v>141</v>
      </c>
      <c r="AL539" t="s">
        <v>8715</v>
      </c>
      <c r="AM539" t="s">
        <v>1167</v>
      </c>
    </row>
    <row r="540" spans="1:39" hidden="1" x14ac:dyDescent="0.25">
      <c r="A540">
        <v>536</v>
      </c>
      <c r="B540">
        <v>25</v>
      </c>
      <c r="C540" s="24">
        <v>44404</v>
      </c>
      <c r="D540" s="238" t="s">
        <v>27</v>
      </c>
      <c r="E540" s="238" t="s">
        <v>16</v>
      </c>
      <c r="F540">
        <v>3</v>
      </c>
      <c r="G540">
        <v>8</v>
      </c>
      <c r="H540">
        <v>442</v>
      </c>
      <c r="I540" s="238" t="s">
        <v>4052</v>
      </c>
      <c r="J540">
        <v>23.54</v>
      </c>
      <c r="K540" s="238" t="s">
        <v>36</v>
      </c>
      <c r="L540">
        <v>1294700</v>
      </c>
      <c r="M540">
        <v>0</v>
      </c>
      <c r="N540">
        <v>1294700</v>
      </c>
      <c r="O540">
        <v>55000</v>
      </c>
      <c r="P540">
        <v>0</v>
      </c>
      <c r="Q540">
        <v>1294700</v>
      </c>
      <c r="R540">
        <v>55000</v>
      </c>
      <c r="S540" s="238" t="s">
        <v>124</v>
      </c>
      <c r="T540" s="238" t="s">
        <v>1167</v>
      </c>
      <c r="V540" t="s">
        <v>1167</v>
      </c>
      <c r="W540" s="24">
        <v>44399</v>
      </c>
      <c r="X540" s="238" t="s">
        <v>667</v>
      </c>
      <c r="Y540" s="238" t="s">
        <v>39</v>
      </c>
      <c r="Z540" s="238" t="s">
        <v>1168</v>
      </c>
      <c r="AA540" t="s">
        <v>1167</v>
      </c>
      <c r="AB540" s="238" t="s">
        <v>3246</v>
      </c>
      <c r="AC540" t="s">
        <v>4246</v>
      </c>
      <c r="AD540" s="24"/>
      <c r="AE540" s="238" t="s">
        <v>2200</v>
      </c>
      <c r="AF540">
        <v>79967245008</v>
      </c>
      <c r="AG540" s="238" t="s">
        <v>2201</v>
      </c>
      <c r="AH540" s="238" t="s">
        <v>1212</v>
      </c>
      <c r="AI540" s="238" t="s">
        <v>135</v>
      </c>
      <c r="AJ540" s="238" t="s">
        <v>126</v>
      </c>
      <c r="AK540" s="238" t="s">
        <v>1167</v>
      </c>
      <c r="AL540" t="s">
        <v>8715</v>
      </c>
      <c r="AM540" t="s">
        <v>1167</v>
      </c>
    </row>
    <row r="541" spans="1:39" hidden="1" x14ac:dyDescent="0.25">
      <c r="A541">
        <v>537</v>
      </c>
      <c r="B541">
        <v>26</v>
      </c>
      <c r="C541" s="24">
        <v>44404</v>
      </c>
      <c r="D541" s="238" t="s">
        <v>27</v>
      </c>
      <c r="E541" s="238" t="s">
        <v>16</v>
      </c>
      <c r="F541">
        <v>5</v>
      </c>
      <c r="G541">
        <v>8</v>
      </c>
      <c r="H541">
        <v>444</v>
      </c>
      <c r="I541" s="238" t="s">
        <v>4052</v>
      </c>
      <c r="J541">
        <v>23.63</v>
      </c>
      <c r="K541" s="238" t="s">
        <v>36</v>
      </c>
      <c r="L541">
        <v>1299650</v>
      </c>
      <c r="M541">
        <v>0</v>
      </c>
      <c r="N541">
        <v>1299650</v>
      </c>
      <c r="O541">
        <v>55000</v>
      </c>
      <c r="P541">
        <v>0</v>
      </c>
      <c r="Q541">
        <v>1299650</v>
      </c>
      <c r="R541">
        <v>55000</v>
      </c>
      <c r="S541" s="238" t="s">
        <v>124</v>
      </c>
      <c r="T541" s="238" t="s">
        <v>1167</v>
      </c>
      <c r="V541" t="s">
        <v>1167</v>
      </c>
      <c r="W541" s="24">
        <v>44399</v>
      </c>
      <c r="X541" s="238" t="s">
        <v>666</v>
      </c>
      <c r="Y541" s="238" t="s">
        <v>39</v>
      </c>
      <c r="Z541" s="238" t="s">
        <v>1168</v>
      </c>
      <c r="AA541" t="s">
        <v>1167</v>
      </c>
      <c r="AB541" s="238" t="s">
        <v>3246</v>
      </c>
      <c r="AC541" t="s">
        <v>4246</v>
      </c>
      <c r="AD541" s="24"/>
      <c r="AE541" s="238" t="s">
        <v>2200</v>
      </c>
      <c r="AF541">
        <v>79967245008</v>
      </c>
      <c r="AG541" s="238" t="s">
        <v>2201</v>
      </c>
      <c r="AH541" s="238" t="s">
        <v>1197</v>
      </c>
      <c r="AI541" s="238" t="s">
        <v>135</v>
      </c>
      <c r="AJ541" s="238" t="s">
        <v>126</v>
      </c>
      <c r="AK541" s="238" t="s">
        <v>1167</v>
      </c>
      <c r="AL541" t="s">
        <v>8715</v>
      </c>
      <c r="AM541" t="s">
        <v>1167</v>
      </c>
    </row>
    <row r="542" spans="1:39" hidden="1" x14ac:dyDescent="0.25">
      <c r="A542">
        <v>538</v>
      </c>
      <c r="B542">
        <v>27</v>
      </c>
      <c r="C542" s="24">
        <v>44404</v>
      </c>
      <c r="D542" s="238" t="s">
        <v>27</v>
      </c>
      <c r="E542" s="238" t="s">
        <v>15</v>
      </c>
      <c r="F542">
        <v>3</v>
      </c>
      <c r="G542">
        <v>8</v>
      </c>
      <c r="H542">
        <v>562</v>
      </c>
      <c r="I542" s="238" t="s">
        <v>4052</v>
      </c>
      <c r="J542">
        <v>23.54</v>
      </c>
      <c r="K542" s="238" t="s">
        <v>36</v>
      </c>
      <c r="L542">
        <v>1359435</v>
      </c>
      <c r="M542">
        <v>0</v>
      </c>
      <c r="N542">
        <v>1359435</v>
      </c>
      <c r="O542">
        <v>57750</v>
      </c>
      <c r="P542">
        <v>0</v>
      </c>
      <c r="Q542">
        <v>1359435</v>
      </c>
      <c r="R542">
        <v>57750</v>
      </c>
      <c r="S542" s="238" t="s">
        <v>121</v>
      </c>
      <c r="T542" s="238" t="s">
        <v>1167</v>
      </c>
      <c r="V542" t="s">
        <v>1167</v>
      </c>
      <c r="W542" s="24">
        <v>44403</v>
      </c>
      <c r="X542" s="238" t="s">
        <v>668</v>
      </c>
      <c r="Y542" s="238" t="s">
        <v>39</v>
      </c>
      <c r="Z542" s="238" t="s">
        <v>1340</v>
      </c>
      <c r="AA542" t="s">
        <v>1167</v>
      </c>
      <c r="AB542" s="238" t="s">
        <v>3246</v>
      </c>
      <c r="AC542" t="s">
        <v>4246</v>
      </c>
      <c r="AD542" s="24"/>
      <c r="AE542" s="238" t="s">
        <v>2202</v>
      </c>
      <c r="AF542">
        <v>79061276625</v>
      </c>
      <c r="AG542" s="238" t="s">
        <v>2203</v>
      </c>
      <c r="AH542" s="238" t="s">
        <v>1212</v>
      </c>
      <c r="AI542" s="238" t="s">
        <v>3088</v>
      </c>
      <c r="AJ542" s="238" t="s">
        <v>126</v>
      </c>
      <c r="AK542" s="238" t="s">
        <v>1167</v>
      </c>
      <c r="AL542" t="s">
        <v>8715</v>
      </c>
      <c r="AM542" t="s">
        <v>1167</v>
      </c>
    </row>
    <row r="543" spans="1:39" hidden="1" x14ac:dyDescent="0.25">
      <c r="A543">
        <v>539</v>
      </c>
      <c r="B543">
        <v>28</v>
      </c>
      <c r="C543" s="24">
        <v>44405</v>
      </c>
      <c r="D543" s="238" t="s">
        <v>27</v>
      </c>
      <c r="E543" s="238" t="s">
        <v>16</v>
      </c>
      <c r="F543">
        <v>8</v>
      </c>
      <c r="G543">
        <v>5</v>
      </c>
      <c r="H543">
        <v>423</v>
      </c>
      <c r="I543" s="238" t="s">
        <v>43</v>
      </c>
      <c r="J543">
        <v>55.8</v>
      </c>
      <c r="K543" s="238" t="s">
        <v>36</v>
      </c>
      <c r="L543">
        <v>2685720</v>
      </c>
      <c r="M543">
        <v>15000</v>
      </c>
      <c r="N543">
        <v>2700720</v>
      </c>
      <c r="O543">
        <v>48400</v>
      </c>
      <c r="P543">
        <v>0</v>
      </c>
      <c r="Q543">
        <v>2700720</v>
      </c>
      <c r="R543">
        <v>48400</v>
      </c>
      <c r="S543" s="238" t="s">
        <v>121</v>
      </c>
      <c r="T543" s="238" t="s">
        <v>1167</v>
      </c>
      <c r="V543" t="s">
        <v>1167</v>
      </c>
      <c r="W543" s="24">
        <v>44372</v>
      </c>
      <c r="X543" s="238" t="s">
        <v>672</v>
      </c>
      <c r="Y543" s="238" t="s">
        <v>39</v>
      </c>
      <c r="Z543" s="238" t="s">
        <v>1340</v>
      </c>
      <c r="AA543" t="s">
        <v>1167</v>
      </c>
      <c r="AB543" s="238" t="s">
        <v>3246</v>
      </c>
      <c r="AC543" t="s">
        <v>4246</v>
      </c>
      <c r="AD543" s="24"/>
      <c r="AE543" s="238" t="s">
        <v>1642</v>
      </c>
      <c r="AF543">
        <v>79649781449</v>
      </c>
      <c r="AG543" s="238" t="s">
        <v>1643</v>
      </c>
      <c r="AH543" s="238" t="s">
        <v>1171</v>
      </c>
      <c r="AI543" s="238" t="s">
        <v>3082</v>
      </c>
      <c r="AJ543" s="238" t="s">
        <v>120</v>
      </c>
      <c r="AK543" s="238" t="s">
        <v>1167</v>
      </c>
      <c r="AL543" t="s">
        <v>8715</v>
      </c>
      <c r="AM543" t="s">
        <v>1167</v>
      </c>
    </row>
    <row r="544" spans="1:39" hidden="1" x14ac:dyDescent="0.25">
      <c r="A544">
        <v>540</v>
      </c>
      <c r="B544">
        <v>29</v>
      </c>
      <c r="C544" s="24">
        <v>44405</v>
      </c>
      <c r="D544" s="238" t="s">
        <v>27</v>
      </c>
      <c r="E544" s="238" t="s">
        <v>5</v>
      </c>
      <c r="F544">
        <v>7</v>
      </c>
      <c r="G544">
        <v>6</v>
      </c>
      <c r="H544">
        <v>246</v>
      </c>
      <c r="I544" s="238" t="s">
        <v>43</v>
      </c>
      <c r="J544">
        <v>59.93</v>
      </c>
      <c r="K544" s="238" t="s">
        <v>36</v>
      </c>
      <c r="L544">
        <v>3085196.4</v>
      </c>
      <c r="M544">
        <v>0</v>
      </c>
      <c r="N544">
        <v>3085196.4</v>
      </c>
      <c r="O544">
        <v>51480</v>
      </c>
      <c r="P544">
        <v>0</v>
      </c>
      <c r="Q544">
        <v>3085196.4</v>
      </c>
      <c r="R544">
        <v>51480</v>
      </c>
      <c r="S544" s="238" t="s">
        <v>124</v>
      </c>
      <c r="T544" s="238" t="s">
        <v>1167</v>
      </c>
      <c r="V544" t="s">
        <v>1167</v>
      </c>
      <c r="W544" s="24">
        <v>44386</v>
      </c>
      <c r="X544" s="238" t="s">
        <v>673</v>
      </c>
      <c r="Y544" s="238" t="s">
        <v>39</v>
      </c>
      <c r="Z544" s="238" t="s">
        <v>1340</v>
      </c>
      <c r="AA544" t="s">
        <v>1167</v>
      </c>
      <c r="AB544" s="238" t="s">
        <v>3246</v>
      </c>
      <c r="AC544" t="s">
        <v>4246</v>
      </c>
      <c r="AD544" s="24"/>
      <c r="AE544" s="238" t="s">
        <v>2204</v>
      </c>
      <c r="AF544">
        <v>79821961673</v>
      </c>
      <c r="AG544" s="238" t="s">
        <v>2205</v>
      </c>
      <c r="AH544" s="238" t="s">
        <v>1212</v>
      </c>
      <c r="AI544" s="238" t="s">
        <v>3090</v>
      </c>
      <c r="AJ544" s="238" t="s">
        <v>120</v>
      </c>
      <c r="AK544" s="238" t="s">
        <v>1167</v>
      </c>
      <c r="AL544" t="s">
        <v>8715</v>
      </c>
      <c r="AM544" t="s">
        <v>1167</v>
      </c>
    </row>
    <row r="545" spans="1:39" hidden="1" x14ac:dyDescent="0.25">
      <c r="A545">
        <v>541</v>
      </c>
      <c r="B545">
        <v>30</v>
      </c>
      <c r="C545" s="24">
        <v>44405</v>
      </c>
      <c r="D545" s="238" t="s">
        <v>27</v>
      </c>
      <c r="E545" s="238" t="s">
        <v>16</v>
      </c>
      <c r="F545">
        <v>8</v>
      </c>
      <c r="G545">
        <v>14</v>
      </c>
      <c r="H545">
        <v>495</v>
      </c>
      <c r="I545" s="238" t="s">
        <v>43</v>
      </c>
      <c r="J545">
        <v>55.8</v>
      </c>
      <c r="K545" s="238" t="s">
        <v>37</v>
      </c>
      <c r="L545">
        <v>3007620</v>
      </c>
      <c r="M545">
        <v>0</v>
      </c>
      <c r="N545">
        <v>3007620</v>
      </c>
      <c r="O545">
        <v>53900</v>
      </c>
      <c r="P545">
        <v>306900</v>
      </c>
      <c r="Q545">
        <v>2700720</v>
      </c>
      <c r="R545">
        <v>48400</v>
      </c>
      <c r="S545" s="238" t="s">
        <v>121</v>
      </c>
      <c r="T545" s="238" t="s">
        <v>1167</v>
      </c>
      <c r="V545" t="s">
        <v>1167</v>
      </c>
      <c r="W545" s="24">
        <v>44398</v>
      </c>
      <c r="X545" s="238" t="s">
        <v>674</v>
      </c>
      <c r="Y545" s="238" t="s">
        <v>39</v>
      </c>
      <c r="Z545" s="238" t="s">
        <v>1168</v>
      </c>
      <c r="AA545" t="s">
        <v>1167</v>
      </c>
      <c r="AB545" s="238" t="s">
        <v>3246</v>
      </c>
      <c r="AC545" t="s">
        <v>4246</v>
      </c>
      <c r="AD545" s="24"/>
      <c r="AE545" s="238" t="s">
        <v>2206</v>
      </c>
      <c r="AF545">
        <v>79966203830</v>
      </c>
      <c r="AG545" s="238" t="s">
        <v>2207</v>
      </c>
      <c r="AH545" s="238" t="s">
        <v>1171</v>
      </c>
      <c r="AI545" s="238" t="s">
        <v>3101</v>
      </c>
      <c r="AJ545" s="238" t="s">
        <v>126</v>
      </c>
      <c r="AK545" s="238" t="s">
        <v>1167</v>
      </c>
      <c r="AL545" t="s">
        <v>8715</v>
      </c>
      <c r="AM545" t="s">
        <v>1167</v>
      </c>
    </row>
    <row r="546" spans="1:39" hidden="1" x14ac:dyDescent="0.25">
      <c r="A546">
        <v>542</v>
      </c>
      <c r="B546">
        <v>31</v>
      </c>
      <c r="C546" s="24">
        <v>44406</v>
      </c>
      <c r="D546" s="238" t="s">
        <v>27</v>
      </c>
      <c r="E546" s="238" t="s">
        <v>5</v>
      </c>
      <c r="F546">
        <v>3</v>
      </c>
      <c r="G546">
        <v>11</v>
      </c>
      <c r="H546">
        <v>282</v>
      </c>
      <c r="I546" s="238" t="s">
        <v>4052</v>
      </c>
      <c r="J546">
        <v>23.54</v>
      </c>
      <c r="K546" s="238" t="s">
        <v>37</v>
      </c>
      <c r="L546">
        <v>1424170</v>
      </c>
      <c r="M546">
        <v>0</v>
      </c>
      <c r="N546">
        <v>1424170</v>
      </c>
      <c r="O546">
        <v>60500</v>
      </c>
      <c r="P546">
        <v>129470</v>
      </c>
      <c r="Q546">
        <v>1294700</v>
      </c>
      <c r="R546">
        <v>55000</v>
      </c>
      <c r="S546" s="238" t="s">
        <v>121</v>
      </c>
      <c r="T546" s="238" t="s">
        <v>1167</v>
      </c>
      <c r="V546" t="s">
        <v>1167</v>
      </c>
      <c r="W546" s="24">
        <v>44381</v>
      </c>
      <c r="X546" s="238" t="s">
        <v>676</v>
      </c>
      <c r="Y546" s="238" t="s">
        <v>39</v>
      </c>
      <c r="Z546" s="238" t="s">
        <v>1340</v>
      </c>
      <c r="AA546" t="s">
        <v>1167</v>
      </c>
      <c r="AB546" s="238" t="s">
        <v>3246</v>
      </c>
      <c r="AC546" t="s">
        <v>4246</v>
      </c>
      <c r="AD546" s="24"/>
      <c r="AE546" s="238" t="s">
        <v>2208</v>
      </c>
      <c r="AF546">
        <v>79276004934</v>
      </c>
      <c r="AG546" s="238" t="s">
        <v>2209</v>
      </c>
      <c r="AH546" s="238" t="s">
        <v>1171</v>
      </c>
      <c r="AI546" s="238" t="s">
        <v>3097</v>
      </c>
      <c r="AJ546" s="238" t="s">
        <v>120</v>
      </c>
      <c r="AK546" s="238" t="s">
        <v>1167</v>
      </c>
      <c r="AL546" t="s">
        <v>8715</v>
      </c>
      <c r="AM546" t="s">
        <v>1167</v>
      </c>
    </row>
    <row r="547" spans="1:39" hidden="1" x14ac:dyDescent="0.25">
      <c r="A547">
        <v>543</v>
      </c>
      <c r="B547">
        <v>32</v>
      </c>
      <c r="C547" s="24">
        <v>44406</v>
      </c>
      <c r="D547" s="238" t="s">
        <v>27</v>
      </c>
      <c r="E547" s="238" t="s">
        <v>5</v>
      </c>
      <c r="F547">
        <v>8</v>
      </c>
      <c r="G547">
        <v>7</v>
      </c>
      <c r="H547">
        <v>255</v>
      </c>
      <c r="I547" s="238" t="s">
        <v>43</v>
      </c>
      <c r="J547">
        <v>55.8</v>
      </c>
      <c r="K547" s="238" t="s">
        <v>37</v>
      </c>
      <c r="L547">
        <v>3007620</v>
      </c>
      <c r="M547">
        <v>0</v>
      </c>
      <c r="N547">
        <v>3007620</v>
      </c>
      <c r="O547">
        <v>53900</v>
      </c>
      <c r="P547">
        <v>306900</v>
      </c>
      <c r="Q547">
        <v>2700720</v>
      </c>
      <c r="R547">
        <v>48400</v>
      </c>
      <c r="S547" s="238" t="s">
        <v>137</v>
      </c>
      <c r="T547" s="238" t="s">
        <v>1167</v>
      </c>
      <c r="V547" t="s">
        <v>4091</v>
      </c>
      <c r="W547" s="24">
        <v>44397</v>
      </c>
      <c r="X547" s="238" t="s">
        <v>678</v>
      </c>
      <c r="Y547" s="238" t="s">
        <v>39</v>
      </c>
      <c r="Z547" s="238" t="s">
        <v>1340</v>
      </c>
      <c r="AA547" t="s">
        <v>1167</v>
      </c>
      <c r="AB547" s="238" t="s">
        <v>3246</v>
      </c>
      <c r="AC547" t="s">
        <v>3079</v>
      </c>
      <c r="AD547" s="24"/>
      <c r="AE547" s="238" t="s">
        <v>2210</v>
      </c>
      <c r="AF547">
        <v>79824115597</v>
      </c>
      <c r="AG547" s="238" t="s">
        <v>2211</v>
      </c>
      <c r="AH547" s="238" t="s">
        <v>1212</v>
      </c>
      <c r="AI547" s="238" t="s">
        <v>3074</v>
      </c>
      <c r="AJ547" s="238" t="s">
        <v>130</v>
      </c>
      <c r="AK547" s="238" t="s">
        <v>141</v>
      </c>
      <c r="AL547" t="s">
        <v>8715</v>
      </c>
      <c r="AM547" t="s">
        <v>1167</v>
      </c>
    </row>
    <row r="548" spans="1:39" hidden="1" x14ac:dyDescent="0.25">
      <c r="A548">
        <v>544</v>
      </c>
      <c r="B548">
        <v>33</v>
      </c>
      <c r="C548" s="24">
        <v>44406</v>
      </c>
      <c r="D548" s="238" t="s">
        <v>19</v>
      </c>
      <c r="E548" s="238" t="s">
        <v>5</v>
      </c>
      <c r="F548">
        <v>2</v>
      </c>
      <c r="G548">
        <v>4</v>
      </c>
      <c r="H548">
        <v>185</v>
      </c>
      <c r="I548" s="238" t="s">
        <v>42</v>
      </c>
      <c r="J548">
        <v>38.22</v>
      </c>
      <c r="K548" s="238" t="s">
        <v>36</v>
      </c>
      <c r="L548">
        <v>2449671.7400000002</v>
      </c>
      <c r="M548">
        <v>15000</v>
      </c>
      <c r="N548">
        <v>2464671.7400000002</v>
      </c>
      <c r="O548">
        <v>64486.440083725807</v>
      </c>
      <c r="P548">
        <v>0</v>
      </c>
      <c r="Q548">
        <v>2464671.7400000002</v>
      </c>
      <c r="R548">
        <v>64486.440083725807</v>
      </c>
      <c r="S548" s="238" t="s">
        <v>124</v>
      </c>
      <c r="T548" s="238" t="s">
        <v>1167</v>
      </c>
      <c r="V548" t="s">
        <v>1167</v>
      </c>
      <c r="W548" s="24">
        <v>44397</v>
      </c>
      <c r="X548" s="238" t="s">
        <v>675</v>
      </c>
      <c r="Y548" s="238" t="s">
        <v>39</v>
      </c>
      <c r="Z548" s="238" t="s">
        <v>1168</v>
      </c>
      <c r="AA548" t="s">
        <v>1167</v>
      </c>
      <c r="AB548" s="238" t="s">
        <v>3246</v>
      </c>
      <c r="AC548" t="s">
        <v>4246</v>
      </c>
      <c r="AD548" s="24"/>
      <c r="AE548" s="238" t="s">
        <v>2212</v>
      </c>
      <c r="AF548">
        <v>79276569594</v>
      </c>
      <c r="AG548" s="238" t="s">
        <v>2213</v>
      </c>
      <c r="AH548" s="238" t="s">
        <v>1171</v>
      </c>
      <c r="AI548" s="238" t="s">
        <v>3074</v>
      </c>
      <c r="AJ548" s="238" t="s">
        <v>130</v>
      </c>
      <c r="AK548" s="238" t="s">
        <v>1167</v>
      </c>
      <c r="AL548" t="s">
        <v>8715</v>
      </c>
      <c r="AM548" t="s">
        <v>1167</v>
      </c>
    </row>
    <row r="549" spans="1:39" hidden="1" x14ac:dyDescent="0.25">
      <c r="A549">
        <v>545</v>
      </c>
      <c r="B549">
        <v>34</v>
      </c>
      <c r="C549" s="24">
        <v>44406</v>
      </c>
      <c r="D549" s="238" t="s">
        <v>19</v>
      </c>
      <c r="E549" s="238" t="s">
        <v>5</v>
      </c>
      <c r="F549">
        <v>10</v>
      </c>
      <c r="G549">
        <v>11</v>
      </c>
      <c r="H549">
        <v>270</v>
      </c>
      <c r="I549" s="238" t="s">
        <v>4052</v>
      </c>
      <c r="J549">
        <v>25.91</v>
      </c>
      <c r="K549" s="238" t="s">
        <v>38</v>
      </c>
      <c r="L549">
        <v>2009541.69</v>
      </c>
      <c r="M549">
        <v>0</v>
      </c>
      <c r="N549">
        <v>2009541.69</v>
      </c>
      <c r="O549">
        <v>77558.536858355845</v>
      </c>
      <c r="P549">
        <v>389945.5</v>
      </c>
      <c r="Q549">
        <v>1619596.19</v>
      </c>
      <c r="R549">
        <v>62508.536858355845</v>
      </c>
      <c r="S549" s="238" t="s">
        <v>121</v>
      </c>
      <c r="T549" s="238" t="s">
        <v>350</v>
      </c>
      <c r="U549">
        <v>85241.9</v>
      </c>
      <c r="V549" t="s">
        <v>1167</v>
      </c>
      <c r="W549" s="24">
        <v>44400</v>
      </c>
      <c r="X549" s="238" t="s">
        <v>679</v>
      </c>
      <c r="Y549" s="238" t="s">
        <v>39</v>
      </c>
      <c r="Z549" s="238" t="s">
        <v>1168</v>
      </c>
      <c r="AA549" t="s">
        <v>1167</v>
      </c>
      <c r="AB549" s="238" t="s">
        <v>3246</v>
      </c>
      <c r="AC549" t="s">
        <v>4246</v>
      </c>
      <c r="AD549" s="24"/>
      <c r="AE549" s="238" t="s">
        <v>2214</v>
      </c>
      <c r="AF549">
        <v>79272047722</v>
      </c>
      <c r="AG549" s="238" t="s">
        <v>2215</v>
      </c>
      <c r="AH549" s="238" t="s">
        <v>146</v>
      </c>
      <c r="AI549" s="238" t="s">
        <v>135</v>
      </c>
      <c r="AJ549" s="238" t="s">
        <v>130</v>
      </c>
      <c r="AK549" s="238" t="s">
        <v>1167</v>
      </c>
      <c r="AL549" t="s">
        <v>8715</v>
      </c>
      <c r="AM549" t="s">
        <v>1167</v>
      </c>
    </row>
    <row r="550" spans="1:39" hidden="1" x14ac:dyDescent="0.25">
      <c r="A550">
        <v>546</v>
      </c>
      <c r="B550">
        <v>35</v>
      </c>
      <c r="C550" s="24">
        <v>44406</v>
      </c>
      <c r="D550" s="238" t="s">
        <v>27</v>
      </c>
      <c r="E550" s="238" t="s">
        <v>15</v>
      </c>
      <c r="F550">
        <v>8</v>
      </c>
      <c r="G550">
        <v>4</v>
      </c>
      <c r="H550">
        <v>535</v>
      </c>
      <c r="I550" s="238" t="s">
        <v>43</v>
      </c>
      <c r="J550">
        <v>55.8</v>
      </c>
      <c r="K550" s="238" t="s">
        <v>36</v>
      </c>
      <c r="L550">
        <v>2553408</v>
      </c>
      <c r="M550">
        <v>0</v>
      </c>
      <c r="N550">
        <v>2553408</v>
      </c>
      <c r="O550">
        <v>45760</v>
      </c>
      <c r="P550">
        <v>0</v>
      </c>
      <c r="Q550">
        <v>2553408</v>
      </c>
      <c r="R550">
        <v>45760</v>
      </c>
      <c r="S550" s="238" t="s">
        <v>137</v>
      </c>
      <c r="T550" s="238" t="s">
        <v>1167</v>
      </c>
      <c r="V550" t="s">
        <v>4091</v>
      </c>
      <c r="W550" s="24">
        <v>44404</v>
      </c>
      <c r="X550" s="238" t="s">
        <v>677</v>
      </c>
      <c r="Y550" s="238" t="s">
        <v>39</v>
      </c>
      <c r="Z550" s="238" t="s">
        <v>1340</v>
      </c>
      <c r="AA550" t="s">
        <v>1167</v>
      </c>
      <c r="AB550" s="238" t="s">
        <v>3246</v>
      </c>
      <c r="AC550" t="s">
        <v>3079</v>
      </c>
      <c r="AD550" s="24"/>
      <c r="AE550" s="238" t="s">
        <v>2216</v>
      </c>
      <c r="AF550">
        <v>79277777784</v>
      </c>
      <c r="AG550" s="238" t="s">
        <v>2217</v>
      </c>
      <c r="AH550" s="238" t="s">
        <v>1212</v>
      </c>
      <c r="AI550" s="238" t="s">
        <v>135</v>
      </c>
      <c r="AJ550" s="238" t="s">
        <v>126</v>
      </c>
      <c r="AK550" s="238" t="s">
        <v>141</v>
      </c>
      <c r="AL550" t="s">
        <v>8715</v>
      </c>
      <c r="AM550" t="s">
        <v>1167</v>
      </c>
    </row>
    <row r="551" spans="1:39" hidden="1" x14ac:dyDescent="0.25">
      <c r="A551">
        <v>547</v>
      </c>
      <c r="B551">
        <v>36</v>
      </c>
      <c r="C551" s="24">
        <v>44407</v>
      </c>
      <c r="D551" s="238" t="s">
        <v>19</v>
      </c>
      <c r="E551" s="238" t="s">
        <v>6</v>
      </c>
      <c r="F551">
        <v>3</v>
      </c>
      <c r="G551">
        <v>23</v>
      </c>
      <c r="H551">
        <v>150</v>
      </c>
      <c r="I551" s="238" t="s">
        <v>44</v>
      </c>
      <c r="J551">
        <v>76.56</v>
      </c>
      <c r="K551" s="238" t="s">
        <v>37</v>
      </c>
      <c r="L551">
        <v>4344083.3</v>
      </c>
      <c r="M551">
        <v>0</v>
      </c>
      <c r="N551">
        <v>4344083.3</v>
      </c>
      <c r="O551">
        <v>56740.899947753394</v>
      </c>
      <c r="P551">
        <v>421080</v>
      </c>
      <c r="Q551">
        <v>3923003.3</v>
      </c>
      <c r="R551">
        <v>51240.899947753394</v>
      </c>
      <c r="S551" s="238" t="s">
        <v>137</v>
      </c>
      <c r="T551" s="238" t="s">
        <v>1167</v>
      </c>
      <c r="V551" t="s">
        <v>1167</v>
      </c>
      <c r="W551" s="24">
        <v>44372</v>
      </c>
      <c r="X551" s="238" t="s">
        <v>681</v>
      </c>
      <c r="Y551" s="238" t="s">
        <v>39</v>
      </c>
      <c r="Z551" s="238" t="s">
        <v>1168</v>
      </c>
      <c r="AA551" t="s">
        <v>1167</v>
      </c>
      <c r="AB551" s="238" t="s">
        <v>3246</v>
      </c>
      <c r="AC551" t="s">
        <v>3076</v>
      </c>
      <c r="AD551" s="24"/>
      <c r="AE551" s="238" t="s">
        <v>2218</v>
      </c>
      <c r="AF551">
        <v>79963425955</v>
      </c>
      <c r="AG551" s="238" t="s">
        <v>2219</v>
      </c>
      <c r="AH551" s="238" t="s">
        <v>1212</v>
      </c>
      <c r="AI551" s="238" t="s">
        <v>3088</v>
      </c>
      <c r="AJ551" s="238" t="s">
        <v>120</v>
      </c>
      <c r="AK551" s="238" t="s">
        <v>141</v>
      </c>
      <c r="AL551" t="s">
        <v>8715</v>
      </c>
      <c r="AM551" t="s">
        <v>1167</v>
      </c>
    </row>
    <row r="552" spans="1:39" hidden="1" x14ac:dyDescent="0.25">
      <c r="A552">
        <v>548</v>
      </c>
      <c r="B552">
        <v>37</v>
      </c>
      <c r="C552" s="24">
        <v>44407</v>
      </c>
      <c r="D552" s="238" t="s">
        <v>19</v>
      </c>
      <c r="E552" s="238" t="s">
        <v>6</v>
      </c>
      <c r="F552">
        <v>4</v>
      </c>
      <c r="G552">
        <v>5</v>
      </c>
      <c r="H552">
        <v>25</v>
      </c>
      <c r="I552" s="238" t="s">
        <v>42</v>
      </c>
      <c r="J552">
        <v>36.86</v>
      </c>
      <c r="K552" s="238" t="s">
        <v>36</v>
      </c>
      <c r="L552">
        <v>2275186.8199999998</v>
      </c>
      <c r="M552">
        <v>0</v>
      </c>
      <c r="N552">
        <v>2275186.8199999998</v>
      </c>
      <c r="O552">
        <v>61725.09007053716</v>
      </c>
      <c r="P552">
        <v>0</v>
      </c>
      <c r="Q552">
        <v>2275186.8199999998</v>
      </c>
      <c r="R552">
        <v>61725.09007053716</v>
      </c>
      <c r="S552" s="238" t="s">
        <v>137</v>
      </c>
      <c r="T552" s="238" t="s">
        <v>1167</v>
      </c>
      <c r="V552" t="s">
        <v>1167</v>
      </c>
      <c r="W552" s="24">
        <v>44397</v>
      </c>
      <c r="X552" s="238" t="s">
        <v>680</v>
      </c>
      <c r="Y552" s="238" t="s">
        <v>39</v>
      </c>
      <c r="Z552" s="238" t="s">
        <v>1340</v>
      </c>
      <c r="AA552" t="s">
        <v>1167</v>
      </c>
      <c r="AB552" s="238" t="s">
        <v>3246</v>
      </c>
      <c r="AC552" t="s">
        <v>3079</v>
      </c>
      <c r="AD552" s="24"/>
      <c r="AE552" s="238" t="s">
        <v>2220</v>
      </c>
      <c r="AF552">
        <v>79225479897</v>
      </c>
      <c r="AG552" s="238" t="s">
        <v>2221</v>
      </c>
      <c r="AH552" s="238" t="s">
        <v>1212</v>
      </c>
      <c r="AI552" s="238" t="s">
        <v>135</v>
      </c>
      <c r="AJ552" s="238" t="s">
        <v>130</v>
      </c>
      <c r="AK552" s="238" t="s">
        <v>141</v>
      </c>
      <c r="AL552" t="s">
        <v>8715</v>
      </c>
      <c r="AM552" t="s">
        <v>1167</v>
      </c>
    </row>
    <row r="553" spans="1:39" hidden="1" x14ac:dyDescent="0.25">
      <c r="A553">
        <v>549</v>
      </c>
      <c r="B553">
        <v>38</v>
      </c>
      <c r="C553" s="24">
        <v>44407</v>
      </c>
      <c r="D553" s="238" t="s">
        <v>27</v>
      </c>
      <c r="E553" s="238" t="s">
        <v>5</v>
      </c>
      <c r="F553">
        <v>8</v>
      </c>
      <c r="G553">
        <v>6</v>
      </c>
      <c r="H553">
        <v>247</v>
      </c>
      <c r="I553" s="238" t="s">
        <v>43</v>
      </c>
      <c r="J553">
        <v>55.8</v>
      </c>
      <c r="K553" s="238" t="s">
        <v>36</v>
      </c>
      <c r="L553">
        <v>2700720</v>
      </c>
      <c r="M553">
        <v>0</v>
      </c>
      <c r="N553">
        <v>2700720</v>
      </c>
      <c r="O553">
        <v>48400</v>
      </c>
      <c r="P553">
        <v>0</v>
      </c>
      <c r="Q553">
        <v>2700720</v>
      </c>
      <c r="R553">
        <v>48400</v>
      </c>
      <c r="S553" s="238" t="s">
        <v>137</v>
      </c>
      <c r="T553" s="238" t="s">
        <v>1167</v>
      </c>
      <c r="V553" t="s">
        <v>4091</v>
      </c>
      <c r="W553" s="24">
        <v>44397</v>
      </c>
      <c r="X553" s="238" t="s">
        <v>685</v>
      </c>
      <c r="Y553" s="238" t="s">
        <v>39</v>
      </c>
      <c r="Z553" s="238" t="s">
        <v>1340</v>
      </c>
      <c r="AA553" t="s">
        <v>1167</v>
      </c>
      <c r="AB553" s="238" t="s">
        <v>3246</v>
      </c>
      <c r="AC553" t="s">
        <v>3079</v>
      </c>
      <c r="AD553" s="24"/>
      <c r="AE553" s="238" t="s">
        <v>2222</v>
      </c>
      <c r="AF553">
        <v>79376498117</v>
      </c>
      <c r="AG553" s="238" t="s">
        <v>2223</v>
      </c>
      <c r="AH553" s="238" t="s">
        <v>1197</v>
      </c>
      <c r="AI553" s="238" t="s">
        <v>3074</v>
      </c>
      <c r="AJ553" s="238" t="s">
        <v>126</v>
      </c>
      <c r="AK553" s="238" t="s">
        <v>141</v>
      </c>
      <c r="AL553" t="s">
        <v>8715</v>
      </c>
      <c r="AM553" t="s">
        <v>1167</v>
      </c>
    </row>
    <row r="554" spans="1:39" hidden="1" x14ac:dyDescent="0.25">
      <c r="A554">
        <v>550</v>
      </c>
      <c r="B554">
        <v>39</v>
      </c>
      <c r="C554" s="24">
        <v>44407</v>
      </c>
      <c r="D554" s="238" t="s">
        <v>20</v>
      </c>
      <c r="E554" s="238" t="s">
        <v>5</v>
      </c>
      <c r="F554">
        <v>1</v>
      </c>
      <c r="G554">
        <v>20</v>
      </c>
      <c r="H554">
        <v>277</v>
      </c>
      <c r="I554" s="238" t="s">
        <v>43</v>
      </c>
      <c r="J554">
        <v>62.7</v>
      </c>
      <c r="K554" s="238" t="s">
        <v>36</v>
      </c>
      <c r="L554">
        <v>3537668.18</v>
      </c>
      <c r="M554">
        <v>0</v>
      </c>
      <c r="N554">
        <v>3537668.18</v>
      </c>
      <c r="O554">
        <v>56422.140031897929</v>
      </c>
      <c r="P554">
        <v>31350</v>
      </c>
      <c r="Q554">
        <v>3506318.18</v>
      </c>
      <c r="R554">
        <v>55922.140031897929</v>
      </c>
      <c r="S554" s="238" t="s">
        <v>137</v>
      </c>
      <c r="T554" s="238" t="s">
        <v>1167</v>
      </c>
      <c r="V554" t="s">
        <v>1167</v>
      </c>
      <c r="W554" s="24">
        <v>44397</v>
      </c>
      <c r="X554" s="238" t="s">
        <v>688</v>
      </c>
      <c r="Y554" s="238" t="s">
        <v>39</v>
      </c>
      <c r="Z554" s="238" t="s">
        <v>1340</v>
      </c>
      <c r="AA554" t="s">
        <v>1167</v>
      </c>
      <c r="AB554" s="238" t="s">
        <v>3124</v>
      </c>
      <c r="AC554" t="s">
        <v>3079</v>
      </c>
      <c r="AD554" s="24"/>
      <c r="AE554" s="238" t="s">
        <v>2224</v>
      </c>
      <c r="AF554">
        <v>79276086949</v>
      </c>
      <c r="AG554" s="238" t="s">
        <v>1167</v>
      </c>
      <c r="AH554" s="238" t="s">
        <v>135</v>
      </c>
      <c r="AI554" s="238" t="s">
        <v>3099</v>
      </c>
      <c r="AJ554" s="238" t="s">
        <v>689</v>
      </c>
      <c r="AK554" s="238" t="s">
        <v>141</v>
      </c>
      <c r="AL554" t="s">
        <v>8715</v>
      </c>
      <c r="AM554" t="s">
        <v>1167</v>
      </c>
    </row>
    <row r="555" spans="1:39" hidden="1" x14ac:dyDescent="0.25">
      <c r="A555">
        <v>551</v>
      </c>
      <c r="B555">
        <v>40</v>
      </c>
      <c r="C555" s="24">
        <v>44407</v>
      </c>
      <c r="D555" s="238" t="s">
        <v>27</v>
      </c>
      <c r="E555" s="238" t="s">
        <v>5</v>
      </c>
      <c r="F555">
        <v>5</v>
      </c>
      <c r="G555">
        <v>11</v>
      </c>
      <c r="H555">
        <v>284</v>
      </c>
      <c r="I555" s="238" t="s">
        <v>4052</v>
      </c>
      <c r="J555">
        <v>23.63</v>
      </c>
      <c r="K555" s="238" t="s">
        <v>38</v>
      </c>
      <c r="L555">
        <v>1760907.6</v>
      </c>
      <c r="M555">
        <v>0</v>
      </c>
      <c r="N555">
        <v>1760907.6</v>
      </c>
      <c r="O555">
        <v>74520</v>
      </c>
      <c r="P555">
        <v>378080</v>
      </c>
      <c r="Q555">
        <v>1382827.6</v>
      </c>
      <c r="R555">
        <v>58520.000000000007</v>
      </c>
      <c r="S555" s="238" t="s">
        <v>137</v>
      </c>
      <c r="T555" s="238" t="s">
        <v>1167</v>
      </c>
      <c r="V555" t="s">
        <v>1167</v>
      </c>
      <c r="W555" s="24">
        <v>44399</v>
      </c>
      <c r="X555" s="238" t="s">
        <v>682</v>
      </c>
      <c r="Y555" s="238" t="s">
        <v>39</v>
      </c>
      <c r="Z555" s="238" t="s">
        <v>1340</v>
      </c>
      <c r="AA555" t="s">
        <v>1167</v>
      </c>
      <c r="AB555" s="238" t="s">
        <v>3246</v>
      </c>
      <c r="AC555" t="s">
        <v>3077</v>
      </c>
      <c r="AD555" s="24"/>
      <c r="AE555" s="238" t="s">
        <v>2225</v>
      </c>
      <c r="AF555">
        <v>79047308822</v>
      </c>
      <c r="AG555" s="238" t="s">
        <v>2226</v>
      </c>
      <c r="AH555" s="238" t="s">
        <v>1212</v>
      </c>
      <c r="AI555" s="238" t="s">
        <v>3097</v>
      </c>
      <c r="AJ555" s="238" t="s">
        <v>126</v>
      </c>
      <c r="AK555" s="238" t="s">
        <v>141</v>
      </c>
      <c r="AL555" t="s">
        <v>8715</v>
      </c>
      <c r="AM555" t="s">
        <v>1167</v>
      </c>
    </row>
    <row r="556" spans="1:39" hidden="1" x14ac:dyDescent="0.25">
      <c r="A556">
        <v>552</v>
      </c>
      <c r="B556">
        <v>41</v>
      </c>
      <c r="C556" s="24">
        <v>44407</v>
      </c>
      <c r="D556" s="238" t="s">
        <v>27</v>
      </c>
      <c r="E556" s="238" t="s">
        <v>15</v>
      </c>
      <c r="F556">
        <v>5</v>
      </c>
      <c r="G556">
        <v>8</v>
      </c>
      <c r="H556">
        <v>564</v>
      </c>
      <c r="I556" s="238" t="s">
        <v>4052</v>
      </c>
      <c r="J556">
        <v>23.63</v>
      </c>
      <c r="K556" s="238" t="s">
        <v>36</v>
      </c>
      <c r="L556">
        <v>1299650</v>
      </c>
      <c r="M556">
        <v>0</v>
      </c>
      <c r="N556">
        <v>1299650</v>
      </c>
      <c r="O556">
        <v>55000</v>
      </c>
      <c r="P556">
        <v>0</v>
      </c>
      <c r="Q556">
        <v>1299650</v>
      </c>
      <c r="R556">
        <v>55000</v>
      </c>
      <c r="S556" s="238" t="s">
        <v>121</v>
      </c>
      <c r="T556" s="238" t="s">
        <v>1167</v>
      </c>
      <c r="V556" t="s">
        <v>1167</v>
      </c>
      <c r="W556" s="24">
        <v>44400</v>
      </c>
      <c r="X556" s="238" t="s">
        <v>683</v>
      </c>
      <c r="Y556" s="238" t="s">
        <v>39</v>
      </c>
      <c r="Z556" s="238" t="s">
        <v>1168</v>
      </c>
      <c r="AA556" t="s">
        <v>1167</v>
      </c>
      <c r="AB556" s="238" t="s">
        <v>3246</v>
      </c>
      <c r="AC556" t="s">
        <v>4246</v>
      </c>
      <c r="AD556" s="24"/>
      <c r="AE556" s="238" t="s">
        <v>2227</v>
      </c>
      <c r="AF556">
        <v>79171260489</v>
      </c>
      <c r="AG556" s="238" t="s">
        <v>1192</v>
      </c>
      <c r="AH556" s="238" t="s">
        <v>1212</v>
      </c>
      <c r="AI556" s="238" t="s">
        <v>3082</v>
      </c>
      <c r="AJ556" s="238" t="s">
        <v>130</v>
      </c>
      <c r="AK556" s="238" t="s">
        <v>1167</v>
      </c>
      <c r="AL556" t="s">
        <v>8715</v>
      </c>
      <c r="AM556" t="s">
        <v>1167</v>
      </c>
    </row>
    <row r="557" spans="1:39" hidden="1" x14ac:dyDescent="0.25">
      <c r="A557">
        <v>553</v>
      </c>
      <c r="B557">
        <v>42</v>
      </c>
      <c r="C557" s="24">
        <v>44407</v>
      </c>
      <c r="D557" s="238" t="s">
        <v>27</v>
      </c>
      <c r="E557" s="238" t="s">
        <v>15</v>
      </c>
      <c r="F557">
        <v>4</v>
      </c>
      <c r="G557">
        <v>6</v>
      </c>
      <c r="H557">
        <v>547</v>
      </c>
      <c r="I557" s="238" t="s">
        <v>42</v>
      </c>
      <c r="J557">
        <v>40</v>
      </c>
      <c r="K557" s="238" t="s">
        <v>38</v>
      </c>
      <c r="L557">
        <v>2649000</v>
      </c>
      <c r="M557">
        <v>15000</v>
      </c>
      <c r="N557">
        <v>2664000</v>
      </c>
      <c r="O557">
        <v>66600</v>
      </c>
      <c r="P557">
        <v>640000</v>
      </c>
      <c r="Q557">
        <v>2024000</v>
      </c>
      <c r="R557">
        <v>50600</v>
      </c>
      <c r="S557" s="238" t="s">
        <v>124</v>
      </c>
      <c r="T557" s="238" t="s">
        <v>1167</v>
      </c>
      <c r="V557" t="s">
        <v>1167</v>
      </c>
      <c r="W557" s="24">
        <v>44403</v>
      </c>
      <c r="X557" s="238" t="s">
        <v>687</v>
      </c>
      <c r="Y557" s="238" t="s">
        <v>39</v>
      </c>
      <c r="Z557" s="238" t="s">
        <v>1340</v>
      </c>
      <c r="AA557" t="s">
        <v>1167</v>
      </c>
      <c r="AB557" s="238" t="s">
        <v>3246</v>
      </c>
      <c r="AC557" t="s">
        <v>4246</v>
      </c>
      <c r="AD557" s="24"/>
      <c r="AE557" s="238" t="s">
        <v>2228</v>
      </c>
      <c r="AF557">
        <v>79272096758</v>
      </c>
      <c r="AG557" s="238" t="s">
        <v>2229</v>
      </c>
      <c r="AH557" s="238" t="s">
        <v>1212</v>
      </c>
      <c r="AI557" s="238" t="s">
        <v>135</v>
      </c>
      <c r="AJ557" s="238" t="s">
        <v>399</v>
      </c>
      <c r="AK557" s="238" t="s">
        <v>1167</v>
      </c>
      <c r="AL557" t="s">
        <v>8715</v>
      </c>
      <c r="AM557" t="s">
        <v>1167</v>
      </c>
    </row>
    <row r="558" spans="1:39" hidden="1" x14ac:dyDescent="0.25">
      <c r="A558">
        <v>554</v>
      </c>
      <c r="B558">
        <v>43</v>
      </c>
      <c r="C558" s="24">
        <v>44407</v>
      </c>
      <c r="D558" s="238" t="s">
        <v>19</v>
      </c>
      <c r="E558" s="238" t="s">
        <v>5</v>
      </c>
      <c r="F558">
        <v>9</v>
      </c>
      <c r="G558">
        <v>11</v>
      </c>
      <c r="H558">
        <v>269</v>
      </c>
      <c r="I558" s="238" t="s">
        <v>43</v>
      </c>
      <c r="J558">
        <v>60.3</v>
      </c>
      <c r="K558" s="238" t="s">
        <v>37</v>
      </c>
      <c r="L558">
        <v>3666713.96</v>
      </c>
      <c r="M558">
        <v>0</v>
      </c>
      <c r="N558">
        <v>3666713.96</v>
      </c>
      <c r="O558">
        <v>60807.860033167497</v>
      </c>
      <c r="P558">
        <v>331650</v>
      </c>
      <c r="Q558">
        <v>3335063.96</v>
      </c>
      <c r="R558">
        <v>55307.860033167497</v>
      </c>
      <c r="S558" s="238" t="s">
        <v>137</v>
      </c>
      <c r="T558" s="238" t="s">
        <v>1167</v>
      </c>
      <c r="V558" t="s">
        <v>4091</v>
      </c>
      <c r="W558" s="24">
        <v>44404</v>
      </c>
      <c r="X558" s="238" t="s">
        <v>691</v>
      </c>
      <c r="Y558" s="238" t="s">
        <v>39</v>
      </c>
      <c r="Z558" s="238" t="s">
        <v>1340</v>
      </c>
      <c r="AA558" t="s">
        <v>1167</v>
      </c>
      <c r="AB558" s="238" t="s">
        <v>3246</v>
      </c>
      <c r="AC558" t="s">
        <v>3079</v>
      </c>
      <c r="AD558" s="24"/>
      <c r="AE558" s="238" t="s">
        <v>2230</v>
      </c>
      <c r="AF558">
        <v>79654483803</v>
      </c>
      <c r="AG558" s="238" t="s">
        <v>2231</v>
      </c>
      <c r="AH558" s="238" t="s">
        <v>146</v>
      </c>
      <c r="AI558" s="238" t="s">
        <v>135</v>
      </c>
      <c r="AJ558" s="238" t="s">
        <v>689</v>
      </c>
      <c r="AK558" s="238" t="s">
        <v>141</v>
      </c>
      <c r="AL558" t="s">
        <v>8715</v>
      </c>
      <c r="AM558" t="s">
        <v>1167</v>
      </c>
    </row>
    <row r="559" spans="1:39" hidden="1" x14ac:dyDescent="0.25">
      <c r="A559">
        <v>555</v>
      </c>
      <c r="B559">
        <v>44</v>
      </c>
      <c r="C559" s="24">
        <v>44407</v>
      </c>
      <c r="D559" s="238" t="s">
        <v>27</v>
      </c>
      <c r="E559" s="238" t="s">
        <v>15</v>
      </c>
      <c r="F559">
        <v>1</v>
      </c>
      <c r="G559">
        <v>11</v>
      </c>
      <c r="H559">
        <v>584</v>
      </c>
      <c r="I559" s="238" t="s">
        <v>44</v>
      </c>
      <c r="J559">
        <v>82.27</v>
      </c>
      <c r="K559" s="238" t="s">
        <v>36</v>
      </c>
      <c r="L559">
        <v>3749675.2</v>
      </c>
      <c r="M559">
        <v>15000</v>
      </c>
      <c r="N559">
        <v>3764675.2</v>
      </c>
      <c r="O559">
        <v>45760.000000000007</v>
      </c>
      <c r="P559">
        <v>0</v>
      </c>
      <c r="Q559">
        <v>3764675.2</v>
      </c>
      <c r="R559">
        <v>45760.000000000007</v>
      </c>
      <c r="S559" s="238" t="s">
        <v>137</v>
      </c>
      <c r="T559" s="238" t="s">
        <v>1167</v>
      </c>
      <c r="V559" t="s">
        <v>4091</v>
      </c>
      <c r="W559" s="24">
        <v>44399</v>
      </c>
      <c r="X559" s="238" t="s">
        <v>684</v>
      </c>
      <c r="Y559" s="238" t="s">
        <v>39</v>
      </c>
      <c r="Z559" s="238" t="s">
        <v>1340</v>
      </c>
      <c r="AA559" t="s">
        <v>1167</v>
      </c>
      <c r="AB559" s="238" t="s">
        <v>3246</v>
      </c>
      <c r="AC559" t="s">
        <v>3079</v>
      </c>
      <c r="AD559" s="24"/>
      <c r="AE559" s="238" t="s">
        <v>2232</v>
      </c>
      <c r="AF559">
        <v>79608136357</v>
      </c>
      <c r="AG559" s="238" t="s">
        <v>2233</v>
      </c>
      <c r="AH559" s="238" t="s">
        <v>1171</v>
      </c>
      <c r="AI559" s="238" t="s">
        <v>3088</v>
      </c>
      <c r="AJ559" s="238" t="s">
        <v>399</v>
      </c>
      <c r="AK559" s="238" t="s">
        <v>141</v>
      </c>
      <c r="AL559" t="s">
        <v>8715</v>
      </c>
      <c r="AM559" t="s">
        <v>1167</v>
      </c>
    </row>
    <row r="560" spans="1:39" hidden="1" x14ac:dyDescent="0.25">
      <c r="A560">
        <v>556</v>
      </c>
      <c r="B560">
        <v>45</v>
      </c>
      <c r="C560" s="24">
        <v>44407</v>
      </c>
      <c r="D560" s="238" t="s">
        <v>19</v>
      </c>
      <c r="E560" s="238" t="s">
        <v>5</v>
      </c>
      <c r="F560">
        <v>3</v>
      </c>
      <c r="G560">
        <v>11</v>
      </c>
      <c r="H560">
        <v>263</v>
      </c>
      <c r="I560" s="238" t="s">
        <v>44</v>
      </c>
      <c r="J560">
        <v>86.58</v>
      </c>
      <c r="K560" s="238" t="s">
        <v>37</v>
      </c>
      <c r="L560">
        <v>4933419.29</v>
      </c>
      <c r="M560">
        <v>15000</v>
      </c>
      <c r="N560">
        <v>4948419.29</v>
      </c>
      <c r="O560">
        <v>57154.299953799957</v>
      </c>
      <c r="P560">
        <v>476190</v>
      </c>
      <c r="Q560">
        <v>4472229.29</v>
      </c>
      <c r="R560">
        <v>51654.299953799957</v>
      </c>
      <c r="S560" s="238" t="s">
        <v>137</v>
      </c>
      <c r="T560" s="238" t="s">
        <v>1167</v>
      </c>
      <c r="V560" t="s">
        <v>4091</v>
      </c>
      <c r="W560" s="24">
        <v>44405</v>
      </c>
      <c r="X560" s="238" t="s">
        <v>690</v>
      </c>
      <c r="Y560" s="238" t="s">
        <v>39</v>
      </c>
      <c r="Z560" s="238" t="s">
        <v>1340</v>
      </c>
      <c r="AA560" t="s">
        <v>1167</v>
      </c>
      <c r="AB560" s="238" t="s">
        <v>3246</v>
      </c>
      <c r="AC560" t="s">
        <v>3079</v>
      </c>
      <c r="AD560" s="24"/>
      <c r="AE560" s="238" t="s">
        <v>2234</v>
      </c>
      <c r="AF560">
        <v>79649857742</v>
      </c>
      <c r="AG560" s="238" t="s">
        <v>2235</v>
      </c>
      <c r="AH560" s="238" t="s">
        <v>135</v>
      </c>
      <c r="AI560" s="238" t="s">
        <v>3099</v>
      </c>
      <c r="AJ560" s="238" t="s">
        <v>399</v>
      </c>
      <c r="AK560" s="238" t="s">
        <v>141</v>
      </c>
      <c r="AL560" t="s">
        <v>8715</v>
      </c>
      <c r="AM560" t="s">
        <v>1167</v>
      </c>
    </row>
    <row r="561" spans="1:39" hidden="1" x14ac:dyDescent="0.25">
      <c r="A561">
        <v>557</v>
      </c>
      <c r="B561">
        <v>46</v>
      </c>
      <c r="C561" s="24">
        <v>44407</v>
      </c>
      <c r="D561" s="238" t="s">
        <v>19</v>
      </c>
      <c r="E561" s="238" t="s">
        <v>5</v>
      </c>
      <c r="F561">
        <v>4</v>
      </c>
      <c r="G561">
        <v>12</v>
      </c>
      <c r="H561">
        <v>275</v>
      </c>
      <c r="I561" s="238" t="s">
        <v>42</v>
      </c>
      <c r="J561">
        <v>37.89</v>
      </c>
      <c r="K561" s="238" t="s">
        <v>37</v>
      </c>
      <c r="L561">
        <v>2722557.78</v>
      </c>
      <c r="M561">
        <v>0</v>
      </c>
      <c r="N561">
        <v>2722557.78</v>
      </c>
      <c r="O561">
        <v>71854.256532066502</v>
      </c>
      <c r="P561">
        <v>208395</v>
      </c>
      <c r="Q561">
        <v>2514162.7799999998</v>
      </c>
      <c r="R561">
        <v>66354.256532066502</v>
      </c>
      <c r="S561" s="238" t="s">
        <v>137</v>
      </c>
      <c r="T561" s="238" t="s">
        <v>1167</v>
      </c>
      <c r="V561" t="s">
        <v>1167</v>
      </c>
      <c r="W561" s="24">
        <v>44406</v>
      </c>
      <c r="X561" s="238" t="s">
        <v>692</v>
      </c>
      <c r="Y561" s="238" t="s">
        <v>39</v>
      </c>
      <c r="Z561" s="238" t="s">
        <v>1340</v>
      </c>
      <c r="AA561" t="s">
        <v>1167</v>
      </c>
      <c r="AB561" s="238" t="s">
        <v>3246</v>
      </c>
      <c r="AC561" t="s">
        <v>3079</v>
      </c>
      <c r="AD561" s="24"/>
      <c r="AE561" s="238" t="s">
        <v>2236</v>
      </c>
      <c r="AF561">
        <v>79272130657</v>
      </c>
      <c r="AG561" s="238" t="s">
        <v>2237</v>
      </c>
      <c r="AH561" s="238" t="s">
        <v>135</v>
      </c>
      <c r="AI561" s="238" t="s">
        <v>3075</v>
      </c>
      <c r="AJ561" s="238" t="s">
        <v>399</v>
      </c>
      <c r="AK561" s="238" t="s">
        <v>141</v>
      </c>
      <c r="AL561" t="s">
        <v>8715</v>
      </c>
      <c r="AM561" t="s">
        <v>1167</v>
      </c>
    </row>
    <row r="562" spans="1:39" hidden="1" x14ac:dyDescent="0.25">
      <c r="A562">
        <v>558</v>
      </c>
      <c r="B562">
        <v>47</v>
      </c>
      <c r="C562" s="24">
        <v>44407</v>
      </c>
      <c r="D562" s="238" t="s">
        <v>27</v>
      </c>
      <c r="E562" s="238" t="s">
        <v>5</v>
      </c>
      <c r="F562">
        <v>8</v>
      </c>
      <c r="G562">
        <v>13</v>
      </c>
      <c r="H562">
        <v>303</v>
      </c>
      <c r="I562" s="238" t="s">
        <v>43</v>
      </c>
      <c r="J562">
        <v>55.8</v>
      </c>
      <c r="K562" s="238" t="s">
        <v>37</v>
      </c>
      <c r="L562">
        <v>3142656</v>
      </c>
      <c r="M562">
        <v>0</v>
      </c>
      <c r="N562">
        <v>3142656</v>
      </c>
      <c r="O562">
        <v>56320</v>
      </c>
      <c r="P562">
        <v>306900</v>
      </c>
      <c r="Q562">
        <v>2835756</v>
      </c>
      <c r="R562">
        <v>50820</v>
      </c>
      <c r="S562" s="238" t="s">
        <v>137</v>
      </c>
      <c r="T562" s="238" t="s">
        <v>1167</v>
      </c>
      <c r="V562" t="s">
        <v>4091</v>
      </c>
      <c r="W562" s="24">
        <v>44407</v>
      </c>
      <c r="X562" s="238" t="s">
        <v>686</v>
      </c>
      <c r="Y562" s="238" t="s">
        <v>39</v>
      </c>
      <c r="Z562" s="238" t="s">
        <v>1168</v>
      </c>
      <c r="AA562" t="s">
        <v>1167</v>
      </c>
      <c r="AB562" s="238" t="s">
        <v>3246</v>
      </c>
      <c r="AC562" t="s">
        <v>3079</v>
      </c>
      <c r="AD562" s="24"/>
      <c r="AE562" s="238" t="s">
        <v>2238</v>
      </c>
      <c r="AF562">
        <v>79272046040</v>
      </c>
      <c r="AG562" s="238" t="s">
        <v>2239</v>
      </c>
      <c r="AH562" s="238" t="s">
        <v>135</v>
      </c>
      <c r="AI562" s="238" t="s">
        <v>3099</v>
      </c>
      <c r="AJ562" s="238" t="s">
        <v>399</v>
      </c>
      <c r="AK562" s="238" t="s">
        <v>141</v>
      </c>
      <c r="AL562" t="s">
        <v>8715</v>
      </c>
      <c r="AM562" t="s">
        <v>1167</v>
      </c>
    </row>
    <row r="563" spans="1:39" hidden="1" x14ac:dyDescent="0.25">
      <c r="A563">
        <v>559</v>
      </c>
      <c r="B563">
        <v>1</v>
      </c>
      <c r="C563" s="24">
        <v>44412</v>
      </c>
      <c r="D563" s="238" t="s">
        <v>27</v>
      </c>
      <c r="E563" s="238" t="s">
        <v>15</v>
      </c>
      <c r="F563">
        <v>5</v>
      </c>
      <c r="G563">
        <v>9</v>
      </c>
      <c r="H563">
        <v>572</v>
      </c>
      <c r="I563" s="238" t="s">
        <v>4052</v>
      </c>
      <c r="J563">
        <v>23.63</v>
      </c>
      <c r="K563" s="238" t="s">
        <v>36</v>
      </c>
      <c r="L563">
        <v>1284650</v>
      </c>
      <c r="M563">
        <v>15000</v>
      </c>
      <c r="N563">
        <v>1299650</v>
      </c>
      <c r="O563">
        <v>55000</v>
      </c>
      <c r="P563">
        <v>0</v>
      </c>
      <c r="Q563">
        <v>1299650</v>
      </c>
      <c r="R563">
        <v>55000</v>
      </c>
      <c r="S563" s="238" t="s">
        <v>124</v>
      </c>
      <c r="T563" s="238" t="s">
        <v>1167</v>
      </c>
      <c r="V563" t="s">
        <v>1167</v>
      </c>
      <c r="W563" s="24">
        <v>44375</v>
      </c>
      <c r="X563" s="238" t="s">
        <v>693</v>
      </c>
      <c r="Y563" s="238" t="s">
        <v>39</v>
      </c>
      <c r="Z563" s="238" t="s">
        <v>1168</v>
      </c>
      <c r="AA563" t="s">
        <v>1167</v>
      </c>
      <c r="AB563" s="238" t="s">
        <v>3246</v>
      </c>
      <c r="AC563" t="s">
        <v>4246</v>
      </c>
      <c r="AD563" s="24"/>
      <c r="AE563" s="238" t="s">
        <v>2242</v>
      </c>
      <c r="AF563">
        <v>79372309099</v>
      </c>
      <c r="AG563" s="238" t="s">
        <v>2243</v>
      </c>
      <c r="AH563" s="238" t="s">
        <v>1212</v>
      </c>
      <c r="AI563" s="238" t="s">
        <v>135</v>
      </c>
      <c r="AJ563" s="238" t="s">
        <v>130</v>
      </c>
      <c r="AK563" s="238" t="s">
        <v>1167</v>
      </c>
      <c r="AL563" t="s">
        <v>8715</v>
      </c>
      <c r="AM563" t="s">
        <v>1167</v>
      </c>
    </row>
    <row r="564" spans="1:39" hidden="1" x14ac:dyDescent="0.25">
      <c r="A564">
        <v>560</v>
      </c>
      <c r="B564">
        <v>2</v>
      </c>
      <c r="C564" s="24">
        <v>44414</v>
      </c>
      <c r="D564" s="238" t="s">
        <v>27</v>
      </c>
      <c r="E564" s="238" t="s">
        <v>15</v>
      </c>
      <c r="F564">
        <v>5</v>
      </c>
      <c r="G564">
        <v>13</v>
      </c>
      <c r="H564">
        <v>604</v>
      </c>
      <c r="I564" s="238" t="s">
        <v>4052</v>
      </c>
      <c r="J564">
        <v>23.63</v>
      </c>
      <c r="K564" s="238" t="s">
        <v>37</v>
      </c>
      <c r="L564">
        <v>1494597.5</v>
      </c>
      <c r="M564">
        <v>0</v>
      </c>
      <c r="N564">
        <v>1494597.5</v>
      </c>
      <c r="O564">
        <v>63250</v>
      </c>
      <c r="P564">
        <v>129965</v>
      </c>
      <c r="Q564">
        <v>1364632.5</v>
      </c>
      <c r="R564">
        <v>57750</v>
      </c>
      <c r="S564" s="238" t="s">
        <v>124</v>
      </c>
      <c r="T564" s="238" t="s">
        <v>1167</v>
      </c>
      <c r="V564" t="s">
        <v>1167</v>
      </c>
      <c r="W564" s="24">
        <v>44412</v>
      </c>
      <c r="X564" s="238" t="s">
        <v>695</v>
      </c>
      <c r="Y564" s="238" t="s">
        <v>39</v>
      </c>
      <c r="Z564" s="238" t="s">
        <v>1168</v>
      </c>
      <c r="AA564" t="s">
        <v>1167</v>
      </c>
      <c r="AB564" s="238" t="s">
        <v>3246</v>
      </c>
      <c r="AC564" t="s">
        <v>4246</v>
      </c>
      <c r="AD564" s="24"/>
      <c r="AE564" s="238" t="s">
        <v>2244</v>
      </c>
      <c r="AF564">
        <v>79171114040</v>
      </c>
      <c r="AG564" s="238" t="s">
        <v>2245</v>
      </c>
      <c r="AH564" s="238" t="s">
        <v>1212</v>
      </c>
      <c r="AI564" s="238" t="s">
        <v>3074</v>
      </c>
      <c r="AJ564" s="238" t="s">
        <v>689</v>
      </c>
      <c r="AK564" s="238" t="s">
        <v>1167</v>
      </c>
      <c r="AL564" t="s">
        <v>8715</v>
      </c>
      <c r="AM564" t="s">
        <v>1167</v>
      </c>
    </row>
    <row r="565" spans="1:39" hidden="1" x14ac:dyDescent="0.25">
      <c r="A565">
        <v>561</v>
      </c>
      <c r="B565">
        <v>3</v>
      </c>
      <c r="C565" s="24">
        <v>44414</v>
      </c>
      <c r="D565" s="238" t="s">
        <v>20</v>
      </c>
      <c r="E565" s="238" t="s">
        <v>6</v>
      </c>
      <c r="F565">
        <v>1</v>
      </c>
      <c r="G565">
        <v>9</v>
      </c>
      <c r="H565">
        <v>71</v>
      </c>
      <c r="I565" s="238" t="s">
        <v>4052</v>
      </c>
      <c r="J565">
        <v>31</v>
      </c>
      <c r="K565" s="238" t="s">
        <v>36</v>
      </c>
      <c r="L565">
        <v>2001893.51</v>
      </c>
      <c r="M565">
        <v>0</v>
      </c>
      <c r="N565">
        <v>2001893.51</v>
      </c>
      <c r="O565">
        <v>64577.21</v>
      </c>
      <c r="P565">
        <v>15500</v>
      </c>
      <c r="Q565">
        <v>1986393.51</v>
      </c>
      <c r="R565">
        <v>64077.21</v>
      </c>
      <c r="S565" s="238" t="s">
        <v>121</v>
      </c>
      <c r="T565" s="238" t="s">
        <v>321</v>
      </c>
      <c r="U565">
        <v>191669.39</v>
      </c>
      <c r="V565" t="s">
        <v>1167</v>
      </c>
      <c r="W565" s="24">
        <v>44413</v>
      </c>
      <c r="X565" s="238" t="s">
        <v>694</v>
      </c>
      <c r="Y565" s="238" t="s">
        <v>39</v>
      </c>
      <c r="Z565" s="238" t="s">
        <v>1168</v>
      </c>
      <c r="AA565" t="s">
        <v>1167</v>
      </c>
      <c r="AB565" s="238" t="s">
        <v>3124</v>
      </c>
      <c r="AC565" t="s">
        <v>4246</v>
      </c>
      <c r="AD565" s="24"/>
      <c r="AE565" s="238" t="s">
        <v>2246</v>
      </c>
      <c r="AF565">
        <v>79272632932</v>
      </c>
      <c r="AG565" s="238" t="s">
        <v>2247</v>
      </c>
      <c r="AH565" s="238" t="s">
        <v>135</v>
      </c>
      <c r="AI565" s="238" t="s">
        <v>3099</v>
      </c>
      <c r="AJ565" s="238" t="s">
        <v>126</v>
      </c>
      <c r="AK565" s="238" t="s">
        <v>1167</v>
      </c>
      <c r="AL565" t="s">
        <v>8715</v>
      </c>
      <c r="AM565" t="s">
        <v>1167</v>
      </c>
    </row>
    <row r="566" spans="1:39" hidden="1" x14ac:dyDescent="0.25">
      <c r="A566">
        <v>562</v>
      </c>
      <c r="B566">
        <v>4</v>
      </c>
      <c r="C566" s="24">
        <v>44417</v>
      </c>
      <c r="D566" s="238" t="s">
        <v>19</v>
      </c>
      <c r="E566" s="238" t="s">
        <v>5</v>
      </c>
      <c r="F566">
        <v>8</v>
      </c>
      <c r="G566">
        <v>15</v>
      </c>
      <c r="H566">
        <v>312</v>
      </c>
      <c r="I566" s="238" t="s">
        <v>43</v>
      </c>
      <c r="J566">
        <v>56.93</v>
      </c>
      <c r="K566" s="238" t="s">
        <v>36</v>
      </c>
      <c r="L566">
        <v>2974344.85</v>
      </c>
      <c r="M566">
        <v>0</v>
      </c>
      <c r="N566">
        <v>2974344.85</v>
      </c>
      <c r="O566">
        <v>52245.649920955562</v>
      </c>
      <c r="P566">
        <v>0</v>
      </c>
      <c r="Q566">
        <v>2974344.85</v>
      </c>
      <c r="R566">
        <v>52245.649920955562</v>
      </c>
      <c r="S566" s="238" t="s">
        <v>137</v>
      </c>
      <c r="T566" s="238" t="s">
        <v>1167</v>
      </c>
      <c r="V566" t="s">
        <v>1167</v>
      </c>
      <c r="W566" s="24">
        <v>44403</v>
      </c>
      <c r="X566" s="238" t="s">
        <v>697</v>
      </c>
      <c r="Y566" s="238" t="s">
        <v>39</v>
      </c>
      <c r="Z566" s="238" t="s">
        <v>1168</v>
      </c>
      <c r="AA566" t="s">
        <v>1167</v>
      </c>
      <c r="AB566" s="238" t="s">
        <v>3246</v>
      </c>
      <c r="AC566" t="s">
        <v>3104</v>
      </c>
      <c r="AD566" s="24"/>
      <c r="AE566" s="238" t="s">
        <v>2248</v>
      </c>
      <c r="AF566">
        <v>79171414647</v>
      </c>
      <c r="AG566" s="238" t="s">
        <v>2249</v>
      </c>
      <c r="AH566" s="238" t="s">
        <v>1212</v>
      </c>
      <c r="AI566" s="238" t="s">
        <v>3095</v>
      </c>
      <c r="AJ566" s="238" t="s">
        <v>126</v>
      </c>
      <c r="AK566" s="238" t="s">
        <v>141</v>
      </c>
      <c r="AL566" t="s">
        <v>8715</v>
      </c>
      <c r="AM566" t="s">
        <v>1167</v>
      </c>
    </row>
    <row r="567" spans="1:39" hidden="1" x14ac:dyDescent="0.25">
      <c r="A567">
        <v>563</v>
      </c>
      <c r="B567">
        <v>5</v>
      </c>
      <c r="C567" s="24">
        <v>44417</v>
      </c>
      <c r="D567" s="238" t="s">
        <v>20</v>
      </c>
      <c r="E567" s="238" t="s">
        <v>5</v>
      </c>
      <c r="F567">
        <v>1</v>
      </c>
      <c r="G567">
        <v>15</v>
      </c>
      <c r="H567">
        <v>242</v>
      </c>
      <c r="I567" s="238" t="s">
        <v>44</v>
      </c>
      <c r="J567">
        <v>87.8</v>
      </c>
      <c r="K567" s="238" t="s">
        <v>36</v>
      </c>
      <c r="L567">
        <v>4760499</v>
      </c>
      <c r="M567">
        <v>15000</v>
      </c>
      <c r="N567">
        <v>4775499</v>
      </c>
      <c r="O567">
        <v>54390.64920273349</v>
      </c>
      <c r="P567">
        <v>43900</v>
      </c>
      <c r="Q567">
        <v>4731599</v>
      </c>
      <c r="R567">
        <v>53890.64920273349</v>
      </c>
      <c r="S567" s="238" t="s">
        <v>137</v>
      </c>
      <c r="T567" s="238" t="s">
        <v>1167</v>
      </c>
      <c r="V567" t="s">
        <v>1167</v>
      </c>
      <c r="W567" s="24">
        <v>44411</v>
      </c>
      <c r="X567" s="238" t="s">
        <v>696</v>
      </c>
      <c r="Y567" s="238" t="s">
        <v>39</v>
      </c>
      <c r="Z567" s="238" t="s">
        <v>1168</v>
      </c>
      <c r="AA567" t="s">
        <v>1167</v>
      </c>
      <c r="AB567" s="238" t="s">
        <v>3124</v>
      </c>
      <c r="AC567" t="s">
        <v>3076</v>
      </c>
      <c r="AD567" s="24"/>
      <c r="AE567" s="238" t="s">
        <v>2250</v>
      </c>
      <c r="AF567">
        <v>79258778555</v>
      </c>
      <c r="AG567" s="238" t="s">
        <v>2251</v>
      </c>
      <c r="AH567" s="238" t="s">
        <v>1212</v>
      </c>
      <c r="AI567" s="238" t="s">
        <v>3084</v>
      </c>
      <c r="AJ567" s="238" t="s">
        <v>120</v>
      </c>
      <c r="AK567" s="238" t="s">
        <v>141</v>
      </c>
      <c r="AL567" t="s">
        <v>8715</v>
      </c>
      <c r="AM567" t="s">
        <v>1167</v>
      </c>
    </row>
    <row r="568" spans="1:39" hidden="1" x14ac:dyDescent="0.25">
      <c r="A568">
        <v>564</v>
      </c>
      <c r="B568">
        <v>6</v>
      </c>
      <c r="C568" s="24">
        <v>44419</v>
      </c>
      <c r="D568" s="238" t="s">
        <v>27</v>
      </c>
      <c r="E568" s="238" t="s">
        <v>5</v>
      </c>
      <c r="F568">
        <v>3</v>
      </c>
      <c r="G568">
        <v>4</v>
      </c>
      <c r="H568">
        <v>226</v>
      </c>
      <c r="I568" s="238" t="s">
        <v>4052</v>
      </c>
      <c r="J568">
        <v>23.54</v>
      </c>
      <c r="K568" s="238" t="s">
        <v>36</v>
      </c>
      <c r="L568">
        <v>1359435</v>
      </c>
      <c r="M568">
        <v>0</v>
      </c>
      <c r="N568">
        <v>1359435</v>
      </c>
      <c r="O568">
        <v>57750</v>
      </c>
      <c r="P568">
        <v>0</v>
      </c>
      <c r="Q568">
        <v>1359435</v>
      </c>
      <c r="R568">
        <v>57750</v>
      </c>
      <c r="S568" s="238" t="s">
        <v>124</v>
      </c>
      <c r="T568" s="238" t="s">
        <v>1167</v>
      </c>
      <c r="V568" t="s">
        <v>1167</v>
      </c>
      <c r="W568" s="24">
        <v>44403</v>
      </c>
      <c r="X568" s="238" t="s">
        <v>700</v>
      </c>
      <c r="Y568" s="238" t="s">
        <v>39</v>
      </c>
      <c r="Z568" s="238" t="s">
        <v>1168</v>
      </c>
      <c r="AA568" t="s">
        <v>1167</v>
      </c>
      <c r="AB568" s="238" t="s">
        <v>3246</v>
      </c>
      <c r="AC568" t="s">
        <v>4246</v>
      </c>
      <c r="AD568" s="24"/>
      <c r="AE568" s="238" t="s">
        <v>2252</v>
      </c>
      <c r="AF568">
        <v>79276937848</v>
      </c>
      <c r="AG568" s="238" t="s">
        <v>2253</v>
      </c>
      <c r="AH568" s="238" t="s">
        <v>1197</v>
      </c>
      <c r="AI568" s="238" t="s">
        <v>3074</v>
      </c>
      <c r="AJ568" s="238" t="s">
        <v>130</v>
      </c>
      <c r="AK568" s="238" t="s">
        <v>1167</v>
      </c>
      <c r="AL568" t="s">
        <v>8715</v>
      </c>
      <c r="AM568" t="s">
        <v>1167</v>
      </c>
    </row>
    <row r="569" spans="1:39" hidden="1" x14ac:dyDescent="0.25">
      <c r="A569">
        <v>565</v>
      </c>
      <c r="B569">
        <v>7</v>
      </c>
      <c r="C569" s="24">
        <v>44419</v>
      </c>
      <c r="D569" s="238" t="s">
        <v>19</v>
      </c>
      <c r="E569" s="238" t="s">
        <v>6</v>
      </c>
      <c r="F569">
        <v>2</v>
      </c>
      <c r="G569">
        <v>13</v>
      </c>
      <c r="H569">
        <v>79</v>
      </c>
      <c r="I569" s="238" t="s">
        <v>43</v>
      </c>
      <c r="J569">
        <v>58.99</v>
      </c>
      <c r="K569" s="238" t="s">
        <v>36</v>
      </c>
      <c r="L569">
        <v>3440160.09</v>
      </c>
      <c r="M569">
        <v>0</v>
      </c>
      <c r="N569">
        <v>3440160.09</v>
      </c>
      <c r="O569">
        <v>58317.682488557381</v>
      </c>
      <c r="P569">
        <v>0</v>
      </c>
      <c r="Q569">
        <v>3440160.09</v>
      </c>
      <c r="R569">
        <v>58317.682488557381</v>
      </c>
      <c r="S569" s="238" t="s">
        <v>121</v>
      </c>
      <c r="T569" s="238" t="s">
        <v>1167</v>
      </c>
      <c r="V569" t="s">
        <v>1167</v>
      </c>
      <c r="W569" s="24">
        <v>44404</v>
      </c>
      <c r="X569" s="238" t="s">
        <v>698</v>
      </c>
      <c r="Y569" s="238" t="s">
        <v>39</v>
      </c>
      <c r="Z569" s="238" t="s">
        <v>1168</v>
      </c>
      <c r="AA569" t="s">
        <v>1167</v>
      </c>
      <c r="AB569" s="238" t="s">
        <v>3246</v>
      </c>
      <c r="AC569" t="s">
        <v>4246</v>
      </c>
      <c r="AD569" s="24"/>
      <c r="AE569" s="238" t="s">
        <v>2254</v>
      </c>
      <c r="AF569">
        <v>79061253221</v>
      </c>
      <c r="AG569" s="238" t="s">
        <v>2255</v>
      </c>
      <c r="AH569" s="238" t="s">
        <v>1212</v>
      </c>
      <c r="AI569" s="238" t="s">
        <v>135</v>
      </c>
      <c r="AJ569" s="238" t="s">
        <v>126</v>
      </c>
      <c r="AK569" s="238" t="s">
        <v>1167</v>
      </c>
      <c r="AL569" t="s">
        <v>8715</v>
      </c>
      <c r="AM569" t="s">
        <v>1167</v>
      </c>
    </row>
    <row r="570" spans="1:39" hidden="1" x14ac:dyDescent="0.25">
      <c r="A570">
        <v>566</v>
      </c>
      <c r="B570">
        <v>8</v>
      </c>
      <c r="C570" s="24">
        <v>44419</v>
      </c>
      <c r="D570" s="238" t="s">
        <v>19</v>
      </c>
      <c r="E570" s="238" t="s">
        <v>6</v>
      </c>
      <c r="F570">
        <v>3</v>
      </c>
      <c r="G570">
        <v>13</v>
      </c>
      <c r="H570">
        <v>80</v>
      </c>
      <c r="I570" s="238" t="s">
        <v>44</v>
      </c>
      <c r="J570">
        <v>76.56</v>
      </c>
      <c r="K570" s="238" t="s">
        <v>36</v>
      </c>
      <c r="L570">
        <v>4119153.47</v>
      </c>
      <c r="M570">
        <v>0</v>
      </c>
      <c r="N570">
        <v>4119153.47</v>
      </c>
      <c r="O570">
        <v>53802.945010449323</v>
      </c>
      <c r="P570">
        <v>0</v>
      </c>
      <c r="Q570">
        <v>4119153.47</v>
      </c>
      <c r="R570">
        <v>53802.945010449323</v>
      </c>
      <c r="S570" s="238" t="s">
        <v>121</v>
      </c>
      <c r="T570" s="238" t="s">
        <v>1167</v>
      </c>
      <c r="V570" t="s">
        <v>1167</v>
      </c>
      <c r="W570" s="24">
        <v>44404</v>
      </c>
      <c r="X570" s="238" t="s">
        <v>699</v>
      </c>
      <c r="Y570" s="238" t="s">
        <v>39</v>
      </c>
      <c r="Z570" s="238" t="s">
        <v>1168</v>
      </c>
      <c r="AA570" t="s">
        <v>1167</v>
      </c>
      <c r="AB570" s="238" t="s">
        <v>3246</v>
      </c>
      <c r="AC570" t="s">
        <v>4246</v>
      </c>
      <c r="AD570" s="24"/>
      <c r="AE570" s="238" t="s">
        <v>2254</v>
      </c>
      <c r="AF570">
        <v>79061253221</v>
      </c>
      <c r="AG570" s="238" t="s">
        <v>2255</v>
      </c>
      <c r="AH570" s="238" t="s">
        <v>1197</v>
      </c>
      <c r="AI570" s="238" t="s">
        <v>135</v>
      </c>
      <c r="AJ570" s="238" t="s">
        <v>126</v>
      </c>
      <c r="AK570" s="238" t="s">
        <v>1167</v>
      </c>
      <c r="AL570" t="s">
        <v>8715</v>
      </c>
      <c r="AM570" t="s">
        <v>1167</v>
      </c>
    </row>
    <row r="571" spans="1:39" hidden="1" x14ac:dyDescent="0.25">
      <c r="A571">
        <v>567</v>
      </c>
      <c r="B571">
        <v>9</v>
      </c>
      <c r="C571" s="24">
        <v>44419</v>
      </c>
      <c r="D571" s="238" t="s">
        <v>19</v>
      </c>
      <c r="E571" s="238" t="s">
        <v>5</v>
      </c>
      <c r="F571">
        <v>5</v>
      </c>
      <c r="G571">
        <v>12</v>
      </c>
      <c r="H571">
        <v>276</v>
      </c>
      <c r="I571" s="238" t="s">
        <v>43</v>
      </c>
      <c r="J571">
        <v>60.19</v>
      </c>
      <c r="K571" s="238" t="s">
        <v>36</v>
      </c>
      <c r="L571">
        <v>3109748.2</v>
      </c>
      <c r="M571">
        <v>15000</v>
      </c>
      <c r="N571">
        <v>3124748.2</v>
      </c>
      <c r="O571">
        <v>51914.739990031572</v>
      </c>
      <c r="P571">
        <v>0</v>
      </c>
      <c r="Q571">
        <v>3124748.2</v>
      </c>
      <c r="R571">
        <v>51914.739990031572</v>
      </c>
      <c r="S571" s="238" t="s">
        <v>137</v>
      </c>
      <c r="T571" s="238" t="s">
        <v>1167</v>
      </c>
      <c r="V571" t="s">
        <v>4091</v>
      </c>
      <c r="W571" s="24">
        <v>44405</v>
      </c>
      <c r="X571" s="238" t="s">
        <v>703</v>
      </c>
      <c r="Y571" s="238" t="s">
        <v>39</v>
      </c>
      <c r="Z571" s="238" t="s">
        <v>1340</v>
      </c>
      <c r="AA571" t="s">
        <v>1167</v>
      </c>
      <c r="AB571" s="238" t="s">
        <v>3246</v>
      </c>
      <c r="AC571" t="s">
        <v>3079</v>
      </c>
      <c r="AD571" s="24"/>
      <c r="AE571" s="238" t="s">
        <v>2256</v>
      </c>
      <c r="AF571">
        <v>79228088876</v>
      </c>
      <c r="AG571" s="238" t="s">
        <v>2257</v>
      </c>
      <c r="AH571" s="238" t="s">
        <v>1212</v>
      </c>
      <c r="AI571" s="238" t="s">
        <v>3074</v>
      </c>
      <c r="AJ571" s="238" t="s">
        <v>120</v>
      </c>
      <c r="AK571" s="238" t="s">
        <v>141</v>
      </c>
      <c r="AL571" t="s">
        <v>8715</v>
      </c>
      <c r="AM571" t="s">
        <v>1167</v>
      </c>
    </row>
    <row r="572" spans="1:39" hidden="1" x14ac:dyDescent="0.25">
      <c r="A572">
        <v>568</v>
      </c>
      <c r="B572">
        <v>10</v>
      </c>
      <c r="C572" s="24">
        <v>44419</v>
      </c>
      <c r="D572" s="238" t="s">
        <v>27</v>
      </c>
      <c r="E572" s="238" t="s">
        <v>5</v>
      </c>
      <c r="F572">
        <v>7</v>
      </c>
      <c r="G572">
        <v>7</v>
      </c>
      <c r="H572">
        <v>254</v>
      </c>
      <c r="I572" s="238" t="s">
        <v>43</v>
      </c>
      <c r="J572">
        <v>59.93</v>
      </c>
      <c r="K572" s="238" t="s">
        <v>37</v>
      </c>
      <c r="L572">
        <v>3569071.22</v>
      </c>
      <c r="M572">
        <v>0</v>
      </c>
      <c r="N572">
        <v>3569071.22</v>
      </c>
      <c r="O572">
        <v>59554.000000000007</v>
      </c>
      <c r="P572">
        <v>329615</v>
      </c>
      <c r="Q572">
        <v>3239456.22</v>
      </c>
      <c r="R572">
        <v>54054.000000000007</v>
      </c>
      <c r="S572" s="238" t="s">
        <v>137</v>
      </c>
      <c r="T572" s="238" t="s">
        <v>1167</v>
      </c>
      <c r="V572" t="s">
        <v>4091</v>
      </c>
      <c r="W572" s="24">
        <v>44406</v>
      </c>
      <c r="X572" s="238" t="s">
        <v>701</v>
      </c>
      <c r="Y572" s="238" t="s">
        <v>39</v>
      </c>
      <c r="Z572" s="238" t="s">
        <v>1340</v>
      </c>
      <c r="AA572" t="s">
        <v>1167</v>
      </c>
      <c r="AB572" s="238" t="s">
        <v>3246</v>
      </c>
      <c r="AC572" t="s">
        <v>3079</v>
      </c>
      <c r="AD572" s="24"/>
      <c r="AE572" s="238" t="s">
        <v>2258</v>
      </c>
      <c r="AF572">
        <v>79965896519</v>
      </c>
      <c r="AG572" s="238" t="s">
        <v>2259</v>
      </c>
      <c r="AH572" s="238" t="s">
        <v>135</v>
      </c>
      <c r="AI572" s="238" t="s">
        <v>3075</v>
      </c>
      <c r="AJ572" s="238" t="s">
        <v>130</v>
      </c>
      <c r="AK572" s="238" t="s">
        <v>141</v>
      </c>
      <c r="AL572" t="s">
        <v>8715</v>
      </c>
      <c r="AM572" t="s">
        <v>1167</v>
      </c>
    </row>
    <row r="573" spans="1:39" hidden="1" x14ac:dyDescent="0.25">
      <c r="A573">
        <v>569</v>
      </c>
      <c r="B573">
        <v>11</v>
      </c>
      <c r="C573" s="24">
        <v>44419</v>
      </c>
      <c r="D573" s="238" t="s">
        <v>27</v>
      </c>
      <c r="E573" s="238" t="s">
        <v>5</v>
      </c>
      <c r="F573">
        <v>8</v>
      </c>
      <c r="G573">
        <v>16</v>
      </c>
      <c r="H573">
        <v>327</v>
      </c>
      <c r="I573" s="238" t="s">
        <v>43</v>
      </c>
      <c r="J573">
        <v>55.8</v>
      </c>
      <c r="K573" s="238" t="s">
        <v>37</v>
      </c>
      <c r="L573">
        <v>3142656</v>
      </c>
      <c r="M573">
        <v>0</v>
      </c>
      <c r="N573">
        <v>3142656</v>
      </c>
      <c r="O573">
        <v>56320</v>
      </c>
      <c r="P573">
        <v>306900</v>
      </c>
      <c r="Q573">
        <v>2835756</v>
      </c>
      <c r="R573">
        <v>50820</v>
      </c>
      <c r="S573" s="238" t="s">
        <v>137</v>
      </c>
      <c r="T573" s="238" t="s">
        <v>1167</v>
      </c>
      <c r="V573" t="s">
        <v>4091</v>
      </c>
      <c r="W573" s="24">
        <v>44410</v>
      </c>
      <c r="X573" s="238" t="s">
        <v>702</v>
      </c>
      <c r="Y573" s="238" t="s">
        <v>39</v>
      </c>
      <c r="Z573" s="238" t="s">
        <v>1340</v>
      </c>
      <c r="AA573" t="s">
        <v>1167</v>
      </c>
      <c r="AB573" s="238" t="s">
        <v>3246</v>
      </c>
      <c r="AC573" t="s">
        <v>3079</v>
      </c>
      <c r="AD573" s="24"/>
      <c r="AE573" s="238" t="s">
        <v>2260</v>
      </c>
      <c r="AF573">
        <v>79228830068</v>
      </c>
      <c r="AG573" s="238" t="s">
        <v>2261</v>
      </c>
      <c r="AH573" s="238" t="s">
        <v>1212</v>
      </c>
      <c r="AI573" s="238" t="s">
        <v>3110</v>
      </c>
      <c r="AJ573" s="238" t="s">
        <v>120</v>
      </c>
      <c r="AK573" s="238" t="s">
        <v>141</v>
      </c>
      <c r="AL573" t="s">
        <v>8715</v>
      </c>
      <c r="AM573" t="s">
        <v>1167</v>
      </c>
    </row>
    <row r="574" spans="1:39" hidden="1" x14ac:dyDescent="0.25">
      <c r="A574">
        <v>570</v>
      </c>
      <c r="B574">
        <v>12</v>
      </c>
      <c r="C574" s="24">
        <v>44421</v>
      </c>
      <c r="D574" s="238" t="s">
        <v>19</v>
      </c>
      <c r="E574" s="238" t="s">
        <v>6</v>
      </c>
      <c r="F574">
        <v>6</v>
      </c>
      <c r="G574">
        <v>21</v>
      </c>
      <c r="H574">
        <v>139</v>
      </c>
      <c r="I574" s="238" t="s">
        <v>43</v>
      </c>
      <c r="J574">
        <v>59.96</v>
      </c>
      <c r="K574" s="238" t="s">
        <v>37</v>
      </c>
      <c r="L574">
        <v>3605010.04</v>
      </c>
      <c r="M574">
        <v>0</v>
      </c>
      <c r="N574">
        <v>3605010.04</v>
      </c>
      <c r="O574">
        <v>60123.583055370247</v>
      </c>
      <c r="P574">
        <v>329780</v>
      </c>
      <c r="Q574">
        <v>3275230.04</v>
      </c>
      <c r="R574">
        <v>54623.583055370247</v>
      </c>
      <c r="S574" s="238" t="s">
        <v>137</v>
      </c>
      <c r="T574" s="238" t="s">
        <v>1167</v>
      </c>
      <c r="V574" t="s">
        <v>4091</v>
      </c>
      <c r="W574" s="24">
        <v>44410</v>
      </c>
      <c r="X574" s="238" t="s">
        <v>705</v>
      </c>
      <c r="Y574" s="238" t="s">
        <v>39</v>
      </c>
      <c r="Z574" s="238" t="s">
        <v>1168</v>
      </c>
      <c r="AA574" t="s">
        <v>1167</v>
      </c>
      <c r="AB574" s="238" t="s">
        <v>3246</v>
      </c>
      <c r="AC574" t="s">
        <v>3079</v>
      </c>
      <c r="AD574" s="24"/>
      <c r="AE574" s="238" t="s">
        <v>2264</v>
      </c>
      <c r="AF574">
        <v>79959663018</v>
      </c>
      <c r="AG574" s="238" t="s">
        <v>2265</v>
      </c>
      <c r="AH574" s="238" t="s">
        <v>1171</v>
      </c>
      <c r="AI574" s="238" t="s">
        <v>3074</v>
      </c>
      <c r="AJ574" s="238" t="s">
        <v>120</v>
      </c>
      <c r="AK574" s="238" t="s">
        <v>141</v>
      </c>
      <c r="AL574" t="s">
        <v>8715</v>
      </c>
      <c r="AM574" t="s">
        <v>1167</v>
      </c>
    </row>
    <row r="575" spans="1:39" hidden="1" x14ac:dyDescent="0.25">
      <c r="A575">
        <v>571</v>
      </c>
      <c r="B575">
        <v>13</v>
      </c>
      <c r="C575" s="24">
        <v>44421</v>
      </c>
      <c r="D575" s="238" t="s">
        <v>27</v>
      </c>
      <c r="E575" s="238" t="s">
        <v>15</v>
      </c>
      <c r="F575">
        <v>4</v>
      </c>
      <c r="G575">
        <v>12</v>
      </c>
      <c r="H575">
        <v>595</v>
      </c>
      <c r="I575" s="238" t="s">
        <v>42</v>
      </c>
      <c r="J575">
        <v>40</v>
      </c>
      <c r="K575" s="238" t="s">
        <v>38</v>
      </c>
      <c r="L575">
        <v>2765200</v>
      </c>
      <c r="M575">
        <v>0</v>
      </c>
      <c r="N575">
        <v>2765200</v>
      </c>
      <c r="O575">
        <v>69130</v>
      </c>
      <c r="P575">
        <v>640000</v>
      </c>
      <c r="Q575">
        <v>2125200</v>
      </c>
      <c r="R575">
        <v>53130</v>
      </c>
      <c r="S575" s="238" t="s">
        <v>137</v>
      </c>
      <c r="T575" s="238" t="s">
        <v>1167</v>
      </c>
      <c r="V575" t="s">
        <v>1167</v>
      </c>
      <c r="W575" s="24">
        <v>44413</v>
      </c>
      <c r="X575" s="238" t="s">
        <v>706</v>
      </c>
      <c r="Y575" s="238" t="s">
        <v>39</v>
      </c>
      <c r="Z575" s="238" t="s">
        <v>1340</v>
      </c>
      <c r="AA575" t="s">
        <v>1167</v>
      </c>
      <c r="AB575" s="238" t="s">
        <v>3246</v>
      </c>
      <c r="AC575" t="s">
        <v>3079</v>
      </c>
      <c r="AD575" s="24"/>
      <c r="AE575" s="238" t="s">
        <v>2266</v>
      </c>
      <c r="AF575">
        <v>79270042960</v>
      </c>
      <c r="AG575" s="238" t="s">
        <v>2267</v>
      </c>
      <c r="AH575" s="238" t="s">
        <v>1171</v>
      </c>
      <c r="AI575" s="238" t="s">
        <v>135</v>
      </c>
      <c r="AJ575" s="238" t="s">
        <v>126</v>
      </c>
      <c r="AK575" s="238" t="s">
        <v>141</v>
      </c>
      <c r="AL575" t="s">
        <v>8715</v>
      </c>
      <c r="AM575" t="s">
        <v>1167</v>
      </c>
    </row>
    <row r="576" spans="1:39" hidden="1" x14ac:dyDescent="0.25">
      <c r="A576">
        <v>572</v>
      </c>
      <c r="B576">
        <v>14</v>
      </c>
      <c r="C576" s="24">
        <v>44421</v>
      </c>
      <c r="D576" s="238" t="s">
        <v>19</v>
      </c>
      <c r="E576" s="238" t="s">
        <v>6</v>
      </c>
      <c r="F576">
        <v>5</v>
      </c>
      <c r="G576">
        <v>6</v>
      </c>
      <c r="H576">
        <v>33</v>
      </c>
      <c r="I576" s="238" t="s">
        <v>42</v>
      </c>
      <c r="J576">
        <v>36.42</v>
      </c>
      <c r="K576" s="238" t="s">
        <v>38</v>
      </c>
      <c r="L576">
        <v>2403720</v>
      </c>
      <c r="M576">
        <v>0</v>
      </c>
      <c r="N576">
        <v>2403720</v>
      </c>
      <c r="O576">
        <v>66000</v>
      </c>
      <c r="P576">
        <v>582720</v>
      </c>
      <c r="Q576">
        <v>1821000</v>
      </c>
      <c r="R576">
        <v>50000</v>
      </c>
      <c r="S576" s="238" t="s">
        <v>137</v>
      </c>
      <c r="T576" s="238" t="s">
        <v>350</v>
      </c>
      <c r="U576">
        <v>429495.96</v>
      </c>
      <c r="V576" t="s">
        <v>4091</v>
      </c>
      <c r="W576" s="24">
        <v>44417</v>
      </c>
      <c r="X576" s="238" t="s">
        <v>704</v>
      </c>
      <c r="Y576" s="238" t="s">
        <v>39</v>
      </c>
      <c r="Z576" s="238" t="s">
        <v>1340</v>
      </c>
      <c r="AA576" t="s">
        <v>1167</v>
      </c>
      <c r="AB576" s="238" t="s">
        <v>3246</v>
      </c>
      <c r="AC576" t="s">
        <v>3079</v>
      </c>
      <c r="AD576" s="24"/>
      <c r="AE576" s="238" t="s">
        <v>2268</v>
      </c>
      <c r="AF576">
        <v>79276535170</v>
      </c>
      <c r="AG576" s="238" t="s">
        <v>2269</v>
      </c>
      <c r="AH576" s="238" t="s">
        <v>1764</v>
      </c>
      <c r="AI576" s="238" t="s">
        <v>3082</v>
      </c>
      <c r="AJ576" s="238" t="s">
        <v>399</v>
      </c>
      <c r="AK576" s="238" t="s">
        <v>141</v>
      </c>
      <c r="AL576" t="s">
        <v>8715</v>
      </c>
      <c r="AM576" t="s">
        <v>1167</v>
      </c>
    </row>
    <row r="577" spans="1:39" hidden="1" x14ac:dyDescent="0.25">
      <c r="A577">
        <v>573</v>
      </c>
      <c r="B577">
        <v>15</v>
      </c>
      <c r="C577" s="24">
        <v>44421</v>
      </c>
      <c r="D577" s="238" t="s">
        <v>27</v>
      </c>
      <c r="E577" s="238" t="s">
        <v>5</v>
      </c>
      <c r="F577">
        <v>6</v>
      </c>
      <c r="G577">
        <v>10</v>
      </c>
      <c r="H577">
        <v>277</v>
      </c>
      <c r="I577" s="238" t="s">
        <v>42</v>
      </c>
      <c r="J577">
        <v>37.11</v>
      </c>
      <c r="K577" s="238" t="s">
        <v>36</v>
      </c>
      <c r="L577">
        <v>2194536.96</v>
      </c>
      <c r="M577">
        <v>0</v>
      </c>
      <c r="N577">
        <v>2194536.96</v>
      </c>
      <c r="O577">
        <v>59136</v>
      </c>
      <c r="P577">
        <v>0</v>
      </c>
      <c r="Q577">
        <v>2194536.96</v>
      </c>
      <c r="R577">
        <v>59136</v>
      </c>
      <c r="S577" s="238" t="s">
        <v>124</v>
      </c>
      <c r="T577" s="238" t="s">
        <v>1167</v>
      </c>
      <c r="V577" t="s">
        <v>1167</v>
      </c>
      <c r="W577" s="24">
        <v>44417</v>
      </c>
      <c r="X577" s="238" t="s">
        <v>707</v>
      </c>
      <c r="Y577" s="238" t="s">
        <v>39</v>
      </c>
      <c r="Z577" s="238" t="s">
        <v>1168</v>
      </c>
      <c r="AA577" t="s">
        <v>1167</v>
      </c>
      <c r="AB577" s="238" t="s">
        <v>3246</v>
      </c>
      <c r="AC577" t="s">
        <v>4246</v>
      </c>
      <c r="AD577" s="24"/>
      <c r="AE577" s="238" t="s">
        <v>2270</v>
      </c>
      <c r="AF577">
        <v>79277668075</v>
      </c>
      <c r="AG577" s="238" t="s">
        <v>2271</v>
      </c>
      <c r="AH577" s="238" t="s">
        <v>135</v>
      </c>
      <c r="AI577" s="238" t="s">
        <v>3099</v>
      </c>
      <c r="AJ577" s="238" t="s">
        <v>130</v>
      </c>
      <c r="AK577" s="238" t="s">
        <v>1167</v>
      </c>
      <c r="AL577" t="s">
        <v>8715</v>
      </c>
      <c r="AM577" t="s">
        <v>1167</v>
      </c>
    </row>
    <row r="578" spans="1:39" hidden="1" x14ac:dyDescent="0.25">
      <c r="A578">
        <v>574</v>
      </c>
      <c r="B578">
        <v>16</v>
      </c>
      <c r="C578" s="24">
        <v>44424</v>
      </c>
      <c r="D578" s="238" t="s">
        <v>20</v>
      </c>
      <c r="E578" s="238" t="s">
        <v>5</v>
      </c>
      <c r="F578">
        <v>1</v>
      </c>
      <c r="G578">
        <v>13</v>
      </c>
      <c r="H578">
        <v>228</v>
      </c>
      <c r="I578" s="238" t="s">
        <v>44</v>
      </c>
      <c r="J578">
        <v>87.6</v>
      </c>
      <c r="K578" s="238" t="s">
        <v>36</v>
      </c>
      <c r="L578">
        <v>4644252</v>
      </c>
      <c r="M578">
        <v>0</v>
      </c>
      <c r="N578">
        <v>4644252</v>
      </c>
      <c r="O578">
        <v>53016.57534246576</v>
      </c>
      <c r="P578">
        <v>43800</v>
      </c>
      <c r="Q578">
        <v>4600452</v>
      </c>
      <c r="R578">
        <v>52516.57534246576</v>
      </c>
      <c r="S578" s="238" t="s">
        <v>137</v>
      </c>
      <c r="T578" s="238" t="s">
        <v>1167</v>
      </c>
      <c r="V578" t="s">
        <v>1167</v>
      </c>
      <c r="W578" s="24">
        <v>44419</v>
      </c>
      <c r="X578" s="238" t="s">
        <v>708</v>
      </c>
      <c r="Y578" s="238" t="s">
        <v>39</v>
      </c>
      <c r="Z578" s="238" t="s">
        <v>1340</v>
      </c>
      <c r="AA578" t="s">
        <v>1167</v>
      </c>
      <c r="AB578" s="238" t="s">
        <v>3124</v>
      </c>
      <c r="AC578" t="s">
        <v>3079</v>
      </c>
      <c r="AD578" s="24"/>
      <c r="AE578" s="238" t="s">
        <v>2272</v>
      </c>
      <c r="AF578">
        <v>79372077788</v>
      </c>
      <c r="AG578" s="238" t="s">
        <v>2273</v>
      </c>
      <c r="AH578" s="238" t="s">
        <v>1212</v>
      </c>
      <c r="AI578" s="238" t="s">
        <v>3072</v>
      </c>
      <c r="AJ578" s="238" t="s">
        <v>126</v>
      </c>
      <c r="AK578" s="238" t="s">
        <v>141</v>
      </c>
      <c r="AL578" t="s">
        <v>8715</v>
      </c>
      <c r="AM578" t="s">
        <v>1167</v>
      </c>
    </row>
    <row r="579" spans="1:39" hidden="1" x14ac:dyDescent="0.25">
      <c r="A579">
        <v>575</v>
      </c>
      <c r="B579">
        <v>17</v>
      </c>
      <c r="C579" s="24">
        <v>44425</v>
      </c>
      <c r="D579" s="238" t="s">
        <v>27</v>
      </c>
      <c r="E579" s="238" t="s">
        <v>15</v>
      </c>
      <c r="F579">
        <v>3</v>
      </c>
      <c r="G579">
        <v>14</v>
      </c>
      <c r="H579">
        <v>610</v>
      </c>
      <c r="I579" s="238" t="s">
        <v>4052</v>
      </c>
      <c r="J579">
        <v>23.54</v>
      </c>
      <c r="K579" s="238" t="s">
        <v>36</v>
      </c>
      <c r="L579">
        <v>1291463.25</v>
      </c>
      <c r="M579">
        <v>0</v>
      </c>
      <c r="N579">
        <v>1291463.25</v>
      </c>
      <c r="O579">
        <v>54862.5</v>
      </c>
      <c r="P579">
        <v>0</v>
      </c>
      <c r="Q579">
        <v>1291463.25</v>
      </c>
      <c r="R579">
        <v>54862.5</v>
      </c>
      <c r="S579" s="238" t="s">
        <v>137</v>
      </c>
      <c r="T579" s="238" t="s">
        <v>350</v>
      </c>
      <c r="U579">
        <v>67971.75</v>
      </c>
      <c r="V579" t="s">
        <v>1167</v>
      </c>
      <c r="W579" s="24">
        <v>44406</v>
      </c>
      <c r="X579" s="238" t="s">
        <v>709</v>
      </c>
      <c r="Y579" s="238" t="s">
        <v>39</v>
      </c>
      <c r="Z579" s="238" t="s">
        <v>1340</v>
      </c>
      <c r="AA579" t="s">
        <v>1167</v>
      </c>
      <c r="AB579" s="238" t="s">
        <v>3246</v>
      </c>
      <c r="AC579" t="s">
        <v>3079</v>
      </c>
      <c r="AD579" s="24"/>
      <c r="AE579" s="238" t="s">
        <v>2274</v>
      </c>
      <c r="AF579">
        <v>79879870174</v>
      </c>
      <c r="AG579" s="238" t="s">
        <v>2275</v>
      </c>
      <c r="AH579" s="238" t="s">
        <v>1171</v>
      </c>
      <c r="AI579" s="238" t="s">
        <v>3094</v>
      </c>
      <c r="AJ579" s="238" t="s">
        <v>126</v>
      </c>
      <c r="AK579" s="238" t="s">
        <v>141</v>
      </c>
      <c r="AL579" t="s">
        <v>8715</v>
      </c>
      <c r="AM579" t="s">
        <v>1167</v>
      </c>
    </row>
    <row r="580" spans="1:39" hidden="1" x14ac:dyDescent="0.25">
      <c r="A580">
        <v>576</v>
      </c>
      <c r="B580">
        <v>18</v>
      </c>
      <c r="C580" s="24">
        <v>44425</v>
      </c>
      <c r="D580" s="238" t="s">
        <v>27</v>
      </c>
      <c r="E580" s="238" t="s">
        <v>16</v>
      </c>
      <c r="F580">
        <v>3</v>
      </c>
      <c r="G580">
        <v>15</v>
      </c>
      <c r="H580">
        <v>498</v>
      </c>
      <c r="I580" s="238" t="s">
        <v>4052</v>
      </c>
      <c r="J580">
        <v>23.54</v>
      </c>
      <c r="K580" s="238" t="s">
        <v>38</v>
      </c>
      <c r="L580">
        <v>1800810</v>
      </c>
      <c r="M580">
        <v>0</v>
      </c>
      <c r="N580">
        <v>1800810</v>
      </c>
      <c r="O580">
        <v>76500</v>
      </c>
      <c r="P580">
        <v>376640</v>
      </c>
      <c r="Q580">
        <v>1424170</v>
      </c>
      <c r="R580">
        <v>60500</v>
      </c>
      <c r="S580" s="238" t="s">
        <v>124</v>
      </c>
      <c r="T580" s="238" t="s">
        <v>1167</v>
      </c>
      <c r="V580" t="s">
        <v>1167</v>
      </c>
      <c r="W580" s="24">
        <v>44414</v>
      </c>
      <c r="X580" s="238" t="s">
        <v>711</v>
      </c>
      <c r="Y580" s="238" t="s">
        <v>39</v>
      </c>
      <c r="Z580" s="238" t="s">
        <v>1168</v>
      </c>
      <c r="AA580" t="s">
        <v>1167</v>
      </c>
      <c r="AB580" s="238" t="s">
        <v>3246</v>
      </c>
      <c r="AC580" t="s">
        <v>4246</v>
      </c>
      <c r="AD580" s="24"/>
      <c r="AE580" s="238" t="s">
        <v>2276</v>
      </c>
      <c r="AF580">
        <v>79277438858</v>
      </c>
      <c r="AG580" s="238" t="s">
        <v>2277</v>
      </c>
      <c r="AH580" s="238" t="s">
        <v>1212</v>
      </c>
      <c r="AI580" s="238" t="s">
        <v>135</v>
      </c>
      <c r="AJ580" s="238" t="s">
        <v>399</v>
      </c>
      <c r="AK580" s="238" t="s">
        <v>1167</v>
      </c>
      <c r="AL580" t="s">
        <v>8715</v>
      </c>
      <c r="AM580" t="s">
        <v>1167</v>
      </c>
    </row>
    <row r="581" spans="1:39" hidden="1" x14ac:dyDescent="0.25">
      <c r="A581">
        <v>577</v>
      </c>
      <c r="B581">
        <v>19</v>
      </c>
      <c r="C581" s="24">
        <v>44425</v>
      </c>
      <c r="D581" s="238" t="s">
        <v>27</v>
      </c>
      <c r="E581" s="238" t="s">
        <v>15</v>
      </c>
      <c r="F581">
        <v>5</v>
      </c>
      <c r="G581">
        <v>5</v>
      </c>
      <c r="H581">
        <v>540</v>
      </c>
      <c r="I581" s="238" t="s">
        <v>4052</v>
      </c>
      <c r="J581">
        <v>23.63</v>
      </c>
      <c r="K581" s="238" t="s">
        <v>36</v>
      </c>
      <c r="L581">
        <v>1364632.5</v>
      </c>
      <c r="M581">
        <v>0</v>
      </c>
      <c r="N581">
        <v>1364632.5</v>
      </c>
      <c r="O581">
        <v>57750</v>
      </c>
      <c r="P581">
        <v>0</v>
      </c>
      <c r="Q581">
        <v>1364632.5</v>
      </c>
      <c r="R581">
        <v>57750</v>
      </c>
      <c r="S581" s="238" t="s">
        <v>124</v>
      </c>
      <c r="T581" s="238" t="s">
        <v>1167</v>
      </c>
      <c r="V581" t="s">
        <v>1167</v>
      </c>
      <c r="W581" s="24">
        <v>44416</v>
      </c>
      <c r="X581" s="238" t="s">
        <v>710</v>
      </c>
      <c r="Y581" s="238" t="s">
        <v>39</v>
      </c>
      <c r="Z581" s="238" t="s">
        <v>1168</v>
      </c>
      <c r="AA581" t="s">
        <v>1167</v>
      </c>
      <c r="AB581" s="238" t="s">
        <v>3246</v>
      </c>
      <c r="AC581" t="s">
        <v>4246</v>
      </c>
      <c r="AD581" s="24"/>
      <c r="AE581" s="238" t="s">
        <v>2278</v>
      </c>
      <c r="AF581">
        <v>79272676119</v>
      </c>
      <c r="AG581" s="238" t="s">
        <v>2279</v>
      </c>
      <c r="AH581" s="238" t="s">
        <v>1212</v>
      </c>
      <c r="AI581" s="238" t="s">
        <v>3074</v>
      </c>
      <c r="AJ581" s="238" t="s">
        <v>126</v>
      </c>
      <c r="AK581" s="238" t="s">
        <v>1167</v>
      </c>
      <c r="AL581" t="s">
        <v>8715</v>
      </c>
      <c r="AM581" t="s">
        <v>1167</v>
      </c>
    </row>
    <row r="582" spans="1:39" hidden="1" x14ac:dyDescent="0.25">
      <c r="A582">
        <v>578</v>
      </c>
      <c r="B582">
        <v>20</v>
      </c>
      <c r="C582" s="24">
        <v>44426</v>
      </c>
      <c r="D582" s="238" t="s">
        <v>19</v>
      </c>
      <c r="E582" s="238" t="s">
        <v>5</v>
      </c>
      <c r="F582">
        <v>5</v>
      </c>
      <c r="G582">
        <v>9</v>
      </c>
      <c r="H582">
        <v>243</v>
      </c>
      <c r="I582" s="238" t="s">
        <v>43</v>
      </c>
      <c r="J582">
        <v>60.19</v>
      </c>
      <c r="K582" s="238" t="s">
        <v>37</v>
      </c>
      <c r="L582">
        <v>3455793.23</v>
      </c>
      <c r="M582">
        <v>0</v>
      </c>
      <c r="N582">
        <v>3455793.23</v>
      </c>
      <c r="O582">
        <v>57414.74048845323</v>
      </c>
      <c r="P582">
        <v>331045</v>
      </c>
      <c r="Q582">
        <v>3124748.23</v>
      </c>
      <c r="R582">
        <v>51914.74048845323</v>
      </c>
      <c r="S582" s="238" t="s">
        <v>137</v>
      </c>
      <c r="T582" s="238" t="s">
        <v>1167</v>
      </c>
      <c r="V582" t="s">
        <v>1167</v>
      </c>
      <c r="W582" s="24">
        <v>44406</v>
      </c>
      <c r="X582" s="238" t="s">
        <v>713</v>
      </c>
      <c r="Y582" s="238" t="s">
        <v>39</v>
      </c>
      <c r="Z582" s="238" t="s">
        <v>1340</v>
      </c>
      <c r="AA582" t="s">
        <v>1167</v>
      </c>
      <c r="AB582" s="238" t="s">
        <v>3246</v>
      </c>
      <c r="AC582" t="s">
        <v>3079</v>
      </c>
      <c r="AD582" s="24"/>
      <c r="AE582" s="238" t="s">
        <v>2280</v>
      </c>
      <c r="AF582">
        <v>79022387500</v>
      </c>
      <c r="AG582" s="238" t="s">
        <v>2281</v>
      </c>
      <c r="AH582" s="238" t="s">
        <v>1212</v>
      </c>
      <c r="AI582" s="238" t="s">
        <v>3103</v>
      </c>
      <c r="AJ582" s="238" t="s">
        <v>130</v>
      </c>
      <c r="AK582" s="238" t="s">
        <v>141</v>
      </c>
      <c r="AL582" t="s">
        <v>8715</v>
      </c>
      <c r="AM582" t="s">
        <v>1167</v>
      </c>
    </row>
    <row r="583" spans="1:39" hidden="1" x14ac:dyDescent="0.25">
      <c r="A583">
        <v>579</v>
      </c>
      <c r="B583">
        <v>21</v>
      </c>
      <c r="C583" s="24">
        <v>44426</v>
      </c>
      <c r="D583" s="238" t="s">
        <v>20</v>
      </c>
      <c r="E583" s="238" t="s">
        <v>5</v>
      </c>
      <c r="F583">
        <v>7</v>
      </c>
      <c r="G583">
        <v>2</v>
      </c>
      <c r="H583">
        <v>157</v>
      </c>
      <c r="I583" s="238" t="s">
        <v>43</v>
      </c>
      <c r="J583">
        <v>62.9</v>
      </c>
      <c r="K583" s="238" t="s">
        <v>36</v>
      </c>
      <c r="L583">
        <v>3480508.5</v>
      </c>
      <c r="M583">
        <v>0</v>
      </c>
      <c r="N583">
        <v>3480508.5</v>
      </c>
      <c r="O583">
        <v>55333.998410174885</v>
      </c>
      <c r="P583">
        <v>31450</v>
      </c>
      <c r="Q583">
        <v>3449058.5</v>
      </c>
      <c r="R583">
        <v>54833.998410174885</v>
      </c>
      <c r="S583" s="238" t="s">
        <v>137</v>
      </c>
      <c r="T583" s="238" t="s">
        <v>1167</v>
      </c>
      <c r="V583" t="s">
        <v>1167</v>
      </c>
      <c r="W583" s="24">
        <v>44407</v>
      </c>
      <c r="X583" s="238" t="s">
        <v>377</v>
      </c>
      <c r="Y583" s="238" t="s">
        <v>39</v>
      </c>
      <c r="Z583" s="238" t="s">
        <v>1340</v>
      </c>
      <c r="AA583" t="s">
        <v>1167</v>
      </c>
      <c r="AB583" s="238" t="s">
        <v>3124</v>
      </c>
      <c r="AC583" t="s">
        <v>3079</v>
      </c>
      <c r="AD583" s="24"/>
      <c r="AE583" s="238" t="s">
        <v>2282</v>
      </c>
      <c r="AF583">
        <v>79279077262</v>
      </c>
      <c r="AG583" s="238" t="s">
        <v>2283</v>
      </c>
      <c r="AH583" s="238" t="s">
        <v>135</v>
      </c>
      <c r="AI583" s="238" t="s">
        <v>3099</v>
      </c>
      <c r="AJ583" s="238" t="s">
        <v>130</v>
      </c>
      <c r="AK583" s="238" t="s">
        <v>141</v>
      </c>
      <c r="AL583" t="s">
        <v>8715</v>
      </c>
      <c r="AM583" t="s">
        <v>1167</v>
      </c>
    </row>
    <row r="584" spans="1:39" hidden="1" x14ac:dyDescent="0.25">
      <c r="A584">
        <v>580</v>
      </c>
      <c r="B584">
        <v>22</v>
      </c>
      <c r="C584" s="24">
        <v>44426</v>
      </c>
      <c r="D584" s="238" t="s">
        <v>27</v>
      </c>
      <c r="E584" s="238" t="s">
        <v>5</v>
      </c>
      <c r="F584">
        <v>2</v>
      </c>
      <c r="G584">
        <v>5</v>
      </c>
      <c r="H584">
        <v>233</v>
      </c>
      <c r="I584" s="238" t="s">
        <v>42</v>
      </c>
      <c r="J584">
        <v>37.159999999999997</v>
      </c>
      <c r="K584" s="238" t="s">
        <v>36</v>
      </c>
      <c r="L584">
        <v>2197493.7599999998</v>
      </c>
      <c r="M584">
        <v>0</v>
      </c>
      <c r="N584">
        <v>2197493.7599999998</v>
      </c>
      <c r="O584">
        <v>59136</v>
      </c>
      <c r="P584">
        <v>0</v>
      </c>
      <c r="Q584">
        <v>2197493.7599999998</v>
      </c>
      <c r="R584">
        <v>59136</v>
      </c>
      <c r="S584" s="238" t="s">
        <v>137</v>
      </c>
      <c r="T584" s="238" t="s">
        <v>1167</v>
      </c>
      <c r="V584" t="s">
        <v>4091</v>
      </c>
      <c r="W584" s="24">
        <v>44419</v>
      </c>
      <c r="X584" s="238" t="s">
        <v>712</v>
      </c>
      <c r="Y584" s="238" t="s">
        <v>39</v>
      </c>
      <c r="Z584" s="238" t="s">
        <v>1340</v>
      </c>
      <c r="AA584" t="s">
        <v>1167</v>
      </c>
      <c r="AB584" s="238" t="s">
        <v>3246</v>
      </c>
      <c r="AC584" t="s">
        <v>3079</v>
      </c>
      <c r="AD584" s="24"/>
      <c r="AE584" s="238" t="s">
        <v>2284</v>
      </c>
      <c r="AF584">
        <v>79270224554</v>
      </c>
      <c r="AG584" s="238" t="s">
        <v>2285</v>
      </c>
      <c r="AH584" s="238" t="s">
        <v>1212</v>
      </c>
      <c r="AI584" s="238" t="s">
        <v>135</v>
      </c>
      <c r="AJ584" s="238" t="s">
        <v>120</v>
      </c>
      <c r="AK584" s="238" t="s">
        <v>141</v>
      </c>
      <c r="AL584" t="s">
        <v>8715</v>
      </c>
      <c r="AM584" t="s">
        <v>1167</v>
      </c>
    </row>
    <row r="585" spans="1:39" hidden="1" x14ac:dyDescent="0.25">
      <c r="A585">
        <v>581</v>
      </c>
      <c r="B585">
        <v>23</v>
      </c>
      <c r="C585" s="24">
        <v>44427</v>
      </c>
      <c r="D585" s="238" t="s">
        <v>27</v>
      </c>
      <c r="E585" s="238" t="s">
        <v>15</v>
      </c>
      <c r="F585">
        <v>6</v>
      </c>
      <c r="G585">
        <v>3</v>
      </c>
      <c r="H585">
        <v>525</v>
      </c>
      <c r="I585" s="238" t="s">
        <v>42</v>
      </c>
      <c r="J585">
        <v>37.11</v>
      </c>
      <c r="K585" s="238" t="s">
        <v>36</v>
      </c>
      <c r="L585">
        <v>1971654.3</v>
      </c>
      <c r="M585">
        <v>0</v>
      </c>
      <c r="N585">
        <v>1971654.3</v>
      </c>
      <c r="O585">
        <v>53130</v>
      </c>
      <c r="P585">
        <v>0</v>
      </c>
      <c r="Q585">
        <v>1971654.3</v>
      </c>
      <c r="R585">
        <v>53130</v>
      </c>
      <c r="S585" s="238" t="s">
        <v>137</v>
      </c>
      <c r="T585" s="238" t="s">
        <v>1167</v>
      </c>
      <c r="V585" t="s">
        <v>1167</v>
      </c>
      <c r="W585" s="24">
        <v>44421</v>
      </c>
      <c r="X585" s="238" t="s">
        <v>714</v>
      </c>
      <c r="Y585" s="238" t="s">
        <v>39</v>
      </c>
      <c r="Z585" s="238" t="s">
        <v>1168</v>
      </c>
      <c r="AA585" t="s">
        <v>1167</v>
      </c>
      <c r="AB585" s="238" t="s">
        <v>3246</v>
      </c>
      <c r="AC585" t="s">
        <v>3111</v>
      </c>
      <c r="AD585" s="24"/>
      <c r="AE585" s="238" t="s">
        <v>2286</v>
      </c>
      <c r="AF585">
        <v>79960783382</v>
      </c>
      <c r="AG585" s="238" t="s">
        <v>2287</v>
      </c>
      <c r="AH585" s="238" t="s">
        <v>1212</v>
      </c>
      <c r="AI585" s="238" t="s">
        <v>3086</v>
      </c>
      <c r="AJ585" s="238" t="s">
        <v>126</v>
      </c>
      <c r="AK585" s="238" t="s">
        <v>141</v>
      </c>
      <c r="AL585" t="s">
        <v>8715</v>
      </c>
      <c r="AM585" t="s">
        <v>1167</v>
      </c>
    </row>
    <row r="586" spans="1:39" hidden="1" x14ac:dyDescent="0.25">
      <c r="A586">
        <v>582</v>
      </c>
      <c r="B586">
        <v>24</v>
      </c>
      <c r="C586" s="24">
        <v>44427</v>
      </c>
      <c r="D586" s="238" t="s">
        <v>27</v>
      </c>
      <c r="E586" s="238" t="s">
        <v>5</v>
      </c>
      <c r="F586">
        <v>5</v>
      </c>
      <c r="G586">
        <v>13</v>
      </c>
      <c r="H586">
        <v>300</v>
      </c>
      <c r="I586" s="238" t="s">
        <v>4052</v>
      </c>
      <c r="J586">
        <v>23.63</v>
      </c>
      <c r="K586" s="238" t="s">
        <v>37</v>
      </c>
      <c r="L586">
        <v>1488099.25</v>
      </c>
      <c r="M586">
        <v>0</v>
      </c>
      <c r="N586">
        <v>1488099.25</v>
      </c>
      <c r="O586">
        <v>62975</v>
      </c>
      <c r="P586">
        <v>129965</v>
      </c>
      <c r="Q586">
        <v>1358134.25</v>
      </c>
      <c r="R586">
        <v>57475</v>
      </c>
      <c r="S586" s="238" t="s">
        <v>137</v>
      </c>
      <c r="T586" s="238" t="s">
        <v>350</v>
      </c>
      <c r="U586">
        <v>71480.75</v>
      </c>
      <c r="V586" t="s">
        <v>1167</v>
      </c>
      <c r="W586" s="24">
        <v>44424</v>
      </c>
      <c r="X586" s="238" t="s">
        <v>715</v>
      </c>
      <c r="Y586" s="238" t="s">
        <v>39</v>
      </c>
      <c r="Z586" s="238" t="s">
        <v>1340</v>
      </c>
      <c r="AA586" t="s">
        <v>1167</v>
      </c>
      <c r="AB586" s="238" t="s">
        <v>3246</v>
      </c>
      <c r="AC586" t="s">
        <v>3079</v>
      </c>
      <c r="AD586" s="24"/>
      <c r="AE586" s="238" t="s">
        <v>2288</v>
      </c>
      <c r="AF586">
        <v>79277509848</v>
      </c>
      <c r="AG586" s="238" t="s">
        <v>2289</v>
      </c>
      <c r="AH586" s="238" t="s">
        <v>1171</v>
      </c>
      <c r="AI586" s="238" t="s">
        <v>3094</v>
      </c>
      <c r="AJ586" s="238" t="s">
        <v>120</v>
      </c>
      <c r="AK586" s="238" t="s">
        <v>141</v>
      </c>
      <c r="AL586" t="s">
        <v>8715</v>
      </c>
      <c r="AM586" t="s">
        <v>1167</v>
      </c>
    </row>
    <row r="587" spans="1:39" hidden="1" x14ac:dyDescent="0.25">
      <c r="A587">
        <v>583</v>
      </c>
      <c r="B587">
        <v>25</v>
      </c>
      <c r="C587" s="24">
        <v>44428</v>
      </c>
      <c r="D587" s="238" t="s">
        <v>27</v>
      </c>
      <c r="E587" s="238" t="s">
        <v>5</v>
      </c>
      <c r="F587">
        <v>2</v>
      </c>
      <c r="G587">
        <v>11</v>
      </c>
      <c r="H587">
        <v>281</v>
      </c>
      <c r="I587" s="238" t="s">
        <v>42</v>
      </c>
      <c r="J587">
        <v>37.159999999999997</v>
      </c>
      <c r="K587" s="238" t="s">
        <v>36</v>
      </c>
      <c r="L587">
        <v>2197493.7599999998</v>
      </c>
      <c r="M587">
        <v>0</v>
      </c>
      <c r="N587">
        <v>2197493.7599999998</v>
      </c>
      <c r="O587">
        <v>59136</v>
      </c>
      <c r="P587">
        <v>0</v>
      </c>
      <c r="Q587">
        <v>2197493.7599999998</v>
      </c>
      <c r="R587">
        <v>59136</v>
      </c>
      <c r="S587" s="238" t="s">
        <v>137</v>
      </c>
      <c r="T587" s="238" t="s">
        <v>1167</v>
      </c>
      <c r="V587" t="s">
        <v>1167</v>
      </c>
      <c r="W587" s="24">
        <v>44425</v>
      </c>
      <c r="X587" s="238" t="s">
        <v>716</v>
      </c>
      <c r="Y587" s="238" t="s">
        <v>39</v>
      </c>
      <c r="Z587" s="238" t="s">
        <v>1340</v>
      </c>
      <c r="AA587" t="s">
        <v>1167</v>
      </c>
      <c r="AB587" s="238" t="s">
        <v>3246</v>
      </c>
      <c r="AC587" t="s">
        <v>3079</v>
      </c>
      <c r="AD587" s="24"/>
      <c r="AE587" s="238" t="s">
        <v>2290</v>
      </c>
      <c r="AF587">
        <v>79276086838</v>
      </c>
      <c r="AG587" s="238" t="s">
        <v>2291</v>
      </c>
      <c r="AH587" s="238" t="s">
        <v>1212</v>
      </c>
      <c r="AI587" s="238" t="s">
        <v>3090</v>
      </c>
      <c r="AJ587" s="238" t="s">
        <v>399</v>
      </c>
      <c r="AK587" s="238" t="s">
        <v>141</v>
      </c>
      <c r="AL587" t="s">
        <v>8715</v>
      </c>
      <c r="AM587" t="s">
        <v>1167</v>
      </c>
    </row>
    <row r="588" spans="1:39" hidden="1" x14ac:dyDescent="0.25">
      <c r="A588">
        <v>584</v>
      </c>
      <c r="B588">
        <v>26</v>
      </c>
      <c r="C588" s="24">
        <v>44431</v>
      </c>
      <c r="D588" s="238" t="s">
        <v>19</v>
      </c>
      <c r="E588" s="238" t="s">
        <v>5</v>
      </c>
      <c r="F588">
        <v>4</v>
      </c>
      <c r="G588">
        <v>2</v>
      </c>
      <c r="H588">
        <v>165</v>
      </c>
      <c r="I588" s="238" t="s">
        <v>42</v>
      </c>
      <c r="J588">
        <v>37.89</v>
      </c>
      <c r="K588" s="238" t="s">
        <v>37</v>
      </c>
      <c r="L588">
        <v>2847748.1</v>
      </c>
      <c r="M588">
        <v>0</v>
      </c>
      <c r="N588">
        <v>2847748.1</v>
      </c>
      <c r="O588">
        <v>75158.30298231724</v>
      </c>
      <c r="P588">
        <v>208395</v>
      </c>
      <c r="Q588">
        <v>2639353.1</v>
      </c>
      <c r="R588">
        <v>69658.30298231724</v>
      </c>
      <c r="S588" s="238" t="s">
        <v>137</v>
      </c>
      <c r="T588" s="238" t="s">
        <v>1167</v>
      </c>
      <c r="V588" t="s">
        <v>1167</v>
      </c>
      <c r="W588" s="24">
        <v>44422</v>
      </c>
      <c r="X588" s="238" t="s">
        <v>717</v>
      </c>
      <c r="Y588" s="238" t="s">
        <v>39</v>
      </c>
      <c r="Z588" s="238" t="s">
        <v>1340</v>
      </c>
      <c r="AA588" t="s">
        <v>1167</v>
      </c>
      <c r="AB588" s="238" t="s">
        <v>3246</v>
      </c>
      <c r="AC588" t="s">
        <v>3079</v>
      </c>
      <c r="AD588" s="24"/>
      <c r="AE588" s="238" t="s">
        <v>2292</v>
      </c>
      <c r="AF588">
        <v>79277835962</v>
      </c>
      <c r="AG588" s="238" t="s">
        <v>2293</v>
      </c>
      <c r="AH588" s="238" t="s">
        <v>1212</v>
      </c>
      <c r="AI588" s="238" t="s">
        <v>3095</v>
      </c>
      <c r="AJ588" s="238" t="s">
        <v>130</v>
      </c>
      <c r="AK588" s="238" t="s">
        <v>141</v>
      </c>
      <c r="AL588" t="s">
        <v>8715</v>
      </c>
      <c r="AM588" t="s">
        <v>1167</v>
      </c>
    </row>
    <row r="589" spans="1:39" hidden="1" x14ac:dyDescent="0.25">
      <c r="A589">
        <v>585</v>
      </c>
      <c r="B589">
        <v>27</v>
      </c>
      <c r="C589" s="24">
        <v>44431</v>
      </c>
      <c r="D589" s="238" t="s">
        <v>27</v>
      </c>
      <c r="E589" s="238" t="s">
        <v>15</v>
      </c>
      <c r="F589">
        <v>4</v>
      </c>
      <c r="G589">
        <v>2</v>
      </c>
      <c r="H589">
        <v>515</v>
      </c>
      <c r="I589" s="238" t="s">
        <v>42</v>
      </c>
      <c r="J589">
        <v>40</v>
      </c>
      <c r="K589" s="238" t="s">
        <v>37</v>
      </c>
      <c r="L589">
        <v>2486880</v>
      </c>
      <c r="M589">
        <v>0</v>
      </c>
      <c r="N589">
        <v>2486880</v>
      </c>
      <c r="O589">
        <v>62172</v>
      </c>
      <c r="P589">
        <v>220000</v>
      </c>
      <c r="Q589">
        <v>2266880</v>
      </c>
      <c r="R589">
        <v>56672</v>
      </c>
      <c r="S589" s="238" t="s">
        <v>137</v>
      </c>
      <c r="T589" s="238" t="s">
        <v>1167</v>
      </c>
      <c r="V589" t="s">
        <v>1167</v>
      </c>
      <c r="W589" s="24">
        <v>44424</v>
      </c>
      <c r="X589" s="238" t="s">
        <v>718</v>
      </c>
      <c r="Y589" s="238" t="s">
        <v>39</v>
      </c>
      <c r="Z589" s="238" t="s">
        <v>1340</v>
      </c>
      <c r="AA589" t="s">
        <v>1167</v>
      </c>
      <c r="AB589" s="238" t="s">
        <v>3246</v>
      </c>
      <c r="AC589" t="s">
        <v>3079</v>
      </c>
      <c r="AD589" s="24"/>
      <c r="AE589" s="238" t="s">
        <v>2294</v>
      </c>
      <c r="AF589">
        <v>79171593398</v>
      </c>
      <c r="AG589" s="238" t="s">
        <v>2295</v>
      </c>
      <c r="AH589" s="238" t="s">
        <v>1212</v>
      </c>
      <c r="AI589" s="238" t="s">
        <v>3084</v>
      </c>
      <c r="AJ589" s="238" t="s">
        <v>689</v>
      </c>
      <c r="AK589" s="238" t="s">
        <v>141</v>
      </c>
      <c r="AL589" t="s">
        <v>8715</v>
      </c>
      <c r="AM589" t="s">
        <v>1167</v>
      </c>
    </row>
    <row r="590" spans="1:39" hidden="1" x14ac:dyDescent="0.25">
      <c r="A590">
        <v>586</v>
      </c>
      <c r="B590">
        <v>28</v>
      </c>
      <c r="C590" s="24">
        <v>44432</v>
      </c>
      <c r="D590" s="238" t="s">
        <v>27</v>
      </c>
      <c r="E590" s="238" t="s">
        <v>16</v>
      </c>
      <c r="F590">
        <v>3</v>
      </c>
      <c r="G590">
        <v>13</v>
      </c>
      <c r="H590">
        <v>482</v>
      </c>
      <c r="I590" s="238" t="s">
        <v>4052</v>
      </c>
      <c r="J590">
        <v>23.54</v>
      </c>
      <c r="K590" s="238" t="s">
        <v>36</v>
      </c>
      <c r="L590">
        <v>1359435</v>
      </c>
      <c r="M590">
        <v>0</v>
      </c>
      <c r="N590">
        <v>1359435</v>
      </c>
      <c r="O590">
        <v>57750</v>
      </c>
      <c r="P590">
        <v>0</v>
      </c>
      <c r="Q590">
        <v>1359435</v>
      </c>
      <c r="R590">
        <v>57750</v>
      </c>
      <c r="S590" s="238" t="s">
        <v>124</v>
      </c>
      <c r="T590" s="238" t="s">
        <v>1167</v>
      </c>
      <c r="V590" t="s">
        <v>1167</v>
      </c>
      <c r="W590" s="24">
        <v>44415</v>
      </c>
      <c r="X590" s="238" t="s">
        <v>721</v>
      </c>
      <c r="Y590" s="238" t="s">
        <v>39</v>
      </c>
      <c r="Z590" s="238" t="s">
        <v>1168</v>
      </c>
      <c r="AA590" t="s">
        <v>1167</v>
      </c>
      <c r="AB590" s="238" t="s">
        <v>3246</v>
      </c>
      <c r="AC590" t="s">
        <v>4246</v>
      </c>
      <c r="AD590" s="24"/>
      <c r="AE590" s="238" t="s">
        <v>2296</v>
      </c>
      <c r="AF590">
        <v>79277453570</v>
      </c>
      <c r="AG590" s="238" t="s">
        <v>2297</v>
      </c>
      <c r="AH590" s="238" t="s">
        <v>1212</v>
      </c>
      <c r="AI590" s="238" t="s">
        <v>3095</v>
      </c>
      <c r="AJ590" s="238" t="s">
        <v>126</v>
      </c>
      <c r="AK590" s="238" t="s">
        <v>1167</v>
      </c>
      <c r="AL590" t="s">
        <v>8715</v>
      </c>
      <c r="AM590" t="s">
        <v>1167</v>
      </c>
    </row>
    <row r="591" spans="1:39" hidden="1" x14ac:dyDescent="0.25">
      <c r="A591">
        <v>587</v>
      </c>
      <c r="B591">
        <v>29</v>
      </c>
      <c r="C591" s="24">
        <v>44432</v>
      </c>
      <c r="D591" s="238" t="s">
        <v>27</v>
      </c>
      <c r="E591" s="238" t="s">
        <v>15</v>
      </c>
      <c r="F591">
        <v>7</v>
      </c>
      <c r="G591">
        <v>3</v>
      </c>
      <c r="H591">
        <v>526</v>
      </c>
      <c r="I591" s="238" t="s">
        <v>43</v>
      </c>
      <c r="J591">
        <v>59.93</v>
      </c>
      <c r="K591" s="238" t="s">
        <v>38</v>
      </c>
      <c r="L591">
        <v>4220516.79</v>
      </c>
      <c r="M591">
        <v>15000</v>
      </c>
      <c r="N591">
        <v>4235516.79</v>
      </c>
      <c r="O591">
        <v>70674.399966627738</v>
      </c>
      <c r="P591">
        <v>958880</v>
      </c>
      <c r="Q591">
        <v>3276636.79</v>
      </c>
      <c r="R591">
        <v>54674.39996662773</v>
      </c>
      <c r="S591" s="238" t="s">
        <v>137</v>
      </c>
      <c r="T591" s="238" t="s">
        <v>1167</v>
      </c>
      <c r="V591" t="s">
        <v>4091</v>
      </c>
      <c r="W591" s="24">
        <v>44424</v>
      </c>
      <c r="X591" s="238" t="s">
        <v>720</v>
      </c>
      <c r="Y591" s="238" t="s">
        <v>39</v>
      </c>
      <c r="Z591" s="238" t="s">
        <v>1340</v>
      </c>
      <c r="AA591" t="s">
        <v>1167</v>
      </c>
      <c r="AB591" s="238" t="s">
        <v>3246</v>
      </c>
      <c r="AC591" t="s">
        <v>3079</v>
      </c>
      <c r="AD591" s="24"/>
      <c r="AE591" s="238" t="s">
        <v>2298</v>
      </c>
      <c r="AF591">
        <v>79874502232</v>
      </c>
      <c r="AG591" s="238" t="s">
        <v>2299</v>
      </c>
      <c r="AH591" s="238" t="s">
        <v>135</v>
      </c>
      <c r="AI591" s="238" t="s">
        <v>3099</v>
      </c>
      <c r="AJ591" s="238" t="s">
        <v>120</v>
      </c>
      <c r="AK591" s="238" t="s">
        <v>141</v>
      </c>
      <c r="AL591" t="s">
        <v>8715</v>
      </c>
      <c r="AM591" t="s">
        <v>1167</v>
      </c>
    </row>
    <row r="592" spans="1:39" hidden="1" x14ac:dyDescent="0.25">
      <c r="A592">
        <v>588</v>
      </c>
      <c r="B592">
        <v>30</v>
      </c>
      <c r="C592" s="24">
        <v>44432</v>
      </c>
      <c r="D592" s="238" t="s">
        <v>27</v>
      </c>
      <c r="E592" s="238" t="s">
        <v>15</v>
      </c>
      <c r="F592">
        <v>7</v>
      </c>
      <c r="G592">
        <v>8</v>
      </c>
      <c r="H592">
        <v>566</v>
      </c>
      <c r="I592" s="238" t="s">
        <v>43</v>
      </c>
      <c r="J592">
        <v>59.93</v>
      </c>
      <c r="K592" s="238" t="s">
        <v>38</v>
      </c>
      <c r="L592">
        <v>4264259.22</v>
      </c>
      <c r="M592">
        <v>0</v>
      </c>
      <c r="N592">
        <v>4264259.22</v>
      </c>
      <c r="O592">
        <v>71154</v>
      </c>
      <c r="P592">
        <v>958880</v>
      </c>
      <c r="Q592">
        <v>3305379.2199999997</v>
      </c>
      <c r="R592">
        <v>55153.999999999993</v>
      </c>
      <c r="S592" s="238" t="s">
        <v>137</v>
      </c>
      <c r="T592" s="238" t="s">
        <v>1167</v>
      </c>
      <c r="V592" t="s">
        <v>4091</v>
      </c>
      <c r="W592" s="24">
        <v>44425</v>
      </c>
      <c r="X592" s="238" t="s">
        <v>719</v>
      </c>
      <c r="Y592" s="238" t="s">
        <v>39</v>
      </c>
      <c r="Z592" s="238" t="s">
        <v>1340</v>
      </c>
      <c r="AA592" t="s">
        <v>1167</v>
      </c>
      <c r="AB592" s="238" t="s">
        <v>3246</v>
      </c>
      <c r="AC592" t="s">
        <v>3079</v>
      </c>
      <c r="AD592" s="24"/>
      <c r="AE592" s="238" t="s">
        <v>2300</v>
      </c>
      <c r="AF592">
        <v>79277080058</v>
      </c>
      <c r="AG592" s="238" t="s">
        <v>2301</v>
      </c>
      <c r="AH592" s="238" t="s">
        <v>146</v>
      </c>
      <c r="AI592" s="238" t="s">
        <v>135</v>
      </c>
      <c r="AJ592" s="238" t="s">
        <v>130</v>
      </c>
      <c r="AK592" s="238" t="s">
        <v>141</v>
      </c>
      <c r="AL592" t="s">
        <v>8715</v>
      </c>
      <c r="AM592" t="s">
        <v>1167</v>
      </c>
    </row>
    <row r="593" spans="1:39" hidden="1" x14ac:dyDescent="0.25">
      <c r="A593">
        <v>589</v>
      </c>
      <c r="B593">
        <v>31</v>
      </c>
      <c r="C593" s="24">
        <v>44433</v>
      </c>
      <c r="D593" s="238" t="s">
        <v>27</v>
      </c>
      <c r="E593" s="238" t="s">
        <v>5</v>
      </c>
      <c r="F593">
        <v>5</v>
      </c>
      <c r="G593">
        <v>10</v>
      </c>
      <c r="H593">
        <v>276</v>
      </c>
      <c r="I593" s="238" t="s">
        <v>4052</v>
      </c>
      <c r="J593">
        <v>23.63</v>
      </c>
      <c r="K593" s="238" t="s">
        <v>36</v>
      </c>
      <c r="L593">
        <v>1414615</v>
      </c>
      <c r="M593">
        <v>15000</v>
      </c>
      <c r="N593">
        <v>1429615</v>
      </c>
      <c r="O593">
        <v>60500</v>
      </c>
      <c r="P593">
        <v>0</v>
      </c>
      <c r="Q593">
        <v>1429615</v>
      </c>
      <c r="R593">
        <v>60500</v>
      </c>
      <c r="S593" s="238" t="s">
        <v>121</v>
      </c>
      <c r="T593" s="238" t="s">
        <v>1167</v>
      </c>
      <c r="V593" t="s">
        <v>1167</v>
      </c>
      <c r="W593" s="24">
        <v>44418</v>
      </c>
      <c r="X593" s="238" t="s">
        <v>722</v>
      </c>
      <c r="Y593" s="238" t="s">
        <v>39</v>
      </c>
      <c r="Z593" s="238" t="s">
        <v>1168</v>
      </c>
      <c r="AA593" t="s">
        <v>1167</v>
      </c>
      <c r="AB593" s="238" t="s">
        <v>3246</v>
      </c>
      <c r="AC593" t="s">
        <v>4246</v>
      </c>
      <c r="AD593" s="24">
        <v>44977</v>
      </c>
      <c r="AE593" s="238" t="s">
        <v>4563</v>
      </c>
      <c r="AF593">
        <v>79613879393</v>
      </c>
      <c r="AG593" s="238" t="s">
        <v>4564</v>
      </c>
      <c r="AH593" s="238" t="s">
        <v>1197</v>
      </c>
      <c r="AI593" s="238" t="s">
        <v>135</v>
      </c>
      <c r="AJ593" s="238" t="s">
        <v>399</v>
      </c>
      <c r="AK593" s="238" t="s">
        <v>1167</v>
      </c>
      <c r="AL593" t="s">
        <v>8715</v>
      </c>
      <c r="AM593" t="s">
        <v>1167</v>
      </c>
    </row>
    <row r="594" spans="1:39" hidden="1" x14ac:dyDescent="0.25">
      <c r="A594">
        <v>590</v>
      </c>
      <c r="B594">
        <v>32</v>
      </c>
      <c r="C594" s="24">
        <v>44433</v>
      </c>
      <c r="D594" s="238" t="s">
        <v>27</v>
      </c>
      <c r="E594" s="238" t="s">
        <v>15</v>
      </c>
      <c r="F594">
        <v>6</v>
      </c>
      <c r="G594">
        <v>7</v>
      </c>
      <c r="H594">
        <v>557</v>
      </c>
      <c r="I594" s="238" t="s">
        <v>42</v>
      </c>
      <c r="J594">
        <v>37.11</v>
      </c>
      <c r="K594" s="238" t="s">
        <v>37</v>
      </c>
      <c r="L594">
        <v>2292202.92</v>
      </c>
      <c r="M594">
        <v>15000</v>
      </c>
      <c r="N594">
        <v>2307202.92</v>
      </c>
      <c r="O594">
        <v>62172</v>
      </c>
      <c r="P594">
        <v>204105</v>
      </c>
      <c r="Q594">
        <v>2103097.92</v>
      </c>
      <c r="R594">
        <v>56672</v>
      </c>
      <c r="S594" s="238" t="s">
        <v>121</v>
      </c>
      <c r="T594" s="238" t="s">
        <v>1167</v>
      </c>
      <c r="V594" t="s">
        <v>1167</v>
      </c>
      <c r="W594" s="24">
        <v>44418</v>
      </c>
      <c r="X594" s="238" t="s">
        <v>723</v>
      </c>
      <c r="Y594" s="238" t="s">
        <v>39</v>
      </c>
      <c r="Z594" s="238" t="s">
        <v>1168</v>
      </c>
      <c r="AA594" t="s">
        <v>1167</v>
      </c>
      <c r="AB594" s="238" t="s">
        <v>3246</v>
      </c>
      <c r="AC594" t="s">
        <v>4246</v>
      </c>
      <c r="AD594" s="24">
        <v>45023</v>
      </c>
      <c r="AE594" s="238" t="s">
        <v>4396</v>
      </c>
      <c r="AF594">
        <v>79277184864</v>
      </c>
      <c r="AG594" s="238" t="s">
        <v>4397</v>
      </c>
      <c r="AH594" s="238" t="s">
        <v>1212</v>
      </c>
      <c r="AI594" s="238" t="s">
        <v>135</v>
      </c>
      <c r="AJ594" s="238" t="s">
        <v>399</v>
      </c>
      <c r="AK594" s="238" t="s">
        <v>1167</v>
      </c>
      <c r="AL594" t="s">
        <v>8715</v>
      </c>
      <c r="AM594" t="s">
        <v>1167</v>
      </c>
    </row>
    <row r="595" spans="1:39" hidden="1" x14ac:dyDescent="0.25">
      <c r="A595">
        <v>591</v>
      </c>
      <c r="B595">
        <v>33</v>
      </c>
      <c r="C595" s="24">
        <v>44434</v>
      </c>
      <c r="D595" s="238" t="s">
        <v>27</v>
      </c>
      <c r="E595" s="238" t="s">
        <v>15</v>
      </c>
      <c r="F595">
        <v>4</v>
      </c>
      <c r="G595">
        <v>7</v>
      </c>
      <c r="H595">
        <v>555</v>
      </c>
      <c r="I595" s="238" t="s">
        <v>42</v>
      </c>
      <c r="J595">
        <v>40</v>
      </c>
      <c r="K595" s="238" t="s">
        <v>37</v>
      </c>
      <c r="L595">
        <v>2208760</v>
      </c>
      <c r="M595">
        <v>15000</v>
      </c>
      <c r="N595">
        <v>2223760</v>
      </c>
      <c r="O595">
        <v>55594</v>
      </c>
      <c r="P595">
        <v>220000</v>
      </c>
      <c r="Q595">
        <v>2003760</v>
      </c>
      <c r="R595">
        <v>50094</v>
      </c>
      <c r="S595" s="238" t="s">
        <v>121</v>
      </c>
      <c r="T595" s="238" t="s">
        <v>321</v>
      </c>
      <c r="U595">
        <v>20240</v>
      </c>
      <c r="V595" t="s">
        <v>1167</v>
      </c>
      <c r="W595" s="24">
        <v>44415</v>
      </c>
      <c r="X595" s="238" t="s">
        <v>724</v>
      </c>
      <c r="Y595" s="238" t="s">
        <v>39</v>
      </c>
      <c r="Z595" s="238" t="s">
        <v>1168</v>
      </c>
      <c r="AA595" t="s">
        <v>1167</v>
      </c>
      <c r="AB595" s="238" t="s">
        <v>3246</v>
      </c>
      <c r="AC595" t="s">
        <v>4246</v>
      </c>
      <c r="AD595" s="24"/>
      <c r="AE595" s="238" t="s">
        <v>2302</v>
      </c>
      <c r="AF595">
        <v>79879112638</v>
      </c>
      <c r="AG595" s="238" t="s">
        <v>2303</v>
      </c>
      <c r="AH595" s="238" t="s">
        <v>1171</v>
      </c>
      <c r="AI595" s="238" t="s">
        <v>3094</v>
      </c>
      <c r="AJ595" s="238" t="s">
        <v>126</v>
      </c>
      <c r="AK595" s="238" t="s">
        <v>1167</v>
      </c>
      <c r="AL595" t="s">
        <v>8715</v>
      </c>
      <c r="AM595" t="s">
        <v>1167</v>
      </c>
    </row>
    <row r="596" spans="1:39" hidden="1" x14ac:dyDescent="0.25">
      <c r="A596">
        <v>592</v>
      </c>
      <c r="B596">
        <v>34</v>
      </c>
      <c r="C596" s="24">
        <v>44434</v>
      </c>
      <c r="D596" s="238" t="s">
        <v>27</v>
      </c>
      <c r="E596" s="238" t="s">
        <v>15</v>
      </c>
      <c r="F596">
        <v>5</v>
      </c>
      <c r="G596">
        <v>12</v>
      </c>
      <c r="H596">
        <v>596</v>
      </c>
      <c r="I596" s="238" t="s">
        <v>4052</v>
      </c>
      <c r="J596">
        <v>23.63</v>
      </c>
      <c r="K596" s="238" t="s">
        <v>36</v>
      </c>
      <c r="L596">
        <v>1429615</v>
      </c>
      <c r="M596">
        <v>0</v>
      </c>
      <c r="N596">
        <v>1429615</v>
      </c>
      <c r="O596">
        <v>60500</v>
      </c>
      <c r="P596">
        <v>0</v>
      </c>
      <c r="Q596">
        <v>1429615</v>
      </c>
      <c r="R596">
        <v>60500</v>
      </c>
      <c r="S596" s="238" t="s">
        <v>121</v>
      </c>
      <c r="T596" s="238" t="s">
        <v>1167</v>
      </c>
      <c r="V596" t="s">
        <v>1167</v>
      </c>
      <c r="W596" s="24">
        <v>44431</v>
      </c>
      <c r="X596" s="238" t="s">
        <v>725</v>
      </c>
      <c r="Y596" s="238" t="s">
        <v>39</v>
      </c>
      <c r="Z596" s="238" t="s">
        <v>1340</v>
      </c>
      <c r="AA596" t="s">
        <v>1167</v>
      </c>
      <c r="AB596" s="238" t="s">
        <v>3246</v>
      </c>
      <c r="AC596" t="s">
        <v>4246</v>
      </c>
      <c r="AD596" s="24"/>
      <c r="AE596" s="238" t="s">
        <v>2304</v>
      </c>
      <c r="AF596">
        <v>79093655277</v>
      </c>
      <c r="AG596" s="238" t="s">
        <v>2305</v>
      </c>
      <c r="AH596" s="238" t="s">
        <v>1212</v>
      </c>
      <c r="AI596" s="238" t="s">
        <v>3074</v>
      </c>
      <c r="AJ596" s="238" t="s">
        <v>126</v>
      </c>
      <c r="AK596" s="238" t="s">
        <v>1167</v>
      </c>
      <c r="AL596" t="s">
        <v>8715</v>
      </c>
      <c r="AM596" t="s">
        <v>1167</v>
      </c>
    </row>
    <row r="597" spans="1:39" hidden="1" x14ac:dyDescent="0.25">
      <c r="A597">
        <v>593</v>
      </c>
      <c r="B597">
        <v>35</v>
      </c>
      <c r="C597" s="24">
        <v>44435</v>
      </c>
      <c r="D597" s="238" t="s">
        <v>27</v>
      </c>
      <c r="E597" s="238" t="s">
        <v>15</v>
      </c>
      <c r="F597">
        <v>1</v>
      </c>
      <c r="G597">
        <v>8</v>
      </c>
      <c r="H597">
        <v>560</v>
      </c>
      <c r="I597" s="238" t="s">
        <v>44</v>
      </c>
      <c r="J597">
        <v>82.27</v>
      </c>
      <c r="K597" s="238" t="s">
        <v>36</v>
      </c>
      <c r="L597">
        <v>3937908.96</v>
      </c>
      <c r="M597">
        <v>15000</v>
      </c>
      <c r="N597">
        <v>3952908.96</v>
      </c>
      <c r="O597">
        <v>48048</v>
      </c>
      <c r="P597">
        <v>0</v>
      </c>
      <c r="Q597">
        <v>3952908.96</v>
      </c>
      <c r="R597">
        <v>48048</v>
      </c>
      <c r="S597" s="238" t="s">
        <v>137</v>
      </c>
      <c r="T597" s="238" t="s">
        <v>1167</v>
      </c>
      <c r="V597" t="s">
        <v>4091</v>
      </c>
      <c r="W597" s="24">
        <v>44421</v>
      </c>
      <c r="X597" s="238" t="s">
        <v>726</v>
      </c>
      <c r="Y597" s="238" t="s">
        <v>39</v>
      </c>
      <c r="Z597" s="238" t="s">
        <v>1340</v>
      </c>
      <c r="AA597" t="s">
        <v>1167</v>
      </c>
      <c r="AB597" s="238" t="s">
        <v>3246</v>
      </c>
      <c r="AC597" t="s">
        <v>3079</v>
      </c>
      <c r="AD597" s="24"/>
      <c r="AE597" s="238" t="s">
        <v>2306</v>
      </c>
      <c r="AF597">
        <v>79171514299</v>
      </c>
      <c r="AG597" s="238" t="s">
        <v>2307</v>
      </c>
      <c r="AH597" s="238" t="s">
        <v>146</v>
      </c>
      <c r="AI597" s="238" t="s">
        <v>135</v>
      </c>
      <c r="AJ597" s="238" t="s">
        <v>399</v>
      </c>
      <c r="AK597" s="238" t="s">
        <v>141</v>
      </c>
      <c r="AL597" t="s">
        <v>8715</v>
      </c>
      <c r="AM597" t="s">
        <v>1167</v>
      </c>
    </row>
    <row r="598" spans="1:39" hidden="1" x14ac:dyDescent="0.25">
      <c r="A598">
        <v>594</v>
      </c>
      <c r="B598">
        <v>36</v>
      </c>
      <c r="C598" s="24">
        <v>44435</v>
      </c>
      <c r="D598" s="238" t="s">
        <v>27</v>
      </c>
      <c r="E598" s="238" t="s">
        <v>15</v>
      </c>
      <c r="F598">
        <v>6</v>
      </c>
      <c r="G598">
        <v>10</v>
      </c>
      <c r="H598">
        <v>581</v>
      </c>
      <c r="I598" s="238" t="s">
        <v>42</v>
      </c>
      <c r="J598">
        <v>37.11</v>
      </c>
      <c r="K598" s="238" t="s">
        <v>37</v>
      </c>
      <c r="L598">
        <v>2307202.92</v>
      </c>
      <c r="M598">
        <v>0</v>
      </c>
      <c r="N598">
        <v>2307202.92</v>
      </c>
      <c r="O598">
        <v>62172</v>
      </c>
      <c r="P598">
        <v>204105</v>
      </c>
      <c r="Q598">
        <v>2103097.92</v>
      </c>
      <c r="R598">
        <v>56672</v>
      </c>
      <c r="S598" s="238" t="s">
        <v>137</v>
      </c>
      <c r="T598" s="238" t="s">
        <v>1167</v>
      </c>
      <c r="V598" t="s">
        <v>1167</v>
      </c>
      <c r="W598" s="24">
        <v>44430</v>
      </c>
      <c r="X598" s="238" t="s">
        <v>728</v>
      </c>
      <c r="Y598" s="238" t="s">
        <v>39</v>
      </c>
      <c r="Z598" s="238" t="s">
        <v>1340</v>
      </c>
      <c r="AA598" t="s">
        <v>1167</v>
      </c>
      <c r="AB598" s="238" t="s">
        <v>3246</v>
      </c>
      <c r="AC598" t="s">
        <v>3079</v>
      </c>
      <c r="AD598" s="24"/>
      <c r="AE598" s="238" t="s">
        <v>2308</v>
      </c>
      <c r="AF598">
        <v>79277342137</v>
      </c>
      <c r="AG598" s="238" t="s">
        <v>2309</v>
      </c>
      <c r="AH598" s="238" t="s">
        <v>1171</v>
      </c>
      <c r="AI598" s="238" t="s">
        <v>3086</v>
      </c>
      <c r="AJ598" s="238" t="s">
        <v>689</v>
      </c>
      <c r="AK598" s="238" t="s">
        <v>141</v>
      </c>
      <c r="AL598" t="s">
        <v>8715</v>
      </c>
      <c r="AM598" t="s">
        <v>1167</v>
      </c>
    </row>
    <row r="599" spans="1:39" hidden="1" x14ac:dyDescent="0.25">
      <c r="A599">
        <v>595</v>
      </c>
      <c r="B599">
        <v>37</v>
      </c>
      <c r="C599" s="24">
        <v>44435</v>
      </c>
      <c r="D599" s="238" t="s">
        <v>27</v>
      </c>
      <c r="E599" s="238" t="s">
        <v>5</v>
      </c>
      <c r="F599">
        <v>8</v>
      </c>
      <c r="G599">
        <v>3</v>
      </c>
      <c r="H599">
        <v>223</v>
      </c>
      <c r="I599" s="238" t="s">
        <v>43</v>
      </c>
      <c r="J599">
        <v>55.8</v>
      </c>
      <c r="K599" s="238" t="s">
        <v>36</v>
      </c>
      <c r="L599">
        <v>2943784.8</v>
      </c>
      <c r="M599">
        <v>0</v>
      </c>
      <c r="N599">
        <v>2943784.8</v>
      </c>
      <c r="O599">
        <v>52756</v>
      </c>
      <c r="P599">
        <v>0</v>
      </c>
      <c r="Q599">
        <v>2943784.8</v>
      </c>
      <c r="R599">
        <v>52756</v>
      </c>
      <c r="S599" s="238" t="s">
        <v>137</v>
      </c>
      <c r="T599" s="238" t="s">
        <v>1167</v>
      </c>
      <c r="V599" t="s">
        <v>4091</v>
      </c>
      <c r="W599" s="24">
        <v>44432</v>
      </c>
      <c r="X599" s="238" t="s">
        <v>729</v>
      </c>
      <c r="Y599" s="238" t="s">
        <v>39</v>
      </c>
      <c r="Z599" s="238" t="s">
        <v>1340</v>
      </c>
      <c r="AA599" t="s">
        <v>1167</v>
      </c>
      <c r="AB599" s="238" t="s">
        <v>3246</v>
      </c>
      <c r="AC599" t="s">
        <v>3079</v>
      </c>
      <c r="AD599" s="24"/>
      <c r="AE599" s="238" t="s">
        <v>2310</v>
      </c>
      <c r="AF599">
        <v>79277165387</v>
      </c>
      <c r="AG599" s="238" t="s">
        <v>2311</v>
      </c>
      <c r="AH599" s="238" t="s">
        <v>1171</v>
      </c>
      <c r="AI599" s="238" t="s">
        <v>3086</v>
      </c>
      <c r="AJ599" s="238" t="s">
        <v>689</v>
      </c>
      <c r="AK599" s="238" t="s">
        <v>141</v>
      </c>
      <c r="AL599" t="s">
        <v>8715</v>
      </c>
      <c r="AM599" t="s">
        <v>1167</v>
      </c>
    </row>
    <row r="600" spans="1:39" hidden="1" x14ac:dyDescent="0.25">
      <c r="A600">
        <v>596</v>
      </c>
      <c r="B600">
        <v>38</v>
      </c>
      <c r="C600" s="24">
        <v>44435</v>
      </c>
      <c r="D600" s="238" t="s">
        <v>27</v>
      </c>
      <c r="E600" s="238" t="s">
        <v>15</v>
      </c>
      <c r="F600">
        <v>7</v>
      </c>
      <c r="G600">
        <v>4</v>
      </c>
      <c r="H600">
        <v>534</v>
      </c>
      <c r="I600" s="238" t="s">
        <v>43</v>
      </c>
      <c r="J600">
        <v>59.93</v>
      </c>
      <c r="K600" s="238" t="s">
        <v>37</v>
      </c>
      <c r="L600">
        <v>3256596.2</v>
      </c>
      <c r="M600">
        <v>0</v>
      </c>
      <c r="N600">
        <v>3256596.2</v>
      </c>
      <c r="O600">
        <v>54340</v>
      </c>
      <c r="P600">
        <v>329615</v>
      </c>
      <c r="Q600">
        <v>2926981.2</v>
      </c>
      <c r="R600">
        <v>48840</v>
      </c>
      <c r="S600" s="238" t="s">
        <v>137</v>
      </c>
      <c r="T600" s="238" t="s">
        <v>1167</v>
      </c>
      <c r="V600" t="s">
        <v>1167</v>
      </c>
      <c r="W600" s="24">
        <v>44432</v>
      </c>
      <c r="X600" s="238" t="s">
        <v>727</v>
      </c>
      <c r="Y600" s="238" t="s">
        <v>39</v>
      </c>
      <c r="Z600" s="238" t="s">
        <v>1340</v>
      </c>
      <c r="AA600" t="s">
        <v>1167</v>
      </c>
      <c r="AB600" s="238" t="s">
        <v>3246</v>
      </c>
      <c r="AC600" t="s">
        <v>3077</v>
      </c>
      <c r="AD600" s="24"/>
      <c r="AE600" s="238" t="s">
        <v>2312</v>
      </c>
      <c r="AF600">
        <v>79277656500</v>
      </c>
      <c r="AG600" s="238" t="s">
        <v>1167</v>
      </c>
      <c r="AH600" s="238" t="s">
        <v>1171</v>
      </c>
      <c r="AI600" s="238" t="s">
        <v>135</v>
      </c>
      <c r="AJ600" s="238" t="s">
        <v>399</v>
      </c>
      <c r="AK600" s="238" t="s">
        <v>141</v>
      </c>
      <c r="AL600" t="s">
        <v>8715</v>
      </c>
      <c r="AM600" t="s">
        <v>1167</v>
      </c>
    </row>
    <row r="601" spans="1:39" hidden="1" x14ac:dyDescent="0.25">
      <c r="A601">
        <v>597</v>
      </c>
      <c r="B601">
        <v>39</v>
      </c>
      <c r="C601" s="24">
        <v>44435</v>
      </c>
      <c r="D601" s="238" t="s">
        <v>27</v>
      </c>
      <c r="E601" s="238" t="s">
        <v>15</v>
      </c>
      <c r="F601">
        <v>6</v>
      </c>
      <c r="G601">
        <v>9</v>
      </c>
      <c r="H601">
        <v>573</v>
      </c>
      <c r="I601" s="238" t="s">
        <v>42</v>
      </c>
      <c r="J601">
        <v>37.11</v>
      </c>
      <c r="K601" s="238" t="s">
        <v>37</v>
      </c>
      <c r="L601">
        <v>2307202.92</v>
      </c>
      <c r="M601">
        <v>0</v>
      </c>
      <c r="N601">
        <v>2307202.92</v>
      </c>
      <c r="O601">
        <v>62172</v>
      </c>
      <c r="P601">
        <v>204105</v>
      </c>
      <c r="Q601">
        <v>2103097.92</v>
      </c>
      <c r="R601">
        <v>56672</v>
      </c>
      <c r="S601" s="238" t="s">
        <v>137</v>
      </c>
      <c r="T601" s="238" t="s">
        <v>1167</v>
      </c>
      <c r="V601" t="s">
        <v>1167</v>
      </c>
      <c r="W601" s="24">
        <v>44433</v>
      </c>
      <c r="X601" s="238" t="s">
        <v>731</v>
      </c>
      <c r="Y601" s="238" t="s">
        <v>39</v>
      </c>
      <c r="Z601" s="238" t="s">
        <v>1340</v>
      </c>
      <c r="AA601" t="s">
        <v>1167</v>
      </c>
      <c r="AB601" s="238" t="s">
        <v>3246</v>
      </c>
      <c r="AC601" t="s">
        <v>3079</v>
      </c>
      <c r="AD601" s="24"/>
      <c r="AE601" s="238" t="s">
        <v>2313</v>
      </c>
      <c r="AF601">
        <v>79198084737</v>
      </c>
      <c r="AG601" s="238" t="s">
        <v>2314</v>
      </c>
      <c r="AH601" s="238" t="s">
        <v>135</v>
      </c>
      <c r="AI601" s="238" t="s">
        <v>3075</v>
      </c>
      <c r="AJ601" s="238" t="s">
        <v>399</v>
      </c>
      <c r="AK601" s="238" t="s">
        <v>141</v>
      </c>
      <c r="AL601" t="s">
        <v>8715</v>
      </c>
      <c r="AM601" t="s">
        <v>1167</v>
      </c>
    </row>
    <row r="602" spans="1:39" hidden="1" x14ac:dyDescent="0.25">
      <c r="A602">
        <v>598</v>
      </c>
      <c r="B602">
        <v>40</v>
      </c>
      <c r="C602" s="24">
        <v>44435</v>
      </c>
      <c r="D602" s="238" t="s">
        <v>27</v>
      </c>
      <c r="E602" s="238" t="s">
        <v>15</v>
      </c>
      <c r="F602">
        <v>7</v>
      </c>
      <c r="G602">
        <v>5</v>
      </c>
      <c r="H602">
        <v>542</v>
      </c>
      <c r="I602" s="238" t="s">
        <v>43</v>
      </c>
      <c r="J602">
        <v>59.93</v>
      </c>
      <c r="K602" s="238" t="s">
        <v>36</v>
      </c>
      <c r="L602">
        <v>3305379.22</v>
      </c>
      <c r="M602">
        <v>0</v>
      </c>
      <c r="N602">
        <v>3305379.22</v>
      </c>
      <c r="O602">
        <v>55154.000000000007</v>
      </c>
      <c r="P602">
        <v>0</v>
      </c>
      <c r="Q602">
        <v>3305379.22</v>
      </c>
      <c r="R602">
        <v>55154.000000000007</v>
      </c>
      <c r="S602" s="238" t="s">
        <v>137</v>
      </c>
      <c r="T602" s="238" t="s">
        <v>1167</v>
      </c>
      <c r="V602" t="s">
        <v>4091</v>
      </c>
      <c r="W602" s="24">
        <v>44433</v>
      </c>
      <c r="X602" s="238" t="s">
        <v>730</v>
      </c>
      <c r="Y602" s="238" t="s">
        <v>39</v>
      </c>
      <c r="Z602" s="238" t="s">
        <v>1340</v>
      </c>
      <c r="AA602" t="s">
        <v>1167</v>
      </c>
      <c r="AB602" s="238" t="s">
        <v>3246</v>
      </c>
      <c r="AC602" t="s">
        <v>3079</v>
      </c>
      <c r="AD602" s="24"/>
      <c r="AE602" s="238" t="s">
        <v>2315</v>
      </c>
      <c r="AF602">
        <v>79279818315</v>
      </c>
      <c r="AG602" s="238" t="s">
        <v>2316</v>
      </c>
      <c r="AH602" s="238" t="s">
        <v>146</v>
      </c>
      <c r="AI602" s="238" t="s">
        <v>135</v>
      </c>
      <c r="AJ602" s="238" t="s">
        <v>641</v>
      </c>
      <c r="AK602" s="238" t="s">
        <v>141</v>
      </c>
      <c r="AL602" t="s">
        <v>8715</v>
      </c>
      <c r="AM602" t="s">
        <v>1167</v>
      </c>
    </row>
    <row r="603" spans="1:39" hidden="1" x14ac:dyDescent="0.25">
      <c r="A603">
        <v>599</v>
      </c>
      <c r="B603">
        <v>41</v>
      </c>
      <c r="C603" s="24">
        <v>44438</v>
      </c>
      <c r="D603" s="238" t="s">
        <v>27</v>
      </c>
      <c r="E603" s="238" t="s">
        <v>15</v>
      </c>
      <c r="F603">
        <v>8</v>
      </c>
      <c r="G603">
        <v>8</v>
      </c>
      <c r="H603">
        <v>567</v>
      </c>
      <c r="I603" s="238" t="s">
        <v>43</v>
      </c>
      <c r="J603">
        <v>55.8</v>
      </c>
      <c r="K603" s="238" t="s">
        <v>36</v>
      </c>
      <c r="L603">
        <v>2870351.04</v>
      </c>
      <c r="M603">
        <v>15000</v>
      </c>
      <c r="N603">
        <v>2885351.04</v>
      </c>
      <c r="O603">
        <v>51708.800000000003</v>
      </c>
      <c r="P603">
        <v>0</v>
      </c>
      <c r="Q603">
        <v>2885351.04</v>
      </c>
      <c r="R603">
        <v>51708.800000000003</v>
      </c>
      <c r="S603" s="238" t="s">
        <v>137</v>
      </c>
      <c r="T603" s="238" t="s">
        <v>1167</v>
      </c>
      <c r="V603" t="s">
        <v>4091</v>
      </c>
      <c r="W603" s="24">
        <v>44431</v>
      </c>
      <c r="X603" s="238" t="s">
        <v>732</v>
      </c>
      <c r="Y603" s="238" t="s">
        <v>39</v>
      </c>
      <c r="Z603" s="238" t="s">
        <v>1340</v>
      </c>
      <c r="AA603" t="s">
        <v>1167</v>
      </c>
      <c r="AB603" s="238" t="s">
        <v>3246</v>
      </c>
      <c r="AC603" t="s">
        <v>3079</v>
      </c>
      <c r="AD603" s="24"/>
      <c r="AE603" s="238" t="s">
        <v>2317</v>
      </c>
      <c r="AF603">
        <v>79608326372</v>
      </c>
      <c r="AG603" s="238" t="s">
        <v>2318</v>
      </c>
      <c r="AH603" s="238" t="s">
        <v>1171</v>
      </c>
      <c r="AI603" s="238" t="s">
        <v>3082</v>
      </c>
      <c r="AJ603" s="238" t="s">
        <v>126</v>
      </c>
      <c r="AK603" s="238" t="s">
        <v>141</v>
      </c>
      <c r="AL603" t="s">
        <v>8715</v>
      </c>
      <c r="AM603" t="s">
        <v>1167</v>
      </c>
    </row>
    <row r="604" spans="1:39" hidden="1" x14ac:dyDescent="0.25">
      <c r="A604">
        <v>600</v>
      </c>
      <c r="B604">
        <v>42</v>
      </c>
      <c r="C604" s="24">
        <v>44438</v>
      </c>
      <c r="D604" s="238" t="s">
        <v>27</v>
      </c>
      <c r="E604" s="238" t="s">
        <v>15</v>
      </c>
      <c r="F604">
        <v>7</v>
      </c>
      <c r="G604">
        <v>7</v>
      </c>
      <c r="H604">
        <v>558</v>
      </c>
      <c r="I604" s="238" t="s">
        <v>43</v>
      </c>
      <c r="J604">
        <v>59.93</v>
      </c>
      <c r="K604" s="238" t="s">
        <v>36</v>
      </c>
      <c r="L604">
        <v>2911981.2</v>
      </c>
      <c r="M604">
        <v>15000</v>
      </c>
      <c r="N604">
        <v>2926981.2</v>
      </c>
      <c r="O604">
        <v>48840</v>
      </c>
      <c r="P604">
        <v>0</v>
      </c>
      <c r="Q604">
        <v>2926981.2</v>
      </c>
      <c r="R604">
        <v>48840</v>
      </c>
      <c r="S604" s="238" t="s">
        <v>137</v>
      </c>
      <c r="T604" s="238" t="s">
        <v>1167</v>
      </c>
      <c r="V604" t="s">
        <v>1167</v>
      </c>
      <c r="W604" s="24">
        <v>44431</v>
      </c>
      <c r="X604" s="238" t="s">
        <v>733</v>
      </c>
      <c r="Y604" s="238" t="s">
        <v>39</v>
      </c>
      <c r="Z604" s="238" t="s">
        <v>1340</v>
      </c>
      <c r="AA604" t="s">
        <v>1167</v>
      </c>
      <c r="AB604" s="238" t="s">
        <v>3246</v>
      </c>
      <c r="AC604" t="s">
        <v>3079</v>
      </c>
      <c r="AD604" s="24"/>
      <c r="AE604" s="238" t="s">
        <v>2319</v>
      </c>
      <c r="AF604">
        <v>79171010606</v>
      </c>
      <c r="AG604" s="238" t="s">
        <v>2320</v>
      </c>
      <c r="AH604" s="238" t="s">
        <v>1171</v>
      </c>
      <c r="AI604" s="238" t="s">
        <v>3074</v>
      </c>
      <c r="AJ604" s="238" t="s">
        <v>130</v>
      </c>
      <c r="AK604" s="238" t="s">
        <v>141</v>
      </c>
      <c r="AL604" t="s">
        <v>8715</v>
      </c>
      <c r="AM604" t="s">
        <v>1167</v>
      </c>
    </row>
    <row r="605" spans="1:39" hidden="1" x14ac:dyDescent="0.25">
      <c r="A605">
        <v>601</v>
      </c>
      <c r="B605">
        <v>43</v>
      </c>
      <c r="C605" s="24">
        <v>44438</v>
      </c>
      <c r="D605" s="238" t="s">
        <v>27</v>
      </c>
      <c r="E605" s="238" t="s">
        <v>16</v>
      </c>
      <c r="F605">
        <v>6</v>
      </c>
      <c r="G605">
        <v>5</v>
      </c>
      <c r="H605">
        <v>421</v>
      </c>
      <c r="I605" s="238" t="s">
        <v>42</v>
      </c>
      <c r="J605">
        <v>37.11</v>
      </c>
      <c r="K605" s="238" t="s">
        <v>36</v>
      </c>
      <c r="L605">
        <v>2103097.92</v>
      </c>
      <c r="M605">
        <v>0</v>
      </c>
      <c r="N605">
        <v>2103097.92</v>
      </c>
      <c r="O605">
        <v>56672</v>
      </c>
      <c r="P605">
        <v>0</v>
      </c>
      <c r="Q605">
        <v>2103097.92</v>
      </c>
      <c r="R605">
        <v>56672</v>
      </c>
      <c r="S605" s="238" t="s">
        <v>137</v>
      </c>
      <c r="T605" s="238" t="s">
        <v>1167</v>
      </c>
      <c r="V605" t="s">
        <v>1167</v>
      </c>
      <c r="W605" s="24">
        <v>44433</v>
      </c>
      <c r="X605" s="238" t="s">
        <v>734</v>
      </c>
      <c r="Y605" s="238" t="s">
        <v>39</v>
      </c>
      <c r="Z605" s="238" t="s">
        <v>1340</v>
      </c>
      <c r="AA605" t="s">
        <v>1167</v>
      </c>
      <c r="AB605" s="238" t="s">
        <v>3246</v>
      </c>
      <c r="AC605" t="s">
        <v>3077</v>
      </c>
      <c r="AD605" s="24"/>
      <c r="AE605" s="238" t="s">
        <v>2321</v>
      </c>
      <c r="AF605">
        <v>79171447434</v>
      </c>
      <c r="AG605" s="238" t="s">
        <v>2322</v>
      </c>
      <c r="AH605" s="238" t="s">
        <v>1171</v>
      </c>
      <c r="AI605" s="238" t="s">
        <v>135</v>
      </c>
      <c r="AJ605" s="238" t="s">
        <v>130</v>
      </c>
      <c r="AK605" s="238" t="s">
        <v>141</v>
      </c>
      <c r="AL605" t="s">
        <v>8715</v>
      </c>
      <c r="AM605" t="s">
        <v>1167</v>
      </c>
    </row>
    <row r="606" spans="1:39" hidden="1" x14ac:dyDescent="0.25">
      <c r="A606">
        <v>602</v>
      </c>
      <c r="B606">
        <v>44</v>
      </c>
      <c r="C606" s="24">
        <v>44439</v>
      </c>
      <c r="D606" s="238" t="s">
        <v>19</v>
      </c>
      <c r="E606" s="238" t="s">
        <v>6</v>
      </c>
      <c r="F606">
        <v>3</v>
      </c>
      <c r="G606">
        <v>17</v>
      </c>
      <c r="H606">
        <v>108</v>
      </c>
      <c r="I606" s="238" t="s">
        <v>44</v>
      </c>
      <c r="J606">
        <v>76.56</v>
      </c>
      <c r="K606" s="238" t="s">
        <v>36</v>
      </c>
      <c r="L606">
        <v>4104153.47</v>
      </c>
      <c r="M606">
        <v>15000</v>
      </c>
      <c r="N606">
        <v>4119153.47</v>
      </c>
      <c r="O606">
        <v>53802.945010449323</v>
      </c>
      <c r="P606">
        <v>0</v>
      </c>
      <c r="Q606">
        <v>4119153.47</v>
      </c>
      <c r="R606">
        <v>53802.945010449323</v>
      </c>
      <c r="S606" s="238" t="s">
        <v>137</v>
      </c>
      <c r="T606" s="238" t="s">
        <v>1167</v>
      </c>
      <c r="V606" t="s">
        <v>4091</v>
      </c>
      <c r="W606" s="24">
        <v>44421</v>
      </c>
      <c r="X606" s="238" t="s">
        <v>736</v>
      </c>
      <c r="Y606" s="238" t="s">
        <v>39</v>
      </c>
      <c r="Z606" s="238" t="s">
        <v>1340</v>
      </c>
      <c r="AA606" t="s">
        <v>1167</v>
      </c>
      <c r="AB606" s="238" t="s">
        <v>3246</v>
      </c>
      <c r="AC606" t="s">
        <v>3079</v>
      </c>
      <c r="AD606" s="24"/>
      <c r="AE606" s="238" t="s">
        <v>2323</v>
      </c>
      <c r="AF606">
        <v>79228586686</v>
      </c>
      <c r="AG606" s="238" t="s">
        <v>2324</v>
      </c>
      <c r="AH606" s="238" t="s">
        <v>1171</v>
      </c>
      <c r="AI606" s="238" t="s">
        <v>3097</v>
      </c>
      <c r="AJ606" s="238" t="s">
        <v>399</v>
      </c>
      <c r="AK606" s="238" t="s">
        <v>141</v>
      </c>
      <c r="AL606" t="s">
        <v>8715</v>
      </c>
      <c r="AM606" t="s">
        <v>1167</v>
      </c>
    </row>
    <row r="607" spans="1:39" hidden="1" x14ac:dyDescent="0.25">
      <c r="A607">
        <v>603</v>
      </c>
      <c r="B607">
        <v>45</v>
      </c>
      <c r="C607" s="24">
        <v>44439</v>
      </c>
      <c r="D607" s="238" t="s">
        <v>19</v>
      </c>
      <c r="E607" s="238" t="s">
        <v>5</v>
      </c>
      <c r="F607">
        <v>9</v>
      </c>
      <c r="G607">
        <v>5</v>
      </c>
      <c r="H607">
        <v>203</v>
      </c>
      <c r="I607" s="238" t="s">
        <v>43</v>
      </c>
      <c r="J607">
        <v>60.3</v>
      </c>
      <c r="K607" s="238" t="s">
        <v>37</v>
      </c>
      <c r="L607">
        <v>3492901.25</v>
      </c>
      <c r="M607">
        <v>15000</v>
      </c>
      <c r="N607">
        <v>3507901.25</v>
      </c>
      <c r="O607">
        <v>58174.150082918743</v>
      </c>
      <c r="P607">
        <v>331650</v>
      </c>
      <c r="Q607">
        <v>3176251.25</v>
      </c>
      <c r="R607">
        <v>52674.150082918743</v>
      </c>
      <c r="S607" s="238" t="s">
        <v>137</v>
      </c>
      <c r="T607" s="238" t="s">
        <v>1167</v>
      </c>
      <c r="V607" t="s">
        <v>1167</v>
      </c>
      <c r="W607" s="24">
        <v>44424</v>
      </c>
      <c r="X607" s="238" t="s">
        <v>737</v>
      </c>
      <c r="Y607" s="238" t="s">
        <v>39</v>
      </c>
      <c r="Z607" s="238" t="s">
        <v>1168</v>
      </c>
      <c r="AA607" t="s">
        <v>1167</v>
      </c>
      <c r="AB607" s="238" t="s">
        <v>3246</v>
      </c>
      <c r="AC607" t="s">
        <v>3108</v>
      </c>
      <c r="AD607" s="24"/>
      <c r="AE607" s="238" t="s">
        <v>2325</v>
      </c>
      <c r="AF607">
        <v>79155273829</v>
      </c>
      <c r="AG607" s="238" t="s">
        <v>2326</v>
      </c>
      <c r="AH607" s="238" t="s">
        <v>1212</v>
      </c>
      <c r="AI607" s="238" t="s">
        <v>135</v>
      </c>
      <c r="AJ607" s="238" t="s">
        <v>120</v>
      </c>
      <c r="AK607" s="238" t="s">
        <v>141</v>
      </c>
      <c r="AL607" t="s">
        <v>8715</v>
      </c>
      <c r="AM607" t="s">
        <v>1167</v>
      </c>
    </row>
    <row r="608" spans="1:39" hidden="1" x14ac:dyDescent="0.25">
      <c r="A608">
        <v>604</v>
      </c>
      <c r="B608">
        <v>46</v>
      </c>
      <c r="C608" s="24">
        <v>44439</v>
      </c>
      <c r="D608" s="238" t="s">
        <v>19</v>
      </c>
      <c r="E608" s="238" t="s">
        <v>6</v>
      </c>
      <c r="F608">
        <v>5</v>
      </c>
      <c r="G608">
        <v>7</v>
      </c>
      <c r="H608">
        <v>40</v>
      </c>
      <c r="I608" s="238" t="s">
        <v>42</v>
      </c>
      <c r="J608">
        <v>36.42</v>
      </c>
      <c r="K608" s="238" t="s">
        <v>38</v>
      </c>
      <c r="L608">
        <v>3055550.56</v>
      </c>
      <c r="M608">
        <v>0</v>
      </c>
      <c r="N608">
        <v>3055550.56</v>
      </c>
      <c r="O608">
        <v>83897.599121361884</v>
      </c>
      <c r="P608">
        <v>582720</v>
      </c>
      <c r="Q608">
        <v>2472830.56</v>
      </c>
      <c r="R608">
        <v>67897.599121361884</v>
      </c>
      <c r="S608" s="238" t="s">
        <v>137</v>
      </c>
      <c r="T608" s="238" t="s">
        <v>1167</v>
      </c>
      <c r="V608" t="s">
        <v>1167</v>
      </c>
      <c r="W608" s="24">
        <v>44435</v>
      </c>
      <c r="X608" s="238" t="s">
        <v>735</v>
      </c>
      <c r="Y608" s="238" t="s">
        <v>39</v>
      </c>
      <c r="Z608" s="238" t="s">
        <v>1168</v>
      </c>
      <c r="AA608" t="s">
        <v>1167</v>
      </c>
      <c r="AB608" s="238" t="s">
        <v>3246</v>
      </c>
      <c r="AC608" t="s">
        <v>3112</v>
      </c>
      <c r="AD608" s="24"/>
      <c r="AE608" s="238" t="s">
        <v>2327</v>
      </c>
      <c r="AF608">
        <v>79277260816</v>
      </c>
      <c r="AG608" s="238" t="s">
        <v>2328</v>
      </c>
      <c r="AH608" s="238" t="s">
        <v>1171</v>
      </c>
      <c r="AI608" s="238" t="s">
        <v>135</v>
      </c>
      <c r="AJ608" s="238" t="s">
        <v>130</v>
      </c>
      <c r="AK608" s="238" t="s">
        <v>141</v>
      </c>
      <c r="AL608" t="s">
        <v>8715</v>
      </c>
      <c r="AM608" t="s">
        <v>1167</v>
      </c>
    </row>
    <row r="609" spans="1:39" hidden="1" x14ac:dyDescent="0.25">
      <c r="A609">
        <v>605</v>
      </c>
      <c r="B609">
        <v>47</v>
      </c>
      <c r="C609" s="24">
        <v>44439</v>
      </c>
      <c r="D609" s="238" t="s">
        <v>27</v>
      </c>
      <c r="E609" s="238" t="s">
        <v>16</v>
      </c>
      <c r="F609">
        <v>2</v>
      </c>
      <c r="G609">
        <v>5</v>
      </c>
      <c r="H609">
        <v>417</v>
      </c>
      <c r="I609" s="238" t="s">
        <v>42</v>
      </c>
      <c r="J609">
        <v>37.159999999999997</v>
      </c>
      <c r="K609" s="238" t="s">
        <v>36</v>
      </c>
      <c r="L609">
        <v>2197493.7599999998</v>
      </c>
      <c r="M609">
        <v>0</v>
      </c>
      <c r="N609">
        <v>2197493.7599999998</v>
      </c>
      <c r="O609">
        <v>59136</v>
      </c>
      <c r="P609">
        <v>0</v>
      </c>
      <c r="Q609">
        <v>2197493.7599999998</v>
      </c>
      <c r="R609">
        <v>59136</v>
      </c>
      <c r="S609" s="238" t="s">
        <v>124</v>
      </c>
      <c r="T609" s="238" t="s">
        <v>1167</v>
      </c>
      <c r="V609" t="s">
        <v>1167</v>
      </c>
      <c r="W609" s="24">
        <v>44437</v>
      </c>
      <c r="X609" s="238" t="s">
        <v>739</v>
      </c>
      <c r="Y609" s="238" t="s">
        <v>39</v>
      </c>
      <c r="Z609" s="238" t="s">
        <v>1340</v>
      </c>
      <c r="AA609" t="s">
        <v>1167</v>
      </c>
      <c r="AB609" s="238" t="s">
        <v>3246</v>
      </c>
      <c r="AC609" t="s">
        <v>4246</v>
      </c>
      <c r="AD609" s="24"/>
      <c r="AE609" s="238" t="s">
        <v>2329</v>
      </c>
      <c r="AF609">
        <v>79967247542</v>
      </c>
      <c r="AG609" s="238" t="s">
        <v>2330</v>
      </c>
      <c r="AH609" s="238" t="s">
        <v>1212</v>
      </c>
      <c r="AI609" s="238" t="s">
        <v>3103</v>
      </c>
      <c r="AJ609" s="238" t="s">
        <v>641</v>
      </c>
      <c r="AK609" s="238" t="s">
        <v>1167</v>
      </c>
      <c r="AL609" t="s">
        <v>8715</v>
      </c>
      <c r="AM609" t="s">
        <v>1167</v>
      </c>
    </row>
    <row r="610" spans="1:39" hidden="1" x14ac:dyDescent="0.25">
      <c r="A610">
        <v>606</v>
      </c>
      <c r="B610">
        <v>48</v>
      </c>
      <c r="C610" s="24">
        <v>44439</v>
      </c>
      <c r="D610" s="238" t="s">
        <v>27</v>
      </c>
      <c r="E610" s="238" t="s">
        <v>15</v>
      </c>
      <c r="F610">
        <v>7</v>
      </c>
      <c r="G610">
        <v>14</v>
      </c>
      <c r="H610">
        <v>614</v>
      </c>
      <c r="I610" s="238" t="s">
        <v>43</v>
      </c>
      <c r="J610">
        <v>59.93</v>
      </c>
      <c r="K610" s="238" t="s">
        <v>36</v>
      </c>
      <c r="L610">
        <v>3305379.22</v>
      </c>
      <c r="M610">
        <v>0</v>
      </c>
      <c r="N610">
        <v>3305379.22</v>
      </c>
      <c r="O610">
        <v>55154.000000000007</v>
      </c>
      <c r="P610">
        <v>0</v>
      </c>
      <c r="Q610">
        <v>3305379.22</v>
      </c>
      <c r="R610">
        <v>55154.000000000007</v>
      </c>
      <c r="S610" s="238" t="s">
        <v>137</v>
      </c>
      <c r="T610" s="238" t="s">
        <v>1167</v>
      </c>
      <c r="V610" t="s">
        <v>1167</v>
      </c>
      <c r="W610" s="24">
        <v>44438</v>
      </c>
      <c r="X610" s="238" t="s">
        <v>738</v>
      </c>
      <c r="Y610" s="238" t="s">
        <v>39</v>
      </c>
      <c r="Z610" s="238" t="s">
        <v>1340</v>
      </c>
      <c r="AA610" t="s">
        <v>1167</v>
      </c>
      <c r="AB610" s="238" t="s">
        <v>3246</v>
      </c>
      <c r="AC610" t="s">
        <v>3079</v>
      </c>
      <c r="AD610" s="24"/>
      <c r="AE610" s="238" t="s">
        <v>2331</v>
      </c>
      <c r="AF610">
        <v>79276936401</v>
      </c>
      <c r="AG610" s="238" t="s">
        <v>1167</v>
      </c>
      <c r="AH610" s="238" t="s">
        <v>146</v>
      </c>
      <c r="AI610" s="238" t="s">
        <v>135</v>
      </c>
      <c r="AJ610" s="238" t="s">
        <v>130</v>
      </c>
      <c r="AK610" s="238" t="s">
        <v>141</v>
      </c>
      <c r="AL610" t="s">
        <v>8715</v>
      </c>
      <c r="AM610" t="s">
        <v>1167</v>
      </c>
    </row>
    <row r="611" spans="1:39" hidden="1" x14ac:dyDescent="0.25">
      <c r="A611">
        <v>607</v>
      </c>
      <c r="B611">
        <v>1</v>
      </c>
      <c r="C611" s="24">
        <v>44441</v>
      </c>
      <c r="D611" s="238" t="s">
        <v>20</v>
      </c>
      <c r="E611" s="238" t="s">
        <v>6</v>
      </c>
      <c r="F611">
        <v>4</v>
      </c>
      <c r="G611">
        <v>4</v>
      </c>
      <c r="H611">
        <v>24</v>
      </c>
      <c r="I611" s="238" t="s">
        <v>44</v>
      </c>
      <c r="J611">
        <v>78.099999999999994</v>
      </c>
      <c r="K611" s="238" t="s">
        <v>36</v>
      </c>
      <c r="L611">
        <v>4555500</v>
      </c>
      <c r="M611">
        <v>15000</v>
      </c>
      <c r="N611">
        <v>4570500</v>
      </c>
      <c r="O611">
        <v>58521.126760563384</v>
      </c>
      <c r="P611">
        <v>39050</v>
      </c>
      <c r="Q611">
        <v>4531450</v>
      </c>
      <c r="R611">
        <v>58021.126760563384</v>
      </c>
      <c r="S611" s="238" t="s">
        <v>137</v>
      </c>
      <c r="T611" s="238" t="s">
        <v>1167</v>
      </c>
      <c r="V611" t="s">
        <v>1167</v>
      </c>
      <c r="W611" s="24">
        <v>44434</v>
      </c>
      <c r="X611" s="238" t="s">
        <v>741</v>
      </c>
      <c r="Y611" s="238" t="s">
        <v>39</v>
      </c>
      <c r="Z611" s="238" t="s">
        <v>1340</v>
      </c>
      <c r="AA611" t="s">
        <v>1167</v>
      </c>
      <c r="AB611" s="238" t="s">
        <v>3124</v>
      </c>
      <c r="AC611" t="s">
        <v>3079</v>
      </c>
      <c r="AD611" s="24"/>
      <c r="AE611" s="238" t="s">
        <v>2332</v>
      </c>
      <c r="AF611">
        <v>79171070492</v>
      </c>
      <c r="AG611" s="238" t="s">
        <v>2333</v>
      </c>
      <c r="AH611" s="238" t="s">
        <v>1212</v>
      </c>
      <c r="AI611" s="238" t="s">
        <v>3074</v>
      </c>
      <c r="AJ611" s="238" t="s">
        <v>689</v>
      </c>
      <c r="AK611" s="238" t="s">
        <v>141</v>
      </c>
      <c r="AL611" t="s">
        <v>8715</v>
      </c>
      <c r="AM611" t="s">
        <v>1167</v>
      </c>
    </row>
    <row r="612" spans="1:39" hidden="1" x14ac:dyDescent="0.25">
      <c r="A612">
        <v>608</v>
      </c>
      <c r="B612">
        <v>2</v>
      </c>
      <c r="C612" s="24">
        <v>44441</v>
      </c>
      <c r="D612" s="238" t="s">
        <v>19</v>
      </c>
      <c r="E612" s="238" t="s">
        <v>5</v>
      </c>
      <c r="F612">
        <v>11</v>
      </c>
      <c r="G612">
        <v>4</v>
      </c>
      <c r="H612">
        <v>194</v>
      </c>
      <c r="I612" s="238" t="s">
        <v>4052</v>
      </c>
      <c r="J612">
        <v>25.85</v>
      </c>
      <c r="K612" s="238" t="s">
        <v>38</v>
      </c>
      <c r="L612">
        <v>2230084.67</v>
      </c>
      <c r="M612">
        <v>0</v>
      </c>
      <c r="N612">
        <v>2230084.67</v>
      </c>
      <c r="O612">
        <v>86270.2</v>
      </c>
      <c r="P612">
        <v>413600</v>
      </c>
      <c r="Q612">
        <v>1816484.67</v>
      </c>
      <c r="R612">
        <v>70270.2</v>
      </c>
      <c r="S612" s="238" t="s">
        <v>137</v>
      </c>
      <c r="T612" s="238" t="s">
        <v>1167</v>
      </c>
      <c r="V612" t="s">
        <v>1167</v>
      </c>
      <c r="W612" s="24">
        <v>44435</v>
      </c>
      <c r="X612" s="238" t="s">
        <v>740</v>
      </c>
      <c r="Y612" s="238" t="s">
        <v>39</v>
      </c>
      <c r="Z612" s="238" t="s">
        <v>1168</v>
      </c>
      <c r="AA612" t="s">
        <v>1167</v>
      </c>
      <c r="AB612" s="238" t="s">
        <v>3246</v>
      </c>
      <c r="AC612" t="s">
        <v>3077</v>
      </c>
      <c r="AD612" s="24"/>
      <c r="AE612" s="238" t="s">
        <v>2334</v>
      </c>
      <c r="AF612">
        <v>79277076097</v>
      </c>
      <c r="AG612" s="238" t="s">
        <v>2335</v>
      </c>
      <c r="AH612" s="238" t="s">
        <v>1212</v>
      </c>
      <c r="AI612" s="238" t="s">
        <v>135</v>
      </c>
      <c r="AJ612" s="238" t="s">
        <v>689</v>
      </c>
      <c r="AK612" s="238" t="s">
        <v>141</v>
      </c>
      <c r="AL612" t="s">
        <v>8715</v>
      </c>
      <c r="AM612" t="s">
        <v>1167</v>
      </c>
    </row>
    <row r="613" spans="1:39" hidden="1" x14ac:dyDescent="0.25">
      <c r="A613">
        <v>609</v>
      </c>
      <c r="B613">
        <v>3</v>
      </c>
      <c r="C613" s="24">
        <v>44441</v>
      </c>
      <c r="D613" s="238" t="s">
        <v>19</v>
      </c>
      <c r="E613" s="238" t="s">
        <v>5</v>
      </c>
      <c r="F613">
        <v>7</v>
      </c>
      <c r="G613">
        <v>8</v>
      </c>
      <c r="H613">
        <v>234</v>
      </c>
      <c r="I613" s="238" t="s">
        <v>4052</v>
      </c>
      <c r="J613">
        <v>24.23</v>
      </c>
      <c r="K613" s="238" t="s">
        <v>37</v>
      </c>
      <c r="L613">
        <v>1888301.08</v>
      </c>
      <c r="M613">
        <v>0</v>
      </c>
      <c r="N613">
        <v>1888301.08</v>
      </c>
      <c r="O613">
        <v>77932.359884440782</v>
      </c>
      <c r="P613">
        <v>133265</v>
      </c>
      <c r="Q613">
        <v>1755036.08</v>
      </c>
      <c r="R613">
        <v>72432.359884440782</v>
      </c>
      <c r="S613" s="238" t="s">
        <v>137</v>
      </c>
      <c r="T613" s="238" t="s">
        <v>1167</v>
      </c>
      <c r="V613" t="s">
        <v>1167</v>
      </c>
      <c r="W613" s="24">
        <v>44437</v>
      </c>
      <c r="X613" s="238" t="s">
        <v>742</v>
      </c>
      <c r="Y613" s="238" t="s">
        <v>39</v>
      </c>
      <c r="Z613" s="238" t="s">
        <v>1168</v>
      </c>
      <c r="AA613" t="s">
        <v>1167</v>
      </c>
      <c r="AB613" s="238" t="s">
        <v>3246</v>
      </c>
      <c r="AC613" t="s">
        <v>3079</v>
      </c>
      <c r="AD613" s="24"/>
      <c r="AE613" s="238" t="s">
        <v>2336</v>
      </c>
      <c r="AF613">
        <v>79879841519</v>
      </c>
      <c r="AG613" s="238" t="s">
        <v>2337</v>
      </c>
      <c r="AH613" s="238" t="s">
        <v>1212</v>
      </c>
      <c r="AI613" s="238" t="s">
        <v>135</v>
      </c>
      <c r="AJ613" s="238" t="s">
        <v>641</v>
      </c>
      <c r="AK613" s="238" t="s">
        <v>141</v>
      </c>
      <c r="AL613" t="s">
        <v>8715</v>
      </c>
      <c r="AM613" t="s">
        <v>1167</v>
      </c>
    </row>
    <row r="614" spans="1:39" hidden="1" x14ac:dyDescent="0.25">
      <c r="A614">
        <v>610</v>
      </c>
      <c r="B614">
        <v>4</v>
      </c>
      <c r="C614" s="24">
        <v>44442</v>
      </c>
      <c r="D614" s="238" t="s">
        <v>27</v>
      </c>
      <c r="E614" s="238" t="s">
        <v>5</v>
      </c>
      <c r="F614">
        <v>3</v>
      </c>
      <c r="G614">
        <v>2</v>
      </c>
      <c r="H614">
        <v>210</v>
      </c>
      <c r="I614" s="238" t="s">
        <v>4052</v>
      </c>
      <c r="J614">
        <v>23.54</v>
      </c>
      <c r="K614" s="238" t="s">
        <v>36</v>
      </c>
      <c r="L614">
        <v>1409170</v>
      </c>
      <c r="M614">
        <v>15000</v>
      </c>
      <c r="N614">
        <v>1424170</v>
      </c>
      <c r="O614">
        <v>60500</v>
      </c>
      <c r="P614">
        <v>0</v>
      </c>
      <c r="Q614">
        <v>1424170</v>
      </c>
      <c r="R614">
        <v>60500</v>
      </c>
      <c r="S614" s="238" t="s">
        <v>124</v>
      </c>
      <c r="T614" s="238" t="s">
        <v>1167</v>
      </c>
      <c r="V614" t="s">
        <v>1167</v>
      </c>
      <c r="W614" s="24">
        <v>44417</v>
      </c>
      <c r="X614" s="238" t="s">
        <v>744</v>
      </c>
      <c r="Y614" s="238" t="s">
        <v>39</v>
      </c>
      <c r="Z614" s="238" t="s">
        <v>1168</v>
      </c>
      <c r="AA614" t="s">
        <v>1167</v>
      </c>
      <c r="AB614" s="238" t="s">
        <v>3246</v>
      </c>
      <c r="AC614" t="s">
        <v>4246</v>
      </c>
      <c r="AD614" s="24">
        <v>45034</v>
      </c>
      <c r="AE614" s="238" t="s">
        <v>4511</v>
      </c>
      <c r="AF614">
        <v>79967240138</v>
      </c>
      <c r="AG614" s="238" t="s">
        <v>4512</v>
      </c>
      <c r="AH614" s="238" t="s">
        <v>1212</v>
      </c>
      <c r="AI614" s="238" t="s">
        <v>3103</v>
      </c>
      <c r="AJ614" s="238" t="s">
        <v>126</v>
      </c>
      <c r="AK614" s="238" t="s">
        <v>1167</v>
      </c>
      <c r="AL614" t="s">
        <v>8715</v>
      </c>
      <c r="AM614" t="s">
        <v>1167</v>
      </c>
    </row>
    <row r="615" spans="1:39" hidden="1" x14ac:dyDescent="0.25">
      <c r="A615">
        <v>611</v>
      </c>
      <c r="B615">
        <v>5</v>
      </c>
      <c r="C615" s="24">
        <v>44442</v>
      </c>
      <c r="D615" s="238" t="s">
        <v>27</v>
      </c>
      <c r="E615" s="238" t="s">
        <v>5</v>
      </c>
      <c r="F615">
        <v>3</v>
      </c>
      <c r="G615">
        <v>10</v>
      </c>
      <c r="H615">
        <v>274</v>
      </c>
      <c r="I615" s="238" t="s">
        <v>4052</v>
      </c>
      <c r="J615">
        <v>23.54</v>
      </c>
      <c r="K615" s="238" t="s">
        <v>36</v>
      </c>
      <c r="L615">
        <v>1424170</v>
      </c>
      <c r="M615">
        <v>0</v>
      </c>
      <c r="N615">
        <v>1424170</v>
      </c>
      <c r="O615">
        <v>60500</v>
      </c>
      <c r="P615">
        <v>0</v>
      </c>
      <c r="Q615">
        <v>1424170</v>
      </c>
      <c r="R615">
        <v>60500</v>
      </c>
      <c r="S615" s="238" t="s">
        <v>124</v>
      </c>
      <c r="T615" s="238" t="s">
        <v>1167</v>
      </c>
      <c r="V615" t="s">
        <v>1167</v>
      </c>
      <c r="W615" s="24">
        <v>44439</v>
      </c>
      <c r="X615" s="238" t="s">
        <v>743</v>
      </c>
      <c r="Y615" s="238" t="s">
        <v>39</v>
      </c>
      <c r="Z615" s="238" t="s">
        <v>1168</v>
      </c>
      <c r="AA615" t="s">
        <v>1167</v>
      </c>
      <c r="AB615" s="238" t="s">
        <v>3246</v>
      </c>
      <c r="AC615" t="s">
        <v>4246</v>
      </c>
      <c r="AD615" s="24"/>
      <c r="AE615" s="238" t="s">
        <v>2338</v>
      </c>
      <c r="AF615">
        <v>79228873383</v>
      </c>
      <c r="AG615" s="238" t="s">
        <v>2339</v>
      </c>
      <c r="AH615" s="238" t="s">
        <v>135</v>
      </c>
      <c r="AI615" s="238" t="s">
        <v>3099</v>
      </c>
      <c r="AJ615" s="238" t="s">
        <v>130</v>
      </c>
      <c r="AK615" s="238" t="s">
        <v>1167</v>
      </c>
      <c r="AL615" t="s">
        <v>8715</v>
      </c>
      <c r="AM615" t="s">
        <v>1167</v>
      </c>
    </row>
    <row r="616" spans="1:39" hidden="1" x14ac:dyDescent="0.25">
      <c r="A616">
        <v>612</v>
      </c>
      <c r="B616">
        <v>6</v>
      </c>
      <c r="C616" s="24">
        <v>44445</v>
      </c>
      <c r="D616" s="238" t="s">
        <v>19</v>
      </c>
      <c r="E616" s="238" t="s">
        <v>5</v>
      </c>
      <c r="F616">
        <v>3</v>
      </c>
      <c r="G616">
        <v>6</v>
      </c>
      <c r="H616">
        <v>208</v>
      </c>
      <c r="I616" s="238" t="s">
        <v>44</v>
      </c>
      <c r="J616">
        <v>86.58</v>
      </c>
      <c r="K616" s="238" t="s">
        <v>38</v>
      </c>
      <c r="L616">
        <v>5857509.29</v>
      </c>
      <c r="M616">
        <v>0</v>
      </c>
      <c r="N616">
        <v>5857509.29</v>
      </c>
      <c r="O616">
        <v>67654.299953799957</v>
      </c>
      <c r="P616">
        <v>1385280</v>
      </c>
      <c r="Q616">
        <v>4472229.29</v>
      </c>
      <c r="R616">
        <v>51654.299953799957</v>
      </c>
      <c r="S616" s="238" t="s">
        <v>137</v>
      </c>
      <c r="T616" s="238" t="s">
        <v>1167</v>
      </c>
      <c r="V616" t="s">
        <v>1167</v>
      </c>
      <c r="W616" s="24">
        <v>44394</v>
      </c>
      <c r="X616" s="238" t="s">
        <v>745</v>
      </c>
      <c r="Y616" s="238" t="s">
        <v>39</v>
      </c>
      <c r="Z616" s="238" t="s">
        <v>1168</v>
      </c>
      <c r="AA616" t="s">
        <v>1167</v>
      </c>
      <c r="AB616" s="238" t="s">
        <v>3246</v>
      </c>
      <c r="AC616" t="s">
        <v>3076</v>
      </c>
      <c r="AD616" s="24"/>
      <c r="AE616" s="238" t="s">
        <v>2340</v>
      </c>
      <c r="AF616">
        <v>79991718013</v>
      </c>
      <c r="AG616" s="238" t="s">
        <v>2341</v>
      </c>
      <c r="AH616" s="238" t="s">
        <v>135</v>
      </c>
      <c r="AI616" s="238" t="s">
        <v>3075</v>
      </c>
      <c r="AJ616" s="238" t="s">
        <v>120</v>
      </c>
      <c r="AK616" s="238" t="s">
        <v>141</v>
      </c>
      <c r="AL616" t="s">
        <v>8715</v>
      </c>
      <c r="AM616" t="s">
        <v>1167</v>
      </c>
    </row>
    <row r="617" spans="1:39" hidden="1" x14ac:dyDescent="0.25">
      <c r="A617">
        <v>613</v>
      </c>
      <c r="B617">
        <v>7</v>
      </c>
      <c r="C617" s="24">
        <v>44445</v>
      </c>
      <c r="D617" s="238" t="s">
        <v>27</v>
      </c>
      <c r="E617" s="238" t="s">
        <v>15</v>
      </c>
      <c r="F617">
        <v>4</v>
      </c>
      <c r="G617">
        <v>8</v>
      </c>
      <c r="H617">
        <v>563</v>
      </c>
      <c r="I617" s="238" t="s">
        <v>42</v>
      </c>
      <c r="J617">
        <v>40</v>
      </c>
      <c r="K617" s="238" t="s">
        <v>37</v>
      </c>
      <c r="L617">
        <v>2244000</v>
      </c>
      <c r="M617">
        <v>0</v>
      </c>
      <c r="N617">
        <v>2244000</v>
      </c>
      <c r="O617">
        <v>56100</v>
      </c>
      <c r="P617">
        <v>220000</v>
      </c>
      <c r="Q617">
        <v>2024000</v>
      </c>
      <c r="R617">
        <v>50600</v>
      </c>
      <c r="S617" s="238" t="s">
        <v>137</v>
      </c>
      <c r="T617" s="238" t="s">
        <v>1167</v>
      </c>
      <c r="V617" t="s">
        <v>1167</v>
      </c>
      <c r="W617" s="24">
        <v>44399</v>
      </c>
      <c r="X617" s="238" t="s">
        <v>746</v>
      </c>
      <c r="Y617" s="238" t="s">
        <v>39</v>
      </c>
      <c r="Z617" s="238" t="s">
        <v>1168</v>
      </c>
      <c r="AA617" t="s">
        <v>1167</v>
      </c>
      <c r="AB617" s="238" t="s">
        <v>3246</v>
      </c>
      <c r="AC617" t="s">
        <v>3079</v>
      </c>
      <c r="AD617" s="24"/>
      <c r="AE617" s="238" t="s">
        <v>2342</v>
      </c>
      <c r="AF617">
        <v>79277758838</v>
      </c>
      <c r="AG617" s="238" t="s">
        <v>2343</v>
      </c>
      <c r="AH617" s="238" t="s">
        <v>1212</v>
      </c>
      <c r="AI617" s="238" t="s">
        <v>3106</v>
      </c>
      <c r="AJ617" s="238" t="s">
        <v>130</v>
      </c>
      <c r="AK617" s="238" t="s">
        <v>141</v>
      </c>
      <c r="AL617" t="s">
        <v>8715</v>
      </c>
      <c r="AM617" t="s">
        <v>1167</v>
      </c>
    </row>
    <row r="618" spans="1:39" hidden="1" x14ac:dyDescent="0.25">
      <c r="A618">
        <v>614</v>
      </c>
      <c r="B618">
        <v>8</v>
      </c>
      <c r="C618" s="24">
        <v>44445</v>
      </c>
      <c r="D618" s="238" t="s">
        <v>27</v>
      </c>
      <c r="E618" s="238" t="s">
        <v>5</v>
      </c>
      <c r="F618">
        <v>4</v>
      </c>
      <c r="G618">
        <v>9</v>
      </c>
      <c r="H618">
        <v>267</v>
      </c>
      <c r="I618" s="238" t="s">
        <v>42</v>
      </c>
      <c r="J618">
        <v>40</v>
      </c>
      <c r="K618" s="238" t="s">
        <v>36</v>
      </c>
      <c r="L618">
        <v>2252800</v>
      </c>
      <c r="M618">
        <v>0</v>
      </c>
      <c r="N618">
        <v>2252800</v>
      </c>
      <c r="O618">
        <v>56320</v>
      </c>
      <c r="P618">
        <v>0</v>
      </c>
      <c r="Q618">
        <v>2252800</v>
      </c>
      <c r="R618">
        <v>56320</v>
      </c>
      <c r="S618" s="238" t="s">
        <v>121</v>
      </c>
      <c r="T618" s="238" t="s">
        <v>1167</v>
      </c>
      <c r="V618" t="s">
        <v>1167</v>
      </c>
      <c r="W618" s="24">
        <v>44404</v>
      </c>
      <c r="X618" s="238" t="s">
        <v>747</v>
      </c>
      <c r="Y618" s="238" t="s">
        <v>39</v>
      </c>
      <c r="Z618" s="238" t="s">
        <v>1168</v>
      </c>
      <c r="AA618" t="s">
        <v>1167</v>
      </c>
      <c r="AB618" s="238" t="s">
        <v>3246</v>
      </c>
      <c r="AC618" t="s">
        <v>4246</v>
      </c>
      <c r="AD618" s="24"/>
      <c r="AE618" s="238" t="s">
        <v>2344</v>
      </c>
      <c r="AF618">
        <v>79825930300</v>
      </c>
      <c r="AG618" s="238" t="s">
        <v>2345</v>
      </c>
      <c r="AH618" s="238" t="s">
        <v>146</v>
      </c>
      <c r="AI618" s="238" t="s">
        <v>135</v>
      </c>
      <c r="AJ618" s="238" t="s">
        <v>126</v>
      </c>
      <c r="AK618" s="238" t="s">
        <v>1167</v>
      </c>
      <c r="AL618" t="s">
        <v>8715</v>
      </c>
      <c r="AM618" t="s">
        <v>1167</v>
      </c>
    </row>
    <row r="619" spans="1:39" hidden="1" x14ac:dyDescent="0.25">
      <c r="A619">
        <v>615</v>
      </c>
      <c r="B619">
        <v>9</v>
      </c>
      <c r="C619" s="24">
        <v>44447</v>
      </c>
      <c r="D619" s="238" t="s">
        <v>19</v>
      </c>
      <c r="E619" s="238" t="s">
        <v>5</v>
      </c>
      <c r="F619">
        <v>2</v>
      </c>
      <c r="G619">
        <v>7</v>
      </c>
      <c r="H619">
        <v>218</v>
      </c>
      <c r="I619" s="238" t="s">
        <v>42</v>
      </c>
      <c r="J619">
        <v>38.22</v>
      </c>
      <c r="K619" s="238" t="s">
        <v>37</v>
      </c>
      <c r="L619">
        <v>1671990</v>
      </c>
      <c r="M619">
        <v>0</v>
      </c>
      <c r="N619">
        <v>1671990</v>
      </c>
      <c r="O619">
        <v>43746.467817896388</v>
      </c>
      <c r="P619">
        <v>171990</v>
      </c>
      <c r="Q619">
        <v>1500000</v>
      </c>
      <c r="R619">
        <v>39246.467817896388</v>
      </c>
      <c r="S619" s="238" t="s">
        <v>124</v>
      </c>
      <c r="T619" s="238" t="s">
        <v>350</v>
      </c>
      <c r="U619">
        <v>299130.06</v>
      </c>
      <c r="V619" t="s">
        <v>1167</v>
      </c>
      <c r="W619" s="24">
        <v>44440</v>
      </c>
      <c r="X619" s="238" t="s">
        <v>748</v>
      </c>
      <c r="Y619" s="238" t="s">
        <v>39</v>
      </c>
      <c r="Z619" s="238" t="s">
        <v>1168</v>
      </c>
      <c r="AA619" t="s">
        <v>1167</v>
      </c>
      <c r="AB619" s="238" t="s">
        <v>3246</v>
      </c>
      <c r="AC619" t="s">
        <v>4246</v>
      </c>
      <c r="AD619" s="24"/>
      <c r="AE619" s="238" t="s">
        <v>2346</v>
      </c>
      <c r="AF619">
        <v>79036761648</v>
      </c>
      <c r="AG619" s="238" t="s">
        <v>2347</v>
      </c>
      <c r="AH619" s="238" t="s">
        <v>1171</v>
      </c>
      <c r="AI619" s="238" t="s">
        <v>3094</v>
      </c>
      <c r="AJ619" s="238" t="s">
        <v>126</v>
      </c>
      <c r="AK619" s="238" t="s">
        <v>1167</v>
      </c>
      <c r="AL619" t="s">
        <v>8715</v>
      </c>
      <c r="AM619" t="s">
        <v>1167</v>
      </c>
    </row>
    <row r="620" spans="1:39" hidden="1" x14ac:dyDescent="0.25">
      <c r="A620">
        <v>616</v>
      </c>
      <c r="B620">
        <v>10</v>
      </c>
      <c r="C620" s="24">
        <v>44448</v>
      </c>
      <c r="D620" s="238" t="s">
        <v>27</v>
      </c>
      <c r="E620" s="238" t="s">
        <v>15</v>
      </c>
      <c r="F620">
        <v>5</v>
      </c>
      <c r="G620">
        <v>4</v>
      </c>
      <c r="H620">
        <v>532</v>
      </c>
      <c r="I620" s="238" t="s">
        <v>4052</v>
      </c>
      <c r="J620">
        <v>23.63</v>
      </c>
      <c r="K620" s="238" t="s">
        <v>36</v>
      </c>
      <c r="L620">
        <v>1429615</v>
      </c>
      <c r="M620">
        <v>0</v>
      </c>
      <c r="N620">
        <v>1429615</v>
      </c>
      <c r="O620">
        <v>60500</v>
      </c>
      <c r="P620">
        <v>0</v>
      </c>
      <c r="Q620">
        <v>1429615</v>
      </c>
      <c r="R620">
        <v>60500</v>
      </c>
      <c r="S620" s="238" t="s">
        <v>121</v>
      </c>
      <c r="T620" s="238" t="s">
        <v>1167</v>
      </c>
      <c r="V620" t="s">
        <v>1167</v>
      </c>
      <c r="W620" s="24">
        <v>44440</v>
      </c>
      <c r="X620" s="238" t="s">
        <v>756</v>
      </c>
      <c r="Y620" s="238" t="s">
        <v>39</v>
      </c>
      <c r="Z620" s="238" t="s">
        <v>1168</v>
      </c>
      <c r="AA620" t="s">
        <v>1167</v>
      </c>
      <c r="AB620" s="238" t="s">
        <v>3246</v>
      </c>
      <c r="AC620" t="s">
        <v>4246</v>
      </c>
      <c r="AD620" s="24"/>
      <c r="AE620" s="238" t="s">
        <v>2348</v>
      </c>
      <c r="AF620">
        <v>79371755051</v>
      </c>
      <c r="AG620" s="238" t="s">
        <v>2349</v>
      </c>
      <c r="AH620" s="238" t="s">
        <v>1197</v>
      </c>
      <c r="AI620" s="238" t="s">
        <v>3074</v>
      </c>
      <c r="AJ620" s="238" t="s">
        <v>399</v>
      </c>
      <c r="AK620" s="238" t="s">
        <v>1167</v>
      </c>
      <c r="AL620" t="s">
        <v>8715</v>
      </c>
      <c r="AM620" t="s">
        <v>1167</v>
      </c>
    </row>
    <row r="621" spans="1:39" hidden="1" x14ac:dyDescent="0.25">
      <c r="A621">
        <v>617</v>
      </c>
      <c r="B621">
        <v>11</v>
      </c>
      <c r="C621" s="24">
        <v>44448</v>
      </c>
      <c r="D621" s="238" t="s">
        <v>27</v>
      </c>
      <c r="E621" s="238" t="s">
        <v>16</v>
      </c>
      <c r="F621">
        <v>3</v>
      </c>
      <c r="G621">
        <v>6</v>
      </c>
      <c r="H621">
        <v>426</v>
      </c>
      <c r="I621" s="238" t="s">
        <v>4052</v>
      </c>
      <c r="J621">
        <v>23.54</v>
      </c>
      <c r="K621" s="238" t="s">
        <v>36</v>
      </c>
      <c r="L621">
        <v>1424170</v>
      </c>
      <c r="M621">
        <v>0</v>
      </c>
      <c r="N621">
        <v>1424170</v>
      </c>
      <c r="O621">
        <v>60500</v>
      </c>
      <c r="P621">
        <v>0</v>
      </c>
      <c r="Q621">
        <v>1424170</v>
      </c>
      <c r="R621">
        <v>60500</v>
      </c>
      <c r="S621" s="238" t="s">
        <v>124</v>
      </c>
      <c r="T621" s="238" t="s">
        <v>1167</v>
      </c>
      <c r="V621" t="s">
        <v>1167</v>
      </c>
      <c r="W621" s="24">
        <v>44440</v>
      </c>
      <c r="X621" s="238" t="s">
        <v>757</v>
      </c>
      <c r="Y621" s="238" t="s">
        <v>39</v>
      </c>
      <c r="Z621" s="238" t="s">
        <v>1168</v>
      </c>
      <c r="AA621" t="s">
        <v>1167</v>
      </c>
      <c r="AB621" s="238" t="s">
        <v>3246</v>
      </c>
      <c r="AC621" t="s">
        <v>4246</v>
      </c>
      <c r="AD621" s="24"/>
      <c r="AE621" s="238" t="s">
        <v>2348</v>
      </c>
      <c r="AF621">
        <v>79371755051</v>
      </c>
      <c r="AG621" s="238" t="s">
        <v>2349</v>
      </c>
      <c r="AH621" s="238" t="s">
        <v>1171</v>
      </c>
      <c r="AI621" s="238" t="s">
        <v>3074</v>
      </c>
      <c r="AJ621" s="238" t="s">
        <v>399</v>
      </c>
      <c r="AK621" s="238" t="s">
        <v>1167</v>
      </c>
      <c r="AL621" t="s">
        <v>8715</v>
      </c>
      <c r="AM621" t="s">
        <v>1167</v>
      </c>
    </row>
    <row r="622" spans="1:39" hidden="1" x14ac:dyDescent="0.25">
      <c r="A622">
        <v>618</v>
      </c>
      <c r="B622">
        <v>12</v>
      </c>
      <c r="C622" s="24">
        <v>44448</v>
      </c>
      <c r="D622" s="238" t="s">
        <v>27</v>
      </c>
      <c r="E622" s="238" t="s">
        <v>5</v>
      </c>
      <c r="F622">
        <v>7</v>
      </c>
      <c r="G622">
        <v>16</v>
      </c>
      <c r="H622">
        <v>326</v>
      </c>
      <c r="I622" s="238" t="s">
        <v>43</v>
      </c>
      <c r="J622">
        <v>59.93</v>
      </c>
      <c r="K622" s="238" t="s">
        <v>37</v>
      </c>
      <c r="L622">
        <v>3619994.22</v>
      </c>
      <c r="M622">
        <v>15000</v>
      </c>
      <c r="N622">
        <v>3634994.22</v>
      </c>
      <c r="O622">
        <v>60654.000000000007</v>
      </c>
      <c r="P622">
        <v>329615</v>
      </c>
      <c r="Q622">
        <v>3305379.22</v>
      </c>
      <c r="R622">
        <v>55154.000000000007</v>
      </c>
      <c r="S622" s="238" t="s">
        <v>137</v>
      </c>
      <c r="T622" s="238" t="s">
        <v>1167</v>
      </c>
      <c r="V622" t="s">
        <v>4091</v>
      </c>
      <c r="W622" s="24">
        <v>44440</v>
      </c>
      <c r="X622" s="238" t="s">
        <v>754</v>
      </c>
      <c r="Y622" s="238" t="s">
        <v>39</v>
      </c>
      <c r="Z622" s="238" t="s">
        <v>1340</v>
      </c>
      <c r="AA622" t="s">
        <v>1167</v>
      </c>
      <c r="AB622" s="238" t="s">
        <v>3246</v>
      </c>
      <c r="AC622" t="s">
        <v>3079</v>
      </c>
      <c r="AD622" s="24"/>
      <c r="AE622" s="238" t="s">
        <v>2350</v>
      </c>
      <c r="AF622">
        <v>79277940553</v>
      </c>
      <c r="AG622" s="238" t="s">
        <v>2351</v>
      </c>
      <c r="AH622" s="238" t="s">
        <v>135</v>
      </c>
      <c r="AI622" s="238" t="s">
        <v>3099</v>
      </c>
      <c r="AJ622" s="238" t="s">
        <v>126</v>
      </c>
      <c r="AK622" s="238" t="s">
        <v>141</v>
      </c>
      <c r="AL622" t="s">
        <v>8715</v>
      </c>
      <c r="AM622" t="s">
        <v>1167</v>
      </c>
    </row>
    <row r="623" spans="1:39" hidden="1" x14ac:dyDescent="0.25">
      <c r="A623">
        <v>619</v>
      </c>
      <c r="B623">
        <v>13</v>
      </c>
      <c r="C623" s="24">
        <v>44448</v>
      </c>
      <c r="D623" s="238" t="s">
        <v>27</v>
      </c>
      <c r="E623" s="238" t="s">
        <v>5</v>
      </c>
      <c r="F623">
        <v>2</v>
      </c>
      <c r="G623">
        <v>12</v>
      </c>
      <c r="H623">
        <v>289</v>
      </c>
      <c r="I623" s="238" t="s">
        <v>42</v>
      </c>
      <c r="J623">
        <v>37.159999999999997</v>
      </c>
      <c r="K623" s="238" t="s">
        <v>36</v>
      </c>
      <c r="L623">
        <v>2197493.7599999998</v>
      </c>
      <c r="M623">
        <v>0</v>
      </c>
      <c r="N623">
        <v>2197493.7599999998</v>
      </c>
      <c r="O623">
        <v>59136</v>
      </c>
      <c r="P623">
        <v>0</v>
      </c>
      <c r="Q623">
        <v>2197493.7599999998</v>
      </c>
      <c r="R623">
        <v>59136</v>
      </c>
      <c r="S623" s="238" t="s">
        <v>137</v>
      </c>
      <c r="T623" s="238" t="s">
        <v>1167</v>
      </c>
      <c r="V623" t="s">
        <v>1167</v>
      </c>
      <c r="W623" s="24">
        <v>44440</v>
      </c>
      <c r="X623" s="238" t="s">
        <v>752</v>
      </c>
      <c r="Y623" s="238" t="s">
        <v>39</v>
      </c>
      <c r="Z623" s="238" t="s">
        <v>1340</v>
      </c>
      <c r="AA623" t="s">
        <v>1167</v>
      </c>
      <c r="AB623" s="238" t="s">
        <v>3246</v>
      </c>
      <c r="AC623" t="s">
        <v>3079</v>
      </c>
      <c r="AD623" s="24"/>
      <c r="AE623" s="238" t="s">
        <v>2352</v>
      </c>
      <c r="AF623">
        <v>79276565788</v>
      </c>
      <c r="AG623" s="238" t="s">
        <v>2353</v>
      </c>
      <c r="AH623" s="238" t="s">
        <v>1171</v>
      </c>
      <c r="AI623" s="238" t="s">
        <v>135</v>
      </c>
      <c r="AJ623" s="238" t="s">
        <v>641</v>
      </c>
      <c r="AK623" s="238" t="s">
        <v>141</v>
      </c>
      <c r="AL623" t="s">
        <v>8715</v>
      </c>
      <c r="AM623" t="s">
        <v>1167</v>
      </c>
    </row>
    <row r="624" spans="1:39" hidden="1" x14ac:dyDescent="0.25">
      <c r="A624">
        <v>620</v>
      </c>
      <c r="B624">
        <v>14</v>
      </c>
      <c r="C624" s="24">
        <v>44448</v>
      </c>
      <c r="D624" s="238" t="s">
        <v>19</v>
      </c>
      <c r="E624" s="238" t="s">
        <v>6</v>
      </c>
      <c r="F624">
        <v>6</v>
      </c>
      <c r="G624">
        <v>5</v>
      </c>
      <c r="H624">
        <v>27</v>
      </c>
      <c r="I624" s="238" t="s">
        <v>43</v>
      </c>
      <c r="J624">
        <v>59.96</v>
      </c>
      <c r="K624" s="238" t="s">
        <v>37</v>
      </c>
      <c r="L624">
        <v>4187558.43</v>
      </c>
      <c r="M624">
        <v>0</v>
      </c>
      <c r="N624">
        <v>4187558.43</v>
      </c>
      <c r="O624">
        <v>69839.199966644432</v>
      </c>
      <c r="P624">
        <v>329780</v>
      </c>
      <c r="Q624">
        <v>3857778.43</v>
      </c>
      <c r="R624">
        <v>64339.199966644432</v>
      </c>
      <c r="S624" s="238" t="s">
        <v>137</v>
      </c>
      <c r="T624" s="238" t="s">
        <v>1167</v>
      </c>
      <c r="V624" t="s">
        <v>4091</v>
      </c>
      <c r="W624" s="24">
        <v>44441</v>
      </c>
      <c r="X624" s="238" t="s">
        <v>749</v>
      </c>
      <c r="Y624" s="238" t="s">
        <v>39</v>
      </c>
      <c r="Z624" s="238" t="s">
        <v>1340</v>
      </c>
      <c r="AA624" t="s">
        <v>1167</v>
      </c>
      <c r="AB624" s="238" t="s">
        <v>3246</v>
      </c>
      <c r="AC624" t="s">
        <v>3079</v>
      </c>
      <c r="AD624" s="24"/>
      <c r="AE624" s="238" t="s">
        <v>2354</v>
      </c>
      <c r="AF624">
        <v>79061265615</v>
      </c>
      <c r="AG624" s="238" t="s">
        <v>2355</v>
      </c>
      <c r="AH624" s="238" t="s">
        <v>1212</v>
      </c>
      <c r="AI624" s="238" t="s">
        <v>135</v>
      </c>
      <c r="AJ624" s="238" t="s">
        <v>130</v>
      </c>
      <c r="AK624" s="238" t="s">
        <v>141</v>
      </c>
      <c r="AL624" t="s">
        <v>8715</v>
      </c>
      <c r="AM624" t="s">
        <v>1167</v>
      </c>
    </row>
    <row r="625" spans="1:39" hidden="1" x14ac:dyDescent="0.25">
      <c r="A625">
        <v>621</v>
      </c>
      <c r="B625">
        <v>15</v>
      </c>
      <c r="C625" s="24">
        <v>44448</v>
      </c>
      <c r="D625" s="238" t="s">
        <v>27</v>
      </c>
      <c r="E625" s="238" t="s">
        <v>15</v>
      </c>
      <c r="F625">
        <v>8</v>
      </c>
      <c r="G625">
        <v>9</v>
      </c>
      <c r="H625">
        <v>575</v>
      </c>
      <c r="I625" s="238" t="s">
        <v>43</v>
      </c>
      <c r="J625">
        <v>55.8</v>
      </c>
      <c r="K625" s="238" t="s">
        <v>36</v>
      </c>
      <c r="L625">
        <v>3087325.61</v>
      </c>
      <c r="M625">
        <v>0</v>
      </c>
      <c r="N625">
        <v>3087325.61</v>
      </c>
      <c r="O625">
        <v>55328.415949820788</v>
      </c>
      <c r="P625">
        <v>0</v>
      </c>
      <c r="Q625">
        <v>3087325.61</v>
      </c>
      <c r="R625">
        <v>55328.415949820788</v>
      </c>
      <c r="S625" s="238" t="s">
        <v>137</v>
      </c>
      <c r="T625" s="238" t="s">
        <v>1167</v>
      </c>
      <c r="V625" t="s">
        <v>4091</v>
      </c>
      <c r="W625" s="24">
        <v>44442</v>
      </c>
      <c r="X625" s="238" t="s">
        <v>753</v>
      </c>
      <c r="Y625" s="238" t="s">
        <v>39</v>
      </c>
      <c r="Z625" s="238" t="s">
        <v>1340</v>
      </c>
      <c r="AA625" t="s">
        <v>1167</v>
      </c>
      <c r="AB625" s="238" t="s">
        <v>3246</v>
      </c>
      <c r="AC625" t="s">
        <v>3079</v>
      </c>
      <c r="AD625" s="24"/>
      <c r="AE625" s="238" t="s">
        <v>2356</v>
      </c>
      <c r="AF625">
        <v>79277240301</v>
      </c>
      <c r="AG625" s="238" t="s">
        <v>2357</v>
      </c>
      <c r="AH625" s="238" t="s">
        <v>1171</v>
      </c>
      <c r="AI625" s="238" t="s">
        <v>3085</v>
      </c>
      <c r="AJ625" s="238" t="s">
        <v>130</v>
      </c>
      <c r="AK625" s="238" t="s">
        <v>141</v>
      </c>
      <c r="AL625" t="s">
        <v>8715</v>
      </c>
      <c r="AM625" t="s">
        <v>1167</v>
      </c>
    </row>
    <row r="626" spans="1:39" hidden="1" x14ac:dyDescent="0.25">
      <c r="A626">
        <v>622</v>
      </c>
      <c r="B626">
        <v>16</v>
      </c>
      <c r="C626" s="24">
        <v>44448</v>
      </c>
      <c r="D626" s="238" t="s">
        <v>19</v>
      </c>
      <c r="E626" s="238" t="s">
        <v>6</v>
      </c>
      <c r="F626">
        <v>2</v>
      </c>
      <c r="G626">
        <v>10</v>
      </c>
      <c r="H626">
        <v>58</v>
      </c>
      <c r="I626" s="238" t="s">
        <v>43</v>
      </c>
      <c r="J626">
        <v>58.99</v>
      </c>
      <c r="K626" s="238" t="s">
        <v>36</v>
      </c>
      <c r="L626">
        <v>4206824.34</v>
      </c>
      <c r="M626">
        <v>0</v>
      </c>
      <c r="N626">
        <v>4206824.34</v>
      </c>
      <c r="O626">
        <v>71314.194609255806</v>
      </c>
      <c r="P626">
        <v>0</v>
      </c>
      <c r="Q626">
        <v>4206824.34</v>
      </c>
      <c r="R626">
        <v>71314.194609255806</v>
      </c>
      <c r="S626" s="238" t="s">
        <v>137</v>
      </c>
      <c r="T626" s="238" t="s">
        <v>1167</v>
      </c>
      <c r="V626" t="s">
        <v>4091</v>
      </c>
      <c r="W626" s="24">
        <v>44445</v>
      </c>
      <c r="X626" s="238" t="s">
        <v>750</v>
      </c>
      <c r="Y626" s="238" t="s">
        <v>39</v>
      </c>
      <c r="Z626" s="238" t="s">
        <v>1340</v>
      </c>
      <c r="AA626" t="s">
        <v>1167</v>
      </c>
      <c r="AB626" s="238" t="s">
        <v>3246</v>
      </c>
      <c r="AC626" t="s">
        <v>3079</v>
      </c>
      <c r="AD626" s="24"/>
      <c r="AE626" s="238" t="s">
        <v>2358</v>
      </c>
      <c r="AF626">
        <v>79370098661</v>
      </c>
      <c r="AG626" s="238" t="s">
        <v>2359</v>
      </c>
      <c r="AH626" s="238" t="s">
        <v>135</v>
      </c>
      <c r="AI626" s="238" t="s">
        <v>3099</v>
      </c>
      <c r="AJ626" s="238" t="s">
        <v>641</v>
      </c>
      <c r="AK626" s="238" t="s">
        <v>141</v>
      </c>
      <c r="AL626" t="s">
        <v>8715</v>
      </c>
      <c r="AM626" t="s">
        <v>1167</v>
      </c>
    </row>
    <row r="627" spans="1:39" hidden="1" x14ac:dyDescent="0.25">
      <c r="A627">
        <v>623</v>
      </c>
      <c r="B627">
        <v>17</v>
      </c>
      <c r="C627" s="24">
        <v>44448</v>
      </c>
      <c r="D627" s="238" t="s">
        <v>27</v>
      </c>
      <c r="E627" s="238" t="s">
        <v>16</v>
      </c>
      <c r="F627">
        <v>6</v>
      </c>
      <c r="G627">
        <v>8</v>
      </c>
      <c r="H627">
        <v>445</v>
      </c>
      <c r="I627" s="238" t="s">
        <v>42</v>
      </c>
      <c r="J627">
        <v>37.11</v>
      </c>
      <c r="K627" s="238" t="s">
        <v>36</v>
      </c>
      <c r="L627">
        <v>2103097.92</v>
      </c>
      <c r="M627">
        <v>0</v>
      </c>
      <c r="N627">
        <v>2103097.92</v>
      </c>
      <c r="O627">
        <v>56672</v>
      </c>
      <c r="P627">
        <v>0</v>
      </c>
      <c r="Q627">
        <v>2103097.92</v>
      </c>
      <c r="R627">
        <v>56672</v>
      </c>
      <c r="S627" s="238" t="s">
        <v>137</v>
      </c>
      <c r="T627" s="238" t="s">
        <v>1167</v>
      </c>
      <c r="V627" t="s">
        <v>1167</v>
      </c>
      <c r="W627" s="24">
        <v>44447</v>
      </c>
      <c r="X627" s="238" t="s">
        <v>751</v>
      </c>
      <c r="Y627" s="238" t="s">
        <v>39</v>
      </c>
      <c r="Z627" s="238" t="s">
        <v>1340</v>
      </c>
      <c r="AA627" t="s">
        <v>1167</v>
      </c>
      <c r="AB627" s="238" t="s">
        <v>3246</v>
      </c>
      <c r="AC627" t="s">
        <v>3079</v>
      </c>
      <c r="AD627" s="24">
        <v>44643</v>
      </c>
      <c r="AE627" s="238" t="s">
        <v>4879</v>
      </c>
      <c r="AF627">
        <v>79277110645</v>
      </c>
      <c r="AG627" s="238" t="s">
        <v>4880</v>
      </c>
      <c r="AH627" s="238" t="s">
        <v>146</v>
      </c>
      <c r="AI627" s="238" t="s">
        <v>135</v>
      </c>
      <c r="AJ627" s="238" t="s">
        <v>399</v>
      </c>
      <c r="AK627" s="238" t="s">
        <v>141</v>
      </c>
      <c r="AL627" t="s">
        <v>8715</v>
      </c>
      <c r="AM627" t="s">
        <v>1167</v>
      </c>
    </row>
    <row r="628" spans="1:39" hidden="1" x14ac:dyDescent="0.25">
      <c r="A628">
        <v>624</v>
      </c>
      <c r="B628">
        <v>18</v>
      </c>
      <c r="C628" s="24">
        <v>44448</v>
      </c>
      <c r="D628" s="238" t="s">
        <v>20</v>
      </c>
      <c r="E628" s="238" t="s">
        <v>6</v>
      </c>
      <c r="F628">
        <v>3</v>
      </c>
      <c r="G628">
        <v>2</v>
      </c>
      <c r="H628">
        <v>3</v>
      </c>
      <c r="I628" s="238" t="s">
        <v>43</v>
      </c>
      <c r="J628">
        <v>65.900000000000006</v>
      </c>
      <c r="K628" s="238" t="s">
        <v>36</v>
      </c>
      <c r="L628">
        <v>3629978.4</v>
      </c>
      <c r="M628">
        <v>0</v>
      </c>
      <c r="N628">
        <v>3629978.4</v>
      </c>
      <c r="O628">
        <v>55083.132018209399</v>
      </c>
      <c r="P628">
        <v>32950</v>
      </c>
      <c r="Q628">
        <v>3597028.4</v>
      </c>
      <c r="R628">
        <v>54583.132018209399</v>
      </c>
      <c r="S628" s="238" t="s">
        <v>137</v>
      </c>
      <c r="T628" s="238" t="s">
        <v>1167</v>
      </c>
      <c r="V628" t="s">
        <v>4091</v>
      </c>
      <c r="W628" s="24">
        <v>44448</v>
      </c>
      <c r="X628" s="238" t="s">
        <v>755</v>
      </c>
      <c r="Y628" s="238" t="s">
        <v>39</v>
      </c>
      <c r="Z628" s="238" t="s">
        <v>1340</v>
      </c>
      <c r="AA628" t="s">
        <v>1167</v>
      </c>
      <c r="AB628" s="238" t="s">
        <v>3124</v>
      </c>
      <c r="AC628" t="s">
        <v>3079</v>
      </c>
      <c r="AD628" s="24"/>
      <c r="AE628" s="238" t="s">
        <v>2360</v>
      </c>
      <c r="AF628">
        <v>79270288876</v>
      </c>
      <c r="AG628" s="238" t="s">
        <v>1167</v>
      </c>
      <c r="AH628" s="238" t="s">
        <v>1212</v>
      </c>
      <c r="AI628" s="238" t="s">
        <v>135</v>
      </c>
      <c r="AJ628" s="238" t="s">
        <v>130</v>
      </c>
      <c r="AK628" s="238" t="s">
        <v>141</v>
      </c>
      <c r="AL628" t="s">
        <v>8715</v>
      </c>
      <c r="AM628" t="s">
        <v>1167</v>
      </c>
    </row>
    <row r="629" spans="1:39" hidden="1" x14ac:dyDescent="0.25">
      <c r="A629">
        <v>625</v>
      </c>
      <c r="B629">
        <v>19</v>
      </c>
      <c r="C629" s="24">
        <v>44449</v>
      </c>
      <c r="D629" s="238" t="s">
        <v>19</v>
      </c>
      <c r="E629" s="238" t="s">
        <v>6</v>
      </c>
      <c r="F629">
        <v>4</v>
      </c>
      <c r="G629">
        <v>4</v>
      </c>
      <c r="H629">
        <v>18</v>
      </c>
      <c r="I629" s="238" t="s">
        <v>42</v>
      </c>
      <c r="J629">
        <v>36.86</v>
      </c>
      <c r="K629" s="238" t="s">
        <v>38</v>
      </c>
      <c r="L629">
        <v>3267654.88</v>
      </c>
      <c r="M629">
        <v>0</v>
      </c>
      <c r="N629">
        <v>3267654.88</v>
      </c>
      <c r="O629">
        <v>88650.430819316331</v>
      </c>
      <c r="P629">
        <v>589760</v>
      </c>
      <c r="Q629">
        <v>2677894.88</v>
      </c>
      <c r="R629">
        <v>72650.430819316331</v>
      </c>
      <c r="S629" s="238" t="s">
        <v>137</v>
      </c>
      <c r="T629" s="238" t="s">
        <v>1167</v>
      </c>
      <c r="V629" t="s">
        <v>4091</v>
      </c>
      <c r="W629" s="24">
        <v>44441</v>
      </c>
      <c r="X629" s="238" t="s">
        <v>758</v>
      </c>
      <c r="Y629" s="238" t="s">
        <v>39</v>
      </c>
      <c r="Z629" s="238" t="s">
        <v>1340</v>
      </c>
      <c r="AA629" t="s">
        <v>1167</v>
      </c>
      <c r="AB629" s="238" t="s">
        <v>3246</v>
      </c>
      <c r="AC629" t="s">
        <v>3079</v>
      </c>
      <c r="AD629" s="24"/>
      <c r="AE629" s="238" t="s">
        <v>2361</v>
      </c>
      <c r="AF629">
        <v>79277260226</v>
      </c>
      <c r="AG629" s="238" t="s">
        <v>2362</v>
      </c>
      <c r="AH629" s="238" t="s">
        <v>1171</v>
      </c>
      <c r="AI629" s="238" t="s">
        <v>135</v>
      </c>
      <c r="AJ629" s="238" t="s">
        <v>130</v>
      </c>
      <c r="AK629" s="238" t="s">
        <v>141</v>
      </c>
      <c r="AL629" t="s">
        <v>8715</v>
      </c>
      <c r="AM629" t="s">
        <v>1167</v>
      </c>
    </row>
    <row r="630" spans="1:39" hidden="1" x14ac:dyDescent="0.25">
      <c r="A630">
        <v>626</v>
      </c>
      <c r="B630">
        <v>20</v>
      </c>
      <c r="C630" s="24">
        <v>44449</v>
      </c>
      <c r="D630" s="238" t="s">
        <v>27</v>
      </c>
      <c r="E630" s="238" t="s">
        <v>5</v>
      </c>
      <c r="F630">
        <v>3</v>
      </c>
      <c r="G630">
        <v>17</v>
      </c>
      <c r="H630">
        <v>330</v>
      </c>
      <c r="I630" s="238" t="s">
        <v>4052</v>
      </c>
      <c r="J630">
        <v>23.54</v>
      </c>
      <c r="K630" s="238" t="s">
        <v>37</v>
      </c>
      <c r="L630">
        <v>1653331.9</v>
      </c>
      <c r="M630">
        <v>0</v>
      </c>
      <c r="N630">
        <v>1653331.9</v>
      </c>
      <c r="O630">
        <v>70235</v>
      </c>
      <c r="P630">
        <v>129470</v>
      </c>
      <c r="Q630">
        <v>1523861.9</v>
      </c>
      <c r="R630">
        <v>64735</v>
      </c>
      <c r="S630" s="238" t="s">
        <v>137</v>
      </c>
      <c r="T630" s="238" t="s">
        <v>1167</v>
      </c>
      <c r="V630" t="s">
        <v>1167</v>
      </c>
      <c r="W630" s="24">
        <v>44448</v>
      </c>
      <c r="X630" s="238" t="s">
        <v>759</v>
      </c>
      <c r="Y630" s="238" t="s">
        <v>39</v>
      </c>
      <c r="Z630" s="238" t="s">
        <v>1340</v>
      </c>
      <c r="AA630" t="s">
        <v>1167</v>
      </c>
      <c r="AB630" s="238" t="s">
        <v>3246</v>
      </c>
      <c r="AC630" t="s">
        <v>3079</v>
      </c>
      <c r="AD630" s="24"/>
      <c r="AE630" s="238" t="s">
        <v>2363</v>
      </c>
      <c r="AF630">
        <v>79270101650</v>
      </c>
      <c r="AG630" s="238" t="s">
        <v>2364</v>
      </c>
      <c r="AH630" s="238" t="s">
        <v>1212</v>
      </c>
      <c r="AI630" s="238" t="s">
        <v>3088</v>
      </c>
      <c r="AJ630" s="238" t="s">
        <v>120</v>
      </c>
      <c r="AK630" s="238" t="s">
        <v>141</v>
      </c>
      <c r="AL630" t="s">
        <v>8715</v>
      </c>
      <c r="AM630" t="s">
        <v>1167</v>
      </c>
    </row>
    <row r="631" spans="1:39" hidden="1" x14ac:dyDescent="0.25">
      <c r="A631">
        <v>627</v>
      </c>
      <c r="B631">
        <v>21</v>
      </c>
      <c r="C631" s="24">
        <v>44452</v>
      </c>
      <c r="D631" s="238" t="s">
        <v>27</v>
      </c>
      <c r="E631" s="238" t="s">
        <v>15</v>
      </c>
      <c r="F631">
        <v>7</v>
      </c>
      <c r="G631">
        <v>9</v>
      </c>
      <c r="H631">
        <v>574</v>
      </c>
      <c r="I631" s="238" t="s">
        <v>43</v>
      </c>
      <c r="J631">
        <v>59.93</v>
      </c>
      <c r="K631" s="238" t="s">
        <v>36</v>
      </c>
      <c r="L631">
        <v>3276636.79</v>
      </c>
      <c r="M631">
        <v>0</v>
      </c>
      <c r="N631">
        <v>3276636.79</v>
      </c>
      <c r="O631">
        <v>54674.39996662773</v>
      </c>
      <c r="P631">
        <v>0</v>
      </c>
      <c r="Q631">
        <v>3276636.79</v>
      </c>
      <c r="R631">
        <v>54674.39996662773</v>
      </c>
      <c r="S631" s="238" t="s">
        <v>137</v>
      </c>
      <c r="T631" s="238" t="s">
        <v>1167</v>
      </c>
      <c r="V631" t="s">
        <v>4091</v>
      </c>
      <c r="W631" s="24">
        <v>44443</v>
      </c>
      <c r="X631" s="238" t="s">
        <v>761</v>
      </c>
      <c r="Y631" s="238" t="s">
        <v>39</v>
      </c>
      <c r="Z631" s="238" t="s">
        <v>1340</v>
      </c>
      <c r="AA631" t="s">
        <v>1167</v>
      </c>
      <c r="AB631" s="238" t="s">
        <v>3246</v>
      </c>
      <c r="AC631" t="s">
        <v>3079</v>
      </c>
      <c r="AD631" s="24"/>
      <c r="AE631" s="238" t="s">
        <v>2365</v>
      </c>
      <c r="AF631">
        <v>79871578837</v>
      </c>
      <c r="AG631" s="238" t="s">
        <v>2366</v>
      </c>
      <c r="AH631" s="238" t="s">
        <v>135</v>
      </c>
      <c r="AI631" s="238" t="s">
        <v>3099</v>
      </c>
      <c r="AJ631" s="238" t="s">
        <v>126</v>
      </c>
      <c r="AK631" s="238" t="s">
        <v>141</v>
      </c>
      <c r="AL631" t="s">
        <v>8715</v>
      </c>
      <c r="AM631" t="s">
        <v>1167</v>
      </c>
    </row>
    <row r="632" spans="1:39" hidden="1" x14ac:dyDescent="0.25">
      <c r="A632">
        <v>628</v>
      </c>
      <c r="B632">
        <v>22</v>
      </c>
      <c r="C632" s="24">
        <v>44452</v>
      </c>
      <c r="D632" s="238" t="s">
        <v>27</v>
      </c>
      <c r="E632" s="238" t="s">
        <v>5</v>
      </c>
      <c r="F632">
        <v>3</v>
      </c>
      <c r="G632">
        <v>15</v>
      </c>
      <c r="H632">
        <v>314</v>
      </c>
      <c r="I632" s="238" t="s">
        <v>4052</v>
      </c>
      <c r="J632">
        <v>23.54</v>
      </c>
      <c r="K632" s="238" t="s">
        <v>36</v>
      </c>
      <c r="L632">
        <v>1523861.9</v>
      </c>
      <c r="M632">
        <v>0</v>
      </c>
      <c r="N632">
        <v>1523861.9</v>
      </c>
      <c r="O632">
        <v>64735</v>
      </c>
      <c r="P632">
        <v>0</v>
      </c>
      <c r="Q632">
        <v>1523861.9</v>
      </c>
      <c r="R632">
        <v>64735</v>
      </c>
      <c r="S632" s="238" t="s">
        <v>137</v>
      </c>
      <c r="T632" s="238" t="s">
        <v>1167</v>
      </c>
      <c r="V632" t="s">
        <v>1167</v>
      </c>
      <c r="W632" s="24">
        <v>44446</v>
      </c>
      <c r="X632" s="238" t="s">
        <v>760</v>
      </c>
      <c r="Y632" s="238" t="s">
        <v>39</v>
      </c>
      <c r="Z632" s="238" t="s">
        <v>1340</v>
      </c>
      <c r="AA632" t="s">
        <v>1167</v>
      </c>
      <c r="AB632" s="238" t="s">
        <v>3246</v>
      </c>
      <c r="AC632" t="s">
        <v>3079</v>
      </c>
      <c r="AD632" s="24">
        <v>45027</v>
      </c>
      <c r="AE632" s="238" t="s">
        <v>4565</v>
      </c>
      <c r="AF632">
        <v>79277212179</v>
      </c>
      <c r="AG632" s="238" t="s">
        <v>4566</v>
      </c>
      <c r="AH632" s="238" t="s">
        <v>1212</v>
      </c>
      <c r="AI632" s="238" t="s">
        <v>3097</v>
      </c>
      <c r="AJ632" s="238" t="s">
        <v>120</v>
      </c>
      <c r="AK632" s="238" t="s">
        <v>141</v>
      </c>
      <c r="AL632" t="s">
        <v>8715</v>
      </c>
      <c r="AM632" t="s">
        <v>1167</v>
      </c>
    </row>
    <row r="633" spans="1:39" hidden="1" x14ac:dyDescent="0.25">
      <c r="A633">
        <v>629</v>
      </c>
      <c r="B633">
        <v>23</v>
      </c>
      <c r="C633" s="24">
        <v>44452</v>
      </c>
      <c r="D633" s="238" t="s">
        <v>27</v>
      </c>
      <c r="E633" s="238" t="s">
        <v>15</v>
      </c>
      <c r="F633">
        <v>2</v>
      </c>
      <c r="G633">
        <v>5</v>
      </c>
      <c r="H633">
        <v>537</v>
      </c>
      <c r="I633" s="238" t="s">
        <v>42</v>
      </c>
      <c r="J633">
        <v>37.159999999999997</v>
      </c>
      <c r="K633" s="238" t="s">
        <v>38</v>
      </c>
      <c r="L633">
        <v>2847906.73</v>
      </c>
      <c r="M633">
        <v>0</v>
      </c>
      <c r="N633">
        <v>2847906.73</v>
      </c>
      <c r="O633">
        <v>76639.040096878365</v>
      </c>
      <c r="P633">
        <v>594560</v>
      </c>
      <c r="Q633">
        <v>2253346.73</v>
      </c>
      <c r="R633">
        <v>60639.040096878372</v>
      </c>
      <c r="S633" s="238" t="s">
        <v>137</v>
      </c>
      <c r="T633" s="238" t="s">
        <v>1167</v>
      </c>
      <c r="V633" t="s">
        <v>1167</v>
      </c>
      <c r="W633" s="24">
        <v>44447</v>
      </c>
      <c r="X633" s="238" t="s">
        <v>762</v>
      </c>
      <c r="Y633" s="238" t="s">
        <v>39</v>
      </c>
      <c r="Z633" s="238" t="s">
        <v>1340</v>
      </c>
      <c r="AA633" t="s">
        <v>1167</v>
      </c>
      <c r="AB633" s="238" t="s">
        <v>3246</v>
      </c>
      <c r="AC633" t="s">
        <v>3079</v>
      </c>
      <c r="AD633" s="24"/>
      <c r="AE633" s="238" t="s">
        <v>2367</v>
      </c>
      <c r="AF633">
        <v>79276865802</v>
      </c>
      <c r="AG633" s="238" t="s">
        <v>2368</v>
      </c>
      <c r="AH633" s="238" t="s">
        <v>1171</v>
      </c>
      <c r="AI633" s="238" t="s">
        <v>135</v>
      </c>
      <c r="AJ633" s="238" t="s">
        <v>126</v>
      </c>
      <c r="AK633" s="238" t="s">
        <v>141</v>
      </c>
      <c r="AL633" t="s">
        <v>8715</v>
      </c>
      <c r="AM633" t="s">
        <v>1167</v>
      </c>
    </row>
    <row r="634" spans="1:39" hidden="1" x14ac:dyDescent="0.25">
      <c r="A634">
        <v>630</v>
      </c>
      <c r="B634">
        <v>24</v>
      </c>
      <c r="C634" s="24">
        <v>44452</v>
      </c>
      <c r="D634" s="238" t="s">
        <v>27</v>
      </c>
      <c r="E634" s="238" t="s">
        <v>5</v>
      </c>
      <c r="F634">
        <v>3</v>
      </c>
      <c r="G634">
        <v>5</v>
      </c>
      <c r="H634">
        <v>234</v>
      </c>
      <c r="I634" s="238" t="s">
        <v>4052</v>
      </c>
      <c r="J634">
        <v>23.54</v>
      </c>
      <c r="K634" s="238" t="s">
        <v>37</v>
      </c>
      <c r="L634">
        <v>1653331.9</v>
      </c>
      <c r="M634">
        <v>0</v>
      </c>
      <c r="N634">
        <v>1653331.9</v>
      </c>
      <c r="O634">
        <v>70235</v>
      </c>
      <c r="P634">
        <v>129470</v>
      </c>
      <c r="Q634">
        <v>1523861.9</v>
      </c>
      <c r="R634">
        <v>64735</v>
      </c>
      <c r="S634" s="238" t="s">
        <v>137</v>
      </c>
      <c r="T634" s="238" t="s">
        <v>1167</v>
      </c>
      <c r="V634" t="s">
        <v>1167</v>
      </c>
      <c r="W634" s="24">
        <v>44447</v>
      </c>
      <c r="X634" s="238" t="s">
        <v>763</v>
      </c>
      <c r="Y634" s="238" t="s">
        <v>39</v>
      </c>
      <c r="Z634" s="238" t="s">
        <v>1340</v>
      </c>
      <c r="AA634" t="s">
        <v>1167</v>
      </c>
      <c r="AB634" s="238" t="s">
        <v>3246</v>
      </c>
      <c r="AC634" t="s">
        <v>3079</v>
      </c>
      <c r="AD634" s="24"/>
      <c r="AE634" s="238" t="s">
        <v>2369</v>
      </c>
      <c r="AF634">
        <v>79277575401</v>
      </c>
      <c r="AG634" s="238" t="s">
        <v>1167</v>
      </c>
      <c r="AH634" s="238" t="s">
        <v>146</v>
      </c>
      <c r="AI634" s="238" t="s">
        <v>135</v>
      </c>
      <c r="AJ634" s="238" t="s">
        <v>399</v>
      </c>
      <c r="AK634" s="238" t="s">
        <v>141</v>
      </c>
      <c r="AL634" t="s">
        <v>8715</v>
      </c>
      <c r="AM634" t="s">
        <v>1167</v>
      </c>
    </row>
    <row r="635" spans="1:39" hidden="1" x14ac:dyDescent="0.25">
      <c r="A635">
        <v>631</v>
      </c>
      <c r="B635">
        <v>25</v>
      </c>
      <c r="C635" s="24">
        <v>44455</v>
      </c>
      <c r="D635" s="238" t="s">
        <v>27</v>
      </c>
      <c r="E635" s="238" t="s">
        <v>5</v>
      </c>
      <c r="F635">
        <v>3</v>
      </c>
      <c r="G635">
        <v>16</v>
      </c>
      <c r="H635">
        <v>322</v>
      </c>
      <c r="I635" s="238" t="s">
        <v>4052</v>
      </c>
      <c r="J635">
        <v>23.54</v>
      </c>
      <c r="K635" s="238" t="s">
        <v>36</v>
      </c>
      <c r="L635">
        <v>1493384.66</v>
      </c>
      <c r="M635">
        <v>0</v>
      </c>
      <c r="N635">
        <v>1493384.66</v>
      </c>
      <c r="O635">
        <v>63440.299915038231</v>
      </c>
      <c r="P635">
        <v>0</v>
      </c>
      <c r="Q635">
        <v>1493384.66</v>
      </c>
      <c r="R635">
        <v>63440.299915038231</v>
      </c>
      <c r="S635" s="238" t="s">
        <v>121</v>
      </c>
      <c r="T635" s="238" t="s">
        <v>3539</v>
      </c>
      <c r="U635">
        <v>30477.237999999998</v>
      </c>
      <c r="V635" t="s">
        <v>1167</v>
      </c>
      <c r="W635" s="24">
        <v>44455</v>
      </c>
      <c r="X635" s="238" t="s">
        <v>764</v>
      </c>
      <c r="Y635" s="238" t="s">
        <v>39</v>
      </c>
      <c r="Z635" s="238" t="s">
        <v>1168</v>
      </c>
      <c r="AA635" t="s">
        <v>1167</v>
      </c>
      <c r="AB635" s="238" t="s">
        <v>3246</v>
      </c>
      <c r="AC635" t="s">
        <v>4246</v>
      </c>
      <c r="AD635" s="24"/>
      <c r="AE635" s="238" t="s">
        <v>2370</v>
      </c>
      <c r="AF635">
        <v>79277064865</v>
      </c>
      <c r="AG635" s="238" t="s">
        <v>2371</v>
      </c>
      <c r="AH635" s="238" t="s">
        <v>1212</v>
      </c>
      <c r="AI635" s="238" t="s">
        <v>3097</v>
      </c>
      <c r="AJ635" s="238" t="s">
        <v>399</v>
      </c>
      <c r="AK635" s="238" t="s">
        <v>1167</v>
      </c>
      <c r="AL635" t="s">
        <v>8715</v>
      </c>
      <c r="AM635" t="s">
        <v>1167</v>
      </c>
    </row>
    <row r="636" spans="1:39" hidden="1" x14ac:dyDescent="0.25">
      <c r="A636">
        <v>632</v>
      </c>
      <c r="B636">
        <v>26</v>
      </c>
      <c r="C636" s="24">
        <v>44456</v>
      </c>
      <c r="D636" s="238" t="s">
        <v>27</v>
      </c>
      <c r="E636" s="238" t="s">
        <v>15</v>
      </c>
      <c r="F636">
        <v>3</v>
      </c>
      <c r="G636">
        <v>5</v>
      </c>
      <c r="H636">
        <v>538</v>
      </c>
      <c r="I636" s="238" t="s">
        <v>4052</v>
      </c>
      <c r="J636">
        <v>23.54</v>
      </c>
      <c r="K636" s="238" t="s">
        <v>37</v>
      </c>
      <c r="L636">
        <v>1653331.9</v>
      </c>
      <c r="M636">
        <v>0</v>
      </c>
      <c r="N636">
        <v>1653331.9</v>
      </c>
      <c r="O636">
        <v>70235</v>
      </c>
      <c r="P636">
        <v>129470</v>
      </c>
      <c r="Q636">
        <v>1523861.9</v>
      </c>
      <c r="R636">
        <v>64735</v>
      </c>
      <c r="S636" s="238" t="s">
        <v>137</v>
      </c>
      <c r="T636" s="238" t="s">
        <v>1167</v>
      </c>
      <c r="V636" t="s">
        <v>1167</v>
      </c>
      <c r="W636" s="24">
        <v>44439</v>
      </c>
      <c r="X636" s="238" t="s">
        <v>767</v>
      </c>
      <c r="Y636" s="238" t="s">
        <v>39</v>
      </c>
      <c r="Z636" s="238" t="s">
        <v>1168</v>
      </c>
      <c r="AA636" t="s">
        <v>1167</v>
      </c>
      <c r="AB636" s="238" t="s">
        <v>3246</v>
      </c>
      <c r="AC636" t="s">
        <v>3076</v>
      </c>
      <c r="AD636" s="24"/>
      <c r="AE636" s="238" t="s">
        <v>2372</v>
      </c>
      <c r="AF636">
        <v>79058946144</v>
      </c>
      <c r="AG636" s="238" t="s">
        <v>2373</v>
      </c>
      <c r="AH636" s="238" t="s">
        <v>1212</v>
      </c>
      <c r="AI636" s="238" t="s">
        <v>3084</v>
      </c>
      <c r="AJ636" s="238" t="s">
        <v>399</v>
      </c>
      <c r="AK636" s="238" t="s">
        <v>141</v>
      </c>
      <c r="AL636" t="s">
        <v>8715</v>
      </c>
      <c r="AM636" t="s">
        <v>1167</v>
      </c>
    </row>
    <row r="637" spans="1:39" hidden="1" x14ac:dyDescent="0.25">
      <c r="A637">
        <v>633</v>
      </c>
      <c r="B637">
        <v>27</v>
      </c>
      <c r="C637" s="24">
        <v>44456</v>
      </c>
      <c r="D637" s="238" t="s">
        <v>27</v>
      </c>
      <c r="E637" s="238" t="s">
        <v>5</v>
      </c>
      <c r="F637">
        <v>3</v>
      </c>
      <c r="G637">
        <v>6</v>
      </c>
      <c r="H637">
        <v>242</v>
      </c>
      <c r="I637" s="238" t="s">
        <v>4052</v>
      </c>
      <c r="J637">
        <v>23.54</v>
      </c>
      <c r="K637" s="238" t="s">
        <v>36</v>
      </c>
      <c r="L637">
        <v>1344435</v>
      </c>
      <c r="M637">
        <v>15000</v>
      </c>
      <c r="N637">
        <v>1359435</v>
      </c>
      <c r="O637">
        <v>57750</v>
      </c>
      <c r="P637">
        <v>0</v>
      </c>
      <c r="Q637">
        <v>1359435</v>
      </c>
      <c r="R637">
        <v>57750</v>
      </c>
      <c r="S637" s="238" t="s">
        <v>124</v>
      </c>
      <c r="T637" s="238" t="s">
        <v>1167</v>
      </c>
      <c r="V637" t="s">
        <v>1167</v>
      </c>
      <c r="W637" s="24">
        <v>44444</v>
      </c>
      <c r="X637" s="238" t="s">
        <v>766</v>
      </c>
      <c r="Y637" s="238" t="s">
        <v>39</v>
      </c>
      <c r="Z637" s="238" t="s">
        <v>1168</v>
      </c>
      <c r="AA637" t="s">
        <v>1167</v>
      </c>
      <c r="AB637" s="238" t="s">
        <v>3246</v>
      </c>
      <c r="AC637" t="s">
        <v>4246</v>
      </c>
      <c r="AD637" s="24"/>
      <c r="AE637" s="238" t="s">
        <v>2374</v>
      </c>
      <c r="AF637">
        <v>79372485993</v>
      </c>
      <c r="AG637" s="238" t="s">
        <v>2375</v>
      </c>
      <c r="AH637" s="238" t="s">
        <v>1212</v>
      </c>
      <c r="AI637" s="238" t="s">
        <v>135</v>
      </c>
      <c r="AJ637" s="238" t="s">
        <v>126</v>
      </c>
      <c r="AK637" s="238" t="s">
        <v>1167</v>
      </c>
      <c r="AL637" t="s">
        <v>8715</v>
      </c>
      <c r="AM637" t="s">
        <v>1167</v>
      </c>
    </row>
    <row r="638" spans="1:39" hidden="1" x14ac:dyDescent="0.25">
      <c r="A638">
        <v>634</v>
      </c>
      <c r="B638">
        <v>28</v>
      </c>
      <c r="C638" s="24">
        <v>44456</v>
      </c>
      <c r="D638" s="238" t="s">
        <v>27</v>
      </c>
      <c r="E638" s="238" t="s">
        <v>16</v>
      </c>
      <c r="F638">
        <v>6</v>
      </c>
      <c r="G638">
        <v>11</v>
      </c>
      <c r="H638">
        <v>469</v>
      </c>
      <c r="I638" s="238" t="s">
        <v>42</v>
      </c>
      <c r="J638">
        <v>37.11</v>
      </c>
      <c r="K638" s="238" t="s">
        <v>37</v>
      </c>
      <c r="L638">
        <v>2454419.77</v>
      </c>
      <c r="M638">
        <v>0</v>
      </c>
      <c r="N638">
        <v>2454419.77</v>
      </c>
      <c r="O638">
        <v>66139.039881433579</v>
      </c>
      <c r="P638">
        <v>204105</v>
      </c>
      <c r="Q638">
        <v>2250314.77</v>
      </c>
      <c r="R638">
        <v>60639.039881433579</v>
      </c>
      <c r="S638" s="238" t="s">
        <v>137</v>
      </c>
      <c r="T638" s="238" t="s">
        <v>1167</v>
      </c>
      <c r="V638" t="s">
        <v>1167</v>
      </c>
      <c r="W638" s="24">
        <v>44453</v>
      </c>
      <c r="X638" s="238" t="s">
        <v>765</v>
      </c>
      <c r="Y638" s="238" t="s">
        <v>39</v>
      </c>
      <c r="Z638" s="238" t="s">
        <v>1340</v>
      </c>
      <c r="AA638" t="s">
        <v>1167</v>
      </c>
      <c r="AB638" s="238" t="s">
        <v>3246</v>
      </c>
      <c r="AC638" t="s">
        <v>3079</v>
      </c>
      <c r="AD638" s="24"/>
      <c r="AE638" s="238" t="s">
        <v>2376</v>
      </c>
      <c r="AF638">
        <v>79277926876</v>
      </c>
      <c r="AG638" s="238" t="s">
        <v>2377</v>
      </c>
      <c r="AH638" s="238" t="s">
        <v>1212</v>
      </c>
      <c r="AI638" s="238" t="s">
        <v>3090</v>
      </c>
      <c r="AJ638" s="238" t="s">
        <v>399</v>
      </c>
      <c r="AK638" s="238" t="s">
        <v>141</v>
      </c>
      <c r="AL638" t="s">
        <v>8715</v>
      </c>
      <c r="AM638" t="s">
        <v>1167</v>
      </c>
    </row>
    <row r="639" spans="1:39" hidden="1" x14ac:dyDescent="0.25">
      <c r="A639">
        <v>635</v>
      </c>
      <c r="B639">
        <v>29</v>
      </c>
      <c r="C639" s="24">
        <v>44459</v>
      </c>
      <c r="D639" s="238" t="s">
        <v>27</v>
      </c>
      <c r="E639" s="238" t="s">
        <v>15</v>
      </c>
      <c r="F639">
        <v>2</v>
      </c>
      <c r="G639">
        <v>15</v>
      </c>
      <c r="H639">
        <v>617</v>
      </c>
      <c r="I639" s="238" t="s">
        <v>42</v>
      </c>
      <c r="J639">
        <v>37.159999999999997</v>
      </c>
      <c r="K639" s="238" t="s">
        <v>36</v>
      </c>
      <c r="L639">
        <v>1864288.96</v>
      </c>
      <c r="M639">
        <v>0</v>
      </c>
      <c r="N639">
        <v>1864288.96</v>
      </c>
      <c r="O639">
        <v>50169.240043057056</v>
      </c>
      <c r="P639">
        <v>0</v>
      </c>
      <c r="Q639">
        <v>1864288.96</v>
      </c>
      <c r="R639">
        <v>50169.240043057056</v>
      </c>
      <c r="S639" s="238" t="s">
        <v>124</v>
      </c>
      <c r="T639" s="238" t="s">
        <v>321</v>
      </c>
      <c r="U639">
        <v>207143.21759999997</v>
      </c>
      <c r="V639" t="s">
        <v>1167</v>
      </c>
      <c r="W639" s="24">
        <v>44411</v>
      </c>
      <c r="X639" s="238" t="s">
        <v>772</v>
      </c>
      <c r="Y639" s="238" t="s">
        <v>39</v>
      </c>
      <c r="Z639" s="238" t="s">
        <v>1168</v>
      </c>
      <c r="AA639" t="s">
        <v>1167</v>
      </c>
      <c r="AB639" s="238" t="s">
        <v>3246</v>
      </c>
      <c r="AC639" t="s">
        <v>4246</v>
      </c>
      <c r="AD639" s="24"/>
      <c r="AE639" s="238" t="s">
        <v>771</v>
      </c>
      <c r="AF639">
        <v>79053842211</v>
      </c>
      <c r="AG639" s="238" t="s">
        <v>2378</v>
      </c>
      <c r="AH639" s="238" t="s">
        <v>1171</v>
      </c>
      <c r="AI639" s="238" t="s">
        <v>3094</v>
      </c>
      <c r="AJ639" s="238" t="s">
        <v>130</v>
      </c>
      <c r="AK639" s="238" t="s">
        <v>1167</v>
      </c>
      <c r="AL639" t="s">
        <v>8715</v>
      </c>
      <c r="AM639" t="s">
        <v>1167</v>
      </c>
    </row>
    <row r="640" spans="1:39" hidden="1" x14ac:dyDescent="0.25">
      <c r="A640">
        <v>636</v>
      </c>
      <c r="B640">
        <v>30</v>
      </c>
      <c r="C640" s="24">
        <v>44459</v>
      </c>
      <c r="D640" s="238" t="s">
        <v>19</v>
      </c>
      <c r="E640" s="238" t="s">
        <v>6</v>
      </c>
      <c r="F640">
        <v>4</v>
      </c>
      <c r="G640">
        <v>23</v>
      </c>
      <c r="H640">
        <v>151</v>
      </c>
      <c r="I640" s="238" t="s">
        <v>42</v>
      </c>
      <c r="J640">
        <v>36.86</v>
      </c>
      <c r="K640" s="238" t="s">
        <v>36</v>
      </c>
      <c r="L640">
        <v>2284323.14</v>
      </c>
      <c r="M640">
        <v>0</v>
      </c>
      <c r="N640">
        <v>2284323.14</v>
      </c>
      <c r="O640">
        <v>61972.955507325016</v>
      </c>
      <c r="P640">
        <v>0</v>
      </c>
      <c r="Q640">
        <v>2284323.14</v>
      </c>
      <c r="R640">
        <v>61972.955507325016</v>
      </c>
      <c r="S640" s="238" t="s">
        <v>124</v>
      </c>
      <c r="T640" s="238" t="s">
        <v>321</v>
      </c>
      <c r="U640">
        <v>120227.53</v>
      </c>
      <c r="V640" t="s">
        <v>1167</v>
      </c>
      <c r="W640" s="24">
        <v>44411</v>
      </c>
      <c r="X640" s="238" t="s">
        <v>770</v>
      </c>
      <c r="Y640" s="238" t="s">
        <v>39</v>
      </c>
      <c r="Z640" s="238" t="s">
        <v>1168</v>
      </c>
      <c r="AA640" t="s">
        <v>1167</v>
      </c>
      <c r="AB640" s="238" t="s">
        <v>3246</v>
      </c>
      <c r="AC640" t="s">
        <v>4246</v>
      </c>
      <c r="AD640" s="24"/>
      <c r="AE640" s="238" t="s">
        <v>771</v>
      </c>
      <c r="AF640">
        <v>79053842211</v>
      </c>
      <c r="AG640" s="238" t="s">
        <v>2378</v>
      </c>
      <c r="AH640" s="238" t="s">
        <v>1212</v>
      </c>
      <c r="AI640" s="238" t="s">
        <v>3094</v>
      </c>
      <c r="AJ640" s="238" t="s">
        <v>130</v>
      </c>
      <c r="AK640" s="238" t="s">
        <v>1167</v>
      </c>
      <c r="AL640" t="s">
        <v>8715</v>
      </c>
      <c r="AM640" t="s">
        <v>1167</v>
      </c>
    </row>
    <row r="641" spans="1:39" hidden="1" x14ac:dyDescent="0.25">
      <c r="A641">
        <v>637</v>
      </c>
      <c r="B641">
        <v>31</v>
      </c>
      <c r="C641" s="24">
        <v>44459</v>
      </c>
      <c r="D641" s="238" t="s">
        <v>19</v>
      </c>
      <c r="E641" s="238" t="s">
        <v>6</v>
      </c>
      <c r="F641">
        <v>1</v>
      </c>
      <c r="G641">
        <v>19</v>
      </c>
      <c r="H641">
        <v>120</v>
      </c>
      <c r="I641" s="238" t="s">
        <v>43</v>
      </c>
      <c r="J641">
        <v>59.52</v>
      </c>
      <c r="K641" s="238" t="s">
        <v>37</v>
      </c>
      <c r="L641">
        <v>4235788.29</v>
      </c>
      <c r="M641">
        <v>0</v>
      </c>
      <c r="N641">
        <v>4235788.29</v>
      </c>
      <c r="O641">
        <v>71165.797883064515</v>
      </c>
      <c r="P641">
        <v>327360</v>
      </c>
      <c r="Q641">
        <v>3908428.29</v>
      </c>
      <c r="R641">
        <v>65665.797883064515</v>
      </c>
      <c r="S641" s="238" t="s">
        <v>137</v>
      </c>
      <c r="T641" s="238" t="s">
        <v>1167</v>
      </c>
      <c r="V641" t="s">
        <v>1167</v>
      </c>
      <c r="W641" s="24">
        <v>44444</v>
      </c>
      <c r="X641" s="238" t="s">
        <v>768</v>
      </c>
      <c r="Y641" s="238" t="s">
        <v>39</v>
      </c>
      <c r="Z641" s="238" t="s">
        <v>1340</v>
      </c>
      <c r="AA641" t="s">
        <v>1167</v>
      </c>
      <c r="AB641" s="238" t="s">
        <v>3246</v>
      </c>
      <c r="AC641" t="s">
        <v>3079</v>
      </c>
      <c r="AD641" s="24"/>
      <c r="AE641" s="238" t="s">
        <v>2379</v>
      </c>
      <c r="AF641">
        <v>79277363015</v>
      </c>
      <c r="AG641" s="238" t="s">
        <v>2380</v>
      </c>
      <c r="AH641" s="238" t="s">
        <v>135</v>
      </c>
      <c r="AI641" s="238" t="s">
        <v>3099</v>
      </c>
      <c r="AJ641" s="238" t="s">
        <v>130</v>
      </c>
      <c r="AK641" s="238" t="s">
        <v>141</v>
      </c>
      <c r="AL641" t="s">
        <v>8715</v>
      </c>
      <c r="AM641" t="s">
        <v>1167</v>
      </c>
    </row>
    <row r="642" spans="1:39" hidden="1" x14ac:dyDescent="0.25">
      <c r="A642">
        <v>638</v>
      </c>
      <c r="B642">
        <v>32</v>
      </c>
      <c r="C642" s="24">
        <v>44459</v>
      </c>
      <c r="D642" s="238" t="s">
        <v>19</v>
      </c>
      <c r="E642" s="238" t="s">
        <v>6</v>
      </c>
      <c r="F642">
        <v>3</v>
      </c>
      <c r="G642">
        <v>20</v>
      </c>
      <c r="H642">
        <v>129</v>
      </c>
      <c r="I642" s="238" t="s">
        <v>44</v>
      </c>
      <c r="J642">
        <v>76.56</v>
      </c>
      <c r="K642" s="238" t="s">
        <v>37</v>
      </c>
      <c r="L642">
        <v>5113683.96</v>
      </c>
      <c r="M642">
        <v>15000</v>
      </c>
      <c r="N642">
        <v>5128683.96</v>
      </c>
      <c r="O642">
        <v>66989.079937304079</v>
      </c>
      <c r="P642">
        <v>421080</v>
      </c>
      <c r="Q642">
        <v>4707603.96</v>
      </c>
      <c r="R642">
        <v>61489.079937304072</v>
      </c>
      <c r="S642" s="238" t="s">
        <v>137</v>
      </c>
      <c r="T642" s="238" t="s">
        <v>1167</v>
      </c>
      <c r="V642" t="s">
        <v>4091</v>
      </c>
      <c r="W642" s="24">
        <v>44446</v>
      </c>
      <c r="X642" s="238" t="s">
        <v>769</v>
      </c>
      <c r="Y642" s="238" t="s">
        <v>39</v>
      </c>
      <c r="Z642" s="238" t="s">
        <v>1340</v>
      </c>
      <c r="AA642" t="s">
        <v>1167</v>
      </c>
      <c r="AB642" s="238" t="s">
        <v>3246</v>
      </c>
      <c r="AC642" t="s">
        <v>3079</v>
      </c>
      <c r="AD642" s="24"/>
      <c r="AE642" s="238" t="s">
        <v>2381</v>
      </c>
      <c r="AF642">
        <v>79170158530</v>
      </c>
      <c r="AG642" s="238" t="s">
        <v>2382</v>
      </c>
      <c r="AH642" s="238" t="s">
        <v>135</v>
      </c>
      <c r="AI642" s="238" t="s">
        <v>3099</v>
      </c>
      <c r="AJ642" s="238" t="s">
        <v>399</v>
      </c>
      <c r="AK642" s="238" t="s">
        <v>141</v>
      </c>
      <c r="AL642" t="s">
        <v>8715</v>
      </c>
      <c r="AM642" t="s">
        <v>1167</v>
      </c>
    </row>
    <row r="643" spans="1:39" hidden="1" x14ac:dyDescent="0.25">
      <c r="A643">
        <v>639</v>
      </c>
      <c r="B643">
        <v>33</v>
      </c>
      <c r="C643" s="24">
        <v>44459</v>
      </c>
      <c r="D643" s="238" t="s">
        <v>27</v>
      </c>
      <c r="E643" s="238" t="s">
        <v>5</v>
      </c>
      <c r="F643">
        <v>3</v>
      </c>
      <c r="G643">
        <v>14</v>
      </c>
      <c r="H643">
        <v>306</v>
      </c>
      <c r="I643" s="238" t="s">
        <v>4052</v>
      </c>
      <c r="J643">
        <v>23.54</v>
      </c>
      <c r="K643" s="238" t="s">
        <v>36</v>
      </c>
      <c r="L643">
        <v>1493384.66</v>
      </c>
      <c r="M643">
        <v>0</v>
      </c>
      <c r="N643">
        <v>1493384.66</v>
      </c>
      <c r="O643">
        <v>63440.299915038231</v>
      </c>
      <c r="P643">
        <v>0</v>
      </c>
      <c r="Q643">
        <v>1493384.66</v>
      </c>
      <c r="R643">
        <v>63440.299915038231</v>
      </c>
      <c r="S643" s="238" t="s">
        <v>124</v>
      </c>
      <c r="T643" s="238" t="s">
        <v>3540</v>
      </c>
      <c r="U643">
        <v>30477.237999999998</v>
      </c>
      <c r="V643" t="s">
        <v>1167</v>
      </c>
      <c r="W643" s="24">
        <v>44453</v>
      </c>
      <c r="X643" s="238" t="s">
        <v>773</v>
      </c>
      <c r="Y643" s="238" t="s">
        <v>39</v>
      </c>
      <c r="Z643" s="238" t="s">
        <v>1168</v>
      </c>
      <c r="AA643" t="s">
        <v>1167</v>
      </c>
      <c r="AB643" s="238" t="s">
        <v>3246</v>
      </c>
      <c r="AC643" t="s">
        <v>4246</v>
      </c>
      <c r="AD643" s="24"/>
      <c r="AE643" s="238" t="s">
        <v>2383</v>
      </c>
      <c r="AF643">
        <v>79272044304</v>
      </c>
      <c r="AG643" s="238" t="s">
        <v>2384</v>
      </c>
      <c r="AH643" s="238" t="s">
        <v>1171</v>
      </c>
      <c r="AI643" s="238" t="s">
        <v>3094</v>
      </c>
      <c r="AJ643" s="238" t="s">
        <v>126</v>
      </c>
      <c r="AK643" s="238" t="s">
        <v>1167</v>
      </c>
      <c r="AL643" t="s">
        <v>8715</v>
      </c>
      <c r="AM643" t="s">
        <v>1167</v>
      </c>
    </row>
    <row r="644" spans="1:39" hidden="1" x14ac:dyDescent="0.25">
      <c r="A644">
        <v>640</v>
      </c>
      <c r="B644">
        <v>34</v>
      </c>
      <c r="C644" s="24">
        <v>44460</v>
      </c>
      <c r="D644" s="238" t="s">
        <v>27</v>
      </c>
      <c r="E644" s="238" t="s">
        <v>5</v>
      </c>
      <c r="F644">
        <v>7</v>
      </c>
      <c r="G644">
        <v>8</v>
      </c>
      <c r="H644">
        <v>262</v>
      </c>
      <c r="I644" s="238" t="s">
        <v>43</v>
      </c>
      <c r="J644">
        <v>59.93</v>
      </c>
      <c r="K644" s="238" t="s">
        <v>37</v>
      </c>
      <c r="L644">
        <v>3677479.08</v>
      </c>
      <c r="M644">
        <v>15000</v>
      </c>
      <c r="N644">
        <v>3692479.08</v>
      </c>
      <c r="O644">
        <v>61613.200066744539</v>
      </c>
      <c r="P644">
        <v>329615</v>
      </c>
      <c r="Q644">
        <v>3362864.08</v>
      </c>
      <c r="R644">
        <v>56113.200066744539</v>
      </c>
      <c r="S644" s="238" t="s">
        <v>137</v>
      </c>
      <c r="T644" s="238" t="s">
        <v>1167</v>
      </c>
      <c r="V644" t="s">
        <v>4091</v>
      </c>
      <c r="W644" s="24">
        <v>44453</v>
      </c>
      <c r="X644" s="238" t="s">
        <v>774</v>
      </c>
      <c r="Y644" s="238" t="s">
        <v>39</v>
      </c>
      <c r="Z644" s="238" t="s">
        <v>1340</v>
      </c>
      <c r="AA644" t="s">
        <v>1167</v>
      </c>
      <c r="AB644" s="238" t="s">
        <v>3246</v>
      </c>
      <c r="AC644" t="s">
        <v>3079</v>
      </c>
      <c r="AD644" s="24"/>
      <c r="AE644" s="238" t="s">
        <v>2385</v>
      </c>
      <c r="AF644">
        <v>79608181550</v>
      </c>
      <c r="AG644" s="238" t="s">
        <v>2386</v>
      </c>
      <c r="AH644" s="238" t="s">
        <v>135</v>
      </c>
      <c r="AI644" s="238" t="s">
        <v>3075</v>
      </c>
      <c r="AJ644" s="238" t="s">
        <v>399</v>
      </c>
      <c r="AK644" s="238" t="s">
        <v>141</v>
      </c>
      <c r="AL644" t="s">
        <v>8715</v>
      </c>
      <c r="AM644" t="s">
        <v>1167</v>
      </c>
    </row>
    <row r="645" spans="1:39" hidden="1" x14ac:dyDescent="0.25">
      <c r="A645">
        <v>641</v>
      </c>
      <c r="B645">
        <v>35</v>
      </c>
      <c r="C645" s="24">
        <v>44461</v>
      </c>
      <c r="D645" s="238" t="s">
        <v>27</v>
      </c>
      <c r="E645" s="238" t="s">
        <v>5</v>
      </c>
      <c r="F645">
        <v>3</v>
      </c>
      <c r="G645">
        <v>8</v>
      </c>
      <c r="H645">
        <v>258</v>
      </c>
      <c r="I645" s="238" t="s">
        <v>4052</v>
      </c>
      <c r="J645">
        <v>23.54</v>
      </c>
      <c r="K645" s="238" t="s">
        <v>36</v>
      </c>
      <c r="L645">
        <v>1523861.9</v>
      </c>
      <c r="M645">
        <v>0</v>
      </c>
      <c r="N645">
        <v>1523861.9</v>
      </c>
      <c r="O645">
        <v>64735</v>
      </c>
      <c r="P645">
        <v>0</v>
      </c>
      <c r="Q645">
        <v>1523861.9</v>
      </c>
      <c r="R645">
        <v>64735</v>
      </c>
      <c r="S645" s="238" t="s">
        <v>124</v>
      </c>
      <c r="T645" s="238" t="s">
        <v>1167</v>
      </c>
      <c r="V645" t="s">
        <v>1167</v>
      </c>
      <c r="W645" s="24">
        <v>44456</v>
      </c>
      <c r="X645" s="238" t="s">
        <v>775</v>
      </c>
      <c r="Y645" s="238" t="s">
        <v>39</v>
      </c>
      <c r="Z645" s="238" t="s">
        <v>1168</v>
      </c>
      <c r="AA645" t="s">
        <v>1167</v>
      </c>
      <c r="AB645" s="238" t="s">
        <v>3246</v>
      </c>
      <c r="AC645" t="s">
        <v>4246</v>
      </c>
      <c r="AD645" s="24">
        <v>44963</v>
      </c>
      <c r="AE645" s="238" t="s">
        <v>4886</v>
      </c>
      <c r="AF645">
        <v>79277069743</v>
      </c>
      <c r="AG645" s="238" t="s">
        <v>4887</v>
      </c>
      <c r="AH645" s="238" t="s">
        <v>1197</v>
      </c>
      <c r="AI645" s="238" t="s">
        <v>3094</v>
      </c>
      <c r="AJ645" s="238" t="s">
        <v>126</v>
      </c>
      <c r="AK645" s="238" t="s">
        <v>1167</v>
      </c>
      <c r="AL645" t="s">
        <v>8715</v>
      </c>
      <c r="AM645" t="s">
        <v>1167</v>
      </c>
    </row>
    <row r="646" spans="1:39" hidden="1" x14ac:dyDescent="0.25">
      <c r="A646">
        <v>642</v>
      </c>
      <c r="B646">
        <v>36</v>
      </c>
      <c r="C646" s="24">
        <v>44462</v>
      </c>
      <c r="D646" s="238" t="s">
        <v>19</v>
      </c>
      <c r="E646" s="238" t="s">
        <v>6</v>
      </c>
      <c r="F646">
        <v>7</v>
      </c>
      <c r="G646">
        <v>13</v>
      </c>
      <c r="H646">
        <v>84</v>
      </c>
      <c r="I646" s="238" t="s">
        <v>43</v>
      </c>
      <c r="J646">
        <v>58.17</v>
      </c>
      <c r="K646" s="238" t="s">
        <v>36</v>
      </c>
      <c r="L646">
        <v>3919247.01</v>
      </c>
      <c r="M646">
        <v>15000</v>
      </c>
      <c r="N646">
        <v>3934247.01</v>
      </c>
      <c r="O646">
        <v>67633.608561113972</v>
      </c>
      <c r="P646">
        <v>0</v>
      </c>
      <c r="Q646">
        <v>3934247.01</v>
      </c>
      <c r="R646">
        <v>67633.608561113972</v>
      </c>
      <c r="S646" s="238" t="s">
        <v>137</v>
      </c>
      <c r="T646" s="238" t="s">
        <v>1167</v>
      </c>
      <c r="V646" t="s">
        <v>4091</v>
      </c>
      <c r="W646" s="24">
        <v>44454</v>
      </c>
      <c r="X646" s="238" t="s">
        <v>776</v>
      </c>
      <c r="Y646" s="238" t="s">
        <v>39</v>
      </c>
      <c r="Z646" s="238" t="s">
        <v>1340</v>
      </c>
      <c r="AA646" t="s">
        <v>1167</v>
      </c>
      <c r="AB646" s="238" t="s">
        <v>3246</v>
      </c>
      <c r="AC646" t="s">
        <v>3079</v>
      </c>
      <c r="AD646" s="24"/>
      <c r="AE646" s="238" t="s">
        <v>2387</v>
      </c>
      <c r="AF646">
        <v>79277199013</v>
      </c>
      <c r="AG646" s="238" t="s">
        <v>2388</v>
      </c>
      <c r="AH646" s="238" t="s">
        <v>1212</v>
      </c>
      <c r="AI646" s="238" t="s">
        <v>135</v>
      </c>
      <c r="AJ646" s="238" t="s">
        <v>641</v>
      </c>
      <c r="AK646" s="238" t="s">
        <v>141</v>
      </c>
      <c r="AL646" t="s">
        <v>8715</v>
      </c>
      <c r="AM646" t="s">
        <v>1167</v>
      </c>
    </row>
    <row r="647" spans="1:39" hidden="1" x14ac:dyDescent="0.25">
      <c r="A647">
        <v>643</v>
      </c>
      <c r="B647">
        <v>37</v>
      </c>
      <c r="C647" s="24">
        <v>44463</v>
      </c>
      <c r="D647" s="238" t="s">
        <v>27</v>
      </c>
      <c r="E647" s="238" t="s">
        <v>5</v>
      </c>
      <c r="F647">
        <v>7</v>
      </c>
      <c r="G647">
        <v>13</v>
      </c>
      <c r="H647">
        <v>302</v>
      </c>
      <c r="I647" s="238" t="s">
        <v>43</v>
      </c>
      <c r="J647">
        <v>59.93</v>
      </c>
      <c r="K647" s="238" t="s">
        <v>36</v>
      </c>
      <c r="L647">
        <v>3541834.47</v>
      </c>
      <c r="M647">
        <v>0</v>
      </c>
      <c r="N647">
        <v>3541834.47</v>
      </c>
      <c r="O647">
        <v>59099.523944602042</v>
      </c>
      <c r="P647">
        <v>0</v>
      </c>
      <c r="Q647">
        <v>3541834.47</v>
      </c>
      <c r="R647">
        <v>59099.523944602042</v>
      </c>
      <c r="S647" s="238" t="s">
        <v>137</v>
      </c>
      <c r="T647" s="238" t="s">
        <v>1167</v>
      </c>
      <c r="V647" t="s">
        <v>4091</v>
      </c>
      <c r="W647" s="24">
        <v>44459</v>
      </c>
      <c r="X647" s="238" t="s">
        <v>779</v>
      </c>
      <c r="Y647" s="238" t="s">
        <v>39</v>
      </c>
      <c r="Z647" s="238" t="s">
        <v>1340</v>
      </c>
      <c r="AA647" t="s">
        <v>1167</v>
      </c>
      <c r="AB647" s="238" t="s">
        <v>3246</v>
      </c>
      <c r="AC647" t="s">
        <v>3079</v>
      </c>
      <c r="AD647" s="24"/>
      <c r="AE647" s="238" t="s">
        <v>2389</v>
      </c>
      <c r="AF647">
        <v>79874377900</v>
      </c>
      <c r="AG647" s="238" t="s">
        <v>2390</v>
      </c>
      <c r="AH647" s="238" t="s">
        <v>1212</v>
      </c>
      <c r="AI647" s="238" t="s">
        <v>135</v>
      </c>
      <c r="AJ647" s="238" t="s">
        <v>120</v>
      </c>
      <c r="AK647" s="238" t="s">
        <v>141</v>
      </c>
      <c r="AL647" t="s">
        <v>8715</v>
      </c>
      <c r="AM647" t="s">
        <v>1167</v>
      </c>
    </row>
    <row r="648" spans="1:39" hidden="1" x14ac:dyDescent="0.25">
      <c r="A648">
        <v>644</v>
      </c>
      <c r="B648">
        <v>38</v>
      </c>
      <c r="C648" s="24">
        <v>44463</v>
      </c>
      <c r="D648" s="238" t="s">
        <v>27</v>
      </c>
      <c r="E648" s="238" t="s">
        <v>5</v>
      </c>
      <c r="F648">
        <v>4</v>
      </c>
      <c r="G648">
        <v>12</v>
      </c>
      <c r="H648">
        <v>291</v>
      </c>
      <c r="I648" s="238" t="s">
        <v>42</v>
      </c>
      <c r="J648">
        <v>40</v>
      </c>
      <c r="K648" s="238" t="s">
        <v>36</v>
      </c>
      <c r="L648">
        <v>2508136</v>
      </c>
      <c r="M648">
        <v>15000</v>
      </c>
      <c r="N648">
        <v>2523136</v>
      </c>
      <c r="O648">
        <v>63078.400000000001</v>
      </c>
      <c r="P648">
        <v>0</v>
      </c>
      <c r="Q648">
        <v>2523136</v>
      </c>
      <c r="R648">
        <v>63078.400000000001</v>
      </c>
      <c r="S648" s="238" t="s">
        <v>137</v>
      </c>
      <c r="T648" s="238" t="s">
        <v>1167</v>
      </c>
      <c r="V648" t="s">
        <v>1167</v>
      </c>
      <c r="W648" s="24">
        <v>44460</v>
      </c>
      <c r="X648" s="238" t="s">
        <v>778</v>
      </c>
      <c r="Y648" s="238" t="s">
        <v>39</v>
      </c>
      <c r="Z648" s="238" t="s">
        <v>1340</v>
      </c>
      <c r="AA648" t="s">
        <v>1167</v>
      </c>
      <c r="AB648" s="238" t="s">
        <v>3246</v>
      </c>
      <c r="AC648" t="s">
        <v>3077</v>
      </c>
      <c r="AD648" s="24"/>
      <c r="AE648" s="238" t="s">
        <v>2391</v>
      </c>
      <c r="AF648">
        <v>79277672649</v>
      </c>
      <c r="AG648" s="238" t="s">
        <v>2392</v>
      </c>
      <c r="AH648" s="238" t="s">
        <v>137</v>
      </c>
      <c r="AI648" s="238" t="s">
        <v>3114</v>
      </c>
      <c r="AJ648" s="238" t="s">
        <v>399</v>
      </c>
      <c r="AK648" s="238" t="s">
        <v>141</v>
      </c>
      <c r="AL648" t="s">
        <v>8715</v>
      </c>
      <c r="AM648" t="s">
        <v>1167</v>
      </c>
    </row>
    <row r="649" spans="1:39" hidden="1" x14ac:dyDescent="0.25">
      <c r="A649">
        <v>645</v>
      </c>
      <c r="B649">
        <v>39</v>
      </c>
      <c r="C649" s="24">
        <v>44463</v>
      </c>
      <c r="D649" s="238" t="s">
        <v>27</v>
      </c>
      <c r="E649" s="238" t="s">
        <v>5</v>
      </c>
      <c r="F649">
        <v>5</v>
      </c>
      <c r="G649">
        <v>16</v>
      </c>
      <c r="H649">
        <v>324</v>
      </c>
      <c r="I649" s="238" t="s">
        <v>4052</v>
      </c>
      <c r="J649">
        <v>23.63</v>
      </c>
      <c r="K649" s="238" t="s">
        <v>37</v>
      </c>
      <c r="L649">
        <v>1659653.05</v>
      </c>
      <c r="M649">
        <v>0</v>
      </c>
      <c r="N649">
        <v>1659653.05</v>
      </c>
      <c r="O649">
        <v>70235</v>
      </c>
      <c r="P649">
        <v>129965</v>
      </c>
      <c r="Q649">
        <v>1529688.05</v>
      </c>
      <c r="R649">
        <v>64735.000000000007</v>
      </c>
      <c r="S649" s="238" t="s">
        <v>137</v>
      </c>
      <c r="T649" s="238" t="s">
        <v>1167</v>
      </c>
      <c r="V649" t="s">
        <v>1167</v>
      </c>
      <c r="W649" s="24">
        <v>44460</v>
      </c>
      <c r="X649" s="238" t="s">
        <v>780</v>
      </c>
      <c r="Y649" s="238" t="s">
        <v>39</v>
      </c>
      <c r="Z649" s="238" t="s">
        <v>1340</v>
      </c>
      <c r="AA649" t="s">
        <v>1167</v>
      </c>
      <c r="AB649" s="238" t="s">
        <v>3246</v>
      </c>
      <c r="AC649" t="s">
        <v>3079</v>
      </c>
      <c r="AD649" s="24"/>
      <c r="AE649" s="238" t="s">
        <v>2393</v>
      </c>
      <c r="AF649">
        <v>79273646638</v>
      </c>
      <c r="AG649" s="238" t="s">
        <v>2394</v>
      </c>
      <c r="AH649" s="238" t="s">
        <v>1171</v>
      </c>
      <c r="AI649" s="238" t="s">
        <v>135</v>
      </c>
      <c r="AJ649" s="238" t="s">
        <v>126</v>
      </c>
      <c r="AK649" s="238" t="s">
        <v>141</v>
      </c>
      <c r="AL649" t="s">
        <v>8715</v>
      </c>
      <c r="AM649" t="s">
        <v>1167</v>
      </c>
    </row>
    <row r="650" spans="1:39" hidden="1" x14ac:dyDescent="0.25">
      <c r="A650">
        <v>646</v>
      </c>
      <c r="B650">
        <v>40</v>
      </c>
      <c r="C650" s="24">
        <v>44463</v>
      </c>
      <c r="D650" s="238" t="s">
        <v>27</v>
      </c>
      <c r="E650" s="238" t="s">
        <v>16</v>
      </c>
      <c r="F650">
        <v>4</v>
      </c>
      <c r="G650">
        <v>2</v>
      </c>
      <c r="H650">
        <v>395</v>
      </c>
      <c r="I650" s="238" t="s">
        <v>42</v>
      </c>
      <c r="J650">
        <v>40</v>
      </c>
      <c r="K650" s="238" t="s">
        <v>37</v>
      </c>
      <c r="L650">
        <v>2751020.8</v>
      </c>
      <c r="M650">
        <v>0</v>
      </c>
      <c r="N650">
        <v>2751020.8</v>
      </c>
      <c r="O650">
        <v>68775.51999999999</v>
      </c>
      <c r="P650">
        <v>220000</v>
      </c>
      <c r="Q650">
        <v>2531020.7999999998</v>
      </c>
      <c r="R650">
        <v>63275.519999999997</v>
      </c>
      <c r="S650" s="238" t="s">
        <v>137</v>
      </c>
      <c r="T650" s="238" t="s">
        <v>1167</v>
      </c>
      <c r="V650" t="s">
        <v>1167</v>
      </c>
      <c r="W650" s="24">
        <v>44461</v>
      </c>
      <c r="X650" s="238" t="s">
        <v>777</v>
      </c>
      <c r="Y650" s="238" t="s">
        <v>39</v>
      </c>
      <c r="Z650" s="238" t="s">
        <v>1340</v>
      </c>
      <c r="AA650" t="s">
        <v>1167</v>
      </c>
      <c r="AB650" s="238" t="s">
        <v>3246</v>
      </c>
      <c r="AC650" t="s">
        <v>3079</v>
      </c>
      <c r="AD650" s="24"/>
      <c r="AE650" s="238" t="s">
        <v>2395</v>
      </c>
      <c r="AF650">
        <v>79277558252</v>
      </c>
      <c r="AG650" s="238" t="s">
        <v>2396</v>
      </c>
      <c r="AH650" s="238" t="s">
        <v>1171</v>
      </c>
      <c r="AI650" s="238" t="s">
        <v>135</v>
      </c>
      <c r="AJ650" s="238" t="s">
        <v>126</v>
      </c>
      <c r="AK650" s="238" t="s">
        <v>141</v>
      </c>
      <c r="AL650" t="s">
        <v>8715</v>
      </c>
      <c r="AM650" t="s">
        <v>1167</v>
      </c>
    </row>
    <row r="651" spans="1:39" hidden="1" x14ac:dyDescent="0.25">
      <c r="A651">
        <v>647</v>
      </c>
      <c r="B651">
        <v>41</v>
      </c>
      <c r="C651" s="24">
        <v>44466</v>
      </c>
      <c r="D651" s="238" t="s">
        <v>19</v>
      </c>
      <c r="E651" s="238" t="s">
        <v>5</v>
      </c>
      <c r="F651">
        <v>7</v>
      </c>
      <c r="G651">
        <v>6</v>
      </c>
      <c r="H651">
        <v>212</v>
      </c>
      <c r="I651" s="238" t="s">
        <v>4052</v>
      </c>
      <c r="J651">
        <v>24.23</v>
      </c>
      <c r="K651" s="238" t="s">
        <v>37</v>
      </c>
      <c r="L651">
        <v>1800538.39</v>
      </c>
      <c r="M651">
        <v>15000</v>
      </c>
      <c r="N651">
        <v>1815538.39</v>
      </c>
      <c r="O651">
        <v>74929.359884440768</v>
      </c>
      <c r="P651">
        <v>133265</v>
      </c>
      <c r="Q651">
        <v>1682273.39</v>
      </c>
      <c r="R651">
        <v>69429.359884440768</v>
      </c>
      <c r="S651" s="238" t="s">
        <v>121</v>
      </c>
      <c r="T651" s="238" t="s">
        <v>1167</v>
      </c>
      <c r="V651" t="s">
        <v>1167</v>
      </c>
      <c r="W651" s="24">
        <v>44435</v>
      </c>
      <c r="X651" s="238" t="s">
        <v>781</v>
      </c>
      <c r="Y651" s="238" t="s">
        <v>39</v>
      </c>
      <c r="Z651" s="238" t="s">
        <v>1168</v>
      </c>
      <c r="AA651" t="s">
        <v>1167</v>
      </c>
      <c r="AB651" s="238" t="s">
        <v>3246</v>
      </c>
      <c r="AC651" t="s">
        <v>4246</v>
      </c>
      <c r="AD651" s="24"/>
      <c r="AE651" s="238" t="s">
        <v>2397</v>
      </c>
      <c r="AF651">
        <v>79272152177</v>
      </c>
      <c r="AG651" s="238" t="s">
        <v>2398</v>
      </c>
      <c r="AH651" s="238" t="s">
        <v>1171</v>
      </c>
      <c r="AI651" s="238" t="s">
        <v>135</v>
      </c>
      <c r="AJ651" s="238" t="s">
        <v>120</v>
      </c>
      <c r="AK651" s="238" t="s">
        <v>1167</v>
      </c>
      <c r="AL651" t="s">
        <v>8715</v>
      </c>
      <c r="AM651" t="s">
        <v>1167</v>
      </c>
    </row>
    <row r="652" spans="1:39" hidden="1" x14ac:dyDescent="0.25">
      <c r="A652">
        <v>648</v>
      </c>
      <c r="B652">
        <v>42</v>
      </c>
      <c r="C652" s="24">
        <v>44466</v>
      </c>
      <c r="D652" s="238" t="s">
        <v>27</v>
      </c>
      <c r="E652" s="238" t="s">
        <v>15</v>
      </c>
      <c r="F652">
        <v>7</v>
      </c>
      <c r="G652">
        <v>13</v>
      </c>
      <c r="H652">
        <v>606</v>
      </c>
      <c r="I652" s="238" t="s">
        <v>43</v>
      </c>
      <c r="J652">
        <v>59.93</v>
      </c>
      <c r="K652" s="238" t="s">
        <v>38</v>
      </c>
      <c r="L652">
        <v>4449881.37</v>
      </c>
      <c r="M652">
        <v>15000</v>
      </c>
      <c r="N652">
        <v>4464881.37</v>
      </c>
      <c r="O652">
        <v>74501.6080427165</v>
      </c>
      <c r="P652">
        <v>958880</v>
      </c>
      <c r="Q652">
        <v>3506001.37</v>
      </c>
      <c r="R652">
        <v>58501.608042716507</v>
      </c>
      <c r="S652" s="238" t="s">
        <v>137</v>
      </c>
      <c r="T652" s="238" t="s">
        <v>1167</v>
      </c>
      <c r="V652" t="s">
        <v>4091</v>
      </c>
      <c r="W652" s="24">
        <v>44459</v>
      </c>
      <c r="X652" s="238" t="s">
        <v>782</v>
      </c>
      <c r="Y652" s="238" t="s">
        <v>39</v>
      </c>
      <c r="Z652" s="238" t="s">
        <v>1340</v>
      </c>
      <c r="AA652" t="s">
        <v>1167</v>
      </c>
      <c r="AB652" s="238" t="s">
        <v>3246</v>
      </c>
      <c r="AC652" t="s">
        <v>3079</v>
      </c>
      <c r="AD652" s="24"/>
      <c r="AE652" s="238" t="s">
        <v>2399</v>
      </c>
      <c r="AF652">
        <v>79084184498</v>
      </c>
      <c r="AG652" s="238" t="s">
        <v>2400</v>
      </c>
      <c r="AH652" s="238" t="s">
        <v>1212</v>
      </c>
      <c r="AI652" s="238" t="s">
        <v>135</v>
      </c>
      <c r="AJ652" s="238" t="s">
        <v>399</v>
      </c>
      <c r="AK652" s="238" t="s">
        <v>141</v>
      </c>
      <c r="AL652" t="s">
        <v>8715</v>
      </c>
      <c r="AM652" t="s">
        <v>1167</v>
      </c>
    </row>
    <row r="653" spans="1:39" hidden="1" x14ac:dyDescent="0.25">
      <c r="A653">
        <v>649</v>
      </c>
      <c r="B653">
        <v>43</v>
      </c>
      <c r="C653" s="24">
        <v>44467</v>
      </c>
      <c r="D653" s="238" t="s">
        <v>27</v>
      </c>
      <c r="E653" s="238" t="s">
        <v>5</v>
      </c>
      <c r="F653">
        <v>3</v>
      </c>
      <c r="G653">
        <v>13</v>
      </c>
      <c r="H653">
        <v>298</v>
      </c>
      <c r="I653" s="238" t="s">
        <v>4052</v>
      </c>
      <c r="J653">
        <v>23.54</v>
      </c>
      <c r="K653" s="238" t="s">
        <v>37</v>
      </c>
      <c r="L653">
        <v>1653331.9</v>
      </c>
      <c r="M653">
        <v>0</v>
      </c>
      <c r="N653">
        <v>1653331.9</v>
      </c>
      <c r="O653">
        <v>70235</v>
      </c>
      <c r="P653">
        <v>129470</v>
      </c>
      <c r="Q653">
        <v>1523861.9</v>
      </c>
      <c r="R653">
        <v>64735</v>
      </c>
      <c r="S653" s="238" t="s">
        <v>121</v>
      </c>
      <c r="T653" s="238" t="s">
        <v>1167</v>
      </c>
      <c r="V653" t="s">
        <v>1167</v>
      </c>
      <c r="W653" s="24">
        <v>44462</v>
      </c>
      <c r="X653" s="238" t="s">
        <v>783</v>
      </c>
      <c r="Y653" s="238" t="s">
        <v>39</v>
      </c>
      <c r="Z653" s="238" t="s">
        <v>1340</v>
      </c>
      <c r="AA653" t="s">
        <v>1167</v>
      </c>
      <c r="AB653" s="238" t="s">
        <v>3246</v>
      </c>
      <c r="AC653" t="s">
        <v>4246</v>
      </c>
      <c r="AD653" s="24"/>
      <c r="AE653" s="238" t="s">
        <v>2401</v>
      </c>
      <c r="AF653">
        <v>79276149565</v>
      </c>
      <c r="AG653" s="238" t="s">
        <v>2402</v>
      </c>
      <c r="AH653" s="238" t="s">
        <v>1171</v>
      </c>
      <c r="AI653" s="238" t="s">
        <v>135</v>
      </c>
      <c r="AJ653" s="238" t="s">
        <v>641</v>
      </c>
      <c r="AK653" s="238" t="s">
        <v>1167</v>
      </c>
      <c r="AL653" t="s">
        <v>8715</v>
      </c>
      <c r="AM653" t="s">
        <v>1167</v>
      </c>
    </row>
    <row r="654" spans="1:39" hidden="1" x14ac:dyDescent="0.25">
      <c r="A654">
        <v>650</v>
      </c>
      <c r="B654">
        <v>44</v>
      </c>
      <c r="C654" s="24">
        <v>44467</v>
      </c>
      <c r="D654" s="238" t="s">
        <v>27</v>
      </c>
      <c r="E654" s="238" t="s">
        <v>15</v>
      </c>
      <c r="F654">
        <v>2</v>
      </c>
      <c r="G654">
        <v>11</v>
      </c>
      <c r="H654">
        <v>585</v>
      </c>
      <c r="I654" s="238" t="s">
        <v>42</v>
      </c>
      <c r="J654">
        <v>37.159999999999997</v>
      </c>
      <c r="K654" s="238" t="s">
        <v>37</v>
      </c>
      <c r="L654">
        <v>2457726.73</v>
      </c>
      <c r="M654">
        <v>0</v>
      </c>
      <c r="N654">
        <v>2457726.73</v>
      </c>
      <c r="O654">
        <v>66139.040096878365</v>
      </c>
      <c r="P654">
        <v>204380</v>
      </c>
      <c r="Q654">
        <v>2253346.73</v>
      </c>
      <c r="R654">
        <v>60639.040096878372</v>
      </c>
      <c r="S654" s="238" t="s">
        <v>121</v>
      </c>
      <c r="T654" s="238" t="s">
        <v>1167</v>
      </c>
      <c r="V654" t="s">
        <v>1167</v>
      </c>
      <c r="W654" s="24">
        <v>44463</v>
      </c>
      <c r="X654" s="238" t="s">
        <v>784</v>
      </c>
      <c r="Y654" s="238" t="s">
        <v>39</v>
      </c>
      <c r="Z654" s="238" t="s">
        <v>1168</v>
      </c>
      <c r="AA654" t="s">
        <v>1167</v>
      </c>
      <c r="AB654" s="238" t="s">
        <v>3246</v>
      </c>
      <c r="AC654" t="s">
        <v>4246</v>
      </c>
      <c r="AD654" s="24"/>
      <c r="AE654" s="238" t="s">
        <v>1283</v>
      </c>
      <c r="AF654">
        <v>79377973620</v>
      </c>
      <c r="AG654" s="238" t="s">
        <v>1284</v>
      </c>
      <c r="AH654" s="238" t="s">
        <v>1171</v>
      </c>
      <c r="AI654" s="238" t="s">
        <v>3082</v>
      </c>
      <c r="AJ654" s="238" t="s">
        <v>130</v>
      </c>
      <c r="AK654" s="238" t="s">
        <v>1167</v>
      </c>
      <c r="AL654" t="s">
        <v>8715</v>
      </c>
      <c r="AM654" t="s">
        <v>1167</v>
      </c>
    </row>
    <row r="655" spans="1:39" hidden="1" x14ac:dyDescent="0.25">
      <c r="A655">
        <v>651</v>
      </c>
      <c r="B655">
        <v>45</v>
      </c>
      <c r="C655" s="24">
        <v>44467</v>
      </c>
      <c r="D655" s="238" t="s">
        <v>27</v>
      </c>
      <c r="E655" s="238" t="s">
        <v>15</v>
      </c>
      <c r="F655">
        <v>6</v>
      </c>
      <c r="G655">
        <v>13</v>
      </c>
      <c r="H655">
        <v>605</v>
      </c>
      <c r="I655" s="238" t="s">
        <v>42</v>
      </c>
      <c r="J655">
        <v>37.11</v>
      </c>
      <c r="K655" s="238" t="s">
        <v>37</v>
      </c>
      <c r="L655">
        <v>2454419.77</v>
      </c>
      <c r="M655">
        <v>0</v>
      </c>
      <c r="N655">
        <v>2454419.77</v>
      </c>
      <c r="O655">
        <v>66139.039881433579</v>
      </c>
      <c r="P655">
        <v>204105</v>
      </c>
      <c r="Q655">
        <v>2250314.77</v>
      </c>
      <c r="R655">
        <v>60639.039881433579</v>
      </c>
      <c r="S655" s="238" t="s">
        <v>121</v>
      </c>
      <c r="T655" s="238" t="s">
        <v>1167</v>
      </c>
      <c r="V655" t="s">
        <v>1167</v>
      </c>
      <c r="W655" s="24">
        <v>44463</v>
      </c>
      <c r="X655" s="238" t="s">
        <v>785</v>
      </c>
      <c r="Y655" s="238" t="s">
        <v>39</v>
      </c>
      <c r="Z655" s="238" t="s">
        <v>1168</v>
      </c>
      <c r="AA655" t="s">
        <v>1167</v>
      </c>
      <c r="AB655" s="238" t="s">
        <v>3246</v>
      </c>
      <c r="AC655" t="s">
        <v>4246</v>
      </c>
      <c r="AD655" s="24"/>
      <c r="AE655" s="238" t="s">
        <v>1283</v>
      </c>
      <c r="AF655">
        <v>79377973620</v>
      </c>
      <c r="AG655" s="238" t="s">
        <v>1284</v>
      </c>
      <c r="AH655" s="238" t="s">
        <v>1197</v>
      </c>
      <c r="AI655" s="238" t="s">
        <v>3082</v>
      </c>
      <c r="AJ655" s="238" t="s">
        <v>130</v>
      </c>
      <c r="AK655" s="238" t="s">
        <v>1167</v>
      </c>
      <c r="AL655" t="s">
        <v>8715</v>
      </c>
      <c r="AM655" t="s">
        <v>1167</v>
      </c>
    </row>
    <row r="656" spans="1:39" hidden="1" x14ac:dyDescent="0.25">
      <c r="A656">
        <v>652</v>
      </c>
      <c r="B656">
        <v>46</v>
      </c>
      <c r="C656" s="24">
        <v>44468</v>
      </c>
      <c r="D656" s="238" t="s">
        <v>27</v>
      </c>
      <c r="E656" s="238" t="s">
        <v>14</v>
      </c>
      <c r="F656">
        <v>6</v>
      </c>
      <c r="G656">
        <v>13</v>
      </c>
      <c r="H656">
        <v>736</v>
      </c>
      <c r="I656" s="238" t="s">
        <v>43</v>
      </c>
      <c r="J656">
        <v>61.95</v>
      </c>
      <c r="K656" s="238" t="s">
        <v>37</v>
      </c>
      <c r="L656">
        <v>3901317.6</v>
      </c>
      <c r="M656">
        <v>0</v>
      </c>
      <c r="N656">
        <v>3901317.6</v>
      </c>
      <c r="O656">
        <v>62975.263922518156</v>
      </c>
      <c r="P656">
        <v>340725</v>
      </c>
      <c r="Q656">
        <v>3560592.6</v>
      </c>
      <c r="R656">
        <v>57475.263922518156</v>
      </c>
      <c r="S656" s="238" t="s">
        <v>124</v>
      </c>
      <c r="T656" s="238" t="s">
        <v>1167</v>
      </c>
      <c r="V656" t="s">
        <v>1167</v>
      </c>
      <c r="W656" s="24">
        <v>44465</v>
      </c>
      <c r="X656" s="238" t="s">
        <v>787</v>
      </c>
      <c r="Y656" s="238" t="s">
        <v>39</v>
      </c>
      <c r="Z656" s="238" t="s">
        <v>1340</v>
      </c>
      <c r="AA656" t="s">
        <v>1167</v>
      </c>
      <c r="AB656" s="238" t="s">
        <v>3246</v>
      </c>
      <c r="AC656" t="s">
        <v>4246</v>
      </c>
      <c r="AD656" s="24"/>
      <c r="AE656" s="238" t="s">
        <v>2403</v>
      </c>
      <c r="AF656">
        <v>79125318309</v>
      </c>
      <c r="AG656" s="238" t="s">
        <v>2404</v>
      </c>
      <c r="AH656" s="238" t="s">
        <v>1171</v>
      </c>
      <c r="AI656" s="238" t="s">
        <v>135</v>
      </c>
      <c r="AJ656" s="238" t="s">
        <v>126</v>
      </c>
      <c r="AK656" s="238" t="s">
        <v>1167</v>
      </c>
      <c r="AL656" t="s">
        <v>8715</v>
      </c>
      <c r="AM656" t="s">
        <v>1167</v>
      </c>
    </row>
    <row r="657" spans="1:39" hidden="1" x14ac:dyDescent="0.25">
      <c r="A657">
        <v>653</v>
      </c>
      <c r="B657">
        <v>47</v>
      </c>
      <c r="C657" s="24">
        <v>44468</v>
      </c>
      <c r="D657" s="238" t="s">
        <v>19</v>
      </c>
      <c r="E657" s="238" t="s">
        <v>5</v>
      </c>
      <c r="F657">
        <v>6</v>
      </c>
      <c r="G657">
        <v>15</v>
      </c>
      <c r="H657">
        <v>310</v>
      </c>
      <c r="I657" s="238" t="s">
        <v>43</v>
      </c>
      <c r="J657">
        <v>60.24</v>
      </c>
      <c r="K657" s="238" t="s">
        <v>37</v>
      </c>
      <c r="L657">
        <v>4155614.91</v>
      </c>
      <c r="M657">
        <v>0</v>
      </c>
      <c r="N657">
        <v>4155614.91</v>
      </c>
      <c r="O657">
        <v>68984.311254980086</v>
      </c>
      <c r="P657">
        <v>331320</v>
      </c>
      <c r="Q657">
        <v>3824294.91</v>
      </c>
      <c r="R657">
        <v>63484.311254980079</v>
      </c>
      <c r="S657" s="238" t="s">
        <v>137</v>
      </c>
      <c r="T657" s="238" t="s">
        <v>1167</v>
      </c>
      <c r="V657" t="s">
        <v>4091</v>
      </c>
      <c r="W657" s="24">
        <v>44465</v>
      </c>
      <c r="X657" s="238" t="s">
        <v>788</v>
      </c>
      <c r="Y657" s="238" t="s">
        <v>39</v>
      </c>
      <c r="Z657" s="238" t="s">
        <v>1340</v>
      </c>
      <c r="AA657" t="s">
        <v>1167</v>
      </c>
      <c r="AB657" s="238" t="s">
        <v>3246</v>
      </c>
      <c r="AC657" t="s">
        <v>3079</v>
      </c>
      <c r="AD657" s="24"/>
      <c r="AE657" s="238" t="s">
        <v>2405</v>
      </c>
      <c r="AF657">
        <v>79140954543</v>
      </c>
      <c r="AG657" s="238" t="s">
        <v>2406</v>
      </c>
      <c r="AH657" s="238" t="s">
        <v>1171</v>
      </c>
      <c r="AI657" s="238" t="s">
        <v>3098</v>
      </c>
      <c r="AJ657" s="238" t="s">
        <v>126</v>
      </c>
      <c r="AK657" s="238" t="s">
        <v>141</v>
      </c>
      <c r="AL657" t="s">
        <v>8715</v>
      </c>
      <c r="AM657" t="s">
        <v>1167</v>
      </c>
    </row>
    <row r="658" spans="1:39" hidden="1" x14ac:dyDescent="0.25">
      <c r="A658">
        <v>654</v>
      </c>
      <c r="B658">
        <v>48</v>
      </c>
      <c r="C658" s="24">
        <v>44468</v>
      </c>
      <c r="D658" s="238" t="s">
        <v>27</v>
      </c>
      <c r="E658" s="238" t="s">
        <v>16</v>
      </c>
      <c r="F658">
        <v>4</v>
      </c>
      <c r="G658">
        <v>10</v>
      </c>
      <c r="H658">
        <v>459</v>
      </c>
      <c r="I658" s="238" t="s">
        <v>42</v>
      </c>
      <c r="J658">
        <v>40</v>
      </c>
      <c r="K658" s="238" t="s">
        <v>37</v>
      </c>
      <c r="L658">
        <v>2919755.52</v>
      </c>
      <c r="M658">
        <v>0</v>
      </c>
      <c r="N658">
        <v>2919755.52</v>
      </c>
      <c r="O658">
        <v>72993.888000000006</v>
      </c>
      <c r="P658">
        <v>220000</v>
      </c>
      <c r="Q658">
        <v>2699755.52</v>
      </c>
      <c r="R658">
        <v>67493.888000000006</v>
      </c>
      <c r="S658" s="238" t="s">
        <v>124</v>
      </c>
      <c r="T658" s="238" t="s">
        <v>1167</v>
      </c>
      <c r="V658" t="s">
        <v>1167</v>
      </c>
      <c r="W658" s="24">
        <v>44466</v>
      </c>
      <c r="X658" s="238" t="s">
        <v>786</v>
      </c>
      <c r="Y658" s="238" t="s">
        <v>39</v>
      </c>
      <c r="Z658" s="238" t="s">
        <v>1340</v>
      </c>
      <c r="AA658" t="s">
        <v>1167</v>
      </c>
      <c r="AB658" s="238" t="s">
        <v>3246</v>
      </c>
      <c r="AC658" t="s">
        <v>4246</v>
      </c>
      <c r="AD658" s="24"/>
      <c r="AE658" s="238" t="s">
        <v>2407</v>
      </c>
      <c r="AF658">
        <v>79370228761</v>
      </c>
      <c r="AG658" s="238" t="s">
        <v>2408</v>
      </c>
      <c r="AH658" s="238" t="s">
        <v>1212</v>
      </c>
      <c r="AI658" s="238" t="s">
        <v>135</v>
      </c>
      <c r="AJ658" s="238" t="s">
        <v>120</v>
      </c>
      <c r="AK658" s="238" t="s">
        <v>1167</v>
      </c>
      <c r="AL658" t="s">
        <v>8715</v>
      </c>
      <c r="AM658" t="s">
        <v>1167</v>
      </c>
    </row>
    <row r="659" spans="1:39" hidden="1" x14ac:dyDescent="0.25">
      <c r="A659">
        <v>655</v>
      </c>
      <c r="B659">
        <v>49</v>
      </c>
      <c r="C659" s="24">
        <v>44469</v>
      </c>
      <c r="D659" s="238" t="s">
        <v>20</v>
      </c>
      <c r="E659" s="238" t="s">
        <v>5</v>
      </c>
      <c r="F659">
        <v>1</v>
      </c>
      <c r="G659">
        <v>9</v>
      </c>
      <c r="H659">
        <v>200</v>
      </c>
      <c r="I659" s="238" t="s">
        <v>44</v>
      </c>
      <c r="J659">
        <v>87.6</v>
      </c>
      <c r="K659" s="238" t="s">
        <v>36</v>
      </c>
      <c r="L659">
        <v>4619252</v>
      </c>
      <c r="M659">
        <v>25000</v>
      </c>
      <c r="N659">
        <v>4644252</v>
      </c>
      <c r="O659">
        <v>53016.57534246576</v>
      </c>
      <c r="P659">
        <v>43800</v>
      </c>
      <c r="Q659">
        <v>4600452</v>
      </c>
      <c r="R659">
        <v>52516.57534246576</v>
      </c>
      <c r="S659" s="238" t="s">
        <v>137</v>
      </c>
      <c r="T659" s="238" t="s">
        <v>1167</v>
      </c>
      <c r="V659" t="s">
        <v>1167</v>
      </c>
      <c r="W659" s="24">
        <v>44409</v>
      </c>
      <c r="X659" s="238" t="s">
        <v>795</v>
      </c>
      <c r="Y659" s="238" t="s">
        <v>39</v>
      </c>
      <c r="Z659" s="238" t="s">
        <v>1168</v>
      </c>
      <c r="AA659" t="s">
        <v>1167</v>
      </c>
      <c r="AB659" s="238" t="s">
        <v>3124</v>
      </c>
      <c r="AC659" t="s">
        <v>3077</v>
      </c>
      <c r="AD659" s="24"/>
      <c r="AE659" s="238" t="s">
        <v>2409</v>
      </c>
      <c r="AF659">
        <v>79995369692</v>
      </c>
      <c r="AG659" s="238" t="s">
        <v>2410</v>
      </c>
      <c r="AH659" s="238" t="s">
        <v>1212</v>
      </c>
      <c r="AI659" s="238" t="s">
        <v>3097</v>
      </c>
      <c r="AJ659" s="238" t="s">
        <v>120</v>
      </c>
      <c r="AK659" s="238" t="s">
        <v>141</v>
      </c>
      <c r="AL659" t="s">
        <v>8715</v>
      </c>
      <c r="AM659" t="s">
        <v>1167</v>
      </c>
    </row>
    <row r="660" spans="1:39" hidden="1" x14ac:dyDescent="0.25">
      <c r="A660">
        <v>656</v>
      </c>
      <c r="B660">
        <v>50</v>
      </c>
      <c r="C660" s="24">
        <v>44469</v>
      </c>
      <c r="D660" s="238" t="s">
        <v>20</v>
      </c>
      <c r="E660" s="238" t="s">
        <v>5</v>
      </c>
      <c r="F660">
        <v>1</v>
      </c>
      <c r="G660">
        <v>3</v>
      </c>
      <c r="H660">
        <v>158</v>
      </c>
      <c r="I660" s="238" t="s">
        <v>44</v>
      </c>
      <c r="J660">
        <v>87.8</v>
      </c>
      <c r="K660" s="238" t="s">
        <v>36</v>
      </c>
      <c r="L660">
        <v>4593265.72</v>
      </c>
      <c r="M660">
        <v>15000</v>
      </c>
      <c r="N660">
        <v>4608265.72</v>
      </c>
      <c r="O660">
        <v>52485.942141230065</v>
      </c>
      <c r="P660">
        <v>43900</v>
      </c>
      <c r="Q660">
        <v>4564365.72</v>
      </c>
      <c r="R660">
        <v>51985.942141230065</v>
      </c>
      <c r="S660" s="238" t="s">
        <v>121</v>
      </c>
      <c r="T660" s="238" t="s">
        <v>321</v>
      </c>
      <c r="U660">
        <v>46082.48</v>
      </c>
      <c r="V660" t="s">
        <v>1167</v>
      </c>
      <c r="W660" s="24">
        <v>44456</v>
      </c>
      <c r="X660" s="238" t="s">
        <v>796</v>
      </c>
      <c r="Y660" s="238" t="s">
        <v>39</v>
      </c>
      <c r="Z660" s="238" t="s">
        <v>1168</v>
      </c>
      <c r="AA660" t="s">
        <v>1167</v>
      </c>
      <c r="AB660" s="238" t="s">
        <v>3124</v>
      </c>
      <c r="AC660" t="s">
        <v>4246</v>
      </c>
      <c r="AD660" s="24"/>
      <c r="AE660" s="238" t="s">
        <v>2411</v>
      </c>
      <c r="AF660">
        <v>79179423435</v>
      </c>
      <c r="AG660" s="238" t="s">
        <v>2412</v>
      </c>
      <c r="AH660" s="238" t="s">
        <v>1171</v>
      </c>
      <c r="AI660" s="238" t="s">
        <v>3074</v>
      </c>
      <c r="AJ660" s="238" t="s">
        <v>120</v>
      </c>
      <c r="AK660" s="238" t="s">
        <v>1167</v>
      </c>
      <c r="AL660" t="s">
        <v>8715</v>
      </c>
      <c r="AM660" t="s">
        <v>1167</v>
      </c>
    </row>
    <row r="661" spans="1:39" hidden="1" x14ac:dyDescent="0.25">
      <c r="A661">
        <v>657</v>
      </c>
      <c r="B661">
        <v>51</v>
      </c>
      <c r="C661" s="24">
        <v>44469</v>
      </c>
      <c r="D661" s="238" t="s">
        <v>27</v>
      </c>
      <c r="E661" s="238" t="s">
        <v>15</v>
      </c>
      <c r="F661">
        <v>3</v>
      </c>
      <c r="G661">
        <v>11</v>
      </c>
      <c r="H661">
        <v>586</v>
      </c>
      <c r="I661" s="238" t="s">
        <v>4052</v>
      </c>
      <c r="J661">
        <v>23.54</v>
      </c>
      <c r="K661" s="238" t="s">
        <v>36</v>
      </c>
      <c r="L661">
        <v>1523861.9</v>
      </c>
      <c r="M661">
        <v>0</v>
      </c>
      <c r="N661">
        <v>1523861.9</v>
      </c>
      <c r="O661">
        <v>64735</v>
      </c>
      <c r="P661">
        <v>0</v>
      </c>
      <c r="Q661">
        <v>1523861.9</v>
      </c>
      <c r="R661">
        <v>64735</v>
      </c>
      <c r="S661" s="238" t="s">
        <v>137</v>
      </c>
      <c r="T661" s="238" t="s">
        <v>1167</v>
      </c>
      <c r="V661" t="s">
        <v>1167</v>
      </c>
      <c r="W661" s="24">
        <v>44461</v>
      </c>
      <c r="X661" s="238" t="s">
        <v>791</v>
      </c>
      <c r="Y661" s="238" t="s">
        <v>39</v>
      </c>
      <c r="Z661" s="238" t="s">
        <v>1340</v>
      </c>
      <c r="AA661" t="s">
        <v>1167</v>
      </c>
      <c r="AB661" s="238" t="s">
        <v>3246</v>
      </c>
      <c r="AC661" t="s">
        <v>3079</v>
      </c>
      <c r="AD661" s="24"/>
      <c r="AE661" s="238" t="s">
        <v>2413</v>
      </c>
      <c r="AF661">
        <v>79996836073</v>
      </c>
      <c r="AG661" s="238" t="s">
        <v>2414</v>
      </c>
      <c r="AH661" s="238" t="s">
        <v>1212</v>
      </c>
      <c r="AI661" s="238" t="s">
        <v>3102</v>
      </c>
      <c r="AJ661" s="238" t="s">
        <v>130</v>
      </c>
      <c r="AK661" s="238" t="s">
        <v>141</v>
      </c>
      <c r="AL661" t="s">
        <v>8715</v>
      </c>
      <c r="AM661" t="s">
        <v>1167</v>
      </c>
    </row>
    <row r="662" spans="1:39" hidden="1" x14ac:dyDescent="0.25">
      <c r="A662">
        <v>658</v>
      </c>
      <c r="B662">
        <v>52</v>
      </c>
      <c r="C662" s="24">
        <v>44469</v>
      </c>
      <c r="D662" s="238" t="s">
        <v>27</v>
      </c>
      <c r="E662" s="238" t="s">
        <v>15</v>
      </c>
      <c r="F662">
        <v>7</v>
      </c>
      <c r="G662">
        <v>11</v>
      </c>
      <c r="H662">
        <v>590</v>
      </c>
      <c r="I662" s="238" t="s">
        <v>43</v>
      </c>
      <c r="J662">
        <v>59.93</v>
      </c>
      <c r="K662" s="238" t="s">
        <v>36</v>
      </c>
      <c r="L662">
        <v>3536755.77</v>
      </c>
      <c r="M662">
        <v>0</v>
      </c>
      <c r="N662">
        <v>3536755.77</v>
      </c>
      <c r="O662">
        <v>59014.780076756215</v>
      </c>
      <c r="P662">
        <v>0</v>
      </c>
      <c r="Q662">
        <v>3536755.77</v>
      </c>
      <c r="R662">
        <v>59014.780076756215</v>
      </c>
      <c r="S662" s="238" t="s">
        <v>137</v>
      </c>
      <c r="T662" s="238" t="s">
        <v>1167</v>
      </c>
      <c r="V662" t="s">
        <v>1167</v>
      </c>
      <c r="W662" s="24">
        <v>44464</v>
      </c>
      <c r="X662" s="238" t="s">
        <v>797</v>
      </c>
      <c r="Y662" s="238" t="s">
        <v>39</v>
      </c>
      <c r="Z662" s="238" t="s">
        <v>1168</v>
      </c>
      <c r="AA662" t="s">
        <v>1167</v>
      </c>
      <c r="AB662" s="238" t="s">
        <v>3246</v>
      </c>
      <c r="AC662" t="s">
        <v>3115</v>
      </c>
      <c r="AD662" s="24"/>
      <c r="AE662" s="238" t="s">
        <v>2415</v>
      </c>
      <c r="AF662">
        <v>79610528242</v>
      </c>
      <c r="AG662" s="238" t="s">
        <v>2416</v>
      </c>
      <c r="AH662" s="238" t="s">
        <v>135</v>
      </c>
      <c r="AI662" s="238" t="s">
        <v>3075</v>
      </c>
      <c r="AJ662" s="238" t="s">
        <v>130</v>
      </c>
      <c r="AK662" s="238" t="s">
        <v>794</v>
      </c>
      <c r="AL662" t="s">
        <v>8715</v>
      </c>
      <c r="AM662" t="s">
        <v>1167</v>
      </c>
    </row>
    <row r="663" spans="1:39" hidden="1" x14ac:dyDescent="0.25">
      <c r="A663">
        <v>659</v>
      </c>
      <c r="B663">
        <v>53</v>
      </c>
      <c r="C663" s="24">
        <v>44469</v>
      </c>
      <c r="D663" s="238" t="s">
        <v>27</v>
      </c>
      <c r="E663" s="238" t="s">
        <v>5</v>
      </c>
      <c r="F663">
        <v>2</v>
      </c>
      <c r="G663">
        <v>18</v>
      </c>
      <c r="H663">
        <v>337</v>
      </c>
      <c r="I663" s="238" t="s">
        <v>42</v>
      </c>
      <c r="J663">
        <v>37.159999999999997</v>
      </c>
      <c r="K663" s="238" t="s">
        <v>37</v>
      </c>
      <c r="L663">
        <v>2555698.3199999998</v>
      </c>
      <c r="M663">
        <v>0</v>
      </c>
      <c r="N663">
        <v>2555698.3199999998</v>
      </c>
      <c r="O663">
        <v>68775.519913885902</v>
      </c>
      <c r="P663">
        <v>204380</v>
      </c>
      <c r="Q663">
        <v>2351318.3199999998</v>
      </c>
      <c r="R663">
        <v>63275.519913885902</v>
      </c>
      <c r="S663" s="238" t="s">
        <v>121</v>
      </c>
      <c r="T663" s="238" t="s">
        <v>1167</v>
      </c>
      <c r="V663" t="s">
        <v>1167</v>
      </c>
      <c r="W663" s="24">
        <v>44466</v>
      </c>
      <c r="X663" s="238" t="s">
        <v>792</v>
      </c>
      <c r="Y663" s="238" t="s">
        <v>39</v>
      </c>
      <c r="Z663" s="238" t="s">
        <v>1168</v>
      </c>
      <c r="AA663" t="s">
        <v>1167</v>
      </c>
      <c r="AB663" s="238" t="s">
        <v>3246</v>
      </c>
      <c r="AC663" t="s">
        <v>4246</v>
      </c>
      <c r="AD663" s="24"/>
      <c r="AE663" s="238" t="s">
        <v>2417</v>
      </c>
      <c r="AF663">
        <v>79178108313</v>
      </c>
      <c r="AG663" s="238" t="s">
        <v>2418</v>
      </c>
      <c r="AH663" s="238" t="s">
        <v>1171</v>
      </c>
      <c r="AI663" s="238" t="s">
        <v>135</v>
      </c>
      <c r="AJ663" s="238" t="s">
        <v>120</v>
      </c>
      <c r="AK663" s="238" t="s">
        <v>1167</v>
      </c>
      <c r="AL663" t="s">
        <v>8715</v>
      </c>
      <c r="AM663" t="s">
        <v>1167</v>
      </c>
    </row>
    <row r="664" spans="1:39" hidden="1" x14ac:dyDescent="0.25">
      <c r="A664">
        <v>660</v>
      </c>
      <c r="B664">
        <v>54</v>
      </c>
      <c r="C664" s="24">
        <v>44469</v>
      </c>
      <c r="D664" s="238" t="s">
        <v>27</v>
      </c>
      <c r="E664" s="238" t="s">
        <v>5</v>
      </c>
      <c r="F664">
        <v>8</v>
      </c>
      <c r="G664">
        <v>11</v>
      </c>
      <c r="H664">
        <v>287</v>
      </c>
      <c r="I664" s="238" t="s">
        <v>43</v>
      </c>
      <c r="J664">
        <v>55.8</v>
      </c>
      <c r="K664" s="238" t="s">
        <v>37</v>
      </c>
      <c r="L664">
        <v>3456749.74</v>
      </c>
      <c r="M664">
        <v>0</v>
      </c>
      <c r="N664">
        <v>3456749.74</v>
      </c>
      <c r="O664">
        <v>61948.920071684595</v>
      </c>
      <c r="P664">
        <v>306900</v>
      </c>
      <c r="Q664">
        <v>3149849.74</v>
      </c>
      <c r="R664">
        <v>56448.920071684595</v>
      </c>
      <c r="S664" s="238" t="s">
        <v>137</v>
      </c>
      <c r="T664" s="238" t="s">
        <v>1167</v>
      </c>
      <c r="V664" t="s">
        <v>4091</v>
      </c>
      <c r="W664" s="24">
        <v>44466</v>
      </c>
      <c r="X664" s="238" t="s">
        <v>798</v>
      </c>
      <c r="Y664" s="238" t="s">
        <v>39</v>
      </c>
      <c r="Z664" s="238" t="s">
        <v>1168</v>
      </c>
      <c r="AA664" t="s">
        <v>1167</v>
      </c>
      <c r="AB664" s="238" t="s">
        <v>3246</v>
      </c>
      <c r="AC664" t="s">
        <v>3079</v>
      </c>
      <c r="AD664" s="24"/>
      <c r="AE664" s="238" t="s">
        <v>2419</v>
      </c>
      <c r="AF664">
        <v>79276013582</v>
      </c>
      <c r="AG664" s="238" t="s">
        <v>2420</v>
      </c>
      <c r="AH664" s="238" t="s">
        <v>1171</v>
      </c>
      <c r="AI664" s="238" t="s">
        <v>135</v>
      </c>
      <c r="AJ664" s="238" t="s">
        <v>399</v>
      </c>
      <c r="AK664" s="238" t="s">
        <v>141</v>
      </c>
      <c r="AL664" t="s">
        <v>8715</v>
      </c>
      <c r="AM664" t="s">
        <v>1167</v>
      </c>
    </row>
    <row r="665" spans="1:39" hidden="1" x14ac:dyDescent="0.25">
      <c r="A665">
        <v>661</v>
      </c>
      <c r="B665">
        <v>55</v>
      </c>
      <c r="C665" s="24">
        <v>44469</v>
      </c>
      <c r="D665" s="238" t="s">
        <v>27</v>
      </c>
      <c r="E665" s="238" t="s">
        <v>15</v>
      </c>
      <c r="F665">
        <v>2</v>
      </c>
      <c r="G665">
        <v>13</v>
      </c>
      <c r="H665">
        <v>601</v>
      </c>
      <c r="I665" s="238" t="s">
        <v>42</v>
      </c>
      <c r="J665">
        <v>37.159999999999997</v>
      </c>
      <c r="K665" s="238" t="s">
        <v>36</v>
      </c>
      <c r="L665">
        <v>2237431.1</v>
      </c>
      <c r="M665">
        <v>15000</v>
      </c>
      <c r="N665">
        <v>2252431.1</v>
      </c>
      <c r="O665">
        <v>60614.399892357382</v>
      </c>
      <c r="P665">
        <v>0</v>
      </c>
      <c r="Q665">
        <v>2252431.1</v>
      </c>
      <c r="R665">
        <v>60614.399892357382</v>
      </c>
      <c r="S665" s="238" t="s">
        <v>137</v>
      </c>
      <c r="T665" s="238" t="s">
        <v>1167</v>
      </c>
      <c r="V665" t="s">
        <v>1167</v>
      </c>
      <c r="W665" s="24">
        <v>44467</v>
      </c>
      <c r="X665" s="238" t="s">
        <v>790</v>
      </c>
      <c r="Y665" s="238" t="s">
        <v>39</v>
      </c>
      <c r="Z665" s="238" t="s">
        <v>1340</v>
      </c>
      <c r="AA665" t="s">
        <v>1167</v>
      </c>
      <c r="AB665" s="238" t="s">
        <v>3246</v>
      </c>
      <c r="AC665" t="s">
        <v>3079</v>
      </c>
      <c r="AD665" s="24"/>
      <c r="AE665" s="238" t="s">
        <v>2421</v>
      </c>
      <c r="AF665">
        <v>79277140090</v>
      </c>
      <c r="AG665" s="238" t="s">
        <v>2422</v>
      </c>
      <c r="AH665" s="238" t="s">
        <v>1171</v>
      </c>
      <c r="AI665" s="238" t="s">
        <v>135</v>
      </c>
      <c r="AJ665" s="238" t="s">
        <v>641</v>
      </c>
      <c r="AK665" s="238" t="s">
        <v>141</v>
      </c>
      <c r="AL665" t="s">
        <v>8715</v>
      </c>
      <c r="AM665" t="s">
        <v>1167</v>
      </c>
    </row>
    <row r="666" spans="1:39" hidden="1" x14ac:dyDescent="0.25">
      <c r="A666">
        <v>662</v>
      </c>
      <c r="B666">
        <v>56</v>
      </c>
      <c r="C666" s="24">
        <v>44469</v>
      </c>
      <c r="D666" s="238" t="s">
        <v>27</v>
      </c>
      <c r="E666" s="238" t="s">
        <v>5</v>
      </c>
      <c r="F666">
        <v>8</v>
      </c>
      <c r="G666">
        <v>12</v>
      </c>
      <c r="H666">
        <v>295</v>
      </c>
      <c r="I666" s="238" t="s">
        <v>43</v>
      </c>
      <c r="J666">
        <v>55.8</v>
      </c>
      <c r="K666" s="238" t="s">
        <v>36</v>
      </c>
      <c r="L666">
        <v>3149849.74</v>
      </c>
      <c r="M666">
        <v>0</v>
      </c>
      <c r="N666">
        <v>3149849.74</v>
      </c>
      <c r="O666">
        <v>56448.920071684595</v>
      </c>
      <c r="P666">
        <v>0</v>
      </c>
      <c r="Q666">
        <v>3149849.74</v>
      </c>
      <c r="R666">
        <v>56448.920071684595</v>
      </c>
      <c r="S666" s="238" t="s">
        <v>137</v>
      </c>
      <c r="T666" s="238" t="s">
        <v>1167</v>
      </c>
      <c r="V666" t="s">
        <v>4091</v>
      </c>
      <c r="W666" s="24">
        <v>44467</v>
      </c>
      <c r="X666" s="238" t="s">
        <v>793</v>
      </c>
      <c r="Y666" s="238" t="s">
        <v>39</v>
      </c>
      <c r="Z666" s="238" t="s">
        <v>1340</v>
      </c>
      <c r="AA666" t="s">
        <v>1167</v>
      </c>
      <c r="AB666" s="238" t="s">
        <v>3246</v>
      </c>
      <c r="AC666" t="s">
        <v>3079</v>
      </c>
      <c r="AD666" s="24"/>
      <c r="AE666" s="238" t="s">
        <v>2423</v>
      </c>
      <c r="AF666">
        <v>79053021812</v>
      </c>
      <c r="AG666" s="238" t="s">
        <v>1167</v>
      </c>
      <c r="AH666" s="238" t="s">
        <v>1171</v>
      </c>
      <c r="AI666" s="238" t="s">
        <v>3090</v>
      </c>
      <c r="AJ666" s="238" t="s">
        <v>689</v>
      </c>
      <c r="AK666" s="238" t="s">
        <v>794</v>
      </c>
      <c r="AL666" t="s">
        <v>8715</v>
      </c>
      <c r="AM666" t="s">
        <v>1167</v>
      </c>
    </row>
    <row r="667" spans="1:39" hidden="1" x14ac:dyDescent="0.25">
      <c r="A667">
        <v>663</v>
      </c>
      <c r="B667">
        <v>57</v>
      </c>
      <c r="C667" s="24">
        <v>44469</v>
      </c>
      <c r="D667" s="238" t="s">
        <v>27</v>
      </c>
      <c r="E667" s="238" t="s">
        <v>5</v>
      </c>
      <c r="F667">
        <v>7</v>
      </c>
      <c r="G667">
        <v>19</v>
      </c>
      <c r="H667">
        <v>350</v>
      </c>
      <c r="I667" s="238" t="s">
        <v>43</v>
      </c>
      <c r="J667">
        <v>59.93</v>
      </c>
      <c r="K667" s="238" t="s">
        <v>37</v>
      </c>
      <c r="L667">
        <v>4046190.37</v>
      </c>
      <c r="M667">
        <v>0</v>
      </c>
      <c r="N667">
        <v>4046190.37</v>
      </c>
      <c r="O667">
        <v>67515.273986317377</v>
      </c>
      <c r="P667">
        <v>329615</v>
      </c>
      <c r="Q667">
        <v>3716575.37</v>
      </c>
      <c r="R667">
        <v>62015.27398631737</v>
      </c>
      <c r="S667" s="238" t="s">
        <v>137</v>
      </c>
      <c r="T667" s="238" t="s">
        <v>1167</v>
      </c>
      <c r="V667" t="s">
        <v>4091</v>
      </c>
      <c r="W667" s="24">
        <v>44468</v>
      </c>
      <c r="X667" s="238" t="s">
        <v>789</v>
      </c>
      <c r="Y667" s="238" t="s">
        <v>39</v>
      </c>
      <c r="Z667" s="238" t="s">
        <v>1168</v>
      </c>
      <c r="AA667" t="s">
        <v>1167</v>
      </c>
      <c r="AB667" s="238" t="s">
        <v>3246</v>
      </c>
      <c r="AC667" t="s">
        <v>3079</v>
      </c>
      <c r="AD667" s="24"/>
      <c r="AE667" s="238" t="s">
        <v>2424</v>
      </c>
      <c r="AF667">
        <v>79195380007</v>
      </c>
      <c r="AG667" s="238" t="s">
        <v>2425</v>
      </c>
      <c r="AH667" s="238" t="s">
        <v>1212</v>
      </c>
      <c r="AI667" s="238" t="s">
        <v>135</v>
      </c>
      <c r="AJ667" s="238" t="s">
        <v>126</v>
      </c>
      <c r="AK667" s="238" t="s">
        <v>141</v>
      </c>
      <c r="AL667" t="s">
        <v>8715</v>
      </c>
      <c r="AM667" t="s">
        <v>1167</v>
      </c>
    </row>
    <row r="668" spans="1:39" hidden="1" x14ac:dyDescent="0.25">
      <c r="A668">
        <v>664</v>
      </c>
      <c r="B668">
        <v>58</v>
      </c>
      <c r="C668" s="24">
        <v>44469</v>
      </c>
      <c r="D668" s="238" t="s">
        <v>19</v>
      </c>
      <c r="E668" s="238" t="s">
        <v>5</v>
      </c>
      <c r="F668">
        <v>6</v>
      </c>
      <c r="G668">
        <v>13</v>
      </c>
      <c r="H668">
        <v>288</v>
      </c>
      <c r="I668" s="238" t="s">
        <v>43</v>
      </c>
      <c r="J668">
        <v>60.24</v>
      </c>
      <c r="K668" s="238" t="s">
        <v>36</v>
      </c>
      <c r="L668">
        <v>3824294.91</v>
      </c>
      <c r="M668">
        <v>0</v>
      </c>
      <c r="N668">
        <v>3824294.91</v>
      </c>
      <c r="O668">
        <v>63484.311254980079</v>
      </c>
      <c r="P668">
        <v>0</v>
      </c>
      <c r="Q668">
        <v>3824294.91</v>
      </c>
      <c r="R668">
        <v>63484.311254980079</v>
      </c>
      <c r="S668" s="238" t="s">
        <v>137</v>
      </c>
      <c r="T668" s="238" t="s">
        <v>1167</v>
      </c>
      <c r="V668" t="s">
        <v>4091</v>
      </c>
      <c r="W668" s="24">
        <v>44468</v>
      </c>
      <c r="X668" s="238" t="s">
        <v>799</v>
      </c>
      <c r="Y668" s="238" t="s">
        <v>39</v>
      </c>
      <c r="Z668" s="238" t="s">
        <v>1340</v>
      </c>
      <c r="AA668" t="s">
        <v>1167</v>
      </c>
      <c r="AB668" s="238" t="s">
        <v>3246</v>
      </c>
      <c r="AC668" t="s">
        <v>3079</v>
      </c>
      <c r="AD668" s="24"/>
      <c r="AE668" s="238" t="s">
        <v>2426</v>
      </c>
      <c r="AF668">
        <v>79649888863</v>
      </c>
      <c r="AG668" s="238" t="s">
        <v>2427</v>
      </c>
      <c r="AH668" s="238" t="s">
        <v>1212</v>
      </c>
      <c r="AI668" s="238" t="s">
        <v>3074</v>
      </c>
      <c r="AJ668" s="238" t="s">
        <v>126</v>
      </c>
      <c r="AK668" s="238" t="s">
        <v>141</v>
      </c>
      <c r="AL668" t="s">
        <v>8715</v>
      </c>
      <c r="AM668" t="s">
        <v>1167</v>
      </c>
    </row>
    <row r="669" spans="1:39" hidden="1" x14ac:dyDescent="0.25">
      <c r="A669">
        <v>665</v>
      </c>
      <c r="B669">
        <v>1</v>
      </c>
      <c r="C669" s="24">
        <v>44473</v>
      </c>
      <c r="D669" s="238" t="s">
        <v>27</v>
      </c>
      <c r="E669" s="238" t="s">
        <v>5</v>
      </c>
      <c r="F669">
        <v>8</v>
      </c>
      <c r="G669">
        <v>5</v>
      </c>
      <c r="H669">
        <v>239</v>
      </c>
      <c r="I669" s="238" t="s">
        <v>43</v>
      </c>
      <c r="J669">
        <v>55.8</v>
      </c>
      <c r="K669" s="238" t="s">
        <v>37</v>
      </c>
      <c r="L669">
        <v>3456749.74</v>
      </c>
      <c r="M669">
        <v>0</v>
      </c>
      <c r="N669">
        <v>3456749.74</v>
      </c>
      <c r="O669">
        <v>61948.920071684595</v>
      </c>
      <c r="P669">
        <v>306900</v>
      </c>
      <c r="Q669">
        <v>3149849.74</v>
      </c>
      <c r="R669">
        <v>56448.920071684595</v>
      </c>
      <c r="S669" s="238" t="s">
        <v>124</v>
      </c>
      <c r="T669" s="238" t="s">
        <v>1167</v>
      </c>
      <c r="V669" t="s">
        <v>1167</v>
      </c>
      <c r="W669" s="24">
        <v>44467</v>
      </c>
      <c r="X669" s="238" t="s">
        <v>801</v>
      </c>
      <c r="Y669" s="238" t="s">
        <v>39</v>
      </c>
      <c r="Z669" s="238" t="s">
        <v>1340</v>
      </c>
      <c r="AA669" t="s">
        <v>1167</v>
      </c>
      <c r="AB669" s="238" t="s">
        <v>3246</v>
      </c>
      <c r="AC669" t="s">
        <v>4246</v>
      </c>
      <c r="AD669" s="24"/>
      <c r="AE669" s="238" t="s">
        <v>2428</v>
      </c>
      <c r="AF669">
        <v>79608208073</v>
      </c>
      <c r="AG669" s="238" t="s">
        <v>2429</v>
      </c>
      <c r="AH669" s="238" t="s">
        <v>135</v>
      </c>
      <c r="AI669" s="238" t="s">
        <v>3099</v>
      </c>
      <c r="AJ669" s="238" t="s">
        <v>641</v>
      </c>
      <c r="AK669" s="238" t="s">
        <v>1167</v>
      </c>
      <c r="AL669" t="s">
        <v>8715</v>
      </c>
      <c r="AM669" t="s">
        <v>1167</v>
      </c>
    </row>
    <row r="670" spans="1:39" hidden="1" x14ac:dyDescent="0.25">
      <c r="A670">
        <v>666</v>
      </c>
      <c r="B670">
        <v>2</v>
      </c>
      <c r="C670" s="24">
        <v>44473</v>
      </c>
      <c r="D670" s="238" t="s">
        <v>27</v>
      </c>
      <c r="E670" s="238" t="s">
        <v>5</v>
      </c>
      <c r="F670">
        <v>5</v>
      </c>
      <c r="G670">
        <v>7</v>
      </c>
      <c r="H670">
        <v>252</v>
      </c>
      <c r="I670" s="238" t="s">
        <v>4052</v>
      </c>
      <c r="J670">
        <v>23.63</v>
      </c>
      <c r="K670" s="238" t="s">
        <v>37</v>
      </c>
      <c r="L670">
        <v>1659653.05</v>
      </c>
      <c r="M670">
        <v>0</v>
      </c>
      <c r="N670">
        <v>1659653.05</v>
      </c>
      <c r="O670">
        <v>70235</v>
      </c>
      <c r="P670">
        <v>129965</v>
      </c>
      <c r="Q670">
        <v>1529688.05</v>
      </c>
      <c r="R670">
        <v>64735.000000000007</v>
      </c>
      <c r="S670" s="238" t="s">
        <v>124</v>
      </c>
      <c r="T670" s="238" t="s">
        <v>1167</v>
      </c>
      <c r="V670" t="s">
        <v>1167</v>
      </c>
      <c r="W670" s="24">
        <v>44469</v>
      </c>
      <c r="X670" s="238" t="s">
        <v>800</v>
      </c>
      <c r="Y670" s="238" t="s">
        <v>39</v>
      </c>
      <c r="Z670" s="238" t="s">
        <v>1168</v>
      </c>
      <c r="AA670" t="s">
        <v>1167</v>
      </c>
      <c r="AB670" s="238" t="s">
        <v>3246</v>
      </c>
      <c r="AC670" t="s">
        <v>4246</v>
      </c>
      <c r="AD670" s="24"/>
      <c r="AE670" s="238" t="s">
        <v>2430</v>
      </c>
      <c r="AF670">
        <v>79277104463</v>
      </c>
      <c r="AG670" s="238" t="s">
        <v>1302</v>
      </c>
      <c r="AH670" s="238" t="s">
        <v>1171</v>
      </c>
      <c r="AI670" s="238" t="s">
        <v>3082</v>
      </c>
      <c r="AJ670" s="238" t="s">
        <v>130</v>
      </c>
      <c r="AK670" s="238" t="s">
        <v>1167</v>
      </c>
      <c r="AL670" t="s">
        <v>8715</v>
      </c>
      <c r="AM670" t="s">
        <v>1167</v>
      </c>
    </row>
    <row r="671" spans="1:39" hidden="1" x14ac:dyDescent="0.25">
      <c r="A671">
        <v>667</v>
      </c>
      <c r="B671">
        <v>3</v>
      </c>
      <c r="C671" s="24">
        <v>44474</v>
      </c>
      <c r="D671" s="238" t="s">
        <v>19</v>
      </c>
      <c r="E671" s="238" t="s">
        <v>6</v>
      </c>
      <c r="F671">
        <v>3</v>
      </c>
      <c r="G671">
        <v>22</v>
      </c>
      <c r="H671">
        <v>143</v>
      </c>
      <c r="I671" s="238" t="s">
        <v>44</v>
      </c>
      <c r="J671">
        <v>76.56</v>
      </c>
      <c r="K671" s="238" t="s">
        <v>36</v>
      </c>
      <c r="L671">
        <v>5037136.24</v>
      </c>
      <c r="M671">
        <v>0</v>
      </c>
      <c r="N671">
        <v>5037136.24</v>
      </c>
      <c r="O671">
        <v>65793.315569487982</v>
      </c>
      <c r="P671">
        <v>0</v>
      </c>
      <c r="Q671">
        <v>5037136.24</v>
      </c>
      <c r="R671">
        <v>65793.315569487982</v>
      </c>
      <c r="S671" s="238" t="s">
        <v>137</v>
      </c>
      <c r="T671" s="238" t="s">
        <v>1167</v>
      </c>
      <c r="V671" t="s">
        <v>1167</v>
      </c>
      <c r="W671" s="24">
        <v>44469</v>
      </c>
      <c r="X671" s="238" t="s">
        <v>802</v>
      </c>
      <c r="Y671" s="238" t="s">
        <v>39</v>
      </c>
      <c r="Z671" s="238" t="s">
        <v>1340</v>
      </c>
      <c r="AA671" t="s">
        <v>1167</v>
      </c>
      <c r="AB671" s="238" t="s">
        <v>3246</v>
      </c>
      <c r="AC671" t="s">
        <v>3079</v>
      </c>
      <c r="AD671" s="24"/>
      <c r="AE671" s="238" t="s">
        <v>2431</v>
      </c>
      <c r="AF671">
        <v>79625289565</v>
      </c>
      <c r="AG671" s="238" t="s">
        <v>2432</v>
      </c>
      <c r="AH671" s="238" t="s">
        <v>1171</v>
      </c>
      <c r="AI671" s="238" t="s">
        <v>3074</v>
      </c>
      <c r="AJ671" s="238" t="s">
        <v>130</v>
      </c>
      <c r="AK671" s="238" t="s">
        <v>141</v>
      </c>
      <c r="AL671" t="s">
        <v>8715</v>
      </c>
      <c r="AM671" t="s">
        <v>1167</v>
      </c>
    </row>
    <row r="672" spans="1:39" hidden="1" x14ac:dyDescent="0.25">
      <c r="A672">
        <v>668</v>
      </c>
      <c r="B672">
        <v>4</v>
      </c>
      <c r="C672" s="24">
        <v>44475</v>
      </c>
      <c r="D672" s="238" t="s">
        <v>27</v>
      </c>
      <c r="E672" s="238" t="s">
        <v>5</v>
      </c>
      <c r="F672">
        <v>8</v>
      </c>
      <c r="G672">
        <v>18</v>
      </c>
      <c r="H672">
        <v>343</v>
      </c>
      <c r="I672" s="238" t="s">
        <v>43</v>
      </c>
      <c r="J672">
        <v>55.8</v>
      </c>
      <c r="K672" s="238" t="s">
        <v>36</v>
      </c>
      <c r="L672">
        <v>3134849.74</v>
      </c>
      <c r="M672">
        <v>15000</v>
      </c>
      <c r="N672">
        <v>3149849.74</v>
      </c>
      <c r="O672">
        <v>56448.920071684595</v>
      </c>
      <c r="P672">
        <v>0</v>
      </c>
      <c r="Q672">
        <v>3149849.74</v>
      </c>
      <c r="R672">
        <v>56448.920071684595</v>
      </c>
      <c r="S672" s="238" t="s">
        <v>137</v>
      </c>
      <c r="T672" s="238" t="s">
        <v>1167</v>
      </c>
      <c r="V672" t="s">
        <v>4091</v>
      </c>
      <c r="W672" s="24">
        <v>44449</v>
      </c>
      <c r="X672" s="238" t="s">
        <v>803</v>
      </c>
      <c r="Y672" s="238" t="s">
        <v>39</v>
      </c>
      <c r="Z672" s="238" t="s">
        <v>1340</v>
      </c>
      <c r="AA672" t="s">
        <v>1167</v>
      </c>
      <c r="AB672" s="238" t="s">
        <v>3246</v>
      </c>
      <c r="AC672" t="s">
        <v>3079</v>
      </c>
      <c r="AD672" s="24"/>
      <c r="AE672" s="238" t="s">
        <v>2433</v>
      </c>
      <c r="AF672">
        <v>79129377561</v>
      </c>
      <c r="AG672" s="238" t="s">
        <v>1167</v>
      </c>
      <c r="AH672" s="238" t="s">
        <v>1212</v>
      </c>
      <c r="AI672" s="238" t="s">
        <v>3090</v>
      </c>
      <c r="AJ672" s="238" t="s">
        <v>641</v>
      </c>
      <c r="AK672" s="238" t="s">
        <v>141</v>
      </c>
      <c r="AL672" t="s">
        <v>8715</v>
      </c>
      <c r="AM672" t="s">
        <v>1167</v>
      </c>
    </row>
    <row r="673" spans="1:39" hidden="1" x14ac:dyDescent="0.25">
      <c r="A673">
        <v>669</v>
      </c>
      <c r="B673">
        <v>5</v>
      </c>
      <c r="C673" s="24">
        <v>44477</v>
      </c>
      <c r="D673" s="238" t="s">
        <v>27</v>
      </c>
      <c r="E673" s="238" t="s">
        <v>5</v>
      </c>
      <c r="F673">
        <v>3</v>
      </c>
      <c r="G673">
        <v>18</v>
      </c>
      <c r="H673">
        <v>338</v>
      </c>
      <c r="I673" s="238" t="s">
        <v>4052</v>
      </c>
      <c r="J673">
        <v>23.54</v>
      </c>
      <c r="K673" s="238" t="s">
        <v>36</v>
      </c>
      <c r="L673">
        <v>1409170</v>
      </c>
      <c r="M673">
        <v>15000</v>
      </c>
      <c r="N673">
        <v>1424170</v>
      </c>
      <c r="O673">
        <v>60500</v>
      </c>
      <c r="P673">
        <v>0</v>
      </c>
      <c r="Q673">
        <v>1424170</v>
      </c>
      <c r="R673">
        <v>60500</v>
      </c>
      <c r="S673" s="238" t="s">
        <v>124</v>
      </c>
      <c r="T673" s="238" t="s">
        <v>1167</v>
      </c>
      <c r="V673" t="s">
        <v>1167</v>
      </c>
      <c r="W673" s="24">
        <v>44468</v>
      </c>
      <c r="X673" s="238" t="s">
        <v>805</v>
      </c>
      <c r="Y673" s="238" t="s">
        <v>39</v>
      </c>
      <c r="Z673" s="238" t="s">
        <v>1168</v>
      </c>
      <c r="AA673" t="s">
        <v>1167</v>
      </c>
      <c r="AB673" s="238" t="s">
        <v>3246</v>
      </c>
      <c r="AC673" t="s">
        <v>4246</v>
      </c>
      <c r="AD673" s="24">
        <v>44854</v>
      </c>
      <c r="AE673" s="238" t="s">
        <v>3553</v>
      </c>
      <c r="AF673">
        <v>79277620020</v>
      </c>
      <c r="AG673" s="238" t="s">
        <v>3554</v>
      </c>
      <c r="AH673" s="238" t="s">
        <v>1212</v>
      </c>
      <c r="AI673" s="238" t="s">
        <v>3082</v>
      </c>
      <c r="AJ673" s="238" t="s">
        <v>130</v>
      </c>
      <c r="AK673" s="238" t="s">
        <v>1167</v>
      </c>
      <c r="AL673" t="s">
        <v>8715</v>
      </c>
      <c r="AM673" t="s">
        <v>1167</v>
      </c>
    </row>
    <row r="674" spans="1:39" hidden="1" x14ac:dyDescent="0.25">
      <c r="A674">
        <v>670</v>
      </c>
      <c r="B674">
        <v>6</v>
      </c>
      <c r="C674" s="24">
        <v>44477</v>
      </c>
      <c r="D674" s="238" t="s">
        <v>27</v>
      </c>
      <c r="E674" s="238" t="s">
        <v>16</v>
      </c>
      <c r="F674">
        <v>3</v>
      </c>
      <c r="G674">
        <v>14</v>
      </c>
      <c r="H674">
        <v>490</v>
      </c>
      <c r="I674" s="238" t="s">
        <v>4052</v>
      </c>
      <c r="J674">
        <v>23.54</v>
      </c>
      <c r="K674" s="238" t="s">
        <v>36</v>
      </c>
      <c r="L674">
        <v>1508861.9</v>
      </c>
      <c r="M674">
        <v>15000</v>
      </c>
      <c r="N674">
        <v>1523861.9</v>
      </c>
      <c r="O674">
        <v>64735</v>
      </c>
      <c r="P674">
        <v>0</v>
      </c>
      <c r="Q674">
        <v>1523861.9</v>
      </c>
      <c r="R674">
        <v>64735</v>
      </c>
      <c r="S674" s="238" t="s">
        <v>121</v>
      </c>
      <c r="T674" s="238" t="s">
        <v>1167</v>
      </c>
      <c r="V674" t="s">
        <v>1167</v>
      </c>
      <c r="W674" s="24">
        <v>44471</v>
      </c>
      <c r="X674" s="238" t="s">
        <v>804</v>
      </c>
      <c r="Y674" s="238" t="s">
        <v>39</v>
      </c>
      <c r="Z674" s="238" t="s">
        <v>1168</v>
      </c>
      <c r="AA674" t="s">
        <v>1167</v>
      </c>
      <c r="AB674" s="238" t="s">
        <v>3246</v>
      </c>
      <c r="AC674" t="s">
        <v>4246</v>
      </c>
      <c r="AD674" s="24"/>
      <c r="AE674" s="238" t="s">
        <v>2434</v>
      </c>
      <c r="AF674">
        <v>79276594003</v>
      </c>
      <c r="AG674" s="238" t="s">
        <v>2435</v>
      </c>
      <c r="AH674" s="238" t="s">
        <v>1212</v>
      </c>
      <c r="AI674" s="238" t="s">
        <v>3097</v>
      </c>
      <c r="AJ674" s="238" t="s">
        <v>120</v>
      </c>
      <c r="AK674" s="238" t="s">
        <v>1167</v>
      </c>
      <c r="AL674" t="s">
        <v>8715</v>
      </c>
      <c r="AM674" t="s">
        <v>1167</v>
      </c>
    </row>
    <row r="675" spans="1:39" hidden="1" x14ac:dyDescent="0.25">
      <c r="A675">
        <v>671</v>
      </c>
      <c r="B675">
        <v>7</v>
      </c>
      <c r="C675" s="24">
        <v>44480</v>
      </c>
      <c r="D675" s="238" t="s">
        <v>27</v>
      </c>
      <c r="E675" s="238" t="s">
        <v>15</v>
      </c>
      <c r="F675">
        <v>5</v>
      </c>
      <c r="G675">
        <v>14</v>
      </c>
      <c r="H675">
        <v>612</v>
      </c>
      <c r="I675" s="238" t="s">
        <v>4052</v>
      </c>
      <c r="J675">
        <v>23.63</v>
      </c>
      <c r="K675" s="238" t="s">
        <v>36</v>
      </c>
      <c r="L675">
        <v>1529688.05</v>
      </c>
      <c r="M675">
        <v>0</v>
      </c>
      <c r="N675">
        <v>1529688.05</v>
      </c>
      <c r="O675">
        <v>64735.000000000007</v>
      </c>
      <c r="P675">
        <v>0</v>
      </c>
      <c r="Q675">
        <v>1529688.05</v>
      </c>
      <c r="R675">
        <v>64735.000000000007</v>
      </c>
      <c r="S675" s="238" t="s">
        <v>137</v>
      </c>
      <c r="T675" s="238" t="s">
        <v>1167</v>
      </c>
      <c r="V675" t="s">
        <v>1167</v>
      </c>
      <c r="W675" s="24">
        <v>44477</v>
      </c>
      <c r="X675" s="238" t="s">
        <v>806</v>
      </c>
      <c r="Y675" s="238" t="s">
        <v>39</v>
      </c>
      <c r="Z675" s="238" t="s">
        <v>1340</v>
      </c>
      <c r="AA675" t="s">
        <v>1167</v>
      </c>
      <c r="AB675" s="238" t="s">
        <v>3246</v>
      </c>
      <c r="AC675" t="s">
        <v>3079</v>
      </c>
      <c r="AD675" s="24"/>
      <c r="AE675" s="238" t="s">
        <v>1487</v>
      </c>
      <c r="AF675">
        <v>79272956659</v>
      </c>
      <c r="AG675" s="238" t="s">
        <v>1488</v>
      </c>
      <c r="AH675" s="238" t="s">
        <v>1212</v>
      </c>
      <c r="AI675" s="238" t="s">
        <v>3082</v>
      </c>
      <c r="AJ675" s="238" t="s">
        <v>130</v>
      </c>
      <c r="AK675" s="238" t="s">
        <v>794</v>
      </c>
      <c r="AL675" t="s">
        <v>8715</v>
      </c>
      <c r="AM675" t="s">
        <v>1167</v>
      </c>
    </row>
    <row r="676" spans="1:39" hidden="1" x14ac:dyDescent="0.25">
      <c r="A676">
        <v>672</v>
      </c>
      <c r="B676">
        <v>8</v>
      </c>
      <c r="C676" s="24">
        <v>44480</v>
      </c>
      <c r="D676" s="238" t="s">
        <v>27</v>
      </c>
      <c r="E676" s="238" t="s">
        <v>15</v>
      </c>
      <c r="F676">
        <v>1</v>
      </c>
      <c r="G676">
        <v>7</v>
      </c>
      <c r="H676">
        <v>552</v>
      </c>
      <c r="I676" s="238" t="s">
        <v>44</v>
      </c>
      <c r="J676">
        <v>82.27</v>
      </c>
      <c r="K676" s="238" t="s">
        <v>36</v>
      </c>
      <c r="L676">
        <v>4350458.66</v>
      </c>
      <c r="M676">
        <v>0</v>
      </c>
      <c r="N676">
        <v>4350458.66</v>
      </c>
      <c r="O676">
        <v>52880.255986386292</v>
      </c>
      <c r="P676">
        <v>0</v>
      </c>
      <c r="Q676">
        <v>4350458.66</v>
      </c>
      <c r="R676">
        <v>52880.255986386292</v>
      </c>
      <c r="S676" s="238" t="s">
        <v>121</v>
      </c>
      <c r="T676" s="238" t="s">
        <v>1167</v>
      </c>
      <c r="V676" t="s">
        <v>1167</v>
      </c>
      <c r="W676" s="24">
        <v>44478</v>
      </c>
      <c r="X676" s="238" t="s">
        <v>807</v>
      </c>
      <c r="Y676" s="238" t="s">
        <v>39</v>
      </c>
      <c r="Z676" s="238" t="s">
        <v>1340</v>
      </c>
      <c r="AA676" t="s">
        <v>1167</v>
      </c>
      <c r="AB676" s="238" t="s">
        <v>3246</v>
      </c>
      <c r="AC676" t="s">
        <v>4246</v>
      </c>
      <c r="AD676" s="24"/>
      <c r="AE676" s="238" t="s">
        <v>2436</v>
      </c>
      <c r="AF676">
        <v>79272006040</v>
      </c>
      <c r="AG676" s="238" t="s">
        <v>2437</v>
      </c>
      <c r="AH676" s="238" t="s">
        <v>1171</v>
      </c>
      <c r="AI676" s="238" t="s">
        <v>3074</v>
      </c>
      <c r="AJ676" s="238" t="s">
        <v>641</v>
      </c>
      <c r="AK676" s="238" t="s">
        <v>1167</v>
      </c>
      <c r="AL676" t="s">
        <v>8715</v>
      </c>
      <c r="AM676" t="s">
        <v>1167</v>
      </c>
    </row>
    <row r="677" spans="1:39" hidden="1" x14ac:dyDescent="0.25">
      <c r="A677">
        <v>673</v>
      </c>
      <c r="B677">
        <v>9</v>
      </c>
      <c r="C677" s="24">
        <v>44481</v>
      </c>
      <c r="D677" s="238" t="s">
        <v>19</v>
      </c>
      <c r="E677" s="238" t="s">
        <v>6</v>
      </c>
      <c r="F677">
        <v>5</v>
      </c>
      <c r="G677">
        <v>3</v>
      </c>
      <c r="H677">
        <v>12</v>
      </c>
      <c r="I677" s="238" t="s">
        <v>42</v>
      </c>
      <c r="J677">
        <v>36.42</v>
      </c>
      <c r="K677" s="238" t="s">
        <v>37</v>
      </c>
      <c r="L677">
        <v>2549558.37</v>
      </c>
      <c r="M677">
        <v>15000</v>
      </c>
      <c r="N677">
        <v>2564558.37</v>
      </c>
      <c r="O677">
        <v>70416.210049423389</v>
      </c>
      <c r="P677">
        <v>200310</v>
      </c>
      <c r="Q677">
        <v>2364248.37</v>
      </c>
      <c r="R677">
        <v>64916.210049423396</v>
      </c>
      <c r="S677" s="238" t="s">
        <v>121</v>
      </c>
      <c r="T677" s="238" t="s">
        <v>1167</v>
      </c>
      <c r="V677" t="s">
        <v>1167</v>
      </c>
      <c r="W677" s="24">
        <v>44475</v>
      </c>
      <c r="X677" s="238" t="s">
        <v>808</v>
      </c>
      <c r="Y677" s="238" t="s">
        <v>39</v>
      </c>
      <c r="Z677" s="238" t="s">
        <v>1340</v>
      </c>
      <c r="AA677" t="s">
        <v>1167</v>
      </c>
      <c r="AB677" s="238" t="s">
        <v>3246</v>
      </c>
      <c r="AC677" t="s">
        <v>4246</v>
      </c>
      <c r="AD677" s="24"/>
      <c r="AE677" s="238" t="s">
        <v>2438</v>
      </c>
      <c r="AF677">
        <v>79920091300</v>
      </c>
      <c r="AG677" s="238" t="s">
        <v>2439</v>
      </c>
      <c r="AH677" s="238" t="s">
        <v>1212</v>
      </c>
      <c r="AI677" s="238" t="s">
        <v>3074</v>
      </c>
      <c r="AJ677" s="238" t="s">
        <v>399</v>
      </c>
      <c r="AK677" s="238" t="s">
        <v>1167</v>
      </c>
      <c r="AL677" t="s">
        <v>8715</v>
      </c>
      <c r="AM677" t="s">
        <v>1167</v>
      </c>
    </row>
    <row r="678" spans="1:39" hidden="1" x14ac:dyDescent="0.25">
      <c r="A678">
        <v>674</v>
      </c>
      <c r="B678">
        <v>10</v>
      </c>
      <c r="C678" s="24">
        <v>44481</v>
      </c>
      <c r="D678" s="238" t="s">
        <v>27</v>
      </c>
      <c r="E678" s="238" t="s">
        <v>5</v>
      </c>
      <c r="F678">
        <v>8</v>
      </c>
      <c r="G678">
        <v>14</v>
      </c>
      <c r="H678">
        <v>311</v>
      </c>
      <c r="I678" s="238" t="s">
        <v>43</v>
      </c>
      <c r="J678">
        <v>55.8</v>
      </c>
      <c r="K678" s="238" t="s">
        <v>36</v>
      </c>
      <c r="L678">
        <v>3134849.74</v>
      </c>
      <c r="M678">
        <v>15000</v>
      </c>
      <c r="N678">
        <v>3149849.74</v>
      </c>
      <c r="O678">
        <v>56448.920071684595</v>
      </c>
      <c r="P678">
        <v>0</v>
      </c>
      <c r="Q678">
        <v>3149849.74</v>
      </c>
      <c r="R678">
        <v>56448.920071684595</v>
      </c>
      <c r="S678" s="238" t="s">
        <v>137</v>
      </c>
      <c r="T678" s="238" t="s">
        <v>1167</v>
      </c>
      <c r="V678" t="s">
        <v>1167</v>
      </c>
      <c r="W678" s="24">
        <v>44475</v>
      </c>
      <c r="X678" s="238" t="s">
        <v>809</v>
      </c>
      <c r="Y678" s="238" t="s">
        <v>39</v>
      </c>
      <c r="Z678" s="238" t="s">
        <v>1168</v>
      </c>
      <c r="AA678" t="s">
        <v>1167</v>
      </c>
      <c r="AB678" s="238" t="s">
        <v>3246</v>
      </c>
      <c r="AC678" t="s">
        <v>3080</v>
      </c>
      <c r="AD678" s="24"/>
      <c r="AE678" s="238" t="s">
        <v>2440</v>
      </c>
      <c r="AF678">
        <v>79879024662</v>
      </c>
      <c r="AG678" s="238" t="s">
        <v>2441</v>
      </c>
      <c r="AH678" s="238" t="s">
        <v>1212</v>
      </c>
      <c r="AI678" s="238" t="s">
        <v>3102</v>
      </c>
      <c r="AJ678" s="238" t="s">
        <v>120</v>
      </c>
      <c r="AK678" s="238" t="s">
        <v>141</v>
      </c>
      <c r="AL678" t="s">
        <v>8715</v>
      </c>
      <c r="AM678" t="s">
        <v>1167</v>
      </c>
    </row>
    <row r="679" spans="1:39" hidden="1" x14ac:dyDescent="0.25">
      <c r="A679">
        <v>675</v>
      </c>
      <c r="B679">
        <v>11</v>
      </c>
      <c r="C679" s="24">
        <v>44482</v>
      </c>
      <c r="D679" s="238" t="s">
        <v>27</v>
      </c>
      <c r="E679" s="238" t="s">
        <v>15</v>
      </c>
      <c r="F679">
        <v>6</v>
      </c>
      <c r="G679">
        <v>6</v>
      </c>
      <c r="H679">
        <v>549</v>
      </c>
      <c r="I679" s="238" t="s">
        <v>42</v>
      </c>
      <c r="J679">
        <v>37.11</v>
      </c>
      <c r="K679" s="238" t="s">
        <v>36</v>
      </c>
      <c r="L679">
        <v>2250314.77</v>
      </c>
      <c r="M679">
        <v>0</v>
      </c>
      <c r="N679">
        <v>2250314.77</v>
      </c>
      <c r="O679">
        <v>60639.039881433579</v>
      </c>
      <c r="P679">
        <v>0</v>
      </c>
      <c r="Q679">
        <v>2250314.77</v>
      </c>
      <c r="R679">
        <v>60639.039881433579</v>
      </c>
      <c r="S679" s="238" t="s">
        <v>137</v>
      </c>
      <c r="T679" s="238" t="s">
        <v>1167</v>
      </c>
      <c r="V679" t="s">
        <v>1167</v>
      </c>
      <c r="W679" s="24">
        <v>44476</v>
      </c>
      <c r="X679" s="238" t="s">
        <v>811</v>
      </c>
      <c r="Y679" s="238" t="s">
        <v>39</v>
      </c>
      <c r="Z679" s="238" t="s">
        <v>1340</v>
      </c>
      <c r="AA679" t="s">
        <v>1167</v>
      </c>
      <c r="AB679" s="238" t="s">
        <v>3246</v>
      </c>
      <c r="AC679" t="s">
        <v>3079</v>
      </c>
      <c r="AD679" s="24"/>
      <c r="AE679" s="238" t="s">
        <v>2442</v>
      </c>
      <c r="AF679">
        <v>79276059338</v>
      </c>
      <c r="AG679" s="238" t="s">
        <v>2443</v>
      </c>
      <c r="AH679" s="238" t="s">
        <v>1171</v>
      </c>
      <c r="AI679" s="238" t="s">
        <v>3074</v>
      </c>
      <c r="AJ679" s="238" t="s">
        <v>689</v>
      </c>
      <c r="AK679" s="238" t="s">
        <v>794</v>
      </c>
      <c r="AL679" t="s">
        <v>8715</v>
      </c>
      <c r="AM679" t="s">
        <v>1167</v>
      </c>
    </row>
    <row r="680" spans="1:39" hidden="1" x14ac:dyDescent="0.25">
      <c r="A680">
        <v>676</v>
      </c>
      <c r="B680">
        <v>12</v>
      </c>
      <c r="C680" s="24">
        <v>44482</v>
      </c>
      <c r="D680" s="238" t="s">
        <v>27</v>
      </c>
      <c r="E680" s="238" t="s">
        <v>16</v>
      </c>
      <c r="F680">
        <v>7</v>
      </c>
      <c r="G680">
        <v>11</v>
      </c>
      <c r="H680">
        <v>470</v>
      </c>
      <c r="I680" s="238" t="s">
        <v>43</v>
      </c>
      <c r="J680">
        <v>59.93</v>
      </c>
      <c r="K680" s="238" t="s">
        <v>38</v>
      </c>
      <c r="L680">
        <v>4563492.95</v>
      </c>
      <c r="M680">
        <v>0</v>
      </c>
      <c r="N680">
        <v>4563492.95</v>
      </c>
      <c r="O680">
        <v>76147.054063073592</v>
      </c>
      <c r="P680">
        <v>958880</v>
      </c>
      <c r="Q680">
        <v>3604612.95</v>
      </c>
      <c r="R680">
        <v>60147.054063073592</v>
      </c>
      <c r="S680" s="238" t="s">
        <v>137</v>
      </c>
      <c r="T680" s="238" t="s">
        <v>1167</v>
      </c>
      <c r="V680" t="s">
        <v>4091</v>
      </c>
      <c r="W680" s="24">
        <v>44478</v>
      </c>
      <c r="X680" s="238" t="s">
        <v>812</v>
      </c>
      <c r="Y680" s="238" t="s">
        <v>39</v>
      </c>
      <c r="Z680" s="238" t="s">
        <v>1340</v>
      </c>
      <c r="AA680" t="s">
        <v>1167</v>
      </c>
      <c r="AB680" s="238" t="s">
        <v>3246</v>
      </c>
      <c r="AC680" t="s">
        <v>3079</v>
      </c>
      <c r="AD680" s="24"/>
      <c r="AE680" s="238" t="s">
        <v>2444</v>
      </c>
      <c r="AF680">
        <v>79228717777</v>
      </c>
      <c r="AG680" s="238" t="s">
        <v>2445</v>
      </c>
      <c r="AH680" s="238" t="s">
        <v>146</v>
      </c>
      <c r="AI680" s="238" t="s">
        <v>135</v>
      </c>
      <c r="AJ680" s="238" t="s">
        <v>126</v>
      </c>
      <c r="AK680" s="238" t="s">
        <v>794</v>
      </c>
      <c r="AL680" t="s">
        <v>8715</v>
      </c>
      <c r="AM680" t="s">
        <v>1167</v>
      </c>
    </row>
    <row r="681" spans="1:39" hidden="1" x14ac:dyDescent="0.25">
      <c r="A681">
        <v>677</v>
      </c>
      <c r="B681">
        <v>13</v>
      </c>
      <c r="C681" s="24">
        <v>44482</v>
      </c>
      <c r="D681" s="238" t="s">
        <v>27</v>
      </c>
      <c r="E681" s="238" t="s">
        <v>5</v>
      </c>
      <c r="F681">
        <v>8</v>
      </c>
      <c r="G681">
        <v>4</v>
      </c>
      <c r="H681">
        <v>231</v>
      </c>
      <c r="I681" s="238" t="s">
        <v>43</v>
      </c>
      <c r="J681">
        <v>55.8</v>
      </c>
      <c r="K681" s="238" t="s">
        <v>37</v>
      </c>
      <c r="L681">
        <v>3456749.74</v>
      </c>
      <c r="M681">
        <v>0</v>
      </c>
      <c r="N681">
        <v>3456749.74</v>
      </c>
      <c r="O681">
        <v>61948.920071684595</v>
      </c>
      <c r="P681">
        <v>306900</v>
      </c>
      <c r="Q681">
        <v>3149849.74</v>
      </c>
      <c r="R681">
        <v>56448.920071684595</v>
      </c>
      <c r="S681" s="238" t="s">
        <v>137</v>
      </c>
      <c r="T681" s="238" t="s">
        <v>1167</v>
      </c>
      <c r="V681" t="s">
        <v>4091</v>
      </c>
      <c r="W681" s="24">
        <v>44480</v>
      </c>
      <c r="X681" s="238" t="s">
        <v>810</v>
      </c>
      <c r="Y681" s="238" t="s">
        <v>39</v>
      </c>
      <c r="Z681" s="238" t="s">
        <v>1340</v>
      </c>
      <c r="AA681" t="s">
        <v>1167</v>
      </c>
      <c r="AB681" s="238" t="s">
        <v>3246</v>
      </c>
      <c r="AC681" t="s">
        <v>3079</v>
      </c>
      <c r="AD681" s="24">
        <v>45007</v>
      </c>
      <c r="AE681" s="238" t="s">
        <v>4567</v>
      </c>
      <c r="AF681">
        <v>77769166060</v>
      </c>
      <c r="AG681" s="238" t="s">
        <v>4568</v>
      </c>
      <c r="AH681" s="238" t="s">
        <v>1171</v>
      </c>
      <c r="AI681" s="238" t="s">
        <v>135</v>
      </c>
      <c r="AJ681" s="238" t="s">
        <v>399</v>
      </c>
      <c r="AK681" s="238" t="s">
        <v>794</v>
      </c>
      <c r="AL681" t="s">
        <v>8715</v>
      </c>
      <c r="AM681" t="s">
        <v>1167</v>
      </c>
    </row>
    <row r="682" spans="1:39" hidden="1" x14ac:dyDescent="0.25">
      <c r="A682">
        <v>678</v>
      </c>
      <c r="B682">
        <v>14</v>
      </c>
      <c r="C682" s="24">
        <v>44483</v>
      </c>
      <c r="D682" s="238" t="s">
        <v>27</v>
      </c>
      <c r="E682" s="238" t="s">
        <v>16</v>
      </c>
      <c r="F682">
        <v>8</v>
      </c>
      <c r="G682">
        <v>13</v>
      </c>
      <c r="H682">
        <v>487</v>
      </c>
      <c r="I682" s="238" t="s">
        <v>43</v>
      </c>
      <c r="J682">
        <v>55.8</v>
      </c>
      <c r="K682" s="238" t="s">
        <v>37</v>
      </c>
      <c r="L682">
        <v>3685829.72</v>
      </c>
      <c r="M682">
        <v>0</v>
      </c>
      <c r="N682">
        <v>3685829.72</v>
      </c>
      <c r="O682">
        <v>66054.296057347674</v>
      </c>
      <c r="P682">
        <v>306900</v>
      </c>
      <c r="Q682">
        <v>3378929.72</v>
      </c>
      <c r="R682">
        <v>60554.296057347674</v>
      </c>
      <c r="S682" s="238" t="s">
        <v>137</v>
      </c>
      <c r="T682" s="238" t="s">
        <v>1167</v>
      </c>
      <c r="V682" t="s">
        <v>4091</v>
      </c>
      <c r="W682" s="24">
        <v>44480</v>
      </c>
      <c r="X682" s="238" t="s">
        <v>813</v>
      </c>
      <c r="Y682" s="238" t="s">
        <v>39</v>
      </c>
      <c r="Z682" s="238" t="s">
        <v>1340</v>
      </c>
      <c r="AA682" t="s">
        <v>1167</v>
      </c>
      <c r="AB682" s="238" t="s">
        <v>3246</v>
      </c>
      <c r="AC682" t="s">
        <v>3079</v>
      </c>
      <c r="AD682" s="24"/>
      <c r="AE682" s="238" t="s">
        <v>2446</v>
      </c>
      <c r="AF682">
        <v>79170180212</v>
      </c>
      <c r="AG682" s="238" t="s">
        <v>2447</v>
      </c>
      <c r="AH682" s="238" t="s">
        <v>1212</v>
      </c>
      <c r="AI682" s="238" t="s">
        <v>135</v>
      </c>
      <c r="AJ682" s="238" t="s">
        <v>399</v>
      </c>
      <c r="AK682" s="238" t="s">
        <v>794</v>
      </c>
      <c r="AL682" t="s">
        <v>8715</v>
      </c>
      <c r="AM682" t="s">
        <v>1167</v>
      </c>
    </row>
    <row r="683" spans="1:39" hidden="1" x14ac:dyDescent="0.25">
      <c r="A683">
        <v>679</v>
      </c>
      <c r="B683">
        <v>15</v>
      </c>
      <c r="C683" s="24">
        <v>44484</v>
      </c>
      <c r="D683" s="238" t="s">
        <v>27</v>
      </c>
      <c r="E683" s="238" t="s">
        <v>15</v>
      </c>
      <c r="F683">
        <v>5</v>
      </c>
      <c r="G683">
        <v>7</v>
      </c>
      <c r="H683">
        <v>556</v>
      </c>
      <c r="I683" s="238" t="s">
        <v>4052</v>
      </c>
      <c r="J683">
        <v>23.63</v>
      </c>
      <c r="K683" s="238" t="s">
        <v>36</v>
      </c>
      <c r="L683">
        <v>1514688.05</v>
      </c>
      <c r="M683">
        <v>15000</v>
      </c>
      <c r="N683">
        <v>1529688.05</v>
      </c>
      <c r="O683">
        <v>64735.000000000007</v>
      </c>
      <c r="P683">
        <v>0</v>
      </c>
      <c r="Q683">
        <v>1529688.05</v>
      </c>
      <c r="R683">
        <v>64735.000000000007</v>
      </c>
      <c r="S683" s="238" t="s">
        <v>121</v>
      </c>
      <c r="T683" s="238" t="s">
        <v>1167</v>
      </c>
      <c r="V683" t="s">
        <v>1167</v>
      </c>
      <c r="W683" s="24">
        <v>44467</v>
      </c>
      <c r="X683" s="238" t="s">
        <v>816</v>
      </c>
      <c r="Y683" s="238" t="s">
        <v>39</v>
      </c>
      <c r="Z683" s="238" t="s">
        <v>1340</v>
      </c>
      <c r="AA683" t="s">
        <v>1167</v>
      </c>
      <c r="AB683" s="238" t="s">
        <v>3246</v>
      </c>
      <c r="AC683" t="s">
        <v>4246</v>
      </c>
      <c r="AD683" s="24"/>
      <c r="AE683" s="238" t="s">
        <v>2448</v>
      </c>
      <c r="AF683">
        <v>79171525066</v>
      </c>
      <c r="AG683" s="238" t="s">
        <v>1167</v>
      </c>
      <c r="AH683" s="238" t="s">
        <v>1171</v>
      </c>
      <c r="AI683" s="238" t="s">
        <v>3101</v>
      </c>
      <c r="AJ683" s="238" t="s">
        <v>689</v>
      </c>
      <c r="AK683" s="238" t="s">
        <v>1167</v>
      </c>
      <c r="AL683" t="s">
        <v>8715</v>
      </c>
      <c r="AM683" t="s">
        <v>1167</v>
      </c>
    </row>
    <row r="684" spans="1:39" hidden="1" x14ac:dyDescent="0.25">
      <c r="A684">
        <v>680</v>
      </c>
      <c r="B684">
        <v>16</v>
      </c>
      <c r="C684" s="24">
        <v>44484</v>
      </c>
      <c r="D684" s="238" t="s">
        <v>27</v>
      </c>
      <c r="E684" s="238" t="s">
        <v>15</v>
      </c>
      <c r="F684">
        <v>6</v>
      </c>
      <c r="G684">
        <v>14</v>
      </c>
      <c r="H684">
        <v>613</v>
      </c>
      <c r="I684" s="238" t="s">
        <v>42</v>
      </c>
      <c r="J684">
        <v>37.11</v>
      </c>
      <c r="K684" s="238" t="s">
        <v>36</v>
      </c>
      <c r="L684">
        <v>2250314.77</v>
      </c>
      <c r="M684">
        <v>0</v>
      </c>
      <c r="N684">
        <v>2250314.77</v>
      </c>
      <c r="O684">
        <v>60639.039881433579</v>
      </c>
      <c r="P684">
        <v>0</v>
      </c>
      <c r="Q684">
        <v>2250314.77</v>
      </c>
      <c r="R684">
        <v>60639.039881433579</v>
      </c>
      <c r="S684" s="238" t="s">
        <v>124</v>
      </c>
      <c r="T684" s="238" t="s">
        <v>1167</v>
      </c>
      <c r="V684" t="s">
        <v>1167</v>
      </c>
      <c r="W684" s="24">
        <v>44477</v>
      </c>
      <c r="X684" s="238" t="s">
        <v>817</v>
      </c>
      <c r="Y684" s="238" t="s">
        <v>39</v>
      </c>
      <c r="Z684" s="238" t="s">
        <v>1168</v>
      </c>
      <c r="AA684" t="s">
        <v>1167</v>
      </c>
      <c r="AB684" s="238" t="s">
        <v>3246</v>
      </c>
      <c r="AC684" t="s">
        <v>4246</v>
      </c>
      <c r="AD684" s="24"/>
      <c r="AE684" s="238" t="s">
        <v>2449</v>
      </c>
      <c r="AF684">
        <v>79277742428</v>
      </c>
      <c r="AG684" s="238" t="s">
        <v>2450</v>
      </c>
      <c r="AH684" s="238" t="s">
        <v>1171</v>
      </c>
      <c r="AI684" s="238" t="s">
        <v>3074</v>
      </c>
      <c r="AJ684" s="238" t="s">
        <v>689</v>
      </c>
      <c r="AK684" s="238" t="s">
        <v>1167</v>
      </c>
      <c r="AL684" t="s">
        <v>8715</v>
      </c>
      <c r="AM684" t="s">
        <v>1167</v>
      </c>
    </row>
    <row r="685" spans="1:39" hidden="1" x14ac:dyDescent="0.25">
      <c r="A685">
        <v>681</v>
      </c>
      <c r="B685">
        <v>17</v>
      </c>
      <c r="C685" s="24">
        <v>44484</v>
      </c>
      <c r="D685" s="238" t="s">
        <v>19</v>
      </c>
      <c r="E685" s="238" t="s">
        <v>6</v>
      </c>
      <c r="F685">
        <v>1</v>
      </c>
      <c r="G685">
        <v>7</v>
      </c>
      <c r="H685">
        <v>36</v>
      </c>
      <c r="I685" s="238" t="s">
        <v>43</v>
      </c>
      <c r="J685">
        <v>59.52</v>
      </c>
      <c r="K685" s="238" t="s">
        <v>36</v>
      </c>
      <c r="L685">
        <v>4182029.95</v>
      </c>
      <c r="M685">
        <v>0</v>
      </c>
      <c r="N685">
        <v>4182029.95</v>
      </c>
      <c r="O685">
        <v>70262.599966397844</v>
      </c>
      <c r="P685">
        <v>0</v>
      </c>
      <c r="Q685">
        <v>4182029.95</v>
      </c>
      <c r="R685">
        <v>70262.599966397844</v>
      </c>
      <c r="S685" s="238" t="s">
        <v>137</v>
      </c>
      <c r="T685" s="238" t="s">
        <v>1167</v>
      </c>
      <c r="V685" t="s">
        <v>1167</v>
      </c>
      <c r="W685" s="24">
        <v>44478</v>
      </c>
      <c r="X685" s="238" t="s">
        <v>814</v>
      </c>
      <c r="Y685" s="238" t="s">
        <v>39</v>
      </c>
      <c r="Z685" s="238" t="s">
        <v>1340</v>
      </c>
      <c r="AA685" t="s">
        <v>1167</v>
      </c>
      <c r="AB685" s="238" t="s">
        <v>3246</v>
      </c>
      <c r="AC685" t="s">
        <v>3079</v>
      </c>
      <c r="AD685" s="24">
        <v>44678</v>
      </c>
      <c r="AE685" s="238" t="s">
        <v>2451</v>
      </c>
      <c r="AF685">
        <v>79179615194</v>
      </c>
      <c r="AG685" s="238" t="s">
        <v>2452</v>
      </c>
      <c r="AH685" s="238" t="s">
        <v>135</v>
      </c>
      <c r="AI685" s="238" t="s">
        <v>3099</v>
      </c>
      <c r="AJ685" s="238" t="s">
        <v>126</v>
      </c>
      <c r="AK685" s="238" t="s">
        <v>794</v>
      </c>
      <c r="AL685" t="s">
        <v>8715</v>
      </c>
      <c r="AM685" t="s">
        <v>1167</v>
      </c>
    </row>
    <row r="686" spans="1:39" hidden="1" x14ac:dyDescent="0.25">
      <c r="A686">
        <v>682</v>
      </c>
      <c r="B686">
        <v>18</v>
      </c>
      <c r="C686" s="24">
        <v>44484</v>
      </c>
      <c r="D686" s="238" t="s">
        <v>27</v>
      </c>
      <c r="E686" s="238" t="s">
        <v>16</v>
      </c>
      <c r="F686">
        <v>3</v>
      </c>
      <c r="G686">
        <v>9</v>
      </c>
      <c r="H686">
        <v>450</v>
      </c>
      <c r="I686" s="238" t="s">
        <v>4052</v>
      </c>
      <c r="J686">
        <v>23.54</v>
      </c>
      <c r="K686" s="238" t="s">
        <v>36</v>
      </c>
      <c r="L686">
        <v>1523861.9</v>
      </c>
      <c r="M686">
        <v>0</v>
      </c>
      <c r="N686">
        <v>1523861.9</v>
      </c>
      <c r="O686">
        <v>64735</v>
      </c>
      <c r="P686">
        <v>0</v>
      </c>
      <c r="Q686">
        <v>1523861.9</v>
      </c>
      <c r="R686">
        <v>64735</v>
      </c>
      <c r="S686" s="238" t="s">
        <v>137</v>
      </c>
      <c r="T686" s="238" t="s">
        <v>1167</v>
      </c>
      <c r="V686" t="s">
        <v>1167</v>
      </c>
      <c r="W686" s="24">
        <v>44480</v>
      </c>
      <c r="X686" s="238" t="s">
        <v>815</v>
      </c>
      <c r="Y686" s="238" t="s">
        <v>39</v>
      </c>
      <c r="Z686" s="238" t="s">
        <v>1340</v>
      </c>
      <c r="AA686" t="s">
        <v>1167</v>
      </c>
      <c r="AB686" s="238" t="s">
        <v>3246</v>
      </c>
      <c r="AC686" t="s">
        <v>3079</v>
      </c>
      <c r="AD686" s="24"/>
      <c r="AE686" s="238" t="s">
        <v>2453</v>
      </c>
      <c r="AF686">
        <v>79063458458</v>
      </c>
      <c r="AG686" s="238" t="s">
        <v>2454</v>
      </c>
      <c r="AH686" s="238" t="s">
        <v>1212</v>
      </c>
      <c r="AI686" s="238" t="s">
        <v>135</v>
      </c>
      <c r="AJ686" s="238" t="s">
        <v>399</v>
      </c>
      <c r="AK686" s="238" t="s">
        <v>794</v>
      </c>
      <c r="AL686" t="s">
        <v>8715</v>
      </c>
      <c r="AM686" t="s">
        <v>1167</v>
      </c>
    </row>
    <row r="687" spans="1:39" hidden="1" x14ac:dyDescent="0.25">
      <c r="A687">
        <v>683</v>
      </c>
      <c r="B687">
        <v>19</v>
      </c>
      <c r="C687" s="24">
        <v>44487</v>
      </c>
      <c r="D687" s="238" t="s">
        <v>27</v>
      </c>
      <c r="E687" s="238" t="s">
        <v>5</v>
      </c>
      <c r="F687">
        <v>6</v>
      </c>
      <c r="G687">
        <v>7</v>
      </c>
      <c r="H687">
        <v>253</v>
      </c>
      <c r="I687" s="238" t="s">
        <v>42</v>
      </c>
      <c r="J687">
        <v>37.11</v>
      </c>
      <c r="K687" s="238" t="s">
        <v>37</v>
      </c>
      <c r="L687">
        <v>2552259.5499999998</v>
      </c>
      <c r="M687">
        <v>0</v>
      </c>
      <c r="N687">
        <v>2552259.5499999998</v>
      </c>
      <c r="O687">
        <v>68775.52007545135</v>
      </c>
      <c r="P687">
        <v>204105</v>
      </c>
      <c r="Q687">
        <v>2348154.5499999998</v>
      </c>
      <c r="R687">
        <v>63275.520075451357</v>
      </c>
      <c r="S687" s="238" t="s">
        <v>137</v>
      </c>
      <c r="T687" s="238" t="s">
        <v>1167</v>
      </c>
      <c r="V687" t="s">
        <v>1167</v>
      </c>
      <c r="W687" s="24">
        <v>44481</v>
      </c>
      <c r="X687" s="238" t="s">
        <v>820</v>
      </c>
      <c r="Y687" s="238" t="s">
        <v>39</v>
      </c>
      <c r="Z687" s="238" t="s">
        <v>1340</v>
      </c>
      <c r="AA687" t="s">
        <v>1167</v>
      </c>
      <c r="AB687" s="238" t="s">
        <v>3246</v>
      </c>
      <c r="AC687" t="s">
        <v>3079</v>
      </c>
      <c r="AD687" s="24"/>
      <c r="AE687" s="238" t="s">
        <v>2455</v>
      </c>
      <c r="AF687">
        <v>79879506855</v>
      </c>
      <c r="AG687" s="238" t="s">
        <v>1167</v>
      </c>
      <c r="AH687" s="238" t="s">
        <v>1212</v>
      </c>
      <c r="AI687" s="238" t="s">
        <v>135</v>
      </c>
      <c r="AJ687" s="238" t="s">
        <v>126</v>
      </c>
      <c r="AK687" s="238" t="s">
        <v>794</v>
      </c>
      <c r="AL687" t="s">
        <v>8715</v>
      </c>
      <c r="AM687" t="s">
        <v>1167</v>
      </c>
    </row>
    <row r="688" spans="1:39" hidden="1" x14ac:dyDescent="0.25">
      <c r="A688">
        <v>684</v>
      </c>
      <c r="B688">
        <v>20</v>
      </c>
      <c r="C688" s="24">
        <v>44487</v>
      </c>
      <c r="D688" s="238" t="s">
        <v>27</v>
      </c>
      <c r="E688" s="238" t="s">
        <v>15</v>
      </c>
      <c r="F688">
        <v>8</v>
      </c>
      <c r="G688">
        <v>5</v>
      </c>
      <c r="H688">
        <v>543</v>
      </c>
      <c r="I688" s="238" t="s">
        <v>43</v>
      </c>
      <c r="J688">
        <v>55.8</v>
      </c>
      <c r="K688" s="238" t="s">
        <v>36</v>
      </c>
      <c r="L688">
        <v>3087325.61</v>
      </c>
      <c r="M688">
        <v>0</v>
      </c>
      <c r="N688">
        <v>3087325.61</v>
      </c>
      <c r="O688">
        <v>55328.415949820788</v>
      </c>
      <c r="P688">
        <v>0</v>
      </c>
      <c r="Q688">
        <v>3087325.61</v>
      </c>
      <c r="R688">
        <v>55328.415949820788</v>
      </c>
      <c r="S688" s="238" t="s">
        <v>137</v>
      </c>
      <c r="T688" s="238" t="s">
        <v>1167</v>
      </c>
      <c r="V688" t="s">
        <v>4091</v>
      </c>
      <c r="W688" s="24">
        <v>44482</v>
      </c>
      <c r="X688" s="238" t="s">
        <v>823</v>
      </c>
      <c r="Y688" s="238" t="s">
        <v>39</v>
      </c>
      <c r="Z688" s="238" t="s">
        <v>1340</v>
      </c>
      <c r="AA688" t="s">
        <v>1167</v>
      </c>
      <c r="AB688" s="238" t="s">
        <v>3246</v>
      </c>
      <c r="AC688" t="s">
        <v>3079</v>
      </c>
      <c r="AD688" s="24"/>
      <c r="AE688" s="238" t="s">
        <v>2456</v>
      </c>
      <c r="AF688">
        <v>79171166606</v>
      </c>
      <c r="AG688" s="238" t="s">
        <v>2457</v>
      </c>
      <c r="AH688" s="238" t="s">
        <v>1212</v>
      </c>
      <c r="AI688" s="238" t="s">
        <v>3090</v>
      </c>
      <c r="AJ688" s="238" t="s">
        <v>689</v>
      </c>
      <c r="AK688" s="238" t="s">
        <v>794</v>
      </c>
      <c r="AL688" t="s">
        <v>8715</v>
      </c>
      <c r="AM688" t="s">
        <v>1167</v>
      </c>
    </row>
    <row r="689" spans="1:39" hidden="1" x14ac:dyDescent="0.25">
      <c r="A689">
        <v>685</v>
      </c>
      <c r="B689">
        <v>21</v>
      </c>
      <c r="C689" s="24">
        <v>44487</v>
      </c>
      <c r="D689" s="238" t="s">
        <v>27</v>
      </c>
      <c r="E689" s="238" t="s">
        <v>16</v>
      </c>
      <c r="F689">
        <v>5</v>
      </c>
      <c r="G689">
        <v>5</v>
      </c>
      <c r="H689">
        <v>420</v>
      </c>
      <c r="I689" s="238" t="s">
        <v>4052</v>
      </c>
      <c r="J689">
        <v>23.63</v>
      </c>
      <c r="K689" s="238" t="s">
        <v>36</v>
      </c>
      <c r="L689">
        <v>1606172.45</v>
      </c>
      <c r="M689">
        <v>0</v>
      </c>
      <c r="N689">
        <v>1606172.45</v>
      </c>
      <c r="O689">
        <v>67971.749894202279</v>
      </c>
      <c r="P689">
        <v>0</v>
      </c>
      <c r="Q689">
        <v>1606172.45</v>
      </c>
      <c r="R689">
        <v>67971.749894202279</v>
      </c>
      <c r="S689" s="238" t="s">
        <v>137</v>
      </c>
      <c r="T689" s="238" t="s">
        <v>1167</v>
      </c>
      <c r="V689" t="s">
        <v>1167</v>
      </c>
      <c r="W689" s="24">
        <v>44483</v>
      </c>
      <c r="X689" s="238" t="s">
        <v>822</v>
      </c>
      <c r="Y689" s="238" t="s">
        <v>39</v>
      </c>
      <c r="Z689" s="238" t="s">
        <v>1340</v>
      </c>
      <c r="AA689" t="s">
        <v>1167</v>
      </c>
      <c r="AB689" s="238" t="s">
        <v>3246</v>
      </c>
      <c r="AC689" t="s">
        <v>3079</v>
      </c>
      <c r="AD689" s="24"/>
      <c r="AE689" s="238" t="s">
        <v>2458</v>
      </c>
      <c r="AF689">
        <v>79272006040</v>
      </c>
      <c r="AG689" s="238" t="s">
        <v>2459</v>
      </c>
      <c r="AH689" s="238" t="s">
        <v>1171</v>
      </c>
      <c r="AI689" s="238" t="s">
        <v>3074</v>
      </c>
      <c r="AJ689" s="238" t="s">
        <v>641</v>
      </c>
      <c r="AK689" s="238" t="s">
        <v>794</v>
      </c>
      <c r="AL689" t="s">
        <v>8715</v>
      </c>
      <c r="AM689" t="s">
        <v>1167</v>
      </c>
    </row>
    <row r="690" spans="1:39" hidden="1" x14ac:dyDescent="0.25">
      <c r="A690">
        <v>686</v>
      </c>
      <c r="B690">
        <v>22</v>
      </c>
      <c r="C690" s="24">
        <v>44487</v>
      </c>
      <c r="D690" s="238" t="s">
        <v>27</v>
      </c>
      <c r="E690" s="238" t="s">
        <v>16</v>
      </c>
      <c r="F690">
        <v>2</v>
      </c>
      <c r="G690">
        <v>12</v>
      </c>
      <c r="H690">
        <v>473</v>
      </c>
      <c r="I690" s="238" t="s">
        <v>42</v>
      </c>
      <c r="J690">
        <v>37.159999999999997</v>
      </c>
      <c r="K690" s="238" t="s">
        <v>37</v>
      </c>
      <c r="L690">
        <v>2626237.87</v>
      </c>
      <c r="M690">
        <v>0</v>
      </c>
      <c r="N690">
        <v>2626237.87</v>
      </c>
      <c r="O690">
        <v>70673.785522066741</v>
      </c>
      <c r="P690">
        <v>204380</v>
      </c>
      <c r="Q690">
        <v>2421857.87</v>
      </c>
      <c r="R690">
        <v>65173.785522066748</v>
      </c>
      <c r="S690" s="238" t="s">
        <v>137</v>
      </c>
      <c r="T690" s="238" t="s">
        <v>1167</v>
      </c>
      <c r="V690" t="s">
        <v>1167</v>
      </c>
      <c r="W690" s="24">
        <v>44483</v>
      </c>
      <c r="X690" s="238" t="s">
        <v>821</v>
      </c>
      <c r="Y690" s="238" t="s">
        <v>39</v>
      </c>
      <c r="Z690" s="238" t="s">
        <v>1340</v>
      </c>
      <c r="AA690" t="s">
        <v>1167</v>
      </c>
      <c r="AB690" s="238" t="s">
        <v>3246</v>
      </c>
      <c r="AC690" t="s">
        <v>3079</v>
      </c>
      <c r="AD690" s="24"/>
      <c r="AE690" s="238" t="s">
        <v>2460</v>
      </c>
      <c r="AF690">
        <v>79677633888</v>
      </c>
      <c r="AG690" s="238" t="s">
        <v>2461</v>
      </c>
      <c r="AH690" s="238" t="s">
        <v>135</v>
      </c>
      <c r="AI690" s="238" t="s">
        <v>3099</v>
      </c>
      <c r="AJ690" s="238" t="s">
        <v>120</v>
      </c>
      <c r="AK690" s="238" t="s">
        <v>794</v>
      </c>
      <c r="AL690" t="s">
        <v>8715</v>
      </c>
      <c r="AM690" t="s">
        <v>1167</v>
      </c>
    </row>
    <row r="691" spans="1:39" hidden="1" x14ac:dyDescent="0.25">
      <c r="A691">
        <v>687</v>
      </c>
      <c r="B691">
        <v>23</v>
      </c>
      <c r="C691" s="24">
        <v>44487</v>
      </c>
      <c r="D691" s="238" t="s">
        <v>19</v>
      </c>
      <c r="E691" s="238" t="s">
        <v>5</v>
      </c>
      <c r="F691">
        <v>8</v>
      </c>
      <c r="G691">
        <v>4</v>
      </c>
      <c r="H691">
        <v>191</v>
      </c>
      <c r="I691" s="238" t="s">
        <v>43</v>
      </c>
      <c r="J691">
        <v>56.93</v>
      </c>
      <c r="K691" s="238" t="s">
        <v>37</v>
      </c>
      <c r="L691">
        <v>4042791.52</v>
      </c>
      <c r="M691">
        <v>15000</v>
      </c>
      <c r="N691">
        <v>4057791.52</v>
      </c>
      <c r="O691">
        <v>71276.857895661335</v>
      </c>
      <c r="P691">
        <v>313115</v>
      </c>
      <c r="Q691">
        <v>3744676.52</v>
      </c>
      <c r="R691">
        <v>65776.857895661335</v>
      </c>
      <c r="S691" s="238" t="s">
        <v>137</v>
      </c>
      <c r="T691" s="238" t="s">
        <v>1167</v>
      </c>
      <c r="V691" t="s">
        <v>4091</v>
      </c>
      <c r="W691" s="24">
        <v>44484</v>
      </c>
      <c r="X691" s="238" t="s">
        <v>818</v>
      </c>
      <c r="Y691" s="238" t="s">
        <v>39</v>
      </c>
      <c r="Z691" s="238" t="s">
        <v>1340</v>
      </c>
      <c r="AA691" t="s">
        <v>1167</v>
      </c>
      <c r="AB691" s="238" t="s">
        <v>3246</v>
      </c>
      <c r="AC691" t="s">
        <v>3079</v>
      </c>
      <c r="AD691" s="24"/>
      <c r="AE691" s="238" t="s">
        <v>2462</v>
      </c>
      <c r="AF691">
        <v>79324293368</v>
      </c>
      <c r="AG691" s="238" t="s">
        <v>2463</v>
      </c>
      <c r="AH691" s="238" t="s">
        <v>1171</v>
      </c>
      <c r="AI691" s="238" t="s">
        <v>3074</v>
      </c>
      <c r="AJ691" s="238" t="s">
        <v>130</v>
      </c>
      <c r="AK691" s="238" t="s">
        <v>141</v>
      </c>
      <c r="AL691" t="s">
        <v>8715</v>
      </c>
      <c r="AM691" t="s">
        <v>1167</v>
      </c>
    </row>
    <row r="692" spans="1:39" hidden="1" x14ac:dyDescent="0.25">
      <c r="A692">
        <v>688</v>
      </c>
      <c r="B692">
        <v>24</v>
      </c>
      <c r="C692" s="24">
        <v>44487</v>
      </c>
      <c r="D692" s="238" t="s">
        <v>27</v>
      </c>
      <c r="E692" s="238" t="s">
        <v>16</v>
      </c>
      <c r="F692">
        <v>2</v>
      </c>
      <c r="G692">
        <v>11</v>
      </c>
      <c r="H692">
        <v>465</v>
      </c>
      <c r="I692" s="238" t="s">
        <v>42</v>
      </c>
      <c r="J692">
        <v>37.159999999999997</v>
      </c>
      <c r="K692" s="238" t="s">
        <v>37</v>
      </c>
      <c r="L692">
        <v>2673264.2400000002</v>
      </c>
      <c r="M692">
        <v>0</v>
      </c>
      <c r="N692">
        <v>2673264.2400000002</v>
      </c>
      <c r="O692">
        <v>71939.296017222834</v>
      </c>
      <c r="P692">
        <v>204380</v>
      </c>
      <c r="Q692">
        <v>2468884.2400000002</v>
      </c>
      <c r="R692">
        <v>66439.296017222834</v>
      </c>
      <c r="S692" s="238" t="s">
        <v>137</v>
      </c>
      <c r="T692" s="238" t="s">
        <v>1167</v>
      </c>
      <c r="V692" t="s">
        <v>1167</v>
      </c>
      <c r="W692" s="24">
        <v>44484</v>
      </c>
      <c r="X692" s="238" t="s">
        <v>819</v>
      </c>
      <c r="Y692" s="238" t="s">
        <v>39</v>
      </c>
      <c r="Z692" s="238" t="s">
        <v>1340</v>
      </c>
      <c r="AA692" t="s">
        <v>1167</v>
      </c>
      <c r="AB692" s="238" t="s">
        <v>3246</v>
      </c>
      <c r="AC692" t="s">
        <v>3079</v>
      </c>
      <c r="AD692" s="24"/>
      <c r="AE692" s="238" t="s">
        <v>2464</v>
      </c>
      <c r="AF692">
        <v>79371824423</v>
      </c>
      <c r="AG692" s="238" t="s">
        <v>2465</v>
      </c>
      <c r="AH692" s="238" t="s">
        <v>1212</v>
      </c>
      <c r="AI692" s="238" t="s">
        <v>135</v>
      </c>
      <c r="AJ692" s="238" t="s">
        <v>130</v>
      </c>
      <c r="AK692" s="238" t="s">
        <v>794</v>
      </c>
      <c r="AL692" t="s">
        <v>8715</v>
      </c>
      <c r="AM692" t="s">
        <v>1167</v>
      </c>
    </row>
    <row r="693" spans="1:39" hidden="1" x14ac:dyDescent="0.25">
      <c r="A693">
        <v>689</v>
      </c>
      <c r="B693">
        <v>25</v>
      </c>
      <c r="C693" s="24">
        <v>44488</v>
      </c>
      <c r="D693" s="238" t="s">
        <v>19</v>
      </c>
      <c r="E693" s="238" t="s">
        <v>6</v>
      </c>
      <c r="F693">
        <v>4</v>
      </c>
      <c r="G693">
        <v>17</v>
      </c>
      <c r="H693">
        <v>109</v>
      </c>
      <c r="I693" s="238" t="s">
        <v>42</v>
      </c>
      <c r="J693">
        <v>36.86</v>
      </c>
      <c r="K693" s="238" t="s">
        <v>37</v>
      </c>
      <c r="L693">
        <v>2680435.5</v>
      </c>
      <c r="M693">
        <v>25000</v>
      </c>
      <c r="N693">
        <v>2705435.5</v>
      </c>
      <c r="O693">
        <v>73397.599023331524</v>
      </c>
      <c r="P693">
        <v>202730</v>
      </c>
      <c r="Q693">
        <v>2502705.5</v>
      </c>
      <c r="R693">
        <v>67897.599023331524</v>
      </c>
      <c r="S693" s="238" t="s">
        <v>137</v>
      </c>
      <c r="T693" s="238" t="s">
        <v>1167</v>
      </c>
      <c r="V693" t="s">
        <v>1167</v>
      </c>
      <c r="W693" s="24">
        <v>44425</v>
      </c>
      <c r="X693" s="238" t="s">
        <v>824</v>
      </c>
      <c r="Y693" s="238" t="s">
        <v>39</v>
      </c>
      <c r="Z693" s="238" t="s">
        <v>1168</v>
      </c>
      <c r="AA693" t="s">
        <v>1167</v>
      </c>
      <c r="AB693" s="238" t="s">
        <v>3246</v>
      </c>
      <c r="AC693" t="s">
        <v>3076</v>
      </c>
      <c r="AD693" s="24"/>
      <c r="AE693" s="238" t="s">
        <v>2466</v>
      </c>
      <c r="AF693">
        <v>79966244862</v>
      </c>
      <c r="AG693" s="238" t="s">
        <v>2467</v>
      </c>
      <c r="AH693" s="238" t="s">
        <v>135</v>
      </c>
      <c r="AI693" s="238" t="s">
        <v>3075</v>
      </c>
      <c r="AJ693" s="238" t="s">
        <v>126</v>
      </c>
      <c r="AK693" s="238" t="s">
        <v>141</v>
      </c>
      <c r="AL693" t="s">
        <v>8715</v>
      </c>
      <c r="AM693" t="s">
        <v>1167</v>
      </c>
    </row>
    <row r="694" spans="1:39" hidden="1" x14ac:dyDescent="0.25">
      <c r="A694">
        <v>690</v>
      </c>
      <c r="B694">
        <v>26</v>
      </c>
      <c r="C694" s="24">
        <v>44488</v>
      </c>
      <c r="D694" s="238" t="s">
        <v>27</v>
      </c>
      <c r="E694" s="238" t="s">
        <v>5</v>
      </c>
      <c r="F694">
        <v>7</v>
      </c>
      <c r="G694">
        <v>9</v>
      </c>
      <c r="H694">
        <v>270</v>
      </c>
      <c r="I694" s="238" t="s">
        <v>43</v>
      </c>
      <c r="J694">
        <v>59.93</v>
      </c>
      <c r="K694" s="238" t="s">
        <v>36</v>
      </c>
      <c r="L694">
        <v>3598264.56</v>
      </c>
      <c r="M694">
        <v>0</v>
      </c>
      <c r="N694">
        <v>3598264.56</v>
      </c>
      <c r="O694">
        <v>60041.123977974305</v>
      </c>
      <c r="P694">
        <v>0</v>
      </c>
      <c r="Q694">
        <v>3598264.56</v>
      </c>
      <c r="R694">
        <v>60041.123977974305</v>
      </c>
      <c r="S694" s="238" t="s">
        <v>121</v>
      </c>
      <c r="T694" s="238" t="s">
        <v>1167</v>
      </c>
      <c r="V694" t="s">
        <v>1167</v>
      </c>
      <c r="W694" s="24">
        <v>44473</v>
      </c>
      <c r="X694" s="238" t="s">
        <v>829</v>
      </c>
      <c r="Y694" s="238" t="s">
        <v>39</v>
      </c>
      <c r="Z694" s="238" t="s">
        <v>1168</v>
      </c>
      <c r="AA694" t="s">
        <v>1167</v>
      </c>
      <c r="AB694" s="238" t="s">
        <v>3246</v>
      </c>
      <c r="AC694" t="s">
        <v>4246</v>
      </c>
      <c r="AD694" s="24"/>
      <c r="AE694" s="238" t="s">
        <v>2468</v>
      </c>
      <c r="AF694">
        <v>79271519970</v>
      </c>
      <c r="AG694" s="238" t="s">
        <v>2469</v>
      </c>
      <c r="AH694" s="238" t="s">
        <v>1212</v>
      </c>
      <c r="AI694" s="238" t="s">
        <v>135</v>
      </c>
      <c r="AJ694" s="238" t="s">
        <v>126</v>
      </c>
      <c r="AK694" s="238" t="s">
        <v>1167</v>
      </c>
      <c r="AL694" t="s">
        <v>8715</v>
      </c>
      <c r="AM694" t="s">
        <v>1167</v>
      </c>
    </row>
    <row r="695" spans="1:39" hidden="1" x14ac:dyDescent="0.25">
      <c r="A695">
        <v>691</v>
      </c>
      <c r="B695">
        <v>27</v>
      </c>
      <c r="C695" s="24">
        <v>44488</v>
      </c>
      <c r="D695" s="238" t="s">
        <v>27</v>
      </c>
      <c r="E695" s="238" t="s">
        <v>16</v>
      </c>
      <c r="F695">
        <v>3</v>
      </c>
      <c r="G695">
        <v>3</v>
      </c>
      <c r="H695">
        <v>402</v>
      </c>
      <c r="I695" s="238" t="s">
        <v>4052</v>
      </c>
      <c r="J695">
        <v>23.54</v>
      </c>
      <c r="K695" s="238" t="s">
        <v>36</v>
      </c>
      <c r="L695">
        <v>1523861.9</v>
      </c>
      <c r="M695">
        <v>0</v>
      </c>
      <c r="N695">
        <v>1523861.9</v>
      </c>
      <c r="O695">
        <v>64735</v>
      </c>
      <c r="P695">
        <v>0</v>
      </c>
      <c r="Q695">
        <v>1523861.9</v>
      </c>
      <c r="R695">
        <v>64735</v>
      </c>
      <c r="S695" s="238" t="s">
        <v>121</v>
      </c>
      <c r="T695" s="238" t="s">
        <v>1167</v>
      </c>
      <c r="V695" t="s">
        <v>1167</v>
      </c>
      <c r="W695" s="24">
        <v>44481</v>
      </c>
      <c r="X695" s="238" t="s">
        <v>826</v>
      </c>
      <c r="Y695" s="238" t="s">
        <v>39</v>
      </c>
      <c r="Z695" s="238" t="s">
        <v>1168</v>
      </c>
      <c r="AA695" t="s">
        <v>1167</v>
      </c>
      <c r="AB695" s="238" t="s">
        <v>3246</v>
      </c>
      <c r="AC695" t="s">
        <v>4246</v>
      </c>
      <c r="AD695" s="24"/>
      <c r="AE695" s="238" t="s">
        <v>2470</v>
      </c>
      <c r="AF695">
        <v>79277181453</v>
      </c>
      <c r="AG695" s="238" t="s">
        <v>2471</v>
      </c>
      <c r="AH695" s="238" t="s">
        <v>1212</v>
      </c>
      <c r="AI695" s="238" t="s">
        <v>3074</v>
      </c>
      <c r="AJ695" s="238" t="s">
        <v>689</v>
      </c>
      <c r="AK695" s="238" t="s">
        <v>1167</v>
      </c>
      <c r="AL695" t="s">
        <v>8715</v>
      </c>
      <c r="AM695" t="s">
        <v>1167</v>
      </c>
    </row>
    <row r="696" spans="1:39" hidden="1" x14ac:dyDescent="0.25">
      <c r="A696">
        <v>692</v>
      </c>
      <c r="B696">
        <v>28</v>
      </c>
      <c r="C696" s="24">
        <v>44488</v>
      </c>
      <c r="D696" s="238" t="s">
        <v>27</v>
      </c>
      <c r="E696" s="238" t="s">
        <v>15</v>
      </c>
      <c r="F696">
        <v>4</v>
      </c>
      <c r="G696">
        <v>5</v>
      </c>
      <c r="H696">
        <v>539</v>
      </c>
      <c r="I696" s="238" t="s">
        <v>42</v>
      </c>
      <c r="J696">
        <v>40</v>
      </c>
      <c r="K696" s="238" t="s">
        <v>37</v>
      </c>
      <c r="L696">
        <v>2621305.98</v>
      </c>
      <c r="M696">
        <v>0</v>
      </c>
      <c r="N696">
        <v>2621305.98</v>
      </c>
      <c r="O696">
        <v>65532.6495</v>
      </c>
      <c r="P696">
        <v>220000</v>
      </c>
      <c r="Q696">
        <v>2401305.98</v>
      </c>
      <c r="R696">
        <v>60032.6495</v>
      </c>
      <c r="S696" s="238" t="s">
        <v>137</v>
      </c>
      <c r="T696" s="238" t="s">
        <v>321</v>
      </c>
      <c r="U696">
        <v>24255.62</v>
      </c>
      <c r="V696" t="s">
        <v>1167</v>
      </c>
      <c r="W696" s="24">
        <v>44481</v>
      </c>
      <c r="X696" s="238" t="s">
        <v>828</v>
      </c>
      <c r="Y696" s="238" t="s">
        <v>39</v>
      </c>
      <c r="Z696" s="238" t="s">
        <v>1340</v>
      </c>
      <c r="AA696" t="s">
        <v>1167</v>
      </c>
      <c r="AB696" s="238" t="s">
        <v>3246</v>
      </c>
      <c r="AC696" t="s">
        <v>3077</v>
      </c>
      <c r="AD696" s="24"/>
      <c r="AE696" s="238" t="s">
        <v>2472</v>
      </c>
      <c r="AF696">
        <v>79228987765</v>
      </c>
      <c r="AG696" s="238" t="s">
        <v>2473</v>
      </c>
      <c r="AH696" s="238" t="s">
        <v>1197</v>
      </c>
      <c r="AI696" s="238" t="s">
        <v>135</v>
      </c>
      <c r="AJ696" s="238" t="s">
        <v>126</v>
      </c>
      <c r="AK696" s="238" t="s">
        <v>794</v>
      </c>
      <c r="AL696" t="s">
        <v>8715</v>
      </c>
      <c r="AM696" t="s">
        <v>1167</v>
      </c>
    </row>
    <row r="697" spans="1:39" hidden="1" x14ac:dyDescent="0.25">
      <c r="A697">
        <v>693</v>
      </c>
      <c r="B697">
        <v>29</v>
      </c>
      <c r="C697" s="24">
        <v>44488</v>
      </c>
      <c r="D697" s="238" t="s">
        <v>27</v>
      </c>
      <c r="E697" s="238" t="s">
        <v>16</v>
      </c>
      <c r="F697">
        <v>5</v>
      </c>
      <c r="G697">
        <v>14</v>
      </c>
      <c r="H697">
        <v>492</v>
      </c>
      <c r="I697" s="238" t="s">
        <v>4052</v>
      </c>
      <c r="J697">
        <v>23.63</v>
      </c>
      <c r="K697" s="238" t="s">
        <v>37</v>
      </c>
      <c r="L697">
        <v>1659653.05</v>
      </c>
      <c r="M697">
        <v>0</v>
      </c>
      <c r="N697">
        <v>1659653.05</v>
      </c>
      <c r="O697">
        <v>70235</v>
      </c>
      <c r="P697">
        <v>129965</v>
      </c>
      <c r="Q697">
        <v>1529688.05</v>
      </c>
      <c r="R697">
        <v>64735.000000000007</v>
      </c>
      <c r="S697" s="238" t="s">
        <v>124</v>
      </c>
      <c r="T697" s="238" t="s">
        <v>1167</v>
      </c>
      <c r="V697" t="s">
        <v>1167</v>
      </c>
      <c r="W697" s="24">
        <v>44482</v>
      </c>
      <c r="X697" s="238" t="s">
        <v>827</v>
      </c>
      <c r="Y697" s="238" t="s">
        <v>39</v>
      </c>
      <c r="Z697" s="238" t="s">
        <v>1168</v>
      </c>
      <c r="AA697" t="s">
        <v>1167</v>
      </c>
      <c r="AB697" s="238" t="s">
        <v>3246</v>
      </c>
      <c r="AC697" t="s">
        <v>4246</v>
      </c>
      <c r="AD697" s="24">
        <v>45023</v>
      </c>
      <c r="AE697" s="238" t="s">
        <v>4398</v>
      </c>
      <c r="AF697">
        <v>79277233722</v>
      </c>
      <c r="AG697" s="238" t="s">
        <v>4399</v>
      </c>
      <c r="AH697" s="238" t="s">
        <v>135</v>
      </c>
      <c r="AI697" s="238" t="s">
        <v>3075</v>
      </c>
      <c r="AJ697" s="238" t="s">
        <v>120</v>
      </c>
      <c r="AK697" s="238" t="s">
        <v>1167</v>
      </c>
      <c r="AL697" t="s">
        <v>8715</v>
      </c>
      <c r="AM697" t="s">
        <v>1167</v>
      </c>
    </row>
    <row r="698" spans="1:39" hidden="1" x14ac:dyDescent="0.25">
      <c r="A698">
        <v>694</v>
      </c>
      <c r="B698">
        <v>30</v>
      </c>
      <c r="C698" s="24">
        <v>44488</v>
      </c>
      <c r="D698" s="238" t="s">
        <v>27</v>
      </c>
      <c r="E698" s="238" t="s">
        <v>15</v>
      </c>
      <c r="F698">
        <v>5</v>
      </c>
      <c r="G698">
        <v>10</v>
      </c>
      <c r="H698">
        <v>580</v>
      </c>
      <c r="I698" s="238" t="s">
        <v>4052</v>
      </c>
      <c r="J698">
        <v>23.63</v>
      </c>
      <c r="K698" s="238" t="s">
        <v>36</v>
      </c>
      <c r="L698">
        <v>1529688.05</v>
      </c>
      <c r="M698">
        <v>0</v>
      </c>
      <c r="N698">
        <v>1529688.05</v>
      </c>
      <c r="O698">
        <v>64735.000000000007</v>
      </c>
      <c r="P698">
        <v>0</v>
      </c>
      <c r="Q698">
        <v>1529688.05</v>
      </c>
      <c r="R698">
        <v>64735.000000000007</v>
      </c>
      <c r="S698" s="238" t="s">
        <v>121</v>
      </c>
      <c r="T698" s="238" t="s">
        <v>1167</v>
      </c>
      <c r="V698" t="s">
        <v>1167</v>
      </c>
      <c r="W698" s="24">
        <v>44482</v>
      </c>
      <c r="X698" s="238" t="s">
        <v>825</v>
      </c>
      <c r="Y698" s="238" t="s">
        <v>39</v>
      </c>
      <c r="Z698" s="238" t="s">
        <v>1340</v>
      </c>
      <c r="AA698" t="s">
        <v>1167</v>
      </c>
      <c r="AB698" s="238" t="s">
        <v>3246</v>
      </c>
      <c r="AC698" t="s">
        <v>4246</v>
      </c>
      <c r="AD698" s="24"/>
      <c r="AE698" s="238" t="s">
        <v>1295</v>
      </c>
      <c r="AF698">
        <v>79276850734</v>
      </c>
      <c r="AG698" s="238" t="s">
        <v>1296</v>
      </c>
      <c r="AH698" s="238" t="s">
        <v>1212</v>
      </c>
      <c r="AI698" s="238" t="s">
        <v>3082</v>
      </c>
      <c r="AJ698" s="238" t="s">
        <v>126</v>
      </c>
      <c r="AK698" s="238" t="s">
        <v>1167</v>
      </c>
      <c r="AL698" t="s">
        <v>8715</v>
      </c>
      <c r="AM698" t="s">
        <v>1167</v>
      </c>
    </row>
    <row r="699" spans="1:39" hidden="1" x14ac:dyDescent="0.25">
      <c r="A699">
        <v>695</v>
      </c>
      <c r="B699">
        <v>31</v>
      </c>
      <c r="C699" s="24">
        <v>44488</v>
      </c>
      <c r="D699" s="238" t="s">
        <v>27</v>
      </c>
      <c r="E699" s="238" t="s">
        <v>16</v>
      </c>
      <c r="F699">
        <v>3</v>
      </c>
      <c r="G699">
        <v>12</v>
      </c>
      <c r="H699">
        <v>474</v>
      </c>
      <c r="I699" s="238" t="s">
        <v>4052</v>
      </c>
      <c r="J699">
        <v>23.54</v>
      </c>
      <c r="K699" s="238" t="s">
        <v>36</v>
      </c>
      <c r="L699">
        <v>1569577.76</v>
      </c>
      <c r="M699">
        <v>0</v>
      </c>
      <c r="N699">
        <v>1569577.76</v>
      </c>
      <c r="O699">
        <v>66677.05012744265</v>
      </c>
      <c r="P699">
        <v>0</v>
      </c>
      <c r="Q699">
        <v>1569577.76</v>
      </c>
      <c r="R699">
        <v>66677.05012744265</v>
      </c>
      <c r="S699" s="238" t="s">
        <v>137</v>
      </c>
      <c r="T699" s="238" t="s">
        <v>1167</v>
      </c>
      <c r="V699" t="s">
        <v>1167</v>
      </c>
      <c r="W699" s="24">
        <v>44484</v>
      </c>
      <c r="X699" s="238" t="s">
        <v>830</v>
      </c>
      <c r="Y699" s="238" t="s">
        <v>39</v>
      </c>
      <c r="Z699" s="238" t="s">
        <v>1340</v>
      </c>
      <c r="AA699" t="s">
        <v>1167</v>
      </c>
      <c r="AB699" s="238" t="s">
        <v>3246</v>
      </c>
      <c r="AC699" t="s">
        <v>3079</v>
      </c>
      <c r="AD699" s="24"/>
      <c r="AE699" s="238" t="s">
        <v>2474</v>
      </c>
      <c r="AF699">
        <v>79370662413</v>
      </c>
      <c r="AG699" s="238" t="s">
        <v>2475</v>
      </c>
      <c r="AH699" s="238" t="s">
        <v>1171</v>
      </c>
      <c r="AI699" s="238" t="s">
        <v>3090</v>
      </c>
      <c r="AJ699" s="238" t="s">
        <v>130</v>
      </c>
      <c r="AK699" s="238" t="s">
        <v>141</v>
      </c>
      <c r="AL699" t="s">
        <v>8715</v>
      </c>
      <c r="AM699" t="s">
        <v>1167</v>
      </c>
    </row>
    <row r="700" spans="1:39" hidden="1" x14ac:dyDescent="0.25">
      <c r="A700">
        <v>696</v>
      </c>
      <c r="B700">
        <v>32</v>
      </c>
      <c r="C700" s="24">
        <v>44489</v>
      </c>
      <c r="D700" s="238" t="s">
        <v>27</v>
      </c>
      <c r="E700" s="238" t="s">
        <v>16</v>
      </c>
      <c r="F700">
        <v>5</v>
      </c>
      <c r="G700">
        <v>11</v>
      </c>
      <c r="H700">
        <v>468</v>
      </c>
      <c r="I700" s="238" t="s">
        <v>4052</v>
      </c>
      <c r="J700">
        <v>23.63</v>
      </c>
      <c r="K700" s="238" t="s">
        <v>36</v>
      </c>
      <c r="L700">
        <v>1606172.45</v>
      </c>
      <c r="M700">
        <v>0</v>
      </c>
      <c r="N700">
        <v>1606172.45</v>
      </c>
      <c r="O700">
        <v>67971.749894202279</v>
      </c>
      <c r="P700">
        <v>0</v>
      </c>
      <c r="Q700">
        <v>1606172.45</v>
      </c>
      <c r="R700">
        <v>67971.749894202279</v>
      </c>
      <c r="S700" s="238" t="s">
        <v>121</v>
      </c>
      <c r="T700" s="238" t="s">
        <v>1167</v>
      </c>
      <c r="V700" t="s">
        <v>1167</v>
      </c>
      <c r="W700" s="24">
        <v>44487</v>
      </c>
      <c r="X700" s="238" t="s">
        <v>831</v>
      </c>
      <c r="Y700" s="238" t="s">
        <v>39</v>
      </c>
      <c r="Z700" s="238" t="s">
        <v>1168</v>
      </c>
      <c r="AA700" t="s">
        <v>1167</v>
      </c>
      <c r="AB700" s="238" t="s">
        <v>3246</v>
      </c>
      <c r="AC700" t="s">
        <v>4246</v>
      </c>
      <c r="AD700" s="24"/>
      <c r="AE700" s="238" t="s">
        <v>2476</v>
      </c>
      <c r="AF700">
        <v>79277303730</v>
      </c>
      <c r="AG700" s="238" t="s">
        <v>2477</v>
      </c>
      <c r="AH700" s="238" t="s">
        <v>146</v>
      </c>
      <c r="AI700" s="238" t="s">
        <v>135</v>
      </c>
      <c r="AJ700" s="238" t="s">
        <v>130</v>
      </c>
      <c r="AK700" s="238" t="s">
        <v>1167</v>
      </c>
      <c r="AL700" t="s">
        <v>8715</v>
      </c>
      <c r="AM700" t="s">
        <v>1167</v>
      </c>
    </row>
    <row r="701" spans="1:39" hidden="1" x14ac:dyDescent="0.25">
      <c r="A701">
        <v>697</v>
      </c>
      <c r="B701">
        <v>33</v>
      </c>
      <c r="C701" s="24">
        <v>44490</v>
      </c>
      <c r="D701" s="238" t="s">
        <v>19</v>
      </c>
      <c r="E701" s="238" t="s">
        <v>5</v>
      </c>
      <c r="F701">
        <v>4</v>
      </c>
      <c r="G701">
        <v>13</v>
      </c>
      <c r="H701">
        <v>286</v>
      </c>
      <c r="I701" s="238" t="s">
        <v>42</v>
      </c>
      <c r="J701">
        <v>37.89</v>
      </c>
      <c r="K701" s="238" t="s">
        <v>37</v>
      </c>
      <c r="L701">
        <v>3026651.68</v>
      </c>
      <c r="M701">
        <v>0</v>
      </c>
      <c r="N701">
        <v>3026651.68</v>
      </c>
      <c r="O701">
        <v>79879.95988387437</v>
      </c>
      <c r="P701">
        <v>208395</v>
      </c>
      <c r="Q701">
        <v>2818256.68</v>
      </c>
      <c r="R701">
        <v>74379.95988387437</v>
      </c>
      <c r="S701" s="238" t="s">
        <v>137</v>
      </c>
      <c r="T701" s="238" t="s">
        <v>1167</v>
      </c>
      <c r="V701" t="s">
        <v>1167</v>
      </c>
      <c r="W701" s="24">
        <v>44474</v>
      </c>
      <c r="X701" s="238" t="s">
        <v>832</v>
      </c>
      <c r="Y701" s="238" t="s">
        <v>39</v>
      </c>
      <c r="Z701" s="238" t="s">
        <v>1340</v>
      </c>
      <c r="AA701" t="s">
        <v>1167</v>
      </c>
      <c r="AB701" s="238" t="s">
        <v>3246</v>
      </c>
      <c r="AC701" t="s">
        <v>3079</v>
      </c>
      <c r="AD701" s="24"/>
      <c r="AE701" s="238" t="s">
        <v>2478</v>
      </c>
      <c r="AF701">
        <v>79377910023</v>
      </c>
      <c r="AG701" s="238" t="s">
        <v>2479</v>
      </c>
      <c r="AH701" s="238" t="s">
        <v>1171</v>
      </c>
      <c r="AI701" s="238" t="s">
        <v>3084</v>
      </c>
      <c r="AJ701" s="238" t="s">
        <v>126</v>
      </c>
      <c r="AK701" s="238" t="s">
        <v>794</v>
      </c>
      <c r="AL701" t="s">
        <v>8715</v>
      </c>
      <c r="AM701" t="s">
        <v>1167</v>
      </c>
    </row>
    <row r="702" spans="1:39" hidden="1" x14ac:dyDescent="0.25">
      <c r="A702">
        <v>698</v>
      </c>
      <c r="B702">
        <v>34</v>
      </c>
      <c r="C702" s="24">
        <v>44491</v>
      </c>
      <c r="D702" s="238" t="s">
        <v>19</v>
      </c>
      <c r="E702" s="238" t="s">
        <v>6</v>
      </c>
      <c r="F702">
        <v>5</v>
      </c>
      <c r="G702">
        <v>14</v>
      </c>
      <c r="H702">
        <v>89</v>
      </c>
      <c r="I702" s="238" t="s">
        <v>42</v>
      </c>
      <c r="J702">
        <v>36.42</v>
      </c>
      <c r="K702" s="238" t="s">
        <v>36</v>
      </c>
      <c r="L702">
        <v>2645928.66</v>
      </c>
      <c r="M702">
        <v>0</v>
      </c>
      <c r="N702">
        <v>2645928.66</v>
      </c>
      <c r="O702">
        <v>72650.429983525537</v>
      </c>
      <c r="P702">
        <v>0</v>
      </c>
      <c r="Q702">
        <v>2645928.66</v>
      </c>
      <c r="R702">
        <v>72650.429983525537</v>
      </c>
      <c r="S702" s="238" t="s">
        <v>137</v>
      </c>
      <c r="T702" s="238" t="s">
        <v>1167</v>
      </c>
      <c r="V702" t="s">
        <v>1167</v>
      </c>
      <c r="W702" s="24">
        <v>44481</v>
      </c>
      <c r="X702" s="238" t="s">
        <v>833</v>
      </c>
      <c r="Y702" s="238" t="s">
        <v>39</v>
      </c>
      <c r="Z702" s="238" t="s">
        <v>1340</v>
      </c>
      <c r="AA702" t="s">
        <v>1167</v>
      </c>
      <c r="AB702" s="238" t="s">
        <v>3246</v>
      </c>
      <c r="AC702" t="s">
        <v>3079</v>
      </c>
      <c r="AD702" s="24"/>
      <c r="AE702" s="238" t="s">
        <v>2480</v>
      </c>
      <c r="AF702">
        <v>79118957686</v>
      </c>
      <c r="AG702" s="238" t="s">
        <v>2481</v>
      </c>
      <c r="AH702" s="238" t="s">
        <v>135</v>
      </c>
      <c r="AI702" s="238" t="s">
        <v>3075</v>
      </c>
      <c r="AJ702" s="238" t="s">
        <v>689</v>
      </c>
      <c r="AK702" s="238" t="s">
        <v>794</v>
      </c>
      <c r="AL702" t="s">
        <v>8715</v>
      </c>
      <c r="AM702" t="s">
        <v>1167</v>
      </c>
    </row>
    <row r="703" spans="1:39" hidden="1" x14ac:dyDescent="0.25">
      <c r="A703">
        <v>699</v>
      </c>
      <c r="B703">
        <v>35</v>
      </c>
      <c r="C703" s="24">
        <v>44491</v>
      </c>
      <c r="D703" s="238" t="s">
        <v>19</v>
      </c>
      <c r="E703" s="238" t="s">
        <v>5</v>
      </c>
      <c r="F703">
        <v>3</v>
      </c>
      <c r="G703">
        <v>9</v>
      </c>
      <c r="H703">
        <v>241</v>
      </c>
      <c r="I703" s="238" t="s">
        <v>44</v>
      </c>
      <c r="J703">
        <v>86.58</v>
      </c>
      <c r="K703" s="238" t="s">
        <v>36</v>
      </c>
      <c r="L703">
        <v>5727342.4100000001</v>
      </c>
      <c r="M703">
        <v>15000</v>
      </c>
      <c r="N703">
        <v>5742342.4100000001</v>
      </c>
      <c r="O703">
        <v>66324.121159621165</v>
      </c>
      <c r="P703">
        <v>0</v>
      </c>
      <c r="Q703">
        <v>5742342.4100000001</v>
      </c>
      <c r="R703">
        <v>66324.121159621165</v>
      </c>
      <c r="S703" s="238" t="s">
        <v>137</v>
      </c>
      <c r="T703" s="238" t="s">
        <v>1167</v>
      </c>
      <c r="V703" t="s">
        <v>4091</v>
      </c>
      <c r="W703" s="24">
        <v>44486</v>
      </c>
      <c r="X703" s="238" t="s">
        <v>834</v>
      </c>
      <c r="Y703" s="238" t="s">
        <v>39</v>
      </c>
      <c r="Z703" s="238" t="s">
        <v>1340</v>
      </c>
      <c r="AA703" t="s">
        <v>1167</v>
      </c>
      <c r="AB703" s="238" t="s">
        <v>3246</v>
      </c>
      <c r="AC703" t="s">
        <v>3079</v>
      </c>
      <c r="AD703" s="24"/>
      <c r="AE703" s="238" t="s">
        <v>2482</v>
      </c>
      <c r="AF703">
        <v>79272087252</v>
      </c>
      <c r="AG703" s="238" t="s">
        <v>2483</v>
      </c>
      <c r="AH703" s="238" t="s">
        <v>1212</v>
      </c>
      <c r="AI703" s="238" t="s">
        <v>135</v>
      </c>
      <c r="AJ703" s="238" t="s">
        <v>126</v>
      </c>
      <c r="AK703" s="238" t="s">
        <v>141</v>
      </c>
      <c r="AL703" t="s">
        <v>8715</v>
      </c>
      <c r="AM703" t="s">
        <v>1167</v>
      </c>
    </row>
    <row r="704" spans="1:39" hidden="1" x14ac:dyDescent="0.25">
      <c r="A704">
        <v>700</v>
      </c>
      <c r="B704">
        <v>36</v>
      </c>
      <c r="C704" s="24">
        <v>44494</v>
      </c>
      <c r="D704" s="238" t="s">
        <v>19</v>
      </c>
      <c r="E704" s="238" t="s">
        <v>5</v>
      </c>
      <c r="F704">
        <v>9</v>
      </c>
      <c r="G704">
        <v>15</v>
      </c>
      <c r="H704">
        <v>313</v>
      </c>
      <c r="I704" s="238" t="s">
        <v>43</v>
      </c>
      <c r="J704">
        <v>60.3</v>
      </c>
      <c r="K704" s="238" t="s">
        <v>37</v>
      </c>
      <c r="L704">
        <v>4394956.5999999996</v>
      </c>
      <c r="M704">
        <v>15000</v>
      </c>
      <c r="N704">
        <v>4409956.5999999996</v>
      </c>
      <c r="O704">
        <v>73133.60862354892</v>
      </c>
      <c r="P704">
        <v>331650</v>
      </c>
      <c r="Q704">
        <v>4078306.5999999996</v>
      </c>
      <c r="R704">
        <v>67633.60862354892</v>
      </c>
      <c r="S704" s="238" t="s">
        <v>121</v>
      </c>
      <c r="T704" s="238" t="s">
        <v>1167</v>
      </c>
      <c r="V704" t="s">
        <v>1167</v>
      </c>
      <c r="W704" s="24">
        <v>44487</v>
      </c>
      <c r="X704" s="238" t="s">
        <v>837</v>
      </c>
      <c r="Y704" s="238" t="s">
        <v>39</v>
      </c>
      <c r="Z704" s="238" t="s">
        <v>1168</v>
      </c>
      <c r="AA704" t="s">
        <v>1167</v>
      </c>
      <c r="AB704" s="238" t="s">
        <v>3246</v>
      </c>
      <c r="AC704" t="s">
        <v>4246</v>
      </c>
      <c r="AD704" s="24"/>
      <c r="AE704" s="238" t="s">
        <v>2484</v>
      </c>
      <c r="AF704">
        <v>79277310600</v>
      </c>
      <c r="AG704" s="238" t="s">
        <v>2485</v>
      </c>
      <c r="AH704" s="238" t="s">
        <v>1212</v>
      </c>
      <c r="AI704" s="238" t="s">
        <v>3093</v>
      </c>
      <c r="AJ704" s="238" t="s">
        <v>689</v>
      </c>
      <c r="AK704" s="238" t="s">
        <v>1167</v>
      </c>
      <c r="AL704" t="s">
        <v>8715</v>
      </c>
      <c r="AM704" t="s">
        <v>1167</v>
      </c>
    </row>
    <row r="705" spans="1:39" hidden="1" x14ac:dyDescent="0.25">
      <c r="A705">
        <v>701</v>
      </c>
      <c r="B705">
        <v>37</v>
      </c>
      <c r="C705" s="24">
        <v>44494</v>
      </c>
      <c r="D705" s="238" t="s">
        <v>19</v>
      </c>
      <c r="E705" s="238" t="s">
        <v>6</v>
      </c>
      <c r="F705">
        <v>6</v>
      </c>
      <c r="G705">
        <v>22</v>
      </c>
      <c r="H705">
        <v>146</v>
      </c>
      <c r="I705" s="238" t="s">
        <v>43</v>
      </c>
      <c r="J705">
        <v>59.96</v>
      </c>
      <c r="K705" s="238" t="s">
        <v>36</v>
      </c>
      <c r="L705">
        <v>4381548.22</v>
      </c>
      <c r="M705">
        <v>0</v>
      </c>
      <c r="N705">
        <v>4381548.22</v>
      </c>
      <c r="O705">
        <v>73074.520013342219</v>
      </c>
      <c r="P705">
        <v>0</v>
      </c>
      <c r="Q705">
        <v>4381548.22</v>
      </c>
      <c r="R705">
        <v>73074.520013342219</v>
      </c>
      <c r="S705" s="238" t="s">
        <v>137</v>
      </c>
      <c r="T705" s="238" t="s">
        <v>1167</v>
      </c>
      <c r="V705" t="s">
        <v>4091</v>
      </c>
      <c r="W705" s="24">
        <v>44490</v>
      </c>
      <c r="X705" s="238" t="s">
        <v>835</v>
      </c>
      <c r="Y705" s="238" t="s">
        <v>39</v>
      </c>
      <c r="Z705" s="238" t="s">
        <v>1340</v>
      </c>
      <c r="AA705" t="s">
        <v>1167</v>
      </c>
      <c r="AB705" s="238" t="s">
        <v>3246</v>
      </c>
      <c r="AC705" t="s">
        <v>3079</v>
      </c>
      <c r="AD705" s="24"/>
      <c r="AE705" s="238" t="s">
        <v>2486</v>
      </c>
      <c r="AF705">
        <v>79277555618</v>
      </c>
      <c r="AG705" s="238" t="s">
        <v>2487</v>
      </c>
      <c r="AH705" s="238" t="s">
        <v>135</v>
      </c>
      <c r="AI705" s="238" t="s">
        <v>3099</v>
      </c>
      <c r="AJ705" s="238" t="s">
        <v>130</v>
      </c>
      <c r="AK705" s="238" t="s">
        <v>141</v>
      </c>
      <c r="AL705" t="s">
        <v>8715</v>
      </c>
      <c r="AM705" t="s">
        <v>1167</v>
      </c>
    </row>
    <row r="706" spans="1:39" hidden="1" x14ac:dyDescent="0.25">
      <c r="A706">
        <v>702</v>
      </c>
      <c r="B706">
        <v>38</v>
      </c>
      <c r="C706" s="24">
        <v>44494</v>
      </c>
      <c r="D706" s="238" t="s">
        <v>27</v>
      </c>
      <c r="E706" s="238" t="s">
        <v>15</v>
      </c>
      <c r="F706">
        <v>3</v>
      </c>
      <c r="G706">
        <v>2</v>
      </c>
      <c r="H706">
        <v>514</v>
      </c>
      <c r="I706" s="238" t="s">
        <v>4052</v>
      </c>
      <c r="J706">
        <v>23.54</v>
      </c>
      <c r="K706" s="238" t="s">
        <v>37</v>
      </c>
      <c r="L706">
        <v>1729524.99</v>
      </c>
      <c r="M706">
        <v>0</v>
      </c>
      <c r="N706">
        <v>1729524.99</v>
      </c>
      <c r="O706">
        <v>73471.749787595589</v>
      </c>
      <c r="P706">
        <v>129470</v>
      </c>
      <c r="Q706">
        <v>1600054.99</v>
      </c>
      <c r="R706">
        <v>67971.749787595589</v>
      </c>
      <c r="S706" s="238" t="s">
        <v>121</v>
      </c>
      <c r="T706" s="238" t="s">
        <v>1167</v>
      </c>
      <c r="V706" t="s">
        <v>1167</v>
      </c>
      <c r="W706" s="24">
        <v>44492</v>
      </c>
      <c r="X706" s="238" t="s">
        <v>836</v>
      </c>
      <c r="Y706" s="238" t="s">
        <v>39</v>
      </c>
      <c r="Z706" s="238" t="s">
        <v>1340</v>
      </c>
      <c r="AA706" t="s">
        <v>1167</v>
      </c>
      <c r="AB706" s="238" t="s">
        <v>3246</v>
      </c>
      <c r="AC706" t="s">
        <v>4246</v>
      </c>
      <c r="AD706" s="24"/>
      <c r="AE706" s="238" t="s">
        <v>2488</v>
      </c>
      <c r="AF706">
        <v>79272010907</v>
      </c>
      <c r="AG706" s="238" t="s">
        <v>2489</v>
      </c>
      <c r="AH706" s="238" t="s">
        <v>1197</v>
      </c>
      <c r="AI706" s="238" t="s">
        <v>135</v>
      </c>
      <c r="AJ706" s="238" t="s">
        <v>399</v>
      </c>
      <c r="AK706" s="238" t="s">
        <v>1167</v>
      </c>
      <c r="AL706" t="s">
        <v>8715</v>
      </c>
      <c r="AM706" t="s">
        <v>1167</v>
      </c>
    </row>
    <row r="707" spans="1:39" hidden="1" x14ac:dyDescent="0.25">
      <c r="A707">
        <v>703</v>
      </c>
      <c r="B707">
        <v>39</v>
      </c>
      <c r="C707" s="24">
        <v>44495</v>
      </c>
      <c r="D707" s="238" t="s">
        <v>19</v>
      </c>
      <c r="E707" s="238" t="s">
        <v>5</v>
      </c>
      <c r="F707">
        <v>8</v>
      </c>
      <c r="G707">
        <v>10</v>
      </c>
      <c r="H707">
        <v>257</v>
      </c>
      <c r="I707" s="238" t="s">
        <v>43</v>
      </c>
      <c r="J707">
        <v>56.93</v>
      </c>
      <c r="K707" s="238" t="s">
        <v>37</v>
      </c>
      <c r="L707">
        <v>4027791.52</v>
      </c>
      <c r="M707">
        <v>0</v>
      </c>
      <c r="N707">
        <v>4027791.52</v>
      </c>
      <c r="O707">
        <v>70749.894958721241</v>
      </c>
      <c r="P707">
        <v>313115</v>
      </c>
      <c r="Q707">
        <v>3714676.52</v>
      </c>
      <c r="R707">
        <v>65249.894958721234</v>
      </c>
      <c r="S707" s="238" t="s">
        <v>137</v>
      </c>
      <c r="T707" s="238" t="s">
        <v>1167</v>
      </c>
      <c r="V707" t="s">
        <v>4091</v>
      </c>
      <c r="W707" s="24">
        <v>44491</v>
      </c>
      <c r="X707" s="238" t="s">
        <v>838</v>
      </c>
      <c r="Y707" s="238" t="s">
        <v>39</v>
      </c>
      <c r="Z707" s="238" t="s">
        <v>1340</v>
      </c>
      <c r="AA707" t="s">
        <v>1167</v>
      </c>
      <c r="AB707" s="238" t="s">
        <v>3246</v>
      </c>
      <c r="AC707" t="s">
        <v>3079</v>
      </c>
      <c r="AD707" s="24"/>
      <c r="AE707" s="238" t="s">
        <v>2490</v>
      </c>
      <c r="AF707">
        <v>79096142374</v>
      </c>
      <c r="AG707" s="238" t="s">
        <v>2491</v>
      </c>
      <c r="AH707" s="238" t="s">
        <v>1171</v>
      </c>
      <c r="AI707" s="238" t="s">
        <v>3074</v>
      </c>
      <c r="AJ707" s="238" t="s">
        <v>126</v>
      </c>
      <c r="AK707" s="238" t="s">
        <v>141</v>
      </c>
      <c r="AL707" t="s">
        <v>8715</v>
      </c>
      <c r="AM707" t="s">
        <v>1167</v>
      </c>
    </row>
    <row r="708" spans="1:39" hidden="1" x14ac:dyDescent="0.25">
      <c r="A708">
        <v>704</v>
      </c>
      <c r="B708">
        <v>40</v>
      </c>
      <c r="C708" s="24">
        <v>44497</v>
      </c>
      <c r="D708" s="238" t="s">
        <v>20</v>
      </c>
      <c r="E708" s="238" t="s">
        <v>5</v>
      </c>
      <c r="F708">
        <v>6</v>
      </c>
      <c r="G708">
        <v>22</v>
      </c>
      <c r="H708">
        <v>296</v>
      </c>
      <c r="I708" s="238" t="s">
        <v>43</v>
      </c>
      <c r="J708">
        <v>61</v>
      </c>
      <c r="K708" s="238" t="s">
        <v>37</v>
      </c>
      <c r="L708">
        <v>3792207.5</v>
      </c>
      <c r="M708">
        <v>60000</v>
      </c>
      <c r="N708">
        <v>3852207.5</v>
      </c>
      <c r="O708">
        <v>63150.942622950817</v>
      </c>
      <c r="P708">
        <v>335500</v>
      </c>
      <c r="Q708">
        <v>3516707.5</v>
      </c>
      <c r="R708">
        <v>57650.942622950817</v>
      </c>
      <c r="S708" s="238" t="s">
        <v>137</v>
      </c>
      <c r="T708" s="238" t="s">
        <v>1167</v>
      </c>
      <c r="V708" t="s">
        <v>1167</v>
      </c>
      <c r="W708" s="24">
        <v>44385</v>
      </c>
      <c r="X708" s="238" t="s">
        <v>839</v>
      </c>
      <c r="Y708" s="238" t="s">
        <v>39</v>
      </c>
      <c r="Z708" s="238" t="s">
        <v>1168</v>
      </c>
      <c r="AA708" t="s">
        <v>1167</v>
      </c>
      <c r="AB708" s="238" t="s">
        <v>3124</v>
      </c>
      <c r="AC708" t="s">
        <v>3080</v>
      </c>
      <c r="AD708" s="24"/>
      <c r="AE708" s="238" t="s">
        <v>2492</v>
      </c>
      <c r="AF708">
        <v>79297075430</v>
      </c>
      <c r="AG708" s="238" t="s">
        <v>2493</v>
      </c>
      <c r="AH708" s="238" t="s">
        <v>1212</v>
      </c>
      <c r="AI708" s="238" t="s">
        <v>135</v>
      </c>
      <c r="AJ708" s="238" t="s">
        <v>120</v>
      </c>
      <c r="AK708" s="238" t="s">
        <v>141</v>
      </c>
      <c r="AL708" t="s">
        <v>8715</v>
      </c>
      <c r="AM708" t="s">
        <v>1167</v>
      </c>
    </row>
    <row r="709" spans="1:39" hidden="1" x14ac:dyDescent="0.25">
      <c r="A709">
        <v>705</v>
      </c>
      <c r="B709">
        <v>41</v>
      </c>
      <c r="C709" s="24">
        <v>44498</v>
      </c>
      <c r="D709" s="238" t="s">
        <v>27</v>
      </c>
      <c r="E709" s="238" t="s">
        <v>5</v>
      </c>
      <c r="F709">
        <v>8</v>
      </c>
      <c r="G709">
        <v>8</v>
      </c>
      <c r="H709">
        <v>263</v>
      </c>
      <c r="I709" s="238" t="s">
        <v>43</v>
      </c>
      <c r="J709">
        <v>55.8</v>
      </c>
      <c r="K709" s="238" t="s">
        <v>38</v>
      </c>
      <c r="L709">
        <v>3836584.8</v>
      </c>
      <c r="M709">
        <v>0</v>
      </c>
      <c r="N709">
        <v>3836584.8</v>
      </c>
      <c r="O709">
        <v>68756</v>
      </c>
      <c r="P709">
        <v>892800</v>
      </c>
      <c r="Q709">
        <v>2943784.8</v>
      </c>
      <c r="R709">
        <v>52756</v>
      </c>
      <c r="S709" s="238" t="s">
        <v>137</v>
      </c>
      <c r="T709" s="238" t="s">
        <v>1167</v>
      </c>
      <c r="V709" t="s">
        <v>1167</v>
      </c>
      <c r="W709" s="24">
        <v>44442</v>
      </c>
      <c r="X709" s="238" t="s">
        <v>845</v>
      </c>
      <c r="Y709" s="238" t="s">
        <v>39</v>
      </c>
      <c r="Z709" s="238" t="s">
        <v>1168</v>
      </c>
      <c r="AA709" t="s">
        <v>1167</v>
      </c>
      <c r="AB709" s="238" t="s">
        <v>3246</v>
      </c>
      <c r="AC709" t="s">
        <v>3076</v>
      </c>
      <c r="AD709" s="24"/>
      <c r="AE709" s="238" t="s">
        <v>2494</v>
      </c>
      <c r="AF709">
        <v>79179615134</v>
      </c>
      <c r="AG709" s="238" t="s">
        <v>2495</v>
      </c>
      <c r="AH709" s="238" t="s">
        <v>1212</v>
      </c>
      <c r="AI709" s="238" t="s">
        <v>135</v>
      </c>
      <c r="AJ709" s="238" t="s">
        <v>130</v>
      </c>
      <c r="AK709" s="238" t="s">
        <v>141</v>
      </c>
      <c r="AL709" t="s">
        <v>8715</v>
      </c>
      <c r="AM709" t="s">
        <v>1167</v>
      </c>
    </row>
    <row r="710" spans="1:39" hidden="1" x14ac:dyDescent="0.25">
      <c r="A710">
        <v>706</v>
      </c>
      <c r="B710">
        <v>42</v>
      </c>
      <c r="C710" s="24">
        <v>44498</v>
      </c>
      <c r="D710" s="238" t="s">
        <v>19</v>
      </c>
      <c r="E710" s="238" t="s">
        <v>5</v>
      </c>
      <c r="F710">
        <v>9</v>
      </c>
      <c r="G710">
        <v>4</v>
      </c>
      <c r="H710">
        <v>192</v>
      </c>
      <c r="I710" s="238" t="s">
        <v>43</v>
      </c>
      <c r="J710">
        <v>60.3</v>
      </c>
      <c r="K710" s="238" t="s">
        <v>37</v>
      </c>
      <c r="L710">
        <v>4517305.8</v>
      </c>
      <c r="M710">
        <v>15000</v>
      </c>
      <c r="N710">
        <v>4532305.8</v>
      </c>
      <c r="O710">
        <v>75162.616915422885</v>
      </c>
      <c r="P710">
        <v>331650</v>
      </c>
      <c r="Q710">
        <v>4200655.8</v>
      </c>
      <c r="R710">
        <v>69662.616915422885</v>
      </c>
      <c r="S710" s="238" t="s">
        <v>137</v>
      </c>
      <c r="T710" s="238" t="s">
        <v>1167</v>
      </c>
      <c r="V710" t="s">
        <v>4091</v>
      </c>
      <c r="W710" s="24">
        <v>44491</v>
      </c>
      <c r="X710" s="238" t="s">
        <v>842</v>
      </c>
      <c r="Y710" s="238" t="s">
        <v>39</v>
      </c>
      <c r="Z710" s="238" t="s">
        <v>1340</v>
      </c>
      <c r="AA710" t="s">
        <v>1167</v>
      </c>
      <c r="AB710" s="238" t="s">
        <v>3246</v>
      </c>
      <c r="AC710" t="s">
        <v>3079</v>
      </c>
      <c r="AD710" s="24"/>
      <c r="AE710" s="238" t="s">
        <v>2496</v>
      </c>
      <c r="AF710">
        <v>79279067613</v>
      </c>
      <c r="AG710" s="238" t="s">
        <v>2497</v>
      </c>
      <c r="AH710" s="238" t="s">
        <v>1171</v>
      </c>
      <c r="AI710" s="238" t="s">
        <v>135</v>
      </c>
      <c r="AJ710" s="238" t="s">
        <v>689</v>
      </c>
      <c r="AK710" s="238" t="s">
        <v>794</v>
      </c>
      <c r="AL710" t="s">
        <v>8715</v>
      </c>
      <c r="AM710" t="s">
        <v>1167</v>
      </c>
    </row>
    <row r="711" spans="1:39" hidden="1" x14ac:dyDescent="0.25">
      <c r="A711">
        <v>707</v>
      </c>
      <c r="B711">
        <v>43</v>
      </c>
      <c r="C711" s="24">
        <v>44498</v>
      </c>
      <c r="D711" s="238" t="s">
        <v>27</v>
      </c>
      <c r="E711" s="238" t="s">
        <v>15</v>
      </c>
      <c r="F711">
        <v>6</v>
      </c>
      <c r="G711">
        <v>5</v>
      </c>
      <c r="H711">
        <v>541</v>
      </c>
      <c r="I711" s="238" t="s">
        <v>42</v>
      </c>
      <c r="J711">
        <v>37.11</v>
      </c>
      <c r="K711" s="238" t="s">
        <v>37</v>
      </c>
      <c r="L711">
        <v>2566935.5099999998</v>
      </c>
      <c r="M711">
        <v>0</v>
      </c>
      <c r="N711">
        <v>2566935.5099999998</v>
      </c>
      <c r="O711">
        <v>69170.991915925624</v>
      </c>
      <c r="P711">
        <v>204105</v>
      </c>
      <c r="Q711">
        <v>2362830.5099999998</v>
      </c>
      <c r="R711">
        <v>63670.991915925624</v>
      </c>
      <c r="S711" s="238" t="s">
        <v>137</v>
      </c>
      <c r="T711" s="238" t="s">
        <v>1167</v>
      </c>
      <c r="V711" t="s">
        <v>1167</v>
      </c>
      <c r="W711" s="24">
        <v>44492</v>
      </c>
      <c r="X711" s="238" t="s">
        <v>846</v>
      </c>
      <c r="Y711" s="238" t="s">
        <v>39</v>
      </c>
      <c r="Z711" s="238" t="s">
        <v>1340</v>
      </c>
      <c r="AA711" t="s">
        <v>1167</v>
      </c>
      <c r="AB711" s="238" t="s">
        <v>3246</v>
      </c>
      <c r="AC711" t="s">
        <v>3079</v>
      </c>
      <c r="AD711" s="24"/>
      <c r="AE711" s="238" t="s">
        <v>2498</v>
      </c>
      <c r="AF711">
        <v>79376494082</v>
      </c>
      <c r="AG711" s="238" t="s">
        <v>2499</v>
      </c>
      <c r="AH711" s="238" t="s">
        <v>135</v>
      </c>
      <c r="AI711" s="238" t="s">
        <v>3099</v>
      </c>
      <c r="AJ711" s="238" t="s">
        <v>689</v>
      </c>
      <c r="AK711" s="238" t="s">
        <v>141</v>
      </c>
      <c r="AL711" t="s">
        <v>8715</v>
      </c>
      <c r="AM711" t="s">
        <v>1167</v>
      </c>
    </row>
    <row r="712" spans="1:39" hidden="1" x14ac:dyDescent="0.25">
      <c r="A712">
        <v>708</v>
      </c>
      <c r="B712">
        <v>44</v>
      </c>
      <c r="C712" s="24">
        <v>44498</v>
      </c>
      <c r="D712" s="238" t="s">
        <v>27</v>
      </c>
      <c r="E712" s="238" t="s">
        <v>15</v>
      </c>
      <c r="F712">
        <v>1</v>
      </c>
      <c r="G712">
        <v>15</v>
      </c>
      <c r="H712">
        <v>616</v>
      </c>
      <c r="I712" s="238" t="s">
        <v>44</v>
      </c>
      <c r="J712">
        <v>82.27</v>
      </c>
      <c r="K712" s="238" t="s">
        <v>36</v>
      </c>
      <c r="L712">
        <v>4350458.66</v>
      </c>
      <c r="M712">
        <v>0</v>
      </c>
      <c r="N712">
        <v>4350458.66</v>
      </c>
      <c r="O712">
        <v>52880.255986386292</v>
      </c>
      <c r="P712">
        <v>0</v>
      </c>
      <c r="Q712">
        <v>4350458.66</v>
      </c>
      <c r="R712">
        <v>52880.255986386292</v>
      </c>
      <c r="S712" s="238" t="s">
        <v>137</v>
      </c>
      <c r="T712" s="238" t="s">
        <v>1167</v>
      </c>
      <c r="V712" t="s">
        <v>4091</v>
      </c>
      <c r="W712" s="24">
        <v>44495</v>
      </c>
      <c r="X712" s="238" t="s">
        <v>843</v>
      </c>
      <c r="Y712" s="238" t="s">
        <v>39</v>
      </c>
      <c r="Z712" s="238" t="s">
        <v>1340</v>
      </c>
      <c r="AA712" t="s">
        <v>1167</v>
      </c>
      <c r="AB712" s="238" t="s">
        <v>3246</v>
      </c>
      <c r="AC712" t="s">
        <v>3079</v>
      </c>
      <c r="AD712" s="24"/>
      <c r="AE712" s="238" t="s">
        <v>2500</v>
      </c>
      <c r="AF712">
        <v>79270092525</v>
      </c>
      <c r="AG712" s="238" t="s">
        <v>2501</v>
      </c>
      <c r="AH712" s="238" t="s">
        <v>135</v>
      </c>
      <c r="AI712" s="238" t="s">
        <v>135</v>
      </c>
      <c r="AJ712" s="238" t="s">
        <v>130</v>
      </c>
      <c r="AK712" s="238" t="s">
        <v>141</v>
      </c>
      <c r="AL712" t="s">
        <v>8715</v>
      </c>
      <c r="AM712" t="s">
        <v>1167</v>
      </c>
    </row>
    <row r="713" spans="1:39" hidden="1" x14ac:dyDescent="0.25">
      <c r="A713">
        <v>709</v>
      </c>
      <c r="B713">
        <v>45</v>
      </c>
      <c r="C713" s="24">
        <v>44498</v>
      </c>
      <c r="D713" s="238" t="s">
        <v>19</v>
      </c>
      <c r="E713" s="238" t="s">
        <v>6</v>
      </c>
      <c r="F713">
        <v>2</v>
      </c>
      <c r="G713">
        <v>15</v>
      </c>
      <c r="H713">
        <v>93</v>
      </c>
      <c r="I713" s="238" t="s">
        <v>43</v>
      </c>
      <c r="J713">
        <v>58.99</v>
      </c>
      <c r="K713" s="238" t="s">
        <v>37</v>
      </c>
      <c r="L713">
        <v>4657474.07</v>
      </c>
      <c r="M713">
        <v>0</v>
      </c>
      <c r="N713">
        <v>4657474.07</v>
      </c>
      <c r="O713">
        <v>78953.620444143075</v>
      </c>
      <c r="P713">
        <v>324445</v>
      </c>
      <c r="Q713">
        <v>4333029.07</v>
      </c>
      <c r="R713">
        <v>73453.620444143075</v>
      </c>
      <c r="S713" s="238" t="s">
        <v>121</v>
      </c>
      <c r="T713" s="238" t="s">
        <v>1167</v>
      </c>
      <c r="V713" t="s">
        <v>1167</v>
      </c>
      <c r="W713" s="24">
        <v>44498</v>
      </c>
      <c r="X713" s="238" t="s">
        <v>840</v>
      </c>
      <c r="Y713" s="238" t="s">
        <v>39</v>
      </c>
      <c r="Z713" s="238" t="s">
        <v>1168</v>
      </c>
      <c r="AA713" t="s">
        <v>1167</v>
      </c>
      <c r="AB713" s="238" t="s">
        <v>3246</v>
      </c>
      <c r="AC713" t="s">
        <v>4246</v>
      </c>
      <c r="AD713" s="24"/>
      <c r="AE713" s="238" t="s">
        <v>841</v>
      </c>
      <c r="AF713">
        <v>79649900888</v>
      </c>
      <c r="AG713" s="238" t="s">
        <v>2502</v>
      </c>
      <c r="AH713" s="238" t="s">
        <v>1171</v>
      </c>
      <c r="AI713" s="238" t="s">
        <v>3074</v>
      </c>
      <c r="AJ713" s="238" t="s">
        <v>399</v>
      </c>
      <c r="AK713" s="238" t="s">
        <v>1167</v>
      </c>
      <c r="AL713" t="s">
        <v>8715</v>
      </c>
      <c r="AM713" t="s">
        <v>1167</v>
      </c>
    </row>
    <row r="714" spans="1:39" hidden="1" x14ac:dyDescent="0.25">
      <c r="A714">
        <v>710</v>
      </c>
      <c r="B714">
        <v>46</v>
      </c>
      <c r="C714" s="24">
        <v>44498</v>
      </c>
      <c r="D714" s="238" t="s">
        <v>27</v>
      </c>
      <c r="E714" s="238" t="s">
        <v>15</v>
      </c>
      <c r="F714">
        <v>5</v>
      </c>
      <c r="G714">
        <v>2</v>
      </c>
      <c r="I714" s="238" t="s">
        <v>4052</v>
      </c>
      <c r="J714">
        <v>23.63</v>
      </c>
      <c r="K714" s="238" t="s">
        <v>38</v>
      </c>
      <c r="L714">
        <v>1984252.45</v>
      </c>
      <c r="M714">
        <v>0</v>
      </c>
      <c r="N714">
        <v>1984252.45</v>
      </c>
      <c r="O714">
        <v>83971.749894202294</v>
      </c>
      <c r="P714">
        <v>378080</v>
      </c>
      <c r="Q714">
        <v>1606172.45</v>
      </c>
      <c r="R714">
        <v>67971.749894202279</v>
      </c>
      <c r="S714" s="238" t="s">
        <v>137</v>
      </c>
      <c r="T714" s="238" t="s">
        <v>1167</v>
      </c>
      <c r="V714" t="s">
        <v>1167</v>
      </c>
      <c r="W714" s="24">
        <v>44493</v>
      </c>
      <c r="X714" s="238" t="s">
        <v>844</v>
      </c>
      <c r="Y714" s="238" t="s">
        <v>1172</v>
      </c>
      <c r="Z714" s="238" t="s">
        <v>1340</v>
      </c>
      <c r="AA714" t="s">
        <v>1167</v>
      </c>
      <c r="AB714" s="238" t="s">
        <v>3246</v>
      </c>
      <c r="AC714" t="s">
        <v>3079</v>
      </c>
      <c r="AD714" s="24">
        <v>44561</v>
      </c>
      <c r="AE714" s="238" t="s">
        <v>2503</v>
      </c>
      <c r="AF714">
        <v>79677645412</v>
      </c>
      <c r="AG714" s="238" t="s">
        <v>2504</v>
      </c>
      <c r="AH714" s="238" t="s">
        <v>1212</v>
      </c>
      <c r="AI714" s="238" t="s">
        <v>135</v>
      </c>
      <c r="AJ714" s="238" t="s">
        <v>399</v>
      </c>
      <c r="AK714" s="238" t="s">
        <v>794</v>
      </c>
      <c r="AL714" t="s">
        <v>8715</v>
      </c>
      <c r="AM714" t="s">
        <v>1167</v>
      </c>
    </row>
    <row r="715" spans="1:39" hidden="1" x14ac:dyDescent="0.25">
      <c r="A715">
        <v>711</v>
      </c>
      <c r="B715">
        <v>1</v>
      </c>
      <c r="C715" s="24">
        <v>44507</v>
      </c>
      <c r="D715" s="238" t="s">
        <v>19</v>
      </c>
      <c r="E715" s="238" t="s">
        <v>6</v>
      </c>
      <c r="F715">
        <v>5</v>
      </c>
      <c r="G715">
        <v>16</v>
      </c>
      <c r="H715">
        <v>103</v>
      </c>
      <c r="I715" s="238" t="s">
        <v>42</v>
      </c>
      <c r="J715">
        <v>36.42</v>
      </c>
      <c r="K715" s="238" t="s">
        <v>36</v>
      </c>
      <c r="L715">
        <v>2725306.56</v>
      </c>
      <c r="M715">
        <v>0</v>
      </c>
      <c r="N715">
        <v>2725306.56</v>
      </c>
      <c r="O715">
        <v>74829.943986820421</v>
      </c>
      <c r="P715">
        <v>0</v>
      </c>
      <c r="Q715">
        <v>2725306.56</v>
      </c>
      <c r="R715">
        <v>74829.943986820421</v>
      </c>
      <c r="S715" s="238" t="s">
        <v>124</v>
      </c>
      <c r="T715" s="238" t="s">
        <v>1167</v>
      </c>
      <c r="V715" t="s">
        <v>1167</v>
      </c>
      <c r="W715" s="24">
        <v>44491</v>
      </c>
      <c r="X715" s="238" t="s">
        <v>849</v>
      </c>
      <c r="Y715" s="238" t="s">
        <v>39</v>
      </c>
      <c r="Z715" s="238" t="s">
        <v>1340</v>
      </c>
      <c r="AA715" t="s">
        <v>1167</v>
      </c>
      <c r="AB715" s="238" t="s">
        <v>3246</v>
      </c>
      <c r="AC715" t="s">
        <v>4246</v>
      </c>
      <c r="AD715" s="24"/>
      <c r="AE715" s="238" t="s">
        <v>2505</v>
      </c>
      <c r="AF715">
        <v>79226227596</v>
      </c>
      <c r="AG715" s="238" t="s">
        <v>2506</v>
      </c>
      <c r="AH715" s="238" t="s">
        <v>1212</v>
      </c>
      <c r="AI715" s="238" t="s">
        <v>3090</v>
      </c>
      <c r="AJ715" s="238" t="s">
        <v>126</v>
      </c>
      <c r="AK715" s="238" t="s">
        <v>1167</v>
      </c>
      <c r="AL715" t="s">
        <v>8715</v>
      </c>
      <c r="AM715" t="s">
        <v>1167</v>
      </c>
    </row>
    <row r="716" spans="1:39" hidden="1" x14ac:dyDescent="0.25">
      <c r="A716">
        <v>712</v>
      </c>
      <c r="B716">
        <v>2</v>
      </c>
      <c r="C716" s="24">
        <v>44507</v>
      </c>
      <c r="D716" s="238" t="s">
        <v>27</v>
      </c>
      <c r="E716" s="238" t="s">
        <v>15</v>
      </c>
      <c r="F716">
        <v>8</v>
      </c>
      <c r="G716">
        <v>14</v>
      </c>
      <c r="H716">
        <v>615</v>
      </c>
      <c r="I716" s="238" t="s">
        <v>43</v>
      </c>
      <c r="J716">
        <v>55.8</v>
      </c>
      <c r="K716" s="238" t="s">
        <v>36</v>
      </c>
      <c r="L716">
        <v>3179945.38</v>
      </c>
      <c r="M716">
        <v>0</v>
      </c>
      <c r="N716">
        <v>3179945.38</v>
      </c>
      <c r="O716">
        <v>56988.268458781364</v>
      </c>
      <c r="P716">
        <v>0</v>
      </c>
      <c r="Q716">
        <v>3179945.38</v>
      </c>
      <c r="R716">
        <v>56988.268458781364</v>
      </c>
      <c r="S716" s="238" t="s">
        <v>137</v>
      </c>
      <c r="T716" s="238" t="s">
        <v>1167</v>
      </c>
      <c r="V716" t="s">
        <v>4091</v>
      </c>
      <c r="W716" s="24">
        <v>44495</v>
      </c>
      <c r="X716" s="238" t="s">
        <v>851</v>
      </c>
      <c r="Y716" s="238" t="s">
        <v>39</v>
      </c>
      <c r="Z716" s="238" t="s">
        <v>1340</v>
      </c>
      <c r="AA716" t="s">
        <v>1167</v>
      </c>
      <c r="AB716" s="238" t="s">
        <v>3246</v>
      </c>
      <c r="AC716" t="s">
        <v>3079</v>
      </c>
      <c r="AD716" s="24"/>
      <c r="AE716" s="238" t="s">
        <v>2507</v>
      </c>
      <c r="AF716">
        <v>79171454719</v>
      </c>
      <c r="AG716" s="238" t="s">
        <v>2508</v>
      </c>
      <c r="AH716" s="238" t="s">
        <v>146</v>
      </c>
      <c r="AI716" s="238" t="s">
        <v>135</v>
      </c>
      <c r="AJ716" s="238" t="s">
        <v>126</v>
      </c>
      <c r="AK716" s="238" t="s">
        <v>141</v>
      </c>
      <c r="AL716" t="s">
        <v>8715</v>
      </c>
      <c r="AM716" t="s">
        <v>1167</v>
      </c>
    </row>
    <row r="717" spans="1:39" hidden="1" x14ac:dyDescent="0.25">
      <c r="A717">
        <v>713</v>
      </c>
      <c r="B717">
        <v>3</v>
      </c>
      <c r="C717" s="24">
        <v>44507</v>
      </c>
      <c r="D717" s="238" t="s">
        <v>27</v>
      </c>
      <c r="E717" s="238" t="s">
        <v>16</v>
      </c>
      <c r="F717">
        <v>3</v>
      </c>
      <c r="G717">
        <v>5</v>
      </c>
      <c r="H717">
        <v>418</v>
      </c>
      <c r="I717" s="238" t="s">
        <v>4052</v>
      </c>
      <c r="J717">
        <v>23.54</v>
      </c>
      <c r="K717" s="238" t="s">
        <v>36</v>
      </c>
      <c r="L717">
        <v>1508861.9</v>
      </c>
      <c r="M717">
        <v>15000</v>
      </c>
      <c r="N717">
        <v>1523861.9</v>
      </c>
      <c r="O717">
        <v>64735</v>
      </c>
      <c r="P717">
        <v>0</v>
      </c>
      <c r="Q717">
        <v>1523861.9</v>
      </c>
      <c r="R717">
        <v>64735</v>
      </c>
      <c r="S717" s="238" t="s">
        <v>121</v>
      </c>
      <c r="T717" s="238" t="s">
        <v>1167</v>
      </c>
      <c r="V717" t="s">
        <v>1167</v>
      </c>
      <c r="W717" s="24">
        <v>44498</v>
      </c>
      <c r="X717" s="238" t="s">
        <v>850</v>
      </c>
      <c r="Y717" s="238" t="s">
        <v>39</v>
      </c>
      <c r="Z717" s="238" t="s">
        <v>1340</v>
      </c>
      <c r="AA717" t="s">
        <v>1167</v>
      </c>
      <c r="AB717" s="238" t="s">
        <v>3246</v>
      </c>
      <c r="AC717" t="s">
        <v>4246</v>
      </c>
      <c r="AD717" s="24">
        <v>44965</v>
      </c>
      <c r="AE717" s="238" t="s">
        <v>4400</v>
      </c>
      <c r="AF717">
        <v>79874530323</v>
      </c>
      <c r="AG717" s="238" t="s">
        <v>4401</v>
      </c>
      <c r="AH717" s="238" t="s">
        <v>1171</v>
      </c>
      <c r="AI717" s="238" t="s">
        <v>3074</v>
      </c>
      <c r="AJ717" s="238" t="s">
        <v>399</v>
      </c>
      <c r="AK717" s="238" t="s">
        <v>1167</v>
      </c>
      <c r="AL717" t="s">
        <v>8715</v>
      </c>
      <c r="AM717" t="s">
        <v>1167</v>
      </c>
    </row>
    <row r="718" spans="1:39" hidden="1" x14ac:dyDescent="0.25">
      <c r="A718">
        <v>714</v>
      </c>
      <c r="B718">
        <v>4</v>
      </c>
      <c r="C718" s="24">
        <v>44507</v>
      </c>
      <c r="D718" s="238" t="s">
        <v>27</v>
      </c>
      <c r="E718" s="238" t="s">
        <v>16</v>
      </c>
      <c r="F718">
        <v>3</v>
      </c>
      <c r="G718">
        <v>7</v>
      </c>
      <c r="H718">
        <v>434</v>
      </c>
      <c r="I718" s="238" t="s">
        <v>4052</v>
      </c>
      <c r="J718">
        <v>23.54</v>
      </c>
      <c r="K718" s="238" t="s">
        <v>36</v>
      </c>
      <c r="L718">
        <v>1508861.9</v>
      </c>
      <c r="M718">
        <v>15000</v>
      </c>
      <c r="N718">
        <v>1523861.9</v>
      </c>
      <c r="O718">
        <v>64735</v>
      </c>
      <c r="P718">
        <v>0</v>
      </c>
      <c r="Q718">
        <v>1523861.9</v>
      </c>
      <c r="R718">
        <v>64735</v>
      </c>
      <c r="S718" s="238" t="s">
        <v>121</v>
      </c>
      <c r="T718" s="238" t="s">
        <v>1167</v>
      </c>
      <c r="V718" t="s">
        <v>1167</v>
      </c>
      <c r="W718" s="24">
        <v>44498</v>
      </c>
      <c r="X718" s="238" t="s">
        <v>848</v>
      </c>
      <c r="Y718" s="238" t="s">
        <v>39</v>
      </c>
      <c r="Z718" s="238" t="s">
        <v>1340</v>
      </c>
      <c r="AA718" t="s">
        <v>1167</v>
      </c>
      <c r="AB718" s="238" t="s">
        <v>3246</v>
      </c>
      <c r="AC718" t="s">
        <v>4246</v>
      </c>
      <c r="AD718" s="24"/>
      <c r="AE718" s="238" t="s">
        <v>2509</v>
      </c>
      <c r="AF718">
        <v>79198024001</v>
      </c>
      <c r="AG718" s="238" t="s">
        <v>2510</v>
      </c>
      <c r="AH718" s="238" t="s">
        <v>1197</v>
      </c>
      <c r="AI718" s="238" t="s">
        <v>3074</v>
      </c>
      <c r="AJ718" s="238" t="s">
        <v>399</v>
      </c>
      <c r="AK718" s="238" t="s">
        <v>1167</v>
      </c>
      <c r="AL718" t="s">
        <v>8715</v>
      </c>
      <c r="AM718" t="s">
        <v>1167</v>
      </c>
    </row>
    <row r="719" spans="1:39" hidden="1" x14ac:dyDescent="0.25">
      <c r="A719">
        <v>715</v>
      </c>
      <c r="B719">
        <v>5</v>
      </c>
      <c r="C719" s="24">
        <v>44507</v>
      </c>
      <c r="D719" s="238" t="s">
        <v>19</v>
      </c>
      <c r="E719" s="238" t="s">
        <v>6</v>
      </c>
      <c r="F719">
        <v>4</v>
      </c>
      <c r="G719">
        <v>11</v>
      </c>
      <c r="H719">
        <v>67</v>
      </c>
      <c r="I719" s="238" t="s">
        <v>42</v>
      </c>
      <c r="J719">
        <v>36.86</v>
      </c>
      <c r="K719" s="238" t="s">
        <v>36</v>
      </c>
      <c r="L719">
        <v>2758231.73</v>
      </c>
      <c r="M719">
        <v>0</v>
      </c>
      <c r="N719">
        <v>2758231.73</v>
      </c>
      <c r="O719">
        <v>74829.943841562665</v>
      </c>
      <c r="P719">
        <v>0</v>
      </c>
      <c r="Q719">
        <v>2758231.73</v>
      </c>
      <c r="R719">
        <v>74829.943841562665</v>
      </c>
      <c r="S719" s="238" t="s">
        <v>124</v>
      </c>
      <c r="T719" s="238" t="s">
        <v>1167</v>
      </c>
      <c r="V719" t="s">
        <v>1167</v>
      </c>
      <c r="W719" s="24">
        <v>44502</v>
      </c>
      <c r="X719" s="238" t="s">
        <v>847</v>
      </c>
      <c r="Y719" s="238" t="s">
        <v>39</v>
      </c>
      <c r="Z719" s="238" t="s">
        <v>1340</v>
      </c>
      <c r="AA719" t="s">
        <v>1167</v>
      </c>
      <c r="AB719" s="238" t="s">
        <v>3246</v>
      </c>
      <c r="AC719" t="s">
        <v>4246</v>
      </c>
      <c r="AD719" s="24"/>
      <c r="AE719" s="238" t="s">
        <v>2511</v>
      </c>
      <c r="AF719">
        <v>79033001002</v>
      </c>
      <c r="AG719" s="238" t="s">
        <v>2512</v>
      </c>
      <c r="AH719" s="238" t="s">
        <v>1212</v>
      </c>
      <c r="AI719" s="238" t="s">
        <v>135</v>
      </c>
      <c r="AJ719" s="238" t="s">
        <v>130</v>
      </c>
      <c r="AK719" s="238" t="s">
        <v>1167</v>
      </c>
      <c r="AL719" t="s">
        <v>8715</v>
      </c>
      <c r="AM719" t="s">
        <v>1167</v>
      </c>
    </row>
    <row r="720" spans="1:39" hidden="1" x14ac:dyDescent="0.25">
      <c r="A720">
        <v>716</v>
      </c>
      <c r="B720">
        <v>6</v>
      </c>
      <c r="C720" s="24">
        <v>44508</v>
      </c>
      <c r="D720" s="238" t="s">
        <v>27</v>
      </c>
      <c r="E720" s="238" t="s">
        <v>15</v>
      </c>
      <c r="F720">
        <v>3</v>
      </c>
      <c r="G720">
        <v>12</v>
      </c>
      <c r="H720">
        <v>594</v>
      </c>
      <c r="I720" s="238" t="s">
        <v>4052</v>
      </c>
      <c r="J720">
        <v>23.54</v>
      </c>
      <c r="K720" s="238" t="s">
        <v>36</v>
      </c>
      <c r="L720">
        <v>1702458.51</v>
      </c>
      <c r="M720">
        <v>0</v>
      </c>
      <c r="N720">
        <v>1702458.51</v>
      </c>
      <c r="O720">
        <v>72321.941801189474</v>
      </c>
      <c r="P720">
        <v>0</v>
      </c>
      <c r="Q720">
        <v>1702458.51</v>
      </c>
      <c r="R720">
        <v>72321.941801189474</v>
      </c>
      <c r="S720" s="238" t="s">
        <v>137</v>
      </c>
      <c r="T720" s="238" t="s">
        <v>1167</v>
      </c>
      <c r="V720" t="s">
        <v>1167</v>
      </c>
      <c r="W720" s="24">
        <v>44499</v>
      </c>
      <c r="X720" s="238" t="s">
        <v>854</v>
      </c>
      <c r="Y720" s="238" t="s">
        <v>39</v>
      </c>
      <c r="Z720" s="238" t="s">
        <v>1340</v>
      </c>
      <c r="AA720" t="s">
        <v>1167</v>
      </c>
      <c r="AB720" s="238" t="s">
        <v>3246</v>
      </c>
      <c r="AC720" t="s">
        <v>3079</v>
      </c>
      <c r="AD720" s="24"/>
      <c r="AE720" s="238" t="s">
        <v>2513</v>
      </c>
      <c r="AF720">
        <v>79276013331</v>
      </c>
      <c r="AG720" s="238" t="s">
        <v>2514</v>
      </c>
      <c r="AH720" s="238" t="s">
        <v>1212</v>
      </c>
      <c r="AI720" s="238" t="s">
        <v>3074</v>
      </c>
      <c r="AJ720" s="238" t="s">
        <v>130</v>
      </c>
      <c r="AK720" s="238" t="s">
        <v>794</v>
      </c>
      <c r="AL720" t="s">
        <v>8715</v>
      </c>
      <c r="AM720" t="s">
        <v>1167</v>
      </c>
    </row>
    <row r="721" spans="1:39" hidden="1" x14ac:dyDescent="0.25">
      <c r="A721">
        <v>717</v>
      </c>
      <c r="B721">
        <v>7</v>
      </c>
      <c r="C721" s="24">
        <v>44508</v>
      </c>
      <c r="D721" s="238" t="s">
        <v>19</v>
      </c>
      <c r="E721" s="238" t="s">
        <v>6</v>
      </c>
      <c r="F721">
        <v>5</v>
      </c>
      <c r="G721">
        <v>10</v>
      </c>
      <c r="H721">
        <v>61</v>
      </c>
      <c r="I721" s="238" t="s">
        <v>42</v>
      </c>
      <c r="J721">
        <v>36.42</v>
      </c>
      <c r="K721" s="238" t="s">
        <v>36</v>
      </c>
      <c r="L721">
        <v>2725306.56</v>
      </c>
      <c r="M721">
        <v>0</v>
      </c>
      <c r="N721">
        <v>2725306.56</v>
      </c>
      <c r="O721">
        <v>74829.943986820421</v>
      </c>
      <c r="P721">
        <v>0</v>
      </c>
      <c r="Q721">
        <v>2725306.56</v>
      </c>
      <c r="R721">
        <v>74829.943986820421</v>
      </c>
      <c r="S721" s="238" t="s">
        <v>137</v>
      </c>
      <c r="T721" s="238" t="s">
        <v>1167</v>
      </c>
      <c r="V721" t="s">
        <v>1167</v>
      </c>
      <c r="W721" s="24">
        <v>44501</v>
      </c>
      <c r="X721" s="238" t="s">
        <v>852</v>
      </c>
      <c r="Y721" s="238" t="s">
        <v>39</v>
      </c>
      <c r="Z721" s="238" t="s">
        <v>1340</v>
      </c>
      <c r="AA721" t="s">
        <v>1167</v>
      </c>
      <c r="AB721" s="238" t="s">
        <v>3246</v>
      </c>
      <c r="AC721" t="s">
        <v>3079</v>
      </c>
      <c r="AD721" s="24"/>
      <c r="AE721" s="238" t="s">
        <v>2515</v>
      </c>
      <c r="AF721">
        <v>79170346584</v>
      </c>
      <c r="AG721" s="238" t="s">
        <v>2516</v>
      </c>
      <c r="AH721" s="238" t="s">
        <v>1171</v>
      </c>
      <c r="AI721" s="238" t="s">
        <v>135</v>
      </c>
      <c r="AJ721" s="238" t="s">
        <v>399</v>
      </c>
      <c r="AK721" s="238" t="s">
        <v>794</v>
      </c>
      <c r="AL721" t="s">
        <v>8715</v>
      </c>
      <c r="AM721" t="s">
        <v>1167</v>
      </c>
    </row>
    <row r="722" spans="1:39" hidden="1" x14ac:dyDescent="0.25">
      <c r="A722">
        <v>718</v>
      </c>
      <c r="B722">
        <v>8</v>
      </c>
      <c r="C722" s="24">
        <v>44508</v>
      </c>
      <c r="D722" s="238" t="s">
        <v>19</v>
      </c>
      <c r="E722" s="238" t="s">
        <v>5</v>
      </c>
      <c r="F722">
        <v>11</v>
      </c>
      <c r="G722">
        <v>6</v>
      </c>
      <c r="H722">
        <v>216</v>
      </c>
      <c r="I722" s="238" t="s">
        <v>4052</v>
      </c>
      <c r="J722">
        <v>25.85</v>
      </c>
      <c r="K722" s="238" t="s">
        <v>38</v>
      </c>
      <c r="L722">
        <v>2431802.89</v>
      </c>
      <c r="M722">
        <v>0</v>
      </c>
      <c r="N722">
        <v>2431802.89</v>
      </c>
      <c r="O722">
        <v>94073.612765957441</v>
      </c>
      <c r="P722">
        <v>413600</v>
      </c>
      <c r="Q722">
        <v>2018202.8900000001</v>
      </c>
      <c r="R722">
        <v>78073.612765957441</v>
      </c>
      <c r="S722" s="238" t="s">
        <v>137</v>
      </c>
      <c r="T722" s="238" t="s">
        <v>1167</v>
      </c>
      <c r="V722" t="s">
        <v>1167</v>
      </c>
      <c r="W722" s="24">
        <v>44504</v>
      </c>
      <c r="X722" s="238" t="s">
        <v>853</v>
      </c>
      <c r="Y722" s="238" t="s">
        <v>39</v>
      </c>
      <c r="Z722" s="238" t="s">
        <v>1340</v>
      </c>
      <c r="AA722" t="s">
        <v>1167</v>
      </c>
      <c r="AB722" s="238" t="s">
        <v>3246</v>
      </c>
      <c r="AC722" t="s">
        <v>3079</v>
      </c>
      <c r="AD722" s="24"/>
      <c r="AE722" s="238" t="s">
        <v>2517</v>
      </c>
      <c r="AF722">
        <v>79277017630</v>
      </c>
      <c r="AG722" s="238" t="s">
        <v>2518</v>
      </c>
      <c r="AH722" s="238" t="s">
        <v>1212</v>
      </c>
      <c r="AI722" s="238" t="s">
        <v>3090</v>
      </c>
      <c r="AJ722" s="238" t="s">
        <v>399</v>
      </c>
      <c r="AK722" s="238" t="s">
        <v>141</v>
      </c>
      <c r="AL722" t="s">
        <v>8715</v>
      </c>
      <c r="AM722" t="s">
        <v>1167</v>
      </c>
    </row>
    <row r="723" spans="1:39" hidden="1" x14ac:dyDescent="0.25">
      <c r="A723">
        <v>719</v>
      </c>
      <c r="B723">
        <v>9</v>
      </c>
      <c r="C723" s="24">
        <v>44509</v>
      </c>
      <c r="D723" s="238" t="s">
        <v>20</v>
      </c>
      <c r="E723" s="238" t="s">
        <v>6</v>
      </c>
      <c r="F723">
        <v>4</v>
      </c>
      <c r="G723">
        <v>6</v>
      </c>
      <c r="H723">
        <v>44</v>
      </c>
      <c r="I723" s="238" t="s">
        <v>44</v>
      </c>
      <c r="J723">
        <v>77.8</v>
      </c>
      <c r="K723" s="238" t="s">
        <v>36</v>
      </c>
      <c r="L723">
        <v>4553880</v>
      </c>
      <c r="M723">
        <v>0</v>
      </c>
      <c r="N723">
        <v>4553880</v>
      </c>
      <c r="O723">
        <v>58533.161953727511</v>
      </c>
      <c r="P723">
        <v>38900</v>
      </c>
      <c r="Q723">
        <v>4514980</v>
      </c>
      <c r="R723">
        <v>58033.161953727511</v>
      </c>
      <c r="S723" s="238" t="s">
        <v>137</v>
      </c>
      <c r="T723" s="238" t="s">
        <v>1167</v>
      </c>
      <c r="V723" t="s">
        <v>1167</v>
      </c>
      <c r="W723" s="24">
        <v>44474</v>
      </c>
      <c r="X723" s="238" t="s">
        <v>857</v>
      </c>
      <c r="Y723" s="238" t="s">
        <v>39</v>
      </c>
      <c r="Z723" s="238" t="s">
        <v>1168</v>
      </c>
      <c r="AA723" t="s">
        <v>1167</v>
      </c>
      <c r="AB723" s="238" t="s">
        <v>3124</v>
      </c>
      <c r="AC723" t="s">
        <v>3112</v>
      </c>
      <c r="AD723" s="24"/>
      <c r="AE723" s="238" t="s">
        <v>2519</v>
      </c>
      <c r="AF723">
        <v>79295670089</v>
      </c>
      <c r="AG723" s="238" t="s">
        <v>1167</v>
      </c>
      <c r="AH723" s="238" t="s">
        <v>135</v>
      </c>
      <c r="AI723" s="238" t="s">
        <v>3075</v>
      </c>
      <c r="AJ723" s="238" t="s">
        <v>130</v>
      </c>
      <c r="AK723" s="238" t="s">
        <v>141</v>
      </c>
      <c r="AL723" t="s">
        <v>8715</v>
      </c>
      <c r="AM723" t="s">
        <v>1167</v>
      </c>
    </row>
    <row r="724" spans="1:39" hidden="1" x14ac:dyDescent="0.25">
      <c r="A724">
        <v>720</v>
      </c>
      <c r="B724">
        <v>10</v>
      </c>
      <c r="C724" s="24">
        <v>44509</v>
      </c>
      <c r="D724" s="238" t="s">
        <v>19</v>
      </c>
      <c r="E724" s="238" t="s">
        <v>5</v>
      </c>
      <c r="F724">
        <v>4</v>
      </c>
      <c r="G724">
        <v>3</v>
      </c>
      <c r="H724">
        <v>176</v>
      </c>
      <c r="I724" s="238" t="s">
        <v>42</v>
      </c>
      <c r="J724">
        <v>37.89</v>
      </c>
      <c r="K724" s="238" t="s">
        <v>37</v>
      </c>
      <c r="L724">
        <v>3111199.46</v>
      </c>
      <c r="M724">
        <v>0</v>
      </c>
      <c r="N724">
        <v>3111199.46</v>
      </c>
      <c r="O724">
        <v>82111.360781208758</v>
      </c>
      <c r="P724">
        <v>208395</v>
      </c>
      <c r="Q724">
        <v>2902804.46</v>
      </c>
      <c r="R724">
        <v>76611.360781208758</v>
      </c>
      <c r="S724" s="238" t="s">
        <v>137</v>
      </c>
      <c r="T724" s="238" t="s">
        <v>1167</v>
      </c>
      <c r="V724" t="s">
        <v>1167</v>
      </c>
      <c r="W724" s="24">
        <v>44501</v>
      </c>
      <c r="X724" s="238" t="s">
        <v>855</v>
      </c>
      <c r="Y724" s="238" t="s">
        <v>39</v>
      </c>
      <c r="Z724" s="238" t="s">
        <v>1340</v>
      </c>
      <c r="AA724" t="s">
        <v>1167</v>
      </c>
      <c r="AB724" s="238" t="s">
        <v>3246</v>
      </c>
      <c r="AC724" t="s">
        <v>3079</v>
      </c>
      <c r="AD724" s="24"/>
      <c r="AE724" s="238" t="s">
        <v>2520</v>
      </c>
      <c r="AF724">
        <v>79170135735</v>
      </c>
      <c r="AG724" s="238" t="s">
        <v>2521</v>
      </c>
      <c r="AH724" s="238" t="s">
        <v>135</v>
      </c>
      <c r="AI724" s="238" t="s">
        <v>3075</v>
      </c>
      <c r="AJ724" s="238" t="s">
        <v>130</v>
      </c>
      <c r="AK724" s="238" t="s">
        <v>141</v>
      </c>
      <c r="AL724" t="s">
        <v>8715</v>
      </c>
      <c r="AM724" t="s">
        <v>1167</v>
      </c>
    </row>
    <row r="725" spans="1:39" hidden="1" x14ac:dyDescent="0.25">
      <c r="A725">
        <v>721</v>
      </c>
      <c r="B725">
        <v>11</v>
      </c>
      <c r="C725" s="24">
        <v>44509</v>
      </c>
      <c r="D725" s="238" t="s">
        <v>27</v>
      </c>
      <c r="E725" s="238" t="s">
        <v>15</v>
      </c>
      <c r="F725">
        <v>8</v>
      </c>
      <c r="G725">
        <v>13</v>
      </c>
      <c r="H725">
        <v>607</v>
      </c>
      <c r="I725" s="238" t="s">
        <v>43</v>
      </c>
      <c r="J725">
        <v>55.8</v>
      </c>
      <c r="K725" s="238" t="s">
        <v>36</v>
      </c>
      <c r="L725">
        <v>3179945.38</v>
      </c>
      <c r="M725">
        <v>0</v>
      </c>
      <c r="N725">
        <v>3179945.38</v>
      </c>
      <c r="O725">
        <v>56988.268458781364</v>
      </c>
      <c r="P725">
        <v>0</v>
      </c>
      <c r="Q725">
        <v>3179945.38</v>
      </c>
      <c r="R725">
        <v>56988.268458781364</v>
      </c>
      <c r="S725" s="238" t="s">
        <v>137</v>
      </c>
      <c r="T725" s="238" t="s">
        <v>1167</v>
      </c>
      <c r="V725" t="s">
        <v>4091</v>
      </c>
      <c r="W725" s="24">
        <v>44506</v>
      </c>
      <c r="X725" s="238" t="s">
        <v>859</v>
      </c>
      <c r="Y725" s="238" t="s">
        <v>39</v>
      </c>
      <c r="Z725" s="238" t="s">
        <v>1340</v>
      </c>
      <c r="AA725" t="s">
        <v>1167</v>
      </c>
      <c r="AB725" s="238" t="s">
        <v>3246</v>
      </c>
      <c r="AC725" t="s">
        <v>3079</v>
      </c>
      <c r="AD725" s="24"/>
      <c r="AE725" s="238" t="s">
        <v>2522</v>
      </c>
      <c r="AF725">
        <v>79297151809</v>
      </c>
      <c r="AG725" s="238" t="s">
        <v>2523</v>
      </c>
      <c r="AH725" s="238" t="s">
        <v>146</v>
      </c>
      <c r="AI725" s="238" t="s">
        <v>135</v>
      </c>
      <c r="AJ725" s="238" t="s">
        <v>399</v>
      </c>
      <c r="AK725" s="238" t="s">
        <v>794</v>
      </c>
      <c r="AL725" t="s">
        <v>8715</v>
      </c>
      <c r="AM725" t="s">
        <v>1167</v>
      </c>
    </row>
    <row r="726" spans="1:39" hidden="1" x14ac:dyDescent="0.25">
      <c r="A726">
        <v>722</v>
      </c>
      <c r="B726">
        <v>12</v>
      </c>
      <c r="C726" s="24">
        <v>44509</v>
      </c>
      <c r="D726" s="238" t="s">
        <v>27</v>
      </c>
      <c r="E726" s="238" t="s">
        <v>5</v>
      </c>
      <c r="F726">
        <v>6</v>
      </c>
      <c r="G726">
        <v>4</v>
      </c>
      <c r="H726">
        <v>229</v>
      </c>
      <c r="I726" s="238" t="s">
        <v>42</v>
      </c>
      <c r="J726">
        <v>37.11</v>
      </c>
      <c r="K726" s="238" t="s">
        <v>37</v>
      </c>
      <c r="L726">
        <v>2669667.27</v>
      </c>
      <c r="M726">
        <v>0</v>
      </c>
      <c r="N726">
        <v>2669667.27</v>
      </c>
      <c r="O726">
        <v>71939.295877122073</v>
      </c>
      <c r="P726">
        <v>204105</v>
      </c>
      <c r="Q726">
        <v>2465562.27</v>
      </c>
      <c r="R726">
        <v>66439.295877122073</v>
      </c>
      <c r="S726" s="238" t="s">
        <v>121</v>
      </c>
      <c r="T726" s="238" t="s">
        <v>1167</v>
      </c>
      <c r="V726" t="s">
        <v>1167</v>
      </c>
      <c r="W726" s="24">
        <v>44507</v>
      </c>
      <c r="X726" s="238" t="s">
        <v>858</v>
      </c>
      <c r="Y726" s="238" t="s">
        <v>39</v>
      </c>
      <c r="Z726" s="238" t="s">
        <v>1340</v>
      </c>
      <c r="AA726" t="s">
        <v>1167</v>
      </c>
      <c r="AB726" s="238" t="s">
        <v>3246</v>
      </c>
      <c r="AC726" t="s">
        <v>4246</v>
      </c>
      <c r="AD726" s="24"/>
      <c r="AE726" s="238" t="s">
        <v>2524</v>
      </c>
      <c r="AF726">
        <v>79272166156</v>
      </c>
      <c r="AG726" s="238" t="s">
        <v>2525</v>
      </c>
      <c r="AH726" s="238" t="s">
        <v>1212</v>
      </c>
      <c r="AI726" s="238" t="s">
        <v>135</v>
      </c>
      <c r="AJ726" s="238" t="s">
        <v>399</v>
      </c>
      <c r="AK726" s="238" t="s">
        <v>1167</v>
      </c>
      <c r="AL726" t="s">
        <v>8715</v>
      </c>
      <c r="AM726" t="s">
        <v>1167</v>
      </c>
    </row>
    <row r="727" spans="1:39" hidden="1" x14ac:dyDescent="0.25">
      <c r="A727">
        <v>723</v>
      </c>
      <c r="B727">
        <v>13</v>
      </c>
      <c r="C727" s="24">
        <v>44509</v>
      </c>
      <c r="D727" s="238" t="s">
        <v>27</v>
      </c>
      <c r="E727" s="238" t="s">
        <v>5</v>
      </c>
      <c r="F727">
        <v>2</v>
      </c>
      <c r="G727">
        <v>4</v>
      </c>
      <c r="H727">
        <v>225</v>
      </c>
      <c r="I727" s="238" t="s">
        <v>42</v>
      </c>
      <c r="J727">
        <v>37.159999999999997</v>
      </c>
      <c r="K727" s="238" t="s">
        <v>37</v>
      </c>
      <c r="L727">
        <v>2673264.2400000002</v>
      </c>
      <c r="M727">
        <v>0</v>
      </c>
      <c r="N727">
        <v>2673264.2400000002</v>
      </c>
      <c r="O727">
        <v>71939.296017222834</v>
      </c>
      <c r="P727">
        <v>204380</v>
      </c>
      <c r="Q727">
        <v>2468884.2400000002</v>
      </c>
      <c r="R727">
        <v>66439.296017222834</v>
      </c>
      <c r="S727" s="238" t="s">
        <v>137</v>
      </c>
      <c r="T727" s="238" t="s">
        <v>1167</v>
      </c>
      <c r="V727" t="s">
        <v>1167</v>
      </c>
      <c r="W727" s="24">
        <v>44507</v>
      </c>
      <c r="X727" s="238" t="s">
        <v>856</v>
      </c>
      <c r="Y727" s="238" t="s">
        <v>39</v>
      </c>
      <c r="Z727" s="238" t="s">
        <v>1340</v>
      </c>
      <c r="AA727" t="s">
        <v>1167</v>
      </c>
      <c r="AB727" s="238" t="s">
        <v>3246</v>
      </c>
      <c r="AC727" t="s">
        <v>3079</v>
      </c>
      <c r="AD727" s="24"/>
      <c r="AE727" s="238" t="s">
        <v>2526</v>
      </c>
      <c r="AF727">
        <v>79278912237</v>
      </c>
      <c r="AG727" s="238" t="s">
        <v>2525</v>
      </c>
      <c r="AH727" s="238" t="s">
        <v>1197</v>
      </c>
      <c r="AI727" s="238" t="s">
        <v>135</v>
      </c>
      <c r="AJ727" s="238" t="s">
        <v>399</v>
      </c>
      <c r="AK727" s="238" t="s">
        <v>141</v>
      </c>
      <c r="AL727" t="s">
        <v>8715</v>
      </c>
      <c r="AM727" t="s">
        <v>1167</v>
      </c>
    </row>
    <row r="728" spans="1:39" hidden="1" x14ac:dyDescent="0.25">
      <c r="A728">
        <v>724</v>
      </c>
      <c r="B728">
        <v>14</v>
      </c>
      <c r="C728" s="24">
        <v>44510</v>
      </c>
      <c r="D728" s="238" t="s">
        <v>27</v>
      </c>
      <c r="E728" s="238" t="s">
        <v>16</v>
      </c>
      <c r="F728">
        <v>8</v>
      </c>
      <c r="G728">
        <v>9</v>
      </c>
      <c r="H728">
        <v>455</v>
      </c>
      <c r="I728" s="238" t="s">
        <v>43</v>
      </c>
      <c r="J728">
        <v>55.8</v>
      </c>
      <c r="K728" s="238" t="s">
        <v>36</v>
      </c>
      <c r="L728">
        <v>3480297.61</v>
      </c>
      <c r="M728">
        <v>0</v>
      </c>
      <c r="N728">
        <v>3480297.61</v>
      </c>
      <c r="O728">
        <v>62370.924910394264</v>
      </c>
      <c r="P728">
        <v>0</v>
      </c>
      <c r="Q728">
        <v>3480297.61</v>
      </c>
      <c r="R728">
        <v>62370.924910394264</v>
      </c>
      <c r="S728" s="238" t="s">
        <v>137</v>
      </c>
      <c r="T728" s="238" t="s">
        <v>1167</v>
      </c>
      <c r="V728" t="s">
        <v>1167</v>
      </c>
      <c r="W728" s="24">
        <v>44504</v>
      </c>
      <c r="X728" s="238" t="s">
        <v>860</v>
      </c>
      <c r="Y728" s="238" t="s">
        <v>39</v>
      </c>
      <c r="Z728" s="238" t="s">
        <v>1168</v>
      </c>
      <c r="AA728" t="s">
        <v>1167</v>
      </c>
      <c r="AB728" s="238" t="s">
        <v>3246</v>
      </c>
      <c r="AC728" t="s">
        <v>3076</v>
      </c>
      <c r="AD728" s="24"/>
      <c r="AE728" s="238" t="s">
        <v>2527</v>
      </c>
      <c r="AF728">
        <v>79608233742</v>
      </c>
      <c r="AG728" s="238" t="s">
        <v>2528</v>
      </c>
      <c r="AH728" s="238" t="s">
        <v>1171</v>
      </c>
      <c r="AI728" s="238" t="s">
        <v>3074</v>
      </c>
      <c r="AJ728" s="238" t="s">
        <v>399</v>
      </c>
      <c r="AK728" s="238" t="s">
        <v>794</v>
      </c>
      <c r="AL728" t="s">
        <v>8715</v>
      </c>
      <c r="AM728" t="s">
        <v>1167</v>
      </c>
    </row>
    <row r="729" spans="1:39" hidden="1" x14ac:dyDescent="0.25">
      <c r="A729">
        <v>725</v>
      </c>
      <c r="B729">
        <v>15</v>
      </c>
      <c r="C729" s="24">
        <v>44511</v>
      </c>
      <c r="D729" s="238" t="s">
        <v>27</v>
      </c>
      <c r="E729" s="238" t="s">
        <v>16</v>
      </c>
      <c r="F729">
        <v>5</v>
      </c>
      <c r="G729">
        <v>2</v>
      </c>
      <c r="H729">
        <v>396</v>
      </c>
      <c r="I729" s="238" t="s">
        <v>4052</v>
      </c>
      <c r="J729">
        <v>23.63</v>
      </c>
      <c r="K729" s="238" t="s">
        <v>36</v>
      </c>
      <c r="L729">
        <v>1606172.45</v>
      </c>
      <c r="M729">
        <v>0</v>
      </c>
      <c r="N729">
        <v>1606172.45</v>
      </c>
      <c r="O729">
        <v>67971.749894202279</v>
      </c>
      <c r="P729">
        <v>0</v>
      </c>
      <c r="Q729">
        <v>1606172.45</v>
      </c>
      <c r="R729">
        <v>67971.749894202279</v>
      </c>
      <c r="S729" s="238" t="s">
        <v>121</v>
      </c>
      <c r="T729" s="238" t="s">
        <v>1167</v>
      </c>
      <c r="V729" t="s">
        <v>1167</v>
      </c>
      <c r="W729" s="24">
        <v>44505</v>
      </c>
      <c r="X729" s="238" t="s">
        <v>862</v>
      </c>
      <c r="Y729" s="238" t="s">
        <v>39</v>
      </c>
      <c r="Z729" s="238" t="s">
        <v>1168</v>
      </c>
      <c r="AA729" t="s">
        <v>1167</v>
      </c>
      <c r="AB729" s="238" t="s">
        <v>3246</v>
      </c>
      <c r="AC729" t="s">
        <v>4246</v>
      </c>
      <c r="AD729" s="24"/>
      <c r="AE729" s="238" t="s">
        <v>2529</v>
      </c>
      <c r="AF729">
        <v>79276087606</v>
      </c>
      <c r="AG729" s="238" t="s">
        <v>2530</v>
      </c>
      <c r="AH729" s="238" t="s">
        <v>1212</v>
      </c>
      <c r="AI729" s="238" t="s">
        <v>3097</v>
      </c>
      <c r="AJ729" s="238" t="s">
        <v>689</v>
      </c>
      <c r="AK729" s="238" t="s">
        <v>1167</v>
      </c>
      <c r="AL729" t="s">
        <v>8715</v>
      </c>
      <c r="AM729" t="s">
        <v>1167</v>
      </c>
    </row>
    <row r="730" spans="1:39" hidden="1" x14ac:dyDescent="0.25">
      <c r="A730">
        <v>726</v>
      </c>
      <c r="B730">
        <v>16</v>
      </c>
      <c r="C730" s="24">
        <v>44511</v>
      </c>
      <c r="D730" s="238" t="s">
        <v>27</v>
      </c>
      <c r="E730" s="238" t="s">
        <v>16</v>
      </c>
      <c r="F730">
        <v>3</v>
      </c>
      <c r="G730">
        <v>2</v>
      </c>
      <c r="H730">
        <v>394</v>
      </c>
      <c r="I730" s="238" t="s">
        <v>4052</v>
      </c>
      <c r="J730">
        <v>23.54</v>
      </c>
      <c r="K730" s="238" t="s">
        <v>36</v>
      </c>
      <c r="L730">
        <v>1600055</v>
      </c>
      <c r="M730">
        <v>0</v>
      </c>
      <c r="N730">
        <v>1600055</v>
      </c>
      <c r="O730">
        <v>67971.750212404426</v>
      </c>
      <c r="P730">
        <v>0</v>
      </c>
      <c r="Q730">
        <v>1600055</v>
      </c>
      <c r="R730">
        <v>67971.750212404426</v>
      </c>
      <c r="S730" s="238" t="s">
        <v>121</v>
      </c>
      <c r="T730" s="238" t="s">
        <v>1167</v>
      </c>
      <c r="V730" t="s">
        <v>1167</v>
      </c>
      <c r="W730" s="24">
        <v>44505</v>
      </c>
      <c r="X730" s="238" t="s">
        <v>863</v>
      </c>
      <c r="Y730" s="238" t="s">
        <v>39</v>
      </c>
      <c r="Z730" s="238" t="s">
        <v>1168</v>
      </c>
      <c r="AA730" t="s">
        <v>1167</v>
      </c>
      <c r="AB730" s="238" t="s">
        <v>3246</v>
      </c>
      <c r="AC730" t="s">
        <v>4246</v>
      </c>
      <c r="AD730" s="24"/>
      <c r="AE730" s="238" t="s">
        <v>2531</v>
      </c>
      <c r="AF730">
        <v>79276087606</v>
      </c>
      <c r="AG730" s="238" t="s">
        <v>2530</v>
      </c>
      <c r="AH730" s="238" t="s">
        <v>1197</v>
      </c>
      <c r="AI730" s="238" t="s">
        <v>3097</v>
      </c>
      <c r="AJ730" s="238" t="s">
        <v>689</v>
      </c>
      <c r="AK730" s="238" t="s">
        <v>1167</v>
      </c>
      <c r="AL730" t="s">
        <v>8715</v>
      </c>
      <c r="AM730" t="s">
        <v>1167</v>
      </c>
    </row>
    <row r="731" spans="1:39" hidden="1" x14ac:dyDescent="0.25">
      <c r="A731">
        <v>727</v>
      </c>
      <c r="B731">
        <v>17</v>
      </c>
      <c r="C731" s="24">
        <v>44511</v>
      </c>
      <c r="D731" s="238" t="s">
        <v>27</v>
      </c>
      <c r="E731" s="238" t="s">
        <v>15</v>
      </c>
      <c r="F731">
        <v>7</v>
      </c>
      <c r="G731">
        <v>15</v>
      </c>
      <c r="H731">
        <v>622</v>
      </c>
      <c r="I731" s="238" t="s">
        <v>43</v>
      </c>
      <c r="J731">
        <v>59.93</v>
      </c>
      <c r="K731" s="238" t="s">
        <v>36</v>
      </c>
      <c r="L731">
        <v>3770676.71</v>
      </c>
      <c r="M731">
        <v>0</v>
      </c>
      <c r="N731">
        <v>3770676.71</v>
      </c>
      <c r="O731">
        <v>62918.016185549808</v>
      </c>
      <c r="P731">
        <v>0</v>
      </c>
      <c r="Q731">
        <v>3770676.71</v>
      </c>
      <c r="R731">
        <v>62918.016185549808</v>
      </c>
      <c r="S731" s="238" t="s">
        <v>137</v>
      </c>
      <c r="T731" s="238" t="s">
        <v>1167</v>
      </c>
      <c r="V731" t="s">
        <v>4091</v>
      </c>
      <c r="W731" s="24">
        <v>44509</v>
      </c>
      <c r="X731" s="238" t="s">
        <v>861</v>
      </c>
      <c r="Y731" s="238" t="s">
        <v>39</v>
      </c>
      <c r="Z731" s="238" t="s">
        <v>1340</v>
      </c>
      <c r="AA731" t="s">
        <v>1167</v>
      </c>
      <c r="AB731" s="238" t="s">
        <v>3246</v>
      </c>
      <c r="AC731" t="s">
        <v>3079</v>
      </c>
      <c r="AD731" s="24"/>
      <c r="AE731" s="238" t="s">
        <v>2532</v>
      </c>
      <c r="AF731">
        <v>79677673333</v>
      </c>
      <c r="AG731" s="238" t="s">
        <v>2533</v>
      </c>
      <c r="AH731" s="238" t="s">
        <v>1212</v>
      </c>
      <c r="AI731" s="238" t="s">
        <v>135</v>
      </c>
      <c r="AJ731" s="238" t="s">
        <v>399</v>
      </c>
      <c r="AK731" s="238" t="s">
        <v>141</v>
      </c>
      <c r="AL731" t="s">
        <v>8715</v>
      </c>
      <c r="AM731" t="s">
        <v>1167</v>
      </c>
    </row>
    <row r="732" spans="1:39" hidden="1" x14ac:dyDescent="0.25">
      <c r="A732">
        <v>728</v>
      </c>
      <c r="B732">
        <v>18</v>
      </c>
      <c r="C732" s="24">
        <v>44515</v>
      </c>
      <c r="D732" s="238" t="s">
        <v>27</v>
      </c>
      <c r="E732" s="238" t="s">
        <v>14</v>
      </c>
      <c r="F732">
        <v>2</v>
      </c>
      <c r="G732">
        <v>19</v>
      </c>
      <c r="H732">
        <v>784</v>
      </c>
      <c r="I732" s="238" t="s">
        <v>45</v>
      </c>
      <c r="J732">
        <v>100.26</v>
      </c>
      <c r="K732" s="238" t="s">
        <v>36</v>
      </c>
      <c r="L732">
        <v>5871311.9199999999</v>
      </c>
      <c r="M732">
        <v>15000</v>
      </c>
      <c r="N732">
        <v>5886311.9199999999</v>
      </c>
      <c r="O732">
        <v>58710.471972870531</v>
      </c>
      <c r="P732">
        <v>0</v>
      </c>
      <c r="Q732">
        <v>5886311.9199999999</v>
      </c>
      <c r="R732">
        <v>58710.471972870531</v>
      </c>
      <c r="S732" s="238" t="s">
        <v>137</v>
      </c>
      <c r="T732" s="238" t="s">
        <v>1167</v>
      </c>
      <c r="V732" t="s">
        <v>4091</v>
      </c>
      <c r="W732" s="24">
        <v>44509</v>
      </c>
      <c r="X732" s="238" t="s">
        <v>864</v>
      </c>
      <c r="Y732" s="238" t="s">
        <v>39</v>
      </c>
      <c r="Z732" s="238" t="s">
        <v>1340</v>
      </c>
      <c r="AA732" t="s">
        <v>1167</v>
      </c>
      <c r="AB732" s="238" t="s">
        <v>3246</v>
      </c>
      <c r="AC732" t="s">
        <v>3079</v>
      </c>
      <c r="AD732" s="24"/>
      <c r="AE732" s="238" t="s">
        <v>2534</v>
      </c>
      <c r="AF732">
        <v>79325314147</v>
      </c>
      <c r="AG732" s="238" t="s">
        <v>2535</v>
      </c>
      <c r="AH732" s="238" t="s">
        <v>1212</v>
      </c>
      <c r="AI732" s="238" t="s">
        <v>3084</v>
      </c>
      <c r="AJ732" s="238" t="s">
        <v>399</v>
      </c>
      <c r="AK732" s="238" t="s">
        <v>794</v>
      </c>
      <c r="AL732" t="s">
        <v>8715</v>
      </c>
      <c r="AM732" t="s">
        <v>1167</v>
      </c>
    </row>
    <row r="733" spans="1:39" hidden="1" x14ac:dyDescent="0.25">
      <c r="A733">
        <v>729</v>
      </c>
      <c r="B733">
        <v>19</v>
      </c>
      <c r="C733" s="24">
        <v>44516</v>
      </c>
      <c r="D733" s="238" t="s">
        <v>27</v>
      </c>
      <c r="E733" s="238" t="s">
        <v>15</v>
      </c>
      <c r="F733">
        <v>3</v>
      </c>
      <c r="G733">
        <v>15</v>
      </c>
      <c r="H733">
        <v>618</v>
      </c>
      <c r="I733" s="238" t="s">
        <v>4052</v>
      </c>
      <c r="J733">
        <v>23.54</v>
      </c>
      <c r="K733" s="238" t="s">
        <v>37</v>
      </c>
      <c r="L733">
        <v>1816928.51</v>
      </c>
      <c r="M733">
        <v>15000</v>
      </c>
      <c r="N733">
        <v>1831928.51</v>
      </c>
      <c r="O733">
        <v>77821.941801189474</v>
      </c>
      <c r="P733">
        <v>129470</v>
      </c>
      <c r="Q733">
        <v>1702458.51</v>
      </c>
      <c r="R733">
        <v>72321.941801189474</v>
      </c>
      <c r="S733" s="238" t="s">
        <v>137</v>
      </c>
      <c r="T733" s="238" t="s">
        <v>1167</v>
      </c>
      <c r="V733" t="s">
        <v>1167</v>
      </c>
      <c r="W733" s="24">
        <v>44505</v>
      </c>
      <c r="X733" s="238" t="s">
        <v>866</v>
      </c>
      <c r="Y733" s="238" t="s">
        <v>39</v>
      </c>
      <c r="Z733" s="238" t="s">
        <v>1340</v>
      </c>
      <c r="AA733" t="s">
        <v>1167</v>
      </c>
      <c r="AB733" s="238" t="s">
        <v>3246</v>
      </c>
      <c r="AC733" t="s">
        <v>3079</v>
      </c>
      <c r="AD733" s="24"/>
      <c r="AE733" s="238" t="s">
        <v>2536</v>
      </c>
      <c r="AF733">
        <v>79377919714</v>
      </c>
      <c r="AG733" s="238" t="s">
        <v>2537</v>
      </c>
      <c r="AH733" s="238" t="s">
        <v>1212</v>
      </c>
      <c r="AI733" s="238" t="s">
        <v>3097</v>
      </c>
      <c r="AJ733" s="238" t="s">
        <v>689</v>
      </c>
      <c r="AK733" s="238" t="s">
        <v>794</v>
      </c>
      <c r="AL733" t="s">
        <v>8715</v>
      </c>
      <c r="AM733" t="s">
        <v>1167</v>
      </c>
    </row>
    <row r="734" spans="1:39" hidden="1" x14ac:dyDescent="0.25">
      <c r="A734">
        <v>730</v>
      </c>
      <c r="B734">
        <v>20</v>
      </c>
      <c r="C734" s="24">
        <v>44516</v>
      </c>
      <c r="D734" s="238" t="s">
        <v>27</v>
      </c>
      <c r="E734" s="238" t="s">
        <v>16</v>
      </c>
      <c r="F734">
        <v>8</v>
      </c>
      <c r="G734">
        <v>6</v>
      </c>
      <c r="H734">
        <v>431</v>
      </c>
      <c r="I734" s="238" t="s">
        <v>43</v>
      </c>
      <c r="J734">
        <v>55.8</v>
      </c>
      <c r="K734" s="238" t="s">
        <v>36</v>
      </c>
      <c r="L734">
        <v>3683918.44</v>
      </c>
      <c r="M734">
        <v>0</v>
      </c>
      <c r="N734">
        <v>3683918.44</v>
      </c>
      <c r="O734">
        <v>66020.043727598575</v>
      </c>
      <c r="P734">
        <v>0</v>
      </c>
      <c r="Q734">
        <v>3683918.44</v>
      </c>
      <c r="R734">
        <v>66020.043727598575</v>
      </c>
      <c r="S734" s="238" t="s">
        <v>137</v>
      </c>
      <c r="T734" s="238" t="s">
        <v>321</v>
      </c>
      <c r="U734">
        <v>40000</v>
      </c>
      <c r="V734" t="s">
        <v>1167</v>
      </c>
      <c r="W734" s="24">
        <v>44511</v>
      </c>
      <c r="X734" s="238" t="s">
        <v>865</v>
      </c>
      <c r="Y734" s="238" t="s">
        <v>39</v>
      </c>
      <c r="Z734" s="238" t="s">
        <v>1168</v>
      </c>
      <c r="AA734" t="s">
        <v>1167</v>
      </c>
      <c r="AB734" s="238" t="s">
        <v>3246</v>
      </c>
      <c r="AC734" t="s">
        <v>3080</v>
      </c>
      <c r="AD734" s="24"/>
      <c r="AE734" s="238" t="s">
        <v>2538</v>
      </c>
      <c r="AF734">
        <v>79277277741</v>
      </c>
      <c r="AG734" s="238" t="s">
        <v>2539</v>
      </c>
      <c r="AH734" s="238" t="s">
        <v>146</v>
      </c>
      <c r="AI734" s="238" t="s">
        <v>135</v>
      </c>
      <c r="AJ734" s="238" t="s">
        <v>399</v>
      </c>
      <c r="AK734" s="238" t="s">
        <v>794</v>
      </c>
      <c r="AL734" t="s">
        <v>8715</v>
      </c>
      <c r="AM734" t="s">
        <v>1167</v>
      </c>
    </row>
    <row r="735" spans="1:39" hidden="1" x14ac:dyDescent="0.25">
      <c r="A735">
        <v>731</v>
      </c>
      <c r="B735">
        <v>21</v>
      </c>
      <c r="C735" s="24">
        <v>44517</v>
      </c>
      <c r="D735" s="238" t="s">
        <v>27</v>
      </c>
      <c r="E735" s="238" t="s">
        <v>15</v>
      </c>
      <c r="F735">
        <v>8</v>
      </c>
      <c r="G735">
        <v>6</v>
      </c>
      <c r="H735">
        <v>551</v>
      </c>
      <c r="I735" s="238" t="s">
        <v>43</v>
      </c>
      <c r="J735">
        <v>55.8</v>
      </c>
      <c r="K735" s="238" t="s">
        <v>36</v>
      </c>
      <c r="L735">
        <v>3300465.31</v>
      </c>
      <c r="M735">
        <v>0</v>
      </c>
      <c r="N735">
        <v>3300465.31</v>
      </c>
      <c r="O735">
        <v>59148.123835125451</v>
      </c>
      <c r="P735">
        <v>0</v>
      </c>
      <c r="Q735">
        <v>3300465.31</v>
      </c>
      <c r="R735">
        <v>59148.123835125451</v>
      </c>
      <c r="S735" s="238" t="s">
        <v>137</v>
      </c>
      <c r="T735" s="238" t="s">
        <v>321</v>
      </c>
      <c r="U735">
        <v>102076.25</v>
      </c>
      <c r="V735" t="s">
        <v>4091</v>
      </c>
      <c r="W735" s="24">
        <v>44509</v>
      </c>
      <c r="X735" s="238" t="s">
        <v>868</v>
      </c>
      <c r="Y735" s="238" t="s">
        <v>39</v>
      </c>
      <c r="Z735" s="238" t="s">
        <v>1340</v>
      </c>
      <c r="AA735" t="s">
        <v>1167</v>
      </c>
      <c r="AB735" s="238" t="s">
        <v>3246</v>
      </c>
      <c r="AC735" t="s">
        <v>3079</v>
      </c>
      <c r="AD735" s="24"/>
      <c r="AE735" s="238" t="s">
        <v>2540</v>
      </c>
      <c r="AF735">
        <v>79874348548</v>
      </c>
      <c r="AG735" s="238" t="s">
        <v>2541</v>
      </c>
      <c r="AH735" s="238" t="s">
        <v>1171</v>
      </c>
      <c r="AI735" s="238" t="s">
        <v>135</v>
      </c>
      <c r="AJ735" s="238" t="s">
        <v>130</v>
      </c>
      <c r="AK735" s="238" t="s">
        <v>141</v>
      </c>
      <c r="AL735" t="s">
        <v>8715</v>
      </c>
      <c r="AM735" t="s">
        <v>1167</v>
      </c>
    </row>
    <row r="736" spans="1:39" hidden="1" x14ac:dyDescent="0.25">
      <c r="A736">
        <v>732</v>
      </c>
      <c r="B736">
        <v>22</v>
      </c>
      <c r="C736" s="24">
        <v>44517</v>
      </c>
      <c r="D736" s="238" t="s">
        <v>19</v>
      </c>
      <c r="E736" s="238" t="s">
        <v>6</v>
      </c>
      <c r="F736">
        <v>4</v>
      </c>
      <c r="G736">
        <v>2</v>
      </c>
      <c r="H736">
        <v>4</v>
      </c>
      <c r="I736" s="238" t="s">
        <v>42</v>
      </c>
      <c r="J736">
        <v>36.86</v>
      </c>
      <c r="K736" s="238" t="s">
        <v>38</v>
      </c>
      <c r="L736">
        <v>3347991.73</v>
      </c>
      <c r="M736">
        <v>0</v>
      </c>
      <c r="N736">
        <v>3347991.73</v>
      </c>
      <c r="O736">
        <v>90829.943841562665</v>
      </c>
      <c r="P736">
        <v>589760</v>
      </c>
      <c r="Q736">
        <v>2758231.73</v>
      </c>
      <c r="R736">
        <v>74829.943841562665</v>
      </c>
      <c r="S736" s="238" t="s">
        <v>137</v>
      </c>
      <c r="T736" s="238" t="s">
        <v>1167</v>
      </c>
      <c r="V736" t="s">
        <v>1167</v>
      </c>
      <c r="W736" s="24">
        <v>44513</v>
      </c>
      <c r="X736" s="238" t="s">
        <v>867</v>
      </c>
      <c r="Y736" s="238" t="s">
        <v>39</v>
      </c>
      <c r="Z736" s="238" t="s">
        <v>1340</v>
      </c>
      <c r="AA736" t="s">
        <v>1167</v>
      </c>
      <c r="AB736" s="238" t="s">
        <v>3246</v>
      </c>
      <c r="AC736" t="s">
        <v>3079</v>
      </c>
      <c r="AD736" s="24"/>
      <c r="AE736" s="238" t="s">
        <v>2542</v>
      </c>
      <c r="AF736">
        <v>79992585790</v>
      </c>
      <c r="AG736" s="238" t="s">
        <v>2543</v>
      </c>
      <c r="AH736" s="238" t="s">
        <v>1212</v>
      </c>
      <c r="AI736" s="238" t="s">
        <v>3090</v>
      </c>
      <c r="AJ736" s="238" t="s">
        <v>689</v>
      </c>
      <c r="AK736" s="238" t="s">
        <v>794</v>
      </c>
      <c r="AL736" t="s">
        <v>8715</v>
      </c>
      <c r="AM736" t="s">
        <v>1167</v>
      </c>
    </row>
    <row r="737" spans="1:39" hidden="1" x14ac:dyDescent="0.25">
      <c r="A737">
        <v>733</v>
      </c>
      <c r="B737">
        <v>23</v>
      </c>
      <c r="C737" s="24">
        <v>44518</v>
      </c>
      <c r="D737" s="238" t="s">
        <v>27</v>
      </c>
      <c r="E737" s="238" t="s">
        <v>15</v>
      </c>
      <c r="F737">
        <v>1</v>
      </c>
      <c r="G737">
        <v>14</v>
      </c>
      <c r="H737">
        <v>608</v>
      </c>
      <c r="I737" s="238" t="s">
        <v>44</v>
      </c>
      <c r="J737">
        <v>82.27</v>
      </c>
      <c r="K737" s="238" t="s">
        <v>36</v>
      </c>
      <c r="L737">
        <v>4514990.7699999996</v>
      </c>
      <c r="M737">
        <v>0</v>
      </c>
      <c r="N737">
        <v>4514990.7699999996</v>
      </c>
      <c r="O737">
        <v>54880.160082654671</v>
      </c>
      <c r="P737">
        <v>0</v>
      </c>
      <c r="Q737">
        <v>4514990.7699999996</v>
      </c>
      <c r="R737">
        <v>54880.160082654671</v>
      </c>
      <c r="S737" s="238" t="s">
        <v>137</v>
      </c>
      <c r="T737" s="238" t="s">
        <v>3390</v>
      </c>
      <c r="U737">
        <v>140000</v>
      </c>
      <c r="V737" t="s">
        <v>4091</v>
      </c>
      <c r="W737" s="24">
        <v>44515</v>
      </c>
      <c r="X737" s="238" t="s">
        <v>869</v>
      </c>
      <c r="Y737" s="238" t="s">
        <v>39</v>
      </c>
      <c r="Z737" s="238" t="s">
        <v>1340</v>
      </c>
      <c r="AA737" t="s">
        <v>1167</v>
      </c>
      <c r="AB737" s="238" t="s">
        <v>3246</v>
      </c>
      <c r="AC737" t="s">
        <v>3079</v>
      </c>
      <c r="AD737" s="24"/>
      <c r="AE737" s="238" t="s">
        <v>2544</v>
      </c>
      <c r="AF737">
        <v>79053005645</v>
      </c>
      <c r="AG737" s="238" t="s">
        <v>2545</v>
      </c>
      <c r="AH737" s="238" t="s">
        <v>1212</v>
      </c>
      <c r="AI737" s="238" t="s">
        <v>3074</v>
      </c>
      <c r="AJ737" s="238" t="s">
        <v>130</v>
      </c>
      <c r="AK737" s="238" t="s">
        <v>141</v>
      </c>
      <c r="AL737" t="s">
        <v>8715</v>
      </c>
      <c r="AM737" t="s">
        <v>1167</v>
      </c>
    </row>
    <row r="738" spans="1:39" hidden="1" x14ac:dyDescent="0.25">
      <c r="A738">
        <v>734</v>
      </c>
      <c r="B738">
        <v>24</v>
      </c>
      <c r="C738" s="24">
        <v>44518</v>
      </c>
      <c r="D738" s="238" t="s">
        <v>27</v>
      </c>
      <c r="E738" s="238" t="s">
        <v>5</v>
      </c>
      <c r="F738">
        <v>7</v>
      </c>
      <c r="G738">
        <v>18</v>
      </c>
      <c r="H738">
        <v>342</v>
      </c>
      <c r="I738" s="238" t="s">
        <v>43</v>
      </c>
      <c r="J738">
        <v>59.93</v>
      </c>
      <c r="K738" s="238" t="s">
        <v>36</v>
      </c>
      <c r="L738">
        <v>3950647.37</v>
      </c>
      <c r="M738">
        <v>15000</v>
      </c>
      <c r="N738">
        <v>3965647.37</v>
      </c>
      <c r="O738">
        <v>66171.322709828135</v>
      </c>
      <c r="P738">
        <v>0</v>
      </c>
      <c r="Q738">
        <v>3965647.37</v>
      </c>
      <c r="R738">
        <v>66171.322709828135</v>
      </c>
      <c r="S738" s="238" t="s">
        <v>137</v>
      </c>
      <c r="T738" s="238" t="s">
        <v>1167</v>
      </c>
      <c r="V738" t="s">
        <v>4091</v>
      </c>
      <c r="W738" s="24">
        <v>44517</v>
      </c>
      <c r="X738" s="238" t="s">
        <v>870</v>
      </c>
      <c r="Y738" s="238" t="s">
        <v>39</v>
      </c>
      <c r="Z738" s="238" t="s">
        <v>1340</v>
      </c>
      <c r="AA738" t="s">
        <v>1167</v>
      </c>
      <c r="AB738" s="238" t="s">
        <v>3246</v>
      </c>
      <c r="AC738" t="s">
        <v>3079</v>
      </c>
      <c r="AD738" s="24"/>
      <c r="AE738" s="238" t="s">
        <v>2546</v>
      </c>
      <c r="AF738">
        <v>79963414806</v>
      </c>
      <c r="AG738" s="238" t="s">
        <v>2547</v>
      </c>
      <c r="AH738" s="238" t="s">
        <v>1212</v>
      </c>
      <c r="AI738" s="238" t="s">
        <v>135</v>
      </c>
      <c r="AJ738" s="238" t="s">
        <v>399</v>
      </c>
      <c r="AK738" s="238" t="s">
        <v>794</v>
      </c>
      <c r="AL738" t="s">
        <v>8715</v>
      </c>
      <c r="AM738" t="s">
        <v>1167</v>
      </c>
    </row>
    <row r="739" spans="1:39" hidden="1" x14ac:dyDescent="0.25">
      <c r="A739">
        <v>735</v>
      </c>
      <c r="B739">
        <v>25</v>
      </c>
      <c r="C739" s="24">
        <v>44519</v>
      </c>
      <c r="D739" s="238" t="s">
        <v>19</v>
      </c>
      <c r="E739" s="238" t="s">
        <v>6</v>
      </c>
      <c r="F739">
        <v>7</v>
      </c>
      <c r="G739">
        <v>11</v>
      </c>
      <c r="H739">
        <v>70</v>
      </c>
      <c r="I739" s="238" t="s">
        <v>43</v>
      </c>
      <c r="J739">
        <v>58.17</v>
      </c>
      <c r="K739" s="238" t="s">
        <v>37</v>
      </c>
      <c r="L739">
        <v>4357209.42</v>
      </c>
      <c r="M739">
        <v>15000</v>
      </c>
      <c r="N739">
        <v>4372209.42</v>
      </c>
      <c r="O739">
        <v>75162.616812790089</v>
      </c>
      <c r="P739">
        <v>319935</v>
      </c>
      <c r="Q739">
        <v>4052274.42</v>
      </c>
      <c r="R739">
        <v>69662.616812790089</v>
      </c>
      <c r="S739" s="238" t="s">
        <v>121</v>
      </c>
      <c r="T739" s="238" t="s">
        <v>1167</v>
      </c>
      <c r="V739" t="s">
        <v>1167</v>
      </c>
      <c r="W739" s="24">
        <v>44511</v>
      </c>
      <c r="X739" s="238" t="s">
        <v>871</v>
      </c>
      <c r="Y739" s="238" t="s">
        <v>39</v>
      </c>
      <c r="Z739" s="238" t="s">
        <v>1340</v>
      </c>
      <c r="AA739" t="s">
        <v>1167</v>
      </c>
      <c r="AB739" s="238" t="s">
        <v>3246</v>
      </c>
      <c r="AC739" t="s">
        <v>4246</v>
      </c>
      <c r="AD739" s="24"/>
      <c r="AE739" s="238" t="s">
        <v>2548</v>
      </c>
      <c r="AF739">
        <v>79015315300</v>
      </c>
      <c r="AG739" s="238" t="s">
        <v>2549</v>
      </c>
      <c r="AH739" s="238" t="s">
        <v>1212</v>
      </c>
      <c r="AI739" s="238" t="s">
        <v>135</v>
      </c>
      <c r="AJ739" s="238" t="s">
        <v>399</v>
      </c>
      <c r="AK739" s="238" t="s">
        <v>1167</v>
      </c>
      <c r="AL739" t="s">
        <v>8715</v>
      </c>
      <c r="AM739" t="s">
        <v>1167</v>
      </c>
    </row>
    <row r="740" spans="1:39" hidden="1" x14ac:dyDescent="0.25">
      <c r="A740">
        <v>736</v>
      </c>
      <c r="B740">
        <v>26</v>
      </c>
      <c r="C740" s="24">
        <v>44519</v>
      </c>
      <c r="D740" s="238" t="s">
        <v>27</v>
      </c>
      <c r="E740" s="238" t="s">
        <v>16</v>
      </c>
      <c r="F740">
        <v>2</v>
      </c>
      <c r="G740">
        <v>13</v>
      </c>
      <c r="H740">
        <v>481</v>
      </c>
      <c r="I740" s="238" t="s">
        <v>42</v>
      </c>
      <c r="J740">
        <v>37.159999999999997</v>
      </c>
      <c r="K740" s="238" t="s">
        <v>36</v>
      </c>
      <c r="L740">
        <v>2453884.2400000002</v>
      </c>
      <c r="M740">
        <v>15000</v>
      </c>
      <c r="N740">
        <v>2468884.2400000002</v>
      </c>
      <c r="O740">
        <v>66439.296017222834</v>
      </c>
      <c r="P740">
        <v>0</v>
      </c>
      <c r="Q740">
        <v>2468884.2400000002</v>
      </c>
      <c r="R740">
        <v>66439.296017222834</v>
      </c>
      <c r="S740" s="238" t="s">
        <v>137</v>
      </c>
      <c r="T740" s="238" t="s">
        <v>1167</v>
      </c>
      <c r="V740" t="s">
        <v>1167</v>
      </c>
      <c r="W740" s="24">
        <v>44511</v>
      </c>
      <c r="X740" s="238" t="s">
        <v>875</v>
      </c>
      <c r="Y740" s="238" t="s">
        <v>39</v>
      </c>
      <c r="Z740" s="238" t="s">
        <v>1340</v>
      </c>
      <c r="AA740" t="s">
        <v>1167</v>
      </c>
      <c r="AB740" s="238" t="s">
        <v>3246</v>
      </c>
      <c r="AC740" t="s">
        <v>3079</v>
      </c>
      <c r="AD740" s="24"/>
      <c r="AE740" s="238" t="s">
        <v>2550</v>
      </c>
      <c r="AF740">
        <v>79270055448</v>
      </c>
      <c r="AG740" s="238" t="s">
        <v>2551</v>
      </c>
      <c r="AH740" s="238" t="s">
        <v>1171</v>
      </c>
      <c r="AI740" s="238" t="s">
        <v>3084</v>
      </c>
      <c r="AJ740" s="238" t="s">
        <v>126</v>
      </c>
      <c r="AK740" s="238" t="s">
        <v>141</v>
      </c>
      <c r="AL740" t="s">
        <v>8715</v>
      </c>
      <c r="AM740" t="s">
        <v>1167</v>
      </c>
    </row>
    <row r="741" spans="1:39" hidden="1" x14ac:dyDescent="0.25">
      <c r="A741">
        <v>737</v>
      </c>
      <c r="B741">
        <v>27</v>
      </c>
      <c r="C741" s="24">
        <v>44519</v>
      </c>
      <c r="D741" s="238" t="s">
        <v>19</v>
      </c>
      <c r="E741" s="238" t="s">
        <v>5</v>
      </c>
      <c r="F741">
        <v>11</v>
      </c>
      <c r="G741">
        <v>14</v>
      </c>
      <c r="H741">
        <v>304</v>
      </c>
      <c r="I741" s="238" t="s">
        <v>4052</v>
      </c>
      <c r="J741">
        <v>25.85</v>
      </c>
      <c r="K741" s="238" t="s">
        <v>37</v>
      </c>
      <c r="L741">
        <v>2215620.89</v>
      </c>
      <c r="M741">
        <v>0</v>
      </c>
      <c r="N741">
        <v>2215620.89</v>
      </c>
      <c r="O741">
        <v>85710.672727272729</v>
      </c>
      <c r="P741">
        <v>142175</v>
      </c>
      <c r="Q741">
        <v>2073445.8900000001</v>
      </c>
      <c r="R741">
        <v>80210.672727272729</v>
      </c>
      <c r="S741" s="238" t="s">
        <v>137</v>
      </c>
      <c r="T741" s="238" t="s">
        <v>1167</v>
      </c>
      <c r="V741" t="s">
        <v>1167</v>
      </c>
      <c r="W741" s="24">
        <v>44512</v>
      </c>
      <c r="X741" s="238" t="s">
        <v>872</v>
      </c>
      <c r="Y741" s="238" t="s">
        <v>39</v>
      </c>
      <c r="Z741" s="238" t="s">
        <v>1340</v>
      </c>
      <c r="AA741" t="s">
        <v>1167</v>
      </c>
      <c r="AB741" s="238" t="s">
        <v>3246</v>
      </c>
      <c r="AC741" t="s">
        <v>3079</v>
      </c>
      <c r="AD741" s="24"/>
      <c r="AE741" s="238" t="s">
        <v>2552</v>
      </c>
      <c r="AF741">
        <v>79279007101</v>
      </c>
      <c r="AG741" s="238" t="s">
        <v>2553</v>
      </c>
      <c r="AH741" s="238" t="s">
        <v>1212</v>
      </c>
      <c r="AI741" s="238" t="s">
        <v>135</v>
      </c>
      <c r="AJ741" s="238" t="s">
        <v>399</v>
      </c>
      <c r="AK741" s="238" t="s">
        <v>794</v>
      </c>
      <c r="AL741" t="s">
        <v>8715</v>
      </c>
      <c r="AM741" t="s">
        <v>1167</v>
      </c>
    </row>
    <row r="742" spans="1:39" hidden="1" x14ac:dyDescent="0.25">
      <c r="A742">
        <v>738</v>
      </c>
      <c r="B742">
        <v>28</v>
      </c>
      <c r="C742" s="24">
        <v>44519</v>
      </c>
      <c r="D742" s="238" t="s">
        <v>19</v>
      </c>
      <c r="E742" s="238" t="s">
        <v>6</v>
      </c>
      <c r="F742">
        <v>7</v>
      </c>
      <c r="G742">
        <v>9</v>
      </c>
      <c r="H742">
        <v>56</v>
      </c>
      <c r="I742" s="238" t="s">
        <v>43</v>
      </c>
      <c r="J742">
        <v>58.17</v>
      </c>
      <c r="K742" s="238" t="s">
        <v>36</v>
      </c>
      <c r="L742">
        <v>3996042.99</v>
      </c>
      <c r="M742">
        <v>0</v>
      </c>
      <c r="N742">
        <v>3996042.99</v>
      </c>
      <c r="O742">
        <v>68695.942753996904</v>
      </c>
      <c r="P742">
        <v>0</v>
      </c>
      <c r="Q742">
        <v>3996042.99</v>
      </c>
      <c r="R742">
        <v>68695.942753996904</v>
      </c>
      <c r="S742" s="238" t="s">
        <v>137</v>
      </c>
      <c r="T742" s="238" t="s">
        <v>1167</v>
      </c>
      <c r="V742" t="s">
        <v>4091</v>
      </c>
      <c r="W742" s="24">
        <v>44515</v>
      </c>
      <c r="X742" s="238" t="s">
        <v>874</v>
      </c>
      <c r="Y742" s="238" t="s">
        <v>39</v>
      </c>
      <c r="Z742" s="238" t="s">
        <v>1340</v>
      </c>
      <c r="AA742" t="s">
        <v>1167</v>
      </c>
      <c r="AB742" s="238" t="s">
        <v>3246</v>
      </c>
      <c r="AC742" t="s">
        <v>3079</v>
      </c>
      <c r="AD742" s="24"/>
      <c r="AE742" s="238" t="s">
        <v>2554</v>
      </c>
      <c r="AF742">
        <v>79370626698</v>
      </c>
      <c r="AG742" s="238" t="s">
        <v>2555</v>
      </c>
      <c r="AH742" s="238" t="s">
        <v>1212</v>
      </c>
      <c r="AI742" s="238" t="s">
        <v>3074</v>
      </c>
      <c r="AJ742" s="238" t="s">
        <v>126</v>
      </c>
      <c r="AK742" s="238" t="s">
        <v>141</v>
      </c>
      <c r="AL742" t="s">
        <v>8715</v>
      </c>
      <c r="AM742" t="s">
        <v>1167</v>
      </c>
    </row>
    <row r="743" spans="1:39" hidden="1" x14ac:dyDescent="0.25">
      <c r="A743">
        <v>739</v>
      </c>
      <c r="B743">
        <v>29</v>
      </c>
      <c r="C743" s="24">
        <v>44519</v>
      </c>
      <c r="D743" s="238" t="s">
        <v>27</v>
      </c>
      <c r="E743" s="238" t="s">
        <v>5</v>
      </c>
      <c r="F743">
        <v>5</v>
      </c>
      <c r="G743">
        <v>18</v>
      </c>
      <c r="H743">
        <v>340</v>
      </c>
      <c r="I743" s="238" t="s">
        <v>4052</v>
      </c>
      <c r="J743">
        <v>23.63</v>
      </c>
      <c r="K743" s="238" t="s">
        <v>36</v>
      </c>
      <c r="L743">
        <v>1828595.21</v>
      </c>
      <c r="M743">
        <v>0</v>
      </c>
      <c r="N743">
        <v>1828595.21</v>
      </c>
      <c r="O743">
        <v>77384.477782479895</v>
      </c>
      <c r="P743">
        <v>0</v>
      </c>
      <c r="Q743">
        <v>1828595.21</v>
      </c>
      <c r="R743">
        <v>77384.477782479895</v>
      </c>
      <c r="S743" s="238" t="s">
        <v>137</v>
      </c>
      <c r="T743" s="238" t="s">
        <v>1167</v>
      </c>
      <c r="V743" t="s">
        <v>4091</v>
      </c>
      <c r="W743" s="24">
        <v>44516</v>
      </c>
      <c r="X743" s="238" t="s">
        <v>873</v>
      </c>
      <c r="Y743" s="238" t="s">
        <v>39</v>
      </c>
      <c r="Z743" s="238" t="s">
        <v>1340</v>
      </c>
      <c r="AA743" t="s">
        <v>1167</v>
      </c>
      <c r="AB743" s="238" t="s">
        <v>3246</v>
      </c>
      <c r="AC743" t="s">
        <v>3079</v>
      </c>
      <c r="AD743" s="24"/>
      <c r="AE743" s="238" t="s">
        <v>2556</v>
      </c>
      <c r="AF743">
        <v>79171170762</v>
      </c>
      <c r="AG743" s="238" t="s">
        <v>2557</v>
      </c>
      <c r="AH743" s="238" t="s">
        <v>1212</v>
      </c>
      <c r="AI743" s="238" t="s">
        <v>3101</v>
      </c>
      <c r="AJ743" s="238" t="s">
        <v>130</v>
      </c>
      <c r="AK743" s="238" t="s">
        <v>141</v>
      </c>
      <c r="AL743" t="s">
        <v>8715</v>
      </c>
      <c r="AM743" t="s">
        <v>1167</v>
      </c>
    </row>
    <row r="744" spans="1:39" hidden="1" x14ac:dyDescent="0.25">
      <c r="A744">
        <v>740</v>
      </c>
      <c r="B744">
        <v>30</v>
      </c>
      <c r="C744" s="24">
        <v>44522</v>
      </c>
      <c r="D744" s="238" t="s">
        <v>27</v>
      </c>
      <c r="E744" s="238" t="s">
        <v>16</v>
      </c>
      <c r="F744">
        <v>8</v>
      </c>
      <c r="G744">
        <v>11</v>
      </c>
      <c r="H744">
        <v>471</v>
      </c>
      <c r="I744" s="238" t="s">
        <v>43</v>
      </c>
      <c r="J744">
        <v>55.8</v>
      </c>
      <c r="K744" s="238" t="s">
        <v>36</v>
      </c>
      <c r="L744">
        <v>3229345.23</v>
      </c>
      <c r="M744">
        <v>15000</v>
      </c>
      <c r="N744">
        <v>3244345.23</v>
      </c>
      <c r="O744">
        <v>58142.387634408602</v>
      </c>
      <c r="P744">
        <v>0</v>
      </c>
      <c r="Q744">
        <v>3244345.23</v>
      </c>
      <c r="R744">
        <v>58142.387634408602</v>
      </c>
      <c r="S744" s="238" t="s">
        <v>137</v>
      </c>
      <c r="T744" s="238" t="s">
        <v>1167</v>
      </c>
      <c r="V744" t="s">
        <v>4091</v>
      </c>
      <c r="W744" s="24">
        <v>44510</v>
      </c>
      <c r="X744" s="238" t="s">
        <v>876</v>
      </c>
      <c r="Y744" s="238" t="s">
        <v>39</v>
      </c>
      <c r="Z744" s="238" t="s">
        <v>1340</v>
      </c>
      <c r="AA744" t="s">
        <v>1167</v>
      </c>
      <c r="AB744" s="238" t="s">
        <v>3246</v>
      </c>
      <c r="AC744" t="s">
        <v>3079</v>
      </c>
      <c r="AD744" s="24"/>
      <c r="AE744" s="238" t="s">
        <v>2558</v>
      </c>
      <c r="AF744">
        <v>79872050788</v>
      </c>
      <c r="AG744" s="238" t="s">
        <v>2559</v>
      </c>
      <c r="AH744" s="238" t="s">
        <v>135</v>
      </c>
      <c r="AI744" s="238" t="s">
        <v>3099</v>
      </c>
      <c r="AJ744" s="238" t="s">
        <v>689</v>
      </c>
      <c r="AK744" s="238" t="s">
        <v>794</v>
      </c>
      <c r="AL744" t="s">
        <v>8715</v>
      </c>
      <c r="AM744" t="s">
        <v>1167</v>
      </c>
    </row>
    <row r="745" spans="1:39" hidden="1" x14ac:dyDescent="0.25">
      <c r="A745">
        <v>741</v>
      </c>
      <c r="B745">
        <v>31</v>
      </c>
      <c r="C745" s="24">
        <v>44523</v>
      </c>
      <c r="D745" s="238" t="s">
        <v>19</v>
      </c>
      <c r="E745" s="238" t="s">
        <v>6</v>
      </c>
      <c r="F745">
        <v>4</v>
      </c>
      <c r="G745">
        <v>16</v>
      </c>
      <c r="H745">
        <v>102</v>
      </c>
      <c r="I745" s="238" t="s">
        <v>42</v>
      </c>
      <c r="J745">
        <v>36.86</v>
      </c>
      <c r="K745" s="238" t="s">
        <v>37</v>
      </c>
      <c r="L745">
        <v>2960961.73</v>
      </c>
      <c r="M745">
        <v>0</v>
      </c>
      <c r="N745">
        <v>2960961.73</v>
      </c>
      <c r="O745">
        <v>80329.943841562665</v>
      </c>
      <c r="P745">
        <v>202730</v>
      </c>
      <c r="Q745">
        <v>2758231.73</v>
      </c>
      <c r="R745">
        <v>74829.943841562665</v>
      </c>
      <c r="S745" s="238" t="s">
        <v>137</v>
      </c>
      <c r="T745" s="238" t="s">
        <v>1167</v>
      </c>
      <c r="V745" t="s">
        <v>1167</v>
      </c>
      <c r="W745" s="24">
        <v>44514</v>
      </c>
      <c r="X745" s="238" t="s">
        <v>879</v>
      </c>
      <c r="Y745" s="238" t="s">
        <v>39</v>
      </c>
      <c r="Z745" s="238" t="s">
        <v>1168</v>
      </c>
      <c r="AA745" t="s">
        <v>1167</v>
      </c>
      <c r="AB745" s="238" t="s">
        <v>3246</v>
      </c>
      <c r="AC745" t="s">
        <v>3076</v>
      </c>
      <c r="AD745" s="24"/>
      <c r="AE745" s="238" t="s">
        <v>2560</v>
      </c>
      <c r="AF745">
        <v>79879171142</v>
      </c>
      <c r="AG745" s="238" t="s">
        <v>2561</v>
      </c>
      <c r="AH745" s="238" t="s">
        <v>1212</v>
      </c>
      <c r="AI745" s="238" t="s">
        <v>3095</v>
      </c>
      <c r="AJ745" s="238" t="s">
        <v>399</v>
      </c>
      <c r="AK745" s="238" t="s">
        <v>141</v>
      </c>
      <c r="AL745" t="s">
        <v>8715</v>
      </c>
      <c r="AM745" t="s">
        <v>1167</v>
      </c>
    </row>
    <row r="746" spans="1:39" hidden="1" x14ac:dyDescent="0.25">
      <c r="A746">
        <v>742</v>
      </c>
      <c r="B746">
        <v>32</v>
      </c>
      <c r="C746" s="24">
        <v>44523</v>
      </c>
      <c r="D746" s="238" t="s">
        <v>27</v>
      </c>
      <c r="E746" s="238" t="s">
        <v>15</v>
      </c>
      <c r="F746">
        <v>5</v>
      </c>
      <c r="G746">
        <v>16</v>
      </c>
      <c r="H746">
        <v>628</v>
      </c>
      <c r="I746" s="238" t="s">
        <v>4052</v>
      </c>
      <c r="J746">
        <v>23.63</v>
      </c>
      <c r="K746" s="238" t="s">
        <v>36</v>
      </c>
      <c r="L746">
        <v>1718604.52</v>
      </c>
      <c r="M746">
        <v>0</v>
      </c>
      <c r="N746">
        <v>1718604.52</v>
      </c>
      <c r="O746">
        <v>72729.772323317826</v>
      </c>
      <c r="P746">
        <v>0</v>
      </c>
      <c r="Q746">
        <v>1718604.52</v>
      </c>
      <c r="R746">
        <v>72729.772323317826</v>
      </c>
      <c r="S746" s="238" t="s">
        <v>124</v>
      </c>
      <c r="T746" s="238" t="s">
        <v>1167</v>
      </c>
      <c r="V746" t="s">
        <v>1167</v>
      </c>
      <c r="W746" s="24">
        <v>44516</v>
      </c>
      <c r="X746" s="238" t="s">
        <v>877</v>
      </c>
      <c r="Y746" s="238" t="s">
        <v>39</v>
      </c>
      <c r="Z746" s="238" t="s">
        <v>1168</v>
      </c>
      <c r="AA746" t="s">
        <v>1167</v>
      </c>
      <c r="AB746" s="238" t="s">
        <v>3246</v>
      </c>
      <c r="AC746" t="s">
        <v>4246</v>
      </c>
      <c r="AD746" s="24"/>
      <c r="AE746" s="238" t="s">
        <v>2562</v>
      </c>
      <c r="AF746">
        <v>79276935022</v>
      </c>
      <c r="AG746" s="238" t="s">
        <v>2563</v>
      </c>
      <c r="AH746" s="238" t="s">
        <v>1171</v>
      </c>
      <c r="AI746" s="238" t="s">
        <v>135</v>
      </c>
      <c r="AJ746" s="238" t="s">
        <v>130</v>
      </c>
      <c r="AK746" s="238" t="s">
        <v>1167</v>
      </c>
      <c r="AL746" t="s">
        <v>8715</v>
      </c>
      <c r="AM746" t="s">
        <v>1167</v>
      </c>
    </row>
    <row r="747" spans="1:39" hidden="1" x14ac:dyDescent="0.25">
      <c r="A747">
        <v>743</v>
      </c>
      <c r="B747">
        <v>33</v>
      </c>
      <c r="C747" s="24">
        <v>44523</v>
      </c>
      <c r="D747" s="238" t="s">
        <v>19</v>
      </c>
      <c r="E747" s="238" t="s">
        <v>5</v>
      </c>
      <c r="F747">
        <v>7</v>
      </c>
      <c r="G747">
        <v>5</v>
      </c>
      <c r="H747">
        <v>201</v>
      </c>
      <c r="I747" s="238" t="s">
        <v>4052</v>
      </c>
      <c r="J747">
        <v>24.23</v>
      </c>
      <c r="K747" s="238" t="s">
        <v>38</v>
      </c>
      <c r="L747">
        <v>2264167.2000000002</v>
      </c>
      <c r="M747">
        <v>0</v>
      </c>
      <c r="N747">
        <v>2264167.2000000002</v>
      </c>
      <c r="O747">
        <v>93444.787453569967</v>
      </c>
      <c r="P747">
        <v>387680</v>
      </c>
      <c r="Q747">
        <v>1876487.2000000002</v>
      </c>
      <c r="R747">
        <v>77444.787453569967</v>
      </c>
      <c r="S747" s="238" t="s">
        <v>137</v>
      </c>
      <c r="T747" s="238" t="s">
        <v>1167</v>
      </c>
      <c r="V747" t="s">
        <v>1167</v>
      </c>
      <c r="W747" s="24">
        <v>44509</v>
      </c>
      <c r="X747" s="238" t="s">
        <v>880</v>
      </c>
      <c r="Y747" s="238" t="s">
        <v>39</v>
      </c>
      <c r="Z747" s="238" t="s">
        <v>1340</v>
      </c>
      <c r="AA747" t="s">
        <v>1167</v>
      </c>
      <c r="AB747" s="238" t="s">
        <v>3246</v>
      </c>
      <c r="AC747" t="s">
        <v>3079</v>
      </c>
      <c r="AD747" s="24"/>
      <c r="AE747" s="238" t="s">
        <v>2564</v>
      </c>
      <c r="AF747">
        <v>79270050640</v>
      </c>
      <c r="AG747" s="238" t="s">
        <v>2565</v>
      </c>
      <c r="AH747" s="238" t="s">
        <v>1212</v>
      </c>
      <c r="AI747" s="238" t="s">
        <v>135</v>
      </c>
      <c r="AJ747" s="238" t="s">
        <v>130</v>
      </c>
      <c r="AK747" s="238" t="s">
        <v>141</v>
      </c>
      <c r="AL747" t="s">
        <v>8715</v>
      </c>
      <c r="AM747" t="s">
        <v>1167</v>
      </c>
    </row>
    <row r="748" spans="1:39" hidden="1" x14ac:dyDescent="0.25">
      <c r="A748">
        <v>744</v>
      </c>
      <c r="B748">
        <v>34</v>
      </c>
      <c r="C748" s="24">
        <v>44523</v>
      </c>
      <c r="D748" s="238" t="s">
        <v>27</v>
      </c>
      <c r="E748" s="238" t="s">
        <v>15</v>
      </c>
      <c r="F748">
        <v>6</v>
      </c>
      <c r="G748">
        <v>15</v>
      </c>
      <c r="H748">
        <v>621</v>
      </c>
      <c r="I748" s="238" t="s">
        <v>42</v>
      </c>
      <c r="J748">
        <v>37.11</v>
      </c>
      <c r="K748" s="238" t="s">
        <v>36</v>
      </c>
      <c r="L748">
        <v>2528228.65</v>
      </c>
      <c r="M748">
        <v>0</v>
      </c>
      <c r="N748">
        <v>2528228.65</v>
      </c>
      <c r="O748">
        <v>68127.961465912158</v>
      </c>
      <c r="P748">
        <v>0</v>
      </c>
      <c r="Q748">
        <v>2528228.65</v>
      </c>
      <c r="R748">
        <v>68127.961465912158</v>
      </c>
      <c r="S748" s="238" t="s">
        <v>124</v>
      </c>
      <c r="T748" s="238" t="s">
        <v>1167</v>
      </c>
      <c r="V748" t="s">
        <v>1167</v>
      </c>
      <c r="W748" s="24">
        <v>44516</v>
      </c>
      <c r="X748" s="238" t="s">
        <v>878</v>
      </c>
      <c r="Y748" s="238" t="s">
        <v>39</v>
      </c>
      <c r="Z748" s="238" t="s">
        <v>1168</v>
      </c>
      <c r="AA748" t="s">
        <v>1167</v>
      </c>
      <c r="AB748" s="238" t="s">
        <v>3246</v>
      </c>
      <c r="AC748" t="s">
        <v>4246</v>
      </c>
      <c r="AD748" s="24"/>
      <c r="AE748" s="238" t="s">
        <v>2562</v>
      </c>
      <c r="AF748">
        <v>79276935022</v>
      </c>
      <c r="AG748" s="238" t="s">
        <v>2563</v>
      </c>
      <c r="AH748" s="238" t="s">
        <v>1197</v>
      </c>
      <c r="AI748" s="238" t="s">
        <v>135</v>
      </c>
      <c r="AJ748" s="238" t="s">
        <v>130</v>
      </c>
      <c r="AK748" s="238" t="s">
        <v>1167</v>
      </c>
      <c r="AL748" t="s">
        <v>8715</v>
      </c>
      <c r="AM748" t="s">
        <v>1167</v>
      </c>
    </row>
    <row r="749" spans="1:39" hidden="1" x14ac:dyDescent="0.25">
      <c r="A749">
        <v>745</v>
      </c>
      <c r="B749">
        <v>35</v>
      </c>
      <c r="C749" s="24">
        <v>44524</v>
      </c>
      <c r="D749" s="238" t="s">
        <v>19</v>
      </c>
      <c r="E749" s="238" t="s">
        <v>6</v>
      </c>
      <c r="F749">
        <v>4</v>
      </c>
      <c r="G749">
        <v>8</v>
      </c>
      <c r="H749">
        <v>46</v>
      </c>
      <c r="I749" s="238" t="s">
        <v>42</v>
      </c>
      <c r="J749">
        <v>36.86</v>
      </c>
      <c r="K749" s="238" t="s">
        <v>37</v>
      </c>
      <c r="L749">
        <v>2960961.73</v>
      </c>
      <c r="M749">
        <v>0</v>
      </c>
      <c r="N749">
        <v>2960961.73</v>
      </c>
      <c r="O749">
        <v>80329.943841562665</v>
      </c>
      <c r="P749">
        <v>202730</v>
      </c>
      <c r="Q749">
        <v>2758231.73</v>
      </c>
      <c r="R749">
        <v>74829.943841562665</v>
      </c>
      <c r="S749" s="238" t="s">
        <v>137</v>
      </c>
      <c r="T749" s="238" t="s">
        <v>1167</v>
      </c>
      <c r="V749" t="s">
        <v>1167</v>
      </c>
      <c r="W749" s="24">
        <v>44517</v>
      </c>
      <c r="X749" s="238" t="s">
        <v>881</v>
      </c>
      <c r="Y749" s="238" t="s">
        <v>39</v>
      </c>
      <c r="Z749" s="238" t="s">
        <v>1340</v>
      </c>
      <c r="AA749" t="s">
        <v>1167</v>
      </c>
      <c r="AB749" s="238" t="s">
        <v>3246</v>
      </c>
      <c r="AC749" t="s">
        <v>3079</v>
      </c>
      <c r="AD749" s="24"/>
      <c r="AE749" s="238" t="s">
        <v>2566</v>
      </c>
      <c r="AF749">
        <v>79608148728</v>
      </c>
      <c r="AG749" s="238" t="s">
        <v>2567</v>
      </c>
      <c r="AH749" s="238" t="s">
        <v>1212</v>
      </c>
      <c r="AI749" s="238" t="s">
        <v>3095</v>
      </c>
      <c r="AJ749" s="238" t="s">
        <v>130</v>
      </c>
      <c r="AK749" s="238" t="s">
        <v>141</v>
      </c>
      <c r="AL749" t="s">
        <v>8715</v>
      </c>
      <c r="AM749" t="s">
        <v>1167</v>
      </c>
    </row>
    <row r="750" spans="1:39" hidden="1" x14ac:dyDescent="0.25">
      <c r="A750">
        <v>746</v>
      </c>
      <c r="B750">
        <v>36</v>
      </c>
      <c r="C750" s="24">
        <v>44525</v>
      </c>
      <c r="D750" s="238" t="s">
        <v>20</v>
      </c>
      <c r="E750" s="238" t="s">
        <v>5</v>
      </c>
      <c r="F750">
        <v>5</v>
      </c>
      <c r="G750">
        <v>11</v>
      </c>
      <c r="H750">
        <v>218</v>
      </c>
      <c r="I750" s="238" t="s">
        <v>44</v>
      </c>
      <c r="J750">
        <v>75.099999999999994</v>
      </c>
      <c r="K750" s="238" t="s">
        <v>38</v>
      </c>
      <c r="L750">
        <v>5488368.5999999996</v>
      </c>
      <c r="M750">
        <v>0</v>
      </c>
      <c r="N750">
        <v>5488368.5999999996</v>
      </c>
      <c r="O750">
        <v>73080.806924101198</v>
      </c>
      <c r="P750">
        <v>1126500</v>
      </c>
      <c r="Q750">
        <v>4361868.5999999996</v>
      </c>
      <c r="R750">
        <v>58080.806924101198</v>
      </c>
      <c r="S750" s="238" t="s">
        <v>137</v>
      </c>
      <c r="T750" s="238" t="s">
        <v>1167</v>
      </c>
      <c r="V750" t="s">
        <v>1167</v>
      </c>
      <c r="W750" s="24">
        <v>44514</v>
      </c>
      <c r="X750" s="238" t="s">
        <v>329</v>
      </c>
      <c r="Y750" s="238" t="s">
        <v>39</v>
      </c>
      <c r="Z750" s="238" t="s">
        <v>1168</v>
      </c>
      <c r="AA750" t="s">
        <v>1167</v>
      </c>
      <c r="AB750" s="238" t="s">
        <v>3124</v>
      </c>
      <c r="AC750" t="s">
        <v>3076</v>
      </c>
      <c r="AD750" s="24"/>
      <c r="AE750" s="238" t="s">
        <v>2568</v>
      </c>
      <c r="AF750">
        <v>79608230005</v>
      </c>
      <c r="AG750" s="238" t="s">
        <v>2569</v>
      </c>
      <c r="AH750" s="238" t="s">
        <v>1212</v>
      </c>
      <c r="AI750" s="238" t="s">
        <v>3095</v>
      </c>
      <c r="AJ750" s="238" t="s">
        <v>399</v>
      </c>
      <c r="AK750" s="238" t="s">
        <v>141</v>
      </c>
      <c r="AL750" t="s">
        <v>8715</v>
      </c>
      <c r="AM750" t="s">
        <v>1167</v>
      </c>
    </row>
    <row r="751" spans="1:39" hidden="1" x14ac:dyDescent="0.25">
      <c r="A751">
        <v>747</v>
      </c>
      <c r="B751">
        <v>37</v>
      </c>
      <c r="C751" s="24">
        <v>44525</v>
      </c>
      <c r="D751" s="238" t="s">
        <v>19</v>
      </c>
      <c r="E751" s="238" t="s">
        <v>5</v>
      </c>
      <c r="F751">
        <v>2</v>
      </c>
      <c r="G751">
        <v>8</v>
      </c>
      <c r="H751">
        <v>229</v>
      </c>
      <c r="I751" s="238" t="s">
        <v>42</v>
      </c>
      <c r="J751">
        <v>38.22</v>
      </c>
      <c r="K751" s="238" t="s">
        <v>37</v>
      </c>
      <c r="L751">
        <v>3287640.46</v>
      </c>
      <c r="M751">
        <v>15000</v>
      </c>
      <c r="N751">
        <v>3302640.46</v>
      </c>
      <c r="O751">
        <v>86411.315018315014</v>
      </c>
      <c r="P751">
        <v>210210</v>
      </c>
      <c r="Q751">
        <v>3092430.46</v>
      </c>
      <c r="R751">
        <v>80911.315018315014</v>
      </c>
      <c r="S751" s="238" t="s">
        <v>137</v>
      </c>
      <c r="T751" s="238" t="s">
        <v>1167</v>
      </c>
      <c r="V751" t="s">
        <v>1167</v>
      </c>
      <c r="W751" s="24">
        <v>44516</v>
      </c>
      <c r="X751" s="238" t="s">
        <v>882</v>
      </c>
      <c r="Y751" s="238" t="s">
        <v>39</v>
      </c>
      <c r="Z751" s="238" t="s">
        <v>1340</v>
      </c>
      <c r="AA751" t="s">
        <v>1167</v>
      </c>
      <c r="AB751" s="238" t="s">
        <v>3246</v>
      </c>
      <c r="AC751" t="s">
        <v>3079</v>
      </c>
      <c r="AD751" s="24"/>
      <c r="AE751" s="238" t="s">
        <v>2570</v>
      </c>
      <c r="AF751">
        <v>79255114507</v>
      </c>
      <c r="AG751" s="238" t="s">
        <v>2571</v>
      </c>
      <c r="AH751" s="238" t="s">
        <v>1212</v>
      </c>
      <c r="AI751" s="238" t="s">
        <v>3074</v>
      </c>
      <c r="AJ751" s="238" t="s">
        <v>126</v>
      </c>
      <c r="AK751" s="238" t="s">
        <v>794</v>
      </c>
      <c r="AL751" t="s">
        <v>8715</v>
      </c>
      <c r="AM751" t="s">
        <v>1167</v>
      </c>
    </row>
    <row r="752" spans="1:39" hidden="1" x14ac:dyDescent="0.25">
      <c r="A752">
        <v>748</v>
      </c>
      <c r="B752">
        <v>38</v>
      </c>
      <c r="C752" s="24">
        <v>44525</v>
      </c>
      <c r="D752" s="238" t="s">
        <v>27</v>
      </c>
      <c r="E752" s="238" t="s">
        <v>6</v>
      </c>
      <c r="F752">
        <v>7</v>
      </c>
      <c r="G752">
        <v>3</v>
      </c>
      <c r="H752">
        <v>16</v>
      </c>
      <c r="I752" s="238" t="s">
        <v>43</v>
      </c>
      <c r="J752">
        <v>60.06</v>
      </c>
      <c r="K752" s="238" t="s">
        <v>37</v>
      </c>
      <c r="L752">
        <v>3709299.67</v>
      </c>
      <c r="M752">
        <v>0</v>
      </c>
      <c r="N752">
        <v>3709299.67</v>
      </c>
      <c r="O752">
        <v>61759.901265401262</v>
      </c>
      <c r="P752">
        <v>330330</v>
      </c>
      <c r="Q752">
        <v>3378969.67</v>
      </c>
      <c r="R752">
        <v>56259.901265401262</v>
      </c>
      <c r="S752" s="238" t="s">
        <v>121</v>
      </c>
      <c r="T752" s="238" t="s">
        <v>60</v>
      </c>
      <c r="U752">
        <v>330330</v>
      </c>
      <c r="V752" t="s">
        <v>1167</v>
      </c>
      <c r="W752" s="24">
        <v>44524</v>
      </c>
      <c r="X752" s="238" t="s">
        <v>883</v>
      </c>
      <c r="Y752" s="238" t="s">
        <v>39</v>
      </c>
      <c r="Z752" s="238" t="s">
        <v>1168</v>
      </c>
      <c r="AA752" t="s">
        <v>1167</v>
      </c>
      <c r="AB752" s="238" t="s">
        <v>3246</v>
      </c>
      <c r="AC752" t="s">
        <v>4246</v>
      </c>
      <c r="AD752" s="24"/>
      <c r="AE752" s="238" t="s">
        <v>2572</v>
      </c>
      <c r="AF752">
        <v>79277459887</v>
      </c>
      <c r="AG752" s="238" t="s">
        <v>2573</v>
      </c>
      <c r="AH752" s="238" t="s">
        <v>1171</v>
      </c>
      <c r="AI752" s="238" t="s">
        <v>3074</v>
      </c>
      <c r="AJ752" s="238" t="s">
        <v>641</v>
      </c>
      <c r="AK752" s="238" t="s">
        <v>1167</v>
      </c>
      <c r="AL752" t="s">
        <v>8715</v>
      </c>
      <c r="AM752" t="s">
        <v>1167</v>
      </c>
    </row>
    <row r="753" spans="1:39" hidden="1" x14ac:dyDescent="0.25">
      <c r="A753">
        <v>749</v>
      </c>
      <c r="B753">
        <v>39</v>
      </c>
      <c r="C753" s="24">
        <v>44526</v>
      </c>
      <c r="D753" s="238" t="s">
        <v>27</v>
      </c>
      <c r="E753" s="238" t="s">
        <v>15</v>
      </c>
      <c r="F753">
        <v>5</v>
      </c>
      <c r="G753">
        <v>6</v>
      </c>
      <c r="H753">
        <v>548</v>
      </c>
      <c r="I753" s="238" t="s">
        <v>4052</v>
      </c>
      <c r="J753">
        <v>23.63</v>
      </c>
      <c r="K753" s="238" t="s">
        <v>37</v>
      </c>
      <c r="L753">
        <v>1848569.52</v>
      </c>
      <c r="M753">
        <v>0</v>
      </c>
      <c r="N753">
        <v>1848569.52</v>
      </c>
      <c r="O753">
        <v>78229.772323317826</v>
      </c>
      <c r="P753">
        <v>129965</v>
      </c>
      <c r="Q753">
        <v>1718604.52</v>
      </c>
      <c r="R753">
        <v>72729.772323317826</v>
      </c>
      <c r="S753" s="238" t="s">
        <v>124</v>
      </c>
      <c r="T753" s="238" t="s">
        <v>1167</v>
      </c>
      <c r="V753" t="s">
        <v>1167</v>
      </c>
      <c r="W753" s="24">
        <v>44519</v>
      </c>
      <c r="X753" s="238" t="s">
        <v>884</v>
      </c>
      <c r="Y753" s="238" t="s">
        <v>39</v>
      </c>
      <c r="Z753" s="238" t="s">
        <v>1340</v>
      </c>
      <c r="AA753" t="s">
        <v>1167</v>
      </c>
      <c r="AB753" s="238" t="s">
        <v>3246</v>
      </c>
      <c r="AC753" t="s">
        <v>4246</v>
      </c>
      <c r="AD753" s="24"/>
      <c r="AE753" s="238" t="s">
        <v>2574</v>
      </c>
      <c r="AF753">
        <v>79277478474</v>
      </c>
      <c r="AG753" s="238" t="s">
        <v>2575</v>
      </c>
      <c r="AH753" s="238" t="s">
        <v>1171</v>
      </c>
      <c r="AI753" s="238" t="s">
        <v>3074</v>
      </c>
      <c r="AJ753" s="238" t="s">
        <v>130</v>
      </c>
      <c r="AK753" s="238" t="s">
        <v>1167</v>
      </c>
      <c r="AL753" t="s">
        <v>8715</v>
      </c>
      <c r="AM753" t="s">
        <v>1167</v>
      </c>
    </row>
    <row r="754" spans="1:39" hidden="1" x14ac:dyDescent="0.25">
      <c r="A754">
        <v>750</v>
      </c>
      <c r="B754">
        <v>40</v>
      </c>
      <c r="C754" s="24">
        <v>44529</v>
      </c>
      <c r="D754" s="238" t="s">
        <v>27</v>
      </c>
      <c r="E754" s="238" t="s">
        <v>14</v>
      </c>
      <c r="F754">
        <v>3</v>
      </c>
      <c r="G754">
        <v>5</v>
      </c>
      <c r="H754">
        <v>661</v>
      </c>
      <c r="I754" s="238" t="s">
        <v>43</v>
      </c>
      <c r="J754">
        <v>56.33</v>
      </c>
      <c r="K754" s="238" t="s">
        <v>36</v>
      </c>
      <c r="L754">
        <v>3679643.04</v>
      </c>
      <c r="M754">
        <v>0</v>
      </c>
      <c r="N754">
        <v>3679643.04</v>
      </c>
      <c r="O754">
        <v>65322.972483578909</v>
      </c>
      <c r="P754">
        <v>0</v>
      </c>
      <c r="Q754">
        <v>3679643.04</v>
      </c>
      <c r="R754">
        <v>65322.972483578909</v>
      </c>
      <c r="S754" s="238" t="s">
        <v>137</v>
      </c>
      <c r="T754" s="238" t="s">
        <v>1167</v>
      </c>
      <c r="V754" t="s">
        <v>4091</v>
      </c>
      <c r="W754" s="24">
        <v>44523</v>
      </c>
      <c r="X754" s="238" t="s">
        <v>888</v>
      </c>
      <c r="Y754" s="238" t="s">
        <v>39</v>
      </c>
      <c r="Z754" s="238" t="s">
        <v>1340</v>
      </c>
      <c r="AA754" t="s">
        <v>1167</v>
      </c>
      <c r="AB754" s="238" t="s">
        <v>3246</v>
      </c>
      <c r="AC754" t="s">
        <v>3079</v>
      </c>
      <c r="AD754" s="24"/>
      <c r="AE754" s="238" t="s">
        <v>2576</v>
      </c>
      <c r="AF754">
        <v>79272007257</v>
      </c>
      <c r="AG754" s="238" t="s">
        <v>2577</v>
      </c>
      <c r="AH754" s="238" t="s">
        <v>1212</v>
      </c>
      <c r="AI754" s="238" t="s">
        <v>3103</v>
      </c>
      <c r="AJ754" s="238" t="s">
        <v>126</v>
      </c>
      <c r="AK754" s="238" t="s">
        <v>141</v>
      </c>
      <c r="AL754" t="s">
        <v>8715</v>
      </c>
      <c r="AM754" t="s">
        <v>1167</v>
      </c>
    </row>
    <row r="755" spans="1:39" hidden="1" x14ac:dyDescent="0.25">
      <c r="A755">
        <v>751</v>
      </c>
      <c r="B755">
        <v>41</v>
      </c>
      <c r="C755" s="24">
        <v>44529</v>
      </c>
      <c r="D755" s="238" t="s">
        <v>27</v>
      </c>
      <c r="E755" s="238" t="s">
        <v>13</v>
      </c>
      <c r="F755">
        <v>6</v>
      </c>
      <c r="G755">
        <v>5</v>
      </c>
      <c r="H755">
        <v>863</v>
      </c>
      <c r="I755" s="238" t="s">
        <v>43</v>
      </c>
      <c r="J755">
        <v>54.28</v>
      </c>
      <c r="K755" s="238" t="s">
        <v>36</v>
      </c>
      <c r="L755">
        <v>3352327.44</v>
      </c>
      <c r="M755">
        <v>0</v>
      </c>
      <c r="N755">
        <v>3352327.44</v>
      </c>
      <c r="O755">
        <v>61759.901252763448</v>
      </c>
      <c r="P755">
        <v>0</v>
      </c>
      <c r="Q755">
        <v>3352327.44</v>
      </c>
      <c r="R755">
        <v>61759.901252763448</v>
      </c>
      <c r="S755" s="238" t="s">
        <v>137</v>
      </c>
      <c r="T755" s="238" t="s">
        <v>1167</v>
      </c>
      <c r="V755" t="s">
        <v>1167</v>
      </c>
      <c r="W755" s="24">
        <v>44523</v>
      </c>
      <c r="X755" s="238" t="s">
        <v>887</v>
      </c>
      <c r="Y755" s="238" t="s">
        <v>39</v>
      </c>
      <c r="Z755" s="238" t="s">
        <v>1340</v>
      </c>
      <c r="AA755" t="s">
        <v>1167</v>
      </c>
      <c r="AB755" s="238" t="s">
        <v>3246</v>
      </c>
      <c r="AC755" t="s">
        <v>3079</v>
      </c>
      <c r="AD755" s="24"/>
      <c r="AE755" s="238" t="s">
        <v>2578</v>
      </c>
      <c r="AF755">
        <v>79619327813</v>
      </c>
      <c r="AG755" s="238" t="s">
        <v>2579</v>
      </c>
      <c r="AH755" s="238" t="s">
        <v>1212</v>
      </c>
      <c r="AI755" s="238" t="s">
        <v>3090</v>
      </c>
      <c r="AJ755" s="238" t="s">
        <v>126</v>
      </c>
      <c r="AK755" s="238" t="s">
        <v>794</v>
      </c>
      <c r="AL755" t="s">
        <v>8715</v>
      </c>
      <c r="AM755" t="s">
        <v>1167</v>
      </c>
    </row>
    <row r="756" spans="1:39" hidden="1" x14ac:dyDescent="0.25">
      <c r="A756">
        <v>752</v>
      </c>
      <c r="B756">
        <v>42</v>
      </c>
      <c r="C756" s="24">
        <v>44529</v>
      </c>
      <c r="D756" s="238" t="s">
        <v>27</v>
      </c>
      <c r="E756" s="238" t="s">
        <v>6</v>
      </c>
      <c r="F756">
        <v>6</v>
      </c>
      <c r="G756">
        <v>7</v>
      </c>
      <c r="H756">
        <v>51</v>
      </c>
      <c r="I756" s="238" t="s">
        <v>43</v>
      </c>
      <c r="J756">
        <v>54.67</v>
      </c>
      <c r="K756" s="238" t="s">
        <v>37</v>
      </c>
      <c r="L756">
        <v>3871891.9</v>
      </c>
      <c r="M756">
        <v>0</v>
      </c>
      <c r="N756">
        <v>3871891.9</v>
      </c>
      <c r="O756">
        <v>70822.972379732935</v>
      </c>
      <c r="P756">
        <v>300685</v>
      </c>
      <c r="Q756">
        <v>3571206.9</v>
      </c>
      <c r="R756">
        <v>65322.972379732942</v>
      </c>
      <c r="S756" s="238" t="s">
        <v>137</v>
      </c>
      <c r="T756" s="238" t="s">
        <v>1167</v>
      </c>
      <c r="V756" t="s">
        <v>4091</v>
      </c>
      <c r="W756" s="24">
        <v>44523</v>
      </c>
      <c r="X756" s="238" t="s">
        <v>886</v>
      </c>
      <c r="Y756" s="238" t="s">
        <v>39</v>
      </c>
      <c r="Z756" s="238" t="s">
        <v>1340</v>
      </c>
      <c r="AA756" t="s">
        <v>1167</v>
      </c>
      <c r="AB756" s="238" t="s">
        <v>3246</v>
      </c>
      <c r="AC756" t="s">
        <v>3079</v>
      </c>
      <c r="AD756" s="24"/>
      <c r="AE756" s="238" t="s">
        <v>2580</v>
      </c>
      <c r="AF756">
        <v>79874436299</v>
      </c>
      <c r="AG756" s="238" t="s">
        <v>2581</v>
      </c>
      <c r="AH756" s="238" t="s">
        <v>1171</v>
      </c>
      <c r="AI756" s="238" t="s">
        <v>3084</v>
      </c>
      <c r="AJ756" s="238" t="s">
        <v>399</v>
      </c>
      <c r="AK756" s="238" t="s">
        <v>794</v>
      </c>
      <c r="AL756" t="s">
        <v>8715</v>
      </c>
      <c r="AM756" t="s">
        <v>1167</v>
      </c>
    </row>
    <row r="757" spans="1:39" hidden="1" x14ac:dyDescent="0.25">
      <c r="A757">
        <v>753</v>
      </c>
      <c r="B757">
        <v>43</v>
      </c>
      <c r="C757" s="24">
        <v>44529</v>
      </c>
      <c r="D757" s="238" t="s">
        <v>27</v>
      </c>
      <c r="E757" s="238" t="s">
        <v>13</v>
      </c>
      <c r="F757">
        <v>5</v>
      </c>
      <c r="G757">
        <v>9</v>
      </c>
      <c r="H757">
        <v>898</v>
      </c>
      <c r="I757" s="238" t="s">
        <v>42</v>
      </c>
      <c r="J757">
        <v>37.270000000000003</v>
      </c>
      <c r="K757" s="238" t="s">
        <v>36</v>
      </c>
      <c r="L757">
        <v>2539129.12</v>
      </c>
      <c r="M757">
        <v>0</v>
      </c>
      <c r="N757">
        <v>2539129.12</v>
      </c>
      <c r="O757">
        <v>68127.961363026567</v>
      </c>
      <c r="P757">
        <v>0</v>
      </c>
      <c r="Q757">
        <v>2539129.12</v>
      </c>
      <c r="R757">
        <v>68127.961363026567</v>
      </c>
      <c r="S757" s="238" t="s">
        <v>137</v>
      </c>
      <c r="T757" s="238" t="s">
        <v>1167</v>
      </c>
      <c r="V757" t="s">
        <v>1167</v>
      </c>
      <c r="W757" s="24">
        <v>44524</v>
      </c>
      <c r="X757" s="238" t="s">
        <v>885</v>
      </c>
      <c r="Y757" s="238" t="s">
        <v>39</v>
      </c>
      <c r="Z757" s="238" t="s">
        <v>1340</v>
      </c>
      <c r="AA757" t="s">
        <v>1167</v>
      </c>
      <c r="AB757" s="238" t="s">
        <v>3246</v>
      </c>
      <c r="AC757" t="s">
        <v>3079</v>
      </c>
      <c r="AD757" s="24"/>
      <c r="AE757" s="238" t="s">
        <v>1612</v>
      </c>
      <c r="AF757">
        <v>79502067114</v>
      </c>
      <c r="AG757" s="238" t="s">
        <v>1613</v>
      </c>
      <c r="AH757" s="238" t="s">
        <v>1197</v>
      </c>
      <c r="AI757" s="238" t="s">
        <v>3082</v>
      </c>
      <c r="AJ757" s="238" t="s">
        <v>126</v>
      </c>
      <c r="AK757" s="238" t="s">
        <v>141</v>
      </c>
      <c r="AL757" t="s">
        <v>8715</v>
      </c>
      <c r="AM757" t="s">
        <v>1167</v>
      </c>
    </row>
    <row r="758" spans="1:39" hidden="1" x14ac:dyDescent="0.25">
      <c r="A758">
        <v>754</v>
      </c>
      <c r="B758">
        <v>44</v>
      </c>
      <c r="C758" s="24">
        <v>44529</v>
      </c>
      <c r="D758" s="238" t="s">
        <v>19</v>
      </c>
      <c r="E758" s="238" t="s">
        <v>5</v>
      </c>
      <c r="F758">
        <v>7</v>
      </c>
      <c r="G758">
        <v>2</v>
      </c>
      <c r="H758">
        <v>168</v>
      </c>
      <c r="I758" s="238" t="s">
        <v>4052</v>
      </c>
      <c r="J758">
        <v>24.23</v>
      </c>
      <c r="K758" s="238" t="s">
        <v>38</v>
      </c>
      <c r="L758">
        <v>2264167.2000000002</v>
      </c>
      <c r="M758">
        <v>0</v>
      </c>
      <c r="N758">
        <v>2264167.2000000002</v>
      </c>
      <c r="O758">
        <v>93444.787453569967</v>
      </c>
      <c r="P758">
        <v>387680</v>
      </c>
      <c r="Q758">
        <v>1876487.2000000002</v>
      </c>
      <c r="R758">
        <v>77444.787453569967</v>
      </c>
      <c r="S758" s="238" t="s">
        <v>137</v>
      </c>
      <c r="T758" s="238" t="s">
        <v>1167</v>
      </c>
      <c r="V758" t="s">
        <v>1167</v>
      </c>
      <c r="W758" s="24">
        <v>44516</v>
      </c>
      <c r="X758" s="238" t="s">
        <v>890</v>
      </c>
      <c r="Y758" s="238" t="s">
        <v>39</v>
      </c>
      <c r="Z758" s="238" t="s">
        <v>1168</v>
      </c>
      <c r="AA758" t="s">
        <v>1167</v>
      </c>
      <c r="AB758" s="238" t="s">
        <v>3246</v>
      </c>
      <c r="AC758" t="s">
        <v>3115</v>
      </c>
      <c r="AD758" s="24"/>
      <c r="AE758" s="238" t="s">
        <v>2582</v>
      </c>
      <c r="AF758">
        <v>79277242374</v>
      </c>
      <c r="AG758" s="238" t="s">
        <v>1167</v>
      </c>
      <c r="AH758" s="238" t="s">
        <v>135</v>
      </c>
      <c r="AI758" s="238" t="s">
        <v>3075</v>
      </c>
      <c r="AJ758" s="238" t="s">
        <v>689</v>
      </c>
      <c r="AK758" s="238" t="s">
        <v>141</v>
      </c>
      <c r="AL758" t="s">
        <v>8715</v>
      </c>
      <c r="AM758" t="s">
        <v>1167</v>
      </c>
    </row>
    <row r="759" spans="1:39" hidden="1" x14ac:dyDescent="0.25">
      <c r="A759">
        <v>755</v>
      </c>
      <c r="B759">
        <v>45</v>
      </c>
      <c r="C759" s="24">
        <v>44529</v>
      </c>
      <c r="D759" s="238" t="s">
        <v>19</v>
      </c>
      <c r="E759" s="238" t="s">
        <v>6</v>
      </c>
      <c r="F759">
        <v>5</v>
      </c>
      <c r="G759">
        <v>19</v>
      </c>
      <c r="H759">
        <v>124</v>
      </c>
      <c r="I759" s="238" t="s">
        <v>42</v>
      </c>
      <c r="J759">
        <v>36.42</v>
      </c>
      <c r="K759" s="238" t="s">
        <v>36</v>
      </c>
      <c r="L759">
        <v>2725306.56</v>
      </c>
      <c r="M759">
        <v>0</v>
      </c>
      <c r="N759">
        <v>2725306.56</v>
      </c>
      <c r="O759">
        <v>74829.943986820421</v>
      </c>
      <c r="P759">
        <v>0</v>
      </c>
      <c r="Q759">
        <v>2725306.56</v>
      </c>
      <c r="R759">
        <v>74829.943986820421</v>
      </c>
      <c r="S759" s="238" t="s">
        <v>121</v>
      </c>
      <c r="T759" s="238" t="s">
        <v>1167</v>
      </c>
      <c r="V759" t="s">
        <v>1167</v>
      </c>
      <c r="W759" s="24">
        <v>44525</v>
      </c>
      <c r="X759" s="238" t="s">
        <v>889</v>
      </c>
      <c r="Y759" s="238" t="s">
        <v>39</v>
      </c>
      <c r="Z759" s="238" t="s">
        <v>1340</v>
      </c>
      <c r="AA759" t="s">
        <v>1167</v>
      </c>
      <c r="AB759" s="238" t="s">
        <v>3246</v>
      </c>
      <c r="AC759" t="s">
        <v>4246</v>
      </c>
      <c r="AD759" s="24"/>
      <c r="AE759" s="238" t="s">
        <v>2583</v>
      </c>
      <c r="AF759">
        <v>79397018686</v>
      </c>
      <c r="AG759" s="238" t="s">
        <v>2584</v>
      </c>
      <c r="AH759" s="238" t="s">
        <v>1212</v>
      </c>
      <c r="AI759" s="238" t="s">
        <v>3088</v>
      </c>
      <c r="AJ759" s="238" t="s">
        <v>641</v>
      </c>
      <c r="AK759" s="238" t="s">
        <v>1167</v>
      </c>
      <c r="AL759" t="s">
        <v>8715</v>
      </c>
      <c r="AM759" t="s">
        <v>1167</v>
      </c>
    </row>
    <row r="760" spans="1:39" hidden="1" x14ac:dyDescent="0.25">
      <c r="A760">
        <v>756</v>
      </c>
      <c r="B760">
        <v>46</v>
      </c>
      <c r="C760" s="24">
        <v>44530</v>
      </c>
      <c r="D760" s="238" t="s">
        <v>27</v>
      </c>
      <c r="E760" s="238" t="s">
        <v>13</v>
      </c>
      <c r="F760">
        <v>8</v>
      </c>
      <c r="G760">
        <v>2</v>
      </c>
      <c r="H760">
        <v>838</v>
      </c>
      <c r="I760" s="238" t="s">
        <v>4052</v>
      </c>
      <c r="J760">
        <v>23.09</v>
      </c>
      <c r="K760" s="238" t="s">
        <v>36</v>
      </c>
      <c r="L760">
        <v>1679330.45</v>
      </c>
      <c r="M760">
        <v>0</v>
      </c>
      <c r="N760">
        <v>1679330.45</v>
      </c>
      <c r="O760">
        <v>72729.772628843653</v>
      </c>
      <c r="P760">
        <v>0</v>
      </c>
      <c r="Q760">
        <v>1679330.45</v>
      </c>
      <c r="R760">
        <v>72729.772628843653</v>
      </c>
      <c r="S760" s="238" t="s">
        <v>137</v>
      </c>
      <c r="T760" s="238" t="s">
        <v>1167</v>
      </c>
      <c r="V760" t="s">
        <v>1167</v>
      </c>
      <c r="W760" s="24">
        <v>44525</v>
      </c>
      <c r="X760" s="238" t="s">
        <v>891</v>
      </c>
      <c r="Y760" s="238" t="s">
        <v>39</v>
      </c>
      <c r="Z760" s="238" t="s">
        <v>1340</v>
      </c>
      <c r="AA760" t="s">
        <v>1167</v>
      </c>
      <c r="AB760" s="238" t="s">
        <v>3246</v>
      </c>
      <c r="AC760" t="s">
        <v>3079</v>
      </c>
      <c r="AD760" s="24"/>
      <c r="AE760" s="238" t="s">
        <v>2585</v>
      </c>
      <c r="AF760">
        <v>79917959002</v>
      </c>
      <c r="AG760" s="238" t="s">
        <v>2586</v>
      </c>
      <c r="AH760" s="238" t="s">
        <v>1212</v>
      </c>
      <c r="AI760" s="238" t="s">
        <v>3084</v>
      </c>
      <c r="AJ760" s="238" t="s">
        <v>399</v>
      </c>
      <c r="AK760" s="238" t="s">
        <v>141</v>
      </c>
      <c r="AL760" t="s">
        <v>8715</v>
      </c>
      <c r="AM760" t="s">
        <v>1167</v>
      </c>
    </row>
    <row r="761" spans="1:39" hidden="1" x14ac:dyDescent="0.25">
      <c r="A761">
        <v>757</v>
      </c>
      <c r="B761">
        <v>47</v>
      </c>
      <c r="C761" s="24">
        <v>44530</v>
      </c>
      <c r="D761" s="238" t="s">
        <v>19</v>
      </c>
      <c r="E761" s="238" t="s">
        <v>6</v>
      </c>
      <c r="F761">
        <v>5</v>
      </c>
      <c r="G761">
        <v>21</v>
      </c>
      <c r="H761">
        <v>138</v>
      </c>
      <c r="I761" s="238" t="s">
        <v>42</v>
      </c>
      <c r="J761">
        <v>36.42</v>
      </c>
      <c r="K761" s="238" t="s">
        <v>37</v>
      </c>
      <c r="L761">
        <v>2812340.26</v>
      </c>
      <c r="M761">
        <v>0</v>
      </c>
      <c r="N761">
        <v>2812340.26</v>
      </c>
      <c r="O761">
        <v>77219.666666666657</v>
      </c>
      <c r="P761">
        <v>200310</v>
      </c>
      <c r="Q761">
        <v>2612030.2599999998</v>
      </c>
      <c r="R761">
        <v>71719.666666666657</v>
      </c>
      <c r="S761" s="238" t="s">
        <v>121</v>
      </c>
      <c r="T761" s="238" t="s">
        <v>321</v>
      </c>
      <c r="U761">
        <v>26384.15</v>
      </c>
      <c r="V761" t="s">
        <v>1167</v>
      </c>
      <c r="W761" s="24">
        <v>44526</v>
      </c>
      <c r="X761" s="238" t="s">
        <v>893</v>
      </c>
      <c r="Y761" s="238" t="s">
        <v>39</v>
      </c>
      <c r="Z761" s="238" t="s">
        <v>1168</v>
      </c>
      <c r="AA761" t="s">
        <v>1167</v>
      </c>
      <c r="AB761" s="238" t="s">
        <v>3246</v>
      </c>
      <c r="AC761" t="s">
        <v>4246</v>
      </c>
      <c r="AD761" s="24"/>
      <c r="AE761" s="238" t="s">
        <v>2587</v>
      </c>
      <c r="AF761">
        <v>79879874898</v>
      </c>
      <c r="AG761" s="238" t="s">
        <v>2588</v>
      </c>
      <c r="AH761" s="238" t="s">
        <v>1212</v>
      </c>
      <c r="AI761" s="238" t="s">
        <v>3074</v>
      </c>
      <c r="AJ761" s="238" t="s">
        <v>399</v>
      </c>
      <c r="AK761" s="238" t="s">
        <v>1167</v>
      </c>
      <c r="AL761" t="s">
        <v>8715</v>
      </c>
      <c r="AM761" t="s">
        <v>1167</v>
      </c>
    </row>
    <row r="762" spans="1:39" hidden="1" x14ac:dyDescent="0.25">
      <c r="A762">
        <v>758</v>
      </c>
      <c r="B762">
        <v>48</v>
      </c>
      <c r="C762" s="24">
        <v>44530</v>
      </c>
      <c r="D762" s="238" t="s">
        <v>27</v>
      </c>
      <c r="E762" s="238" t="s">
        <v>14</v>
      </c>
      <c r="F762">
        <v>4</v>
      </c>
      <c r="G762">
        <v>13</v>
      </c>
      <c r="H762">
        <v>734</v>
      </c>
      <c r="I762" s="238" t="s">
        <v>4052</v>
      </c>
      <c r="J762">
        <v>24.39</v>
      </c>
      <c r="K762" s="238" t="s">
        <v>36</v>
      </c>
      <c r="L762">
        <v>1631968.82</v>
      </c>
      <c r="M762">
        <v>0</v>
      </c>
      <c r="N762">
        <v>1631968.82</v>
      </c>
      <c r="O762">
        <v>66911.390733907334</v>
      </c>
      <c r="P762">
        <v>0</v>
      </c>
      <c r="Q762">
        <v>1631968.82</v>
      </c>
      <c r="R762">
        <v>66911.390733907334</v>
      </c>
      <c r="S762" s="238" t="s">
        <v>121</v>
      </c>
      <c r="T762" s="238" t="s">
        <v>321</v>
      </c>
      <c r="U762">
        <v>141910.32999999999</v>
      </c>
      <c r="V762" t="s">
        <v>1167</v>
      </c>
      <c r="W762" s="24">
        <v>44529</v>
      </c>
      <c r="X762" s="238" t="s">
        <v>898</v>
      </c>
      <c r="Y762" s="238" t="s">
        <v>39</v>
      </c>
      <c r="Z762" s="238" t="s">
        <v>1340</v>
      </c>
      <c r="AA762" t="s">
        <v>1167</v>
      </c>
      <c r="AB762" s="238" t="s">
        <v>3246</v>
      </c>
      <c r="AC762" t="s">
        <v>4246</v>
      </c>
      <c r="AD762" s="24"/>
      <c r="AE762" s="238" t="s">
        <v>2589</v>
      </c>
      <c r="AF762">
        <v>79178193290</v>
      </c>
      <c r="AG762" s="238" t="s">
        <v>2590</v>
      </c>
      <c r="AH762" s="238" t="s">
        <v>1197</v>
      </c>
      <c r="AI762" s="238" t="s">
        <v>3101</v>
      </c>
      <c r="AJ762" s="238" t="s">
        <v>399</v>
      </c>
      <c r="AK762" s="238" t="s">
        <v>1167</v>
      </c>
      <c r="AL762" t="s">
        <v>8715</v>
      </c>
      <c r="AM762" t="s">
        <v>1167</v>
      </c>
    </row>
    <row r="763" spans="1:39" hidden="1" x14ac:dyDescent="0.25">
      <c r="A763">
        <v>759</v>
      </c>
      <c r="B763">
        <v>49</v>
      </c>
      <c r="C763" s="24">
        <v>44530</v>
      </c>
      <c r="D763" s="238" t="s">
        <v>27</v>
      </c>
      <c r="E763" s="238" t="s">
        <v>13</v>
      </c>
      <c r="F763">
        <v>6</v>
      </c>
      <c r="G763">
        <v>8</v>
      </c>
      <c r="H763">
        <v>890</v>
      </c>
      <c r="I763" s="238" t="s">
        <v>43</v>
      </c>
      <c r="J763">
        <v>54.28</v>
      </c>
      <c r="K763" s="238" t="s">
        <v>36</v>
      </c>
      <c r="L763">
        <v>3084141.24</v>
      </c>
      <c r="M763">
        <v>0</v>
      </c>
      <c r="N763">
        <v>3084141.24</v>
      </c>
      <c r="O763">
        <v>56819.109064112017</v>
      </c>
      <c r="P763">
        <v>0</v>
      </c>
      <c r="Q763">
        <v>3084141.24</v>
      </c>
      <c r="R763">
        <v>56819.109064112017</v>
      </c>
      <c r="S763" s="238" t="s">
        <v>121</v>
      </c>
      <c r="T763" s="238" t="s">
        <v>321</v>
      </c>
      <c r="U763">
        <v>268186.19478260871</v>
      </c>
      <c r="V763" t="s">
        <v>1167</v>
      </c>
      <c r="W763" s="24">
        <v>44529</v>
      </c>
      <c r="X763" s="238" t="s">
        <v>897</v>
      </c>
      <c r="Y763" s="238" t="s">
        <v>39</v>
      </c>
      <c r="Z763" s="238" t="s">
        <v>1340</v>
      </c>
      <c r="AA763" t="s">
        <v>1167</v>
      </c>
      <c r="AB763" s="238" t="s">
        <v>3246</v>
      </c>
      <c r="AC763" t="s">
        <v>4246</v>
      </c>
      <c r="AD763" s="24"/>
      <c r="AE763" s="238" t="s">
        <v>2589</v>
      </c>
      <c r="AF763">
        <v>79178193290</v>
      </c>
      <c r="AG763" s="238" t="s">
        <v>2590</v>
      </c>
      <c r="AH763" s="238" t="s">
        <v>1171</v>
      </c>
      <c r="AI763" s="238" t="s">
        <v>3101</v>
      </c>
      <c r="AJ763" s="238" t="s">
        <v>399</v>
      </c>
      <c r="AK763" s="238" t="s">
        <v>1167</v>
      </c>
      <c r="AL763" t="s">
        <v>8715</v>
      </c>
      <c r="AM763" t="s">
        <v>1167</v>
      </c>
    </row>
    <row r="764" spans="1:39" hidden="1" x14ac:dyDescent="0.25">
      <c r="A764">
        <v>760</v>
      </c>
      <c r="B764">
        <v>50</v>
      </c>
      <c r="C764" s="24">
        <v>44530</v>
      </c>
      <c r="D764" s="238" t="s">
        <v>19</v>
      </c>
      <c r="E764" s="238" t="s">
        <v>6</v>
      </c>
      <c r="F764">
        <v>5</v>
      </c>
      <c r="G764">
        <v>5</v>
      </c>
      <c r="H764">
        <v>26</v>
      </c>
      <c r="I764" s="238" t="s">
        <v>42</v>
      </c>
      <c r="J764">
        <v>36.42</v>
      </c>
      <c r="K764" s="238" t="s">
        <v>37</v>
      </c>
      <c r="L764">
        <v>2925616.56</v>
      </c>
      <c r="M764">
        <v>0</v>
      </c>
      <c r="N764">
        <v>2925616.56</v>
      </c>
      <c r="O764">
        <v>80329.943986820421</v>
      </c>
      <c r="P764">
        <v>200310</v>
      </c>
      <c r="Q764">
        <v>2725306.56</v>
      </c>
      <c r="R764">
        <v>74829.943986820421</v>
      </c>
      <c r="S764" s="238" t="s">
        <v>121</v>
      </c>
      <c r="T764" s="238" t="s">
        <v>1167</v>
      </c>
      <c r="V764" t="s">
        <v>1167</v>
      </c>
      <c r="W764" s="24">
        <v>44524</v>
      </c>
      <c r="X764" s="238" t="s">
        <v>899</v>
      </c>
      <c r="Y764" s="238" t="s">
        <v>39</v>
      </c>
      <c r="Z764" s="238" t="s">
        <v>1340</v>
      </c>
      <c r="AA764" t="s">
        <v>1167</v>
      </c>
      <c r="AB764" s="238" t="s">
        <v>3246</v>
      </c>
      <c r="AC764" t="s">
        <v>4246</v>
      </c>
      <c r="AD764" s="24"/>
      <c r="AE764" s="238" t="s">
        <v>2591</v>
      </c>
      <c r="AF764">
        <v>79277369659</v>
      </c>
      <c r="AG764" s="238" t="s">
        <v>2592</v>
      </c>
      <c r="AH764" s="238" t="s">
        <v>1171</v>
      </c>
      <c r="AI764" s="238" t="s">
        <v>135</v>
      </c>
      <c r="AJ764" s="238" t="s">
        <v>130</v>
      </c>
      <c r="AK764" s="238" t="s">
        <v>1167</v>
      </c>
      <c r="AL764" t="s">
        <v>8715</v>
      </c>
      <c r="AM764" t="s">
        <v>1167</v>
      </c>
    </row>
    <row r="765" spans="1:39" hidden="1" x14ac:dyDescent="0.25">
      <c r="A765">
        <v>761</v>
      </c>
      <c r="B765">
        <v>51</v>
      </c>
      <c r="C765" s="24">
        <v>44530</v>
      </c>
      <c r="D765" s="238" t="s">
        <v>19</v>
      </c>
      <c r="E765" s="238" t="s">
        <v>5</v>
      </c>
      <c r="F765">
        <v>7</v>
      </c>
      <c r="G765">
        <v>15</v>
      </c>
      <c r="H765">
        <v>311</v>
      </c>
      <c r="I765" s="238" t="s">
        <v>4052</v>
      </c>
      <c r="J765">
        <v>24.23</v>
      </c>
      <c r="K765" s="238" t="s">
        <v>37</v>
      </c>
      <c r="L765">
        <v>2076769.6</v>
      </c>
      <c r="M765">
        <v>0</v>
      </c>
      <c r="N765">
        <v>2076769.6</v>
      </c>
      <c r="O765">
        <v>85710.672719768889</v>
      </c>
      <c r="P765">
        <v>133265</v>
      </c>
      <c r="Q765">
        <v>1943504.6</v>
      </c>
      <c r="R765">
        <v>80210.672719768889</v>
      </c>
      <c r="S765" s="238" t="s">
        <v>137</v>
      </c>
      <c r="T765" s="238" t="s">
        <v>1167</v>
      </c>
      <c r="V765" t="s">
        <v>1167</v>
      </c>
      <c r="W765" s="24">
        <v>44524</v>
      </c>
      <c r="X765" s="238" t="s">
        <v>892</v>
      </c>
      <c r="Y765" s="238" t="s">
        <v>39</v>
      </c>
      <c r="Z765" s="238" t="s">
        <v>1340</v>
      </c>
      <c r="AA765" t="s">
        <v>1167</v>
      </c>
      <c r="AB765" s="238" t="s">
        <v>3246</v>
      </c>
      <c r="AC765" t="s">
        <v>3077</v>
      </c>
      <c r="AD765" s="24"/>
      <c r="AE765" s="238" t="s">
        <v>2593</v>
      </c>
      <c r="AF765">
        <v>79276851212</v>
      </c>
      <c r="AG765" s="238" t="s">
        <v>2594</v>
      </c>
      <c r="AH765" s="238" t="s">
        <v>1212</v>
      </c>
      <c r="AI765" s="238" t="s">
        <v>3086</v>
      </c>
      <c r="AJ765" s="238" t="s">
        <v>130</v>
      </c>
      <c r="AK765" s="238" t="s">
        <v>141</v>
      </c>
      <c r="AL765" t="s">
        <v>8715</v>
      </c>
      <c r="AM765" t="s">
        <v>1167</v>
      </c>
    </row>
    <row r="766" spans="1:39" hidden="1" x14ac:dyDescent="0.25">
      <c r="A766">
        <v>762</v>
      </c>
      <c r="B766">
        <v>52</v>
      </c>
      <c r="C766" s="24">
        <v>44530</v>
      </c>
      <c r="D766" s="238" t="s">
        <v>27</v>
      </c>
      <c r="E766" s="238" t="s">
        <v>15</v>
      </c>
      <c r="F766">
        <v>1</v>
      </c>
      <c r="G766">
        <v>6</v>
      </c>
      <c r="H766">
        <v>544</v>
      </c>
      <c r="I766" s="238" t="s">
        <v>44</v>
      </c>
      <c r="J766">
        <v>82.27</v>
      </c>
      <c r="K766" s="238" t="s">
        <v>38</v>
      </c>
      <c r="L766">
        <v>5831310.7699999996</v>
      </c>
      <c r="M766">
        <v>0</v>
      </c>
      <c r="N766">
        <v>5831310.7699999996</v>
      </c>
      <c r="O766">
        <v>70880.160082654678</v>
      </c>
      <c r="P766">
        <v>1316320</v>
      </c>
      <c r="Q766">
        <v>4514990.7699999996</v>
      </c>
      <c r="R766">
        <v>54880.160082654671</v>
      </c>
      <c r="S766" s="238" t="s">
        <v>137</v>
      </c>
      <c r="T766" s="238" t="s">
        <v>3390</v>
      </c>
      <c r="U766">
        <v>140000</v>
      </c>
      <c r="V766" t="s">
        <v>1167</v>
      </c>
      <c r="W766" s="24">
        <v>44525</v>
      </c>
      <c r="X766" s="238" t="s">
        <v>894</v>
      </c>
      <c r="Y766" s="238" t="s">
        <v>39</v>
      </c>
      <c r="Z766" s="238" t="s">
        <v>1340</v>
      </c>
      <c r="AA766" t="s">
        <v>1167</v>
      </c>
      <c r="AB766" s="238" t="s">
        <v>3246</v>
      </c>
      <c r="AC766" t="s">
        <v>3079</v>
      </c>
      <c r="AD766" s="24"/>
      <c r="AE766" s="238" t="s">
        <v>2595</v>
      </c>
      <c r="AF766">
        <v>79276522187</v>
      </c>
      <c r="AG766" s="238" t="s">
        <v>2596</v>
      </c>
      <c r="AH766" s="238" t="s">
        <v>1212</v>
      </c>
      <c r="AI766" s="238" t="s">
        <v>3103</v>
      </c>
      <c r="AJ766" s="238" t="s">
        <v>689</v>
      </c>
      <c r="AK766" s="238" t="s">
        <v>794</v>
      </c>
      <c r="AL766" t="s">
        <v>8715</v>
      </c>
      <c r="AM766" t="s">
        <v>1167</v>
      </c>
    </row>
    <row r="767" spans="1:39" hidden="1" x14ac:dyDescent="0.25">
      <c r="A767">
        <v>763</v>
      </c>
      <c r="B767">
        <v>53</v>
      </c>
      <c r="C767" s="24">
        <v>44530</v>
      </c>
      <c r="D767" s="238" t="s">
        <v>27</v>
      </c>
      <c r="E767" s="238" t="s">
        <v>14</v>
      </c>
      <c r="F767">
        <v>4</v>
      </c>
      <c r="G767">
        <v>11</v>
      </c>
      <c r="H767">
        <v>716</v>
      </c>
      <c r="I767" s="238" t="s">
        <v>4052</v>
      </c>
      <c r="J767">
        <v>24.39</v>
      </c>
      <c r="K767" s="238" t="s">
        <v>37</v>
      </c>
      <c r="L767">
        <v>1908024.15</v>
      </c>
      <c r="M767">
        <v>0</v>
      </c>
      <c r="N767">
        <v>1908024.15</v>
      </c>
      <c r="O767">
        <v>78229.772447724477</v>
      </c>
      <c r="P767">
        <v>134145</v>
      </c>
      <c r="Q767">
        <v>1773879.15</v>
      </c>
      <c r="R767">
        <v>72729.772447724477</v>
      </c>
      <c r="S767" s="238" t="s">
        <v>137</v>
      </c>
      <c r="T767" s="238" t="s">
        <v>1167</v>
      </c>
      <c r="V767" t="s">
        <v>1167</v>
      </c>
      <c r="W767" s="24">
        <v>44526</v>
      </c>
      <c r="X767" s="238" t="s">
        <v>895</v>
      </c>
      <c r="Y767" s="238" t="s">
        <v>39</v>
      </c>
      <c r="Z767" s="238" t="s">
        <v>1340</v>
      </c>
      <c r="AA767" t="s">
        <v>1167</v>
      </c>
      <c r="AB767" s="238" t="s">
        <v>3246</v>
      </c>
      <c r="AC767" t="s">
        <v>3079</v>
      </c>
      <c r="AD767" s="24"/>
      <c r="AE767" s="238" t="s">
        <v>2597</v>
      </c>
      <c r="AF767">
        <v>79879000163</v>
      </c>
      <c r="AG767" s="238" t="s">
        <v>2598</v>
      </c>
      <c r="AH767" s="238" t="s">
        <v>1212</v>
      </c>
      <c r="AI767" s="238" t="s">
        <v>3088</v>
      </c>
      <c r="AJ767" s="238" t="s">
        <v>130</v>
      </c>
      <c r="AK767" s="238" t="s">
        <v>794</v>
      </c>
      <c r="AL767" t="s">
        <v>8715</v>
      </c>
      <c r="AM767" t="s">
        <v>1167</v>
      </c>
    </row>
    <row r="768" spans="1:39" hidden="1" x14ac:dyDescent="0.25">
      <c r="A768">
        <v>764</v>
      </c>
      <c r="B768">
        <v>54</v>
      </c>
      <c r="C768" s="24">
        <v>44530</v>
      </c>
      <c r="D768" s="238" t="s">
        <v>27</v>
      </c>
      <c r="E768" s="238" t="s">
        <v>15</v>
      </c>
      <c r="F768">
        <v>6</v>
      </c>
      <c r="G768">
        <v>11</v>
      </c>
      <c r="H768">
        <v>589</v>
      </c>
      <c r="I768" s="238" t="s">
        <v>42</v>
      </c>
      <c r="J768">
        <v>37.11</v>
      </c>
      <c r="K768" s="238" t="s">
        <v>36</v>
      </c>
      <c r="L768">
        <v>2528228.65</v>
      </c>
      <c r="M768">
        <v>0</v>
      </c>
      <c r="N768">
        <v>2528228.65</v>
      </c>
      <c r="O768">
        <v>68127.961465912158</v>
      </c>
      <c r="P768">
        <v>0</v>
      </c>
      <c r="Q768">
        <v>2528228.65</v>
      </c>
      <c r="R768">
        <v>68127.961465912158</v>
      </c>
      <c r="S768" s="238" t="s">
        <v>124</v>
      </c>
      <c r="T768" s="238" t="s">
        <v>1167</v>
      </c>
      <c r="V768" t="s">
        <v>1167</v>
      </c>
      <c r="W768" s="24">
        <v>44528</v>
      </c>
      <c r="X768" s="238" t="s">
        <v>896</v>
      </c>
      <c r="Y768" s="238" t="s">
        <v>39</v>
      </c>
      <c r="Z768" s="238" t="s">
        <v>1340</v>
      </c>
      <c r="AA768" t="s">
        <v>1167</v>
      </c>
      <c r="AB768" s="238" t="s">
        <v>3246</v>
      </c>
      <c r="AC768" t="s">
        <v>4246</v>
      </c>
      <c r="AD768" s="24"/>
      <c r="AE768" s="238" t="s">
        <v>2511</v>
      </c>
      <c r="AF768">
        <v>79033001002</v>
      </c>
      <c r="AG768" s="238" t="s">
        <v>2512</v>
      </c>
      <c r="AH768" s="238" t="s">
        <v>1197</v>
      </c>
      <c r="AI768" s="238" t="s">
        <v>3082</v>
      </c>
      <c r="AJ768" s="238" t="s">
        <v>130</v>
      </c>
      <c r="AK768" s="238" t="s">
        <v>1167</v>
      </c>
      <c r="AL768" t="s">
        <v>8715</v>
      </c>
      <c r="AM768" t="s">
        <v>1167</v>
      </c>
    </row>
    <row r="769" spans="1:39" hidden="1" x14ac:dyDescent="0.25">
      <c r="A769">
        <v>765</v>
      </c>
      <c r="B769">
        <v>1</v>
      </c>
      <c r="C769" s="24">
        <v>44533</v>
      </c>
      <c r="D769" s="238" t="s">
        <v>27</v>
      </c>
      <c r="E769" s="238" t="s">
        <v>16</v>
      </c>
      <c r="F769">
        <v>6</v>
      </c>
      <c r="G769">
        <v>14</v>
      </c>
      <c r="H769">
        <v>493</v>
      </c>
      <c r="I769" s="238" t="s">
        <v>42</v>
      </c>
      <c r="J769">
        <v>37.11</v>
      </c>
      <c r="K769" s="238" t="s">
        <v>37</v>
      </c>
      <c r="L769">
        <v>2732333.6</v>
      </c>
      <c r="M769">
        <v>0</v>
      </c>
      <c r="N769">
        <v>2732333.6</v>
      </c>
      <c r="O769">
        <v>73627.960118566421</v>
      </c>
      <c r="P769">
        <v>204105</v>
      </c>
      <c r="Q769">
        <v>2528228.6</v>
      </c>
      <c r="R769">
        <v>68127.960118566421</v>
      </c>
      <c r="S769" s="238" t="s">
        <v>137</v>
      </c>
      <c r="T769" s="238" t="s">
        <v>1167</v>
      </c>
      <c r="V769" t="s">
        <v>1167</v>
      </c>
      <c r="W769" s="24">
        <v>44531</v>
      </c>
      <c r="X769" s="238" t="s">
        <v>900</v>
      </c>
      <c r="Y769" s="238" t="s">
        <v>39</v>
      </c>
      <c r="Z769" s="238" t="s">
        <v>1340</v>
      </c>
      <c r="AA769" t="s">
        <v>1167</v>
      </c>
      <c r="AB769" s="238" t="s">
        <v>3246</v>
      </c>
      <c r="AC769" t="s">
        <v>3079</v>
      </c>
      <c r="AD769" s="24"/>
      <c r="AE769" s="238" t="s">
        <v>2599</v>
      </c>
      <c r="AF769">
        <v>79379817056</v>
      </c>
      <c r="AG769" s="238" t="s">
        <v>2600</v>
      </c>
      <c r="AH769" s="238" t="s">
        <v>1171</v>
      </c>
      <c r="AI769" s="238" t="s">
        <v>135</v>
      </c>
      <c r="AJ769" s="238" t="s">
        <v>126</v>
      </c>
      <c r="AK769" s="238" t="s">
        <v>794</v>
      </c>
      <c r="AL769" t="s">
        <v>8715</v>
      </c>
      <c r="AM769" t="s">
        <v>1167</v>
      </c>
    </row>
    <row r="770" spans="1:39" hidden="1" x14ac:dyDescent="0.25">
      <c r="A770">
        <v>766</v>
      </c>
      <c r="B770">
        <v>2</v>
      </c>
      <c r="C770" s="24">
        <v>44537</v>
      </c>
      <c r="D770" s="238" t="s">
        <v>19</v>
      </c>
      <c r="E770" s="238" t="s">
        <v>6</v>
      </c>
      <c r="F770">
        <v>2</v>
      </c>
      <c r="G770">
        <v>18</v>
      </c>
      <c r="H770">
        <v>114</v>
      </c>
      <c r="I770" s="238" t="s">
        <v>43</v>
      </c>
      <c r="J770">
        <v>58.99</v>
      </c>
      <c r="K770" s="238" t="s">
        <v>37</v>
      </c>
      <c r="L770">
        <v>4657474.07</v>
      </c>
      <c r="M770">
        <v>0</v>
      </c>
      <c r="N770">
        <v>4657474.07</v>
      </c>
      <c r="O770">
        <v>78953.620444143075</v>
      </c>
      <c r="P770">
        <v>324445</v>
      </c>
      <c r="Q770">
        <v>4333029.07</v>
      </c>
      <c r="R770">
        <v>73453.620444143075</v>
      </c>
      <c r="S770" s="238" t="s">
        <v>137</v>
      </c>
      <c r="T770" s="238" t="s">
        <v>1167</v>
      </c>
      <c r="V770" t="s">
        <v>1167</v>
      </c>
      <c r="W770" s="24">
        <v>44529</v>
      </c>
      <c r="X770" s="238" t="s">
        <v>902</v>
      </c>
      <c r="Y770" s="238" t="s">
        <v>39</v>
      </c>
      <c r="Z770" s="238" t="s">
        <v>1340</v>
      </c>
      <c r="AA770" t="s">
        <v>1167</v>
      </c>
      <c r="AB770" s="238" t="s">
        <v>3246</v>
      </c>
      <c r="AC770" t="s">
        <v>3077</v>
      </c>
      <c r="AD770" s="24"/>
      <c r="AE770" s="238" t="s">
        <v>2601</v>
      </c>
      <c r="AF770">
        <v>79879846610</v>
      </c>
      <c r="AG770" s="238" t="s">
        <v>2602</v>
      </c>
      <c r="AH770" s="238" t="s">
        <v>135</v>
      </c>
      <c r="AI770" s="238" t="s">
        <v>3075</v>
      </c>
      <c r="AJ770" s="238" t="s">
        <v>689</v>
      </c>
      <c r="AK770" s="238" t="s">
        <v>141</v>
      </c>
      <c r="AL770" t="s">
        <v>8715</v>
      </c>
      <c r="AM770" t="s">
        <v>1167</v>
      </c>
    </row>
    <row r="771" spans="1:39" hidden="1" x14ac:dyDescent="0.25">
      <c r="A771">
        <v>767</v>
      </c>
      <c r="B771">
        <v>3</v>
      </c>
      <c r="C771" s="24">
        <v>44537</v>
      </c>
      <c r="D771" s="238" t="s">
        <v>27</v>
      </c>
      <c r="E771" s="238" t="s">
        <v>6</v>
      </c>
      <c r="F771">
        <v>6</v>
      </c>
      <c r="G771">
        <v>13</v>
      </c>
      <c r="H771">
        <v>105</v>
      </c>
      <c r="I771" s="238" t="s">
        <v>43</v>
      </c>
      <c r="J771">
        <v>54.67</v>
      </c>
      <c r="K771" s="238" t="s">
        <v>37</v>
      </c>
      <c r="L771">
        <v>3571206.9</v>
      </c>
      <c r="M771">
        <v>0</v>
      </c>
      <c r="N771">
        <v>3571206.9</v>
      </c>
      <c r="O771">
        <v>65322.972379732942</v>
      </c>
      <c r="P771">
        <v>300685</v>
      </c>
      <c r="Q771">
        <v>3270521.9</v>
      </c>
      <c r="R771">
        <v>59822.972379732942</v>
      </c>
      <c r="S771" s="238" t="s">
        <v>137</v>
      </c>
      <c r="T771" s="238" t="s">
        <v>60</v>
      </c>
      <c r="U771">
        <v>300685</v>
      </c>
      <c r="V771" t="s">
        <v>1167</v>
      </c>
      <c r="W771" s="24">
        <v>44533</v>
      </c>
      <c r="X771" s="238" t="s">
        <v>901</v>
      </c>
      <c r="Y771" s="238" t="s">
        <v>39</v>
      </c>
      <c r="Z771" s="238" t="s">
        <v>1340</v>
      </c>
      <c r="AA771" t="s">
        <v>1167</v>
      </c>
      <c r="AB771" s="238" t="s">
        <v>3246</v>
      </c>
      <c r="AC771" t="s">
        <v>3079</v>
      </c>
      <c r="AD771" s="24">
        <v>45049</v>
      </c>
      <c r="AE771" s="238" t="s">
        <v>4543</v>
      </c>
      <c r="AF771">
        <v>79270043415</v>
      </c>
      <c r="AG771" s="238" t="s">
        <v>4544</v>
      </c>
      <c r="AH771" s="238" t="s">
        <v>1212</v>
      </c>
      <c r="AI771" s="238" t="s">
        <v>3089</v>
      </c>
      <c r="AJ771" s="238" t="s">
        <v>130</v>
      </c>
      <c r="AK771" s="238" t="s">
        <v>794</v>
      </c>
      <c r="AL771" t="s">
        <v>8715</v>
      </c>
      <c r="AM771" t="s">
        <v>1167</v>
      </c>
    </row>
    <row r="772" spans="1:39" hidden="1" x14ac:dyDescent="0.25">
      <c r="A772">
        <v>768</v>
      </c>
      <c r="B772">
        <v>4</v>
      </c>
      <c r="C772" s="24">
        <v>44538</v>
      </c>
      <c r="D772" s="238" t="s">
        <v>27</v>
      </c>
      <c r="E772" s="238" t="s">
        <v>14</v>
      </c>
      <c r="F772">
        <v>4</v>
      </c>
      <c r="G772">
        <v>10</v>
      </c>
      <c r="H772">
        <v>707</v>
      </c>
      <c r="I772" s="238" t="s">
        <v>4052</v>
      </c>
      <c r="J772">
        <v>24.39</v>
      </c>
      <c r="K772" s="238" t="s">
        <v>36</v>
      </c>
      <c r="L772">
        <v>1887407.47</v>
      </c>
      <c r="M772">
        <v>0</v>
      </c>
      <c r="N772">
        <v>1887407.47</v>
      </c>
      <c r="O772">
        <v>77384.480114801147</v>
      </c>
      <c r="P772">
        <v>0</v>
      </c>
      <c r="Q772">
        <v>1887407.47</v>
      </c>
      <c r="R772">
        <v>77384.480114801147</v>
      </c>
      <c r="S772" s="238" t="s">
        <v>137</v>
      </c>
      <c r="T772" s="238" t="s">
        <v>1167</v>
      </c>
      <c r="V772" t="s">
        <v>1167</v>
      </c>
      <c r="W772" s="24">
        <v>44534</v>
      </c>
      <c r="X772" s="238" t="s">
        <v>904</v>
      </c>
      <c r="Y772" s="238" t="s">
        <v>39</v>
      </c>
      <c r="Z772" s="238" t="s">
        <v>1340</v>
      </c>
      <c r="AA772" t="s">
        <v>1167</v>
      </c>
      <c r="AB772" s="238" t="s">
        <v>3246</v>
      </c>
      <c r="AC772" t="s">
        <v>3079</v>
      </c>
      <c r="AD772" s="24"/>
      <c r="AE772" s="238" t="s">
        <v>2603</v>
      </c>
      <c r="AF772">
        <v>79376532717</v>
      </c>
      <c r="AG772" s="238" t="s">
        <v>2604</v>
      </c>
      <c r="AH772" s="238" t="s">
        <v>1212</v>
      </c>
      <c r="AI772" s="238" t="s">
        <v>3074</v>
      </c>
      <c r="AJ772" s="238" t="s">
        <v>399</v>
      </c>
      <c r="AK772" s="238" t="s">
        <v>141</v>
      </c>
      <c r="AL772" t="s">
        <v>8715</v>
      </c>
      <c r="AM772" t="s">
        <v>1167</v>
      </c>
    </row>
    <row r="773" spans="1:39" hidden="1" x14ac:dyDescent="0.25">
      <c r="A773">
        <v>769</v>
      </c>
      <c r="B773">
        <v>5</v>
      </c>
      <c r="C773" s="24">
        <v>44538</v>
      </c>
      <c r="D773" s="238" t="s">
        <v>27</v>
      </c>
      <c r="E773" s="238" t="s">
        <v>14</v>
      </c>
      <c r="F773">
        <v>3</v>
      </c>
      <c r="G773">
        <v>13</v>
      </c>
      <c r="H773">
        <v>733</v>
      </c>
      <c r="I773" s="238" t="s">
        <v>43</v>
      </c>
      <c r="J773">
        <v>56.33</v>
      </c>
      <c r="K773" s="238" t="s">
        <v>36</v>
      </c>
      <c r="L773">
        <v>3846899.54</v>
      </c>
      <c r="M773">
        <v>0</v>
      </c>
      <c r="N773">
        <v>3846899.54</v>
      </c>
      <c r="O773">
        <v>68292.198473282449</v>
      </c>
      <c r="P773">
        <v>0</v>
      </c>
      <c r="Q773">
        <v>3846899.54</v>
      </c>
      <c r="R773">
        <v>68292.198473282449</v>
      </c>
      <c r="S773" s="238" t="s">
        <v>137</v>
      </c>
      <c r="T773" s="238" t="s">
        <v>1167</v>
      </c>
      <c r="V773" t="s">
        <v>4091</v>
      </c>
      <c r="W773" s="24">
        <v>44535</v>
      </c>
      <c r="X773" s="238" t="s">
        <v>905</v>
      </c>
      <c r="Y773" s="238" t="s">
        <v>39</v>
      </c>
      <c r="Z773" s="238" t="s">
        <v>1340</v>
      </c>
      <c r="AA773" t="s">
        <v>1167</v>
      </c>
      <c r="AB773" s="238" t="s">
        <v>3246</v>
      </c>
      <c r="AC773" t="s">
        <v>3079</v>
      </c>
      <c r="AD773" s="24"/>
      <c r="AE773" s="238" t="s">
        <v>2605</v>
      </c>
      <c r="AF773">
        <v>79277571357</v>
      </c>
      <c r="AG773" s="238" t="s">
        <v>2606</v>
      </c>
      <c r="AH773" s="238" t="s">
        <v>1197</v>
      </c>
      <c r="AI773" s="238" t="s">
        <v>3074</v>
      </c>
      <c r="AJ773" s="238" t="s">
        <v>399</v>
      </c>
      <c r="AK773" s="238" t="s">
        <v>141</v>
      </c>
      <c r="AL773" t="s">
        <v>8715</v>
      </c>
      <c r="AM773" t="s">
        <v>1167</v>
      </c>
    </row>
    <row r="774" spans="1:39" hidden="1" x14ac:dyDescent="0.25">
      <c r="A774">
        <v>770</v>
      </c>
      <c r="B774">
        <v>6</v>
      </c>
      <c r="C774" s="24">
        <v>44538</v>
      </c>
      <c r="D774" s="238" t="s">
        <v>27</v>
      </c>
      <c r="E774" s="238" t="s">
        <v>5</v>
      </c>
      <c r="F774">
        <v>3</v>
      </c>
      <c r="G774">
        <v>7</v>
      </c>
      <c r="H774">
        <v>250</v>
      </c>
      <c r="I774" s="238" t="s">
        <v>4052</v>
      </c>
      <c r="J774">
        <v>23.54</v>
      </c>
      <c r="K774" s="238" t="s">
        <v>36</v>
      </c>
      <c r="L774">
        <v>1712058.84</v>
      </c>
      <c r="M774">
        <v>0</v>
      </c>
      <c r="N774">
        <v>1712058.84</v>
      </c>
      <c r="O774">
        <v>72729.772302463898</v>
      </c>
      <c r="P774">
        <v>0</v>
      </c>
      <c r="Q774">
        <v>1712058.84</v>
      </c>
      <c r="R774">
        <v>72729.772302463898</v>
      </c>
      <c r="S774" s="238" t="s">
        <v>137</v>
      </c>
      <c r="T774" s="238" t="s">
        <v>1167</v>
      </c>
      <c r="V774" t="s">
        <v>1167</v>
      </c>
      <c r="W774" s="24">
        <v>44536</v>
      </c>
      <c r="X774" s="238" t="s">
        <v>903</v>
      </c>
      <c r="Y774" s="238" t="s">
        <v>39</v>
      </c>
      <c r="Z774" s="238" t="s">
        <v>1340</v>
      </c>
      <c r="AA774" t="s">
        <v>1167</v>
      </c>
      <c r="AB774" s="238" t="s">
        <v>3246</v>
      </c>
      <c r="AC774" t="s">
        <v>3079</v>
      </c>
      <c r="AD774" s="24"/>
      <c r="AE774" s="238" t="s">
        <v>2564</v>
      </c>
      <c r="AF774">
        <v>79270050640</v>
      </c>
      <c r="AG774" s="238" t="s">
        <v>2565</v>
      </c>
      <c r="AH774" s="238" t="s">
        <v>1197</v>
      </c>
      <c r="AI774" s="238" t="s">
        <v>3082</v>
      </c>
      <c r="AJ774" s="238" t="s">
        <v>130</v>
      </c>
      <c r="AK774" s="238" t="s">
        <v>141</v>
      </c>
      <c r="AL774" t="s">
        <v>8715</v>
      </c>
      <c r="AM774" t="s">
        <v>1167</v>
      </c>
    </row>
    <row r="775" spans="1:39" hidden="1" x14ac:dyDescent="0.25">
      <c r="A775">
        <v>771</v>
      </c>
      <c r="B775">
        <v>7</v>
      </c>
      <c r="C775" s="24">
        <v>44540</v>
      </c>
      <c r="D775" s="238" t="s">
        <v>27</v>
      </c>
      <c r="E775" s="238" t="s">
        <v>6</v>
      </c>
      <c r="F775">
        <v>5</v>
      </c>
      <c r="G775">
        <v>8</v>
      </c>
      <c r="H775">
        <v>59</v>
      </c>
      <c r="I775" s="238" t="s">
        <v>4052</v>
      </c>
      <c r="J775">
        <v>24.47</v>
      </c>
      <c r="K775" s="238" t="s">
        <v>37</v>
      </c>
      <c r="L775">
        <v>2070895.92</v>
      </c>
      <c r="M775">
        <v>0</v>
      </c>
      <c r="N775">
        <v>2070895.92</v>
      </c>
      <c r="O775">
        <v>84629.992644053942</v>
      </c>
      <c r="P775">
        <v>134585</v>
      </c>
      <c r="Q775">
        <v>1936310.92</v>
      </c>
      <c r="R775">
        <v>79129.992644053942</v>
      </c>
      <c r="S775" s="238" t="s">
        <v>137</v>
      </c>
      <c r="T775" s="238" t="s">
        <v>1167</v>
      </c>
      <c r="V775" t="s">
        <v>1167</v>
      </c>
      <c r="W775" s="24">
        <v>44535</v>
      </c>
      <c r="X775" s="238" t="s">
        <v>906</v>
      </c>
      <c r="Y775" s="238" t="s">
        <v>39</v>
      </c>
      <c r="Z775" s="238" t="s">
        <v>1340</v>
      </c>
      <c r="AA775" t="s">
        <v>1167</v>
      </c>
      <c r="AB775" s="238" t="s">
        <v>3246</v>
      </c>
      <c r="AC775" t="s">
        <v>3077</v>
      </c>
      <c r="AD775" s="24"/>
      <c r="AE775" s="238" t="s">
        <v>2607</v>
      </c>
      <c r="AF775">
        <v>79379881445</v>
      </c>
      <c r="AG775" s="238" t="s">
        <v>2608</v>
      </c>
      <c r="AH775" s="238" t="s">
        <v>1212</v>
      </c>
      <c r="AI775" s="238" t="s">
        <v>3110</v>
      </c>
      <c r="AJ775" s="238" t="s">
        <v>399</v>
      </c>
      <c r="AK775" s="238" t="s">
        <v>794</v>
      </c>
      <c r="AL775" t="s">
        <v>8715</v>
      </c>
      <c r="AM775" t="s">
        <v>1167</v>
      </c>
    </row>
    <row r="776" spans="1:39" hidden="1" x14ac:dyDescent="0.25">
      <c r="A776">
        <v>772</v>
      </c>
      <c r="B776">
        <v>8</v>
      </c>
      <c r="C776" s="24">
        <v>44540</v>
      </c>
      <c r="D776" s="238" t="s">
        <v>19</v>
      </c>
      <c r="E776" s="238" t="s">
        <v>5</v>
      </c>
      <c r="F776">
        <v>6</v>
      </c>
      <c r="G776">
        <v>8</v>
      </c>
      <c r="H776">
        <v>233</v>
      </c>
      <c r="I776" s="238" t="s">
        <v>43</v>
      </c>
      <c r="J776">
        <v>60.24</v>
      </c>
      <c r="K776" s="238" t="s">
        <v>36</v>
      </c>
      <c r="L776">
        <v>3939023.76</v>
      </c>
      <c r="M776">
        <v>0</v>
      </c>
      <c r="N776">
        <v>3939023.76</v>
      </c>
      <c r="O776">
        <v>65388.840637450194</v>
      </c>
      <c r="P776">
        <v>0</v>
      </c>
      <c r="Q776">
        <v>3939023.76</v>
      </c>
      <c r="R776">
        <v>65388.840637450194</v>
      </c>
      <c r="S776" s="238" t="s">
        <v>137</v>
      </c>
      <c r="T776" s="238" t="s">
        <v>1167</v>
      </c>
      <c r="V776" t="s">
        <v>4091</v>
      </c>
      <c r="W776" s="24">
        <v>44537</v>
      </c>
      <c r="X776" s="238" t="s">
        <v>909</v>
      </c>
      <c r="Y776" s="238" t="s">
        <v>39</v>
      </c>
      <c r="Z776" s="238" t="s">
        <v>1340</v>
      </c>
      <c r="AA776" t="s">
        <v>1167</v>
      </c>
      <c r="AB776" s="238" t="s">
        <v>3246</v>
      </c>
      <c r="AC776" t="s">
        <v>3079</v>
      </c>
      <c r="AD776" s="24"/>
      <c r="AE776" s="238" t="s">
        <v>2609</v>
      </c>
      <c r="AG776" s="238" t="s">
        <v>2084</v>
      </c>
      <c r="AH776" s="238" t="s">
        <v>1171</v>
      </c>
      <c r="AI776" s="238" t="s">
        <v>3082</v>
      </c>
      <c r="AJ776" s="238" t="s">
        <v>399</v>
      </c>
      <c r="AK776" s="238" t="s">
        <v>141</v>
      </c>
      <c r="AL776" t="s">
        <v>8715</v>
      </c>
      <c r="AM776" t="s">
        <v>1167</v>
      </c>
    </row>
    <row r="777" spans="1:39" hidden="1" x14ac:dyDescent="0.25">
      <c r="A777">
        <v>773</v>
      </c>
      <c r="B777">
        <v>9</v>
      </c>
      <c r="C777" s="24">
        <v>44540</v>
      </c>
      <c r="D777" s="238" t="s">
        <v>27</v>
      </c>
      <c r="E777" s="238" t="s">
        <v>14</v>
      </c>
      <c r="F777">
        <v>4</v>
      </c>
      <c r="G777">
        <v>16</v>
      </c>
      <c r="H777">
        <v>761</v>
      </c>
      <c r="I777" s="238" t="s">
        <v>4052</v>
      </c>
      <c r="J777">
        <v>24.39</v>
      </c>
      <c r="K777" s="238" t="s">
        <v>38</v>
      </c>
      <c r="L777">
        <v>2164119.15</v>
      </c>
      <c r="M777">
        <v>0</v>
      </c>
      <c r="N777">
        <v>2164119.15</v>
      </c>
      <c r="O777">
        <v>88729.772447724477</v>
      </c>
      <c r="P777">
        <v>390240</v>
      </c>
      <c r="Q777">
        <v>1773879.15</v>
      </c>
      <c r="R777">
        <v>72729.772447724477</v>
      </c>
      <c r="S777" s="238" t="s">
        <v>124</v>
      </c>
      <c r="T777" s="238" t="s">
        <v>1167</v>
      </c>
      <c r="V777" t="s">
        <v>1167</v>
      </c>
      <c r="W777" s="24">
        <v>44538</v>
      </c>
      <c r="X777" s="238" t="s">
        <v>908</v>
      </c>
      <c r="Y777" s="238" t="s">
        <v>39</v>
      </c>
      <c r="Z777" s="238" t="s">
        <v>1340</v>
      </c>
      <c r="AA777" t="s">
        <v>1167</v>
      </c>
      <c r="AB777" s="238" t="s">
        <v>3246</v>
      </c>
      <c r="AC777" t="s">
        <v>4246</v>
      </c>
      <c r="AD777" s="24"/>
      <c r="AE777" s="238" t="s">
        <v>2610</v>
      </c>
      <c r="AF777">
        <v>79033044515</v>
      </c>
      <c r="AG777" s="238" t="s">
        <v>2611</v>
      </c>
      <c r="AH777" s="238" t="s">
        <v>1171</v>
      </c>
      <c r="AI777" s="238" t="s">
        <v>3084</v>
      </c>
      <c r="AJ777" s="238" t="s">
        <v>399</v>
      </c>
      <c r="AK777" s="238" t="s">
        <v>1167</v>
      </c>
      <c r="AL777" t="s">
        <v>8715</v>
      </c>
      <c r="AM777" t="s">
        <v>1167</v>
      </c>
    </row>
    <row r="778" spans="1:39" hidden="1" x14ac:dyDescent="0.25">
      <c r="A778">
        <v>774</v>
      </c>
      <c r="B778">
        <v>10</v>
      </c>
      <c r="C778" s="24">
        <v>44540</v>
      </c>
      <c r="D778" s="238" t="s">
        <v>27</v>
      </c>
      <c r="E778" s="238" t="s">
        <v>14</v>
      </c>
      <c r="F778">
        <v>5</v>
      </c>
      <c r="G778">
        <v>11</v>
      </c>
      <c r="H778">
        <v>717</v>
      </c>
      <c r="I778" s="238" t="s">
        <v>42</v>
      </c>
      <c r="J778">
        <v>38.96</v>
      </c>
      <c r="K778" s="238" t="s">
        <v>37</v>
      </c>
      <c r="L778">
        <v>2983948.22</v>
      </c>
      <c r="M778">
        <v>0</v>
      </c>
      <c r="N778">
        <v>2983948.22</v>
      </c>
      <c r="O778">
        <v>76590.046714579061</v>
      </c>
      <c r="P778">
        <v>214280</v>
      </c>
      <c r="Q778">
        <v>2769668.22</v>
      </c>
      <c r="R778">
        <v>71090.046714579061</v>
      </c>
      <c r="S778" s="238" t="s">
        <v>137</v>
      </c>
      <c r="T778" s="238" t="s">
        <v>1167</v>
      </c>
      <c r="V778" t="s">
        <v>4091</v>
      </c>
      <c r="W778" s="24">
        <v>44538</v>
      </c>
      <c r="X778" s="238" t="s">
        <v>910</v>
      </c>
      <c r="Y778" s="238" t="s">
        <v>39</v>
      </c>
      <c r="Z778" s="238" t="s">
        <v>1340</v>
      </c>
      <c r="AA778" t="s">
        <v>1167</v>
      </c>
      <c r="AB778" s="238" t="s">
        <v>3246</v>
      </c>
      <c r="AC778" t="s">
        <v>3079</v>
      </c>
      <c r="AD778" s="24"/>
      <c r="AE778" s="238" t="s">
        <v>2612</v>
      </c>
      <c r="AF778">
        <v>79379947186</v>
      </c>
      <c r="AG778" s="238" t="s">
        <v>2613</v>
      </c>
      <c r="AH778" s="238" t="s">
        <v>137</v>
      </c>
      <c r="AI778" s="238" t="s">
        <v>3114</v>
      </c>
      <c r="AJ778" s="238" t="s">
        <v>126</v>
      </c>
      <c r="AK778" s="238" t="s">
        <v>141</v>
      </c>
      <c r="AL778" t="s">
        <v>8715</v>
      </c>
      <c r="AM778" t="s">
        <v>1167</v>
      </c>
    </row>
    <row r="779" spans="1:39" hidden="1" x14ac:dyDescent="0.25">
      <c r="A779">
        <v>775</v>
      </c>
      <c r="B779">
        <v>11</v>
      </c>
      <c r="C779" s="24">
        <v>44540</v>
      </c>
      <c r="D779" s="238" t="s">
        <v>19</v>
      </c>
      <c r="E779" s="238" t="s">
        <v>6</v>
      </c>
      <c r="F779">
        <v>4</v>
      </c>
      <c r="G779">
        <v>14</v>
      </c>
      <c r="H779">
        <v>88</v>
      </c>
      <c r="I779" s="238" t="s">
        <v>42</v>
      </c>
      <c r="J779">
        <v>36.86</v>
      </c>
      <c r="K779" s="238" t="s">
        <v>37</v>
      </c>
      <c r="L779">
        <v>2960961.73</v>
      </c>
      <c r="M779">
        <v>0</v>
      </c>
      <c r="N779">
        <v>2960961.73</v>
      </c>
      <c r="O779">
        <v>80329.943841562665</v>
      </c>
      <c r="P779">
        <v>202730</v>
      </c>
      <c r="Q779">
        <v>2758231.73</v>
      </c>
      <c r="R779">
        <v>74829.943841562665</v>
      </c>
      <c r="S779" s="238" t="s">
        <v>137</v>
      </c>
      <c r="T779" s="238" t="s">
        <v>1167</v>
      </c>
      <c r="V779" t="s">
        <v>1167</v>
      </c>
      <c r="W779" s="24">
        <v>44533</v>
      </c>
      <c r="X779" s="238" t="s">
        <v>907</v>
      </c>
      <c r="Y779" s="238" t="s">
        <v>39</v>
      </c>
      <c r="Z779" s="238" t="s">
        <v>1340</v>
      </c>
      <c r="AA779" t="s">
        <v>1167</v>
      </c>
      <c r="AB779" s="238" t="s">
        <v>3246</v>
      </c>
      <c r="AC779" t="s">
        <v>3077</v>
      </c>
      <c r="AD779" s="24"/>
      <c r="AE779" s="238" t="s">
        <v>2614</v>
      </c>
      <c r="AF779">
        <v>79179420171</v>
      </c>
      <c r="AG779" s="238" t="s">
        <v>2615</v>
      </c>
      <c r="AH779" s="238" t="s">
        <v>1171</v>
      </c>
      <c r="AI779" s="238" t="s">
        <v>3074</v>
      </c>
      <c r="AJ779" s="238" t="s">
        <v>130</v>
      </c>
      <c r="AK779" s="238" t="s">
        <v>141</v>
      </c>
      <c r="AL779" t="s">
        <v>8715</v>
      </c>
      <c r="AM779" t="s">
        <v>1167</v>
      </c>
    </row>
    <row r="780" spans="1:39" hidden="1" x14ac:dyDescent="0.25">
      <c r="A780">
        <v>776</v>
      </c>
      <c r="B780">
        <v>12</v>
      </c>
      <c r="C780" s="24">
        <v>44544</v>
      </c>
      <c r="D780" s="238" t="s">
        <v>27</v>
      </c>
      <c r="E780" s="238" t="s">
        <v>5</v>
      </c>
      <c r="F780">
        <v>8</v>
      </c>
      <c r="G780">
        <v>15</v>
      </c>
      <c r="H780">
        <v>319</v>
      </c>
      <c r="I780" s="238" t="s">
        <v>43</v>
      </c>
      <c r="J780">
        <v>55.8</v>
      </c>
      <c r="K780" s="238" t="s">
        <v>36</v>
      </c>
      <c r="L780">
        <v>3645021.86</v>
      </c>
      <c r="M780">
        <v>0</v>
      </c>
      <c r="N780">
        <v>3645021.86</v>
      </c>
      <c r="O780">
        <v>65322.97240143369</v>
      </c>
      <c r="P780">
        <v>0</v>
      </c>
      <c r="Q780">
        <v>3645021.86</v>
      </c>
      <c r="R780">
        <v>65322.97240143369</v>
      </c>
      <c r="S780" s="238" t="s">
        <v>121</v>
      </c>
      <c r="T780" s="238" t="s">
        <v>1167</v>
      </c>
      <c r="V780" t="s">
        <v>1167</v>
      </c>
      <c r="W780" s="24">
        <v>44532</v>
      </c>
      <c r="X780" s="238" t="s">
        <v>911</v>
      </c>
      <c r="Y780" s="238" t="s">
        <v>39</v>
      </c>
      <c r="Z780" s="238" t="s">
        <v>1168</v>
      </c>
      <c r="AA780" t="s">
        <v>1167</v>
      </c>
      <c r="AB780" s="238" t="s">
        <v>3246</v>
      </c>
      <c r="AC780" t="s">
        <v>4246</v>
      </c>
      <c r="AD780" s="24"/>
      <c r="AE780" s="238" t="s">
        <v>2616</v>
      </c>
      <c r="AF780">
        <v>79093700670</v>
      </c>
      <c r="AG780" s="238" t="s">
        <v>2617</v>
      </c>
      <c r="AH780" s="238" t="s">
        <v>135</v>
      </c>
      <c r="AI780" s="238" t="s">
        <v>3099</v>
      </c>
      <c r="AJ780" s="238" t="s">
        <v>120</v>
      </c>
      <c r="AK780" s="238" t="s">
        <v>1167</v>
      </c>
      <c r="AL780" t="s">
        <v>8715</v>
      </c>
      <c r="AM780" t="s">
        <v>1167</v>
      </c>
    </row>
    <row r="781" spans="1:39" hidden="1" x14ac:dyDescent="0.25">
      <c r="A781">
        <v>777</v>
      </c>
      <c r="B781">
        <v>13</v>
      </c>
      <c r="C781" s="24">
        <v>44544</v>
      </c>
      <c r="D781" s="238" t="s">
        <v>19</v>
      </c>
      <c r="E781" s="238" t="s">
        <v>6</v>
      </c>
      <c r="F781">
        <v>5</v>
      </c>
      <c r="G781">
        <v>8</v>
      </c>
      <c r="H781">
        <v>47</v>
      </c>
      <c r="I781" s="238" t="s">
        <v>42</v>
      </c>
      <c r="J781">
        <v>36.42</v>
      </c>
      <c r="K781" s="238" t="s">
        <v>37</v>
      </c>
      <c r="L781">
        <v>2925616.56</v>
      </c>
      <c r="M781">
        <v>0</v>
      </c>
      <c r="N781">
        <v>2925616.56</v>
      </c>
      <c r="O781">
        <v>80329.943986820421</v>
      </c>
      <c r="P781">
        <v>200310</v>
      </c>
      <c r="Q781">
        <v>2725306.56</v>
      </c>
      <c r="R781">
        <v>74829.943986820421</v>
      </c>
      <c r="S781" s="238" t="s">
        <v>137</v>
      </c>
      <c r="T781" s="238" t="s">
        <v>1167</v>
      </c>
      <c r="V781" t="s">
        <v>4091</v>
      </c>
      <c r="W781" s="24">
        <v>44534</v>
      </c>
      <c r="X781" s="238" t="s">
        <v>912</v>
      </c>
      <c r="Y781" s="238" t="s">
        <v>39</v>
      </c>
      <c r="Z781" s="238" t="s">
        <v>1340</v>
      </c>
      <c r="AA781" t="s">
        <v>1167</v>
      </c>
      <c r="AB781" s="238" t="s">
        <v>3246</v>
      </c>
      <c r="AC781" t="s">
        <v>3079</v>
      </c>
      <c r="AD781" s="24"/>
      <c r="AE781" s="238" t="s">
        <v>2618</v>
      </c>
      <c r="AF781">
        <v>79025816065</v>
      </c>
      <c r="AG781" s="238" t="s">
        <v>2619</v>
      </c>
      <c r="AH781" s="238" t="s">
        <v>1212</v>
      </c>
      <c r="AI781" s="238" t="s">
        <v>135</v>
      </c>
      <c r="AJ781" s="238" t="s">
        <v>126</v>
      </c>
      <c r="AK781" s="238" t="s">
        <v>141</v>
      </c>
      <c r="AL781" t="s">
        <v>8715</v>
      </c>
      <c r="AM781" t="s">
        <v>1167</v>
      </c>
    </row>
    <row r="782" spans="1:39" hidden="1" x14ac:dyDescent="0.25">
      <c r="A782">
        <v>778</v>
      </c>
      <c r="B782">
        <v>14</v>
      </c>
      <c r="C782" s="24">
        <v>44544</v>
      </c>
      <c r="D782" s="238" t="s">
        <v>27</v>
      </c>
      <c r="E782" s="238" t="s">
        <v>13</v>
      </c>
      <c r="F782">
        <v>6</v>
      </c>
      <c r="G782">
        <v>9</v>
      </c>
      <c r="H782">
        <v>899</v>
      </c>
      <c r="I782" s="238" t="s">
        <v>43</v>
      </c>
      <c r="J782">
        <v>54.28</v>
      </c>
      <c r="K782" s="238" t="s">
        <v>37</v>
      </c>
      <c r="L782">
        <v>3610198.78</v>
      </c>
      <c r="M782">
        <v>0</v>
      </c>
      <c r="N782">
        <v>3610198.78</v>
      </c>
      <c r="O782">
        <v>66510.662859248332</v>
      </c>
      <c r="P782">
        <v>298540</v>
      </c>
      <c r="Q782">
        <v>3311658.78</v>
      </c>
      <c r="R782">
        <v>61010.662859248339</v>
      </c>
      <c r="S782" s="238" t="s">
        <v>137</v>
      </c>
      <c r="T782" s="238" t="s">
        <v>60</v>
      </c>
      <c r="U782">
        <v>298540</v>
      </c>
      <c r="V782" t="s">
        <v>4091</v>
      </c>
      <c r="W782" s="24">
        <v>44542</v>
      </c>
      <c r="X782" s="238" t="s">
        <v>913</v>
      </c>
      <c r="Y782" s="238" t="s">
        <v>39</v>
      </c>
      <c r="Z782" s="238" t="s">
        <v>1340</v>
      </c>
      <c r="AA782" t="s">
        <v>1167</v>
      </c>
      <c r="AB782" s="238" t="s">
        <v>3246</v>
      </c>
      <c r="AC782" t="s">
        <v>3079</v>
      </c>
      <c r="AD782" s="24"/>
      <c r="AE782" s="238" t="s">
        <v>1612</v>
      </c>
      <c r="AF782">
        <v>79502067114</v>
      </c>
      <c r="AG782" s="238" t="s">
        <v>1613</v>
      </c>
      <c r="AH782" s="238" t="s">
        <v>1197</v>
      </c>
      <c r="AI782" s="238" t="s">
        <v>3082</v>
      </c>
      <c r="AJ782" s="238" t="s">
        <v>126</v>
      </c>
      <c r="AK782" s="238" t="s">
        <v>141</v>
      </c>
      <c r="AL782" t="s">
        <v>8715</v>
      </c>
      <c r="AM782" t="s">
        <v>1167</v>
      </c>
    </row>
    <row r="783" spans="1:39" hidden="1" x14ac:dyDescent="0.25">
      <c r="A783">
        <v>779</v>
      </c>
      <c r="B783">
        <v>15</v>
      </c>
      <c r="C783" s="24">
        <v>44544</v>
      </c>
      <c r="D783" s="238" t="s">
        <v>27</v>
      </c>
      <c r="E783" s="238" t="s">
        <v>6</v>
      </c>
      <c r="F783">
        <v>6</v>
      </c>
      <c r="G783">
        <v>4</v>
      </c>
      <c r="H783">
        <v>24</v>
      </c>
      <c r="I783" s="238" t="s">
        <v>43</v>
      </c>
      <c r="J783">
        <v>54.67</v>
      </c>
      <c r="K783" s="238" t="s">
        <v>37</v>
      </c>
      <c r="L783">
        <v>3571206.77</v>
      </c>
      <c r="M783">
        <v>0</v>
      </c>
      <c r="N783">
        <v>3571206.77</v>
      </c>
      <c r="O783">
        <v>65322.970001829155</v>
      </c>
      <c r="P783">
        <v>300685</v>
      </c>
      <c r="Q783">
        <v>3270521.77</v>
      </c>
      <c r="R783">
        <v>59822.970001829155</v>
      </c>
      <c r="S783" s="238" t="s">
        <v>137</v>
      </c>
      <c r="T783" s="238" t="s">
        <v>60</v>
      </c>
      <c r="U783">
        <v>300685</v>
      </c>
      <c r="V783" t="s">
        <v>4091</v>
      </c>
      <c r="W783" s="24">
        <v>44538</v>
      </c>
      <c r="X783" s="238" t="s">
        <v>914</v>
      </c>
      <c r="Y783" s="238" t="s">
        <v>39</v>
      </c>
      <c r="Z783" s="238" t="s">
        <v>1340</v>
      </c>
      <c r="AA783" t="s">
        <v>1167</v>
      </c>
      <c r="AB783" s="238" t="s">
        <v>3246</v>
      </c>
      <c r="AC783" t="s">
        <v>3079</v>
      </c>
      <c r="AD783" s="24">
        <v>45037</v>
      </c>
      <c r="AE783" s="238" t="s">
        <v>4888</v>
      </c>
      <c r="AF783">
        <v>79272656678</v>
      </c>
      <c r="AG783" s="238" t="s">
        <v>4889</v>
      </c>
      <c r="AH783" s="238" t="s">
        <v>1212</v>
      </c>
      <c r="AI783" s="238" t="s">
        <v>3089</v>
      </c>
      <c r="AJ783" s="238" t="s">
        <v>130</v>
      </c>
      <c r="AK783" s="238" t="s">
        <v>794</v>
      </c>
      <c r="AL783" t="s">
        <v>8715</v>
      </c>
      <c r="AM783" t="s">
        <v>1167</v>
      </c>
    </row>
    <row r="784" spans="1:39" hidden="1" x14ac:dyDescent="0.25">
      <c r="A784">
        <v>780</v>
      </c>
      <c r="B784">
        <v>16</v>
      </c>
      <c r="C784" s="24">
        <v>44545</v>
      </c>
      <c r="D784" s="238" t="s">
        <v>27</v>
      </c>
      <c r="E784" s="238" t="s">
        <v>16</v>
      </c>
      <c r="F784">
        <v>4</v>
      </c>
      <c r="G784">
        <v>8</v>
      </c>
      <c r="H784">
        <v>443</v>
      </c>
      <c r="I784" s="238" t="s">
        <v>42</v>
      </c>
      <c r="J784">
        <v>40</v>
      </c>
      <c r="K784" s="238" t="s">
        <v>37</v>
      </c>
      <c r="L784">
        <v>3063601.87</v>
      </c>
      <c r="M784">
        <v>0</v>
      </c>
      <c r="N784">
        <v>3063601.87</v>
      </c>
      <c r="O784">
        <v>76590.046750000009</v>
      </c>
      <c r="P784">
        <v>220000</v>
      </c>
      <c r="Q784">
        <v>2843601.87</v>
      </c>
      <c r="R784">
        <v>71090.046750000009</v>
      </c>
      <c r="S784" s="238" t="s">
        <v>137</v>
      </c>
      <c r="T784" s="238" t="s">
        <v>1167</v>
      </c>
      <c r="V784" t="s">
        <v>1167</v>
      </c>
      <c r="W784" s="24">
        <v>44543</v>
      </c>
      <c r="X784" s="238" t="s">
        <v>916</v>
      </c>
      <c r="Y784" s="238" t="s">
        <v>39</v>
      </c>
      <c r="Z784" s="238" t="s">
        <v>1340</v>
      </c>
      <c r="AA784" t="s">
        <v>1167</v>
      </c>
      <c r="AB784" s="238" t="s">
        <v>3246</v>
      </c>
      <c r="AC784" t="s">
        <v>3079</v>
      </c>
      <c r="AD784" s="24"/>
      <c r="AE784" s="238" t="s">
        <v>2620</v>
      </c>
      <c r="AF784">
        <v>79272969500</v>
      </c>
      <c r="AG784" s="238" t="s">
        <v>2621</v>
      </c>
      <c r="AH784" s="238" t="s">
        <v>1212</v>
      </c>
      <c r="AI784" s="238" t="s">
        <v>3102</v>
      </c>
      <c r="AJ784" s="238" t="s">
        <v>399</v>
      </c>
      <c r="AK784" s="238" t="s">
        <v>141</v>
      </c>
      <c r="AL784" t="s">
        <v>8715</v>
      </c>
      <c r="AM784" t="s">
        <v>1167</v>
      </c>
    </row>
    <row r="785" spans="1:39" hidden="1" x14ac:dyDescent="0.25">
      <c r="A785">
        <v>781</v>
      </c>
      <c r="B785">
        <v>17</v>
      </c>
      <c r="C785" s="24">
        <v>44545</v>
      </c>
      <c r="D785" s="238" t="s">
        <v>27</v>
      </c>
      <c r="E785" s="238" t="s">
        <v>6</v>
      </c>
      <c r="F785">
        <v>3</v>
      </c>
      <c r="G785">
        <v>13</v>
      </c>
      <c r="H785">
        <v>102</v>
      </c>
      <c r="I785" s="238" t="s">
        <v>42</v>
      </c>
      <c r="J785">
        <v>41.06</v>
      </c>
      <c r="K785" s="238" t="s">
        <v>38</v>
      </c>
      <c r="L785">
        <v>3454294.1</v>
      </c>
      <c r="M785">
        <v>0</v>
      </c>
      <c r="N785">
        <v>3454294.1</v>
      </c>
      <c r="O785">
        <v>84127.961519727221</v>
      </c>
      <c r="P785">
        <v>656960</v>
      </c>
      <c r="Q785">
        <v>2797334.1</v>
      </c>
      <c r="R785">
        <v>68127.961519727221</v>
      </c>
      <c r="S785" s="238" t="s">
        <v>137</v>
      </c>
      <c r="T785" s="238" t="s">
        <v>1167</v>
      </c>
      <c r="V785" t="s">
        <v>1167</v>
      </c>
      <c r="W785" s="24">
        <v>44544</v>
      </c>
      <c r="X785" s="238" t="s">
        <v>917</v>
      </c>
      <c r="Y785" s="238" t="s">
        <v>39</v>
      </c>
      <c r="Z785" s="238" t="s">
        <v>1340</v>
      </c>
      <c r="AA785" t="s">
        <v>1167</v>
      </c>
      <c r="AB785" s="238" t="s">
        <v>3246</v>
      </c>
      <c r="AC785" t="s">
        <v>3079</v>
      </c>
      <c r="AD785" s="24"/>
      <c r="AE785" s="238" t="s">
        <v>2622</v>
      </c>
      <c r="AF785">
        <v>79171469684</v>
      </c>
      <c r="AG785" s="238" t="s">
        <v>2623</v>
      </c>
      <c r="AH785" s="238" t="s">
        <v>1212</v>
      </c>
      <c r="AI785" s="238" t="s">
        <v>135</v>
      </c>
      <c r="AJ785" s="238" t="s">
        <v>120</v>
      </c>
      <c r="AK785" s="238" t="s">
        <v>141</v>
      </c>
      <c r="AL785" t="s">
        <v>8715</v>
      </c>
      <c r="AM785" t="s">
        <v>1167</v>
      </c>
    </row>
    <row r="786" spans="1:39" hidden="1" x14ac:dyDescent="0.25">
      <c r="A786">
        <v>782</v>
      </c>
      <c r="B786">
        <v>18</v>
      </c>
      <c r="C786" s="24">
        <v>44545</v>
      </c>
      <c r="D786" s="238" t="s">
        <v>27</v>
      </c>
      <c r="E786" s="238" t="s">
        <v>16</v>
      </c>
      <c r="F786">
        <v>2</v>
      </c>
      <c r="G786">
        <v>6</v>
      </c>
      <c r="H786">
        <v>425</v>
      </c>
      <c r="I786" s="238" t="s">
        <v>42</v>
      </c>
      <c r="J786">
        <v>37.159999999999997</v>
      </c>
      <c r="K786" s="238" t="s">
        <v>36</v>
      </c>
      <c r="L786">
        <v>2641706.2599999998</v>
      </c>
      <c r="M786">
        <v>0</v>
      </c>
      <c r="N786">
        <v>2641706.2599999998</v>
      </c>
      <c r="O786">
        <v>71090.050053821309</v>
      </c>
      <c r="P786">
        <v>0</v>
      </c>
      <c r="Q786">
        <v>2641706.2599999998</v>
      </c>
      <c r="R786">
        <v>71090.050053821309</v>
      </c>
      <c r="S786" s="238" t="s">
        <v>137</v>
      </c>
      <c r="T786" s="238" t="s">
        <v>1167</v>
      </c>
      <c r="V786" t="s">
        <v>1167</v>
      </c>
      <c r="W786" s="24">
        <v>44535</v>
      </c>
      <c r="X786" s="238" t="s">
        <v>915</v>
      </c>
      <c r="Y786" s="238" t="s">
        <v>39</v>
      </c>
      <c r="Z786" s="238" t="s">
        <v>1340</v>
      </c>
      <c r="AA786" t="s">
        <v>1167</v>
      </c>
      <c r="AB786" s="238" t="s">
        <v>3246</v>
      </c>
      <c r="AC786" t="s">
        <v>3079</v>
      </c>
      <c r="AD786" s="24"/>
      <c r="AE786" s="238" t="s">
        <v>2624</v>
      </c>
      <c r="AF786">
        <v>79015288125</v>
      </c>
      <c r="AG786" s="238" t="s">
        <v>1167</v>
      </c>
      <c r="AH786" s="238" t="s">
        <v>1212</v>
      </c>
      <c r="AI786" s="238" t="s">
        <v>135</v>
      </c>
      <c r="AJ786" s="238" t="s">
        <v>689</v>
      </c>
      <c r="AK786" s="238" t="s">
        <v>794</v>
      </c>
      <c r="AL786" t="s">
        <v>8715</v>
      </c>
      <c r="AM786" t="s">
        <v>1167</v>
      </c>
    </row>
    <row r="787" spans="1:39" hidden="1" x14ac:dyDescent="0.25">
      <c r="A787">
        <v>783</v>
      </c>
      <c r="B787">
        <v>19</v>
      </c>
      <c r="C787" s="24">
        <v>44546</v>
      </c>
      <c r="D787" s="238" t="s">
        <v>19</v>
      </c>
      <c r="E787" s="238" t="s">
        <v>5</v>
      </c>
      <c r="F787">
        <v>6</v>
      </c>
      <c r="G787">
        <v>4</v>
      </c>
      <c r="H787">
        <v>189</v>
      </c>
      <c r="I787" s="238" t="s">
        <v>43</v>
      </c>
      <c r="J787">
        <v>60.24</v>
      </c>
      <c r="K787" s="238" t="s">
        <v>36</v>
      </c>
      <c r="L787">
        <v>3066691.19</v>
      </c>
      <c r="M787">
        <v>0</v>
      </c>
      <c r="N787">
        <v>3066691.19</v>
      </c>
      <c r="O787">
        <v>50907.888280212479</v>
      </c>
      <c r="P787">
        <v>0</v>
      </c>
      <c r="Q787">
        <v>3066691.19</v>
      </c>
      <c r="R787">
        <v>50907.888280212479</v>
      </c>
      <c r="S787" s="238" t="s">
        <v>121</v>
      </c>
      <c r="T787" s="238" t="s">
        <v>1167</v>
      </c>
      <c r="V787" t="s">
        <v>1167</v>
      </c>
      <c r="W787" s="24">
        <v>44498</v>
      </c>
      <c r="X787" s="238" t="s">
        <v>922</v>
      </c>
      <c r="Y787" s="238" t="s">
        <v>39</v>
      </c>
      <c r="Z787" s="238" t="s">
        <v>1168</v>
      </c>
      <c r="AA787" t="s">
        <v>1167</v>
      </c>
      <c r="AB787" s="238" t="s">
        <v>3246</v>
      </c>
      <c r="AC787" t="s">
        <v>4246</v>
      </c>
      <c r="AD787" s="24"/>
      <c r="AE787" s="238" t="s">
        <v>2625</v>
      </c>
      <c r="AF787">
        <v>79272646062</v>
      </c>
      <c r="AG787" s="238" t="s">
        <v>2626</v>
      </c>
      <c r="AH787" s="238" t="s">
        <v>1171</v>
      </c>
      <c r="AI787" s="238" t="s">
        <v>3074</v>
      </c>
      <c r="AJ787" s="238" t="s">
        <v>120</v>
      </c>
      <c r="AK787" s="238" t="s">
        <v>1167</v>
      </c>
      <c r="AL787" t="s">
        <v>8715</v>
      </c>
      <c r="AM787" t="s">
        <v>3661</v>
      </c>
    </row>
    <row r="788" spans="1:39" hidden="1" x14ac:dyDescent="0.25">
      <c r="A788">
        <v>784</v>
      </c>
      <c r="B788">
        <v>20</v>
      </c>
      <c r="C788" s="24">
        <v>44546</v>
      </c>
      <c r="D788" s="238" t="s">
        <v>27</v>
      </c>
      <c r="E788" s="238" t="s">
        <v>14</v>
      </c>
      <c r="F788">
        <v>6</v>
      </c>
      <c r="G788">
        <v>6</v>
      </c>
      <c r="H788">
        <v>673</v>
      </c>
      <c r="I788" s="238" t="s">
        <v>43</v>
      </c>
      <c r="J788">
        <v>61.95</v>
      </c>
      <c r="K788" s="238" t="s">
        <v>37</v>
      </c>
      <c r="L788">
        <v>4193912.78</v>
      </c>
      <c r="M788">
        <v>0</v>
      </c>
      <c r="N788">
        <v>4193912.78</v>
      </c>
      <c r="O788">
        <v>67698.349959644867</v>
      </c>
      <c r="P788">
        <v>340725</v>
      </c>
      <c r="Q788">
        <v>3853187.78</v>
      </c>
      <c r="R788">
        <v>62198.349959644867</v>
      </c>
      <c r="S788" s="238" t="s">
        <v>121</v>
      </c>
      <c r="T788" s="238" t="s">
        <v>60</v>
      </c>
      <c r="U788">
        <v>340725</v>
      </c>
      <c r="V788" t="s">
        <v>1167</v>
      </c>
      <c r="W788" s="24">
        <v>44532</v>
      </c>
      <c r="X788" s="238" t="s">
        <v>919</v>
      </c>
      <c r="Y788" s="238" t="s">
        <v>39</v>
      </c>
      <c r="Z788" s="238" t="s">
        <v>1168</v>
      </c>
      <c r="AA788" t="s">
        <v>1167</v>
      </c>
      <c r="AB788" s="238" t="s">
        <v>3246</v>
      </c>
      <c r="AC788" t="s">
        <v>4246</v>
      </c>
      <c r="AD788" s="24"/>
      <c r="AE788" s="238" t="s">
        <v>2627</v>
      </c>
      <c r="AF788">
        <v>79276154530</v>
      </c>
      <c r="AG788" s="238" t="s">
        <v>2628</v>
      </c>
      <c r="AH788" s="238" t="s">
        <v>135</v>
      </c>
      <c r="AI788" s="238" t="s">
        <v>3084</v>
      </c>
      <c r="AJ788" s="238" t="s">
        <v>120</v>
      </c>
      <c r="AK788" s="238" t="s">
        <v>1167</v>
      </c>
      <c r="AL788" t="s">
        <v>8715</v>
      </c>
      <c r="AM788" t="s">
        <v>1167</v>
      </c>
    </row>
    <row r="789" spans="1:39" hidden="1" x14ac:dyDescent="0.25">
      <c r="A789">
        <v>785</v>
      </c>
      <c r="B789">
        <v>21</v>
      </c>
      <c r="C789" s="24">
        <v>44546</v>
      </c>
      <c r="D789" s="238" t="s">
        <v>27</v>
      </c>
      <c r="E789" s="238" t="s">
        <v>14</v>
      </c>
      <c r="F789">
        <v>4</v>
      </c>
      <c r="G789">
        <v>5</v>
      </c>
      <c r="H789">
        <v>662</v>
      </c>
      <c r="I789" s="238" t="s">
        <v>4052</v>
      </c>
      <c r="J789">
        <v>24.39</v>
      </c>
      <c r="K789" s="238" t="s">
        <v>37</v>
      </c>
      <c r="L789">
        <v>1908024.09</v>
      </c>
      <c r="M789">
        <v>0</v>
      </c>
      <c r="N789">
        <v>1908024.09</v>
      </c>
      <c r="O789">
        <v>78229.769987699881</v>
      </c>
      <c r="P789">
        <v>134145</v>
      </c>
      <c r="Q789">
        <v>1773879.09</v>
      </c>
      <c r="R789">
        <v>72729.769987699881</v>
      </c>
      <c r="S789" s="238" t="s">
        <v>121</v>
      </c>
      <c r="T789" s="238" t="s">
        <v>1167</v>
      </c>
      <c r="V789" t="s">
        <v>1167</v>
      </c>
      <c r="W789" s="24">
        <v>44540</v>
      </c>
      <c r="X789" s="238" t="s">
        <v>920</v>
      </c>
      <c r="Y789" s="238" t="s">
        <v>39</v>
      </c>
      <c r="Z789" s="238" t="s">
        <v>1168</v>
      </c>
      <c r="AA789" t="s">
        <v>1167</v>
      </c>
      <c r="AB789" s="238" t="s">
        <v>3246</v>
      </c>
      <c r="AC789" t="s">
        <v>4246</v>
      </c>
      <c r="AD789" s="24"/>
      <c r="AE789" s="238" t="s">
        <v>2629</v>
      </c>
      <c r="AF789">
        <v>79276032953</v>
      </c>
      <c r="AG789" s="238" t="s">
        <v>2630</v>
      </c>
      <c r="AH789" s="238" t="s">
        <v>1212</v>
      </c>
      <c r="AI789" s="238" t="s">
        <v>3074</v>
      </c>
      <c r="AJ789" s="238" t="s">
        <v>120</v>
      </c>
      <c r="AK789" s="238" t="s">
        <v>1167</v>
      </c>
      <c r="AL789" t="s">
        <v>8715</v>
      </c>
      <c r="AM789" t="s">
        <v>1167</v>
      </c>
    </row>
    <row r="790" spans="1:39" hidden="1" x14ac:dyDescent="0.25">
      <c r="A790">
        <v>786</v>
      </c>
      <c r="B790">
        <v>22</v>
      </c>
      <c r="C790" s="24">
        <v>44546</v>
      </c>
      <c r="D790" s="238" t="s">
        <v>27</v>
      </c>
      <c r="E790" s="238" t="s">
        <v>6</v>
      </c>
      <c r="F790">
        <v>3</v>
      </c>
      <c r="G790">
        <v>4</v>
      </c>
      <c r="H790">
        <v>21</v>
      </c>
      <c r="I790" s="238" t="s">
        <v>42</v>
      </c>
      <c r="J790">
        <v>41.06</v>
      </c>
      <c r="K790" s="238" t="s">
        <v>36</v>
      </c>
      <c r="L790">
        <v>2797334.1</v>
      </c>
      <c r="M790">
        <v>0</v>
      </c>
      <c r="N790">
        <v>2797334.1</v>
      </c>
      <c r="O790">
        <v>68127.961519727221</v>
      </c>
      <c r="P790">
        <v>0</v>
      </c>
      <c r="Q790">
        <v>2797334.1</v>
      </c>
      <c r="R790">
        <v>68127.961519727221</v>
      </c>
      <c r="S790" s="238" t="s">
        <v>124</v>
      </c>
      <c r="T790" s="238" t="s">
        <v>1167</v>
      </c>
      <c r="V790" t="s">
        <v>1167</v>
      </c>
      <c r="W790" s="24">
        <v>44543</v>
      </c>
      <c r="X790" s="238" t="s">
        <v>918</v>
      </c>
      <c r="Y790" s="238" t="s">
        <v>39</v>
      </c>
      <c r="Z790" s="238" t="s">
        <v>1168</v>
      </c>
      <c r="AA790" t="s">
        <v>1167</v>
      </c>
      <c r="AB790" s="238" t="s">
        <v>3246</v>
      </c>
      <c r="AC790" t="s">
        <v>4246</v>
      </c>
      <c r="AD790" s="24"/>
      <c r="AE790" s="238" t="s">
        <v>2631</v>
      </c>
      <c r="AG790" s="238" t="s">
        <v>2632</v>
      </c>
      <c r="AH790" s="238" t="s">
        <v>135</v>
      </c>
      <c r="AI790" s="238" t="s">
        <v>3075</v>
      </c>
      <c r="AJ790" s="238" t="s">
        <v>399</v>
      </c>
      <c r="AK790" s="238" t="s">
        <v>1167</v>
      </c>
      <c r="AL790" t="s">
        <v>8715</v>
      </c>
      <c r="AM790" t="s">
        <v>1167</v>
      </c>
    </row>
    <row r="791" spans="1:39" hidden="1" x14ac:dyDescent="0.25">
      <c r="A791">
        <v>787</v>
      </c>
      <c r="B791">
        <v>23</v>
      </c>
      <c r="C791" s="24">
        <v>44546</v>
      </c>
      <c r="D791" s="238" t="s">
        <v>27</v>
      </c>
      <c r="E791" s="238" t="s">
        <v>14</v>
      </c>
      <c r="F791">
        <v>3</v>
      </c>
      <c r="G791">
        <v>2</v>
      </c>
      <c r="H791">
        <v>634</v>
      </c>
      <c r="I791" s="238" t="s">
        <v>43</v>
      </c>
      <c r="J791">
        <v>56.33</v>
      </c>
      <c r="K791" s="238" t="s">
        <v>36</v>
      </c>
      <c r="L791">
        <v>3679642.9</v>
      </c>
      <c r="M791">
        <v>0</v>
      </c>
      <c r="N791">
        <v>3679642.9</v>
      </c>
      <c r="O791">
        <v>65322.969998224748</v>
      </c>
      <c r="P791">
        <v>0</v>
      </c>
      <c r="Q791">
        <v>3679642.9</v>
      </c>
      <c r="R791">
        <v>65322.969998224748</v>
      </c>
      <c r="S791" s="238" t="s">
        <v>137</v>
      </c>
      <c r="T791" s="238" t="s">
        <v>1167</v>
      </c>
      <c r="V791" t="s">
        <v>4091</v>
      </c>
      <c r="W791" s="24">
        <v>44536</v>
      </c>
      <c r="X791" s="238" t="s">
        <v>921</v>
      </c>
      <c r="Y791" s="238" t="s">
        <v>39</v>
      </c>
      <c r="Z791" s="238" t="s">
        <v>1340</v>
      </c>
      <c r="AA791" t="s">
        <v>1167</v>
      </c>
      <c r="AB791" s="238" t="s">
        <v>3246</v>
      </c>
      <c r="AC791" t="s">
        <v>3079</v>
      </c>
      <c r="AD791" s="24"/>
      <c r="AE791" s="238" t="s">
        <v>2633</v>
      </c>
      <c r="AF791">
        <v>79608397116</v>
      </c>
      <c r="AG791" s="238" t="s">
        <v>2634</v>
      </c>
      <c r="AH791" s="238" t="s">
        <v>1212</v>
      </c>
      <c r="AI791" s="238" t="s">
        <v>3105</v>
      </c>
      <c r="AJ791" s="238" t="s">
        <v>689</v>
      </c>
      <c r="AK791" s="238" t="s">
        <v>141</v>
      </c>
      <c r="AL791" t="s">
        <v>8715</v>
      </c>
      <c r="AM791" t="s">
        <v>1167</v>
      </c>
    </row>
    <row r="792" spans="1:39" hidden="1" x14ac:dyDescent="0.25">
      <c r="A792">
        <v>788</v>
      </c>
      <c r="B792">
        <v>24</v>
      </c>
      <c r="C792" s="24">
        <v>44547</v>
      </c>
      <c r="D792" s="238" t="s">
        <v>19</v>
      </c>
      <c r="E792" s="238" t="s">
        <v>6</v>
      </c>
      <c r="F792">
        <v>5</v>
      </c>
      <c r="G792">
        <v>9</v>
      </c>
      <c r="H792">
        <v>54</v>
      </c>
      <c r="I792" s="238" t="s">
        <v>42</v>
      </c>
      <c r="J792">
        <v>36.42</v>
      </c>
      <c r="K792" s="238" t="s">
        <v>37</v>
      </c>
      <c r="L792">
        <v>2403633.4</v>
      </c>
      <c r="M792">
        <v>0</v>
      </c>
      <c r="N792">
        <v>2403633.4</v>
      </c>
      <c r="O792">
        <v>65997.622185612301</v>
      </c>
      <c r="P792">
        <v>200310</v>
      </c>
      <c r="Q792">
        <v>2203323.4</v>
      </c>
      <c r="R792">
        <v>60497.622185612294</v>
      </c>
      <c r="S792" s="238" t="s">
        <v>137</v>
      </c>
      <c r="T792" s="238" t="s">
        <v>350</v>
      </c>
      <c r="U792">
        <v>280133.99</v>
      </c>
      <c r="V792" t="s">
        <v>4091</v>
      </c>
      <c r="W792" s="24">
        <v>44539</v>
      </c>
      <c r="X792" s="238" t="s">
        <v>923</v>
      </c>
      <c r="Y792" s="238" t="s">
        <v>39</v>
      </c>
      <c r="Z792" s="238" t="s">
        <v>1340</v>
      </c>
      <c r="AA792" t="s">
        <v>1167</v>
      </c>
      <c r="AB792" s="238" t="s">
        <v>3246</v>
      </c>
      <c r="AC792" t="s">
        <v>3079</v>
      </c>
      <c r="AD792" s="24"/>
      <c r="AE792" s="238" t="s">
        <v>2635</v>
      </c>
      <c r="AF792">
        <v>79871679611</v>
      </c>
      <c r="AG792" s="238" t="s">
        <v>2636</v>
      </c>
      <c r="AH792" s="238" t="s">
        <v>1764</v>
      </c>
      <c r="AI792" s="238" t="s">
        <v>3101</v>
      </c>
      <c r="AJ792" s="238" t="s">
        <v>130</v>
      </c>
      <c r="AK792" s="238" t="s">
        <v>141</v>
      </c>
      <c r="AL792" t="s">
        <v>8715</v>
      </c>
      <c r="AM792" t="s">
        <v>1167</v>
      </c>
    </row>
    <row r="793" spans="1:39" hidden="1" x14ac:dyDescent="0.25">
      <c r="A793">
        <v>789</v>
      </c>
      <c r="B793">
        <v>25</v>
      </c>
      <c r="C793" s="24">
        <v>44550</v>
      </c>
      <c r="D793" s="238" t="s">
        <v>27</v>
      </c>
      <c r="E793" s="238" t="s">
        <v>15</v>
      </c>
      <c r="F793">
        <v>7</v>
      </c>
      <c r="G793">
        <v>6</v>
      </c>
      <c r="H793">
        <v>550</v>
      </c>
      <c r="I793" s="238" t="s">
        <v>43</v>
      </c>
      <c r="J793">
        <v>59.93</v>
      </c>
      <c r="K793" s="238" t="s">
        <v>37</v>
      </c>
      <c r="L793">
        <v>4288825.54</v>
      </c>
      <c r="M793">
        <v>0</v>
      </c>
      <c r="N793">
        <v>4288825.54</v>
      </c>
      <c r="O793">
        <v>71563.91690305357</v>
      </c>
      <c r="P793">
        <v>329615</v>
      </c>
      <c r="Q793">
        <v>3959210.54</v>
      </c>
      <c r="R793">
        <v>66063.91690305357</v>
      </c>
      <c r="S793" s="238" t="s">
        <v>137</v>
      </c>
      <c r="T793" s="238" t="s">
        <v>1167</v>
      </c>
      <c r="V793" t="s">
        <v>4091</v>
      </c>
      <c r="W793" s="24">
        <v>44543</v>
      </c>
      <c r="X793" s="238" t="s">
        <v>924</v>
      </c>
      <c r="Y793" s="238" t="s">
        <v>39</v>
      </c>
      <c r="Z793" s="238" t="s">
        <v>1340</v>
      </c>
      <c r="AA793" t="s">
        <v>1167</v>
      </c>
      <c r="AB793" s="238" t="s">
        <v>3246</v>
      </c>
      <c r="AC793" t="s">
        <v>3079</v>
      </c>
      <c r="AD793" s="24"/>
      <c r="AE793" s="238" t="s">
        <v>2637</v>
      </c>
      <c r="AF793">
        <v>79603206363</v>
      </c>
      <c r="AG793" s="238" t="s">
        <v>2638</v>
      </c>
      <c r="AH793" s="238" t="s">
        <v>1212</v>
      </c>
      <c r="AI793" s="238" t="s">
        <v>135</v>
      </c>
      <c r="AJ793" s="238" t="s">
        <v>120</v>
      </c>
      <c r="AK793" s="238" t="s">
        <v>141</v>
      </c>
      <c r="AL793" t="s">
        <v>8715</v>
      </c>
      <c r="AM793" t="s">
        <v>1167</v>
      </c>
    </row>
    <row r="794" spans="1:39" hidden="1" x14ac:dyDescent="0.25">
      <c r="A794">
        <v>790</v>
      </c>
      <c r="B794">
        <v>26</v>
      </c>
      <c r="C794" s="24">
        <v>44550</v>
      </c>
      <c r="D794" s="238" t="s">
        <v>27</v>
      </c>
      <c r="E794" s="238" t="s">
        <v>6</v>
      </c>
      <c r="F794">
        <v>1</v>
      </c>
      <c r="G794">
        <v>17</v>
      </c>
      <c r="H794">
        <v>136</v>
      </c>
      <c r="I794" s="238" t="s">
        <v>44</v>
      </c>
      <c r="J794">
        <v>82.71</v>
      </c>
      <c r="K794" s="238" t="s">
        <v>37</v>
      </c>
      <c r="L794">
        <v>4912981.4400000004</v>
      </c>
      <c r="M794">
        <v>0</v>
      </c>
      <c r="N794">
        <v>4912981.4400000004</v>
      </c>
      <c r="O794">
        <v>59400.089952847309</v>
      </c>
      <c r="P794">
        <v>454905</v>
      </c>
      <c r="Q794">
        <v>4458076.4400000004</v>
      </c>
      <c r="R794">
        <v>53900.089952847309</v>
      </c>
      <c r="S794" s="238" t="s">
        <v>137</v>
      </c>
      <c r="T794" s="238" t="s">
        <v>60</v>
      </c>
      <c r="U794">
        <v>454905</v>
      </c>
      <c r="V794" t="s">
        <v>4091</v>
      </c>
      <c r="W794" s="24">
        <v>44544</v>
      </c>
      <c r="X794" s="238" t="s">
        <v>927</v>
      </c>
      <c r="Y794" s="238" t="s">
        <v>39</v>
      </c>
      <c r="Z794" s="238" t="s">
        <v>1340</v>
      </c>
      <c r="AA794" t="s">
        <v>1167</v>
      </c>
      <c r="AB794" s="238" t="s">
        <v>3246</v>
      </c>
      <c r="AC794" t="s">
        <v>3079</v>
      </c>
      <c r="AD794" s="24"/>
      <c r="AE794" s="238" t="s">
        <v>2639</v>
      </c>
      <c r="AF794">
        <v>79279014426</v>
      </c>
      <c r="AG794" s="238" t="s">
        <v>2640</v>
      </c>
      <c r="AH794" s="238" t="s">
        <v>135</v>
      </c>
      <c r="AI794" s="238" t="s">
        <v>3099</v>
      </c>
      <c r="AJ794" s="238" t="s">
        <v>399</v>
      </c>
      <c r="AK794" s="238" t="s">
        <v>141</v>
      </c>
      <c r="AL794" t="s">
        <v>8715</v>
      </c>
      <c r="AM794" t="s">
        <v>1167</v>
      </c>
    </row>
    <row r="795" spans="1:39" hidden="1" x14ac:dyDescent="0.25">
      <c r="A795">
        <v>791</v>
      </c>
      <c r="B795">
        <v>27</v>
      </c>
      <c r="C795" s="24">
        <v>44550</v>
      </c>
      <c r="D795" s="238" t="s">
        <v>19</v>
      </c>
      <c r="E795" s="238" t="s">
        <v>6</v>
      </c>
      <c r="F795">
        <v>5</v>
      </c>
      <c r="G795">
        <v>22</v>
      </c>
      <c r="H795">
        <v>145</v>
      </c>
      <c r="I795" s="238" t="s">
        <v>42</v>
      </c>
      <c r="J795">
        <v>36.42</v>
      </c>
      <c r="K795" s="238" t="s">
        <v>37</v>
      </c>
      <c r="L795">
        <v>3065573.57</v>
      </c>
      <c r="M795">
        <v>15000</v>
      </c>
      <c r="N795">
        <v>3080573.57</v>
      </c>
      <c r="O795">
        <v>84584.66694124107</v>
      </c>
      <c r="P795">
        <v>200310</v>
      </c>
      <c r="Q795">
        <v>2880263.57</v>
      </c>
      <c r="R795">
        <v>79084.66694124107</v>
      </c>
      <c r="S795" s="238" t="s">
        <v>137</v>
      </c>
      <c r="T795" s="238" t="s">
        <v>1167</v>
      </c>
      <c r="V795" t="s">
        <v>1167</v>
      </c>
      <c r="W795" s="24">
        <v>44546</v>
      </c>
      <c r="X795" s="238" t="s">
        <v>925</v>
      </c>
      <c r="Y795" s="238" t="s">
        <v>39</v>
      </c>
      <c r="Z795" s="238" t="s">
        <v>1340</v>
      </c>
      <c r="AA795" t="s">
        <v>1167</v>
      </c>
      <c r="AB795" s="238" t="s">
        <v>3246</v>
      </c>
      <c r="AC795" t="s">
        <v>3079</v>
      </c>
      <c r="AD795" s="24"/>
      <c r="AE795" s="238" t="s">
        <v>2641</v>
      </c>
      <c r="AF795">
        <v>79277016939</v>
      </c>
      <c r="AG795" s="238" t="s">
        <v>2642</v>
      </c>
      <c r="AH795" s="238" t="s">
        <v>1171</v>
      </c>
      <c r="AI795" s="238" t="s">
        <v>135</v>
      </c>
      <c r="AJ795" s="238" t="s">
        <v>120</v>
      </c>
      <c r="AK795" s="238" t="s">
        <v>141</v>
      </c>
      <c r="AL795" t="s">
        <v>8715</v>
      </c>
      <c r="AM795" t="s">
        <v>1167</v>
      </c>
    </row>
    <row r="796" spans="1:39" hidden="1" x14ac:dyDescent="0.25">
      <c r="A796">
        <v>792</v>
      </c>
      <c r="B796">
        <v>28</v>
      </c>
      <c r="C796" s="24">
        <v>44550</v>
      </c>
      <c r="D796" s="238" t="s">
        <v>27</v>
      </c>
      <c r="E796" s="238" t="s">
        <v>14</v>
      </c>
      <c r="F796">
        <v>6</v>
      </c>
      <c r="G796">
        <v>3</v>
      </c>
      <c r="H796">
        <v>646</v>
      </c>
      <c r="I796" s="238" t="s">
        <v>43</v>
      </c>
      <c r="J796">
        <v>61.95</v>
      </c>
      <c r="K796" s="238" t="s">
        <v>37</v>
      </c>
      <c r="L796">
        <v>4534637.99</v>
      </c>
      <c r="M796">
        <v>0</v>
      </c>
      <c r="N796">
        <v>4534637.99</v>
      </c>
      <c r="O796">
        <v>73198.353349475379</v>
      </c>
      <c r="P796">
        <v>340725</v>
      </c>
      <c r="Q796">
        <v>4193912.99</v>
      </c>
      <c r="R796">
        <v>67698.353349475379</v>
      </c>
      <c r="S796" s="238" t="s">
        <v>137</v>
      </c>
      <c r="T796" s="238" t="s">
        <v>1167</v>
      </c>
      <c r="V796" t="s">
        <v>4091</v>
      </c>
      <c r="W796" s="24">
        <v>44549</v>
      </c>
      <c r="X796" s="238" t="s">
        <v>926</v>
      </c>
      <c r="Y796" s="238" t="s">
        <v>39</v>
      </c>
      <c r="Z796" s="238" t="s">
        <v>1340</v>
      </c>
      <c r="AA796" t="s">
        <v>1167</v>
      </c>
      <c r="AB796" s="238" t="s">
        <v>3246</v>
      </c>
      <c r="AC796" t="s">
        <v>3079</v>
      </c>
      <c r="AD796" s="24"/>
      <c r="AE796" s="238" t="s">
        <v>2643</v>
      </c>
      <c r="AF796">
        <v>79270194214</v>
      </c>
      <c r="AG796" s="238" t="s">
        <v>2644</v>
      </c>
      <c r="AH796" s="238" t="s">
        <v>135</v>
      </c>
      <c r="AI796" s="238" t="s">
        <v>3075</v>
      </c>
      <c r="AJ796" s="238" t="s">
        <v>126</v>
      </c>
      <c r="AK796" s="238" t="s">
        <v>794</v>
      </c>
      <c r="AL796" t="s">
        <v>8715</v>
      </c>
      <c r="AM796" t="s">
        <v>1167</v>
      </c>
    </row>
    <row r="797" spans="1:39" hidden="1" x14ac:dyDescent="0.25">
      <c r="A797">
        <v>793</v>
      </c>
      <c r="B797">
        <v>29</v>
      </c>
      <c r="C797" s="24">
        <v>44551</v>
      </c>
      <c r="D797" s="238" t="s">
        <v>27</v>
      </c>
      <c r="E797" s="238" t="s">
        <v>13</v>
      </c>
      <c r="F797">
        <v>9</v>
      </c>
      <c r="G797">
        <v>7</v>
      </c>
      <c r="H797">
        <v>884</v>
      </c>
      <c r="I797" s="238" t="s">
        <v>4052</v>
      </c>
      <c r="J797">
        <v>23.09</v>
      </c>
      <c r="K797" s="238" t="s">
        <v>37</v>
      </c>
      <c r="L797">
        <v>1913802.64</v>
      </c>
      <c r="M797">
        <v>0</v>
      </c>
      <c r="N797">
        <v>1913802.64</v>
      </c>
      <c r="O797">
        <v>82884.479861411863</v>
      </c>
      <c r="P797">
        <v>126995</v>
      </c>
      <c r="Q797">
        <v>1786807.64</v>
      </c>
      <c r="R797">
        <v>77384.479861411863</v>
      </c>
      <c r="S797" s="238" t="s">
        <v>121</v>
      </c>
      <c r="T797" s="238" t="s">
        <v>1167</v>
      </c>
      <c r="V797" t="s">
        <v>1167</v>
      </c>
      <c r="W797" s="24">
        <v>44546</v>
      </c>
      <c r="X797" s="238" t="s">
        <v>930</v>
      </c>
      <c r="Y797" s="238" t="s">
        <v>39</v>
      </c>
      <c r="Z797" s="238" t="s">
        <v>1340</v>
      </c>
      <c r="AA797" t="s">
        <v>1167</v>
      </c>
      <c r="AB797" s="238" t="s">
        <v>3246</v>
      </c>
      <c r="AC797" t="s">
        <v>4246</v>
      </c>
      <c r="AD797" s="24"/>
      <c r="AE797" s="238" t="s">
        <v>2645</v>
      </c>
      <c r="AF797">
        <v>79277069587</v>
      </c>
      <c r="AG797" s="238" t="s">
        <v>2646</v>
      </c>
      <c r="AH797" s="238" t="s">
        <v>1212</v>
      </c>
      <c r="AI797" s="238" t="s">
        <v>135</v>
      </c>
      <c r="AJ797" s="238" t="s">
        <v>126</v>
      </c>
      <c r="AK797" s="238" t="s">
        <v>1167</v>
      </c>
      <c r="AL797" t="s">
        <v>8715</v>
      </c>
      <c r="AM797" t="s">
        <v>1167</v>
      </c>
    </row>
    <row r="798" spans="1:39" hidden="1" x14ac:dyDescent="0.25">
      <c r="A798">
        <v>794</v>
      </c>
      <c r="B798">
        <v>30</v>
      </c>
      <c r="C798" s="24">
        <v>44551</v>
      </c>
      <c r="D798" s="238" t="s">
        <v>27</v>
      </c>
      <c r="E798" s="238" t="s">
        <v>13</v>
      </c>
      <c r="F798">
        <v>6</v>
      </c>
      <c r="G798">
        <v>2</v>
      </c>
      <c r="H798">
        <v>836</v>
      </c>
      <c r="I798" s="238" t="s">
        <v>43</v>
      </c>
      <c r="J798">
        <v>54.28</v>
      </c>
      <c r="K798" s="238" t="s">
        <v>36</v>
      </c>
      <c r="L798">
        <v>3337327.44</v>
      </c>
      <c r="M798">
        <v>15000</v>
      </c>
      <c r="N798">
        <v>3352327.44</v>
      </c>
      <c r="O798">
        <v>61759.901252763448</v>
      </c>
      <c r="P798">
        <v>0</v>
      </c>
      <c r="Q798">
        <v>3352327.44</v>
      </c>
      <c r="R798">
        <v>61759.901252763448</v>
      </c>
      <c r="S798" s="238" t="s">
        <v>121</v>
      </c>
      <c r="T798" s="238" t="s">
        <v>1167</v>
      </c>
      <c r="V798" t="s">
        <v>1167</v>
      </c>
      <c r="W798" s="24">
        <v>44546</v>
      </c>
      <c r="X798" s="238" t="s">
        <v>929</v>
      </c>
      <c r="Y798" s="238" t="s">
        <v>39</v>
      </c>
      <c r="Z798" s="238" t="s">
        <v>1168</v>
      </c>
      <c r="AA798" t="s">
        <v>1167</v>
      </c>
      <c r="AB798" s="238" t="s">
        <v>3246</v>
      </c>
      <c r="AC798" t="s">
        <v>4246</v>
      </c>
      <c r="AD798" s="24"/>
      <c r="AE798" s="238" t="s">
        <v>2270</v>
      </c>
      <c r="AF798">
        <v>79372023755</v>
      </c>
      <c r="AG798" s="238" t="s">
        <v>2271</v>
      </c>
      <c r="AH798" s="238" t="s">
        <v>1171</v>
      </c>
      <c r="AI798" s="238" t="s">
        <v>3082</v>
      </c>
      <c r="AJ798" s="238" t="s">
        <v>126</v>
      </c>
      <c r="AK798" s="238" t="s">
        <v>1167</v>
      </c>
      <c r="AL798" t="s">
        <v>8715</v>
      </c>
      <c r="AM798" t="s">
        <v>1167</v>
      </c>
    </row>
    <row r="799" spans="1:39" hidden="1" x14ac:dyDescent="0.25">
      <c r="A799">
        <v>795</v>
      </c>
      <c r="B799">
        <v>31</v>
      </c>
      <c r="C799" s="24">
        <v>44551</v>
      </c>
      <c r="D799" s="238" t="s">
        <v>27</v>
      </c>
      <c r="E799" s="238" t="s">
        <v>14</v>
      </c>
      <c r="F799">
        <v>3</v>
      </c>
      <c r="G799">
        <v>10</v>
      </c>
      <c r="H799">
        <v>706</v>
      </c>
      <c r="I799" s="238" t="s">
        <v>43</v>
      </c>
      <c r="J799">
        <v>56.33</v>
      </c>
      <c r="K799" s="238" t="s">
        <v>37</v>
      </c>
      <c r="L799">
        <v>3947253.21</v>
      </c>
      <c r="M799">
        <v>0</v>
      </c>
      <c r="N799">
        <v>3947253.21</v>
      </c>
      <c r="O799">
        <v>70073.729984022721</v>
      </c>
      <c r="P799">
        <v>309815</v>
      </c>
      <c r="Q799">
        <v>3637438.21</v>
      </c>
      <c r="R799">
        <v>64573.729984022728</v>
      </c>
      <c r="S799" s="238" t="s">
        <v>137</v>
      </c>
      <c r="T799" s="238" t="s">
        <v>60</v>
      </c>
      <c r="U799">
        <v>309815</v>
      </c>
      <c r="V799" t="s">
        <v>4091</v>
      </c>
      <c r="W799" s="24">
        <v>44546</v>
      </c>
      <c r="X799" s="238" t="s">
        <v>928</v>
      </c>
      <c r="Y799" s="238" t="s">
        <v>39</v>
      </c>
      <c r="Z799" s="238" t="s">
        <v>1340</v>
      </c>
      <c r="AA799" t="s">
        <v>1167</v>
      </c>
      <c r="AB799" s="238" t="s">
        <v>3246</v>
      </c>
      <c r="AC799" t="s">
        <v>3079</v>
      </c>
      <c r="AD799" s="24"/>
      <c r="AE799" s="238" t="s">
        <v>2647</v>
      </c>
      <c r="AF799">
        <v>79271865161</v>
      </c>
      <c r="AG799" s="238" t="s">
        <v>2648</v>
      </c>
      <c r="AH799" s="238" t="s">
        <v>135</v>
      </c>
      <c r="AI799" s="238" t="s">
        <v>135</v>
      </c>
      <c r="AJ799" s="238" t="s">
        <v>126</v>
      </c>
      <c r="AK799" s="238" t="s">
        <v>794</v>
      </c>
      <c r="AL799" t="s">
        <v>8715</v>
      </c>
      <c r="AM799" t="s">
        <v>1167</v>
      </c>
    </row>
    <row r="800" spans="1:39" hidden="1" x14ac:dyDescent="0.25">
      <c r="A800">
        <v>796</v>
      </c>
      <c r="B800">
        <v>32</v>
      </c>
      <c r="C800" s="24">
        <v>44553</v>
      </c>
      <c r="D800" s="238" t="s">
        <v>19</v>
      </c>
      <c r="E800" s="238" t="s">
        <v>5</v>
      </c>
      <c r="F800">
        <v>5</v>
      </c>
      <c r="G800">
        <v>3</v>
      </c>
      <c r="H800">
        <v>177</v>
      </c>
      <c r="I800" s="238" t="s">
        <v>43</v>
      </c>
      <c r="J800">
        <v>60.19</v>
      </c>
      <c r="K800" s="238" t="s">
        <v>36</v>
      </c>
      <c r="L800">
        <v>3935754.31</v>
      </c>
      <c r="M800">
        <v>0</v>
      </c>
      <c r="N800">
        <v>3935754.31</v>
      </c>
      <c r="O800">
        <v>65388.840505067288</v>
      </c>
      <c r="P800">
        <v>0</v>
      </c>
      <c r="Q800">
        <v>3935754.31</v>
      </c>
      <c r="R800">
        <v>65388.840505067288</v>
      </c>
      <c r="S800" s="238" t="s">
        <v>137</v>
      </c>
      <c r="T800" s="238" t="s">
        <v>1167</v>
      </c>
      <c r="V800" t="s">
        <v>4091</v>
      </c>
      <c r="W800" s="24">
        <v>44540</v>
      </c>
      <c r="X800" s="238" t="s">
        <v>932</v>
      </c>
      <c r="Y800" s="238" t="s">
        <v>39</v>
      </c>
      <c r="Z800" s="238" t="s">
        <v>1340</v>
      </c>
      <c r="AA800" t="s">
        <v>1167</v>
      </c>
      <c r="AB800" s="238" t="s">
        <v>3246</v>
      </c>
      <c r="AC800" t="s">
        <v>3079</v>
      </c>
      <c r="AD800" s="24"/>
      <c r="AE800" s="238" t="s">
        <v>2649</v>
      </c>
      <c r="AF800">
        <v>79608121878</v>
      </c>
      <c r="AG800" s="238" t="s">
        <v>2412</v>
      </c>
      <c r="AH800" s="238" t="s">
        <v>1212</v>
      </c>
      <c r="AI800" s="238" t="s">
        <v>3082</v>
      </c>
      <c r="AJ800" s="238" t="s">
        <v>120</v>
      </c>
      <c r="AK800" s="238" t="s">
        <v>141</v>
      </c>
      <c r="AL800" t="s">
        <v>8715</v>
      </c>
      <c r="AM800" t="s">
        <v>1167</v>
      </c>
    </row>
    <row r="801" spans="1:39" hidden="1" x14ac:dyDescent="0.25">
      <c r="A801">
        <v>797</v>
      </c>
      <c r="B801">
        <v>33</v>
      </c>
      <c r="C801" s="24">
        <v>44553</v>
      </c>
      <c r="D801" s="238" t="s">
        <v>27</v>
      </c>
      <c r="E801" s="238" t="s">
        <v>5</v>
      </c>
      <c r="F801">
        <v>4</v>
      </c>
      <c r="G801">
        <v>18</v>
      </c>
      <c r="H801">
        <v>339</v>
      </c>
      <c r="I801" s="238" t="s">
        <v>42</v>
      </c>
      <c r="J801">
        <v>40</v>
      </c>
      <c r="K801" s="238" t="s">
        <v>37</v>
      </c>
      <c r="L801">
        <v>3253175.33</v>
      </c>
      <c r="M801">
        <v>0</v>
      </c>
      <c r="N801">
        <v>3253175.33</v>
      </c>
      <c r="O801">
        <v>81329.383249999999</v>
      </c>
      <c r="P801">
        <v>220000</v>
      </c>
      <c r="Q801">
        <v>3033175.33</v>
      </c>
      <c r="R801">
        <v>75829.383249999999</v>
      </c>
      <c r="S801" s="238" t="s">
        <v>124</v>
      </c>
      <c r="T801" s="238" t="s">
        <v>1167</v>
      </c>
      <c r="V801" t="s">
        <v>1167</v>
      </c>
      <c r="W801" s="24">
        <v>44549</v>
      </c>
      <c r="X801" s="238" t="s">
        <v>935</v>
      </c>
      <c r="Y801" s="238" t="s">
        <v>39</v>
      </c>
      <c r="Z801" s="238" t="s">
        <v>1340</v>
      </c>
      <c r="AA801" t="s">
        <v>3474</v>
      </c>
      <c r="AB801" s="238" t="s">
        <v>3246</v>
      </c>
      <c r="AC801" t="s">
        <v>4246</v>
      </c>
      <c r="AD801" s="24"/>
      <c r="AE801" s="238" t="s">
        <v>2650</v>
      </c>
      <c r="AF801">
        <v>79178180602</v>
      </c>
      <c r="AG801" s="238" t="s">
        <v>2651</v>
      </c>
      <c r="AH801" s="238" t="s">
        <v>1171</v>
      </c>
      <c r="AI801" s="238" t="s">
        <v>135</v>
      </c>
      <c r="AJ801" s="238" t="s">
        <v>130</v>
      </c>
      <c r="AK801" s="238" t="s">
        <v>1167</v>
      </c>
      <c r="AL801" t="s">
        <v>8715</v>
      </c>
      <c r="AM801" t="s">
        <v>1167</v>
      </c>
    </row>
    <row r="802" spans="1:39" hidden="1" x14ac:dyDescent="0.25">
      <c r="A802">
        <v>798</v>
      </c>
      <c r="B802">
        <v>34</v>
      </c>
      <c r="C802" s="24">
        <v>44553</v>
      </c>
      <c r="D802" s="238" t="s">
        <v>19</v>
      </c>
      <c r="E802" s="238" t="s">
        <v>6</v>
      </c>
      <c r="F802">
        <v>1</v>
      </c>
      <c r="G802">
        <v>9</v>
      </c>
      <c r="H802">
        <v>50</v>
      </c>
      <c r="I802" s="238" t="s">
        <v>43</v>
      </c>
      <c r="J802">
        <v>59.52</v>
      </c>
      <c r="K802" s="238" t="s">
        <v>37</v>
      </c>
      <c r="L802">
        <v>4735504.7</v>
      </c>
      <c r="M802">
        <v>0</v>
      </c>
      <c r="N802">
        <v>4735504.7</v>
      </c>
      <c r="O802">
        <v>79561.570900537627</v>
      </c>
      <c r="P802">
        <v>327360</v>
      </c>
      <c r="Q802">
        <v>4408144.7</v>
      </c>
      <c r="R802">
        <v>74061.570900537627</v>
      </c>
      <c r="S802" s="238" t="s">
        <v>137</v>
      </c>
      <c r="T802" s="238" t="s">
        <v>1167</v>
      </c>
      <c r="V802" t="s">
        <v>1167</v>
      </c>
      <c r="W802" s="24">
        <v>44549</v>
      </c>
      <c r="X802" s="238" t="s">
        <v>931</v>
      </c>
      <c r="Y802" s="238" t="s">
        <v>39</v>
      </c>
      <c r="Z802" s="238" t="s">
        <v>1340</v>
      </c>
      <c r="AA802" t="s">
        <v>1167</v>
      </c>
      <c r="AB802" s="238" t="s">
        <v>3246</v>
      </c>
      <c r="AC802" t="s">
        <v>3076</v>
      </c>
      <c r="AD802" s="24"/>
      <c r="AE802" s="238" t="s">
        <v>2652</v>
      </c>
      <c r="AF802">
        <v>79292933662</v>
      </c>
      <c r="AG802" s="238" t="s">
        <v>2653</v>
      </c>
      <c r="AH802" s="238" t="s">
        <v>1212</v>
      </c>
      <c r="AI802" s="238" t="s">
        <v>3084</v>
      </c>
      <c r="AJ802" s="238" t="s">
        <v>130</v>
      </c>
      <c r="AK802" s="238" t="s">
        <v>141</v>
      </c>
      <c r="AL802" t="s">
        <v>8715</v>
      </c>
      <c r="AM802" t="s">
        <v>1167</v>
      </c>
    </row>
    <row r="803" spans="1:39" hidden="1" x14ac:dyDescent="0.25">
      <c r="A803">
        <v>799</v>
      </c>
      <c r="B803">
        <v>35</v>
      </c>
      <c r="C803" s="24">
        <v>44553</v>
      </c>
      <c r="D803" s="238" t="s">
        <v>27</v>
      </c>
      <c r="E803" s="238" t="s">
        <v>5</v>
      </c>
      <c r="F803">
        <v>2</v>
      </c>
      <c r="G803">
        <v>3</v>
      </c>
      <c r="H803">
        <v>217</v>
      </c>
      <c r="I803" s="238" t="s">
        <v>42</v>
      </c>
      <c r="J803">
        <v>37.159999999999997</v>
      </c>
      <c r="K803" s="238" t="s">
        <v>38</v>
      </c>
      <c r="L803">
        <v>3236266.26</v>
      </c>
      <c r="M803">
        <v>0</v>
      </c>
      <c r="N803">
        <v>3236266.26</v>
      </c>
      <c r="O803">
        <v>87090.050053821309</v>
      </c>
      <c r="P803">
        <v>594560</v>
      </c>
      <c r="Q803">
        <v>2641706.2599999998</v>
      </c>
      <c r="R803">
        <v>71090.050053821309</v>
      </c>
      <c r="S803" s="238" t="s">
        <v>137</v>
      </c>
      <c r="T803" s="238" t="s">
        <v>1167</v>
      </c>
      <c r="V803" t="s">
        <v>1167</v>
      </c>
      <c r="W803" s="24">
        <v>44551</v>
      </c>
      <c r="X803" s="238" t="s">
        <v>933</v>
      </c>
      <c r="Y803" s="238" t="s">
        <v>39</v>
      </c>
      <c r="Z803" s="238" t="s">
        <v>1340</v>
      </c>
      <c r="AA803" t="s">
        <v>1167</v>
      </c>
      <c r="AB803" s="238" t="s">
        <v>3246</v>
      </c>
      <c r="AC803" t="s">
        <v>3079</v>
      </c>
      <c r="AD803" s="24"/>
      <c r="AE803" s="238" t="s">
        <v>2654</v>
      </c>
      <c r="AF803">
        <v>79649874348</v>
      </c>
      <c r="AG803" s="238" t="s">
        <v>2655</v>
      </c>
      <c r="AH803" s="238" t="s">
        <v>1212</v>
      </c>
      <c r="AI803" s="238" t="s">
        <v>135</v>
      </c>
      <c r="AJ803" s="238" t="s">
        <v>120</v>
      </c>
      <c r="AK803" s="238" t="s">
        <v>141</v>
      </c>
      <c r="AL803" t="s">
        <v>8715</v>
      </c>
      <c r="AM803" t="s">
        <v>1167</v>
      </c>
    </row>
    <row r="804" spans="1:39" hidden="1" x14ac:dyDescent="0.25">
      <c r="A804">
        <v>800</v>
      </c>
      <c r="B804">
        <v>36</v>
      </c>
      <c r="C804" s="24">
        <v>44553</v>
      </c>
      <c r="D804" s="238" t="s">
        <v>27</v>
      </c>
      <c r="E804" s="238" t="s">
        <v>5</v>
      </c>
      <c r="F804">
        <v>2</v>
      </c>
      <c r="G804">
        <v>17</v>
      </c>
      <c r="H804">
        <v>329</v>
      </c>
      <c r="I804" s="238" t="s">
        <v>42</v>
      </c>
      <c r="J804">
        <v>37.159999999999997</v>
      </c>
      <c r="K804" s="238" t="s">
        <v>37</v>
      </c>
      <c r="L804">
        <v>2846086.26</v>
      </c>
      <c r="M804">
        <v>0</v>
      </c>
      <c r="N804">
        <v>2846086.26</v>
      </c>
      <c r="O804">
        <v>76590.050053821309</v>
      </c>
      <c r="P804">
        <v>204380</v>
      </c>
      <c r="Q804">
        <v>2641706.2599999998</v>
      </c>
      <c r="R804">
        <v>71090.050053821309</v>
      </c>
      <c r="S804" s="238" t="s">
        <v>121</v>
      </c>
      <c r="T804" s="238" t="s">
        <v>1167</v>
      </c>
      <c r="V804" t="s">
        <v>1167</v>
      </c>
      <c r="W804" s="24">
        <v>44551</v>
      </c>
      <c r="X804" s="238" t="s">
        <v>934</v>
      </c>
      <c r="Y804" s="238" t="s">
        <v>39</v>
      </c>
      <c r="Z804" s="238" t="s">
        <v>1340</v>
      </c>
      <c r="AA804" t="s">
        <v>1167</v>
      </c>
      <c r="AB804" s="238" t="s">
        <v>3246</v>
      </c>
      <c r="AC804" t="s">
        <v>4246</v>
      </c>
      <c r="AD804" s="24"/>
      <c r="AE804" s="238" t="s">
        <v>2656</v>
      </c>
      <c r="AF804">
        <v>79053016610</v>
      </c>
      <c r="AG804" s="238" t="s">
        <v>2657</v>
      </c>
      <c r="AH804" s="238" t="s">
        <v>1212</v>
      </c>
      <c r="AI804" s="238" t="s">
        <v>135</v>
      </c>
      <c r="AJ804" s="238" t="s">
        <v>399</v>
      </c>
      <c r="AK804" s="238" t="s">
        <v>1167</v>
      </c>
      <c r="AL804" t="s">
        <v>8715</v>
      </c>
      <c r="AM804" t="s">
        <v>1167</v>
      </c>
    </row>
    <row r="805" spans="1:39" hidden="1" x14ac:dyDescent="0.25">
      <c r="A805">
        <v>801</v>
      </c>
      <c r="B805">
        <v>37</v>
      </c>
      <c r="C805" s="24">
        <v>44554</v>
      </c>
      <c r="D805" s="238" t="s">
        <v>27</v>
      </c>
      <c r="E805" s="238" t="s">
        <v>14</v>
      </c>
      <c r="F805">
        <v>4</v>
      </c>
      <c r="G805">
        <v>6</v>
      </c>
      <c r="H805">
        <v>671</v>
      </c>
      <c r="I805" s="238" t="s">
        <v>4052</v>
      </c>
      <c r="J805">
        <v>24.39</v>
      </c>
      <c r="K805" s="238" t="s">
        <v>36</v>
      </c>
      <c r="L805">
        <v>1887407.47</v>
      </c>
      <c r="M805">
        <v>0</v>
      </c>
      <c r="N805">
        <v>1887407.47</v>
      </c>
      <c r="O805">
        <v>77384.480114801147</v>
      </c>
      <c r="P805">
        <v>0</v>
      </c>
      <c r="Q805">
        <v>1887407.47</v>
      </c>
      <c r="R805">
        <v>77384.480114801147</v>
      </c>
      <c r="S805" s="238" t="s">
        <v>137</v>
      </c>
      <c r="T805" s="238" t="s">
        <v>1167</v>
      </c>
      <c r="V805" t="s">
        <v>1167</v>
      </c>
      <c r="W805" s="24">
        <v>44540</v>
      </c>
      <c r="X805" s="238" t="s">
        <v>943</v>
      </c>
      <c r="Y805" s="238" t="s">
        <v>39</v>
      </c>
      <c r="Z805" s="238" t="s">
        <v>1340</v>
      </c>
      <c r="AA805" t="s">
        <v>3474</v>
      </c>
      <c r="AB805" s="238" t="s">
        <v>3246</v>
      </c>
      <c r="AC805" t="s">
        <v>3112</v>
      </c>
      <c r="AD805" s="24"/>
      <c r="AE805" s="238" t="s">
        <v>1602</v>
      </c>
      <c r="AF805">
        <v>79068140909</v>
      </c>
      <c r="AG805" s="238" t="s">
        <v>1603</v>
      </c>
      <c r="AH805" s="238" t="s">
        <v>1212</v>
      </c>
      <c r="AI805" s="238" t="s">
        <v>3074</v>
      </c>
      <c r="AJ805" s="238" t="s">
        <v>120</v>
      </c>
      <c r="AK805" s="238" t="s">
        <v>141</v>
      </c>
      <c r="AL805" t="s">
        <v>8715</v>
      </c>
      <c r="AM805" t="s">
        <v>1167</v>
      </c>
    </row>
    <row r="806" spans="1:39" hidden="1" x14ac:dyDescent="0.25">
      <c r="A806">
        <v>802</v>
      </c>
      <c r="B806">
        <v>38</v>
      </c>
      <c r="C806" s="24">
        <v>44554</v>
      </c>
      <c r="D806" s="238" t="s">
        <v>27</v>
      </c>
      <c r="E806" s="238" t="s">
        <v>13</v>
      </c>
      <c r="F806">
        <v>5</v>
      </c>
      <c r="G806">
        <v>6</v>
      </c>
      <c r="H806">
        <v>871</v>
      </c>
      <c r="I806" s="238" t="s">
        <v>42</v>
      </c>
      <c r="J806">
        <v>37.270000000000003</v>
      </c>
      <c r="K806" s="238" t="s">
        <v>36</v>
      </c>
      <c r="L806">
        <v>2666085.6</v>
      </c>
      <c r="M806">
        <v>0</v>
      </c>
      <c r="N806">
        <v>2666085.6</v>
      </c>
      <c r="O806">
        <v>71534.36007512745</v>
      </c>
      <c r="P806">
        <v>0</v>
      </c>
      <c r="Q806">
        <v>2666085.6</v>
      </c>
      <c r="R806">
        <v>71534.36007512745</v>
      </c>
      <c r="S806" s="238" t="s">
        <v>137</v>
      </c>
      <c r="T806" s="238" t="s">
        <v>1167</v>
      </c>
      <c r="V806" t="s">
        <v>1167</v>
      </c>
      <c r="W806" s="24">
        <v>44540</v>
      </c>
      <c r="X806" s="238" t="s">
        <v>942</v>
      </c>
      <c r="Y806" s="238" t="s">
        <v>39</v>
      </c>
      <c r="Z806" s="238" t="s">
        <v>1340</v>
      </c>
      <c r="AA806" t="s">
        <v>3474</v>
      </c>
      <c r="AB806" s="238" t="s">
        <v>3246</v>
      </c>
      <c r="AC806" t="s">
        <v>3112</v>
      </c>
      <c r="AD806" s="24"/>
      <c r="AE806" s="238" t="s">
        <v>1602</v>
      </c>
      <c r="AF806">
        <v>79068140909</v>
      </c>
      <c r="AG806" s="238" t="s">
        <v>1603</v>
      </c>
      <c r="AH806" s="238" t="s">
        <v>1197</v>
      </c>
      <c r="AI806" s="238" t="s">
        <v>3074</v>
      </c>
      <c r="AJ806" s="238" t="s">
        <v>120</v>
      </c>
      <c r="AK806" s="238" t="s">
        <v>141</v>
      </c>
      <c r="AL806" t="s">
        <v>8715</v>
      </c>
      <c r="AM806" t="s">
        <v>1167</v>
      </c>
    </row>
    <row r="807" spans="1:39" hidden="1" x14ac:dyDescent="0.25">
      <c r="A807">
        <v>803</v>
      </c>
      <c r="B807">
        <v>39</v>
      </c>
      <c r="C807" s="24">
        <v>44554</v>
      </c>
      <c r="D807" s="238" t="s">
        <v>27</v>
      </c>
      <c r="E807" s="238" t="s">
        <v>13</v>
      </c>
      <c r="F807">
        <v>5</v>
      </c>
      <c r="G807">
        <v>10</v>
      </c>
      <c r="H807">
        <v>907</v>
      </c>
      <c r="I807" s="238" t="s">
        <v>42</v>
      </c>
      <c r="J807">
        <v>37.270000000000003</v>
      </c>
      <c r="K807" s="238" t="s">
        <v>37</v>
      </c>
      <c r="L807">
        <v>2871070.58</v>
      </c>
      <c r="M807">
        <v>0</v>
      </c>
      <c r="N807">
        <v>2871070.58</v>
      </c>
      <c r="O807">
        <v>77034.359538502817</v>
      </c>
      <c r="P807">
        <v>204985</v>
      </c>
      <c r="Q807">
        <v>2666085.58</v>
      </c>
      <c r="R807">
        <v>71534.359538502817</v>
      </c>
      <c r="S807" s="238" t="s">
        <v>137</v>
      </c>
      <c r="T807" s="238" t="s">
        <v>1167</v>
      </c>
      <c r="V807" t="s">
        <v>1167</v>
      </c>
      <c r="W807" s="24">
        <v>44540</v>
      </c>
      <c r="X807" s="238" t="s">
        <v>944</v>
      </c>
      <c r="Y807" s="238" t="s">
        <v>39</v>
      </c>
      <c r="Z807" s="238" t="s">
        <v>1340</v>
      </c>
      <c r="AA807" t="s">
        <v>3474</v>
      </c>
      <c r="AB807" s="238" t="s">
        <v>3246</v>
      </c>
      <c r="AC807" t="s">
        <v>3112</v>
      </c>
      <c r="AD807" s="24"/>
      <c r="AE807" s="238" t="s">
        <v>1602</v>
      </c>
      <c r="AF807">
        <v>79068140909</v>
      </c>
      <c r="AG807" s="238" t="s">
        <v>1603</v>
      </c>
      <c r="AH807" s="238" t="s">
        <v>1197</v>
      </c>
      <c r="AI807" s="238" t="s">
        <v>3074</v>
      </c>
      <c r="AJ807" s="238" t="s">
        <v>120</v>
      </c>
      <c r="AK807" s="238" t="s">
        <v>141</v>
      </c>
      <c r="AL807" t="s">
        <v>8715</v>
      </c>
      <c r="AM807" t="s">
        <v>1167</v>
      </c>
    </row>
    <row r="808" spans="1:39" hidden="1" x14ac:dyDescent="0.25">
      <c r="A808">
        <v>804</v>
      </c>
      <c r="B808">
        <v>40</v>
      </c>
      <c r="C808" s="24">
        <v>44554</v>
      </c>
      <c r="D808" s="238" t="s">
        <v>27</v>
      </c>
      <c r="E808" s="238" t="s">
        <v>13</v>
      </c>
      <c r="F808">
        <v>6</v>
      </c>
      <c r="G808">
        <v>10</v>
      </c>
      <c r="H808">
        <v>908</v>
      </c>
      <c r="I808" s="238" t="s">
        <v>43</v>
      </c>
      <c r="J808">
        <v>54.28</v>
      </c>
      <c r="K808" s="238" t="s">
        <v>37</v>
      </c>
      <c r="L808">
        <v>3610198.78</v>
      </c>
      <c r="M808">
        <v>0</v>
      </c>
      <c r="N808">
        <v>3610198.78</v>
      </c>
      <c r="O808">
        <v>66510.662859248332</v>
      </c>
      <c r="P808">
        <v>298540</v>
      </c>
      <c r="Q808">
        <v>3311658.78</v>
      </c>
      <c r="R808">
        <v>61010.662859248339</v>
      </c>
      <c r="S808" s="238" t="s">
        <v>137</v>
      </c>
      <c r="T808" s="238" t="s">
        <v>60</v>
      </c>
      <c r="U808">
        <v>298540</v>
      </c>
      <c r="V808" t="s">
        <v>4091</v>
      </c>
      <c r="W808" s="24">
        <v>44547</v>
      </c>
      <c r="X808" s="238" t="s">
        <v>937</v>
      </c>
      <c r="Y808" s="238" t="s">
        <v>39</v>
      </c>
      <c r="Z808" s="238" t="s">
        <v>1340</v>
      </c>
      <c r="AA808" t="s">
        <v>1167</v>
      </c>
      <c r="AB808" s="238" t="s">
        <v>3246</v>
      </c>
      <c r="AC808" t="s">
        <v>3079</v>
      </c>
      <c r="AD808" s="24"/>
      <c r="AE808" s="238" t="s">
        <v>1602</v>
      </c>
      <c r="AF808">
        <v>79068140909</v>
      </c>
      <c r="AG808" s="238" t="s">
        <v>1603</v>
      </c>
      <c r="AH808" s="238" t="s">
        <v>1197</v>
      </c>
      <c r="AI808" s="238" t="s">
        <v>3082</v>
      </c>
      <c r="AJ808" s="238" t="s">
        <v>120</v>
      </c>
      <c r="AK808" s="238" t="s">
        <v>141</v>
      </c>
      <c r="AL808" t="s">
        <v>8715</v>
      </c>
      <c r="AM808" t="s">
        <v>1167</v>
      </c>
    </row>
    <row r="809" spans="1:39" hidden="1" x14ac:dyDescent="0.25">
      <c r="A809">
        <v>805</v>
      </c>
      <c r="B809">
        <v>41</v>
      </c>
      <c r="C809" s="24">
        <v>44554</v>
      </c>
      <c r="D809" s="238" t="s">
        <v>19</v>
      </c>
      <c r="E809" s="238" t="s">
        <v>6</v>
      </c>
      <c r="F809">
        <v>2</v>
      </c>
      <c r="G809">
        <v>6</v>
      </c>
      <c r="H809">
        <v>30</v>
      </c>
      <c r="I809" s="238" t="s">
        <v>43</v>
      </c>
      <c r="J809">
        <v>58.99</v>
      </c>
      <c r="K809" s="238" t="s">
        <v>37</v>
      </c>
      <c r="L809">
        <v>4552383.9800000004</v>
      </c>
      <c r="M809">
        <v>0</v>
      </c>
      <c r="N809">
        <v>4552383.9800000004</v>
      </c>
      <c r="O809">
        <v>77172.130530598413</v>
      </c>
      <c r="P809">
        <v>324445</v>
      </c>
      <c r="Q809">
        <v>4227938.9800000004</v>
      </c>
      <c r="R809">
        <v>71672.130530598413</v>
      </c>
      <c r="S809" s="238" t="s">
        <v>137</v>
      </c>
      <c r="T809" s="238" t="s">
        <v>1167</v>
      </c>
      <c r="V809" t="s">
        <v>1167</v>
      </c>
      <c r="W809" s="24">
        <v>44547</v>
      </c>
      <c r="X809" s="238" t="s">
        <v>940</v>
      </c>
      <c r="Y809" s="238" t="s">
        <v>39</v>
      </c>
      <c r="Z809" s="238" t="s">
        <v>1340</v>
      </c>
      <c r="AA809" t="s">
        <v>3474</v>
      </c>
      <c r="AB809" s="238" t="s">
        <v>3246</v>
      </c>
      <c r="AC809" t="s">
        <v>3076</v>
      </c>
      <c r="AD809" s="24"/>
      <c r="AE809" s="238" t="s">
        <v>2658</v>
      </c>
      <c r="AF809">
        <v>79277078975</v>
      </c>
      <c r="AG809" s="238" t="s">
        <v>2659</v>
      </c>
      <c r="AH809" s="238" t="s">
        <v>1171</v>
      </c>
      <c r="AI809" s="238" t="s">
        <v>135</v>
      </c>
      <c r="AJ809" s="238" t="s">
        <v>126</v>
      </c>
      <c r="AK809" s="238" t="s">
        <v>141</v>
      </c>
      <c r="AL809" t="s">
        <v>8715</v>
      </c>
      <c r="AM809" t="s">
        <v>1167</v>
      </c>
    </row>
    <row r="810" spans="1:39" hidden="1" x14ac:dyDescent="0.25">
      <c r="A810">
        <v>806</v>
      </c>
      <c r="B810">
        <v>42</v>
      </c>
      <c r="C810" s="24">
        <v>44554</v>
      </c>
      <c r="D810" s="238" t="s">
        <v>27</v>
      </c>
      <c r="E810" s="238" t="s">
        <v>15</v>
      </c>
      <c r="F810">
        <v>8</v>
      </c>
      <c r="G810">
        <v>15</v>
      </c>
      <c r="H810">
        <v>623</v>
      </c>
      <c r="I810" s="238" t="s">
        <v>43</v>
      </c>
      <c r="J810">
        <v>55.8</v>
      </c>
      <c r="K810" s="238" t="s">
        <v>37</v>
      </c>
      <c r="L810">
        <v>3879568.66</v>
      </c>
      <c r="M810">
        <v>0</v>
      </c>
      <c r="N810">
        <v>3879568.66</v>
      </c>
      <c r="O810">
        <v>69526.320071684589</v>
      </c>
      <c r="P810">
        <v>306900</v>
      </c>
      <c r="Q810">
        <v>3572668.66</v>
      </c>
      <c r="R810">
        <v>64026.320071684597</v>
      </c>
      <c r="S810" s="238" t="s">
        <v>137</v>
      </c>
      <c r="T810" s="238" t="s">
        <v>1167</v>
      </c>
      <c r="V810" t="s">
        <v>4091</v>
      </c>
      <c r="W810" s="24">
        <v>44551</v>
      </c>
      <c r="X810" s="238" t="s">
        <v>945</v>
      </c>
      <c r="Y810" s="238" t="s">
        <v>39</v>
      </c>
      <c r="Z810" s="238" t="s">
        <v>1340</v>
      </c>
      <c r="AA810" t="s">
        <v>1167</v>
      </c>
      <c r="AB810" s="238" t="s">
        <v>3246</v>
      </c>
      <c r="AC810" t="s">
        <v>3079</v>
      </c>
      <c r="AD810" s="24"/>
      <c r="AE810" s="238" t="s">
        <v>2660</v>
      </c>
      <c r="AF810">
        <v>79677202265</v>
      </c>
      <c r="AG810" s="238" t="s">
        <v>2661</v>
      </c>
      <c r="AH810" s="238" t="s">
        <v>1212</v>
      </c>
      <c r="AI810" s="238" t="s">
        <v>135</v>
      </c>
      <c r="AJ810" s="238" t="s">
        <v>120</v>
      </c>
      <c r="AK810" s="238" t="s">
        <v>141</v>
      </c>
      <c r="AL810" t="s">
        <v>8715</v>
      </c>
      <c r="AM810" t="s">
        <v>1167</v>
      </c>
    </row>
    <row r="811" spans="1:39" hidden="1" x14ac:dyDescent="0.25">
      <c r="A811">
        <v>807</v>
      </c>
      <c r="B811">
        <v>43</v>
      </c>
      <c r="C811" s="24">
        <v>44554</v>
      </c>
      <c r="D811" s="238" t="s">
        <v>27</v>
      </c>
      <c r="E811" s="238" t="s">
        <v>14</v>
      </c>
      <c r="F811">
        <v>3</v>
      </c>
      <c r="G811">
        <v>14</v>
      </c>
      <c r="H811">
        <v>742</v>
      </c>
      <c r="I811" s="238" t="s">
        <v>43</v>
      </c>
      <c r="J811">
        <v>56.33</v>
      </c>
      <c r="K811" s="238" t="s">
        <v>37</v>
      </c>
      <c r="L811">
        <v>4654636.9000000004</v>
      </c>
      <c r="M811">
        <v>0</v>
      </c>
      <c r="N811">
        <v>4654636.9000000004</v>
      </c>
      <c r="O811">
        <v>82631.579975146466</v>
      </c>
      <c r="P811">
        <v>309815</v>
      </c>
      <c r="Q811">
        <v>4344821.9000000004</v>
      </c>
      <c r="R811">
        <v>77131.579975146466</v>
      </c>
      <c r="S811" s="238" t="s">
        <v>137</v>
      </c>
      <c r="T811" s="238" t="s">
        <v>1167</v>
      </c>
      <c r="V811" t="s">
        <v>4091</v>
      </c>
      <c r="W811" s="24">
        <v>44551</v>
      </c>
      <c r="X811" s="238" t="s">
        <v>939</v>
      </c>
      <c r="Y811" s="238" t="s">
        <v>39</v>
      </c>
      <c r="Z811" s="238" t="s">
        <v>1340</v>
      </c>
      <c r="AA811" t="s">
        <v>1167</v>
      </c>
      <c r="AB811" s="238" t="s">
        <v>3246</v>
      </c>
      <c r="AC811" t="s">
        <v>3079</v>
      </c>
      <c r="AD811" s="24"/>
      <c r="AE811" s="238" t="s">
        <v>2662</v>
      </c>
      <c r="AF811">
        <v>79376522103</v>
      </c>
      <c r="AG811" s="238" t="s">
        <v>2663</v>
      </c>
      <c r="AH811" s="238" t="s">
        <v>1171</v>
      </c>
      <c r="AI811" s="238" t="s">
        <v>3074</v>
      </c>
      <c r="AJ811" s="238" t="s">
        <v>130</v>
      </c>
      <c r="AK811" s="238" t="s">
        <v>794</v>
      </c>
      <c r="AL811" t="s">
        <v>8715</v>
      </c>
      <c r="AM811" t="s">
        <v>1167</v>
      </c>
    </row>
    <row r="812" spans="1:39" hidden="1" x14ac:dyDescent="0.25">
      <c r="A812">
        <v>808</v>
      </c>
      <c r="B812">
        <v>44</v>
      </c>
      <c r="C812" s="24">
        <v>44554</v>
      </c>
      <c r="D812" s="238" t="s">
        <v>19</v>
      </c>
      <c r="E812" s="238" t="s">
        <v>5</v>
      </c>
      <c r="F812">
        <v>2</v>
      </c>
      <c r="G812">
        <v>6</v>
      </c>
      <c r="H812">
        <v>207</v>
      </c>
      <c r="I812" s="238" t="s">
        <v>42</v>
      </c>
      <c r="J812">
        <v>38.22</v>
      </c>
      <c r="K812" s="238" t="s">
        <v>37</v>
      </c>
      <c r="L812">
        <v>3457261.99</v>
      </c>
      <c r="M812">
        <v>0</v>
      </c>
      <c r="N812">
        <v>3457261.99</v>
      </c>
      <c r="O812">
        <v>90456.880952380961</v>
      </c>
      <c r="P812">
        <v>210210</v>
      </c>
      <c r="Q812">
        <v>3247051.99</v>
      </c>
      <c r="R812">
        <v>84956.880952380961</v>
      </c>
      <c r="S812" s="238" t="s">
        <v>137</v>
      </c>
      <c r="T812" s="238" t="s">
        <v>1167</v>
      </c>
      <c r="V812" t="s">
        <v>1167</v>
      </c>
      <c r="W812" s="24">
        <v>44554</v>
      </c>
      <c r="X812" s="238" t="s">
        <v>938</v>
      </c>
      <c r="Y812" s="238" t="s">
        <v>39</v>
      </c>
      <c r="Z812" s="238" t="s">
        <v>1340</v>
      </c>
      <c r="AA812" t="s">
        <v>1167</v>
      </c>
      <c r="AB812" s="238" t="s">
        <v>3246</v>
      </c>
      <c r="AC812" t="s">
        <v>3079</v>
      </c>
      <c r="AD812" s="24"/>
      <c r="AE812" s="238" t="s">
        <v>2664</v>
      </c>
      <c r="AF812">
        <v>79171282835</v>
      </c>
      <c r="AG812" s="238" t="s">
        <v>2665</v>
      </c>
      <c r="AH812" s="238" t="s">
        <v>1171</v>
      </c>
      <c r="AI812" s="238" t="s">
        <v>6406</v>
      </c>
      <c r="AJ812" s="238" t="s">
        <v>126</v>
      </c>
      <c r="AK812" s="238" t="s">
        <v>141</v>
      </c>
      <c r="AL812" t="s">
        <v>57</v>
      </c>
      <c r="AM812" t="s">
        <v>1167</v>
      </c>
    </row>
    <row r="813" spans="1:39" hidden="1" x14ac:dyDescent="0.25">
      <c r="A813">
        <v>809</v>
      </c>
      <c r="B813">
        <v>45</v>
      </c>
      <c r="C813" s="24">
        <v>44554</v>
      </c>
      <c r="D813" s="238" t="s">
        <v>19</v>
      </c>
      <c r="E813" s="238" t="s">
        <v>5</v>
      </c>
      <c r="F813">
        <v>1</v>
      </c>
      <c r="G813">
        <v>3</v>
      </c>
      <c r="H813">
        <v>173</v>
      </c>
      <c r="I813" s="238" t="s">
        <v>42</v>
      </c>
      <c r="J813">
        <v>38.83</v>
      </c>
      <c r="K813" s="238" t="s">
        <v>37</v>
      </c>
      <c r="L813">
        <v>3400981.23</v>
      </c>
      <c r="M813">
        <v>0</v>
      </c>
      <c r="N813">
        <v>3400981.23</v>
      </c>
      <c r="O813">
        <v>87586.433942827716</v>
      </c>
      <c r="P813">
        <v>213565</v>
      </c>
      <c r="Q813">
        <v>3187416.23</v>
      </c>
      <c r="R813">
        <v>82086.433942827716</v>
      </c>
      <c r="S813" s="238" t="s">
        <v>137</v>
      </c>
      <c r="T813" s="238" t="s">
        <v>1167</v>
      </c>
      <c r="V813" t="s">
        <v>1167</v>
      </c>
      <c r="W813" s="24">
        <v>44554</v>
      </c>
      <c r="X813" s="238" t="s">
        <v>941</v>
      </c>
      <c r="Y813" s="238" t="s">
        <v>39</v>
      </c>
      <c r="Z813" s="238" t="s">
        <v>1340</v>
      </c>
      <c r="AA813" t="s">
        <v>1167</v>
      </c>
      <c r="AB813" s="238" t="s">
        <v>3246</v>
      </c>
      <c r="AC813" t="s">
        <v>3079</v>
      </c>
      <c r="AD813" s="24"/>
      <c r="AE813" s="238" t="s">
        <v>2647</v>
      </c>
      <c r="AF813">
        <v>79271865161</v>
      </c>
      <c r="AG813" s="238" t="s">
        <v>2648</v>
      </c>
      <c r="AH813" s="238" t="s">
        <v>1197</v>
      </c>
      <c r="AI813" s="238" t="s">
        <v>135</v>
      </c>
      <c r="AJ813" s="238" t="s">
        <v>126</v>
      </c>
      <c r="AK813" s="238" t="s">
        <v>794</v>
      </c>
      <c r="AL813" t="s">
        <v>8715</v>
      </c>
      <c r="AM813" t="s">
        <v>1167</v>
      </c>
    </row>
    <row r="814" spans="1:39" hidden="1" x14ac:dyDescent="0.25">
      <c r="A814">
        <v>810</v>
      </c>
      <c r="B814">
        <v>46</v>
      </c>
      <c r="C814" s="24">
        <v>44554</v>
      </c>
      <c r="D814" s="238" t="s">
        <v>19</v>
      </c>
      <c r="E814" s="238" t="s">
        <v>5</v>
      </c>
      <c r="F814">
        <v>2</v>
      </c>
      <c r="G814">
        <v>2</v>
      </c>
      <c r="H814">
        <v>163</v>
      </c>
      <c r="I814" s="238" t="s">
        <v>42</v>
      </c>
      <c r="J814">
        <v>38.22</v>
      </c>
      <c r="K814" s="238" t="s">
        <v>38</v>
      </c>
      <c r="L814">
        <v>3748863.5</v>
      </c>
      <c r="M814">
        <v>0</v>
      </c>
      <c r="N814">
        <v>3748863.5</v>
      </c>
      <c r="O814">
        <v>98086.433804290951</v>
      </c>
      <c r="P814">
        <v>611520</v>
      </c>
      <c r="Q814">
        <v>3137343.5</v>
      </c>
      <c r="R814">
        <v>82086.433804290951</v>
      </c>
      <c r="S814" s="238" t="s">
        <v>121</v>
      </c>
      <c r="T814" s="238" t="s">
        <v>1167</v>
      </c>
      <c r="V814" t="s">
        <v>1167</v>
      </c>
      <c r="W814" s="24">
        <v>44545</v>
      </c>
      <c r="X814" s="238" t="s">
        <v>936</v>
      </c>
      <c r="Y814" s="238" t="s">
        <v>39</v>
      </c>
      <c r="Z814" s="238" t="s">
        <v>1168</v>
      </c>
      <c r="AA814" t="s">
        <v>1167</v>
      </c>
      <c r="AB814" s="238" t="s">
        <v>3246</v>
      </c>
      <c r="AC814" t="s">
        <v>4246</v>
      </c>
      <c r="AD814" s="24"/>
      <c r="AE814" s="238" t="s">
        <v>2666</v>
      </c>
      <c r="AF814">
        <v>79272623562</v>
      </c>
      <c r="AG814" s="238" t="s">
        <v>2667</v>
      </c>
      <c r="AH814" s="238" t="s">
        <v>135</v>
      </c>
      <c r="AI814" s="238" t="s">
        <v>3075</v>
      </c>
      <c r="AJ814" s="238" t="s">
        <v>689</v>
      </c>
      <c r="AK814" s="238" t="s">
        <v>1167</v>
      </c>
      <c r="AL814" t="s">
        <v>8715</v>
      </c>
      <c r="AM814" t="s">
        <v>1167</v>
      </c>
    </row>
    <row r="815" spans="1:39" hidden="1" x14ac:dyDescent="0.25">
      <c r="A815">
        <v>811</v>
      </c>
      <c r="B815">
        <v>47</v>
      </c>
      <c r="C815" s="24">
        <v>44557</v>
      </c>
      <c r="D815" s="238" t="s">
        <v>27</v>
      </c>
      <c r="E815" s="238" t="s">
        <v>16</v>
      </c>
      <c r="F815">
        <v>6</v>
      </c>
      <c r="G815">
        <v>2</v>
      </c>
      <c r="H815">
        <v>397</v>
      </c>
      <c r="I815" s="238" t="s">
        <v>42</v>
      </c>
      <c r="J815">
        <v>37.11</v>
      </c>
      <c r="K815" s="238" t="s">
        <v>37</v>
      </c>
      <c r="L815">
        <v>2732333.6</v>
      </c>
      <c r="M815">
        <v>0</v>
      </c>
      <c r="N815">
        <v>2732333.6</v>
      </c>
      <c r="O815">
        <v>73627.960118566421</v>
      </c>
      <c r="P815">
        <v>204105</v>
      </c>
      <c r="Q815">
        <v>2528228.6</v>
      </c>
      <c r="R815">
        <v>68127.960118566421</v>
      </c>
      <c r="S815" s="238" t="s">
        <v>137</v>
      </c>
      <c r="T815" s="238" t="s">
        <v>1167</v>
      </c>
      <c r="V815" t="s">
        <v>1167</v>
      </c>
      <c r="W815" s="24">
        <v>44553</v>
      </c>
      <c r="X815" s="238" t="s">
        <v>947</v>
      </c>
      <c r="Y815" s="238" t="s">
        <v>39</v>
      </c>
      <c r="Z815" s="238" t="s">
        <v>1340</v>
      </c>
      <c r="AA815" t="s">
        <v>1167</v>
      </c>
      <c r="AB815" s="238" t="s">
        <v>3246</v>
      </c>
      <c r="AC815" t="s">
        <v>3079</v>
      </c>
      <c r="AD815" s="24"/>
      <c r="AE815" s="238" t="s">
        <v>2668</v>
      </c>
      <c r="AF815">
        <v>79371748391</v>
      </c>
      <c r="AG815" s="238" t="s">
        <v>2669</v>
      </c>
      <c r="AH815" s="238" t="s">
        <v>1212</v>
      </c>
      <c r="AI815" s="238" t="s">
        <v>135</v>
      </c>
      <c r="AJ815" s="238" t="s">
        <v>126</v>
      </c>
      <c r="AK815" s="238" t="s">
        <v>794</v>
      </c>
      <c r="AL815" t="s">
        <v>8715</v>
      </c>
      <c r="AM815" t="s">
        <v>1167</v>
      </c>
    </row>
    <row r="816" spans="1:39" hidden="1" x14ac:dyDescent="0.25">
      <c r="A816">
        <v>812</v>
      </c>
      <c r="B816">
        <v>48</v>
      </c>
      <c r="C816" s="24">
        <v>44557</v>
      </c>
      <c r="D816" s="238" t="s">
        <v>19</v>
      </c>
      <c r="E816" s="238" t="s">
        <v>6</v>
      </c>
      <c r="F816">
        <v>5</v>
      </c>
      <c r="G816">
        <v>17</v>
      </c>
      <c r="H816">
        <v>110</v>
      </c>
      <c r="I816" s="238" t="s">
        <v>42</v>
      </c>
      <c r="J816">
        <v>36.42</v>
      </c>
      <c r="K816" s="238" t="s">
        <v>36</v>
      </c>
      <c r="L816">
        <v>2861571.88</v>
      </c>
      <c r="M816">
        <v>0</v>
      </c>
      <c r="N816">
        <v>2861571.88</v>
      </c>
      <c r="O816">
        <v>78571.440966501919</v>
      </c>
      <c r="P816">
        <v>0</v>
      </c>
      <c r="Q816">
        <v>2861571.88</v>
      </c>
      <c r="R816">
        <v>78571.440966501919</v>
      </c>
      <c r="S816" s="238" t="s">
        <v>137</v>
      </c>
      <c r="T816" s="238" t="s">
        <v>1167</v>
      </c>
      <c r="V816" t="s">
        <v>4091</v>
      </c>
      <c r="W816" s="24">
        <v>44557</v>
      </c>
      <c r="X816" s="238" t="s">
        <v>946</v>
      </c>
      <c r="Y816" s="238" t="s">
        <v>39</v>
      </c>
      <c r="Z816" s="238" t="s">
        <v>1340</v>
      </c>
      <c r="AA816" t="s">
        <v>1167</v>
      </c>
      <c r="AB816" s="238" t="s">
        <v>3246</v>
      </c>
      <c r="AC816" t="s">
        <v>3079</v>
      </c>
      <c r="AD816" s="24"/>
      <c r="AE816" s="238" t="s">
        <v>2670</v>
      </c>
      <c r="AF816">
        <v>79228887905</v>
      </c>
      <c r="AG816" s="238" t="s">
        <v>2671</v>
      </c>
      <c r="AH816" s="238" t="s">
        <v>135</v>
      </c>
      <c r="AI816" s="238" t="s">
        <v>3099</v>
      </c>
      <c r="AJ816" s="238" t="s">
        <v>126</v>
      </c>
      <c r="AK816" s="238" t="s">
        <v>141</v>
      </c>
      <c r="AL816" t="s">
        <v>8715</v>
      </c>
      <c r="AM816" t="s">
        <v>1167</v>
      </c>
    </row>
    <row r="817" spans="1:39" hidden="1" x14ac:dyDescent="0.25">
      <c r="A817">
        <v>813</v>
      </c>
      <c r="B817">
        <v>49</v>
      </c>
      <c r="C817" s="24">
        <v>44558</v>
      </c>
      <c r="D817" s="238" t="s">
        <v>19</v>
      </c>
      <c r="E817" s="238" t="s">
        <v>5</v>
      </c>
      <c r="F817">
        <v>4</v>
      </c>
      <c r="G817">
        <v>9</v>
      </c>
      <c r="H817">
        <v>242</v>
      </c>
      <c r="I817" s="238" t="s">
        <v>42</v>
      </c>
      <c r="J817">
        <v>37.89</v>
      </c>
      <c r="K817" s="238" t="s">
        <v>37</v>
      </c>
      <c r="L817">
        <v>3256339.68</v>
      </c>
      <c r="M817">
        <v>0</v>
      </c>
      <c r="N817">
        <v>3256339.68</v>
      </c>
      <c r="O817">
        <v>85941.928741092634</v>
      </c>
      <c r="P817">
        <v>208395</v>
      </c>
      <c r="Q817">
        <v>3047944.68</v>
      </c>
      <c r="R817">
        <v>80441.928741092634</v>
      </c>
      <c r="S817" s="238" t="s">
        <v>137</v>
      </c>
      <c r="T817" s="238" t="s">
        <v>1167</v>
      </c>
      <c r="V817" t="s">
        <v>1167</v>
      </c>
      <c r="W817" s="24">
        <v>44553</v>
      </c>
      <c r="X817" s="238" t="s">
        <v>948</v>
      </c>
      <c r="Y817" s="238" t="s">
        <v>39</v>
      </c>
      <c r="Z817" s="238" t="s">
        <v>1340</v>
      </c>
      <c r="AA817" t="s">
        <v>1167</v>
      </c>
      <c r="AB817" s="238" t="s">
        <v>3246</v>
      </c>
      <c r="AC817" t="s">
        <v>3079</v>
      </c>
      <c r="AD817" s="24"/>
      <c r="AE817" s="238" t="s">
        <v>2672</v>
      </c>
      <c r="AF817">
        <v>79270022965</v>
      </c>
      <c r="AG817" s="238" t="s">
        <v>2673</v>
      </c>
      <c r="AH817" s="238" t="s">
        <v>146</v>
      </c>
      <c r="AI817" s="238" t="s">
        <v>135</v>
      </c>
      <c r="AJ817" s="238" t="s">
        <v>126</v>
      </c>
      <c r="AK817" s="238" t="s">
        <v>141</v>
      </c>
      <c r="AL817" t="s">
        <v>8715</v>
      </c>
      <c r="AM817" t="s">
        <v>1167</v>
      </c>
    </row>
    <row r="818" spans="1:39" hidden="1" x14ac:dyDescent="0.25">
      <c r="A818">
        <v>814</v>
      </c>
      <c r="B818">
        <v>50</v>
      </c>
      <c r="C818" s="24">
        <v>44558</v>
      </c>
      <c r="D818" s="238" t="s">
        <v>27</v>
      </c>
      <c r="E818" s="238" t="s">
        <v>5</v>
      </c>
      <c r="F818">
        <v>5</v>
      </c>
      <c r="G818">
        <v>17</v>
      </c>
      <c r="H818">
        <v>332</v>
      </c>
      <c r="I818" s="238" t="s">
        <v>4052</v>
      </c>
      <c r="J818">
        <v>23.63</v>
      </c>
      <c r="K818" s="238" t="s">
        <v>38</v>
      </c>
      <c r="L818">
        <v>2206675.2599999998</v>
      </c>
      <c r="M818">
        <v>0</v>
      </c>
      <c r="N818">
        <v>2206675.2599999998</v>
      </c>
      <c r="O818">
        <v>93384.479898434191</v>
      </c>
      <c r="P818">
        <v>378080</v>
      </c>
      <c r="Q818">
        <v>1828595.2599999998</v>
      </c>
      <c r="R818">
        <v>77384.479898434191</v>
      </c>
      <c r="S818" s="238" t="s">
        <v>137</v>
      </c>
      <c r="T818" s="238" t="s">
        <v>1167</v>
      </c>
      <c r="V818" t="s">
        <v>1167</v>
      </c>
      <c r="W818" s="24">
        <v>44553</v>
      </c>
      <c r="X818" s="238" t="s">
        <v>952</v>
      </c>
      <c r="Y818" s="238" t="s">
        <v>39</v>
      </c>
      <c r="Z818" s="238" t="s">
        <v>1340</v>
      </c>
      <c r="AA818" t="s">
        <v>1167</v>
      </c>
      <c r="AB818" s="238" t="s">
        <v>3246</v>
      </c>
      <c r="AC818" t="s">
        <v>3079</v>
      </c>
      <c r="AD818" s="24"/>
      <c r="AE818" s="238" t="s">
        <v>2674</v>
      </c>
      <c r="AF818">
        <v>79608189291</v>
      </c>
      <c r="AG818" s="238" t="s">
        <v>2675</v>
      </c>
      <c r="AH818" s="238" t="s">
        <v>1212</v>
      </c>
      <c r="AI818" s="238" t="s">
        <v>135</v>
      </c>
      <c r="AJ818" s="238" t="s">
        <v>120</v>
      </c>
      <c r="AK818" s="238" t="s">
        <v>141</v>
      </c>
      <c r="AL818" t="s">
        <v>8715</v>
      </c>
      <c r="AM818" t="s">
        <v>1167</v>
      </c>
    </row>
    <row r="819" spans="1:39" hidden="1" x14ac:dyDescent="0.25">
      <c r="A819">
        <v>815</v>
      </c>
      <c r="B819">
        <v>51</v>
      </c>
      <c r="C819" s="24">
        <v>44558</v>
      </c>
      <c r="D819" s="238" t="s">
        <v>27</v>
      </c>
      <c r="E819" s="238" t="s">
        <v>6</v>
      </c>
      <c r="F819">
        <v>8</v>
      </c>
      <c r="G819">
        <v>4</v>
      </c>
      <c r="H819">
        <v>26</v>
      </c>
      <c r="I819" s="238" t="s">
        <v>42</v>
      </c>
      <c r="J819">
        <v>37.69</v>
      </c>
      <c r="K819" s="238" t="s">
        <v>36</v>
      </c>
      <c r="L819">
        <v>2664383.86</v>
      </c>
      <c r="M819">
        <v>15000</v>
      </c>
      <c r="N819">
        <v>2679383.86</v>
      </c>
      <c r="O819">
        <v>71090.046696736536</v>
      </c>
      <c r="P819">
        <v>0</v>
      </c>
      <c r="Q819">
        <v>2679383.86</v>
      </c>
      <c r="R819">
        <v>71090.046696736536</v>
      </c>
      <c r="S819" s="238" t="s">
        <v>124</v>
      </c>
      <c r="T819" s="238" t="s">
        <v>1167</v>
      </c>
      <c r="V819" t="s">
        <v>1167</v>
      </c>
      <c r="W819" s="24">
        <v>44553</v>
      </c>
      <c r="X819" s="238" t="s">
        <v>951</v>
      </c>
      <c r="Y819" s="238" t="s">
        <v>39</v>
      </c>
      <c r="Z819" s="238" t="s">
        <v>1340</v>
      </c>
      <c r="AA819" t="s">
        <v>3474</v>
      </c>
      <c r="AB819" s="238" t="s">
        <v>3246</v>
      </c>
      <c r="AC819" t="s">
        <v>4246</v>
      </c>
      <c r="AD819" s="24"/>
      <c r="AE819" s="238" t="s">
        <v>1330</v>
      </c>
      <c r="AF819">
        <v>79053004535</v>
      </c>
      <c r="AG819" s="238" t="s">
        <v>1331</v>
      </c>
      <c r="AH819" s="238" t="s">
        <v>1212</v>
      </c>
      <c r="AI819" s="238" t="s">
        <v>3082</v>
      </c>
      <c r="AJ819" s="238" t="s">
        <v>120</v>
      </c>
      <c r="AK819" s="238" t="s">
        <v>1167</v>
      </c>
      <c r="AL819" t="s">
        <v>8715</v>
      </c>
      <c r="AM819" t="s">
        <v>1167</v>
      </c>
    </row>
    <row r="820" spans="1:39" hidden="1" x14ac:dyDescent="0.25">
      <c r="A820">
        <v>816</v>
      </c>
      <c r="B820">
        <v>52</v>
      </c>
      <c r="C820" s="24">
        <v>44558</v>
      </c>
      <c r="D820" s="238" t="s">
        <v>19</v>
      </c>
      <c r="E820" s="238" t="s">
        <v>5</v>
      </c>
      <c r="F820">
        <v>7</v>
      </c>
      <c r="G820">
        <v>12</v>
      </c>
      <c r="H820">
        <v>278</v>
      </c>
      <c r="I820" s="238" t="s">
        <v>4052</v>
      </c>
      <c r="J820">
        <v>24.23</v>
      </c>
      <c r="K820" s="238" t="s">
        <v>38</v>
      </c>
      <c r="L820">
        <v>2513211.69</v>
      </c>
      <c r="M820">
        <v>0</v>
      </c>
      <c r="N820">
        <v>2513211.69</v>
      </c>
      <c r="O820">
        <v>103723.14032191498</v>
      </c>
      <c r="P820">
        <v>387680</v>
      </c>
      <c r="Q820">
        <v>2125531.69</v>
      </c>
      <c r="R820">
        <v>87723.14032191498</v>
      </c>
      <c r="S820" s="238" t="s">
        <v>137</v>
      </c>
      <c r="T820" s="238" t="s">
        <v>1167</v>
      </c>
      <c r="V820" t="s">
        <v>1167</v>
      </c>
      <c r="W820" s="24">
        <v>44554</v>
      </c>
      <c r="X820" s="238" t="s">
        <v>950</v>
      </c>
      <c r="Y820" s="238" t="s">
        <v>39</v>
      </c>
      <c r="Z820" s="238" t="s">
        <v>1340</v>
      </c>
      <c r="AA820" t="s">
        <v>1167</v>
      </c>
      <c r="AB820" s="238" t="s">
        <v>3246</v>
      </c>
      <c r="AC820" t="s">
        <v>3079</v>
      </c>
      <c r="AD820" s="24"/>
      <c r="AE820" s="238" t="s">
        <v>2676</v>
      </c>
      <c r="AF820">
        <v>79276851212</v>
      </c>
      <c r="AG820" s="238" t="s">
        <v>2677</v>
      </c>
      <c r="AH820" s="238" t="s">
        <v>1212</v>
      </c>
      <c r="AI820" s="238" t="s">
        <v>3082</v>
      </c>
      <c r="AJ820" s="238" t="s">
        <v>130</v>
      </c>
      <c r="AK820" s="238" t="s">
        <v>141</v>
      </c>
      <c r="AL820" t="s">
        <v>8715</v>
      </c>
      <c r="AM820" t="s">
        <v>1167</v>
      </c>
    </row>
    <row r="821" spans="1:39" hidden="1" x14ac:dyDescent="0.25">
      <c r="A821">
        <v>817</v>
      </c>
      <c r="B821">
        <v>53</v>
      </c>
      <c r="C821" s="24">
        <v>44558</v>
      </c>
      <c r="D821" s="238" t="s">
        <v>27</v>
      </c>
      <c r="E821" s="238" t="s">
        <v>5</v>
      </c>
      <c r="F821">
        <v>4</v>
      </c>
      <c r="G821">
        <v>13</v>
      </c>
      <c r="H821">
        <v>299</v>
      </c>
      <c r="I821" s="238" t="s">
        <v>42</v>
      </c>
      <c r="J821">
        <v>40</v>
      </c>
      <c r="K821" s="238" t="s">
        <v>37</v>
      </c>
      <c r="L821">
        <v>3063602</v>
      </c>
      <c r="M821">
        <v>0</v>
      </c>
      <c r="N821">
        <v>3063602</v>
      </c>
      <c r="O821">
        <v>76590.05</v>
      </c>
      <c r="P821">
        <v>220000</v>
      </c>
      <c r="Q821">
        <v>2843602</v>
      </c>
      <c r="R821">
        <v>71090.05</v>
      </c>
      <c r="S821" s="238" t="s">
        <v>137</v>
      </c>
      <c r="T821" s="238" t="s">
        <v>1167</v>
      </c>
      <c r="V821" t="s">
        <v>1167</v>
      </c>
      <c r="W821" s="24">
        <v>44554</v>
      </c>
      <c r="X821" s="238" t="s">
        <v>949</v>
      </c>
      <c r="Y821" s="238" t="s">
        <v>39</v>
      </c>
      <c r="Z821" s="238" t="s">
        <v>1340</v>
      </c>
      <c r="AA821" t="s">
        <v>1167</v>
      </c>
      <c r="AB821" s="238" t="s">
        <v>3246</v>
      </c>
      <c r="AC821" t="s">
        <v>3079</v>
      </c>
      <c r="AD821" s="24"/>
      <c r="AE821" s="238" t="s">
        <v>2678</v>
      </c>
      <c r="AF821">
        <v>79397522422</v>
      </c>
      <c r="AG821" s="238" t="s">
        <v>1167</v>
      </c>
      <c r="AH821" s="238" t="s">
        <v>135</v>
      </c>
      <c r="AI821" s="238" t="s">
        <v>3075</v>
      </c>
      <c r="AJ821" s="238" t="s">
        <v>689</v>
      </c>
      <c r="AK821" s="238" t="s">
        <v>141</v>
      </c>
      <c r="AL821" t="s">
        <v>8715</v>
      </c>
      <c r="AM821" t="s">
        <v>1167</v>
      </c>
    </row>
    <row r="822" spans="1:39" hidden="1" x14ac:dyDescent="0.25">
      <c r="A822">
        <v>818</v>
      </c>
      <c r="B822">
        <v>54</v>
      </c>
      <c r="C822" s="24">
        <v>44559</v>
      </c>
      <c r="D822" s="238" t="s">
        <v>27</v>
      </c>
      <c r="E822" s="238" t="s">
        <v>6</v>
      </c>
      <c r="F822">
        <v>9</v>
      </c>
      <c r="G822">
        <v>11</v>
      </c>
      <c r="H822">
        <v>90</v>
      </c>
      <c r="I822" s="238" t="s">
        <v>42</v>
      </c>
      <c r="J822">
        <v>37.94</v>
      </c>
      <c r="K822" s="238" t="s">
        <v>36</v>
      </c>
      <c r="L822">
        <v>2569774.86</v>
      </c>
      <c r="M822">
        <v>15000</v>
      </c>
      <c r="N822">
        <v>2584774.86</v>
      </c>
      <c r="O822">
        <v>68127.96151818661</v>
      </c>
      <c r="P822">
        <v>0</v>
      </c>
      <c r="Q822">
        <v>2584774.86</v>
      </c>
      <c r="R822">
        <v>68127.96151818661</v>
      </c>
      <c r="S822" s="238" t="s">
        <v>121</v>
      </c>
      <c r="T822" s="238" t="s">
        <v>1167</v>
      </c>
      <c r="V822" t="s">
        <v>1167</v>
      </c>
      <c r="W822" s="24">
        <v>44546</v>
      </c>
      <c r="X822" s="238" t="s">
        <v>953</v>
      </c>
      <c r="Y822" s="238" t="s">
        <v>39</v>
      </c>
      <c r="Z822" s="238" t="s">
        <v>1168</v>
      </c>
      <c r="AA822" t="s">
        <v>3474</v>
      </c>
      <c r="AB822" s="238" t="s">
        <v>3246</v>
      </c>
      <c r="AC822" t="s">
        <v>4246</v>
      </c>
      <c r="AD822" s="24"/>
      <c r="AE822" s="238" t="s">
        <v>2679</v>
      </c>
      <c r="AF822">
        <v>79277185559</v>
      </c>
      <c r="AG822" s="238" t="s">
        <v>2680</v>
      </c>
      <c r="AH822" s="238" t="s">
        <v>1212</v>
      </c>
      <c r="AI822" s="238" t="s">
        <v>3097</v>
      </c>
      <c r="AJ822" s="238" t="s">
        <v>120</v>
      </c>
      <c r="AK822" s="238" t="s">
        <v>1167</v>
      </c>
      <c r="AL822" t="s">
        <v>8715</v>
      </c>
      <c r="AM822" t="s">
        <v>1167</v>
      </c>
    </row>
    <row r="823" spans="1:39" hidden="1" x14ac:dyDescent="0.25">
      <c r="A823">
        <v>819</v>
      </c>
      <c r="B823">
        <v>55</v>
      </c>
      <c r="C823" s="24">
        <v>44559</v>
      </c>
      <c r="D823" s="238" t="s">
        <v>27</v>
      </c>
      <c r="E823" s="238" t="s">
        <v>5</v>
      </c>
      <c r="F823">
        <v>2</v>
      </c>
      <c r="G823">
        <v>16</v>
      </c>
      <c r="H823">
        <v>321</v>
      </c>
      <c r="I823" s="238" t="s">
        <v>42</v>
      </c>
      <c r="J823">
        <v>37.159999999999997</v>
      </c>
      <c r="K823" s="238" t="s">
        <v>36</v>
      </c>
      <c r="L823">
        <v>2641706.2599999998</v>
      </c>
      <c r="M823">
        <v>0</v>
      </c>
      <c r="N823">
        <v>2641706.2599999998</v>
      </c>
      <c r="O823">
        <v>71090.050053821309</v>
      </c>
      <c r="P823">
        <v>0</v>
      </c>
      <c r="Q823">
        <v>2641706.2599999998</v>
      </c>
      <c r="R823">
        <v>71090.050053821309</v>
      </c>
      <c r="S823" s="238" t="s">
        <v>137</v>
      </c>
      <c r="T823" s="238" t="s">
        <v>1167</v>
      </c>
      <c r="V823" t="s">
        <v>1167</v>
      </c>
      <c r="W823" s="24">
        <v>44551</v>
      </c>
      <c r="X823" s="238" t="s">
        <v>958</v>
      </c>
      <c r="Y823" s="238" t="s">
        <v>39</v>
      </c>
      <c r="Z823" s="238" t="s">
        <v>1168</v>
      </c>
      <c r="AA823" t="s">
        <v>1167</v>
      </c>
      <c r="AB823" s="238" t="s">
        <v>3246</v>
      </c>
      <c r="AC823" t="s">
        <v>3077</v>
      </c>
      <c r="AD823" s="24"/>
      <c r="AE823" s="238" t="s">
        <v>2681</v>
      </c>
      <c r="AF823">
        <v>79063403815</v>
      </c>
      <c r="AG823" s="238" t="s">
        <v>1167</v>
      </c>
      <c r="AH823" s="238" t="s">
        <v>1212</v>
      </c>
      <c r="AI823" s="238" t="s">
        <v>3097</v>
      </c>
      <c r="AJ823" s="238" t="s">
        <v>130</v>
      </c>
      <c r="AK823" s="238" t="s">
        <v>141</v>
      </c>
      <c r="AL823" t="s">
        <v>8715</v>
      </c>
      <c r="AM823" t="s">
        <v>1167</v>
      </c>
    </row>
    <row r="824" spans="1:39" hidden="1" x14ac:dyDescent="0.25">
      <c r="A824">
        <v>820</v>
      </c>
      <c r="B824">
        <v>56</v>
      </c>
      <c r="C824" s="24">
        <v>44559</v>
      </c>
      <c r="D824" s="238" t="s">
        <v>27</v>
      </c>
      <c r="E824" s="238" t="s">
        <v>6</v>
      </c>
      <c r="F824">
        <v>5</v>
      </c>
      <c r="G824">
        <v>7</v>
      </c>
      <c r="H824">
        <v>50</v>
      </c>
      <c r="I824" s="238" t="s">
        <v>4052</v>
      </c>
      <c r="J824">
        <v>24.47</v>
      </c>
      <c r="K824" s="238" t="s">
        <v>38</v>
      </c>
      <c r="L824">
        <v>2213930.35</v>
      </c>
      <c r="M824">
        <v>0</v>
      </c>
      <c r="N824">
        <v>2213930.35</v>
      </c>
      <c r="O824">
        <v>90475.290151205569</v>
      </c>
      <c r="P824">
        <v>391520</v>
      </c>
      <c r="Q824">
        <v>1822410.35</v>
      </c>
      <c r="R824">
        <v>74475.290151205569</v>
      </c>
      <c r="S824" s="238" t="s">
        <v>137</v>
      </c>
      <c r="T824" s="238" t="s">
        <v>1167</v>
      </c>
      <c r="V824" t="s">
        <v>1167</v>
      </c>
      <c r="W824" s="24">
        <v>44553</v>
      </c>
      <c r="X824" s="238" t="s">
        <v>956</v>
      </c>
      <c r="Y824" s="238" t="s">
        <v>39</v>
      </c>
      <c r="Z824" s="238" t="s">
        <v>1340</v>
      </c>
      <c r="AA824" t="s">
        <v>1167</v>
      </c>
      <c r="AB824" s="238" t="s">
        <v>3246</v>
      </c>
      <c r="AC824" t="s">
        <v>3079</v>
      </c>
      <c r="AD824" s="24"/>
      <c r="AE824" s="238" t="s">
        <v>2682</v>
      </c>
      <c r="AF824">
        <v>79397177522</v>
      </c>
      <c r="AG824" s="238" t="s">
        <v>2683</v>
      </c>
      <c r="AH824" s="238" t="s">
        <v>1212</v>
      </c>
      <c r="AI824" s="238" t="s">
        <v>135</v>
      </c>
      <c r="AJ824" s="238" t="s">
        <v>126</v>
      </c>
      <c r="AK824" s="238" t="s">
        <v>141</v>
      </c>
      <c r="AL824" t="s">
        <v>8715</v>
      </c>
      <c r="AM824" t="s">
        <v>1167</v>
      </c>
    </row>
    <row r="825" spans="1:39" hidden="1" x14ac:dyDescent="0.25">
      <c r="A825">
        <v>821</v>
      </c>
      <c r="B825">
        <v>57</v>
      </c>
      <c r="C825" s="24">
        <v>44559</v>
      </c>
      <c r="D825" s="238" t="s">
        <v>27</v>
      </c>
      <c r="E825" s="238" t="s">
        <v>6</v>
      </c>
      <c r="F825">
        <v>8</v>
      </c>
      <c r="G825">
        <v>8</v>
      </c>
      <c r="H825">
        <v>62</v>
      </c>
      <c r="I825" s="238" t="s">
        <v>42</v>
      </c>
      <c r="J825">
        <v>37.69</v>
      </c>
      <c r="K825" s="238" t="s">
        <v>38</v>
      </c>
      <c r="L825">
        <v>3282423.98</v>
      </c>
      <c r="M825">
        <v>0</v>
      </c>
      <c r="N825">
        <v>3282423.98</v>
      </c>
      <c r="O825">
        <v>87090.049880604944</v>
      </c>
      <c r="P825">
        <v>603040</v>
      </c>
      <c r="Q825">
        <v>2679383.98</v>
      </c>
      <c r="R825">
        <v>71090.049880604944</v>
      </c>
      <c r="S825" s="238" t="s">
        <v>137</v>
      </c>
      <c r="T825" s="238" t="s">
        <v>1167</v>
      </c>
      <c r="V825" t="s">
        <v>4091</v>
      </c>
      <c r="W825" s="24">
        <v>44557</v>
      </c>
      <c r="X825" s="238" t="s">
        <v>954</v>
      </c>
      <c r="Y825" s="238" t="s">
        <v>39</v>
      </c>
      <c r="Z825" s="238" t="s">
        <v>1340</v>
      </c>
      <c r="AA825" t="s">
        <v>1167</v>
      </c>
      <c r="AB825" s="238" t="s">
        <v>3246</v>
      </c>
      <c r="AC825" t="s">
        <v>3079</v>
      </c>
      <c r="AD825" s="24"/>
      <c r="AE825" s="238" t="s">
        <v>2684</v>
      </c>
      <c r="AF825">
        <v>79376470336</v>
      </c>
      <c r="AG825" s="238" t="s">
        <v>2685</v>
      </c>
      <c r="AH825" s="238" t="s">
        <v>1171</v>
      </c>
      <c r="AI825" s="238" t="s">
        <v>135</v>
      </c>
      <c r="AJ825" s="238" t="s">
        <v>126</v>
      </c>
      <c r="AK825" s="238" t="s">
        <v>141</v>
      </c>
      <c r="AL825" t="s">
        <v>8715</v>
      </c>
      <c r="AM825" t="s">
        <v>1167</v>
      </c>
    </row>
    <row r="826" spans="1:39" hidden="1" x14ac:dyDescent="0.25">
      <c r="A826">
        <v>822</v>
      </c>
      <c r="B826">
        <v>58</v>
      </c>
      <c r="C826" s="24">
        <v>44559</v>
      </c>
      <c r="D826" s="238" t="s">
        <v>27</v>
      </c>
      <c r="E826" s="238" t="s">
        <v>6</v>
      </c>
      <c r="F826">
        <v>4</v>
      </c>
      <c r="G826">
        <v>7</v>
      </c>
      <c r="H826">
        <v>49</v>
      </c>
      <c r="I826" s="238" t="s">
        <v>4052</v>
      </c>
      <c r="J826">
        <v>24.39</v>
      </c>
      <c r="K826" s="238" t="s">
        <v>36</v>
      </c>
      <c r="L826">
        <v>1816452.32</v>
      </c>
      <c r="M826">
        <v>0</v>
      </c>
      <c r="N826">
        <v>1816452.32</v>
      </c>
      <c r="O826">
        <v>74475.289872898735</v>
      </c>
      <c r="P826">
        <v>0</v>
      </c>
      <c r="Q826">
        <v>1816452.32</v>
      </c>
      <c r="R826">
        <v>74475.289872898735</v>
      </c>
      <c r="S826" s="238" t="s">
        <v>137</v>
      </c>
      <c r="T826" s="238" t="s">
        <v>1167</v>
      </c>
      <c r="V826" t="s">
        <v>1167</v>
      </c>
      <c r="W826" s="24">
        <v>44557</v>
      </c>
      <c r="X826" s="238" t="s">
        <v>959</v>
      </c>
      <c r="Y826" s="238" t="s">
        <v>39</v>
      </c>
      <c r="Z826" s="238" t="s">
        <v>1340</v>
      </c>
      <c r="AA826" t="s">
        <v>1167</v>
      </c>
      <c r="AB826" s="238" t="s">
        <v>3246</v>
      </c>
      <c r="AC826" t="s">
        <v>3079</v>
      </c>
      <c r="AD826" s="24"/>
      <c r="AE826" s="238" t="s">
        <v>2686</v>
      </c>
      <c r="AF826">
        <v>79277270891</v>
      </c>
      <c r="AG826" s="238" t="s">
        <v>2687</v>
      </c>
      <c r="AH826" s="238" t="s">
        <v>1171</v>
      </c>
      <c r="AI826" s="238" t="s">
        <v>135</v>
      </c>
      <c r="AJ826" s="238" t="s">
        <v>126</v>
      </c>
      <c r="AK826" s="238" t="s">
        <v>794</v>
      </c>
      <c r="AL826" t="s">
        <v>8715</v>
      </c>
      <c r="AM826" t="s">
        <v>1167</v>
      </c>
    </row>
    <row r="827" spans="1:39" hidden="1" x14ac:dyDescent="0.25">
      <c r="A827">
        <v>823</v>
      </c>
      <c r="B827">
        <v>59</v>
      </c>
      <c r="C827" s="24">
        <v>44559</v>
      </c>
      <c r="D827" s="238" t="s">
        <v>27</v>
      </c>
      <c r="E827" s="238" t="s">
        <v>6</v>
      </c>
      <c r="F827">
        <v>4</v>
      </c>
      <c r="G827">
        <v>2</v>
      </c>
      <c r="H827">
        <v>4</v>
      </c>
      <c r="I827" s="238" t="s">
        <v>4052</v>
      </c>
      <c r="J827">
        <v>24.39</v>
      </c>
      <c r="K827" s="238" t="s">
        <v>37</v>
      </c>
      <c r="L827">
        <v>2064125.46</v>
      </c>
      <c r="M827">
        <v>0</v>
      </c>
      <c r="N827">
        <v>2064125.46</v>
      </c>
      <c r="O827">
        <v>84629.990159901601</v>
      </c>
      <c r="P827">
        <v>134145</v>
      </c>
      <c r="Q827">
        <v>1929980.46</v>
      </c>
      <c r="R827">
        <v>79129.990159901601</v>
      </c>
      <c r="S827" s="238" t="s">
        <v>137</v>
      </c>
      <c r="T827" s="238" t="s">
        <v>1167</v>
      </c>
      <c r="V827" t="s">
        <v>1167</v>
      </c>
      <c r="W827" s="24">
        <v>44558</v>
      </c>
      <c r="X827" s="238" t="s">
        <v>955</v>
      </c>
      <c r="Y827" s="238" t="s">
        <v>39</v>
      </c>
      <c r="Z827" s="238" t="s">
        <v>1340</v>
      </c>
      <c r="AA827" t="s">
        <v>1167</v>
      </c>
      <c r="AB827" s="238" t="s">
        <v>3246</v>
      </c>
      <c r="AC827" t="s">
        <v>3079</v>
      </c>
      <c r="AD827" s="24"/>
      <c r="AE827" s="238" t="s">
        <v>2688</v>
      </c>
      <c r="AF827">
        <v>79272948396</v>
      </c>
      <c r="AG827" s="238" t="s">
        <v>2689</v>
      </c>
      <c r="AH827" s="238" t="s">
        <v>1212</v>
      </c>
      <c r="AI827" s="238" t="s">
        <v>3086</v>
      </c>
      <c r="AJ827" s="238" t="s">
        <v>120</v>
      </c>
      <c r="AK827" s="238" t="s">
        <v>141</v>
      </c>
      <c r="AL827" t="s">
        <v>8715</v>
      </c>
      <c r="AM827" t="s">
        <v>1167</v>
      </c>
    </row>
    <row r="828" spans="1:39" hidden="1" x14ac:dyDescent="0.25">
      <c r="A828">
        <v>824</v>
      </c>
      <c r="B828">
        <v>60</v>
      </c>
      <c r="C828" s="24">
        <v>44559</v>
      </c>
      <c r="D828" s="238" t="s">
        <v>27</v>
      </c>
      <c r="E828" s="238" t="s">
        <v>13</v>
      </c>
      <c r="F828">
        <v>9</v>
      </c>
      <c r="G828">
        <v>3</v>
      </c>
      <c r="H828">
        <v>848</v>
      </c>
      <c r="I828" s="238" t="s">
        <v>4052</v>
      </c>
      <c r="J828">
        <v>23.09</v>
      </c>
      <c r="K828" s="238" t="s">
        <v>36</v>
      </c>
      <c r="L828">
        <v>1786807.64</v>
      </c>
      <c r="M828">
        <v>0</v>
      </c>
      <c r="N828">
        <v>1786807.64</v>
      </c>
      <c r="O828">
        <v>77384.479861411863</v>
      </c>
      <c r="P828">
        <v>0</v>
      </c>
      <c r="Q828">
        <v>1786807.64</v>
      </c>
      <c r="R828">
        <v>77384.479861411863</v>
      </c>
      <c r="S828" s="238" t="s">
        <v>137</v>
      </c>
      <c r="T828" s="238" t="s">
        <v>1167</v>
      </c>
      <c r="V828" t="s">
        <v>1167</v>
      </c>
      <c r="W828" s="24">
        <v>44552</v>
      </c>
      <c r="X828" s="238" t="s">
        <v>957</v>
      </c>
      <c r="Y828" s="238" t="s">
        <v>39</v>
      </c>
      <c r="Z828" s="238" t="s">
        <v>1340</v>
      </c>
      <c r="AA828" t="s">
        <v>3474</v>
      </c>
      <c r="AB828" s="238" t="s">
        <v>3246</v>
      </c>
      <c r="AC828" t="s">
        <v>3077</v>
      </c>
      <c r="AD828" s="24"/>
      <c r="AE828" s="238" t="s">
        <v>2690</v>
      </c>
      <c r="AF828">
        <v>79371714609</v>
      </c>
      <c r="AG828" s="238" t="s">
        <v>1167</v>
      </c>
      <c r="AH828" s="238" t="s">
        <v>1212</v>
      </c>
      <c r="AI828" s="238" t="s">
        <v>3084</v>
      </c>
      <c r="AJ828" s="238" t="s">
        <v>689</v>
      </c>
      <c r="AK828" s="238" t="s">
        <v>794</v>
      </c>
      <c r="AL828" t="s">
        <v>8715</v>
      </c>
      <c r="AM828" t="s">
        <v>1167</v>
      </c>
    </row>
    <row r="829" spans="1:39" hidden="1" x14ac:dyDescent="0.25">
      <c r="A829">
        <v>825</v>
      </c>
      <c r="B829">
        <v>61</v>
      </c>
      <c r="C829" s="24">
        <v>44560</v>
      </c>
      <c r="D829" s="238" t="s">
        <v>27</v>
      </c>
      <c r="E829" s="238" t="s">
        <v>6</v>
      </c>
      <c r="F829">
        <v>9</v>
      </c>
      <c r="G829">
        <v>4</v>
      </c>
      <c r="H829">
        <v>27</v>
      </c>
      <c r="I829" s="238" t="s">
        <v>42</v>
      </c>
      <c r="J829">
        <v>37.94</v>
      </c>
      <c r="K829" s="238" t="s">
        <v>36</v>
      </c>
      <c r="L829">
        <v>2584774.7999999998</v>
      </c>
      <c r="M829">
        <v>0</v>
      </c>
      <c r="N829">
        <v>2584774.7999999998</v>
      </c>
      <c r="O829">
        <v>68127.95993674222</v>
      </c>
      <c r="P829">
        <v>0</v>
      </c>
      <c r="Q829">
        <v>2584774.7999999998</v>
      </c>
      <c r="R829">
        <v>68127.95993674222</v>
      </c>
      <c r="S829" s="238" t="s">
        <v>124</v>
      </c>
      <c r="T829" s="238" t="s">
        <v>1167</v>
      </c>
      <c r="V829" t="s">
        <v>1167</v>
      </c>
      <c r="W829" s="24">
        <v>44557</v>
      </c>
      <c r="X829" s="238" t="s">
        <v>961</v>
      </c>
      <c r="Y829" s="238" t="s">
        <v>39</v>
      </c>
      <c r="Z829" s="238" t="s">
        <v>1340</v>
      </c>
      <c r="AA829" t="s">
        <v>1167</v>
      </c>
      <c r="AB829" s="238" t="s">
        <v>3246</v>
      </c>
      <c r="AC829" t="s">
        <v>4246</v>
      </c>
      <c r="AD829" s="24"/>
      <c r="AE829" s="238" t="s">
        <v>2691</v>
      </c>
      <c r="AF829">
        <v>79198016142</v>
      </c>
      <c r="AG829" s="238" t="s">
        <v>2692</v>
      </c>
      <c r="AH829" s="238" t="s">
        <v>1212</v>
      </c>
      <c r="AI829" s="238" t="s">
        <v>135</v>
      </c>
      <c r="AJ829" s="238" t="s">
        <v>130</v>
      </c>
      <c r="AK829" s="238" t="s">
        <v>1167</v>
      </c>
      <c r="AL829" t="s">
        <v>8715</v>
      </c>
      <c r="AM829" t="s">
        <v>1167</v>
      </c>
    </row>
    <row r="830" spans="1:39" hidden="1" x14ac:dyDescent="0.25">
      <c r="A830">
        <v>826</v>
      </c>
      <c r="B830">
        <v>62</v>
      </c>
      <c r="C830" s="24">
        <v>44560</v>
      </c>
      <c r="D830" s="238" t="s">
        <v>27</v>
      </c>
      <c r="E830" s="238" t="s">
        <v>14</v>
      </c>
      <c r="F830">
        <v>3</v>
      </c>
      <c r="G830">
        <v>9</v>
      </c>
      <c r="H830">
        <v>697</v>
      </c>
      <c r="I830" s="238" t="s">
        <v>43</v>
      </c>
      <c r="J830">
        <v>56.33</v>
      </c>
      <c r="K830" s="238" t="s">
        <v>36</v>
      </c>
      <c r="L830">
        <v>4144616.07</v>
      </c>
      <c r="M830">
        <v>0</v>
      </c>
      <c r="N830">
        <v>4144616.07</v>
      </c>
      <c r="O830">
        <v>73577.420024853534</v>
      </c>
      <c r="P830">
        <v>0</v>
      </c>
      <c r="Q830">
        <v>4144616.07</v>
      </c>
      <c r="R830">
        <v>73577.420024853534</v>
      </c>
      <c r="S830" s="238" t="s">
        <v>137</v>
      </c>
      <c r="T830" s="238" t="s">
        <v>1167</v>
      </c>
      <c r="V830" t="s">
        <v>1167</v>
      </c>
      <c r="W830" s="24">
        <v>44560</v>
      </c>
      <c r="X830" s="238" t="s">
        <v>960</v>
      </c>
      <c r="Y830" s="238" t="s">
        <v>39</v>
      </c>
      <c r="Z830" s="238" t="s">
        <v>1340</v>
      </c>
      <c r="AA830" t="s">
        <v>1167</v>
      </c>
      <c r="AB830" s="238" t="s">
        <v>3246</v>
      </c>
      <c r="AC830" t="s">
        <v>3079</v>
      </c>
      <c r="AD830" s="24"/>
      <c r="AE830" s="238" t="s">
        <v>2693</v>
      </c>
      <c r="AF830">
        <v>79179463826</v>
      </c>
      <c r="AG830" s="238" t="s">
        <v>2694</v>
      </c>
      <c r="AH830" s="238" t="s">
        <v>135</v>
      </c>
      <c r="AI830" s="238" t="s">
        <v>135</v>
      </c>
      <c r="AJ830" s="238" t="s">
        <v>399</v>
      </c>
      <c r="AK830" s="238" t="s">
        <v>141</v>
      </c>
      <c r="AL830" t="s">
        <v>8715</v>
      </c>
      <c r="AM830" t="s">
        <v>1167</v>
      </c>
    </row>
    <row r="831" spans="1:39" hidden="1" x14ac:dyDescent="0.25">
      <c r="A831">
        <v>827</v>
      </c>
      <c r="B831">
        <v>63</v>
      </c>
      <c r="C831" s="24">
        <v>44561</v>
      </c>
      <c r="D831" s="238" t="s">
        <v>27</v>
      </c>
      <c r="E831" s="238" t="s">
        <v>15</v>
      </c>
      <c r="F831">
        <v>3</v>
      </c>
      <c r="G831">
        <v>4</v>
      </c>
      <c r="H831">
        <v>530</v>
      </c>
      <c r="I831" s="238" t="s">
        <v>4052</v>
      </c>
      <c r="J831">
        <v>23.54</v>
      </c>
      <c r="K831" s="238" t="s">
        <v>38</v>
      </c>
      <c r="L831">
        <v>2064098.51</v>
      </c>
      <c r="M831">
        <v>15000</v>
      </c>
      <c r="N831">
        <v>2079098.51</v>
      </c>
      <c r="O831">
        <v>88321.941801189474</v>
      </c>
      <c r="P831">
        <v>376640</v>
      </c>
      <c r="Q831">
        <v>1702458.51</v>
      </c>
      <c r="R831">
        <v>72321.941801189474</v>
      </c>
      <c r="S831" s="238" t="s">
        <v>137</v>
      </c>
      <c r="T831" s="238" t="s">
        <v>1167</v>
      </c>
      <c r="V831" t="s">
        <v>1167</v>
      </c>
      <c r="W831" s="24">
        <v>44510</v>
      </c>
      <c r="X831" s="238" t="s">
        <v>844</v>
      </c>
      <c r="Y831" s="238" t="s">
        <v>39</v>
      </c>
      <c r="Z831" s="238" t="s">
        <v>1340</v>
      </c>
      <c r="AA831" t="s">
        <v>1167</v>
      </c>
      <c r="AB831" s="238" t="s">
        <v>3246</v>
      </c>
      <c r="AC831" t="s">
        <v>3079</v>
      </c>
      <c r="AD831" s="24"/>
      <c r="AE831" s="238" t="s">
        <v>2503</v>
      </c>
      <c r="AF831">
        <v>79677645412</v>
      </c>
      <c r="AG831" s="238" t="s">
        <v>2501</v>
      </c>
      <c r="AH831" s="238" t="s">
        <v>1197</v>
      </c>
      <c r="AI831" s="238" t="s">
        <v>3082</v>
      </c>
      <c r="AJ831" s="238" t="s">
        <v>399</v>
      </c>
      <c r="AK831" s="238" t="s">
        <v>794</v>
      </c>
      <c r="AL831" t="s">
        <v>8715</v>
      </c>
      <c r="AM831" t="s">
        <v>1167</v>
      </c>
    </row>
    <row r="832" spans="1:39" hidden="1" x14ac:dyDescent="0.25">
      <c r="A832">
        <v>828</v>
      </c>
      <c r="B832">
        <v>1</v>
      </c>
      <c r="C832" s="24">
        <v>44573</v>
      </c>
      <c r="D832" s="238" t="s">
        <v>19</v>
      </c>
      <c r="E832" s="238" t="s">
        <v>6</v>
      </c>
      <c r="F832">
        <v>5</v>
      </c>
      <c r="G832">
        <v>20</v>
      </c>
      <c r="H832">
        <v>131</v>
      </c>
      <c r="I832" s="238" t="s">
        <v>42</v>
      </c>
      <c r="J832">
        <v>36.42</v>
      </c>
      <c r="K832" s="238" t="s">
        <v>37</v>
      </c>
      <c r="L832">
        <v>3224586.75</v>
      </c>
      <c r="M832">
        <v>0</v>
      </c>
      <c r="N832">
        <v>3224586.75</v>
      </c>
      <c r="O832">
        <v>88538.90032948929</v>
      </c>
      <c r="P832">
        <v>200310</v>
      </c>
      <c r="Q832">
        <v>3024276.75</v>
      </c>
      <c r="R832">
        <v>83038.90032948929</v>
      </c>
      <c r="S832" s="238" t="s">
        <v>137</v>
      </c>
      <c r="T832" s="238" t="s">
        <v>1167</v>
      </c>
      <c r="V832" t="s">
        <v>1167</v>
      </c>
      <c r="W832" s="24">
        <v>44559</v>
      </c>
      <c r="X832" s="238" t="s">
        <v>964</v>
      </c>
      <c r="Y832" s="238" t="s">
        <v>39</v>
      </c>
      <c r="Z832" s="238" t="s">
        <v>1340</v>
      </c>
      <c r="AA832" t="s">
        <v>1167</v>
      </c>
      <c r="AB832" s="238" t="s">
        <v>3246</v>
      </c>
      <c r="AC832" t="s">
        <v>3077</v>
      </c>
      <c r="AD832" s="24"/>
      <c r="AE832" s="238" t="s">
        <v>2695</v>
      </c>
      <c r="AF832">
        <v>79272004244</v>
      </c>
      <c r="AG832" s="238" t="s">
        <v>2696</v>
      </c>
      <c r="AH832" s="238" t="s">
        <v>1212</v>
      </c>
      <c r="AI832" s="238" t="s">
        <v>135</v>
      </c>
      <c r="AJ832" s="238" t="s">
        <v>399</v>
      </c>
      <c r="AK832" s="238" t="s">
        <v>141</v>
      </c>
      <c r="AL832" t="s">
        <v>8715</v>
      </c>
      <c r="AM832" t="s">
        <v>1167</v>
      </c>
    </row>
    <row r="833" spans="1:39" hidden="1" x14ac:dyDescent="0.25">
      <c r="A833">
        <v>829</v>
      </c>
      <c r="B833">
        <v>2</v>
      </c>
      <c r="C833" s="24">
        <v>44573</v>
      </c>
      <c r="D833" s="238" t="s">
        <v>27</v>
      </c>
      <c r="E833" s="238" t="s">
        <v>15</v>
      </c>
      <c r="F833">
        <v>3</v>
      </c>
      <c r="G833">
        <v>7</v>
      </c>
      <c r="H833">
        <v>554</v>
      </c>
      <c r="I833" s="238" t="s">
        <v>4052</v>
      </c>
      <c r="J833">
        <v>23.54</v>
      </c>
      <c r="K833" s="238" t="s">
        <v>37</v>
      </c>
      <c r="L833">
        <v>1951100.66</v>
      </c>
      <c r="M833">
        <v>0</v>
      </c>
      <c r="N833">
        <v>1951100.66</v>
      </c>
      <c r="O833">
        <v>82884.480033984713</v>
      </c>
      <c r="P833">
        <v>129470</v>
      </c>
      <c r="Q833">
        <v>1821630.66</v>
      </c>
      <c r="R833">
        <v>77384.480033984713</v>
      </c>
      <c r="S833" s="238" t="s">
        <v>121</v>
      </c>
      <c r="T833" s="238" t="s">
        <v>1167</v>
      </c>
      <c r="V833" t="s">
        <v>1167</v>
      </c>
      <c r="W833" s="24">
        <v>44569</v>
      </c>
      <c r="X833" s="238" t="s">
        <v>962</v>
      </c>
      <c r="Y833" s="238" t="s">
        <v>39</v>
      </c>
      <c r="Z833" s="238" t="s">
        <v>1168</v>
      </c>
      <c r="AA833" t="s">
        <v>1167</v>
      </c>
      <c r="AB833" s="238" t="s">
        <v>3246</v>
      </c>
      <c r="AC833" t="s">
        <v>4246</v>
      </c>
      <c r="AD833" s="24"/>
      <c r="AE833" s="238" t="s">
        <v>2697</v>
      </c>
      <c r="AF833">
        <v>79377937533</v>
      </c>
      <c r="AG833" s="238" t="s">
        <v>2698</v>
      </c>
      <c r="AH833" s="238" t="s">
        <v>1171</v>
      </c>
      <c r="AI833" s="238" t="s">
        <v>3074</v>
      </c>
      <c r="AJ833" s="238" t="s">
        <v>399</v>
      </c>
      <c r="AK833" s="238" t="s">
        <v>1167</v>
      </c>
      <c r="AL833" t="s">
        <v>8715</v>
      </c>
      <c r="AM833" t="s">
        <v>1167</v>
      </c>
    </row>
    <row r="834" spans="1:39" hidden="1" x14ac:dyDescent="0.25">
      <c r="A834">
        <v>830</v>
      </c>
      <c r="B834">
        <v>3</v>
      </c>
      <c r="C834" s="24">
        <v>44573</v>
      </c>
      <c r="D834" s="238" t="s">
        <v>27</v>
      </c>
      <c r="E834" s="238" t="s">
        <v>15</v>
      </c>
      <c r="F834">
        <v>1</v>
      </c>
      <c r="G834">
        <v>9</v>
      </c>
      <c r="H834">
        <v>568</v>
      </c>
      <c r="I834" s="238" t="s">
        <v>44</v>
      </c>
      <c r="J834">
        <v>82.27</v>
      </c>
      <c r="K834" s="238" t="s">
        <v>36</v>
      </c>
      <c r="L834">
        <v>4654990.4400000004</v>
      </c>
      <c r="M834">
        <v>0</v>
      </c>
      <c r="N834">
        <v>4654990.4400000004</v>
      </c>
      <c r="O834">
        <v>56581.869940440025</v>
      </c>
      <c r="P834">
        <v>0</v>
      </c>
      <c r="Q834">
        <v>4654990.4400000004</v>
      </c>
      <c r="R834">
        <v>56581.869940440025</v>
      </c>
      <c r="S834" s="238" t="s">
        <v>137</v>
      </c>
      <c r="T834" s="238" t="s">
        <v>1167</v>
      </c>
      <c r="V834" t="s">
        <v>4091</v>
      </c>
      <c r="W834" s="24">
        <v>44570</v>
      </c>
      <c r="X834" s="238" t="s">
        <v>965</v>
      </c>
      <c r="Y834" s="238" t="s">
        <v>39</v>
      </c>
      <c r="Z834" s="238" t="s">
        <v>1340</v>
      </c>
      <c r="AA834" t="s">
        <v>1167</v>
      </c>
      <c r="AB834" s="238" t="s">
        <v>3246</v>
      </c>
      <c r="AC834" t="s">
        <v>3079</v>
      </c>
      <c r="AD834" s="24"/>
      <c r="AE834" s="238" t="s">
        <v>2699</v>
      </c>
      <c r="AF834">
        <v>79277548055</v>
      </c>
      <c r="AG834" s="238" t="s">
        <v>2700</v>
      </c>
      <c r="AH834" s="238" t="s">
        <v>146</v>
      </c>
      <c r="AI834" s="238" t="s">
        <v>135</v>
      </c>
      <c r="AJ834" s="238" t="s">
        <v>399</v>
      </c>
      <c r="AK834" s="238" t="s">
        <v>141</v>
      </c>
      <c r="AL834" t="s">
        <v>8715</v>
      </c>
      <c r="AM834" t="s">
        <v>1167</v>
      </c>
    </row>
    <row r="835" spans="1:39" hidden="1" x14ac:dyDescent="0.25">
      <c r="A835">
        <v>831</v>
      </c>
      <c r="B835">
        <v>4</v>
      </c>
      <c r="C835" s="24">
        <v>44573</v>
      </c>
      <c r="D835" s="238" t="s">
        <v>19</v>
      </c>
      <c r="E835" s="238" t="s">
        <v>6</v>
      </c>
      <c r="F835">
        <v>7</v>
      </c>
      <c r="G835">
        <v>18</v>
      </c>
      <c r="H835">
        <v>119</v>
      </c>
      <c r="I835" s="238" t="s">
        <v>43</v>
      </c>
      <c r="J835">
        <v>58.17</v>
      </c>
      <c r="K835" s="238" t="s">
        <v>37</v>
      </c>
      <c r="L835">
        <v>4467632.55</v>
      </c>
      <c r="M835">
        <v>0</v>
      </c>
      <c r="N835">
        <v>4467632.55</v>
      </c>
      <c r="O835">
        <v>76803.035069623511</v>
      </c>
      <c r="P835">
        <v>0</v>
      </c>
      <c r="Q835">
        <v>4467632.55</v>
      </c>
      <c r="R835">
        <v>76803.035069623511</v>
      </c>
      <c r="S835" s="238" t="s">
        <v>137</v>
      </c>
      <c r="T835" s="238" t="s">
        <v>60</v>
      </c>
      <c r="U835">
        <v>319935</v>
      </c>
      <c r="V835" t="s">
        <v>4091</v>
      </c>
      <c r="W835" s="24">
        <v>44570</v>
      </c>
      <c r="X835" s="238" t="s">
        <v>963</v>
      </c>
      <c r="Y835" s="238" t="s">
        <v>39</v>
      </c>
      <c r="Z835" s="238" t="s">
        <v>1340</v>
      </c>
      <c r="AA835" t="s">
        <v>1167</v>
      </c>
      <c r="AB835" s="238" t="s">
        <v>3246</v>
      </c>
      <c r="AC835" t="s">
        <v>3079</v>
      </c>
      <c r="AD835" s="24"/>
      <c r="AE835" s="238" t="s">
        <v>2701</v>
      </c>
      <c r="AF835">
        <v>79277217854</v>
      </c>
      <c r="AG835" s="238" t="s">
        <v>2702</v>
      </c>
      <c r="AH835" s="238" t="s">
        <v>1212</v>
      </c>
      <c r="AI835" s="238" t="s">
        <v>135</v>
      </c>
      <c r="AJ835" s="238" t="s">
        <v>689</v>
      </c>
      <c r="AK835" s="238" t="s">
        <v>141</v>
      </c>
      <c r="AL835" t="s">
        <v>8715</v>
      </c>
      <c r="AM835" t="s">
        <v>1167</v>
      </c>
    </row>
    <row r="836" spans="1:39" hidden="1" x14ac:dyDescent="0.25">
      <c r="A836">
        <v>832</v>
      </c>
      <c r="B836">
        <v>5</v>
      </c>
      <c r="C836" s="24">
        <v>44573</v>
      </c>
      <c r="D836" s="238" t="s">
        <v>19</v>
      </c>
      <c r="E836" s="238" t="s">
        <v>6</v>
      </c>
      <c r="F836">
        <v>5</v>
      </c>
      <c r="G836">
        <v>15</v>
      </c>
      <c r="H836">
        <v>96</v>
      </c>
      <c r="I836" s="238" t="s">
        <v>42</v>
      </c>
      <c r="J836">
        <v>36.42</v>
      </c>
      <c r="K836" s="238" t="s">
        <v>37</v>
      </c>
      <c r="L836">
        <v>2861571.88</v>
      </c>
      <c r="M836">
        <v>0</v>
      </c>
      <c r="N836">
        <v>2861571.88</v>
      </c>
      <c r="O836">
        <v>78571.440966501919</v>
      </c>
      <c r="P836">
        <v>0</v>
      </c>
      <c r="Q836">
        <v>2861571.88</v>
      </c>
      <c r="R836">
        <v>78571.440966501919</v>
      </c>
      <c r="S836" s="238" t="s">
        <v>137</v>
      </c>
      <c r="T836" s="238" t="s">
        <v>60</v>
      </c>
      <c r="U836">
        <v>200310</v>
      </c>
      <c r="V836" t="s">
        <v>1167</v>
      </c>
      <c r="W836" s="24">
        <v>44571</v>
      </c>
      <c r="X836" s="238" t="s">
        <v>966</v>
      </c>
      <c r="Y836" s="238" t="s">
        <v>39</v>
      </c>
      <c r="Z836" s="238" t="s">
        <v>1340</v>
      </c>
      <c r="AA836" t="s">
        <v>1167</v>
      </c>
      <c r="AB836" s="238" t="s">
        <v>3246</v>
      </c>
      <c r="AC836" t="s">
        <v>3079</v>
      </c>
      <c r="AD836" s="24"/>
      <c r="AE836" s="238" t="s">
        <v>2703</v>
      </c>
      <c r="AF836">
        <v>79277217854</v>
      </c>
      <c r="AG836" s="238" t="s">
        <v>2702</v>
      </c>
      <c r="AH836" s="238" t="s">
        <v>1197</v>
      </c>
      <c r="AI836" s="238" t="s">
        <v>135</v>
      </c>
      <c r="AJ836" s="238" t="s">
        <v>689</v>
      </c>
      <c r="AK836" s="238" t="s">
        <v>141</v>
      </c>
      <c r="AL836" t="s">
        <v>8715</v>
      </c>
      <c r="AM836" t="s">
        <v>1167</v>
      </c>
    </row>
    <row r="837" spans="1:39" hidden="1" x14ac:dyDescent="0.25">
      <c r="A837">
        <v>833</v>
      </c>
      <c r="B837">
        <v>6</v>
      </c>
      <c r="C837" s="24">
        <v>44574</v>
      </c>
      <c r="D837" s="238" t="s">
        <v>19</v>
      </c>
      <c r="E837" s="238" t="s">
        <v>6</v>
      </c>
      <c r="F837">
        <v>3</v>
      </c>
      <c r="G837">
        <v>15</v>
      </c>
      <c r="H837">
        <v>94</v>
      </c>
      <c r="I837" s="238" t="s">
        <v>44</v>
      </c>
      <c r="J837">
        <v>76.56</v>
      </c>
      <c r="K837" s="238" t="s">
        <v>37</v>
      </c>
      <c r="L837">
        <v>5447662.8499999996</v>
      </c>
      <c r="M837">
        <v>0</v>
      </c>
      <c r="N837">
        <v>5447662.8499999996</v>
      </c>
      <c r="O837">
        <v>71155.470872518286</v>
      </c>
      <c r="P837">
        <v>0</v>
      </c>
      <c r="Q837">
        <v>5447662.8499999996</v>
      </c>
      <c r="R837">
        <v>71155.470872518286</v>
      </c>
      <c r="S837" s="238" t="s">
        <v>137</v>
      </c>
      <c r="T837" s="238" t="s">
        <v>60</v>
      </c>
      <c r="U837">
        <v>421080</v>
      </c>
      <c r="V837" t="s">
        <v>4091</v>
      </c>
      <c r="W837" s="24">
        <v>44571</v>
      </c>
      <c r="X837" s="238" t="s">
        <v>967</v>
      </c>
      <c r="Y837" s="238" t="s">
        <v>39</v>
      </c>
      <c r="Z837" s="238" t="s">
        <v>1340</v>
      </c>
      <c r="AA837" t="s">
        <v>1167</v>
      </c>
      <c r="AB837" s="238" t="s">
        <v>3246</v>
      </c>
      <c r="AC837" t="s">
        <v>3079</v>
      </c>
      <c r="AD837" s="24"/>
      <c r="AE837" s="238" t="s">
        <v>2704</v>
      </c>
      <c r="AF837">
        <v>79270113515</v>
      </c>
      <c r="AG837" s="238" t="s">
        <v>2705</v>
      </c>
      <c r="AH837" s="238" t="s">
        <v>1171</v>
      </c>
      <c r="AI837" s="238" t="s">
        <v>3074</v>
      </c>
      <c r="AJ837" s="238" t="s">
        <v>126</v>
      </c>
      <c r="AK837" s="238" t="s">
        <v>794</v>
      </c>
      <c r="AL837" t="s">
        <v>8715</v>
      </c>
      <c r="AM837" t="s">
        <v>1167</v>
      </c>
    </row>
    <row r="838" spans="1:39" hidden="1" x14ac:dyDescent="0.25">
      <c r="A838">
        <v>834</v>
      </c>
      <c r="B838">
        <v>7</v>
      </c>
      <c r="C838" s="24">
        <v>44574</v>
      </c>
      <c r="D838" s="238" t="s">
        <v>19</v>
      </c>
      <c r="E838" s="238" t="s">
        <v>5</v>
      </c>
      <c r="F838">
        <v>5</v>
      </c>
      <c r="G838">
        <v>15</v>
      </c>
      <c r="H838">
        <v>309</v>
      </c>
      <c r="I838" s="238" t="s">
        <v>43</v>
      </c>
      <c r="J838">
        <v>60.19</v>
      </c>
      <c r="K838" s="238" t="s">
        <v>38</v>
      </c>
      <c r="L838">
        <v>5175825.5599999996</v>
      </c>
      <c r="M838">
        <v>0</v>
      </c>
      <c r="N838">
        <v>5175825.5599999996</v>
      </c>
      <c r="O838">
        <v>85991.45306529323</v>
      </c>
      <c r="P838">
        <v>963040</v>
      </c>
      <c r="Q838">
        <v>4212785.5599999996</v>
      </c>
      <c r="R838">
        <v>69991.45306529323</v>
      </c>
      <c r="S838" s="238" t="s">
        <v>137</v>
      </c>
      <c r="T838" s="238" t="s">
        <v>1167</v>
      </c>
      <c r="V838" t="s">
        <v>4091</v>
      </c>
      <c r="W838" s="24">
        <v>44571</v>
      </c>
      <c r="X838" s="238" t="s">
        <v>968</v>
      </c>
      <c r="Y838" s="238" t="s">
        <v>39</v>
      </c>
      <c r="Z838" s="238" t="s">
        <v>1340</v>
      </c>
      <c r="AA838" t="s">
        <v>1167</v>
      </c>
      <c r="AB838" s="238" t="s">
        <v>3246</v>
      </c>
      <c r="AC838" t="s">
        <v>3079</v>
      </c>
      <c r="AD838" s="24"/>
      <c r="AE838" s="238" t="s">
        <v>2706</v>
      </c>
      <c r="AF838">
        <v>79372017949</v>
      </c>
      <c r="AG838" s="238" t="s">
        <v>2707</v>
      </c>
      <c r="AH838" s="238" t="s">
        <v>1212</v>
      </c>
      <c r="AI838" s="238" t="s">
        <v>135</v>
      </c>
      <c r="AJ838" s="238" t="s">
        <v>689</v>
      </c>
      <c r="AK838" s="238" t="s">
        <v>794</v>
      </c>
      <c r="AL838" t="s">
        <v>8715</v>
      </c>
      <c r="AM838" t="s">
        <v>1167</v>
      </c>
    </row>
    <row r="839" spans="1:39" hidden="1" x14ac:dyDescent="0.25">
      <c r="A839">
        <v>835</v>
      </c>
      <c r="B839">
        <v>8</v>
      </c>
      <c r="C839" s="24">
        <v>44575</v>
      </c>
      <c r="D839" s="238" t="s">
        <v>27</v>
      </c>
      <c r="E839" s="238" t="s">
        <v>13</v>
      </c>
      <c r="F839">
        <v>6</v>
      </c>
      <c r="G839">
        <v>3</v>
      </c>
      <c r="H839">
        <v>845</v>
      </c>
      <c r="I839" s="238" t="s">
        <v>43</v>
      </c>
      <c r="J839">
        <v>54.28</v>
      </c>
      <c r="K839" s="238" t="s">
        <v>36</v>
      </c>
      <c r="L839">
        <v>3610198.78</v>
      </c>
      <c r="M839">
        <v>0</v>
      </c>
      <c r="N839">
        <v>3610198.78</v>
      </c>
      <c r="O839">
        <v>66510.662859248332</v>
      </c>
      <c r="P839">
        <v>0</v>
      </c>
      <c r="Q839">
        <v>3610198.78</v>
      </c>
      <c r="R839">
        <v>66510.662859248332</v>
      </c>
      <c r="S839" s="238" t="s">
        <v>137</v>
      </c>
      <c r="T839" s="238" t="s">
        <v>1167</v>
      </c>
      <c r="V839" t="s">
        <v>4091</v>
      </c>
      <c r="W839" s="24">
        <v>44571</v>
      </c>
      <c r="X839" s="238" t="s">
        <v>970</v>
      </c>
      <c r="Y839" s="238" t="s">
        <v>39</v>
      </c>
      <c r="Z839" s="238" t="s">
        <v>1340</v>
      </c>
      <c r="AA839" t="s">
        <v>1167</v>
      </c>
      <c r="AB839" s="238" t="s">
        <v>3246</v>
      </c>
      <c r="AC839" t="s">
        <v>3079</v>
      </c>
      <c r="AD839" s="24"/>
      <c r="AE839" s="238" t="s">
        <v>2708</v>
      </c>
      <c r="AF839">
        <v>79879473744</v>
      </c>
      <c r="AG839" s="238" t="s">
        <v>2709</v>
      </c>
      <c r="AH839" s="238" t="s">
        <v>135</v>
      </c>
      <c r="AI839" s="238" t="s">
        <v>3099</v>
      </c>
      <c r="AJ839" s="238" t="s">
        <v>689</v>
      </c>
      <c r="AK839" s="238" t="s">
        <v>794</v>
      </c>
      <c r="AL839" t="s">
        <v>8715</v>
      </c>
      <c r="AM839" t="s">
        <v>1167</v>
      </c>
    </row>
    <row r="840" spans="1:39" hidden="1" x14ac:dyDescent="0.25">
      <c r="A840">
        <v>836</v>
      </c>
      <c r="B840">
        <v>9</v>
      </c>
      <c r="C840" s="24">
        <v>44575</v>
      </c>
      <c r="D840" s="238" t="s">
        <v>19</v>
      </c>
      <c r="E840" s="238" t="s">
        <v>6</v>
      </c>
      <c r="F840">
        <v>5</v>
      </c>
      <c r="G840">
        <v>23</v>
      </c>
      <c r="H840">
        <v>152</v>
      </c>
      <c r="I840" s="238" t="s">
        <v>42</v>
      </c>
      <c r="J840">
        <v>36.42</v>
      </c>
      <c r="K840" s="238" t="s">
        <v>38</v>
      </c>
      <c r="L840">
        <v>3606996.75</v>
      </c>
      <c r="M840">
        <v>0</v>
      </c>
      <c r="N840">
        <v>3606996.75</v>
      </c>
      <c r="O840">
        <v>99038.90032948929</v>
      </c>
      <c r="P840">
        <v>582720</v>
      </c>
      <c r="Q840">
        <v>3024276.75</v>
      </c>
      <c r="R840">
        <v>83038.90032948929</v>
      </c>
      <c r="S840" s="238" t="s">
        <v>137</v>
      </c>
      <c r="T840" s="238" t="s">
        <v>1167</v>
      </c>
      <c r="V840" t="s">
        <v>1167</v>
      </c>
      <c r="W840" s="24">
        <v>44572</v>
      </c>
      <c r="X840" s="238" t="s">
        <v>969</v>
      </c>
      <c r="Y840" s="238" t="s">
        <v>39</v>
      </c>
      <c r="Z840" s="238" t="s">
        <v>1340</v>
      </c>
      <c r="AA840" t="s">
        <v>1167</v>
      </c>
      <c r="AB840" s="238" t="s">
        <v>3246</v>
      </c>
      <c r="AC840" t="s">
        <v>3079</v>
      </c>
      <c r="AD840" s="24"/>
      <c r="AE840" s="238" t="s">
        <v>2710</v>
      </c>
      <c r="AF840">
        <v>79967278817</v>
      </c>
      <c r="AG840" s="238" t="s">
        <v>2711</v>
      </c>
      <c r="AH840" s="238" t="s">
        <v>1212</v>
      </c>
      <c r="AI840" s="238" t="s">
        <v>3088</v>
      </c>
      <c r="AJ840" s="238" t="s">
        <v>689</v>
      </c>
      <c r="AK840" s="238" t="s">
        <v>794</v>
      </c>
      <c r="AL840" t="s">
        <v>8715</v>
      </c>
      <c r="AM840" t="s">
        <v>1167</v>
      </c>
    </row>
    <row r="841" spans="1:39" hidden="1" x14ac:dyDescent="0.25">
      <c r="A841">
        <v>837</v>
      </c>
      <c r="B841">
        <v>10</v>
      </c>
      <c r="C841" s="24">
        <v>44578</v>
      </c>
      <c r="D841" s="238" t="s">
        <v>27</v>
      </c>
      <c r="E841" s="238" t="s">
        <v>5</v>
      </c>
      <c r="F841">
        <v>5</v>
      </c>
      <c r="G841">
        <v>9</v>
      </c>
      <c r="H841">
        <v>268</v>
      </c>
      <c r="I841" s="238" t="s">
        <v>4052</v>
      </c>
      <c r="J841">
        <v>23.63</v>
      </c>
      <c r="K841" s="238" t="s">
        <v>38</v>
      </c>
      <c r="L841">
        <v>2176675.2599999998</v>
      </c>
      <c r="M841">
        <v>30000</v>
      </c>
      <c r="N841">
        <v>2206675.2599999998</v>
      </c>
      <c r="O841">
        <v>93384.479898434191</v>
      </c>
      <c r="P841">
        <v>378080</v>
      </c>
      <c r="Q841">
        <v>1828595.2599999998</v>
      </c>
      <c r="R841">
        <v>77384.479898434191</v>
      </c>
      <c r="S841" s="238" t="s">
        <v>137</v>
      </c>
      <c r="T841" s="238" t="s">
        <v>1167</v>
      </c>
      <c r="V841" t="s">
        <v>1167</v>
      </c>
      <c r="W841" s="24">
        <v>44574</v>
      </c>
      <c r="X841" s="238" t="s">
        <v>971</v>
      </c>
      <c r="Y841" s="238" t="s">
        <v>39</v>
      </c>
      <c r="Z841" s="238" t="s">
        <v>1340</v>
      </c>
      <c r="AA841" t="s">
        <v>1167</v>
      </c>
      <c r="AB841" s="238" t="s">
        <v>3246</v>
      </c>
      <c r="AC841" t="s">
        <v>3079</v>
      </c>
      <c r="AD841" s="24"/>
      <c r="AE841" s="238" t="s">
        <v>2712</v>
      </c>
      <c r="AF841">
        <v>79276147029</v>
      </c>
      <c r="AG841" s="238" t="s">
        <v>2713</v>
      </c>
      <c r="AH841" s="238" t="s">
        <v>1212</v>
      </c>
      <c r="AI841" s="238" t="s">
        <v>135</v>
      </c>
      <c r="AJ841" s="238" t="s">
        <v>120</v>
      </c>
      <c r="AK841" s="238" t="s">
        <v>141</v>
      </c>
      <c r="AL841" t="s">
        <v>8715</v>
      </c>
      <c r="AM841" t="s">
        <v>1167</v>
      </c>
    </row>
    <row r="842" spans="1:39" hidden="1" x14ac:dyDescent="0.25">
      <c r="A842">
        <v>838</v>
      </c>
      <c r="B842">
        <v>11</v>
      </c>
      <c r="C842" s="24">
        <v>44579</v>
      </c>
      <c r="D842" s="238" t="s">
        <v>27</v>
      </c>
      <c r="E842" s="238" t="s">
        <v>15</v>
      </c>
      <c r="F842">
        <v>1</v>
      </c>
      <c r="G842">
        <v>4</v>
      </c>
      <c r="H842">
        <v>528</v>
      </c>
      <c r="I842" s="238" t="s">
        <v>44</v>
      </c>
      <c r="J842">
        <v>82.27</v>
      </c>
      <c r="K842" s="238" t="s">
        <v>37</v>
      </c>
      <c r="L842">
        <v>4654990.4400000004</v>
      </c>
      <c r="M842">
        <v>0</v>
      </c>
      <c r="N842">
        <v>4654990.4400000004</v>
      </c>
      <c r="O842">
        <v>56581.869940440025</v>
      </c>
      <c r="P842">
        <v>452485</v>
      </c>
      <c r="Q842">
        <v>4202505.4400000004</v>
      </c>
      <c r="R842">
        <v>51081.869940440025</v>
      </c>
      <c r="S842" s="238" t="s">
        <v>137</v>
      </c>
      <c r="T842" s="238" t="s">
        <v>60</v>
      </c>
      <c r="U842">
        <v>452485</v>
      </c>
      <c r="V842" t="s">
        <v>4091</v>
      </c>
      <c r="W842" s="24">
        <v>44574</v>
      </c>
      <c r="X842" s="238" t="s">
        <v>972</v>
      </c>
      <c r="Y842" s="238" t="s">
        <v>39</v>
      </c>
      <c r="Z842" s="238" t="s">
        <v>1340</v>
      </c>
      <c r="AA842" t="s">
        <v>1167</v>
      </c>
      <c r="AB842" s="238" t="s">
        <v>3246</v>
      </c>
      <c r="AC842" t="s">
        <v>3079</v>
      </c>
      <c r="AD842" s="24"/>
      <c r="AE842" s="238" t="s">
        <v>2714</v>
      </c>
      <c r="AF842">
        <v>79874300300</v>
      </c>
      <c r="AG842" s="238" t="s">
        <v>1167</v>
      </c>
      <c r="AH842" s="238" t="s">
        <v>1212</v>
      </c>
      <c r="AI842" s="238" t="s">
        <v>135</v>
      </c>
      <c r="AJ842" s="238" t="s">
        <v>126</v>
      </c>
      <c r="AK842" s="238" t="s">
        <v>141</v>
      </c>
      <c r="AL842" t="s">
        <v>8715</v>
      </c>
      <c r="AM842" t="s">
        <v>1167</v>
      </c>
    </row>
    <row r="843" spans="1:39" hidden="1" x14ac:dyDescent="0.25">
      <c r="A843">
        <v>839</v>
      </c>
      <c r="B843">
        <v>12</v>
      </c>
      <c r="C843" s="24">
        <v>44581</v>
      </c>
      <c r="D843" s="238" t="s">
        <v>27</v>
      </c>
      <c r="E843" s="238" t="s">
        <v>6</v>
      </c>
      <c r="F843">
        <v>1</v>
      </c>
      <c r="G843">
        <v>12</v>
      </c>
      <c r="H843">
        <v>91</v>
      </c>
      <c r="I843" s="238" t="s">
        <v>44</v>
      </c>
      <c r="J843">
        <v>82.71</v>
      </c>
      <c r="K843" s="238" t="s">
        <v>37</v>
      </c>
      <c r="L843">
        <v>4912981.4400000004</v>
      </c>
      <c r="M843">
        <v>0</v>
      </c>
      <c r="N843">
        <v>4912981.4400000004</v>
      </c>
      <c r="O843">
        <v>59400.089952847309</v>
      </c>
      <c r="P843">
        <v>454905</v>
      </c>
      <c r="Q843">
        <v>4458076.4400000004</v>
      </c>
      <c r="R843">
        <v>53900.089952847309</v>
      </c>
      <c r="S843" s="238" t="s">
        <v>137</v>
      </c>
      <c r="T843" s="238" t="s">
        <v>60</v>
      </c>
      <c r="U843">
        <v>454905</v>
      </c>
      <c r="V843" t="s">
        <v>4091</v>
      </c>
      <c r="W843" s="24">
        <v>44578</v>
      </c>
      <c r="X843" s="238" t="s">
        <v>973</v>
      </c>
      <c r="Y843" s="238" t="s">
        <v>39</v>
      </c>
      <c r="Z843" s="238" t="s">
        <v>1340</v>
      </c>
      <c r="AA843" t="s">
        <v>1167</v>
      </c>
      <c r="AB843" s="238" t="s">
        <v>3246</v>
      </c>
      <c r="AC843" t="s">
        <v>3079</v>
      </c>
      <c r="AD843" s="24"/>
      <c r="AE843" s="238" t="s">
        <v>2715</v>
      </c>
      <c r="AF843">
        <v>79608256260</v>
      </c>
      <c r="AG843" s="238" t="s">
        <v>2716</v>
      </c>
      <c r="AH843" s="238" t="s">
        <v>1171</v>
      </c>
      <c r="AI843" s="238" t="s">
        <v>6406</v>
      </c>
      <c r="AJ843" s="238" t="s">
        <v>399</v>
      </c>
      <c r="AK843" s="238" t="s">
        <v>141</v>
      </c>
      <c r="AL843" t="s">
        <v>57</v>
      </c>
      <c r="AM843" t="s">
        <v>1167</v>
      </c>
    </row>
    <row r="844" spans="1:39" hidden="1" x14ac:dyDescent="0.25">
      <c r="A844">
        <v>840</v>
      </c>
      <c r="B844">
        <v>13</v>
      </c>
      <c r="C844" s="24">
        <v>44582</v>
      </c>
      <c r="D844" s="238" t="s">
        <v>27</v>
      </c>
      <c r="E844" s="238" t="s">
        <v>6</v>
      </c>
      <c r="F844">
        <v>2</v>
      </c>
      <c r="G844">
        <v>4</v>
      </c>
      <c r="H844">
        <v>20</v>
      </c>
      <c r="I844" s="238" t="s">
        <v>42</v>
      </c>
      <c r="J844">
        <v>37.94</v>
      </c>
      <c r="K844" s="238" t="s">
        <v>37</v>
      </c>
      <c r="L844">
        <v>2851883.37</v>
      </c>
      <c r="M844">
        <v>0</v>
      </c>
      <c r="N844">
        <v>2851883.37</v>
      </c>
      <c r="O844">
        <v>75168.249077490778</v>
      </c>
      <c r="P844">
        <v>208670</v>
      </c>
      <c r="Q844">
        <v>2643213.37</v>
      </c>
      <c r="R844">
        <v>69668.249077490778</v>
      </c>
      <c r="S844" s="238" t="s">
        <v>137</v>
      </c>
      <c r="T844" s="238" t="s">
        <v>321</v>
      </c>
      <c r="U844">
        <v>53943.13</v>
      </c>
      <c r="V844" t="s">
        <v>1167</v>
      </c>
      <c r="W844" s="24">
        <v>44570</v>
      </c>
      <c r="X844" s="238" t="s">
        <v>976</v>
      </c>
      <c r="Y844" s="238" t="s">
        <v>39</v>
      </c>
      <c r="Z844" s="238" t="s">
        <v>1340</v>
      </c>
      <c r="AA844" t="s">
        <v>1167</v>
      </c>
      <c r="AB844" s="238" t="s">
        <v>3246</v>
      </c>
      <c r="AC844" t="s">
        <v>3079</v>
      </c>
      <c r="AD844" s="24"/>
      <c r="AE844" s="238" t="s">
        <v>1369</v>
      </c>
      <c r="AF844">
        <v>79272073244</v>
      </c>
      <c r="AG844" s="238" t="s">
        <v>1203</v>
      </c>
      <c r="AH844" s="238" t="s">
        <v>1171</v>
      </c>
      <c r="AI844" s="238" t="s">
        <v>3082</v>
      </c>
      <c r="AJ844" s="238" t="s">
        <v>126</v>
      </c>
      <c r="AK844" s="238" t="s">
        <v>141</v>
      </c>
      <c r="AL844" t="s">
        <v>8715</v>
      </c>
      <c r="AM844" t="s">
        <v>1167</v>
      </c>
    </row>
    <row r="845" spans="1:39" hidden="1" x14ac:dyDescent="0.25">
      <c r="A845">
        <v>841</v>
      </c>
      <c r="B845">
        <v>14</v>
      </c>
      <c r="C845" s="24">
        <v>44582</v>
      </c>
      <c r="D845" s="238" t="s">
        <v>27</v>
      </c>
      <c r="E845" s="238" t="s">
        <v>5</v>
      </c>
      <c r="F845">
        <v>5</v>
      </c>
      <c r="G845">
        <v>15</v>
      </c>
      <c r="H845">
        <v>316</v>
      </c>
      <c r="I845" s="238" t="s">
        <v>4052</v>
      </c>
      <c r="J845">
        <v>23.63</v>
      </c>
      <c r="K845" s="238" t="s">
        <v>37</v>
      </c>
      <c r="L845">
        <v>1958560.26</v>
      </c>
      <c r="M845">
        <v>0</v>
      </c>
      <c r="N845">
        <v>1958560.26</v>
      </c>
      <c r="O845">
        <v>82884.479898434191</v>
      </c>
      <c r="P845">
        <v>129965</v>
      </c>
      <c r="Q845">
        <v>1828595.26</v>
      </c>
      <c r="R845">
        <v>77384.479898434191</v>
      </c>
      <c r="S845" s="238" t="s">
        <v>137</v>
      </c>
      <c r="T845" s="238" t="s">
        <v>1167</v>
      </c>
      <c r="V845" t="s">
        <v>1167</v>
      </c>
      <c r="W845" s="24">
        <v>44579</v>
      </c>
      <c r="X845" s="238" t="s">
        <v>974</v>
      </c>
      <c r="Y845" s="238" t="s">
        <v>39</v>
      </c>
      <c r="Z845" s="238" t="s">
        <v>1340</v>
      </c>
      <c r="AA845" t="s">
        <v>1167</v>
      </c>
      <c r="AB845" s="238" t="s">
        <v>3246</v>
      </c>
      <c r="AC845" t="s">
        <v>3079</v>
      </c>
      <c r="AD845" s="24"/>
      <c r="AE845" s="238" t="s">
        <v>2717</v>
      </c>
      <c r="AF845">
        <v>79272044515</v>
      </c>
      <c r="AG845" s="238" t="s">
        <v>2718</v>
      </c>
      <c r="AH845" s="238" t="s">
        <v>135</v>
      </c>
      <c r="AI845" s="238" t="s">
        <v>135</v>
      </c>
      <c r="AJ845" s="238" t="s">
        <v>120</v>
      </c>
      <c r="AK845" s="238" t="s">
        <v>141</v>
      </c>
      <c r="AL845" t="s">
        <v>8715</v>
      </c>
      <c r="AM845" t="s">
        <v>1167</v>
      </c>
    </row>
    <row r="846" spans="1:39" hidden="1" x14ac:dyDescent="0.25">
      <c r="A846">
        <v>842</v>
      </c>
      <c r="B846">
        <v>15</v>
      </c>
      <c r="C846" s="24">
        <v>44582</v>
      </c>
      <c r="D846" s="238" t="s">
        <v>27</v>
      </c>
      <c r="E846" s="238" t="s">
        <v>13</v>
      </c>
      <c r="F846">
        <v>6</v>
      </c>
      <c r="G846">
        <v>7</v>
      </c>
      <c r="H846">
        <v>881</v>
      </c>
      <c r="I846" s="238" t="s">
        <v>43</v>
      </c>
      <c r="J846">
        <v>54.28</v>
      </c>
      <c r="K846" s="238" t="s">
        <v>36</v>
      </c>
      <c r="L846">
        <v>3610198.78</v>
      </c>
      <c r="M846">
        <v>0</v>
      </c>
      <c r="N846">
        <v>3610198.78</v>
      </c>
      <c r="O846">
        <v>66510.662859248332</v>
      </c>
      <c r="P846">
        <v>0</v>
      </c>
      <c r="Q846">
        <v>3610198.78</v>
      </c>
      <c r="R846">
        <v>66510.662859248332</v>
      </c>
      <c r="S846" s="238" t="s">
        <v>137</v>
      </c>
      <c r="T846" s="238" t="s">
        <v>1167</v>
      </c>
      <c r="V846" t="s">
        <v>4091</v>
      </c>
      <c r="W846" s="24">
        <v>44583</v>
      </c>
      <c r="X846" s="238" t="s">
        <v>975</v>
      </c>
      <c r="Y846" s="238" t="s">
        <v>39</v>
      </c>
      <c r="Z846" s="238" t="s">
        <v>1340</v>
      </c>
      <c r="AA846" t="s">
        <v>1167</v>
      </c>
      <c r="AB846" s="238" t="s">
        <v>3246</v>
      </c>
      <c r="AC846" t="s">
        <v>3079</v>
      </c>
      <c r="AD846" s="24"/>
      <c r="AE846" s="238" t="s">
        <v>1602</v>
      </c>
      <c r="AF846">
        <v>79068140909</v>
      </c>
      <c r="AG846" s="238" t="s">
        <v>1603</v>
      </c>
      <c r="AH846" s="238" t="s">
        <v>1197</v>
      </c>
      <c r="AI846" s="238" t="s">
        <v>3082</v>
      </c>
      <c r="AJ846" s="238" t="s">
        <v>120</v>
      </c>
      <c r="AK846" s="238" t="s">
        <v>141</v>
      </c>
      <c r="AL846" t="s">
        <v>8715</v>
      </c>
      <c r="AM846" t="s">
        <v>1167</v>
      </c>
    </row>
    <row r="847" spans="1:39" hidden="1" x14ac:dyDescent="0.25">
      <c r="A847">
        <v>843</v>
      </c>
      <c r="B847">
        <v>16</v>
      </c>
      <c r="C847" s="24">
        <v>44585</v>
      </c>
      <c r="D847" s="238" t="s">
        <v>27</v>
      </c>
      <c r="E847" s="238" t="s">
        <v>6</v>
      </c>
      <c r="F847">
        <v>9</v>
      </c>
      <c r="G847">
        <v>12</v>
      </c>
      <c r="H847">
        <v>99</v>
      </c>
      <c r="I847" s="238" t="s">
        <v>42</v>
      </c>
      <c r="J847">
        <v>37.94</v>
      </c>
      <c r="K847" s="238" t="s">
        <v>37</v>
      </c>
      <c r="L847">
        <v>2917963.65</v>
      </c>
      <c r="M847">
        <v>0</v>
      </c>
      <c r="N847">
        <v>2917963.65</v>
      </c>
      <c r="O847">
        <v>76909.953874538754</v>
      </c>
      <c r="P847">
        <v>208670</v>
      </c>
      <c r="Q847">
        <v>2709293.65</v>
      </c>
      <c r="R847">
        <v>71409.953874538754</v>
      </c>
      <c r="S847" s="238" t="s">
        <v>137</v>
      </c>
      <c r="T847" s="238" t="s">
        <v>978</v>
      </c>
      <c r="U847">
        <v>55291.71</v>
      </c>
      <c r="V847" t="s">
        <v>1167</v>
      </c>
      <c r="W847" s="24">
        <v>44581</v>
      </c>
      <c r="X847" s="238" t="s">
        <v>977</v>
      </c>
      <c r="Y847" s="238" t="s">
        <v>39</v>
      </c>
      <c r="Z847" s="238" t="s">
        <v>1340</v>
      </c>
      <c r="AA847" t="s">
        <v>1167</v>
      </c>
      <c r="AB847" s="238" t="s">
        <v>3246</v>
      </c>
      <c r="AC847" t="s">
        <v>3079</v>
      </c>
      <c r="AD847" s="24"/>
      <c r="AE847" s="238" t="s">
        <v>2719</v>
      </c>
      <c r="AF847">
        <v>79379941182</v>
      </c>
      <c r="AG847" s="238" t="s">
        <v>2720</v>
      </c>
      <c r="AH847" s="238" t="s">
        <v>1212</v>
      </c>
      <c r="AI847" s="238" t="s">
        <v>135</v>
      </c>
      <c r="AJ847" s="238" t="s">
        <v>126</v>
      </c>
      <c r="AK847" s="238" t="s">
        <v>794</v>
      </c>
      <c r="AL847" t="s">
        <v>8715</v>
      </c>
      <c r="AM847" t="s">
        <v>1167</v>
      </c>
    </row>
    <row r="848" spans="1:39" hidden="1" x14ac:dyDescent="0.25">
      <c r="A848">
        <v>844</v>
      </c>
      <c r="B848">
        <v>17</v>
      </c>
      <c r="C848" s="24">
        <v>44585</v>
      </c>
      <c r="D848" s="238" t="s">
        <v>27</v>
      </c>
      <c r="E848" s="238" t="s">
        <v>5</v>
      </c>
      <c r="F848">
        <v>5</v>
      </c>
      <c r="G848">
        <v>14</v>
      </c>
      <c r="H848">
        <v>308</v>
      </c>
      <c r="I848" s="238" t="s">
        <v>4052</v>
      </c>
      <c r="J848">
        <v>23.63</v>
      </c>
      <c r="K848" s="238" t="s">
        <v>36</v>
      </c>
      <c r="L848">
        <v>1828595.26</v>
      </c>
      <c r="M848">
        <v>0</v>
      </c>
      <c r="N848">
        <v>1828595.26</v>
      </c>
      <c r="O848">
        <v>77384.479898434191</v>
      </c>
      <c r="P848">
        <v>0</v>
      </c>
      <c r="Q848">
        <v>1828595.26</v>
      </c>
      <c r="R848">
        <v>77384.479898434191</v>
      </c>
      <c r="S848" s="238" t="s">
        <v>121</v>
      </c>
      <c r="T848" s="238" t="s">
        <v>1167</v>
      </c>
      <c r="V848" t="s">
        <v>1167</v>
      </c>
      <c r="W848" s="24">
        <v>44582</v>
      </c>
      <c r="X848" s="238" t="s">
        <v>980</v>
      </c>
      <c r="Y848" s="238" t="s">
        <v>39</v>
      </c>
      <c r="Z848" s="238" t="s">
        <v>1168</v>
      </c>
      <c r="AA848" t="s">
        <v>1167</v>
      </c>
      <c r="AB848" s="238" t="s">
        <v>3246</v>
      </c>
      <c r="AC848" t="s">
        <v>4246</v>
      </c>
      <c r="AD848" s="24"/>
      <c r="AE848" s="238" t="s">
        <v>3776</v>
      </c>
      <c r="AG848" s="238" t="s">
        <v>3777</v>
      </c>
      <c r="AH848" s="238" t="s">
        <v>1212</v>
      </c>
      <c r="AI848" s="238" t="s">
        <v>135</v>
      </c>
      <c r="AJ848" s="238" t="s">
        <v>120</v>
      </c>
      <c r="AK848" s="238" t="s">
        <v>1167</v>
      </c>
      <c r="AL848" t="s">
        <v>8715</v>
      </c>
      <c r="AM848" t="s">
        <v>1167</v>
      </c>
    </row>
    <row r="849" spans="1:39" hidden="1" x14ac:dyDescent="0.25">
      <c r="A849">
        <v>845</v>
      </c>
      <c r="B849">
        <v>18</v>
      </c>
      <c r="C849" s="24">
        <v>44585</v>
      </c>
      <c r="D849" s="238" t="s">
        <v>27</v>
      </c>
      <c r="E849" s="238" t="s">
        <v>15</v>
      </c>
      <c r="F849">
        <v>1</v>
      </c>
      <c r="G849">
        <v>3</v>
      </c>
      <c r="H849">
        <v>520</v>
      </c>
      <c r="I849" s="238" t="s">
        <v>44</v>
      </c>
      <c r="J849">
        <v>82.27</v>
      </c>
      <c r="K849" s="238" t="s">
        <v>37</v>
      </c>
      <c r="L849">
        <v>5107475.4400000004</v>
      </c>
      <c r="M849">
        <v>0</v>
      </c>
      <c r="N849">
        <v>5107475.4400000004</v>
      </c>
      <c r="O849">
        <v>62081.869940440025</v>
      </c>
      <c r="P849">
        <v>452485</v>
      </c>
      <c r="Q849">
        <v>4654990.4400000004</v>
      </c>
      <c r="R849">
        <v>56581.869940440025</v>
      </c>
      <c r="S849" s="238" t="s">
        <v>137</v>
      </c>
      <c r="T849" s="238" t="s">
        <v>1167</v>
      </c>
      <c r="V849" t="s">
        <v>4091</v>
      </c>
      <c r="W849" s="24">
        <v>44576</v>
      </c>
      <c r="X849" s="238" t="s">
        <v>979</v>
      </c>
      <c r="Y849" s="238" t="s">
        <v>39</v>
      </c>
      <c r="Z849" s="238" t="s">
        <v>1340</v>
      </c>
      <c r="AA849" t="s">
        <v>1167</v>
      </c>
      <c r="AB849" s="238" t="s">
        <v>3246</v>
      </c>
      <c r="AC849" t="s">
        <v>3079</v>
      </c>
      <c r="AD849" s="24"/>
      <c r="AE849" s="238" t="s">
        <v>2722</v>
      </c>
      <c r="AF849">
        <v>79171072007</v>
      </c>
      <c r="AG849" s="238" t="s">
        <v>2723</v>
      </c>
      <c r="AH849" s="238" t="s">
        <v>135</v>
      </c>
      <c r="AI849" s="238" t="s">
        <v>3099</v>
      </c>
      <c r="AJ849" s="238" t="s">
        <v>689</v>
      </c>
      <c r="AK849" s="238" t="s">
        <v>141</v>
      </c>
      <c r="AL849" t="s">
        <v>8715</v>
      </c>
      <c r="AM849" t="s">
        <v>1167</v>
      </c>
    </row>
    <row r="850" spans="1:39" hidden="1" x14ac:dyDescent="0.25">
      <c r="A850">
        <v>846</v>
      </c>
      <c r="B850">
        <v>19</v>
      </c>
      <c r="C850" s="24">
        <v>44586</v>
      </c>
      <c r="D850" s="238" t="s">
        <v>19</v>
      </c>
      <c r="E850" s="238" t="s">
        <v>5</v>
      </c>
      <c r="F850">
        <v>9</v>
      </c>
      <c r="G850">
        <v>12</v>
      </c>
      <c r="H850">
        <v>280</v>
      </c>
      <c r="I850" s="238" t="s">
        <v>43</v>
      </c>
      <c r="J850">
        <v>60.3</v>
      </c>
      <c r="K850" s="238" t="s">
        <v>37</v>
      </c>
      <c r="L850">
        <v>4653546.29</v>
      </c>
      <c r="M850">
        <v>0</v>
      </c>
      <c r="N850">
        <v>4653546.29</v>
      </c>
      <c r="O850">
        <v>77173.23864013268</v>
      </c>
      <c r="P850">
        <v>331650</v>
      </c>
      <c r="Q850">
        <v>4321896.29</v>
      </c>
      <c r="R850">
        <v>71673.23864013268</v>
      </c>
      <c r="S850" s="238" t="s">
        <v>137</v>
      </c>
      <c r="T850" s="238" t="s">
        <v>1167</v>
      </c>
      <c r="V850" t="s">
        <v>4091</v>
      </c>
      <c r="W850" s="24">
        <v>44581</v>
      </c>
      <c r="X850" s="238" t="s">
        <v>984</v>
      </c>
      <c r="Y850" s="238" t="s">
        <v>39</v>
      </c>
      <c r="Z850" s="238" t="s">
        <v>1340</v>
      </c>
      <c r="AA850" t="s">
        <v>1167</v>
      </c>
      <c r="AB850" s="238" t="s">
        <v>3246</v>
      </c>
      <c r="AC850" t="s">
        <v>3079</v>
      </c>
      <c r="AD850" s="24"/>
      <c r="AE850" s="238" t="s">
        <v>2724</v>
      </c>
      <c r="AF850">
        <v>79277566335</v>
      </c>
      <c r="AG850" s="238" t="s">
        <v>2725</v>
      </c>
      <c r="AH850" s="238" t="s">
        <v>1212</v>
      </c>
      <c r="AI850" s="238" t="s">
        <v>3116</v>
      </c>
      <c r="AJ850" s="238" t="s">
        <v>130</v>
      </c>
      <c r="AK850" s="238" t="s">
        <v>141</v>
      </c>
      <c r="AL850" t="s">
        <v>8715</v>
      </c>
      <c r="AM850" t="s">
        <v>1167</v>
      </c>
    </row>
    <row r="851" spans="1:39" hidden="1" x14ac:dyDescent="0.25">
      <c r="A851">
        <v>847</v>
      </c>
      <c r="B851">
        <v>20</v>
      </c>
      <c r="C851" s="24">
        <v>44586</v>
      </c>
      <c r="D851" s="238" t="s">
        <v>27</v>
      </c>
      <c r="E851" s="238" t="s">
        <v>5</v>
      </c>
      <c r="F851">
        <v>5</v>
      </c>
      <c r="G851">
        <v>6</v>
      </c>
      <c r="H851">
        <v>244</v>
      </c>
      <c r="I851" s="238" t="s">
        <v>4052</v>
      </c>
      <c r="J851">
        <v>23.63</v>
      </c>
      <c r="K851" s="238" t="s">
        <v>36</v>
      </c>
      <c r="L851">
        <v>1828595.26</v>
      </c>
      <c r="M851">
        <v>0</v>
      </c>
      <c r="N851">
        <v>1828595.26</v>
      </c>
      <c r="O851">
        <v>77384.479898434191</v>
      </c>
      <c r="P851">
        <v>0</v>
      </c>
      <c r="Q851">
        <v>1828595.26</v>
      </c>
      <c r="R851">
        <v>77384.479898434191</v>
      </c>
      <c r="S851" s="238" t="s">
        <v>137</v>
      </c>
      <c r="T851" s="238" t="s">
        <v>1167</v>
      </c>
      <c r="V851" t="s">
        <v>1167</v>
      </c>
      <c r="W851" s="24">
        <v>44582</v>
      </c>
      <c r="X851" s="238" t="s">
        <v>981</v>
      </c>
      <c r="Y851" s="238" t="s">
        <v>39</v>
      </c>
      <c r="Z851" s="238" t="s">
        <v>1340</v>
      </c>
      <c r="AA851" t="s">
        <v>1167</v>
      </c>
      <c r="AB851" s="238" t="s">
        <v>3246</v>
      </c>
      <c r="AC851" t="s">
        <v>3077</v>
      </c>
      <c r="AD851" s="24"/>
      <c r="AE851" s="238" t="s">
        <v>2726</v>
      </c>
      <c r="AF851">
        <v>79277679836</v>
      </c>
      <c r="AG851" s="238" t="s">
        <v>2727</v>
      </c>
      <c r="AH851" s="238" t="s">
        <v>1171</v>
      </c>
      <c r="AI851" s="238" t="s">
        <v>6406</v>
      </c>
      <c r="AJ851" s="238" t="s">
        <v>982</v>
      </c>
      <c r="AK851" s="238" t="s">
        <v>794</v>
      </c>
      <c r="AL851" t="s">
        <v>57</v>
      </c>
      <c r="AM851" t="s">
        <v>1167</v>
      </c>
    </row>
    <row r="852" spans="1:39" hidden="1" x14ac:dyDescent="0.25">
      <c r="A852">
        <v>848</v>
      </c>
      <c r="B852">
        <v>21</v>
      </c>
      <c r="C852" s="24">
        <v>44586</v>
      </c>
      <c r="D852" s="238" t="s">
        <v>19</v>
      </c>
      <c r="E852" s="238" t="s">
        <v>6</v>
      </c>
      <c r="F852">
        <v>4</v>
      </c>
      <c r="G852">
        <v>21</v>
      </c>
      <c r="H852">
        <v>137</v>
      </c>
      <c r="I852" s="238" t="s">
        <v>42</v>
      </c>
      <c r="J852">
        <v>36.86</v>
      </c>
      <c r="K852" s="238" t="s">
        <v>36</v>
      </c>
      <c r="L852">
        <v>2800418.94</v>
      </c>
      <c r="M852">
        <v>0</v>
      </c>
      <c r="N852">
        <v>2800418.94</v>
      </c>
      <c r="O852">
        <v>75974.469343461751</v>
      </c>
      <c r="P852">
        <v>0</v>
      </c>
      <c r="Q852">
        <v>2800418.94</v>
      </c>
      <c r="R852">
        <v>75974.469343461751</v>
      </c>
      <c r="S852" s="238" t="s">
        <v>137</v>
      </c>
      <c r="T852" s="238" t="s">
        <v>1167</v>
      </c>
      <c r="V852" t="s">
        <v>1167</v>
      </c>
      <c r="W852" s="24">
        <v>44584</v>
      </c>
      <c r="X852" s="238" t="s">
        <v>983</v>
      </c>
      <c r="Y852" s="238" t="s">
        <v>39</v>
      </c>
      <c r="Z852" s="238" t="s">
        <v>1340</v>
      </c>
      <c r="AA852" t="s">
        <v>1167</v>
      </c>
      <c r="AB852" s="238" t="s">
        <v>3246</v>
      </c>
      <c r="AC852" t="s">
        <v>3079</v>
      </c>
      <c r="AD852" s="24"/>
      <c r="AE852" s="238" t="s">
        <v>2728</v>
      </c>
      <c r="AF852">
        <v>79379806873</v>
      </c>
      <c r="AG852" s="238" t="s">
        <v>2729</v>
      </c>
      <c r="AH852" s="238" t="s">
        <v>1212</v>
      </c>
      <c r="AI852" s="238" t="s">
        <v>135</v>
      </c>
      <c r="AJ852" s="238" t="s">
        <v>126</v>
      </c>
      <c r="AK852" s="238" t="s">
        <v>794</v>
      </c>
      <c r="AL852" t="s">
        <v>8715</v>
      </c>
      <c r="AM852" t="s">
        <v>1167</v>
      </c>
    </row>
    <row r="853" spans="1:39" hidden="1" x14ac:dyDescent="0.25">
      <c r="A853">
        <v>849</v>
      </c>
      <c r="B853">
        <v>22</v>
      </c>
      <c r="C853" s="24">
        <v>44586</v>
      </c>
      <c r="D853" s="238" t="s">
        <v>27</v>
      </c>
      <c r="E853" s="238" t="s">
        <v>5</v>
      </c>
      <c r="F853">
        <v>6</v>
      </c>
      <c r="G853">
        <v>16</v>
      </c>
      <c r="H853">
        <v>325</v>
      </c>
      <c r="I853" s="238" t="s">
        <v>42</v>
      </c>
      <c r="J853">
        <v>37.11</v>
      </c>
      <c r="K853" s="238" t="s">
        <v>36</v>
      </c>
      <c r="L853">
        <v>2638151.7599999998</v>
      </c>
      <c r="M853">
        <v>0</v>
      </c>
      <c r="N853">
        <v>2638151.7599999998</v>
      </c>
      <c r="O853">
        <v>71090.050121261113</v>
      </c>
      <c r="P853">
        <v>0</v>
      </c>
      <c r="Q853">
        <v>2638151.7599999998</v>
      </c>
      <c r="R853">
        <v>71090.050121261113</v>
      </c>
      <c r="S853" s="238" t="s">
        <v>137</v>
      </c>
      <c r="T853" s="238" t="s">
        <v>1167</v>
      </c>
      <c r="V853" t="s">
        <v>1167</v>
      </c>
      <c r="W853" s="24">
        <v>44585</v>
      </c>
      <c r="X853" s="238" t="s">
        <v>985</v>
      </c>
      <c r="Y853" s="238" t="s">
        <v>39</v>
      </c>
      <c r="Z853" s="238" t="s">
        <v>1340</v>
      </c>
      <c r="AA853" t="s">
        <v>1167</v>
      </c>
      <c r="AB853" s="238" t="s">
        <v>3246</v>
      </c>
      <c r="AC853" t="s">
        <v>3077</v>
      </c>
      <c r="AD853" s="24"/>
      <c r="AE853" s="238" t="s">
        <v>2730</v>
      </c>
      <c r="AF853">
        <v>79608300088</v>
      </c>
      <c r="AG853" s="238" t="s">
        <v>2731</v>
      </c>
      <c r="AH853" s="238" t="s">
        <v>1171</v>
      </c>
      <c r="AI853" s="238" t="s">
        <v>6406</v>
      </c>
      <c r="AJ853" s="238" t="s">
        <v>982</v>
      </c>
      <c r="AK853" s="238" t="s">
        <v>794</v>
      </c>
      <c r="AL853" t="s">
        <v>57</v>
      </c>
      <c r="AM853" t="s">
        <v>1167</v>
      </c>
    </row>
    <row r="854" spans="1:39" hidden="1" x14ac:dyDescent="0.25">
      <c r="A854">
        <v>850</v>
      </c>
      <c r="B854">
        <v>23</v>
      </c>
      <c r="C854" s="24">
        <v>44586</v>
      </c>
      <c r="D854" s="238" t="s">
        <v>27</v>
      </c>
      <c r="E854" s="238" t="s">
        <v>13</v>
      </c>
      <c r="F854">
        <v>6</v>
      </c>
      <c r="G854">
        <v>4</v>
      </c>
      <c r="H854">
        <v>854</v>
      </c>
      <c r="I854" s="238" t="s">
        <v>43</v>
      </c>
      <c r="J854">
        <v>54.28</v>
      </c>
      <c r="K854" s="238" t="s">
        <v>37</v>
      </c>
      <c r="L854">
        <v>3893738.78</v>
      </c>
      <c r="M854">
        <v>15000</v>
      </c>
      <c r="N854">
        <v>3908738.78</v>
      </c>
      <c r="O854">
        <v>72010.662859248332</v>
      </c>
      <c r="P854">
        <v>298540</v>
      </c>
      <c r="Q854">
        <v>3610198.78</v>
      </c>
      <c r="R854">
        <v>66510.662859248332</v>
      </c>
      <c r="S854" s="238" t="s">
        <v>121</v>
      </c>
      <c r="T854" s="238" t="s">
        <v>1167</v>
      </c>
      <c r="V854" t="s">
        <v>1167</v>
      </c>
      <c r="W854" s="24">
        <v>44570</v>
      </c>
      <c r="X854" s="238" t="s">
        <v>986</v>
      </c>
      <c r="Y854" s="238" t="s">
        <v>39</v>
      </c>
      <c r="Z854" s="238" t="s">
        <v>1168</v>
      </c>
      <c r="AA854" t="s">
        <v>1167</v>
      </c>
      <c r="AB854" s="238" t="s">
        <v>3246</v>
      </c>
      <c r="AC854" t="s">
        <v>4246</v>
      </c>
      <c r="AD854" s="24"/>
      <c r="AE854" s="238" t="s">
        <v>2732</v>
      </c>
      <c r="AF854">
        <v>79879539320</v>
      </c>
      <c r="AG854" s="238" t="s">
        <v>1167</v>
      </c>
      <c r="AH854" s="238" t="s">
        <v>135</v>
      </c>
      <c r="AI854" s="238" t="s">
        <v>3099</v>
      </c>
      <c r="AJ854" s="238" t="s">
        <v>689</v>
      </c>
      <c r="AK854" s="238" t="s">
        <v>1167</v>
      </c>
      <c r="AL854" t="s">
        <v>8715</v>
      </c>
      <c r="AM854" t="s">
        <v>1167</v>
      </c>
    </row>
    <row r="855" spans="1:39" hidden="1" x14ac:dyDescent="0.25">
      <c r="A855">
        <v>851</v>
      </c>
      <c r="B855">
        <v>24</v>
      </c>
      <c r="C855" s="24">
        <v>44587</v>
      </c>
      <c r="D855" s="238" t="s">
        <v>27</v>
      </c>
      <c r="E855" s="238" t="s">
        <v>5</v>
      </c>
      <c r="F855">
        <v>5</v>
      </c>
      <c r="G855">
        <v>8</v>
      </c>
      <c r="H855">
        <v>260</v>
      </c>
      <c r="I855" s="238" t="s">
        <v>4052</v>
      </c>
      <c r="J855">
        <v>23.63</v>
      </c>
      <c r="K855" s="238" t="s">
        <v>37</v>
      </c>
      <c r="L855">
        <v>1958560.26</v>
      </c>
      <c r="M855">
        <v>0</v>
      </c>
      <c r="N855">
        <v>1958560.26</v>
      </c>
      <c r="O855">
        <v>82884.479898434191</v>
      </c>
      <c r="P855">
        <v>129965</v>
      </c>
      <c r="Q855">
        <v>1828595.26</v>
      </c>
      <c r="R855">
        <v>77384.479898434191</v>
      </c>
      <c r="S855" s="238" t="s">
        <v>137</v>
      </c>
      <c r="T855" s="238" t="s">
        <v>1167</v>
      </c>
      <c r="V855" t="s">
        <v>1167</v>
      </c>
      <c r="W855" s="24">
        <v>44581</v>
      </c>
      <c r="X855" s="238" t="s">
        <v>987</v>
      </c>
      <c r="Y855" s="238" t="s">
        <v>39</v>
      </c>
      <c r="Z855" s="238" t="s">
        <v>1340</v>
      </c>
      <c r="AA855" t="s">
        <v>1167</v>
      </c>
      <c r="AB855" s="238" t="s">
        <v>3246</v>
      </c>
      <c r="AC855" t="s">
        <v>3079</v>
      </c>
      <c r="AD855" s="24"/>
      <c r="AE855" s="238" t="s">
        <v>2733</v>
      </c>
      <c r="AF855">
        <v>79879637282</v>
      </c>
      <c r="AG855" s="238" t="s">
        <v>2734</v>
      </c>
      <c r="AH855" s="238" t="s">
        <v>1171</v>
      </c>
      <c r="AI855" s="238" t="s">
        <v>135</v>
      </c>
      <c r="AJ855" s="238" t="s">
        <v>126</v>
      </c>
      <c r="AK855" s="238" t="s">
        <v>794</v>
      </c>
      <c r="AL855" t="s">
        <v>8715</v>
      </c>
      <c r="AM855" t="s">
        <v>1167</v>
      </c>
    </row>
    <row r="856" spans="1:39" hidden="1" x14ac:dyDescent="0.25">
      <c r="A856">
        <v>852</v>
      </c>
      <c r="B856">
        <v>25</v>
      </c>
      <c r="C856" s="24">
        <v>44587</v>
      </c>
      <c r="D856" s="238" t="s">
        <v>27</v>
      </c>
      <c r="E856" s="238" t="s">
        <v>6</v>
      </c>
      <c r="F856">
        <v>9</v>
      </c>
      <c r="G856">
        <v>3</v>
      </c>
      <c r="H856">
        <v>18</v>
      </c>
      <c r="I856" s="238" t="s">
        <v>42</v>
      </c>
      <c r="J856">
        <v>37.94</v>
      </c>
      <c r="K856" s="238" t="s">
        <v>37</v>
      </c>
      <c r="L856">
        <v>2793444.8</v>
      </c>
      <c r="M856">
        <v>0</v>
      </c>
      <c r="N856">
        <v>2793444.8</v>
      </c>
      <c r="O856">
        <v>73627.95993674222</v>
      </c>
      <c r="P856">
        <v>208670</v>
      </c>
      <c r="Q856">
        <v>2584774.7999999998</v>
      </c>
      <c r="R856">
        <v>68127.95993674222</v>
      </c>
      <c r="S856" s="238" t="s">
        <v>137</v>
      </c>
      <c r="T856" s="238" t="s">
        <v>1167</v>
      </c>
      <c r="V856" t="s">
        <v>1167</v>
      </c>
      <c r="W856" s="24">
        <v>44587</v>
      </c>
      <c r="X856" s="238" t="s">
        <v>988</v>
      </c>
      <c r="Y856" s="238" t="s">
        <v>39</v>
      </c>
      <c r="Z856" s="238" t="s">
        <v>1340</v>
      </c>
      <c r="AA856" t="s">
        <v>1167</v>
      </c>
      <c r="AB856" s="238" t="s">
        <v>3246</v>
      </c>
      <c r="AC856" t="s">
        <v>3079</v>
      </c>
      <c r="AD856" s="24"/>
      <c r="AE856" s="238" t="s">
        <v>2735</v>
      </c>
      <c r="AF856">
        <v>79096028158</v>
      </c>
      <c r="AG856" s="238" t="s">
        <v>2736</v>
      </c>
      <c r="AH856" s="238" t="s">
        <v>1212</v>
      </c>
      <c r="AI856" s="238" t="s">
        <v>3106</v>
      </c>
      <c r="AJ856" s="238" t="s">
        <v>689</v>
      </c>
      <c r="AK856" s="238" t="s">
        <v>794</v>
      </c>
      <c r="AL856" t="s">
        <v>8715</v>
      </c>
      <c r="AM856" t="s">
        <v>1167</v>
      </c>
    </row>
    <row r="857" spans="1:39" hidden="1" x14ac:dyDescent="0.25">
      <c r="A857">
        <v>853</v>
      </c>
      <c r="B857">
        <v>26</v>
      </c>
      <c r="C857" s="24">
        <v>44588</v>
      </c>
      <c r="D857" s="238" t="s">
        <v>27</v>
      </c>
      <c r="E857" s="238" t="s">
        <v>14</v>
      </c>
      <c r="F857">
        <v>3</v>
      </c>
      <c r="G857">
        <v>4</v>
      </c>
      <c r="H857">
        <v>652</v>
      </c>
      <c r="I857" s="238" t="s">
        <v>43</v>
      </c>
      <c r="J857">
        <v>56.33</v>
      </c>
      <c r="K857" s="238" t="s">
        <v>36</v>
      </c>
      <c r="L857">
        <v>4129616.07</v>
      </c>
      <c r="M857">
        <v>15000</v>
      </c>
      <c r="N857">
        <v>4144616.07</v>
      </c>
      <c r="O857">
        <v>73577.420024853534</v>
      </c>
      <c r="P857">
        <v>0</v>
      </c>
      <c r="Q857">
        <v>4144616.07</v>
      </c>
      <c r="R857">
        <v>73577.420024853534</v>
      </c>
      <c r="S857" s="238" t="s">
        <v>121</v>
      </c>
      <c r="T857" s="238" t="s">
        <v>1167</v>
      </c>
      <c r="V857" t="s">
        <v>1167</v>
      </c>
      <c r="W857" s="24">
        <v>44575</v>
      </c>
      <c r="X857" s="238" t="s">
        <v>990</v>
      </c>
      <c r="Y857" s="238" t="s">
        <v>39</v>
      </c>
      <c r="Z857" s="238" t="s">
        <v>1168</v>
      </c>
      <c r="AA857" t="s">
        <v>1167</v>
      </c>
      <c r="AB857" s="238" t="s">
        <v>3246</v>
      </c>
      <c r="AC857" t="s">
        <v>4246</v>
      </c>
      <c r="AD857" s="24"/>
      <c r="AE857" s="238" t="s">
        <v>991</v>
      </c>
      <c r="AF857">
        <v>77711082421</v>
      </c>
      <c r="AG857" s="238" t="s">
        <v>2737</v>
      </c>
      <c r="AH857" s="238" t="s">
        <v>1212</v>
      </c>
      <c r="AI857" s="238" t="s">
        <v>135</v>
      </c>
      <c r="AJ857" s="238" t="s">
        <v>399</v>
      </c>
      <c r="AK857" s="238" t="s">
        <v>1167</v>
      </c>
      <c r="AL857" t="s">
        <v>8715</v>
      </c>
      <c r="AM857" t="s">
        <v>1167</v>
      </c>
    </row>
    <row r="858" spans="1:39" hidden="1" x14ac:dyDescent="0.25">
      <c r="A858">
        <v>854</v>
      </c>
      <c r="B858">
        <v>27</v>
      </c>
      <c r="C858" s="24">
        <v>44588</v>
      </c>
      <c r="D858" s="238" t="s">
        <v>19</v>
      </c>
      <c r="E858" s="238" t="s">
        <v>6</v>
      </c>
      <c r="F858">
        <v>4</v>
      </c>
      <c r="G858">
        <v>10</v>
      </c>
      <c r="H858">
        <v>60</v>
      </c>
      <c r="I858" s="238" t="s">
        <v>42</v>
      </c>
      <c r="J858">
        <v>36.86</v>
      </c>
      <c r="K858" s="238" t="s">
        <v>37</v>
      </c>
      <c r="L858">
        <v>3098873.32</v>
      </c>
      <c r="M858">
        <v>0</v>
      </c>
      <c r="N858">
        <v>3098873.32</v>
      </c>
      <c r="O858">
        <v>84071.441128594684</v>
      </c>
      <c r="P858">
        <v>202730</v>
      </c>
      <c r="Q858">
        <v>2896143.32</v>
      </c>
      <c r="R858">
        <v>78571.441128594684</v>
      </c>
      <c r="S858" s="238" t="s">
        <v>137</v>
      </c>
      <c r="T858" s="238" t="s">
        <v>1167</v>
      </c>
      <c r="V858" t="s">
        <v>1167</v>
      </c>
      <c r="W858" s="24">
        <v>44585</v>
      </c>
      <c r="X858" s="238" t="s">
        <v>989</v>
      </c>
      <c r="Y858" s="238" t="s">
        <v>39</v>
      </c>
      <c r="Z858" s="238" t="s">
        <v>1340</v>
      </c>
      <c r="AA858" t="s">
        <v>1167</v>
      </c>
      <c r="AB858" s="238" t="s">
        <v>3246</v>
      </c>
      <c r="AC858" t="s">
        <v>3079</v>
      </c>
      <c r="AD858" s="24"/>
      <c r="AE858" s="238" t="s">
        <v>2738</v>
      </c>
      <c r="AF858">
        <v>79277233343</v>
      </c>
      <c r="AG858" s="238" t="s">
        <v>2739</v>
      </c>
      <c r="AH858" s="238" t="s">
        <v>135</v>
      </c>
      <c r="AI858" s="238" t="s">
        <v>3075</v>
      </c>
      <c r="AJ858" s="238" t="s">
        <v>130</v>
      </c>
      <c r="AK858" s="238" t="s">
        <v>141</v>
      </c>
      <c r="AL858" t="s">
        <v>8715</v>
      </c>
      <c r="AM858" t="s">
        <v>1167</v>
      </c>
    </row>
    <row r="859" spans="1:39" hidden="1" x14ac:dyDescent="0.25">
      <c r="A859">
        <v>855</v>
      </c>
      <c r="B859">
        <v>28</v>
      </c>
      <c r="C859" s="24">
        <v>44589</v>
      </c>
      <c r="D859" s="238" t="s">
        <v>27</v>
      </c>
      <c r="E859" s="238" t="s">
        <v>14</v>
      </c>
      <c r="F859">
        <v>4</v>
      </c>
      <c r="G859">
        <v>3</v>
      </c>
      <c r="H859">
        <v>644</v>
      </c>
      <c r="I859" s="238" t="s">
        <v>4052</v>
      </c>
      <c r="J859">
        <v>24.39</v>
      </c>
      <c r="K859" s="238" t="s">
        <v>36</v>
      </c>
      <c r="L859">
        <v>1887407.47</v>
      </c>
      <c r="M859">
        <v>0</v>
      </c>
      <c r="N859">
        <v>1887407.47</v>
      </c>
      <c r="O859">
        <v>77384.480114801147</v>
      </c>
      <c r="P859">
        <v>0</v>
      </c>
      <c r="Q859">
        <v>1887407.47</v>
      </c>
      <c r="R859">
        <v>77384.480114801147</v>
      </c>
      <c r="S859" s="238" t="s">
        <v>137</v>
      </c>
      <c r="T859" s="238" t="s">
        <v>1167</v>
      </c>
      <c r="V859" t="s">
        <v>1167</v>
      </c>
      <c r="W859" s="24">
        <v>44584</v>
      </c>
      <c r="X859" s="238" t="s">
        <v>998</v>
      </c>
      <c r="Y859" s="238" t="s">
        <v>39</v>
      </c>
      <c r="Z859" s="238" t="s">
        <v>1340</v>
      </c>
      <c r="AA859" t="s">
        <v>1167</v>
      </c>
      <c r="AB859" s="238" t="s">
        <v>3246</v>
      </c>
      <c r="AC859" t="s">
        <v>3079</v>
      </c>
      <c r="AD859" s="24"/>
      <c r="AE859" s="238" t="s">
        <v>2740</v>
      </c>
      <c r="AF859">
        <v>79053012050</v>
      </c>
      <c r="AG859" s="238" t="s">
        <v>2741</v>
      </c>
      <c r="AH859" s="238" t="s">
        <v>1212</v>
      </c>
      <c r="AI859" s="238" t="s">
        <v>135</v>
      </c>
      <c r="AJ859" s="238" t="s">
        <v>126</v>
      </c>
      <c r="AK859" s="238" t="s">
        <v>794</v>
      </c>
      <c r="AL859" t="s">
        <v>8715</v>
      </c>
      <c r="AM859" t="s">
        <v>1167</v>
      </c>
    </row>
    <row r="860" spans="1:39" hidden="1" x14ac:dyDescent="0.25">
      <c r="A860">
        <v>856</v>
      </c>
      <c r="B860">
        <v>29</v>
      </c>
      <c r="C860" s="24">
        <v>44589</v>
      </c>
      <c r="D860" s="238" t="s">
        <v>19</v>
      </c>
      <c r="E860" s="238" t="s">
        <v>5</v>
      </c>
      <c r="F860">
        <v>4</v>
      </c>
      <c r="G860">
        <v>5</v>
      </c>
      <c r="H860">
        <v>198</v>
      </c>
      <c r="I860" s="238" t="s">
        <v>42</v>
      </c>
      <c r="J860">
        <v>37.89</v>
      </c>
      <c r="K860" s="238" t="s">
        <v>38</v>
      </c>
      <c r="L860">
        <v>3654184.68</v>
      </c>
      <c r="M860">
        <v>0</v>
      </c>
      <c r="N860">
        <v>3654184.68</v>
      </c>
      <c r="O860">
        <v>96441.928741092634</v>
      </c>
      <c r="P860">
        <v>606240</v>
      </c>
      <c r="Q860">
        <v>3047944.68</v>
      </c>
      <c r="R860">
        <v>80441.928741092634</v>
      </c>
      <c r="S860" s="238" t="s">
        <v>137</v>
      </c>
      <c r="T860" s="238" t="s">
        <v>1167</v>
      </c>
      <c r="V860" t="s">
        <v>1167</v>
      </c>
      <c r="W860" s="24">
        <v>44585</v>
      </c>
      <c r="X860" s="238" t="s">
        <v>997</v>
      </c>
      <c r="Y860" s="238" t="s">
        <v>39</v>
      </c>
      <c r="Z860" s="238" t="s">
        <v>1340</v>
      </c>
      <c r="AA860" t="s">
        <v>1167</v>
      </c>
      <c r="AB860" s="238" t="s">
        <v>3246</v>
      </c>
      <c r="AC860" t="s">
        <v>3079</v>
      </c>
      <c r="AD860" s="24"/>
      <c r="AE860" s="238" t="s">
        <v>2742</v>
      </c>
      <c r="AF860">
        <v>79967399297</v>
      </c>
      <c r="AG860" s="238" t="s">
        <v>2743</v>
      </c>
      <c r="AH860" s="238" t="s">
        <v>135</v>
      </c>
      <c r="AI860" s="238" t="s">
        <v>3099</v>
      </c>
      <c r="AJ860" s="238" t="s">
        <v>399</v>
      </c>
      <c r="AK860" s="238" t="s">
        <v>794</v>
      </c>
      <c r="AL860" t="s">
        <v>8715</v>
      </c>
      <c r="AM860" t="s">
        <v>1167</v>
      </c>
    </row>
    <row r="861" spans="1:39" hidden="1" x14ac:dyDescent="0.25">
      <c r="A861">
        <v>857</v>
      </c>
      <c r="B861">
        <v>30</v>
      </c>
      <c r="C861" s="24">
        <v>44589</v>
      </c>
      <c r="D861" s="238" t="s">
        <v>27</v>
      </c>
      <c r="E861" s="238" t="s">
        <v>5</v>
      </c>
      <c r="F861">
        <v>2</v>
      </c>
      <c r="G861">
        <v>9</v>
      </c>
      <c r="H861">
        <v>265</v>
      </c>
      <c r="I861" s="238" t="s">
        <v>42</v>
      </c>
      <c r="J861">
        <v>37.159999999999997</v>
      </c>
      <c r="K861" s="238" t="s">
        <v>37</v>
      </c>
      <c r="L861">
        <v>2846086.26</v>
      </c>
      <c r="M861">
        <v>0</v>
      </c>
      <c r="N861">
        <v>2846086.26</v>
      </c>
      <c r="O861">
        <v>76590.050053821309</v>
      </c>
      <c r="P861">
        <v>204380</v>
      </c>
      <c r="Q861">
        <v>2641706.2599999998</v>
      </c>
      <c r="R861">
        <v>71090.050053821309</v>
      </c>
      <c r="S861" s="238" t="s">
        <v>124</v>
      </c>
      <c r="T861" s="238" t="s">
        <v>1167</v>
      </c>
      <c r="V861" t="s">
        <v>1167</v>
      </c>
      <c r="W861" s="24">
        <v>44585</v>
      </c>
      <c r="X861" s="238" t="s">
        <v>996</v>
      </c>
      <c r="Y861" s="238" t="s">
        <v>39</v>
      </c>
      <c r="Z861" s="238" t="s">
        <v>1168</v>
      </c>
      <c r="AA861" t="s">
        <v>1167</v>
      </c>
      <c r="AB861" s="238" t="s">
        <v>3246</v>
      </c>
      <c r="AC861" t="s">
        <v>4246</v>
      </c>
      <c r="AD861" s="24"/>
      <c r="AE861" s="238" t="s">
        <v>2744</v>
      </c>
      <c r="AF861">
        <v>79376521645</v>
      </c>
      <c r="AG861" s="238" t="s">
        <v>2745</v>
      </c>
      <c r="AH861" s="238" t="s">
        <v>1212</v>
      </c>
      <c r="AI861" s="238" t="s">
        <v>135</v>
      </c>
      <c r="AJ861" s="238" t="s">
        <v>126</v>
      </c>
      <c r="AK861" s="238" t="s">
        <v>1167</v>
      </c>
      <c r="AL861" t="s">
        <v>8715</v>
      </c>
      <c r="AM861" t="s">
        <v>1167</v>
      </c>
    </row>
    <row r="862" spans="1:39" hidden="1" x14ac:dyDescent="0.25">
      <c r="A862">
        <v>858</v>
      </c>
      <c r="B862">
        <v>31</v>
      </c>
      <c r="C862" s="24">
        <v>44589</v>
      </c>
      <c r="D862" s="238" t="s">
        <v>27</v>
      </c>
      <c r="E862" s="238" t="s">
        <v>6</v>
      </c>
      <c r="F862">
        <v>1</v>
      </c>
      <c r="G862">
        <v>19</v>
      </c>
      <c r="H862">
        <v>154</v>
      </c>
      <c r="I862" s="238" t="s">
        <v>44</v>
      </c>
      <c r="J862">
        <v>82.71</v>
      </c>
      <c r="K862" s="238" t="s">
        <v>36</v>
      </c>
      <c r="L862">
        <v>5123657.87</v>
      </c>
      <c r="M862">
        <v>0</v>
      </c>
      <c r="N862">
        <v>5123657.87</v>
      </c>
      <c r="O862">
        <v>61947.259944384001</v>
      </c>
      <c r="P862">
        <v>0</v>
      </c>
      <c r="Q862">
        <v>5123657.87</v>
      </c>
      <c r="R862">
        <v>61947.259944384001</v>
      </c>
      <c r="S862" s="238" t="s">
        <v>137</v>
      </c>
      <c r="T862" s="238" t="s">
        <v>1167</v>
      </c>
      <c r="V862" t="s">
        <v>4091</v>
      </c>
      <c r="W862" s="24">
        <v>44586</v>
      </c>
      <c r="X862" s="238" t="s">
        <v>1001</v>
      </c>
      <c r="Y862" s="238" t="s">
        <v>39</v>
      </c>
      <c r="Z862" s="238" t="s">
        <v>1340</v>
      </c>
      <c r="AA862" t="s">
        <v>1167</v>
      </c>
      <c r="AB862" s="238" t="s">
        <v>3246</v>
      </c>
      <c r="AC862" t="s">
        <v>3079</v>
      </c>
      <c r="AD862" s="24"/>
      <c r="AE862" s="238" t="s">
        <v>2746</v>
      </c>
      <c r="AF862">
        <v>79258060668</v>
      </c>
      <c r="AG862" s="238" t="s">
        <v>2747</v>
      </c>
      <c r="AH862" s="238" t="s">
        <v>1212</v>
      </c>
      <c r="AI862" s="238" t="s">
        <v>135</v>
      </c>
      <c r="AJ862" s="238" t="s">
        <v>120</v>
      </c>
      <c r="AK862" s="238" t="s">
        <v>141</v>
      </c>
      <c r="AL862" t="s">
        <v>8715</v>
      </c>
      <c r="AM862" t="s">
        <v>1167</v>
      </c>
    </row>
    <row r="863" spans="1:39" hidden="1" x14ac:dyDescent="0.25">
      <c r="A863">
        <v>859</v>
      </c>
      <c r="B863">
        <v>32</v>
      </c>
      <c r="C863" s="24">
        <v>44589</v>
      </c>
      <c r="D863" s="238" t="s">
        <v>27</v>
      </c>
      <c r="E863" s="238" t="s">
        <v>16</v>
      </c>
      <c r="F863">
        <v>5</v>
      </c>
      <c r="G863">
        <v>12</v>
      </c>
      <c r="H863">
        <v>476</v>
      </c>
      <c r="I863" s="238" t="s">
        <v>4052</v>
      </c>
      <c r="J863">
        <v>23.63</v>
      </c>
      <c r="K863" s="238" t="s">
        <v>36</v>
      </c>
      <c r="L863">
        <v>1828595.26</v>
      </c>
      <c r="M863">
        <v>0</v>
      </c>
      <c r="N863">
        <v>1828595.26</v>
      </c>
      <c r="O863">
        <v>77384.479898434191</v>
      </c>
      <c r="P863">
        <v>0</v>
      </c>
      <c r="Q863">
        <v>1828595.26</v>
      </c>
      <c r="R863">
        <v>77384.479898434191</v>
      </c>
      <c r="S863" s="238" t="s">
        <v>137</v>
      </c>
      <c r="T863" s="238" t="s">
        <v>1167</v>
      </c>
      <c r="V863" t="s">
        <v>1167</v>
      </c>
      <c r="W863" s="24">
        <v>44586</v>
      </c>
      <c r="X863" s="238" t="s">
        <v>992</v>
      </c>
      <c r="Y863" s="238" t="s">
        <v>39</v>
      </c>
      <c r="Z863" s="238" t="s">
        <v>1340</v>
      </c>
      <c r="AA863" t="s">
        <v>3474</v>
      </c>
      <c r="AB863" s="238" t="s">
        <v>3246</v>
      </c>
      <c r="AC863" t="s">
        <v>3076</v>
      </c>
      <c r="AD863" s="24"/>
      <c r="AE863" s="238" t="s">
        <v>2748</v>
      </c>
      <c r="AF863">
        <v>79991713478</v>
      </c>
      <c r="AG863" s="238" t="s">
        <v>2749</v>
      </c>
      <c r="AH863" s="238" t="s">
        <v>1171</v>
      </c>
      <c r="AI863" s="238" t="s">
        <v>6406</v>
      </c>
      <c r="AJ863" s="238" t="s">
        <v>982</v>
      </c>
      <c r="AK863" s="238" t="s">
        <v>794</v>
      </c>
      <c r="AL863" t="s">
        <v>57</v>
      </c>
      <c r="AM863" t="s">
        <v>1167</v>
      </c>
    </row>
    <row r="864" spans="1:39" hidden="1" x14ac:dyDescent="0.25">
      <c r="A864">
        <v>860</v>
      </c>
      <c r="B864">
        <v>33</v>
      </c>
      <c r="C864" s="24">
        <v>44589</v>
      </c>
      <c r="D864" s="238" t="s">
        <v>27</v>
      </c>
      <c r="E864" s="238" t="s">
        <v>6</v>
      </c>
      <c r="F864">
        <v>4</v>
      </c>
      <c r="G864">
        <v>4</v>
      </c>
      <c r="H864">
        <v>22</v>
      </c>
      <c r="I864" s="238" t="s">
        <v>4052</v>
      </c>
      <c r="J864">
        <v>24.39</v>
      </c>
      <c r="K864" s="238" t="s">
        <v>38</v>
      </c>
      <c r="L864">
        <v>2206692.3199999998</v>
      </c>
      <c r="M864">
        <v>0</v>
      </c>
      <c r="N864">
        <v>2206692.3199999998</v>
      </c>
      <c r="O864">
        <v>90475.28987289872</v>
      </c>
      <c r="P864">
        <v>390240</v>
      </c>
      <c r="Q864">
        <v>1816452.3199999998</v>
      </c>
      <c r="R864">
        <v>74475.28987289872</v>
      </c>
      <c r="S864" s="238" t="s">
        <v>121</v>
      </c>
      <c r="T864" s="238" t="s">
        <v>1167</v>
      </c>
      <c r="V864" t="s">
        <v>1167</v>
      </c>
      <c r="W864" s="24">
        <v>44586</v>
      </c>
      <c r="X864" s="238" t="s">
        <v>994</v>
      </c>
      <c r="Y864" s="238" t="s">
        <v>39</v>
      </c>
      <c r="Z864" s="238" t="s">
        <v>1168</v>
      </c>
      <c r="AA864" t="s">
        <v>1167</v>
      </c>
      <c r="AB864" s="238" t="s">
        <v>3246</v>
      </c>
      <c r="AC864" t="s">
        <v>4246</v>
      </c>
      <c r="AD864" s="24"/>
      <c r="AE864" s="238" t="s">
        <v>2750</v>
      </c>
      <c r="AF864">
        <v>79023354210</v>
      </c>
      <c r="AG864" s="238" t="s">
        <v>2751</v>
      </c>
      <c r="AH864" s="238" t="s">
        <v>1171</v>
      </c>
      <c r="AI864" s="238" t="s">
        <v>3074</v>
      </c>
      <c r="AJ864" s="238" t="s">
        <v>399</v>
      </c>
      <c r="AK864" s="238" t="s">
        <v>1167</v>
      </c>
      <c r="AL864" t="s">
        <v>8715</v>
      </c>
      <c r="AM864" t="s">
        <v>1167</v>
      </c>
    </row>
    <row r="865" spans="1:39" hidden="1" x14ac:dyDescent="0.25">
      <c r="A865">
        <v>861</v>
      </c>
      <c r="B865">
        <v>34</v>
      </c>
      <c r="C865" s="24">
        <v>44589</v>
      </c>
      <c r="D865" s="238" t="s">
        <v>19</v>
      </c>
      <c r="E865" s="238" t="s">
        <v>5</v>
      </c>
      <c r="F865">
        <v>8</v>
      </c>
      <c r="G865">
        <v>11</v>
      </c>
      <c r="H865">
        <v>268</v>
      </c>
      <c r="I865" s="238" t="s">
        <v>43</v>
      </c>
      <c r="J865">
        <v>56.93</v>
      </c>
      <c r="K865" s="238" t="s">
        <v>36</v>
      </c>
      <c r="L865">
        <v>4210512.32</v>
      </c>
      <c r="M865">
        <v>0</v>
      </c>
      <c r="N865">
        <v>4210512.32</v>
      </c>
      <c r="O865">
        <v>73959.464605656074</v>
      </c>
      <c r="P865">
        <v>0</v>
      </c>
      <c r="Q865">
        <v>4210512.32</v>
      </c>
      <c r="R865">
        <v>73959.464605656074</v>
      </c>
      <c r="S865" s="238" t="s">
        <v>137</v>
      </c>
      <c r="T865" s="238" t="s">
        <v>1167</v>
      </c>
      <c r="V865" t="s">
        <v>4091</v>
      </c>
      <c r="W865" s="24">
        <v>44586</v>
      </c>
      <c r="X865" s="238" t="s">
        <v>999</v>
      </c>
      <c r="Y865" s="238" t="s">
        <v>39</v>
      </c>
      <c r="Z865" s="238" t="s">
        <v>1340</v>
      </c>
      <c r="AA865" t="s">
        <v>1167</v>
      </c>
      <c r="AB865" s="238" t="s">
        <v>3246</v>
      </c>
      <c r="AC865" t="s">
        <v>3079</v>
      </c>
      <c r="AD865" s="24"/>
      <c r="AE865" s="238" t="s">
        <v>2752</v>
      </c>
      <c r="AF865">
        <v>79773189445</v>
      </c>
      <c r="AG865" s="238" t="s">
        <v>2753</v>
      </c>
      <c r="AH865" s="238" t="s">
        <v>1212</v>
      </c>
      <c r="AI865" s="238" t="s">
        <v>3097</v>
      </c>
      <c r="AJ865" s="238" t="s">
        <v>120</v>
      </c>
      <c r="AK865" s="238" t="s">
        <v>794</v>
      </c>
      <c r="AL865" t="s">
        <v>8715</v>
      </c>
      <c r="AM865" t="s">
        <v>1167</v>
      </c>
    </row>
    <row r="866" spans="1:39" hidden="1" x14ac:dyDescent="0.25">
      <c r="A866">
        <v>862</v>
      </c>
      <c r="B866">
        <v>35</v>
      </c>
      <c r="C866" s="24">
        <v>44589</v>
      </c>
      <c r="D866" s="238" t="s">
        <v>19</v>
      </c>
      <c r="E866" s="238" t="s">
        <v>6</v>
      </c>
      <c r="F866">
        <v>3</v>
      </c>
      <c r="G866">
        <v>8</v>
      </c>
      <c r="H866">
        <v>45</v>
      </c>
      <c r="I866" s="238" t="s">
        <v>44</v>
      </c>
      <c r="J866">
        <v>76.56</v>
      </c>
      <c r="K866" s="238" t="s">
        <v>37</v>
      </c>
      <c r="L866">
        <v>5447662.8499999996</v>
      </c>
      <c r="M866">
        <v>0</v>
      </c>
      <c r="N866">
        <v>5447662.8499999996</v>
      </c>
      <c r="O866">
        <v>71155.470872518286</v>
      </c>
      <c r="P866">
        <v>0</v>
      </c>
      <c r="Q866">
        <v>5447662.8499999996</v>
      </c>
      <c r="R866">
        <v>71155.470872518286</v>
      </c>
      <c r="S866" s="238" t="s">
        <v>137</v>
      </c>
      <c r="T866" s="238" t="s">
        <v>60</v>
      </c>
      <c r="U866">
        <v>421080</v>
      </c>
      <c r="V866" t="s">
        <v>1167</v>
      </c>
      <c r="W866" s="24">
        <v>44587</v>
      </c>
      <c r="X866" s="238" t="s">
        <v>1003</v>
      </c>
      <c r="Y866" s="238" t="s">
        <v>39</v>
      </c>
      <c r="Z866" s="238" t="s">
        <v>1168</v>
      </c>
      <c r="AA866" t="s">
        <v>1167</v>
      </c>
      <c r="AB866" s="238" t="s">
        <v>3246</v>
      </c>
      <c r="AC866" t="s">
        <v>3076</v>
      </c>
      <c r="AD866" s="24"/>
      <c r="AE866" s="238" t="s">
        <v>2754</v>
      </c>
      <c r="AF866">
        <v>79213531761</v>
      </c>
      <c r="AG866" s="238" t="s">
        <v>2755</v>
      </c>
      <c r="AH866" s="238" t="s">
        <v>1212</v>
      </c>
      <c r="AI866" s="238" t="s">
        <v>3097</v>
      </c>
      <c r="AJ866" s="238" t="s">
        <v>399</v>
      </c>
      <c r="AK866" s="238" t="s">
        <v>141</v>
      </c>
      <c r="AL866" t="s">
        <v>8715</v>
      </c>
      <c r="AM866" t="s">
        <v>1167</v>
      </c>
    </row>
    <row r="867" spans="1:39" hidden="1" x14ac:dyDescent="0.25">
      <c r="A867">
        <v>863</v>
      </c>
      <c r="B867">
        <v>36</v>
      </c>
      <c r="C867" s="24">
        <v>44589</v>
      </c>
      <c r="D867" s="238" t="s">
        <v>27</v>
      </c>
      <c r="E867" s="238" t="s">
        <v>5</v>
      </c>
      <c r="F867">
        <v>2</v>
      </c>
      <c r="G867">
        <v>14</v>
      </c>
      <c r="H867">
        <v>305</v>
      </c>
      <c r="I867" s="238" t="s">
        <v>42</v>
      </c>
      <c r="J867">
        <v>37.159999999999997</v>
      </c>
      <c r="K867" s="238" t="s">
        <v>36</v>
      </c>
      <c r="L867">
        <v>2641706.2599999998</v>
      </c>
      <c r="M867">
        <v>0</v>
      </c>
      <c r="N867">
        <v>2641706.2599999998</v>
      </c>
      <c r="O867">
        <v>71090.050053821309</v>
      </c>
      <c r="P867">
        <v>0</v>
      </c>
      <c r="Q867">
        <v>2641706.2599999998</v>
      </c>
      <c r="R867">
        <v>71090.050053821309</v>
      </c>
      <c r="S867" s="238" t="s">
        <v>121</v>
      </c>
      <c r="T867" s="238" t="s">
        <v>1167</v>
      </c>
      <c r="V867" t="s">
        <v>1167</v>
      </c>
      <c r="W867" s="24">
        <v>44587</v>
      </c>
      <c r="X867" s="238" t="s">
        <v>995</v>
      </c>
      <c r="Y867" s="238" t="s">
        <v>39</v>
      </c>
      <c r="Z867" s="238" t="s">
        <v>1340</v>
      </c>
      <c r="AA867" t="s">
        <v>1167</v>
      </c>
      <c r="AB867" s="238" t="s">
        <v>3246</v>
      </c>
      <c r="AC867" t="s">
        <v>4246</v>
      </c>
      <c r="AD867" s="24"/>
      <c r="AE867" s="238" t="s">
        <v>2756</v>
      </c>
      <c r="AF867">
        <v>79272199082</v>
      </c>
      <c r="AG867" s="238" t="s">
        <v>2757</v>
      </c>
      <c r="AH867" s="238" t="s">
        <v>1171</v>
      </c>
      <c r="AI867" s="238" t="s">
        <v>6406</v>
      </c>
      <c r="AJ867" s="238" t="s">
        <v>982</v>
      </c>
      <c r="AK867" s="238" t="s">
        <v>1167</v>
      </c>
      <c r="AL867" t="s">
        <v>57</v>
      </c>
      <c r="AM867" t="s">
        <v>1167</v>
      </c>
    </row>
    <row r="868" spans="1:39" hidden="1" x14ac:dyDescent="0.25">
      <c r="A868">
        <v>864</v>
      </c>
      <c r="B868">
        <v>37</v>
      </c>
      <c r="C868" s="24">
        <v>44589</v>
      </c>
      <c r="D868" s="238" t="s">
        <v>27</v>
      </c>
      <c r="E868" s="238" t="s">
        <v>16</v>
      </c>
      <c r="F868">
        <v>2</v>
      </c>
      <c r="G868">
        <v>9</v>
      </c>
      <c r="H868">
        <v>449</v>
      </c>
      <c r="I868" s="238" t="s">
        <v>42</v>
      </c>
      <c r="J868">
        <v>37.159999999999997</v>
      </c>
      <c r="K868" s="238" t="s">
        <v>37</v>
      </c>
      <c r="L868">
        <v>2831086.26</v>
      </c>
      <c r="M868">
        <v>15000</v>
      </c>
      <c r="N868">
        <v>2846086.26</v>
      </c>
      <c r="O868">
        <v>76590.050053821309</v>
      </c>
      <c r="P868">
        <v>204380</v>
      </c>
      <c r="Q868">
        <v>2641706.2599999998</v>
      </c>
      <c r="R868">
        <v>71090.050053821309</v>
      </c>
      <c r="S868" s="238" t="s">
        <v>121</v>
      </c>
      <c r="T868" s="238" t="s">
        <v>1167</v>
      </c>
      <c r="V868" t="s">
        <v>1167</v>
      </c>
      <c r="W868" s="24">
        <v>44588</v>
      </c>
      <c r="X868" s="238" t="s">
        <v>1002</v>
      </c>
      <c r="Y868" s="238" t="s">
        <v>39</v>
      </c>
      <c r="Z868" s="238" t="s">
        <v>1168</v>
      </c>
      <c r="AA868" t="s">
        <v>1167</v>
      </c>
      <c r="AB868" s="238" t="s">
        <v>3246</v>
      </c>
      <c r="AC868" t="s">
        <v>4246</v>
      </c>
      <c r="AD868" s="24"/>
      <c r="AE868" s="238" t="s">
        <v>2758</v>
      </c>
      <c r="AF868">
        <v>79376428223</v>
      </c>
      <c r="AG868" s="238" t="s">
        <v>2759</v>
      </c>
      <c r="AH868" s="238" t="s">
        <v>1212</v>
      </c>
      <c r="AI868" s="238" t="s">
        <v>135</v>
      </c>
      <c r="AJ868" s="238" t="s">
        <v>120</v>
      </c>
      <c r="AK868" s="238" t="s">
        <v>1167</v>
      </c>
      <c r="AL868" t="s">
        <v>8715</v>
      </c>
      <c r="AM868" t="s">
        <v>1167</v>
      </c>
    </row>
    <row r="869" spans="1:39" hidden="1" x14ac:dyDescent="0.25">
      <c r="A869">
        <v>865</v>
      </c>
      <c r="B869">
        <v>38</v>
      </c>
      <c r="C869" s="24">
        <v>44589</v>
      </c>
      <c r="D869" s="238" t="s">
        <v>27</v>
      </c>
      <c r="E869" s="238" t="s">
        <v>16</v>
      </c>
      <c r="F869">
        <v>5</v>
      </c>
      <c r="G869">
        <v>9</v>
      </c>
      <c r="H869">
        <v>452</v>
      </c>
      <c r="I869" s="238" t="s">
        <v>4052</v>
      </c>
      <c r="J869">
        <v>23.63</v>
      </c>
      <c r="K869" s="238" t="s">
        <v>36</v>
      </c>
      <c r="L869">
        <v>1828595.26</v>
      </c>
      <c r="M869">
        <v>0</v>
      </c>
      <c r="N869">
        <v>1828595.26</v>
      </c>
      <c r="O869">
        <v>77384.479898434191</v>
      </c>
      <c r="P869">
        <v>0</v>
      </c>
      <c r="Q869">
        <v>1828595.26</v>
      </c>
      <c r="R869">
        <v>77384.479898434191</v>
      </c>
      <c r="S869" s="238" t="s">
        <v>137</v>
      </c>
      <c r="T869" s="238" t="s">
        <v>1167</v>
      </c>
      <c r="V869" t="s">
        <v>1167</v>
      </c>
      <c r="W869" s="24">
        <v>44589</v>
      </c>
      <c r="X869" s="238" t="s">
        <v>993</v>
      </c>
      <c r="Y869" s="238" t="s">
        <v>39</v>
      </c>
      <c r="Z869" s="238" t="s">
        <v>1340</v>
      </c>
      <c r="AA869" t="s">
        <v>1167</v>
      </c>
      <c r="AB869" s="238" t="s">
        <v>3246</v>
      </c>
      <c r="AC869" t="s">
        <v>3079</v>
      </c>
      <c r="AD869" s="24"/>
      <c r="AE869" s="238" t="s">
        <v>2760</v>
      </c>
      <c r="AF869">
        <v>79277193280</v>
      </c>
      <c r="AG869" s="238" t="s">
        <v>2761</v>
      </c>
      <c r="AH869" s="238" t="s">
        <v>1171</v>
      </c>
      <c r="AI869" s="238" t="s">
        <v>6406</v>
      </c>
      <c r="AJ869" s="238" t="s">
        <v>982</v>
      </c>
      <c r="AK869" s="238" t="s">
        <v>794</v>
      </c>
      <c r="AL869" t="s">
        <v>57</v>
      </c>
      <c r="AM869" t="s">
        <v>1167</v>
      </c>
    </row>
    <row r="870" spans="1:39" hidden="1" x14ac:dyDescent="0.25">
      <c r="A870">
        <v>866</v>
      </c>
      <c r="B870">
        <v>39</v>
      </c>
      <c r="C870" s="24">
        <v>44589</v>
      </c>
      <c r="D870" s="238" t="s">
        <v>27</v>
      </c>
      <c r="E870" s="238" t="s">
        <v>15</v>
      </c>
      <c r="F870">
        <v>8</v>
      </c>
      <c r="G870">
        <v>16</v>
      </c>
      <c r="H870">
        <v>631</v>
      </c>
      <c r="I870" s="238" t="s">
        <v>43</v>
      </c>
      <c r="J870">
        <v>55.8</v>
      </c>
      <c r="K870" s="238" t="s">
        <v>37</v>
      </c>
      <c r="L870">
        <v>3879568.66</v>
      </c>
      <c r="M870">
        <v>0</v>
      </c>
      <c r="N870">
        <v>3879568.66</v>
      </c>
      <c r="O870">
        <v>69526.320071684589</v>
      </c>
      <c r="P870">
        <v>306900</v>
      </c>
      <c r="Q870">
        <v>3572668.66</v>
      </c>
      <c r="R870">
        <v>64026.320071684597</v>
      </c>
      <c r="S870" s="238" t="s">
        <v>137</v>
      </c>
      <c r="T870" s="238" t="s">
        <v>1167</v>
      </c>
      <c r="V870" t="s">
        <v>4091</v>
      </c>
      <c r="W870" s="24">
        <v>44582</v>
      </c>
      <c r="X870" s="238" t="s">
        <v>1000</v>
      </c>
      <c r="Y870" s="238" t="s">
        <v>39</v>
      </c>
      <c r="Z870" s="238" t="s">
        <v>1340</v>
      </c>
      <c r="AA870" t="s">
        <v>1167</v>
      </c>
      <c r="AB870" s="238" t="s">
        <v>3246</v>
      </c>
      <c r="AC870" t="s">
        <v>3079</v>
      </c>
      <c r="AD870" s="24"/>
      <c r="AE870" s="238" t="s">
        <v>2762</v>
      </c>
      <c r="AF870">
        <v>79277370640</v>
      </c>
      <c r="AG870" s="238" t="s">
        <v>1167</v>
      </c>
      <c r="AH870" s="238" t="s">
        <v>135</v>
      </c>
      <c r="AI870" s="238" t="s">
        <v>3075</v>
      </c>
      <c r="AJ870" s="238" t="s">
        <v>689</v>
      </c>
      <c r="AK870" s="238" t="s">
        <v>141</v>
      </c>
      <c r="AL870" t="s">
        <v>8715</v>
      </c>
      <c r="AM870" t="s">
        <v>1167</v>
      </c>
    </row>
    <row r="871" spans="1:39" hidden="1" x14ac:dyDescent="0.25">
      <c r="A871">
        <v>867</v>
      </c>
      <c r="B871">
        <v>40</v>
      </c>
      <c r="C871" s="24">
        <v>44590</v>
      </c>
      <c r="D871" s="238" t="s">
        <v>27</v>
      </c>
      <c r="E871" s="238" t="s">
        <v>6</v>
      </c>
      <c r="F871">
        <v>9</v>
      </c>
      <c r="G871">
        <v>8</v>
      </c>
      <c r="H871">
        <v>63</v>
      </c>
      <c r="I871" s="238" t="s">
        <v>42</v>
      </c>
      <c r="J871">
        <v>37.94</v>
      </c>
      <c r="K871" s="238" t="s">
        <v>36</v>
      </c>
      <c r="L871">
        <v>2569774.86</v>
      </c>
      <c r="M871">
        <v>15000</v>
      </c>
      <c r="N871">
        <v>2584774.86</v>
      </c>
      <c r="O871">
        <v>68127.96151818661</v>
      </c>
      <c r="P871">
        <v>0</v>
      </c>
      <c r="Q871">
        <v>2584774.86</v>
      </c>
      <c r="R871">
        <v>68127.96151818661</v>
      </c>
      <c r="S871" s="238" t="s">
        <v>121</v>
      </c>
      <c r="T871" s="238" t="s">
        <v>1167</v>
      </c>
      <c r="V871" t="s">
        <v>1167</v>
      </c>
      <c r="W871" s="24">
        <v>44586</v>
      </c>
      <c r="X871" s="238" t="s">
        <v>1004</v>
      </c>
      <c r="Y871" s="238" t="s">
        <v>39</v>
      </c>
      <c r="Z871" s="238" t="s">
        <v>1168</v>
      </c>
      <c r="AA871" t="s">
        <v>1167</v>
      </c>
      <c r="AB871" s="238" t="s">
        <v>3246</v>
      </c>
      <c r="AC871" t="s">
        <v>4246</v>
      </c>
      <c r="AD871" s="24"/>
      <c r="AE871" s="238" t="s">
        <v>2656</v>
      </c>
      <c r="AF871">
        <v>79371764209</v>
      </c>
      <c r="AG871" s="238" t="s">
        <v>2657</v>
      </c>
      <c r="AH871" s="238" t="s">
        <v>1212</v>
      </c>
      <c r="AI871" s="238" t="s">
        <v>3082</v>
      </c>
      <c r="AJ871" s="238" t="s">
        <v>120</v>
      </c>
      <c r="AK871" s="238" t="s">
        <v>1167</v>
      </c>
      <c r="AL871" t="s">
        <v>8715</v>
      </c>
      <c r="AM871" t="s">
        <v>1167</v>
      </c>
    </row>
    <row r="872" spans="1:39" hidden="1" x14ac:dyDescent="0.25">
      <c r="A872">
        <v>868</v>
      </c>
      <c r="B872">
        <v>41</v>
      </c>
      <c r="C872" s="24">
        <v>44592</v>
      </c>
      <c r="D872" s="238" t="s">
        <v>27</v>
      </c>
      <c r="E872" s="238" t="s">
        <v>16</v>
      </c>
      <c r="F872">
        <v>5</v>
      </c>
      <c r="G872">
        <v>10</v>
      </c>
      <c r="H872">
        <v>460</v>
      </c>
      <c r="I872" s="238" t="s">
        <v>4052</v>
      </c>
      <c r="J872">
        <v>23.63</v>
      </c>
      <c r="K872" s="238" t="s">
        <v>36</v>
      </c>
      <c r="L872">
        <v>1828595.26</v>
      </c>
      <c r="M872">
        <v>0</v>
      </c>
      <c r="N872">
        <v>1828595.26</v>
      </c>
      <c r="O872">
        <v>77384.479898434191</v>
      </c>
      <c r="P872">
        <v>0</v>
      </c>
      <c r="Q872">
        <v>1828595.26</v>
      </c>
      <c r="R872">
        <v>77384.479898434191</v>
      </c>
      <c r="S872" s="238" t="s">
        <v>137</v>
      </c>
      <c r="T872" s="238" t="s">
        <v>1167</v>
      </c>
      <c r="V872" t="s">
        <v>1167</v>
      </c>
      <c r="W872" s="24">
        <v>44582</v>
      </c>
      <c r="X872" s="238" t="s">
        <v>1011</v>
      </c>
      <c r="Y872" s="238" t="s">
        <v>39</v>
      </c>
      <c r="Z872" s="238" t="s">
        <v>1340</v>
      </c>
      <c r="AA872" t="s">
        <v>1167</v>
      </c>
      <c r="AB872" s="238" t="s">
        <v>3246</v>
      </c>
      <c r="AC872" t="s">
        <v>3079</v>
      </c>
      <c r="AD872" s="24"/>
      <c r="AE872" s="238" t="s">
        <v>2763</v>
      </c>
      <c r="AF872">
        <v>79179444777</v>
      </c>
      <c r="AG872" s="238" t="s">
        <v>2764</v>
      </c>
      <c r="AH872" s="238" t="s">
        <v>1171</v>
      </c>
      <c r="AI872" s="238" t="s">
        <v>6406</v>
      </c>
      <c r="AJ872" s="238" t="s">
        <v>982</v>
      </c>
      <c r="AK872" s="238" t="s">
        <v>794</v>
      </c>
      <c r="AL872" t="s">
        <v>57</v>
      </c>
      <c r="AM872" t="s">
        <v>1167</v>
      </c>
    </row>
    <row r="873" spans="1:39" hidden="1" x14ac:dyDescent="0.25">
      <c r="A873">
        <v>869</v>
      </c>
      <c r="B873">
        <v>42</v>
      </c>
      <c r="C873" s="24">
        <v>44592</v>
      </c>
      <c r="D873" s="238" t="s">
        <v>27</v>
      </c>
      <c r="E873" s="238" t="s">
        <v>6</v>
      </c>
      <c r="F873">
        <v>3</v>
      </c>
      <c r="G873">
        <v>12</v>
      </c>
      <c r="H873">
        <v>93</v>
      </c>
      <c r="I873" s="238" t="s">
        <v>42</v>
      </c>
      <c r="J873">
        <v>41.06</v>
      </c>
      <c r="K873" s="238" t="s">
        <v>36</v>
      </c>
      <c r="L873">
        <v>2962012.02</v>
      </c>
      <c r="M873">
        <v>0</v>
      </c>
      <c r="N873">
        <v>2962012.02</v>
      </c>
      <c r="O873">
        <v>72138.626887481732</v>
      </c>
      <c r="P873">
        <v>0</v>
      </c>
      <c r="Q873">
        <v>2962012.02</v>
      </c>
      <c r="R873">
        <v>72138.626887481732</v>
      </c>
      <c r="S873" s="238" t="s">
        <v>124</v>
      </c>
      <c r="T873" s="238" t="s">
        <v>321</v>
      </c>
      <c r="U873">
        <v>29919.31</v>
      </c>
      <c r="V873" t="s">
        <v>1167</v>
      </c>
      <c r="W873" s="24">
        <v>44588</v>
      </c>
      <c r="X873" s="238" t="s">
        <v>1014</v>
      </c>
      <c r="Y873" s="238" t="s">
        <v>39</v>
      </c>
      <c r="Z873" s="238" t="s">
        <v>1340</v>
      </c>
      <c r="AA873" t="s">
        <v>1167</v>
      </c>
      <c r="AB873" s="238" t="s">
        <v>3246</v>
      </c>
      <c r="AC873" t="s">
        <v>4246</v>
      </c>
      <c r="AD873" s="24"/>
      <c r="AE873" s="238" t="s">
        <v>2765</v>
      </c>
      <c r="AF873">
        <v>79279029902</v>
      </c>
      <c r="AG873" s="238" t="s">
        <v>2766</v>
      </c>
      <c r="AH873" s="238" t="s">
        <v>1212</v>
      </c>
      <c r="AI873" s="238" t="s">
        <v>135</v>
      </c>
      <c r="AJ873" s="238" t="s">
        <v>126</v>
      </c>
      <c r="AK873" s="238" t="s">
        <v>1167</v>
      </c>
      <c r="AL873" t="s">
        <v>8715</v>
      </c>
      <c r="AM873" t="s">
        <v>1167</v>
      </c>
    </row>
    <row r="874" spans="1:39" hidden="1" x14ac:dyDescent="0.25">
      <c r="A874">
        <v>870</v>
      </c>
      <c r="B874">
        <v>43</v>
      </c>
      <c r="C874" s="24">
        <v>44592</v>
      </c>
      <c r="D874" s="238" t="s">
        <v>19</v>
      </c>
      <c r="E874" s="238" t="s">
        <v>6</v>
      </c>
      <c r="F874">
        <v>5</v>
      </c>
      <c r="G874">
        <v>11</v>
      </c>
      <c r="H874">
        <v>68</v>
      </c>
      <c r="I874" s="238" t="s">
        <v>42</v>
      </c>
      <c r="J874">
        <v>36.42</v>
      </c>
      <c r="K874" s="238" t="s">
        <v>37</v>
      </c>
      <c r="L874">
        <v>2861571.88</v>
      </c>
      <c r="M874">
        <v>0</v>
      </c>
      <c r="N874">
        <v>2861571.88</v>
      </c>
      <c r="O874">
        <v>78571.440966501919</v>
      </c>
      <c r="P874">
        <v>0</v>
      </c>
      <c r="Q874">
        <v>2861571.88</v>
      </c>
      <c r="R874">
        <v>78571.440966501919</v>
      </c>
      <c r="S874" s="238" t="s">
        <v>137</v>
      </c>
      <c r="T874" s="238" t="s">
        <v>60</v>
      </c>
      <c r="U874">
        <v>200310</v>
      </c>
      <c r="V874" t="s">
        <v>1167</v>
      </c>
      <c r="W874" s="24">
        <v>44588</v>
      </c>
      <c r="X874" s="238" t="s">
        <v>1009</v>
      </c>
      <c r="Y874" s="238" t="s">
        <v>39</v>
      </c>
      <c r="Z874" s="238" t="s">
        <v>1340</v>
      </c>
      <c r="AA874" t="s">
        <v>1167</v>
      </c>
      <c r="AB874" s="238" t="s">
        <v>3246</v>
      </c>
      <c r="AC874" t="s">
        <v>3079</v>
      </c>
      <c r="AD874" s="24"/>
      <c r="AE874" s="238" t="s">
        <v>2767</v>
      </c>
      <c r="AF874">
        <v>79379977771</v>
      </c>
      <c r="AG874" s="238" t="s">
        <v>2768</v>
      </c>
      <c r="AH874" s="238" t="s">
        <v>1212</v>
      </c>
      <c r="AI874" s="238" t="s">
        <v>3099</v>
      </c>
      <c r="AJ874" s="238" t="s">
        <v>399</v>
      </c>
      <c r="AK874" s="238" t="s">
        <v>141</v>
      </c>
      <c r="AL874" t="s">
        <v>8715</v>
      </c>
      <c r="AM874" t="s">
        <v>1167</v>
      </c>
    </row>
    <row r="875" spans="1:39" hidden="1" x14ac:dyDescent="0.25">
      <c r="A875">
        <v>871</v>
      </c>
      <c r="B875">
        <v>44</v>
      </c>
      <c r="C875" s="24">
        <v>44592</v>
      </c>
      <c r="D875" s="238" t="s">
        <v>19</v>
      </c>
      <c r="E875" s="238" t="s">
        <v>6</v>
      </c>
      <c r="F875">
        <v>4</v>
      </c>
      <c r="G875">
        <v>18</v>
      </c>
      <c r="H875">
        <v>116</v>
      </c>
      <c r="I875" s="238" t="s">
        <v>42</v>
      </c>
      <c r="J875">
        <v>36.86</v>
      </c>
      <c r="K875" s="238" t="s">
        <v>36</v>
      </c>
      <c r="L875">
        <v>2896143.32</v>
      </c>
      <c r="M875">
        <v>0</v>
      </c>
      <c r="N875">
        <v>2896143.32</v>
      </c>
      <c r="O875">
        <v>78571.441128594684</v>
      </c>
      <c r="P875">
        <v>0</v>
      </c>
      <c r="Q875">
        <v>2896143.32</v>
      </c>
      <c r="R875">
        <v>78571.441128594684</v>
      </c>
      <c r="S875" s="238" t="s">
        <v>137</v>
      </c>
      <c r="T875" s="238" t="s">
        <v>1167</v>
      </c>
      <c r="V875" t="s">
        <v>1167</v>
      </c>
      <c r="W875" s="24">
        <v>44588</v>
      </c>
      <c r="X875" s="238" t="s">
        <v>1012</v>
      </c>
      <c r="Y875" s="238" t="s">
        <v>39</v>
      </c>
      <c r="Z875" s="238" t="s">
        <v>1340</v>
      </c>
      <c r="AA875" t="s">
        <v>1167</v>
      </c>
      <c r="AB875" s="238" t="s">
        <v>3246</v>
      </c>
      <c r="AC875" t="s">
        <v>3079</v>
      </c>
      <c r="AD875" s="24"/>
      <c r="AE875" s="238" t="s">
        <v>2769</v>
      </c>
      <c r="AF875">
        <v>79879473516</v>
      </c>
      <c r="AG875" s="238" t="s">
        <v>2770</v>
      </c>
      <c r="AH875" s="238" t="s">
        <v>1171</v>
      </c>
      <c r="AI875" s="238" t="s">
        <v>135</v>
      </c>
      <c r="AJ875" s="238" t="s">
        <v>120</v>
      </c>
      <c r="AK875" s="238" t="s">
        <v>141</v>
      </c>
      <c r="AL875" t="s">
        <v>8715</v>
      </c>
      <c r="AM875" t="s">
        <v>1167</v>
      </c>
    </row>
    <row r="876" spans="1:39" hidden="1" x14ac:dyDescent="0.25">
      <c r="A876">
        <v>872</v>
      </c>
      <c r="B876">
        <v>45</v>
      </c>
      <c r="C876" s="24">
        <v>44592</v>
      </c>
      <c r="D876" s="238" t="s">
        <v>19</v>
      </c>
      <c r="E876" s="238" t="s">
        <v>6</v>
      </c>
      <c r="F876">
        <v>4</v>
      </c>
      <c r="G876">
        <v>24</v>
      </c>
      <c r="H876">
        <v>158</v>
      </c>
      <c r="I876" s="238" t="s">
        <v>42</v>
      </c>
      <c r="J876">
        <v>36.86</v>
      </c>
      <c r="K876" s="238" t="s">
        <v>37</v>
      </c>
      <c r="L876">
        <v>3263543.87</v>
      </c>
      <c r="M876">
        <v>0</v>
      </c>
      <c r="N876">
        <v>3263543.87</v>
      </c>
      <c r="O876">
        <v>88538.90043407488</v>
      </c>
      <c r="P876">
        <v>202730</v>
      </c>
      <c r="Q876">
        <v>3060813.87</v>
      </c>
      <c r="R876">
        <v>83038.90043407488</v>
      </c>
      <c r="S876" s="238" t="s">
        <v>137</v>
      </c>
      <c r="T876" s="238" t="s">
        <v>1167</v>
      </c>
      <c r="V876" t="s">
        <v>4091</v>
      </c>
      <c r="W876" s="24">
        <v>44588</v>
      </c>
      <c r="X876" s="238" t="s">
        <v>1013</v>
      </c>
      <c r="Y876" s="238" t="s">
        <v>39</v>
      </c>
      <c r="Z876" s="238" t="s">
        <v>1340</v>
      </c>
      <c r="AA876" t="s">
        <v>1167</v>
      </c>
      <c r="AB876" s="238" t="s">
        <v>3246</v>
      </c>
      <c r="AC876" t="s">
        <v>3079</v>
      </c>
      <c r="AD876" s="24"/>
      <c r="AE876" s="238" t="s">
        <v>2771</v>
      </c>
      <c r="AF876">
        <v>79277547588</v>
      </c>
      <c r="AG876" s="238" t="s">
        <v>2772</v>
      </c>
      <c r="AH876" s="238" t="s">
        <v>1212</v>
      </c>
      <c r="AI876" s="238" t="s">
        <v>3097</v>
      </c>
      <c r="AJ876" s="238" t="s">
        <v>130</v>
      </c>
      <c r="AK876" s="238" t="s">
        <v>141</v>
      </c>
      <c r="AL876" t="s">
        <v>8715</v>
      </c>
      <c r="AM876" t="s">
        <v>1167</v>
      </c>
    </row>
    <row r="877" spans="1:39" hidden="1" x14ac:dyDescent="0.25">
      <c r="A877">
        <v>873</v>
      </c>
      <c r="B877">
        <v>46</v>
      </c>
      <c r="C877" s="24">
        <v>44592</v>
      </c>
      <c r="D877" s="238" t="s">
        <v>27</v>
      </c>
      <c r="E877" s="238" t="s">
        <v>16</v>
      </c>
      <c r="F877">
        <v>5</v>
      </c>
      <c r="G877">
        <v>6</v>
      </c>
      <c r="H877">
        <v>428</v>
      </c>
      <c r="I877" s="238" t="s">
        <v>4052</v>
      </c>
      <c r="J877">
        <v>23.63</v>
      </c>
      <c r="K877" s="238" t="s">
        <v>36</v>
      </c>
      <c r="L877">
        <v>1828595.26</v>
      </c>
      <c r="M877">
        <v>0</v>
      </c>
      <c r="N877">
        <v>1828595.26</v>
      </c>
      <c r="O877">
        <v>77384.479898434191</v>
      </c>
      <c r="P877">
        <v>0</v>
      </c>
      <c r="Q877">
        <v>1828595.26</v>
      </c>
      <c r="R877">
        <v>77384.479898434191</v>
      </c>
      <c r="S877" s="238" t="s">
        <v>121</v>
      </c>
      <c r="T877" s="238" t="s">
        <v>1167</v>
      </c>
      <c r="V877" t="s">
        <v>1167</v>
      </c>
      <c r="W877" s="24">
        <v>44589</v>
      </c>
      <c r="X877" s="238" t="s">
        <v>1006</v>
      </c>
      <c r="Y877" s="238" t="s">
        <v>39</v>
      </c>
      <c r="Z877" s="238" t="s">
        <v>1168</v>
      </c>
      <c r="AA877" t="s">
        <v>1167</v>
      </c>
      <c r="AB877" s="238" t="s">
        <v>3246</v>
      </c>
      <c r="AC877" t="s">
        <v>4246</v>
      </c>
      <c r="AD877" s="24"/>
      <c r="AE877" s="238" t="s">
        <v>2773</v>
      </c>
      <c r="AF877">
        <v>79371815040</v>
      </c>
      <c r="AG877" s="238" t="s">
        <v>2774</v>
      </c>
      <c r="AH877" s="238" t="s">
        <v>1171</v>
      </c>
      <c r="AI877" s="238" t="s">
        <v>6406</v>
      </c>
      <c r="AJ877" s="238" t="s">
        <v>982</v>
      </c>
      <c r="AK877" s="238" t="s">
        <v>1167</v>
      </c>
      <c r="AL877" t="s">
        <v>57</v>
      </c>
      <c r="AM877" t="s">
        <v>1167</v>
      </c>
    </row>
    <row r="878" spans="1:39" hidden="1" x14ac:dyDescent="0.25">
      <c r="A878">
        <v>874</v>
      </c>
      <c r="B878">
        <v>47</v>
      </c>
      <c r="C878" s="24">
        <v>44592</v>
      </c>
      <c r="D878" s="238" t="s">
        <v>27</v>
      </c>
      <c r="E878" s="238" t="s">
        <v>13</v>
      </c>
      <c r="F878">
        <v>7</v>
      </c>
      <c r="G878">
        <v>5</v>
      </c>
      <c r="H878">
        <v>864</v>
      </c>
      <c r="I878" s="238" t="s">
        <v>43</v>
      </c>
      <c r="J878">
        <v>62.69</v>
      </c>
      <c r="K878" s="238" t="s">
        <v>36</v>
      </c>
      <c r="L878">
        <v>4122646.1</v>
      </c>
      <c r="M878">
        <v>0</v>
      </c>
      <c r="N878">
        <v>4122646.1</v>
      </c>
      <c r="O878">
        <v>65762.419843675234</v>
      </c>
      <c r="P878">
        <v>0</v>
      </c>
      <c r="Q878">
        <v>4122646.1</v>
      </c>
      <c r="R878">
        <v>65762.419843675234</v>
      </c>
      <c r="S878" s="238" t="s">
        <v>137</v>
      </c>
      <c r="T878" s="238" t="s">
        <v>321</v>
      </c>
      <c r="U878">
        <v>84135.63</v>
      </c>
      <c r="V878" t="s">
        <v>4091</v>
      </c>
      <c r="W878" s="24">
        <v>44589</v>
      </c>
      <c r="X878" s="238" t="s">
        <v>1008</v>
      </c>
      <c r="Y878" s="238" t="s">
        <v>39</v>
      </c>
      <c r="Z878" s="238" t="s">
        <v>1340</v>
      </c>
      <c r="AA878" t="s">
        <v>1167</v>
      </c>
      <c r="AB878" s="238" t="s">
        <v>3246</v>
      </c>
      <c r="AC878" t="s">
        <v>3079</v>
      </c>
      <c r="AD878" s="24"/>
      <c r="AE878" s="238" t="s">
        <v>2775</v>
      </c>
      <c r="AF878">
        <v>79869529641</v>
      </c>
      <c r="AG878" s="238" t="s">
        <v>2776</v>
      </c>
      <c r="AH878" s="238" t="s">
        <v>1171</v>
      </c>
      <c r="AI878" s="238" t="s">
        <v>3090</v>
      </c>
      <c r="AJ878" s="238" t="s">
        <v>126</v>
      </c>
      <c r="AK878" s="238" t="s">
        <v>141</v>
      </c>
      <c r="AL878" t="s">
        <v>8715</v>
      </c>
      <c r="AM878" t="s">
        <v>1167</v>
      </c>
    </row>
    <row r="879" spans="1:39" hidden="1" x14ac:dyDescent="0.25">
      <c r="A879">
        <v>875</v>
      </c>
      <c r="B879">
        <v>48</v>
      </c>
      <c r="C879" s="24">
        <v>44592</v>
      </c>
      <c r="D879" s="238" t="s">
        <v>19</v>
      </c>
      <c r="E879" s="238" t="s">
        <v>6</v>
      </c>
      <c r="F879">
        <v>6</v>
      </c>
      <c r="G879">
        <v>8</v>
      </c>
      <c r="H879">
        <v>48</v>
      </c>
      <c r="I879" s="238" t="s">
        <v>43</v>
      </c>
      <c r="J879">
        <v>59.96</v>
      </c>
      <c r="K879" s="238" t="s">
        <v>37</v>
      </c>
      <c r="L879">
        <v>4704735.68</v>
      </c>
      <c r="M879">
        <v>0</v>
      </c>
      <c r="N879">
        <v>4704735.68</v>
      </c>
      <c r="O879">
        <v>78464.571047364909</v>
      </c>
      <c r="P879">
        <v>329780</v>
      </c>
      <c r="Q879">
        <v>4374955.68</v>
      </c>
      <c r="R879">
        <v>72964.571047364909</v>
      </c>
      <c r="S879" s="238" t="s">
        <v>137</v>
      </c>
      <c r="T879" s="238" t="s">
        <v>321</v>
      </c>
      <c r="U879">
        <v>89284.809800000003</v>
      </c>
      <c r="V879" t="s">
        <v>4091</v>
      </c>
      <c r="W879" s="24">
        <v>44589</v>
      </c>
      <c r="X879" s="238" t="s">
        <v>1010</v>
      </c>
      <c r="Y879" s="238" t="s">
        <v>39</v>
      </c>
      <c r="Z879" s="238" t="s">
        <v>1340</v>
      </c>
      <c r="AA879" t="s">
        <v>1167</v>
      </c>
      <c r="AB879" s="238" t="s">
        <v>3246</v>
      </c>
      <c r="AC879" t="s">
        <v>3079</v>
      </c>
      <c r="AD879" s="24"/>
      <c r="AE879" s="238" t="s">
        <v>2777</v>
      </c>
      <c r="AF879">
        <v>79538322840</v>
      </c>
      <c r="AG879" s="238" t="s">
        <v>2778</v>
      </c>
      <c r="AH879" s="238" t="s">
        <v>1171</v>
      </c>
      <c r="AI879" s="238" t="s">
        <v>3090</v>
      </c>
      <c r="AJ879" s="238" t="s">
        <v>126</v>
      </c>
      <c r="AK879" s="238" t="s">
        <v>141</v>
      </c>
      <c r="AL879" t="s">
        <v>8715</v>
      </c>
      <c r="AM879" t="s">
        <v>1167</v>
      </c>
    </row>
    <row r="880" spans="1:39" hidden="1" x14ac:dyDescent="0.25">
      <c r="A880">
        <v>876</v>
      </c>
      <c r="B880">
        <v>49</v>
      </c>
      <c r="C880" s="24">
        <v>44592</v>
      </c>
      <c r="D880" s="238" t="s">
        <v>27</v>
      </c>
      <c r="E880" s="238" t="s">
        <v>5</v>
      </c>
      <c r="F880">
        <v>2</v>
      </c>
      <c r="G880">
        <v>10</v>
      </c>
      <c r="H880">
        <v>273</v>
      </c>
      <c r="I880" s="238" t="s">
        <v>42</v>
      </c>
      <c r="J880">
        <v>37.159999999999997</v>
      </c>
      <c r="K880" s="238" t="s">
        <v>36</v>
      </c>
      <c r="L880">
        <v>2641706.2599999998</v>
      </c>
      <c r="M880">
        <v>0</v>
      </c>
      <c r="N880">
        <v>2641706.2599999998</v>
      </c>
      <c r="O880">
        <v>71090.050053821309</v>
      </c>
      <c r="P880">
        <v>0</v>
      </c>
      <c r="Q880">
        <v>2641706.2599999998</v>
      </c>
      <c r="R880">
        <v>71090.050053821309</v>
      </c>
      <c r="S880" s="238" t="s">
        <v>121</v>
      </c>
      <c r="T880" s="238" t="s">
        <v>1167</v>
      </c>
      <c r="V880" t="s">
        <v>1167</v>
      </c>
      <c r="W880" s="24">
        <v>44592</v>
      </c>
      <c r="X880" s="238" t="s">
        <v>1007</v>
      </c>
      <c r="Y880" s="238" t="s">
        <v>39</v>
      </c>
      <c r="Z880" s="238" t="s">
        <v>1168</v>
      </c>
      <c r="AA880" t="s">
        <v>1167</v>
      </c>
      <c r="AB880" s="238" t="s">
        <v>3246</v>
      </c>
      <c r="AC880" t="s">
        <v>4246</v>
      </c>
      <c r="AD880" s="24"/>
      <c r="AE880" s="238" t="s">
        <v>2779</v>
      </c>
      <c r="AF880">
        <v>79276034474</v>
      </c>
      <c r="AG880" s="238" t="s">
        <v>2780</v>
      </c>
      <c r="AH880" s="238" t="s">
        <v>1171</v>
      </c>
      <c r="AI880" s="238" t="s">
        <v>6406</v>
      </c>
      <c r="AJ880" s="238" t="s">
        <v>120</v>
      </c>
      <c r="AK880" s="238" t="s">
        <v>1167</v>
      </c>
      <c r="AL880" t="s">
        <v>57</v>
      </c>
      <c r="AM880" t="s">
        <v>1167</v>
      </c>
    </row>
    <row r="881" spans="1:39" hidden="1" x14ac:dyDescent="0.25">
      <c r="A881">
        <v>877</v>
      </c>
      <c r="B881">
        <v>50</v>
      </c>
      <c r="C881" s="24">
        <v>44592</v>
      </c>
      <c r="D881" s="238" t="s">
        <v>19</v>
      </c>
      <c r="E881" s="238" t="s">
        <v>6</v>
      </c>
      <c r="F881">
        <v>6</v>
      </c>
      <c r="G881">
        <v>14</v>
      </c>
      <c r="H881">
        <v>90</v>
      </c>
      <c r="I881" s="238" t="s">
        <v>43</v>
      </c>
      <c r="J881">
        <v>59.96</v>
      </c>
      <c r="K881" s="238" t="s">
        <v>37</v>
      </c>
      <c r="L881">
        <v>4464240.49</v>
      </c>
      <c r="M881">
        <v>0</v>
      </c>
      <c r="N881">
        <v>4464240.49</v>
      </c>
      <c r="O881">
        <v>74453.643929286191</v>
      </c>
      <c r="P881">
        <v>0</v>
      </c>
      <c r="Q881">
        <v>4464240.49</v>
      </c>
      <c r="R881">
        <v>74453.643929286191</v>
      </c>
      <c r="S881" s="238" t="s">
        <v>137</v>
      </c>
      <c r="T881" s="238" t="s">
        <v>60</v>
      </c>
      <c r="U881">
        <v>329780</v>
      </c>
      <c r="V881" t="s">
        <v>4091</v>
      </c>
      <c r="W881" s="24">
        <v>44588</v>
      </c>
      <c r="X881" s="238" t="s">
        <v>1005</v>
      </c>
      <c r="Y881" s="238" t="s">
        <v>39</v>
      </c>
      <c r="Z881" s="238" t="s">
        <v>1340</v>
      </c>
      <c r="AA881" t="s">
        <v>1167</v>
      </c>
      <c r="AB881" s="238" t="s">
        <v>3246</v>
      </c>
      <c r="AC881" t="s">
        <v>3079</v>
      </c>
      <c r="AD881" s="24"/>
      <c r="AE881" s="238" t="s">
        <v>2781</v>
      </c>
      <c r="AF881">
        <v>79277977424</v>
      </c>
      <c r="AG881" s="238" t="s">
        <v>2782</v>
      </c>
      <c r="AH881" s="238" t="s">
        <v>135</v>
      </c>
      <c r="AI881" s="238" t="s">
        <v>3099</v>
      </c>
      <c r="AJ881" s="238" t="s">
        <v>689</v>
      </c>
      <c r="AK881" s="238" t="s">
        <v>141</v>
      </c>
      <c r="AL881" t="s">
        <v>8715</v>
      </c>
      <c r="AM881" t="s">
        <v>1167</v>
      </c>
    </row>
    <row r="882" spans="1:39" hidden="1" x14ac:dyDescent="0.25">
      <c r="A882">
        <v>878</v>
      </c>
      <c r="B882">
        <v>1</v>
      </c>
      <c r="C882" s="24">
        <v>44593</v>
      </c>
      <c r="D882" s="238" t="s">
        <v>19</v>
      </c>
      <c r="E882" s="238" t="s">
        <v>5</v>
      </c>
      <c r="F882">
        <v>10</v>
      </c>
      <c r="G882">
        <v>5</v>
      </c>
      <c r="H882">
        <v>204</v>
      </c>
      <c r="I882" s="238" t="s">
        <v>4052</v>
      </c>
      <c r="J882">
        <v>25.91</v>
      </c>
      <c r="K882" s="238" t="s">
        <v>37</v>
      </c>
      <c r="L882">
        <v>2396913.86</v>
      </c>
      <c r="M882">
        <v>0</v>
      </c>
      <c r="N882">
        <v>2396913.86</v>
      </c>
      <c r="O882">
        <v>92509.218834426851</v>
      </c>
      <c r="P882">
        <v>142505</v>
      </c>
      <c r="Q882">
        <v>2254408.86</v>
      </c>
      <c r="R882">
        <v>87009.218834426851</v>
      </c>
      <c r="S882" s="238" t="s">
        <v>137</v>
      </c>
      <c r="T882" s="238" t="s">
        <v>1167</v>
      </c>
      <c r="V882" t="s">
        <v>4091</v>
      </c>
      <c r="W882" s="24">
        <v>44590</v>
      </c>
      <c r="X882" s="238" t="s">
        <v>1015</v>
      </c>
      <c r="Y882" s="238" t="s">
        <v>39</v>
      </c>
      <c r="Z882" s="238" t="s">
        <v>1340</v>
      </c>
      <c r="AA882" t="s">
        <v>1167</v>
      </c>
      <c r="AB882" s="238" t="s">
        <v>3246</v>
      </c>
      <c r="AC882" t="s">
        <v>3079</v>
      </c>
      <c r="AD882" s="24"/>
      <c r="AE882" s="238" t="s">
        <v>2783</v>
      </c>
      <c r="AF882">
        <v>79276530195</v>
      </c>
      <c r="AG882" s="238" t="s">
        <v>2784</v>
      </c>
      <c r="AH882" s="238" t="s">
        <v>135</v>
      </c>
      <c r="AI882" s="238" t="s">
        <v>3075</v>
      </c>
      <c r="AJ882" s="238" t="s">
        <v>399</v>
      </c>
      <c r="AK882" s="238" t="s">
        <v>794</v>
      </c>
      <c r="AL882" t="s">
        <v>8715</v>
      </c>
      <c r="AM882" t="s">
        <v>1167</v>
      </c>
    </row>
    <row r="883" spans="1:39" hidden="1" x14ac:dyDescent="0.25">
      <c r="A883">
        <v>879</v>
      </c>
      <c r="B883">
        <v>2</v>
      </c>
      <c r="C883" s="24">
        <v>44594</v>
      </c>
      <c r="D883" s="238" t="s">
        <v>19</v>
      </c>
      <c r="E883" s="238" t="s">
        <v>5</v>
      </c>
      <c r="F883">
        <v>2</v>
      </c>
      <c r="G883">
        <v>12</v>
      </c>
      <c r="H883">
        <v>273</v>
      </c>
      <c r="I883" s="238" t="s">
        <v>42</v>
      </c>
      <c r="J883">
        <v>38.22</v>
      </c>
      <c r="K883" s="238" t="s">
        <v>37</v>
      </c>
      <c r="L883">
        <v>3457261.99</v>
      </c>
      <c r="M883">
        <v>0</v>
      </c>
      <c r="N883">
        <v>3457261.99</v>
      </c>
      <c r="O883">
        <v>90456.880952380961</v>
      </c>
      <c r="P883">
        <v>210210</v>
      </c>
      <c r="Q883">
        <v>3247051.99</v>
      </c>
      <c r="R883">
        <v>84956.880952380961</v>
      </c>
      <c r="S883" s="238" t="s">
        <v>137</v>
      </c>
      <c r="T883" s="238" t="s">
        <v>1167</v>
      </c>
      <c r="V883" t="s">
        <v>1167</v>
      </c>
      <c r="W883" s="24">
        <v>44589</v>
      </c>
      <c r="X883" s="238" t="s">
        <v>1016</v>
      </c>
      <c r="Y883" s="238" t="s">
        <v>39</v>
      </c>
      <c r="Z883" s="238" t="s">
        <v>1168</v>
      </c>
      <c r="AA883" t="s">
        <v>1167</v>
      </c>
      <c r="AB883" s="238" t="s">
        <v>3246</v>
      </c>
      <c r="AC883" t="s">
        <v>3076</v>
      </c>
      <c r="AD883" s="24"/>
      <c r="AE883" s="238" t="s">
        <v>2785</v>
      </c>
      <c r="AF883">
        <v>79178186799</v>
      </c>
      <c r="AG883" s="238" t="s">
        <v>2786</v>
      </c>
      <c r="AH883" s="238" t="s">
        <v>146</v>
      </c>
      <c r="AI883" s="238" t="s">
        <v>135</v>
      </c>
      <c r="AJ883" s="238" t="s">
        <v>689</v>
      </c>
      <c r="AK883" s="238" t="s">
        <v>141</v>
      </c>
      <c r="AL883" t="s">
        <v>8715</v>
      </c>
      <c r="AM883" t="s">
        <v>1167</v>
      </c>
    </row>
    <row r="884" spans="1:39" hidden="1" x14ac:dyDescent="0.25">
      <c r="A884">
        <v>880</v>
      </c>
      <c r="B884">
        <v>3</v>
      </c>
      <c r="C884" s="24">
        <v>44595</v>
      </c>
      <c r="D884" s="238" t="s">
        <v>19</v>
      </c>
      <c r="E884" s="238" t="s">
        <v>6</v>
      </c>
      <c r="F884">
        <v>2</v>
      </c>
      <c r="G884">
        <v>11</v>
      </c>
      <c r="H884">
        <v>65</v>
      </c>
      <c r="I884" s="238" t="s">
        <v>43</v>
      </c>
      <c r="J884">
        <v>58.99</v>
      </c>
      <c r="K884" s="238" t="s">
        <v>37</v>
      </c>
      <c r="L884">
        <v>4549680.5199999996</v>
      </c>
      <c r="M884">
        <v>0</v>
      </c>
      <c r="N884">
        <v>4549680.5199999996</v>
      </c>
      <c r="O884">
        <v>77126.301407018123</v>
      </c>
      <c r="P884">
        <v>0</v>
      </c>
      <c r="Q884">
        <v>4549680.5199999996</v>
      </c>
      <c r="R884">
        <v>77126.301407018123</v>
      </c>
      <c r="S884" s="238" t="s">
        <v>137</v>
      </c>
      <c r="T884" s="238" t="s">
        <v>60</v>
      </c>
      <c r="U884">
        <v>324445</v>
      </c>
      <c r="V884" t="s">
        <v>4091</v>
      </c>
      <c r="W884" s="24">
        <v>44592</v>
      </c>
      <c r="X884" s="238" t="s">
        <v>1017</v>
      </c>
      <c r="Y884" s="238" t="s">
        <v>39</v>
      </c>
      <c r="Z884" s="238" t="s">
        <v>1340</v>
      </c>
      <c r="AA884" t="s">
        <v>1167</v>
      </c>
      <c r="AB884" s="238" t="s">
        <v>3246</v>
      </c>
      <c r="AC884" t="s">
        <v>3079</v>
      </c>
      <c r="AD884" s="24"/>
      <c r="AE884" s="238" t="s">
        <v>2787</v>
      </c>
      <c r="AF884">
        <v>79277412108</v>
      </c>
      <c r="AG884" s="238" t="s">
        <v>2788</v>
      </c>
      <c r="AH884" s="238" t="s">
        <v>1171</v>
      </c>
      <c r="AI884" s="238" t="s">
        <v>3074</v>
      </c>
      <c r="AJ884" s="238" t="s">
        <v>399</v>
      </c>
      <c r="AK884" s="238" t="s">
        <v>141</v>
      </c>
      <c r="AL884" t="s">
        <v>8715</v>
      </c>
      <c r="AM884" t="s">
        <v>1167</v>
      </c>
    </row>
    <row r="885" spans="1:39" hidden="1" x14ac:dyDescent="0.25">
      <c r="A885">
        <v>881</v>
      </c>
      <c r="B885">
        <v>4</v>
      </c>
      <c r="C885" s="24">
        <v>44595</v>
      </c>
      <c r="D885" s="238" t="s">
        <v>27</v>
      </c>
      <c r="E885" s="238" t="s">
        <v>15</v>
      </c>
      <c r="F885">
        <v>5</v>
      </c>
      <c r="G885">
        <v>2</v>
      </c>
      <c r="H885">
        <v>516</v>
      </c>
      <c r="I885" s="238" t="s">
        <v>4052</v>
      </c>
      <c r="J885">
        <v>23.63</v>
      </c>
      <c r="K885" s="238" t="s">
        <v>38</v>
      </c>
      <c r="L885">
        <v>2096684.52</v>
      </c>
      <c r="M885">
        <v>0</v>
      </c>
      <c r="N885">
        <v>2096684.52</v>
      </c>
      <c r="O885">
        <v>88729.772323317826</v>
      </c>
      <c r="P885">
        <v>378080</v>
      </c>
      <c r="Q885">
        <v>1718604.52</v>
      </c>
      <c r="R885">
        <v>72729.772323317826</v>
      </c>
      <c r="S885" s="238" t="s">
        <v>137</v>
      </c>
      <c r="T885" s="238" t="s">
        <v>1167</v>
      </c>
      <c r="V885" t="s">
        <v>1167</v>
      </c>
      <c r="W885" s="24">
        <v>44592</v>
      </c>
      <c r="X885" s="238" t="s">
        <v>1018</v>
      </c>
      <c r="Y885" s="238" t="s">
        <v>39</v>
      </c>
      <c r="Z885" s="238" t="s">
        <v>1340</v>
      </c>
      <c r="AA885" t="s">
        <v>1167</v>
      </c>
      <c r="AB885" s="238" t="s">
        <v>3246</v>
      </c>
      <c r="AC885" t="s">
        <v>3079</v>
      </c>
      <c r="AD885" s="24"/>
      <c r="AE885" s="238" t="s">
        <v>2789</v>
      </c>
      <c r="AF885">
        <v>79270000012</v>
      </c>
      <c r="AG885" s="238" t="s">
        <v>2790</v>
      </c>
      <c r="AH885" s="238" t="s">
        <v>1212</v>
      </c>
      <c r="AI885" s="238" t="s">
        <v>3086</v>
      </c>
      <c r="AJ885" s="238" t="s">
        <v>399</v>
      </c>
      <c r="AK885" s="238" t="s">
        <v>141</v>
      </c>
      <c r="AL885" t="s">
        <v>8715</v>
      </c>
      <c r="AM885" t="s">
        <v>1167</v>
      </c>
    </row>
    <row r="886" spans="1:39" hidden="1" x14ac:dyDescent="0.25">
      <c r="A886">
        <v>882</v>
      </c>
      <c r="B886">
        <v>5</v>
      </c>
      <c r="C886" s="24">
        <v>44595</v>
      </c>
      <c r="D886" s="238" t="s">
        <v>27</v>
      </c>
      <c r="E886" s="238" t="s">
        <v>6</v>
      </c>
      <c r="F886">
        <v>2</v>
      </c>
      <c r="G886">
        <v>13</v>
      </c>
      <c r="H886">
        <v>101</v>
      </c>
      <c r="I886" s="238" t="s">
        <v>42</v>
      </c>
      <c r="J886">
        <v>37.94</v>
      </c>
      <c r="K886" s="238" t="s">
        <v>36</v>
      </c>
      <c r="L886">
        <v>2697156.5</v>
      </c>
      <c r="M886">
        <v>0</v>
      </c>
      <c r="N886">
        <v>2697156.5</v>
      </c>
      <c r="O886">
        <v>71090.050079072229</v>
      </c>
      <c r="P886">
        <v>0</v>
      </c>
      <c r="Q886">
        <v>2697156.5</v>
      </c>
      <c r="R886">
        <v>71090.050079072229</v>
      </c>
      <c r="S886" s="238" t="s">
        <v>137</v>
      </c>
      <c r="T886" s="238" t="s">
        <v>1167</v>
      </c>
      <c r="V886" t="s">
        <v>1167</v>
      </c>
      <c r="W886" s="24">
        <v>44592</v>
      </c>
      <c r="X886" s="238" t="s">
        <v>1019</v>
      </c>
      <c r="Y886" s="238" t="s">
        <v>39</v>
      </c>
      <c r="Z886" s="238" t="s">
        <v>1340</v>
      </c>
      <c r="AA886" t="s">
        <v>1167</v>
      </c>
      <c r="AB886" s="238" t="s">
        <v>3246</v>
      </c>
      <c r="AC886" t="s">
        <v>3079</v>
      </c>
      <c r="AD886" s="24"/>
      <c r="AE886" s="238" t="s">
        <v>2791</v>
      </c>
      <c r="AF886">
        <v>79379974213</v>
      </c>
      <c r="AG886" s="238" t="s">
        <v>2792</v>
      </c>
      <c r="AH886" s="238" t="s">
        <v>1171</v>
      </c>
      <c r="AI886" s="238" t="s">
        <v>6406</v>
      </c>
      <c r="AJ886" s="238" t="s">
        <v>130</v>
      </c>
      <c r="AK886" s="238" t="s">
        <v>141</v>
      </c>
      <c r="AL886" t="s">
        <v>57</v>
      </c>
      <c r="AM886" t="s">
        <v>1167</v>
      </c>
    </row>
    <row r="887" spans="1:39" hidden="1" x14ac:dyDescent="0.25">
      <c r="A887">
        <v>883</v>
      </c>
      <c r="B887">
        <v>6</v>
      </c>
      <c r="C887" s="24">
        <v>44599</v>
      </c>
      <c r="D887" s="238" t="s">
        <v>27</v>
      </c>
      <c r="E887" s="238" t="s">
        <v>15</v>
      </c>
      <c r="F887">
        <v>3</v>
      </c>
      <c r="G887">
        <v>13</v>
      </c>
      <c r="H887">
        <v>602</v>
      </c>
      <c r="I887" s="238" t="s">
        <v>4052</v>
      </c>
      <c r="J887">
        <v>23.54</v>
      </c>
      <c r="K887" s="238" t="s">
        <v>38</v>
      </c>
      <c r="L887">
        <v>2198270.66</v>
      </c>
      <c r="M887">
        <v>0</v>
      </c>
      <c r="N887">
        <v>2198270.66</v>
      </c>
      <c r="O887">
        <v>93384.480033984713</v>
      </c>
      <c r="P887">
        <v>376640</v>
      </c>
      <c r="Q887">
        <v>1821630.6600000001</v>
      </c>
      <c r="R887">
        <v>77384.480033984713</v>
      </c>
      <c r="S887" s="238" t="s">
        <v>137</v>
      </c>
      <c r="T887" s="238" t="s">
        <v>1167</v>
      </c>
      <c r="V887" t="s">
        <v>1167</v>
      </c>
      <c r="W887" s="24">
        <v>44587</v>
      </c>
      <c r="X887" s="238" t="s">
        <v>1021</v>
      </c>
      <c r="Y887" s="238" t="s">
        <v>39</v>
      </c>
      <c r="Z887" s="238" t="s">
        <v>1168</v>
      </c>
      <c r="AA887" t="s">
        <v>1167</v>
      </c>
      <c r="AB887" s="238" t="s">
        <v>3246</v>
      </c>
      <c r="AC887" t="s">
        <v>3076</v>
      </c>
      <c r="AD887" s="24"/>
      <c r="AE887" s="238" t="s">
        <v>2793</v>
      </c>
      <c r="AF887">
        <v>79370639653</v>
      </c>
      <c r="AG887" s="238" t="s">
        <v>2794</v>
      </c>
      <c r="AH887" s="238" t="s">
        <v>135</v>
      </c>
      <c r="AI887" s="238" t="s">
        <v>3099</v>
      </c>
      <c r="AJ887" s="238" t="s">
        <v>130</v>
      </c>
      <c r="AK887" s="238" t="s">
        <v>141</v>
      </c>
      <c r="AL887" t="s">
        <v>8715</v>
      </c>
      <c r="AM887" t="s">
        <v>1167</v>
      </c>
    </row>
    <row r="888" spans="1:39" hidden="1" x14ac:dyDescent="0.25">
      <c r="A888">
        <v>884</v>
      </c>
      <c r="B888">
        <v>7</v>
      </c>
      <c r="C888" s="24">
        <v>44599</v>
      </c>
      <c r="D888" s="238" t="s">
        <v>27</v>
      </c>
      <c r="E888" s="238" t="s">
        <v>6</v>
      </c>
      <c r="F888">
        <v>1</v>
      </c>
      <c r="G888">
        <v>13</v>
      </c>
      <c r="H888">
        <v>100</v>
      </c>
      <c r="I888" s="238" t="s">
        <v>44</v>
      </c>
      <c r="J888">
        <v>82.71</v>
      </c>
      <c r="K888" s="238" t="s">
        <v>37</v>
      </c>
      <c r="L888">
        <v>4912981.4400000004</v>
      </c>
      <c r="M888">
        <v>0</v>
      </c>
      <c r="N888">
        <v>4912981.4400000004</v>
      </c>
      <c r="O888">
        <v>59400.089952847309</v>
      </c>
      <c r="P888">
        <v>454905</v>
      </c>
      <c r="Q888">
        <v>4458076.4400000004</v>
      </c>
      <c r="R888">
        <v>53900.089952847309</v>
      </c>
      <c r="S888" s="238" t="s">
        <v>137</v>
      </c>
      <c r="T888" s="238" t="s">
        <v>60</v>
      </c>
      <c r="U888">
        <v>454905</v>
      </c>
      <c r="V888" t="s">
        <v>4091</v>
      </c>
      <c r="W888" s="24">
        <v>44593</v>
      </c>
      <c r="X888" s="238" t="s">
        <v>1022</v>
      </c>
      <c r="Y888" s="238" t="s">
        <v>39</v>
      </c>
      <c r="Z888" s="238" t="s">
        <v>1340</v>
      </c>
      <c r="AA888" t="s">
        <v>1167</v>
      </c>
      <c r="AB888" s="238" t="s">
        <v>3246</v>
      </c>
      <c r="AC888" t="s">
        <v>3079</v>
      </c>
      <c r="AD888" s="24"/>
      <c r="AE888" s="238" t="s">
        <v>2795</v>
      </c>
      <c r="AF888">
        <v>79277119737</v>
      </c>
      <c r="AG888" s="238" t="s">
        <v>2796</v>
      </c>
      <c r="AH888" s="238" t="s">
        <v>135</v>
      </c>
      <c r="AI888" s="238" t="s">
        <v>3075</v>
      </c>
      <c r="AJ888" s="238" t="s">
        <v>399</v>
      </c>
      <c r="AK888" s="238" t="s">
        <v>794</v>
      </c>
      <c r="AL888" t="s">
        <v>8715</v>
      </c>
      <c r="AM888" t="s">
        <v>1167</v>
      </c>
    </row>
    <row r="889" spans="1:39" hidden="1" x14ac:dyDescent="0.25">
      <c r="A889">
        <v>885</v>
      </c>
      <c r="B889">
        <v>8</v>
      </c>
      <c r="C889" s="24">
        <v>44599</v>
      </c>
      <c r="D889" s="238" t="s">
        <v>27</v>
      </c>
      <c r="E889" s="238" t="s">
        <v>5</v>
      </c>
      <c r="F889">
        <v>2</v>
      </c>
      <c r="G889">
        <v>13</v>
      </c>
      <c r="H889">
        <v>297</v>
      </c>
      <c r="I889" s="238" t="s">
        <v>42</v>
      </c>
      <c r="J889">
        <v>37.159999999999997</v>
      </c>
      <c r="K889" s="238" t="s">
        <v>38</v>
      </c>
      <c r="L889">
        <v>3236266.26</v>
      </c>
      <c r="M889">
        <v>0</v>
      </c>
      <c r="N889">
        <v>3236266.26</v>
      </c>
      <c r="O889">
        <v>87090.050053821309</v>
      </c>
      <c r="P889">
        <v>594560</v>
      </c>
      <c r="Q889">
        <v>2641706.2599999998</v>
      </c>
      <c r="R889">
        <v>71090.050053821309</v>
      </c>
      <c r="S889" s="238" t="s">
        <v>137</v>
      </c>
      <c r="T889" s="238" t="s">
        <v>1167</v>
      </c>
      <c r="V889" t="s">
        <v>1167</v>
      </c>
      <c r="W889" s="24">
        <v>44595</v>
      </c>
      <c r="X889" s="238" t="s">
        <v>1020</v>
      </c>
      <c r="Y889" s="238" t="s">
        <v>39</v>
      </c>
      <c r="Z889" s="238" t="s">
        <v>1340</v>
      </c>
      <c r="AA889" t="s">
        <v>3474</v>
      </c>
      <c r="AB889" s="238" t="s">
        <v>3246</v>
      </c>
      <c r="AC889" t="s">
        <v>3077</v>
      </c>
      <c r="AD889" s="24"/>
      <c r="AE889" s="238" t="s">
        <v>2797</v>
      </c>
      <c r="AF889">
        <v>79171223540</v>
      </c>
      <c r="AG889" s="238" t="s">
        <v>2798</v>
      </c>
      <c r="AH889" s="238" t="s">
        <v>135</v>
      </c>
      <c r="AI889" s="238" t="s">
        <v>3099</v>
      </c>
      <c r="AJ889" s="238" t="s">
        <v>120</v>
      </c>
      <c r="AK889" s="238" t="s">
        <v>794</v>
      </c>
      <c r="AL889" t="s">
        <v>8715</v>
      </c>
      <c r="AM889" t="s">
        <v>1167</v>
      </c>
    </row>
    <row r="890" spans="1:39" hidden="1" x14ac:dyDescent="0.25">
      <c r="A890">
        <v>886</v>
      </c>
      <c r="B890">
        <v>9</v>
      </c>
      <c r="C890" s="24">
        <v>44599</v>
      </c>
      <c r="D890" s="238" t="s">
        <v>27</v>
      </c>
      <c r="E890" s="238" t="s">
        <v>6</v>
      </c>
      <c r="F890">
        <v>4</v>
      </c>
      <c r="G890">
        <v>9</v>
      </c>
      <c r="H890">
        <v>67</v>
      </c>
      <c r="I890" s="238" t="s">
        <v>4052</v>
      </c>
      <c r="J890">
        <v>24.39</v>
      </c>
      <c r="K890" s="238" t="s">
        <v>36</v>
      </c>
      <c r="L890">
        <v>2007179.68</v>
      </c>
      <c r="M890">
        <v>0</v>
      </c>
      <c r="N890">
        <v>2007179.68</v>
      </c>
      <c r="O890">
        <v>82295.189831898315</v>
      </c>
      <c r="P890">
        <v>0</v>
      </c>
      <c r="Q890">
        <v>2007179.68</v>
      </c>
      <c r="R890">
        <v>82295.189831898315</v>
      </c>
      <c r="S890" s="238" t="s">
        <v>137</v>
      </c>
      <c r="T890" s="238" t="s">
        <v>1167</v>
      </c>
      <c r="V890" t="s">
        <v>1167</v>
      </c>
      <c r="W890" s="24">
        <v>44596</v>
      </c>
      <c r="X890" s="238" t="s">
        <v>1023</v>
      </c>
      <c r="Y890" s="238" t="s">
        <v>39</v>
      </c>
      <c r="Z890" s="238" t="s">
        <v>1340</v>
      </c>
      <c r="AA890" t="s">
        <v>1167</v>
      </c>
      <c r="AB890" s="238" t="s">
        <v>3246</v>
      </c>
      <c r="AC890" t="s">
        <v>3079</v>
      </c>
      <c r="AD890" s="24"/>
      <c r="AE890" s="238" t="s">
        <v>2799</v>
      </c>
      <c r="AF890">
        <v>79277128995</v>
      </c>
      <c r="AG890" s="238" t="s">
        <v>2800</v>
      </c>
      <c r="AH890" s="238" t="s">
        <v>137</v>
      </c>
      <c r="AI890" s="238" t="s">
        <v>3114</v>
      </c>
      <c r="AJ890" s="238" t="s">
        <v>130</v>
      </c>
      <c r="AK890" s="238" t="s">
        <v>141</v>
      </c>
      <c r="AL890" t="s">
        <v>8715</v>
      </c>
      <c r="AM890" t="s">
        <v>1167</v>
      </c>
    </row>
    <row r="891" spans="1:39" hidden="1" x14ac:dyDescent="0.25">
      <c r="A891">
        <v>887</v>
      </c>
      <c r="B891">
        <v>10</v>
      </c>
      <c r="C891" s="24">
        <v>44600</v>
      </c>
      <c r="D891" s="238" t="s">
        <v>27</v>
      </c>
      <c r="E891" s="238" t="s">
        <v>15</v>
      </c>
      <c r="F891">
        <v>2</v>
      </c>
      <c r="G891">
        <v>9</v>
      </c>
      <c r="H891">
        <v>569</v>
      </c>
      <c r="I891" s="238" t="s">
        <v>42</v>
      </c>
      <c r="J891">
        <v>37.159999999999997</v>
      </c>
      <c r="K891" s="238" t="s">
        <v>36</v>
      </c>
      <c r="L891">
        <v>2707748.87</v>
      </c>
      <c r="M891">
        <v>0</v>
      </c>
      <c r="N891">
        <v>2707748.87</v>
      </c>
      <c r="O891">
        <v>72867.300053821324</v>
      </c>
      <c r="P891">
        <v>0</v>
      </c>
      <c r="Q891">
        <v>2707748.87</v>
      </c>
      <c r="R891">
        <v>72867.300053821324</v>
      </c>
      <c r="S891" s="238" t="s">
        <v>137</v>
      </c>
      <c r="T891" s="238" t="s">
        <v>1167</v>
      </c>
      <c r="V891" t="s">
        <v>1167</v>
      </c>
      <c r="W891" s="24">
        <v>44587</v>
      </c>
      <c r="X891" s="238" t="s">
        <v>1029</v>
      </c>
      <c r="Y891" s="238" t="s">
        <v>39</v>
      </c>
      <c r="Z891" s="238" t="s">
        <v>1168</v>
      </c>
      <c r="AA891" t="s">
        <v>1167</v>
      </c>
      <c r="AB891" s="238" t="s">
        <v>3246</v>
      </c>
      <c r="AC891" t="s">
        <v>3076</v>
      </c>
      <c r="AD891" s="24"/>
      <c r="AE891" s="238" t="s">
        <v>1602</v>
      </c>
      <c r="AF891">
        <v>79068140909</v>
      </c>
      <c r="AG891" s="238" t="s">
        <v>1603</v>
      </c>
      <c r="AH891" s="238" t="s">
        <v>1197</v>
      </c>
      <c r="AI891" s="238" t="s">
        <v>3082</v>
      </c>
      <c r="AJ891" s="238" t="s">
        <v>120</v>
      </c>
      <c r="AK891" s="238" t="s">
        <v>141</v>
      </c>
      <c r="AL891" t="s">
        <v>8715</v>
      </c>
      <c r="AM891" t="s">
        <v>1167</v>
      </c>
    </row>
    <row r="892" spans="1:39" hidden="1" x14ac:dyDescent="0.25">
      <c r="A892">
        <v>888</v>
      </c>
      <c r="B892">
        <v>11</v>
      </c>
      <c r="C892" s="24">
        <v>44600</v>
      </c>
      <c r="D892" s="238" t="s">
        <v>27</v>
      </c>
      <c r="E892" s="238" t="s">
        <v>14</v>
      </c>
      <c r="F892">
        <v>4</v>
      </c>
      <c r="G892">
        <v>14</v>
      </c>
      <c r="H892">
        <v>743</v>
      </c>
      <c r="I892" s="238" t="s">
        <v>4052</v>
      </c>
      <c r="J892">
        <v>24.39</v>
      </c>
      <c r="K892" s="238" t="s">
        <v>36</v>
      </c>
      <c r="L892">
        <v>1887407.47</v>
      </c>
      <c r="M892">
        <v>0</v>
      </c>
      <c r="N892">
        <v>1887407.47</v>
      </c>
      <c r="O892">
        <v>77384.480114801147</v>
      </c>
      <c r="P892">
        <v>0</v>
      </c>
      <c r="Q892">
        <v>1887407.47</v>
      </c>
      <c r="R892">
        <v>77384.480114801147</v>
      </c>
      <c r="S892" s="238" t="s">
        <v>137</v>
      </c>
      <c r="T892" s="238" t="s">
        <v>1167</v>
      </c>
      <c r="V892" t="s">
        <v>1167</v>
      </c>
      <c r="W892" s="24">
        <v>44587</v>
      </c>
      <c r="X892" s="238" t="s">
        <v>1030</v>
      </c>
      <c r="Y892" s="238" t="s">
        <v>39</v>
      </c>
      <c r="Z892" s="238" t="s">
        <v>1168</v>
      </c>
      <c r="AA892" t="s">
        <v>1167</v>
      </c>
      <c r="AB892" s="238" t="s">
        <v>3246</v>
      </c>
      <c r="AC892" t="s">
        <v>3076</v>
      </c>
      <c r="AD892" s="24"/>
      <c r="AE892" s="238" t="s">
        <v>1602</v>
      </c>
      <c r="AF892">
        <v>79068140909</v>
      </c>
      <c r="AG892" s="238" t="s">
        <v>1603</v>
      </c>
      <c r="AH892" s="238" t="s">
        <v>1197</v>
      </c>
      <c r="AI892" s="238" t="s">
        <v>3082</v>
      </c>
      <c r="AJ892" s="238" t="s">
        <v>120</v>
      </c>
      <c r="AK892" s="238" t="s">
        <v>141</v>
      </c>
      <c r="AL892" t="s">
        <v>8715</v>
      </c>
      <c r="AM892" t="s">
        <v>1167</v>
      </c>
    </row>
    <row r="893" spans="1:39" hidden="1" x14ac:dyDescent="0.25">
      <c r="A893">
        <v>889</v>
      </c>
      <c r="B893">
        <v>12</v>
      </c>
      <c r="C893" s="24">
        <v>44600</v>
      </c>
      <c r="D893" s="238" t="s">
        <v>27</v>
      </c>
      <c r="E893" s="238" t="s">
        <v>16</v>
      </c>
      <c r="F893">
        <v>2</v>
      </c>
      <c r="G893">
        <v>10</v>
      </c>
      <c r="I893" s="238" t="s">
        <v>42</v>
      </c>
      <c r="J893">
        <v>37.159999999999997</v>
      </c>
      <c r="K893" s="238" t="s">
        <v>36</v>
      </c>
      <c r="L893">
        <v>2747374.43</v>
      </c>
      <c r="M893">
        <v>0</v>
      </c>
      <c r="N893">
        <v>2747374.43</v>
      </c>
      <c r="O893">
        <v>73933.649892357382</v>
      </c>
      <c r="P893">
        <v>0</v>
      </c>
      <c r="Q893">
        <v>2747374.43</v>
      </c>
      <c r="R893">
        <v>73933.649892357382</v>
      </c>
      <c r="S893" s="238" t="s">
        <v>124</v>
      </c>
      <c r="T893" s="238" t="s">
        <v>1167</v>
      </c>
      <c r="V893" t="s">
        <v>1167</v>
      </c>
      <c r="W893" s="24">
        <v>44595</v>
      </c>
      <c r="X893" s="238" t="s">
        <v>1025</v>
      </c>
      <c r="Y893" s="238" t="s">
        <v>1172</v>
      </c>
      <c r="Z893" s="238" t="s">
        <v>1168</v>
      </c>
      <c r="AA893" t="s">
        <v>1167</v>
      </c>
      <c r="AB893" s="238" t="s">
        <v>3246</v>
      </c>
      <c r="AC893" t="s">
        <v>4246</v>
      </c>
      <c r="AD893" s="24">
        <v>44799</v>
      </c>
      <c r="AE893" s="238" t="s">
        <v>2801</v>
      </c>
      <c r="AF893">
        <v>79879260719</v>
      </c>
      <c r="AG893" s="238" t="s">
        <v>2802</v>
      </c>
      <c r="AH893" s="238" t="s">
        <v>1212</v>
      </c>
      <c r="AI893" s="238" t="s">
        <v>3082</v>
      </c>
      <c r="AJ893" s="238" t="s">
        <v>399</v>
      </c>
      <c r="AK893" s="238" t="s">
        <v>1167</v>
      </c>
      <c r="AL893" t="s">
        <v>8715</v>
      </c>
      <c r="AM893" t="s">
        <v>1167</v>
      </c>
    </row>
    <row r="894" spans="1:39" hidden="1" x14ac:dyDescent="0.25">
      <c r="A894">
        <v>890</v>
      </c>
      <c r="B894">
        <v>13</v>
      </c>
      <c r="C894" s="24">
        <v>44600</v>
      </c>
      <c r="D894" s="238" t="s">
        <v>27</v>
      </c>
      <c r="E894" s="238" t="s">
        <v>16</v>
      </c>
      <c r="F894">
        <v>5</v>
      </c>
      <c r="G894">
        <v>13</v>
      </c>
      <c r="H894">
        <v>484</v>
      </c>
      <c r="I894" s="238" t="s">
        <v>4052</v>
      </c>
      <c r="J894">
        <v>23.63</v>
      </c>
      <c r="K894" s="238" t="s">
        <v>36</v>
      </c>
      <c r="L894">
        <v>1828595.26</v>
      </c>
      <c r="M894">
        <v>0</v>
      </c>
      <c r="N894">
        <v>1828595.26</v>
      </c>
      <c r="O894">
        <v>77384.479898434191</v>
      </c>
      <c r="P894">
        <v>0</v>
      </c>
      <c r="Q894">
        <v>1828595.26</v>
      </c>
      <c r="R894">
        <v>77384.479898434191</v>
      </c>
      <c r="S894" s="238" t="s">
        <v>137</v>
      </c>
      <c r="T894" s="238" t="s">
        <v>1167</v>
      </c>
      <c r="V894" t="s">
        <v>1167</v>
      </c>
      <c r="W894" s="24">
        <v>44595</v>
      </c>
      <c r="X894" s="238" t="s">
        <v>1026</v>
      </c>
      <c r="Y894" s="238" t="s">
        <v>39</v>
      </c>
      <c r="Z894" s="238" t="s">
        <v>1340</v>
      </c>
      <c r="AA894" t="s">
        <v>1167</v>
      </c>
      <c r="AB894" s="238" t="s">
        <v>3246</v>
      </c>
      <c r="AC894" t="s">
        <v>3079</v>
      </c>
      <c r="AD894" s="24"/>
      <c r="AE894" s="238" t="s">
        <v>2803</v>
      </c>
      <c r="AF894">
        <v>79967414766</v>
      </c>
      <c r="AG894" s="238" t="s">
        <v>2804</v>
      </c>
      <c r="AH894" s="238" t="s">
        <v>137</v>
      </c>
      <c r="AI894" s="238" t="s">
        <v>3114</v>
      </c>
      <c r="AJ894" s="238" t="s">
        <v>126</v>
      </c>
      <c r="AK894" s="238" t="s">
        <v>141</v>
      </c>
      <c r="AL894" t="s">
        <v>8715</v>
      </c>
      <c r="AM894" t="s">
        <v>1167</v>
      </c>
    </row>
    <row r="895" spans="1:39" hidden="1" x14ac:dyDescent="0.25">
      <c r="A895">
        <v>891</v>
      </c>
      <c r="B895">
        <v>14</v>
      </c>
      <c r="C895" s="24">
        <v>44600</v>
      </c>
      <c r="D895" s="238" t="s">
        <v>27</v>
      </c>
      <c r="E895" s="238" t="s">
        <v>14</v>
      </c>
      <c r="F895">
        <v>7</v>
      </c>
      <c r="G895">
        <v>3</v>
      </c>
      <c r="H895">
        <v>647</v>
      </c>
      <c r="I895" s="238" t="s">
        <v>42</v>
      </c>
      <c r="J895">
        <v>38.909999999999997</v>
      </c>
      <c r="K895" s="238" t="s">
        <v>37</v>
      </c>
      <c r="L895">
        <v>3221176.37</v>
      </c>
      <c r="M895">
        <v>0</v>
      </c>
      <c r="N895">
        <v>3221176.37</v>
      </c>
      <c r="O895">
        <v>82785.308918015944</v>
      </c>
      <c r="P895">
        <v>214005</v>
      </c>
      <c r="Q895">
        <v>3007171.37</v>
      </c>
      <c r="R895">
        <v>77285.308918015944</v>
      </c>
      <c r="S895" s="238" t="s">
        <v>124</v>
      </c>
      <c r="T895" s="238" t="s">
        <v>3540</v>
      </c>
      <c r="U895">
        <v>61370.84</v>
      </c>
      <c r="V895" t="s">
        <v>1167</v>
      </c>
      <c r="W895" s="24">
        <v>44595</v>
      </c>
      <c r="X895" s="238" t="s">
        <v>1024</v>
      </c>
      <c r="Y895" s="238" t="s">
        <v>39</v>
      </c>
      <c r="Z895" s="238" t="s">
        <v>1340</v>
      </c>
      <c r="AA895" t="s">
        <v>1167</v>
      </c>
      <c r="AB895" s="238" t="s">
        <v>3246</v>
      </c>
      <c r="AC895" t="s">
        <v>4246</v>
      </c>
      <c r="AD895" s="24"/>
      <c r="AE895" s="238" t="s">
        <v>2805</v>
      </c>
      <c r="AF895">
        <v>79370745945</v>
      </c>
      <c r="AG895" s="238" t="s">
        <v>2806</v>
      </c>
      <c r="AH895" s="238" t="s">
        <v>1212</v>
      </c>
      <c r="AI895" s="238" t="s">
        <v>3084</v>
      </c>
      <c r="AJ895" s="238" t="s">
        <v>126</v>
      </c>
      <c r="AK895" s="238" t="s">
        <v>1167</v>
      </c>
      <c r="AL895" t="s">
        <v>8715</v>
      </c>
      <c r="AM895" t="s">
        <v>1167</v>
      </c>
    </row>
    <row r="896" spans="1:39" hidden="1" x14ac:dyDescent="0.25">
      <c r="A896">
        <v>892</v>
      </c>
      <c r="B896">
        <v>15</v>
      </c>
      <c r="C896" s="24">
        <v>44600</v>
      </c>
      <c r="D896" s="238" t="s">
        <v>27</v>
      </c>
      <c r="E896" s="238" t="s">
        <v>14</v>
      </c>
      <c r="F896">
        <v>4</v>
      </c>
      <c r="G896">
        <v>9</v>
      </c>
      <c r="H896">
        <v>698</v>
      </c>
      <c r="I896" s="238" t="s">
        <v>4052</v>
      </c>
      <c r="J896">
        <v>24.39</v>
      </c>
      <c r="K896" s="238" t="s">
        <v>36</v>
      </c>
      <c r="L896">
        <v>1887407.47</v>
      </c>
      <c r="M896">
        <v>0</v>
      </c>
      <c r="N896">
        <v>1887407.47</v>
      </c>
      <c r="O896">
        <v>77384.480114801147</v>
      </c>
      <c r="P896">
        <v>0</v>
      </c>
      <c r="Q896">
        <v>1887407.47</v>
      </c>
      <c r="R896">
        <v>77384.480114801147</v>
      </c>
      <c r="S896" s="238" t="s">
        <v>137</v>
      </c>
      <c r="T896" s="238" t="s">
        <v>1167</v>
      </c>
      <c r="V896" t="s">
        <v>1167</v>
      </c>
      <c r="W896" s="24">
        <v>44594</v>
      </c>
      <c r="X896" s="238" t="s">
        <v>1028</v>
      </c>
      <c r="Y896" s="238" t="s">
        <v>39</v>
      </c>
      <c r="Z896" s="238" t="s">
        <v>1340</v>
      </c>
      <c r="AA896" t="s">
        <v>1167</v>
      </c>
      <c r="AB896" s="238" t="s">
        <v>3246</v>
      </c>
      <c r="AC896" t="s">
        <v>3079</v>
      </c>
      <c r="AD896" s="24"/>
      <c r="AE896" s="238" t="s">
        <v>2807</v>
      </c>
      <c r="AF896">
        <v>79276168817</v>
      </c>
      <c r="AG896" s="238" t="s">
        <v>2808</v>
      </c>
      <c r="AH896" s="238" t="s">
        <v>1212</v>
      </c>
      <c r="AI896" s="238" t="s">
        <v>135</v>
      </c>
      <c r="AJ896" s="238" t="s">
        <v>130</v>
      </c>
      <c r="AK896" s="238" t="s">
        <v>794</v>
      </c>
      <c r="AL896" t="s">
        <v>8715</v>
      </c>
      <c r="AM896" t="s">
        <v>1167</v>
      </c>
    </row>
    <row r="897" spans="1:39" hidden="1" x14ac:dyDescent="0.25">
      <c r="A897">
        <v>893</v>
      </c>
      <c r="B897">
        <v>16</v>
      </c>
      <c r="C897" s="24">
        <v>44600</v>
      </c>
      <c r="D897" s="238" t="s">
        <v>27</v>
      </c>
      <c r="E897" s="238" t="s">
        <v>6</v>
      </c>
      <c r="F897">
        <v>6</v>
      </c>
      <c r="G897">
        <v>15</v>
      </c>
      <c r="H897">
        <v>123</v>
      </c>
      <c r="I897" s="238" t="s">
        <v>43</v>
      </c>
      <c r="J897">
        <v>54.67</v>
      </c>
      <c r="K897" s="238" t="s">
        <v>37</v>
      </c>
      <c r="L897">
        <v>4284853.0999999996</v>
      </c>
      <c r="M897">
        <v>0</v>
      </c>
      <c r="N897">
        <v>4284853.0999999996</v>
      </c>
      <c r="O897">
        <v>78376.680080482882</v>
      </c>
      <c r="P897">
        <v>300685</v>
      </c>
      <c r="Q897">
        <v>3984168.0999999996</v>
      </c>
      <c r="R897">
        <v>72876.680080482882</v>
      </c>
      <c r="S897" s="238" t="s">
        <v>137</v>
      </c>
      <c r="T897" s="238" t="s">
        <v>1167</v>
      </c>
      <c r="V897" t="s">
        <v>4091</v>
      </c>
      <c r="W897" s="24">
        <v>44597</v>
      </c>
      <c r="X897" s="238" t="s">
        <v>1027</v>
      </c>
      <c r="Y897" s="238" t="s">
        <v>39</v>
      </c>
      <c r="Z897" s="238" t="s">
        <v>1340</v>
      </c>
      <c r="AA897" t="s">
        <v>1167</v>
      </c>
      <c r="AB897" s="238" t="s">
        <v>3246</v>
      </c>
      <c r="AC897" t="s">
        <v>3079</v>
      </c>
      <c r="AD897" s="24"/>
      <c r="AE897" s="238" t="s">
        <v>2809</v>
      </c>
      <c r="AF897">
        <v>79270013213</v>
      </c>
      <c r="AG897" s="238" t="s">
        <v>2810</v>
      </c>
      <c r="AH897" s="238" t="s">
        <v>1171</v>
      </c>
      <c r="AI897" s="238" t="s">
        <v>6406</v>
      </c>
      <c r="AJ897" s="238" t="s">
        <v>689</v>
      </c>
      <c r="AK897" s="238" t="s">
        <v>141</v>
      </c>
      <c r="AL897" t="s">
        <v>57</v>
      </c>
      <c r="AM897" t="s">
        <v>1167</v>
      </c>
    </row>
    <row r="898" spans="1:39" hidden="1" x14ac:dyDescent="0.25">
      <c r="A898">
        <v>894</v>
      </c>
      <c r="B898">
        <v>17</v>
      </c>
      <c r="C898" s="24">
        <v>44601</v>
      </c>
      <c r="D898" s="238" t="s">
        <v>27</v>
      </c>
      <c r="E898" s="238" t="s">
        <v>5</v>
      </c>
      <c r="F898">
        <v>6</v>
      </c>
      <c r="G898">
        <v>13</v>
      </c>
      <c r="H898">
        <v>301</v>
      </c>
      <c r="I898" s="238" t="s">
        <v>42</v>
      </c>
      <c r="J898">
        <v>37.11</v>
      </c>
      <c r="K898" s="238" t="s">
        <v>36</v>
      </c>
      <c r="L898">
        <v>2585388.7200000002</v>
      </c>
      <c r="M898">
        <v>0</v>
      </c>
      <c r="N898">
        <v>2585388.7200000002</v>
      </c>
      <c r="O898">
        <v>69668.248989490705</v>
      </c>
      <c r="P898">
        <v>0</v>
      </c>
      <c r="Q898">
        <v>2585388.7200000002</v>
      </c>
      <c r="R898">
        <v>69668.248989490705</v>
      </c>
      <c r="S898" s="238" t="s">
        <v>137</v>
      </c>
      <c r="T898" s="238" t="s">
        <v>3540</v>
      </c>
      <c r="U898">
        <v>52763.035102040507</v>
      </c>
      <c r="V898" t="s">
        <v>1167</v>
      </c>
      <c r="W898" s="24">
        <v>44593</v>
      </c>
      <c r="X898" s="238" t="s">
        <v>1033</v>
      </c>
      <c r="Y898" s="238" t="s">
        <v>39</v>
      </c>
      <c r="Z898" s="238" t="s">
        <v>1340</v>
      </c>
      <c r="AA898" t="s">
        <v>1167</v>
      </c>
      <c r="AB898" s="238" t="s">
        <v>3246</v>
      </c>
      <c r="AC898" t="s">
        <v>3079</v>
      </c>
      <c r="AD898" s="24"/>
      <c r="AE898" s="238" t="s">
        <v>2811</v>
      </c>
      <c r="AF898">
        <v>79879672226</v>
      </c>
      <c r="AG898" s="238" t="s">
        <v>2812</v>
      </c>
      <c r="AH898" s="238" t="s">
        <v>1212</v>
      </c>
      <c r="AI898" s="238" t="s">
        <v>135</v>
      </c>
      <c r="AJ898" s="238" t="s">
        <v>399</v>
      </c>
      <c r="AK898" s="238" t="s">
        <v>141</v>
      </c>
      <c r="AL898" t="s">
        <v>8715</v>
      </c>
      <c r="AM898" t="s">
        <v>1167</v>
      </c>
    </row>
    <row r="899" spans="1:39" hidden="1" x14ac:dyDescent="0.25">
      <c r="A899">
        <v>895</v>
      </c>
      <c r="B899">
        <v>18</v>
      </c>
      <c r="C899" s="24">
        <v>44601</v>
      </c>
      <c r="D899" s="238" t="s">
        <v>27</v>
      </c>
      <c r="E899" s="238" t="s">
        <v>6</v>
      </c>
      <c r="F899">
        <v>3</v>
      </c>
      <c r="G899">
        <v>8</v>
      </c>
      <c r="H899">
        <v>57</v>
      </c>
      <c r="I899" s="238" t="s">
        <v>42</v>
      </c>
      <c r="J899">
        <v>41.06</v>
      </c>
      <c r="K899" s="238" t="s">
        <v>37</v>
      </c>
      <c r="L899">
        <v>3157922.71</v>
      </c>
      <c r="M899">
        <v>0</v>
      </c>
      <c r="N899">
        <v>3157922.71</v>
      </c>
      <c r="O899">
        <v>76909.953969800292</v>
      </c>
      <c r="P899">
        <v>225830</v>
      </c>
      <c r="Q899">
        <v>2932092.71</v>
      </c>
      <c r="R899">
        <v>71409.953969800292</v>
      </c>
      <c r="S899" s="238" t="s">
        <v>124</v>
      </c>
      <c r="T899" s="238" t="s">
        <v>3540</v>
      </c>
      <c r="U899">
        <v>59838.63</v>
      </c>
      <c r="V899" t="s">
        <v>1167</v>
      </c>
      <c r="W899" s="24">
        <v>44597</v>
      </c>
      <c r="X899" s="238" t="s">
        <v>1032</v>
      </c>
      <c r="Y899" s="238" t="s">
        <v>39</v>
      </c>
      <c r="Z899" s="238" t="s">
        <v>1340</v>
      </c>
      <c r="AA899" t="s">
        <v>1167</v>
      </c>
      <c r="AB899" s="238" t="s">
        <v>3246</v>
      </c>
      <c r="AC899" t="s">
        <v>4246</v>
      </c>
      <c r="AD899" s="24"/>
      <c r="AE899" s="238" t="s">
        <v>2813</v>
      </c>
      <c r="AF899">
        <v>79083230877</v>
      </c>
      <c r="AG899" s="238" t="s">
        <v>2814</v>
      </c>
      <c r="AH899" s="238" t="s">
        <v>1171</v>
      </c>
      <c r="AI899" s="238" t="s">
        <v>135</v>
      </c>
      <c r="AJ899" s="238" t="s">
        <v>126</v>
      </c>
      <c r="AK899" s="238" t="s">
        <v>1167</v>
      </c>
      <c r="AL899" t="s">
        <v>8715</v>
      </c>
      <c r="AM899" t="s">
        <v>1167</v>
      </c>
    </row>
    <row r="900" spans="1:39" hidden="1" x14ac:dyDescent="0.25">
      <c r="A900">
        <v>896</v>
      </c>
      <c r="B900">
        <v>19</v>
      </c>
      <c r="C900" s="24">
        <v>44601</v>
      </c>
      <c r="D900" s="238" t="s">
        <v>27</v>
      </c>
      <c r="E900" s="238" t="s">
        <v>15</v>
      </c>
      <c r="F900">
        <v>1</v>
      </c>
      <c r="G900">
        <v>10</v>
      </c>
      <c r="H900">
        <v>576</v>
      </c>
      <c r="I900" s="238" t="s">
        <v>44</v>
      </c>
      <c r="J900">
        <v>82.27</v>
      </c>
      <c r="K900" s="238" t="s">
        <v>37</v>
      </c>
      <c r="L900">
        <v>4515340.7300000004</v>
      </c>
      <c r="M900">
        <v>0</v>
      </c>
      <c r="N900">
        <v>4515340.7300000004</v>
      </c>
      <c r="O900">
        <v>54884.413881123139</v>
      </c>
      <c r="P900">
        <v>452485</v>
      </c>
      <c r="Q900">
        <v>4062855.7300000004</v>
      </c>
      <c r="R900">
        <v>49384.413881123139</v>
      </c>
      <c r="S900" s="238" t="s">
        <v>137</v>
      </c>
      <c r="T900" s="238" t="s">
        <v>7676</v>
      </c>
      <c r="U900">
        <v>592134.71</v>
      </c>
      <c r="V900" t="s">
        <v>1167</v>
      </c>
      <c r="W900" s="24">
        <v>44585</v>
      </c>
      <c r="X900" s="238" t="s">
        <v>1031</v>
      </c>
      <c r="Y900" s="238" t="s">
        <v>39</v>
      </c>
      <c r="Z900" s="238" t="s">
        <v>1340</v>
      </c>
      <c r="AA900" t="s">
        <v>1167</v>
      </c>
      <c r="AB900" s="238" t="s">
        <v>3246</v>
      </c>
      <c r="AC900" t="s">
        <v>3079</v>
      </c>
      <c r="AD900" s="24"/>
      <c r="AE900" s="238" t="s">
        <v>2815</v>
      </c>
      <c r="AF900">
        <v>79171082224</v>
      </c>
      <c r="AG900" s="238" t="s">
        <v>2816</v>
      </c>
      <c r="AH900" s="238" t="s">
        <v>1171</v>
      </c>
      <c r="AI900" s="238" t="s">
        <v>3094</v>
      </c>
      <c r="AJ900" s="238" t="s">
        <v>130</v>
      </c>
      <c r="AK900" s="238" t="s">
        <v>794</v>
      </c>
      <c r="AL900" t="s">
        <v>8715</v>
      </c>
      <c r="AM900" t="s">
        <v>1167</v>
      </c>
    </row>
    <row r="901" spans="1:39" hidden="1" x14ac:dyDescent="0.25">
      <c r="A901">
        <v>897</v>
      </c>
      <c r="B901">
        <v>20</v>
      </c>
      <c r="C901" s="24">
        <v>44602</v>
      </c>
      <c r="D901" s="238" t="s">
        <v>27</v>
      </c>
      <c r="E901" s="238" t="s">
        <v>5</v>
      </c>
      <c r="F901">
        <v>5</v>
      </c>
      <c r="G901">
        <v>23</v>
      </c>
      <c r="H901">
        <v>380</v>
      </c>
      <c r="I901" s="238" t="s">
        <v>4052</v>
      </c>
      <c r="J901">
        <v>23.63</v>
      </c>
      <c r="K901" s="238" t="s">
        <v>38</v>
      </c>
      <c r="L901">
        <v>2393559.5</v>
      </c>
      <c r="M901">
        <v>0</v>
      </c>
      <c r="N901">
        <v>2393559.5</v>
      </c>
      <c r="O901">
        <v>101293.25010579772</v>
      </c>
      <c r="P901">
        <v>378080</v>
      </c>
      <c r="Q901">
        <v>2015479.5</v>
      </c>
      <c r="R901">
        <v>85293.250105797721</v>
      </c>
      <c r="S901" s="238" t="s">
        <v>137</v>
      </c>
      <c r="T901" s="238" t="s">
        <v>1167</v>
      </c>
      <c r="V901" t="s">
        <v>1167</v>
      </c>
      <c r="W901" s="24">
        <v>44594</v>
      </c>
      <c r="X901" s="238" t="s">
        <v>1034</v>
      </c>
      <c r="Y901" s="238" t="s">
        <v>39</v>
      </c>
      <c r="Z901" s="238" t="s">
        <v>1340</v>
      </c>
      <c r="AA901" t="s">
        <v>1167</v>
      </c>
      <c r="AB901" s="238" t="s">
        <v>3246</v>
      </c>
      <c r="AC901" t="s">
        <v>3079</v>
      </c>
      <c r="AD901" s="24"/>
      <c r="AE901" s="238" t="s">
        <v>2817</v>
      </c>
      <c r="AF901">
        <v>79853682270</v>
      </c>
      <c r="AG901" s="238" t="s">
        <v>2818</v>
      </c>
      <c r="AH901" s="238" t="s">
        <v>1212</v>
      </c>
      <c r="AI901" s="238" t="s">
        <v>135</v>
      </c>
      <c r="AJ901" s="238" t="s">
        <v>399</v>
      </c>
      <c r="AK901" s="238" t="s">
        <v>141</v>
      </c>
      <c r="AL901" t="s">
        <v>8715</v>
      </c>
      <c r="AM901" t="s">
        <v>1167</v>
      </c>
    </row>
    <row r="902" spans="1:39" hidden="1" x14ac:dyDescent="0.25">
      <c r="A902">
        <v>898</v>
      </c>
      <c r="B902">
        <v>21</v>
      </c>
      <c r="C902" s="24">
        <v>44603</v>
      </c>
      <c r="D902" s="238" t="s">
        <v>27</v>
      </c>
      <c r="E902" s="238" t="s">
        <v>5</v>
      </c>
      <c r="F902">
        <v>5</v>
      </c>
      <c r="G902">
        <v>12</v>
      </c>
      <c r="H902">
        <v>292</v>
      </c>
      <c r="I902" s="238" t="s">
        <v>4052</v>
      </c>
      <c r="J902">
        <v>23.63</v>
      </c>
      <c r="K902" s="238" t="s">
        <v>36</v>
      </c>
      <c r="L902">
        <v>1813595.26</v>
      </c>
      <c r="M902">
        <v>15000</v>
      </c>
      <c r="N902">
        <v>1828595.26</v>
      </c>
      <c r="O902">
        <v>77384.479898434191</v>
      </c>
      <c r="P902">
        <v>0</v>
      </c>
      <c r="Q902">
        <v>1828595.26</v>
      </c>
      <c r="R902">
        <v>77384.479898434191</v>
      </c>
      <c r="S902" s="238" t="s">
        <v>124</v>
      </c>
      <c r="T902" s="238" t="s">
        <v>1167</v>
      </c>
      <c r="V902" t="s">
        <v>1167</v>
      </c>
      <c r="W902" s="24">
        <v>44601</v>
      </c>
      <c r="X902" s="238" t="s">
        <v>1036</v>
      </c>
      <c r="Y902" s="238" t="s">
        <v>39</v>
      </c>
      <c r="Z902" s="238" t="s">
        <v>1168</v>
      </c>
      <c r="AA902" t="s">
        <v>1167</v>
      </c>
      <c r="AB902" s="238" t="s">
        <v>3246</v>
      </c>
      <c r="AC902" t="s">
        <v>4246</v>
      </c>
      <c r="AD902" s="24"/>
      <c r="AE902" s="238" t="s">
        <v>2819</v>
      </c>
      <c r="AF902">
        <v>79370726949</v>
      </c>
      <c r="AG902" s="238" t="s">
        <v>2721</v>
      </c>
      <c r="AH902" s="238" t="s">
        <v>146</v>
      </c>
      <c r="AI902" s="238" t="s">
        <v>135</v>
      </c>
      <c r="AJ902" s="238" t="s">
        <v>399</v>
      </c>
      <c r="AK902" s="238" t="s">
        <v>1167</v>
      </c>
      <c r="AL902" t="s">
        <v>8715</v>
      </c>
      <c r="AM902" t="s">
        <v>1167</v>
      </c>
    </row>
    <row r="903" spans="1:39" hidden="1" x14ac:dyDescent="0.25">
      <c r="A903">
        <v>899</v>
      </c>
      <c r="B903">
        <v>22</v>
      </c>
      <c r="C903" s="24">
        <v>44603</v>
      </c>
      <c r="D903" s="238" t="s">
        <v>27</v>
      </c>
      <c r="E903" s="238" t="s">
        <v>5</v>
      </c>
      <c r="F903">
        <v>2</v>
      </c>
      <c r="G903">
        <v>15</v>
      </c>
      <c r="H903">
        <v>313</v>
      </c>
      <c r="I903" s="238" t="s">
        <v>42</v>
      </c>
      <c r="J903">
        <v>37.159999999999997</v>
      </c>
      <c r="K903" s="238" t="s">
        <v>36</v>
      </c>
      <c r="L903">
        <v>2626706.2599999998</v>
      </c>
      <c r="M903">
        <v>15000</v>
      </c>
      <c r="N903">
        <v>2641706.2599999998</v>
      </c>
      <c r="O903">
        <v>71090.050053821309</v>
      </c>
      <c r="P903">
        <v>0</v>
      </c>
      <c r="Q903">
        <v>2641706.2599999998</v>
      </c>
      <c r="R903">
        <v>71090.050053821309</v>
      </c>
      <c r="S903" s="238" t="s">
        <v>137</v>
      </c>
      <c r="T903" s="238" t="s">
        <v>1167</v>
      </c>
      <c r="V903" t="s">
        <v>1167</v>
      </c>
      <c r="W903" s="24">
        <v>44582</v>
      </c>
      <c r="X903" s="238" t="s">
        <v>1035</v>
      </c>
      <c r="Y903" s="238" t="s">
        <v>39</v>
      </c>
      <c r="Z903" s="238" t="s">
        <v>1340</v>
      </c>
      <c r="AA903" t="s">
        <v>1167</v>
      </c>
      <c r="AB903" s="238" t="s">
        <v>3246</v>
      </c>
      <c r="AC903" t="s">
        <v>3077</v>
      </c>
      <c r="AD903" s="24"/>
      <c r="AE903" s="238" t="s">
        <v>2820</v>
      </c>
      <c r="AF903">
        <v>79063405644</v>
      </c>
      <c r="AG903" s="238" t="s">
        <v>2821</v>
      </c>
      <c r="AH903" s="238" t="s">
        <v>1212</v>
      </c>
      <c r="AI903" s="238" t="s">
        <v>135</v>
      </c>
      <c r="AJ903" s="238" t="s">
        <v>689</v>
      </c>
      <c r="AK903" s="238" t="s">
        <v>794</v>
      </c>
      <c r="AL903" t="s">
        <v>8715</v>
      </c>
      <c r="AM903" t="s">
        <v>1167</v>
      </c>
    </row>
    <row r="904" spans="1:39" hidden="1" x14ac:dyDescent="0.25">
      <c r="A904">
        <v>900</v>
      </c>
      <c r="B904">
        <v>23</v>
      </c>
      <c r="C904" s="24">
        <v>44606</v>
      </c>
      <c r="D904" s="238" t="s">
        <v>27</v>
      </c>
      <c r="E904" s="238" t="s">
        <v>15</v>
      </c>
      <c r="F904">
        <v>5</v>
      </c>
      <c r="G904">
        <v>11</v>
      </c>
      <c r="H904">
        <v>588</v>
      </c>
      <c r="I904" s="238" t="s">
        <v>4052</v>
      </c>
      <c r="J904">
        <v>23.63</v>
      </c>
      <c r="K904" s="238" t="s">
        <v>38</v>
      </c>
      <c r="L904">
        <v>2216986.92</v>
      </c>
      <c r="M904">
        <v>0</v>
      </c>
      <c r="N904">
        <v>2216986.92</v>
      </c>
      <c r="O904">
        <v>93820.859923825643</v>
      </c>
      <c r="P904">
        <v>378080</v>
      </c>
      <c r="Q904">
        <v>1838906.92</v>
      </c>
      <c r="R904">
        <v>77820.859923825643</v>
      </c>
      <c r="S904" s="238" t="s">
        <v>137</v>
      </c>
      <c r="T904" s="238" t="s">
        <v>1167</v>
      </c>
      <c r="V904" t="s">
        <v>1167</v>
      </c>
      <c r="W904" s="24">
        <v>44598</v>
      </c>
      <c r="X904" s="238" t="s">
        <v>1041</v>
      </c>
      <c r="Y904" s="238" t="s">
        <v>39</v>
      </c>
      <c r="Z904" s="238" t="s">
        <v>1340</v>
      </c>
      <c r="AA904" t="s">
        <v>1167</v>
      </c>
      <c r="AB904" s="238" t="s">
        <v>3246</v>
      </c>
      <c r="AC904" t="s">
        <v>3079</v>
      </c>
      <c r="AD904" s="24"/>
      <c r="AE904" s="238" t="s">
        <v>2822</v>
      </c>
      <c r="AF904">
        <v>79131652058</v>
      </c>
      <c r="AG904" s="238" t="s">
        <v>2823</v>
      </c>
      <c r="AH904" s="238" t="s">
        <v>1212</v>
      </c>
      <c r="AI904" s="238" t="s">
        <v>135</v>
      </c>
      <c r="AJ904" s="238" t="s">
        <v>399</v>
      </c>
      <c r="AK904" s="238" t="s">
        <v>141</v>
      </c>
      <c r="AL904" t="s">
        <v>8715</v>
      </c>
      <c r="AM904" t="s">
        <v>1167</v>
      </c>
    </row>
    <row r="905" spans="1:39" hidden="1" x14ac:dyDescent="0.25">
      <c r="A905">
        <v>901</v>
      </c>
      <c r="B905">
        <v>24</v>
      </c>
      <c r="C905" s="24">
        <v>44606</v>
      </c>
      <c r="D905" s="238" t="s">
        <v>27</v>
      </c>
      <c r="E905" s="238" t="s">
        <v>16</v>
      </c>
      <c r="F905">
        <v>3</v>
      </c>
      <c r="G905">
        <v>4</v>
      </c>
      <c r="H905">
        <v>410</v>
      </c>
      <c r="I905" s="238" t="s">
        <v>4052</v>
      </c>
      <c r="J905">
        <v>23.54</v>
      </c>
      <c r="K905" s="238" t="s">
        <v>36</v>
      </c>
      <c r="L905">
        <v>1831903.04</v>
      </c>
      <c r="M905">
        <v>0</v>
      </c>
      <c r="N905">
        <v>1831903.04</v>
      </c>
      <c r="O905">
        <v>77820.859813084113</v>
      </c>
      <c r="P905">
        <v>0</v>
      </c>
      <c r="Q905">
        <v>1831903.04</v>
      </c>
      <c r="R905">
        <v>77820.859813084113</v>
      </c>
      <c r="S905" s="238" t="s">
        <v>124</v>
      </c>
      <c r="T905" s="238" t="s">
        <v>1167</v>
      </c>
      <c r="V905" t="s">
        <v>1167</v>
      </c>
      <c r="W905" s="24">
        <v>44601</v>
      </c>
      <c r="X905" s="238" t="s">
        <v>1038</v>
      </c>
      <c r="Y905" s="238" t="s">
        <v>39</v>
      </c>
      <c r="Z905" s="238" t="s">
        <v>1168</v>
      </c>
      <c r="AA905" t="s">
        <v>1167</v>
      </c>
      <c r="AB905" s="238" t="s">
        <v>3246</v>
      </c>
      <c r="AC905" t="s">
        <v>4246</v>
      </c>
      <c r="AD905" s="24"/>
      <c r="AE905" s="238" t="s">
        <v>2824</v>
      </c>
      <c r="AF905">
        <v>79273745767</v>
      </c>
      <c r="AG905" s="238" t="s">
        <v>2825</v>
      </c>
      <c r="AH905" s="238" t="s">
        <v>146</v>
      </c>
      <c r="AI905" s="238" t="s">
        <v>135</v>
      </c>
      <c r="AJ905" s="238" t="s">
        <v>399</v>
      </c>
      <c r="AK905" s="238" t="s">
        <v>1167</v>
      </c>
      <c r="AL905" t="s">
        <v>8715</v>
      </c>
      <c r="AM905" t="s">
        <v>1167</v>
      </c>
    </row>
    <row r="906" spans="1:39" hidden="1" x14ac:dyDescent="0.25">
      <c r="A906">
        <v>902</v>
      </c>
      <c r="B906">
        <v>25</v>
      </c>
      <c r="C906" s="24">
        <v>44606</v>
      </c>
      <c r="D906" s="238" t="s">
        <v>19</v>
      </c>
      <c r="E906" s="238" t="s">
        <v>5</v>
      </c>
      <c r="F906">
        <v>7</v>
      </c>
      <c r="G906">
        <v>14</v>
      </c>
      <c r="H906">
        <v>300</v>
      </c>
      <c r="I906" s="238" t="s">
        <v>4052</v>
      </c>
      <c r="J906">
        <v>24.23</v>
      </c>
      <c r="K906" s="238" t="s">
        <v>38</v>
      </c>
      <c r="L906">
        <v>2680383.9</v>
      </c>
      <c r="M906">
        <v>0</v>
      </c>
      <c r="N906">
        <v>2680383.9</v>
      </c>
      <c r="O906">
        <v>110622.52992158481</v>
      </c>
      <c r="P906">
        <v>387680</v>
      </c>
      <c r="Q906">
        <v>2292703.9</v>
      </c>
      <c r="R906">
        <v>94622.529921584806</v>
      </c>
      <c r="S906" s="238" t="s">
        <v>137</v>
      </c>
      <c r="T906" s="238" t="s">
        <v>1167</v>
      </c>
      <c r="V906" t="s">
        <v>1167</v>
      </c>
      <c r="W906" s="24">
        <v>44601</v>
      </c>
      <c r="X906" s="238" t="s">
        <v>1042</v>
      </c>
      <c r="Y906" s="238" t="s">
        <v>39</v>
      </c>
      <c r="Z906" s="238" t="s">
        <v>1340</v>
      </c>
      <c r="AA906" t="s">
        <v>1167</v>
      </c>
      <c r="AB906" s="238" t="s">
        <v>3246</v>
      </c>
      <c r="AC906" t="s">
        <v>3079</v>
      </c>
      <c r="AD906" s="24"/>
      <c r="AE906" s="238" t="s">
        <v>2789</v>
      </c>
      <c r="AF906">
        <v>79270000012</v>
      </c>
      <c r="AG906" s="238" t="s">
        <v>2790</v>
      </c>
      <c r="AH906" s="238" t="s">
        <v>1764</v>
      </c>
      <c r="AI906" s="238" t="s">
        <v>3082</v>
      </c>
      <c r="AJ906" s="238" t="s">
        <v>399</v>
      </c>
      <c r="AK906" s="238" t="s">
        <v>141</v>
      </c>
      <c r="AL906" t="s">
        <v>8715</v>
      </c>
      <c r="AM906" t="s">
        <v>1167</v>
      </c>
    </row>
    <row r="907" spans="1:39" hidden="1" x14ac:dyDescent="0.25">
      <c r="A907">
        <v>903</v>
      </c>
      <c r="B907">
        <v>26</v>
      </c>
      <c r="C907" s="24">
        <v>44606</v>
      </c>
      <c r="D907" s="238" t="s">
        <v>27</v>
      </c>
      <c r="E907" s="238" t="s">
        <v>5</v>
      </c>
      <c r="F907">
        <v>2</v>
      </c>
      <c r="G907">
        <v>6</v>
      </c>
      <c r="H907">
        <v>241</v>
      </c>
      <c r="I907" s="238" t="s">
        <v>42</v>
      </c>
      <c r="J907">
        <v>37.159999999999997</v>
      </c>
      <c r="K907" s="238" t="s">
        <v>36</v>
      </c>
      <c r="L907">
        <v>2747374.43</v>
      </c>
      <c r="M907">
        <v>0</v>
      </c>
      <c r="N907">
        <v>2747374.43</v>
      </c>
      <c r="O907">
        <v>73933.649892357382</v>
      </c>
      <c r="P907">
        <v>0</v>
      </c>
      <c r="Q907">
        <v>2747374.43</v>
      </c>
      <c r="R907">
        <v>73933.649892357382</v>
      </c>
      <c r="S907" s="238" t="s">
        <v>121</v>
      </c>
      <c r="T907" s="238" t="s">
        <v>1167</v>
      </c>
      <c r="V907" t="s">
        <v>1167</v>
      </c>
      <c r="W907" s="24">
        <v>44602</v>
      </c>
      <c r="X907" s="238" t="s">
        <v>1037</v>
      </c>
      <c r="Y907" s="238" t="s">
        <v>39</v>
      </c>
      <c r="Z907" s="238" t="s">
        <v>1168</v>
      </c>
      <c r="AA907" t="s">
        <v>1167</v>
      </c>
      <c r="AB907" s="238" t="s">
        <v>3246</v>
      </c>
      <c r="AC907" t="s">
        <v>4246</v>
      </c>
      <c r="AD907" s="24"/>
      <c r="AE907" s="238" t="s">
        <v>2826</v>
      </c>
      <c r="AF907">
        <v>79277415520</v>
      </c>
      <c r="AG907" s="238" t="s">
        <v>2827</v>
      </c>
      <c r="AH907" s="238" t="s">
        <v>1171</v>
      </c>
      <c r="AI907" s="238" t="s">
        <v>6406</v>
      </c>
      <c r="AJ907" s="238" t="s">
        <v>982</v>
      </c>
      <c r="AK907" s="238" t="s">
        <v>1167</v>
      </c>
      <c r="AL907" t="s">
        <v>57</v>
      </c>
      <c r="AM907" t="s">
        <v>1167</v>
      </c>
    </row>
    <row r="908" spans="1:39" hidden="1" x14ac:dyDescent="0.25">
      <c r="A908">
        <v>904</v>
      </c>
      <c r="B908">
        <v>27</v>
      </c>
      <c r="C908" s="24">
        <v>44606</v>
      </c>
      <c r="D908" s="238" t="s">
        <v>19</v>
      </c>
      <c r="E908" s="238" t="s">
        <v>5</v>
      </c>
      <c r="F908">
        <v>4</v>
      </c>
      <c r="G908">
        <v>11</v>
      </c>
      <c r="H908">
        <v>264</v>
      </c>
      <c r="I908" s="238" t="s">
        <v>42</v>
      </c>
      <c r="J908">
        <v>37.89</v>
      </c>
      <c r="K908" s="238" t="s">
        <v>37</v>
      </c>
      <c r="L908">
        <v>3408737.1</v>
      </c>
      <c r="M908">
        <v>0</v>
      </c>
      <c r="N908">
        <v>3408737.1</v>
      </c>
      <c r="O908">
        <v>89964.030087094216</v>
      </c>
      <c r="P908">
        <v>208395</v>
      </c>
      <c r="Q908">
        <v>3200342.1</v>
      </c>
      <c r="R908">
        <v>84464.030087094216</v>
      </c>
      <c r="S908" s="238" t="s">
        <v>137</v>
      </c>
      <c r="T908" s="238" t="s">
        <v>1167</v>
      </c>
      <c r="V908" t="s">
        <v>1167</v>
      </c>
      <c r="W908" s="24">
        <v>44603</v>
      </c>
      <c r="X908" s="238" t="s">
        <v>1040</v>
      </c>
      <c r="Y908" s="238" t="s">
        <v>39</v>
      </c>
      <c r="Z908" s="238" t="s">
        <v>1340</v>
      </c>
      <c r="AA908" t="s">
        <v>1167</v>
      </c>
      <c r="AB908" s="238" t="s">
        <v>3246</v>
      </c>
      <c r="AC908" t="s">
        <v>3079</v>
      </c>
      <c r="AD908" s="24"/>
      <c r="AE908" s="238" t="s">
        <v>2828</v>
      </c>
      <c r="AF908">
        <v>79376425933</v>
      </c>
      <c r="AG908" s="238" t="s">
        <v>2829</v>
      </c>
      <c r="AH908" s="238" t="s">
        <v>1212</v>
      </c>
      <c r="AI908" s="238" t="s">
        <v>135</v>
      </c>
      <c r="AJ908" s="238" t="s">
        <v>399</v>
      </c>
      <c r="AK908" s="238" t="s">
        <v>141</v>
      </c>
      <c r="AL908" t="s">
        <v>8715</v>
      </c>
      <c r="AM908" t="s">
        <v>1167</v>
      </c>
    </row>
    <row r="909" spans="1:39" hidden="1" x14ac:dyDescent="0.25">
      <c r="A909">
        <v>905</v>
      </c>
      <c r="B909">
        <v>28</v>
      </c>
      <c r="C909" s="24">
        <v>44606</v>
      </c>
      <c r="D909" s="238" t="s">
        <v>27</v>
      </c>
      <c r="E909" s="238" t="s">
        <v>6</v>
      </c>
      <c r="F909">
        <v>9</v>
      </c>
      <c r="G909">
        <v>10</v>
      </c>
      <c r="H909">
        <v>81</v>
      </c>
      <c r="I909" s="238" t="s">
        <v>42</v>
      </c>
      <c r="J909">
        <v>37.94</v>
      </c>
      <c r="K909" s="238" t="s">
        <v>36</v>
      </c>
      <c r="L909">
        <v>2634402.54</v>
      </c>
      <c r="M909">
        <v>0</v>
      </c>
      <c r="N909">
        <v>2634402.54</v>
      </c>
      <c r="O909">
        <v>69436.018450184507</v>
      </c>
      <c r="P909">
        <v>0</v>
      </c>
      <c r="Q909">
        <v>2634402.54</v>
      </c>
      <c r="R909">
        <v>69436.018450184507</v>
      </c>
      <c r="S909" s="238" t="s">
        <v>137</v>
      </c>
      <c r="T909" s="238" t="s">
        <v>3540</v>
      </c>
      <c r="U909">
        <v>53763.32</v>
      </c>
      <c r="V909" t="s">
        <v>1167</v>
      </c>
      <c r="W909" s="24">
        <v>44605</v>
      </c>
      <c r="X909" s="238" t="s">
        <v>1039</v>
      </c>
      <c r="Y909" s="238" t="s">
        <v>39</v>
      </c>
      <c r="Z909" s="238" t="s">
        <v>1340</v>
      </c>
      <c r="AA909" t="s">
        <v>1167</v>
      </c>
      <c r="AB909" s="238" t="s">
        <v>3246</v>
      </c>
      <c r="AC909" t="s">
        <v>3079</v>
      </c>
      <c r="AD909" s="24"/>
      <c r="AE909" s="238" t="s">
        <v>2830</v>
      </c>
      <c r="AF909">
        <v>79372073724</v>
      </c>
      <c r="AG909" s="238" t="s">
        <v>2831</v>
      </c>
      <c r="AH909" s="238" t="s">
        <v>137</v>
      </c>
      <c r="AI909" s="238" t="s">
        <v>3114</v>
      </c>
      <c r="AJ909" s="238" t="s">
        <v>399</v>
      </c>
      <c r="AK909" s="238" t="s">
        <v>794</v>
      </c>
      <c r="AL909" t="s">
        <v>8715</v>
      </c>
      <c r="AM909" t="s">
        <v>1167</v>
      </c>
    </row>
    <row r="910" spans="1:39" hidden="1" x14ac:dyDescent="0.25">
      <c r="A910">
        <v>906</v>
      </c>
      <c r="B910">
        <v>29</v>
      </c>
      <c r="C910" s="24">
        <v>44607</v>
      </c>
      <c r="D910" s="238" t="s">
        <v>27</v>
      </c>
      <c r="E910" s="238" t="s">
        <v>6</v>
      </c>
      <c r="F910">
        <v>5</v>
      </c>
      <c r="G910">
        <v>10</v>
      </c>
      <c r="H910">
        <v>77</v>
      </c>
      <c r="I910" s="238" t="s">
        <v>4052</v>
      </c>
      <c r="J910">
        <v>24.47</v>
      </c>
      <c r="K910" s="238" t="s">
        <v>36</v>
      </c>
      <c r="L910">
        <v>1895306.72</v>
      </c>
      <c r="M910">
        <v>0</v>
      </c>
      <c r="N910">
        <v>1895306.72</v>
      </c>
      <c r="O910">
        <v>77454.299959133641</v>
      </c>
      <c r="P910">
        <v>0</v>
      </c>
      <c r="Q910">
        <v>1895306.72</v>
      </c>
      <c r="R910">
        <v>77454.299959133641</v>
      </c>
      <c r="S910" s="238" t="s">
        <v>137</v>
      </c>
      <c r="T910" s="238" t="s">
        <v>1167</v>
      </c>
      <c r="V910" t="s">
        <v>1167</v>
      </c>
      <c r="W910" s="24">
        <v>44600</v>
      </c>
      <c r="X910" s="238" t="s">
        <v>1043</v>
      </c>
      <c r="Y910" s="238" t="s">
        <v>39</v>
      </c>
      <c r="Z910" s="238" t="s">
        <v>1340</v>
      </c>
      <c r="AA910" t="s">
        <v>1167</v>
      </c>
      <c r="AB910" s="238" t="s">
        <v>3246</v>
      </c>
      <c r="AC910" t="s">
        <v>3079</v>
      </c>
      <c r="AD910" s="24"/>
      <c r="AE910" s="238" t="s">
        <v>4494</v>
      </c>
      <c r="AF910">
        <v>79270160100</v>
      </c>
      <c r="AG910" s="238" t="s">
        <v>4495</v>
      </c>
      <c r="AH910" s="238" t="s">
        <v>1212</v>
      </c>
      <c r="AI910" s="238" t="s">
        <v>135</v>
      </c>
      <c r="AJ910" s="238" t="s">
        <v>126</v>
      </c>
      <c r="AK910" s="238" t="s">
        <v>794</v>
      </c>
      <c r="AL910" t="s">
        <v>8715</v>
      </c>
      <c r="AM910" t="s">
        <v>1167</v>
      </c>
    </row>
    <row r="911" spans="1:39" hidden="1" x14ac:dyDescent="0.25">
      <c r="A911">
        <v>907</v>
      </c>
      <c r="B911">
        <v>30</v>
      </c>
      <c r="C911" s="24">
        <v>44607</v>
      </c>
      <c r="D911" s="238" t="s">
        <v>27</v>
      </c>
      <c r="E911" s="238" t="s">
        <v>5</v>
      </c>
      <c r="F911">
        <v>5</v>
      </c>
      <c r="G911">
        <v>5</v>
      </c>
      <c r="H911">
        <v>236</v>
      </c>
      <c r="I911" s="238" t="s">
        <v>4052</v>
      </c>
      <c r="J911">
        <v>23.63</v>
      </c>
      <c r="K911" s="238" t="s">
        <v>37</v>
      </c>
      <c r="L911">
        <v>2031704.09</v>
      </c>
      <c r="M911">
        <v>0</v>
      </c>
      <c r="N911">
        <v>2031704.09</v>
      </c>
      <c r="O911">
        <v>85979.859923825657</v>
      </c>
      <c r="P911">
        <v>129965</v>
      </c>
      <c r="Q911">
        <v>1901739.09</v>
      </c>
      <c r="R911">
        <v>80479.859923825657</v>
      </c>
      <c r="S911" s="238" t="s">
        <v>121</v>
      </c>
      <c r="T911" s="238" t="s">
        <v>1167</v>
      </c>
      <c r="V911" t="s">
        <v>1167</v>
      </c>
      <c r="W911" s="24">
        <v>44603</v>
      </c>
      <c r="X911" s="238" t="s">
        <v>1044</v>
      </c>
      <c r="Y911" s="238" t="s">
        <v>39</v>
      </c>
      <c r="Z911" s="238" t="s">
        <v>1340</v>
      </c>
      <c r="AA911" t="s">
        <v>1167</v>
      </c>
      <c r="AB911" s="238" t="s">
        <v>3246</v>
      </c>
      <c r="AC911" t="s">
        <v>4246</v>
      </c>
      <c r="AD911" s="24"/>
      <c r="AE911" s="238" t="s">
        <v>2832</v>
      </c>
      <c r="AF911">
        <v>79781173848</v>
      </c>
      <c r="AG911" s="238" t="s">
        <v>2833</v>
      </c>
      <c r="AH911" s="238" t="s">
        <v>146</v>
      </c>
      <c r="AI911" s="238" t="s">
        <v>135</v>
      </c>
      <c r="AJ911" s="238" t="s">
        <v>126</v>
      </c>
      <c r="AK911" s="238" t="s">
        <v>1167</v>
      </c>
      <c r="AL911" t="s">
        <v>8715</v>
      </c>
      <c r="AM911" t="s">
        <v>1167</v>
      </c>
    </row>
    <row r="912" spans="1:39" hidden="1" x14ac:dyDescent="0.25">
      <c r="A912">
        <v>908</v>
      </c>
      <c r="B912">
        <v>31</v>
      </c>
      <c r="C912" s="24">
        <v>44607</v>
      </c>
      <c r="D912" s="238" t="s">
        <v>27</v>
      </c>
      <c r="E912" s="238" t="s">
        <v>16</v>
      </c>
      <c r="F912">
        <v>5</v>
      </c>
      <c r="G912">
        <v>7</v>
      </c>
      <c r="H912">
        <v>436</v>
      </c>
      <c r="I912" s="238" t="s">
        <v>4052</v>
      </c>
      <c r="J912">
        <v>23.63</v>
      </c>
      <c r="K912" s="238" t="s">
        <v>37</v>
      </c>
      <c r="L912">
        <v>1958560.26</v>
      </c>
      <c r="M912">
        <v>0</v>
      </c>
      <c r="N912">
        <v>1958560.26</v>
      </c>
      <c r="O912">
        <v>82884.479898434191</v>
      </c>
      <c r="P912">
        <v>129965</v>
      </c>
      <c r="Q912">
        <v>1828595.26</v>
      </c>
      <c r="R912">
        <v>77384.479898434191</v>
      </c>
      <c r="S912" s="238" t="s">
        <v>137</v>
      </c>
      <c r="T912" s="238" t="s">
        <v>1167</v>
      </c>
      <c r="V912" t="s">
        <v>1167</v>
      </c>
      <c r="W912" s="24">
        <v>44604</v>
      </c>
      <c r="X912" s="238" t="s">
        <v>1045</v>
      </c>
      <c r="Y912" s="238" t="s">
        <v>39</v>
      </c>
      <c r="Z912" s="238" t="s">
        <v>1340</v>
      </c>
      <c r="AA912" t="s">
        <v>1167</v>
      </c>
      <c r="AB912" s="238" t="s">
        <v>3246</v>
      </c>
      <c r="AC912" t="s">
        <v>3077</v>
      </c>
      <c r="AD912" s="24"/>
      <c r="AE912" s="238" t="s">
        <v>2834</v>
      </c>
      <c r="AF912">
        <v>79871502124</v>
      </c>
      <c r="AG912" s="238" t="s">
        <v>2835</v>
      </c>
      <c r="AH912" s="238" t="s">
        <v>135</v>
      </c>
      <c r="AI912" s="238" t="s">
        <v>3075</v>
      </c>
      <c r="AJ912" s="238" t="s">
        <v>126</v>
      </c>
      <c r="AK912" s="238" t="s">
        <v>141</v>
      </c>
      <c r="AL912" t="s">
        <v>8715</v>
      </c>
      <c r="AM912" t="s">
        <v>1167</v>
      </c>
    </row>
    <row r="913" spans="1:39" hidden="1" x14ac:dyDescent="0.25">
      <c r="A913">
        <v>909</v>
      </c>
      <c r="B913">
        <v>32</v>
      </c>
      <c r="C913" s="24">
        <v>44607</v>
      </c>
      <c r="D913" s="238" t="s">
        <v>19</v>
      </c>
      <c r="E913" s="238" t="s">
        <v>6</v>
      </c>
      <c r="F913">
        <v>3</v>
      </c>
      <c r="G913">
        <v>11</v>
      </c>
      <c r="H913">
        <v>66</v>
      </c>
      <c r="I913" s="238" t="s">
        <v>44</v>
      </c>
      <c r="J913">
        <v>76.56</v>
      </c>
      <c r="K913" s="238" t="s">
        <v>37</v>
      </c>
      <c r="L913">
        <v>5447662.8499999996</v>
      </c>
      <c r="M913">
        <v>0</v>
      </c>
      <c r="N913">
        <v>5447662.8499999996</v>
      </c>
      <c r="O913">
        <v>71155.470872518286</v>
      </c>
      <c r="P913">
        <v>0</v>
      </c>
      <c r="Q913">
        <v>5447662.8499999996</v>
      </c>
      <c r="R913">
        <v>71155.470872518286</v>
      </c>
      <c r="S913" s="238" t="s">
        <v>137</v>
      </c>
      <c r="T913" s="238" t="s">
        <v>60</v>
      </c>
      <c r="U913">
        <v>421080</v>
      </c>
      <c r="V913" t="s">
        <v>1167</v>
      </c>
      <c r="W913" s="24">
        <v>44594</v>
      </c>
      <c r="X913" s="238" t="s">
        <v>1047</v>
      </c>
      <c r="Y913" s="238" t="s">
        <v>39</v>
      </c>
      <c r="Z913" s="238" t="s">
        <v>1340</v>
      </c>
      <c r="AA913" t="s">
        <v>1167</v>
      </c>
      <c r="AB913" s="238" t="s">
        <v>3246</v>
      </c>
      <c r="AC913" t="s">
        <v>3079</v>
      </c>
      <c r="AD913" s="24"/>
      <c r="AE913" s="238" t="s">
        <v>2836</v>
      </c>
      <c r="AF913">
        <v>79140893023</v>
      </c>
      <c r="AG913" s="238" t="s">
        <v>2837</v>
      </c>
      <c r="AH913" s="238" t="s">
        <v>1212</v>
      </c>
      <c r="AI913" s="238" t="s">
        <v>3097</v>
      </c>
      <c r="AJ913" s="238" t="s">
        <v>130</v>
      </c>
      <c r="AK913" s="238" t="s">
        <v>141</v>
      </c>
      <c r="AL913" t="s">
        <v>8715</v>
      </c>
      <c r="AM913" t="s">
        <v>1167</v>
      </c>
    </row>
    <row r="914" spans="1:39" hidden="1" x14ac:dyDescent="0.25">
      <c r="A914">
        <v>910</v>
      </c>
      <c r="B914">
        <v>33</v>
      </c>
      <c r="C914" s="24">
        <v>44607</v>
      </c>
      <c r="D914" s="238" t="s">
        <v>27</v>
      </c>
      <c r="E914" s="238" t="s">
        <v>6</v>
      </c>
      <c r="F914">
        <v>6</v>
      </c>
      <c r="G914">
        <v>12</v>
      </c>
      <c r="H914">
        <v>96</v>
      </c>
      <c r="I914" s="238" t="s">
        <v>43</v>
      </c>
      <c r="J914">
        <v>54.67</v>
      </c>
      <c r="K914" s="238" t="s">
        <v>36</v>
      </c>
      <c r="L914">
        <v>3904484.74</v>
      </c>
      <c r="M914">
        <v>0</v>
      </c>
      <c r="N914">
        <v>3904484.74</v>
      </c>
      <c r="O914">
        <v>71419.146515456378</v>
      </c>
      <c r="P914">
        <v>0</v>
      </c>
      <c r="Q914">
        <v>3904484.74</v>
      </c>
      <c r="R914">
        <v>71419.146515456378</v>
      </c>
      <c r="S914" s="238" t="s">
        <v>137</v>
      </c>
      <c r="T914" s="238" t="s">
        <v>3540</v>
      </c>
      <c r="U914">
        <v>79683.360000000001</v>
      </c>
      <c r="V914" t="s">
        <v>1167</v>
      </c>
      <c r="W914" s="24">
        <v>44599</v>
      </c>
      <c r="X914" s="238" t="s">
        <v>1046</v>
      </c>
      <c r="Y914" s="238" t="s">
        <v>39</v>
      </c>
      <c r="Z914" s="238" t="s">
        <v>1340</v>
      </c>
      <c r="AA914" t="s">
        <v>1167</v>
      </c>
      <c r="AB914" s="238" t="s">
        <v>3246</v>
      </c>
      <c r="AC914" t="s">
        <v>3079</v>
      </c>
      <c r="AD914" s="24"/>
      <c r="AE914" s="238" t="s">
        <v>2838</v>
      </c>
      <c r="AF914">
        <v>79370690740</v>
      </c>
      <c r="AG914" s="238" t="s">
        <v>2839</v>
      </c>
      <c r="AH914" s="238" t="s">
        <v>1197</v>
      </c>
      <c r="AI914" s="238" t="s">
        <v>3082</v>
      </c>
      <c r="AJ914" s="238" t="s">
        <v>130</v>
      </c>
      <c r="AK914" s="238" t="s">
        <v>141</v>
      </c>
      <c r="AL914" t="s">
        <v>8715</v>
      </c>
      <c r="AM914" t="s">
        <v>1167</v>
      </c>
    </row>
    <row r="915" spans="1:39" hidden="1" x14ac:dyDescent="0.25">
      <c r="A915">
        <v>911</v>
      </c>
      <c r="B915">
        <v>34</v>
      </c>
      <c r="C915" s="24">
        <v>44607</v>
      </c>
      <c r="D915" s="238" t="s">
        <v>27</v>
      </c>
      <c r="E915" s="238" t="s">
        <v>6</v>
      </c>
      <c r="F915">
        <v>5</v>
      </c>
      <c r="G915">
        <v>2</v>
      </c>
      <c r="H915">
        <v>7</v>
      </c>
      <c r="I915" s="238" t="s">
        <v>43</v>
      </c>
      <c r="J915">
        <v>60.06</v>
      </c>
      <c r="K915" s="238" t="s">
        <v>36</v>
      </c>
      <c r="L915">
        <v>3694299.59</v>
      </c>
      <c r="M915">
        <v>15000</v>
      </c>
      <c r="N915">
        <v>3709299.59</v>
      </c>
      <c r="O915">
        <v>61759.899933399931</v>
      </c>
      <c r="P915">
        <v>0</v>
      </c>
      <c r="Q915">
        <v>3709299.59</v>
      </c>
      <c r="R915">
        <v>61759.899933399931</v>
      </c>
      <c r="S915" s="238" t="s">
        <v>137</v>
      </c>
      <c r="T915" s="238" t="s">
        <v>1167</v>
      </c>
      <c r="V915" t="s">
        <v>1167</v>
      </c>
      <c r="W915" s="24">
        <v>44606</v>
      </c>
      <c r="X915" s="238" t="s">
        <v>1048</v>
      </c>
      <c r="Y915" s="238" t="s">
        <v>39</v>
      </c>
      <c r="Z915" s="238" t="s">
        <v>1340</v>
      </c>
      <c r="AA915" t="s">
        <v>1167</v>
      </c>
      <c r="AB915" s="238" t="s">
        <v>3246</v>
      </c>
      <c r="AC915" t="s">
        <v>3079</v>
      </c>
      <c r="AD915" s="24"/>
      <c r="AE915" s="238" t="s">
        <v>2840</v>
      </c>
      <c r="AF915">
        <v>79879142540</v>
      </c>
      <c r="AG915" s="238" t="s">
        <v>2841</v>
      </c>
      <c r="AH915" s="238" t="s">
        <v>135</v>
      </c>
      <c r="AI915" s="238" t="s">
        <v>3099</v>
      </c>
      <c r="AJ915" s="238" t="s">
        <v>130</v>
      </c>
      <c r="AK915" s="238" t="s">
        <v>141</v>
      </c>
      <c r="AL915" t="s">
        <v>8715</v>
      </c>
      <c r="AM915" t="s">
        <v>1167</v>
      </c>
    </row>
    <row r="916" spans="1:39" hidden="1" x14ac:dyDescent="0.25">
      <c r="A916">
        <v>912</v>
      </c>
      <c r="B916">
        <v>35</v>
      </c>
      <c r="C916" s="24">
        <v>44608</v>
      </c>
      <c r="D916" s="238" t="s">
        <v>27</v>
      </c>
      <c r="E916" s="238" t="s">
        <v>6</v>
      </c>
      <c r="F916">
        <v>5</v>
      </c>
      <c r="G916">
        <v>3</v>
      </c>
      <c r="H916">
        <v>14</v>
      </c>
      <c r="I916" s="238" t="s">
        <v>4052</v>
      </c>
      <c r="J916">
        <v>24.47</v>
      </c>
      <c r="K916" s="238" t="s">
        <v>37</v>
      </c>
      <c r="L916">
        <v>2148348.2999999998</v>
      </c>
      <c r="M916">
        <v>0</v>
      </c>
      <c r="N916">
        <v>2148348.2999999998</v>
      </c>
      <c r="O916">
        <v>87795.190028606448</v>
      </c>
      <c r="P916">
        <v>134585</v>
      </c>
      <c r="Q916">
        <v>2013763.2999999998</v>
      </c>
      <c r="R916">
        <v>82295.190028606448</v>
      </c>
      <c r="S916" s="238" t="s">
        <v>137</v>
      </c>
      <c r="T916" s="238" t="s">
        <v>1167</v>
      </c>
      <c r="V916" t="s">
        <v>1167</v>
      </c>
      <c r="W916" s="24">
        <v>44598</v>
      </c>
      <c r="X916" s="238" t="s">
        <v>1049</v>
      </c>
      <c r="Y916" s="238" t="s">
        <v>39</v>
      </c>
      <c r="Z916" s="238" t="s">
        <v>1340</v>
      </c>
      <c r="AA916" t="s">
        <v>1167</v>
      </c>
      <c r="AB916" s="238" t="s">
        <v>3246</v>
      </c>
      <c r="AC916" t="s">
        <v>3079</v>
      </c>
      <c r="AD916" s="24"/>
      <c r="AE916" s="238" t="s">
        <v>2842</v>
      </c>
      <c r="AF916">
        <v>79277564371</v>
      </c>
      <c r="AG916" s="238" t="s">
        <v>2843</v>
      </c>
      <c r="AH916" s="238" t="s">
        <v>1212</v>
      </c>
      <c r="AI916" s="238" t="s">
        <v>135</v>
      </c>
      <c r="AJ916" s="238" t="s">
        <v>120</v>
      </c>
      <c r="AK916" s="238" t="s">
        <v>141</v>
      </c>
      <c r="AL916" t="s">
        <v>8715</v>
      </c>
      <c r="AM916" t="s">
        <v>1167</v>
      </c>
    </row>
    <row r="917" spans="1:39" hidden="1" x14ac:dyDescent="0.25">
      <c r="A917">
        <v>913</v>
      </c>
      <c r="B917">
        <v>36</v>
      </c>
      <c r="C917" s="24">
        <v>44609</v>
      </c>
      <c r="D917" s="238" t="s">
        <v>19</v>
      </c>
      <c r="E917" s="238" t="s">
        <v>6</v>
      </c>
      <c r="F917">
        <v>4</v>
      </c>
      <c r="G917">
        <v>7</v>
      </c>
      <c r="H917">
        <v>39</v>
      </c>
      <c r="I917" s="238" t="s">
        <v>42</v>
      </c>
      <c r="J917">
        <v>36.86</v>
      </c>
      <c r="K917" s="238" t="s">
        <v>37</v>
      </c>
      <c r="L917">
        <v>3243680.37</v>
      </c>
      <c r="M917">
        <v>0</v>
      </c>
      <c r="N917">
        <v>3243680.37</v>
      </c>
      <c r="O917">
        <v>88000.010037981556</v>
      </c>
      <c r="P917">
        <v>202730</v>
      </c>
      <c r="Q917">
        <v>3040950.37</v>
      </c>
      <c r="R917">
        <v>82500.010037981556</v>
      </c>
      <c r="S917" s="238" t="s">
        <v>137</v>
      </c>
      <c r="T917" s="238" t="s">
        <v>1167</v>
      </c>
      <c r="V917" t="s">
        <v>1167</v>
      </c>
      <c r="W917" s="24">
        <v>44601</v>
      </c>
      <c r="X917" s="238" t="s">
        <v>1052</v>
      </c>
      <c r="Y917" s="238" t="s">
        <v>39</v>
      </c>
      <c r="Z917" s="238" t="s">
        <v>1340</v>
      </c>
      <c r="AA917" t="s">
        <v>1167</v>
      </c>
      <c r="AB917" s="238" t="s">
        <v>3246</v>
      </c>
      <c r="AC917" t="s">
        <v>3079</v>
      </c>
      <c r="AD917" s="24"/>
      <c r="AE917" s="238" t="s">
        <v>2844</v>
      </c>
      <c r="AF917">
        <v>79179407330</v>
      </c>
      <c r="AG917" s="238" t="s">
        <v>2845</v>
      </c>
      <c r="AH917" s="238" t="s">
        <v>1212</v>
      </c>
      <c r="AI917" s="238" t="s">
        <v>135</v>
      </c>
      <c r="AJ917" s="238" t="s">
        <v>130</v>
      </c>
      <c r="AK917" s="238" t="s">
        <v>141</v>
      </c>
      <c r="AL917" t="s">
        <v>8715</v>
      </c>
      <c r="AM917" t="s">
        <v>1167</v>
      </c>
    </row>
    <row r="918" spans="1:39" hidden="1" x14ac:dyDescent="0.25">
      <c r="A918">
        <v>914</v>
      </c>
      <c r="B918">
        <v>37</v>
      </c>
      <c r="C918" s="24">
        <v>44609</v>
      </c>
      <c r="D918" s="238" t="s">
        <v>27</v>
      </c>
      <c r="E918" s="238" t="s">
        <v>5</v>
      </c>
      <c r="F918">
        <v>4</v>
      </c>
      <c r="G918">
        <v>4</v>
      </c>
      <c r="H918">
        <v>227</v>
      </c>
      <c r="I918" s="238" t="s">
        <v>42</v>
      </c>
      <c r="J918">
        <v>40</v>
      </c>
      <c r="K918" s="238" t="s">
        <v>37</v>
      </c>
      <c r="L918">
        <v>3118199.08</v>
      </c>
      <c r="M918">
        <v>0</v>
      </c>
      <c r="N918">
        <v>3118199.08</v>
      </c>
      <c r="O918">
        <v>77954.976999999999</v>
      </c>
      <c r="P918">
        <v>220000</v>
      </c>
      <c r="Q918">
        <v>2898199.08</v>
      </c>
      <c r="R918">
        <v>72454.976999999999</v>
      </c>
      <c r="S918" s="238" t="s">
        <v>121</v>
      </c>
      <c r="T918" s="238" t="s">
        <v>3540</v>
      </c>
      <c r="U918">
        <v>59146.92</v>
      </c>
      <c r="V918" t="s">
        <v>1167</v>
      </c>
      <c r="W918" s="24">
        <v>44606</v>
      </c>
      <c r="X918" s="238" t="s">
        <v>1050</v>
      </c>
      <c r="Y918" s="238" t="s">
        <v>39</v>
      </c>
      <c r="Z918" s="238" t="s">
        <v>1340</v>
      </c>
      <c r="AA918" t="s">
        <v>1167</v>
      </c>
      <c r="AB918" s="238" t="s">
        <v>3246</v>
      </c>
      <c r="AC918" t="s">
        <v>4246</v>
      </c>
      <c r="AD918" s="24"/>
      <c r="AE918" s="238" t="s">
        <v>2846</v>
      </c>
      <c r="AF918">
        <v>79277407778</v>
      </c>
      <c r="AG918" s="238" t="s">
        <v>2847</v>
      </c>
      <c r="AH918" s="238" t="s">
        <v>1171</v>
      </c>
      <c r="AI918" s="238" t="s">
        <v>3074</v>
      </c>
      <c r="AJ918" s="238" t="s">
        <v>399</v>
      </c>
      <c r="AK918" s="238" t="s">
        <v>1167</v>
      </c>
      <c r="AL918" t="s">
        <v>8715</v>
      </c>
      <c r="AM918" t="s">
        <v>1167</v>
      </c>
    </row>
    <row r="919" spans="1:39" hidden="1" x14ac:dyDescent="0.25">
      <c r="A919">
        <v>915</v>
      </c>
      <c r="B919">
        <v>38</v>
      </c>
      <c r="C919" s="24">
        <v>44609</v>
      </c>
      <c r="D919" s="238" t="s">
        <v>27</v>
      </c>
      <c r="E919" s="238" t="s">
        <v>15</v>
      </c>
      <c r="F919">
        <v>6</v>
      </c>
      <c r="G919">
        <v>12</v>
      </c>
      <c r="H919">
        <v>597</v>
      </c>
      <c r="I919" s="238" t="s">
        <v>42</v>
      </c>
      <c r="J919">
        <v>37.11</v>
      </c>
      <c r="K919" s="238" t="s">
        <v>37</v>
      </c>
      <c r="L919">
        <v>2780875.84</v>
      </c>
      <c r="M919">
        <v>0</v>
      </c>
      <c r="N919">
        <v>2780875.84</v>
      </c>
      <c r="O919">
        <v>74936.023713284827</v>
      </c>
      <c r="P919">
        <v>204105</v>
      </c>
      <c r="Q919">
        <v>2576770.84</v>
      </c>
      <c r="R919">
        <v>69436.023713284827</v>
      </c>
      <c r="S919" s="238" t="s">
        <v>137</v>
      </c>
      <c r="T919" s="238" t="s">
        <v>3540</v>
      </c>
      <c r="U919">
        <v>52587.16</v>
      </c>
      <c r="V919" t="s">
        <v>1167</v>
      </c>
      <c r="W919" s="24">
        <v>44608</v>
      </c>
      <c r="X919" s="238" t="s">
        <v>1051</v>
      </c>
      <c r="Y919" s="238" t="s">
        <v>39</v>
      </c>
      <c r="Z919" s="238" t="s">
        <v>1168</v>
      </c>
      <c r="AA919" t="s">
        <v>1167</v>
      </c>
      <c r="AB919" s="238" t="s">
        <v>3246</v>
      </c>
      <c r="AC919" t="s">
        <v>3104</v>
      </c>
      <c r="AD919" s="24"/>
      <c r="AE919" s="238" t="s">
        <v>2840</v>
      </c>
      <c r="AF919">
        <v>79879142540</v>
      </c>
      <c r="AG919" s="238" t="s">
        <v>2841</v>
      </c>
      <c r="AH919" s="238" t="s">
        <v>1197</v>
      </c>
      <c r="AI919" s="238" t="s">
        <v>3099</v>
      </c>
      <c r="AJ919" s="238" t="s">
        <v>130</v>
      </c>
      <c r="AK919" s="238" t="s">
        <v>141</v>
      </c>
      <c r="AL919" t="s">
        <v>8715</v>
      </c>
      <c r="AM919" t="s">
        <v>1167</v>
      </c>
    </row>
    <row r="920" spans="1:39" hidden="1" x14ac:dyDescent="0.25">
      <c r="A920">
        <v>916</v>
      </c>
      <c r="B920">
        <v>39</v>
      </c>
      <c r="C920" s="24">
        <v>44610</v>
      </c>
      <c r="D920" s="238" t="s">
        <v>27</v>
      </c>
      <c r="E920" s="238" t="s">
        <v>5</v>
      </c>
      <c r="F920">
        <v>5</v>
      </c>
      <c r="G920">
        <v>20</v>
      </c>
      <c r="H920">
        <v>356</v>
      </c>
      <c r="I920" s="238" t="s">
        <v>4052</v>
      </c>
      <c r="J920">
        <v>23.63</v>
      </c>
      <c r="K920" s="238" t="s">
        <v>36</v>
      </c>
      <c r="L920">
        <v>2015479.5</v>
      </c>
      <c r="M920">
        <v>0</v>
      </c>
      <c r="N920">
        <v>2015479.5</v>
      </c>
      <c r="O920">
        <v>85293.250105797721</v>
      </c>
      <c r="P920">
        <v>0</v>
      </c>
      <c r="Q920">
        <v>2015479.5</v>
      </c>
      <c r="R920">
        <v>85293.250105797721</v>
      </c>
      <c r="S920" s="238" t="s">
        <v>121</v>
      </c>
      <c r="T920" s="238" t="s">
        <v>1167</v>
      </c>
      <c r="V920" t="s">
        <v>1167</v>
      </c>
      <c r="W920" s="24">
        <v>44608</v>
      </c>
      <c r="X920" s="238" t="s">
        <v>1054</v>
      </c>
      <c r="Y920" s="238" t="s">
        <v>39</v>
      </c>
      <c r="Z920" s="238" t="s">
        <v>1168</v>
      </c>
      <c r="AA920" t="s">
        <v>1167</v>
      </c>
      <c r="AB920" s="238" t="s">
        <v>3246</v>
      </c>
      <c r="AC920" t="s">
        <v>4246</v>
      </c>
      <c r="AD920" s="24"/>
      <c r="AE920" s="238" t="s">
        <v>2848</v>
      </c>
      <c r="AF920">
        <v>79270169935</v>
      </c>
      <c r="AG920" s="238" t="s">
        <v>2849</v>
      </c>
      <c r="AH920" s="238" t="s">
        <v>1171</v>
      </c>
      <c r="AI920" s="238" t="s">
        <v>135</v>
      </c>
      <c r="AJ920" s="238" t="s">
        <v>120</v>
      </c>
      <c r="AK920" s="238" t="s">
        <v>1167</v>
      </c>
      <c r="AL920" t="s">
        <v>8715</v>
      </c>
      <c r="AM920" t="s">
        <v>1167</v>
      </c>
    </row>
    <row r="921" spans="1:39" hidden="1" x14ac:dyDescent="0.25">
      <c r="A921">
        <v>917</v>
      </c>
      <c r="B921">
        <v>40</v>
      </c>
      <c r="C921" s="24">
        <v>44610</v>
      </c>
      <c r="D921" s="238" t="s">
        <v>27</v>
      </c>
      <c r="E921" s="238" t="s">
        <v>14</v>
      </c>
      <c r="F921">
        <v>5</v>
      </c>
      <c r="G921">
        <v>10</v>
      </c>
      <c r="H921">
        <v>708</v>
      </c>
      <c r="I921" s="238" t="s">
        <v>42</v>
      </c>
      <c r="J921">
        <v>38.96</v>
      </c>
      <c r="K921" s="238" t="s">
        <v>37</v>
      </c>
      <c r="L921">
        <v>3286765.34</v>
      </c>
      <c r="M921">
        <v>0</v>
      </c>
      <c r="N921">
        <v>3286765.34</v>
      </c>
      <c r="O921">
        <v>84362.560061601631</v>
      </c>
      <c r="P921">
        <v>214280</v>
      </c>
      <c r="Q921">
        <v>3072485.34</v>
      </c>
      <c r="R921">
        <v>78862.560061601631</v>
      </c>
      <c r="S921" s="238" t="s">
        <v>137</v>
      </c>
      <c r="T921" s="238" t="s">
        <v>1167</v>
      </c>
      <c r="V921" t="s">
        <v>1167</v>
      </c>
      <c r="W921" s="24">
        <v>44602</v>
      </c>
      <c r="X921" s="238" t="s">
        <v>1053</v>
      </c>
      <c r="Y921" s="238" t="s">
        <v>39</v>
      </c>
      <c r="Z921" s="238" t="s">
        <v>1340</v>
      </c>
      <c r="AA921" t="s">
        <v>1167</v>
      </c>
      <c r="AB921" s="238" t="s">
        <v>3246</v>
      </c>
      <c r="AC921" t="s">
        <v>3079</v>
      </c>
      <c r="AD921" s="24"/>
      <c r="AE921" s="238" t="s">
        <v>2850</v>
      </c>
      <c r="AF921">
        <v>79967436858</v>
      </c>
      <c r="AG921" s="238" t="s">
        <v>2851</v>
      </c>
      <c r="AH921" s="238" t="s">
        <v>1212</v>
      </c>
      <c r="AI921" s="238" t="s">
        <v>135</v>
      </c>
      <c r="AJ921" s="238" t="s">
        <v>689</v>
      </c>
      <c r="AK921" s="238" t="s">
        <v>141</v>
      </c>
      <c r="AL921" t="s">
        <v>8715</v>
      </c>
      <c r="AM921" t="s">
        <v>1167</v>
      </c>
    </row>
    <row r="922" spans="1:39" hidden="1" x14ac:dyDescent="0.25">
      <c r="A922">
        <v>918</v>
      </c>
      <c r="B922">
        <v>41</v>
      </c>
      <c r="C922" s="24">
        <v>44611</v>
      </c>
      <c r="D922" s="238" t="s">
        <v>27</v>
      </c>
      <c r="E922" s="238" t="s">
        <v>6</v>
      </c>
      <c r="F922">
        <v>1</v>
      </c>
      <c r="G922">
        <v>9</v>
      </c>
      <c r="H922">
        <v>64</v>
      </c>
      <c r="I922" s="238" t="s">
        <v>44</v>
      </c>
      <c r="J922">
        <v>82.71</v>
      </c>
      <c r="K922" s="238" t="s">
        <v>37</v>
      </c>
      <c r="L922">
        <v>4897981.4400000004</v>
      </c>
      <c r="M922">
        <v>15000</v>
      </c>
      <c r="N922">
        <v>4912981.4400000004</v>
      </c>
      <c r="O922">
        <v>59400.089952847309</v>
      </c>
      <c r="P922">
        <v>454905</v>
      </c>
      <c r="Q922">
        <v>4458076.4400000004</v>
      </c>
      <c r="R922">
        <v>53900.089952847309</v>
      </c>
      <c r="S922" s="238" t="s">
        <v>124</v>
      </c>
      <c r="T922" s="238" t="s">
        <v>60</v>
      </c>
      <c r="U922">
        <v>454905</v>
      </c>
      <c r="V922" t="s">
        <v>1167</v>
      </c>
      <c r="W922" s="24">
        <v>44595</v>
      </c>
      <c r="X922" s="238" t="s">
        <v>1056</v>
      </c>
      <c r="Y922" s="238" t="s">
        <v>39</v>
      </c>
      <c r="Z922" s="238" t="s">
        <v>1168</v>
      </c>
      <c r="AA922" t="s">
        <v>1167</v>
      </c>
      <c r="AB922" s="238" t="s">
        <v>3246</v>
      </c>
      <c r="AC922" t="s">
        <v>4246</v>
      </c>
      <c r="AD922" s="24"/>
      <c r="AE922" s="238" t="s">
        <v>2852</v>
      </c>
      <c r="AF922">
        <v>79270275185</v>
      </c>
      <c r="AG922" s="238" t="s">
        <v>2853</v>
      </c>
      <c r="AH922" s="238" t="s">
        <v>1212</v>
      </c>
      <c r="AI922" s="238" t="s">
        <v>135</v>
      </c>
      <c r="AJ922" s="238" t="s">
        <v>120</v>
      </c>
      <c r="AK922" s="238" t="s">
        <v>1167</v>
      </c>
      <c r="AL922" t="s">
        <v>8715</v>
      </c>
      <c r="AM922" t="s">
        <v>1167</v>
      </c>
    </row>
    <row r="923" spans="1:39" hidden="1" x14ac:dyDescent="0.25">
      <c r="A923">
        <v>919</v>
      </c>
      <c r="B923">
        <v>42</v>
      </c>
      <c r="C923" s="24">
        <v>44611</v>
      </c>
      <c r="D923" s="238" t="s">
        <v>19</v>
      </c>
      <c r="E923" s="238" t="s">
        <v>5</v>
      </c>
      <c r="F923">
        <v>9</v>
      </c>
      <c r="G923">
        <v>10</v>
      </c>
      <c r="H923">
        <v>258</v>
      </c>
      <c r="I923" s="238" t="s">
        <v>43</v>
      </c>
      <c r="J923">
        <v>60.3</v>
      </c>
      <c r="K923" s="238" t="s">
        <v>37</v>
      </c>
      <c r="L923">
        <v>5097178.4800000004</v>
      </c>
      <c r="M923">
        <v>0</v>
      </c>
      <c r="N923">
        <v>5097178.4800000004</v>
      </c>
      <c r="O923">
        <v>84530.323051409636</v>
      </c>
      <c r="P923">
        <v>331650</v>
      </c>
      <c r="Q923">
        <v>4765528.4800000004</v>
      </c>
      <c r="R923">
        <v>79030.323051409636</v>
      </c>
      <c r="S923" s="238" t="s">
        <v>137</v>
      </c>
      <c r="T923" s="238" t="s">
        <v>3540</v>
      </c>
      <c r="U923">
        <v>97255.686466608196</v>
      </c>
      <c r="V923" t="s">
        <v>1167</v>
      </c>
      <c r="W923" s="24">
        <v>44609</v>
      </c>
      <c r="X923" s="238" t="s">
        <v>1055</v>
      </c>
      <c r="Y923" s="238" t="s">
        <v>39</v>
      </c>
      <c r="Z923" s="238" t="s">
        <v>1340</v>
      </c>
      <c r="AA923" t="s">
        <v>1167</v>
      </c>
      <c r="AB923" s="238" t="s">
        <v>3246</v>
      </c>
      <c r="AC923" t="s">
        <v>3079</v>
      </c>
      <c r="AD923" s="24"/>
      <c r="AE923" s="238" t="s">
        <v>2854</v>
      </c>
      <c r="AF923">
        <v>79874474783</v>
      </c>
      <c r="AG923" s="238" t="s">
        <v>2855</v>
      </c>
      <c r="AH923" s="238" t="s">
        <v>1212</v>
      </c>
      <c r="AI923" s="238" t="s">
        <v>3106</v>
      </c>
      <c r="AJ923" s="238" t="s">
        <v>399</v>
      </c>
      <c r="AK923" s="238" t="s">
        <v>794</v>
      </c>
      <c r="AL923" t="s">
        <v>8715</v>
      </c>
      <c r="AM923" t="s">
        <v>1167</v>
      </c>
    </row>
    <row r="924" spans="1:39" hidden="1" x14ac:dyDescent="0.25">
      <c r="A924">
        <v>920</v>
      </c>
      <c r="B924">
        <v>43</v>
      </c>
      <c r="C924" s="24">
        <v>44613</v>
      </c>
      <c r="D924" s="238" t="s">
        <v>27</v>
      </c>
      <c r="E924" s="238" t="s">
        <v>15</v>
      </c>
      <c r="F924">
        <v>1</v>
      </c>
      <c r="G924">
        <v>2</v>
      </c>
      <c r="H924">
        <v>512</v>
      </c>
      <c r="I924" s="238" t="s">
        <v>44</v>
      </c>
      <c r="J924">
        <v>82.27</v>
      </c>
      <c r="K924" s="238" t="s">
        <v>36</v>
      </c>
      <c r="L924">
        <v>4744366.68</v>
      </c>
      <c r="M924">
        <v>0</v>
      </c>
      <c r="N924">
        <v>4744366.68</v>
      </c>
      <c r="O924">
        <v>57668.246991612978</v>
      </c>
      <c r="P924">
        <v>0</v>
      </c>
      <c r="Q924">
        <v>4744366.68</v>
      </c>
      <c r="R924">
        <v>57668.246991612978</v>
      </c>
      <c r="S924" s="238" t="s">
        <v>137</v>
      </c>
      <c r="T924" s="238" t="s">
        <v>3540</v>
      </c>
      <c r="U924">
        <v>96823.81</v>
      </c>
      <c r="V924" t="s">
        <v>1167</v>
      </c>
      <c r="W924" s="24">
        <v>44609</v>
      </c>
      <c r="X924" s="238" t="s">
        <v>1058</v>
      </c>
      <c r="Y924" s="238" t="s">
        <v>39</v>
      </c>
      <c r="Z924" s="238" t="s">
        <v>1340</v>
      </c>
      <c r="AA924" t="s">
        <v>1167</v>
      </c>
      <c r="AB924" s="238" t="s">
        <v>3246</v>
      </c>
      <c r="AC924" t="s">
        <v>3079</v>
      </c>
      <c r="AD924" s="24"/>
      <c r="AE924" s="238" t="s">
        <v>2856</v>
      </c>
      <c r="AF924">
        <v>79278283438</v>
      </c>
      <c r="AG924" s="238" t="s">
        <v>2857</v>
      </c>
      <c r="AH924" s="238" t="s">
        <v>1212</v>
      </c>
      <c r="AI924" s="238" t="s">
        <v>3084</v>
      </c>
      <c r="AJ924" s="238" t="s">
        <v>120</v>
      </c>
      <c r="AK924" s="238" t="s">
        <v>141</v>
      </c>
      <c r="AL924" t="s">
        <v>8715</v>
      </c>
      <c r="AM924" t="s">
        <v>1167</v>
      </c>
    </row>
    <row r="925" spans="1:39" hidden="1" x14ac:dyDescent="0.25">
      <c r="A925">
        <v>921</v>
      </c>
      <c r="B925">
        <v>44</v>
      </c>
      <c r="C925" s="24">
        <v>44613</v>
      </c>
      <c r="D925" s="238" t="s">
        <v>27</v>
      </c>
      <c r="E925" s="238" t="s">
        <v>14</v>
      </c>
      <c r="F925">
        <v>3</v>
      </c>
      <c r="G925">
        <v>7</v>
      </c>
      <c r="H925">
        <v>679</v>
      </c>
      <c r="I925" s="238" t="s">
        <v>43</v>
      </c>
      <c r="J925">
        <v>56.33</v>
      </c>
      <c r="K925" s="238" t="s">
        <v>36</v>
      </c>
      <c r="L925">
        <v>4346044.4400000004</v>
      </c>
      <c r="M925">
        <v>0</v>
      </c>
      <c r="N925">
        <v>4346044.4400000004</v>
      </c>
      <c r="O925">
        <v>77153.283152849297</v>
      </c>
      <c r="P925">
        <v>0</v>
      </c>
      <c r="Q925">
        <v>4346044.4400000004</v>
      </c>
      <c r="R925">
        <v>77153.283152849297</v>
      </c>
      <c r="S925" s="238" t="s">
        <v>137</v>
      </c>
      <c r="T925" s="238" t="s">
        <v>3540</v>
      </c>
      <c r="U925">
        <v>88694.78</v>
      </c>
      <c r="V925" t="s">
        <v>1167</v>
      </c>
      <c r="W925" s="24">
        <v>44610</v>
      </c>
      <c r="X925" s="238" t="s">
        <v>1057</v>
      </c>
      <c r="Y925" s="238" t="s">
        <v>39</v>
      </c>
      <c r="Z925" s="238" t="s">
        <v>1340</v>
      </c>
      <c r="AA925" t="s">
        <v>1167</v>
      </c>
      <c r="AB925" s="238" t="s">
        <v>3246</v>
      </c>
      <c r="AC925" t="s">
        <v>3079</v>
      </c>
      <c r="AD925" s="24"/>
      <c r="AE925" s="238" t="s">
        <v>2858</v>
      </c>
      <c r="AF925">
        <v>79270174325</v>
      </c>
      <c r="AG925" s="238" t="s">
        <v>2859</v>
      </c>
      <c r="AH925" s="238" t="s">
        <v>1171</v>
      </c>
      <c r="AI925" s="238" t="s">
        <v>3074</v>
      </c>
      <c r="AJ925" s="238" t="s">
        <v>399</v>
      </c>
      <c r="AK925" s="238" t="s">
        <v>141</v>
      </c>
      <c r="AL925" t="s">
        <v>8715</v>
      </c>
      <c r="AM925" t="s">
        <v>1167</v>
      </c>
    </row>
    <row r="926" spans="1:39" hidden="1" x14ac:dyDescent="0.25">
      <c r="A926">
        <v>922</v>
      </c>
      <c r="B926">
        <v>45</v>
      </c>
      <c r="C926" s="24">
        <v>44613</v>
      </c>
      <c r="D926" s="238" t="s">
        <v>19</v>
      </c>
      <c r="E926" s="238" t="s">
        <v>6</v>
      </c>
      <c r="F926">
        <v>2</v>
      </c>
      <c r="G926">
        <v>22</v>
      </c>
      <c r="H926">
        <v>142</v>
      </c>
      <c r="I926" s="238" t="s">
        <v>43</v>
      </c>
      <c r="J926">
        <v>58.99</v>
      </c>
      <c r="K926" s="238" t="s">
        <v>36</v>
      </c>
      <c r="L926">
        <v>4819691.22</v>
      </c>
      <c r="M926">
        <v>0</v>
      </c>
      <c r="N926">
        <v>4819691.22</v>
      </c>
      <c r="O926">
        <v>81703.529750805217</v>
      </c>
      <c r="P926">
        <v>0</v>
      </c>
      <c r="Q926">
        <v>4819691.22</v>
      </c>
      <c r="R926">
        <v>81703.529750805217</v>
      </c>
      <c r="S926" s="238" t="s">
        <v>137</v>
      </c>
      <c r="T926" s="238" t="s">
        <v>3540</v>
      </c>
      <c r="U926">
        <v>98361.05</v>
      </c>
      <c r="V926" t="s">
        <v>1167</v>
      </c>
      <c r="W926" s="24">
        <v>44612</v>
      </c>
      <c r="X926" s="238" t="s">
        <v>1059</v>
      </c>
      <c r="Y926" s="238" t="s">
        <v>39</v>
      </c>
      <c r="Z926" s="238" t="s">
        <v>1340</v>
      </c>
      <c r="AA926" t="s">
        <v>1167</v>
      </c>
      <c r="AB926" s="238" t="s">
        <v>3246</v>
      </c>
      <c r="AC926" t="s">
        <v>3079</v>
      </c>
      <c r="AD926" s="24"/>
      <c r="AE926" s="238" t="s">
        <v>2860</v>
      </c>
      <c r="AF926">
        <v>79277004602</v>
      </c>
      <c r="AG926" s="238" t="s">
        <v>2861</v>
      </c>
      <c r="AH926" s="238" t="s">
        <v>146</v>
      </c>
      <c r="AI926" s="238" t="s">
        <v>135</v>
      </c>
      <c r="AJ926" s="238" t="s">
        <v>120</v>
      </c>
      <c r="AK926" s="238" t="s">
        <v>794</v>
      </c>
      <c r="AL926" t="s">
        <v>8715</v>
      </c>
      <c r="AM926" t="s">
        <v>1167</v>
      </c>
    </row>
    <row r="927" spans="1:39" hidden="1" x14ac:dyDescent="0.25">
      <c r="A927">
        <v>923</v>
      </c>
      <c r="B927">
        <v>46</v>
      </c>
      <c r="C927" s="24">
        <v>44614</v>
      </c>
      <c r="D927" s="238" t="s">
        <v>27</v>
      </c>
      <c r="E927" s="238" t="s">
        <v>15</v>
      </c>
      <c r="F927">
        <v>3</v>
      </c>
      <c r="G927">
        <v>6</v>
      </c>
      <c r="H927">
        <v>546</v>
      </c>
      <c r="I927" s="238" t="s">
        <v>4052</v>
      </c>
      <c r="J927">
        <v>23.54</v>
      </c>
      <c r="K927" s="238" t="s">
        <v>36</v>
      </c>
      <c r="L927">
        <v>1934144.72</v>
      </c>
      <c r="M927">
        <v>15000</v>
      </c>
      <c r="N927">
        <v>1949144.72</v>
      </c>
      <c r="O927">
        <v>82801.389974511476</v>
      </c>
      <c r="P927">
        <v>0</v>
      </c>
      <c r="Q927">
        <v>1949144.72</v>
      </c>
      <c r="R927">
        <v>82801.389974511476</v>
      </c>
      <c r="S927" s="238" t="s">
        <v>121</v>
      </c>
      <c r="T927" s="238" t="s">
        <v>1167</v>
      </c>
      <c r="V927" t="s">
        <v>1167</v>
      </c>
      <c r="W927" s="24">
        <v>44612</v>
      </c>
      <c r="X927" s="238" t="s">
        <v>1060</v>
      </c>
      <c r="Y927" s="238" t="s">
        <v>39</v>
      </c>
      <c r="Z927" s="238" t="s">
        <v>1168</v>
      </c>
      <c r="AA927" t="s">
        <v>1167</v>
      </c>
      <c r="AB927" s="238" t="s">
        <v>3246</v>
      </c>
      <c r="AC927" t="s">
        <v>4246</v>
      </c>
      <c r="AD927" s="24"/>
      <c r="AE927" s="238" t="s">
        <v>2862</v>
      </c>
      <c r="AF927">
        <v>79277193280</v>
      </c>
      <c r="AG927" s="238" t="s">
        <v>2761</v>
      </c>
      <c r="AH927" s="238" t="s">
        <v>1212</v>
      </c>
      <c r="AI927" s="238" t="s">
        <v>6406</v>
      </c>
      <c r="AJ927" s="238" t="s">
        <v>130</v>
      </c>
      <c r="AK927" s="238" t="s">
        <v>1167</v>
      </c>
      <c r="AL927" t="s">
        <v>57</v>
      </c>
      <c r="AM927" t="s">
        <v>1167</v>
      </c>
    </row>
    <row r="928" spans="1:39" hidden="1" x14ac:dyDescent="0.25">
      <c r="A928">
        <v>924</v>
      </c>
      <c r="B928">
        <v>47</v>
      </c>
      <c r="C928" s="24">
        <v>44616</v>
      </c>
      <c r="D928" s="238" t="s">
        <v>27</v>
      </c>
      <c r="E928" s="238" t="s">
        <v>15</v>
      </c>
      <c r="F928">
        <v>2</v>
      </c>
      <c r="G928">
        <v>14</v>
      </c>
      <c r="H928">
        <v>609</v>
      </c>
      <c r="I928" s="238" t="s">
        <v>42</v>
      </c>
      <c r="J928">
        <v>37.159999999999997</v>
      </c>
      <c r="K928" s="238" t="s">
        <v>36</v>
      </c>
      <c r="L928">
        <v>2580242.44</v>
      </c>
      <c r="M928">
        <v>0</v>
      </c>
      <c r="N928">
        <v>2580242.44</v>
      </c>
      <c r="O928">
        <v>69436.018299246512</v>
      </c>
      <c r="P928">
        <v>0</v>
      </c>
      <c r="Q928">
        <v>2580242.44</v>
      </c>
      <c r="R928">
        <v>69436.018299246512</v>
      </c>
      <c r="S928" s="238" t="s">
        <v>137</v>
      </c>
      <c r="T928" s="238" t="s">
        <v>3540</v>
      </c>
      <c r="U928">
        <v>52658.01</v>
      </c>
      <c r="V928" t="s">
        <v>1167</v>
      </c>
      <c r="W928" s="24">
        <v>44607</v>
      </c>
      <c r="X928" s="238" t="s">
        <v>1062</v>
      </c>
      <c r="Y928" s="238" t="s">
        <v>39</v>
      </c>
      <c r="Z928" s="238" t="s">
        <v>1340</v>
      </c>
      <c r="AA928" t="s">
        <v>1167</v>
      </c>
      <c r="AB928" s="238" t="s">
        <v>3246</v>
      </c>
      <c r="AC928" t="s">
        <v>3079</v>
      </c>
      <c r="AD928" s="24"/>
      <c r="AE928" s="238" t="s">
        <v>2863</v>
      </c>
      <c r="AF928">
        <v>79276871271</v>
      </c>
      <c r="AG928" s="238" t="s">
        <v>2864</v>
      </c>
      <c r="AH928" s="238" t="s">
        <v>146</v>
      </c>
      <c r="AI928" s="238" t="s">
        <v>135</v>
      </c>
      <c r="AJ928" s="238" t="s">
        <v>399</v>
      </c>
      <c r="AK928" s="238" t="s">
        <v>141</v>
      </c>
      <c r="AL928" t="s">
        <v>8715</v>
      </c>
      <c r="AM928" t="s">
        <v>1167</v>
      </c>
    </row>
    <row r="929" spans="1:39" hidden="1" x14ac:dyDescent="0.25">
      <c r="A929">
        <v>925</v>
      </c>
      <c r="B929">
        <v>48</v>
      </c>
      <c r="C929" s="24">
        <v>44616</v>
      </c>
      <c r="D929" s="238" t="s">
        <v>27</v>
      </c>
      <c r="E929" s="238" t="s">
        <v>15</v>
      </c>
      <c r="F929">
        <v>6</v>
      </c>
      <c r="G929">
        <v>16</v>
      </c>
      <c r="H929">
        <v>629</v>
      </c>
      <c r="I929" s="238" t="s">
        <v>42</v>
      </c>
      <c r="J929">
        <v>37.11</v>
      </c>
      <c r="K929" s="238" t="s">
        <v>37</v>
      </c>
      <c r="L929">
        <v>2780875.64</v>
      </c>
      <c r="M929">
        <v>0</v>
      </c>
      <c r="N929">
        <v>2780875.64</v>
      </c>
      <c r="O929">
        <v>74936.018323901924</v>
      </c>
      <c r="P929">
        <v>204105</v>
      </c>
      <c r="Q929">
        <v>2576770.64</v>
      </c>
      <c r="R929">
        <v>69436.018323901924</v>
      </c>
      <c r="S929" s="238" t="s">
        <v>137</v>
      </c>
      <c r="T929" s="238" t="s">
        <v>3540</v>
      </c>
      <c r="U929">
        <v>52587.16</v>
      </c>
      <c r="V929" t="s">
        <v>1167</v>
      </c>
      <c r="W929" s="24">
        <v>44609</v>
      </c>
      <c r="X929" s="238" t="s">
        <v>1061</v>
      </c>
      <c r="Y929" s="238" t="s">
        <v>39</v>
      </c>
      <c r="Z929" s="238" t="s">
        <v>1340</v>
      </c>
      <c r="AA929" t="s">
        <v>1167</v>
      </c>
      <c r="AB929" s="238" t="s">
        <v>3246</v>
      </c>
      <c r="AC929" t="s">
        <v>3079</v>
      </c>
      <c r="AD929" s="24"/>
      <c r="AE929" s="238" t="s">
        <v>2865</v>
      </c>
      <c r="AF929">
        <v>79370653688</v>
      </c>
      <c r="AG929" s="238" t="s">
        <v>2866</v>
      </c>
      <c r="AH929" s="238" t="s">
        <v>135</v>
      </c>
      <c r="AI929" s="238" t="s">
        <v>3099</v>
      </c>
      <c r="AJ929" s="238" t="s">
        <v>126</v>
      </c>
      <c r="AK929" s="238" t="s">
        <v>794</v>
      </c>
      <c r="AL929" t="s">
        <v>8715</v>
      </c>
      <c r="AM929" t="s">
        <v>1167</v>
      </c>
    </row>
    <row r="930" spans="1:39" hidden="1" x14ac:dyDescent="0.25">
      <c r="A930">
        <v>926</v>
      </c>
      <c r="B930">
        <v>49</v>
      </c>
      <c r="C930" s="24">
        <v>44616</v>
      </c>
      <c r="D930" s="238" t="s">
        <v>19</v>
      </c>
      <c r="E930" s="238" t="s">
        <v>5</v>
      </c>
      <c r="F930">
        <v>1</v>
      </c>
      <c r="G930">
        <v>10</v>
      </c>
      <c r="H930">
        <v>250</v>
      </c>
      <c r="I930" s="238" t="s">
        <v>42</v>
      </c>
      <c r="J930">
        <v>38.83</v>
      </c>
      <c r="K930" s="238" t="s">
        <v>37</v>
      </c>
      <c r="L930">
        <v>3677384.28</v>
      </c>
      <c r="M930">
        <v>0</v>
      </c>
      <c r="N930">
        <v>3677384.28</v>
      </c>
      <c r="O930">
        <v>94704.720061807879</v>
      </c>
      <c r="P930">
        <v>213565</v>
      </c>
      <c r="Q930">
        <v>3463819.28</v>
      </c>
      <c r="R930">
        <v>89204.720061807879</v>
      </c>
      <c r="S930" s="238" t="s">
        <v>137</v>
      </c>
      <c r="T930" s="238" t="s">
        <v>1167</v>
      </c>
      <c r="V930" t="s">
        <v>1167</v>
      </c>
      <c r="W930" s="24">
        <v>44611</v>
      </c>
      <c r="X930" s="238" t="s">
        <v>1064</v>
      </c>
      <c r="Y930" s="238" t="s">
        <v>39</v>
      </c>
      <c r="Z930" s="238" t="s">
        <v>1340</v>
      </c>
      <c r="AA930" t="s">
        <v>1167</v>
      </c>
      <c r="AB930" s="238" t="s">
        <v>3246</v>
      </c>
      <c r="AC930" t="s">
        <v>3079</v>
      </c>
      <c r="AD930" s="24"/>
      <c r="AE930" s="238" t="s">
        <v>2867</v>
      </c>
      <c r="AF930">
        <v>79879818213</v>
      </c>
      <c r="AG930" s="238" t="s">
        <v>2868</v>
      </c>
      <c r="AH930" s="238" t="s">
        <v>1212</v>
      </c>
      <c r="AI930" s="238" t="s">
        <v>3095</v>
      </c>
      <c r="AJ930" s="238" t="s">
        <v>130</v>
      </c>
      <c r="AK930" s="238" t="s">
        <v>141</v>
      </c>
      <c r="AL930" t="s">
        <v>8715</v>
      </c>
      <c r="AM930" t="s">
        <v>1167</v>
      </c>
    </row>
    <row r="931" spans="1:39" hidden="1" x14ac:dyDescent="0.25">
      <c r="A931">
        <v>927</v>
      </c>
      <c r="B931">
        <v>50</v>
      </c>
      <c r="C931" s="24">
        <v>44616</v>
      </c>
      <c r="D931" s="238" t="s">
        <v>19</v>
      </c>
      <c r="E931" s="238" t="s">
        <v>5</v>
      </c>
      <c r="F931">
        <v>11</v>
      </c>
      <c r="G931">
        <v>15</v>
      </c>
      <c r="H931">
        <v>315</v>
      </c>
      <c r="I931" s="238" t="s">
        <v>4052</v>
      </c>
      <c r="J931">
        <v>25.85</v>
      </c>
      <c r="K931" s="238" t="s">
        <v>38</v>
      </c>
      <c r="L931">
        <v>2859592.4</v>
      </c>
      <c r="M931">
        <v>0</v>
      </c>
      <c r="N931">
        <v>2859592.4</v>
      </c>
      <c r="O931">
        <v>110622.52998065764</v>
      </c>
      <c r="P931">
        <v>413600</v>
      </c>
      <c r="Q931">
        <v>2445992.4</v>
      </c>
      <c r="R931">
        <v>94622.529980657637</v>
      </c>
      <c r="S931" s="238" t="s">
        <v>137</v>
      </c>
      <c r="T931" s="238" t="s">
        <v>1167</v>
      </c>
      <c r="V931" t="s">
        <v>1167</v>
      </c>
      <c r="W931" s="24">
        <v>44614</v>
      </c>
      <c r="X931" s="238" t="s">
        <v>1063</v>
      </c>
      <c r="Y931" s="238" t="s">
        <v>39</v>
      </c>
      <c r="Z931" s="238" t="s">
        <v>1168</v>
      </c>
      <c r="AA931" t="s">
        <v>1167</v>
      </c>
      <c r="AB931" s="238" t="s">
        <v>3246</v>
      </c>
      <c r="AC931" t="s">
        <v>3104</v>
      </c>
      <c r="AD931" s="24"/>
      <c r="AE931" s="238" t="s">
        <v>2869</v>
      </c>
      <c r="AF931">
        <v>79990365233</v>
      </c>
      <c r="AG931" s="238" t="s">
        <v>2870</v>
      </c>
      <c r="AH931" s="238" t="s">
        <v>1212</v>
      </c>
      <c r="AI931" s="238" t="s">
        <v>135</v>
      </c>
      <c r="AJ931" s="238" t="s">
        <v>130</v>
      </c>
      <c r="AK931" s="238" t="s">
        <v>794</v>
      </c>
      <c r="AL931" t="s">
        <v>8715</v>
      </c>
      <c r="AM931" t="s">
        <v>1167</v>
      </c>
    </row>
    <row r="932" spans="1:39" hidden="1" x14ac:dyDescent="0.25">
      <c r="A932">
        <v>928</v>
      </c>
      <c r="B932">
        <v>51</v>
      </c>
      <c r="C932" s="24">
        <v>44617</v>
      </c>
      <c r="D932" s="238" t="s">
        <v>27</v>
      </c>
      <c r="E932" s="238" t="s">
        <v>14</v>
      </c>
      <c r="F932">
        <v>3</v>
      </c>
      <c r="G932">
        <v>8</v>
      </c>
      <c r="H932">
        <v>688</v>
      </c>
      <c r="I932" s="238" t="s">
        <v>43</v>
      </c>
      <c r="J932">
        <v>56.33</v>
      </c>
      <c r="K932" s="238" t="s">
        <v>36</v>
      </c>
      <c r="L932">
        <v>4051397.4</v>
      </c>
      <c r="M932">
        <v>0</v>
      </c>
      <c r="N932">
        <v>4051397.4</v>
      </c>
      <c r="O932">
        <v>71922.552813775968</v>
      </c>
      <c r="P932">
        <v>0</v>
      </c>
      <c r="Q932">
        <v>4051397.4</v>
      </c>
      <c r="R932">
        <v>71922.552813775968</v>
      </c>
      <c r="S932" s="238" t="s">
        <v>137</v>
      </c>
      <c r="T932" s="238" t="s">
        <v>3540</v>
      </c>
      <c r="U932">
        <v>82681.58</v>
      </c>
      <c r="V932" t="s">
        <v>1167</v>
      </c>
      <c r="W932" s="24">
        <v>44607</v>
      </c>
      <c r="X932" s="238" t="s">
        <v>1067</v>
      </c>
      <c r="Y932" s="238" t="s">
        <v>39</v>
      </c>
      <c r="Z932" s="238" t="s">
        <v>1340</v>
      </c>
      <c r="AA932" t="s">
        <v>1167</v>
      </c>
      <c r="AB932" s="238" t="s">
        <v>3246</v>
      </c>
      <c r="AC932" t="s">
        <v>3079</v>
      </c>
      <c r="AD932" s="24"/>
      <c r="AE932" s="238" t="s">
        <v>2871</v>
      </c>
      <c r="AF932">
        <v>79171454697</v>
      </c>
      <c r="AG932" s="238" t="s">
        <v>2872</v>
      </c>
      <c r="AH932" s="238" t="s">
        <v>135</v>
      </c>
      <c r="AI932" s="238" t="s">
        <v>3099</v>
      </c>
      <c r="AJ932" s="238" t="s">
        <v>399</v>
      </c>
      <c r="AK932" s="238" t="s">
        <v>794</v>
      </c>
      <c r="AL932" t="s">
        <v>8715</v>
      </c>
      <c r="AM932" t="s">
        <v>1167</v>
      </c>
    </row>
    <row r="933" spans="1:39" hidden="1" x14ac:dyDescent="0.25">
      <c r="A933">
        <v>929</v>
      </c>
      <c r="B933">
        <v>52</v>
      </c>
      <c r="C933" s="24">
        <v>44617</v>
      </c>
      <c r="D933" s="238" t="s">
        <v>27</v>
      </c>
      <c r="E933" s="238" t="s">
        <v>6</v>
      </c>
      <c r="F933">
        <v>6</v>
      </c>
      <c r="G933">
        <v>6</v>
      </c>
      <c r="H933">
        <v>42</v>
      </c>
      <c r="I933" s="238" t="s">
        <v>43</v>
      </c>
      <c r="J933">
        <v>54.67</v>
      </c>
      <c r="K933" s="238" t="s">
        <v>36</v>
      </c>
      <c r="L933">
        <v>3984168.1</v>
      </c>
      <c r="M933">
        <v>0</v>
      </c>
      <c r="N933">
        <v>3984168.1</v>
      </c>
      <c r="O933">
        <v>72876.680080482896</v>
      </c>
      <c r="P933">
        <v>0</v>
      </c>
      <c r="Q933">
        <v>3984168.1</v>
      </c>
      <c r="R933">
        <v>72876.680080482896</v>
      </c>
      <c r="S933" s="238" t="s">
        <v>137</v>
      </c>
      <c r="T933" s="238" t="s">
        <v>1167</v>
      </c>
      <c r="V933" t="s">
        <v>1167</v>
      </c>
      <c r="W933" s="24">
        <v>44610</v>
      </c>
      <c r="X933" s="238" t="s">
        <v>1068</v>
      </c>
      <c r="Y933" s="238" t="s">
        <v>39</v>
      </c>
      <c r="Z933" s="238" t="s">
        <v>1340</v>
      </c>
      <c r="AA933" t="s">
        <v>1167</v>
      </c>
      <c r="AB933" s="238" t="s">
        <v>3246</v>
      </c>
      <c r="AC933" t="s">
        <v>3079</v>
      </c>
      <c r="AD933" s="24"/>
      <c r="AE933" s="238" t="s">
        <v>2873</v>
      </c>
      <c r="AF933">
        <v>79379815455</v>
      </c>
      <c r="AG933" s="238" t="s">
        <v>2874</v>
      </c>
      <c r="AH933" s="238" t="s">
        <v>4072</v>
      </c>
      <c r="AI933" s="238" t="s">
        <v>6406</v>
      </c>
      <c r="AJ933" s="238" t="s">
        <v>126</v>
      </c>
      <c r="AK933" s="238" t="s">
        <v>794</v>
      </c>
      <c r="AL933" t="s">
        <v>57</v>
      </c>
      <c r="AM933" t="s">
        <v>1167</v>
      </c>
    </row>
    <row r="934" spans="1:39" hidden="1" x14ac:dyDescent="0.25">
      <c r="A934">
        <v>930</v>
      </c>
      <c r="B934">
        <v>53</v>
      </c>
      <c r="C934" s="24">
        <v>44617</v>
      </c>
      <c r="D934" s="238" t="s">
        <v>27</v>
      </c>
      <c r="E934" s="238" t="s">
        <v>6</v>
      </c>
      <c r="F934">
        <v>9</v>
      </c>
      <c r="G934">
        <v>9</v>
      </c>
      <c r="H934">
        <v>72</v>
      </c>
      <c r="I934" s="238" t="s">
        <v>42</v>
      </c>
      <c r="J934">
        <v>37.94</v>
      </c>
      <c r="K934" s="238" t="s">
        <v>37</v>
      </c>
      <c r="L934">
        <v>2843072.54</v>
      </c>
      <c r="M934">
        <v>0</v>
      </c>
      <c r="N934">
        <v>2843072.54</v>
      </c>
      <c r="O934">
        <v>74936.018450184507</v>
      </c>
      <c r="P934">
        <v>208670</v>
      </c>
      <c r="Q934">
        <v>2634402.54</v>
      </c>
      <c r="R934">
        <v>69436.018450184507</v>
      </c>
      <c r="S934" s="238" t="s">
        <v>121</v>
      </c>
      <c r="T934" s="238" t="s">
        <v>3540</v>
      </c>
      <c r="U934">
        <v>53763.32</v>
      </c>
      <c r="V934" t="s">
        <v>1167</v>
      </c>
      <c r="W934" s="24">
        <v>44615</v>
      </c>
      <c r="X934" s="238" t="s">
        <v>1066</v>
      </c>
      <c r="Y934" s="238" t="s">
        <v>39</v>
      </c>
      <c r="Z934" s="238" t="s">
        <v>1168</v>
      </c>
      <c r="AA934" t="s">
        <v>1167</v>
      </c>
      <c r="AB934" s="238" t="s">
        <v>3246</v>
      </c>
      <c r="AC934" t="s">
        <v>4246</v>
      </c>
      <c r="AD934" s="24"/>
      <c r="AE934" s="238" t="s">
        <v>2875</v>
      </c>
      <c r="AF934">
        <v>79371787581</v>
      </c>
      <c r="AG934" s="238" t="s">
        <v>2876</v>
      </c>
      <c r="AH934" s="238" t="s">
        <v>1212</v>
      </c>
      <c r="AI934" s="238" t="s">
        <v>135</v>
      </c>
      <c r="AJ934" s="238" t="s">
        <v>130</v>
      </c>
      <c r="AK934" s="238" t="s">
        <v>1167</v>
      </c>
      <c r="AL934" t="s">
        <v>8715</v>
      </c>
      <c r="AM934" t="s">
        <v>1167</v>
      </c>
    </row>
    <row r="935" spans="1:39" hidden="1" x14ac:dyDescent="0.25">
      <c r="A935">
        <v>931</v>
      </c>
      <c r="B935">
        <v>54</v>
      </c>
      <c r="C935" s="24">
        <v>44617</v>
      </c>
      <c r="D935" s="238" t="s">
        <v>27</v>
      </c>
      <c r="E935" s="238" t="s">
        <v>6</v>
      </c>
      <c r="F935">
        <v>9</v>
      </c>
      <c r="G935">
        <v>13</v>
      </c>
      <c r="H935">
        <v>108</v>
      </c>
      <c r="I935" s="238" t="s">
        <v>42</v>
      </c>
      <c r="J935">
        <v>37.94</v>
      </c>
      <c r="K935" s="238" t="s">
        <v>36</v>
      </c>
      <c r="L935">
        <v>2634402.54</v>
      </c>
      <c r="M935">
        <v>0</v>
      </c>
      <c r="N935">
        <v>2634402.54</v>
      </c>
      <c r="O935">
        <v>69436.018450184507</v>
      </c>
      <c r="P935">
        <v>0</v>
      </c>
      <c r="Q935">
        <v>2634402.54</v>
      </c>
      <c r="R935">
        <v>69436.018450184507</v>
      </c>
      <c r="S935" s="238" t="s">
        <v>137</v>
      </c>
      <c r="T935" s="238" t="s">
        <v>3540</v>
      </c>
      <c r="U935">
        <v>53763.32</v>
      </c>
      <c r="V935" t="s">
        <v>1167</v>
      </c>
      <c r="W935" s="24">
        <v>44608</v>
      </c>
      <c r="X935" s="238" t="s">
        <v>1065</v>
      </c>
      <c r="Y935" s="238" t="s">
        <v>39</v>
      </c>
      <c r="Z935" s="238" t="s">
        <v>1340</v>
      </c>
      <c r="AA935" t="s">
        <v>3474</v>
      </c>
      <c r="AB935" s="238" t="s">
        <v>3246</v>
      </c>
      <c r="AC935" t="s">
        <v>3077</v>
      </c>
      <c r="AD935" s="24"/>
      <c r="AE935" s="238" t="s">
        <v>2583</v>
      </c>
      <c r="AF935">
        <v>79397018686</v>
      </c>
      <c r="AG935" s="238" t="s">
        <v>2584</v>
      </c>
      <c r="AH935" s="238" t="s">
        <v>135</v>
      </c>
      <c r="AI935" s="238" t="s">
        <v>3082</v>
      </c>
      <c r="AJ935" s="238" t="s">
        <v>130</v>
      </c>
      <c r="AK935" s="238" t="s">
        <v>794</v>
      </c>
      <c r="AL935" t="s">
        <v>8715</v>
      </c>
      <c r="AM935" t="s">
        <v>1167</v>
      </c>
    </row>
    <row r="936" spans="1:39" hidden="1" x14ac:dyDescent="0.25">
      <c r="A936">
        <v>932</v>
      </c>
      <c r="B936">
        <v>55</v>
      </c>
      <c r="C936" s="24">
        <v>44620</v>
      </c>
      <c r="D936" s="238" t="s">
        <v>27</v>
      </c>
      <c r="E936" s="238" t="s">
        <v>5</v>
      </c>
      <c r="F936">
        <v>8</v>
      </c>
      <c r="G936">
        <v>10</v>
      </c>
      <c r="H936">
        <v>279</v>
      </c>
      <c r="I936" s="238" t="s">
        <v>43</v>
      </c>
      <c r="J936">
        <v>55.8</v>
      </c>
      <c r="K936" s="238" t="s">
        <v>36</v>
      </c>
      <c r="L936">
        <v>3900173.36</v>
      </c>
      <c r="M936">
        <v>0</v>
      </c>
      <c r="N936">
        <v>3900173.36</v>
      </c>
      <c r="O936">
        <v>69895.579928315419</v>
      </c>
      <c r="P936">
        <v>0</v>
      </c>
      <c r="Q936">
        <v>3900173.36</v>
      </c>
      <c r="R936">
        <v>69895.579928315419</v>
      </c>
      <c r="S936" s="238" t="s">
        <v>137</v>
      </c>
      <c r="T936" s="238" t="s">
        <v>1167</v>
      </c>
      <c r="V936" t="s">
        <v>1167</v>
      </c>
      <c r="W936" s="24">
        <v>44606</v>
      </c>
      <c r="X936" s="238" t="s">
        <v>1071</v>
      </c>
      <c r="Y936" s="238" t="s">
        <v>39</v>
      </c>
      <c r="Z936" s="238" t="s">
        <v>1340</v>
      </c>
      <c r="AA936" t="s">
        <v>1167</v>
      </c>
      <c r="AB936" s="238" t="s">
        <v>3246</v>
      </c>
      <c r="AC936" t="s">
        <v>3079</v>
      </c>
      <c r="AD936" s="24"/>
      <c r="AE936" s="238" t="s">
        <v>2877</v>
      </c>
      <c r="AF936">
        <v>79179410839</v>
      </c>
      <c r="AG936" s="238" t="s">
        <v>2878</v>
      </c>
      <c r="AH936" s="238" t="s">
        <v>1171</v>
      </c>
      <c r="AI936" s="238" t="s">
        <v>3096</v>
      </c>
      <c r="AJ936" s="238" t="s">
        <v>126</v>
      </c>
      <c r="AK936" s="238" t="s">
        <v>141</v>
      </c>
      <c r="AL936" t="s">
        <v>8715</v>
      </c>
      <c r="AM936" t="s">
        <v>1167</v>
      </c>
    </row>
    <row r="937" spans="1:39" hidden="1" x14ac:dyDescent="0.25">
      <c r="A937">
        <v>933</v>
      </c>
      <c r="B937">
        <v>56</v>
      </c>
      <c r="C937" s="24">
        <v>44620</v>
      </c>
      <c r="D937" s="238" t="s">
        <v>27</v>
      </c>
      <c r="E937" s="238" t="s">
        <v>13</v>
      </c>
      <c r="F937">
        <v>6</v>
      </c>
      <c r="G937">
        <v>6</v>
      </c>
      <c r="H937">
        <v>872</v>
      </c>
      <c r="I937" s="238" t="s">
        <v>43</v>
      </c>
      <c r="J937">
        <v>54.28</v>
      </c>
      <c r="K937" s="238" t="s">
        <v>36</v>
      </c>
      <c r="L937">
        <v>3537994.8</v>
      </c>
      <c r="M937">
        <v>0</v>
      </c>
      <c r="N937">
        <v>3537994.8</v>
      </c>
      <c r="O937">
        <v>65180.449521002207</v>
      </c>
      <c r="P937">
        <v>0</v>
      </c>
      <c r="Q937">
        <v>3537994.8</v>
      </c>
      <c r="R937">
        <v>65180.449521002207</v>
      </c>
      <c r="S937" s="238" t="s">
        <v>137</v>
      </c>
      <c r="T937" s="238" t="s">
        <v>3540</v>
      </c>
      <c r="U937">
        <v>72203.98</v>
      </c>
      <c r="V937" t="s">
        <v>1167</v>
      </c>
      <c r="W937" s="24">
        <v>44607</v>
      </c>
      <c r="X937" s="238" t="s">
        <v>1075</v>
      </c>
      <c r="Y937" s="238" t="s">
        <v>39</v>
      </c>
      <c r="Z937" s="238" t="s">
        <v>1340</v>
      </c>
      <c r="AA937" t="s">
        <v>1167</v>
      </c>
      <c r="AB937" s="238" t="s">
        <v>3246</v>
      </c>
      <c r="AC937" t="s">
        <v>3079</v>
      </c>
      <c r="AD937" s="24"/>
      <c r="AE937" s="238" t="s">
        <v>1602</v>
      </c>
      <c r="AF937">
        <v>79068140909</v>
      </c>
      <c r="AG937" s="238" t="s">
        <v>1603</v>
      </c>
      <c r="AH937" s="238" t="s">
        <v>1197</v>
      </c>
      <c r="AI937" s="238" t="s">
        <v>3082</v>
      </c>
      <c r="AJ937" s="238" t="s">
        <v>120</v>
      </c>
      <c r="AK937" s="238" t="s">
        <v>141</v>
      </c>
      <c r="AL937" t="s">
        <v>8715</v>
      </c>
      <c r="AM937" t="s">
        <v>1167</v>
      </c>
    </row>
    <row r="938" spans="1:39" hidden="1" x14ac:dyDescent="0.25">
      <c r="A938">
        <v>934</v>
      </c>
      <c r="B938">
        <v>57</v>
      </c>
      <c r="C938" s="24">
        <v>44620</v>
      </c>
      <c r="D938" s="238" t="s">
        <v>27</v>
      </c>
      <c r="E938" s="238" t="s">
        <v>14</v>
      </c>
      <c r="F938">
        <v>6</v>
      </c>
      <c r="G938">
        <v>18</v>
      </c>
      <c r="H938">
        <v>780</v>
      </c>
      <c r="I938" s="238" t="s">
        <v>42</v>
      </c>
      <c r="J938">
        <v>38.909999999999997</v>
      </c>
      <c r="K938" s="238" t="s">
        <v>36</v>
      </c>
      <c r="L938">
        <v>3007171.37</v>
      </c>
      <c r="M938">
        <v>0</v>
      </c>
      <c r="N938">
        <v>3007171.37</v>
      </c>
      <c r="O938">
        <v>77285.308918015944</v>
      </c>
      <c r="P938">
        <v>0</v>
      </c>
      <c r="Q938">
        <v>3007171.37</v>
      </c>
      <c r="R938">
        <v>77285.308918015944</v>
      </c>
      <c r="S938" s="238" t="s">
        <v>137</v>
      </c>
      <c r="T938" s="238" t="s">
        <v>3540</v>
      </c>
      <c r="U938">
        <v>61370.84</v>
      </c>
      <c r="V938" t="s">
        <v>1167</v>
      </c>
      <c r="W938" s="24">
        <v>44617</v>
      </c>
      <c r="X938" s="238" t="s">
        <v>1070</v>
      </c>
      <c r="Y938" s="238" t="s">
        <v>39</v>
      </c>
      <c r="Z938" s="238" t="s">
        <v>1340</v>
      </c>
      <c r="AA938" t="s">
        <v>1167</v>
      </c>
      <c r="AB938" s="238" t="s">
        <v>3246</v>
      </c>
      <c r="AC938" t="s">
        <v>3079</v>
      </c>
      <c r="AD938" s="24"/>
      <c r="AE938" s="238" t="s">
        <v>2879</v>
      </c>
      <c r="AF938">
        <v>79171609100</v>
      </c>
      <c r="AG938" s="238" t="s">
        <v>2880</v>
      </c>
      <c r="AH938" s="238" t="s">
        <v>1212</v>
      </c>
      <c r="AI938" s="238" t="s">
        <v>135</v>
      </c>
      <c r="AJ938" s="238" t="s">
        <v>120</v>
      </c>
      <c r="AK938" s="238" t="s">
        <v>794</v>
      </c>
      <c r="AL938" t="s">
        <v>8715</v>
      </c>
      <c r="AM938" t="s">
        <v>1167</v>
      </c>
    </row>
    <row r="939" spans="1:39" hidden="1" x14ac:dyDescent="0.25">
      <c r="A939">
        <v>935</v>
      </c>
      <c r="B939">
        <v>58</v>
      </c>
      <c r="C939" s="24">
        <v>44620</v>
      </c>
      <c r="D939" s="238" t="s">
        <v>27</v>
      </c>
      <c r="E939" s="238" t="s">
        <v>13</v>
      </c>
      <c r="F939">
        <v>3</v>
      </c>
      <c r="G939">
        <v>4</v>
      </c>
      <c r="H939">
        <v>851</v>
      </c>
      <c r="I939" s="238" t="s">
        <v>42</v>
      </c>
      <c r="J939">
        <v>37.31</v>
      </c>
      <c r="K939" s="238" t="s">
        <v>38</v>
      </c>
      <c r="L939">
        <v>3352837.53</v>
      </c>
      <c r="M939">
        <v>15000</v>
      </c>
      <c r="N939">
        <v>3367837.53</v>
      </c>
      <c r="O939">
        <v>90266.350308228342</v>
      </c>
      <c r="P939">
        <v>596960</v>
      </c>
      <c r="Q939">
        <v>2770877.53</v>
      </c>
      <c r="R939">
        <v>74266.350308228342</v>
      </c>
      <c r="S939" s="238" t="s">
        <v>124</v>
      </c>
      <c r="T939" s="238" t="s">
        <v>3540</v>
      </c>
      <c r="U939">
        <v>56548.52</v>
      </c>
      <c r="V939" t="s">
        <v>1167</v>
      </c>
      <c r="W939" s="24">
        <v>44601</v>
      </c>
      <c r="X939" s="238" t="s">
        <v>1069</v>
      </c>
      <c r="Y939" s="238" t="s">
        <v>39</v>
      </c>
      <c r="Z939" s="238" t="s">
        <v>1168</v>
      </c>
      <c r="AA939" t="s">
        <v>1167</v>
      </c>
      <c r="AB939" s="238" t="s">
        <v>3246</v>
      </c>
      <c r="AC939" t="s">
        <v>4246</v>
      </c>
      <c r="AD939" s="24"/>
      <c r="AE939" s="238" t="s">
        <v>2881</v>
      </c>
      <c r="AF939">
        <v>79951318303</v>
      </c>
      <c r="AG939" s="238" t="s">
        <v>2882</v>
      </c>
      <c r="AH939" s="238" t="s">
        <v>1212</v>
      </c>
      <c r="AI939" s="238" t="s">
        <v>3097</v>
      </c>
      <c r="AJ939" s="238" t="s">
        <v>689</v>
      </c>
      <c r="AK939" s="238" t="s">
        <v>1167</v>
      </c>
      <c r="AL939" t="s">
        <v>8715</v>
      </c>
      <c r="AM939" t="s">
        <v>1167</v>
      </c>
    </row>
    <row r="940" spans="1:39" hidden="1" x14ac:dyDescent="0.25">
      <c r="A940">
        <v>936</v>
      </c>
      <c r="B940">
        <v>59</v>
      </c>
      <c r="C940" s="24">
        <v>44620</v>
      </c>
      <c r="D940" s="238" t="s">
        <v>27</v>
      </c>
      <c r="E940" s="238" t="s">
        <v>14</v>
      </c>
      <c r="F940">
        <v>6</v>
      </c>
      <c r="G940">
        <v>16</v>
      </c>
      <c r="H940">
        <v>763</v>
      </c>
      <c r="I940" s="238" t="s">
        <v>43</v>
      </c>
      <c r="J940">
        <v>61.95</v>
      </c>
      <c r="K940" s="238" t="s">
        <v>36</v>
      </c>
      <c r="L940">
        <v>4199446.05</v>
      </c>
      <c r="M940">
        <v>0</v>
      </c>
      <c r="N940">
        <v>4199446.05</v>
      </c>
      <c r="O940">
        <v>67787.668280871658</v>
      </c>
      <c r="P940">
        <v>0</v>
      </c>
      <c r="Q940">
        <v>4199446.05</v>
      </c>
      <c r="R940">
        <v>67787.668280871658</v>
      </c>
      <c r="S940" s="238" t="s">
        <v>137</v>
      </c>
      <c r="T940" s="238" t="s">
        <v>3540</v>
      </c>
      <c r="U940">
        <v>85702.98</v>
      </c>
      <c r="V940" t="s">
        <v>1167</v>
      </c>
      <c r="W940" s="24">
        <v>44616</v>
      </c>
      <c r="X940" s="238" t="s">
        <v>1072</v>
      </c>
      <c r="Y940" s="238" t="s">
        <v>39</v>
      </c>
      <c r="Z940" s="238" t="s">
        <v>1340</v>
      </c>
      <c r="AA940" t="s">
        <v>1167</v>
      </c>
      <c r="AB940" s="238" t="s">
        <v>3246</v>
      </c>
      <c r="AC940" t="s">
        <v>3079</v>
      </c>
      <c r="AD940" s="24"/>
      <c r="AE940" s="238" t="s">
        <v>2883</v>
      </c>
      <c r="AF940">
        <v>79963425483</v>
      </c>
      <c r="AG940" s="238" t="s">
        <v>2884</v>
      </c>
      <c r="AH940" s="238" t="s">
        <v>1212</v>
      </c>
      <c r="AI940" s="238" t="s">
        <v>3084</v>
      </c>
      <c r="AJ940" s="238" t="s">
        <v>130</v>
      </c>
      <c r="AK940" s="238" t="s">
        <v>141</v>
      </c>
      <c r="AL940" t="s">
        <v>8715</v>
      </c>
      <c r="AM940" t="s">
        <v>1167</v>
      </c>
    </row>
    <row r="941" spans="1:39" hidden="1" x14ac:dyDescent="0.25">
      <c r="A941">
        <v>937</v>
      </c>
      <c r="B941">
        <v>60</v>
      </c>
      <c r="C941" s="24">
        <v>44620</v>
      </c>
      <c r="D941" s="238" t="s">
        <v>27</v>
      </c>
      <c r="E941" s="238" t="s">
        <v>6</v>
      </c>
      <c r="F941">
        <v>6</v>
      </c>
      <c r="G941">
        <v>3</v>
      </c>
      <c r="H941">
        <v>15</v>
      </c>
      <c r="I941" s="238" t="s">
        <v>43</v>
      </c>
      <c r="J941">
        <v>54.67</v>
      </c>
      <c r="K941" s="238" t="s">
        <v>36</v>
      </c>
      <c r="L941">
        <v>3904484.74</v>
      </c>
      <c r="M941">
        <v>0</v>
      </c>
      <c r="N941">
        <v>3904484.74</v>
      </c>
      <c r="O941">
        <v>71419.146515456378</v>
      </c>
      <c r="P941">
        <v>0</v>
      </c>
      <c r="Q941">
        <v>3904484.74</v>
      </c>
      <c r="R941">
        <v>71419.146515456378</v>
      </c>
      <c r="S941" s="238" t="s">
        <v>137</v>
      </c>
      <c r="T941" s="238" t="s">
        <v>3540</v>
      </c>
      <c r="U941">
        <v>79683.360000000001</v>
      </c>
      <c r="V941" t="s">
        <v>1167</v>
      </c>
      <c r="W941" s="24">
        <v>44616</v>
      </c>
      <c r="X941" s="238" t="s">
        <v>1074</v>
      </c>
      <c r="Y941" s="238" t="s">
        <v>39</v>
      </c>
      <c r="Z941" s="238" t="s">
        <v>1340</v>
      </c>
      <c r="AA941" t="s">
        <v>1167</v>
      </c>
      <c r="AB941" s="238" t="s">
        <v>3246</v>
      </c>
      <c r="AC941" t="s">
        <v>3079</v>
      </c>
      <c r="AD941" s="24"/>
      <c r="AE941" s="238" t="s">
        <v>2885</v>
      </c>
      <c r="AF941">
        <v>79272650552</v>
      </c>
      <c r="AG941" s="238" t="s">
        <v>2886</v>
      </c>
      <c r="AH941" s="238" t="s">
        <v>135</v>
      </c>
      <c r="AI941" s="238" t="s">
        <v>3075</v>
      </c>
      <c r="AJ941" s="238" t="s">
        <v>689</v>
      </c>
      <c r="AK941" s="238" t="s">
        <v>141</v>
      </c>
      <c r="AL941" t="s">
        <v>8715</v>
      </c>
      <c r="AM941" t="s">
        <v>1167</v>
      </c>
    </row>
    <row r="942" spans="1:39" hidden="1" x14ac:dyDescent="0.25">
      <c r="A942">
        <v>938</v>
      </c>
      <c r="B942">
        <v>61</v>
      </c>
      <c r="C942" s="24">
        <v>44620</v>
      </c>
      <c r="D942" s="238" t="s">
        <v>27</v>
      </c>
      <c r="E942" s="238" t="s">
        <v>6</v>
      </c>
      <c r="F942">
        <v>6</v>
      </c>
      <c r="G942">
        <v>8</v>
      </c>
      <c r="H942">
        <v>60</v>
      </c>
      <c r="I942" s="238" t="s">
        <v>43</v>
      </c>
      <c r="J942">
        <v>54.67</v>
      </c>
      <c r="K942" s="238" t="s">
        <v>37</v>
      </c>
      <c r="L942">
        <v>4205169.74</v>
      </c>
      <c r="M942">
        <v>0</v>
      </c>
      <c r="N942">
        <v>4205169.74</v>
      </c>
      <c r="O942">
        <v>76919.146515456378</v>
      </c>
      <c r="P942">
        <v>300685</v>
      </c>
      <c r="Q942">
        <v>3904484.74</v>
      </c>
      <c r="R942">
        <v>71419.146515456378</v>
      </c>
      <c r="S942" s="238" t="s">
        <v>137</v>
      </c>
      <c r="T942" s="238" t="s">
        <v>3540</v>
      </c>
      <c r="U942">
        <v>79683.360000000001</v>
      </c>
      <c r="V942" t="s">
        <v>1167</v>
      </c>
      <c r="W942" s="24">
        <v>44616</v>
      </c>
      <c r="X942" s="238" t="s">
        <v>1073</v>
      </c>
      <c r="Y942" s="238" t="s">
        <v>39</v>
      </c>
      <c r="Z942" s="238" t="s">
        <v>1340</v>
      </c>
      <c r="AA942" t="s">
        <v>1167</v>
      </c>
      <c r="AB942" s="238" t="s">
        <v>3246</v>
      </c>
      <c r="AC942" t="s">
        <v>3079</v>
      </c>
      <c r="AD942" s="24"/>
      <c r="AE942" s="238" t="s">
        <v>2887</v>
      </c>
      <c r="AF942">
        <v>79176076331</v>
      </c>
      <c r="AG942" s="238" t="s">
        <v>2888</v>
      </c>
      <c r="AH942" s="238" t="s">
        <v>135</v>
      </c>
      <c r="AI942" s="238" t="s">
        <v>3075</v>
      </c>
      <c r="AJ942" s="238" t="s">
        <v>130</v>
      </c>
      <c r="AK942" s="238" t="s">
        <v>141</v>
      </c>
      <c r="AL942" t="s">
        <v>8715</v>
      </c>
      <c r="AM942" t="s">
        <v>1167</v>
      </c>
    </row>
    <row r="943" spans="1:39" hidden="1" x14ac:dyDescent="0.25">
      <c r="A943">
        <v>939</v>
      </c>
      <c r="B943">
        <v>1</v>
      </c>
      <c r="C943" s="24">
        <v>44621</v>
      </c>
      <c r="D943" s="238" t="s">
        <v>27</v>
      </c>
      <c r="E943" s="238" t="s">
        <v>15</v>
      </c>
      <c r="F943">
        <v>4</v>
      </c>
      <c r="G943">
        <v>15</v>
      </c>
      <c r="H943">
        <v>619</v>
      </c>
      <c r="I943" s="238" t="s">
        <v>42</v>
      </c>
      <c r="J943">
        <v>40</v>
      </c>
      <c r="K943" s="238" t="s">
        <v>37</v>
      </c>
      <c r="L943">
        <v>3054123.2</v>
      </c>
      <c r="M943">
        <v>0</v>
      </c>
      <c r="N943">
        <v>3054123.2</v>
      </c>
      <c r="O943">
        <v>76353.08</v>
      </c>
      <c r="P943">
        <v>220000</v>
      </c>
      <c r="Q943">
        <v>2834123.2</v>
      </c>
      <c r="R943">
        <v>70853.08</v>
      </c>
      <c r="S943" s="238" t="s">
        <v>124</v>
      </c>
      <c r="T943" s="238" t="s">
        <v>1167</v>
      </c>
      <c r="V943" t="s">
        <v>1167</v>
      </c>
      <c r="W943" s="24">
        <v>44617</v>
      </c>
      <c r="X943" s="238" t="s">
        <v>1076</v>
      </c>
      <c r="Y943" s="238" t="s">
        <v>39</v>
      </c>
      <c r="Z943" s="238" t="s">
        <v>1168</v>
      </c>
      <c r="AA943" t="s">
        <v>1167</v>
      </c>
      <c r="AB943" s="238" t="s">
        <v>3246</v>
      </c>
      <c r="AC943" t="s">
        <v>4246</v>
      </c>
      <c r="AD943" s="24"/>
      <c r="AE943" s="238" t="s">
        <v>2889</v>
      </c>
      <c r="AF943">
        <v>79277239773</v>
      </c>
      <c r="AG943" s="238" t="s">
        <v>2890</v>
      </c>
      <c r="AH943" s="238" t="s">
        <v>1212</v>
      </c>
      <c r="AI943" s="238" t="s">
        <v>135</v>
      </c>
      <c r="AJ943" s="238" t="s">
        <v>399</v>
      </c>
      <c r="AK943" s="238" t="s">
        <v>1167</v>
      </c>
      <c r="AL943" t="s">
        <v>8715</v>
      </c>
      <c r="AM943" t="s">
        <v>1167</v>
      </c>
    </row>
    <row r="944" spans="1:39" hidden="1" x14ac:dyDescent="0.25">
      <c r="A944">
        <v>940</v>
      </c>
      <c r="B944">
        <v>2</v>
      </c>
      <c r="C944" s="24">
        <v>44621</v>
      </c>
      <c r="D944" s="238" t="s">
        <v>27</v>
      </c>
      <c r="E944" s="238" t="s">
        <v>15</v>
      </c>
      <c r="F944">
        <v>3</v>
      </c>
      <c r="G944">
        <v>16</v>
      </c>
      <c r="H944">
        <v>626</v>
      </c>
      <c r="I944" s="238" t="s">
        <v>4052</v>
      </c>
      <c r="J944">
        <v>23.54</v>
      </c>
      <c r="K944" s="238" t="s">
        <v>37</v>
      </c>
      <c r="L944">
        <v>2176071.9700000002</v>
      </c>
      <c r="M944">
        <v>0</v>
      </c>
      <c r="N944">
        <v>2176071.9700000002</v>
      </c>
      <c r="O944">
        <v>92441.460067969427</v>
      </c>
      <c r="P944">
        <v>129470</v>
      </c>
      <c r="Q944">
        <v>2046601.9700000002</v>
      </c>
      <c r="R944">
        <v>86941.460067969427</v>
      </c>
      <c r="S944" s="238" t="s">
        <v>137</v>
      </c>
      <c r="T944" s="238" t="s">
        <v>1167</v>
      </c>
      <c r="V944" t="s">
        <v>1167</v>
      </c>
      <c r="W944" s="24">
        <v>44620</v>
      </c>
      <c r="X944" s="238" t="s">
        <v>1077</v>
      </c>
      <c r="Y944" s="238" t="s">
        <v>39</v>
      </c>
      <c r="Z944" s="238" t="s">
        <v>1340</v>
      </c>
      <c r="AA944" t="s">
        <v>1167</v>
      </c>
      <c r="AB944" s="238" t="s">
        <v>3246</v>
      </c>
      <c r="AC944" t="s">
        <v>3079</v>
      </c>
      <c r="AD944" s="24"/>
      <c r="AE944" s="238" t="s">
        <v>2891</v>
      </c>
      <c r="AF944">
        <v>79277192967</v>
      </c>
      <c r="AG944" s="238" t="s">
        <v>2892</v>
      </c>
      <c r="AH944" s="238" t="s">
        <v>1171</v>
      </c>
      <c r="AI944" s="238" t="s">
        <v>6406</v>
      </c>
      <c r="AJ944" s="238" t="s">
        <v>120</v>
      </c>
      <c r="AK944" s="238" t="s">
        <v>794</v>
      </c>
      <c r="AL944" t="s">
        <v>57</v>
      </c>
      <c r="AM944" t="s">
        <v>1167</v>
      </c>
    </row>
    <row r="945" spans="1:39" hidden="1" x14ac:dyDescent="0.25">
      <c r="A945">
        <v>941</v>
      </c>
      <c r="B945">
        <v>3</v>
      </c>
      <c r="C945" s="24">
        <v>44622</v>
      </c>
      <c r="D945" s="238" t="s">
        <v>27</v>
      </c>
      <c r="E945" s="238" t="s">
        <v>6</v>
      </c>
      <c r="F945">
        <v>8</v>
      </c>
      <c r="G945">
        <v>16</v>
      </c>
      <c r="H945">
        <v>134</v>
      </c>
      <c r="I945" s="238" t="s">
        <v>42</v>
      </c>
      <c r="J945">
        <v>37.69</v>
      </c>
      <c r="K945" s="238" t="s">
        <v>37</v>
      </c>
      <c r="L945">
        <v>2938123.08</v>
      </c>
      <c r="M945">
        <v>0</v>
      </c>
      <c r="N945">
        <v>2938123.08</v>
      </c>
      <c r="O945">
        <v>77954.97691695411</v>
      </c>
      <c r="P945">
        <v>207295</v>
      </c>
      <c r="Q945">
        <v>2730828.08</v>
      </c>
      <c r="R945">
        <v>72454.97691695411</v>
      </c>
      <c r="S945" s="238" t="s">
        <v>137</v>
      </c>
      <c r="T945" s="238" t="s">
        <v>3540</v>
      </c>
      <c r="U945">
        <v>55731.19</v>
      </c>
      <c r="V945" t="s">
        <v>1167</v>
      </c>
      <c r="W945" s="24">
        <v>44617</v>
      </c>
      <c r="X945" s="238" t="s">
        <v>1079</v>
      </c>
      <c r="Y945" s="238" t="s">
        <v>39</v>
      </c>
      <c r="Z945" s="238" t="s">
        <v>1340</v>
      </c>
      <c r="AA945" t="s">
        <v>1167</v>
      </c>
      <c r="AB945" s="238" t="s">
        <v>3246</v>
      </c>
      <c r="AC945" t="s">
        <v>3079</v>
      </c>
      <c r="AD945" s="24"/>
      <c r="AE945" s="238" t="s">
        <v>2893</v>
      </c>
      <c r="AF945">
        <v>79277530656</v>
      </c>
      <c r="AG945" s="238" t="s">
        <v>2894</v>
      </c>
      <c r="AH945" s="238" t="s">
        <v>135</v>
      </c>
      <c r="AI945" s="238" t="s">
        <v>135</v>
      </c>
      <c r="AJ945" s="238" t="s">
        <v>120</v>
      </c>
      <c r="AK945" s="238" t="s">
        <v>141</v>
      </c>
      <c r="AL945" t="s">
        <v>8715</v>
      </c>
      <c r="AM945" t="s">
        <v>1167</v>
      </c>
    </row>
    <row r="946" spans="1:39" hidden="1" x14ac:dyDescent="0.25">
      <c r="A946">
        <v>942</v>
      </c>
      <c r="B946">
        <v>4</v>
      </c>
      <c r="C946" s="24">
        <v>44622</v>
      </c>
      <c r="D946" s="238" t="s">
        <v>19</v>
      </c>
      <c r="E946" s="238" t="s">
        <v>5</v>
      </c>
      <c r="F946">
        <v>2</v>
      </c>
      <c r="G946">
        <v>5</v>
      </c>
      <c r="H946">
        <v>196</v>
      </c>
      <c r="I946" s="238" t="s">
        <v>42</v>
      </c>
      <c r="J946">
        <v>38.22</v>
      </c>
      <c r="K946" s="238" t="s">
        <v>38</v>
      </c>
      <c r="L946">
        <v>4191394.77</v>
      </c>
      <c r="M946">
        <v>0</v>
      </c>
      <c r="N946">
        <v>4191394.77</v>
      </c>
      <c r="O946">
        <v>109664.95996860282</v>
      </c>
      <c r="P946">
        <v>611520</v>
      </c>
      <c r="Q946">
        <v>3579874.77</v>
      </c>
      <c r="R946">
        <v>93664.959968602823</v>
      </c>
      <c r="S946" s="238" t="s">
        <v>124</v>
      </c>
      <c r="T946" s="238" t="s">
        <v>1167</v>
      </c>
      <c r="V946" t="s">
        <v>1167</v>
      </c>
      <c r="W946" s="24">
        <v>44621</v>
      </c>
      <c r="X946" s="238" t="s">
        <v>1078</v>
      </c>
      <c r="Y946" s="238" t="s">
        <v>39</v>
      </c>
      <c r="Z946" s="238" t="s">
        <v>1340</v>
      </c>
      <c r="AA946" t="s">
        <v>1167</v>
      </c>
      <c r="AB946" s="238" t="s">
        <v>3246</v>
      </c>
      <c r="AC946" t="s">
        <v>4246</v>
      </c>
      <c r="AD946" s="24"/>
      <c r="AE946" s="238" t="s">
        <v>2895</v>
      </c>
      <c r="AF946">
        <v>79220554855</v>
      </c>
      <c r="AG946" s="238" t="s">
        <v>2896</v>
      </c>
      <c r="AH946" s="238" t="s">
        <v>135</v>
      </c>
      <c r="AI946" s="238" t="s">
        <v>135</v>
      </c>
      <c r="AJ946" s="238" t="s">
        <v>120</v>
      </c>
      <c r="AK946" s="238" t="s">
        <v>1167</v>
      </c>
      <c r="AL946" t="s">
        <v>8715</v>
      </c>
      <c r="AM946" t="s">
        <v>1167</v>
      </c>
    </row>
    <row r="947" spans="1:39" hidden="1" x14ac:dyDescent="0.25">
      <c r="A947">
        <v>943</v>
      </c>
      <c r="B947">
        <v>5</v>
      </c>
      <c r="C947" s="24">
        <v>44623</v>
      </c>
      <c r="D947" s="238" t="s">
        <v>27</v>
      </c>
      <c r="E947" s="238" t="s">
        <v>16</v>
      </c>
      <c r="F947">
        <v>6</v>
      </c>
      <c r="G947">
        <v>16</v>
      </c>
      <c r="H947">
        <v>509</v>
      </c>
      <c r="I947" s="238" t="s">
        <v>42</v>
      </c>
      <c r="J947">
        <v>37.11</v>
      </c>
      <c r="K947" s="238" t="s">
        <v>37</v>
      </c>
      <c r="L947">
        <v>3016374.65</v>
      </c>
      <c r="M947">
        <v>0</v>
      </c>
      <c r="N947">
        <v>3016374.65</v>
      </c>
      <c r="O947">
        <v>81281.990029641602</v>
      </c>
      <c r="P947">
        <v>204105</v>
      </c>
      <c r="Q947">
        <v>2812269.65</v>
      </c>
      <c r="R947">
        <v>75781.990029641602</v>
      </c>
      <c r="S947" s="238" t="s">
        <v>124</v>
      </c>
      <c r="T947" s="238" t="s">
        <v>1167</v>
      </c>
      <c r="V947" t="s">
        <v>1167</v>
      </c>
      <c r="W947" s="24">
        <v>44621</v>
      </c>
      <c r="X947" s="238" t="s">
        <v>1083</v>
      </c>
      <c r="Y947" s="238" t="s">
        <v>39</v>
      </c>
      <c r="Z947" s="238" t="s">
        <v>1168</v>
      </c>
      <c r="AA947" t="s">
        <v>1167</v>
      </c>
      <c r="AB947" s="238" t="s">
        <v>3246</v>
      </c>
      <c r="AC947" t="s">
        <v>4246</v>
      </c>
      <c r="AD947" s="24"/>
      <c r="AE947" s="238" t="s">
        <v>2897</v>
      </c>
      <c r="AF947">
        <v>79608116106</v>
      </c>
      <c r="AG947" s="238" t="s">
        <v>2898</v>
      </c>
      <c r="AH947" s="238" t="s">
        <v>1197</v>
      </c>
      <c r="AI947" s="238" t="s">
        <v>6406</v>
      </c>
      <c r="AJ947" s="238" t="s">
        <v>126</v>
      </c>
      <c r="AK947" s="238" t="s">
        <v>1167</v>
      </c>
      <c r="AL947" t="s">
        <v>57</v>
      </c>
      <c r="AM947" t="s">
        <v>1167</v>
      </c>
    </row>
    <row r="948" spans="1:39" hidden="1" x14ac:dyDescent="0.25">
      <c r="A948">
        <v>944</v>
      </c>
      <c r="B948">
        <v>6</v>
      </c>
      <c r="C948" s="24">
        <v>44623</v>
      </c>
      <c r="D948" s="238" t="s">
        <v>27</v>
      </c>
      <c r="E948" s="238" t="s">
        <v>16</v>
      </c>
      <c r="F948">
        <v>6</v>
      </c>
      <c r="G948">
        <v>15</v>
      </c>
      <c r="H948">
        <v>501</v>
      </c>
      <c r="I948" s="238" t="s">
        <v>42</v>
      </c>
      <c r="J948">
        <v>37.11</v>
      </c>
      <c r="K948" s="238" t="s">
        <v>36</v>
      </c>
      <c r="L948">
        <v>2812269.65</v>
      </c>
      <c r="M948">
        <v>0</v>
      </c>
      <c r="N948">
        <v>2812269.65</v>
      </c>
      <c r="O948">
        <v>75781.990029641602</v>
      </c>
      <c r="P948">
        <v>0</v>
      </c>
      <c r="Q948">
        <v>2812269.65</v>
      </c>
      <c r="R948">
        <v>75781.990029641602</v>
      </c>
      <c r="S948" s="238" t="s">
        <v>124</v>
      </c>
      <c r="T948" s="238" t="s">
        <v>1167</v>
      </c>
      <c r="V948" t="s">
        <v>1167</v>
      </c>
      <c r="W948" s="24">
        <v>44621</v>
      </c>
      <c r="X948" s="238" t="s">
        <v>1082</v>
      </c>
      <c r="Y948" s="238" t="s">
        <v>39</v>
      </c>
      <c r="Z948" s="238" t="s">
        <v>1168</v>
      </c>
      <c r="AA948" t="s">
        <v>1167</v>
      </c>
      <c r="AB948" s="238" t="s">
        <v>3246</v>
      </c>
      <c r="AC948" t="s">
        <v>4246</v>
      </c>
      <c r="AD948" s="24"/>
      <c r="AE948" s="238" t="s">
        <v>2897</v>
      </c>
      <c r="AF948">
        <v>79608116106</v>
      </c>
      <c r="AG948" s="238" t="s">
        <v>2898</v>
      </c>
      <c r="AH948" s="238" t="s">
        <v>1171</v>
      </c>
      <c r="AI948" s="238" t="s">
        <v>6406</v>
      </c>
      <c r="AJ948" s="238" t="s">
        <v>126</v>
      </c>
      <c r="AK948" s="238" t="s">
        <v>1167</v>
      </c>
      <c r="AL948" t="s">
        <v>57</v>
      </c>
      <c r="AM948" t="s">
        <v>1167</v>
      </c>
    </row>
    <row r="949" spans="1:39" hidden="1" x14ac:dyDescent="0.25">
      <c r="A949">
        <v>945</v>
      </c>
      <c r="B949">
        <v>7</v>
      </c>
      <c r="C949" s="24">
        <v>44623</v>
      </c>
      <c r="D949" s="238" t="s">
        <v>27</v>
      </c>
      <c r="E949" s="238" t="s">
        <v>15</v>
      </c>
      <c r="F949">
        <v>1</v>
      </c>
      <c r="G949">
        <v>16</v>
      </c>
      <c r="H949">
        <v>624</v>
      </c>
      <c r="I949" s="238" t="s">
        <v>44</v>
      </c>
      <c r="J949">
        <v>82.27</v>
      </c>
      <c r="K949" s="238" t="s">
        <v>36</v>
      </c>
      <c r="L949">
        <v>4639990.4400000004</v>
      </c>
      <c r="M949">
        <v>15000</v>
      </c>
      <c r="N949">
        <v>4654990.4400000004</v>
      </c>
      <c r="O949">
        <v>56581.869940440025</v>
      </c>
      <c r="P949">
        <v>0</v>
      </c>
      <c r="Q949">
        <v>4654990.4400000004</v>
      </c>
      <c r="R949">
        <v>56581.869940440025</v>
      </c>
      <c r="S949" s="238" t="s">
        <v>137</v>
      </c>
      <c r="T949" s="238" t="s">
        <v>1167</v>
      </c>
      <c r="V949" t="s">
        <v>1167</v>
      </c>
      <c r="W949" s="24">
        <v>44591</v>
      </c>
      <c r="X949" s="238" t="s">
        <v>1080</v>
      </c>
      <c r="Y949" s="238" t="s">
        <v>39</v>
      </c>
      <c r="Z949" s="238" t="s">
        <v>1340</v>
      </c>
      <c r="AA949" t="s">
        <v>3474</v>
      </c>
      <c r="AB949" s="238" t="s">
        <v>3246</v>
      </c>
      <c r="AC949" t="s">
        <v>3076</v>
      </c>
      <c r="AD949" s="24"/>
      <c r="AE949" s="238" t="s">
        <v>2899</v>
      </c>
      <c r="AF949">
        <v>79878430848</v>
      </c>
      <c r="AG949" s="238" t="s">
        <v>2900</v>
      </c>
      <c r="AH949" s="238" t="s">
        <v>146</v>
      </c>
      <c r="AI949" s="238" t="s">
        <v>135</v>
      </c>
      <c r="AJ949" s="238" t="s">
        <v>130</v>
      </c>
      <c r="AK949" s="238" t="s">
        <v>141</v>
      </c>
      <c r="AL949" t="s">
        <v>8715</v>
      </c>
      <c r="AM949" t="s">
        <v>1167</v>
      </c>
    </row>
    <row r="950" spans="1:39" hidden="1" x14ac:dyDescent="0.25">
      <c r="A950">
        <v>946</v>
      </c>
      <c r="B950">
        <v>8</v>
      </c>
      <c r="C950" s="24">
        <v>44623</v>
      </c>
      <c r="D950" s="238" t="s">
        <v>27</v>
      </c>
      <c r="E950" s="238" t="s">
        <v>6</v>
      </c>
      <c r="F950">
        <v>8</v>
      </c>
      <c r="G950">
        <v>13</v>
      </c>
      <c r="H950">
        <v>107</v>
      </c>
      <c r="I950" s="238" t="s">
        <v>42</v>
      </c>
      <c r="J950">
        <v>37.69</v>
      </c>
      <c r="K950" s="238" t="s">
        <v>36</v>
      </c>
      <c r="L950">
        <v>2664383.98</v>
      </c>
      <c r="M950">
        <v>15000</v>
      </c>
      <c r="N950">
        <v>2679383.98</v>
      </c>
      <c r="O950">
        <v>71090.049880604944</v>
      </c>
      <c r="P950">
        <v>0</v>
      </c>
      <c r="Q950">
        <v>2679383.98</v>
      </c>
      <c r="R950">
        <v>71090.049880604944</v>
      </c>
      <c r="S950" s="238" t="s">
        <v>124</v>
      </c>
      <c r="T950" s="238" t="s">
        <v>1167</v>
      </c>
      <c r="V950" t="s">
        <v>1167</v>
      </c>
      <c r="W950" s="24">
        <v>44592</v>
      </c>
      <c r="X950" s="238" t="s">
        <v>1081</v>
      </c>
      <c r="Y950" s="238" t="s">
        <v>39</v>
      </c>
      <c r="Z950" s="238" t="s">
        <v>1168</v>
      </c>
      <c r="AA950" t="s">
        <v>1167</v>
      </c>
      <c r="AB950" s="238" t="s">
        <v>3246</v>
      </c>
      <c r="AC950" t="s">
        <v>4246</v>
      </c>
      <c r="AD950" s="24"/>
      <c r="AE950" s="238" t="s">
        <v>2901</v>
      </c>
      <c r="AF950">
        <v>79276063005</v>
      </c>
      <c r="AG950" s="238" t="s">
        <v>2902</v>
      </c>
      <c r="AH950" s="238" t="s">
        <v>135</v>
      </c>
      <c r="AI950" s="238" t="s">
        <v>3099</v>
      </c>
      <c r="AJ950" s="238" t="s">
        <v>130</v>
      </c>
      <c r="AK950" s="238" t="s">
        <v>1167</v>
      </c>
      <c r="AL950" t="s">
        <v>8715</v>
      </c>
      <c r="AM950" t="s">
        <v>1167</v>
      </c>
    </row>
    <row r="951" spans="1:39" hidden="1" x14ac:dyDescent="0.25">
      <c r="A951">
        <v>947</v>
      </c>
      <c r="B951">
        <v>9</v>
      </c>
      <c r="C951" s="24">
        <v>44623</v>
      </c>
      <c r="D951" s="238" t="s">
        <v>27</v>
      </c>
      <c r="E951" s="238" t="s">
        <v>15</v>
      </c>
      <c r="F951">
        <v>2</v>
      </c>
      <c r="G951">
        <v>6</v>
      </c>
      <c r="H951">
        <v>545</v>
      </c>
      <c r="I951" s="238" t="s">
        <v>42</v>
      </c>
      <c r="J951">
        <v>37.159999999999997</v>
      </c>
      <c r="K951" s="238" t="s">
        <v>36</v>
      </c>
      <c r="L951">
        <v>2816058.75</v>
      </c>
      <c r="M951">
        <v>0</v>
      </c>
      <c r="N951">
        <v>2816058.75</v>
      </c>
      <c r="O951">
        <v>75781.990043057056</v>
      </c>
      <c r="P951">
        <v>0</v>
      </c>
      <c r="Q951">
        <v>2816058.75</v>
      </c>
      <c r="R951">
        <v>75781.990043057056</v>
      </c>
      <c r="S951" s="238" t="s">
        <v>137</v>
      </c>
      <c r="T951" s="238" t="s">
        <v>1167</v>
      </c>
      <c r="V951" t="s">
        <v>1167</v>
      </c>
      <c r="W951" s="24">
        <v>44622</v>
      </c>
      <c r="X951" s="238" t="s">
        <v>1084</v>
      </c>
      <c r="Y951" s="238" t="s">
        <v>39</v>
      </c>
      <c r="Z951" s="238" t="s">
        <v>1340</v>
      </c>
      <c r="AA951" t="s">
        <v>3474</v>
      </c>
      <c r="AB951" s="238" t="s">
        <v>3246</v>
      </c>
      <c r="AC951" t="s">
        <v>3077</v>
      </c>
      <c r="AD951" s="24"/>
      <c r="AE951" s="238" t="s">
        <v>2903</v>
      </c>
      <c r="AF951">
        <v>79277989878</v>
      </c>
      <c r="AG951" s="238" t="s">
        <v>2904</v>
      </c>
      <c r="AH951" s="238" t="s">
        <v>1171</v>
      </c>
      <c r="AI951" s="238" t="s">
        <v>6406</v>
      </c>
      <c r="AJ951" s="238" t="s">
        <v>689</v>
      </c>
      <c r="AK951" s="238" t="s">
        <v>141</v>
      </c>
      <c r="AL951" t="s">
        <v>57</v>
      </c>
      <c r="AM951" t="s">
        <v>1167</v>
      </c>
    </row>
    <row r="952" spans="1:39" hidden="1" x14ac:dyDescent="0.25">
      <c r="A952">
        <v>948</v>
      </c>
      <c r="B952">
        <v>10</v>
      </c>
      <c r="C952" s="24">
        <v>44623</v>
      </c>
      <c r="D952" s="238" t="s">
        <v>19</v>
      </c>
      <c r="E952" s="238" t="s">
        <v>5</v>
      </c>
      <c r="F952">
        <v>1</v>
      </c>
      <c r="G952">
        <v>13</v>
      </c>
      <c r="H952">
        <v>283</v>
      </c>
      <c r="I952" s="238" t="s">
        <v>42</v>
      </c>
      <c r="J952">
        <v>38.83</v>
      </c>
      <c r="K952" s="238" t="s">
        <v>37</v>
      </c>
      <c r="L952">
        <v>3850575.4</v>
      </c>
      <c r="M952">
        <v>0</v>
      </c>
      <c r="N952">
        <v>3850575.4</v>
      </c>
      <c r="O952">
        <v>99164.960082410515</v>
      </c>
      <c r="P952">
        <v>213565</v>
      </c>
      <c r="Q952">
        <v>3637010.4</v>
      </c>
      <c r="R952">
        <v>93664.960082410515</v>
      </c>
      <c r="S952" s="238" t="s">
        <v>137</v>
      </c>
      <c r="T952" s="238" t="s">
        <v>1167</v>
      </c>
      <c r="V952" t="s">
        <v>1167</v>
      </c>
      <c r="W952" s="24">
        <v>44623</v>
      </c>
      <c r="X952" s="238" t="s">
        <v>2905</v>
      </c>
      <c r="Y952" s="238" t="s">
        <v>39</v>
      </c>
      <c r="Z952" s="238" t="s">
        <v>1340</v>
      </c>
      <c r="AA952" t="s">
        <v>1167</v>
      </c>
      <c r="AB952" s="238" t="s">
        <v>3246</v>
      </c>
      <c r="AC952" t="s">
        <v>3079</v>
      </c>
      <c r="AD952" s="24"/>
      <c r="AE952" s="238" t="s">
        <v>2906</v>
      </c>
      <c r="AF952">
        <v>79276583475</v>
      </c>
      <c r="AG952" s="238" t="s">
        <v>2907</v>
      </c>
      <c r="AH952" s="238" t="s">
        <v>1171</v>
      </c>
      <c r="AI952" s="238" t="s">
        <v>3114</v>
      </c>
      <c r="AJ952" s="238" t="s">
        <v>689</v>
      </c>
      <c r="AK952" s="238" t="s">
        <v>794</v>
      </c>
      <c r="AL952" t="s">
        <v>8715</v>
      </c>
      <c r="AM952" t="s">
        <v>1167</v>
      </c>
    </row>
    <row r="953" spans="1:39" hidden="1" x14ac:dyDescent="0.25">
      <c r="A953">
        <v>949</v>
      </c>
      <c r="B953">
        <v>11</v>
      </c>
      <c r="C953" s="24">
        <v>44624</v>
      </c>
      <c r="D953" s="238" t="s">
        <v>27</v>
      </c>
      <c r="E953" s="238" t="s">
        <v>6</v>
      </c>
      <c r="F953">
        <v>8</v>
      </c>
      <c r="G953">
        <v>10</v>
      </c>
      <c r="H953">
        <v>80</v>
      </c>
      <c r="I953" s="238" t="s">
        <v>42</v>
      </c>
      <c r="J953">
        <v>37.69</v>
      </c>
      <c r="K953" s="238" t="s">
        <v>36</v>
      </c>
      <c r="L953">
        <v>2730828.08</v>
      </c>
      <c r="M953">
        <v>0</v>
      </c>
      <c r="N953">
        <v>2730828.08</v>
      </c>
      <c r="O953">
        <v>72454.97691695411</v>
      </c>
      <c r="P953">
        <v>0</v>
      </c>
      <c r="Q953">
        <v>2730828.08</v>
      </c>
      <c r="R953">
        <v>72454.97691695411</v>
      </c>
      <c r="S953" s="238" t="s">
        <v>137</v>
      </c>
      <c r="T953" s="238" t="s">
        <v>321</v>
      </c>
      <c r="U953">
        <v>55731.185369999999</v>
      </c>
      <c r="V953" t="s">
        <v>1167</v>
      </c>
      <c r="W953" s="24">
        <v>44614</v>
      </c>
      <c r="X953" s="238" t="s">
        <v>1087</v>
      </c>
      <c r="Y953" s="238" t="s">
        <v>39</v>
      </c>
      <c r="Z953" s="238" t="s">
        <v>1340</v>
      </c>
      <c r="AA953" t="s">
        <v>1167</v>
      </c>
      <c r="AB953" s="238" t="s">
        <v>3246</v>
      </c>
      <c r="AC953" t="s">
        <v>3079</v>
      </c>
      <c r="AD953" s="24"/>
      <c r="AE953" s="238" t="s">
        <v>2908</v>
      </c>
      <c r="AF953">
        <v>79608303000</v>
      </c>
      <c r="AG953" s="238" t="s">
        <v>2909</v>
      </c>
      <c r="AH953" s="238" t="s">
        <v>1212</v>
      </c>
      <c r="AI953" s="238" t="s">
        <v>135</v>
      </c>
      <c r="AJ953" s="238" t="s">
        <v>126</v>
      </c>
      <c r="AK953" s="238" t="s">
        <v>141</v>
      </c>
      <c r="AL953" t="s">
        <v>8715</v>
      </c>
      <c r="AM953" t="s">
        <v>1167</v>
      </c>
    </row>
    <row r="954" spans="1:39" hidden="1" x14ac:dyDescent="0.25">
      <c r="A954">
        <v>950</v>
      </c>
      <c r="B954">
        <v>12</v>
      </c>
      <c r="C954" s="24">
        <v>44624</v>
      </c>
      <c r="D954" s="238" t="s">
        <v>27</v>
      </c>
      <c r="E954" s="238" t="s">
        <v>6</v>
      </c>
      <c r="F954">
        <v>8</v>
      </c>
      <c r="G954">
        <v>9</v>
      </c>
      <c r="H954">
        <v>71</v>
      </c>
      <c r="I954" s="238" t="s">
        <v>42</v>
      </c>
      <c r="J954">
        <v>37.69</v>
      </c>
      <c r="K954" s="238" t="s">
        <v>37</v>
      </c>
      <c r="L954">
        <v>2993854.27</v>
      </c>
      <c r="M954">
        <v>0</v>
      </c>
      <c r="N954">
        <v>2993854.27</v>
      </c>
      <c r="O954">
        <v>79433.650039798362</v>
      </c>
      <c r="P954">
        <v>207295</v>
      </c>
      <c r="Q954">
        <v>2786559.27</v>
      </c>
      <c r="R954">
        <v>73933.650039798362</v>
      </c>
      <c r="S954" s="238" t="s">
        <v>137</v>
      </c>
      <c r="T954" s="238" t="s">
        <v>1167</v>
      </c>
      <c r="V954" t="s">
        <v>1167</v>
      </c>
      <c r="W954" s="24">
        <v>44621</v>
      </c>
      <c r="X954" s="238" t="s">
        <v>1089</v>
      </c>
      <c r="Y954" s="238" t="s">
        <v>39</v>
      </c>
      <c r="Z954" s="238" t="s">
        <v>1340</v>
      </c>
      <c r="AA954" t="s">
        <v>1167</v>
      </c>
      <c r="AB954" s="238" t="s">
        <v>3246</v>
      </c>
      <c r="AC954" t="s">
        <v>3079</v>
      </c>
      <c r="AD954" s="24"/>
      <c r="AE954" s="238" t="s">
        <v>2910</v>
      </c>
      <c r="AF954">
        <v>79277441659</v>
      </c>
      <c r="AG954" s="238" t="s">
        <v>2911</v>
      </c>
      <c r="AH954" s="238" t="s">
        <v>1171</v>
      </c>
      <c r="AI954" s="238" t="s">
        <v>6406</v>
      </c>
      <c r="AJ954" s="238" t="s">
        <v>689</v>
      </c>
      <c r="AK954" s="238" t="s">
        <v>141</v>
      </c>
      <c r="AL954" t="s">
        <v>57</v>
      </c>
      <c r="AM954" t="s">
        <v>1167</v>
      </c>
    </row>
    <row r="955" spans="1:39" hidden="1" x14ac:dyDescent="0.25">
      <c r="A955">
        <v>951</v>
      </c>
      <c r="B955">
        <v>13</v>
      </c>
      <c r="C955" s="24">
        <v>44624</v>
      </c>
      <c r="D955" s="238" t="s">
        <v>27</v>
      </c>
      <c r="E955" s="238" t="s">
        <v>6</v>
      </c>
      <c r="F955">
        <v>2</v>
      </c>
      <c r="G955">
        <v>12</v>
      </c>
      <c r="H955">
        <v>92</v>
      </c>
      <c r="I955" s="238" t="s">
        <v>42</v>
      </c>
      <c r="J955">
        <v>37.94</v>
      </c>
      <c r="K955" s="238" t="s">
        <v>36</v>
      </c>
      <c r="L955">
        <v>2815042.53</v>
      </c>
      <c r="M955">
        <v>0</v>
      </c>
      <c r="N955">
        <v>2815042.53</v>
      </c>
      <c r="O955">
        <v>74197.220084343702</v>
      </c>
      <c r="P955">
        <v>0</v>
      </c>
      <c r="Q955">
        <v>2815042.53</v>
      </c>
      <c r="R955">
        <v>74197.220084343702</v>
      </c>
      <c r="S955" s="238" t="s">
        <v>124</v>
      </c>
      <c r="T955" s="238" t="s">
        <v>1167</v>
      </c>
      <c r="V955" t="s">
        <v>1167</v>
      </c>
      <c r="W955" s="24">
        <v>44621</v>
      </c>
      <c r="X955" s="238" t="s">
        <v>1088</v>
      </c>
      <c r="Y955" s="238" t="s">
        <v>39</v>
      </c>
      <c r="Z955" s="238" t="s">
        <v>1340</v>
      </c>
      <c r="AA955" t="s">
        <v>1167</v>
      </c>
      <c r="AB955" s="238" t="s">
        <v>3246</v>
      </c>
      <c r="AC955" t="s">
        <v>4246</v>
      </c>
      <c r="AD955" s="24"/>
      <c r="AE955" s="238" t="s">
        <v>2912</v>
      </c>
      <c r="AF955">
        <v>79277460714</v>
      </c>
      <c r="AG955" s="238" t="s">
        <v>2913</v>
      </c>
      <c r="AH955" s="238" t="s">
        <v>1212</v>
      </c>
      <c r="AI955" s="238" t="s">
        <v>3093</v>
      </c>
      <c r="AJ955" s="238" t="s">
        <v>126</v>
      </c>
      <c r="AK955" s="238" t="s">
        <v>1167</v>
      </c>
      <c r="AL955" t="s">
        <v>8715</v>
      </c>
      <c r="AM955" t="s">
        <v>1167</v>
      </c>
    </row>
    <row r="956" spans="1:39" hidden="1" x14ac:dyDescent="0.25">
      <c r="A956">
        <v>952</v>
      </c>
      <c r="B956">
        <v>14</v>
      </c>
      <c r="C956" s="24">
        <v>44624</v>
      </c>
      <c r="D956" s="238" t="s">
        <v>27</v>
      </c>
      <c r="E956" s="238" t="s">
        <v>5</v>
      </c>
      <c r="F956">
        <v>2</v>
      </c>
      <c r="G956">
        <v>8</v>
      </c>
      <c r="H956">
        <v>257</v>
      </c>
      <c r="I956" s="238" t="s">
        <v>42</v>
      </c>
      <c r="J956">
        <v>37.159999999999997</v>
      </c>
      <c r="K956" s="238" t="s">
        <v>37</v>
      </c>
      <c r="L956">
        <v>3099915.81</v>
      </c>
      <c r="M956">
        <v>0</v>
      </c>
      <c r="N956">
        <v>3099915.81</v>
      </c>
      <c r="O956">
        <v>83420.769913885902</v>
      </c>
      <c r="P956">
        <v>260120</v>
      </c>
      <c r="Q956">
        <v>2839795.81</v>
      </c>
      <c r="R956">
        <v>76420.769913885902</v>
      </c>
      <c r="S956" s="238" t="s">
        <v>137</v>
      </c>
      <c r="T956" s="238" t="s">
        <v>1167</v>
      </c>
      <c r="V956" t="s">
        <v>1167</v>
      </c>
      <c r="W956" s="24">
        <v>44622</v>
      </c>
      <c r="X956" s="238" t="s">
        <v>1090</v>
      </c>
      <c r="Y956" s="238" t="s">
        <v>39</v>
      </c>
      <c r="Z956" s="238" t="s">
        <v>1340</v>
      </c>
      <c r="AA956" t="s">
        <v>3474</v>
      </c>
      <c r="AB956" s="238" t="s">
        <v>3246</v>
      </c>
      <c r="AC956" t="s">
        <v>3077</v>
      </c>
      <c r="AD956" s="24"/>
      <c r="AE956" s="238" t="s">
        <v>2914</v>
      </c>
      <c r="AF956">
        <v>79371828973</v>
      </c>
      <c r="AG956" s="238" t="s">
        <v>2915</v>
      </c>
      <c r="AH956" s="238" t="s">
        <v>1171</v>
      </c>
      <c r="AI956" s="238" t="s">
        <v>6406</v>
      </c>
      <c r="AJ956" s="238" t="s">
        <v>982</v>
      </c>
      <c r="AK956" s="238" t="s">
        <v>141</v>
      </c>
      <c r="AL956" t="s">
        <v>57</v>
      </c>
      <c r="AM956" t="s">
        <v>1167</v>
      </c>
    </row>
    <row r="957" spans="1:39" hidden="1" x14ac:dyDescent="0.25">
      <c r="A957">
        <v>953</v>
      </c>
      <c r="B957">
        <v>15</v>
      </c>
      <c r="C957" s="24">
        <v>44624</v>
      </c>
      <c r="D957" s="238" t="s">
        <v>27</v>
      </c>
      <c r="E957" s="238" t="s">
        <v>6</v>
      </c>
      <c r="F957">
        <v>2</v>
      </c>
      <c r="G957">
        <v>17</v>
      </c>
      <c r="H957">
        <v>137</v>
      </c>
      <c r="I957" s="238" t="s">
        <v>42</v>
      </c>
      <c r="J957">
        <v>37.94</v>
      </c>
      <c r="K957" s="238" t="s">
        <v>37</v>
      </c>
      <c r="L957">
        <v>3164773.83</v>
      </c>
      <c r="M957">
        <v>0</v>
      </c>
      <c r="N957">
        <v>3164773.83</v>
      </c>
      <c r="O957">
        <v>83415.230100158151</v>
      </c>
      <c r="P957">
        <v>265580</v>
      </c>
      <c r="Q957">
        <v>2899193.83</v>
      </c>
      <c r="R957">
        <v>76415.230100158151</v>
      </c>
      <c r="S957" s="238" t="s">
        <v>137</v>
      </c>
      <c r="T957" s="238" t="s">
        <v>1167</v>
      </c>
      <c r="V957" t="s">
        <v>1167</v>
      </c>
      <c r="W957" s="24">
        <v>44623</v>
      </c>
      <c r="X957" s="238" t="s">
        <v>1086</v>
      </c>
      <c r="Y957" s="238" t="s">
        <v>39</v>
      </c>
      <c r="Z957" s="238" t="s">
        <v>1340</v>
      </c>
      <c r="AA957" t="s">
        <v>1167</v>
      </c>
      <c r="AB957" s="238" t="s">
        <v>3246</v>
      </c>
      <c r="AC957" t="s">
        <v>3077</v>
      </c>
      <c r="AD957" s="24"/>
      <c r="AE957" s="238" t="s">
        <v>2916</v>
      </c>
      <c r="AF957">
        <v>79376442747</v>
      </c>
      <c r="AG957" s="238" t="s">
        <v>2917</v>
      </c>
      <c r="AH957" s="238" t="s">
        <v>135</v>
      </c>
      <c r="AI957" s="238" t="s">
        <v>3099</v>
      </c>
      <c r="AJ957" s="238" t="s">
        <v>126</v>
      </c>
      <c r="AK957" s="238" t="s">
        <v>794</v>
      </c>
      <c r="AL957" t="s">
        <v>8715</v>
      </c>
      <c r="AM957" t="s">
        <v>1167</v>
      </c>
    </row>
    <row r="958" spans="1:39" hidden="1" x14ac:dyDescent="0.25">
      <c r="A958">
        <v>954</v>
      </c>
      <c r="B958">
        <v>16</v>
      </c>
      <c r="C958" s="24">
        <v>44624</v>
      </c>
      <c r="D958" s="238" t="s">
        <v>27</v>
      </c>
      <c r="E958" s="238" t="s">
        <v>5</v>
      </c>
      <c r="F958">
        <v>7</v>
      </c>
      <c r="G958">
        <v>4</v>
      </c>
      <c r="H958">
        <v>230</v>
      </c>
      <c r="I958" s="238" t="s">
        <v>43</v>
      </c>
      <c r="J958">
        <v>59.93</v>
      </c>
      <c r="K958" s="238" t="s">
        <v>37</v>
      </c>
      <c r="L958">
        <v>4592188.99</v>
      </c>
      <c r="M958">
        <v>0</v>
      </c>
      <c r="N958">
        <v>4592188.99</v>
      </c>
      <c r="O958">
        <v>76625.880026697821</v>
      </c>
      <c r="P958">
        <v>329615</v>
      </c>
      <c r="Q958">
        <v>4262573.99</v>
      </c>
      <c r="R958">
        <v>71125.880026697821</v>
      </c>
      <c r="S958" s="238" t="s">
        <v>137</v>
      </c>
      <c r="T958" s="238" t="s">
        <v>1167</v>
      </c>
      <c r="V958" t="s">
        <v>1167</v>
      </c>
      <c r="W958" s="24">
        <v>44622</v>
      </c>
      <c r="X958" s="238" t="s">
        <v>1085</v>
      </c>
      <c r="Y958" s="238" t="s">
        <v>39</v>
      </c>
      <c r="Z958" s="238" t="s">
        <v>1340</v>
      </c>
      <c r="AA958" t="s">
        <v>1167</v>
      </c>
      <c r="AB958" s="238" t="s">
        <v>3246</v>
      </c>
      <c r="AC958" t="s">
        <v>3079</v>
      </c>
      <c r="AD958" s="24"/>
      <c r="AE958" s="238" t="s">
        <v>2918</v>
      </c>
      <c r="AF958">
        <v>79370697048</v>
      </c>
      <c r="AG958" s="238" t="s">
        <v>2919</v>
      </c>
      <c r="AH958" s="238" t="s">
        <v>135</v>
      </c>
      <c r="AI958" s="238" t="s">
        <v>3075</v>
      </c>
      <c r="AJ958" s="238" t="s">
        <v>399</v>
      </c>
      <c r="AK958" s="238" t="s">
        <v>141</v>
      </c>
      <c r="AL958" t="s">
        <v>8715</v>
      </c>
      <c r="AM958" t="s">
        <v>1167</v>
      </c>
    </row>
    <row r="959" spans="1:39" hidden="1" x14ac:dyDescent="0.25">
      <c r="A959">
        <v>955</v>
      </c>
      <c r="B959">
        <v>17</v>
      </c>
      <c r="C959" s="24">
        <v>44625</v>
      </c>
      <c r="D959" s="238" t="s">
        <v>27</v>
      </c>
      <c r="E959" s="238" t="s">
        <v>14</v>
      </c>
      <c r="F959">
        <v>4</v>
      </c>
      <c r="G959">
        <v>8</v>
      </c>
      <c r="H959">
        <v>689</v>
      </c>
      <c r="I959" s="238" t="s">
        <v>4052</v>
      </c>
      <c r="J959">
        <v>24.39</v>
      </c>
      <c r="K959" s="238" t="s">
        <v>38</v>
      </c>
      <c r="L959">
        <v>2250329.7599999998</v>
      </c>
      <c r="M959">
        <v>0</v>
      </c>
      <c r="N959">
        <v>2250329.7599999998</v>
      </c>
      <c r="O959">
        <v>92264.442804428036</v>
      </c>
      <c r="P959">
        <v>390240</v>
      </c>
      <c r="Q959">
        <v>1860089.7599999998</v>
      </c>
      <c r="R959">
        <v>76264.442804428036</v>
      </c>
      <c r="S959" s="238" t="s">
        <v>124</v>
      </c>
      <c r="T959" s="238" t="s">
        <v>321</v>
      </c>
      <c r="U959">
        <v>37961.019999999997</v>
      </c>
      <c r="V959" t="s">
        <v>1167</v>
      </c>
      <c r="W959" s="24">
        <v>44621</v>
      </c>
      <c r="X959" s="238" t="s">
        <v>1091</v>
      </c>
      <c r="Y959" s="238" t="s">
        <v>39</v>
      </c>
      <c r="Z959" s="238" t="s">
        <v>1340</v>
      </c>
      <c r="AA959" t="s">
        <v>1167</v>
      </c>
      <c r="AB959" s="238" t="s">
        <v>3246</v>
      </c>
      <c r="AC959" t="s">
        <v>4246</v>
      </c>
      <c r="AD959" s="24"/>
      <c r="AE959" s="238" t="s">
        <v>2920</v>
      </c>
      <c r="AF959">
        <v>79277126487</v>
      </c>
      <c r="AG959" s="238" t="s">
        <v>2921</v>
      </c>
      <c r="AH959" s="238" t="s">
        <v>1171</v>
      </c>
      <c r="AI959" s="238" t="s">
        <v>3094</v>
      </c>
      <c r="AJ959" s="238" t="s">
        <v>120</v>
      </c>
      <c r="AK959" s="238" t="s">
        <v>1167</v>
      </c>
      <c r="AL959" t="s">
        <v>8715</v>
      </c>
      <c r="AM959" t="s">
        <v>1167</v>
      </c>
    </row>
    <row r="960" spans="1:39" hidden="1" x14ac:dyDescent="0.25">
      <c r="A960">
        <v>956</v>
      </c>
      <c r="B960">
        <v>18</v>
      </c>
      <c r="C960" s="24">
        <v>44625</v>
      </c>
      <c r="D960" s="238" t="s">
        <v>27</v>
      </c>
      <c r="E960" s="238" t="s">
        <v>6</v>
      </c>
      <c r="F960">
        <v>8</v>
      </c>
      <c r="G960">
        <v>7</v>
      </c>
      <c r="H960">
        <v>53</v>
      </c>
      <c r="I960" s="238" t="s">
        <v>42</v>
      </c>
      <c r="J960">
        <v>37.69</v>
      </c>
      <c r="K960" s="238" t="s">
        <v>36</v>
      </c>
      <c r="L960">
        <v>2786559.27</v>
      </c>
      <c r="M960">
        <v>0</v>
      </c>
      <c r="N960">
        <v>2786559.27</v>
      </c>
      <c r="O960">
        <v>73933.650039798362</v>
      </c>
      <c r="P960">
        <v>0</v>
      </c>
      <c r="Q960">
        <v>2786559.27</v>
      </c>
      <c r="R960">
        <v>73933.650039798362</v>
      </c>
      <c r="S960" s="238" t="s">
        <v>137</v>
      </c>
      <c r="T960" s="238" t="s">
        <v>1167</v>
      </c>
      <c r="V960" t="s">
        <v>1167</v>
      </c>
      <c r="W960" s="24">
        <v>44621</v>
      </c>
      <c r="X960" s="238" t="s">
        <v>1093</v>
      </c>
      <c r="Y960" s="238" t="s">
        <v>39</v>
      </c>
      <c r="Z960" s="238" t="s">
        <v>1340</v>
      </c>
      <c r="AA960" t="s">
        <v>1167</v>
      </c>
      <c r="AB960" s="238" t="s">
        <v>3246</v>
      </c>
      <c r="AC960" t="s">
        <v>3079</v>
      </c>
      <c r="AD960" s="24"/>
      <c r="AE960" s="238" t="s">
        <v>2922</v>
      </c>
      <c r="AF960">
        <v>79270113895</v>
      </c>
      <c r="AG960" s="238" t="s">
        <v>2923</v>
      </c>
      <c r="AH960" s="238" t="s">
        <v>1212</v>
      </c>
      <c r="AI960" s="238" t="s">
        <v>3107</v>
      </c>
      <c r="AJ960" s="238" t="s">
        <v>126</v>
      </c>
      <c r="AK960" s="238" t="s">
        <v>141</v>
      </c>
      <c r="AL960" t="s">
        <v>8715</v>
      </c>
      <c r="AM960" t="s">
        <v>1167</v>
      </c>
    </row>
    <row r="961" spans="1:39" hidden="1" x14ac:dyDescent="0.25">
      <c r="A961">
        <v>957</v>
      </c>
      <c r="B961">
        <v>19</v>
      </c>
      <c r="C961" s="24">
        <v>44625</v>
      </c>
      <c r="D961" s="238" t="s">
        <v>27</v>
      </c>
      <c r="E961" s="238" t="s">
        <v>16</v>
      </c>
      <c r="F961">
        <v>2</v>
      </c>
      <c r="G961">
        <v>4</v>
      </c>
      <c r="H961">
        <v>409</v>
      </c>
      <c r="I961" s="238" t="s">
        <v>42</v>
      </c>
      <c r="J961">
        <v>37.159999999999997</v>
      </c>
      <c r="K961" s="238" t="s">
        <v>37</v>
      </c>
      <c r="L961">
        <v>3099915.81</v>
      </c>
      <c r="M961">
        <v>0</v>
      </c>
      <c r="N961">
        <v>3099915.81</v>
      </c>
      <c r="O961">
        <v>83420.769913885902</v>
      </c>
      <c r="P961">
        <v>260120</v>
      </c>
      <c r="Q961">
        <v>2839795.81</v>
      </c>
      <c r="R961">
        <v>76420.769913885902</v>
      </c>
      <c r="S961" s="238" t="s">
        <v>124</v>
      </c>
      <c r="T961" s="238" t="s">
        <v>1167</v>
      </c>
      <c r="V961" t="s">
        <v>1167</v>
      </c>
      <c r="W961" s="24">
        <v>44623</v>
      </c>
      <c r="X961" s="238" t="s">
        <v>1092</v>
      </c>
      <c r="Y961" s="238" t="s">
        <v>39</v>
      </c>
      <c r="Z961" s="238" t="s">
        <v>1168</v>
      </c>
      <c r="AA961" t="s">
        <v>1167</v>
      </c>
      <c r="AB961" s="238" t="s">
        <v>3246</v>
      </c>
      <c r="AC961" t="s">
        <v>4246</v>
      </c>
      <c r="AD961" s="24"/>
      <c r="AE961" s="238" t="s">
        <v>2924</v>
      </c>
      <c r="AF961">
        <v>79178248211</v>
      </c>
      <c r="AG961" s="238" t="s">
        <v>2925</v>
      </c>
      <c r="AH961" s="238" t="s">
        <v>1212</v>
      </c>
      <c r="AI961" s="238" t="s">
        <v>3097</v>
      </c>
      <c r="AJ961" s="238" t="s">
        <v>689</v>
      </c>
      <c r="AK961" s="238" t="s">
        <v>1167</v>
      </c>
      <c r="AL961" t="s">
        <v>8715</v>
      </c>
      <c r="AM961" t="s">
        <v>1167</v>
      </c>
    </row>
    <row r="962" spans="1:39" hidden="1" x14ac:dyDescent="0.25">
      <c r="A962">
        <v>958</v>
      </c>
      <c r="B962">
        <v>20</v>
      </c>
      <c r="C962" s="24">
        <v>44627</v>
      </c>
      <c r="D962" s="238" t="s">
        <v>27</v>
      </c>
      <c r="E962" s="238" t="s">
        <v>16</v>
      </c>
      <c r="F962">
        <v>6</v>
      </c>
      <c r="G962">
        <v>12</v>
      </c>
      <c r="H962">
        <v>477</v>
      </c>
      <c r="I962" s="238" t="s">
        <v>42</v>
      </c>
      <c r="J962">
        <v>37.11</v>
      </c>
      <c r="K962" s="238" t="s">
        <v>37</v>
      </c>
      <c r="L962">
        <v>3166407.78</v>
      </c>
      <c r="M962">
        <v>0</v>
      </c>
      <c r="N962">
        <v>3166407.78</v>
      </c>
      <c r="O962">
        <v>85324.919967663693</v>
      </c>
      <c r="P962">
        <v>259770</v>
      </c>
      <c r="Q962">
        <v>2906637.78</v>
      </c>
      <c r="R962">
        <v>78324.919967663693</v>
      </c>
      <c r="S962" s="238" t="s">
        <v>137</v>
      </c>
      <c r="T962" s="238" t="s">
        <v>1167</v>
      </c>
      <c r="V962" t="s">
        <v>1167</v>
      </c>
      <c r="W962" s="24">
        <v>44624</v>
      </c>
      <c r="X962" s="238" t="s">
        <v>1094</v>
      </c>
      <c r="Y962" s="238" t="s">
        <v>39</v>
      </c>
      <c r="Z962" s="238" t="s">
        <v>1340</v>
      </c>
      <c r="AA962" t="s">
        <v>1167</v>
      </c>
      <c r="AB962" s="238" t="s">
        <v>3246</v>
      </c>
      <c r="AC962" t="s">
        <v>3079</v>
      </c>
      <c r="AD962" s="24"/>
      <c r="AE962" s="238" t="s">
        <v>2926</v>
      </c>
      <c r="AF962">
        <v>79224293766</v>
      </c>
      <c r="AG962" s="238" t="s">
        <v>2927</v>
      </c>
      <c r="AH962" s="238" t="s">
        <v>137</v>
      </c>
      <c r="AI962" s="238" t="s">
        <v>3107</v>
      </c>
      <c r="AJ962" s="238" t="s">
        <v>689</v>
      </c>
      <c r="AK962" s="238" t="s">
        <v>141</v>
      </c>
      <c r="AL962" t="s">
        <v>8715</v>
      </c>
      <c r="AM962" t="s">
        <v>1167</v>
      </c>
    </row>
    <row r="963" spans="1:39" hidden="1" x14ac:dyDescent="0.25">
      <c r="A963">
        <v>959</v>
      </c>
      <c r="B963">
        <v>21</v>
      </c>
      <c r="C963" s="24">
        <v>44629</v>
      </c>
      <c r="D963" s="238" t="s">
        <v>27</v>
      </c>
      <c r="E963" s="238" t="s">
        <v>6</v>
      </c>
      <c r="F963">
        <v>9</v>
      </c>
      <c r="G963">
        <v>6</v>
      </c>
      <c r="H963">
        <v>45</v>
      </c>
      <c r="I963" s="238" t="s">
        <v>42</v>
      </c>
      <c r="J963">
        <v>37.94</v>
      </c>
      <c r="K963" s="238" t="s">
        <v>37</v>
      </c>
      <c r="L963">
        <v>2896835.86</v>
      </c>
      <c r="M963">
        <v>0</v>
      </c>
      <c r="N963">
        <v>2896835.86</v>
      </c>
      <c r="O963">
        <v>76353.080126515546</v>
      </c>
      <c r="P963">
        <v>208670</v>
      </c>
      <c r="Q963">
        <v>2688165.86</v>
      </c>
      <c r="R963">
        <v>70853.080126515546</v>
      </c>
      <c r="S963" s="238" t="s">
        <v>124</v>
      </c>
      <c r="T963" s="238" t="s">
        <v>1167</v>
      </c>
      <c r="V963" t="s">
        <v>1167</v>
      </c>
      <c r="W963" s="24">
        <v>44618</v>
      </c>
      <c r="X963" s="238" t="s">
        <v>1096</v>
      </c>
      <c r="Y963" s="238" t="s">
        <v>39</v>
      </c>
      <c r="Z963" s="238" t="s">
        <v>1168</v>
      </c>
      <c r="AA963" t="s">
        <v>1167</v>
      </c>
      <c r="AB963" s="238" t="s">
        <v>3246</v>
      </c>
      <c r="AC963" t="s">
        <v>4246</v>
      </c>
      <c r="AD963" s="24"/>
      <c r="AE963" s="238" t="s">
        <v>2928</v>
      </c>
      <c r="AF963">
        <v>79879133753</v>
      </c>
      <c r="AG963" s="238" t="s">
        <v>2929</v>
      </c>
      <c r="AH963" s="238" t="s">
        <v>1212</v>
      </c>
      <c r="AI963" s="238" t="s">
        <v>3089</v>
      </c>
      <c r="AJ963" s="238" t="s">
        <v>126</v>
      </c>
      <c r="AK963" s="238" t="s">
        <v>1167</v>
      </c>
      <c r="AL963" t="s">
        <v>8715</v>
      </c>
      <c r="AM963" t="s">
        <v>1167</v>
      </c>
    </row>
    <row r="964" spans="1:39" hidden="1" x14ac:dyDescent="0.25">
      <c r="A964">
        <v>960</v>
      </c>
      <c r="B964">
        <v>22</v>
      </c>
      <c r="C964" s="24">
        <v>44629</v>
      </c>
      <c r="D964" s="238" t="s">
        <v>27</v>
      </c>
      <c r="E964" s="238" t="s">
        <v>14</v>
      </c>
      <c r="F964">
        <v>5</v>
      </c>
      <c r="G964">
        <v>5</v>
      </c>
      <c r="H964">
        <v>663</v>
      </c>
      <c r="I964" s="238" t="s">
        <v>42</v>
      </c>
      <c r="J964">
        <v>38.96</v>
      </c>
      <c r="K964" s="238" t="s">
        <v>36</v>
      </c>
      <c r="L964">
        <v>2865455</v>
      </c>
      <c r="M964">
        <v>15000</v>
      </c>
      <c r="N964">
        <v>2880455</v>
      </c>
      <c r="O964">
        <v>73933.649897330601</v>
      </c>
      <c r="P964">
        <v>0</v>
      </c>
      <c r="Q964">
        <v>2880455</v>
      </c>
      <c r="R964">
        <v>73933.649897330601</v>
      </c>
      <c r="S964" s="238" t="s">
        <v>137</v>
      </c>
      <c r="T964" s="238" t="s">
        <v>1167</v>
      </c>
      <c r="V964" t="s">
        <v>1167</v>
      </c>
      <c r="W964" s="24">
        <v>44622</v>
      </c>
      <c r="X964" s="238" t="s">
        <v>1095</v>
      </c>
      <c r="Y964" s="238" t="s">
        <v>39</v>
      </c>
      <c r="Z964" s="238" t="s">
        <v>1340</v>
      </c>
      <c r="AA964" t="s">
        <v>1167</v>
      </c>
      <c r="AB964" s="238" t="s">
        <v>3246</v>
      </c>
      <c r="AC964" t="s">
        <v>3079</v>
      </c>
      <c r="AD964" s="24"/>
      <c r="AE964" s="238" t="s">
        <v>2930</v>
      </c>
      <c r="AF964">
        <v>79631170969</v>
      </c>
      <c r="AG964" s="238" t="s">
        <v>2931</v>
      </c>
      <c r="AH964" s="238" t="s">
        <v>1212</v>
      </c>
      <c r="AI964" s="238" t="s">
        <v>135</v>
      </c>
      <c r="AJ964" s="238" t="s">
        <v>399</v>
      </c>
      <c r="AK964" s="238" t="s">
        <v>141</v>
      </c>
      <c r="AL964" t="s">
        <v>8715</v>
      </c>
      <c r="AM964" t="s">
        <v>1167</v>
      </c>
    </row>
    <row r="965" spans="1:39" hidden="1" x14ac:dyDescent="0.25">
      <c r="A965">
        <v>961</v>
      </c>
      <c r="B965">
        <v>23</v>
      </c>
      <c r="C965" s="24">
        <v>44629</v>
      </c>
      <c r="D965" s="238" t="s">
        <v>27</v>
      </c>
      <c r="E965" s="238" t="s">
        <v>15</v>
      </c>
      <c r="F965">
        <v>7</v>
      </c>
      <c r="G965">
        <v>16</v>
      </c>
      <c r="H965">
        <v>630</v>
      </c>
      <c r="I965" s="238" t="s">
        <v>43</v>
      </c>
      <c r="J965">
        <v>59.93</v>
      </c>
      <c r="K965" s="238" t="s">
        <v>37</v>
      </c>
      <c r="L965">
        <v>4447193.75</v>
      </c>
      <c r="M965">
        <v>0</v>
      </c>
      <c r="N965">
        <v>4447193.75</v>
      </c>
      <c r="O965">
        <v>74206.47004838979</v>
      </c>
      <c r="P965">
        <v>329615</v>
      </c>
      <c r="Q965">
        <v>4117578.75</v>
      </c>
      <c r="R965">
        <v>68706.47004838979</v>
      </c>
      <c r="S965" s="238" t="s">
        <v>137</v>
      </c>
      <c r="T965" s="238" t="s">
        <v>1167</v>
      </c>
      <c r="V965" t="s">
        <v>1167</v>
      </c>
      <c r="W965" s="24">
        <v>44624</v>
      </c>
      <c r="X965" s="238" t="s">
        <v>1097</v>
      </c>
      <c r="Y965" s="238" t="s">
        <v>39</v>
      </c>
      <c r="Z965" s="238" t="s">
        <v>1340</v>
      </c>
      <c r="AA965" t="s">
        <v>1167</v>
      </c>
      <c r="AB965" s="238" t="s">
        <v>3246</v>
      </c>
      <c r="AC965" t="s">
        <v>3079</v>
      </c>
      <c r="AD965" s="24"/>
      <c r="AE965" s="238" t="s">
        <v>2932</v>
      </c>
      <c r="AF965">
        <v>79821761795</v>
      </c>
      <c r="AG965" s="238" t="s">
        <v>2933</v>
      </c>
      <c r="AH965" s="238" t="s">
        <v>1171</v>
      </c>
      <c r="AI965" s="238" t="s">
        <v>3084</v>
      </c>
      <c r="AJ965" s="238" t="s">
        <v>689</v>
      </c>
      <c r="AK965" s="238" t="s">
        <v>794</v>
      </c>
      <c r="AL965" t="s">
        <v>8715</v>
      </c>
      <c r="AM965" t="s">
        <v>1167</v>
      </c>
    </row>
    <row r="966" spans="1:39" hidden="1" x14ac:dyDescent="0.25">
      <c r="A966">
        <v>962</v>
      </c>
      <c r="B966">
        <v>24</v>
      </c>
      <c r="C966" s="24">
        <v>44630</v>
      </c>
      <c r="D966" s="238" t="s">
        <v>27</v>
      </c>
      <c r="E966" s="238" t="s">
        <v>16</v>
      </c>
      <c r="F966">
        <v>7</v>
      </c>
      <c r="G966">
        <v>8</v>
      </c>
      <c r="H966">
        <v>446</v>
      </c>
      <c r="I966" s="238" t="s">
        <v>43</v>
      </c>
      <c r="J966">
        <v>59.93</v>
      </c>
      <c r="K966" s="238" t="s">
        <v>37</v>
      </c>
      <c r="L966">
        <v>4667742.1399999997</v>
      </c>
      <c r="M966">
        <v>0</v>
      </c>
      <c r="N966">
        <v>4667742.1399999997</v>
      </c>
      <c r="O966">
        <v>77886.569998331383</v>
      </c>
      <c r="P966">
        <v>329615</v>
      </c>
      <c r="Q966">
        <v>4338127.1399999997</v>
      </c>
      <c r="R966">
        <v>72386.569998331383</v>
      </c>
      <c r="S966" s="238" t="s">
        <v>137</v>
      </c>
      <c r="T966" s="238" t="s">
        <v>1167</v>
      </c>
      <c r="V966" t="s">
        <v>1167</v>
      </c>
      <c r="W966" s="24">
        <v>44622</v>
      </c>
      <c r="X966" s="238" t="s">
        <v>1103</v>
      </c>
      <c r="Y966" s="238" t="s">
        <v>39</v>
      </c>
      <c r="Z966" s="238" t="s">
        <v>1340</v>
      </c>
      <c r="AA966" t="s">
        <v>1167</v>
      </c>
      <c r="AB966" s="238" t="s">
        <v>3246</v>
      </c>
      <c r="AC966" t="s">
        <v>3079</v>
      </c>
      <c r="AD966" s="24"/>
      <c r="AE966" s="238" t="s">
        <v>2934</v>
      </c>
      <c r="AF966">
        <v>79374050182</v>
      </c>
      <c r="AG966" s="238" t="s">
        <v>2935</v>
      </c>
      <c r="AH966" s="238" t="s">
        <v>1212</v>
      </c>
      <c r="AI966" s="238" t="s">
        <v>3088</v>
      </c>
      <c r="AJ966" s="238" t="s">
        <v>120</v>
      </c>
      <c r="AK966" s="238" t="s">
        <v>794</v>
      </c>
      <c r="AL966" t="s">
        <v>8715</v>
      </c>
      <c r="AM966" t="s">
        <v>1167</v>
      </c>
    </row>
    <row r="967" spans="1:39" hidden="1" x14ac:dyDescent="0.25">
      <c r="A967">
        <v>963</v>
      </c>
      <c r="B967">
        <v>25</v>
      </c>
      <c r="C967" s="24">
        <v>44630</v>
      </c>
      <c r="D967" s="238" t="s">
        <v>27</v>
      </c>
      <c r="E967" s="238" t="s">
        <v>6</v>
      </c>
      <c r="F967">
        <v>5</v>
      </c>
      <c r="G967">
        <v>15</v>
      </c>
      <c r="H967">
        <v>122</v>
      </c>
      <c r="I967" s="238" t="s">
        <v>4052</v>
      </c>
      <c r="J967">
        <v>24.47</v>
      </c>
      <c r="K967" s="238" t="s">
        <v>36</v>
      </c>
      <c r="L967">
        <v>1998763.3</v>
      </c>
      <c r="M967">
        <v>15000</v>
      </c>
      <c r="N967">
        <v>2013763.3</v>
      </c>
      <c r="O967">
        <v>82295.190028606463</v>
      </c>
      <c r="P967">
        <v>0</v>
      </c>
      <c r="Q967">
        <v>2013763.3</v>
      </c>
      <c r="R967">
        <v>82295.190028606463</v>
      </c>
      <c r="S967" s="238" t="s">
        <v>137</v>
      </c>
      <c r="T967" s="238" t="s">
        <v>1167</v>
      </c>
      <c r="V967" t="s">
        <v>1167</v>
      </c>
      <c r="W967" s="24">
        <v>44624</v>
      </c>
      <c r="X967" s="238" t="s">
        <v>1100</v>
      </c>
      <c r="Y967" s="238" t="s">
        <v>39</v>
      </c>
      <c r="Z967" s="238" t="s">
        <v>1168</v>
      </c>
      <c r="AA967" t="s">
        <v>1167</v>
      </c>
      <c r="AB967" s="238" t="s">
        <v>3246</v>
      </c>
      <c r="AC967" t="s">
        <v>3079</v>
      </c>
      <c r="AD967" s="24"/>
      <c r="AE967" s="238" t="s">
        <v>2936</v>
      </c>
      <c r="AF967">
        <v>79171041043</v>
      </c>
      <c r="AG967" s="238" t="s">
        <v>2937</v>
      </c>
      <c r="AH967" s="238" t="s">
        <v>1212</v>
      </c>
      <c r="AI967" s="238" t="s">
        <v>3097</v>
      </c>
      <c r="AJ967" s="238" t="s">
        <v>399</v>
      </c>
      <c r="AK967" s="238" t="s">
        <v>794</v>
      </c>
      <c r="AL967" t="s">
        <v>8715</v>
      </c>
      <c r="AM967" t="s">
        <v>1167</v>
      </c>
    </row>
    <row r="968" spans="1:39" hidden="1" x14ac:dyDescent="0.25">
      <c r="A968">
        <v>964</v>
      </c>
      <c r="B968">
        <v>26</v>
      </c>
      <c r="C968" s="24">
        <v>44630</v>
      </c>
      <c r="D968" s="238" t="s">
        <v>27</v>
      </c>
      <c r="E968" s="238" t="s">
        <v>16</v>
      </c>
      <c r="F968">
        <v>8</v>
      </c>
      <c r="G968">
        <v>4</v>
      </c>
      <c r="H968">
        <v>415</v>
      </c>
      <c r="I968" s="238" t="s">
        <v>43</v>
      </c>
      <c r="J968">
        <v>55.8</v>
      </c>
      <c r="K968" s="238" t="s">
        <v>38</v>
      </c>
      <c r="L968">
        <v>5651304.0300000003</v>
      </c>
      <c r="M968">
        <v>0</v>
      </c>
      <c r="N968">
        <v>5651304.0300000003</v>
      </c>
      <c r="O968">
        <v>101277.85</v>
      </c>
      <c r="P968">
        <v>1116000</v>
      </c>
      <c r="Q968">
        <v>4535304.03</v>
      </c>
      <c r="R968">
        <v>81277.850000000006</v>
      </c>
      <c r="S968" s="238" t="s">
        <v>137</v>
      </c>
      <c r="T968" s="238" t="s">
        <v>1167</v>
      </c>
      <c r="V968" t="s">
        <v>1167</v>
      </c>
      <c r="W968" s="24">
        <v>44625</v>
      </c>
      <c r="X968" s="238" t="s">
        <v>1102</v>
      </c>
      <c r="Y968" s="238" t="s">
        <v>39</v>
      </c>
      <c r="Z968" s="238" t="s">
        <v>1340</v>
      </c>
      <c r="AA968" t="s">
        <v>1167</v>
      </c>
      <c r="AB968" s="238" t="s">
        <v>3246</v>
      </c>
      <c r="AC968" t="s">
        <v>3079</v>
      </c>
      <c r="AD968" s="24"/>
      <c r="AE968" s="238" t="s">
        <v>2938</v>
      </c>
      <c r="AF968">
        <v>79677689172</v>
      </c>
      <c r="AG968" s="238" t="s">
        <v>2939</v>
      </c>
      <c r="AH968" s="238" t="s">
        <v>1212</v>
      </c>
      <c r="AI968" s="238" t="s">
        <v>135</v>
      </c>
      <c r="AJ968" s="238" t="s">
        <v>120</v>
      </c>
      <c r="AK968" s="238" t="s">
        <v>141</v>
      </c>
      <c r="AL968" t="s">
        <v>8715</v>
      </c>
      <c r="AM968" t="s">
        <v>1167</v>
      </c>
    </row>
    <row r="969" spans="1:39" hidden="1" x14ac:dyDescent="0.25">
      <c r="A969">
        <v>965</v>
      </c>
      <c r="B969">
        <v>27</v>
      </c>
      <c r="C969" s="24">
        <v>44630</v>
      </c>
      <c r="D969" s="238" t="s">
        <v>27</v>
      </c>
      <c r="E969" s="238" t="s">
        <v>16</v>
      </c>
      <c r="F969">
        <v>2</v>
      </c>
      <c r="G969">
        <v>8</v>
      </c>
      <c r="H969">
        <v>441</v>
      </c>
      <c r="I969" s="238" t="s">
        <v>42</v>
      </c>
      <c r="J969">
        <v>37.159999999999997</v>
      </c>
      <c r="K969" s="238" t="s">
        <v>38</v>
      </c>
      <c r="L969">
        <v>3490574.43</v>
      </c>
      <c r="M969">
        <v>0</v>
      </c>
      <c r="N969">
        <v>3490574.43</v>
      </c>
      <c r="O969">
        <v>93933.649892357382</v>
      </c>
      <c r="P969">
        <v>743200</v>
      </c>
      <c r="Q969">
        <v>2747374.43</v>
      </c>
      <c r="R969">
        <v>73933.649892357382</v>
      </c>
      <c r="S969" s="238" t="s">
        <v>137</v>
      </c>
      <c r="T969" s="238" t="s">
        <v>1167</v>
      </c>
      <c r="V969" t="s">
        <v>1167</v>
      </c>
      <c r="W969" s="24">
        <v>44625</v>
      </c>
      <c r="X969" s="238" t="s">
        <v>1098</v>
      </c>
      <c r="Y969" s="238" t="s">
        <v>39</v>
      </c>
      <c r="Z969" s="238" t="s">
        <v>1340</v>
      </c>
      <c r="AA969" t="s">
        <v>1167</v>
      </c>
      <c r="AB969" s="238" t="s">
        <v>3246</v>
      </c>
      <c r="AC969" t="s">
        <v>3079</v>
      </c>
      <c r="AD969" s="24"/>
      <c r="AE969" s="238" t="s">
        <v>2940</v>
      </c>
      <c r="AF969">
        <v>79371828489</v>
      </c>
      <c r="AG969" s="238" t="s">
        <v>2941</v>
      </c>
      <c r="AH969" s="238" t="s">
        <v>135</v>
      </c>
      <c r="AI969" s="238" t="s">
        <v>3075</v>
      </c>
      <c r="AJ969" s="238" t="s">
        <v>126</v>
      </c>
      <c r="AK969" s="238" t="s">
        <v>141</v>
      </c>
      <c r="AL969" t="s">
        <v>8715</v>
      </c>
      <c r="AM969" t="s">
        <v>1167</v>
      </c>
    </row>
    <row r="970" spans="1:39" hidden="1" x14ac:dyDescent="0.25">
      <c r="A970">
        <v>966</v>
      </c>
      <c r="B970">
        <v>28</v>
      </c>
      <c r="C970" s="24">
        <v>44630</v>
      </c>
      <c r="D970" s="238" t="s">
        <v>27</v>
      </c>
      <c r="E970" s="238" t="s">
        <v>13</v>
      </c>
      <c r="F970">
        <v>3</v>
      </c>
      <c r="G970">
        <v>2</v>
      </c>
      <c r="H970">
        <v>833</v>
      </c>
      <c r="I970" s="238" t="s">
        <v>42</v>
      </c>
      <c r="J970">
        <v>37.31</v>
      </c>
      <c r="K970" s="238" t="s">
        <v>36</v>
      </c>
      <c r="L970">
        <v>3006117.44</v>
      </c>
      <c r="M970">
        <v>0</v>
      </c>
      <c r="N970">
        <v>3006117.44</v>
      </c>
      <c r="O970">
        <v>80571.359957116045</v>
      </c>
      <c r="P970">
        <v>0</v>
      </c>
      <c r="Q970">
        <v>3006117.44</v>
      </c>
      <c r="R970">
        <v>80571.359957116045</v>
      </c>
      <c r="S970" s="238" t="s">
        <v>137</v>
      </c>
      <c r="T970" s="238" t="s">
        <v>1167</v>
      </c>
      <c r="V970" t="s">
        <v>1167</v>
      </c>
      <c r="W970" s="24">
        <v>44625</v>
      </c>
      <c r="X970" s="238" t="s">
        <v>1104</v>
      </c>
      <c r="Y970" s="238" t="s">
        <v>39</v>
      </c>
      <c r="Z970" s="238" t="s">
        <v>1340</v>
      </c>
      <c r="AA970" t="s">
        <v>1167</v>
      </c>
      <c r="AB970" s="238" t="s">
        <v>3246</v>
      </c>
      <c r="AC970" t="s">
        <v>3079</v>
      </c>
      <c r="AD970" s="24"/>
      <c r="AE970" s="238" t="s">
        <v>2942</v>
      </c>
      <c r="AF970">
        <v>79376997106</v>
      </c>
      <c r="AG970" s="238" t="s">
        <v>2943</v>
      </c>
      <c r="AH970" s="238" t="s">
        <v>1212</v>
      </c>
      <c r="AI970" s="238" t="s">
        <v>3097</v>
      </c>
      <c r="AJ970" s="238" t="s">
        <v>126</v>
      </c>
      <c r="AK970" s="238" t="s">
        <v>141</v>
      </c>
      <c r="AL970" t="s">
        <v>8715</v>
      </c>
      <c r="AM970" t="s">
        <v>1167</v>
      </c>
    </row>
    <row r="971" spans="1:39" hidden="1" x14ac:dyDescent="0.25">
      <c r="A971">
        <v>967</v>
      </c>
      <c r="B971">
        <v>29</v>
      </c>
      <c r="C971" s="24">
        <v>44630</v>
      </c>
      <c r="D971" s="238" t="s">
        <v>19</v>
      </c>
      <c r="E971" s="238" t="s">
        <v>6</v>
      </c>
      <c r="F971">
        <v>6</v>
      </c>
      <c r="G971">
        <v>15</v>
      </c>
      <c r="H971">
        <v>97</v>
      </c>
      <c r="I971" s="238" t="s">
        <v>43</v>
      </c>
      <c r="J971">
        <v>59.96</v>
      </c>
      <c r="K971" s="238" t="s">
        <v>36</v>
      </c>
      <c r="L971">
        <v>5167916.42</v>
      </c>
      <c r="M971">
        <v>0</v>
      </c>
      <c r="N971">
        <v>5167916.42</v>
      </c>
      <c r="O971">
        <v>86189.399933288863</v>
      </c>
      <c r="P971">
        <v>0</v>
      </c>
      <c r="Q971">
        <v>5167916.42</v>
      </c>
      <c r="R971">
        <v>86189.399933288863</v>
      </c>
      <c r="S971" s="238" t="s">
        <v>121</v>
      </c>
      <c r="T971" s="238" t="s">
        <v>1167</v>
      </c>
      <c r="V971" t="s">
        <v>1167</v>
      </c>
      <c r="W971" s="24">
        <v>44630</v>
      </c>
      <c r="X971" s="238" t="s">
        <v>1105</v>
      </c>
      <c r="Y971" s="238" t="s">
        <v>39</v>
      </c>
      <c r="Z971" s="238" t="s">
        <v>1340</v>
      </c>
      <c r="AA971" t="s">
        <v>1167</v>
      </c>
      <c r="AB971" s="238" t="s">
        <v>3246</v>
      </c>
      <c r="AC971" t="s">
        <v>4246</v>
      </c>
      <c r="AD971" s="24"/>
      <c r="AE971" s="238" t="s">
        <v>2944</v>
      </c>
      <c r="AF971">
        <v>79370778277</v>
      </c>
      <c r="AG971" s="238" t="s">
        <v>2945</v>
      </c>
      <c r="AH971" s="238" t="s">
        <v>1212</v>
      </c>
      <c r="AI971" s="238" t="s">
        <v>135</v>
      </c>
      <c r="AJ971" s="238" t="s">
        <v>399</v>
      </c>
      <c r="AK971" s="238" t="s">
        <v>1167</v>
      </c>
      <c r="AL971" t="s">
        <v>8715</v>
      </c>
      <c r="AM971" t="s">
        <v>1167</v>
      </c>
    </row>
    <row r="972" spans="1:39" hidden="1" x14ac:dyDescent="0.25">
      <c r="A972">
        <v>968</v>
      </c>
      <c r="B972">
        <v>30</v>
      </c>
      <c r="C972" s="24">
        <v>44630</v>
      </c>
      <c r="D972" s="238" t="s">
        <v>27</v>
      </c>
      <c r="E972" s="238" t="s">
        <v>6</v>
      </c>
      <c r="F972">
        <v>9</v>
      </c>
      <c r="G972">
        <v>5</v>
      </c>
      <c r="H972">
        <v>36</v>
      </c>
      <c r="I972" s="238" t="s">
        <v>42</v>
      </c>
      <c r="J972">
        <v>37.94</v>
      </c>
      <c r="K972" s="238" t="s">
        <v>36</v>
      </c>
      <c r="L972">
        <v>2688165.86</v>
      </c>
      <c r="M972">
        <v>0</v>
      </c>
      <c r="N972">
        <v>2688165.86</v>
      </c>
      <c r="O972">
        <v>70853.080126515546</v>
      </c>
      <c r="P972">
        <v>0</v>
      </c>
      <c r="Q972">
        <v>2688165.86</v>
      </c>
      <c r="R972">
        <v>70853.080126515546</v>
      </c>
      <c r="S972" s="238" t="s">
        <v>124</v>
      </c>
      <c r="T972" s="238" t="s">
        <v>1167</v>
      </c>
      <c r="V972" t="s">
        <v>1167</v>
      </c>
      <c r="W972" s="24">
        <v>44623</v>
      </c>
      <c r="X972" s="238" t="s">
        <v>1099</v>
      </c>
      <c r="Y972" s="238" t="s">
        <v>39</v>
      </c>
      <c r="Z972" s="238" t="s">
        <v>1168</v>
      </c>
      <c r="AA972" t="s">
        <v>1167</v>
      </c>
      <c r="AB972" s="238" t="s">
        <v>3246</v>
      </c>
      <c r="AC972" t="s">
        <v>4246</v>
      </c>
      <c r="AD972" s="24"/>
      <c r="AE972" s="238" t="s">
        <v>2946</v>
      </c>
      <c r="AF972">
        <v>79371751122</v>
      </c>
      <c r="AG972" s="238" t="s">
        <v>2947</v>
      </c>
      <c r="AH972" s="238" t="s">
        <v>1212</v>
      </c>
      <c r="AI972" s="238" t="s">
        <v>3082</v>
      </c>
      <c r="AJ972" s="238" t="s">
        <v>130</v>
      </c>
      <c r="AK972" s="238" t="s">
        <v>1167</v>
      </c>
      <c r="AL972" t="s">
        <v>8715</v>
      </c>
      <c r="AM972" t="s">
        <v>1167</v>
      </c>
    </row>
    <row r="973" spans="1:39" hidden="1" x14ac:dyDescent="0.25">
      <c r="A973">
        <v>969</v>
      </c>
      <c r="B973">
        <v>31</v>
      </c>
      <c r="C973" s="24">
        <v>44630</v>
      </c>
      <c r="D973" s="238" t="s">
        <v>27</v>
      </c>
      <c r="E973" s="238" t="s">
        <v>6</v>
      </c>
      <c r="F973">
        <v>4</v>
      </c>
      <c r="G973">
        <v>10</v>
      </c>
      <c r="H973">
        <v>76</v>
      </c>
      <c r="I973" s="238" t="s">
        <v>4052</v>
      </c>
      <c r="J973">
        <v>24.39</v>
      </c>
      <c r="K973" s="238" t="s">
        <v>36</v>
      </c>
      <c r="L973">
        <v>2040783.98</v>
      </c>
      <c r="M973">
        <v>0</v>
      </c>
      <c r="N973">
        <v>2040783.98</v>
      </c>
      <c r="O973">
        <v>83672.979909799091</v>
      </c>
      <c r="P973">
        <v>0</v>
      </c>
      <c r="Q973">
        <v>2040783.98</v>
      </c>
      <c r="R973">
        <v>83672.979909799091</v>
      </c>
      <c r="S973" s="238" t="s">
        <v>137</v>
      </c>
      <c r="T973" s="238" t="s">
        <v>1167</v>
      </c>
      <c r="V973" t="s">
        <v>1167</v>
      </c>
      <c r="W973" s="24">
        <v>44623</v>
      </c>
      <c r="X973" s="238" t="s">
        <v>1101</v>
      </c>
      <c r="Y973" s="238" t="s">
        <v>39</v>
      </c>
      <c r="Z973" s="238" t="s">
        <v>1340</v>
      </c>
      <c r="AA973" t="s">
        <v>1167</v>
      </c>
      <c r="AB973" s="238" t="s">
        <v>3246</v>
      </c>
      <c r="AC973" t="s">
        <v>3077</v>
      </c>
      <c r="AD973" s="24">
        <v>45009</v>
      </c>
      <c r="AE973" s="238" t="s">
        <v>4408</v>
      </c>
      <c r="AF973">
        <v>79262599999</v>
      </c>
      <c r="AG973" s="238" t="s">
        <v>4409</v>
      </c>
      <c r="AH973" s="238" t="s">
        <v>1212</v>
      </c>
      <c r="AI973" s="238" t="s">
        <v>3089</v>
      </c>
      <c r="AJ973" s="238" t="s">
        <v>130</v>
      </c>
      <c r="AK973" s="238" t="s">
        <v>794</v>
      </c>
      <c r="AL973" t="s">
        <v>8715</v>
      </c>
      <c r="AM973" t="s">
        <v>1167</v>
      </c>
    </row>
    <row r="974" spans="1:39" hidden="1" x14ac:dyDescent="0.25">
      <c r="A974">
        <v>970</v>
      </c>
      <c r="B974">
        <v>32</v>
      </c>
      <c r="C974" s="24">
        <v>44630</v>
      </c>
      <c r="D974" s="238" t="s">
        <v>27</v>
      </c>
      <c r="E974" s="238" t="s">
        <v>15</v>
      </c>
      <c r="F974">
        <v>7</v>
      </c>
      <c r="G974">
        <v>10</v>
      </c>
      <c r="H974">
        <v>582</v>
      </c>
      <c r="I974" s="238" t="s">
        <v>43</v>
      </c>
      <c r="J974">
        <v>59.93</v>
      </c>
      <c r="K974" s="238" t="s">
        <v>36</v>
      </c>
      <c r="L974">
        <v>4102578.75</v>
      </c>
      <c r="M974">
        <v>15000</v>
      </c>
      <c r="N974">
        <v>4117578.75</v>
      </c>
      <c r="O974">
        <v>68706.47004838979</v>
      </c>
      <c r="P974">
        <v>0</v>
      </c>
      <c r="Q974">
        <v>4117578.75</v>
      </c>
      <c r="R974">
        <v>68706.47004838979</v>
      </c>
      <c r="S974" s="238" t="s">
        <v>137</v>
      </c>
      <c r="T974" s="238" t="s">
        <v>1167</v>
      </c>
      <c r="V974" t="s">
        <v>1167</v>
      </c>
      <c r="W974" s="24">
        <v>44626</v>
      </c>
      <c r="X974" s="238" t="s">
        <v>1106</v>
      </c>
      <c r="Y974" s="238" t="s">
        <v>39</v>
      </c>
      <c r="Z974" s="238" t="s">
        <v>1340</v>
      </c>
      <c r="AA974" t="s">
        <v>1167</v>
      </c>
      <c r="AB974" s="238" t="s">
        <v>3246</v>
      </c>
      <c r="AC974" t="s">
        <v>3079</v>
      </c>
      <c r="AD974" s="24"/>
      <c r="AE974" s="238" t="s">
        <v>2948</v>
      </c>
      <c r="AF974">
        <v>79276073113</v>
      </c>
      <c r="AG974" s="238" t="s">
        <v>2949</v>
      </c>
      <c r="AH974" s="238" t="s">
        <v>1171</v>
      </c>
      <c r="AI974" s="238" t="s">
        <v>135</v>
      </c>
      <c r="AJ974" s="238" t="s">
        <v>130</v>
      </c>
      <c r="AK974" s="238" t="s">
        <v>141</v>
      </c>
      <c r="AL974" t="s">
        <v>8715</v>
      </c>
      <c r="AM974" t="s">
        <v>1167</v>
      </c>
    </row>
    <row r="975" spans="1:39" hidden="1" x14ac:dyDescent="0.25">
      <c r="A975">
        <v>971</v>
      </c>
      <c r="B975">
        <v>33</v>
      </c>
      <c r="C975" s="24">
        <v>44631</v>
      </c>
      <c r="D975" s="238" t="s">
        <v>27</v>
      </c>
      <c r="E975" s="238" t="s">
        <v>5</v>
      </c>
      <c r="F975">
        <v>5</v>
      </c>
      <c r="G975">
        <v>21</v>
      </c>
      <c r="H975">
        <v>364</v>
      </c>
      <c r="I975" s="238" t="s">
        <v>4052</v>
      </c>
      <c r="J975">
        <v>23.63</v>
      </c>
      <c r="K975" s="238" t="s">
        <v>37</v>
      </c>
      <c r="L975">
        <v>2231218.41</v>
      </c>
      <c r="M975">
        <v>15000</v>
      </c>
      <c r="N975">
        <v>2246218.41</v>
      </c>
      <c r="O975">
        <v>95057.909860347034</v>
      </c>
      <c r="P975">
        <v>129965</v>
      </c>
      <c r="Q975">
        <v>2116253.41</v>
      </c>
      <c r="R975">
        <v>89557.909860347034</v>
      </c>
      <c r="S975" s="238" t="s">
        <v>124</v>
      </c>
      <c r="T975" s="238" t="s">
        <v>1167</v>
      </c>
      <c r="V975" t="s">
        <v>1167</v>
      </c>
      <c r="W975" s="24">
        <v>44616</v>
      </c>
      <c r="X975" s="238" t="s">
        <v>1108</v>
      </c>
      <c r="Y975" s="238" t="s">
        <v>39</v>
      </c>
      <c r="Z975" s="238" t="s">
        <v>1340</v>
      </c>
      <c r="AA975" t="s">
        <v>3474</v>
      </c>
      <c r="AB975" s="238" t="s">
        <v>3246</v>
      </c>
      <c r="AC975" t="s">
        <v>4246</v>
      </c>
      <c r="AD975" s="24"/>
      <c r="AE975" s="238" t="s">
        <v>2950</v>
      </c>
      <c r="AF975">
        <v>79125357778</v>
      </c>
      <c r="AG975" s="238" t="s">
        <v>2951</v>
      </c>
      <c r="AH975" s="238" t="s">
        <v>1212</v>
      </c>
      <c r="AI975" s="238" t="s">
        <v>135</v>
      </c>
      <c r="AJ975" s="238" t="s">
        <v>689</v>
      </c>
      <c r="AK975" s="238" t="s">
        <v>1167</v>
      </c>
      <c r="AL975" t="s">
        <v>8715</v>
      </c>
      <c r="AM975" t="s">
        <v>1167</v>
      </c>
    </row>
    <row r="976" spans="1:39" hidden="1" x14ac:dyDescent="0.25">
      <c r="A976">
        <v>972</v>
      </c>
      <c r="B976">
        <v>34</v>
      </c>
      <c r="C976" s="24">
        <v>44631</v>
      </c>
      <c r="D976" s="238" t="s">
        <v>27</v>
      </c>
      <c r="E976" s="238" t="s">
        <v>6</v>
      </c>
      <c r="F976">
        <v>1</v>
      </c>
      <c r="G976">
        <v>5</v>
      </c>
      <c r="H976">
        <v>28</v>
      </c>
      <c r="I976" s="238" t="s">
        <v>44</v>
      </c>
      <c r="J976">
        <v>82.71</v>
      </c>
      <c r="K976" s="238" t="s">
        <v>36</v>
      </c>
      <c r="L976">
        <v>5119500.4000000004</v>
      </c>
      <c r="M976">
        <v>0</v>
      </c>
      <c r="N976">
        <v>5119500.4000000004</v>
      </c>
      <c r="O976">
        <v>61896.994317494871</v>
      </c>
      <c r="P976">
        <v>0</v>
      </c>
      <c r="Q976">
        <v>5119500.4000000004</v>
      </c>
      <c r="R976">
        <v>61896.994317494871</v>
      </c>
      <c r="S976" s="238" t="s">
        <v>137</v>
      </c>
      <c r="T976" s="238" t="s">
        <v>1167</v>
      </c>
      <c r="V976" t="s">
        <v>1167</v>
      </c>
      <c r="W976" s="24">
        <v>44622</v>
      </c>
      <c r="X976" s="238" t="s">
        <v>1109</v>
      </c>
      <c r="Y976" s="238" t="s">
        <v>39</v>
      </c>
      <c r="Z976" s="238" t="s">
        <v>1340</v>
      </c>
      <c r="AA976" t="s">
        <v>1167</v>
      </c>
      <c r="AB976" s="238" t="s">
        <v>3246</v>
      </c>
      <c r="AC976" t="s">
        <v>3079</v>
      </c>
      <c r="AD976" s="24"/>
      <c r="AE976" s="238" t="s">
        <v>2952</v>
      </c>
      <c r="AF976">
        <v>79501843245</v>
      </c>
      <c r="AG976" s="238" t="s">
        <v>2953</v>
      </c>
      <c r="AH976" s="238" t="s">
        <v>135</v>
      </c>
      <c r="AI976" s="238" t="s">
        <v>3099</v>
      </c>
      <c r="AJ976" s="238" t="s">
        <v>126</v>
      </c>
      <c r="AK976" s="238" t="s">
        <v>141</v>
      </c>
      <c r="AL976" t="s">
        <v>8715</v>
      </c>
      <c r="AM976" t="s">
        <v>1167</v>
      </c>
    </row>
    <row r="977" spans="1:39" hidden="1" x14ac:dyDescent="0.25">
      <c r="A977">
        <v>973</v>
      </c>
      <c r="B977">
        <v>35</v>
      </c>
      <c r="C977" s="24">
        <v>44631</v>
      </c>
      <c r="D977" s="238" t="s">
        <v>27</v>
      </c>
      <c r="E977" s="238" t="s">
        <v>14</v>
      </c>
      <c r="F977">
        <v>5</v>
      </c>
      <c r="G977">
        <v>22</v>
      </c>
      <c r="H977">
        <v>811</v>
      </c>
      <c r="I977" s="238" t="s">
        <v>43</v>
      </c>
      <c r="J977">
        <v>61.96</v>
      </c>
      <c r="K977" s="238" t="s">
        <v>36</v>
      </c>
      <c r="L977">
        <v>5129090.3099999996</v>
      </c>
      <c r="M977">
        <v>0</v>
      </c>
      <c r="N977">
        <v>5129090.3099999996</v>
      </c>
      <c r="O977">
        <v>82780.669948353767</v>
      </c>
      <c r="P977">
        <v>0</v>
      </c>
      <c r="Q977">
        <v>5129090.3099999996</v>
      </c>
      <c r="R977">
        <v>82780.669948353767</v>
      </c>
      <c r="S977" s="238" t="s">
        <v>137</v>
      </c>
      <c r="T977" s="238" t="s">
        <v>1167</v>
      </c>
      <c r="V977" t="s">
        <v>1167</v>
      </c>
      <c r="W977" s="24">
        <v>44627</v>
      </c>
      <c r="X977" s="238" t="s">
        <v>1110</v>
      </c>
      <c r="Y977" s="238" t="s">
        <v>39</v>
      </c>
      <c r="Z977" s="238" t="s">
        <v>1340</v>
      </c>
      <c r="AA977" t="s">
        <v>1167</v>
      </c>
      <c r="AB977" s="238" t="s">
        <v>3246</v>
      </c>
      <c r="AC977" t="s">
        <v>3079</v>
      </c>
      <c r="AD977" s="24"/>
      <c r="AE977" s="238" t="s">
        <v>2954</v>
      </c>
      <c r="AF977">
        <v>79228884777</v>
      </c>
      <c r="AG977" s="238" t="s">
        <v>2955</v>
      </c>
      <c r="AH977" s="238" t="s">
        <v>1212</v>
      </c>
      <c r="AI977" s="238" t="s">
        <v>135</v>
      </c>
      <c r="AJ977" s="238" t="s">
        <v>130</v>
      </c>
      <c r="AK977" s="238" t="s">
        <v>141</v>
      </c>
      <c r="AL977" t="s">
        <v>8715</v>
      </c>
      <c r="AM977" t="s">
        <v>1167</v>
      </c>
    </row>
    <row r="978" spans="1:39" hidden="1" x14ac:dyDescent="0.25">
      <c r="A978">
        <v>974</v>
      </c>
      <c r="B978">
        <v>36</v>
      </c>
      <c r="C978" s="24">
        <v>44631</v>
      </c>
      <c r="D978" s="238" t="s">
        <v>27</v>
      </c>
      <c r="E978" s="238" t="s">
        <v>16</v>
      </c>
      <c r="F978">
        <v>2</v>
      </c>
      <c r="G978">
        <v>7</v>
      </c>
      <c r="H978">
        <v>433</v>
      </c>
      <c r="I978" s="238" t="s">
        <v>42</v>
      </c>
      <c r="J978">
        <v>37.159999999999997</v>
      </c>
      <c r="K978" s="238" t="s">
        <v>37</v>
      </c>
      <c r="L978">
        <v>2951754.43</v>
      </c>
      <c r="M978">
        <v>0</v>
      </c>
      <c r="N978">
        <v>2951754.43</v>
      </c>
      <c r="O978">
        <v>79433.649892357382</v>
      </c>
      <c r="P978">
        <v>204380</v>
      </c>
      <c r="Q978">
        <v>2747374.43</v>
      </c>
      <c r="R978">
        <v>73933.649892357382</v>
      </c>
      <c r="S978" s="238" t="s">
        <v>137</v>
      </c>
      <c r="T978" s="238" t="s">
        <v>1167</v>
      </c>
      <c r="V978" t="s">
        <v>1167</v>
      </c>
      <c r="W978" s="24">
        <v>44628</v>
      </c>
      <c r="X978" s="238" t="s">
        <v>1107</v>
      </c>
      <c r="Y978" s="238" t="s">
        <v>39</v>
      </c>
      <c r="Z978" s="238" t="s">
        <v>1340</v>
      </c>
      <c r="AA978" t="s">
        <v>3474</v>
      </c>
      <c r="AB978" s="238" t="s">
        <v>3246</v>
      </c>
      <c r="AC978" t="s">
        <v>3077</v>
      </c>
      <c r="AD978" s="24"/>
      <c r="AE978" s="238" t="s">
        <v>2956</v>
      </c>
      <c r="AF978">
        <v>79871669896</v>
      </c>
      <c r="AG978" s="238" t="s">
        <v>2957</v>
      </c>
      <c r="AH978" s="238" t="s">
        <v>135</v>
      </c>
      <c r="AI978" s="238" t="s">
        <v>3075</v>
      </c>
      <c r="AJ978" s="238" t="s">
        <v>126</v>
      </c>
      <c r="AK978" s="238" t="s">
        <v>794</v>
      </c>
      <c r="AL978" t="s">
        <v>8715</v>
      </c>
      <c r="AM978" t="s">
        <v>1167</v>
      </c>
    </row>
    <row r="979" spans="1:39" hidden="1" x14ac:dyDescent="0.25">
      <c r="A979">
        <v>975</v>
      </c>
      <c r="B979">
        <v>37</v>
      </c>
      <c r="C979" s="24">
        <v>44632</v>
      </c>
      <c r="D979" s="238" t="s">
        <v>27</v>
      </c>
      <c r="E979" s="238" t="s">
        <v>6</v>
      </c>
      <c r="F979">
        <v>8</v>
      </c>
      <c r="G979">
        <v>5</v>
      </c>
      <c r="H979">
        <v>35</v>
      </c>
      <c r="I979" s="238" t="s">
        <v>42</v>
      </c>
      <c r="J979">
        <v>37.69</v>
      </c>
      <c r="K979" s="238" t="s">
        <v>36</v>
      </c>
      <c r="L979">
        <v>2786559.27</v>
      </c>
      <c r="M979">
        <v>0</v>
      </c>
      <c r="N979">
        <v>2786559.27</v>
      </c>
      <c r="O979">
        <v>73933.650039798362</v>
      </c>
      <c r="P979">
        <v>0</v>
      </c>
      <c r="Q979">
        <v>2786559.27</v>
      </c>
      <c r="R979">
        <v>73933.650039798362</v>
      </c>
      <c r="S979" s="238" t="s">
        <v>124</v>
      </c>
      <c r="T979" s="238" t="s">
        <v>1167</v>
      </c>
      <c r="V979" t="s">
        <v>1167</v>
      </c>
      <c r="W979" s="24">
        <v>44629</v>
      </c>
      <c r="X979" s="238" t="s">
        <v>1111</v>
      </c>
      <c r="Y979" s="238" t="s">
        <v>39</v>
      </c>
      <c r="Z979" s="238" t="s">
        <v>1340</v>
      </c>
      <c r="AA979" t="s">
        <v>1167</v>
      </c>
      <c r="AB979" s="238" t="s">
        <v>3246</v>
      </c>
      <c r="AC979" t="s">
        <v>4246</v>
      </c>
      <c r="AD979" s="24"/>
      <c r="AE979" s="238" t="s">
        <v>2958</v>
      </c>
      <c r="AF979">
        <v>79608083608</v>
      </c>
      <c r="AG979" s="238" t="s">
        <v>2959</v>
      </c>
      <c r="AH979" s="238" t="s">
        <v>1212</v>
      </c>
      <c r="AI979" s="238" t="s">
        <v>3103</v>
      </c>
      <c r="AJ979" s="238" t="s">
        <v>126</v>
      </c>
      <c r="AK979" s="238" t="s">
        <v>1167</v>
      </c>
      <c r="AL979" t="s">
        <v>8715</v>
      </c>
      <c r="AM979" t="s">
        <v>1167</v>
      </c>
    </row>
    <row r="980" spans="1:39" hidden="1" x14ac:dyDescent="0.25">
      <c r="A980">
        <v>976</v>
      </c>
      <c r="B980">
        <v>38</v>
      </c>
      <c r="C980" s="24">
        <v>44632</v>
      </c>
      <c r="D980" s="238" t="s">
        <v>19</v>
      </c>
      <c r="E980" s="238" t="s">
        <v>6</v>
      </c>
      <c r="F980">
        <v>4</v>
      </c>
      <c r="G980">
        <v>22</v>
      </c>
      <c r="H980">
        <v>144</v>
      </c>
      <c r="I980" s="238" t="s">
        <v>42</v>
      </c>
      <c r="J980">
        <v>36.86</v>
      </c>
      <c r="K980" s="238" t="s">
        <v>36</v>
      </c>
      <c r="L980">
        <v>3543274.76</v>
      </c>
      <c r="M980">
        <v>0</v>
      </c>
      <c r="N980">
        <v>3543274.76</v>
      </c>
      <c r="O980">
        <v>96127.909929462825</v>
      </c>
      <c r="P980">
        <v>0</v>
      </c>
      <c r="Q980">
        <v>3543274.76</v>
      </c>
      <c r="R980">
        <v>96127.909929462825</v>
      </c>
      <c r="S980" s="238" t="s">
        <v>137</v>
      </c>
      <c r="T980" s="238" t="s">
        <v>1167</v>
      </c>
      <c r="V980" t="s">
        <v>1167</v>
      </c>
      <c r="W980" s="24">
        <v>44631</v>
      </c>
      <c r="X980" s="238" t="s">
        <v>1112</v>
      </c>
      <c r="Y980" s="238" t="s">
        <v>39</v>
      </c>
      <c r="Z980" s="238" t="s">
        <v>1340</v>
      </c>
      <c r="AA980" t="s">
        <v>1167</v>
      </c>
      <c r="AB980" s="238" t="s">
        <v>3246</v>
      </c>
      <c r="AC980" t="s">
        <v>3079</v>
      </c>
      <c r="AD980" s="24"/>
      <c r="AE980" s="238" t="s">
        <v>2960</v>
      </c>
      <c r="AF980">
        <v>79277127127</v>
      </c>
      <c r="AG980" s="238" t="s">
        <v>2961</v>
      </c>
      <c r="AH980" s="238" t="s">
        <v>1212</v>
      </c>
      <c r="AI980" s="238" t="s">
        <v>135</v>
      </c>
      <c r="AJ980" s="238" t="s">
        <v>130</v>
      </c>
      <c r="AK980" s="238" t="s">
        <v>794</v>
      </c>
      <c r="AL980" t="s">
        <v>8715</v>
      </c>
      <c r="AM980" t="s">
        <v>1167</v>
      </c>
    </row>
    <row r="981" spans="1:39" hidden="1" x14ac:dyDescent="0.25">
      <c r="A981">
        <v>977</v>
      </c>
      <c r="B981">
        <v>39</v>
      </c>
      <c r="C981" s="24">
        <v>44634</v>
      </c>
      <c r="D981" s="238" t="s">
        <v>27</v>
      </c>
      <c r="E981" s="238" t="s">
        <v>15</v>
      </c>
      <c r="F981">
        <v>2</v>
      </c>
      <c r="G981">
        <v>2</v>
      </c>
      <c r="H981">
        <v>513</v>
      </c>
      <c r="I981" s="238" t="s">
        <v>42</v>
      </c>
      <c r="J981">
        <v>37.159999999999997</v>
      </c>
      <c r="K981" s="238" t="s">
        <v>37</v>
      </c>
      <c r="L981">
        <v>2820851.45</v>
      </c>
      <c r="M981">
        <v>0</v>
      </c>
      <c r="N981">
        <v>2820851.45</v>
      </c>
      <c r="O981">
        <v>75910.964747039834</v>
      </c>
      <c r="P981">
        <v>204380</v>
      </c>
      <c r="Q981">
        <v>2616471.4500000002</v>
      </c>
      <c r="R981">
        <v>70410.964747039834</v>
      </c>
      <c r="S981" s="238" t="s">
        <v>137</v>
      </c>
      <c r="T981" s="238" t="s">
        <v>321</v>
      </c>
      <c r="U981">
        <v>26429</v>
      </c>
      <c r="V981" t="s">
        <v>1167</v>
      </c>
      <c r="W981" s="24">
        <v>44629</v>
      </c>
      <c r="X981" s="238" t="s">
        <v>1115</v>
      </c>
      <c r="Y981" s="238" t="s">
        <v>39</v>
      </c>
      <c r="Z981" s="238" t="s">
        <v>1340</v>
      </c>
      <c r="AA981" t="s">
        <v>3474</v>
      </c>
      <c r="AB981" s="238" t="s">
        <v>3246</v>
      </c>
      <c r="AC981" t="s">
        <v>3077</v>
      </c>
      <c r="AD981" s="24"/>
      <c r="AE981" s="238" t="s">
        <v>2962</v>
      </c>
      <c r="AF981">
        <v>79270037630</v>
      </c>
      <c r="AG981" s="238" t="s">
        <v>2963</v>
      </c>
      <c r="AH981" s="238" t="s">
        <v>1171</v>
      </c>
      <c r="AI981" s="238" t="s">
        <v>3090</v>
      </c>
      <c r="AJ981" s="238" t="s">
        <v>126</v>
      </c>
      <c r="AK981" s="238" t="s">
        <v>141</v>
      </c>
      <c r="AL981" t="s">
        <v>8715</v>
      </c>
      <c r="AM981" t="s">
        <v>1167</v>
      </c>
    </row>
    <row r="982" spans="1:39" hidden="1" x14ac:dyDescent="0.25">
      <c r="A982">
        <v>978</v>
      </c>
      <c r="B982">
        <v>40</v>
      </c>
      <c r="C982" s="24">
        <v>44634</v>
      </c>
      <c r="D982" s="238" t="s">
        <v>27</v>
      </c>
      <c r="E982" s="238" t="s">
        <v>16</v>
      </c>
      <c r="F982">
        <v>5</v>
      </c>
      <c r="G982">
        <v>3</v>
      </c>
      <c r="H982">
        <v>404</v>
      </c>
      <c r="I982" s="238" t="s">
        <v>4052</v>
      </c>
      <c r="J982">
        <v>23.63</v>
      </c>
      <c r="K982" s="238" t="s">
        <v>36</v>
      </c>
      <c r="L982">
        <v>1886739.09</v>
      </c>
      <c r="M982">
        <v>15000</v>
      </c>
      <c r="N982">
        <v>1901739.09</v>
      </c>
      <c r="O982">
        <v>80479.859923825657</v>
      </c>
      <c r="P982">
        <v>0</v>
      </c>
      <c r="Q982">
        <v>1901739.09</v>
      </c>
      <c r="R982">
        <v>80479.859923825657</v>
      </c>
      <c r="S982" s="238" t="s">
        <v>121</v>
      </c>
      <c r="T982" s="238" t="s">
        <v>1167</v>
      </c>
      <c r="V982" t="s">
        <v>1167</v>
      </c>
      <c r="W982" s="24">
        <v>44631</v>
      </c>
      <c r="X982" s="238" t="s">
        <v>1113</v>
      </c>
      <c r="Y982" s="238" t="s">
        <v>39</v>
      </c>
      <c r="Z982" s="238" t="s">
        <v>1168</v>
      </c>
      <c r="AA982" t="s">
        <v>1167</v>
      </c>
      <c r="AB982" s="238" t="s">
        <v>3246</v>
      </c>
      <c r="AC982" t="s">
        <v>4246</v>
      </c>
      <c r="AD982" s="24"/>
      <c r="AE982" s="238" t="s">
        <v>2826</v>
      </c>
      <c r="AF982">
        <v>79277415520</v>
      </c>
      <c r="AG982" s="238" t="s">
        <v>2827</v>
      </c>
      <c r="AH982" s="238" t="s">
        <v>1197</v>
      </c>
      <c r="AI982" s="238" t="s">
        <v>6406</v>
      </c>
      <c r="AJ982" s="238" t="s">
        <v>982</v>
      </c>
      <c r="AK982" s="238" t="s">
        <v>1167</v>
      </c>
      <c r="AL982" t="s">
        <v>57</v>
      </c>
      <c r="AM982" t="s">
        <v>1167</v>
      </c>
    </row>
    <row r="983" spans="1:39" hidden="1" x14ac:dyDescent="0.25">
      <c r="A983">
        <v>979</v>
      </c>
      <c r="B983">
        <v>41</v>
      </c>
      <c r="C983" s="24">
        <v>44634</v>
      </c>
      <c r="D983" s="238" t="s">
        <v>27</v>
      </c>
      <c r="E983" s="238" t="s">
        <v>5</v>
      </c>
      <c r="F983">
        <v>5</v>
      </c>
      <c r="G983">
        <v>3</v>
      </c>
      <c r="H983">
        <v>220</v>
      </c>
      <c r="I983" s="238" t="s">
        <v>4052</v>
      </c>
      <c r="J983">
        <v>23.63</v>
      </c>
      <c r="K983" s="238" t="s">
        <v>36</v>
      </c>
      <c r="L983">
        <v>1886739.09</v>
      </c>
      <c r="M983">
        <v>15000</v>
      </c>
      <c r="N983">
        <v>1901739.09</v>
      </c>
      <c r="O983">
        <v>80479.859923825657</v>
      </c>
      <c r="P983">
        <v>0</v>
      </c>
      <c r="Q983">
        <v>1901739.09</v>
      </c>
      <c r="R983">
        <v>80479.859923825657</v>
      </c>
      <c r="S983" s="238" t="s">
        <v>121</v>
      </c>
      <c r="T983" s="238" t="s">
        <v>1167</v>
      </c>
      <c r="V983" t="s">
        <v>1167</v>
      </c>
      <c r="W983" s="24">
        <v>44631</v>
      </c>
      <c r="X983" s="238" t="s">
        <v>1114</v>
      </c>
      <c r="Y983" s="238" t="s">
        <v>39</v>
      </c>
      <c r="Z983" s="238" t="s">
        <v>1168</v>
      </c>
      <c r="AA983" t="s">
        <v>1167</v>
      </c>
      <c r="AB983" s="238" t="s">
        <v>3246</v>
      </c>
      <c r="AC983" t="s">
        <v>4246</v>
      </c>
      <c r="AD983" s="24"/>
      <c r="AE983" s="238" t="s">
        <v>2826</v>
      </c>
      <c r="AF983">
        <v>79277415520</v>
      </c>
      <c r="AG983" s="238" t="s">
        <v>2827</v>
      </c>
      <c r="AH983" s="238" t="s">
        <v>1197</v>
      </c>
      <c r="AI983" s="238" t="s">
        <v>6406</v>
      </c>
      <c r="AJ983" s="238" t="s">
        <v>982</v>
      </c>
      <c r="AK983" s="238" t="s">
        <v>1167</v>
      </c>
      <c r="AL983" t="s">
        <v>57</v>
      </c>
      <c r="AM983" t="s">
        <v>1167</v>
      </c>
    </row>
    <row r="984" spans="1:39" hidden="1" x14ac:dyDescent="0.25">
      <c r="A984">
        <v>980</v>
      </c>
      <c r="B984">
        <v>42</v>
      </c>
      <c r="C984" s="24">
        <v>44634</v>
      </c>
      <c r="D984" s="238" t="s">
        <v>19</v>
      </c>
      <c r="E984" s="238" t="s">
        <v>5</v>
      </c>
      <c r="F984">
        <v>2</v>
      </c>
      <c r="G984">
        <v>10</v>
      </c>
      <c r="H984">
        <v>251</v>
      </c>
      <c r="I984" s="238" t="s">
        <v>42</v>
      </c>
      <c r="J984">
        <v>38.22</v>
      </c>
      <c r="K984" s="238" t="s">
        <v>37</v>
      </c>
      <c r="L984">
        <v>3969078.59</v>
      </c>
      <c r="M984">
        <v>0</v>
      </c>
      <c r="N984">
        <v>3969078.59</v>
      </c>
      <c r="O984">
        <v>103848.21009942438</v>
      </c>
      <c r="P984">
        <v>210210</v>
      </c>
      <c r="Q984">
        <v>3758868.59</v>
      </c>
      <c r="R984">
        <v>98348.210099424381</v>
      </c>
      <c r="S984" s="238" t="s">
        <v>137</v>
      </c>
      <c r="T984" s="238" t="s">
        <v>1167</v>
      </c>
      <c r="V984" t="s">
        <v>1167</v>
      </c>
      <c r="W984" s="24">
        <v>44632</v>
      </c>
      <c r="X984" s="238" t="s">
        <v>1118</v>
      </c>
      <c r="Y984" s="238" t="s">
        <v>39</v>
      </c>
      <c r="Z984" s="238" t="s">
        <v>1340</v>
      </c>
      <c r="AA984" t="s">
        <v>1167</v>
      </c>
      <c r="AB984" s="238" t="s">
        <v>3246</v>
      </c>
      <c r="AC984" t="s">
        <v>3079</v>
      </c>
      <c r="AD984" s="24"/>
      <c r="AE984" s="238" t="s">
        <v>2964</v>
      </c>
      <c r="AF984">
        <v>79276086894</v>
      </c>
      <c r="AG984" s="238" t="s">
        <v>2965</v>
      </c>
      <c r="AH984" s="238" t="s">
        <v>135</v>
      </c>
      <c r="AI984" s="238" t="s">
        <v>135</v>
      </c>
      <c r="AJ984" s="238" t="s">
        <v>126</v>
      </c>
      <c r="AK984" s="238" t="s">
        <v>794</v>
      </c>
      <c r="AL984" t="s">
        <v>8715</v>
      </c>
      <c r="AM984" t="s">
        <v>1167</v>
      </c>
    </row>
    <row r="985" spans="1:39" hidden="1" x14ac:dyDescent="0.25">
      <c r="A985">
        <v>981</v>
      </c>
      <c r="B985">
        <v>43</v>
      </c>
      <c r="C985" s="24">
        <v>44634</v>
      </c>
      <c r="D985" s="238" t="s">
        <v>19</v>
      </c>
      <c r="E985" s="238" t="s">
        <v>5</v>
      </c>
      <c r="F985">
        <v>4</v>
      </c>
      <c r="G985">
        <v>15</v>
      </c>
      <c r="H985">
        <v>308</v>
      </c>
      <c r="I985" s="238" t="s">
        <v>42</v>
      </c>
      <c r="J985">
        <v>37.89</v>
      </c>
      <c r="K985" s="238" t="s">
        <v>37</v>
      </c>
      <c r="L985">
        <v>3859242.76</v>
      </c>
      <c r="M985">
        <v>0</v>
      </c>
      <c r="N985">
        <v>3859242.76</v>
      </c>
      <c r="O985">
        <v>101853.86012140405</v>
      </c>
      <c r="P985">
        <v>208395</v>
      </c>
      <c r="Q985">
        <v>3650847.76</v>
      </c>
      <c r="R985">
        <v>96353.860121404054</v>
      </c>
      <c r="S985" s="238" t="s">
        <v>137</v>
      </c>
      <c r="T985" s="238" t="s">
        <v>1167</v>
      </c>
      <c r="V985" t="s">
        <v>1167</v>
      </c>
      <c r="W985" s="24">
        <v>44631</v>
      </c>
      <c r="X985" s="238" t="s">
        <v>1116</v>
      </c>
      <c r="Y985" s="238" t="s">
        <v>39</v>
      </c>
      <c r="Z985" s="238" t="s">
        <v>1340</v>
      </c>
      <c r="AA985" t="s">
        <v>1167</v>
      </c>
      <c r="AB985" s="238" t="s">
        <v>3246</v>
      </c>
      <c r="AC985" t="s">
        <v>3079</v>
      </c>
      <c r="AD985" s="24"/>
      <c r="AE985" s="238" t="s">
        <v>2966</v>
      </c>
      <c r="AF985">
        <v>79058241267</v>
      </c>
      <c r="AG985" s="238" t="s">
        <v>2967</v>
      </c>
      <c r="AH985" s="238" t="s">
        <v>1212</v>
      </c>
      <c r="AI985" s="238" t="s">
        <v>135</v>
      </c>
      <c r="AJ985" s="238" t="s">
        <v>130</v>
      </c>
      <c r="AK985" s="238" t="s">
        <v>794</v>
      </c>
      <c r="AL985" t="s">
        <v>8715</v>
      </c>
      <c r="AM985" t="s">
        <v>1167</v>
      </c>
    </row>
    <row r="986" spans="1:39" hidden="1" x14ac:dyDescent="0.25">
      <c r="A986">
        <v>982</v>
      </c>
      <c r="B986">
        <v>44</v>
      </c>
      <c r="C986" s="24">
        <v>44634</v>
      </c>
      <c r="D986" s="238" t="s">
        <v>27</v>
      </c>
      <c r="E986" s="238" t="s">
        <v>6</v>
      </c>
      <c r="F986">
        <v>8</v>
      </c>
      <c r="G986">
        <v>12</v>
      </c>
      <c r="H986">
        <v>98</v>
      </c>
      <c r="I986" s="238" t="s">
        <v>42</v>
      </c>
      <c r="J986">
        <v>37.69</v>
      </c>
      <c r="K986" s="238" t="s">
        <v>36</v>
      </c>
      <c r="L986">
        <v>3378649.95</v>
      </c>
      <c r="M986">
        <v>0</v>
      </c>
      <c r="N986">
        <v>3378649.95</v>
      </c>
      <c r="O986">
        <v>89643.140090209621</v>
      </c>
      <c r="P986">
        <v>0</v>
      </c>
      <c r="Q986">
        <v>3378649.95</v>
      </c>
      <c r="R986">
        <v>89643.140090209621</v>
      </c>
      <c r="S986" s="238" t="s">
        <v>137</v>
      </c>
      <c r="T986" s="238" t="s">
        <v>1167</v>
      </c>
      <c r="V986" t="s">
        <v>1167</v>
      </c>
      <c r="W986" s="24">
        <v>44632</v>
      </c>
      <c r="X986" s="238" t="s">
        <v>1117</v>
      </c>
      <c r="Y986" s="238" t="s">
        <v>39</v>
      </c>
      <c r="Z986" s="238" t="s">
        <v>1340</v>
      </c>
      <c r="AA986" t="s">
        <v>1167</v>
      </c>
      <c r="AB986" s="238" t="s">
        <v>3246</v>
      </c>
      <c r="AC986" t="s">
        <v>3079</v>
      </c>
      <c r="AD986" s="24"/>
      <c r="AE986" s="238" t="s">
        <v>2901</v>
      </c>
      <c r="AF986">
        <v>79276063005</v>
      </c>
      <c r="AG986" s="238" t="s">
        <v>2902</v>
      </c>
      <c r="AH986" s="238" t="s">
        <v>1197</v>
      </c>
      <c r="AI986" s="238" t="s">
        <v>3082</v>
      </c>
      <c r="AJ986" s="238" t="s">
        <v>130</v>
      </c>
      <c r="AK986" s="238" t="s">
        <v>794</v>
      </c>
      <c r="AL986" t="s">
        <v>8715</v>
      </c>
      <c r="AM986" t="s">
        <v>1167</v>
      </c>
    </row>
    <row r="987" spans="1:39" hidden="1" x14ac:dyDescent="0.25">
      <c r="A987">
        <v>983</v>
      </c>
      <c r="B987">
        <v>45</v>
      </c>
      <c r="C987" s="24">
        <v>44635</v>
      </c>
      <c r="D987" s="238" t="s">
        <v>27</v>
      </c>
      <c r="E987" s="238" t="s">
        <v>16</v>
      </c>
      <c r="F987">
        <v>2</v>
      </c>
      <c r="G987">
        <v>3</v>
      </c>
      <c r="H987">
        <v>401</v>
      </c>
      <c r="I987" s="238" t="s">
        <v>42</v>
      </c>
      <c r="J987">
        <v>37.159999999999997</v>
      </c>
      <c r="K987" s="238" t="s">
        <v>37</v>
      </c>
      <c r="L987">
        <v>3383895.13</v>
      </c>
      <c r="M987">
        <v>0</v>
      </c>
      <c r="N987">
        <v>3383895.13</v>
      </c>
      <c r="O987">
        <v>91062.839881593114</v>
      </c>
      <c r="P987">
        <v>260120</v>
      </c>
      <c r="Q987">
        <v>3123775.13</v>
      </c>
      <c r="R987">
        <v>84062.839881593114</v>
      </c>
      <c r="S987" s="238" t="s">
        <v>137</v>
      </c>
      <c r="T987" s="238" t="s">
        <v>1167</v>
      </c>
      <c r="V987" t="s">
        <v>1167</v>
      </c>
      <c r="W987" s="24">
        <v>44629</v>
      </c>
      <c r="X987" s="238" t="s">
        <v>1119</v>
      </c>
      <c r="Y987" s="238" t="s">
        <v>39</v>
      </c>
      <c r="Z987" s="238" t="s">
        <v>1340</v>
      </c>
      <c r="AA987" t="s">
        <v>1167</v>
      </c>
      <c r="AB987" s="238" t="s">
        <v>3246</v>
      </c>
      <c r="AC987" t="s">
        <v>3079</v>
      </c>
      <c r="AD987" s="24"/>
      <c r="AE987" s="238" t="s">
        <v>2968</v>
      </c>
      <c r="AF987">
        <v>79871564066</v>
      </c>
      <c r="AG987" s="238" t="s">
        <v>2969</v>
      </c>
      <c r="AH987" s="238" t="s">
        <v>1212</v>
      </c>
      <c r="AI987" s="238" t="s">
        <v>3106</v>
      </c>
      <c r="AJ987" s="238" t="s">
        <v>689</v>
      </c>
      <c r="AK987" s="238" t="s">
        <v>794</v>
      </c>
      <c r="AL987" t="s">
        <v>8715</v>
      </c>
      <c r="AM987" t="s">
        <v>1167</v>
      </c>
    </row>
    <row r="988" spans="1:39" hidden="1" x14ac:dyDescent="0.25">
      <c r="A988">
        <v>984</v>
      </c>
      <c r="B988">
        <v>46</v>
      </c>
      <c r="C988" s="24">
        <v>44636</v>
      </c>
      <c r="D988" s="238" t="s">
        <v>27</v>
      </c>
      <c r="E988" s="238" t="s">
        <v>15</v>
      </c>
      <c r="F988">
        <v>4</v>
      </c>
      <c r="G988">
        <v>9</v>
      </c>
      <c r="H988">
        <v>571</v>
      </c>
      <c r="I988" s="238" t="s">
        <v>42</v>
      </c>
      <c r="J988">
        <v>40</v>
      </c>
      <c r="K988" s="238" t="s">
        <v>36</v>
      </c>
      <c r="L988">
        <v>2777440.74</v>
      </c>
      <c r="M988">
        <v>0</v>
      </c>
      <c r="N988">
        <v>2777440.74</v>
      </c>
      <c r="O988">
        <v>69436.018500000006</v>
      </c>
      <c r="P988">
        <v>0</v>
      </c>
      <c r="Q988">
        <v>2777440.74</v>
      </c>
      <c r="R988">
        <v>69436.018500000006</v>
      </c>
      <c r="S988" s="238" t="s">
        <v>137</v>
      </c>
      <c r="T988" s="238" t="s">
        <v>350</v>
      </c>
      <c r="U988">
        <v>56682.46</v>
      </c>
      <c r="V988" t="s">
        <v>1167</v>
      </c>
      <c r="W988" s="24">
        <v>44625</v>
      </c>
      <c r="X988" s="238" t="s">
        <v>1121</v>
      </c>
      <c r="Y988" s="238" t="s">
        <v>39</v>
      </c>
      <c r="Z988" s="238" t="s">
        <v>1340</v>
      </c>
      <c r="AA988" t="s">
        <v>1167</v>
      </c>
      <c r="AB988" s="238" t="s">
        <v>3246</v>
      </c>
      <c r="AC988" t="s">
        <v>3079</v>
      </c>
      <c r="AD988" s="24">
        <v>44656</v>
      </c>
      <c r="AE988" s="238" t="s">
        <v>3070</v>
      </c>
      <c r="AF988">
        <v>79276935536</v>
      </c>
      <c r="AG988" s="238" t="s">
        <v>1296</v>
      </c>
      <c r="AH988" s="238" t="s">
        <v>135</v>
      </c>
      <c r="AI988" s="238" t="s">
        <v>3094</v>
      </c>
      <c r="AJ988" s="238" t="s">
        <v>126</v>
      </c>
      <c r="AK988" s="238" t="s">
        <v>141</v>
      </c>
      <c r="AL988" t="s">
        <v>8715</v>
      </c>
      <c r="AM988" t="s">
        <v>1167</v>
      </c>
    </row>
    <row r="989" spans="1:39" hidden="1" x14ac:dyDescent="0.25">
      <c r="A989">
        <v>985</v>
      </c>
      <c r="B989">
        <v>47</v>
      </c>
      <c r="C989" s="24">
        <v>44636</v>
      </c>
      <c r="D989" s="238" t="s">
        <v>27</v>
      </c>
      <c r="E989" s="238" t="s">
        <v>15</v>
      </c>
      <c r="F989">
        <v>2</v>
      </c>
      <c r="G989">
        <v>12</v>
      </c>
      <c r="H989">
        <v>593</v>
      </c>
      <c r="I989" s="238" t="s">
        <v>42</v>
      </c>
      <c r="J989">
        <v>37.159999999999997</v>
      </c>
      <c r="K989" s="238" t="s">
        <v>36</v>
      </c>
      <c r="L989">
        <v>3201594.49</v>
      </c>
      <c r="M989">
        <v>0</v>
      </c>
      <c r="N989">
        <v>3201594.49</v>
      </c>
      <c r="O989">
        <v>86157.009956942959</v>
      </c>
      <c r="P989">
        <v>0</v>
      </c>
      <c r="Q989">
        <v>3201594.49</v>
      </c>
      <c r="R989">
        <v>86157.009956942959</v>
      </c>
      <c r="S989" s="238" t="s">
        <v>137</v>
      </c>
      <c r="T989" s="238" t="s">
        <v>1167</v>
      </c>
      <c r="V989" t="s">
        <v>4091</v>
      </c>
      <c r="W989" s="24">
        <v>44631</v>
      </c>
      <c r="X989" s="238" t="s">
        <v>1122</v>
      </c>
      <c r="Y989" s="238" t="s">
        <v>39</v>
      </c>
      <c r="Z989" s="238" t="s">
        <v>1340</v>
      </c>
      <c r="AA989" t="s">
        <v>1167</v>
      </c>
      <c r="AB989" s="238" t="s">
        <v>3246</v>
      </c>
      <c r="AC989" t="s">
        <v>3079</v>
      </c>
      <c r="AD989" s="24"/>
      <c r="AE989" s="238" t="s">
        <v>2970</v>
      </c>
      <c r="AF989">
        <v>79377971454</v>
      </c>
      <c r="AG989" s="238" t="s">
        <v>2971</v>
      </c>
      <c r="AH989" s="238" t="s">
        <v>1212</v>
      </c>
      <c r="AI989" s="238" t="s">
        <v>3084</v>
      </c>
      <c r="AJ989" s="238" t="s">
        <v>399</v>
      </c>
      <c r="AK989" s="238" t="s">
        <v>141</v>
      </c>
      <c r="AL989" t="s">
        <v>8715</v>
      </c>
      <c r="AM989" t="s">
        <v>1167</v>
      </c>
    </row>
    <row r="990" spans="1:39" hidden="1" x14ac:dyDescent="0.25">
      <c r="A990">
        <v>986</v>
      </c>
      <c r="B990">
        <v>48</v>
      </c>
      <c r="C990" s="24">
        <v>44636</v>
      </c>
      <c r="D990" s="238" t="s">
        <v>27</v>
      </c>
      <c r="E990" s="238" t="s">
        <v>6</v>
      </c>
      <c r="F990">
        <v>6</v>
      </c>
      <c r="G990">
        <v>14</v>
      </c>
      <c r="H990">
        <v>114</v>
      </c>
      <c r="I990" s="238" t="s">
        <v>43</v>
      </c>
      <c r="J990">
        <v>54.67</v>
      </c>
      <c r="K990" s="238" t="s">
        <v>36</v>
      </c>
      <c r="L990">
        <v>4319377.75</v>
      </c>
      <c r="M990">
        <v>0</v>
      </c>
      <c r="N990">
        <v>4319377.75</v>
      </c>
      <c r="O990">
        <v>79008.190049387224</v>
      </c>
      <c r="P990">
        <v>0</v>
      </c>
      <c r="Q990">
        <v>4319377.75</v>
      </c>
      <c r="R990">
        <v>79008.190049387224</v>
      </c>
      <c r="S990" s="238" t="s">
        <v>137</v>
      </c>
      <c r="T990" s="238" t="s">
        <v>1167</v>
      </c>
      <c r="V990" t="s">
        <v>1167</v>
      </c>
      <c r="W990" s="24">
        <v>44635</v>
      </c>
      <c r="X990" s="238" t="s">
        <v>1120</v>
      </c>
      <c r="Y990" s="238" t="s">
        <v>39</v>
      </c>
      <c r="Z990" s="238" t="s">
        <v>1340</v>
      </c>
      <c r="AA990" t="s">
        <v>1167</v>
      </c>
      <c r="AB990" s="238" t="s">
        <v>3246</v>
      </c>
      <c r="AC990" t="s">
        <v>3079</v>
      </c>
      <c r="AD990" s="24"/>
      <c r="AE990" s="238" t="s">
        <v>2972</v>
      </c>
      <c r="AF990">
        <v>79171565292</v>
      </c>
      <c r="AG990" s="238" t="s">
        <v>2973</v>
      </c>
      <c r="AH990" s="238" t="s">
        <v>1197</v>
      </c>
      <c r="AI990" s="238" t="s">
        <v>6406</v>
      </c>
      <c r="AJ990" s="238" t="s">
        <v>689</v>
      </c>
      <c r="AK990" s="238" t="s">
        <v>141</v>
      </c>
      <c r="AL990" t="s">
        <v>57</v>
      </c>
      <c r="AM990" t="s">
        <v>1167</v>
      </c>
    </row>
    <row r="991" spans="1:39" hidden="1" x14ac:dyDescent="0.25">
      <c r="A991">
        <v>987</v>
      </c>
      <c r="B991">
        <v>49</v>
      </c>
      <c r="C991" s="24">
        <v>44637</v>
      </c>
      <c r="D991" s="238" t="s">
        <v>27</v>
      </c>
      <c r="E991" s="238" t="s">
        <v>16</v>
      </c>
      <c r="F991">
        <v>4</v>
      </c>
      <c r="G991">
        <v>11</v>
      </c>
      <c r="H991">
        <v>467</v>
      </c>
      <c r="I991" s="238" t="s">
        <v>42</v>
      </c>
      <c r="J991">
        <v>40</v>
      </c>
      <c r="K991" s="238" t="s">
        <v>36</v>
      </c>
      <c r="L991">
        <v>3025505.88</v>
      </c>
      <c r="M991">
        <v>0</v>
      </c>
      <c r="N991">
        <v>3025505.88</v>
      </c>
      <c r="O991">
        <v>75637.646999999997</v>
      </c>
      <c r="P991">
        <v>0</v>
      </c>
      <c r="Q991">
        <v>3025505.88</v>
      </c>
      <c r="R991">
        <v>75637.646999999997</v>
      </c>
      <c r="S991" s="238" t="s">
        <v>137</v>
      </c>
      <c r="T991" s="238" t="s">
        <v>350</v>
      </c>
      <c r="U991">
        <v>336167.32</v>
      </c>
      <c r="V991" t="s">
        <v>4092</v>
      </c>
      <c r="W991" s="24">
        <v>44633</v>
      </c>
      <c r="X991" s="238" t="s">
        <v>1125</v>
      </c>
      <c r="Y991" s="238" t="s">
        <v>39</v>
      </c>
      <c r="Z991" s="238" t="s">
        <v>1340</v>
      </c>
      <c r="AA991" t="s">
        <v>1167</v>
      </c>
      <c r="AB991" s="238" t="s">
        <v>3246</v>
      </c>
      <c r="AC991" t="s">
        <v>3079</v>
      </c>
      <c r="AD991" s="24"/>
      <c r="AE991" s="238" t="s">
        <v>2974</v>
      </c>
      <c r="AF991">
        <v>79270091588</v>
      </c>
      <c r="AG991" s="238" t="s">
        <v>2975</v>
      </c>
      <c r="AH991" s="238" t="s">
        <v>1171</v>
      </c>
      <c r="AI991" s="238" t="s">
        <v>3094</v>
      </c>
      <c r="AJ991" s="238" t="s">
        <v>399</v>
      </c>
      <c r="AK991" s="238" t="s">
        <v>794</v>
      </c>
      <c r="AL991" t="s">
        <v>8715</v>
      </c>
      <c r="AM991" t="s">
        <v>1167</v>
      </c>
    </row>
    <row r="992" spans="1:39" hidden="1" x14ac:dyDescent="0.25">
      <c r="A992">
        <v>988</v>
      </c>
      <c r="B992">
        <v>50</v>
      </c>
      <c r="C992" s="24">
        <v>44637</v>
      </c>
      <c r="D992" s="238" t="s">
        <v>27</v>
      </c>
      <c r="E992" s="238" t="s">
        <v>16</v>
      </c>
      <c r="F992">
        <v>6</v>
      </c>
      <c r="G992">
        <v>9</v>
      </c>
      <c r="H992">
        <v>453</v>
      </c>
      <c r="I992" s="238" t="s">
        <v>42</v>
      </c>
      <c r="J992">
        <v>37.11</v>
      </c>
      <c r="K992" s="238" t="s">
        <v>36</v>
      </c>
      <c r="L992">
        <v>3197301.49</v>
      </c>
      <c r="M992">
        <v>0</v>
      </c>
      <c r="N992">
        <v>3197301.49</v>
      </c>
      <c r="O992">
        <v>86157.410132039891</v>
      </c>
      <c r="P992">
        <v>0</v>
      </c>
      <c r="Q992">
        <v>3197301.49</v>
      </c>
      <c r="R992">
        <v>86157.410132039891</v>
      </c>
      <c r="S992" s="238" t="s">
        <v>137</v>
      </c>
      <c r="T992" s="238" t="s">
        <v>1167</v>
      </c>
      <c r="V992" t="s">
        <v>4091</v>
      </c>
      <c r="W992" s="24">
        <v>44634</v>
      </c>
      <c r="X992" s="238" t="s">
        <v>1126</v>
      </c>
      <c r="Y992" s="238" t="s">
        <v>39</v>
      </c>
      <c r="Z992" s="238" t="s">
        <v>1340</v>
      </c>
      <c r="AA992" t="s">
        <v>1167</v>
      </c>
      <c r="AB992" s="238" t="s">
        <v>3246</v>
      </c>
      <c r="AC992" t="s">
        <v>3079</v>
      </c>
      <c r="AD992" s="24"/>
      <c r="AE992" s="238" t="s">
        <v>2976</v>
      </c>
      <c r="AF992">
        <v>79678942854</v>
      </c>
      <c r="AG992" s="238" t="s">
        <v>2977</v>
      </c>
      <c r="AH992" s="238" t="s">
        <v>1212</v>
      </c>
      <c r="AI992" s="238" t="s">
        <v>3088</v>
      </c>
      <c r="AJ992" s="238" t="s">
        <v>399</v>
      </c>
      <c r="AK992" s="238" t="s">
        <v>141</v>
      </c>
      <c r="AL992" t="s">
        <v>8715</v>
      </c>
      <c r="AM992" t="s">
        <v>1167</v>
      </c>
    </row>
    <row r="993" spans="1:39" hidden="1" x14ac:dyDescent="0.25">
      <c r="A993">
        <v>989</v>
      </c>
      <c r="B993">
        <v>51</v>
      </c>
      <c r="C993" s="24">
        <v>44637</v>
      </c>
      <c r="D993" s="238" t="s">
        <v>27</v>
      </c>
      <c r="E993" s="238" t="s">
        <v>6</v>
      </c>
      <c r="F993">
        <v>6</v>
      </c>
      <c r="G993">
        <v>9</v>
      </c>
      <c r="H993">
        <v>69</v>
      </c>
      <c r="I993" s="238" t="s">
        <v>43</v>
      </c>
      <c r="J993">
        <v>54.67</v>
      </c>
      <c r="K993" s="238" t="s">
        <v>37</v>
      </c>
      <c r="L993">
        <v>4702067.75</v>
      </c>
      <c r="M993">
        <v>0</v>
      </c>
      <c r="N993">
        <v>4702067.75</v>
      </c>
      <c r="O993">
        <v>86008.190049387224</v>
      </c>
      <c r="P993">
        <v>382690</v>
      </c>
      <c r="Q993">
        <v>4319377.75</v>
      </c>
      <c r="R993">
        <v>79008.190049387224</v>
      </c>
      <c r="S993" s="238" t="s">
        <v>121</v>
      </c>
      <c r="T993" s="238" t="s">
        <v>1167</v>
      </c>
      <c r="V993" t="s">
        <v>1167</v>
      </c>
      <c r="W993" s="24">
        <v>44634</v>
      </c>
      <c r="X993" s="238" t="s">
        <v>1124</v>
      </c>
      <c r="Y993" s="238" t="s">
        <v>39</v>
      </c>
      <c r="Z993" s="238" t="s">
        <v>1168</v>
      </c>
      <c r="AA993" t="s">
        <v>1167</v>
      </c>
      <c r="AB993" s="238" t="s">
        <v>3246</v>
      </c>
      <c r="AC993" t="s">
        <v>4246</v>
      </c>
      <c r="AD993" s="24"/>
      <c r="AE993" s="238" t="s">
        <v>2978</v>
      </c>
      <c r="AF993">
        <v>79371762105</v>
      </c>
      <c r="AG993" s="238" t="s">
        <v>2979</v>
      </c>
      <c r="AH993" s="238" t="s">
        <v>1212</v>
      </c>
      <c r="AI993" s="238" t="s">
        <v>3096</v>
      </c>
      <c r="AJ993" s="238" t="s">
        <v>120</v>
      </c>
      <c r="AK993" s="238" t="s">
        <v>1167</v>
      </c>
      <c r="AL993" t="s">
        <v>8715</v>
      </c>
      <c r="AM993" t="s">
        <v>1167</v>
      </c>
    </row>
    <row r="994" spans="1:39" hidden="1" x14ac:dyDescent="0.25">
      <c r="A994">
        <v>990</v>
      </c>
      <c r="B994">
        <v>52</v>
      </c>
      <c r="C994" s="24">
        <v>44637</v>
      </c>
      <c r="D994" s="238" t="s">
        <v>27</v>
      </c>
      <c r="E994" s="238" t="s">
        <v>5</v>
      </c>
      <c r="F994">
        <v>4</v>
      </c>
      <c r="G994">
        <v>15</v>
      </c>
      <c r="H994">
        <v>315</v>
      </c>
      <c r="I994" s="238" t="s">
        <v>42</v>
      </c>
      <c r="J994">
        <v>40</v>
      </c>
      <c r="K994" s="238" t="s">
        <v>36</v>
      </c>
      <c r="L994">
        <v>3585051.2</v>
      </c>
      <c r="M994">
        <v>0</v>
      </c>
      <c r="N994">
        <v>3585051.2</v>
      </c>
      <c r="O994">
        <v>89626.28</v>
      </c>
      <c r="P994">
        <v>0</v>
      </c>
      <c r="Q994">
        <v>3585051.2</v>
      </c>
      <c r="R994">
        <v>89626.28</v>
      </c>
      <c r="S994" s="238" t="s">
        <v>137</v>
      </c>
      <c r="T994" s="238" t="s">
        <v>1167</v>
      </c>
      <c r="V994" t="s">
        <v>4091</v>
      </c>
      <c r="W994" s="24">
        <v>44635</v>
      </c>
      <c r="X994" s="238" t="s">
        <v>1127</v>
      </c>
      <c r="Y994" s="238" t="s">
        <v>39</v>
      </c>
      <c r="Z994" s="238" t="s">
        <v>1340</v>
      </c>
      <c r="AA994" t="s">
        <v>1167</v>
      </c>
      <c r="AB994" s="238" t="s">
        <v>3246</v>
      </c>
      <c r="AC994" t="s">
        <v>3079</v>
      </c>
      <c r="AD994" s="24"/>
      <c r="AE994" s="238" t="s">
        <v>2980</v>
      </c>
      <c r="AF994">
        <v>79277500356</v>
      </c>
      <c r="AG994" s="238" t="s">
        <v>2981</v>
      </c>
      <c r="AH994" s="238" t="s">
        <v>1171</v>
      </c>
      <c r="AI994" s="238" t="s">
        <v>3074</v>
      </c>
      <c r="AJ994" s="238" t="s">
        <v>399</v>
      </c>
      <c r="AK994" s="238" t="s">
        <v>794</v>
      </c>
      <c r="AL994" t="s">
        <v>8715</v>
      </c>
      <c r="AM994" t="s">
        <v>1167</v>
      </c>
    </row>
    <row r="995" spans="1:39" hidden="1" x14ac:dyDescent="0.25">
      <c r="A995">
        <v>991</v>
      </c>
      <c r="B995">
        <v>53</v>
      </c>
      <c r="C995" s="24">
        <v>44637</v>
      </c>
      <c r="D995" s="238" t="s">
        <v>27</v>
      </c>
      <c r="E995" s="238" t="s">
        <v>16</v>
      </c>
      <c r="F995">
        <v>4</v>
      </c>
      <c r="G995">
        <v>5</v>
      </c>
      <c r="H995">
        <v>419</v>
      </c>
      <c r="I995" s="238" t="s">
        <v>42</v>
      </c>
      <c r="J995">
        <v>40</v>
      </c>
      <c r="K995" s="238" t="s">
        <v>36</v>
      </c>
      <c r="L995">
        <v>3193589.54</v>
      </c>
      <c r="M995">
        <v>0</v>
      </c>
      <c r="N995">
        <v>3193589.54</v>
      </c>
      <c r="O995">
        <v>79839.738500000007</v>
      </c>
      <c r="P995">
        <v>0</v>
      </c>
      <c r="Q995">
        <v>3193589.54</v>
      </c>
      <c r="R995">
        <v>79839.738500000007</v>
      </c>
      <c r="S995" s="238" t="s">
        <v>137</v>
      </c>
      <c r="T995" s="238" t="s">
        <v>350</v>
      </c>
      <c r="U995">
        <v>168083.66</v>
      </c>
      <c r="V995" t="s">
        <v>1167</v>
      </c>
      <c r="W995" s="24">
        <v>44632</v>
      </c>
      <c r="X995" s="238" t="s">
        <v>1123</v>
      </c>
      <c r="Y995" s="238" t="s">
        <v>39</v>
      </c>
      <c r="Z995" s="238" t="s">
        <v>1340</v>
      </c>
      <c r="AA995" t="s">
        <v>1167</v>
      </c>
      <c r="AB995" s="238" t="s">
        <v>3246</v>
      </c>
      <c r="AC995" t="s">
        <v>3079</v>
      </c>
      <c r="AD995" s="24"/>
      <c r="AE995" s="238" t="s">
        <v>2982</v>
      </c>
      <c r="AF995">
        <v>79272097475</v>
      </c>
      <c r="AG995" s="238" t="s">
        <v>2983</v>
      </c>
      <c r="AH995" s="238" t="s">
        <v>1171</v>
      </c>
      <c r="AI995" s="238" t="s">
        <v>3094</v>
      </c>
      <c r="AJ995" s="238" t="s">
        <v>130</v>
      </c>
      <c r="AK995" s="238" t="s">
        <v>794</v>
      </c>
      <c r="AL995" t="s">
        <v>8715</v>
      </c>
      <c r="AM995" t="s">
        <v>1167</v>
      </c>
    </row>
    <row r="996" spans="1:39" hidden="1" x14ac:dyDescent="0.25">
      <c r="A996">
        <v>992</v>
      </c>
      <c r="B996">
        <v>54</v>
      </c>
      <c r="C996" s="24">
        <v>44638</v>
      </c>
      <c r="D996" s="238" t="s">
        <v>27</v>
      </c>
      <c r="E996" s="238" t="s">
        <v>6</v>
      </c>
      <c r="F996">
        <v>1</v>
      </c>
      <c r="G996">
        <v>14</v>
      </c>
      <c r="H996">
        <v>109</v>
      </c>
      <c r="I996" s="238" t="s">
        <v>44</v>
      </c>
      <c r="J996">
        <v>82.71</v>
      </c>
      <c r="K996" s="238" t="s">
        <v>36</v>
      </c>
      <c r="L996">
        <v>5536424.6100000003</v>
      </c>
      <c r="M996">
        <v>0</v>
      </c>
      <c r="N996">
        <v>5536424.6100000003</v>
      </c>
      <c r="O996">
        <v>66937.78998911861</v>
      </c>
      <c r="P996">
        <v>0</v>
      </c>
      <c r="Q996">
        <v>5536424.6100000003</v>
      </c>
      <c r="R996">
        <v>66937.78998911861</v>
      </c>
      <c r="S996" s="238" t="s">
        <v>137</v>
      </c>
      <c r="T996" s="238" t="s">
        <v>1167</v>
      </c>
      <c r="V996" t="s">
        <v>4091</v>
      </c>
      <c r="W996" s="24">
        <v>44636</v>
      </c>
      <c r="X996" s="238" t="s">
        <v>1128</v>
      </c>
      <c r="Y996" s="238" t="s">
        <v>39</v>
      </c>
      <c r="Z996" s="238" t="s">
        <v>1168</v>
      </c>
      <c r="AA996" t="s">
        <v>1167</v>
      </c>
      <c r="AB996" s="238" t="s">
        <v>3246</v>
      </c>
      <c r="AC996" t="s">
        <v>3104</v>
      </c>
      <c r="AD996" s="24"/>
      <c r="AE996" s="238" t="s">
        <v>2984</v>
      </c>
      <c r="AF996">
        <v>79879224474</v>
      </c>
      <c r="AG996" s="238" t="s">
        <v>2985</v>
      </c>
      <c r="AH996" s="238" t="s">
        <v>1171</v>
      </c>
      <c r="AI996" s="238" t="s">
        <v>6406</v>
      </c>
      <c r="AJ996" s="238" t="s">
        <v>120</v>
      </c>
      <c r="AK996" s="238" t="s">
        <v>141</v>
      </c>
      <c r="AL996" t="s">
        <v>57</v>
      </c>
      <c r="AM996" t="s">
        <v>1167</v>
      </c>
    </row>
    <row r="997" spans="1:39" hidden="1" x14ac:dyDescent="0.25">
      <c r="A997">
        <v>993</v>
      </c>
      <c r="B997">
        <v>55</v>
      </c>
      <c r="C997" s="24">
        <v>44638</v>
      </c>
      <c r="D997" s="238" t="s">
        <v>27</v>
      </c>
      <c r="E997" s="238" t="s">
        <v>14</v>
      </c>
      <c r="F997">
        <v>4</v>
      </c>
      <c r="G997">
        <v>20</v>
      </c>
      <c r="H997">
        <v>794</v>
      </c>
      <c r="I997" s="238" t="s">
        <v>42</v>
      </c>
      <c r="J997">
        <v>38.92</v>
      </c>
      <c r="K997" s="238" t="s">
        <v>37</v>
      </c>
      <c r="L997">
        <v>4115415.59</v>
      </c>
      <c r="M997">
        <v>0</v>
      </c>
      <c r="N997">
        <v>4115415.59</v>
      </c>
      <c r="O997">
        <v>105740.38001027748</v>
      </c>
      <c r="P997">
        <v>272440</v>
      </c>
      <c r="Q997">
        <v>3842975.59</v>
      </c>
      <c r="R997">
        <v>98740.380010277484</v>
      </c>
      <c r="S997" s="238" t="s">
        <v>137</v>
      </c>
      <c r="T997" s="238" t="s">
        <v>1167</v>
      </c>
      <c r="V997" t="s">
        <v>4091</v>
      </c>
      <c r="W997" s="24">
        <v>44637</v>
      </c>
      <c r="X997" s="238" t="s">
        <v>1130</v>
      </c>
      <c r="Y997" s="238" t="s">
        <v>39</v>
      </c>
      <c r="Z997" s="238" t="s">
        <v>1340</v>
      </c>
      <c r="AA997" t="s">
        <v>1167</v>
      </c>
      <c r="AB997" s="238" t="s">
        <v>3246</v>
      </c>
      <c r="AC997" t="s">
        <v>3077</v>
      </c>
      <c r="AD997" s="24"/>
      <c r="AE997" s="238" t="s">
        <v>2986</v>
      </c>
      <c r="AF997">
        <v>79879290463</v>
      </c>
      <c r="AG997" s="238" t="s">
        <v>2987</v>
      </c>
      <c r="AH997" s="238" t="s">
        <v>1171</v>
      </c>
      <c r="AI997" s="238" t="s">
        <v>135</v>
      </c>
      <c r="AJ997" s="238" t="s">
        <v>130</v>
      </c>
      <c r="AK997" s="238" t="s">
        <v>794</v>
      </c>
      <c r="AL997" t="s">
        <v>8715</v>
      </c>
      <c r="AM997" t="s">
        <v>1167</v>
      </c>
    </row>
    <row r="998" spans="1:39" hidden="1" x14ac:dyDescent="0.25">
      <c r="A998">
        <v>994</v>
      </c>
      <c r="B998">
        <v>56</v>
      </c>
      <c r="C998" s="24">
        <v>44638</v>
      </c>
      <c r="D998" s="238" t="s">
        <v>19</v>
      </c>
      <c r="E998" s="238" t="s">
        <v>6</v>
      </c>
      <c r="F998">
        <v>5</v>
      </c>
      <c r="G998">
        <v>24</v>
      </c>
      <c r="H998">
        <v>159</v>
      </c>
      <c r="I998" s="238" t="s">
        <v>42</v>
      </c>
      <c r="J998">
        <v>36.42</v>
      </c>
      <c r="K998" s="238" t="s">
        <v>36</v>
      </c>
      <c r="L998">
        <v>3500978.48</v>
      </c>
      <c r="M998">
        <v>0</v>
      </c>
      <c r="N998">
        <v>3500978.48</v>
      </c>
      <c r="O998">
        <v>96127.909939593621</v>
      </c>
      <c r="P998">
        <v>0</v>
      </c>
      <c r="Q998">
        <v>3500978.48</v>
      </c>
      <c r="R998">
        <v>96127.909939593621</v>
      </c>
      <c r="S998" s="238" t="s">
        <v>121</v>
      </c>
      <c r="T998" s="238" t="s">
        <v>1167</v>
      </c>
      <c r="V998" t="s">
        <v>1167</v>
      </c>
      <c r="W998" s="24">
        <v>44637</v>
      </c>
      <c r="X998" s="238" t="s">
        <v>1129</v>
      </c>
      <c r="Y998" s="238" t="s">
        <v>39</v>
      </c>
      <c r="Z998" s="238" t="s">
        <v>1340</v>
      </c>
      <c r="AA998" t="s">
        <v>1167</v>
      </c>
      <c r="AB998" s="238" t="s">
        <v>3246</v>
      </c>
      <c r="AC998" t="s">
        <v>4246</v>
      </c>
      <c r="AD998" s="24"/>
      <c r="AE998" s="238" t="s">
        <v>2988</v>
      </c>
      <c r="AF998">
        <v>79276582819</v>
      </c>
      <c r="AG998" s="238" t="s">
        <v>2989</v>
      </c>
      <c r="AH998" s="238" t="s">
        <v>1171</v>
      </c>
      <c r="AI998" s="238" t="s">
        <v>6406</v>
      </c>
      <c r="AJ998" s="238" t="s">
        <v>689</v>
      </c>
      <c r="AK998" s="238" t="s">
        <v>1167</v>
      </c>
      <c r="AL998" t="s">
        <v>57</v>
      </c>
      <c r="AM998" t="s">
        <v>1167</v>
      </c>
    </row>
    <row r="999" spans="1:39" hidden="1" x14ac:dyDescent="0.25">
      <c r="A999">
        <v>995</v>
      </c>
      <c r="B999">
        <v>57</v>
      </c>
      <c r="C999" s="24">
        <v>44639</v>
      </c>
      <c r="D999" s="238" t="s">
        <v>27</v>
      </c>
      <c r="E999" s="238" t="s">
        <v>6</v>
      </c>
      <c r="F999">
        <v>5</v>
      </c>
      <c r="G999">
        <v>13</v>
      </c>
      <c r="H999">
        <v>104</v>
      </c>
      <c r="I999" s="238" t="s">
        <v>4052</v>
      </c>
      <c r="J999">
        <v>24.47</v>
      </c>
      <c r="K999" s="238" t="s">
        <v>37</v>
      </c>
      <c r="L999">
        <v>2253487.08</v>
      </c>
      <c r="M999">
        <v>0</v>
      </c>
      <c r="N999">
        <v>2253487.08</v>
      </c>
      <c r="O999">
        <v>92091.829995913373</v>
      </c>
      <c r="P999">
        <v>134585</v>
      </c>
      <c r="Q999">
        <v>2118902.08</v>
      </c>
      <c r="R999">
        <v>86591.829995913373</v>
      </c>
      <c r="S999" s="238" t="s">
        <v>137</v>
      </c>
      <c r="T999" s="238" t="s">
        <v>1167</v>
      </c>
      <c r="V999" t="s">
        <v>1167</v>
      </c>
      <c r="W999" s="24">
        <v>44641</v>
      </c>
      <c r="X999" s="238" t="s">
        <v>1131</v>
      </c>
      <c r="Y999" s="238" t="s">
        <v>39</v>
      </c>
      <c r="Z999" s="238" t="s">
        <v>1168</v>
      </c>
      <c r="AA999" t="s">
        <v>1167</v>
      </c>
      <c r="AB999" s="238" t="s">
        <v>3246</v>
      </c>
      <c r="AC999" t="s">
        <v>3076</v>
      </c>
      <c r="AD999" s="24"/>
      <c r="AE999" s="238" t="s">
        <v>2990</v>
      </c>
      <c r="AF999">
        <v>79277294773</v>
      </c>
      <c r="AG999" s="238" t="s">
        <v>2991</v>
      </c>
      <c r="AH999" s="238" t="s">
        <v>1212</v>
      </c>
      <c r="AI999" s="238" t="s">
        <v>3097</v>
      </c>
      <c r="AJ999" s="238" t="s">
        <v>120</v>
      </c>
      <c r="AK999" s="238" t="s">
        <v>794</v>
      </c>
      <c r="AL999" t="s">
        <v>8715</v>
      </c>
      <c r="AM999" t="s">
        <v>1167</v>
      </c>
    </row>
    <row r="1000" spans="1:39" hidden="1" x14ac:dyDescent="0.25">
      <c r="A1000">
        <v>996</v>
      </c>
      <c r="B1000">
        <v>58</v>
      </c>
      <c r="C1000" s="24">
        <v>44641</v>
      </c>
      <c r="D1000" s="238" t="s">
        <v>27</v>
      </c>
      <c r="E1000" s="238" t="s">
        <v>6</v>
      </c>
      <c r="F1000">
        <v>6</v>
      </c>
      <c r="G1000">
        <v>11</v>
      </c>
      <c r="H1000">
        <v>87</v>
      </c>
      <c r="I1000" s="238" t="s">
        <v>43</v>
      </c>
      <c r="J1000">
        <v>54.67</v>
      </c>
      <c r="K1000" s="238" t="s">
        <v>36</v>
      </c>
      <c r="L1000">
        <v>4319377.75</v>
      </c>
      <c r="M1000">
        <v>0</v>
      </c>
      <c r="N1000">
        <v>4319377.75</v>
      </c>
      <c r="O1000">
        <v>79008.190049387224</v>
      </c>
      <c r="P1000">
        <v>0</v>
      </c>
      <c r="Q1000">
        <v>4319377.75</v>
      </c>
      <c r="R1000">
        <v>79008.190049387224</v>
      </c>
      <c r="S1000" s="238" t="s">
        <v>137</v>
      </c>
      <c r="T1000" s="238" t="s">
        <v>1167</v>
      </c>
      <c r="V1000" t="s">
        <v>4091</v>
      </c>
      <c r="W1000" s="24">
        <v>44635</v>
      </c>
      <c r="X1000" s="238" t="s">
        <v>1134</v>
      </c>
      <c r="Y1000" s="238" t="s">
        <v>39</v>
      </c>
      <c r="Z1000" s="238" t="s">
        <v>1340</v>
      </c>
      <c r="AA1000" t="s">
        <v>1167</v>
      </c>
      <c r="AB1000" s="238" t="s">
        <v>3246</v>
      </c>
      <c r="AC1000" t="s">
        <v>3079</v>
      </c>
      <c r="AD1000" s="24"/>
      <c r="AE1000" s="238" t="s">
        <v>2992</v>
      </c>
      <c r="AF1000">
        <v>79874392728</v>
      </c>
      <c r="AG1000" s="238" t="s">
        <v>2993</v>
      </c>
      <c r="AH1000" s="238" t="s">
        <v>1171</v>
      </c>
      <c r="AI1000" s="238" t="s">
        <v>3074</v>
      </c>
      <c r="AJ1000" s="238" t="s">
        <v>130</v>
      </c>
      <c r="AK1000" s="238" t="s">
        <v>141</v>
      </c>
      <c r="AL1000" t="s">
        <v>8715</v>
      </c>
      <c r="AM1000" t="s">
        <v>1167</v>
      </c>
    </row>
    <row r="1001" spans="1:39" hidden="1" x14ac:dyDescent="0.25">
      <c r="A1001">
        <v>997</v>
      </c>
      <c r="B1001">
        <v>59</v>
      </c>
      <c r="C1001" s="24">
        <v>44641</v>
      </c>
      <c r="D1001" s="238" t="s">
        <v>27</v>
      </c>
      <c r="E1001" s="238" t="s">
        <v>6</v>
      </c>
      <c r="F1001">
        <v>2</v>
      </c>
      <c r="G1001">
        <v>16</v>
      </c>
      <c r="H1001">
        <v>128</v>
      </c>
      <c r="I1001" s="238" t="s">
        <v>42</v>
      </c>
      <c r="J1001">
        <v>37.94</v>
      </c>
      <c r="K1001" s="238" t="s">
        <v>37</v>
      </c>
      <c r="L1001">
        <v>3454693.47</v>
      </c>
      <c r="M1001">
        <v>0</v>
      </c>
      <c r="N1001">
        <v>3454693.47</v>
      </c>
      <c r="O1001">
        <v>91056.75988402743</v>
      </c>
      <c r="P1001">
        <v>265580</v>
      </c>
      <c r="Q1001">
        <v>3189113.47</v>
      </c>
      <c r="R1001">
        <v>84056.759884027415</v>
      </c>
      <c r="S1001" s="238" t="s">
        <v>137</v>
      </c>
      <c r="T1001" s="238" t="s">
        <v>1167</v>
      </c>
      <c r="V1001" t="s">
        <v>4091</v>
      </c>
      <c r="W1001" s="24">
        <v>44635</v>
      </c>
      <c r="X1001" s="238" t="s">
        <v>1133</v>
      </c>
      <c r="Y1001" s="238" t="s">
        <v>39</v>
      </c>
      <c r="Z1001" s="238" t="s">
        <v>1340</v>
      </c>
      <c r="AA1001" t="s">
        <v>1167</v>
      </c>
      <c r="AB1001" s="238" t="s">
        <v>3246</v>
      </c>
      <c r="AC1001" t="s">
        <v>3079</v>
      </c>
      <c r="AD1001" s="24"/>
      <c r="AE1001" s="238" t="s">
        <v>2994</v>
      </c>
      <c r="AF1001">
        <v>79297076216</v>
      </c>
      <c r="AG1001" s="238" t="s">
        <v>2995</v>
      </c>
      <c r="AH1001" s="238" t="s">
        <v>137</v>
      </c>
      <c r="AI1001" s="238" t="s">
        <v>3114</v>
      </c>
      <c r="AJ1001" s="238" t="s">
        <v>130</v>
      </c>
      <c r="AK1001" s="238" t="s">
        <v>794</v>
      </c>
      <c r="AL1001" t="s">
        <v>8715</v>
      </c>
      <c r="AM1001" t="s">
        <v>1167</v>
      </c>
    </row>
    <row r="1002" spans="1:39" hidden="1" x14ac:dyDescent="0.25">
      <c r="A1002">
        <v>998</v>
      </c>
      <c r="B1002">
        <v>60</v>
      </c>
      <c r="C1002" s="24">
        <v>44641</v>
      </c>
      <c r="D1002" s="238" t="s">
        <v>27</v>
      </c>
      <c r="E1002" s="238" t="s">
        <v>5</v>
      </c>
      <c r="F1002">
        <v>4</v>
      </c>
      <c r="G1002">
        <v>10</v>
      </c>
      <c r="H1002">
        <v>275</v>
      </c>
      <c r="I1002" s="238" t="s">
        <v>42</v>
      </c>
      <c r="J1002">
        <v>40</v>
      </c>
      <c r="K1002" s="238" t="s">
        <v>36</v>
      </c>
      <c r="L1002">
        <v>3421673.2</v>
      </c>
      <c r="M1002">
        <v>0</v>
      </c>
      <c r="N1002">
        <v>3421673.2</v>
      </c>
      <c r="O1002">
        <v>85541.83</v>
      </c>
      <c r="P1002">
        <v>0</v>
      </c>
      <c r="Q1002">
        <v>3421673.2</v>
      </c>
      <c r="R1002">
        <v>85541.83</v>
      </c>
      <c r="S1002" s="238" t="s">
        <v>124</v>
      </c>
      <c r="T1002" s="238" t="s">
        <v>1167</v>
      </c>
      <c r="V1002" t="s">
        <v>1167</v>
      </c>
      <c r="W1002" s="24">
        <v>44638</v>
      </c>
      <c r="X1002" s="238" t="s">
        <v>1132</v>
      </c>
      <c r="Y1002" s="238" t="s">
        <v>39</v>
      </c>
      <c r="Z1002" s="238" t="s">
        <v>1168</v>
      </c>
      <c r="AA1002" t="s">
        <v>1167</v>
      </c>
      <c r="AB1002" s="238" t="s">
        <v>3246</v>
      </c>
      <c r="AC1002" t="s">
        <v>4246</v>
      </c>
      <c r="AD1002" s="24"/>
      <c r="AE1002" s="238" t="s">
        <v>2996</v>
      </c>
      <c r="AF1002">
        <v>78462796107</v>
      </c>
      <c r="AG1002" s="238" t="s">
        <v>2997</v>
      </c>
      <c r="AH1002" s="238" t="s">
        <v>1212</v>
      </c>
      <c r="AI1002" s="238" t="s">
        <v>3089</v>
      </c>
      <c r="AJ1002" s="238" t="s">
        <v>689</v>
      </c>
      <c r="AK1002" s="238" t="s">
        <v>1167</v>
      </c>
      <c r="AL1002" t="s">
        <v>8715</v>
      </c>
      <c r="AM1002" t="s">
        <v>1167</v>
      </c>
    </row>
    <row r="1003" spans="1:39" hidden="1" x14ac:dyDescent="0.25">
      <c r="A1003">
        <v>999</v>
      </c>
      <c r="B1003">
        <v>61</v>
      </c>
      <c r="C1003" s="24">
        <v>44642</v>
      </c>
      <c r="D1003" s="238" t="s">
        <v>27</v>
      </c>
      <c r="E1003" s="238" t="s">
        <v>6</v>
      </c>
      <c r="F1003">
        <v>7</v>
      </c>
      <c r="G1003">
        <v>4</v>
      </c>
      <c r="H1003">
        <v>25</v>
      </c>
      <c r="I1003" s="238" t="s">
        <v>43</v>
      </c>
      <c r="J1003">
        <v>60.06</v>
      </c>
      <c r="K1003" s="238" t="s">
        <v>36</v>
      </c>
      <c r="L1003">
        <v>4503500.5999999996</v>
      </c>
      <c r="M1003">
        <v>0</v>
      </c>
      <c r="N1003">
        <v>4503500.5999999996</v>
      </c>
      <c r="O1003">
        <v>74983.359973359969</v>
      </c>
      <c r="P1003">
        <v>0</v>
      </c>
      <c r="Q1003">
        <v>4503500.5999999996</v>
      </c>
      <c r="R1003">
        <v>74983.359973359969</v>
      </c>
      <c r="S1003" s="238" t="s">
        <v>137</v>
      </c>
      <c r="T1003" s="238" t="s">
        <v>1167</v>
      </c>
      <c r="V1003" t="s">
        <v>4092</v>
      </c>
      <c r="W1003" s="24">
        <v>44635</v>
      </c>
      <c r="X1003" s="238" t="s">
        <v>1135</v>
      </c>
      <c r="Y1003" s="238" t="s">
        <v>39</v>
      </c>
      <c r="Z1003" s="238" t="s">
        <v>1340</v>
      </c>
      <c r="AA1003" t="s">
        <v>1167</v>
      </c>
      <c r="AB1003" s="238" t="s">
        <v>3246</v>
      </c>
      <c r="AC1003" t="s">
        <v>3079</v>
      </c>
      <c r="AD1003" s="24"/>
      <c r="AE1003" s="238" t="s">
        <v>2998</v>
      </c>
      <c r="AF1003">
        <v>79371874558</v>
      </c>
      <c r="AG1003" s="238" t="s">
        <v>2999</v>
      </c>
      <c r="AH1003" s="238" t="s">
        <v>1171</v>
      </c>
      <c r="AI1003" s="238" t="s">
        <v>3074</v>
      </c>
      <c r="AJ1003" s="238" t="s">
        <v>130</v>
      </c>
      <c r="AK1003" s="238" t="s">
        <v>141</v>
      </c>
      <c r="AL1003" t="s">
        <v>8715</v>
      </c>
      <c r="AM1003" t="s">
        <v>1167</v>
      </c>
    </row>
    <row r="1004" spans="1:39" hidden="1" x14ac:dyDescent="0.25">
      <c r="A1004">
        <v>1000</v>
      </c>
      <c r="B1004">
        <v>62</v>
      </c>
      <c r="C1004" s="24">
        <v>44642</v>
      </c>
      <c r="D1004" s="238" t="s">
        <v>27</v>
      </c>
      <c r="E1004" s="238" t="s">
        <v>5</v>
      </c>
      <c r="F1004">
        <v>2</v>
      </c>
      <c r="G1004">
        <v>7</v>
      </c>
      <c r="H1004">
        <v>249</v>
      </c>
      <c r="I1004" s="238" t="s">
        <v>42</v>
      </c>
      <c r="J1004">
        <v>37.159999999999997</v>
      </c>
      <c r="K1004" s="238" t="s">
        <v>37</v>
      </c>
      <c r="L1004">
        <v>3383895.13</v>
      </c>
      <c r="M1004">
        <v>0</v>
      </c>
      <c r="N1004">
        <v>3383895.13</v>
      </c>
      <c r="O1004">
        <v>91062.839881593114</v>
      </c>
      <c r="P1004">
        <v>260120.00000000047</v>
      </c>
      <c r="Q1004">
        <v>3123775.1299999994</v>
      </c>
      <c r="R1004">
        <v>84062.8398815931</v>
      </c>
      <c r="S1004" s="238" t="s">
        <v>137</v>
      </c>
      <c r="T1004" s="238" t="s">
        <v>1167</v>
      </c>
      <c r="V1004" t="s">
        <v>4091</v>
      </c>
      <c r="W1004" s="24">
        <v>44635</v>
      </c>
      <c r="X1004" s="238" t="s">
        <v>1137</v>
      </c>
      <c r="Y1004" s="238" t="s">
        <v>39</v>
      </c>
      <c r="Z1004" s="238" t="s">
        <v>1340</v>
      </c>
      <c r="AA1004" t="s">
        <v>1167</v>
      </c>
      <c r="AB1004" s="238" t="s">
        <v>3246</v>
      </c>
      <c r="AC1004" t="s">
        <v>3079</v>
      </c>
      <c r="AD1004" s="24"/>
      <c r="AE1004" s="238" t="s">
        <v>3000</v>
      </c>
      <c r="AF1004">
        <v>79871625117</v>
      </c>
      <c r="AG1004" s="238" t="s">
        <v>3001</v>
      </c>
      <c r="AH1004" s="238" t="s">
        <v>135</v>
      </c>
      <c r="AI1004" s="238" t="s">
        <v>3099</v>
      </c>
      <c r="AJ1004" s="238" t="s">
        <v>126</v>
      </c>
      <c r="AK1004" s="238" t="s">
        <v>141</v>
      </c>
      <c r="AL1004" t="s">
        <v>8715</v>
      </c>
      <c r="AM1004" t="s">
        <v>1167</v>
      </c>
    </row>
    <row r="1005" spans="1:39" hidden="1" x14ac:dyDescent="0.25">
      <c r="A1005">
        <v>1001</v>
      </c>
      <c r="B1005">
        <v>63</v>
      </c>
      <c r="C1005" s="24">
        <v>44642</v>
      </c>
      <c r="D1005" s="238" t="s">
        <v>27</v>
      </c>
      <c r="E1005" s="238" t="s">
        <v>16</v>
      </c>
      <c r="F1005">
        <v>4</v>
      </c>
      <c r="G1005">
        <v>14</v>
      </c>
      <c r="H1005">
        <v>491</v>
      </c>
      <c r="I1005" s="238" t="s">
        <v>42</v>
      </c>
      <c r="J1005">
        <v>40</v>
      </c>
      <c r="K1005" s="238" t="s">
        <v>36</v>
      </c>
      <c r="L1005">
        <v>3641673.2</v>
      </c>
      <c r="M1005">
        <v>0</v>
      </c>
      <c r="N1005">
        <v>3641673.2</v>
      </c>
      <c r="O1005">
        <v>91041.83</v>
      </c>
      <c r="P1005">
        <v>0</v>
      </c>
      <c r="Q1005">
        <v>3641673.2</v>
      </c>
      <c r="R1005">
        <v>91041.83</v>
      </c>
      <c r="S1005" s="238" t="s">
        <v>124</v>
      </c>
      <c r="T1005" s="238" t="s">
        <v>1167</v>
      </c>
      <c r="V1005" t="s">
        <v>1167</v>
      </c>
      <c r="W1005" s="24">
        <v>44641</v>
      </c>
      <c r="X1005" s="238" t="s">
        <v>1136</v>
      </c>
      <c r="Y1005" s="238" t="s">
        <v>39</v>
      </c>
      <c r="Z1005" s="238" t="s">
        <v>1168</v>
      </c>
      <c r="AA1005" t="s">
        <v>1167</v>
      </c>
      <c r="AB1005" s="238" t="s">
        <v>3246</v>
      </c>
      <c r="AC1005" t="s">
        <v>4246</v>
      </c>
      <c r="AD1005" s="24"/>
      <c r="AE1005" s="238" t="s">
        <v>3002</v>
      </c>
      <c r="AF1005">
        <v>79277170487</v>
      </c>
      <c r="AG1005" s="238" t="s">
        <v>3003</v>
      </c>
      <c r="AH1005" s="238" t="s">
        <v>1171</v>
      </c>
      <c r="AI1005" s="238" t="s">
        <v>135</v>
      </c>
      <c r="AJ1005" s="238" t="s">
        <v>120</v>
      </c>
      <c r="AK1005" s="238" t="s">
        <v>1167</v>
      </c>
      <c r="AL1005" t="s">
        <v>8715</v>
      </c>
      <c r="AM1005" t="s">
        <v>1167</v>
      </c>
    </row>
    <row r="1006" spans="1:39" hidden="1" x14ac:dyDescent="0.25">
      <c r="A1006">
        <v>1002</v>
      </c>
      <c r="B1006">
        <v>64</v>
      </c>
      <c r="C1006" s="24">
        <v>44643</v>
      </c>
      <c r="D1006" s="238" t="s">
        <v>27</v>
      </c>
      <c r="E1006" s="238" t="s">
        <v>5</v>
      </c>
      <c r="F1006">
        <v>4</v>
      </c>
      <c r="G1006">
        <v>7</v>
      </c>
      <c r="H1006">
        <v>251</v>
      </c>
      <c r="I1006" s="238" t="s">
        <v>42</v>
      </c>
      <c r="J1006">
        <v>40</v>
      </c>
      <c r="K1006" s="238" t="s">
        <v>37</v>
      </c>
      <c r="L1006">
        <v>3641673.2</v>
      </c>
      <c r="M1006">
        <v>0</v>
      </c>
      <c r="N1006">
        <v>3641673.2</v>
      </c>
      <c r="O1006">
        <v>91041.83</v>
      </c>
      <c r="P1006">
        <v>280000</v>
      </c>
      <c r="Q1006">
        <v>3361673.2</v>
      </c>
      <c r="R1006">
        <v>84041.83</v>
      </c>
      <c r="S1006" s="238" t="s">
        <v>137</v>
      </c>
      <c r="T1006" s="238" t="s">
        <v>1167</v>
      </c>
      <c r="V1006" t="s">
        <v>4091</v>
      </c>
      <c r="W1006" s="24">
        <v>44638</v>
      </c>
      <c r="X1006" s="238" t="s">
        <v>3004</v>
      </c>
      <c r="Y1006" s="238" t="s">
        <v>39</v>
      </c>
      <c r="Z1006" s="238" t="s">
        <v>1340</v>
      </c>
      <c r="AA1006" t="s">
        <v>1167</v>
      </c>
      <c r="AB1006" s="238" t="s">
        <v>3246</v>
      </c>
      <c r="AC1006" t="s">
        <v>3079</v>
      </c>
      <c r="AD1006" s="24"/>
      <c r="AE1006" s="238" t="s">
        <v>3005</v>
      </c>
      <c r="AF1006">
        <v>79198164412</v>
      </c>
      <c r="AG1006" s="238" t="s">
        <v>3006</v>
      </c>
      <c r="AH1006" s="238" t="s">
        <v>135</v>
      </c>
      <c r="AI1006" s="238" t="s">
        <v>3099</v>
      </c>
      <c r="AJ1006" s="238" t="s">
        <v>399</v>
      </c>
      <c r="AK1006" s="238" t="s">
        <v>141</v>
      </c>
      <c r="AL1006" t="s">
        <v>8715</v>
      </c>
      <c r="AM1006" t="s">
        <v>1167</v>
      </c>
    </row>
    <row r="1007" spans="1:39" hidden="1" x14ac:dyDescent="0.25">
      <c r="A1007">
        <v>1003</v>
      </c>
      <c r="B1007">
        <v>65</v>
      </c>
      <c r="C1007" s="24">
        <v>44644</v>
      </c>
      <c r="D1007" s="238" t="s">
        <v>27</v>
      </c>
      <c r="E1007" s="238" t="s">
        <v>16</v>
      </c>
      <c r="F1007">
        <v>6</v>
      </c>
      <c r="G1007">
        <v>3</v>
      </c>
      <c r="H1007">
        <v>405</v>
      </c>
      <c r="I1007" s="238" t="s">
        <v>42</v>
      </c>
      <c r="J1007">
        <v>37.11</v>
      </c>
      <c r="K1007" s="238" t="s">
        <v>36</v>
      </c>
      <c r="L1007">
        <v>3197301.49</v>
      </c>
      <c r="M1007">
        <v>0</v>
      </c>
      <c r="N1007">
        <v>3197301.49</v>
      </c>
      <c r="O1007">
        <v>86157.410132039891</v>
      </c>
      <c r="P1007">
        <v>0</v>
      </c>
      <c r="Q1007">
        <v>3197301.49</v>
      </c>
      <c r="R1007">
        <v>86157.410132039891</v>
      </c>
      <c r="S1007" s="238" t="s">
        <v>137</v>
      </c>
      <c r="T1007" s="238" t="s">
        <v>1167</v>
      </c>
      <c r="V1007" t="s">
        <v>4091</v>
      </c>
      <c r="W1007" s="24">
        <v>44635</v>
      </c>
      <c r="X1007" s="238" t="s">
        <v>3007</v>
      </c>
      <c r="Y1007" s="238" t="s">
        <v>39</v>
      </c>
      <c r="Z1007" s="238" t="s">
        <v>1340</v>
      </c>
      <c r="AA1007" t="s">
        <v>1167</v>
      </c>
      <c r="AB1007" s="238" t="s">
        <v>3246</v>
      </c>
      <c r="AC1007" t="s">
        <v>3079</v>
      </c>
      <c r="AD1007" s="24"/>
      <c r="AE1007" s="238" t="s">
        <v>3008</v>
      </c>
      <c r="AF1007">
        <v>79272993635</v>
      </c>
      <c r="AG1007" s="238" t="s">
        <v>3009</v>
      </c>
      <c r="AH1007" s="238" t="s">
        <v>1171</v>
      </c>
      <c r="AI1007" s="238" t="s">
        <v>6406</v>
      </c>
      <c r="AJ1007" s="238" t="s">
        <v>982</v>
      </c>
      <c r="AK1007" s="238" t="s">
        <v>794</v>
      </c>
      <c r="AL1007" t="s">
        <v>57</v>
      </c>
      <c r="AM1007" t="s">
        <v>1167</v>
      </c>
    </row>
    <row r="1008" spans="1:39" hidden="1" x14ac:dyDescent="0.25">
      <c r="A1008">
        <v>1004</v>
      </c>
      <c r="B1008">
        <v>66</v>
      </c>
      <c r="C1008" s="24">
        <v>44644</v>
      </c>
      <c r="D1008" s="238" t="s">
        <v>19</v>
      </c>
      <c r="E1008" s="238" t="s">
        <v>5</v>
      </c>
      <c r="F1008">
        <v>1</v>
      </c>
      <c r="G1008">
        <v>15</v>
      </c>
      <c r="H1008">
        <v>305</v>
      </c>
      <c r="I1008" s="238" t="s">
        <v>42</v>
      </c>
      <c r="J1008">
        <v>38.83</v>
      </c>
      <c r="K1008" s="238" t="s">
        <v>37</v>
      </c>
      <c r="L1008">
        <v>4084037.28</v>
      </c>
      <c r="M1008">
        <v>0</v>
      </c>
      <c r="N1008">
        <v>4084037.28</v>
      </c>
      <c r="O1008">
        <v>105177.37007468453</v>
      </c>
      <c r="P1008">
        <v>213565</v>
      </c>
      <c r="Q1008">
        <v>3870472.28</v>
      </c>
      <c r="R1008">
        <v>99677.370074684528</v>
      </c>
      <c r="S1008" s="238" t="s">
        <v>137</v>
      </c>
      <c r="T1008" s="238" t="s">
        <v>1167</v>
      </c>
      <c r="V1008" t="s">
        <v>4091</v>
      </c>
      <c r="W1008" s="24">
        <v>44638</v>
      </c>
      <c r="X1008" s="238" t="s">
        <v>1138</v>
      </c>
      <c r="Y1008" s="238" t="s">
        <v>39</v>
      </c>
      <c r="Z1008" s="238" t="s">
        <v>1340</v>
      </c>
      <c r="AA1008" t="s">
        <v>1167</v>
      </c>
      <c r="AB1008" s="238" t="s">
        <v>3246</v>
      </c>
      <c r="AC1008" t="s">
        <v>3079</v>
      </c>
      <c r="AD1008" s="24"/>
      <c r="AE1008" s="238" t="s">
        <v>3010</v>
      </c>
      <c r="AF1008">
        <v>79171565888</v>
      </c>
      <c r="AG1008" s="238" t="s">
        <v>3011</v>
      </c>
      <c r="AH1008" s="238" t="s">
        <v>1212</v>
      </c>
      <c r="AI1008" s="238" t="s">
        <v>135</v>
      </c>
      <c r="AJ1008" s="238" t="s">
        <v>126</v>
      </c>
      <c r="AK1008" s="238" t="s">
        <v>141</v>
      </c>
      <c r="AL1008" t="s">
        <v>8715</v>
      </c>
      <c r="AM1008" t="s">
        <v>1167</v>
      </c>
    </row>
    <row r="1009" spans="1:39" hidden="1" x14ac:dyDescent="0.25">
      <c r="A1009">
        <v>1005</v>
      </c>
      <c r="B1009">
        <v>67</v>
      </c>
      <c r="C1009" s="24">
        <v>44644</v>
      </c>
      <c r="D1009" s="238" t="s">
        <v>19</v>
      </c>
      <c r="E1009" s="238" t="s">
        <v>5</v>
      </c>
      <c r="F1009">
        <v>9</v>
      </c>
      <c r="G1009">
        <v>7</v>
      </c>
      <c r="H1009">
        <v>225</v>
      </c>
      <c r="I1009" s="238" t="s">
        <v>43</v>
      </c>
      <c r="J1009">
        <v>60.3</v>
      </c>
      <c r="K1009" s="238" t="s">
        <v>38</v>
      </c>
      <c r="L1009">
        <v>6748119.3300000001</v>
      </c>
      <c r="M1009">
        <v>0</v>
      </c>
      <c r="N1009">
        <v>6748119.3300000001</v>
      </c>
      <c r="O1009">
        <v>111909.10995024876</v>
      </c>
      <c r="P1009">
        <v>964800</v>
      </c>
      <c r="Q1009">
        <v>5783319.3300000001</v>
      </c>
      <c r="R1009">
        <v>95909.109950248763</v>
      </c>
      <c r="S1009" s="238" t="s">
        <v>137</v>
      </c>
      <c r="T1009" s="238" t="s">
        <v>1167</v>
      </c>
      <c r="V1009" t="s">
        <v>4092</v>
      </c>
      <c r="W1009" s="24">
        <v>44643</v>
      </c>
      <c r="X1009" s="238" t="s">
        <v>3012</v>
      </c>
      <c r="Y1009" s="238" t="s">
        <v>39</v>
      </c>
      <c r="Z1009" s="238" t="s">
        <v>1340</v>
      </c>
      <c r="AA1009" t="s">
        <v>1167</v>
      </c>
      <c r="AB1009" s="238" t="s">
        <v>3246</v>
      </c>
      <c r="AC1009" t="s">
        <v>3079</v>
      </c>
      <c r="AD1009" s="24"/>
      <c r="AE1009" s="238" t="s">
        <v>3013</v>
      </c>
      <c r="AF1009">
        <v>79871601412</v>
      </c>
      <c r="AG1009" s="238" t="s">
        <v>3014</v>
      </c>
      <c r="AH1009" s="238" t="s">
        <v>1171</v>
      </c>
      <c r="AI1009" s="238" t="s">
        <v>3086</v>
      </c>
      <c r="AJ1009" s="238" t="s">
        <v>130</v>
      </c>
      <c r="AK1009" s="238" t="s">
        <v>141</v>
      </c>
      <c r="AL1009" t="s">
        <v>8715</v>
      </c>
      <c r="AM1009" t="s">
        <v>1167</v>
      </c>
    </row>
    <row r="1010" spans="1:39" hidden="1" x14ac:dyDescent="0.25">
      <c r="A1010">
        <v>1006</v>
      </c>
      <c r="B1010">
        <v>68</v>
      </c>
      <c r="C1010" s="24">
        <v>44645</v>
      </c>
      <c r="D1010" s="238" t="s">
        <v>27</v>
      </c>
      <c r="E1010" s="238" t="s">
        <v>6</v>
      </c>
      <c r="F1010">
        <v>2</v>
      </c>
      <c r="G1010">
        <v>9</v>
      </c>
      <c r="H1010">
        <v>65</v>
      </c>
      <c r="I1010" s="238" t="s">
        <v>42</v>
      </c>
      <c r="J1010">
        <v>37.94</v>
      </c>
      <c r="K1010" s="238" t="s">
        <v>36</v>
      </c>
      <c r="L1010">
        <v>3189113.47</v>
      </c>
      <c r="M1010">
        <v>0</v>
      </c>
      <c r="N1010">
        <v>3189113.47</v>
      </c>
      <c r="O1010">
        <v>84056.759884027415</v>
      </c>
      <c r="P1010">
        <v>0</v>
      </c>
      <c r="Q1010">
        <v>3189113.47</v>
      </c>
      <c r="R1010">
        <v>84056.759884027415</v>
      </c>
      <c r="S1010" s="238" t="s">
        <v>137</v>
      </c>
      <c r="T1010" s="238" t="s">
        <v>1167</v>
      </c>
      <c r="V1010" t="s">
        <v>4091</v>
      </c>
      <c r="W1010" s="24">
        <v>44637</v>
      </c>
      <c r="X1010" s="238" t="s">
        <v>3015</v>
      </c>
      <c r="Y1010" s="238" t="s">
        <v>39</v>
      </c>
      <c r="Z1010" s="238" t="s">
        <v>1340</v>
      </c>
      <c r="AA1010" t="s">
        <v>3474</v>
      </c>
      <c r="AB1010" s="238" t="s">
        <v>3246</v>
      </c>
      <c r="AC1010" t="s">
        <v>3077</v>
      </c>
      <c r="AD1010" s="24"/>
      <c r="AE1010" s="238" t="s">
        <v>3016</v>
      </c>
      <c r="AF1010">
        <v>79272143252</v>
      </c>
      <c r="AG1010" s="238" t="s">
        <v>3017</v>
      </c>
      <c r="AH1010" s="238" t="s">
        <v>1171</v>
      </c>
      <c r="AI1010" s="238" t="s">
        <v>6406</v>
      </c>
      <c r="AJ1010" s="238" t="s">
        <v>120</v>
      </c>
      <c r="AK1010" s="238" t="s">
        <v>794</v>
      </c>
      <c r="AL1010" t="s">
        <v>57</v>
      </c>
      <c r="AM1010" t="s">
        <v>1167</v>
      </c>
    </row>
    <row r="1011" spans="1:39" hidden="1" x14ac:dyDescent="0.25">
      <c r="A1011">
        <v>1007</v>
      </c>
      <c r="B1011">
        <v>69</v>
      </c>
      <c r="C1011" s="24">
        <v>44645</v>
      </c>
      <c r="D1011" s="238" t="s">
        <v>19</v>
      </c>
      <c r="E1011" s="238" t="s">
        <v>6</v>
      </c>
      <c r="F1011">
        <v>2</v>
      </c>
      <c r="G1011">
        <v>16</v>
      </c>
      <c r="H1011">
        <v>100</v>
      </c>
      <c r="I1011" s="238" t="s">
        <v>43</v>
      </c>
      <c r="J1011">
        <v>58.99</v>
      </c>
      <c r="K1011" s="238" t="s">
        <v>37</v>
      </c>
      <c r="L1011">
        <v>4967365.8899999997</v>
      </c>
      <c r="M1011">
        <v>15000</v>
      </c>
      <c r="N1011">
        <v>4982365.8899999997</v>
      </c>
      <c r="O1011">
        <v>84461.19494829631</v>
      </c>
      <c r="P1011">
        <v>324445.00000000093</v>
      </c>
      <c r="Q1011">
        <v>4657920.8899999987</v>
      </c>
      <c r="R1011">
        <v>78961.194948296295</v>
      </c>
      <c r="S1011" s="238" t="s">
        <v>137</v>
      </c>
      <c r="T1011" s="238" t="s">
        <v>1167</v>
      </c>
      <c r="V1011" t="s">
        <v>4092</v>
      </c>
      <c r="W1011" s="24">
        <v>44638</v>
      </c>
      <c r="X1011" s="238" t="s">
        <v>3018</v>
      </c>
      <c r="Y1011" s="238" t="s">
        <v>39</v>
      </c>
      <c r="Z1011" s="238" t="s">
        <v>1340</v>
      </c>
      <c r="AA1011" t="s">
        <v>1167</v>
      </c>
      <c r="AB1011" s="238" t="s">
        <v>3246</v>
      </c>
      <c r="AC1011" t="s">
        <v>3079</v>
      </c>
      <c r="AD1011" s="24"/>
      <c r="AE1011" s="238" t="s">
        <v>3019</v>
      </c>
      <c r="AF1011">
        <v>79277324570</v>
      </c>
      <c r="AG1011" s="238" t="s">
        <v>3020</v>
      </c>
      <c r="AH1011" s="238" t="s">
        <v>1212</v>
      </c>
      <c r="AI1011" s="238" t="s">
        <v>135</v>
      </c>
      <c r="AJ1011" s="238" t="s">
        <v>399</v>
      </c>
      <c r="AK1011" s="238" t="s">
        <v>794</v>
      </c>
      <c r="AL1011" t="s">
        <v>8715</v>
      </c>
      <c r="AM1011" t="s">
        <v>112</v>
      </c>
    </row>
    <row r="1012" spans="1:39" hidden="1" x14ac:dyDescent="0.25">
      <c r="A1012">
        <v>1008</v>
      </c>
      <c r="B1012">
        <v>70</v>
      </c>
      <c r="C1012" s="24">
        <v>44645</v>
      </c>
      <c r="D1012" s="238" t="s">
        <v>19</v>
      </c>
      <c r="E1012" s="238" t="s">
        <v>5</v>
      </c>
      <c r="F1012">
        <v>1</v>
      </c>
      <c r="G1012">
        <v>11</v>
      </c>
      <c r="H1012">
        <v>261</v>
      </c>
      <c r="I1012" s="238" t="s">
        <v>42</v>
      </c>
      <c r="J1012">
        <v>38.83</v>
      </c>
      <c r="K1012" s="238" t="s">
        <v>37</v>
      </c>
      <c r="L1012">
        <v>4032425.99</v>
      </c>
      <c r="M1012">
        <v>0</v>
      </c>
      <c r="N1012">
        <v>4032425.99</v>
      </c>
      <c r="O1012">
        <v>103848.20988926089</v>
      </c>
      <c r="P1012">
        <v>213565</v>
      </c>
      <c r="Q1012">
        <v>3818860.99</v>
      </c>
      <c r="R1012">
        <v>98348.209889260892</v>
      </c>
      <c r="S1012" s="238" t="s">
        <v>137</v>
      </c>
      <c r="T1012" s="238" t="s">
        <v>1167</v>
      </c>
      <c r="V1012" t="s">
        <v>4092</v>
      </c>
      <c r="W1012" s="24">
        <v>44644</v>
      </c>
      <c r="X1012" s="238" t="s">
        <v>3021</v>
      </c>
      <c r="Y1012" s="238" t="s">
        <v>39</v>
      </c>
      <c r="Z1012" s="238" t="s">
        <v>1340</v>
      </c>
      <c r="AA1012" t="s">
        <v>1167</v>
      </c>
      <c r="AB1012" s="238" t="s">
        <v>3246</v>
      </c>
      <c r="AC1012" t="s">
        <v>3079</v>
      </c>
      <c r="AD1012" s="24"/>
      <c r="AE1012" s="238" t="s">
        <v>3022</v>
      </c>
      <c r="AF1012">
        <v>79021535084</v>
      </c>
      <c r="AG1012" s="238" t="s">
        <v>3023</v>
      </c>
      <c r="AH1012" s="238" t="s">
        <v>1171</v>
      </c>
      <c r="AI1012" s="238" t="s">
        <v>3074</v>
      </c>
      <c r="AJ1012" s="238" t="s">
        <v>130</v>
      </c>
      <c r="AK1012" s="238" t="s">
        <v>141</v>
      </c>
      <c r="AL1012" t="s">
        <v>8715</v>
      </c>
      <c r="AM1012" t="s">
        <v>1167</v>
      </c>
    </row>
    <row r="1013" spans="1:39" hidden="1" x14ac:dyDescent="0.25">
      <c r="A1013">
        <v>1009</v>
      </c>
      <c r="B1013">
        <v>71</v>
      </c>
      <c r="C1013" s="24">
        <v>44648</v>
      </c>
      <c r="D1013" s="238" t="s">
        <v>27</v>
      </c>
      <c r="E1013" s="238" t="s">
        <v>6</v>
      </c>
      <c r="F1013">
        <v>3</v>
      </c>
      <c r="G1013">
        <v>14</v>
      </c>
      <c r="H1013">
        <v>111</v>
      </c>
      <c r="I1013" s="238" t="s">
        <v>42</v>
      </c>
      <c r="J1013">
        <v>41.06</v>
      </c>
      <c r="K1013" s="238" t="s">
        <v>36</v>
      </c>
      <c r="L1013">
        <v>3536452.46</v>
      </c>
      <c r="M1013">
        <v>0</v>
      </c>
      <c r="N1013">
        <v>3536452.46</v>
      </c>
      <c r="O1013">
        <v>86128.895762299071</v>
      </c>
      <c r="P1013">
        <v>0</v>
      </c>
      <c r="Q1013">
        <v>3536452.46</v>
      </c>
      <c r="R1013">
        <v>86128.895762299071</v>
      </c>
      <c r="S1013" s="238" t="s">
        <v>137</v>
      </c>
      <c r="T1013" s="238" t="s">
        <v>1167</v>
      </c>
      <c r="V1013" t="s">
        <v>4091</v>
      </c>
      <c r="W1013" s="24">
        <v>44636</v>
      </c>
      <c r="X1013" s="238" t="s">
        <v>3024</v>
      </c>
      <c r="Y1013" s="238" t="s">
        <v>39</v>
      </c>
      <c r="Z1013" s="238" t="s">
        <v>1340</v>
      </c>
      <c r="AA1013" t="s">
        <v>1167</v>
      </c>
      <c r="AB1013" s="238" t="s">
        <v>3246</v>
      </c>
      <c r="AC1013" t="s">
        <v>3079</v>
      </c>
      <c r="AD1013" s="24"/>
      <c r="AE1013" s="238" t="s">
        <v>3025</v>
      </c>
      <c r="AF1013">
        <v>79277246862</v>
      </c>
      <c r="AG1013" s="238" t="s">
        <v>3026</v>
      </c>
      <c r="AH1013" s="238" t="s">
        <v>1171</v>
      </c>
      <c r="AI1013" s="238" t="s">
        <v>3090</v>
      </c>
      <c r="AJ1013" s="238" t="s">
        <v>130</v>
      </c>
      <c r="AK1013" s="238" t="s">
        <v>794</v>
      </c>
      <c r="AL1013" t="s">
        <v>8715</v>
      </c>
      <c r="AM1013" t="s">
        <v>1167</v>
      </c>
    </row>
    <row r="1014" spans="1:39" hidden="1" x14ac:dyDescent="0.25">
      <c r="A1014">
        <v>1010</v>
      </c>
      <c r="B1014">
        <v>72</v>
      </c>
      <c r="C1014" s="24">
        <v>44648</v>
      </c>
      <c r="D1014" s="238" t="s">
        <v>27</v>
      </c>
      <c r="E1014" s="238" t="s">
        <v>14</v>
      </c>
      <c r="F1014">
        <v>2</v>
      </c>
      <c r="G1014">
        <v>17</v>
      </c>
      <c r="H1014">
        <v>768</v>
      </c>
      <c r="I1014" s="238" t="s">
        <v>45</v>
      </c>
      <c r="J1014">
        <v>100.26</v>
      </c>
      <c r="K1014" s="238" t="s">
        <v>36</v>
      </c>
      <c r="L1014">
        <v>6345064.3200000003</v>
      </c>
      <c r="M1014">
        <v>0</v>
      </c>
      <c r="N1014">
        <v>6345064.3200000003</v>
      </c>
      <c r="O1014">
        <v>63286.099341711553</v>
      </c>
      <c r="P1014">
        <v>0</v>
      </c>
      <c r="Q1014">
        <v>6345064.3200000003</v>
      </c>
      <c r="R1014">
        <v>63286.099341711553</v>
      </c>
      <c r="S1014" s="238" t="s">
        <v>137</v>
      </c>
      <c r="T1014" s="238" t="s">
        <v>1139</v>
      </c>
      <c r="U1014">
        <v>264377.63930400001</v>
      </c>
      <c r="V1014" t="s">
        <v>4092</v>
      </c>
      <c r="W1014" s="24">
        <v>44639</v>
      </c>
      <c r="X1014" s="238" t="s">
        <v>3027</v>
      </c>
      <c r="Y1014" s="238" t="s">
        <v>39</v>
      </c>
      <c r="Z1014" s="238" t="s">
        <v>1340</v>
      </c>
      <c r="AA1014" t="s">
        <v>1167</v>
      </c>
      <c r="AB1014" s="238" t="s">
        <v>3246</v>
      </c>
      <c r="AC1014" t="s">
        <v>3079</v>
      </c>
      <c r="AD1014" s="24"/>
      <c r="AE1014" s="238" t="s">
        <v>3028</v>
      </c>
      <c r="AF1014">
        <v>79277504870</v>
      </c>
      <c r="AG1014" s="238" t="s">
        <v>3029</v>
      </c>
      <c r="AH1014" s="238" t="s">
        <v>1171</v>
      </c>
      <c r="AI1014" s="238" t="s">
        <v>135</v>
      </c>
      <c r="AJ1014" s="238" t="s">
        <v>130</v>
      </c>
      <c r="AK1014" s="238" t="s">
        <v>141</v>
      </c>
      <c r="AL1014" t="s">
        <v>8715</v>
      </c>
      <c r="AM1014" t="s">
        <v>1167</v>
      </c>
    </row>
    <row r="1015" spans="1:39" hidden="1" x14ac:dyDescent="0.25">
      <c r="A1015">
        <v>1011</v>
      </c>
      <c r="B1015">
        <v>73</v>
      </c>
      <c r="C1015" s="24">
        <v>44649</v>
      </c>
      <c r="D1015" s="238" t="s">
        <v>27</v>
      </c>
      <c r="E1015" s="238" t="s">
        <v>5</v>
      </c>
      <c r="F1015">
        <v>3</v>
      </c>
      <c r="G1015">
        <v>9</v>
      </c>
      <c r="I1015" s="238" t="s">
        <v>4052</v>
      </c>
      <c r="J1015">
        <v>23.54</v>
      </c>
      <c r="K1015" s="238" t="s">
        <v>36</v>
      </c>
      <c r="L1015">
        <v>2441999.11</v>
      </c>
      <c r="M1015">
        <v>0</v>
      </c>
      <c r="N1015">
        <v>2441999.11</v>
      </c>
      <c r="O1015">
        <v>103738.27994902294</v>
      </c>
      <c r="P1015">
        <v>0</v>
      </c>
      <c r="Q1015">
        <v>2441999.11</v>
      </c>
      <c r="R1015">
        <v>103738.27994902294</v>
      </c>
      <c r="S1015" s="238" t="s">
        <v>137</v>
      </c>
      <c r="T1015" s="238" t="s">
        <v>1167</v>
      </c>
      <c r="V1015" t="s">
        <v>4091</v>
      </c>
      <c r="W1015" s="24">
        <v>44638</v>
      </c>
      <c r="X1015" s="238" t="s">
        <v>3030</v>
      </c>
      <c r="Y1015" s="238" t="s">
        <v>1172</v>
      </c>
      <c r="Z1015" s="238" t="s">
        <v>1340</v>
      </c>
      <c r="AA1015" t="s">
        <v>1167</v>
      </c>
      <c r="AB1015" s="238" t="s">
        <v>3246</v>
      </c>
      <c r="AC1015" t="s">
        <v>3079</v>
      </c>
      <c r="AD1015" s="24">
        <v>44775</v>
      </c>
      <c r="AE1015" s="238" t="s">
        <v>3031</v>
      </c>
      <c r="AF1015">
        <v>79379819807</v>
      </c>
      <c r="AG1015" s="238" t="s">
        <v>3032</v>
      </c>
      <c r="AH1015" s="238" t="s">
        <v>1171</v>
      </c>
      <c r="AI1015" s="238" t="s">
        <v>3101</v>
      </c>
      <c r="AJ1015" s="238" t="s">
        <v>982</v>
      </c>
      <c r="AK1015" s="238" t="s">
        <v>794</v>
      </c>
      <c r="AL1015" t="s">
        <v>8715</v>
      </c>
      <c r="AM1015" t="s">
        <v>1167</v>
      </c>
    </row>
    <row r="1016" spans="1:39" hidden="1" x14ac:dyDescent="0.25">
      <c r="A1016">
        <v>1012</v>
      </c>
      <c r="B1016">
        <v>74</v>
      </c>
      <c r="C1016" s="24">
        <v>44649</v>
      </c>
      <c r="D1016" s="238" t="s">
        <v>19</v>
      </c>
      <c r="E1016" s="238" t="s">
        <v>5</v>
      </c>
      <c r="F1016">
        <v>10</v>
      </c>
      <c r="G1016">
        <v>15</v>
      </c>
      <c r="H1016">
        <v>314</v>
      </c>
      <c r="I1016" s="238" t="s">
        <v>4052</v>
      </c>
      <c r="J1016">
        <v>25.91</v>
      </c>
      <c r="K1016" s="238" t="s">
        <v>37</v>
      </c>
      <c r="L1016">
        <v>2975020.66</v>
      </c>
      <c r="M1016">
        <v>0</v>
      </c>
      <c r="N1016">
        <v>2975020.66</v>
      </c>
      <c r="O1016">
        <v>114821.32998842146</v>
      </c>
      <c r="P1016">
        <v>142505.00000001211</v>
      </c>
      <c r="Q1016">
        <v>2832515.659999988</v>
      </c>
      <c r="R1016">
        <v>109321.329988421</v>
      </c>
      <c r="S1016" s="238" t="s">
        <v>137</v>
      </c>
      <c r="T1016" s="238" t="s">
        <v>1167</v>
      </c>
      <c r="V1016" t="s">
        <v>4091</v>
      </c>
      <c r="W1016" s="24">
        <v>44649</v>
      </c>
      <c r="X1016" s="238" t="s">
        <v>3033</v>
      </c>
      <c r="Y1016" s="238" t="s">
        <v>39</v>
      </c>
      <c r="Z1016" s="238" t="s">
        <v>1340</v>
      </c>
      <c r="AA1016" t="s">
        <v>3474</v>
      </c>
      <c r="AB1016" s="238" t="s">
        <v>3246</v>
      </c>
      <c r="AC1016" t="s">
        <v>3104</v>
      </c>
      <c r="AD1016" s="24"/>
      <c r="AE1016" s="238" t="s">
        <v>3034</v>
      </c>
      <c r="AF1016">
        <v>79269048081</v>
      </c>
      <c r="AG1016" s="238" t="s">
        <v>3035</v>
      </c>
      <c r="AH1016" s="238" t="s">
        <v>135</v>
      </c>
      <c r="AI1016" s="238" t="s">
        <v>3075</v>
      </c>
      <c r="AJ1016" s="238" t="s">
        <v>689</v>
      </c>
      <c r="AK1016" s="238" t="s">
        <v>141</v>
      </c>
      <c r="AL1016" t="s">
        <v>8715</v>
      </c>
      <c r="AM1016" t="s">
        <v>1167</v>
      </c>
    </row>
    <row r="1017" spans="1:39" hidden="1" x14ac:dyDescent="0.25">
      <c r="A1017">
        <v>1013</v>
      </c>
      <c r="B1017">
        <v>75</v>
      </c>
      <c r="C1017" s="24">
        <v>44650</v>
      </c>
      <c r="D1017" s="238" t="s">
        <v>27</v>
      </c>
      <c r="E1017" s="238" t="s">
        <v>6</v>
      </c>
      <c r="F1017">
        <v>6</v>
      </c>
      <c r="G1017">
        <v>5</v>
      </c>
      <c r="H1017">
        <v>33</v>
      </c>
      <c r="I1017" s="238" t="s">
        <v>43</v>
      </c>
      <c r="J1017">
        <v>54.67</v>
      </c>
      <c r="K1017" s="238" t="s">
        <v>36</v>
      </c>
      <c r="L1017">
        <v>3889484.73</v>
      </c>
      <c r="M1017">
        <v>15000</v>
      </c>
      <c r="N1017">
        <v>3904484.73</v>
      </c>
      <c r="O1017">
        <v>71419.146332540695</v>
      </c>
      <c r="P1017">
        <v>0</v>
      </c>
      <c r="Q1017">
        <v>3904484.73</v>
      </c>
      <c r="R1017">
        <v>71419.146332540695</v>
      </c>
      <c r="S1017" s="238" t="s">
        <v>137</v>
      </c>
      <c r="T1017" s="238" t="s">
        <v>3540</v>
      </c>
      <c r="U1017">
        <v>79683.361911999993</v>
      </c>
      <c r="V1017" t="s">
        <v>4092</v>
      </c>
      <c r="W1017" s="24">
        <v>44616</v>
      </c>
      <c r="X1017" s="238" t="s">
        <v>3036</v>
      </c>
      <c r="Y1017" s="238" t="s">
        <v>39</v>
      </c>
      <c r="Z1017" s="238" t="s">
        <v>1340</v>
      </c>
      <c r="AA1017" t="s">
        <v>1167</v>
      </c>
      <c r="AB1017" s="238" t="s">
        <v>3246</v>
      </c>
      <c r="AC1017" t="s">
        <v>3079</v>
      </c>
      <c r="AD1017" s="24"/>
      <c r="AE1017" s="238" t="s">
        <v>3037</v>
      </c>
      <c r="AF1017">
        <v>79370724701</v>
      </c>
      <c r="AG1017" s="238" t="s">
        <v>3038</v>
      </c>
      <c r="AH1017" s="238" t="s">
        <v>1171</v>
      </c>
      <c r="AI1017" s="238" t="s">
        <v>3074</v>
      </c>
      <c r="AJ1017" s="238" t="s">
        <v>399</v>
      </c>
      <c r="AK1017" s="238" t="s">
        <v>141</v>
      </c>
      <c r="AL1017" t="s">
        <v>8715</v>
      </c>
      <c r="AM1017" t="s">
        <v>1167</v>
      </c>
    </row>
    <row r="1018" spans="1:39" hidden="1" x14ac:dyDescent="0.25">
      <c r="A1018">
        <v>1014</v>
      </c>
      <c r="B1018">
        <v>76</v>
      </c>
      <c r="C1018" s="24">
        <v>44650</v>
      </c>
      <c r="D1018" s="238" t="s">
        <v>27</v>
      </c>
      <c r="E1018" s="238" t="s">
        <v>14</v>
      </c>
      <c r="F1018">
        <v>6</v>
      </c>
      <c r="G1018">
        <v>23</v>
      </c>
      <c r="H1018">
        <v>820</v>
      </c>
      <c r="I1018" s="238" t="s">
        <v>42</v>
      </c>
      <c r="J1018">
        <v>38.909999999999997</v>
      </c>
      <c r="K1018" s="238" t="s">
        <v>36</v>
      </c>
      <c r="L1018">
        <v>4100314.4</v>
      </c>
      <c r="M1018">
        <v>0</v>
      </c>
      <c r="N1018">
        <v>4100314.4</v>
      </c>
      <c r="O1018">
        <v>105379.45001285017</v>
      </c>
      <c r="P1018">
        <v>0</v>
      </c>
      <c r="Q1018">
        <v>4100314.4</v>
      </c>
      <c r="R1018">
        <v>105379.45001285017</v>
      </c>
      <c r="S1018" s="238" t="s">
        <v>137</v>
      </c>
      <c r="T1018" s="238" t="s">
        <v>1167</v>
      </c>
      <c r="V1018" t="s">
        <v>4091</v>
      </c>
      <c r="W1018" s="24">
        <v>44648</v>
      </c>
      <c r="X1018" s="238" t="s">
        <v>3039</v>
      </c>
      <c r="Y1018" s="238" t="s">
        <v>39</v>
      </c>
      <c r="Z1018" s="238" t="s">
        <v>1168</v>
      </c>
      <c r="AA1018" t="s">
        <v>1167</v>
      </c>
      <c r="AB1018" s="238" t="s">
        <v>3246</v>
      </c>
      <c r="AC1018" t="s">
        <v>3076</v>
      </c>
      <c r="AD1018" s="24"/>
      <c r="AE1018" s="238" t="s">
        <v>3040</v>
      </c>
      <c r="AF1018">
        <v>79295051729</v>
      </c>
      <c r="AG1018" s="238" t="s">
        <v>3041</v>
      </c>
      <c r="AH1018" s="238" t="s">
        <v>1171</v>
      </c>
      <c r="AI1018" s="238" t="s">
        <v>6406</v>
      </c>
      <c r="AJ1018" s="238" t="s">
        <v>120</v>
      </c>
      <c r="AK1018" s="238" t="s">
        <v>141</v>
      </c>
      <c r="AL1018" t="s">
        <v>57</v>
      </c>
      <c r="AM1018" t="s">
        <v>1167</v>
      </c>
    </row>
    <row r="1019" spans="1:39" hidden="1" x14ac:dyDescent="0.25">
      <c r="A1019">
        <v>1015</v>
      </c>
      <c r="B1019">
        <v>77</v>
      </c>
      <c r="C1019" s="24">
        <v>44650</v>
      </c>
      <c r="D1019" s="238" t="s">
        <v>27</v>
      </c>
      <c r="E1019" s="238" t="s">
        <v>14</v>
      </c>
      <c r="F1019">
        <v>2</v>
      </c>
      <c r="G1019">
        <v>13</v>
      </c>
      <c r="H1019">
        <v>732</v>
      </c>
      <c r="I1019" s="238" t="s">
        <v>42</v>
      </c>
      <c r="J1019">
        <v>40.75</v>
      </c>
      <c r="K1019" s="238" t="s">
        <v>37</v>
      </c>
      <c r="L1019">
        <v>3994997.97</v>
      </c>
      <c r="M1019">
        <v>0</v>
      </c>
      <c r="N1019">
        <v>3994997.97</v>
      </c>
      <c r="O1019">
        <v>98036.760000000009</v>
      </c>
      <c r="P1019">
        <v>285250.00000000047</v>
      </c>
      <c r="Q1019">
        <v>3709747.9699999997</v>
      </c>
      <c r="R1019">
        <v>91036.76</v>
      </c>
      <c r="S1019" s="238" t="s">
        <v>137</v>
      </c>
      <c r="T1019" s="238" t="s">
        <v>1167</v>
      </c>
      <c r="V1019" t="s">
        <v>4091</v>
      </c>
      <c r="W1019" s="24">
        <v>44649</v>
      </c>
      <c r="X1019" s="238" t="s">
        <v>3042</v>
      </c>
      <c r="Y1019" s="238" t="s">
        <v>39</v>
      </c>
      <c r="Z1019" s="238" t="s">
        <v>1340</v>
      </c>
      <c r="AA1019" t="s">
        <v>1167</v>
      </c>
      <c r="AB1019" s="238" t="s">
        <v>3246</v>
      </c>
      <c r="AC1019" t="s">
        <v>3079</v>
      </c>
      <c r="AD1019" s="24"/>
      <c r="AE1019" s="238" t="s">
        <v>3043</v>
      </c>
      <c r="AF1019">
        <v>79276913003</v>
      </c>
      <c r="AG1019" s="238" t="s">
        <v>3044</v>
      </c>
      <c r="AH1019" s="238" t="s">
        <v>1212</v>
      </c>
      <c r="AI1019" s="238" t="s">
        <v>135</v>
      </c>
      <c r="AJ1019" s="238" t="s">
        <v>399</v>
      </c>
      <c r="AK1019" s="238" t="s">
        <v>141</v>
      </c>
      <c r="AL1019" t="s">
        <v>8715</v>
      </c>
      <c r="AM1019" t="s">
        <v>1167</v>
      </c>
    </row>
    <row r="1020" spans="1:39" hidden="1" x14ac:dyDescent="0.25">
      <c r="A1020">
        <v>1016</v>
      </c>
      <c r="B1020">
        <v>78</v>
      </c>
      <c r="C1020" s="24">
        <v>44651</v>
      </c>
      <c r="D1020" s="238" t="s">
        <v>27</v>
      </c>
      <c r="E1020" s="238" t="s">
        <v>14</v>
      </c>
      <c r="F1020">
        <v>7</v>
      </c>
      <c r="G1020">
        <v>10</v>
      </c>
      <c r="H1020">
        <v>710</v>
      </c>
      <c r="I1020" s="238" t="s">
        <v>42</v>
      </c>
      <c r="J1020">
        <v>38.909999999999997</v>
      </c>
      <c r="K1020" s="238" t="s">
        <v>36</v>
      </c>
      <c r="L1020">
        <v>3760028.55</v>
      </c>
      <c r="M1020">
        <v>0</v>
      </c>
      <c r="N1020">
        <v>3760028.55</v>
      </c>
      <c r="O1020">
        <v>96633.989976869707</v>
      </c>
      <c r="P1020">
        <v>0</v>
      </c>
      <c r="Q1020">
        <v>3760028.55</v>
      </c>
      <c r="R1020">
        <v>96633.989976869707</v>
      </c>
      <c r="S1020" s="238" t="s">
        <v>137</v>
      </c>
      <c r="T1020" s="238" t="s">
        <v>1167</v>
      </c>
      <c r="V1020" t="s">
        <v>4091</v>
      </c>
      <c r="W1020" s="24">
        <v>44648</v>
      </c>
      <c r="X1020" s="238" t="s">
        <v>3045</v>
      </c>
      <c r="Y1020" s="238" t="s">
        <v>39</v>
      </c>
      <c r="Z1020" s="238" t="s">
        <v>1340</v>
      </c>
      <c r="AA1020" t="s">
        <v>1167</v>
      </c>
      <c r="AB1020" s="238" t="s">
        <v>3246</v>
      </c>
      <c r="AC1020" t="s">
        <v>3079</v>
      </c>
      <c r="AD1020" s="24"/>
      <c r="AE1020" s="238" t="s">
        <v>3046</v>
      </c>
      <c r="AF1020">
        <v>79277377337</v>
      </c>
      <c r="AG1020" s="238" t="s">
        <v>3047</v>
      </c>
      <c r="AH1020" s="238" t="s">
        <v>1171</v>
      </c>
      <c r="AI1020" s="238" t="s">
        <v>3074</v>
      </c>
      <c r="AJ1020" s="238" t="s">
        <v>130</v>
      </c>
      <c r="AK1020" s="238" t="s">
        <v>141</v>
      </c>
      <c r="AL1020" t="s">
        <v>8715</v>
      </c>
      <c r="AM1020" t="s">
        <v>1167</v>
      </c>
    </row>
    <row r="1021" spans="1:39" hidden="1" x14ac:dyDescent="0.25">
      <c r="A1021">
        <v>1017</v>
      </c>
      <c r="B1021">
        <v>79</v>
      </c>
      <c r="C1021" s="24">
        <v>44651</v>
      </c>
      <c r="D1021" s="238" t="s">
        <v>19</v>
      </c>
      <c r="E1021" s="238" t="s">
        <v>6</v>
      </c>
      <c r="F1021">
        <v>6</v>
      </c>
      <c r="G1021">
        <v>24</v>
      </c>
      <c r="H1021">
        <v>160</v>
      </c>
      <c r="I1021" s="238" t="s">
        <v>43</v>
      </c>
      <c r="J1021">
        <v>59.96</v>
      </c>
      <c r="K1021" s="238" t="s">
        <v>38</v>
      </c>
      <c r="L1021">
        <v>6808293.1100000003</v>
      </c>
      <c r="M1021">
        <v>0</v>
      </c>
      <c r="N1021">
        <v>6808293.1100000003</v>
      </c>
      <c r="O1021">
        <v>113547.25</v>
      </c>
      <c r="P1021">
        <v>959360</v>
      </c>
      <c r="Q1021">
        <v>5848933.1100000003</v>
      </c>
      <c r="R1021">
        <v>97547.25</v>
      </c>
      <c r="S1021" s="238" t="s">
        <v>137</v>
      </c>
      <c r="T1021" s="238" t="s">
        <v>1167</v>
      </c>
      <c r="V1021" t="s">
        <v>4092</v>
      </c>
      <c r="W1021" s="24">
        <v>44650</v>
      </c>
      <c r="X1021" s="238" t="s">
        <v>1140</v>
      </c>
      <c r="Y1021" s="238" t="s">
        <v>39</v>
      </c>
      <c r="Z1021" s="238" t="s">
        <v>1340</v>
      </c>
      <c r="AA1021" t="s">
        <v>1167</v>
      </c>
      <c r="AB1021" s="238" t="s">
        <v>3246</v>
      </c>
      <c r="AC1021" t="s">
        <v>3079</v>
      </c>
      <c r="AD1021" s="24"/>
      <c r="AE1021" s="238" t="s">
        <v>3048</v>
      </c>
      <c r="AF1021">
        <v>79277090569</v>
      </c>
      <c r="AG1021" s="238" t="s">
        <v>3049</v>
      </c>
      <c r="AH1021" s="238" t="s">
        <v>1171</v>
      </c>
      <c r="AI1021" s="238" t="s">
        <v>6406</v>
      </c>
      <c r="AJ1021" s="238" t="s">
        <v>130</v>
      </c>
      <c r="AK1021" s="238" t="s">
        <v>141</v>
      </c>
      <c r="AL1021" t="s">
        <v>57</v>
      </c>
      <c r="AM1021" t="s">
        <v>1167</v>
      </c>
    </row>
    <row r="1022" spans="1:39" hidden="1" x14ac:dyDescent="0.25">
      <c r="A1022">
        <v>1018</v>
      </c>
      <c r="B1022">
        <v>1</v>
      </c>
      <c r="C1022" s="24">
        <v>44657</v>
      </c>
      <c r="D1022" s="238" t="s">
        <v>27</v>
      </c>
      <c r="E1022" s="238" t="s">
        <v>6</v>
      </c>
      <c r="F1022">
        <v>2</v>
      </c>
      <c r="G1022">
        <v>8</v>
      </c>
      <c r="H1022">
        <v>56</v>
      </c>
      <c r="I1022" s="238" t="s">
        <v>42</v>
      </c>
      <c r="J1022">
        <v>37.94</v>
      </c>
      <c r="K1022" s="238" t="s">
        <v>37</v>
      </c>
      <c r="L1022">
        <v>3720273.47</v>
      </c>
      <c r="M1022">
        <v>0</v>
      </c>
      <c r="N1022">
        <v>3720273.47</v>
      </c>
      <c r="O1022">
        <v>98056.75988402743</v>
      </c>
      <c r="P1022">
        <v>265580</v>
      </c>
      <c r="Q1022">
        <v>3454693.47</v>
      </c>
      <c r="R1022">
        <v>91056.75988402743</v>
      </c>
      <c r="S1022" s="238" t="s">
        <v>137</v>
      </c>
      <c r="T1022" s="238" t="s">
        <v>1167</v>
      </c>
      <c r="V1022" t="s">
        <v>4091</v>
      </c>
      <c r="W1022" s="24">
        <v>44654</v>
      </c>
      <c r="X1022" s="238" t="s">
        <v>1141</v>
      </c>
      <c r="Y1022" s="238" t="s">
        <v>39</v>
      </c>
      <c r="Z1022" s="238" t="s">
        <v>1340</v>
      </c>
      <c r="AA1022" t="s">
        <v>1167</v>
      </c>
      <c r="AB1022" s="238" t="s">
        <v>3246</v>
      </c>
      <c r="AC1022" t="s">
        <v>3079</v>
      </c>
      <c r="AD1022" s="24"/>
      <c r="AE1022" s="238" t="s">
        <v>3050</v>
      </c>
      <c r="AF1022">
        <v>79276905511</v>
      </c>
      <c r="AG1022" s="238" t="s">
        <v>3051</v>
      </c>
      <c r="AH1022" s="238" t="s">
        <v>1212</v>
      </c>
      <c r="AI1022" s="238" t="s">
        <v>135</v>
      </c>
      <c r="AJ1022" s="238" t="s">
        <v>130</v>
      </c>
      <c r="AK1022" s="238" t="s">
        <v>141</v>
      </c>
      <c r="AL1022" t="s">
        <v>8715</v>
      </c>
      <c r="AM1022" t="s">
        <v>1167</v>
      </c>
    </row>
    <row r="1023" spans="1:39" hidden="1" x14ac:dyDescent="0.25">
      <c r="A1023">
        <v>1019</v>
      </c>
      <c r="B1023">
        <v>2</v>
      </c>
      <c r="C1023" s="24">
        <v>44662</v>
      </c>
      <c r="D1023" s="238" t="s">
        <v>27</v>
      </c>
      <c r="E1023" s="238" t="s">
        <v>6</v>
      </c>
      <c r="F1023">
        <v>3</v>
      </c>
      <c r="G1023">
        <v>17</v>
      </c>
      <c r="H1023">
        <v>138</v>
      </c>
      <c r="I1023" s="238" t="s">
        <v>42</v>
      </c>
      <c r="J1023">
        <v>41.06</v>
      </c>
      <c r="K1023" s="238" t="s">
        <v>37</v>
      </c>
      <c r="L1023">
        <v>4111292.63</v>
      </c>
      <c r="M1023">
        <v>0</v>
      </c>
      <c r="N1023">
        <v>4111292.63</v>
      </c>
      <c r="O1023">
        <v>100128.89990258159</v>
      </c>
      <c r="P1023">
        <v>287419.99999999907</v>
      </c>
      <c r="Q1023">
        <v>3823872.6300000008</v>
      </c>
      <c r="R1023">
        <v>93128.899902581601</v>
      </c>
      <c r="S1023" s="238" t="s">
        <v>137</v>
      </c>
      <c r="T1023" s="238" t="s">
        <v>1167</v>
      </c>
      <c r="V1023" t="s">
        <v>4092</v>
      </c>
      <c r="W1023" s="24">
        <v>44658</v>
      </c>
      <c r="X1023" s="238" t="s">
        <v>3052</v>
      </c>
      <c r="Y1023" s="238" t="s">
        <v>39</v>
      </c>
      <c r="Z1023" s="238" t="s">
        <v>1340</v>
      </c>
      <c r="AA1023" t="s">
        <v>1167</v>
      </c>
      <c r="AB1023" s="238" t="s">
        <v>3246</v>
      </c>
      <c r="AC1023" t="s">
        <v>3079</v>
      </c>
      <c r="AD1023" s="24"/>
      <c r="AE1023" s="238" t="s">
        <v>3053</v>
      </c>
      <c r="AF1023">
        <v>79270026202</v>
      </c>
      <c r="AG1023" s="238" t="s">
        <v>3054</v>
      </c>
      <c r="AH1023" s="238" t="s">
        <v>1171</v>
      </c>
      <c r="AI1023" s="238" t="s">
        <v>3074</v>
      </c>
      <c r="AJ1023" s="238" t="s">
        <v>130</v>
      </c>
      <c r="AK1023" s="238" t="s">
        <v>141</v>
      </c>
      <c r="AL1023" t="s">
        <v>8715</v>
      </c>
      <c r="AM1023" t="s">
        <v>1167</v>
      </c>
    </row>
    <row r="1024" spans="1:39" hidden="1" x14ac:dyDescent="0.25">
      <c r="A1024">
        <v>1020</v>
      </c>
      <c r="B1024">
        <v>3</v>
      </c>
      <c r="C1024" s="24">
        <v>44677</v>
      </c>
      <c r="D1024" s="238" t="s">
        <v>27</v>
      </c>
      <c r="E1024" s="238" t="s">
        <v>6</v>
      </c>
      <c r="F1024">
        <v>6</v>
      </c>
      <c r="G1024">
        <v>10</v>
      </c>
      <c r="H1024">
        <v>78</v>
      </c>
      <c r="I1024" s="238" t="s">
        <v>43</v>
      </c>
      <c r="J1024">
        <v>54.67</v>
      </c>
      <c r="K1024" s="238" t="s">
        <v>36</v>
      </c>
      <c r="L1024">
        <v>4109940.79</v>
      </c>
      <c r="M1024">
        <v>0</v>
      </c>
      <c r="N1024">
        <v>4109940.79</v>
      </c>
      <c r="O1024">
        <v>75177.259740259746</v>
      </c>
      <c r="P1024">
        <v>0</v>
      </c>
      <c r="Q1024">
        <v>4109940.79</v>
      </c>
      <c r="R1024">
        <v>75177.259740259746</v>
      </c>
      <c r="S1024" s="238" t="s">
        <v>137</v>
      </c>
      <c r="T1024" s="238" t="s">
        <v>3055</v>
      </c>
      <c r="U1024">
        <v>300000</v>
      </c>
      <c r="V1024" t="s">
        <v>4092</v>
      </c>
      <c r="W1024" s="24">
        <v>44670</v>
      </c>
      <c r="X1024" s="238" t="s">
        <v>1142</v>
      </c>
      <c r="Y1024" s="238" t="s">
        <v>39</v>
      </c>
      <c r="Z1024" s="238" t="s">
        <v>1340</v>
      </c>
      <c r="AA1024" t="s">
        <v>1167</v>
      </c>
      <c r="AB1024" s="238" t="s">
        <v>3246</v>
      </c>
      <c r="AC1024" t="s">
        <v>3080</v>
      </c>
      <c r="AD1024" s="24"/>
      <c r="AE1024" s="238" t="s">
        <v>3056</v>
      </c>
      <c r="AF1024">
        <v>79397551205</v>
      </c>
      <c r="AG1024" s="238" t="s">
        <v>3057</v>
      </c>
      <c r="AH1024" s="238" t="s">
        <v>1212</v>
      </c>
      <c r="AI1024" s="238" t="s">
        <v>135</v>
      </c>
      <c r="AJ1024" s="238" t="s">
        <v>120</v>
      </c>
      <c r="AK1024" s="238" t="s">
        <v>794</v>
      </c>
      <c r="AL1024" t="s">
        <v>8715</v>
      </c>
      <c r="AM1024" t="s">
        <v>1167</v>
      </c>
    </row>
    <row r="1025" spans="1:39" hidden="1" x14ac:dyDescent="0.25">
      <c r="A1025">
        <v>1021</v>
      </c>
      <c r="B1025">
        <v>4</v>
      </c>
      <c r="C1025" s="24">
        <v>44678</v>
      </c>
      <c r="D1025" s="238" t="s">
        <v>27</v>
      </c>
      <c r="E1025" s="238" t="s">
        <v>5</v>
      </c>
      <c r="F1025">
        <v>7</v>
      </c>
      <c r="G1025">
        <v>10</v>
      </c>
      <c r="H1025">
        <v>278</v>
      </c>
      <c r="I1025" s="238" t="s">
        <v>43</v>
      </c>
      <c r="J1025">
        <v>59.93</v>
      </c>
      <c r="K1025" s="238" t="s">
        <v>37</v>
      </c>
      <c r="L1025">
        <v>5159493.55</v>
      </c>
      <c r="M1025">
        <v>0</v>
      </c>
      <c r="N1025">
        <v>5159493.55</v>
      </c>
      <c r="O1025">
        <v>86091.99983313866</v>
      </c>
      <c r="P1025">
        <v>419509.99999999721</v>
      </c>
      <c r="Q1025">
        <v>4739983.5500000026</v>
      </c>
      <c r="R1025">
        <v>79091.999833138703</v>
      </c>
      <c r="S1025" s="238" t="s">
        <v>121</v>
      </c>
      <c r="T1025" s="238" t="s">
        <v>3055</v>
      </c>
      <c r="U1025">
        <v>300000</v>
      </c>
      <c r="V1025" t="s">
        <v>1167</v>
      </c>
      <c r="W1025" s="24">
        <v>44671</v>
      </c>
      <c r="X1025" s="238" t="s">
        <v>3058</v>
      </c>
      <c r="Y1025" s="238" t="s">
        <v>39</v>
      </c>
      <c r="Z1025" s="238" t="s">
        <v>1168</v>
      </c>
      <c r="AA1025" t="s">
        <v>1167</v>
      </c>
      <c r="AB1025" s="238" t="s">
        <v>3246</v>
      </c>
      <c r="AC1025" t="s">
        <v>4246</v>
      </c>
      <c r="AD1025" s="24"/>
      <c r="AE1025" s="238" t="s">
        <v>3059</v>
      </c>
      <c r="AF1025">
        <v>79276550258</v>
      </c>
      <c r="AG1025" s="238" t="s">
        <v>3060</v>
      </c>
      <c r="AH1025" s="238" t="s">
        <v>1212</v>
      </c>
      <c r="AI1025" s="238" t="s">
        <v>3097</v>
      </c>
      <c r="AJ1025" s="238" t="s">
        <v>399</v>
      </c>
      <c r="AK1025" s="238" t="s">
        <v>1167</v>
      </c>
      <c r="AL1025" t="s">
        <v>8715</v>
      </c>
      <c r="AM1025" t="s">
        <v>1167</v>
      </c>
    </row>
    <row r="1026" spans="1:39" hidden="1" x14ac:dyDescent="0.25">
      <c r="A1026">
        <v>1022</v>
      </c>
      <c r="B1026">
        <v>5</v>
      </c>
      <c r="C1026" s="24">
        <v>44680</v>
      </c>
      <c r="D1026" s="238" t="s">
        <v>27</v>
      </c>
      <c r="E1026" s="238" t="s">
        <v>5</v>
      </c>
      <c r="F1026">
        <v>4</v>
      </c>
      <c r="G1026">
        <v>5</v>
      </c>
      <c r="H1026">
        <v>235</v>
      </c>
      <c r="I1026" s="238" t="s">
        <v>42</v>
      </c>
      <c r="J1026">
        <v>40</v>
      </c>
      <c r="K1026" s="238" t="s">
        <v>37</v>
      </c>
      <c r="L1026">
        <v>3995051.2</v>
      </c>
      <c r="M1026">
        <v>0</v>
      </c>
      <c r="N1026">
        <v>3995051.2</v>
      </c>
      <c r="O1026">
        <v>99876.28</v>
      </c>
      <c r="P1026">
        <v>280000</v>
      </c>
      <c r="Q1026">
        <v>3715051.2</v>
      </c>
      <c r="R1026">
        <v>92876.28</v>
      </c>
      <c r="S1026" s="238" t="s">
        <v>124</v>
      </c>
      <c r="T1026" s="238" t="s">
        <v>3055</v>
      </c>
      <c r="U1026">
        <v>150000</v>
      </c>
      <c r="V1026" t="s">
        <v>1167</v>
      </c>
      <c r="W1026" s="24">
        <v>44678</v>
      </c>
      <c r="X1026" s="238" t="s">
        <v>3061</v>
      </c>
      <c r="Y1026" s="238" t="s">
        <v>39</v>
      </c>
      <c r="Z1026" s="238" t="s">
        <v>1168</v>
      </c>
      <c r="AA1026" t="s">
        <v>1167</v>
      </c>
      <c r="AB1026" s="238" t="s">
        <v>3246</v>
      </c>
      <c r="AC1026" t="s">
        <v>4246</v>
      </c>
      <c r="AD1026" s="24"/>
      <c r="AE1026" s="238" t="s">
        <v>3062</v>
      </c>
      <c r="AF1026">
        <v>79196456151</v>
      </c>
      <c r="AG1026" s="238" t="s">
        <v>3063</v>
      </c>
      <c r="AH1026" s="238" t="s">
        <v>1171</v>
      </c>
      <c r="AI1026" s="238" t="s">
        <v>6406</v>
      </c>
      <c r="AJ1026" s="238" t="s">
        <v>399</v>
      </c>
      <c r="AK1026" s="238" t="s">
        <v>1167</v>
      </c>
      <c r="AL1026" t="s">
        <v>57</v>
      </c>
      <c r="AM1026" t="s">
        <v>1167</v>
      </c>
    </row>
    <row r="1027" spans="1:39" hidden="1" x14ac:dyDescent="0.25">
      <c r="A1027">
        <v>1023</v>
      </c>
      <c r="B1027">
        <v>6</v>
      </c>
      <c r="C1027" s="24">
        <v>44680</v>
      </c>
      <c r="D1027" s="238" t="s">
        <v>27</v>
      </c>
      <c r="E1027" s="238" t="s">
        <v>5</v>
      </c>
      <c r="F1027">
        <v>7</v>
      </c>
      <c r="G1027">
        <v>3</v>
      </c>
      <c r="H1027">
        <v>222</v>
      </c>
      <c r="I1027" s="238" t="s">
        <v>43</v>
      </c>
      <c r="J1027">
        <v>59.93</v>
      </c>
      <c r="K1027" s="238" t="s">
        <v>36</v>
      </c>
      <c r="L1027">
        <v>4813431.96</v>
      </c>
      <c r="M1027">
        <v>0</v>
      </c>
      <c r="N1027">
        <v>4813431.96</v>
      </c>
      <c r="O1027">
        <v>80317.569831470042</v>
      </c>
      <c r="P1027">
        <v>0</v>
      </c>
      <c r="Q1027">
        <v>4813431.96</v>
      </c>
      <c r="R1027">
        <v>80317.569831470042</v>
      </c>
      <c r="S1027" s="238" t="s">
        <v>137</v>
      </c>
      <c r="T1027" s="238" t="s">
        <v>3055</v>
      </c>
      <c r="U1027">
        <v>300000</v>
      </c>
      <c r="V1027" t="s">
        <v>4092</v>
      </c>
      <c r="W1027" s="24">
        <v>44680</v>
      </c>
      <c r="X1027" s="238" t="s">
        <v>3064</v>
      </c>
      <c r="Y1027" s="238" t="s">
        <v>39</v>
      </c>
      <c r="Z1027" s="238" t="s">
        <v>1340</v>
      </c>
      <c r="AA1027" t="s">
        <v>1167</v>
      </c>
      <c r="AB1027" s="238" t="s">
        <v>3246</v>
      </c>
      <c r="AC1027" t="s">
        <v>3079</v>
      </c>
      <c r="AD1027" s="24"/>
      <c r="AE1027" s="238" t="s">
        <v>3065</v>
      </c>
      <c r="AF1027">
        <v>79093231551</v>
      </c>
      <c r="AG1027" s="238" t="s">
        <v>3066</v>
      </c>
      <c r="AH1027" s="238" t="s">
        <v>137</v>
      </c>
      <c r="AI1027" s="238" t="s">
        <v>3114</v>
      </c>
      <c r="AJ1027" s="238" t="s">
        <v>399</v>
      </c>
      <c r="AK1027" s="238" t="s">
        <v>794</v>
      </c>
      <c r="AL1027" t="s">
        <v>8715</v>
      </c>
      <c r="AM1027" t="s">
        <v>1167</v>
      </c>
    </row>
    <row r="1028" spans="1:39" hidden="1" x14ac:dyDescent="0.25">
      <c r="A1028">
        <v>1024</v>
      </c>
      <c r="B1028">
        <v>1</v>
      </c>
      <c r="C1028" s="24">
        <v>44692</v>
      </c>
      <c r="D1028" s="238" t="s">
        <v>27</v>
      </c>
      <c r="E1028" s="238" t="s">
        <v>15</v>
      </c>
      <c r="F1028">
        <v>1</v>
      </c>
      <c r="G1028">
        <v>5</v>
      </c>
      <c r="H1028">
        <v>536</v>
      </c>
      <c r="I1028" s="238" t="s">
        <v>44</v>
      </c>
      <c r="J1028">
        <v>82.27</v>
      </c>
      <c r="K1028" s="238" t="s">
        <v>36</v>
      </c>
      <c r="L1028">
        <v>5272137.66</v>
      </c>
      <c r="M1028">
        <v>0</v>
      </c>
      <c r="N1028">
        <v>5272137.66</v>
      </c>
      <c r="O1028">
        <v>64083.355536647628</v>
      </c>
      <c r="P1028">
        <v>0</v>
      </c>
      <c r="Q1028">
        <v>5272137.66</v>
      </c>
      <c r="R1028">
        <v>64083.355536647628</v>
      </c>
      <c r="S1028" s="238" t="s">
        <v>137</v>
      </c>
      <c r="T1028" s="238" t="s">
        <v>3055</v>
      </c>
      <c r="U1028">
        <v>550000</v>
      </c>
      <c r="V1028" t="s">
        <v>4092</v>
      </c>
      <c r="W1028" s="24">
        <v>44683</v>
      </c>
      <c r="X1028" s="238" t="s">
        <v>3067</v>
      </c>
      <c r="Y1028" s="238" t="s">
        <v>39</v>
      </c>
      <c r="Z1028" s="238" t="s">
        <v>1340</v>
      </c>
      <c r="AA1028" t="s">
        <v>1167</v>
      </c>
      <c r="AB1028" s="238" t="s">
        <v>3246</v>
      </c>
      <c r="AC1028" t="s">
        <v>3079</v>
      </c>
      <c r="AD1028" s="24"/>
      <c r="AE1028" s="238" t="s">
        <v>3068</v>
      </c>
      <c r="AF1028">
        <v>79277055147</v>
      </c>
      <c r="AG1028" s="238" t="s">
        <v>3069</v>
      </c>
      <c r="AH1028" s="238" t="s">
        <v>1212</v>
      </c>
      <c r="AI1028" s="238" t="s">
        <v>3074</v>
      </c>
      <c r="AJ1028" s="238" t="s">
        <v>399</v>
      </c>
      <c r="AK1028" s="238" t="s">
        <v>141</v>
      </c>
      <c r="AL1028" t="s">
        <v>8715</v>
      </c>
      <c r="AM1028" t="s">
        <v>1167</v>
      </c>
    </row>
    <row r="1029" spans="1:39" hidden="1" x14ac:dyDescent="0.25">
      <c r="A1029">
        <v>1025</v>
      </c>
      <c r="B1029">
        <v>1</v>
      </c>
      <c r="C1029" s="24">
        <v>44718</v>
      </c>
      <c r="D1029" s="238" t="s">
        <v>27</v>
      </c>
      <c r="E1029" s="238" t="s">
        <v>5</v>
      </c>
      <c r="F1029">
        <v>5</v>
      </c>
      <c r="G1029">
        <v>22</v>
      </c>
      <c r="H1029">
        <v>372</v>
      </c>
      <c r="I1029" s="238" t="s">
        <v>4052</v>
      </c>
      <c r="J1029">
        <v>23.63</v>
      </c>
      <c r="K1029" s="238" t="s">
        <v>36</v>
      </c>
      <c r="L1029">
        <v>2205480.7000000002</v>
      </c>
      <c r="M1029">
        <v>0</v>
      </c>
      <c r="N1029">
        <v>2205480.7000000002</v>
      </c>
      <c r="O1029">
        <v>93333.927211172253</v>
      </c>
      <c r="P1029">
        <v>0</v>
      </c>
      <c r="Q1029">
        <v>2205480.7000000002</v>
      </c>
      <c r="R1029">
        <v>93333.927211172253</v>
      </c>
      <c r="S1029" s="238" t="s">
        <v>137</v>
      </c>
      <c r="T1029" s="238" t="s">
        <v>1167</v>
      </c>
      <c r="V1029" t="s">
        <v>4092</v>
      </c>
      <c r="W1029" s="24">
        <v>44715</v>
      </c>
      <c r="X1029" s="238" t="s">
        <v>3117</v>
      </c>
      <c r="Y1029" s="238" t="s">
        <v>39</v>
      </c>
      <c r="Z1029" s="238" t="s">
        <v>1340</v>
      </c>
      <c r="AA1029" t="s">
        <v>1167</v>
      </c>
      <c r="AB1029" s="238" t="s">
        <v>3246</v>
      </c>
      <c r="AC1029" t="s">
        <v>3079</v>
      </c>
      <c r="AD1029" s="24"/>
      <c r="AE1029" s="238" t="s">
        <v>3118</v>
      </c>
      <c r="AF1029">
        <v>79370284299</v>
      </c>
      <c r="AG1029" s="238" t="s">
        <v>3119</v>
      </c>
      <c r="AH1029" s="238" t="s">
        <v>1171</v>
      </c>
      <c r="AI1029" s="238" t="s">
        <v>3074</v>
      </c>
      <c r="AJ1029" s="238" t="s">
        <v>399</v>
      </c>
      <c r="AK1029" s="238" t="s">
        <v>141</v>
      </c>
      <c r="AL1029" t="s">
        <v>8715</v>
      </c>
      <c r="AM1029" t="s">
        <v>1167</v>
      </c>
    </row>
    <row r="1030" spans="1:39" hidden="1" x14ac:dyDescent="0.25">
      <c r="A1030">
        <v>1026</v>
      </c>
      <c r="B1030">
        <v>2</v>
      </c>
      <c r="C1030" s="24">
        <v>44720</v>
      </c>
      <c r="D1030" s="238" t="s">
        <v>27</v>
      </c>
      <c r="E1030" s="238" t="s">
        <v>14</v>
      </c>
      <c r="F1030">
        <v>6</v>
      </c>
      <c r="G1030">
        <v>8</v>
      </c>
      <c r="H1030">
        <v>691</v>
      </c>
      <c r="I1030" s="238" t="s">
        <v>43</v>
      </c>
      <c r="J1030">
        <v>61.95</v>
      </c>
      <c r="K1030" s="238" t="s">
        <v>36</v>
      </c>
      <c r="L1030">
        <v>4361295.49</v>
      </c>
      <c r="M1030">
        <v>0</v>
      </c>
      <c r="N1030">
        <v>4361295.49</v>
      </c>
      <c r="O1030">
        <v>70400.250040355124</v>
      </c>
      <c r="P1030">
        <v>0</v>
      </c>
      <c r="Q1030">
        <v>4361295.49</v>
      </c>
      <c r="R1030">
        <v>70400.250040355124</v>
      </c>
      <c r="S1030" s="238" t="s">
        <v>137</v>
      </c>
      <c r="T1030" s="238" t="s">
        <v>1167</v>
      </c>
      <c r="V1030" t="s">
        <v>4092</v>
      </c>
      <c r="W1030" s="24">
        <v>44718</v>
      </c>
      <c r="X1030" s="238" t="s">
        <v>3120</v>
      </c>
      <c r="Y1030" s="238" t="s">
        <v>39</v>
      </c>
      <c r="Z1030" s="238" t="s">
        <v>1168</v>
      </c>
      <c r="AA1030" t="s">
        <v>1167</v>
      </c>
      <c r="AB1030" s="238" t="s">
        <v>3246</v>
      </c>
      <c r="AC1030" t="s">
        <v>3077</v>
      </c>
      <c r="AD1030" s="24"/>
      <c r="AE1030" s="238" t="s">
        <v>3121</v>
      </c>
      <c r="AF1030">
        <v>79170388917</v>
      </c>
      <c r="AG1030" s="238" t="s">
        <v>3122</v>
      </c>
      <c r="AH1030" s="238" t="s">
        <v>1171</v>
      </c>
      <c r="AI1030" s="238" t="s">
        <v>3074</v>
      </c>
      <c r="AJ1030" s="238" t="s">
        <v>399</v>
      </c>
      <c r="AK1030" s="238" t="s">
        <v>141</v>
      </c>
      <c r="AL1030" t="s">
        <v>8715</v>
      </c>
      <c r="AM1030" t="s">
        <v>1167</v>
      </c>
    </row>
    <row r="1031" spans="1:39" hidden="1" x14ac:dyDescent="0.25">
      <c r="A1031">
        <v>1027</v>
      </c>
      <c r="B1031">
        <v>3</v>
      </c>
      <c r="C1031" s="24">
        <v>44722</v>
      </c>
      <c r="D1031" s="238" t="s">
        <v>19</v>
      </c>
      <c r="E1031" s="238" t="s">
        <v>6</v>
      </c>
      <c r="F1031">
        <v>3</v>
      </c>
      <c r="G1031">
        <v>2</v>
      </c>
      <c r="H1031">
        <v>3</v>
      </c>
      <c r="I1031" s="238" t="s">
        <v>44</v>
      </c>
      <c r="J1031">
        <v>78.7</v>
      </c>
      <c r="K1031" s="238" t="s">
        <v>36</v>
      </c>
      <c r="L1031">
        <v>7033525.4500000002</v>
      </c>
      <c r="M1031">
        <v>0</v>
      </c>
      <c r="N1031">
        <v>7033525.4500000002</v>
      </c>
      <c r="O1031">
        <v>89371.352604828455</v>
      </c>
      <c r="P1031">
        <v>0</v>
      </c>
      <c r="Q1031">
        <v>7033525.4500000002</v>
      </c>
      <c r="R1031">
        <v>89371.352604828455</v>
      </c>
      <c r="S1031" s="238" t="s">
        <v>121</v>
      </c>
      <c r="T1031" s="238" t="s">
        <v>1167</v>
      </c>
      <c r="V1031" t="s">
        <v>1167</v>
      </c>
      <c r="W1031" s="24">
        <v>44714</v>
      </c>
      <c r="X1031" s="238" t="s">
        <v>3123</v>
      </c>
      <c r="Y1031" s="238" t="s">
        <v>39</v>
      </c>
      <c r="Z1031" s="238" t="s">
        <v>1168</v>
      </c>
      <c r="AA1031" t="s">
        <v>1167</v>
      </c>
      <c r="AB1031" s="238" t="s">
        <v>3124</v>
      </c>
      <c r="AC1031" t="s">
        <v>1167</v>
      </c>
      <c r="AD1031" s="24"/>
      <c r="AE1031" s="238" t="s">
        <v>3125</v>
      </c>
      <c r="AF1031">
        <v>79372050607</v>
      </c>
      <c r="AG1031" s="238" t="s">
        <v>3126</v>
      </c>
      <c r="AH1031" s="238" t="s">
        <v>1171</v>
      </c>
      <c r="AI1031" s="238" t="s">
        <v>3094</v>
      </c>
      <c r="AJ1031" s="238" t="s">
        <v>982</v>
      </c>
      <c r="AK1031" s="238" t="s">
        <v>1167</v>
      </c>
      <c r="AL1031" t="s">
        <v>8715</v>
      </c>
      <c r="AM1031" t="s">
        <v>1167</v>
      </c>
    </row>
    <row r="1032" spans="1:39" hidden="1" x14ac:dyDescent="0.25">
      <c r="A1032">
        <v>1028</v>
      </c>
      <c r="B1032">
        <v>4</v>
      </c>
      <c r="C1032" s="24">
        <v>44722</v>
      </c>
      <c r="D1032" s="238" t="s">
        <v>19</v>
      </c>
      <c r="E1032" s="238" t="s">
        <v>5</v>
      </c>
      <c r="F1032">
        <v>3</v>
      </c>
      <c r="G1032">
        <v>2</v>
      </c>
      <c r="H1032">
        <v>164</v>
      </c>
      <c r="I1032" s="238" t="s">
        <v>44</v>
      </c>
      <c r="J1032">
        <v>88.8</v>
      </c>
      <c r="K1032" s="238" t="s">
        <v>36</v>
      </c>
      <c r="L1032">
        <v>7995188.6600000001</v>
      </c>
      <c r="M1032">
        <v>0</v>
      </c>
      <c r="N1032">
        <v>7995188.6600000001</v>
      </c>
      <c r="O1032">
        <v>90035.90833333334</v>
      </c>
      <c r="P1032">
        <v>0</v>
      </c>
      <c r="Q1032">
        <v>7995188.6600000001</v>
      </c>
      <c r="R1032">
        <v>90035.90833333334</v>
      </c>
      <c r="S1032" s="238" t="s">
        <v>121</v>
      </c>
      <c r="T1032" s="238" t="s">
        <v>1167</v>
      </c>
      <c r="V1032" t="s">
        <v>1167</v>
      </c>
      <c r="W1032" s="24">
        <v>44714</v>
      </c>
      <c r="X1032" s="238" t="s">
        <v>3127</v>
      </c>
      <c r="Y1032" s="238" t="s">
        <v>39</v>
      </c>
      <c r="Z1032" s="238" t="s">
        <v>1168</v>
      </c>
      <c r="AA1032" t="s">
        <v>1167</v>
      </c>
      <c r="AB1032" s="238" t="s">
        <v>3124</v>
      </c>
      <c r="AC1032" t="s">
        <v>1167</v>
      </c>
      <c r="AD1032" s="24"/>
      <c r="AE1032" s="238" t="s">
        <v>3125</v>
      </c>
      <c r="AF1032">
        <v>79372050607</v>
      </c>
      <c r="AG1032" s="238" t="s">
        <v>3126</v>
      </c>
      <c r="AH1032" s="238" t="s">
        <v>1197</v>
      </c>
      <c r="AI1032" s="238" t="s">
        <v>3094</v>
      </c>
      <c r="AJ1032" s="238" t="s">
        <v>982</v>
      </c>
      <c r="AK1032" s="238" t="s">
        <v>1167</v>
      </c>
      <c r="AL1032" t="s">
        <v>8715</v>
      </c>
      <c r="AM1032" t="s">
        <v>1167</v>
      </c>
    </row>
    <row r="1033" spans="1:39" hidden="1" x14ac:dyDescent="0.25">
      <c r="A1033">
        <v>1029</v>
      </c>
      <c r="B1033">
        <v>5</v>
      </c>
      <c r="C1033" s="24">
        <v>44722</v>
      </c>
      <c r="D1033" s="238" t="s">
        <v>27</v>
      </c>
      <c r="E1033" s="238" t="s">
        <v>6</v>
      </c>
      <c r="F1033">
        <v>1</v>
      </c>
      <c r="G1033">
        <v>8</v>
      </c>
      <c r="H1033">
        <v>55</v>
      </c>
      <c r="I1033" s="238" t="s">
        <v>44</v>
      </c>
      <c r="J1033">
        <v>82.71</v>
      </c>
      <c r="K1033" s="238" t="s">
        <v>37</v>
      </c>
      <c r="L1033">
        <v>5894364.54</v>
      </c>
      <c r="M1033">
        <v>0</v>
      </c>
      <c r="N1033">
        <v>5894364.54</v>
      </c>
      <c r="O1033">
        <v>71265.439970982959</v>
      </c>
      <c r="P1033">
        <v>578970</v>
      </c>
      <c r="Q1033">
        <v>5315394.54</v>
      </c>
      <c r="R1033">
        <v>64265.439970982959</v>
      </c>
      <c r="S1033" s="238" t="s">
        <v>137</v>
      </c>
      <c r="T1033" s="238" t="s">
        <v>60</v>
      </c>
      <c r="U1033">
        <v>578970</v>
      </c>
      <c r="V1033" t="s">
        <v>4092</v>
      </c>
      <c r="W1033" s="24">
        <v>44714</v>
      </c>
      <c r="X1033" s="238" t="s">
        <v>3128</v>
      </c>
      <c r="Y1033" s="238" t="s">
        <v>39</v>
      </c>
      <c r="Z1033" s="238" t="s">
        <v>1340</v>
      </c>
      <c r="AA1033" t="s">
        <v>1167</v>
      </c>
      <c r="AB1033" s="238" t="s">
        <v>3246</v>
      </c>
      <c r="AC1033" t="s">
        <v>3079</v>
      </c>
      <c r="AD1033" s="24"/>
      <c r="AE1033" s="238" t="s">
        <v>3129</v>
      </c>
      <c r="AF1033">
        <v>79212841015</v>
      </c>
      <c r="AG1033" s="238" t="s">
        <v>3130</v>
      </c>
      <c r="AH1033" s="238" t="s">
        <v>1171</v>
      </c>
      <c r="AI1033" s="238" t="s">
        <v>3074</v>
      </c>
      <c r="AJ1033" s="238" t="s">
        <v>120</v>
      </c>
      <c r="AK1033" s="238" t="s">
        <v>141</v>
      </c>
      <c r="AL1033" t="s">
        <v>8715</v>
      </c>
      <c r="AM1033" t="s">
        <v>1167</v>
      </c>
    </row>
    <row r="1034" spans="1:39" hidden="1" x14ac:dyDescent="0.25">
      <c r="A1034">
        <v>1030</v>
      </c>
      <c r="B1034">
        <v>6</v>
      </c>
      <c r="C1034" s="24">
        <v>44722</v>
      </c>
      <c r="D1034" s="238" t="s">
        <v>19</v>
      </c>
      <c r="E1034" s="238" t="s">
        <v>6</v>
      </c>
      <c r="F1034">
        <v>3</v>
      </c>
      <c r="G1034">
        <v>24</v>
      </c>
      <c r="H1034">
        <v>157</v>
      </c>
      <c r="I1034" s="238" t="s">
        <v>44</v>
      </c>
      <c r="J1034">
        <v>78.900000000000006</v>
      </c>
      <c r="K1034" s="238" t="s">
        <v>36</v>
      </c>
      <c r="L1034">
        <v>7051399.29</v>
      </c>
      <c r="M1034">
        <v>0</v>
      </c>
      <c r="N1034">
        <v>7051399.29</v>
      </c>
      <c r="O1034">
        <v>89371.347148288973</v>
      </c>
      <c r="P1034">
        <v>0</v>
      </c>
      <c r="Q1034">
        <v>7051399.29</v>
      </c>
      <c r="R1034">
        <v>89371.347148288973</v>
      </c>
      <c r="S1034" s="238" t="s">
        <v>121</v>
      </c>
      <c r="T1034" s="238" t="s">
        <v>1167</v>
      </c>
      <c r="V1034" t="s">
        <v>1167</v>
      </c>
      <c r="W1034" s="24">
        <v>44722</v>
      </c>
      <c r="X1034" s="238" t="s">
        <v>3131</v>
      </c>
      <c r="Y1034" s="238" t="s">
        <v>39</v>
      </c>
      <c r="Z1034" s="238" t="s">
        <v>1168</v>
      </c>
      <c r="AA1034" t="s">
        <v>1167</v>
      </c>
      <c r="AB1034" s="238" t="s">
        <v>3124</v>
      </c>
      <c r="AC1034" t="s">
        <v>1167</v>
      </c>
      <c r="AD1034" s="24"/>
      <c r="AE1034" s="238" t="s">
        <v>3125</v>
      </c>
      <c r="AF1034">
        <v>79372050607</v>
      </c>
      <c r="AG1034" s="238" t="s">
        <v>3126</v>
      </c>
      <c r="AH1034" s="238" t="s">
        <v>1197</v>
      </c>
      <c r="AI1034" s="238" t="s">
        <v>3094</v>
      </c>
      <c r="AJ1034" s="238" t="s">
        <v>982</v>
      </c>
      <c r="AK1034" s="238" t="s">
        <v>1167</v>
      </c>
      <c r="AL1034" t="s">
        <v>8715</v>
      </c>
      <c r="AM1034" t="s">
        <v>1167</v>
      </c>
    </row>
    <row r="1035" spans="1:39" hidden="1" x14ac:dyDescent="0.25">
      <c r="A1035">
        <v>1031</v>
      </c>
      <c r="B1035">
        <v>7</v>
      </c>
      <c r="C1035" s="24">
        <v>44722</v>
      </c>
      <c r="D1035" s="238" t="s">
        <v>19</v>
      </c>
      <c r="E1035" s="238" t="s">
        <v>6</v>
      </c>
      <c r="F1035">
        <v>7</v>
      </c>
      <c r="G1035">
        <v>24</v>
      </c>
      <c r="H1035">
        <v>161</v>
      </c>
      <c r="I1035" s="238" t="s">
        <v>43</v>
      </c>
      <c r="J1035">
        <v>59.6</v>
      </c>
      <c r="K1035" s="238" t="s">
        <v>36</v>
      </c>
      <c r="L1035">
        <v>5880965.0800000001</v>
      </c>
      <c r="M1035">
        <v>0</v>
      </c>
      <c r="N1035">
        <v>5880965.0800000001</v>
      </c>
      <c r="O1035">
        <v>98673.910738255028</v>
      </c>
      <c r="P1035">
        <v>0</v>
      </c>
      <c r="Q1035">
        <v>5880965.0800000001</v>
      </c>
      <c r="R1035">
        <v>98673.910738255028</v>
      </c>
      <c r="S1035" s="238" t="s">
        <v>121</v>
      </c>
      <c r="T1035" s="238" t="s">
        <v>1167</v>
      </c>
      <c r="V1035" t="s">
        <v>1167</v>
      </c>
      <c r="W1035" s="24">
        <v>44722</v>
      </c>
      <c r="X1035" s="238" t="s">
        <v>3132</v>
      </c>
      <c r="Y1035" s="238" t="s">
        <v>39</v>
      </c>
      <c r="Z1035" s="238" t="s">
        <v>1168</v>
      </c>
      <c r="AA1035" t="s">
        <v>1167</v>
      </c>
      <c r="AB1035" s="238" t="s">
        <v>3124</v>
      </c>
      <c r="AC1035" t="s">
        <v>1167</v>
      </c>
      <c r="AD1035" s="24"/>
      <c r="AE1035" s="238" t="s">
        <v>3125</v>
      </c>
      <c r="AF1035">
        <v>79372050607</v>
      </c>
      <c r="AG1035" s="238" t="s">
        <v>3126</v>
      </c>
      <c r="AH1035" s="238" t="s">
        <v>1197</v>
      </c>
      <c r="AI1035" s="238" t="s">
        <v>3094</v>
      </c>
      <c r="AJ1035" s="238" t="s">
        <v>982</v>
      </c>
      <c r="AK1035" s="238" t="s">
        <v>1167</v>
      </c>
      <c r="AL1035" t="s">
        <v>8715</v>
      </c>
      <c r="AM1035" t="s">
        <v>1167</v>
      </c>
    </row>
    <row r="1036" spans="1:39" hidden="1" x14ac:dyDescent="0.25">
      <c r="A1036">
        <v>1032</v>
      </c>
      <c r="B1036">
        <v>8</v>
      </c>
      <c r="C1036" s="24">
        <v>44722</v>
      </c>
      <c r="D1036" s="238" t="s">
        <v>19</v>
      </c>
      <c r="E1036" s="238" t="s">
        <v>5</v>
      </c>
      <c r="F1036">
        <v>9</v>
      </c>
      <c r="G1036">
        <v>2</v>
      </c>
      <c r="H1036">
        <v>170</v>
      </c>
      <c r="I1036" s="238" t="s">
        <v>43</v>
      </c>
      <c r="J1036">
        <v>61.5</v>
      </c>
      <c r="K1036" s="238" t="s">
        <v>36</v>
      </c>
      <c r="L1036">
        <v>5898409.7999999998</v>
      </c>
      <c r="M1036">
        <v>0</v>
      </c>
      <c r="N1036">
        <v>5898409.7999999998</v>
      </c>
      <c r="O1036">
        <v>95909.102439024384</v>
      </c>
      <c r="P1036">
        <v>0</v>
      </c>
      <c r="Q1036">
        <v>5898409.7999999998</v>
      </c>
      <c r="R1036">
        <v>95909.102439024384</v>
      </c>
      <c r="S1036" s="238" t="s">
        <v>121</v>
      </c>
      <c r="T1036" s="238" t="s">
        <v>1167</v>
      </c>
      <c r="V1036" t="s">
        <v>1167</v>
      </c>
      <c r="W1036" s="24">
        <v>44722</v>
      </c>
      <c r="X1036" s="238" t="s">
        <v>3133</v>
      </c>
      <c r="Y1036" s="238" t="s">
        <v>39</v>
      </c>
      <c r="Z1036" s="238" t="s">
        <v>1168</v>
      </c>
      <c r="AA1036" t="s">
        <v>1167</v>
      </c>
      <c r="AB1036" s="238" t="s">
        <v>3124</v>
      </c>
      <c r="AC1036" t="s">
        <v>1167</v>
      </c>
      <c r="AD1036" s="24"/>
      <c r="AE1036" s="238" t="s">
        <v>3125</v>
      </c>
      <c r="AF1036">
        <v>79372050607</v>
      </c>
      <c r="AG1036" s="238" t="s">
        <v>3126</v>
      </c>
      <c r="AH1036" s="238" t="s">
        <v>1197</v>
      </c>
      <c r="AI1036" s="238" t="s">
        <v>3094</v>
      </c>
      <c r="AJ1036" s="238" t="s">
        <v>982</v>
      </c>
      <c r="AK1036" s="238" t="s">
        <v>1167</v>
      </c>
      <c r="AL1036" t="s">
        <v>8715</v>
      </c>
      <c r="AM1036" t="s">
        <v>1167</v>
      </c>
    </row>
    <row r="1037" spans="1:39" hidden="1" x14ac:dyDescent="0.25">
      <c r="A1037">
        <v>1033</v>
      </c>
      <c r="B1037">
        <v>9</v>
      </c>
      <c r="C1037" s="24">
        <v>44722</v>
      </c>
      <c r="D1037" s="238" t="s">
        <v>19</v>
      </c>
      <c r="E1037" s="238" t="s">
        <v>5</v>
      </c>
      <c r="F1037">
        <v>1</v>
      </c>
      <c r="G1037">
        <v>5</v>
      </c>
      <c r="H1037">
        <v>195</v>
      </c>
      <c r="I1037" s="238" t="s">
        <v>42</v>
      </c>
      <c r="J1037">
        <v>39.9</v>
      </c>
      <c r="K1037" s="238" t="s">
        <v>37</v>
      </c>
      <c r="L1037">
        <v>4190656.09</v>
      </c>
      <c r="M1037">
        <v>0</v>
      </c>
      <c r="N1037">
        <v>4190656.09</v>
      </c>
      <c r="O1037">
        <v>105028.97468671679</v>
      </c>
      <c r="P1037">
        <v>213565</v>
      </c>
      <c r="Q1037">
        <v>3977091.09</v>
      </c>
      <c r="R1037">
        <v>99676.468421052632</v>
      </c>
      <c r="S1037" s="238" t="s">
        <v>121</v>
      </c>
      <c r="T1037" s="238" t="s">
        <v>1167</v>
      </c>
      <c r="V1037" t="s">
        <v>1167</v>
      </c>
      <c r="W1037" s="24">
        <v>44722</v>
      </c>
      <c r="X1037" s="238" t="s">
        <v>3134</v>
      </c>
      <c r="Y1037" s="238" t="s">
        <v>39</v>
      </c>
      <c r="Z1037" s="238" t="s">
        <v>1168</v>
      </c>
      <c r="AA1037" t="s">
        <v>1167</v>
      </c>
      <c r="AB1037" s="238" t="s">
        <v>3124</v>
      </c>
      <c r="AC1037" t="s">
        <v>1167</v>
      </c>
      <c r="AD1037" s="24"/>
      <c r="AE1037" s="238" t="s">
        <v>3125</v>
      </c>
      <c r="AF1037">
        <v>79372050607</v>
      </c>
      <c r="AG1037" s="238" t="s">
        <v>3126</v>
      </c>
      <c r="AH1037" s="238" t="s">
        <v>1197</v>
      </c>
      <c r="AI1037" s="238" t="s">
        <v>3094</v>
      </c>
      <c r="AJ1037" s="238" t="s">
        <v>982</v>
      </c>
      <c r="AK1037" s="238" t="s">
        <v>1167</v>
      </c>
      <c r="AL1037" t="s">
        <v>8715</v>
      </c>
      <c r="AM1037" t="s">
        <v>1167</v>
      </c>
    </row>
    <row r="1038" spans="1:39" hidden="1" x14ac:dyDescent="0.25">
      <c r="A1038">
        <v>1034</v>
      </c>
      <c r="B1038">
        <v>10</v>
      </c>
      <c r="C1038" s="24">
        <v>44729</v>
      </c>
      <c r="D1038" s="238" t="s">
        <v>27</v>
      </c>
      <c r="E1038" s="238" t="s">
        <v>14</v>
      </c>
      <c r="F1038">
        <v>7</v>
      </c>
      <c r="G1038">
        <v>7</v>
      </c>
      <c r="H1038">
        <v>683</v>
      </c>
      <c r="I1038" s="238" t="s">
        <v>42</v>
      </c>
      <c r="J1038">
        <v>38.909999999999997</v>
      </c>
      <c r="K1038" s="238" t="s">
        <v>38</v>
      </c>
      <c r="L1038">
        <v>4220937.21</v>
      </c>
      <c r="M1038">
        <v>0</v>
      </c>
      <c r="N1038">
        <v>4220937.21</v>
      </c>
      <c r="O1038">
        <v>108479.49653045491</v>
      </c>
      <c r="P1038">
        <v>778200</v>
      </c>
      <c r="Q1038">
        <v>3442737.21</v>
      </c>
      <c r="R1038">
        <v>88479.496530454897</v>
      </c>
      <c r="S1038" s="238" t="s">
        <v>137</v>
      </c>
      <c r="T1038" s="238" t="s">
        <v>321</v>
      </c>
      <c r="U1038">
        <v>100000</v>
      </c>
      <c r="V1038" t="s">
        <v>4093</v>
      </c>
      <c r="W1038" s="24">
        <v>44724</v>
      </c>
      <c r="X1038" s="238" t="s">
        <v>3135</v>
      </c>
      <c r="Y1038" s="238" t="s">
        <v>39</v>
      </c>
      <c r="Z1038" s="238" t="s">
        <v>1340</v>
      </c>
      <c r="AA1038" t="s">
        <v>1167</v>
      </c>
      <c r="AB1038" s="238" t="s">
        <v>3246</v>
      </c>
      <c r="AC1038" t="s">
        <v>3079</v>
      </c>
      <c r="AD1038" s="24"/>
      <c r="AE1038" s="238" t="s">
        <v>3136</v>
      </c>
      <c r="AF1038">
        <v>79272077057</v>
      </c>
      <c r="AG1038" s="238" t="s">
        <v>3137</v>
      </c>
      <c r="AH1038" s="238" t="s">
        <v>137</v>
      </c>
      <c r="AI1038" s="238" t="s">
        <v>3114</v>
      </c>
      <c r="AJ1038" s="238" t="s">
        <v>120</v>
      </c>
      <c r="AK1038" s="238" t="s">
        <v>141</v>
      </c>
      <c r="AL1038" t="s">
        <v>8715</v>
      </c>
      <c r="AM1038" t="s">
        <v>1167</v>
      </c>
    </row>
    <row r="1039" spans="1:39" hidden="1" x14ac:dyDescent="0.25">
      <c r="A1039">
        <v>1035</v>
      </c>
      <c r="B1039">
        <v>11</v>
      </c>
      <c r="C1039" s="24">
        <v>44729</v>
      </c>
      <c r="D1039" s="238" t="s">
        <v>27</v>
      </c>
      <c r="E1039" s="238" t="s">
        <v>15</v>
      </c>
      <c r="F1039">
        <v>2</v>
      </c>
      <c r="G1039">
        <v>7</v>
      </c>
      <c r="H1039">
        <v>553</v>
      </c>
      <c r="I1039" s="238" t="s">
        <v>42</v>
      </c>
      <c r="J1039">
        <v>37.159999999999997</v>
      </c>
      <c r="K1039" s="238" t="s">
        <v>36</v>
      </c>
      <c r="L1039">
        <v>3296714.49</v>
      </c>
      <c r="M1039">
        <v>15000</v>
      </c>
      <c r="N1039">
        <v>3311714.49</v>
      </c>
      <c r="O1039">
        <v>89120.41146393973</v>
      </c>
      <c r="P1039">
        <v>0</v>
      </c>
      <c r="Q1039">
        <v>3311714.49</v>
      </c>
      <c r="R1039">
        <v>89120.41146393973</v>
      </c>
      <c r="S1039" s="238" t="s">
        <v>137</v>
      </c>
      <c r="T1039" s="238" t="s">
        <v>321</v>
      </c>
      <c r="U1039">
        <v>150000</v>
      </c>
      <c r="V1039" t="s">
        <v>4091</v>
      </c>
      <c r="W1039" s="24">
        <v>44726</v>
      </c>
      <c r="X1039" s="238" t="s">
        <v>3138</v>
      </c>
      <c r="Y1039" s="238" t="s">
        <v>39</v>
      </c>
      <c r="Z1039" s="238" t="s">
        <v>1340</v>
      </c>
      <c r="AA1039" t="s">
        <v>1167</v>
      </c>
      <c r="AB1039" s="238" t="s">
        <v>3246</v>
      </c>
      <c r="AC1039" t="s">
        <v>3079</v>
      </c>
      <c r="AD1039" s="24"/>
      <c r="AE1039" s="238" t="s">
        <v>2352</v>
      </c>
      <c r="AF1039">
        <v>79276565788</v>
      </c>
      <c r="AG1039" s="238" t="s">
        <v>2353</v>
      </c>
      <c r="AH1039" s="238" t="s">
        <v>1171</v>
      </c>
      <c r="AI1039" s="238" t="s">
        <v>3082</v>
      </c>
      <c r="AJ1039" s="238" t="s">
        <v>399</v>
      </c>
      <c r="AK1039" s="238" t="s">
        <v>141</v>
      </c>
      <c r="AL1039" t="s">
        <v>8715</v>
      </c>
      <c r="AM1039" t="s">
        <v>1167</v>
      </c>
    </row>
    <row r="1040" spans="1:39" hidden="1" x14ac:dyDescent="0.25">
      <c r="A1040">
        <v>1036</v>
      </c>
      <c r="B1040">
        <v>12</v>
      </c>
      <c r="C1040" s="24">
        <v>44736</v>
      </c>
      <c r="D1040" s="238" t="s">
        <v>27</v>
      </c>
      <c r="E1040" s="238" t="s">
        <v>14</v>
      </c>
      <c r="F1040">
        <v>3</v>
      </c>
      <c r="G1040">
        <v>6</v>
      </c>
      <c r="H1040">
        <v>670</v>
      </c>
      <c r="I1040" s="238" t="s">
        <v>43</v>
      </c>
      <c r="J1040">
        <v>56.33</v>
      </c>
      <c r="K1040" s="238" t="s">
        <v>36</v>
      </c>
      <c r="L1040">
        <v>4400981.01</v>
      </c>
      <c r="M1040">
        <v>0</v>
      </c>
      <c r="N1040">
        <v>4400981.01</v>
      </c>
      <c r="O1040">
        <v>78128.546245339952</v>
      </c>
      <c r="P1040">
        <v>0</v>
      </c>
      <c r="Q1040">
        <v>4400981.01</v>
      </c>
      <c r="R1040">
        <v>78128.546245339952</v>
      </c>
      <c r="S1040" s="238" t="s">
        <v>137</v>
      </c>
      <c r="T1040" s="238" t="s">
        <v>1167</v>
      </c>
      <c r="V1040" t="s">
        <v>4091</v>
      </c>
      <c r="W1040" s="24">
        <v>44731</v>
      </c>
      <c r="X1040" s="238" t="s">
        <v>3139</v>
      </c>
      <c r="Y1040" s="238" t="s">
        <v>39</v>
      </c>
      <c r="Z1040" s="238" t="s">
        <v>1340</v>
      </c>
      <c r="AA1040" t="s">
        <v>1167</v>
      </c>
      <c r="AB1040" s="238" t="s">
        <v>3246</v>
      </c>
      <c r="AC1040" t="s">
        <v>3079</v>
      </c>
      <c r="AD1040" s="24"/>
      <c r="AE1040" s="238" t="s">
        <v>3140</v>
      </c>
      <c r="AF1040">
        <v>79131640257</v>
      </c>
      <c r="AG1040" s="238" t="s">
        <v>3141</v>
      </c>
      <c r="AH1040" s="238" t="s">
        <v>1212</v>
      </c>
      <c r="AI1040" s="238" t="s">
        <v>3086</v>
      </c>
      <c r="AJ1040" s="238" t="s">
        <v>399</v>
      </c>
      <c r="AK1040" s="238" t="s">
        <v>141</v>
      </c>
      <c r="AL1040" t="s">
        <v>8715</v>
      </c>
      <c r="AM1040" t="s">
        <v>1167</v>
      </c>
    </row>
    <row r="1041" spans="1:39" hidden="1" x14ac:dyDescent="0.25">
      <c r="A1041">
        <v>1037</v>
      </c>
      <c r="B1041">
        <v>13</v>
      </c>
      <c r="C1041" s="24">
        <v>44739</v>
      </c>
      <c r="D1041" s="238" t="s">
        <v>27</v>
      </c>
      <c r="E1041" s="238" t="s">
        <v>16</v>
      </c>
      <c r="F1041">
        <v>3</v>
      </c>
      <c r="G1041">
        <v>16</v>
      </c>
      <c r="H1041">
        <v>506</v>
      </c>
      <c r="I1041" s="238" t="s">
        <v>4052</v>
      </c>
      <c r="J1041">
        <v>23.54</v>
      </c>
      <c r="K1041" s="238" t="s">
        <v>36</v>
      </c>
      <c r="L1041">
        <v>2060699.24</v>
      </c>
      <c r="M1041">
        <v>15000</v>
      </c>
      <c r="N1041">
        <v>2075699.24</v>
      </c>
      <c r="O1041">
        <v>88177.537807986402</v>
      </c>
      <c r="P1041">
        <v>0</v>
      </c>
      <c r="Q1041">
        <v>2075699.24</v>
      </c>
      <c r="R1041">
        <v>88177.537807986402</v>
      </c>
      <c r="S1041" s="238" t="s">
        <v>137</v>
      </c>
      <c r="T1041" s="238" t="s">
        <v>1167</v>
      </c>
      <c r="V1041" t="s">
        <v>4091</v>
      </c>
      <c r="W1041" s="24">
        <v>44722</v>
      </c>
      <c r="X1041" s="238" t="s">
        <v>3142</v>
      </c>
      <c r="Y1041" s="238" t="s">
        <v>39</v>
      </c>
      <c r="Z1041" s="238" t="s">
        <v>1340</v>
      </c>
      <c r="AA1041" t="s">
        <v>1167</v>
      </c>
      <c r="AB1041" s="238" t="s">
        <v>3246</v>
      </c>
      <c r="AC1041" t="s">
        <v>3079</v>
      </c>
      <c r="AD1041" s="24"/>
      <c r="AE1041" s="238" t="s">
        <v>2513</v>
      </c>
      <c r="AF1041">
        <v>79276013331</v>
      </c>
      <c r="AG1041" s="238" t="s">
        <v>2514</v>
      </c>
      <c r="AH1041" s="238" t="s">
        <v>1212</v>
      </c>
      <c r="AI1041" s="238" t="s">
        <v>3082</v>
      </c>
      <c r="AJ1041" s="238" t="s">
        <v>130</v>
      </c>
      <c r="AK1041" s="238" t="s">
        <v>141</v>
      </c>
      <c r="AL1041" t="s">
        <v>8715</v>
      </c>
      <c r="AM1041" t="s">
        <v>1167</v>
      </c>
    </row>
    <row r="1042" spans="1:39" hidden="1" x14ac:dyDescent="0.25">
      <c r="A1042">
        <v>1038</v>
      </c>
      <c r="B1042">
        <v>14</v>
      </c>
      <c r="C1042" s="24">
        <v>44739</v>
      </c>
      <c r="D1042" s="238" t="s">
        <v>27</v>
      </c>
      <c r="E1042" s="238" t="s">
        <v>6</v>
      </c>
      <c r="F1042">
        <v>6</v>
      </c>
      <c r="G1042">
        <v>19</v>
      </c>
      <c r="H1042">
        <v>159</v>
      </c>
      <c r="I1042" s="238" t="s">
        <v>43</v>
      </c>
      <c r="J1042">
        <v>54.67</v>
      </c>
      <c r="K1042" s="238" t="s">
        <v>36</v>
      </c>
      <c r="L1042">
        <v>4367417.8099999996</v>
      </c>
      <c r="M1042">
        <v>0</v>
      </c>
      <c r="N1042">
        <v>4367417.8099999996</v>
      </c>
      <c r="O1042">
        <v>79886.918053777204</v>
      </c>
      <c r="P1042">
        <v>0</v>
      </c>
      <c r="Q1042">
        <v>4367417.8099999996</v>
      </c>
      <c r="R1042">
        <v>79886.918053777204</v>
      </c>
      <c r="S1042" s="238" t="s">
        <v>137</v>
      </c>
      <c r="T1042" s="238" t="s">
        <v>321</v>
      </c>
      <c r="U1042">
        <v>250000</v>
      </c>
      <c r="V1042" t="s">
        <v>4091</v>
      </c>
      <c r="W1042" s="24">
        <v>44735</v>
      </c>
      <c r="X1042" s="238" t="s">
        <v>3143</v>
      </c>
      <c r="Y1042" s="238" t="s">
        <v>39</v>
      </c>
      <c r="Z1042" s="238" t="s">
        <v>1340</v>
      </c>
      <c r="AA1042" t="s">
        <v>1167</v>
      </c>
      <c r="AB1042" s="238" t="s">
        <v>3246</v>
      </c>
      <c r="AC1042" t="s">
        <v>3079</v>
      </c>
      <c r="AD1042" s="24"/>
      <c r="AE1042" s="238" t="s">
        <v>3144</v>
      </c>
      <c r="AF1042">
        <v>79277323945</v>
      </c>
      <c r="AG1042" s="238" t="s">
        <v>3145</v>
      </c>
      <c r="AH1042" s="238" t="s">
        <v>1212</v>
      </c>
      <c r="AI1042" s="238" t="s">
        <v>3074</v>
      </c>
      <c r="AJ1042" s="238" t="s">
        <v>399</v>
      </c>
      <c r="AK1042" s="238" t="s">
        <v>141</v>
      </c>
      <c r="AL1042" t="s">
        <v>8715</v>
      </c>
      <c r="AM1042" t="s">
        <v>1167</v>
      </c>
    </row>
    <row r="1043" spans="1:39" hidden="1" x14ac:dyDescent="0.25">
      <c r="A1043">
        <v>1039</v>
      </c>
      <c r="B1043">
        <v>15</v>
      </c>
      <c r="C1043" s="24">
        <v>44739</v>
      </c>
      <c r="D1043" s="238" t="s">
        <v>27</v>
      </c>
      <c r="E1043" s="238" t="s">
        <v>14</v>
      </c>
      <c r="F1043">
        <v>5</v>
      </c>
      <c r="G1043">
        <v>21</v>
      </c>
      <c r="H1043">
        <v>803</v>
      </c>
      <c r="I1043" s="238" t="s">
        <v>43</v>
      </c>
      <c r="J1043">
        <v>61.96</v>
      </c>
      <c r="K1043" s="238" t="s">
        <v>36</v>
      </c>
      <c r="L1043">
        <v>4762810.3099999996</v>
      </c>
      <c r="M1043">
        <v>0</v>
      </c>
      <c r="N1043">
        <v>4762810.3099999996</v>
      </c>
      <c r="O1043">
        <v>76869.114105874745</v>
      </c>
      <c r="P1043">
        <v>0</v>
      </c>
      <c r="Q1043">
        <v>4762810.3099999996</v>
      </c>
      <c r="R1043">
        <v>76869.114105874745</v>
      </c>
      <c r="S1043" s="238" t="s">
        <v>137</v>
      </c>
      <c r="T1043" s="238" t="s">
        <v>1167</v>
      </c>
      <c r="V1043" t="s">
        <v>4091</v>
      </c>
      <c r="W1043" s="24">
        <v>44736</v>
      </c>
      <c r="X1043" s="238" t="s">
        <v>3146</v>
      </c>
      <c r="Y1043" s="238" t="s">
        <v>39</v>
      </c>
      <c r="Z1043" s="238" t="s">
        <v>1340</v>
      </c>
      <c r="AA1043" t="s">
        <v>1167</v>
      </c>
      <c r="AB1043" s="238" t="s">
        <v>3246</v>
      </c>
      <c r="AC1043" t="s">
        <v>3079</v>
      </c>
      <c r="AD1043" s="24"/>
      <c r="AE1043" s="238" t="s">
        <v>3147</v>
      </c>
      <c r="AF1043">
        <v>79272036322</v>
      </c>
      <c r="AG1043" s="238" t="s">
        <v>3148</v>
      </c>
      <c r="AH1043" s="238" t="s">
        <v>1171</v>
      </c>
      <c r="AI1043" s="238" t="s">
        <v>3074</v>
      </c>
      <c r="AJ1043" s="238" t="s">
        <v>130</v>
      </c>
      <c r="AK1043" s="238" t="s">
        <v>141</v>
      </c>
      <c r="AL1043" t="s">
        <v>8715</v>
      </c>
      <c r="AM1043" t="s">
        <v>1167</v>
      </c>
    </row>
    <row r="1044" spans="1:39" hidden="1" x14ac:dyDescent="0.25">
      <c r="A1044">
        <v>1040</v>
      </c>
      <c r="B1044">
        <v>16</v>
      </c>
      <c r="C1044" s="24">
        <v>44740</v>
      </c>
      <c r="D1044" s="238" t="s">
        <v>27</v>
      </c>
      <c r="E1044" s="238" t="s">
        <v>6</v>
      </c>
      <c r="F1044">
        <v>3</v>
      </c>
      <c r="G1044">
        <v>15</v>
      </c>
      <c r="H1044">
        <v>120</v>
      </c>
      <c r="I1044" s="238" t="s">
        <v>42</v>
      </c>
      <c r="J1044">
        <v>41.06</v>
      </c>
      <c r="K1044" s="238" t="s">
        <v>36</v>
      </c>
      <c r="L1044">
        <v>3628872.63</v>
      </c>
      <c r="M1044">
        <v>15000</v>
      </c>
      <c r="N1044">
        <v>3643872.63</v>
      </c>
      <c r="O1044">
        <v>88745.071358986839</v>
      </c>
      <c r="P1044">
        <v>0</v>
      </c>
      <c r="Q1044">
        <v>3643872.63</v>
      </c>
      <c r="R1044">
        <v>88745.071358986839</v>
      </c>
      <c r="S1044" s="238" t="s">
        <v>124</v>
      </c>
      <c r="T1044" s="238" t="s">
        <v>321</v>
      </c>
      <c r="U1044">
        <v>180000</v>
      </c>
      <c r="V1044" t="s">
        <v>1167</v>
      </c>
      <c r="W1044" s="24">
        <v>44734</v>
      </c>
      <c r="X1044" s="238" t="s">
        <v>3153</v>
      </c>
      <c r="Y1044" s="238" t="s">
        <v>39</v>
      </c>
      <c r="Z1044" s="238" t="s">
        <v>1168</v>
      </c>
      <c r="AA1044" t="s">
        <v>1167</v>
      </c>
      <c r="AB1044" s="238" t="s">
        <v>3246</v>
      </c>
      <c r="AC1044" t="s">
        <v>1167</v>
      </c>
      <c r="AD1044" s="24"/>
      <c r="AE1044" s="238" t="s">
        <v>3154</v>
      </c>
      <c r="AF1044">
        <v>79276599494</v>
      </c>
      <c r="AG1044" s="238" t="s">
        <v>3155</v>
      </c>
      <c r="AH1044" s="238" t="s">
        <v>1212</v>
      </c>
      <c r="AI1044" s="238" t="s">
        <v>135</v>
      </c>
      <c r="AJ1044" s="238" t="s">
        <v>399</v>
      </c>
      <c r="AK1044" s="238" t="s">
        <v>1167</v>
      </c>
      <c r="AL1044" t="s">
        <v>8715</v>
      </c>
      <c r="AM1044" t="s">
        <v>1167</v>
      </c>
    </row>
    <row r="1045" spans="1:39" hidden="1" x14ac:dyDescent="0.25">
      <c r="A1045">
        <v>1041</v>
      </c>
      <c r="B1045">
        <v>17</v>
      </c>
      <c r="C1045" s="24">
        <v>44740</v>
      </c>
      <c r="D1045" s="238" t="s">
        <v>27</v>
      </c>
      <c r="E1045" s="238" t="s">
        <v>6</v>
      </c>
      <c r="F1045">
        <v>9</v>
      </c>
      <c r="G1045">
        <v>2</v>
      </c>
      <c r="H1045">
        <v>9</v>
      </c>
      <c r="I1045" s="238" t="s">
        <v>42</v>
      </c>
      <c r="J1045">
        <v>37.94</v>
      </c>
      <c r="K1045" s="238" t="s">
        <v>36</v>
      </c>
      <c r="L1045">
        <v>3127271.87</v>
      </c>
      <c r="M1045">
        <v>15000</v>
      </c>
      <c r="N1045">
        <v>3142271.87</v>
      </c>
      <c r="O1045">
        <v>82822.13679493939</v>
      </c>
      <c r="P1045">
        <v>0</v>
      </c>
      <c r="Q1045">
        <v>3142271.87</v>
      </c>
      <c r="R1045">
        <v>82822.13679493939</v>
      </c>
      <c r="S1045" s="238" t="s">
        <v>124</v>
      </c>
      <c r="T1045" s="238" t="s">
        <v>321</v>
      </c>
      <c r="U1045">
        <v>180000</v>
      </c>
      <c r="V1045" t="s">
        <v>1167</v>
      </c>
      <c r="W1045" s="24">
        <v>44734</v>
      </c>
      <c r="X1045" s="238" t="s">
        <v>3156</v>
      </c>
      <c r="Y1045" s="238" t="s">
        <v>39</v>
      </c>
      <c r="Z1045" s="238" t="s">
        <v>1168</v>
      </c>
      <c r="AA1045" t="s">
        <v>1167</v>
      </c>
      <c r="AB1045" s="238" t="s">
        <v>3246</v>
      </c>
      <c r="AC1045" t="s">
        <v>1167</v>
      </c>
      <c r="AD1045" s="24"/>
      <c r="AE1045" s="238" t="s">
        <v>3154</v>
      </c>
      <c r="AF1045">
        <v>79276599494</v>
      </c>
      <c r="AG1045" s="238" t="s">
        <v>3155</v>
      </c>
      <c r="AH1045" s="238" t="s">
        <v>1197</v>
      </c>
      <c r="AI1045" s="238" t="s">
        <v>135</v>
      </c>
      <c r="AJ1045" s="238" t="s">
        <v>399</v>
      </c>
      <c r="AK1045" s="238" t="s">
        <v>1167</v>
      </c>
      <c r="AL1045" t="s">
        <v>8715</v>
      </c>
      <c r="AM1045" t="s">
        <v>1167</v>
      </c>
    </row>
    <row r="1046" spans="1:39" hidden="1" x14ac:dyDescent="0.25">
      <c r="A1046">
        <v>1042</v>
      </c>
      <c r="B1046">
        <v>18</v>
      </c>
      <c r="C1046" s="24">
        <v>44740</v>
      </c>
      <c r="D1046" s="238" t="s">
        <v>27</v>
      </c>
      <c r="E1046" s="238" t="s">
        <v>6</v>
      </c>
      <c r="F1046">
        <v>2</v>
      </c>
      <c r="G1046">
        <v>5</v>
      </c>
      <c r="H1046">
        <v>29</v>
      </c>
      <c r="I1046" s="238" t="s">
        <v>42</v>
      </c>
      <c r="J1046">
        <v>37.94</v>
      </c>
      <c r="K1046" s="238" t="s">
        <v>37</v>
      </c>
      <c r="L1046">
        <v>3454693.47</v>
      </c>
      <c r="M1046">
        <v>0</v>
      </c>
      <c r="N1046">
        <v>3454693.47</v>
      </c>
      <c r="O1046">
        <v>91056.75988402743</v>
      </c>
      <c r="P1046">
        <v>265580</v>
      </c>
      <c r="Q1046">
        <v>3189113.47</v>
      </c>
      <c r="R1046">
        <v>84056.759884027415</v>
      </c>
      <c r="S1046" s="238" t="s">
        <v>137</v>
      </c>
      <c r="T1046" s="238" t="s">
        <v>60</v>
      </c>
      <c r="U1046">
        <v>265580</v>
      </c>
      <c r="V1046" t="s">
        <v>4091</v>
      </c>
      <c r="W1046" s="24">
        <v>44735</v>
      </c>
      <c r="X1046" s="238" t="s">
        <v>3157</v>
      </c>
      <c r="Y1046" s="238" t="s">
        <v>39</v>
      </c>
      <c r="Z1046" s="238" t="s">
        <v>1340</v>
      </c>
      <c r="AA1046" t="s">
        <v>1167</v>
      </c>
      <c r="AB1046" s="238" t="s">
        <v>3246</v>
      </c>
      <c r="AC1046" t="s">
        <v>3079</v>
      </c>
      <c r="AD1046" s="24"/>
      <c r="AE1046" s="238" t="s">
        <v>3158</v>
      </c>
      <c r="AF1046">
        <v>79272947684</v>
      </c>
      <c r="AG1046" s="238" t="s">
        <v>3159</v>
      </c>
      <c r="AH1046" s="238" t="s">
        <v>1212</v>
      </c>
      <c r="AI1046" s="238" t="s">
        <v>135</v>
      </c>
      <c r="AJ1046" s="238" t="s">
        <v>130</v>
      </c>
      <c r="AK1046" s="238" t="s">
        <v>141</v>
      </c>
      <c r="AL1046" t="s">
        <v>8715</v>
      </c>
      <c r="AM1046" t="s">
        <v>1167</v>
      </c>
    </row>
    <row r="1047" spans="1:39" hidden="1" x14ac:dyDescent="0.25">
      <c r="A1047">
        <v>1043</v>
      </c>
      <c r="B1047">
        <v>19</v>
      </c>
      <c r="C1047" s="24">
        <v>44736</v>
      </c>
      <c r="D1047" s="238" t="s">
        <v>19</v>
      </c>
      <c r="E1047" s="238" t="s">
        <v>6</v>
      </c>
      <c r="F1047">
        <v>3</v>
      </c>
      <c r="G1047">
        <v>16</v>
      </c>
      <c r="H1047">
        <v>101</v>
      </c>
      <c r="I1047" s="238" t="s">
        <v>44</v>
      </c>
      <c r="J1047">
        <v>78.7</v>
      </c>
      <c r="K1047" s="238" t="s">
        <v>36</v>
      </c>
      <c r="L1047">
        <v>7033525.25</v>
      </c>
      <c r="M1047">
        <v>0</v>
      </c>
      <c r="N1047">
        <v>7033525.25</v>
      </c>
      <c r="O1047">
        <v>89371.350063532402</v>
      </c>
      <c r="P1047">
        <v>0</v>
      </c>
      <c r="Q1047">
        <v>7033525.25</v>
      </c>
      <c r="R1047">
        <v>89371.350063532402</v>
      </c>
      <c r="S1047" s="238" t="s">
        <v>121</v>
      </c>
      <c r="T1047" s="238" t="s">
        <v>1167</v>
      </c>
      <c r="V1047" t="s">
        <v>1167</v>
      </c>
      <c r="W1047" s="24">
        <v>44736</v>
      </c>
      <c r="X1047" s="238" t="s">
        <v>3161</v>
      </c>
      <c r="Y1047" s="238" t="s">
        <v>39</v>
      </c>
      <c r="Z1047" s="238" t="s">
        <v>1168</v>
      </c>
      <c r="AA1047" t="s">
        <v>1167</v>
      </c>
      <c r="AB1047" s="238" t="s">
        <v>3124</v>
      </c>
      <c r="AC1047" t="s">
        <v>1167</v>
      </c>
      <c r="AD1047" s="24"/>
      <c r="AE1047" s="238" t="s">
        <v>3162</v>
      </c>
      <c r="AF1047">
        <v>79879019168</v>
      </c>
      <c r="AG1047" s="238" t="s">
        <v>3163</v>
      </c>
      <c r="AH1047" s="238" t="s">
        <v>1171</v>
      </c>
      <c r="AI1047" s="238" t="s">
        <v>3074</v>
      </c>
      <c r="AJ1047" s="238" t="s">
        <v>3164</v>
      </c>
      <c r="AK1047" s="238" t="s">
        <v>1167</v>
      </c>
      <c r="AL1047" t="s">
        <v>8715</v>
      </c>
      <c r="AM1047" t="s">
        <v>1167</v>
      </c>
    </row>
    <row r="1048" spans="1:39" hidden="1" x14ac:dyDescent="0.25">
      <c r="A1048">
        <v>1044</v>
      </c>
      <c r="B1048">
        <v>20</v>
      </c>
      <c r="C1048" s="24">
        <v>44742</v>
      </c>
      <c r="D1048" s="238" t="s">
        <v>27</v>
      </c>
      <c r="E1048" s="238" t="s">
        <v>14</v>
      </c>
      <c r="F1048">
        <v>3</v>
      </c>
      <c r="G1048">
        <v>12</v>
      </c>
      <c r="H1048">
        <v>724</v>
      </c>
      <c r="I1048" s="238" t="s">
        <v>43</v>
      </c>
      <c r="J1048">
        <v>56.33</v>
      </c>
      <c r="K1048" s="238" t="s">
        <v>36</v>
      </c>
      <c r="L1048">
        <v>4604208.38</v>
      </c>
      <c r="M1048">
        <v>0</v>
      </c>
      <c r="N1048">
        <v>4604208.38</v>
      </c>
      <c r="O1048">
        <v>81736.346174329839</v>
      </c>
      <c r="P1048">
        <v>0</v>
      </c>
      <c r="Q1048">
        <v>4604208.38</v>
      </c>
      <c r="R1048">
        <v>81736.346174329839</v>
      </c>
      <c r="S1048" s="238" t="s">
        <v>137</v>
      </c>
      <c r="T1048" s="238" t="s">
        <v>1167</v>
      </c>
      <c r="V1048" t="s">
        <v>4092</v>
      </c>
      <c r="W1048" s="24">
        <v>44735</v>
      </c>
      <c r="X1048" s="238" t="s">
        <v>3165</v>
      </c>
      <c r="Y1048" s="238" t="s">
        <v>39</v>
      </c>
      <c r="Z1048" s="238" t="s">
        <v>1340</v>
      </c>
      <c r="AA1048" t="s">
        <v>1167</v>
      </c>
      <c r="AB1048" s="238" t="s">
        <v>3246</v>
      </c>
      <c r="AC1048" t="s">
        <v>3079</v>
      </c>
      <c r="AD1048" s="24"/>
      <c r="AE1048" s="238" t="s">
        <v>3166</v>
      </c>
      <c r="AF1048">
        <v>79228237994</v>
      </c>
      <c r="AG1048" s="238" t="s">
        <v>3167</v>
      </c>
      <c r="AH1048" s="238" t="s">
        <v>1212</v>
      </c>
      <c r="AI1048" s="238" t="s">
        <v>3090</v>
      </c>
      <c r="AJ1048" s="238" t="s">
        <v>130</v>
      </c>
      <c r="AK1048" s="238" t="s">
        <v>141</v>
      </c>
      <c r="AL1048" t="s">
        <v>8715</v>
      </c>
      <c r="AM1048" t="s">
        <v>1167</v>
      </c>
    </row>
    <row r="1049" spans="1:39" hidden="1" x14ac:dyDescent="0.25">
      <c r="A1049">
        <v>1045</v>
      </c>
      <c r="B1049">
        <v>21</v>
      </c>
      <c r="C1049" s="24">
        <v>44742</v>
      </c>
      <c r="D1049" s="238" t="s">
        <v>27</v>
      </c>
      <c r="E1049" s="238" t="s">
        <v>6</v>
      </c>
      <c r="F1049">
        <v>2</v>
      </c>
      <c r="G1049">
        <v>6</v>
      </c>
      <c r="H1049">
        <v>38</v>
      </c>
      <c r="I1049" s="238" t="s">
        <v>42</v>
      </c>
      <c r="J1049">
        <v>37.94</v>
      </c>
      <c r="K1049" s="238" t="s">
        <v>37</v>
      </c>
      <c r="L1049">
        <v>3454693.47</v>
      </c>
      <c r="M1049">
        <v>0</v>
      </c>
      <c r="N1049">
        <v>3454693.47</v>
      </c>
      <c r="O1049">
        <v>91056.75988402743</v>
      </c>
      <c r="P1049">
        <v>265580</v>
      </c>
      <c r="Q1049">
        <v>3189113.47</v>
      </c>
      <c r="R1049">
        <v>84056.759884027415</v>
      </c>
      <c r="S1049" s="238" t="s">
        <v>137</v>
      </c>
      <c r="T1049" s="238" t="s">
        <v>60</v>
      </c>
      <c r="U1049">
        <v>265580</v>
      </c>
      <c r="V1049" t="s">
        <v>4091</v>
      </c>
      <c r="W1049" s="24">
        <v>44736</v>
      </c>
      <c r="X1049" s="238" t="s">
        <v>3168</v>
      </c>
      <c r="Y1049" s="238" t="s">
        <v>39</v>
      </c>
      <c r="Z1049" s="238" t="s">
        <v>1340</v>
      </c>
      <c r="AA1049" t="s">
        <v>1167</v>
      </c>
      <c r="AB1049" s="238" t="s">
        <v>3246</v>
      </c>
      <c r="AC1049" t="s">
        <v>3079</v>
      </c>
      <c r="AD1049" s="24"/>
      <c r="AE1049" s="238" t="s">
        <v>3169</v>
      </c>
      <c r="AF1049">
        <v>79021860169</v>
      </c>
      <c r="AG1049" s="238" t="s">
        <v>3170</v>
      </c>
      <c r="AH1049" s="238" t="s">
        <v>135</v>
      </c>
      <c r="AI1049" s="238" t="s">
        <v>3099</v>
      </c>
      <c r="AJ1049" s="238" t="s">
        <v>130</v>
      </c>
      <c r="AK1049" s="238" t="s">
        <v>141</v>
      </c>
      <c r="AL1049" t="s">
        <v>8715</v>
      </c>
      <c r="AM1049" t="s">
        <v>1167</v>
      </c>
    </row>
    <row r="1050" spans="1:39" hidden="1" x14ac:dyDescent="0.25">
      <c r="A1050">
        <v>1046</v>
      </c>
      <c r="B1050">
        <v>22</v>
      </c>
      <c r="C1050" s="24">
        <v>44742</v>
      </c>
      <c r="D1050" s="238" t="s">
        <v>27</v>
      </c>
      <c r="E1050" s="238" t="s">
        <v>13</v>
      </c>
      <c r="F1050">
        <v>2</v>
      </c>
      <c r="G1050">
        <v>9</v>
      </c>
      <c r="H1050">
        <v>895</v>
      </c>
      <c r="I1050" s="238" t="s">
        <v>44</v>
      </c>
      <c r="J1050">
        <v>86.1</v>
      </c>
      <c r="K1050" s="238" t="s">
        <v>36</v>
      </c>
      <c r="L1050">
        <v>6733902.4500000002</v>
      </c>
      <c r="M1050">
        <v>0</v>
      </c>
      <c r="N1050">
        <v>6733902.4500000002</v>
      </c>
      <c r="O1050">
        <v>78210.249128919866</v>
      </c>
      <c r="P1050">
        <v>0</v>
      </c>
      <c r="Q1050">
        <v>6733902.4500000002</v>
      </c>
      <c r="R1050">
        <v>78210.249128919866</v>
      </c>
      <c r="S1050" s="238" t="s">
        <v>137</v>
      </c>
      <c r="T1050" s="238" t="s">
        <v>321</v>
      </c>
      <c r="U1050">
        <v>500000</v>
      </c>
      <c r="V1050" t="s">
        <v>4091</v>
      </c>
      <c r="W1050" s="24">
        <v>44738</v>
      </c>
      <c r="X1050" s="238" t="s">
        <v>3171</v>
      </c>
      <c r="Y1050" s="238" t="s">
        <v>39</v>
      </c>
      <c r="Z1050" s="238" t="s">
        <v>1340</v>
      </c>
      <c r="AA1050" t="s">
        <v>3474</v>
      </c>
      <c r="AB1050" s="238" t="s">
        <v>3246</v>
      </c>
      <c r="AC1050" t="s">
        <v>3077</v>
      </c>
      <c r="AD1050" s="24"/>
      <c r="AE1050" s="238" t="s">
        <v>3172</v>
      </c>
      <c r="AF1050">
        <v>79879482872</v>
      </c>
      <c r="AG1050" s="238" t="s">
        <v>3173</v>
      </c>
      <c r="AH1050" s="238" t="s">
        <v>135</v>
      </c>
      <c r="AI1050" s="238" t="s">
        <v>3099</v>
      </c>
      <c r="AJ1050" s="238" t="s">
        <v>399</v>
      </c>
      <c r="AK1050" s="238" t="s">
        <v>141</v>
      </c>
      <c r="AL1050" t="s">
        <v>8715</v>
      </c>
      <c r="AM1050" t="s">
        <v>1167</v>
      </c>
    </row>
    <row r="1051" spans="1:39" hidden="1" x14ac:dyDescent="0.25">
      <c r="A1051">
        <v>1047</v>
      </c>
      <c r="B1051">
        <v>1</v>
      </c>
      <c r="C1051" s="24">
        <v>44748</v>
      </c>
      <c r="D1051" s="238" t="s">
        <v>27</v>
      </c>
      <c r="E1051" s="238" t="s">
        <v>5</v>
      </c>
      <c r="F1051">
        <v>3</v>
      </c>
      <c r="G1051">
        <v>24</v>
      </c>
      <c r="H1051">
        <v>386</v>
      </c>
      <c r="I1051" s="238" t="s">
        <v>4052</v>
      </c>
      <c r="J1051">
        <v>23.54</v>
      </c>
      <c r="K1051" s="238" t="s">
        <v>36</v>
      </c>
      <c r="L1051">
        <v>2319229.1800000002</v>
      </c>
      <c r="M1051">
        <v>0</v>
      </c>
      <c r="N1051">
        <v>2319229.1800000002</v>
      </c>
      <c r="O1051">
        <v>98522.904842820746</v>
      </c>
      <c r="P1051">
        <v>0</v>
      </c>
      <c r="Q1051">
        <v>2319229.1800000002</v>
      </c>
      <c r="R1051">
        <v>98522.904842820746</v>
      </c>
      <c r="S1051" s="238" t="s">
        <v>124</v>
      </c>
      <c r="T1051" s="238" t="s">
        <v>1167</v>
      </c>
      <c r="V1051" t="s">
        <v>1167</v>
      </c>
      <c r="W1051" s="24">
        <v>44744</v>
      </c>
      <c r="X1051" s="238" t="s">
        <v>3174</v>
      </c>
      <c r="Y1051" s="238" t="s">
        <v>39</v>
      </c>
      <c r="Z1051" s="238" t="s">
        <v>1168</v>
      </c>
      <c r="AA1051" t="s">
        <v>1167</v>
      </c>
      <c r="AB1051" s="238" t="s">
        <v>3246</v>
      </c>
      <c r="AC1051" t="s">
        <v>1167</v>
      </c>
      <c r="AD1051" s="24"/>
      <c r="AE1051" s="238" t="s">
        <v>3175</v>
      </c>
      <c r="AF1051">
        <v>79270000744</v>
      </c>
      <c r="AG1051" s="238" t="s">
        <v>3176</v>
      </c>
      <c r="AH1051" s="238" t="s">
        <v>1212</v>
      </c>
      <c r="AI1051" s="238" t="s">
        <v>135</v>
      </c>
      <c r="AJ1051" s="238" t="s">
        <v>120</v>
      </c>
      <c r="AK1051" s="238" t="s">
        <v>1167</v>
      </c>
      <c r="AL1051" t="s">
        <v>8715</v>
      </c>
      <c r="AM1051" t="s">
        <v>1167</v>
      </c>
    </row>
    <row r="1052" spans="1:39" hidden="1" x14ac:dyDescent="0.25">
      <c r="A1052">
        <v>1048</v>
      </c>
      <c r="B1052">
        <v>2</v>
      </c>
      <c r="C1052" s="24">
        <v>44754</v>
      </c>
      <c r="D1052" s="238" t="s">
        <v>27</v>
      </c>
      <c r="E1052" s="238" t="s">
        <v>6</v>
      </c>
      <c r="F1052">
        <v>5</v>
      </c>
      <c r="G1052">
        <v>22</v>
      </c>
      <c r="H1052">
        <v>185</v>
      </c>
      <c r="I1052" s="238" t="s">
        <v>4052</v>
      </c>
      <c r="J1052">
        <v>24.47</v>
      </c>
      <c r="K1052" s="238" t="s">
        <v>37</v>
      </c>
      <c r="L1052">
        <v>2671362</v>
      </c>
      <c r="M1052">
        <v>0</v>
      </c>
      <c r="N1052">
        <v>2671362</v>
      </c>
      <c r="O1052">
        <v>109168.85982836127</v>
      </c>
      <c r="P1052">
        <v>171289.99999999299</v>
      </c>
      <c r="Q1052">
        <v>2500072.000000007</v>
      </c>
      <c r="R1052">
        <v>102168.85982836154</v>
      </c>
      <c r="S1052" s="238" t="s">
        <v>137</v>
      </c>
      <c r="T1052" s="238" t="s">
        <v>60</v>
      </c>
      <c r="U1052">
        <v>171289.99999999299</v>
      </c>
      <c r="V1052" t="s">
        <v>4091</v>
      </c>
      <c r="W1052" s="24">
        <v>44749</v>
      </c>
      <c r="X1052" s="238" t="s">
        <v>3177</v>
      </c>
      <c r="Y1052" s="238" t="s">
        <v>39</v>
      </c>
      <c r="Z1052" s="238" t="s">
        <v>1340</v>
      </c>
      <c r="AA1052" t="s">
        <v>1167</v>
      </c>
      <c r="AB1052" s="238" t="s">
        <v>3246</v>
      </c>
      <c r="AC1052" t="s">
        <v>3079</v>
      </c>
      <c r="AD1052" s="24"/>
      <c r="AE1052" s="238" t="s">
        <v>2678</v>
      </c>
      <c r="AF1052">
        <v>79397522422</v>
      </c>
      <c r="AG1052" s="238" t="s">
        <v>3178</v>
      </c>
      <c r="AH1052" s="238" t="s">
        <v>1197</v>
      </c>
      <c r="AI1052" s="238" t="s">
        <v>3082</v>
      </c>
      <c r="AJ1052" s="238" t="s">
        <v>120</v>
      </c>
      <c r="AK1052" s="238" t="s">
        <v>141</v>
      </c>
      <c r="AL1052" t="s">
        <v>8715</v>
      </c>
      <c r="AM1052" t="s">
        <v>1167</v>
      </c>
    </row>
    <row r="1053" spans="1:39" hidden="1" x14ac:dyDescent="0.25">
      <c r="A1053">
        <v>1049</v>
      </c>
      <c r="B1053">
        <v>3</v>
      </c>
      <c r="C1053" s="24">
        <v>44761</v>
      </c>
      <c r="D1053" s="238" t="s">
        <v>27</v>
      </c>
      <c r="E1053" s="238" t="s">
        <v>6</v>
      </c>
      <c r="F1053">
        <v>1</v>
      </c>
      <c r="G1053">
        <v>11</v>
      </c>
      <c r="H1053">
        <v>82</v>
      </c>
      <c r="I1053" s="238" t="s">
        <v>44</v>
      </c>
      <c r="J1053">
        <v>82.71</v>
      </c>
      <c r="K1053" s="238" t="s">
        <v>37</v>
      </c>
      <c r="L1053">
        <v>5894364.6100000003</v>
      </c>
      <c r="M1053">
        <v>0</v>
      </c>
      <c r="N1053">
        <v>5894364.6100000003</v>
      </c>
      <c r="O1053">
        <v>71265.440817313516</v>
      </c>
      <c r="P1053">
        <v>578970</v>
      </c>
      <c r="Q1053">
        <v>5315394.6100000003</v>
      </c>
      <c r="R1053">
        <v>64265.440817313516</v>
      </c>
      <c r="S1053" s="238" t="s">
        <v>137</v>
      </c>
      <c r="T1053" s="238" t="s">
        <v>60</v>
      </c>
      <c r="U1053">
        <v>578969.99999999895</v>
      </c>
      <c r="V1053" t="s">
        <v>1167</v>
      </c>
      <c r="W1053" s="24">
        <v>44747</v>
      </c>
      <c r="X1053" s="238" t="s">
        <v>3179</v>
      </c>
      <c r="Y1053" s="238" t="s">
        <v>39</v>
      </c>
      <c r="Z1053" s="238" t="s">
        <v>1168</v>
      </c>
      <c r="AA1053" t="s">
        <v>1167</v>
      </c>
      <c r="AB1053" s="238" t="s">
        <v>3246</v>
      </c>
      <c r="AC1053" t="s">
        <v>3076</v>
      </c>
      <c r="AD1053" s="24"/>
      <c r="AE1053" s="238" t="s">
        <v>3180</v>
      </c>
      <c r="AF1053">
        <v>79179534153</v>
      </c>
      <c r="AG1053" s="238" t="s">
        <v>3181</v>
      </c>
      <c r="AH1053" s="238" t="s">
        <v>135</v>
      </c>
      <c r="AI1053" s="238" t="s">
        <v>3099</v>
      </c>
      <c r="AJ1053" s="238" t="s">
        <v>130</v>
      </c>
      <c r="AK1053" s="238" t="s">
        <v>141</v>
      </c>
      <c r="AL1053" t="s">
        <v>8715</v>
      </c>
      <c r="AM1053" t="s">
        <v>1167</v>
      </c>
    </row>
    <row r="1054" spans="1:39" hidden="1" x14ac:dyDescent="0.25">
      <c r="A1054">
        <v>1050</v>
      </c>
      <c r="B1054">
        <v>4</v>
      </c>
      <c r="C1054" s="24">
        <v>44761</v>
      </c>
      <c r="D1054" s="238" t="s">
        <v>27</v>
      </c>
      <c r="E1054" s="238" t="s">
        <v>6</v>
      </c>
      <c r="F1054">
        <v>1</v>
      </c>
      <c r="G1054">
        <v>10</v>
      </c>
      <c r="H1054">
        <v>73</v>
      </c>
      <c r="I1054" s="238" t="s">
        <v>44</v>
      </c>
      <c r="J1054">
        <v>82.71</v>
      </c>
      <c r="K1054" s="238" t="s">
        <v>37</v>
      </c>
      <c r="L1054">
        <v>5879365.2199999997</v>
      </c>
      <c r="M1054">
        <v>15000</v>
      </c>
      <c r="N1054">
        <v>5894365.2199999997</v>
      </c>
      <c r="O1054">
        <v>71265.448192479744</v>
      </c>
      <c r="P1054">
        <v>578970</v>
      </c>
      <c r="Q1054">
        <v>5315395.22</v>
      </c>
      <c r="R1054">
        <v>64265.448192479751</v>
      </c>
      <c r="S1054" s="238" t="s">
        <v>137</v>
      </c>
      <c r="T1054" s="238" t="s">
        <v>60</v>
      </c>
      <c r="U1054">
        <v>578969.99999999499</v>
      </c>
      <c r="V1054" t="s">
        <v>4093</v>
      </c>
      <c r="W1054" s="24">
        <v>44753</v>
      </c>
      <c r="X1054" s="238" t="s">
        <v>3182</v>
      </c>
      <c r="Y1054" s="238" t="s">
        <v>39</v>
      </c>
      <c r="Z1054" s="238" t="s">
        <v>1340</v>
      </c>
      <c r="AA1054" t="s">
        <v>1167</v>
      </c>
      <c r="AB1054" s="238" t="s">
        <v>3246</v>
      </c>
      <c r="AC1054" t="s">
        <v>3079</v>
      </c>
      <c r="AD1054" s="24"/>
      <c r="AE1054" s="238" t="s">
        <v>3183</v>
      </c>
      <c r="AF1054">
        <v>79171093350</v>
      </c>
      <c r="AG1054" s="238" t="s">
        <v>3184</v>
      </c>
      <c r="AH1054" s="238" t="s">
        <v>146</v>
      </c>
      <c r="AI1054" s="238" t="s">
        <v>135</v>
      </c>
      <c r="AJ1054" s="238" t="s">
        <v>399</v>
      </c>
      <c r="AK1054" s="238" t="s">
        <v>141</v>
      </c>
      <c r="AL1054" t="s">
        <v>8715</v>
      </c>
      <c r="AM1054" t="s">
        <v>1167</v>
      </c>
    </row>
    <row r="1055" spans="1:39" hidden="1" x14ac:dyDescent="0.25">
      <c r="A1055">
        <v>1051</v>
      </c>
      <c r="B1055">
        <v>5</v>
      </c>
      <c r="C1055" s="24">
        <v>44762</v>
      </c>
      <c r="D1055" s="238" t="s">
        <v>27</v>
      </c>
      <c r="E1055" s="238" t="s">
        <v>6</v>
      </c>
      <c r="F1055">
        <v>8</v>
      </c>
      <c r="G1055">
        <v>11</v>
      </c>
      <c r="H1055">
        <v>89</v>
      </c>
      <c r="I1055" s="238" t="s">
        <v>42</v>
      </c>
      <c r="J1055">
        <v>37.69</v>
      </c>
      <c r="K1055" s="238" t="s">
        <v>37</v>
      </c>
      <c r="L1055">
        <v>3432001.65</v>
      </c>
      <c r="M1055">
        <v>0</v>
      </c>
      <c r="N1055">
        <v>3432001.65</v>
      </c>
      <c r="O1055">
        <v>91058.680021225795</v>
      </c>
      <c r="P1055">
        <v>263830</v>
      </c>
      <c r="Q1055">
        <v>3168171.65</v>
      </c>
      <c r="R1055">
        <v>84058.680021225795</v>
      </c>
      <c r="S1055" s="238" t="s">
        <v>137</v>
      </c>
      <c r="T1055" s="238" t="s">
        <v>60</v>
      </c>
      <c r="U1055">
        <v>263830</v>
      </c>
      <c r="V1055" t="s">
        <v>4091</v>
      </c>
      <c r="W1055" s="24">
        <v>44762</v>
      </c>
      <c r="X1055" s="238" t="s">
        <v>3185</v>
      </c>
      <c r="Y1055" s="238" t="s">
        <v>39</v>
      </c>
      <c r="Z1055" s="238" t="s">
        <v>1340</v>
      </c>
      <c r="AA1055" t="s">
        <v>1167</v>
      </c>
      <c r="AB1055" s="238" t="s">
        <v>3246</v>
      </c>
      <c r="AC1055" t="s">
        <v>3079</v>
      </c>
      <c r="AD1055" s="24"/>
      <c r="AE1055" s="238" t="s">
        <v>3186</v>
      </c>
      <c r="AF1055">
        <v>79276179383</v>
      </c>
      <c r="AG1055" s="238" t="s">
        <v>3187</v>
      </c>
      <c r="AH1055" s="238" t="s">
        <v>1171</v>
      </c>
      <c r="AI1055" s="238" t="s">
        <v>3090</v>
      </c>
      <c r="AJ1055" s="238" t="s">
        <v>130</v>
      </c>
      <c r="AK1055" s="238" t="s">
        <v>141</v>
      </c>
      <c r="AL1055" t="s">
        <v>8715</v>
      </c>
      <c r="AM1055" t="s">
        <v>1167</v>
      </c>
    </row>
    <row r="1056" spans="1:39" hidden="1" x14ac:dyDescent="0.25">
      <c r="A1056">
        <v>1052</v>
      </c>
      <c r="B1056">
        <v>6</v>
      </c>
      <c r="C1056" s="24">
        <v>44763</v>
      </c>
      <c r="D1056" s="238" t="s">
        <v>27</v>
      </c>
      <c r="E1056" s="238" t="s">
        <v>13</v>
      </c>
      <c r="F1056">
        <v>1</v>
      </c>
      <c r="G1056">
        <v>5</v>
      </c>
      <c r="H1056">
        <v>858</v>
      </c>
      <c r="I1056" s="238" t="s">
        <v>42</v>
      </c>
      <c r="J1056">
        <v>37.15</v>
      </c>
      <c r="K1056" s="238" t="s">
        <v>37</v>
      </c>
      <c r="L1056">
        <v>3382987.48</v>
      </c>
      <c r="M1056">
        <v>0</v>
      </c>
      <c r="N1056">
        <v>3382987.48</v>
      </c>
      <c r="O1056">
        <v>91062.920053835798</v>
      </c>
      <c r="P1056">
        <v>260050</v>
      </c>
      <c r="Q1056">
        <v>3122937.48</v>
      </c>
      <c r="R1056">
        <v>84062.920053835798</v>
      </c>
      <c r="S1056" s="238" t="s">
        <v>137</v>
      </c>
      <c r="T1056" s="238" t="s">
        <v>60</v>
      </c>
      <c r="U1056">
        <v>260050</v>
      </c>
      <c r="V1056" t="s">
        <v>4091</v>
      </c>
      <c r="W1056" s="24">
        <v>44755</v>
      </c>
      <c r="X1056" s="238" t="s">
        <v>3188</v>
      </c>
      <c r="Y1056" s="238" t="s">
        <v>39</v>
      </c>
      <c r="Z1056" s="238" t="s">
        <v>1340</v>
      </c>
      <c r="AA1056" t="s">
        <v>1167</v>
      </c>
      <c r="AB1056" s="238" t="s">
        <v>3246</v>
      </c>
      <c r="AC1056" t="s">
        <v>3079</v>
      </c>
      <c r="AD1056" s="24"/>
      <c r="AE1056" s="238" t="s">
        <v>3189</v>
      </c>
      <c r="AF1056">
        <v>79228874021</v>
      </c>
      <c r="AG1056" s="238" t="s">
        <v>3190</v>
      </c>
      <c r="AH1056" s="238" t="s">
        <v>1212</v>
      </c>
      <c r="AI1056" s="238" t="s">
        <v>6407</v>
      </c>
      <c r="AJ1056" s="238" t="s">
        <v>3164</v>
      </c>
      <c r="AK1056" s="238" t="s">
        <v>141</v>
      </c>
      <c r="AL1056" t="s">
        <v>57</v>
      </c>
      <c r="AM1056" t="s">
        <v>1167</v>
      </c>
    </row>
    <row r="1057" spans="1:39" hidden="1" x14ac:dyDescent="0.25">
      <c r="A1057">
        <v>1053</v>
      </c>
      <c r="B1057">
        <v>7</v>
      </c>
      <c r="C1057" s="24">
        <v>44763</v>
      </c>
      <c r="D1057" s="238" t="s">
        <v>27</v>
      </c>
      <c r="E1057" s="238" t="s">
        <v>13</v>
      </c>
      <c r="F1057">
        <v>3</v>
      </c>
      <c r="G1057">
        <v>8</v>
      </c>
      <c r="H1057">
        <v>887</v>
      </c>
      <c r="I1057" s="238" t="s">
        <v>42</v>
      </c>
      <c r="J1057">
        <v>37.31</v>
      </c>
      <c r="K1057" s="238" t="s">
        <v>37</v>
      </c>
      <c r="L1057">
        <v>3267287.44</v>
      </c>
      <c r="M1057">
        <v>0</v>
      </c>
      <c r="N1057">
        <v>3267287.44</v>
      </c>
      <c r="O1057">
        <v>87571.359957116045</v>
      </c>
      <c r="P1057">
        <v>279825</v>
      </c>
      <c r="Q1057">
        <v>2987462.44</v>
      </c>
      <c r="R1057">
        <v>80071.359957116045</v>
      </c>
      <c r="S1057" s="238" t="s">
        <v>137</v>
      </c>
      <c r="T1057" s="238" t="s">
        <v>60</v>
      </c>
      <c r="U1057">
        <v>279825</v>
      </c>
      <c r="V1057" t="s">
        <v>4091</v>
      </c>
      <c r="W1057" s="24">
        <v>44760</v>
      </c>
      <c r="X1057" s="238" t="s">
        <v>3191</v>
      </c>
      <c r="Y1057" s="238" t="s">
        <v>39</v>
      </c>
      <c r="Z1057" s="238" t="s">
        <v>1340</v>
      </c>
      <c r="AA1057" t="s">
        <v>1167</v>
      </c>
      <c r="AB1057" s="238" t="s">
        <v>3246</v>
      </c>
      <c r="AC1057" t="s">
        <v>3079</v>
      </c>
      <c r="AD1057" s="24"/>
      <c r="AE1057" s="238" t="s">
        <v>3192</v>
      </c>
      <c r="AF1057">
        <v>79370626884</v>
      </c>
      <c r="AG1057" s="238" t="s">
        <v>3193</v>
      </c>
      <c r="AH1057" s="238" t="s">
        <v>1171</v>
      </c>
      <c r="AI1057" s="238" t="s">
        <v>135</v>
      </c>
      <c r="AJ1057" s="238" t="s">
        <v>130</v>
      </c>
      <c r="AK1057" s="238" t="s">
        <v>141</v>
      </c>
      <c r="AL1057" t="s">
        <v>8715</v>
      </c>
      <c r="AM1057" t="s">
        <v>1167</v>
      </c>
    </row>
    <row r="1058" spans="1:39" hidden="1" x14ac:dyDescent="0.25">
      <c r="A1058">
        <v>1054</v>
      </c>
      <c r="B1058">
        <v>8</v>
      </c>
      <c r="C1058" s="24">
        <v>44764</v>
      </c>
      <c r="D1058" s="238" t="s">
        <v>27</v>
      </c>
      <c r="E1058" s="238" t="s">
        <v>13</v>
      </c>
      <c r="F1058">
        <v>3</v>
      </c>
      <c r="G1058">
        <v>5</v>
      </c>
      <c r="H1058">
        <v>860</v>
      </c>
      <c r="I1058" s="238" t="s">
        <v>42</v>
      </c>
      <c r="J1058">
        <v>37.31</v>
      </c>
      <c r="K1058" s="238" t="s">
        <v>37</v>
      </c>
      <c r="L1058">
        <v>3267287.44</v>
      </c>
      <c r="M1058">
        <v>0</v>
      </c>
      <c r="N1058">
        <v>3267287.44</v>
      </c>
      <c r="O1058">
        <v>87571.359957116045</v>
      </c>
      <c r="P1058">
        <v>279825</v>
      </c>
      <c r="Q1058">
        <v>2987462.44</v>
      </c>
      <c r="R1058">
        <v>80071.359957116045</v>
      </c>
      <c r="S1058" s="238" t="s">
        <v>137</v>
      </c>
      <c r="T1058" s="238" t="s">
        <v>60</v>
      </c>
      <c r="U1058">
        <v>279825</v>
      </c>
      <c r="V1058" t="s">
        <v>4091</v>
      </c>
      <c r="W1058" s="24">
        <v>44761</v>
      </c>
      <c r="X1058" s="238" t="s">
        <v>3194</v>
      </c>
      <c r="Y1058" s="238" t="s">
        <v>39</v>
      </c>
      <c r="Z1058" s="238" t="s">
        <v>1340</v>
      </c>
      <c r="AA1058" t="s">
        <v>1167</v>
      </c>
      <c r="AB1058" s="238" t="s">
        <v>3246</v>
      </c>
      <c r="AC1058" t="s">
        <v>3079</v>
      </c>
      <c r="AD1058" s="24"/>
      <c r="AE1058" s="238" t="s">
        <v>3195</v>
      </c>
      <c r="AF1058">
        <v>79376529539</v>
      </c>
      <c r="AG1058" s="238" t="s">
        <v>3196</v>
      </c>
      <c r="AH1058" s="238" t="s">
        <v>1171</v>
      </c>
      <c r="AI1058" s="238" t="s">
        <v>3096</v>
      </c>
      <c r="AJ1058" s="238" t="s">
        <v>399</v>
      </c>
      <c r="AK1058" s="238" t="s">
        <v>141</v>
      </c>
      <c r="AL1058" t="s">
        <v>8715</v>
      </c>
      <c r="AM1058" t="s">
        <v>1167</v>
      </c>
    </row>
    <row r="1059" spans="1:39" hidden="1" x14ac:dyDescent="0.25">
      <c r="A1059">
        <v>1055</v>
      </c>
      <c r="B1059">
        <v>9</v>
      </c>
      <c r="C1059" s="24">
        <v>44767</v>
      </c>
      <c r="D1059" s="238" t="s">
        <v>19</v>
      </c>
      <c r="E1059" s="238" t="s">
        <v>6</v>
      </c>
      <c r="F1059">
        <v>6</v>
      </c>
      <c r="G1059">
        <v>7</v>
      </c>
      <c r="H1059">
        <v>41</v>
      </c>
      <c r="I1059" s="238" t="s">
        <v>43</v>
      </c>
      <c r="J1059">
        <v>61.7</v>
      </c>
      <c r="K1059" s="238" t="s">
        <v>36</v>
      </c>
      <c r="L1059">
        <v>5349785.9800000004</v>
      </c>
      <c r="M1059">
        <v>0</v>
      </c>
      <c r="N1059">
        <v>5349785.9800000004</v>
      </c>
      <c r="O1059">
        <v>86706.417828200982</v>
      </c>
      <c r="P1059">
        <v>0</v>
      </c>
      <c r="Q1059">
        <v>5349785.9800000004</v>
      </c>
      <c r="R1059">
        <v>86706.417828200982</v>
      </c>
      <c r="S1059" s="238" t="s">
        <v>137</v>
      </c>
      <c r="T1059" s="238" t="s">
        <v>321</v>
      </c>
      <c r="U1059">
        <v>400000</v>
      </c>
      <c r="V1059" t="s">
        <v>4091</v>
      </c>
      <c r="W1059" s="24">
        <v>44764</v>
      </c>
      <c r="X1059" s="238" t="s">
        <v>3197</v>
      </c>
      <c r="Y1059" s="238" t="s">
        <v>39</v>
      </c>
      <c r="Z1059" s="238" t="s">
        <v>1340</v>
      </c>
      <c r="AA1059" t="s">
        <v>1167</v>
      </c>
      <c r="AB1059" s="238" t="s">
        <v>3124</v>
      </c>
      <c r="AC1059" t="s">
        <v>3079</v>
      </c>
      <c r="AD1059" s="24"/>
      <c r="AE1059" s="238" t="s">
        <v>3198</v>
      </c>
      <c r="AF1059">
        <v>79063441334</v>
      </c>
      <c r="AG1059" s="238" t="s">
        <v>3199</v>
      </c>
      <c r="AH1059" s="238" t="s">
        <v>1212</v>
      </c>
      <c r="AI1059" s="238" t="s">
        <v>135</v>
      </c>
      <c r="AJ1059" s="238" t="s">
        <v>399</v>
      </c>
      <c r="AK1059" s="238" t="s">
        <v>141</v>
      </c>
      <c r="AL1059" t="s">
        <v>8715</v>
      </c>
      <c r="AM1059" t="s">
        <v>1167</v>
      </c>
    </row>
    <row r="1060" spans="1:39" hidden="1" x14ac:dyDescent="0.25">
      <c r="A1060">
        <v>1056</v>
      </c>
      <c r="B1060">
        <v>10</v>
      </c>
      <c r="C1060" s="24">
        <v>44770</v>
      </c>
      <c r="D1060" s="238" t="s">
        <v>27</v>
      </c>
      <c r="E1060" s="238" t="s">
        <v>15</v>
      </c>
      <c r="F1060">
        <v>1</v>
      </c>
      <c r="G1060">
        <v>13</v>
      </c>
      <c r="H1060">
        <v>600</v>
      </c>
      <c r="I1060" s="238" t="s">
        <v>44</v>
      </c>
      <c r="J1060">
        <v>82.27</v>
      </c>
      <c r="K1060" s="238" t="s">
        <v>36</v>
      </c>
      <c r="L1060">
        <v>5657137.6600000001</v>
      </c>
      <c r="M1060">
        <v>15000</v>
      </c>
      <c r="N1060">
        <v>5672137.6600000001</v>
      </c>
      <c r="O1060">
        <v>68945.395162270579</v>
      </c>
      <c r="P1060">
        <v>0</v>
      </c>
      <c r="Q1060">
        <v>5672137.6600000001</v>
      </c>
      <c r="R1060">
        <v>68945.395162270579</v>
      </c>
      <c r="S1060" s="238" t="s">
        <v>137</v>
      </c>
      <c r="T1060" s="238" t="s">
        <v>321</v>
      </c>
      <c r="U1060">
        <v>150000</v>
      </c>
      <c r="V1060" t="s">
        <v>4091</v>
      </c>
      <c r="W1060" s="24">
        <v>44756</v>
      </c>
      <c r="X1060" s="238" t="s">
        <v>3200</v>
      </c>
      <c r="Y1060" s="238" t="s">
        <v>39</v>
      </c>
      <c r="Z1060" s="238" t="s">
        <v>1340</v>
      </c>
      <c r="AA1060" t="s">
        <v>1167</v>
      </c>
      <c r="AB1060" s="238" t="s">
        <v>3246</v>
      </c>
      <c r="AC1060" t="s">
        <v>3079</v>
      </c>
      <c r="AD1060" s="24"/>
      <c r="AE1060" s="238" t="s">
        <v>3201</v>
      </c>
      <c r="AF1060">
        <v>79642445650</v>
      </c>
      <c r="AG1060" s="238" t="s">
        <v>3202</v>
      </c>
      <c r="AH1060" s="238" t="s">
        <v>135</v>
      </c>
      <c r="AI1060" s="238" t="s">
        <v>135</v>
      </c>
      <c r="AJ1060" s="238" t="s">
        <v>3164</v>
      </c>
      <c r="AK1060" s="238" t="s">
        <v>141</v>
      </c>
      <c r="AL1060" t="s">
        <v>8715</v>
      </c>
      <c r="AM1060" t="s">
        <v>1167</v>
      </c>
    </row>
    <row r="1061" spans="1:39" hidden="1" x14ac:dyDescent="0.25">
      <c r="A1061">
        <v>1057</v>
      </c>
      <c r="B1061">
        <v>1</v>
      </c>
      <c r="C1061" s="24">
        <v>44774</v>
      </c>
      <c r="D1061" s="238" t="s">
        <v>91</v>
      </c>
      <c r="E1061" s="238" t="s">
        <v>6</v>
      </c>
      <c r="F1061">
        <v>7</v>
      </c>
      <c r="G1061">
        <v>15</v>
      </c>
      <c r="H1061">
        <v>111</v>
      </c>
      <c r="I1061" s="238" t="s">
        <v>4052</v>
      </c>
      <c r="J1061">
        <v>21.75</v>
      </c>
      <c r="K1061" s="238" t="s">
        <v>37</v>
      </c>
      <c r="L1061">
        <v>1807425</v>
      </c>
      <c r="M1061">
        <v>0</v>
      </c>
      <c r="N1061">
        <v>1807425</v>
      </c>
      <c r="O1061">
        <v>83100</v>
      </c>
      <c r="P1061">
        <v>163125</v>
      </c>
      <c r="Q1061">
        <v>1644300</v>
      </c>
      <c r="R1061">
        <v>75600</v>
      </c>
      <c r="S1061" s="238" t="s">
        <v>124</v>
      </c>
      <c r="T1061" s="238" t="s">
        <v>1167</v>
      </c>
      <c r="V1061" t="s">
        <v>1167</v>
      </c>
      <c r="W1061" s="24">
        <v>44767</v>
      </c>
      <c r="X1061" s="238" t="s">
        <v>3203</v>
      </c>
      <c r="Y1061" s="238" t="s">
        <v>39</v>
      </c>
      <c r="Z1061" s="238" t="s">
        <v>1340</v>
      </c>
      <c r="AA1061" t="s">
        <v>1167</v>
      </c>
      <c r="AB1061" s="238" t="s">
        <v>3246</v>
      </c>
      <c r="AC1061" t="s">
        <v>1167</v>
      </c>
      <c r="AD1061" s="24">
        <v>45240</v>
      </c>
      <c r="AE1061" s="238" t="s">
        <v>1369</v>
      </c>
      <c r="AF1061">
        <v>79272073244</v>
      </c>
      <c r="AG1061" s="238" t="s">
        <v>7707</v>
      </c>
      <c r="AH1061" s="238" t="s">
        <v>1171</v>
      </c>
      <c r="AI1061" s="238" t="s">
        <v>3082</v>
      </c>
      <c r="AJ1061" s="238" t="s">
        <v>399</v>
      </c>
      <c r="AK1061" s="238" t="s">
        <v>1167</v>
      </c>
      <c r="AL1061" t="s">
        <v>8715</v>
      </c>
      <c r="AM1061" t="s">
        <v>3662</v>
      </c>
    </row>
    <row r="1062" spans="1:39" hidden="1" x14ac:dyDescent="0.25">
      <c r="A1062">
        <v>1058</v>
      </c>
      <c r="B1062">
        <v>2</v>
      </c>
      <c r="C1062" s="24">
        <v>44776</v>
      </c>
      <c r="D1062" s="238" t="s">
        <v>91</v>
      </c>
      <c r="E1062" s="238" t="s">
        <v>16</v>
      </c>
      <c r="F1062">
        <v>7</v>
      </c>
      <c r="G1062">
        <v>13</v>
      </c>
      <c r="H1062">
        <v>324</v>
      </c>
      <c r="I1062" s="238" t="s">
        <v>42</v>
      </c>
      <c r="J1062">
        <v>33.840000000000003</v>
      </c>
      <c r="K1062" s="238" t="s">
        <v>37</v>
      </c>
      <c r="L1062">
        <v>2765912.4</v>
      </c>
      <c r="M1062">
        <v>0</v>
      </c>
      <c r="N1062">
        <v>2765912.4</v>
      </c>
      <c r="O1062">
        <v>81734.999999999985</v>
      </c>
      <c r="P1062">
        <v>253799.99999999953</v>
      </c>
      <c r="Q1062">
        <v>2512112.4000000004</v>
      </c>
      <c r="R1062">
        <v>74235</v>
      </c>
      <c r="S1062" s="238" t="s">
        <v>124</v>
      </c>
      <c r="T1062" s="238" t="s">
        <v>1167</v>
      </c>
      <c r="V1062" t="s">
        <v>1167</v>
      </c>
      <c r="W1062" s="24">
        <v>44771</v>
      </c>
      <c r="X1062" s="238" t="s">
        <v>3204</v>
      </c>
      <c r="Y1062" s="238" t="s">
        <v>39</v>
      </c>
      <c r="Z1062" s="238" t="s">
        <v>1340</v>
      </c>
      <c r="AA1062" t="s">
        <v>1167</v>
      </c>
      <c r="AB1062" s="238" t="s">
        <v>3246</v>
      </c>
      <c r="AC1062" t="s">
        <v>1167</v>
      </c>
      <c r="AD1062" s="24"/>
      <c r="AE1062" s="238" t="s">
        <v>3205</v>
      </c>
      <c r="AF1062">
        <v>79222555198</v>
      </c>
      <c r="AG1062" s="238" t="s">
        <v>3206</v>
      </c>
      <c r="AH1062" s="238" t="s">
        <v>146</v>
      </c>
      <c r="AI1062" s="238" t="s">
        <v>135</v>
      </c>
      <c r="AJ1062" s="238" t="s">
        <v>130</v>
      </c>
      <c r="AK1062" s="238" t="s">
        <v>1167</v>
      </c>
      <c r="AL1062" t="s">
        <v>8715</v>
      </c>
      <c r="AM1062" t="s">
        <v>1167</v>
      </c>
    </row>
    <row r="1063" spans="1:39" hidden="1" x14ac:dyDescent="0.25">
      <c r="A1063">
        <v>1059</v>
      </c>
      <c r="B1063">
        <v>3</v>
      </c>
      <c r="C1063" s="24">
        <v>44777</v>
      </c>
      <c r="D1063" s="238" t="s">
        <v>91</v>
      </c>
      <c r="E1063" s="238" t="s">
        <v>16</v>
      </c>
      <c r="F1063">
        <v>7</v>
      </c>
      <c r="G1063">
        <v>11</v>
      </c>
      <c r="H1063">
        <v>310</v>
      </c>
      <c r="I1063" s="238" t="s">
        <v>42</v>
      </c>
      <c r="J1063">
        <v>33.840000000000003</v>
      </c>
      <c r="K1063" s="238" t="s">
        <v>36</v>
      </c>
      <c r="L1063">
        <v>2377488</v>
      </c>
      <c r="M1063">
        <v>15000</v>
      </c>
      <c r="N1063">
        <v>2392488</v>
      </c>
      <c r="O1063">
        <v>70700</v>
      </c>
      <c r="P1063">
        <v>0</v>
      </c>
      <c r="Q1063">
        <v>2392488</v>
      </c>
      <c r="R1063">
        <v>70700</v>
      </c>
      <c r="S1063" s="238" t="s">
        <v>137</v>
      </c>
      <c r="T1063" s="238" t="s">
        <v>1167</v>
      </c>
      <c r="V1063" t="s">
        <v>4091</v>
      </c>
      <c r="W1063" s="24">
        <v>44774</v>
      </c>
      <c r="X1063" s="238" t="s">
        <v>3207</v>
      </c>
      <c r="Y1063" s="238" t="s">
        <v>39</v>
      </c>
      <c r="Z1063" s="238" t="s">
        <v>1340</v>
      </c>
      <c r="AA1063" t="s">
        <v>1167</v>
      </c>
      <c r="AB1063" s="238" t="s">
        <v>3246</v>
      </c>
      <c r="AC1063" t="s">
        <v>3079</v>
      </c>
      <c r="AD1063" s="24"/>
      <c r="AE1063" s="238" t="s">
        <v>3208</v>
      </c>
      <c r="AF1063">
        <v>79171133320</v>
      </c>
      <c r="AG1063" s="238" t="s">
        <v>3209</v>
      </c>
      <c r="AH1063" s="238" t="s">
        <v>135</v>
      </c>
      <c r="AI1063" s="238" t="s">
        <v>135</v>
      </c>
      <c r="AJ1063" s="238" t="s">
        <v>399</v>
      </c>
      <c r="AK1063" s="238" t="s">
        <v>141</v>
      </c>
      <c r="AL1063" t="s">
        <v>8715</v>
      </c>
      <c r="AM1063" t="s">
        <v>1167</v>
      </c>
    </row>
    <row r="1064" spans="1:39" hidden="1" x14ac:dyDescent="0.25">
      <c r="A1064">
        <v>1060</v>
      </c>
      <c r="B1064">
        <v>4</v>
      </c>
      <c r="C1064" s="24">
        <v>44778</v>
      </c>
      <c r="D1064" s="238" t="s">
        <v>91</v>
      </c>
      <c r="E1064" s="238" t="s">
        <v>5</v>
      </c>
      <c r="F1064">
        <v>6</v>
      </c>
      <c r="G1064">
        <v>3</v>
      </c>
      <c r="H1064">
        <v>134</v>
      </c>
      <c r="I1064" s="238" t="s">
        <v>42</v>
      </c>
      <c r="J1064">
        <v>36.659999999999997</v>
      </c>
      <c r="K1064" s="238" t="s">
        <v>37</v>
      </c>
      <c r="L1064">
        <v>2925468</v>
      </c>
      <c r="M1064">
        <v>0</v>
      </c>
      <c r="N1064">
        <v>2925468</v>
      </c>
      <c r="O1064">
        <v>79800.000000000015</v>
      </c>
      <c r="P1064">
        <v>256620</v>
      </c>
      <c r="Q1064">
        <v>2668848</v>
      </c>
      <c r="R1064">
        <v>72800</v>
      </c>
      <c r="S1064" s="238" t="s">
        <v>137</v>
      </c>
      <c r="T1064" s="238" t="s">
        <v>1167</v>
      </c>
      <c r="V1064" t="s">
        <v>4092</v>
      </c>
      <c r="W1064" s="24">
        <v>44773</v>
      </c>
      <c r="X1064" s="238" t="s">
        <v>3210</v>
      </c>
      <c r="Y1064" s="238" t="s">
        <v>39</v>
      </c>
      <c r="Z1064" s="238" t="s">
        <v>1340</v>
      </c>
      <c r="AA1064" t="s">
        <v>1167</v>
      </c>
      <c r="AB1064" s="238" t="s">
        <v>3246</v>
      </c>
      <c r="AC1064" t="s">
        <v>3079</v>
      </c>
      <c r="AD1064" s="24"/>
      <c r="AE1064" s="238" t="s">
        <v>3211</v>
      </c>
      <c r="AF1064">
        <v>79196469008</v>
      </c>
      <c r="AG1064" s="238" t="s">
        <v>3212</v>
      </c>
      <c r="AH1064" s="238" t="s">
        <v>1197</v>
      </c>
      <c r="AI1064" s="238" t="s">
        <v>135</v>
      </c>
      <c r="AJ1064" s="238" t="s">
        <v>120</v>
      </c>
      <c r="AK1064" s="238" t="s">
        <v>141</v>
      </c>
      <c r="AL1064" t="s">
        <v>8715</v>
      </c>
      <c r="AM1064" t="s">
        <v>1167</v>
      </c>
    </row>
    <row r="1065" spans="1:39" hidden="1" x14ac:dyDescent="0.25">
      <c r="A1065">
        <v>1061</v>
      </c>
      <c r="B1065">
        <v>5</v>
      </c>
      <c r="C1065" s="24">
        <v>44778</v>
      </c>
      <c r="D1065" s="238" t="s">
        <v>91</v>
      </c>
      <c r="E1065" s="238" t="s">
        <v>16</v>
      </c>
      <c r="F1065">
        <v>7</v>
      </c>
      <c r="G1065">
        <v>14</v>
      </c>
      <c r="H1065">
        <v>331</v>
      </c>
      <c r="I1065" s="238" t="s">
        <v>42</v>
      </c>
      <c r="J1065">
        <v>33.840000000000003</v>
      </c>
      <c r="K1065" s="238" t="s">
        <v>38</v>
      </c>
      <c r="L1065">
        <v>3054288</v>
      </c>
      <c r="M1065">
        <v>15000</v>
      </c>
      <c r="N1065">
        <v>3069288</v>
      </c>
      <c r="O1065">
        <v>90699.999999999985</v>
      </c>
      <c r="P1065">
        <v>676800</v>
      </c>
      <c r="Q1065">
        <v>2392488</v>
      </c>
      <c r="R1065">
        <v>70700</v>
      </c>
      <c r="S1065" s="238" t="s">
        <v>137</v>
      </c>
      <c r="T1065" s="238" t="s">
        <v>1167</v>
      </c>
      <c r="V1065" t="s">
        <v>4091</v>
      </c>
      <c r="W1065" s="24">
        <v>44773</v>
      </c>
      <c r="X1065" s="238" t="s">
        <v>3213</v>
      </c>
      <c r="Y1065" s="238" t="s">
        <v>39</v>
      </c>
      <c r="Z1065" s="238" t="s">
        <v>1340</v>
      </c>
      <c r="AA1065" t="s">
        <v>1167</v>
      </c>
      <c r="AB1065" s="238" t="s">
        <v>3246</v>
      </c>
      <c r="AC1065" t="s">
        <v>3079</v>
      </c>
      <c r="AD1065" s="24"/>
      <c r="AE1065" s="238" t="s">
        <v>3214</v>
      </c>
      <c r="AF1065">
        <v>79371748843</v>
      </c>
      <c r="AG1065" s="238" t="s">
        <v>3215</v>
      </c>
      <c r="AH1065" s="238" t="s">
        <v>1212</v>
      </c>
      <c r="AI1065" s="238" t="s">
        <v>135</v>
      </c>
      <c r="AJ1065" s="238" t="s">
        <v>120</v>
      </c>
      <c r="AK1065" s="238" t="s">
        <v>141</v>
      </c>
      <c r="AL1065" t="s">
        <v>8715</v>
      </c>
      <c r="AM1065" t="s">
        <v>1167</v>
      </c>
    </row>
    <row r="1066" spans="1:39" hidden="1" x14ac:dyDescent="0.25">
      <c r="A1066">
        <v>1062</v>
      </c>
      <c r="B1066">
        <v>6</v>
      </c>
      <c r="C1066" s="24">
        <v>44781</v>
      </c>
      <c r="D1066" s="238" t="s">
        <v>91</v>
      </c>
      <c r="E1066" s="238" t="s">
        <v>6</v>
      </c>
      <c r="F1066">
        <v>8</v>
      </c>
      <c r="G1066">
        <v>3</v>
      </c>
      <c r="H1066">
        <v>16</v>
      </c>
      <c r="I1066" s="238" t="s">
        <v>4052</v>
      </c>
      <c r="J1066">
        <v>21.73</v>
      </c>
      <c r="K1066" s="238" t="s">
        <v>36</v>
      </c>
      <c r="L1066">
        <v>1627788</v>
      </c>
      <c r="M1066">
        <v>15000</v>
      </c>
      <c r="N1066">
        <v>1642788</v>
      </c>
      <c r="O1066">
        <v>75600</v>
      </c>
      <c r="P1066">
        <v>0</v>
      </c>
      <c r="Q1066">
        <v>1642788</v>
      </c>
      <c r="R1066">
        <v>75600</v>
      </c>
      <c r="S1066" s="238" t="s">
        <v>137</v>
      </c>
      <c r="T1066" s="238" t="s">
        <v>1167</v>
      </c>
      <c r="V1066" t="s">
        <v>4091</v>
      </c>
      <c r="W1066" s="24">
        <v>44770</v>
      </c>
      <c r="X1066" s="238" t="s">
        <v>3216</v>
      </c>
      <c r="Y1066" s="238" t="s">
        <v>39</v>
      </c>
      <c r="Z1066" s="238" t="s">
        <v>1340</v>
      </c>
      <c r="AA1066" t="s">
        <v>1167</v>
      </c>
      <c r="AB1066" s="238" t="s">
        <v>3246</v>
      </c>
      <c r="AC1066" t="s">
        <v>3079</v>
      </c>
      <c r="AD1066" s="24"/>
      <c r="AE1066" s="238" t="s">
        <v>3217</v>
      </c>
      <c r="AF1066">
        <v>79871508939</v>
      </c>
      <c r="AG1066" s="238" t="s">
        <v>3218</v>
      </c>
      <c r="AH1066" s="238" t="s">
        <v>1171</v>
      </c>
      <c r="AI1066" s="238" t="s">
        <v>3090</v>
      </c>
      <c r="AJ1066" s="238" t="s">
        <v>130</v>
      </c>
      <c r="AK1066" s="238" t="s">
        <v>141</v>
      </c>
      <c r="AL1066" t="s">
        <v>8715</v>
      </c>
      <c r="AM1066" t="s">
        <v>1167</v>
      </c>
    </row>
    <row r="1067" spans="1:39" hidden="1" x14ac:dyDescent="0.25">
      <c r="A1067">
        <v>1063</v>
      </c>
      <c r="B1067">
        <v>7</v>
      </c>
      <c r="C1067" s="24">
        <v>44781</v>
      </c>
      <c r="D1067" s="238" t="s">
        <v>27</v>
      </c>
      <c r="E1067" s="238" t="s">
        <v>13</v>
      </c>
      <c r="F1067">
        <v>1</v>
      </c>
      <c r="G1067">
        <v>8</v>
      </c>
      <c r="H1067">
        <v>885</v>
      </c>
      <c r="I1067" s="238" t="s">
        <v>42</v>
      </c>
      <c r="J1067">
        <v>37.15</v>
      </c>
      <c r="K1067" s="238" t="s">
        <v>37</v>
      </c>
      <c r="L1067">
        <v>3367987.48</v>
      </c>
      <c r="M1067">
        <v>15000</v>
      </c>
      <c r="N1067">
        <v>3382987.48</v>
      </c>
      <c r="O1067">
        <v>91062.920053835798</v>
      </c>
      <c r="P1067">
        <v>260050</v>
      </c>
      <c r="Q1067">
        <v>3122937.48</v>
      </c>
      <c r="R1067">
        <v>84062.920053835798</v>
      </c>
      <c r="S1067" s="238" t="s">
        <v>137</v>
      </c>
      <c r="T1067" s="238" t="s">
        <v>60</v>
      </c>
      <c r="U1067">
        <v>260050</v>
      </c>
      <c r="V1067" t="s">
        <v>4091</v>
      </c>
      <c r="W1067" s="24">
        <v>44771</v>
      </c>
      <c r="X1067" s="238" t="s">
        <v>3219</v>
      </c>
      <c r="Y1067" s="238" t="s">
        <v>39</v>
      </c>
      <c r="Z1067" s="238" t="s">
        <v>1340</v>
      </c>
      <c r="AA1067" t="s">
        <v>1167</v>
      </c>
      <c r="AB1067" s="238" t="s">
        <v>3246</v>
      </c>
      <c r="AC1067" t="s">
        <v>3079</v>
      </c>
      <c r="AD1067" s="24"/>
      <c r="AE1067" s="238" t="s">
        <v>3220</v>
      </c>
      <c r="AF1067">
        <v>79277029949</v>
      </c>
      <c r="AG1067" s="238" t="s">
        <v>3221</v>
      </c>
      <c r="AH1067" s="238" t="s">
        <v>1212</v>
      </c>
      <c r="AI1067" s="238" t="s">
        <v>135</v>
      </c>
      <c r="AJ1067" s="238" t="s">
        <v>130</v>
      </c>
      <c r="AK1067" s="238" t="s">
        <v>141</v>
      </c>
      <c r="AL1067" t="s">
        <v>8715</v>
      </c>
      <c r="AM1067" t="s">
        <v>1167</v>
      </c>
    </row>
    <row r="1068" spans="1:39" hidden="1" x14ac:dyDescent="0.25">
      <c r="A1068">
        <v>1064</v>
      </c>
      <c r="B1068">
        <v>8</v>
      </c>
      <c r="C1068" s="24">
        <v>44781</v>
      </c>
      <c r="D1068" s="238" t="s">
        <v>91</v>
      </c>
      <c r="E1068" s="238" t="s">
        <v>5</v>
      </c>
      <c r="F1068">
        <v>8</v>
      </c>
      <c r="G1068">
        <v>2</v>
      </c>
      <c r="H1068">
        <v>128</v>
      </c>
      <c r="I1068" s="238" t="s">
        <v>42</v>
      </c>
      <c r="J1068">
        <v>33.79</v>
      </c>
      <c r="K1068" s="238" t="s">
        <v>37</v>
      </c>
      <c r="L1068">
        <v>2595483</v>
      </c>
      <c r="M1068">
        <v>30000</v>
      </c>
      <c r="N1068">
        <v>2625483</v>
      </c>
      <c r="O1068">
        <v>77700</v>
      </c>
      <c r="P1068">
        <v>236530</v>
      </c>
      <c r="Q1068">
        <v>2388953</v>
      </c>
      <c r="R1068">
        <v>70700</v>
      </c>
      <c r="S1068" s="238" t="s">
        <v>137</v>
      </c>
      <c r="T1068" s="238" t="s">
        <v>1167</v>
      </c>
      <c r="V1068" t="s">
        <v>4092</v>
      </c>
      <c r="W1068" s="24">
        <v>44773</v>
      </c>
      <c r="X1068" s="238" t="s">
        <v>3222</v>
      </c>
      <c r="Y1068" s="238" t="s">
        <v>39</v>
      </c>
      <c r="Z1068" s="238" t="s">
        <v>1340</v>
      </c>
      <c r="AA1068" t="s">
        <v>1167</v>
      </c>
      <c r="AB1068" s="238" t="s">
        <v>3246</v>
      </c>
      <c r="AC1068" t="s">
        <v>3079</v>
      </c>
      <c r="AD1068" s="24"/>
      <c r="AE1068" s="238" t="s">
        <v>3211</v>
      </c>
      <c r="AF1068">
        <v>79196469008</v>
      </c>
      <c r="AG1068" s="238" t="s">
        <v>3212</v>
      </c>
      <c r="AH1068" s="238" t="s">
        <v>1171</v>
      </c>
      <c r="AI1068" s="238" t="s">
        <v>135</v>
      </c>
      <c r="AJ1068" s="238" t="s">
        <v>120</v>
      </c>
      <c r="AK1068" s="238" t="s">
        <v>141</v>
      </c>
      <c r="AL1068" t="s">
        <v>8715</v>
      </c>
      <c r="AM1068" t="s">
        <v>1167</v>
      </c>
    </row>
    <row r="1069" spans="1:39" hidden="1" x14ac:dyDescent="0.25">
      <c r="A1069">
        <v>1065</v>
      </c>
      <c r="B1069">
        <v>9</v>
      </c>
      <c r="C1069" s="24">
        <v>44783</v>
      </c>
      <c r="D1069" s="238" t="s">
        <v>91</v>
      </c>
      <c r="E1069" s="238" t="s">
        <v>6</v>
      </c>
      <c r="F1069">
        <v>7</v>
      </c>
      <c r="G1069">
        <v>13</v>
      </c>
      <c r="H1069">
        <v>95</v>
      </c>
      <c r="I1069" s="238" t="s">
        <v>4052</v>
      </c>
      <c r="J1069">
        <v>21.75</v>
      </c>
      <c r="K1069" s="238" t="s">
        <v>37</v>
      </c>
      <c r="L1069">
        <v>1792425</v>
      </c>
      <c r="M1069">
        <v>15000</v>
      </c>
      <c r="N1069">
        <v>1807425</v>
      </c>
      <c r="O1069">
        <v>83100</v>
      </c>
      <c r="P1069">
        <v>163125</v>
      </c>
      <c r="Q1069">
        <v>1644300</v>
      </c>
      <c r="R1069">
        <v>75600</v>
      </c>
      <c r="S1069" s="238" t="s">
        <v>121</v>
      </c>
      <c r="T1069" s="238" t="s">
        <v>1167</v>
      </c>
      <c r="V1069" t="s">
        <v>1167</v>
      </c>
      <c r="W1069" s="24">
        <v>44773</v>
      </c>
      <c r="X1069" s="238" t="s">
        <v>3223</v>
      </c>
      <c r="Y1069" s="238" t="s">
        <v>39</v>
      </c>
      <c r="Z1069" s="238" t="s">
        <v>1168</v>
      </c>
      <c r="AA1069" t="s">
        <v>1167</v>
      </c>
      <c r="AB1069" s="238" t="s">
        <v>3246</v>
      </c>
      <c r="AC1069" t="s">
        <v>1167</v>
      </c>
      <c r="AD1069" s="24"/>
      <c r="AE1069" s="238" t="s">
        <v>1899</v>
      </c>
      <c r="AF1069">
        <v>79228129111</v>
      </c>
      <c r="AG1069" s="238" t="s">
        <v>7792</v>
      </c>
      <c r="AH1069" s="238" t="s">
        <v>1171</v>
      </c>
      <c r="AI1069" s="238" t="s">
        <v>3096</v>
      </c>
      <c r="AJ1069" s="238" t="s">
        <v>399</v>
      </c>
      <c r="AK1069" s="238" t="s">
        <v>1167</v>
      </c>
      <c r="AL1069" t="s">
        <v>8715</v>
      </c>
      <c r="AM1069" t="s">
        <v>1167</v>
      </c>
    </row>
    <row r="1070" spans="1:39" hidden="1" x14ac:dyDescent="0.25">
      <c r="A1070">
        <v>1066</v>
      </c>
      <c r="B1070">
        <v>10</v>
      </c>
      <c r="C1070" s="24">
        <v>44784</v>
      </c>
      <c r="D1070" s="238" t="s">
        <v>91</v>
      </c>
      <c r="E1070" s="238" t="s">
        <v>16</v>
      </c>
      <c r="F1070">
        <v>7</v>
      </c>
      <c r="G1070">
        <v>16</v>
      </c>
      <c r="H1070">
        <v>345</v>
      </c>
      <c r="I1070" s="238" t="s">
        <v>42</v>
      </c>
      <c r="J1070">
        <v>33.840000000000003</v>
      </c>
      <c r="K1070" s="238" t="s">
        <v>36</v>
      </c>
      <c r="L1070">
        <v>2377488</v>
      </c>
      <c r="M1070">
        <v>15000</v>
      </c>
      <c r="N1070">
        <v>2392488</v>
      </c>
      <c r="O1070">
        <v>70700</v>
      </c>
      <c r="P1070">
        <v>0</v>
      </c>
      <c r="Q1070">
        <v>2392488</v>
      </c>
      <c r="R1070">
        <v>70700</v>
      </c>
      <c r="S1070" s="238" t="s">
        <v>124</v>
      </c>
      <c r="T1070" s="238" t="s">
        <v>1167</v>
      </c>
      <c r="V1070" t="s">
        <v>1167</v>
      </c>
      <c r="W1070" s="24">
        <v>44773</v>
      </c>
      <c r="X1070" s="238" t="s">
        <v>3224</v>
      </c>
      <c r="Y1070" s="238" t="s">
        <v>39</v>
      </c>
      <c r="Z1070" s="238" t="s">
        <v>1168</v>
      </c>
      <c r="AA1070" t="s">
        <v>1167</v>
      </c>
      <c r="AB1070" s="238" t="s">
        <v>3246</v>
      </c>
      <c r="AC1070" t="s">
        <v>1167</v>
      </c>
      <c r="AD1070" s="24"/>
      <c r="AE1070" s="238" t="s">
        <v>3225</v>
      </c>
      <c r="AF1070">
        <v>79271436528</v>
      </c>
      <c r="AG1070" s="238" t="s">
        <v>3226</v>
      </c>
      <c r="AH1070" s="238" t="s">
        <v>1212</v>
      </c>
      <c r="AI1070" s="238" t="s">
        <v>3084</v>
      </c>
      <c r="AJ1070" s="238" t="s">
        <v>399</v>
      </c>
      <c r="AK1070" s="238" t="s">
        <v>1167</v>
      </c>
      <c r="AL1070" t="s">
        <v>8715</v>
      </c>
      <c r="AM1070" t="s">
        <v>1167</v>
      </c>
    </row>
    <row r="1071" spans="1:39" hidden="1" x14ac:dyDescent="0.25">
      <c r="A1071">
        <v>1067</v>
      </c>
      <c r="B1071">
        <v>11</v>
      </c>
      <c r="C1071" s="24">
        <v>44784</v>
      </c>
      <c r="D1071" s="238" t="s">
        <v>91</v>
      </c>
      <c r="E1071" s="238" t="s">
        <v>16</v>
      </c>
      <c r="F1071">
        <v>7</v>
      </c>
      <c r="G1071">
        <v>8</v>
      </c>
      <c r="H1071">
        <v>289</v>
      </c>
      <c r="I1071" s="238" t="s">
        <v>42</v>
      </c>
      <c r="J1071">
        <v>33.840000000000003</v>
      </c>
      <c r="K1071" s="238" t="s">
        <v>36</v>
      </c>
      <c r="L1071">
        <v>2512112.4</v>
      </c>
      <c r="M1071">
        <v>0</v>
      </c>
      <c r="N1071">
        <v>2512112.4</v>
      </c>
      <c r="O1071">
        <v>74234.999999999985</v>
      </c>
      <c r="P1071">
        <v>0</v>
      </c>
      <c r="Q1071">
        <v>2512112.4</v>
      </c>
      <c r="R1071">
        <v>74234.999999999985</v>
      </c>
      <c r="S1071" s="238" t="s">
        <v>137</v>
      </c>
      <c r="T1071" s="238" t="s">
        <v>1167</v>
      </c>
      <c r="V1071" t="s">
        <v>4091</v>
      </c>
      <c r="W1071" s="24">
        <v>44779</v>
      </c>
      <c r="X1071" s="238" t="s">
        <v>3227</v>
      </c>
      <c r="Y1071" s="238" t="s">
        <v>39</v>
      </c>
      <c r="Z1071" s="238" t="s">
        <v>1340</v>
      </c>
      <c r="AA1071" t="s">
        <v>1167</v>
      </c>
      <c r="AB1071" s="238" t="s">
        <v>3246</v>
      </c>
      <c r="AC1071" t="s">
        <v>3079</v>
      </c>
      <c r="AD1071" s="24"/>
      <c r="AE1071" s="238" t="s">
        <v>3228</v>
      </c>
      <c r="AF1071">
        <v>79179501367</v>
      </c>
      <c r="AG1071" s="238" t="s">
        <v>3229</v>
      </c>
      <c r="AH1071" s="238" t="s">
        <v>146</v>
      </c>
      <c r="AI1071" s="238" t="s">
        <v>135</v>
      </c>
      <c r="AJ1071" s="238" t="s">
        <v>120</v>
      </c>
      <c r="AK1071" s="238" t="s">
        <v>141</v>
      </c>
      <c r="AL1071" t="s">
        <v>8715</v>
      </c>
      <c r="AM1071" t="s">
        <v>1167</v>
      </c>
    </row>
    <row r="1072" spans="1:39" hidden="1" x14ac:dyDescent="0.25">
      <c r="A1072">
        <v>1068</v>
      </c>
      <c r="B1072">
        <v>12</v>
      </c>
      <c r="C1072" s="24">
        <v>44785</v>
      </c>
      <c r="D1072" s="238" t="s">
        <v>91</v>
      </c>
      <c r="E1072" s="238" t="s">
        <v>5</v>
      </c>
      <c r="F1072">
        <v>3</v>
      </c>
      <c r="G1072">
        <v>6</v>
      </c>
      <c r="H1072">
        <v>155</v>
      </c>
      <c r="I1072" s="238" t="s">
        <v>42</v>
      </c>
      <c r="J1072">
        <v>35.380000000000003</v>
      </c>
      <c r="K1072" s="238" t="s">
        <v>36</v>
      </c>
      <c r="L1072">
        <v>2663442.9</v>
      </c>
      <c r="M1072">
        <v>15000</v>
      </c>
      <c r="N1072">
        <v>2678442.9</v>
      </c>
      <c r="O1072">
        <v>75704.999999999985</v>
      </c>
      <c r="P1072">
        <v>0</v>
      </c>
      <c r="Q1072">
        <v>2678442.9</v>
      </c>
      <c r="R1072">
        <v>75704.999999999985</v>
      </c>
      <c r="S1072" s="238" t="s">
        <v>124</v>
      </c>
      <c r="T1072" s="238" t="s">
        <v>1167</v>
      </c>
      <c r="V1072" t="s">
        <v>1167</v>
      </c>
      <c r="W1072" s="24">
        <v>44778</v>
      </c>
      <c r="X1072" s="238" t="s">
        <v>3230</v>
      </c>
      <c r="Y1072" s="238" t="s">
        <v>39</v>
      </c>
      <c r="Z1072" s="238" t="s">
        <v>1168</v>
      </c>
      <c r="AA1072" t="s">
        <v>1167</v>
      </c>
      <c r="AB1072" s="238" t="s">
        <v>3246</v>
      </c>
      <c r="AC1072" t="s">
        <v>1167</v>
      </c>
      <c r="AD1072" s="24">
        <v>45352</v>
      </c>
      <c r="AE1072" s="238" t="s">
        <v>7722</v>
      </c>
      <c r="AF1072">
        <v>79656666762</v>
      </c>
      <c r="AG1072" s="238" t="s">
        <v>7723</v>
      </c>
      <c r="AH1072" s="238" t="s">
        <v>1171</v>
      </c>
      <c r="AI1072" s="238" t="s">
        <v>6406</v>
      </c>
      <c r="AJ1072" s="238" t="s">
        <v>399</v>
      </c>
      <c r="AK1072" s="238" t="s">
        <v>1167</v>
      </c>
      <c r="AL1072" t="s">
        <v>57</v>
      </c>
      <c r="AM1072" t="s">
        <v>1167</v>
      </c>
    </row>
    <row r="1073" spans="1:39" hidden="1" x14ac:dyDescent="0.25">
      <c r="A1073">
        <v>1069</v>
      </c>
      <c r="B1073">
        <v>13</v>
      </c>
      <c r="C1073" s="24">
        <v>44785</v>
      </c>
      <c r="D1073" s="238" t="s">
        <v>91</v>
      </c>
      <c r="E1073" s="238" t="s">
        <v>6</v>
      </c>
      <c r="F1073">
        <v>8</v>
      </c>
      <c r="G1073">
        <v>4</v>
      </c>
      <c r="H1073">
        <v>24</v>
      </c>
      <c r="I1073" s="238" t="s">
        <v>4052</v>
      </c>
      <c r="J1073">
        <v>21.73</v>
      </c>
      <c r="K1073" s="238" t="s">
        <v>37</v>
      </c>
      <c r="L1073">
        <v>1872902.4</v>
      </c>
      <c r="M1073">
        <v>15000</v>
      </c>
      <c r="N1073">
        <v>1887902.4</v>
      </c>
      <c r="O1073">
        <v>86880</v>
      </c>
      <c r="P1073">
        <v>162974.99999999977</v>
      </c>
      <c r="Q1073">
        <v>1724927.4000000001</v>
      </c>
      <c r="R1073">
        <v>79380</v>
      </c>
      <c r="S1073" s="238" t="s">
        <v>137</v>
      </c>
      <c r="T1073" s="238" t="s">
        <v>1167</v>
      </c>
      <c r="V1073" t="s">
        <v>4091</v>
      </c>
      <c r="W1073" s="24">
        <v>44781</v>
      </c>
      <c r="X1073" s="238" t="s">
        <v>3231</v>
      </c>
      <c r="Y1073" s="238" t="s">
        <v>39</v>
      </c>
      <c r="Z1073" s="238" t="s">
        <v>1340</v>
      </c>
      <c r="AA1073" t="s">
        <v>1167</v>
      </c>
      <c r="AB1073" s="238" t="s">
        <v>3246</v>
      </c>
      <c r="AC1073" t="s">
        <v>3079</v>
      </c>
      <c r="AD1073" s="24"/>
      <c r="AE1073" s="238" t="s">
        <v>3232</v>
      </c>
      <c r="AF1073">
        <v>79270017633</v>
      </c>
      <c r="AG1073" s="238" t="s">
        <v>3233</v>
      </c>
      <c r="AH1073" s="238" t="s">
        <v>1171</v>
      </c>
      <c r="AI1073" s="238" t="s">
        <v>135</v>
      </c>
      <c r="AJ1073" s="238" t="s">
        <v>399</v>
      </c>
      <c r="AK1073" s="238" t="s">
        <v>141</v>
      </c>
      <c r="AL1073" t="s">
        <v>8715</v>
      </c>
      <c r="AM1073" t="s">
        <v>1167</v>
      </c>
    </row>
    <row r="1074" spans="1:39" hidden="1" x14ac:dyDescent="0.25">
      <c r="A1074">
        <v>1070</v>
      </c>
      <c r="B1074">
        <v>14</v>
      </c>
      <c r="C1074" s="24">
        <v>44788</v>
      </c>
      <c r="D1074" s="238" t="s">
        <v>91</v>
      </c>
      <c r="E1074" s="238" t="s">
        <v>5</v>
      </c>
      <c r="F1074">
        <v>1</v>
      </c>
      <c r="G1074">
        <v>4</v>
      </c>
      <c r="H1074">
        <v>137</v>
      </c>
      <c r="I1074" s="238" t="s">
        <v>4052</v>
      </c>
      <c r="J1074">
        <v>28.97</v>
      </c>
      <c r="K1074" s="238" t="s">
        <v>36</v>
      </c>
      <c r="L1074">
        <v>2175132</v>
      </c>
      <c r="M1074">
        <v>15000</v>
      </c>
      <c r="N1074">
        <v>2190132</v>
      </c>
      <c r="O1074">
        <v>75600</v>
      </c>
      <c r="P1074">
        <v>0</v>
      </c>
      <c r="Q1074">
        <v>2190132</v>
      </c>
      <c r="R1074">
        <v>75600</v>
      </c>
      <c r="S1074" s="238" t="s">
        <v>124</v>
      </c>
      <c r="T1074" s="238" t="s">
        <v>1167</v>
      </c>
      <c r="V1074" t="s">
        <v>1167</v>
      </c>
      <c r="W1074" s="24">
        <v>44773</v>
      </c>
      <c r="X1074" s="238" t="s">
        <v>3234</v>
      </c>
      <c r="Y1074" s="238" t="s">
        <v>39</v>
      </c>
      <c r="Z1074" s="238" t="s">
        <v>1168</v>
      </c>
      <c r="AA1074" t="s">
        <v>1167</v>
      </c>
      <c r="AB1074" s="238" t="s">
        <v>3246</v>
      </c>
      <c r="AC1074" t="s">
        <v>1167</v>
      </c>
      <c r="AD1074" s="24"/>
      <c r="AE1074" s="238" t="s">
        <v>3235</v>
      </c>
      <c r="AF1074">
        <v>79276919364</v>
      </c>
      <c r="AG1074" s="238" t="s">
        <v>3236</v>
      </c>
      <c r="AH1074" s="238" t="s">
        <v>1171</v>
      </c>
      <c r="AI1074" s="238" t="s">
        <v>3074</v>
      </c>
      <c r="AJ1074" s="238" t="s">
        <v>120</v>
      </c>
      <c r="AK1074" s="238" t="s">
        <v>1167</v>
      </c>
      <c r="AL1074" t="s">
        <v>8715</v>
      </c>
      <c r="AM1074" t="s">
        <v>1167</v>
      </c>
    </row>
    <row r="1075" spans="1:39" hidden="1" x14ac:dyDescent="0.25">
      <c r="A1075">
        <v>1071</v>
      </c>
      <c r="B1075">
        <v>15</v>
      </c>
      <c r="C1075" s="24">
        <v>44788</v>
      </c>
      <c r="D1075" s="238" t="s">
        <v>91</v>
      </c>
      <c r="E1075" s="238" t="s">
        <v>16</v>
      </c>
      <c r="F1075">
        <v>7</v>
      </c>
      <c r="G1075">
        <v>5</v>
      </c>
      <c r="H1075">
        <v>268</v>
      </c>
      <c r="I1075" s="238" t="s">
        <v>42</v>
      </c>
      <c r="J1075">
        <v>33.840000000000003</v>
      </c>
      <c r="K1075" s="238" t="s">
        <v>37</v>
      </c>
      <c r="L1075">
        <v>2765912.4</v>
      </c>
      <c r="M1075">
        <v>0</v>
      </c>
      <c r="N1075">
        <v>2765912.4</v>
      </c>
      <c r="O1075">
        <v>81734.999999999985</v>
      </c>
      <c r="P1075">
        <v>253799.99999999953</v>
      </c>
      <c r="Q1075">
        <v>2512112.4000000004</v>
      </c>
      <c r="R1075">
        <v>74235</v>
      </c>
      <c r="S1075" s="238" t="s">
        <v>137</v>
      </c>
      <c r="T1075" s="238" t="s">
        <v>1167</v>
      </c>
      <c r="V1075" t="s">
        <v>4091</v>
      </c>
      <c r="W1075" s="24">
        <v>44779</v>
      </c>
      <c r="X1075" s="238" t="s">
        <v>3237</v>
      </c>
      <c r="Y1075" s="238" t="s">
        <v>39</v>
      </c>
      <c r="Z1075" s="238" t="s">
        <v>1340</v>
      </c>
      <c r="AA1075" t="s">
        <v>1167</v>
      </c>
      <c r="AB1075" s="238" t="s">
        <v>3246</v>
      </c>
      <c r="AC1075" t="s">
        <v>3079</v>
      </c>
      <c r="AD1075" s="24"/>
      <c r="AE1075" s="238" t="s">
        <v>3238</v>
      </c>
      <c r="AF1075">
        <v>79277278681</v>
      </c>
      <c r="AG1075" s="238" t="s">
        <v>3239</v>
      </c>
      <c r="AH1075" s="238" t="s">
        <v>1212</v>
      </c>
      <c r="AI1075" s="238" t="s">
        <v>3090</v>
      </c>
      <c r="AJ1075" s="238" t="s">
        <v>120</v>
      </c>
      <c r="AK1075" s="238" t="s">
        <v>141</v>
      </c>
      <c r="AL1075" t="s">
        <v>8715</v>
      </c>
      <c r="AM1075" t="s">
        <v>1167</v>
      </c>
    </row>
    <row r="1076" spans="1:39" hidden="1" x14ac:dyDescent="0.25">
      <c r="A1076">
        <v>1072</v>
      </c>
      <c r="B1076">
        <v>16</v>
      </c>
      <c r="C1076" s="24">
        <v>44788</v>
      </c>
      <c r="D1076" s="238" t="s">
        <v>91</v>
      </c>
      <c r="E1076" s="238" t="s">
        <v>5</v>
      </c>
      <c r="F1076">
        <v>1</v>
      </c>
      <c r="G1076">
        <v>5</v>
      </c>
      <c r="H1076">
        <v>145</v>
      </c>
      <c r="I1076" s="238" t="s">
        <v>4052</v>
      </c>
      <c r="J1076">
        <v>28.97</v>
      </c>
      <c r="K1076" s="238" t="s">
        <v>37</v>
      </c>
      <c r="L1076">
        <v>2516913.6</v>
      </c>
      <c r="M1076">
        <v>0</v>
      </c>
      <c r="N1076">
        <v>2516913.6</v>
      </c>
      <c r="O1076">
        <v>86880</v>
      </c>
      <c r="P1076">
        <v>217275</v>
      </c>
      <c r="Q1076">
        <v>2299638.6</v>
      </c>
      <c r="R1076">
        <v>79380</v>
      </c>
      <c r="S1076" s="238" t="s">
        <v>137</v>
      </c>
      <c r="T1076" s="238" t="s">
        <v>1167</v>
      </c>
      <c r="V1076" t="s">
        <v>4091</v>
      </c>
      <c r="W1076" s="24">
        <v>44783</v>
      </c>
      <c r="X1076" s="238" t="s">
        <v>3240</v>
      </c>
      <c r="Y1076" s="238" t="s">
        <v>39</v>
      </c>
      <c r="Z1076" s="238" t="s">
        <v>1340</v>
      </c>
      <c r="AA1076" t="s">
        <v>1167</v>
      </c>
      <c r="AB1076" s="238" t="s">
        <v>3246</v>
      </c>
      <c r="AC1076" t="s">
        <v>3079</v>
      </c>
      <c r="AD1076" s="24"/>
      <c r="AE1076" s="238" t="s">
        <v>3241</v>
      </c>
      <c r="AF1076">
        <v>79879056789</v>
      </c>
      <c r="AG1076" s="238" t="s">
        <v>3242</v>
      </c>
      <c r="AH1076" s="238" t="s">
        <v>1171</v>
      </c>
      <c r="AI1076" s="238" t="s">
        <v>3074</v>
      </c>
      <c r="AJ1076" s="238" t="s">
        <v>120</v>
      </c>
      <c r="AK1076" s="238" t="s">
        <v>141</v>
      </c>
      <c r="AL1076" t="s">
        <v>8715</v>
      </c>
      <c r="AM1076" t="s">
        <v>1167</v>
      </c>
    </row>
    <row r="1077" spans="1:39" hidden="1" x14ac:dyDescent="0.25">
      <c r="A1077">
        <v>1073</v>
      </c>
      <c r="B1077">
        <v>17</v>
      </c>
      <c r="C1077" s="24">
        <v>44789</v>
      </c>
      <c r="D1077" s="238" t="s">
        <v>91</v>
      </c>
      <c r="E1077" s="238" t="s">
        <v>6</v>
      </c>
      <c r="F1077">
        <v>8</v>
      </c>
      <c r="G1077">
        <v>2</v>
      </c>
      <c r="H1077">
        <v>8</v>
      </c>
      <c r="I1077" s="238" t="s">
        <v>4052</v>
      </c>
      <c r="J1077">
        <v>21.73</v>
      </c>
      <c r="K1077" s="238" t="s">
        <v>37</v>
      </c>
      <c r="L1077">
        <v>1887902.4</v>
      </c>
      <c r="M1077">
        <v>0</v>
      </c>
      <c r="N1077">
        <v>1887902.4</v>
      </c>
      <c r="O1077">
        <v>86880</v>
      </c>
      <c r="P1077">
        <v>162974.99999999977</v>
      </c>
      <c r="Q1077">
        <v>1724927.4000000001</v>
      </c>
      <c r="R1077">
        <v>79380</v>
      </c>
      <c r="S1077" s="238" t="s">
        <v>137</v>
      </c>
      <c r="T1077" s="238" t="s">
        <v>1167</v>
      </c>
      <c r="V1077" t="s">
        <v>4091</v>
      </c>
      <c r="W1077" s="24">
        <v>44783</v>
      </c>
      <c r="X1077" s="238" t="s">
        <v>3243</v>
      </c>
      <c r="Y1077" s="238" t="s">
        <v>39</v>
      </c>
      <c r="Z1077" s="238" t="s">
        <v>1340</v>
      </c>
      <c r="AA1077" t="s">
        <v>1167</v>
      </c>
      <c r="AB1077" s="238" t="s">
        <v>3246</v>
      </c>
      <c r="AC1077" t="s">
        <v>3079</v>
      </c>
      <c r="AD1077" s="24"/>
      <c r="AE1077" s="238" t="s">
        <v>2678</v>
      </c>
      <c r="AF1077">
        <v>79270121103</v>
      </c>
      <c r="AG1077" s="238" t="s">
        <v>3244</v>
      </c>
      <c r="AH1077" s="238" t="s">
        <v>1212</v>
      </c>
      <c r="AI1077" s="238" t="s">
        <v>3084</v>
      </c>
      <c r="AJ1077" s="238" t="s">
        <v>120</v>
      </c>
      <c r="AK1077" s="238" t="s">
        <v>141</v>
      </c>
      <c r="AL1077" t="s">
        <v>8715</v>
      </c>
      <c r="AM1077" t="s">
        <v>1167</v>
      </c>
    </row>
    <row r="1078" spans="1:39" hidden="1" x14ac:dyDescent="0.25">
      <c r="A1078">
        <v>1074</v>
      </c>
      <c r="B1078">
        <v>18</v>
      </c>
      <c r="C1078" s="24">
        <v>44791</v>
      </c>
      <c r="D1078" s="238" t="s">
        <v>91</v>
      </c>
      <c r="E1078" s="238" t="s">
        <v>16</v>
      </c>
      <c r="F1078">
        <v>7</v>
      </c>
      <c r="G1078">
        <v>9</v>
      </c>
      <c r="H1078">
        <v>296</v>
      </c>
      <c r="I1078" s="238" t="s">
        <v>42</v>
      </c>
      <c r="J1078">
        <v>33.840000000000003</v>
      </c>
      <c r="K1078" s="238" t="s">
        <v>36</v>
      </c>
      <c r="L1078">
        <v>2512112.4</v>
      </c>
      <c r="M1078">
        <v>0</v>
      </c>
      <c r="N1078">
        <v>2512112.4</v>
      </c>
      <c r="O1078">
        <v>74234.999999999985</v>
      </c>
      <c r="P1078">
        <v>0</v>
      </c>
      <c r="Q1078">
        <v>2512112.4</v>
      </c>
      <c r="R1078">
        <v>74234.999999999985</v>
      </c>
      <c r="S1078" s="238" t="s">
        <v>137</v>
      </c>
      <c r="T1078" s="238" t="s">
        <v>1167</v>
      </c>
      <c r="V1078" t="s">
        <v>4091</v>
      </c>
      <c r="W1078" s="24">
        <v>44776</v>
      </c>
      <c r="X1078" s="238" t="s">
        <v>3250</v>
      </c>
      <c r="Y1078" s="238" t="s">
        <v>39</v>
      </c>
      <c r="Z1078" s="238" t="s">
        <v>1340</v>
      </c>
      <c r="AA1078" t="s">
        <v>1167</v>
      </c>
      <c r="AB1078" s="238" t="s">
        <v>3246</v>
      </c>
      <c r="AC1078" t="s">
        <v>3079</v>
      </c>
      <c r="AD1078" s="24"/>
      <c r="AE1078" s="238" t="s">
        <v>3251</v>
      </c>
      <c r="AF1078">
        <v>79019435364</v>
      </c>
      <c r="AG1078" s="238" t="s">
        <v>3252</v>
      </c>
      <c r="AH1078" s="238" t="s">
        <v>146</v>
      </c>
      <c r="AI1078" s="238" t="s">
        <v>135</v>
      </c>
      <c r="AJ1078" s="238" t="s">
        <v>399</v>
      </c>
      <c r="AK1078" s="238" t="s">
        <v>141</v>
      </c>
      <c r="AL1078" t="s">
        <v>8715</v>
      </c>
      <c r="AM1078" t="s">
        <v>1167</v>
      </c>
    </row>
    <row r="1079" spans="1:39" hidden="1" x14ac:dyDescent="0.25">
      <c r="A1079">
        <v>1075</v>
      </c>
      <c r="B1079">
        <v>19</v>
      </c>
      <c r="C1079" s="24">
        <v>44791</v>
      </c>
      <c r="D1079" s="238" t="s">
        <v>91</v>
      </c>
      <c r="E1079" s="238" t="s">
        <v>16</v>
      </c>
      <c r="F1079">
        <v>4</v>
      </c>
      <c r="G1079">
        <v>17</v>
      </c>
      <c r="H1079">
        <v>349</v>
      </c>
      <c r="I1079" s="238" t="s">
        <v>43</v>
      </c>
      <c r="J1079">
        <v>58.55</v>
      </c>
      <c r="K1079" s="238" t="s">
        <v>37</v>
      </c>
      <c r="L1079">
        <v>4643891.42</v>
      </c>
      <c r="M1079">
        <v>15000</v>
      </c>
      <c r="N1079">
        <v>4658891.42</v>
      </c>
      <c r="O1079">
        <v>79571.160034158835</v>
      </c>
      <c r="P1079">
        <v>439125.00000000186</v>
      </c>
      <c r="Q1079">
        <v>4219766.4199999981</v>
      </c>
      <c r="R1079">
        <v>72071.160034158806</v>
      </c>
      <c r="S1079" s="238" t="s">
        <v>124</v>
      </c>
      <c r="T1079" s="238" t="s">
        <v>1167</v>
      </c>
      <c r="V1079" t="s">
        <v>1167</v>
      </c>
      <c r="W1079" s="24">
        <v>44778</v>
      </c>
      <c r="X1079" s="238" t="s">
        <v>3253</v>
      </c>
      <c r="Y1079" s="238" t="s">
        <v>39</v>
      </c>
      <c r="Z1079" s="238" t="s">
        <v>1340</v>
      </c>
      <c r="AA1079" t="s">
        <v>3113</v>
      </c>
      <c r="AB1079" s="238" t="s">
        <v>3246</v>
      </c>
      <c r="AC1079" t="s">
        <v>1167</v>
      </c>
      <c r="AD1079" s="24"/>
      <c r="AE1079" s="238" t="s">
        <v>3254</v>
      </c>
      <c r="AF1079">
        <v>79879429502</v>
      </c>
      <c r="AG1079" s="238" t="s">
        <v>3255</v>
      </c>
      <c r="AH1079" s="238" t="s">
        <v>1171</v>
      </c>
      <c r="AI1079" s="238" t="s">
        <v>6406</v>
      </c>
      <c r="AJ1079" s="238" t="s">
        <v>399</v>
      </c>
      <c r="AK1079" s="238" t="s">
        <v>1167</v>
      </c>
      <c r="AL1079" t="s">
        <v>57</v>
      </c>
      <c r="AM1079" t="s">
        <v>1167</v>
      </c>
    </row>
    <row r="1080" spans="1:39" hidden="1" x14ac:dyDescent="0.25">
      <c r="A1080">
        <v>1076</v>
      </c>
      <c r="B1080">
        <v>20</v>
      </c>
      <c r="C1080" s="24">
        <v>44781</v>
      </c>
      <c r="D1080" s="238" t="s">
        <v>19</v>
      </c>
      <c r="E1080" s="238" t="s">
        <v>5</v>
      </c>
      <c r="F1080">
        <v>1</v>
      </c>
      <c r="G1080">
        <v>7</v>
      </c>
      <c r="H1080">
        <v>217</v>
      </c>
      <c r="I1080" s="238" t="s">
        <v>42</v>
      </c>
      <c r="J1080">
        <v>39.799999999999997</v>
      </c>
      <c r="K1080" s="238" t="s">
        <v>38</v>
      </c>
      <c r="L1080">
        <v>2918400</v>
      </c>
      <c r="M1080">
        <v>0</v>
      </c>
      <c r="N1080">
        <v>2918400</v>
      </c>
      <c r="O1080">
        <v>73326.633165829146</v>
      </c>
      <c r="P1080">
        <v>0</v>
      </c>
      <c r="Q1080">
        <v>2918400</v>
      </c>
      <c r="R1080">
        <v>73326.633165829146</v>
      </c>
      <c r="S1080" s="238" t="s">
        <v>124</v>
      </c>
      <c r="T1080" s="238" t="s">
        <v>1167</v>
      </c>
      <c r="V1080" t="s">
        <v>1167</v>
      </c>
      <c r="W1080" s="24">
        <v>44775</v>
      </c>
      <c r="X1080" s="238" t="s">
        <v>3256</v>
      </c>
      <c r="Y1080" s="238" t="s">
        <v>3247</v>
      </c>
      <c r="Z1080" s="238" t="s">
        <v>1340</v>
      </c>
      <c r="AA1080" t="s">
        <v>1167</v>
      </c>
      <c r="AB1080" s="238" t="s">
        <v>3124</v>
      </c>
      <c r="AC1080" t="s">
        <v>1167</v>
      </c>
      <c r="AD1080" s="24"/>
      <c r="AE1080" s="238" t="s">
        <v>3248</v>
      </c>
      <c r="AG1080" s="238" t="s">
        <v>1167</v>
      </c>
      <c r="AH1080" s="238" t="s">
        <v>1167</v>
      </c>
      <c r="AI1080" s="238" t="s">
        <v>5050</v>
      </c>
      <c r="AJ1080" s="238" t="s">
        <v>982</v>
      </c>
      <c r="AK1080" s="238" t="s">
        <v>1167</v>
      </c>
      <c r="AL1080" t="s">
        <v>8715</v>
      </c>
      <c r="AM1080" t="s">
        <v>1167</v>
      </c>
    </row>
    <row r="1081" spans="1:39" hidden="1" x14ac:dyDescent="0.25">
      <c r="A1081">
        <v>1077</v>
      </c>
      <c r="B1081">
        <v>21</v>
      </c>
      <c r="C1081" s="24">
        <v>44781</v>
      </c>
      <c r="D1081" s="238" t="s">
        <v>27</v>
      </c>
      <c r="E1081" s="238" t="s">
        <v>6</v>
      </c>
      <c r="F1081">
        <v>6</v>
      </c>
      <c r="G1081">
        <v>2</v>
      </c>
      <c r="H1081">
        <v>1</v>
      </c>
      <c r="I1081" s="238" t="s">
        <v>44</v>
      </c>
      <c r="J1081">
        <v>82.71</v>
      </c>
      <c r="K1081" s="238" t="s">
        <v>38</v>
      </c>
      <c r="L1081">
        <v>6012750</v>
      </c>
      <c r="M1081">
        <v>0</v>
      </c>
      <c r="N1081">
        <v>6012750</v>
      </c>
      <c r="O1081">
        <v>72696.771853463913</v>
      </c>
      <c r="P1081">
        <v>0</v>
      </c>
      <c r="Q1081">
        <v>6012750</v>
      </c>
      <c r="R1081">
        <v>72696.771853463913</v>
      </c>
      <c r="S1081" s="238" t="s">
        <v>124</v>
      </c>
      <c r="T1081" s="238" t="s">
        <v>1167</v>
      </c>
      <c r="V1081" t="s">
        <v>1167</v>
      </c>
      <c r="W1081" s="24">
        <v>44775</v>
      </c>
      <c r="X1081" s="238" t="s">
        <v>3257</v>
      </c>
      <c r="Y1081" s="238" t="s">
        <v>3247</v>
      </c>
      <c r="Z1081" s="238" t="s">
        <v>1340</v>
      </c>
      <c r="AA1081" t="s">
        <v>1167</v>
      </c>
      <c r="AB1081" s="238" t="s">
        <v>3246</v>
      </c>
      <c r="AC1081" t="s">
        <v>1167</v>
      </c>
      <c r="AD1081" s="24"/>
      <c r="AE1081" s="238" t="s">
        <v>3248</v>
      </c>
      <c r="AG1081" s="238" t="s">
        <v>1167</v>
      </c>
      <c r="AH1081" s="238" t="s">
        <v>1167</v>
      </c>
      <c r="AI1081" s="238" t="s">
        <v>5050</v>
      </c>
      <c r="AJ1081" s="238" t="s">
        <v>982</v>
      </c>
      <c r="AK1081" s="238" t="s">
        <v>1167</v>
      </c>
      <c r="AL1081" t="s">
        <v>8715</v>
      </c>
      <c r="AM1081" t="s">
        <v>1167</v>
      </c>
    </row>
    <row r="1082" spans="1:39" hidden="1" x14ac:dyDescent="0.25">
      <c r="A1082">
        <v>1078</v>
      </c>
      <c r="B1082">
        <v>22</v>
      </c>
      <c r="C1082" s="24">
        <v>44781</v>
      </c>
      <c r="D1082" s="238" t="s">
        <v>27</v>
      </c>
      <c r="E1082" s="238" t="s">
        <v>6</v>
      </c>
      <c r="F1082">
        <v>2</v>
      </c>
      <c r="G1082">
        <v>2</v>
      </c>
      <c r="H1082">
        <v>2</v>
      </c>
      <c r="I1082" s="238" t="s">
        <v>42</v>
      </c>
      <c r="J1082">
        <v>37.94</v>
      </c>
      <c r="K1082" s="238" t="s">
        <v>38</v>
      </c>
      <c r="L1082">
        <v>2745000</v>
      </c>
      <c r="M1082">
        <v>0</v>
      </c>
      <c r="N1082">
        <v>2745000</v>
      </c>
      <c r="O1082">
        <v>72351.080653663681</v>
      </c>
      <c r="P1082">
        <v>0</v>
      </c>
      <c r="Q1082">
        <v>2745000</v>
      </c>
      <c r="R1082">
        <v>72351.080653663681</v>
      </c>
      <c r="S1082" s="238" t="s">
        <v>124</v>
      </c>
      <c r="T1082" s="238" t="s">
        <v>1167</v>
      </c>
      <c r="V1082" t="s">
        <v>1167</v>
      </c>
      <c r="W1082" s="24">
        <v>44775</v>
      </c>
      <c r="X1082" s="238" t="s">
        <v>3257</v>
      </c>
      <c r="Y1082" s="238" t="s">
        <v>3247</v>
      </c>
      <c r="Z1082" s="238" t="s">
        <v>1340</v>
      </c>
      <c r="AA1082" t="s">
        <v>1167</v>
      </c>
      <c r="AB1082" s="238" t="s">
        <v>3246</v>
      </c>
      <c r="AC1082" t="s">
        <v>1167</v>
      </c>
      <c r="AD1082" s="24"/>
      <c r="AE1082" s="238" t="s">
        <v>3248</v>
      </c>
      <c r="AG1082" s="238" t="s">
        <v>1167</v>
      </c>
      <c r="AH1082" s="238" t="s">
        <v>1167</v>
      </c>
      <c r="AI1082" s="238" t="s">
        <v>5050</v>
      </c>
      <c r="AJ1082" s="238" t="s">
        <v>982</v>
      </c>
      <c r="AK1082" s="238" t="s">
        <v>1167</v>
      </c>
      <c r="AL1082" t="s">
        <v>8715</v>
      </c>
      <c r="AM1082" t="s">
        <v>1167</v>
      </c>
    </row>
    <row r="1083" spans="1:39" hidden="1" x14ac:dyDescent="0.25">
      <c r="A1083">
        <v>1079</v>
      </c>
      <c r="B1083">
        <v>23</v>
      </c>
      <c r="C1083" s="24">
        <v>44781</v>
      </c>
      <c r="D1083" s="238" t="s">
        <v>27</v>
      </c>
      <c r="E1083" s="238" t="s">
        <v>6</v>
      </c>
      <c r="F1083">
        <v>3</v>
      </c>
      <c r="G1083">
        <v>2</v>
      </c>
      <c r="H1083">
        <v>3</v>
      </c>
      <c r="I1083" s="238" t="s">
        <v>42</v>
      </c>
      <c r="J1083">
        <v>41.06</v>
      </c>
      <c r="K1083" s="238" t="s">
        <v>38</v>
      </c>
      <c r="L1083">
        <v>2993250</v>
      </c>
      <c r="M1083">
        <v>0</v>
      </c>
      <c r="N1083">
        <v>2993250</v>
      </c>
      <c r="O1083">
        <v>72899.415489527513</v>
      </c>
      <c r="P1083">
        <v>0</v>
      </c>
      <c r="Q1083">
        <v>2993250</v>
      </c>
      <c r="R1083">
        <v>72899.415489527513</v>
      </c>
      <c r="S1083" s="238" t="s">
        <v>124</v>
      </c>
      <c r="T1083" s="238" t="s">
        <v>1167</v>
      </c>
      <c r="V1083" t="s">
        <v>1167</v>
      </c>
      <c r="W1083" s="24">
        <v>44775</v>
      </c>
      <c r="X1083" s="238" t="s">
        <v>3257</v>
      </c>
      <c r="Y1083" s="238" t="s">
        <v>3247</v>
      </c>
      <c r="Z1083" s="238" t="s">
        <v>1340</v>
      </c>
      <c r="AA1083" t="s">
        <v>1167</v>
      </c>
      <c r="AB1083" s="238" t="s">
        <v>3246</v>
      </c>
      <c r="AC1083" t="s">
        <v>1167</v>
      </c>
      <c r="AD1083" s="24"/>
      <c r="AE1083" s="238" t="s">
        <v>3248</v>
      </c>
      <c r="AG1083" s="238" t="s">
        <v>1167</v>
      </c>
      <c r="AH1083" s="238" t="s">
        <v>1167</v>
      </c>
      <c r="AI1083" s="238" t="s">
        <v>5050</v>
      </c>
      <c r="AJ1083" s="238" t="s">
        <v>982</v>
      </c>
      <c r="AK1083" s="238" t="s">
        <v>1167</v>
      </c>
      <c r="AL1083" t="s">
        <v>8715</v>
      </c>
      <c r="AM1083" t="s">
        <v>1167</v>
      </c>
    </row>
    <row r="1084" spans="1:39" hidden="1" x14ac:dyDescent="0.25">
      <c r="A1084">
        <v>1080</v>
      </c>
      <c r="B1084">
        <v>24</v>
      </c>
      <c r="C1084" s="24">
        <v>44781</v>
      </c>
      <c r="D1084" s="238" t="s">
        <v>27</v>
      </c>
      <c r="E1084" s="238" t="s">
        <v>6</v>
      </c>
      <c r="F1084">
        <v>8</v>
      </c>
      <c r="G1084">
        <v>2</v>
      </c>
      <c r="H1084">
        <v>6</v>
      </c>
      <c r="I1084" s="238" t="s">
        <v>43</v>
      </c>
      <c r="J1084">
        <v>54.67</v>
      </c>
      <c r="K1084" s="238" t="s">
        <v>38</v>
      </c>
      <c r="L1084">
        <v>3999750</v>
      </c>
      <c r="M1084">
        <v>0</v>
      </c>
      <c r="N1084">
        <v>3999750</v>
      </c>
      <c r="O1084">
        <v>73161.69745747211</v>
      </c>
      <c r="P1084">
        <v>0</v>
      </c>
      <c r="Q1084">
        <v>3999750</v>
      </c>
      <c r="R1084">
        <v>73161.69745747211</v>
      </c>
      <c r="S1084" s="238" t="s">
        <v>124</v>
      </c>
      <c r="T1084" s="238" t="s">
        <v>1167</v>
      </c>
      <c r="V1084" t="s">
        <v>1167</v>
      </c>
      <c r="W1084" s="24">
        <v>44775</v>
      </c>
      <c r="X1084" s="238" t="s">
        <v>3257</v>
      </c>
      <c r="Y1084" s="238" t="s">
        <v>3247</v>
      </c>
      <c r="Z1084" s="238" t="s">
        <v>1340</v>
      </c>
      <c r="AA1084" t="s">
        <v>1167</v>
      </c>
      <c r="AB1084" s="238" t="s">
        <v>3246</v>
      </c>
      <c r="AC1084" t="s">
        <v>1167</v>
      </c>
      <c r="AD1084" s="24"/>
      <c r="AE1084" s="238" t="s">
        <v>3248</v>
      </c>
      <c r="AG1084" s="238" t="s">
        <v>1167</v>
      </c>
      <c r="AH1084" s="238" t="s">
        <v>1167</v>
      </c>
      <c r="AI1084" s="238" t="s">
        <v>5050</v>
      </c>
      <c r="AJ1084" s="238" t="s">
        <v>982</v>
      </c>
      <c r="AK1084" s="238" t="s">
        <v>1167</v>
      </c>
      <c r="AL1084" t="s">
        <v>8715</v>
      </c>
      <c r="AM1084" t="s">
        <v>1167</v>
      </c>
    </row>
    <row r="1085" spans="1:39" hidden="1" x14ac:dyDescent="0.25">
      <c r="A1085">
        <v>1081</v>
      </c>
      <c r="B1085">
        <v>25</v>
      </c>
      <c r="C1085" s="24">
        <v>44781</v>
      </c>
      <c r="D1085" s="238" t="s">
        <v>27</v>
      </c>
      <c r="E1085" s="238" t="s">
        <v>6</v>
      </c>
      <c r="F1085">
        <v>8</v>
      </c>
      <c r="G1085">
        <v>2</v>
      </c>
      <c r="H1085">
        <v>8</v>
      </c>
      <c r="I1085" s="238" t="s">
        <v>42</v>
      </c>
      <c r="J1085">
        <v>37.69</v>
      </c>
      <c r="K1085" s="238" t="s">
        <v>38</v>
      </c>
      <c r="L1085">
        <v>2726250</v>
      </c>
      <c r="M1085">
        <v>0</v>
      </c>
      <c r="N1085">
        <v>2726250</v>
      </c>
      <c r="O1085">
        <v>72333.510214911119</v>
      </c>
      <c r="P1085">
        <v>0</v>
      </c>
      <c r="Q1085">
        <v>2726250</v>
      </c>
      <c r="R1085">
        <v>72333.510214911119</v>
      </c>
      <c r="S1085" s="238" t="s">
        <v>124</v>
      </c>
      <c r="T1085" s="238" t="s">
        <v>1167</v>
      </c>
      <c r="V1085" t="s">
        <v>1167</v>
      </c>
      <c r="W1085" s="24">
        <v>44775</v>
      </c>
      <c r="X1085" s="238" t="s">
        <v>3257</v>
      </c>
      <c r="Y1085" s="238" t="s">
        <v>3247</v>
      </c>
      <c r="Z1085" s="238" t="s">
        <v>1340</v>
      </c>
      <c r="AA1085" t="s">
        <v>1167</v>
      </c>
      <c r="AB1085" s="238" t="s">
        <v>3246</v>
      </c>
      <c r="AC1085" t="s">
        <v>1167</v>
      </c>
      <c r="AD1085" s="24"/>
      <c r="AE1085" s="238" t="s">
        <v>3248</v>
      </c>
      <c r="AG1085" s="238" t="s">
        <v>1167</v>
      </c>
      <c r="AH1085" s="238" t="s">
        <v>1167</v>
      </c>
      <c r="AI1085" s="238" t="s">
        <v>5050</v>
      </c>
      <c r="AJ1085" s="238" t="s">
        <v>982</v>
      </c>
      <c r="AK1085" s="238" t="s">
        <v>1167</v>
      </c>
      <c r="AL1085" t="s">
        <v>8715</v>
      </c>
      <c r="AM1085" t="s">
        <v>1167</v>
      </c>
    </row>
    <row r="1086" spans="1:39" hidden="1" x14ac:dyDescent="0.25">
      <c r="A1086">
        <v>1082</v>
      </c>
      <c r="B1086">
        <v>26</v>
      </c>
      <c r="C1086" s="24">
        <v>44781</v>
      </c>
      <c r="D1086" s="238" t="s">
        <v>27</v>
      </c>
      <c r="E1086" s="238" t="s">
        <v>6</v>
      </c>
      <c r="F1086">
        <v>1</v>
      </c>
      <c r="G1086">
        <v>3</v>
      </c>
      <c r="H1086">
        <v>10</v>
      </c>
      <c r="I1086" s="238" t="s">
        <v>44</v>
      </c>
      <c r="J1086">
        <v>82.71</v>
      </c>
      <c r="K1086" s="238" t="s">
        <v>38</v>
      </c>
      <c r="L1086">
        <v>6012750</v>
      </c>
      <c r="M1086">
        <v>0</v>
      </c>
      <c r="N1086">
        <v>6012750</v>
      </c>
      <c r="O1086">
        <v>72696.771853463913</v>
      </c>
      <c r="P1086">
        <v>0</v>
      </c>
      <c r="Q1086">
        <v>6012750</v>
      </c>
      <c r="R1086">
        <v>72696.771853463913</v>
      </c>
      <c r="S1086" s="238" t="s">
        <v>124</v>
      </c>
      <c r="T1086" s="238" t="s">
        <v>1167</v>
      </c>
      <c r="V1086" t="s">
        <v>1167</v>
      </c>
      <c r="W1086" s="24">
        <v>44775</v>
      </c>
      <c r="X1086" s="238" t="s">
        <v>3257</v>
      </c>
      <c r="Y1086" s="238" t="s">
        <v>3247</v>
      </c>
      <c r="Z1086" s="238" t="s">
        <v>1340</v>
      </c>
      <c r="AA1086" t="s">
        <v>1167</v>
      </c>
      <c r="AB1086" s="238" t="s">
        <v>3246</v>
      </c>
      <c r="AC1086" t="s">
        <v>1167</v>
      </c>
      <c r="AD1086" s="24"/>
      <c r="AE1086" s="238" t="s">
        <v>3248</v>
      </c>
      <c r="AG1086" s="238" t="s">
        <v>1167</v>
      </c>
      <c r="AH1086" s="238" t="s">
        <v>1167</v>
      </c>
      <c r="AI1086" s="238" t="s">
        <v>5050</v>
      </c>
      <c r="AJ1086" s="238" t="s">
        <v>982</v>
      </c>
      <c r="AK1086" s="238" t="s">
        <v>1167</v>
      </c>
      <c r="AL1086" t="s">
        <v>8715</v>
      </c>
      <c r="AM1086" t="s">
        <v>1167</v>
      </c>
    </row>
    <row r="1087" spans="1:39" hidden="1" x14ac:dyDescent="0.25">
      <c r="A1087">
        <v>1083</v>
      </c>
      <c r="B1087">
        <v>27</v>
      </c>
      <c r="C1087" s="24">
        <v>44781</v>
      </c>
      <c r="D1087" s="238" t="s">
        <v>27</v>
      </c>
      <c r="E1087" s="238" t="s">
        <v>6</v>
      </c>
      <c r="F1087">
        <v>3</v>
      </c>
      <c r="G1087">
        <v>3</v>
      </c>
      <c r="H1087">
        <v>12</v>
      </c>
      <c r="I1087" s="238" t="s">
        <v>42</v>
      </c>
      <c r="J1087">
        <v>41.06</v>
      </c>
      <c r="K1087" s="238" t="s">
        <v>38</v>
      </c>
      <c r="L1087">
        <v>2993250</v>
      </c>
      <c r="M1087">
        <v>0</v>
      </c>
      <c r="N1087">
        <v>2993250</v>
      </c>
      <c r="O1087">
        <v>72899.415489527513</v>
      </c>
      <c r="P1087">
        <v>0</v>
      </c>
      <c r="Q1087">
        <v>2993250</v>
      </c>
      <c r="R1087">
        <v>72899.415489527513</v>
      </c>
      <c r="S1087" s="238" t="s">
        <v>124</v>
      </c>
      <c r="T1087" s="238" t="s">
        <v>1167</v>
      </c>
      <c r="V1087" t="s">
        <v>1167</v>
      </c>
      <c r="W1087" s="24">
        <v>44775</v>
      </c>
      <c r="X1087" s="238" t="s">
        <v>3257</v>
      </c>
      <c r="Y1087" s="238" t="s">
        <v>3247</v>
      </c>
      <c r="Z1087" s="238" t="s">
        <v>1340</v>
      </c>
      <c r="AA1087" t="s">
        <v>1167</v>
      </c>
      <c r="AB1087" s="238" t="s">
        <v>3246</v>
      </c>
      <c r="AC1087" t="s">
        <v>1167</v>
      </c>
      <c r="AD1087" s="24"/>
      <c r="AE1087" s="238" t="s">
        <v>3248</v>
      </c>
      <c r="AG1087" s="238" t="s">
        <v>1167</v>
      </c>
      <c r="AH1087" s="238" t="s">
        <v>1167</v>
      </c>
      <c r="AI1087" s="238" t="s">
        <v>5050</v>
      </c>
      <c r="AJ1087" s="238" t="s">
        <v>982</v>
      </c>
      <c r="AK1087" s="238" t="s">
        <v>1167</v>
      </c>
      <c r="AL1087" t="s">
        <v>8715</v>
      </c>
      <c r="AM1087" t="s">
        <v>1167</v>
      </c>
    </row>
    <row r="1088" spans="1:39" hidden="1" x14ac:dyDescent="0.25">
      <c r="A1088">
        <v>1084</v>
      </c>
      <c r="B1088">
        <v>28</v>
      </c>
      <c r="C1088" s="24">
        <v>44781</v>
      </c>
      <c r="D1088" s="238" t="s">
        <v>27</v>
      </c>
      <c r="E1088" s="238" t="s">
        <v>6</v>
      </c>
      <c r="F1088">
        <v>1</v>
      </c>
      <c r="G1088">
        <v>3</v>
      </c>
      <c r="H1088">
        <v>17</v>
      </c>
      <c r="I1088" s="238" t="s">
        <v>42</v>
      </c>
      <c r="J1088">
        <v>37.69</v>
      </c>
      <c r="K1088" s="238" t="s">
        <v>38</v>
      </c>
      <c r="L1088">
        <v>2726250</v>
      </c>
      <c r="M1088">
        <v>0</v>
      </c>
      <c r="N1088">
        <v>2726250</v>
      </c>
      <c r="O1088">
        <v>72333.510214911119</v>
      </c>
      <c r="P1088">
        <v>0</v>
      </c>
      <c r="Q1088">
        <v>2726250</v>
      </c>
      <c r="R1088">
        <v>72333.510214911119</v>
      </c>
      <c r="S1088" s="238" t="s">
        <v>124</v>
      </c>
      <c r="T1088" s="238" t="s">
        <v>1167</v>
      </c>
      <c r="V1088" t="s">
        <v>1167</v>
      </c>
      <c r="W1088" s="24">
        <v>44775</v>
      </c>
      <c r="X1088" s="238" t="s">
        <v>3257</v>
      </c>
      <c r="Y1088" s="238" t="s">
        <v>3247</v>
      </c>
      <c r="Z1088" s="238" t="s">
        <v>1340</v>
      </c>
      <c r="AA1088" t="s">
        <v>1167</v>
      </c>
      <c r="AB1088" s="238" t="s">
        <v>3246</v>
      </c>
      <c r="AC1088" t="s">
        <v>1167</v>
      </c>
      <c r="AD1088" s="24"/>
      <c r="AE1088" s="238" t="s">
        <v>3248</v>
      </c>
      <c r="AG1088" s="238" t="s">
        <v>1167</v>
      </c>
      <c r="AH1088" s="238" t="s">
        <v>1167</v>
      </c>
      <c r="AI1088" s="238" t="s">
        <v>5050</v>
      </c>
      <c r="AJ1088" s="238" t="s">
        <v>982</v>
      </c>
      <c r="AK1088" s="238" t="s">
        <v>1167</v>
      </c>
      <c r="AL1088" t="s">
        <v>8715</v>
      </c>
      <c r="AM1088" t="s">
        <v>1167</v>
      </c>
    </row>
    <row r="1089" spans="1:39" hidden="1" x14ac:dyDescent="0.25">
      <c r="A1089">
        <v>1085</v>
      </c>
      <c r="B1089">
        <v>29</v>
      </c>
      <c r="C1089" s="24">
        <v>44781</v>
      </c>
      <c r="D1089" s="238" t="s">
        <v>27</v>
      </c>
      <c r="E1089" s="238" t="s">
        <v>6</v>
      </c>
      <c r="F1089">
        <v>1</v>
      </c>
      <c r="G1089">
        <v>4</v>
      </c>
      <c r="H1089">
        <v>19</v>
      </c>
      <c r="I1089" s="238" t="s">
        <v>44</v>
      </c>
      <c r="J1089">
        <v>82.71</v>
      </c>
      <c r="K1089" s="238" t="s">
        <v>38</v>
      </c>
      <c r="L1089">
        <v>6012750</v>
      </c>
      <c r="M1089">
        <v>0</v>
      </c>
      <c r="N1089">
        <v>6012750</v>
      </c>
      <c r="O1089">
        <v>72696.771853463913</v>
      </c>
      <c r="P1089">
        <v>0</v>
      </c>
      <c r="Q1089">
        <v>6012750</v>
      </c>
      <c r="R1089">
        <v>72696.771853463913</v>
      </c>
      <c r="S1089" s="238" t="s">
        <v>124</v>
      </c>
      <c r="T1089" s="238" t="s">
        <v>1167</v>
      </c>
      <c r="V1089" t="s">
        <v>1167</v>
      </c>
      <c r="W1089" s="24">
        <v>44775</v>
      </c>
      <c r="X1089" s="238" t="s">
        <v>3257</v>
      </c>
      <c r="Y1089" s="238" t="s">
        <v>3247</v>
      </c>
      <c r="Z1089" s="238" t="s">
        <v>1340</v>
      </c>
      <c r="AA1089" t="s">
        <v>1167</v>
      </c>
      <c r="AB1089" s="238" t="s">
        <v>3246</v>
      </c>
      <c r="AC1089" t="s">
        <v>1167</v>
      </c>
      <c r="AD1089" s="24"/>
      <c r="AE1089" s="238" t="s">
        <v>3248</v>
      </c>
      <c r="AG1089" s="238" t="s">
        <v>1167</v>
      </c>
      <c r="AH1089" s="238" t="s">
        <v>1167</v>
      </c>
      <c r="AI1089" s="238" t="s">
        <v>5050</v>
      </c>
      <c r="AJ1089" s="238" t="s">
        <v>982</v>
      </c>
      <c r="AK1089" s="238" t="s">
        <v>1167</v>
      </c>
      <c r="AL1089" t="s">
        <v>8715</v>
      </c>
      <c r="AM1089" t="s">
        <v>1167</v>
      </c>
    </row>
    <row r="1090" spans="1:39" hidden="1" x14ac:dyDescent="0.25">
      <c r="A1090">
        <v>1086</v>
      </c>
      <c r="B1090">
        <v>30</v>
      </c>
      <c r="C1090" s="24">
        <v>44781</v>
      </c>
      <c r="D1090" s="238" t="s">
        <v>27</v>
      </c>
      <c r="E1090" s="238" t="s">
        <v>6</v>
      </c>
      <c r="F1090">
        <v>3</v>
      </c>
      <c r="G1090">
        <v>5</v>
      </c>
      <c r="H1090">
        <v>30</v>
      </c>
      <c r="I1090" s="238" t="s">
        <v>42</v>
      </c>
      <c r="J1090">
        <v>41.06</v>
      </c>
      <c r="K1090" s="238" t="s">
        <v>38</v>
      </c>
      <c r="L1090">
        <v>2993250</v>
      </c>
      <c r="M1090">
        <v>0</v>
      </c>
      <c r="N1090">
        <v>2993250</v>
      </c>
      <c r="O1090">
        <v>72899.415489527513</v>
      </c>
      <c r="P1090">
        <v>0</v>
      </c>
      <c r="Q1090">
        <v>2993250</v>
      </c>
      <c r="R1090">
        <v>72899.415489527513</v>
      </c>
      <c r="S1090" s="238" t="s">
        <v>124</v>
      </c>
      <c r="T1090" s="238" t="s">
        <v>1167</v>
      </c>
      <c r="V1090" t="s">
        <v>1167</v>
      </c>
      <c r="W1090" s="24">
        <v>44775</v>
      </c>
      <c r="X1090" s="238" t="s">
        <v>3257</v>
      </c>
      <c r="Y1090" s="238" t="s">
        <v>3247</v>
      </c>
      <c r="Z1090" s="238" t="s">
        <v>1340</v>
      </c>
      <c r="AA1090" t="s">
        <v>1167</v>
      </c>
      <c r="AB1090" s="238" t="s">
        <v>3246</v>
      </c>
      <c r="AC1090" t="s">
        <v>1167</v>
      </c>
      <c r="AD1090" s="24"/>
      <c r="AE1090" s="238" t="s">
        <v>3248</v>
      </c>
      <c r="AG1090" s="238" t="s">
        <v>1167</v>
      </c>
      <c r="AH1090" s="238" t="s">
        <v>1167</v>
      </c>
      <c r="AI1090" s="238" t="s">
        <v>5050</v>
      </c>
      <c r="AJ1090" s="238" t="s">
        <v>982</v>
      </c>
      <c r="AK1090" s="238" t="s">
        <v>1167</v>
      </c>
      <c r="AL1090" t="s">
        <v>8715</v>
      </c>
      <c r="AM1090" t="s">
        <v>1167</v>
      </c>
    </row>
    <row r="1091" spans="1:39" hidden="1" x14ac:dyDescent="0.25">
      <c r="A1091">
        <v>1087</v>
      </c>
      <c r="B1091">
        <v>31</v>
      </c>
      <c r="C1091" s="24">
        <v>44781</v>
      </c>
      <c r="D1091" s="238" t="s">
        <v>27</v>
      </c>
      <c r="E1091" s="238" t="s">
        <v>6</v>
      </c>
      <c r="F1091">
        <v>7</v>
      </c>
      <c r="G1091">
        <v>5</v>
      </c>
      <c r="H1091">
        <v>34</v>
      </c>
      <c r="I1091" s="238" t="s">
        <v>43</v>
      </c>
      <c r="J1091">
        <v>60.06</v>
      </c>
      <c r="K1091" s="238" t="s">
        <v>38</v>
      </c>
      <c r="L1091">
        <v>4313250</v>
      </c>
      <c r="M1091">
        <v>0</v>
      </c>
      <c r="N1091">
        <v>4313250</v>
      </c>
      <c r="O1091">
        <v>71815.68431568431</v>
      </c>
      <c r="P1091">
        <v>0</v>
      </c>
      <c r="Q1091">
        <v>4313250</v>
      </c>
      <c r="R1091">
        <v>71815.68431568431</v>
      </c>
      <c r="S1091" s="238" t="s">
        <v>124</v>
      </c>
      <c r="T1091" s="238" t="s">
        <v>1167</v>
      </c>
      <c r="V1091" t="s">
        <v>1167</v>
      </c>
      <c r="W1091" s="24">
        <v>44775</v>
      </c>
      <c r="X1091" s="238" t="s">
        <v>3257</v>
      </c>
      <c r="Y1091" s="238" t="s">
        <v>3247</v>
      </c>
      <c r="Z1091" s="238" t="s">
        <v>1340</v>
      </c>
      <c r="AA1091" t="s">
        <v>1167</v>
      </c>
      <c r="AB1091" s="238" t="s">
        <v>3246</v>
      </c>
      <c r="AC1091" t="s">
        <v>1167</v>
      </c>
      <c r="AD1091" s="24"/>
      <c r="AE1091" s="238" t="s">
        <v>3248</v>
      </c>
      <c r="AG1091" s="238" t="s">
        <v>1167</v>
      </c>
      <c r="AH1091" s="238" t="s">
        <v>1167</v>
      </c>
      <c r="AI1091" s="238" t="s">
        <v>5050</v>
      </c>
      <c r="AJ1091" s="238" t="s">
        <v>982</v>
      </c>
      <c r="AK1091" s="238" t="s">
        <v>1167</v>
      </c>
      <c r="AL1091" t="s">
        <v>8715</v>
      </c>
      <c r="AM1091" t="s">
        <v>1167</v>
      </c>
    </row>
    <row r="1092" spans="1:39" hidden="1" x14ac:dyDescent="0.25">
      <c r="A1092">
        <v>1088</v>
      </c>
      <c r="B1092">
        <v>32</v>
      </c>
      <c r="C1092" s="24">
        <v>44781</v>
      </c>
      <c r="D1092" s="238" t="s">
        <v>27</v>
      </c>
      <c r="E1092" s="238" t="s">
        <v>6</v>
      </c>
      <c r="F1092">
        <v>1</v>
      </c>
      <c r="G1092">
        <v>6</v>
      </c>
      <c r="H1092">
        <v>37</v>
      </c>
      <c r="I1092" s="238" t="s">
        <v>44</v>
      </c>
      <c r="J1092">
        <v>82.71</v>
      </c>
      <c r="K1092" s="238" t="s">
        <v>38</v>
      </c>
      <c r="L1092">
        <v>6012750</v>
      </c>
      <c r="M1092">
        <v>0</v>
      </c>
      <c r="N1092">
        <v>6012750</v>
      </c>
      <c r="O1092">
        <v>72696.771853463913</v>
      </c>
      <c r="P1092">
        <v>0</v>
      </c>
      <c r="Q1092">
        <v>6012750</v>
      </c>
      <c r="R1092">
        <v>72696.771853463913</v>
      </c>
      <c r="S1092" s="238" t="s">
        <v>124</v>
      </c>
      <c r="T1092" s="238" t="s">
        <v>1167</v>
      </c>
      <c r="V1092" t="s">
        <v>1167</v>
      </c>
      <c r="W1092" s="24">
        <v>44775</v>
      </c>
      <c r="X1092" s="238" t="s">
        <v>3257</v>
      </c>
      <c r="Y1092" s="238" t="s">
        <v>3247</v>
      </c>
      <c r="Z1092" s="238" t="s">
        <v>1340</v>
      </c>
      <c r="AA1092" t="s">
        <v>1167</v>
      </c>
      <c r="AB1092" s="238" t="s">
        <v>3246</v>
      </c>
      <c r="AC1092" t="s">
        <v>1167</v>
      </c>
      <c r="AD1092" s="24"/>
      <c r="AE1092" s="238" t="s">
        <v>3248</v>
      </c>
      <c r="AG1092" s="238" t="s">
        <v>1167</v>
      </c>
      <c r="AH1092" s="238" t="s">
        <v>1167</v>
      </c>
      <c r="AI1092" s="238" t="s">
        <v>5050</v>
      </c>
      <c r="AJ1092" s="238" t="s">
        <v>982</v>
      </c>
      <c r="AK1092" s="238" t="s">
        <v>1167</v>
      </c>
      <c r="AL1092" t="s">
        <v>8715</v>
      </c>
      <c r="AM1092" t="s">
        <v>1167</v>
      </c>
    </row>
    <row r="1093" spans="1:39" hidden="1" x14ac:dyDescent="0.25">
      <c r="A1093">
        <v>1089</v>
      </c>
      <c r="B1093">
        <v>33</v>
      </c>
      <c r="C1093" s="24">
        <v>44781</v>
      </c>
      <c r="D1093" s="238" t="s">
        <v>27</v>
      </c>
      <c r="E1093" s="238" t="s">
        <v>6</v>
      </c>
      <c r="F1093">
        <v>7</v>
      </c>
      <c r="G1093">
        <v>14</v>
      </c>
      <c r="H1093">
        <v>115</v>
      </c>
      <c r="I1093" s="238" t="s">
        <v>43</v>
      </c>
      <c r="J1093">
        <v>60.06</v>
      </c>
      <c r="K1093" s="238" t="s">
        <v>38</v>
      </c>
      <c r="L1093">
        <v>4313250</v>
      </c>
      <c r="M1093">
        <v>0</v>
      </c>
      <c r="N1093">
        <v>4313250</v>
      </c>
      <c r="O1093">
        <v>71815.68431568431</v>
      </c>
      <c r="P1093">
        <v>0</v>
      </c>
      <c r="Q1093">
        <v>4313250</v>
      </c>
      <c r="R1093">
        <v>71815.68431568431</v>
      </c>
      <c r="S1093" s="238" t="s">
        <v>124</v>
      </c>
      <c r="T1093" s="238" t="s">
        <v>1167</v>
      </c>
      <c r="V1093" t="s">
        <v>1167</v>
      </c>
      <c r="W1093" s="24">
        <v>44775</v>
      </c>
      <c r="X1093" s="238" t="s">
        <v>3258</v>
      </c>
      <c r="Y1093" s="238" t="s">
        <v>3247</v>
      </c>
      <c r="Z1093" s="238" t="s">
        <v>1340</v>
      </c>
      <c r="AA1093" t="s">
        <v>1167</v>
      </c>
      <c r="AB1093" s="238" t="s">
        <v>3246</v>
      </c>
      <c r="AC1093" t="s">
        <v>1167</v>
      </c>
      <c r="AD1093" s="24"/>
      <c r="AE1093" s="238" t="s">
        <v>3248</v>
      </c>
      <c r="AG1093" s="238" t="s">
        <v>1167</v>
      </c>
      <c r="AH1093" s="238" t="s">
        <v>1167</v>
      </c>
      <c r="AI1093" s="238" t="s">
        <v>5050</v>
      </c>
      <c r="AJ1093" s="238" t="s">
        <v>982</v>
      </c>
      <c r="AK1093" s="238" t="s">
        <v>1167</v>
      </c>
      <c r="AL1093" t="s">
        <v>8715</v>
      </c>
      <c r="AM1093" t="s">
        <v>1167</v>
      </c>
    </row>
    <row r="1094" spans="1:39" hidden="1" x14ac:dyDescent="0.25">
      <c r="A1094">
        <v>1090</v>
      </c>
      <c r="B1094">
        <v>34</v>
      </c>
      <c r="C1094" s="24">
        <v>44781</v>
      </c>
      <c r="D1094" s="238" t="s">
        <v>27</v>
      </c>
      <c r="E1094" s="238" t="s">
        <v>6</v>
      </c>
      <c r="F1094">
        <v>8</v>
      </c>
      <c r="G1094">
        <v>14</v>
      </c>
      <c r="H1094">
        <v>116</v>
      </c>
      <c r="I1094" s="238" t="s">
        <v>42</v>
      </c>
      <c r="J1094">
        <v>37.69</v>
      </c>
      <c r="K1094" s="238" t="s">
        <v>38</v>
      </c>
      <c r="L1094">
        <v>2726250</v>
      </c>
      <c r="M1094">
        <v>0</v>
      </c>
      <c r="N1094">
        <v>2726250</v>
      </c>
      <c r="O1094">
        <v>72333.510214911119</v>
      </c>
      <c r="P1094">
        <v>0</v>
      </c>
      <c r="Q1094">
        <v>2726250</v>
      </c>
      <c r="R1094">
        <v>72333.510214911119</v>
      </c>
      <c r="S1094" s="238" t="s">
        <v>124</v>
      </c>
      <c r="T1094" s="238" t="s">
        <v>1167</v>
      </c>
      <c r="V1094" t="s">
        <v>1167</v>
      </c>
      <c r="W1094" s="24">
        <v>44775</v>
      </c>
      <c r="X1094" s="238" t="s">
        <v>3258</v>
      </c>
      <c r="Y1094" s="238" t="s">
        <v>3247</v>
      </c>
      <c r="Z1094" s="238" t="s">
        <v>1340</v>
      </c>
      <c r="AA1094" t="s">
        <v>1167</v>
      </c>
      <c r="AB1094" s="238" t="s">
        <v>3246</v>
      </c>
      <c r="AC1094" t="s">
        <v>1167</v>
      </c>
      <c r="AD1094" s="24"/>
      <c r="AE1094" s="238" t="s">
        <v>3248</v>
      </c>
      <c r="AG1094" s="238" t="s">
        <v>1167</v>
      </c>
      <c r="AH1094" s="238" t="s">
        <v>1167</v>
      </c>
      <c r="AI1094" s="238" t="s">
        <v>5050</v>
      </c>
      <c r="AJ1094" s="238" t="s">
        <v>982</v>
      </c>
      <c r="AK1094" s="238" t="s">
        <v>1167</v>
      </c>
      <c r="AL1094" t="s">
        <v>8715</v>
      </c>
      <c r="AM1094" t="s">
        <v>1167</v>
      </c>
    </row>
    <row r="1095" spans="1:39" hidden="1" x14ac:dyDescent="0.25">
      <c r="A1095">
        <v>1091</v>
      </c>
      <c r="B1095">
        <v>35</v>
      </c>
      <c r="C1095" s="24">
        <v>44781</v>
      </c>
      <c r="D1095" s="238" t="s">
        <v>27</v>
      </c>
      <c r="E1095" s="238" t="s">
        <v>6</v>
      </c>
      <c r="F1095">
        <v>9</v>
      </c>
      <c r="G1095">
        <v>14</v>
      </c>
      <c r="H1095">
        <v>117</v>
      </c>
      <c r="I1095" s="238" t="s">
        <v>42</v>
      </c>
      <c r="J1095">
        <v>37.94</v>
      </c>
      <c r="K1095" s="238" t="s">
        <v>38</v>
      </c>
      <c r="L1095">
        <v>2745000</v>
      </c>
      <c r="M1095">
        <v>0</v>
      </c>
      <c r="N1095">
        <v>2745000</v>
      </c>
      <c r="O1095">
        <v>72351.080653663681</v>
      </c>
      <c r="P1095">
        <v>0</v>
      </c>
      <c r="Q1095">
        <v>2745000</v>
      </c>
      <c r="R1095">
        <v>72351.080653663681</v>
      </c>
      <c r="S1095" s="238" t="s">
        <v>124</v>
      </c>
      <c r="T1095" s="238" t="s">
        <v>1167</v>
      </c>
      <c r="V1095" t="s">
        <v>1167</v>
      </c>
      <c r="W1095" s="24">
        <v>44775</v>
      </c>
      <c r="X1095" s="238" t="s">
        <v>3258</v>
      </c>
      <c r="Y1095" s="238" t="s">
        <v>3247</v>
      </c>
      <c r="Z1095" s="238" t="s">
        <v>1340</v>
      </c>
      <c r="AA1095" t="s">
        <v>1167</v>
      </c>
      <c r="AB1095" s="238" t="s">
        <v>3246</v>
      </c>
      <c r="AC1095" t="s">
        <v>1167</v>
      </c>
      <c r="AD1095" s="24"/>
      <c r="AE1095" s="238" t="s">
        <v>3248</v>
      </c>
      <c r="AG1095" s="238" t="s">
        <v>1167</v>
      </c>
      <c r="AH1095" s="238" t="s">
        <v>1167</v>
      </c>
      <c r="AI1095" s="238" t="s">
        <v>5050</v>
      </c>
      <c r="AJ1095" s="238" t="s">
        <v>982</v>
      </c>
      <c r="AK1095" s="238" t="s">
        <v>1167</v>
      </c>
      <c r="AL1095" t="s">
        <v>8715</v>
      </c>
      <c r="AM1095" t="s">
        <v>1167</v>
      </c>
    </row>
    <row r="1096" spans="1:39" hidden="1" x14ac:dyDescent="0.25">
      <c r="A1096">
        <v>1092</v>
      </c>
      <c r="B1096">
        <v>36</v>
      </c>
      <c r="C1096" s="24">
        <v>44781</v>
      </c>
      <c r="D1096" s="238" t="s">
        <v>27</v>
      </c>
      <c r="E1096" s="238" t="s">
        <v>6</v>
      </c>
      <c r="F1096">
        <v>1</v>
      </c>
      <c r="G1096">
        <v>15</v>
      </c>
      <c r="H1096">
        <v>118</v>
      </c>
      <c r="I1096" s="238" t="s">
        <v>44</v>
      </c>
      <c r="J1096">
        <v>82.71</v>
      </c>
      <c r="K1096" s="238" t="s">
        <v>38</v>
      </c>
      <c r="L1096">
        <v>6012750</v>
      </c>
      <c r="M1096">
        <v>0</v>
      </c>
      <c r="N1096">
        <v>6012750</v>
      </c>
      <c r="O1096">
        <v>72696.771853463913</v>
      </c>
      <c r="P1096">
        <v>0</v>
      </c>
      <c r="Q1096">
        <v>6012750</v>
      </c>
      <c r="R1096">
        <v>72696.771853463913</v>
      </c>
      <c r="S1096" s="238" t="s">
        <v>124</v>
      </c>
      <c r="T1096" s="238" t="s">
        <v>1167</v>
      </c>
      <c r="V1096" t="s">
        <v>1167</v>
      </c>
      <c r="W1096" s="24">
        <v>44775</v>
      </c>
      <c r="X1096" s="238" t="s">
        <v>3258</v>
      </c>
      <c r="Y1096" s="238" t="s">
        <v>3247</v>
      </c>
      <c r="Z1096" s="238" t="s">
        <v>1340</v>
      </c>
      <c r="AA1096" t="s">
        <v>1167</v>
      </c>
      <c r="AB1096" s="238" t="s">
        <v>3246</v>
      </c>
      <c r="AC1096" t="s">
        <v>1167</v>
      </c>
      <c r="AD1096" s="24"/>
      <c r="AE1096" s="238" t="s">
        <v>3248</v>
      </c>
      <c r="AG1096" s="238" t="s">
        <v>1167</v>
      </c>
      <c r="AH1096" s="238" t="s">
        <v>1167</v>
      </c>
      <c r="AI1096" s="238" t="s">
        <v>5050</v>
      </c>
      <c r="AJ1096" s="238" t="s">
        <v>982</v>
      </c>
      <c r="AK1096" s="238" t="s">
        <v>1167</v>
      </c>
      <c r="AL1096" t="s">
        <v>8715</v>
      </c>
      <c r="AM1096" t="s">
        <v>1167</v>
      </c>
    </row>
    <row r="1097" spans="1:39" hidden="1" x14ac:dyDescent="0.25">
      <c r="A1097">
        <v>1093</v>
      </c>
      <c r="B1097">
        <v>37</v>
      </c>
      <c r="C1097" s="24">
        <v>44781</v>
      </c>
      <c r="D1097" s="238" t="s">
        <v>27</v>
      </c>
      <c r="E1097" s="238" t="s">
        <v>6</v>
      </c>
      <c r="F1097">
        <v>7</v>
      </c>
      <c r="G1097">
        <v>15</v>
      </c>
      <c r="H1097">
        <v>124</v>
      </c>
      <c r="I1097" s="238" t="s">
        <v>43</v>
      </c>
      <c r="J1097">
        <v>60.06</v>
      </c>
      <c r="K1097" s="238" t="s">
        <v>38</v>
      </c>
      <c r="L1097">
        <v>4313250</v>
      </c>
      <c r="M1097">
        <v>0</v>
      </c>
      <c r="N1097">
        <v>4313250</v>
      </c>
      <c r="O1097">
        <v>71815.68431568431</v>
      </c>
      <c r="P1097">
        <v>0</v>
      </c>
      <c r="Q1097">
        <v>4313250</v>
      </c>
      <c r="R1097">
        <v>71815.68431568431</v>
      </c>
      <c r="S1097" s="238" t="s">
        <v>124</v>
      </c>
      <c r="T1097" s="238" t="s">
        <v>1167</v>
      </c>
      <c r="V1097" t="s">
        <v>1167</v>
      </c>
      <c r="W1097" s="24">
        <v>44775</v>
      </c>
      <c r="X1097" s="238" t="s">
        <v>3258</v>
      </c>
      <c r="Y1097" s="238" t="s">
        <v>3247</v>
      </c>
      <c r="Z1097" s="238" t="s">
        <v>1340</v>
      </c>
      <c r="AA1097" t="s">
        <v>1167</v>
      </c>
      <c r="AB1097" s="238" t="s">
        <v>3246</v>
      </c>
      <c r="AC1097" t="s">
        <v>1167</v>
      </c>
      <c r="AD1097" s="24"/>
      <c r="AE1097" s="238" t="s">
        <v>3248</v>
      </c>
      <c r="AG1097" s="238" t="s">
        <v>1167</v>
      </c>
      <c r="AH1097" s="238" t="s">
        <v>1167</v>
      </c>
      <c r="AI1097" s="238" t="s">
        <v>5050</v>
      </c>
      <c r="AJ1097" s="238" t="s">
        <v>982</v>
      </c>
      <c r="AK1097" s="238" t="s">
        <v>1167</v>
      </c>
      <c r="AL1097" t="s">
        <v>8715</v>
      </c>
      <c r="AM1097" t="s">
        <v>1167</v>
      </c>
    </row>
    <row r="1098" spans="1:39" hidden="1" x14ac:dyDescent="0.25">
      <c r="A1098">
        <v>1094</v>
      </c>
      <c r="B1098">
        <v>38</v>
      </c>
      <c r="C1098" s="24">
        <v>44781</v>
      </c>
      <c r="D1098" s="238" t="s">
        <v>27</v>
      </c>
      <c r="E1098" s="238" t="s">
        <v>6</v>
      </c>
      <c r="F1098">
        <v>8</v>
      </c>
      <c r="G1098">
        <v>15</v>
      </c>
      <c r="H1098">
        <v>125</v>
      </c>
      <c r="I1098" s="238" t="s">
        <v>42</v>
      </c>
      <c r="J1098">
        <v>37.69</v>
      </c>
      <c r="K1098" s="238" t="s">
        <v>38</v>
      </c>
      <c r="L1098">
        <v>2726250</v>
      </c>
      <c r="M1098">
        <v>0</v>
      </c>
      <c r="N1098">
        <v>2726250</v>
      </c>
      <c r="O1098">
        <v>72333.510214911119</v>
      </c>
      <c r="P1098">
        <v>0</v>
      </c>
      <c r="Q1098">
        <v>2726250</v>
      </c>
      <c r="R1098">
        <v>72333.510214911119</v>
      </c>
      <c r="S1098" s="238" t="s">
        <v>124</v>
      </c>
      <c r="T1098" s="238" t="s">
        <v>1167</v>
      </c>
      <c r="V1098" t="s">
        <v>1167</v>
      </c>
      <c r="W1098" s="24">
        <v>44775</v>
      </c>
      <c r="X1098" s="238" t="s">
        <v>3258</v>
      </c>
      <c r="Y1098" s="238" t="s">
        <v>3247</v>
      </c>
      <c r="Z1098" s="238" t="s">
        <v>1340</v>
      </c>
      <c r="AA1098" t="s">
        <v>1167</v>
      </c>
      <c r="AB1098" s="238" t="s">
        <v>3246</v>
      </c>
      <c r="AC1098" t="s">
        <v>1167</v>
      </c>
      <c r="AD1098" s="24"/>
      <c r="AE1098" s="238" t="s">
        <v>3248</v>
      </c>
      <c r="AG1098" s="238" t="s">
        <v>1167</v>
      </c>
      <c r="AH1098" s="238" t="s">
        <v>1167</v>
      </c>
      <c r="AI1098" s="238" t="s">
        <v>5050</v>
      </c>
      <c r="AJ1098" s="238" t="s">
        <v>982</v>
      </c>
      <c r="AK1098" s="238" t="s">
        <v>1167</v>
      </c>
      <c r="AL1098" t="s">
        <v>8715</v>
      </c>
      <c r="AM1098" t="s">
        <v>1167</v>
      </c>
    </row>
    <row r="1099" spans="1:39" hidden="1" x14ac:dyDescent="0.25">
      <c r="A1099">
        <v>1095</v>
      </c>
      <c r="B1099">
        <v>39</v>
      </c>
      <c r="C1099" s="24">
        <v>44781</v>
      </c>
      <c r="D1099" s="238" t="s">
        <v>27</v>
      </c>
      <c r="E1099" s="238" t="s">
        <v>6</v>
      </c>
      <c r="F1099">
        <v>9</v>
      </c>
      <c r="G1099">
        <v>15</v>
      </c>
      <c r="H1099">
        <v>126</v>
      </c>
      <c r="I1099" s="238" t="s">
        <v>42</v>
      </c>
      <c r="J1099">
        <v>37.94</v>
      </c>
      <c r="K1099" s="238" t="s">
        <v>38</v>
      </c>
      <c r="L1099">
        <v>2745000</v>
      </c>
      <c r="M1099">
        <v>0</v>
      </c>
      <c r="N1099">
        <v>2745000</v>
      </c>
      <c r="O1099">
        <v>72351.080653663681</v>
      </c>
      <c r="P1099">
        <v>0</v>
      </c>
      <c r="Q1099">
        <v>2745000</v>
      </c>
      <c r="R1099">
        <v>72351.080653663681</v>
      </c>
      <c r="S1099" s="238" t="s">
        <v>124</v>
      </c>
      <c r="T1099" s="238" t="s">
        <v>1167</v>
      </c>
      <c r="V1099" t="s">
        <v>1167</v>
      </c>
      <c r="W1099" s="24">
        <v>44775</v>
      </c>
      <c r="X1099" s="238" t="s">
        <v>3258</v>
      </c>
      <c r="Y1099" s="238" t="s">
        <v>3247</v>
      </c>
      <c r="Z1099" s="238" t="s">
        <v>1340</v>
      </c>
      <c r="AA1099" t="s">
        <v>1167</v>
      </c>
      <c r="AB1099" s="238" t="s">
        <v>3246</v>
      </c>
      <c r="AC1099" t="s">
        <v>1167</v>
      </c>
      <c r="AD1099" s="24"/>
      <c r="AE1099" s="238" t="s">
        <v>3248</v>
      </c>
      <c r="AG1099" s="238" t="s">
        <v>1167</v>
      </c>
      <c r="AH1099" s="238" t="s">
        <v>1167</v>
      </c>
      <c r="AI1099" s="238" t="s">
        <v>5050</v>
      </c>
      <c r="AJ1099" s="238" t="s">
        <v>982</v>
      </c>
      <c r="AK1099" s="238" t="s">
        <v>1167</v>
      </c>
      <c r="AL1099" t="s">
        <v>8715</v>
      </c>
      <c r="AM1099" t="s">
        <v>1167</v>
      </c>
    </row>
    <row r="1100" spans="1:39" hidden="1" x14ac:dyDescent="0.25">
      <c r="A1100">
        <v>1096</v>
      </c>
      <c r="B1100">
        <v>40</v>
      </c>
      <c r="C1100" s="24">
        <v>44781</v>
      </c>
      <c r="D1100" s="238" t="s">
        <v>27</v>
      </c>
      <c r="E1100" s="238" t="s">
        <v>6</v>
      </c>
      <c r="F1100">
        <v>1</v>
      </c>
      <c r="G1100">
        <v>16</v>
      </c>
      <c r="H1100">
        <v>127</v>
      </c>
      <c r="I1100" s="238" t="s">
        <v>44</v>
      </c>
      <c r="J1100">
        <v>82.71</v>
      </c>
      <c r="K1100" s="238" t="s">
        <v>38</v>
      </c>
      <c r="L1100">
        <v>6012750</v>
      </c>
      <c r="M1100">
        <v>0</v>
      </c>
      <c r="N1100">
        <v>6012750</v>
      </c>
      <c r="O1100">
        <v>72696.771853463913</v>
      </c>
      <c r="P1100">
        <v>0</v>
      </c>
      <c r="Q1100">
        <v>6012750</v>
      </c>
      <c r="R1100">
        <v>72696.771853463913</v>
      </c>
      <c r="S1100" s="238" t="s">
        <v>124</v>
      </c>
      <c r="T1100" s="238" t="s">
        <v>1167</v>
      </c>
      <c r="V1100" t="s">
        <v>1167</v>
      </c>
      <c r="W1100" s="24">
        <v>44775</v>
      </c>
      <c r="X1100" s="238" t="s">
        <v>3258</v>
      </c>
      <c r="Y1100" s="238" t="s">
        <v>3247</v>
      </c>
      <c r="Z1100" s="238" t="s">
        <v>1340</v>
      </c>
      <c r="AA1100" t="s">
        <v>1167</v>
      </c>
      <c r="AB1100" s="238" t="s">
        <v>3246</v>
      </c>
      <c r="AC1100" t="s">
        <v>1167</v>
      </c>
      <c r="AD1100" s="24"/>
      <c r="AE1100" s="238" t="s">
        <v>3248</v>
      </c>
      <c r="AG1100" s="238" t="s">
        <v>1167</v>
      </c>
      <c r="AH1100" s="238" t="s">
        <v>1167</v>
      </c>
      <c r="AI1100" s="238" t="s">
        <v>5050</v>
      </c>
      <c r="AJ1100" s="238" t="s">
        <v>982</v>
      </c>
      <c r="AK1100" s="238" t="s">
        <v>1167</v>
      </c>
      <c r="AL1100" t="s">
        <v>8715</v>
      </c>
      <c r="AM1100" t="s">
        <v>1167</v>
      </c>
    </row>
    <row r="1101" spans="1:39" hidden="1" x14ac:dyDescent="0.25">
      <c r="A1101">
        <v>1097</v>
      </c>
      <c r="B1101">
        <v>41</v>
      </c>
      <c r="C1101" s="24">
        <v>44781</v>
      </c>
      <c r="D1101" s="238" t="s">
        <v>27</v>
      </c>
      <c r="E1101" s="238" t="s">
        <v>6</v>
      </c>
      <c r="F1101">
        <v>6</v>
      </c>
      <c r="G1101">
        <v>16</v>
      </c>
      <c r="H1101">
        <v>132</v>
      </c>
      <c r="I1101" s="238" t="s">
        <v>43</v>
      </c>
      <c r="J1101">
        <v>54.67</v>
      </c>
      <c r="K1101" s="238" t="s">
        <v>38</v>
      </c>
      <c r="L1101">
        <v>3999750</v>
      </c>
      <c r="M1101">
        <v>0</v>
      </c>
      <c r="N1101">
        <v>3999750</v>
      </c>
      <c r="O1101">
        <v>73161.69745747211</v>
      </c>
      <c r="P1101">
        <v>0</v>
      </c>
      <c r="Q1101">
        <v>3999750</v>
      </c>
      <c r="R1101">
        <v>73161.69745747211</v>
      </c>
      <c r="S1101" s="238" t="s">
        <v>124</v>
      </c>
      <c r="T1101" s="238" t="s">
        <v>1167</v>
      </c>
      <c r="V1101" t="s">
        <v>1167</v>
      </c>
      <c r="W1101" s="24">
        <v>44775</v>
      </c>
      <c r="X1101" s="238" t="s">
        <v>3258</v>
      </c>
      <c r="Y1101" s="238" t="s">
        <v>3247</v>
      </c>
      <c r="Z1101" s="238" t="s">
        <v>1340</v>
      </c>
      <c r="AA1101" t="s">
        <v>1167</v>
      </c>
      <c r="AB1101" s="238" t="s">
        <v>3246</v>
      </c>
      <c r="AC1101" t="s">
        <v>1167</v>
      </c>
      <c r="AD1101" s="24"/>
      <c r="AE1101" s="238" t="s">
        <v>3248</v>
      </c>
      <c r="AG1101" s="238" t="s">
        <v>1167</v>
      </c>
      <c r="AH1101" s="238" t="s">
        <v>1167</v>
      </c>
      <c r="AI1101" s="238" t="s">
        <v>5050</v>
      </c>
      <c r="AJ1101" s="238" t="s">
        <v>982</v>
      </c>
      <c r="AK1101" s="238" t="s">
        <v>1167</v>
      </c>
      <c r="AL1101" t="s">
        <v>8715</v>
      </c>
      <c r="AM1101" t="s">
        <v>1167</v>
      </c>
    </row>
    <row r="1102" spans="1:39" hidden="1" x14ac:dyDescent="0.25">
      <c r="A1102">
        <v>1098</v>
      </c>
      <c r="B1102">
        <v>42</v>
      </c>
      <c r="C1102" s="24">
        <v>44781</v>
      </c>
      <c r="D1102" s="238" t="s">
        <v>27</v>
      </c>
      <c r="E1102" s="238" t="s">
        <v>6</v>
      </c>
      <c r="F1102">
        <v>7</v>
      </c>
      <c r="G1102">
        <v>16</v>
      </c>
      <c r="H1102">
        <v>133</v>
      </c>
      <c r="I1102" s="238" t="s">
        <v>43</v>
      </c>
      <c r="J1102">
        <v>60.06</v>
      </c>
      <c r="K1102" s="238" t="s">
        <v>38</v>
      </c>
      <c r="L1102">
        <v>4313250</v>
      </c>
      <c r="M1102">
        <v>0</v>
      </c>
      <c r="N1102">
        <v>4313250</v>
      </c>
      <c r="O1102">
        <v>71815.68431568431</v>
      </c>
      <c r="P1102">
        <v>0</v>
      </c>
      <c r="Q1102">
        <v>4313250</v>
      </c>
      <c r="R1102">
        <v>71815.68431568431</v>
      </c>
      <c r="S1102" s="238" t="s">
        <v>124</v>
      </c>
      <c r="T1102" s="238" t="s">
        <v>1167</v>
      </c>
      <c r="V1102" t="s">
        <v>1167</v>
      </c>
      <c r="W1102" s="24">
        <v>44775</v>
      </c>
      <c r="X1102" s="238" t="s">
        <v>3258</v>
      </c>
      <c r="Y1102" s="238" t="s">
        <v>3247</v>
      </c>
      <c r="Z1102" s="238" t="s">
        <v>1340</v>
      </c>
      <c r="AA1102" t="s">
        <v>1167</v>
      </c>
      <c r="AB1102" s="238" t="s">
        <v>3246</v>
      </c>
      <c r="AC1102" t="s">
        <v>1167</v>
      </c>
      <c r="AD1102" s="24"/>
      <c r="AE1102" s="238" t="s">
        <v>3248</v>
      </c>
      <c r="AG1102" s="238" t="s">
        <v>1167</v>
      </c>
      <c r="AH1102" s="238" t="s">
        <v>1167</v>
      </c>
      <c r="AI1102" s="238" t="s">
        <v>5050</v>
      </c>
      <c r="AJ1102" s="238" t="s">
        <v>982</v>
      </c>
      <c r="AK1102" s="238" t="s">
        <v>1167</v>
      </c>
      <c r="AL1102" t="s">
        <v>8715</v>
      </c>
      <c r="AM1102" t="s">
        <v>1167</v>
      </c>
    </row>
    <row r="1103" spans="1:39" hidden="1" x14ac:dyDescent="0.25">
      <c r="A1103">
        <v>1099</v>
      </c>
      <c r="B1103">
        <v>43</v>
      </c>
      <c r="C1103" s="24">
        <v>44781</v>
      </c>
      <c r="D1103" s="238" t="s">
        <v>27</v>
      </c>
      <c r="E1103" s="238" t="s">
        <v>6</v>
      </c>
      <c r="F1103">
        <v>9</v>
      </c>
      <c r="G1103">
        <v>16</v>
      </c>
      <c r="H1103">
        <v>135</v>
      </c>
      <c r="I1103" s="238" t="s">
        <v>42</v>
      </c>
      <c r="J1103">
        <v>37.94</v>
      </c>
      <c r="K1103" s="238" t="s">
        <v>38</v>
      </c>
      <c r="L1103">
        <v>2745000</v>
      </c>
      <c r="M1103">
        <v>0</v>
      </c>
      <c r="N1103">
        <v>2745000</v>
      </c>
      <c r="O1103">
        <v>72351.080653663681</v>
      </c>
      <c r="P1103">
        <v>0</v>
      </c>
      <c r="Q1103">
        <v>2745000</v>
      </c>
      <c r="R1103">
        <v>72351.080653663681</v>
      </c>
      <c r="S1103" s="238" t="s">
        <v>124</v>
      </c>
      <c r="T1103" s="238" t="s">
        <v>1167</v>
      </c>
      <c r="V1103" t="s">
        <v>1167</v>
      </c>
      <c r="W1103" s="24">
        <v>44775</v>
      </c>
      <c r="X1103" s="238" t="s">
        <v>3258</v>
      </c>
      <c r="Y1103" s="238" t="s">
        <v>3247</v>
      </c>
      <c r="Z1103" s="238" t="s">
        <v>1340</v>
      </c>
      <c r="AA1103" t="s">
        <v>1167</v>
      </c>
      <c r="AB1103" s="238" t="s">
        <v>3246</v>
      </c>
      <c r="AC1103" t="s">
        <v>1167</v>
      </c>
      <c r="AD1103" s="24"/>
      <c r="AE1103" s="238" t="s">
        <v>3248</v>
      </c>
      <c r="AG1103" s="238" t="s">
        <v>1167</v>
      </c>
      <c r="AH1103" s="238" t="s">
        <v>1167</v>
      </c>
      <c r="AI1103" s="238" t="s">
        <v>5050</v>
      </c>
      <c r="AJ1103" s="238" t="s">
        <v>982</v>
      </c>
      <c r="AK1103" s="238" t="s">
        <v>1167</v>
      </c>
      <c r="AL1103" t="s">
        <v>8715</v>
      </c>
      <c r="AM1103" t="s">
        <v>1167</v>
      </c>
    </row>
    <row r="1104" spans="1:39" hidden="1" x14ac:dyDescent="0.25">
      <c r="A1104">
        <v>1100</v>
      </c>
      <c r="B1104">
        <v>44</v>
      </c>
      <c r="C1104" s="24">
        <v>44781</v>
      </c>
      <c r="D1104" s="238" t="s">
        <v>27</v>
      </c>
      <c r="E1104" s="238" t="s">
        <v>6</v>
      </c>
      <c r="F1104">
        <v>6</v>
      </c>
      <c r="G1104">
        <v>17</v>
      </c>
      <c r="H1104">
        <v>141</v>
      </c>
      <c r="I1104" s="238" t="s">
        <v>43</v>
      </c>
      <c r="J1104">
        <v>54.67</v>
      </c>
      <c r="K1104" s="238" t="s">
        <v>38</v>
      </c>
      <c r="L1104">
        <v>3999750</v>
      </c>
      <c r="M1104">
        <v>0</v>
      </c>
      <c r="N1104">
        <v>3999750</v>
      </c>
      <c r="O1104">
        <v>73161.69745747211</v>
      </c>
      <c r="P1104">
        <v>0</v>
      </c>
      <c r="Q1104">
        <v>3999750</v>
      </c>
      <c r="R1104">
        <v>73161.69745747211</v>
      </c>
      <c r="S1104" s="238" t="s">
        <v>124</v>
      </c>
      <c r="T1104" s="238" t="s">
        <v>1167</v>
      </c>
      <c r="V1104" t="s">
        <v>1167</v>
      </c>
      <c r="W1104" s="24">
        <v>44775</v>
      </c>
      <c r="X1104" s="238" t="s">
        <v>3258</v>
      </c>
      <c r="Y1104" s="238" t="s">
        <v>3247</v>
      </c>
      <c r="Z1104" s="238" t="s">
        <v>1340</v>
      </c>
      <c r="AA1104" t="s">
        <v>1167</v>
      </c>
      <c r="AB1104" s="238" t="s">
        <v>3246</v>
      </c>
      <c r="AC1104" t="s">
        <v>1167</v>
      </c>
      <c r="AD1104" s="24"/>
      <c r="AE1104" s="238" t="s">
        <v>3248</v>
      </c>
      <c r="AG1104" s="238" t="s">
        <v>1167</v>
      </c>
      <c r="AH1104" s="238" t="s">
        <v>1167</v>
      </c>
      <c r="AI1104" s="238" t="s">
        <v>5050</v>
      </c>
      <c r="AJ1104" s="238" t="s">
        <v>982</v>
      </c>
      <c r="AK1104" s="238" t="s">
        <v>1167</v>
      </c>
      <c r="AL1104" t="s">
        <v>8715</v>
      </c>
      <c r="AM1104" t="s">
        <v>1167</v>
      </c>
    </row>
    <row r="1105" spans="1:39" hidden="1" x14ac:dyDescent="0.25">
      <c r="A1105">
        <v>1101</v>
      </c>
      <c r="B1105">
        <v>45</v>
      </c>
      <c r="C1105" s="24">
        <v>44784</v>
      </c>
      <c r="D1105" s="238" t="s">
        <v>27</v>
      </c>
      <c r="E1105" s="238" t="s">
        <v>6</v>
      </c>
      <c r="F1105">
        <v>1</v>
      </c>
      <c r="G1105">
        <v>21</v>
      </c>
      <c r="H1105">
        <v>172</v>
      </c>
      <c r="I1105" s="238" t="s">
        <v>44</v>
      </c>
      <c r="J1105">
        <v>82.71</v>
      </c>
      <c r="K1105" s="238" t="s">
        <v>38</v>
      </c>
      <c r="L1105">
        <v>6012750</v>
      </c>
      <c r="M1105">
        <v>0</v>
      </c>
      <c r="N1105">
        <v>6012750</v>
      </c>
      <c r="O1105">
        <v>72696.771853463913</v>
      </c>
      <c r="P1105">
        <v>0</v>
      </c>
      <c r="Q1105">
        <v>6012750</v>
      </c>
      <c r="R1105">
        <v>72696.771853463913</v>
      </c>
      <c r="S1105" s="238" t="s">
        <v>124</v>
      </c>
      <c r="T1105" s="238" t="s">
        <v>1167</v>
      </c>
      <c r="V1105" t="s">
        <v>1167</v>
      </c>
      <c r="W1105" s="24">
        <v>44781</v>
      </c>
      <c r="X1105" s="238" t="s">
        <v>3259</v>
      </c>
      <c r="Y1105" s="238" t="s">
        <v>3247</v>
      </c>
      <c r="Z1105" s="238" t="s">
        <v>1340</v>
      </c>
      <c r="AA1105" t="s">
        <v>1167</v>
      </c>
      <c r="AB1105" s="238" t="s">
        <v>3246</v>
      </c>
      <c r="AC1105" t="s">
        <v>1167</v>
      </c>
      <c r="AD1105" s="24"/>
      <c r="AE1105" s="238" t="s">
        <v>3248</v>
      </c>
      <c r="AG1105" s="238" t="s">
        <v>1167</v>
      </c>
      <c r="AH1105" s="238" t="s">
        <v>1167</v>
      </c>
      <c r="AI1105" s="238" t="s">
        <v>5050</v>
      </c>
      <c r="AJ1105" s="238" t="s">
        <v>982</v>
      </c>
      <c r="AK1105" s="238" t="s">
        <v>1167</v>
      </c>
      <c r="AL1105" t="s">
        <v>8715</v>
      </c>
      <c r="AM1105" t="s">
        <v>1167</v>
      </c>
    </row>
    <row r="1106" spans="1:39" hidden="1" x14ac:dyDescent="0.25">
      <c r="A1106">
        <v>1102</v>
      </c>
      <c r="B1106">
        <v>46</v>
      </c>
      <c r="C1106" s="24">
        <v>44784</v>
      </c>
      <c r="D1106" s="238" t="s">
        <v>27</v>
      </c>
      <c r="E1106" s="238" t="s">
        <v>6</v>
      </c>
      <c r="F1106">
        <v>6</v>
      </c>
      <c r="G1106">
        <v>21</v>
      </c>
      <c r="H1106">
        <v>177</v>
      </c>
      <c r="I1106" s="238" t="s">
        <v>43</v>
      </c>
      <c r="J1106">
        <v>54.67</v>
      </c>
      <c r="K1106" s="238" t="s">
        <v>38</v>
      </c>
      <c r="L1106">
        <v>3999750</v>
      </c>
      <c r="M1106">
        <v>0</v>
      </c>
      <c r="N1106">
        <v>3999750</v>
      </c>
      <c r="O1106">
        <v>73161.69745747211</v>
      </c>
      <c r="P1106">
        <v>0</v>
      </c>
      <c r="Q1106">
        <v>3999750</v>
      </c>
      <c r="R1106">
        <v>73161.69745747211</v>
      </c>
      <c r="S1106" s="238" t="s">
        <v>124</v>
      </c>
      <c r="T1106" s="238" t="s">
        <v>1167</v>
      </c>
      <c r="V1106" t="s">
        <v>1167</v>
      </c>
      <c r="W1106" s="24">
        <v>44781</v>
      </c>
      <c r="X1106" s="238" t="s">
        <v>3259</v>
      </c>
      <c r="Y1106" s="238" t="s">
        <v>3247</v>
      </c>
      <c r="Z1106" s="238" t="s">
        <v>1340</v>
      </c>
      <c r="AA1106" t="s">
        <v>1167</v>
      </c>
      <c r="AB1106" s="238" t="s">
        <v>3246</v>
      </c>
      <c r="AC1106" t="s">
        <v>1167</v>
      </c>
      <c r="AD1106" s="24"/>
      <c r="AE1106" s="238" t="s">
        <v>3248</v>
      </c>
      <c r="AG1106" s="238" t="s">
        <v>1167</v>
      </c>
      <c r="AH1106" s="238" t="s">
        <v>1167</v>
      </c>
      <c r="AI1106" s="238" t="s">
        <v>5050</v>
      </c>
      <c r="AJ1106" s="238" t="s">
        <v>982</v>
      </c>
      <c r="AK1106" s="238" t="s">
        <v>1167</v>
      </c>
      <c r="AL1106" t="s">
        <v>8715</v>
      </c>
      <c r="AM1106" t="s">
        <v>1167</v>
      </c>
    </row>
    <row r="1107" spans="1:39" hidden="1" x14ac:dyDescent="0.25">
      <c r="A1107">
        <v>1103</v>
      </c>
      <c r="B1107">
        <v>47</v>
      </c>
      <c r="C1107" s="24">
        <v>44784</v>
      </c>
      <c r="D1107" s="238" t="s">
        <v>27</v>
      </c>
      <c r="E1107" s="238" t="s">
        <v>6</v>
      </c>
      <c r="F1107">
        <v>7</v>
      </c>
      <c r="G1107">
        <v>21</v>
      </c>
      <c r="H1107">
        <v>178</v>
      </c>
      <c r="I1107" s="238" t="s">
        <v>43</v>
      </c>
      <c r="J1107">
        <v>60.06</v>
      </c>
      <c r="K1107" s="238" t="s">
        <v>38</v>
      </c>
      <c r="L1107">
        <v>4313250</v>
      </c>
      <c r="M1107">
        <v>0</v>
      </c>
      <c r="N1107">
        <v>4313250</v>
      </c>
      <c r="O1107">
        <v>71815.68431568431</v>
      </c>
      <c r="P1107">
        <v>0</v>
      </c>
      <c r="Q1107">
        <v>4313250</v>
      </c>
      <c r="R1107">
        <v>71815.68431568431</v>
      </c>
      <c r="S1107" s="238" t="s">
        <v>124</v>
      </c>
      <c r="T1107" s="238" t="s">
        <v>1167</v>
      </c>
      <c r="V1107" t="s">
        <v>1167</v>
      </c>
      <c r="W1107" s="24">
        <v>44781</v>
      </c>
      <c r="X1107" s="238" t="s">
        <v>3259</v>
      </c>
      <c r="Y1107" s="238" t="s">
        <v>3247</v>
      </c>
      <c r="Z1107" s="238" t="s">
        <v>1340</v>
      </c>
      <c r="AA1107" t="s">
        <v>1167</v>
      </c>
      <c r="AB1107" s="238" t="s">
        <v>3246</v>
      </c>
      <c r="AC1107" t="s">
        <v>1167</v>
      </c>
      <c r="AD1107" s="24"/>
      <c r="AE1107" s="238" t="s">
        <v>3248</v>
      </c>
      <c r="AG1107" s="238" t="s">
        <v>1167</v>
      </c>
      <c r="AH1107" s="238" t="s">
        <v>1167</v>
      </c>
      <c r="AI1107" s="238" t="s">
        <v>5050</v>
      </c>
      <c r="AJ1107" s="238" t="s">
        <v>982</v>
      </c>
      <c r="AK1107" s="238" t="s">
        <v>1167</v>
      </c>
      <c r="AL1107" t="s">
        <v>8715</v>
      </c>
      <c r="AM1107" t="s">
        <v>1167</v>
      </c>
    </row>
    <row r="1108" spans="1:39" hidden="1" x14ac:dyDescent="0.25">
      <c r="A1108">
        <v>1104</v>
      </c>
      <c r="B1108">
        <v>48</v>
      </c>
      <c r="C1108" s="24">
        <v>44784</v>
      </c>
      <c r="D1108" s="238" t="s">
        <v>27</v>
      </c>
      <c r="E1108" s="238" t="s">
        <v>6</v>
      </c>
      <c r="F1108">
        <v>9</v>
      </c>
      <c r="G1108">
        <v>21</v>
      </c>
      <c r="H1108">
        <v>180</v>
      </c>
      <c r="I1108" s="238" t="s">
        <v>42</v>
      </c>
      <c r="J1108">
        <v>37.94</v>
      </c>
      <c r="K1108" s="238" t="s">
        <v>38</v>
      </c>
      <c r="L1108">
        <v>2745000</v>
      </c>
      <c r="M1108">
        <v>0</v>
      </c>
      <c r="N1108">
        <v>2745000</v>
      </c>
      <c r="O1108">
        <v>72351.080653663681</v>
      </c>
      <c r="P1108">
        <v>0</v>
      </c>
      <c r="Q1108">
        <v>2745000</v>
      </c>
      <c r="R1108">
        <v>72351.080653663681</v>
      </c>
      <c r="S1108" s="238" t="s">
        <v>124</v>
      </c>
      <c r="T1108" s="238" t="s">
        <v>1167</v>
      </c>
      <c r="V1108" t="s">
        <v>1167</v>
      </c>
      <c r="W1108" s="24">
        <v>44781</v>
      </c>
      <c r="X1108" s="238" t="s">
        <v>3259</v>
      </c>
      <c r="Y1108" s="238" t="s">
        <v>3247</v>
      </c>
      <c r="Z1108" s="238" t="s">
        <v>1340</v>
      </c>
      <c r="AA1108" t="s">
        <v>1167</v>
      </c>
      <c r="AB1108" s="238" t="s">
        <v>3246</v>
      </c>
      <c r="AC1108" t="s">
        <v>1167</v>
      </c>
      <c r="AD1108" s="24"/>
      <c r="AE1108" s="238" t="s">
        <v>3248</v>
      </c>
      <c r="AG1108" s="238" t="s">
        <v>1167</v>
      </c>
      <c r="AH1108" s="238" t="s">
        <v>1167</v>
      </c>
      <c r="AI1108" s="238" t="s">
        <v>5050</v>
      </c>
      <c r="AJ1108" s="238" t="s">
        <v>982</v>
      </c>
      <c r="AK1108" s="238" t="s">
        <v>1167</v>
      </c>
      <c r="AL1108" t="s">
        <v>8715</v>
      </c>
      <c r="AM1108" t="s">
        <v>1167</v>
      </c>
    </row>
    <row r="1109" spans="1:39" hidden="1" x14ac:dyDescent="0.25">
      <c r="A1109">
        <v>1105</v>
      </c>
      <c r="B1109">
        <v>49</v>
      </c>
      <c r="C1109" s="24">
        <v>44784</v>
      </c>
      <c r="D1109" s="238" t="s">
        <v>27</v>
      </c>
      <c r="E1109" s="238" t="s">
        <v>6</v>
      </c>
      <c r="F1109">
        <v>1</v>
      </c>
      <c r="G1109">
        <v>22</v>
      </c>
      <c r="H1109">
        <v>181</v>
      </c>
      <c r="I1109" s="238" t="s">
        <v>44</v>
      </c>
      <c r="J1109">
        <v>82.71</v>
      </c>
      <c r="K1109" s="238" t="s">
        <v>38</v>
      </c>
      <c r="L1109">
        <v>6012750</v>
      </c>
      <c r="M1109">
        <v>0</v>
      </c>
      <c r="N1109">
        <v>6012750</v>
      </c>
      <c r="O1109">
        <v>72696.771853463913</v>
      </c>
      <c r="P1109">
        <v>0</v>
      </c>
      <c r="Q1109">
        <v>6012750</v>
      </c>
      <c r="R1109">
        <v>72696.771853463913</v>
      </c>
      <c r="S1109" s="238" t="s">
        <v>124</v>
      </c>
      <c r="T1109" s="238" t="s">
        <v>1167</v>
      </c>
      <c r="V1109" t="s">
        <v>1167</v>
      </c>
      <c r="W1109" s="24">
        <v>44781</v>
      </c>
      <c r="X1109" s="238" t="s">
        <v>3259</v>
      </c>
      <c r="Y1109" s="238" t="s">
        <v>3247</v>
      </c>
      <c r="Z1109" s="238" t="s">
        <v>1340</v>
      </c>
      <c r="AA1109" t="s">
        <v>1167</v>
      </c>
      <c r="AB1109" s="238" t="s">
        <v>3246</v>
      </c>
      <c r="AC1109" t="s">
        <v>1167</v>
      </c>
      <c r="AD1109" s="24"/>
      <c r="AE1109" s="238" t="s">
        <v>3248</v>
      </c>
      <c r="AG1109" s="238" t="s">
        <v>1167</v>
      </c>
      <c r="AH1109" s="238" t="s">
        <v>1167</v>
      </c>
      <c r="AI1109" s="238" t="s">
        <v>5050</v>
      </c>
      <c r="AJ1109" s="238" t="s">
        <v>982</v>
      </c>
      <c r="AK1109" s="238" t="s">
        <v>1167</v>
      </c>
      <c r="AL1109" t="s">
        <v>8715</v>
      </c>
      <c r="AM1109" t="s">
        <v>1167</v>
      </c>
    </row>
    <row r="1110" spans="1:39" hidden="1" x14ac:dyDescent="0.25">
      <c r="A1110">
        <v>1106</v>
      </c>
      <c r="B1110">
        <v>50</v>
      </c>
      <c r="C1110" s="24">
        <v>44784</v>
      </c>
      <c r="D1110" s="238" t="s">
        <v>27</v>
      </c>
      <c r="E1110" s="238" t="s">
        <v>6</v>
      </c>
      <c r="F1110">
        <v>3</v>
      </c>
      <c r="G1110">
        <v>22</v>
      </c>
      <c r="H1110">
        <v>183</v>
      </c>
      <c r="I1110" s="238" t="s">
        <v>42</v>
      </c>
      <c r="J1110">
        <v>41.06</v>
      </c>
      <c r="K1110" s="238" t="s">
        <v>38</v>
      </c>
      <c r="L1110">
        <v>2993250</v>
      </c>
      <c r="M1110">
        <v>0</v>
      </c>
      <c r="N1110">
        <v>2993250</v>
      </c>
      <c r="O1110">
        <v>72899.415489527513</v>
      </c>
      <c r="P1110">
        <v>0</v>
      </c>
      <c r="Q1110">
        <v>2993250</v>
      </c>
      <c r="R1110">
        <v>72899.415489527513</v>
      </c>
      <c r="S1110" s="238" t="s">
        <v>124</v>
      </c>
      <c r="T1110" s="238" t="s">
        <v>1167</v>
      </c>
      <c r="V1110" t="s">
        <v>1167</v>
      </c>
      <c r="W1110" s="24">
        <v>44781</v>
      </c>
      <c r="X1110" s="238" t="s">
        <v>3259</v>
      </c>
      <c r="Y1110" s="238" t="s">
        <v>3247</v>
      </c>
      <c r="Z1110" s="238" t="s">
        <v>1340</v>
      </c>
      <c r="AA1110" t="s">
        <v>1167</v>
      </c>
      <c r="AB1110" s="238" t="s">
        <v>3246</v>
      </c>
      <c r="AC1110" t="s">
        <v>1167</v>
      </c>
      <c r="AD1110" s="24"/>
      <c r="AE1110" s="238" t="s">
        <v>3248</v>
      </c>
      <c r="AG1110" s="238" t="s">
        <v>1167</v>
      </c>
      <c r="AH1110" s="238" t="s">
        <v>1167</v>
      </c>
      <c r="AI1110" s="238" t="s">
        <v>5050</v>
      </c>
      <c r="AJ1110" s="238" t="s">
        <v>982</v>
      </c>
      <c r="AK1110" s="238" t="s">
        <v>1167</v>
      </c>
      <c r="AL1110" t="s">
        <v>8715</v>
      </c>
      <c r="AM1110" t="s">
        <v>1167</v>
      </c>
    </row>
    <row r="1111" spans="1:39" hidden="1" x14ac:dyDescent="0.25">
      <c r="A1111">
        <v>1107</v>
      </c>
      <c r="B1111">
        <v>51</v>
      </c>
      <c r="C1111" s="24">
        <v>44784</v>
      </c>
      <c r="D1111" s="238" t="s">
        <v>27</v>
      </c>
      <c r="E1111" s="238" t="s">
        <v>6</v>
      </c>
      <c r="F1111">
        <v>7</v>
      </c>
      <c r="G1111">
        <v>22</v>
      </c>
      <c r="H1111">
        <v>187</v>
      </c>
      <c r="I1111" s="238" t="s">
        <v>43</v>
      </c>
      <c r="J1111">
        <v>60.06</v>
      </c>
      <c r="K1111" s="238" t="s">
        <v>38</v>
      </c>
      <c r="L1111">
        <v>4313250</v>
      </c>
      <c r="M1111">
        <v>0</v>
      </c>
      <c r="N1111">
        <v>4313250</v>
      </c>
      <c r="O1111">
        <v>71815.68431568431</v>
      </c>
      <c r="P1111">
        <v>0</v>
      </c>
      <c r="Q1111">
        <v>4313250</v>
      </c>
      <c r="R1111">
        <v>71815.68431568431</v>
      </c>
      <c r="S1111" s="238" t="s">
        <v>124</v>
      </c>
      <c r="T1111" s="238" t="s">
        <v>1167</v>
      </c>
      <c r="V1111" t="s">
        <v>1167</v>
      </c>
      <c r="W1111" s="24">
        <v>44781</v>
      </c>
      <c r="X1111" s="238" t="s">
        <v>3259</v>
      </c>
      <c r="Y1111" s="238" t="s">
        <v>3247</v>
      </c>
      <c r="Z1111" s="238" t="s">
        <v>1340</v>
      </c>
      <c r="AA1111" t="s">
        <v>1167</v>
      </c>
      <c r="AB1111" s="238" t="s">
        <v>3246</v>
      </c>
      <c r="AC1111" t="s">
        <v>1167</v>
      </c>
      <c r="AD1111" s="24"/>
      <c r="AE1111" s="238" t="s">
        <v>3248</v>
      </c>
      <c r="AG1111" s="238" t="s">
        <v>1167</v>
      </c>
      <c r="AH1111" s="238" t="s">
        <v>1167</v>
      </c>
      <c r="AI1111" s="238" t="s">
        <v>5050</v>
      </c>
      <c r="AJ1111" s="238" t="s">
        <v>982</v>
      </c>
      <c r="AK1111" s="238" t="s">
        <v>1167</v>
      </c>
      <c r="AL1111" t="s">
        <v>8715</v>
      </c>
      <c r="AM1111" t="s">
        <v>1167</v>
      </c>
    </row>
    <row r="1112" spans="1:39" hidden="1" x14ac:dyDescent="0.25">
      <c r="A1112">
        <v>1108</v>
      </c>
      <c r="B1112">
        <v>52</v>
      </c>
      <c r="C1112" s="24">
        <v>44785</v>
      </c>
      <c r="D1112" s="238" t="s">
        <v>27</v>
      </c>
      <c r="E1112" s="238" t="s">
        <v>6</v>
      </c>
      <c r="F1112">
        <v>9</v>
      </c>
      <c r="G1112">
        <v>22</v>
      </c>
      <c r="H1112">
        <v>189</v>
      </c>
      <c r="I1112" s="238" t="s">
        <v>42</v>
      </c>
      <c r="J1112">
        <v>37.94</v>
      </c>
      <c r="K1112" s="238" t="s">
        <v>38</v>
      </c>
      <c r="L1112">
        <v>2745000</v>
      </c>
      <c r="M1112">
        <v>0</v>
      </c>
      <c r="N1112">
        <v>2745000</v>
      </c>
      <c r="O1112">
        <v>72351.080653663681</v>
      </c>
      <c r="P1112">
        <v>0</v>
      </c>
      <c r="Q1112">
        <v>2745000</v>
      </c>
      <c r="R1112">
        <v>72351.080653663681</v>
      </c>
      <c r="S1112" s="238" t="s">
        <v>124</v>
      </c>
      <c r="T1112" s="238" t="s">
        <v>1167</v>
      </c>
      <c r="V1112" t="s">
        <v>1167</v>
      </c>
      <c r="W1112" s="24">
        <v>44781</v>
      </c>
      <c r="X1112" s="238" t="s">
        <v>3260</v>
      </c>
      <c r="Y1112" s="238" t="s">
        <v>3247</v>
      </c>
      <c r="Z1112" s="238" t="s">
        <v>1340</v>
      </c>
      <c r="AA1112" t="s">
        <v>1167</v>
      </c>
      <c r="AB1112" s="238" t="s">
        <v>3246</v>
      </c>
      <c r="AC1112" t="s">
        <v>1167</v>
      </c>
      <c r="AD1112" s="24"/>
      <c r="AE1112" s="238" t="s">
        <v>3248</v>
      </c>
      <c r="AG1112" s="238" t="s">
        <v>1167</v>
      </c>
      <c r="AH1112" s="238" t="s">
        <v>1167</v>
      </c>
      <c r="AI1112" s="238" t="s">
        <v>5050</v>
      </c>
      <c r="AJ1112" s="238" t="s">
        <v>982</v>
      </c>
      <c r="AK1112" s="238" t="s">
        <v>1167</v>
      </c>
      <c r="AL1112" t="s">
        <v>8715</v>
      </c>
      <c r="AM1112" t="s">
        <v>1167</v>
      </c>
    </row>
    <row r="1113" spans="1:39" hidden="1" x14ac:dyDescent="0.25">
      <c r="A1113">
        <v>1109</v>
      </c>
      <c r="B1113">
        <v>53</v>
      </c>
      <c r="C1113" s="24">
        <v>44785</v>
      </c>
      <c r="D1113" s="238" t="s">
        <v>27</v>
      </c>
      <c r="E1113" s="238" t="s">
        <v>6</v>
      </c>
      <c r="F1113">
        <v>1</v>
      </c>
      <c r="G1113">
        <v>23</v>
      </c>
      <c r="H1113">
        <v>190</v>
      </c>
      <c r="I1113" s="238" t="s">
        <v>44</v>
      </c>
      <c r="J1113">
        <v>82.71</v>
      </c>
      <c r="K1113" s="238" t="s">
        <v>38</v>
      </c>
      <c r="L1113">
        <v>6012750</v>
      </c>
      <c r="M1113">
        <v>0</v>
      </c>
      <c r="N1113">
        <v>6012750</v>
      </c>
      <c r="O1113">
        <v>72696.771853463913</v>
      </c>
      <c r="P1113">
        <v>0</v>
      </c>
      <c r="Q1113">
        <v>6012750</v>
      </c>
      <c r="R1113">
        <v>72696.771853463913</v>
      </c>
      <c r="S1113" s="238" t="s">
        <v>124</v>
      </c>
      <c r="T1113" s="238" t="s">
        <v>1167</v>
      </c>
      <c r="V1113" t="s">
        <v>1167</v>
      </c>
      <c r="W1113" s="24">
        <v>44781</v>
      </c>
      <c r="X1113" s="238" t="s">
        <v>3260</v>
      </c>
      <c r="Y1113" s="238" t="s">
        <v>3247</v>
      </c>
      <c r="Z1113" s="238" t="s">
        <v>1340</v>
      </c>
      <c r="AA1113" t="s">
        <v>1167</v>
      </c>
      <c r="AB1113" s="238" t="s">
        <v>3246</v>
      </c>
      <c r="AC1113" t="s">
        <v>1167</v>
      </c>
      <c r="AD1113" s="24"/>
      <c r="AE1113" s="238" t="s">
        <v>3248</v>
      </c>
      <c r="AG1113" s="238" t="s">
        <v>1167</v>
      </c>
      <c r="AH1113" s="238" t="s">
        <v>1167</v>
      </c>
      <c r="AI1113" s="238" t="s">
        <v>5050</v>
      </c>
      <c r="AJ1113" s="238" t="s">
        <v>982</v>
      </c>
      <c r="AK1113" s="238" t="s">
        <v>1167</v>
      </c>
      <c r="AL1113" t="s">
        <v>8715</v>
      </c>
      <c r="AM1113" t="s">
        <v>1167</v>
      </c>
    </row>
    <row r="1114" spans="1:39" hidden="1" x14ac:dyDescent="0.25">
      <c r="A1114">
        <v>1110</v>
      </c>
      <c r="B1114">
        <v>54</v>
      </c>
      <c r="C1114" s="24">
        <v>44785</v>
      </c>
      <c r="D1114" s="238" t="s">
        <v>27</v>
      </c>
      <c r="E1114" s="238" t="s">
        <v>6</v>
      </c>
      <c r="F1114">
        <v>7</v>
      </c>
      <c r="G1114">
        <v>23</v>
      </c>
      <c r="H1114">
        <v>196</v>
      </c>
      <c r="I1114" s="238" t="s">
        <v>43</v>
      </c>
      <c r="J1114">
        <v>60.06</v>
      </c>
      <c r="K1114" s="238" t="s">
        <v>38</v>
      </c>
      <c r="L1114">
        <v>4313250</v>
      </c>
      <c r="M1114">
        <v>0</v>
      </c>
      <c r="N1114">
        <v>4313250</v>
      </c>
      <c r="O1114">
        <v>71815.68431568431</v>
      </c>
      <c r="P1114">
        <v>0</v>
      </c>
      <c r="Q1114">
        <v>4313250</v>
      </c>
      <c r="R1114">
        <v>71815.68431568431</v>
      </c>
      <c r="S1114" s="238" t="s">
        <v>124</v>
      </c>
      <c r="T1114" s="238" t="s">
        <v>1167</v>
      </c>
      <c r="V1114" t="s">
        <v>1167</v>
      </c>
      <c r="W1114" s="24">
        <v>44781</v>
      </c>
      <c r="X1114" s="238" t="s">
        <v>3260</v>
      </c>
      <c r="Y1114" s="238" t="s">
        <v>3247</v>
      </c>
      <c r="Z1114" s="238" t="s">
        <v>1340</v>
      </c>
      <c r="AA1114" t="s">
        <v>1167</v>
      </c>
      <c r="AB1114" s="238" t="s">
        <v>3246</v>
      </c>
      <c r="AC1114" t="s">
        <v>1167</v>
      </c>
      <c r="AD1114" s="24"/>
      <c r="AE1114" s="238" t="s">
        <v>3248</v>
      </c>
      <c r="AG1114" s="238" t="s">
        <v>1167</v>
      </c>
      <c r="AH1114" s="238" t="s">
        <v>1167</v>
      </c>
      <c r="AI1114" s="238" t="s">
        <v>5050</v>
      </c>
      <c r="AJ1114" s="238" t="s">
        <v>982</v>
      </c>
      <c r="AK1114" s="238" t="s">
        <v>1167</v>
      </c>
      <c r="AL1114" t="s">
        <v>8715</v>
      </c>
      <c r="AM1114" t="s">
        <v>1167</v>
      </c>
    </row>
    <row r="1115" spans="1:39" hidden="1" x14ac:dyDescent="0.25">
      <c r="A1115">
        <v>1111</v>
      </c>
      <c r="B1115">
        <v>55</v>
      </c>
      <c r="C1115" s="24">
        <v>44785</v>
      </c>
      <c r="D1115" s="238" t="s">
        <v>27</v>
      </c>
      <c r="E1115" s="238" t="s">
        <v>6</v>
      </c>
      <c r="F1115">
        <v>9</v>
      </c>
      <c r="G1115">
        <v>23</v>
      </c>
      <c r="H1115">
        <v>198</v>
      </c>
      <c r="I1115" s="238" t="s">
        <v>42</v>
      </c>
      <c r="J1115">
        <v>37.94</v>
      </c>
      <c r="K1115" s="238" t="s">
        <v>38</v>
      </c>
      <c r="L1115">
        <v>2745000</v>
      </c>
      <c r="M1115">
        <v>0</v>
      </c>
      <c r="N1115">
        <v>2745000</v>
      </c>
      <c r="O1115">
        <v>72351.080653663681</v>
      </c>
      <c r="P1115">
        <v>0</v>
      </c>
      <c r="Q1115">
        <v>2745000</v>
      </c>
      <c r="R1115">
        <v>72351.080653663681</v>
      </c>
      <c r="S1115" s="238" t="s">
        <v>124</v>
      </c>
      <c r="T1115" s="238" t="s">
        <v>1167</v>
      </c>
      <c r="V1115" t="s">
        <v>1167</v>
      </c>
      <c r="W1115" s="24">
        <v>44781</v>
      </c>
      <c r="X1115" s="238" t="s">
        <v>3260</v>
      </c>
      <c r="Y1115" s="238" t="s">
        <v>3247</v>
      </c>
      <c r="Z1115" s="238" t="s">
        <v>1340</v>
      </c>
      <c r="AA1115" t="s">
        <v>1167</v>
      </c>
      <c r="AB1115" s="238" t="s">
        <v>3246</v>
      </c>
      <c r="AC1115" t="s">
        <v>1167</v>
      </c>
      <c r="AD1115" s="24"/>
      <c r="AE1115" s="238" t="s">
        <v>3248</v>
      </c>
      <c r="AG1115" s="238" t="s">
        <v>1167</v>
      </c>
      <c r="AH1115" s="238" t="s">
        <v>1167</v>
      </c>
      <c r="AI1115" s="238" t="s">
        <v>5050</v>
      </c>
      <c r="AJ1115" s="238" t="s">
        <v>982</v>
      </c>
      <c r="AK1115" s="238" t="s">
        <v>1167</v>
      </c>
      <c r="AL1115" t="s">
        <v>8715</v>
      </c>
      <c r="AM1115" t="s">
        <v>1167</v>
      </c>
    </row>
    <row r="1116" spans="1:39" hidden="1" x14ac:dyDescent="0.25">
      <c r="A1116">
        <v>1112</v>
      </c>
      <c r="B1116">
        <v>56</v>
      </c>
      <c r="C1116" s="24">
        <v>44785</v>
      </c>
      <c r="D1116" s="238" t="s">
        <v>27</v>
      </c>
      <c r="E1116" s="238" t="s">
        <v>6</v>
      </c>
      <c r="F1116">
        <v>2</v>
      </c>
      <c r="G1116">
        <v>24</v>
      </c>
      <c r="H1116">
        <v>200</v>
      </c>
      <c r="I1116" s="238" t="s">
        <v>42</v>
      </c>
      <c r="J1116">
        <v>37.94</v>
      </c>
      <c r="K1116" s="238" t="s">
        <v>38</v>
      </c>
      <c r="L1116">
        <v>2745000</v>
      </c>
      <c r="M1116">
        <v>0</v>
      </c>
      <c r="N1116">
        <v>2745000</v>
      </c>
      <c r="O1116">
        <v>72351.080653663681</v>
      </c>
      <c r="P1116">
        <v>0</v>
      </c>
      <c r="Q1116">
        <v>2745000</v>
      </c>
      <c r="R1116">
        <v>72351.080653663681</v>
      </c>
      <c r="S1116" s="238" t="s">
        <v>124</v>
      </c>
      <c r="T1116" s="238" t="s">
        <v>1167</v>
      </c>
      <c r="V1116" t="s">
        <v>1167</v>
      </c>
      <c r="W1116" s="24">
        <v>44781</v>
      </c>
      <c r="X1116" s="238" t="s">
        <v>3260</v>
      </c>
      <c r="Y1116" s="238" t="s">
        <v>3247</v>
      </c>
      <c r="Z1116" s="238" t="s">
        <v>1340</v>
      </c>
      <c r="AA1116" t="s">
        <v>1167</v>
      </c>
      <c r="AB1116" s="238" t="s">
        <v>3246</v>
      </c>
      <c r="AC1116" t="s">
        <v>1167</v>
      </c>
      <c r="AD1116" s="24"/>
      <c r="AE1116" s="238" t="s">
        <v>3248</v>
      </c>
      <c r="AG1116" s="238" t="s">
        <v>1167</v>
      </c>
      <c r="AH1116" s="238" t="s">
        <v>1167</v>
      </c>
      <c r="AI1116" s="238" t="s">
        <v>5050</v>
      </c>
      <c r="AJ1116" s="238" t="s">
        <v>982</v>
      </c>
      <c r="AK1116" s="238" t="s">
        <v>1167</v>
      </c>
      <c r="AL1116" t="s">
        <v>8715</v>
      </c>
      <c r="AM1116" t="s">
        <v>1167</v>
      </c>
    </row>
    <row r="1117" spans="1:39" hidden="1" x14ac:dyDescent="0.25">
      <c r="A1117">
        <v>1113</v>
      </c>
      <c r="B1117">
        <v>57</v>
      </c>
      <c r="C1117" s="24">
        <v>44785</v>
      </c>
      <c r="D1117" s="238" t="s">
        <v>27</v>
      </c>
      <c r="E1117" s="238" t="s">
        <v>6</v>
      </c>
      <c r="F1117">
        <v>3</v>
      </c>
      <c r="G1117">
        <v>24</v>
      </c>
      <c r="H1117">
        <v>201</v>
      </c>
      <c r="I1117" s="238" t="s">
        <v>42</v>
      </c>
      <c r="J1117">
        <v>41.06</v>
      </c>
      <c r="K1117" s="238" t="s">
        <v>38</v>
      </c>
      <c r="L1117">
        <v>2993250</v>
      </c>
      <c r="M1117">
        <v>0</v>
      </c>
      <c r="N1117">
        <v>2993250</v>
      </c>
      <c r="O1117">
        <v>72899.415489527513</v>
      </c>
      <c r="P1117">
        <v>0</v>
      </c>
      <c r="Q1117">
        <v>2993250</v>
      </c>
      <c r="R1117">
        <v>72899.415489527513</v>
      </c>
      <c r="S1117" s="238" t="s">
        <v>124</v>
      </c>
      <c r="T1117" s="238" t="s">
        <v>1167</v>
      </c>
      <c r="V1117" t="s">
        <v>1167</v>
      </c>
      <c r="W1117" s="24">
        <v>44781</v>
      </c>
      <c r="X1117" s="238" t="s">
        <v>3260</v>
      </c>
      <c r="Y1117" s="238" t="s">
        <v>3247</v>
      </c>
      <c r="Z1117" s="238" t="s">
        <v>1340</v>
      </c>
      <c r="AA1117" t="s">
        <v>1167</v>
      </c>
      <c r="AB1117" s="238" t="s">
        <v>3246</v>
      </c>
      <c r="AC1117" t="s">
        <v>1167</v>
      </c>
      <c r="AD1117" s="24"/>
      <c r="AE1117" s="238" t="s">
        <v>3248</v>
      </c>
      <c r="AG1117" s="238" t="s">
        <v>1167</v>
      </c>
      <c r="AH1117" s="238" t="s">
        <v>1167</v>
      </c>
      <c r="AI1117" s="238" t="s">
        <v>5050</v>
      </c>
      <c r="AJ1117" s="238" t="s">
        <v>982</v>
      </c>
      <c r="AK1117" s="238" t="s">
        <v>1167</v>
      </c>
      <c r="AL1117" t="s">
        <v>8715</v>
      </c>
      <c r="AM1117" t="s">
        <v>1167</v>
      </c>
    </row>
    <row r="1118" spans="1:39" hidden="1" x14ac:dyDescent="0.25">
      <c r="A1118">
        <v>1114</v>
      </c>
      <c r="B1118">
        <v>58</v>
      </c>
      <c r="C1118" s="24">
        <v>44785</v>
      </c>
      <c r="D1118" s="238" t="s">
        <v>27</v>
      </c>
      <c r="E1118" s="238" t="s">
        <v>6</v>
      </c>
      <c r="F1118">
        <v>6</v>
      </c>
      <c r="G1118">
        <v>24</v>
      </c>
      <c r="H1118">
        <v>204</v>
      </c>
      <c r="I1118" s="238" t="s">
        <v>43</v>
      </c>
      <c r="J1118">
        <v>54.67</v>
      </c>
      <c r="K1118" s="238" t="s">
        <v>38</v>
      </c>
      <c r="L1118">
        <v>3999750</v>
      </c>
      <c r="M1118">
        <v>0</v>
      </c>
      <c r="N1118">
        <v>3999750</v>
      </c>
      <c r="O1118">
        <v>73161.69745747211</v>
      </c>
      <c r="P1118">
        <v>0</v>
      </c>
      <c r="Q1118">
        <v>3999750</v>
      </c>
      <c r="R1118">
        <v>73161.69745747211</v>
      </c>
      <c r="S1118" s="238" t="s">
        <v>124</v>
      </c>
      <c r="T1118" s="238" t="s">
        <v>1167</v>
      </c>
      <c r="V1118" t="s">
        <v>1167</v>
      </c>
      <c r="W1118" s="24">
        <v>44781</v>
      </c>
      <c r="X1118" s="238" t="s">
        <v>3260</v>
      </c>
      <c r="Y1118" s="238" t="s">
        <v>3247</v>
      </c>
      <c r="Z1118" s="238" t="s">
        <v>1340</v>
      </c>
      <c r="AA1118" t="s">
        <v>1167</v>
      </c>
      <c r="AB1118" s="238" t="s">
        <v>3246</v>
      </c>
      <c r="AC1118" t="s">
        <v>1167</v>
      </c>
      <c r="AD1118" s="24"/>
      <c r="AE1118" s="238" t="s">
        <v>3248</v>
      </c>
      <c r="AG1118" s="238" t="s">
        <v>1167</v>
      </c>
      <c r="AH1118" s="238" t="s">
        <v>1167</v>
      </c>
      <c r="AI1118" s="238" t="s">
        <v>5050</v>
      </c>
      <c r="AJ1118" s="238" t="s">
        <v>982</v>
      </c>
      <c r="AK1118" s="238" t="s">
        <v>1167</v>
      </c>
      <c r="AL1118" t="s">
        <v>8715</v>
      </c>
      <c r="AM1118" t="s">
        <v>1167</v>
      </c>
    </row>
    <row r="1119" spans="1:39" hidden="1" x14ac:dyDescent="0.25">
      <c r="A1119">
        <v>1115</v>
      </c>
      <c r="B1119">
        <v>59</v>
      </c>
      <c r="C1119" s="24">
        <v>44785</v>
      </c>
      <c r="D1119" s="238" t="s">
        <v>27</v>
      </c>
      <c r="E1119" s="238" t="s">
        <v>6</v>
      </c>
      <c r="F1119">
        <v>7</v>
      </c>
      <c r="G1119">
        <v>24</v>
      </c>
      <c r="H1119">
        <v>205</v>
      </c>
      <c r="I1119" s="238" t="s">
        <v>43</v>
      </c>
      <c r="J1119">
        <v>60.06</v>
      </c>
      <c r="K1119" s="238" t="s">
        <v>38</v>
      </c>
      <c r="L1119">
        <v>4313250</v>
      </c>
      <c r="M1119">
        <v>0</v>
      </c>
      <c r="N1119">
        <v>4313250</v>
      </c>
      <c r="O1119">
        <v>71815.68431568431</v>
      </c>
      <c r="P1119">
        <v>0</v>
      </c>
      <c r="Q1119">
        <v>4313250</v>
      </c>
      <c r="R1119">
        <v>71815.68431568431</v>
      </c>
      <c r="S1119" s="238" t="s">
        <v>124</v>
      </c>
      <c r="T1119" s="238" t="s">
        <v>1167</v>
      </c>
      <c r="V1119" t="s">
        <v>1167</v>
      </c>
      <c r="W1119" s="24">
        <v>44781</v>
      </c>
      <c r="X1119" s="238" t="s">
        <v>3260</v>
      </c>
      <c r="Y1119" s="238" t="s">
        <v>3247</v>
      </c>
      <c r="Z1119" s="238" t="s">
        <v>1340</v>
      </c>
      <c r="AA1119" t="s">
        <v>1167</v>
      </c>
      <c r="AB1119" s="238" t="s">
        <v>3246</v>
      </c>
      <c r="AC1119" t="s">
        <v>1167</v>
      </c>
      <c r="AD1119" s="24"/>
      <c r="AE1119" s="238" t="s">
        <v>3248</v>
      </c>
      <c r="AG1119" s="238" t="s">
        <v>1167</v>
      </c>
      <c r="AH1119" s="238" t="s">
        <v>1167</v>
      </c>
      <c r="AI1119" s="238" t="s">
        <v>5050</v>
      </c>
      <c r="AJ1119" s="238" t="s">
        <v>982</v>
      </c>
      <c r="AK1119" s="238" t="s">
        <v>1167</v>
      </c>
      <c r="AL1119" t="s">
        <v>8715</v>
      </c>
      <c r="AM1119" t="s">
        <v>1167</v>
      </c>
    </row>
    <row r="1120" spans="1:39" hidden="1" x14ac:dyDescent="0.25">
      <c r="A1120">
        <v>1116</v>
      </c>
      <c r="B1120">
        <v>60</v>
      </c>
      <c r="C1120" s="24">
        <v>44785</v>
      </c>
      <c r="D1120" s="238" t="s">
        <v>27</v>
      </c>
      <c r="E1120" s="238" t="s">
        <v>6</v>
      </c>
      <c r="F1120">
        <v>8</v>
      </c>
      <c r="G1120">
        <v>24</v>
      </c>
      <c r="H1120">
        <v>206</v>
      </c>
      <c r="I1120" s="238" t="s">
        <v>42</v>
      </c>
      <c r="J1120">
        <v>37.69</v>
      </c>
      <c r="K1120" s="238" t="s">
        <v>38</v>
      </c>
      <c r="L1120">
        <v>2726250</v>
      </c>
      <c r="M1120">
        <v>0</v>
      </c>
      <c r="N1120">
        <v>2726250</v>
      </c>
      <c r="O1120">
        <v>72333.510214911119</v>
      </c>
      <c r="P1120">
        <v>0</v>
      </c>
      <c r="Q1120">
        <v>2726250</v>
      </c>
      <c r="R1120">
        <v>72333.510214911119</v>
      </c>
      <c r="S1120" s="238" t="s">
        <v>124</v>
      </c>
      <c r="T1120" s="238" t="s">
        <v>1167</v>
      </c>
      <c r="V1120" t="s">
        <v>1167</v>
      </c>
      <c r="W1120" s="24">
        <v>44781</v>
      </c>
      <c r="X1120" s="238" t="s">
        <v>3260</v>
      </c>
      <c r="Y1120" s="238" t="s">
        <v>3247</v>
      </c>
      <c r="Z1120" s="238" t="s">
        <v>1340</v>
      </c>
      <c r="AA1120" t="s">
        <v>1167</v>
      </c>
      <c r="AB1120" s="238" t="s">
        <v>3246</v>
      </c>
      <c r="AC1120" t="s">
        <v>1167</v>
      </c>
      <c r="AD1120" s="24"/>
      <c r="AE1120" s="238" t="s">
        <v>3248</v>
      </c>
      <c r="AG1120" s="238" t="s">
        <v>1167</v>
      </c>
      <c r="AH1120" s="238" t="s">
        <v>1167</v>
      </c>
      <c r="AI1120" s="238" t="s">
        <v>5050</v>
      </c>
      <c r="AJ1120" s="238" t="s">
        <v>982</v>
      </c>
      <c r="AK1120" s="238" t="s">
        <v>1167</v>
      </c>
      <c r="AL1120" t="s">
        <v>8715</v>
      </c>
      <c r="AM1120" t="s">
        <v>1167</v>
      </c>
    </row>
    <row r="1121" spans="1:39" hidden="1" x14ac:dyDescent="0.25">
      <c r="A1121">
        <v>1117</v>
      </c>
      <c r="B1121">
        <v>61</v>
      </c>
      <c r="C1121" s="24">
        <v>44785</v>
      </c>
      <c r="D1121" s="238" t="s">
        <v>27</v>
      </c>
      <c r="E1121" s="238" t="s">
        <v>6</v>
      </c>
      <c r="F1121">
        <v>9</v>
      </c>
      <c r="G1121">
        <v>24</v>
      </c>
      <c r="H1121">
        <v>207</v>
      </c>
      <c r="I1121" s="238" t="s">
        <v>42</v>
      </c>
      <c r="J1121">
        <v>37.94</v>
      </c>
      <c r="K1121" s="238" t="s">
        <v>38</v>
      </c>
      <c r="L1121">
        <v>2745000</v>
      </c>
      <c r="M1121">
        <v>0</v>
      </c>
      <c r="N1121">
        <v>2745000</v>
      </c>
      <c r="O1121">
        <v>72351.080653663681</v>
      </c>
      <c r="P1121">
        <v>0</v>
      </c>
      <c r="Q1121">
        <v>2745000</v>
      </c>
      <c r="R1121">
        <v>72351.080653663681</v>
      </c>
      <c r="S1121" s="238" t="s">
        <v>124</v>
      </c>
      <c r="T1121" s="238" t="s">
        <v>1167</v>
      </c>
      <c r="V1121" t="s">
        <v>1167</v>
      </c>
      <c r="W1121" s="24">
        <v>44781</v>
      </c>
      <c r="X1121" s="238" t="s">
        <v>3260</v>
      </c>
      <c r="Y1121" s="238" t="s">
        <v>3247</v>
      </c>
      <c r="Z1121" s="238" t="s">
        <v>1340</v>
      </c>
      <c r="AA1121" t="s">
        <v>1167</v>
      </c>
      <c r="AB1121" s="238" t="s">
        <v>3246</v>
      </c>
      <c r="AC1121" t="s">
        <v>1167</v>
      </c>
      <c r="AD1121" s="24"/>
      <c r="AE1121" s="238" t="s">
        <v>3248</v>
      </c>
      <c r="AG1121" s="238" t="s">
        <v>1167</v>
      </c>
      <c r="AH1121" s="238" t="s">
        <v>1167</v>
      </c>
      <c r="AI1121" s="238" t="s">
        <v>5050</v>
      </c>
      <c r="AJ1121" s="238" t="s">
        <v>982</v>
      </c>
      <c r="AK1121" s="238" t="s">
        <v>1167</v>
      </c>
      <c r="AL1121" t="s">
        <v>8715</v>
      </c>
      <c r="AM1121" t="s">
        <v>1167</v>
      </c>
    </row>
    <row r="1122" spans="1:39" hidden="1" x14ac:dyDescent="0.25">
      <c r="A1122">
        <v>1118</v>
      </c>
      <c r="B1122">
        <v>62</v>
      </c>
      <c r="C1122" s="24">
        <v>44788</v>
      </c>
      <c r="D1122" s="238" t="s">
        <v>27</v>
      </c>
      <c r="E1122" s="238" t="s">
        <v>5</v>
      </c>
      <c r="F1122">
        <v>1</v>
      </c>
      <c r="G1122">
        <v>2</v>
      </c>
      <c r="H1122">
        <v>208</v>
      </c>
      <c r="I1122" s="238" t="s">
        <v>44</v>
      </c>
      <c r="J1122">
        <v>82.76</v>
      </c>
      <c r="K1122" s="238" t="s">
        <v>38</v>
      </c>
      <c r="L1122">
        <v>6017250</v>
      </c>
      <c r="M1122">
        <v>0</v>
      </c>
      <c r="N1122">
        <v>6017250</v>
      </c>
      <c r="O1122">
        <v>72707.225712904779</v>
      </c>
      <c r="P1122">
        <v>0</v>
      </c>
      <c r="Q1122">
        <v>6017250</v>
      </c>
      <c r="R1122">
        <v>72707.225712904779</v>
      </c>
      <c r="S1122" s="238" t="s">
        <v>124</v>
      </c>
      <c r="T1122" s="238" t="s">
        <v>1167</v>
      </c>
      <c r="V1122" t="s">
        <v>1167</v>
      </c>
      <c r="W1122" s="24">
        <v>44781</v>
      </c>
      <c r="X1122" s="238" t="s">
        <v>3261</v>
      </c>
      <c r="Y1122" s="238" t="s">
        <v>3247</v>
      </c>
      <c r="Z1122" s="238" t="s">
        <v>1340</v>
      </c>
      <c r="AA1122" t="s">
        <v>1167</v>
      </c>
      <c r="AB1122" s="238" t="s">
        <v>3246</v>
      </c>
      <c r="AC1122" t="s">
        <v>1167</v>
      </c>
      <c r="AD1122" s="24"/>
      <c r="AE1122" s="238" t="s">
        <v>3248</v>
      </c>
      <c r="AG1122" s="238" t="s">
        <v>1167</v>
      </c>
      <c r="AH1122" s="238" t="s">
        <v>1167</v>
      </c>
      <c r="AI1122" s="238" t="s">
        <v>5050</v>
      </c>
      <c r="AJ1122" s="238" t="s">
        <v>982</v>
      </c>
      <c r="AK1122" s="238" t="s">
        <v>1167</v>
      </c>
      <c r="AL1122" t="s">
        <v>8715</v>
      </c>
      <c r="AM1122" t="s">
        <v>1167</v>
      </c>
    </row>
    <row r="1123" spans="1:39" hidden="1" x14ac:dyDescent="0.25">
      <c r="A1123">
        <v>1119</v>
      </c>
      <c r="B1123">
        <v>63</v>
      </c>
      <c r="C1123" s="24">
        <v>44788</v>
      </c>
      <c r="D1123" s="238" t="s">
        <v>27</v>
      </c>
      <c r="E1123" s="238" t="s">
        <v>5</v>
      </c>
      <c r="F1123">
        <v>2</v>
      </c>
      <c r="G1123">
        <v>2</v>
      </c>
      <c r="H1123">
        <v>209</v>
      </c>
      <c r="I1123" s="238" t="s">
        <v>42</v>
      </c>
      <c r="J1123">
        <v>37.159999999999997</v>
      </c>
      <c r="K1123" s="238" t="s">
        <v>38</v>
      </c>
      <c r="L1123">
        <v>2688000</v>
      </c>
      <c r="M1123">
        <v>0</v>
      </c>
      <c r="N1123">
        <v>2688000</v>
      </c>
      <c r="O1123">
        <v>72335.844994617873</v>
      </c>
      <c r="P1123">
        <v>0</v>
      </c>
      <c r="Q1123">
        <v>2688000</v>
      </c>
      <c r="R1123">
        <v>72335.844994617873</v>
      </c>
      <c r="S1123" s="238" t="s">
        <v>124</v>
      </c>
      <c r="T1123" s="238" t="s">
        <v>1167</v>
      </c>
      <c r="V1123" t="s">
        <v>1167</v>
      </c>
      <c r="W1123" s="24">
        <v>44781</v>
      </c>
      <c r="X1123" s="238" t="s">
        <v>3261</v>
      </c>
      <c r="Y1123" s="238" t="s">
        <v>3247</v>
      </c>
      <c r="Z1123" s="238" t="s">
        <v>1340</v>
      </c>
      <c r="AA1123" t="s">
        <v>1167</v>
      </c>
      <c r="AB1123" s="238" t="s">
        <v>3246</v>
      </c>
      <c r="AC1123" t="s">
        <v>1167</v>
      </c>
      <c r="AD1123" s="24"/>
      <c r="AE1123" s="238" t="s">
        <v>3248</v>
      </c>
      <c r="AG1123" s="238" t="s">
        <v>1167</v>
      </c>
      <c r="AH1123" s="238" t="s">
        <v>1167</v>
      </c>
      <c r="AI1123" s="238" t="s">
        <v>5050</v>
      </c>
      <c r="AJ1123" s="238" t="s">
        <v>982</v>
      </c>
      <c r="AK1123" s="238" t="s">
        <v>1167</v>
      </c>
      <c r="AL1123" t="s">
        <v>8715</v>
      </c>
      <c r="AM1123" t="s">
        <v>1167</v>
      </c>
    </row>
    <row r="1124" spans="1:39" hidden="1" x14ac:dyDescent="0.25">
      <c r="A1124">
        <v>1120</v>
      </c>
      <c r="B1124">
        <v>64</v>
      </c>
      <c r="C1124" s="24">
        <v>44788</v>
      </c>
      <c r="D1124" s="238" t="s">
        <v>27</v>
      </c>
      <c r="E1124" s="238" t="s">
        <v>5</v>
      </c>
      <c r="F1124">
        <v>4</v>
      </c>
      <c r="G1124">
        <v>2</v>
      </c>
      <c r="H1124">
        <v>211</v>
      </c>
      <c r="I1124" s="238" t="s">
        <v>42</v>
      </c>
      <c r="J1124">
        <v>40</v>
      </c>
      <c r="K1124" s="238" t="s">
        <v>38</v>
      </c>
      <c r="L1124">
        <v>2901750</v>
      </c>
      <c r="M1124">
        <v>0</v>
      </c>
      <c r="N1124">
        <v>2901750</v>
      </c>
      <c r="O1124">
        <v>72543.75</v>
      </c>
      <c r="P1124">
        <v>0</v>
      </c>
      <c r="Q1124">
        <v>2901750</v>
      </c>
      <c r="R1124">
        <v>72543.75</v>
      </c>
      <c r="S1124" s="238" t="s">
        <v>124</v>
      </c>
      <c r="T1124" s="238" t="s">
        <v>1167</v>
      </c>
      <c r="V1124" t="s">
        <v>1167</v>
      </c>
      <c r="W1124" s="24">
        <v>44781</v>
      </c>
      <c r="X1124" s="238" t="s">
        <v>3261</v>
      </c>
      <c r="Y1124" s="238" t="s">
        <v>3247</v>
      </c>
      <c r="Z1124" s="238" t="s">
        <v>1340</v>
      </c>
      <c r="AA1124" t="s">
        <v>1167</v>
      </c>
      <c r="AB1124" s="238" t="s">
        <v>3246</v>
      </c>
      <c r="AC1124" t="s">
        <v>1167</v>
      </c>
      <c r="AD1124" s="24"/>
      <c r="AE1124" s="238" t="s">
        <v>3248</v>
      </c>
      <c r="AG1124" s="238" t="s">
        <v>1167</v>
      </c>
      <c r="AH1124" s="238" t="s">
        <v>1167</v>
      </c>
      <c r="AI1124" s="238" t="s">
        <v>5050</v>
      </c>
      <c r="AJ1124" s="238" t="s">
        <v>982</v>
      </c>
      <c r="AK1124" s="238" t="s">
        <v>1167</v>
      </c>
      <c r="AL1124" t="s">
        <v>8715</v>
      </c>
      <c r="AM1124" t="s">
        <v>1167</v>
      </c>
    </row>
    <row r="1125" spans="1:39" hidden="1" x14ac:dyDescent="0.25">
      <c r="A1125">
        <v>1121</v>
      </c>
      <c r="B1125">
        <v>65</v>
      </c>
      <c r="C1125" s="24">
        <v>44788</v>
      </c>
      <c r="D1125" s="238" t="s">
        <v>27</v>
      </c>
      <c r="E1125" s="238" t="s">
        <v>5</v>
      </c>
      <c r="F1125">
        <v>6</v>
      </c>
      <c r="G1125">
        <v>2</v>
      </c>
      <c r="H1125">
        <v>213</v>
      </c>
      <c r="I1125" s="238" t="s">
        <v>42</v>
      </c>
      <c r="J1125">
        <v>37.11</v>
      </c>
      <c r="K1125" s="238" t="s">
        <v>38</v>
      </c>
      <c r="L1125">
        <v>2684250</v>
      </c>
      <c r="M1125">
        <v>0</v>
      </c>
      <c r="N1125">
        <v>2684250</v>
      </c>
      <c r="O1125">
        <v>72332.255456750208</v>
      </c>
      <c r="P1125">
        <v>0</v>
      </c>
      <c r="Q1125">
        <v>2684250</v>
      </c>
      <c r="R1125">
        <v>72332.255456750208</v>
      </c>
      <c r="S1125" s="238" t="s">
        <v>124</v>
      </c>
      <c r="T1125" s="238" t="s">
        <v>1167</v>
      </c>
      <c r="V1125" t="s">
        <v>1167</v>
      </c>
      <c r="W1125" s="24">
        <v>44781</v>
      </c>
      <c r="X1125" s="238" t="s">
        <v>3261</v>
      </c>
      <c r="Y1125" s="238" t="s">
        <v>3247</v>
      </c>
      <c r="Z1125" s="238" t="s">
        <v>1340</v>
      </c>
      <c r="AA1125" t="s">
        <v>1167</v>
      </c>
      <c r="AB1125" s="238" t="s">
        <v>3246</v>
      </c>
      <c r="AC1125" t="s">
        <v>1167</v>
      </c>
      <c r="AD1125" s="24"/>
      <c r="AE1125" s="238" t="s">
        <v>3248</v>
      </c>
      <c r="AG1125" s="238" t="s">
        <v>1167</v>
      </c>
      <c r="AH1125" s="238" t="s">
        <v>1167</v>
      </c>
      <c r="AI1125" s="238" t="s">
        <v>5050</v>
      </c>
      <c r="AJ1125" s="238" t="s">
        <v>982</v>
      </c>
      <c r="AK1125" s="238" t="s">
        <v>1167</v>
      </c>
      <c r="AL1125" t="s">
        <v>8715</v>
      </c>
      <c r="AM1125" t="s">
        <v>1167</v>
      </c>
    </row>
    <row r="1126" spans="1:39" hidden="1" x14ac:dyDescent="0.25">
      <c r="A1126">
        <v>1122</v>
      </c>
      <c r="B1126">
        <v>66</v>
      </c>
      <c r="C1126" s="24">
        <v>44788</v>
      </c>
      <c r="D1126" s="238" t="s">
        <v>27</v>
      </c>
      <c r="E1126" s="238" t="s">
        <v>5</v>
      </c>
      <c r="F1126">
        <v>7</v>
      </c>
      <c r="G1126">
        <v>2</v>
      </c>
      <c r="H1126">
        <v>214</v>
      </c>
      <c r="I1126" s="238" t="s">
        <v>43</v>
      </c>
      <c r="J1126">
        <v>59.93</v>
      </c>
      <c r="K1126" s="238" t="s">
        <v>38</v>
      </c>
      <c r="L1126">
        <v>4305750</v>
      </c>
      <c r="M1126">
        <v>0</v>
      </c>
      <c r="N1126">
        <v>4305750</v>
      </c>
      <c r="O1126">
        <v>71846.320707492079</v>
      </c>
      <c r="P1126">
        <v>0</v>
      </c>
      <c r="Q1126">
        <v>4305750</v>
      </c>
      <c r="R1126">
        <v>71846.320707492079</v>
      </c>
      <c r="S1126" s="238" t="s">
        <v>124</v>
      </c>
      <c r="T1126" s="238" t="s">
        <v>1167</v>
      </c>
      <c r="V1126" t="s">
        <v>1167</v>
      </c>
      <c r="W1126" s="24">
        <v>44781</v>
      </c>
      <c r="X1126" s="238" t="s">
        <v>3261</v>
      </c>
      <c r="Y1126" s="238" t="s">
        <v>3247</v>
      </c>
      <c r="Z1126" s="238" t="s">
        <v>1340</v>
      </c>
      <c r="AA1126" t="s">
        <v>1167</v>
      </c>
      <c r="AB1126" s="238" t="s">
        <v>3246</v>
      </c>
      <c r="AC1126" t="s">
        <v>1167</v>
      </c>
      <c r="AD1126" s="24"/>
      <c r="AE1126" s="238" t="s">
        <v>3248</v>
      </c>
      <c r="AG1126" s="238" t="s">
        <v>1167</v>
      </c>
      <c r="AH1126" s="238" t="s">
        <v>1167</v>
      </c>
      <c r="AI1126" s="238" t="s">
        <v>5050</v>
      </c>
      <c r="AJ1126" s="238" t="s">
        <v>982</v>
      </c>
      <c r="AK1126" s="238" t="s">
        <v>1167</v>
      </c>
      <c r="AL1126" t="s">
        <v>8715</v>
      </c>
      <c r="AM1126" t="s">
        <v>1167</v>
      </c>
    </row>
    <row r="1127" spans="1:39" hidden="1" x14ac:dyDescent="0.25">
      <c r="A1127">
        <v>1123</v>
      </c>
      <c r="B1127">
        <v>67</v>
      </c>
      <c r="C1127" s="24">
        <v>44788</v>
      </c>
      <c r="D1127" s="238" t="s">
        <v>27</v>
      </c>
      <c r="E1127" s="238" t="s">
        <v>5</v>
      </c>
      <c r="F1127">
        <v>8</v>
      </c>
      <c r="G1127">
        <v>2</v>
      </c>
      <c r="H1127">
        <v>215</v>
      </c>
      <c r="I1127" s="238" t="s">
        <v>43</v>
      </c>
      <c r="J1127">
        <v>55.21</v>
      </c>
      <c r="K1127" s="238" t="s">
        <v>38</v>
      </c>
      <c r="L1127">
        <v>4014000</v>
      </c>
      <c r="M1127">
        <v>0</v>
      </c>
      <c r="N1127">
        <v>4014000</v>
      </c>
      <c r="O1127">
        <v>72704.220249954713</v>
      </c>
      <c r="P1127">
        <v>0</v>
      </c>
      <c r="Q1127">
        <v>4014000</v>
      </c>
      <c r="R1127">
        <v>72704.220249954713</v>
      </c>
      <c r="S1127" s="238" t="s">
        <v>124</v>
      </c>
      <c r="T1127" s="238" t="s">
        <v>1167</v>
      </c>
      <c r="V1127" t="s">
        <v>1167</v>
      </c>
      <c r="W1127" s="24">
        <v>44781</v>
      </c>
      <c r="X1127" s="238" t="s">
        <v>3261</v>
      </c>
      <c r="Y1127" s="238" t="s">
        <v>3247</v>
      </c>
      <c r="Z1127" s="238" t="s">
        <v>1340</v>
      </c>
      <c r="AA1127" t="s">
        <v>1167</v>
      </c>
      <c r="AB1127" s="238" t="s">
        <v>3246</v>
      </c>
      <c r="AC1127" t="s">
        <v>1167</v>
      </c>
      <c r="AD1127" s="24"/>
      <c r="AE1127" s="238" t="s">
        <v>3248</v>
      </c>
      <c r="AG1127" s="238" t="s">
        <v>1167</v>
      </c>
      <c r="AH1127" s="238" t="s">
        <v>1167</v>
      </c>
      <c r="AI1127" s="238" t="s">
        <v>5050</v>
      </c>
      <c r="AJ1127" s="238" t="s">
        <v>982</v>
      </c>
      <c r="AK1127" s="238" t="s">
        <v>1167</v>
      </c>
      <c r="AL1127" t="s">
        <v>8715</v>
      </c>
      <c r="AM1127" t="s">
        <v>1167</v>
      </c>
    </row>
    <row r="1128" spans="1:39" hidden="1" x14ac:dyDescent="0.25">
      <c r="A1128">
        <v>1124</v>
      </c>
      <c r="B1128">
        <v>68</v>
      </c>
      <c r="C1128" s="24">
        <v>44788</v>
      </c>
      <c r="D1128" s="238" t="s">
        <v>27</v>
      </c>
      <c r="E1128" s="238" t="s">
        <v>5</v>
      </c>
      <c r="F1128">
        <v>1</v>
      </c>
      <c r="G1128">
        <v>3</v>
      </c>
      <c r="H1128">
        <v>216</v>
      </c>
      <c r="I1128" s="238" t="s">
        <v>44</v>
      </c>
      <c r="J1128">
        <v>82.76</v>
      </c>
      <c r="K1128" s="238" t="s">
        <v>38</v>
      </c>
      <c r="L1128">
        <v>6017250</v>
      </c>
      <c r="M1128">
        <v>0</v>
      </c>
      <c r="N1128">
        <v>6017250</v>
      </c>
      <c r="O1128">
        <v>72707.225712904779</v>
      </c>
      <c r="P1128">
        <v>0</v>
      </c>
      <c r="Q1128">
        <v>6017250</v>
      </c>
      <c r="R1128">
        <v>72707.225712904779</v>
      </c>
      <c r="S1128" s="238" t="s">
        <v>124</v>
      </c>
      <c r="T1128" s="238" t="s">
        <v>1167</v>
      </c>
      <c r="V1128" t="s">
        <v>1167</v>
      </c>
      <c r="W1128" s="24">
        <v>44781</v>
      </c>
      <c r="X1128" s="238" t="s">
        <v>3261</v>
      </c>
      <c r="Y1128" s="238" t="s">
        <v>3247</v>
      </c>
      <c r="Z1128" s="238" t="s">
        <v>1340</v>
      </c>
      <c r="AA1128" t="s">
        <v>1167</v>
      </c>
      <c r="AB1128" s="238" t="s">
        <v>3246</v>
      </c>
      <c r="AC1128" t="s">
        <v>1167</v>
      </c>
      <c r="AD1128" s="24"/>
      <c r="AE1128" s="238" t="s">
        <v>3248</v>
      </c>
      <c r="AG1128" s="238" t="s">
        <v>1167</v>
      </c>
      <c r="AH1128" s="238" t="s">
        <v>1167</v>
      </c>
      <c r="AI1128" s="238" t="s">
        <v>5050</v>
      </c>
      <c r="AJ1128" s="238" t="s">
        <v>982</v>
      </c>
      <c r="AK1128" s="238" t="s">
        <v>1167</v>
      </c>
      <c r="AL1128" t="s">
        <v>8715</v>
      </c>
      <c r="AM1128" t="s">
        <v>1167</v>
      </c>
    </row>
    <row r="1129" spans="1:39" hidden="1" x14ac:dyDescent="0.25">
      <c r="A1129">
        <v>1125</v>
      </c>
      <c r="B1129">
        <v>69</v>
      </c>
      <c r="C1129" s="24">
        <v>44788</v>
      </c>
      <c r="D1129" s="238" t="s">
        <v>27</v>
      </c>
      <c r="E1129" s="238" t="s">
        <v>5</v>
      </c>
      <c r="F1129">
        <v>4</v>
      </c>
      <c r="G1129">
        <v>3</v>
      </c>
      <c r="H1129">
        <v>219</v>
      </c>
      <c r="I1129" s="238" t="s">
        <v>42</v>
      </c>
      <c r="J1129">
        <v>40</v>
      </c>
      <c r="K1129" s="238" t="s">
        <v>38</v>
      </c>
      <c r="L1129">
        <v>2901750</v>
      </c>
      <c r="M1129">
        <v>0</v>
      </c>
      <c r="N1129">
        <v>2901750</v>
      </c>
      <c r="O1129">
        <v>72543.75</v>
      </c>
      <c r="P1129">
        <v>0</v>
      </c>
      <c r="Q1129">
        <v>2901750</v>
      </c>
      <c r="R1129">
        <v>72543.75</v>
      </c>
      <c r="S1129" s="238" t="s">
        <v>124</v>
      </c>
      <c r="T1129" s="238" t="s">
        <v>1167</v>
      </c>
      <c r="V1129" t="s">
        <v>1167</v>
      </c>
      <c r="W1129" s="24">
        <v>44781</v>
      </c>
      <c r="X1129" s="238" t="s">
        <v>3261</v>
      </c>
      <c r="Y1129" s="238" t="s">
        <v>3247</v>
      </c>
      <c r="Z1129" s="238" t="s">
        <v>1340</v>
      </c>
      <c r="AA1129" t="s">
        <v>1167</v>
      </c>
      <c r="AB1129" s="238" t="s">
        <v>3246</v>
      </c>
      <c r="AC1129" t="s">
        <v>1167</v>
      </c>
      <c r="AD1129" s="24"/>
      <c r="AE1129" s="238" t="s">
        <v>3248</v>
      </c>
      <c r="AG1129" s="238" t="s">
        <v>1167</v>
      </c>
      <c r="AH1129" s="238" t="s">
        <v>1167</v>
      </c>
      <c r="AI1129" s="238" t="s">
        <v>5050</v>
      </c>
      <c r="AJ1129" s="238" t="s">
        <v>982</v>
      </c>
      <c r="AK1129" s="238" t="s">
        <v>1167</v>
      </c>
      <c r="AL1129" t="s">
        <v>8715</v>
      </c>
      <c r="AM1129" t="s">
        <v>1167</v>
      </c>
    </row>
    <row r="1130" spans="1:39" hidden="1" x14ac:dyDescent="0.25">
      <c r="A1130">
        <v>1126</v>
      </c>
      <c r="B1130">
        <v>70</v>
      </c>
      <c r="C1130" s="24">
        <v>44788</v>
      </c>
      <c r="D1130" s="238" t="s">
        <v>27</v>
      </c>
      <c r="E1130" s="238" t="s">
        <v>5</v>
      </c>
      <c r="F1130">
        <v>6</v>
      </c>
      <c r="G1130">
        <v>3</v>
      </c>
      <c r="H1130">
        <v>221</v>
      </c>
      <c r="I1130" s="238" t="s">
        <v>42</v>
      </c>
      <c r="J1130">
        <v>37.11</v>
      </c>
      <c r="K1130" s="238" t="s">
        <v>38</v>
      </c>
      <c r="L1130">
        <v>2684250</v>
      </c>
      <c r="M1130">
        <v>0</v>
      </c>
      <c r="N1130">
        <v>2684250</v>
      </c>
      <c r="O1130">
        <v>72332.255456750208</v>
      </c>
      <c r="P1130">
        <v>0</v>
      </c>
      <c r="Q1130">
        <v>2684250</v>
      </c>
      <c r="R1130">
        <v>72332.255456750208</v>
      </c>
      <c r="S1130" s="238" t="s">
        <v>124</v>
      </c>
      <c r="T1130" s="238" t="s">
        <v>1167</v>
      </c>
      <c r="V1130" t="s">
        <v>1167</v>
      </c>
      <c r="W1130" s="24">
        <v>44781</v>
      </c>
      <c r="X1130" s="238" t="s">
        <v>3261</v>
      </c>
      <c r="Y1130" s="238" t="s">
        <v>3247</v>
      </c>
      <c r="Z1130" s="238" t="s">
        <v>1340</v>
      </c>
      <c r="AA1130" t="s">
        <v>1167</v>
      </c>
      <c r="AB1130" s="238" t="s">
        <v>3246</v>
      </c>
      <c r="AC1130" t="s">
        <v>1167</v>
      </c>
      <c r="AD1130" s="24"/>
      <c r="AE1130" s="238" t="s">
        <v>3248</v>
      </c>
      <c r="AG1130" s="238" t="s">
        <v>1167</v>
      </c>
      <c r="AH1130" s="238" t="s">
        <v>1167</v>
      </c>
      <c r="AI1130" s="238" t="s">
        <v>5050</v>
      </c>
      <c r="AJ1130" s="238" t="s">
        <v>982</v>
      </c>
      <c r="AK1130" s="238" t="s">
        <v>1167</v>
      </c>
      <c r="AL1130" t="s">
        <v>8715</v>
      </c>
      <c r="AM1130" t="s">
        <v>1167</v>
      </c>
    </row>
    <row r="1131" spans="1:39" hidden="1" x14ac:dyDescent="0.25">
      <c r="A1131">
        <v>1127</v>
      </c>
      <c r="B1131">
        <v>71</v>
      </c>
      <c r="C1131" s="24">
        <v>44788</v>
      </c>
      <c r="D1131" s="238" t="s">
        <v>27</v>
      </c>
      <c r="E1131" s="238" t="s">
        <v>5</v>
      </c>
      <c r="F1131">
        <v>1</v>
      </c>
      <c r="G1131">
        <v>4</v>
      </c>
      <c r="H1131">
        <v>224</v>
      </c>
      <c r="I1131" s="238" t="s">
        <v>44</v>
      </c>
      <c r="J1131">
        <v>82.76</v>
      </c>
      <c r="K1131" s="238" t="s">
        <v>38</v>
      </c>
      <c r="L1131">
        <v>6017250</v>
      </c>
      <c r="M1131">
        <v>0</v>
      </c>
      <c r="N1131">
        <v>6017250</v>
      </c>
      <c r="O1131">
        <v>72707.225712904779</v>
      </c>
      <c r="P1131">
        <v>0</v>
      </c>
      <c r="Q1131">
        <v>6017250</v>
      </c>
      <c r="R1131">
        <v>72707.225712904779</v>
      </c>
      <c r="S1131" s="238" t="s">
        <v>124</v>
      </c>
      <c r="T1131" s="238" t="s">
        <v>1167</v>
      </c>
      <c r="V1131" t="s">
        <v>1167</v>
      </c>
      <c r="W1131" s="24">
        <v>44781</v>
      </c>
      <c r="X1131" s="238" t="s">
        <v>3261</v>
      </c>
      <c r="Y1131" s="238" t="s">
        <v>3247</v>
      </c>
      <c r="Z1131" s="238" t="s">
        <v>1340</v>
      </c>
      <c r="AA1131" t="s">
        <v>1167</v>
      </c>
      <c r="AB1131" s="238" t="s">
        <v>3246</v>
      </c>
      <c r="AC1131" t="s">
        <v>1167</v>
      </c>
      <c r="AD1131" s="24"/>
      <c r="AE1131" s="238" t="s">
        <v>3248</v>
      </c>
      <c r="AG1131" s="238" t="s">
        <v>1167</v>
      </c>
      <c r="AH1131" s="238" t="s">
        <v>1167</v>
      </c>
      <c r="AI1131" s="238" t="s">
        <v>5050</v>
      </c>
      <c r="AJ1131" s="238" t="s">
        <v>982</v>
      </c>
      <c r="AK1131" s="238" t="s">
        <v>1167</v>
      </c>
      <c r="AL1131" t="s">
        <v>8715</v>
      </c>
      <c r="AM1131" t="s">
        <v>1167</v>
      </c>
    </row>
    <row r="1132" spans="1:39" hidden="1" x14ac:dyDescent="0.25">
      <c r="A1132">
        <v>1128</v>
      </c>
      <c r="B1132">
        <v>72</v>
      </c>
      <c r="C1132" s="24">
        <v>44788</v>
      </c>
      <c r="D1132" s="238" t="s">
        <v>27</v>
      </c>
      <c r="E1132" s="238" t="s">
        <v>5</v>
      </c>
      <c r="F1132">
        <v>1</v>
      </c>
      <c r="G1132">
        <v>5</v>
      </c>
      <c r="H1132">
        <v>232</v>
      </c>
      <c r="I1132" s="238" t="s">
        <v>44</v>
      </c>
      <c r="J1132">
        <v>82.76</v>
      </c>
      <c r="K1132" s="238" t="s">
        <v>38</v>
      </c>
      <c r="L1132">
        <v>6017250</v>
      </c>
      <c r="M1132">
        <v>0</v>
      </c>
      <c r="N1132">
        <v>6017250</v>
      </c>
      <c r="O1132">
        <v>72707.225712904779</v>
      </c>
      <c r="P1132">
        <v>0</v>
      </c>
      <c r="Q1132">
        <v>6017250</v>
      </c>
      <c r="R1132">
        <v>72707.225712904779</v>
      </c>
      <c r="S1132" s="238" t="s">
        <v>124</v>
      </c>
      <c r="T1132" s="238" t="s">
        <v>1167</v>
      </c>
      <c r="V1132" t="s">
        <v>1167</v>
      </c>
      <c r="W1132" s="24">
        <v>44781</v>
      </c>
      <c r="X1132" s="238" t="s">
        <v>3262</v>
      </c>
      <c r="Y1132" s="238" t="s">
        <v>3247</v>
      </c>
      <c r="Z1132" s="238" t="s">
        <v>1340</v>
      </c>
      <c r="AA1132" t="s">
        <v>1167</v>
      </c>
      <c r="AB1132" s="238" t="s">
        <v>3246</v>
      </c>
      <c r="AC1132" t="s">
        <v>1167</v>
      </c>
      <c r="AD1132" s="24"/>
      <c r="AE1132" s="238" t="s">
        <v>3248</v>
      </c>
      <c r="AG1132" s="238" t="s">
        <v>1167</v>
      </c>
      <c r="AH1132" s="238" t="s">
        <v>1167</v>
      </c>
      <c r="AI1132" s="238" t="s">
        <v>5050</v>
      </c>
      <c r="AJ1132" s="238" t="s">
        <v>982</v>
      </c>
      <c r="AK1132" s="238" t="s">
        <v>1167</v>
      </c>
      <c r="AL1132" t="s">
        <v>8715</v>
      </c>
      <c r="AM1132" t="s">
        <v>1167</v>
      </c>
    </row>
    <row r="1133" spans="1:39" hidden="1" x14ac:dyDescent="0.25">
      <c r="A1133">
        <v>1129</v>
      </c>
      <c r="B1133">
        <v>73</v>
      </c>
      <c r="C1133" s="24">
        <v>44788</v>
      </c>
      <c r="D1133" s="238" t="s">
        <v>27</v>
      </c>
      <c r="E1133" s="238" t="s">
        <v>5</v>
      </c>
      <c r="F1133">
        <v>6</v>
      </c>
      <c r="G1133">
        <v>5</v>
      </c>
      <c r="H1133">
        <v>237</v>
      </c>
      <c r="I1133" s="238" t="s">
        <v>42</v>
      </c>
      <c r="J1133">
        <v>37.11</v>
      </c>
      <c r="K1133" s="238" t="s">
        <v>38</v>
      </c>
      <c r="L1133">
        <v>2684250</v>
      </c>
      <c r="M1133">
        <v>0</v>
      </c>
      <c r="N1133">
        <v>2684250</v>
      </c>
      <c r="O1133">
        <v>72332.255456750208</v>
      </c>
      <c r="P1133">
        <v>0</v>
      </c>
      <c r="Q1133">
        <v>2684250</v>
      </c>
      <c r="R1133">
        <v>72332.255456750208</v>
      </c>
      <c r="S1133" s="238" t="s">
        <v>124</v>
      </c>
      <c r="T1133" s="238" t="s">
        <v>1167</v>
      </c>
      <c r="V1133" t="s">
        <v>1167</v>
      </c>
      <c r="W1133" s="24">
        <v>44781</v>
      </c>
      <c r="X1133" s="238" t="s">
        <v>3262</v>
      </c>
      <c r="Y1133" s="238" t="s">
        <v>3247</v>
      </c>
      <c r="Z1133" s="238" t="s">
        <v>1340</v>
      </c>
      <c r="AA1133" t="s">
        <v>1167</v>
      </c>
      <c r="AB1133" s="238" t="s">
        <v>3246</v>
      </c>
      <c r="AC1133" t="s">
        <v>1167</v>
      </c>
      <c r="AD1133" s="24"/>
      <c r="AE1133" s="238" t="s">
        <v>3248</v>
      </c>
      <c r="AG1133" s="238" t="s">
        <v>1167</v>
      </c>
      <c r="AH1133" s="238" t="s">
        <v>1167</v>
      </c>
      <c r="AI1133" s="238" t="s">
        <v>5050</v>
      </c>
      <c r="AJ1133" s="238" t="s">
        <v>982</v>
      </c>
      <c r="AK1133" s="238" t="s">
        <v>1167</v>
      </c>
      <c r="AL1133" t="s">
        <v>8715</v>
      </c>
      <c r="AM1133" t="s">
        <v>1167</v>
      </c>
    </row>
    <row r="1134" spans="1:39" hidden="1" x14ac:dyDescent="0.25">
      <c r="A1134">
        <v>1130</v>
      </c>
      <c r="B1134">
        <v>74</v>
      </c>
      <c r="C1134" s="24">
        <v>44788</v>
      </c>
      <c r="D1134" s="238" t="s">
        <v>27</v>
      </c>
      <c r="E1134" s="238" t="s">
        <v>5</v>
      </c>
      <c r="F1134">
        <v>1</v>
      </c>
      <c r="G1134">
        <v>6</v>
      </c>
      <c r="H1134">
        <v>240</v>
      </c>
      <c r="I1134" s="238" t="s">
        <v>44</v>
      </c>
      <c r="J1134">
        <v>82.76</v>
      </c>
      <c r="K1134" s="238" t="s">
        <v>38</v>
      </c>
      <c r="L1134">
        <v>6017250</v>
      </c>
      <c r="M1134">
        <v>0</v>
      </c>
      <c r="N1134">
        <v>6017250</v>
      </c>
      <c r="O1134">
        <v>72707.225712904779</v>
      </c>
      <c r="P1134">
        <v>0</v>
      </c>
      <c r="Q1134">
        <v>6017250</v>
      </c>
      <c r="R1134">
        <v>72707.225712904779</v>
      </c>
      <c r="S1134" s="238" t="s">
        <v>124</v>
      </c>
      <c r="T1134" s="238" t="s">
        <v>1167</v>
      </c>
      <c r="V1134" t="s">
        <v>1167</v>
      </c>
      <c r="W1134" s="24">
        <v>44781</v>
      </c>
      <c r="X1134" s="238" t="s">
        <v>3262</v>
      </c>
      <c r="Y1134" s="238" t="s">
        <v>3247</v>
      </c>
      <c r="Z1134" s="238" t="s">
        <v>1340</v>
      </c>
      <c r="AA1134" t="s">
        <v>1167</v>
      </c>
      <c r="AB1134" s="238" t="s">
        <v>3246</v>
      </c>
      <c r="AC1134" t="s">
        <v>1167</v>
      </c>
      <c r="AD1134" s="24"/>
      <c r="AE1134" s="238" t="s">
        <v>3248</v>
      </c>
      <c r="AG1134" s="238" t="s">
        <v>1167</v>
      </c>
      <c r="AH1134" s="238" t="s">
        <v>1167</v>
      </c>
      <c r="AI1134" s="238" t="s">
        <v>5050</v>
      </c>
      <c r="AJ1134" s="238" t="s">
        <v>982</v>
      </c>
      <c r="AK1134" s="238" t="s">
        <v>1167</v>
      </c>
      <c r="AL1134" t="s">
        <v>8715</v>
      </c>
      <c r="AM1134" t="s">
        <v>1167</v>
      </c>
    </row>
    <row r="1135" spans="1:39" hidden="1" x14ac:dyDescent="0.25">
      <c r="A1135">
        <v>1131</v>
      </c>
      <c r="B1135">
        <v>75</v>
      </c>
      <c r="C1135" s="24">
        <v>44788</v>
      </c>
      <c r="D1135" s="238" t="s">
        <v>27</v>
      </c>
      <c r="E1135" s="238" t="s">
        <v>5</v>
      </c>
      <c r="F1135">
        <v>4</v>
      </c>
      <c r="G1135">
        <v>6</v>
      </c>
      <c r="H1135">
        <v>243</v>
      </c>
      <c r="I1135" s="238" t="s">
        <v>42</v>
      </c>
      <c r="J1135">
        <v>40</v>
      </c>
      <c r="K1135" s="238" t="s">
        <v>38</v>
      </c>
      <c r="L1135">
        <v>2901750</v>
      </c>
      <c r="M1135">
        <v>0</v>
      </c>
      <c r="N1135">
        <v>2901750</v>
      </c>
      <c r="O1135">
        <v>72543.75</v>
      </c>
      <c r="P1135">
        <v>0</v>
      </c>
      <c r="Q1135">
        <v>2901750</v>
      </c>
      <c r="R1135">
        <v>72543.75</v>
      </c>
      <c r="S1135" s="238" t="s">
        <v>124</v>
      </c>
      <c r="T1135" s="238" t="s">
        <v>1167</v>
      </c>
      <c r="V1135" t="s">
        <v>1167</v>
      </c>
      <c r="W1135" s="24">
        <v>44781</v>
      </c>
      <c r="X1135" s="238" t="s">
        <v>3262</v>
      </c>
      <c r="Y1135" s="238" t="s">
        <v>3247</v>
      </c>
      <c r="Z1135" s="238" t="s">
        <v>1340</v>
      </c>
      <c r="AA1135" t="s">
        <v>1167</v>
      </c>
      <c r="AB1135" s="238" t="s">
        <v>3246</v>
      </c>
      <c r="AC1135" t="s">
        <v>1167</v>
      </c>
      <c r="AD1135" s="24"/>
      <c r="AE1135" s="238" t="s">
        <v>3248</v>
      </c>
      <c r="AG1135" s="238" t="s">
        <v>1167</v>
      </c>
      <c r="AH1135" s="238" t="s">
        <v>1167</v>
      </c>
      <c r="AI1135" s="238" t="s">
        <v>5050</v>
      </c>
      <c r="AJ1135" s="238" t="s">
        <v>982</v>
      </c>
      <c r="AK1135" s="238" t="s">
        <v>1167</v>
      </c>
      <c r="AL1135" t="s">
        <v>8715</v>
      </c>
      <c r="AM1135" t="s">
        <v>1167</v>
      </c>
    </row>
    <row r="1136" spans="1:39" hidden="1" x14ac:dyDescent="0.25">
      <c r="A1136">
        <v>1132</v>
      </c>
      <c r="B1136">
        <v>76</v>
      </c>
      <c r="C1136" s="24">
        <v>44788</v>
      </c>
      <c r="D1136" s="238" t="s">
        <v>27</v>
      </c>
      <c r="E1136" s="238" t="s">
        <v>5</v>
      </c>
      <c r="F1136">
        <v>6</v>
      </c>
      <c r="G1136">
        <v>6</v>
      </c>
      <c r="H1136">
        <v>245</v>
      </c>
      <c r="I1136" s="238" t="s">
        <v>42</v>
      </c>
      <c r="J1136">
        <v>37.11</v>
      </c>
      <c r="K1136" s="238" t="s">
        <v>38</v>
      </c>
      <c r="L1136">
        <v>2684250</v>
      </c>
      <c r="M1136">
        <v>0</v>
      </c>
      <c r="N1136">
        <v>2684250</v>
      </c>
      <c r="O1136">
        <v>72332.255456750208</v>
      </c>
      <c r="P1136">
        <v>0</v>
      </c>
      <c r="Q1136">
        <v>2684250</v>
      </c>
      <c r="R1136">
        <v>72332.255456750208</v>
      </c>
      <c r="S1136" s="238" t="s">
        <v>124</v>
      </c>
      <c r="T1136" s="238" t="s">
        <v>1167</v>
      </c>
      <c r="V1136" t="s">
        <v>1167</v>
      </c>
      <c r="W1136" s="24">
        <v>44781</v>
      </c>
      <c r="X1136" s="238" t="s">
        <v>3262</v>
      </c>
      <c r="Y1136" s="238" t="s">
        <v>3247</v>
      </c>
      <c r="Z1136" s="238" t="s">
        <v>1340</v>
      </c>
      <c r="AA1136" t="s">
        <v>1167</v>
      </c>
      <c r="AB1136" s="238" t="s">
        <v>3246</v>
      </c>
      <c r="AC1136" t="s">
        <v>1167</v>
      </c>
      <c r="AD1136" s="24"/>
      <c r="AE1136" s="238" t="s">
        <v>3248</v>
      </c>
      <c r="AG1136" s="238" t="s">
        <v>1167</v>
      </c>
      <c r="AH1136" s="238" t="s">
        <v>1167</v>
      </c>
      <c r="AI1136" s="238" t="s">
        <v>5050</v>
      </c>
      <c r="AJ1136" s="238" t="s">
        <v>982</v>
      </c>
      <c r="AK1136" s="238" t="s">
        <v>1167</v>
      </c>
      <c r="AL1136" t="s">
        <v>8715</v>
      </c>
      <c r="AM1136" t="s">
        <v>1167</v>
      </c>
    </row>
    <row r="1137" spans="1:39" hidden="1" x14ac:dyDescent="0.25">
      <c r="A1137">
        <v>1133</v>
      </c>
      <c r="B1137">
        <v>77</v>
      </c>
      <c r="C1137" s="24">
        <v>44788</v>
      </c>
      <c r="D1137" s="238" t="s">
        <v>27</v>
      </c>
      <c r="E1137" s="238" t="s">
        <v>5</v>
      </c>
      <c r="F1137">
        <v>1</v>
      </c>
      <c r="G1137">
        <v>7</v>
      </c>
      <c r="H1137">
        <v>248</v>
      </c>
      <c r="I1137" s="238" t="s">
        <v>44</v>
      </c>
      <c r="J1137">
        <v>82.76</v>
      </c>
      <c r="K1137" s="238" t="s">
        <v>38</v>
      </c>
      <c r="L1137">
        <v>6017250</v>
      </c>
      <c r="M1137">
        <v>0</v>
      </c>
      <c r="N1137">
        <v>6017250</v>
      </c>
      <c r="O1137">
        <v>72707.225712904779</v>
      </c>
      <c r="P1137">
        <v>0</v>
      </c>
      <c r="Q1137">
        <v>6017250</v>
      </c>
      <c r="R1137">
        <v>72707.225712904779</v>
      </c>
      <c r="S1137" s="238" t="s">
        <v>124</v>
      </c>
      <c r="T1137" s="238" t="s">
        <v>1167</v>
      </c>
      <c r="V1137" t="s">
        <v>1167</v>
      </c>
      <c r="W1137" s="24">
        <v>44781</v>
      </c>
      <c r="X1137" s="238" t="s">
        <v>3262</v>
      </c>
      <c r="Y1137" s="238" t="s">
        <v>3247</v>
      </c>
      <c r="Z1137" s="238" t="s">
        <v>1340</v>
      </c>
      <c r="AA1137" t="s">
        <v>1167</v>
      </c>
      <c r="AB1137" s="238" t="s">
        <v>3246</v>
      </c>
      <c r="AC1137" t="s">
        <v>1167</v>
      </c>
      <c r="AD1137" s="24"/>
      <c r="AE1137" s="238" t="s">
        <v>3248</v>
      </c>
      <c r="AG1137" s="238" t="s">
        <v>1167</v>
      </c>
      <c r="AH1137" s="238" t="s">
        <v>1167</v>
      </c>
      <c r="AI1137" s="238" t="s">
        <v>5050</v>
      </c>
      <c r="AJ1137" s="238" t="s">
        <v>982</v>
      </c>
      <c r="AK1137" s="238" t="s">
        <v>1167</v>
      </c>
      <c r="AL1137" t="s">
        <v>8715</v>
      </c>
      <c r="AM1137" t="s">
        <v>1167</v>
      </c>
    </row>
    <row r="1138" spans="1:39" hidden="1" x14ac:dyDescent="0.25">
      <c r="A1138">
        <v>1134</v>
      </c>
      <c r="B1138">
        <v>78</v>
      </c>
      <c r="C1138" s="24">
        <v>44788</v>
      </c>
      <c r="D1138" s="238" t="s">
        <v>27</v>
      </c>
      <c r="E1138" s="238" t="s">
        <v>5</v>
      </c>
      <c r="F1138">
        <v>1</v>
      </c>
      <c r="G1138">
        <v>8</v>
      </c>
      <c r="H1138">
        <v>256</v>
      </c>
      <c r="I1138" s="238" t="s">
        <v>44</v>
      </c>
      <c r="J1138">
        <v>82.76</v>
      </c>
      <c r="K1138" s="238" t="s">
        <v>38</v>
      </c>
      <c r="L1138">
        <v>6017250</v>
      </c>
      <c r="M1138">
        <v>0</v>
      </c>
      <c r="N1138">
        <v>6017250</v>
      </c>
      <c r="O1138">
        <v>72707.225712904779</v>
      </c>
      <c r="P1138">
        <v>0</v>
      </c>
      <c r="Q1138">
        <v>6017250</v>
      </c>
      <c r="R1138">
        <v>72707.225712904779</v>
      </c>
      <c r="S1138" s="238" t="s">
        <v>124</v>
      </c>
      <c r="T1138" s="238" t="s">
        <v>1167</v>
      </c>
      <c r="V1138" t="s">
        <v>1167</v>
      </c>
      <c r="W1138" s="24">
        <v>44781</v>
      </c>
      <c r="X1138" s="238" t="s">
        <v>3262</v>
      </c>
      <c r="Y1138" s="238" t="s">
        <v>3247</v>
      </c>
      <c r="Z1138" s="238" t="s">
        <v>1340</v>
      </c>
      <c r="AA1138" t="s">
        <v>1167</v>
      </c>
      <c r="AB1138" s="238" t="s">
        <v>3246</v>
      </c>
      <c r="AC1138" t="s">
        <v>1167</v>
      </c>
      <c r="AD1138" s="24"/>
      <c r="AE1138" s="238" t="s">
        <v>3248</v>
      </c>
      <c r="AG1138" s="238" t="s">
        <v>1167</v>
      </c>
      <c r="AH1138" s="238" t="s">
        <v>1167</v>
      </c>
      <c r="AI1138" s="238" t="s">
        <v>5050</v>
      </c>
      <c r="AJ1138" s="238" t="s">
        <v>982</v>
      </c>
      <c r="AK1138" s="238" t="s">
        <v>1167</v>
      </c>
      <c r="AL1138" t="s">
        <v>8715</v>
      </c>
      <c r="AM1138" t="s">
        <v>1167</v>
      </c>
    </row>
    <row r="1139" spans="1:39" hidden="1" x14ac:dyDescent="0.25">
      <c r="A1139">
        <v>1135</v>
      </c>
      <c r="B1139">
        <v>79</v>
      </c>
      <c r="C1139" s="24">
        <v>44788</v>
      </c>
      <c r="D1139" s="238" t="s">
        <v>27</v>
      </c>
      <c r="E1139" s="238" t="s">
        <v>5</v>
      </c>
      <c r="F1139">
        <v>4</v>
      </c>
      <c r="G1139">
        <v>8</v>
      </c>
      <c r="H1139">
        <v>259</v>
      </c>
      <c r="I1139" s="238" t="s">
        <v>42</v>
      </c>
      <c r="J1139">
        <v>40</v>
      </c>
      <c r="K1139" s="238" t="s">
        <v>38</v>
      </c>
      <c r="L1139">
        <v>2901750</v>
      </c>
      <c r="M1139">
        <v>0</v>
      </c>
      <c r="N1139">
        <v>2901750</v>
      </c>
      <c r="O1139">
        <v>72543.75</v>
      </c>
      <c r="P1139">
        <v>0</v>
      </c>
      <c r="Q1139">
        <v>2901750</v>
      </c>
      <c r="R1139">
        <v>72543.75</v>
      </c>
      <c r="S1139" s="238" t="s">
        <v>124</v>
      </c>
      <c r="T1139" s="238" t="s">
        <v>1167</v>
      </c>
      <c r="V1139" t="s">
        <v>1167</v>
      </c>
      <c r="W1139" s="24">
        <v>44781</v>
      </c>
      <c r="X1139" s="238" t="s">
        <v>3262</v>
      </c>
      <c r="Y1139" s="238" t="s">
        <v>3247</v>
      </c>
      <c r="Z1139" s="238" t="s">
        <v>1340</v>
      </c>
      <c r="AA1139" t="s">
        <v>1167</v>
      </c>
      <c r="AB1139" s="238" t="s">
        <v>3246</v>
      </c>
      <c r="AC1139" t="s">
        <v>1167</v>
      </c>
      <c r="AD1139" s="24"/>
      <c r="AE1139" s="238" t="s">
        <v>3248</v>
      </c>
      <c r="AG1139" s="238" t="s">
        <v>1167</v>
      </c>
      <c r="AH1139" s="238" t="s">
        <v>1167</v>
      </c>
      <c r="AI1139" s="238" t="s">
        <v>5050</v>
      </c>
      <c r="AJ1139" s="238" t="s">
        <v>982</v>
      </c>
      <c r="AK1139" s="238" t="s">
        <v>1167</v>
      </c>
      <c r="AL1139" t="s">
        <v>8715</v>
      </c>
      <c r="AM1139" t="s">
        <v>1167</v>
      </c>
    </row>
    <row r="1140" spans="1:39" hidden="1" x14ac:dyDescent="0.25">
      <c r="A1140">
        <v>1136</v>
      </c>
      <c r="B1140">
        <v>80</v>
      </c>
      <c r="C1140" s="24">
        <v>44788</v>
      </c>
      <c r="D1140" s="238" t="s">
        <v>27</v>
      </c>
      <c r="E1140" s="238" t="s">
        <v>5</v>
      </c>
      <c r="F1140">
        <v>6</v>
      </c>
      <c r="G1140">
        <v>8</v>
      </c>
      <c r="H1140">
        <v>261</v>
      </c>
      <c r="I1140" s="238" t="s">
        <v>42</v>
      </c>
      <c r="J1140">
        <v>37.11</v>
      </c>
      <c r="K1140" s="238" t="s">
        <v>38</v>
      </c>
      <c r="L1140">
        <v>2684250</v>
      </c>
      <c r="M1140">
        <v>0</v>
      </c>
      <c r="N1140">
        <v>2684250</v>
      </c>
      <c r="O1140">
        <v>72332.255456750208</v>
      </c>
      <c r="P1140">
        <v>0</v>
      </c>
      <c r="Q1140">
        <v>2684250</v>
      </c>
      <c r="R1140">
        <v>72332.255456750208</v>
      </c>
      <c r="S1140" s="238" t="s">
        <v>124</v>
      </c>
      <c r="T1140" s="238" t="s">
        <v>1167</v>
      </c>
      <c r="V1140" t="s">
        <v>1167</v>
      </c>
      <c r="W1140" s="24">
        <v>44781</v>
      </c>
      <c r="X1140" s="238" t="s">
        <v>3262</v>
      </c>
      <c r="Y1140" s="238" t="s">
        <v>3247</v>
      </c>
      <c r="Z1140" s="238" t="s">
        <v>1340</v>
      </c>
      <c r="AA1140" t="s">
        <v>1167</v>
      </c>
      <c r="AB1140" s="238" t="s">
        <v>3246</v>
      </c>
      <c r="AC1140" t="s">
        <v>1167</v>
      </c>
      <c r="AD1140" s="24"/>
      <c r="AE1140" s="238" t="s">
        <v>3248</v>
      </c>
      <c r="AG1140" s="238" t="s">
        <v>1167</v>
      </c>
      <c r="AH1140" s="238" t="s">
        <v>1167</v>
      </c>
      <c r="AI1140" s="238" t="s">
        <v>5050</v>
      </c>
      <c r="AJ1140" s="238" t="s">
        <v>982</v>
      </c>
      <c r="AK1140" s="238" t="s">
        <v>1167</v>
      </c>
      <c r="AL1140" t="s">
        <v>8715</v>
      </c>
      <c r="AM1140" t="s">
        <v>1167</v>
      </c>
    </row>
    <row r="1141" spans="1:39" hidden="1" x14ac:dyDescent="0.25">
      <c r="A1141">
        <v>1137</v>
      </c>
      <c r="B1141">
        <v>81</v>
      </c>
      <c r="C1141" s="24">
        <v>44788</v>
      </c>
      <c r="D1141" s="238" t="s">
        <v>27</v>
      </c>
      <c r="E1141" s="238" t="s">
        <v>5</v>
      </c>
      <c r="F1141">
        <v>1</v>
      </c>
      <c r="G1141">
        <v>9</v>
      </c>
      <c r="H1141">
        <v>264</v>
      </c>
      <c r="I1141" s="238" t="s">
        <v>44</v>
      </c>
      <c r="J1141">
        <v>82.76</v>
      </c>
      <c r="K1141" s="238" t="s">
        <v>38</v>
      </c>
      <c r="L1141">
        <v>6017250</v>
      </c>
      <c r="M1141">
        <v>0</v>
      </c>
      <c r="N1141">
        <v>6017250</v>
      </c>
      <c r="O1141">
        <v>72707.225712904779</v>
      </c>
      <c r="P1141">
        <v>0</v>
      </c>
      <c r="Q1141">
        <v>6017250</v>
      </c>
      <c r="R1141">
        <v>72707.225712904779</v>
      </c>
      <c r="S1141" s="238" t="s">
        <v>124</v>
      </c>
      <c r="T1141" s="238" t="s">
        <v>1167</v>
      </c>
      <c r="V1141" t="s">
        <v>1167</v>
      </c>
      <c r="W1141" s="24">
        <v>44781</v>
      </c>
      <c r="X1141" s="238" t="s">
        <v>3262</v>
      </c>
      <c r="Y1141" s="238" t="s">
        <v>3247</v>
      </c>
      <c r="Z1141" s="238" t="s">
        <v>1340</v>
      </c>
      <c r="AA1141" t="s">
        <v>1167</v>
      </c>
      <c r="AB1141" s="238" t="s">
        <v>3246</v>
      </c>
      <c r="AC1141" t="s">
        <v>1167</v>
      </c>
      <c r="AD1141" s="24"/>
      <c r="AE1141" s="238" t="s">
        <v>3248</v>
      </c>
      <c r="AG1141" s="238" t="s">
        <v>1167</v>
      </c>
      <c r="AH1141" s="238" t="s">
        <v>1167</v>
      </c>
      <c r="AI1141" s="238" t="s">
        <v>5050</v>
      </c>
      <c r="AJ1141" s="238" t="s">
        <v>982</v>
      </c>
      <c r="AK1141" s="238" t="s">
        <v>1167</v>
      </c>
      <c r="AL1141" t="s">
        <v>8715</v>
      </c>
      <c r="AM1141" t="s">
        <v>1167</v>
      </c>
    </row>
    <row r="1142" spans="1:39" hidden="1" x14ac:dyDescent="0.25">
      <c r="A1142">
        <v>1138</v>
      </c>
      <c r="B1142">
        <v>82</v>
      </c>
      <c r="C1142" s="24">
        <v>44788</v>
      </c>
      <c r="D1142" s="238" t="s">
        <v>27</v>
      </c>
      <c r="E1142" s="238" t="s">
        <v>5</v>
      </c>
      <c r="F1142">
        <v>6</v>
      </c>
      <c r="G1142">
        <v>9</v>
      </c>
      <c r="H1142">
        <v>269</v>
      </c>
      <c r="I1142" s="238" t="s">
        <v>42</v>
      </c>
      <c r="J1142">
        <v>37.11</v>
      </c>
      <c r="K1142" s="238" t="s">
        <v>38</v>
      </c>
      <c r="L1142">
        <v>2684250</v>
      </c>
      <c r="M1142">
        <v>0</v>
      </c>
      <c r="N1142">
        <v>2684250</v>
      </c>
      <c r="O1142">
        <v>72332.255456750208</v>
      </c>
      <c r="P1142">
        <v>0</v>
      </c>
      <c r="Q1142">
        <v>2684250</v>
      </c>
      <c r="R1142">
        <v>72332.255456750208</v>
      </c>
      <c r="S1142" s="238" t="s">
        <v>124</v>
      </c>
      <c r="T1142" s="238" t="s">
        <v>1167</v>
      </c>
      <c r="V1142" t="s">
        <v>1167</v>
      </c>
      <c r="W1142" s="24">
        <v>44781</v>
      </c>
      <c r="X1142" s="238" t="s">
        <v>3262</v>
      </c>
      <c r="Y1142" s="238" t="s">
        <v>3247</v>
      </c>
      <c r="Z1142" s="238" t="s">
        <v>1340</v>
      </c>
      <c r="AA1142" t="s">
        <v>1167</v>
      </c>
      <c r="AB1142" s="238" t="s">
        <v>3246</v>
      </c>
      <c r="AC1142" t="s">
        <v>1167</v>
      </c>
      <c r="AD1142" s="24"/>
      <c r="AE1142" s="238" t="s">
        <v>3248</v>
      </c>
      <c r="AG1142" s="238" t="s">
        <v>1167</v>
      </c>
      <c r="AH1142" s="238" t="s">
        <v>1167</v>
      </c>
      <c r="AI1142" s="238" t="s">
        <v>5050</v>
      </c>
      <c r="AJ1142" s="238" t="s">
        <v>982</v>
      </c>
      <c r="AK1142" s="238" t="s">
        <v>1167</v>
      </c>
      <c r="AL1142" t="s">
        <v>8715</v>
      </c>
      <c r="AM1142" t="s">
        <v>1167</v>
      </c>
    </row>
    <row r="1143" spans="1:39" hidden="1" x14ac:dyDescent="0.25">
      <c r="A1143">
        <v>1139</v>
      </c>
      <c r="B1143">
        <v>83</v>
      </c>
      <c r="C1143" s="24">
        <v>44788</v>
      </c>
      <c r="D1143" s="238" t="s">
        <v>27</v>
      </c>
      <c r="E1143" s="238" t="s">
        <v>5</v>
      </c>
      <c r="F1143">
        <v>1</v>
      </c>
      <c r="G1143">
        <v>10</v>
      </c>
      <c r="H1143">
        <v>272</v>
      </c>
      <c r="I1143" s="238" t="s">
        <v>44</v>
      </c>
      <c r="J1143">
        <v>82.76</v>
      </c>
      <c r="K1143" s="238" t="s">
        <v>38</v>
      </c>
      <c r="L1143">
        <v>6017250</v>
      </c>
      <c r="M1143">
        <v>0</v>
      </c>
      <c r="N1143">
        <v>6017250</v>
      </c>
      <c r="O1143">
        <v>72707.225712904779</v>
      </c>
      <c r="P1143">
        <v>0</v>
      </c>
      <c r="Q1143">
        <v>6017250</v>
      </c>
      <c r="R1143">
        <v>72707.225712904779</v>
      </c>
      <c r="S1143" s="238" t="s">
        <v>124</v>
      </c>
      <c r="T1143" s="238" t="s">
        <v>1167</v>
      </c>
      <c r="V1143" t="s">
        <v>1167</v>
      </c>
      <c r="W1143" s="24">
        <v>44781</v>
      </c>
      <c r="X1143" s="238" t="s">
        <v>3263</v>
      </c>
      <c r="Y1143" s="238" t="s">
        <v>3247</v>
      </c>
      <c r="Z1143" s="238" t="s">
        <v>1340</v>
      </c>
      <c r="AA1143" t="s">
        <v>1167</v>
      </c>
      <c r="AB1143" s="238" t="s">
        <v>3246</v>
      </c>
      <c r="AC1143" t="s">
        <v>1167</v>
      </c>
      <c r="AD1143" s="24"/>
      <c r="AE1143" s="238" t="s">
        <v>3248</v>
      </c>
      <c r="AG1143" s="238" t="s">
        <v>1167</v>
      </c>
      <c r="AH1143" s="238" t="s">
        <v>1167</v>
      </c>
      <c r="AI1143" s="238" t="s">
        <v>5050</v>
      </c>
      <c r="AJ1143" s="238" t="s">
        <v>982</v>
      </c>
      <c r="AK1143" s="238" t="s">
        <v>1167</v>
      </c>
      <c r="AL1143" t="s">
        <v>8715</v>
      </c>
      <c r="AM1143" t="s">
        <v>1167</v>
      </c>
    </row>
    <row r="1144" spans="1:39" hidden="1" x14ac:dyDescent="0.25">
      <c r="A1144">
        <v>1140</v>
      </c>
      <c r="B1144">
        <v>84</v>
      </c>
      <c r="C1144" s="24">
        <v>44788</v>
      </c>
      <c r="D1144" s="238" t="s">
        <v>27</v>
      </c>
      <c r="E1144" s="238" t="s">
        <v>5</v>
      </c>
      <c r="F1144">
        <v>1</v>
      </c>
      <c r="G1144">
        <v>11</v>
      </c>
      <c r="H1144">
        <v>280</v>
      </c>
      <c r="I1144" s="238" t="s">
        <v>44</v>
      </c>
      <c r="J1144">
        <v>82.76</v>
      </c>
      <c r="K1144" s="238" t="s">
        <v>38</v>
      </c>
      <c r="L1144">
        <v>6017250</v>
      </c>
      <c r="M1144">
        <v>0</v>
      </c>
      <c r="N1144">
        <v>6017250</v>
      </c>
      <c r="O1144">
        <v>72707.225712904779</v>
      </c>
      <c r="P1144">
        <v>0</v>
      </c>
      <c r="Q1144">
        <v>6017250</v>
      </c>
      <c r="R1144">
        <v>72707.225712904779</v>
      </c>
      <c r="S1144" s="238" t="s">
        <v>124</v>
      </c>
      <c r="T1144" s="238" t="s">
        <v>1167</v>
      </c>
      <c r="V1144" t="s">
        <v>1167</v>
      </c>
      <c r="W1144" s="24">
        <v>44781</v>
      </c>
      <c r="X1144" s="238" t="s">
        <v>3263</v>
      </c>
      <c r="Y1144" s="238" t="s">
        <v>3247</v>
      </c>
      <c r="Z1144" s="238" t="s">
        <v>1340</v>
      </c>
      <c r="AA1144" t="s">
        <v>1167</v>
      </c>
      <c r="AB1144" s="238" t="s">
        <v>3246</v>
      </c>
      <c r="AC1144" t="s">
        <v>1167</v>
      </c>
      <c r="AD1144" s="24"/>
      <c r="AE1144" s="238" t="s">
        <v>3248</v>
      </c>
      <c r="AG1144" s="238" t="s">
        <v>1167</v>
      </c>
      <c r="AH1144" s="238" t="s">
        <v>1167</v>
      </c>
      <c r="AI1144" s="238" t="s">
        <v>5050</v>
      </c>
      <c r="AJ1144" s="238" t="s">
        <v>982</v>
      </c>
      <c r="AK1144" s="238" t="s">
        <v>1167</v>
      </c>
      <c r="AL1144" t="s">
        <v>8715</v>
      </c>
      <c r="AM1144" t="s">
        <v>1167</v>
      </c>
    </row>
    <row r="1145" spans="1:39" hidden="1" x14ac:dyDescent="0.25">
      <c r="A1145">
        <v>1141</v>
      </c>
      <c r="B1145">
        <v>85</v>
      </c>
      <c r="C1145" s="24">
        <v>44788</v>
      </c>
      <c r="D1145" s="238" t="s">
        <v>27</v>
      </c>
      <c r="E1145" s="238" t="s">
        <v>5</v>
      </c>
      <c r="F1145">
        <v>4</v>
      </c>
      <c r="G1145">
        <v>11</v>
      </c>
      <c r="H1145">
        <v>283</v>
      </c>
      <c r="I1145" s="238" t="s">
        <v>42</v>
      </c>
      <c r="J1145">
        <v>40</v>
      </c>
      <c r="K1145" s="238" t="s">
        <v>38</v>
      </c>
      <c r="L1145">
        <v>2901750</v>
      </c>
      <c r="M1145">
        <v>0</v>
      </c>
      <c r="N1145">
        <v>2901750</v>
      </c>
      <c r="O1145">
        <v>72543.75</v>
      </c>
      <c r="P1145">
        <v>0</v>
      </c>
      <c r="Q1145">
        <v>2901750</v>
      </c>
      <c r="R1145">
        <v>72543.75</v>
      </c>
      <c r="S1145" s="238" t="s">
        <v>124</v>
      </c>
      <c r="T1145" s="238" t="s">
        <v>1167</v>
      </c>
      <c r="V1145" t="s">
        <v>1167</v>
      </c>
      <c r="W1145" s="24">
        <v>44781</v>
      </c>
      <c r="X1145" s="238" t="s">
        <v>3263</v>
      </c>
      <c r="Y1145" s="238" t="s">
        <v>3247</v>
      </c>
      <c r="Z1145" s="238" t="s">
        <v>1340</v>
      </c>
      <c r="AA1145" t="s">
        <v>1167</v>
      </c>
      <c r="AB1145" s="238" t="s">
        <v>3246</v>
      </c>
      <c r="AC1145" t="s">
        <v>1167</v>
      </c>
      <c r="AD1145" s="24"/>
      <c r="AE1145" s="238" t="s">
        <v>3248</v>
      </c>
      <c r="AG1145" s="238" t="s">
        <v>1167</v>
      </c>
      <c r="AH1145" s="238" t="s">
        <v>1167</v>
      </c>
      <c r="AI1145" s="238" t="s">
        <v>5050</v>
      </c>
      <c r="AJ1145" s="238" t="s">
        <v>982</v>
      </c>
      <c r="AK1145" s="238" t="s">
        <v>1167</v>
      </c>
      <c r="AL1145" t="s">
        <v>8715</v>
      </c>
      <c r="AM1145" t="s">
        <v>1167</v>
      </c>
    </row>
    <row r="1146" spans="1:39" hidden="1" x14ac:dyDescent="0.25">
      <c r="A1146">
        <v>1142</v>
      </c>
      <c r="B1146">
        <v>86</v>
      </c>
      <c r="C1146" s="24">
        <v>44788</v>
      </c>
      <c r="D1146" s="238" t="s">
        <v>27</v>
      </c>
      <c r="E1146" s="238" t="s">
        <v>5</v>
      </c>
      <c r="F1146">
        <v>6</v>
      </c>
      <c r="G1146">
        <v>11</v>
      </c>
      <c r="H1146">
        <v>285</v>
      </c>
      <c r="I1146" s="238" t="s">
        <v>42</v>
      </c>
      <c r="J1146">
        <v>37.11</v>
      </c>
      <c r="K1146" s="238" t="s">
        <v>38</v>
      </c>
      <c r="L1146">
        <v>2684250</v>
      </c>
      <c r="M1146">
        <v>0</v>
      </c>
      <c r="N1146">
        <v>2684250</v>
      </c>
      <c r="O1146">
        <v>72332.255456750208</v>
      </c>
      <c r="P1146">
        <v>0</v>
      </c>
      <c r="Q1146">
        <v>2684250</v>
      </c>
      <c r="R1146">
        <v>72332.255456750208</v>
      </c>
      <c r="S1146" s="238" t="s">
        <v>124</v>
      </c>
      <c r="T1146" s="238" t="s">
        <v>1167</v>
      </c>
      <c r="V1146" t="s">
        <v>1167</v>
      </c>
      <c r="W1146" s="24">
        <v>44781</v>
      </c>
      <c r="X1146" s="238" t="s">
        <v>3263</v>
      </c>
      <c r="Y1146" s="238" t="s">
        <v>3247</v>
      </c>
      <c r="Z1146" s="238" t="s">
        <v>1340</v>
      </c>
      <c r="AA1146" t="s">
        <v>1167</v>
      </c>
      <c r="AB1146" s="238" t="s">
        <v>3246</v>
      </c>
      <c r="AC1146" t="s">
        <v>1167</v>
      </c>
      <c r="AD1146" s="24"/>
      <c r="AE1146" s="238" t="s">
        <v>3248</v>
      </c>
      <c r="AG1146" s="238" t="s">
        <v>1167</v>
      </c>
      <c r="AH1146" s="238" t="s">
        <v>1167</v>
      </c>
      <c r="AI1146" s="238" t="s">
        <v>5050</v>
      </c>
      <c r="AJ1146" s="238" t="s">
        <v>982</v>
      </c>
      <c r="AK1146" s="238" t="s">
        <v>1167</v>
      </c>
      <c r="AL1146" t="s">
        <v>8715</v>
      </c>
      <c r="AM1146" t="s">
        <v>1167</v>
      </c>
    </row>
    <row r="1147" spans="1:39" hidden="1" x14ac:dyDescent="0.25">
      <c r="A1147">
        <v>1143</v>
      </c>
      <c r="B1147">
        <v>87</v>
      </c>
      <c r="C1147" s="24">
        <v>44788</v>
      </c>
      <c r="D1147" s="238" t="s">
        <v>27</v>
      </c>
      <c r="E1147" s="238" t="s">
        <v>5</v>
      </c>
      <c r="F1147">
        <v>1</v>
      </c>
      <c r="G1147">
        <v>12</v>
      </c>
      <c r="H1147">
        <v>288</v>
      </c>
      <c r="I1147" s="238" t="s">
        <v>44</v>
      </c>
      <c r="J1147">
        <v>82.76</v>
      </c>
      <c r="K1147" s="238" t="s">
        <v>38</v>
      </c>
      <c r="L1147">
        <v>6017250</v>
      </c>
      <c r="M1147">
        <v>0</v>
      </c>
      <c r="N1147">
        <v>6017250</v>
      </c>
      <c r="O1147">
        <v>72707.225712904779</v>
      </c>
      <c r="P1147">
        <v>0</v>
      </c>
      <c r="Q1147">
        <v>6017250</v>
      </c>
      <c r="R1147">
        <v>72707.225712904779</v>
      </c>
      <c r="S1147" s="238" t="s">
        <v>124</v>
      </c>
      <c r="T1147" s="238" t="s">
        <v>1167</v>
      </c>
      <c r="V1147" t="s">
        <v>1167</v>
      </c>
      <c r="W1147" s="24">
        <v>44781</v>
      </c>
      <c r="X1147" s="238" t="s">
        <v>3263</v>
      </c>
      <c r="Y1147" s="238" t="s">
        <v>3247</v>
      </c>
      <c r="Z1147" s="238" t="s">
        <v>1340</v>
      </c>
      <c r="AA1147" t="s">
        <v>1167</v>
      </c>
      <c r="AB1147" s="238" t="s">
        <v>3246</v>
      </c>
      <c r="AC1147" t="s">
        <v>1167</v>
      </c>
      <c r="AD1147" s="24"/>
      <c r="AE1147" s="238" t="s">
        <v>3248</v>
      </c>
      <c r="AG1147" s="238" t="s">
        <v>1167</v>
      </c>
      <c r="AH1147" s="238" t="s">
        <v>1167</v>
      </c>
      <c r="AI1147" s="238" t="s">
        <v>5050</v>
      </c>
      <c r="AJ1147" s="238" t="s">
        <v>982</v>
      </c>
      <c r="AK1147" s="238" t="s">
        <v>1167</v>
      </c>
      <c r="AL1147" t="s">
        <v>8715</v>
      </c>
      <c r="AM1147" t="s">
        <v>1167</v>
      </c>
    </row>
    <row r="1148" spans="1:39" hidden="1" x14ac:dyDescent="0.25">
      <c r="A1148">
        <v>1144</v>
      </c>
      <c r="B1148">
        <v>88</v>
      </c>
      <c r="C1148" s="24">
        <v>44788</v>
      </c>
      <c r="D1148" s="238" t="s">
        <v>27</v>
      </c>
      <c r="E1148" s="238" t="s">
        <v>5</v>
      </c>
      <c r="F1148">
        <v>1</v>
      </c>
      <c r="G1148">
        <v>13</v>
      </c>
      <c r="H1148">
        <v>296</v>
      </c>
      <c r="I1148" s="238" t="s">
        <v>44</v>
      </c>
      <c r="J1148">
        <v>82.76</v>
      </c>
      <c r="K1148" s="238" t="s">
        <v>38</v>
      </c>
      <c r="L1148">
        <v>6017250</v>
      </c>
      <c r="M1148">
        <v>0</v>
      </c>
      <c r="N1148">
        <v>6017250</v>
      </c>
      <c r="O1148">
        <v>72707.225712904779</v>
      </c>
      <c r="P1148">
        <v>0</v>
      </c>
      <c r="Q1148">
        <v>6017250</v>
      </c>
      <c r="R1148">
        <v>72707.225712904779</v>
      </c>
      <c r="S1148" s="238" t="s">
        <v>124</v>
      </c>
      <c r="T1148" s="238" t="s">
        <v>1167</v>
      </c>
      <c r="V1148" t="s">
        <v>1167</v>
      </c>
      <c r="W1148" s="24">
        <v>44781</v>
      </c>
      <c r="X1148" s="238" t="s">
        <v>3263</v>
      </c>
      <c r="Y1148" s="238" t="s">
        <v>3247</v>
      </c>
      <c r="Z1148" s="238" t="s">
        <v>1340</v>
      </c>
      <c r="AA1148" t="s">
        <v>1167</v>
      </c>
      <c r="AB1148" s="238" t="s">
        <v>3246</v>
      </c>
      <c r="AC1148" t="s">
        <v>1167</v>
      </c>
      <c r="AD1148" s="24"/>
      <c r="AE1148" s="238" t="s">
        <v>3248</v>
      </c>
      <c r="AG1148" s="238" t="s">
        <v>1167</v>
      </c>
      <c r="AH1148" s="238" t="s">
        <v>1167</v>
      </c>
      <c r="AI1148" s="238" t="s">
        <v>5050</v>
      </c>
      <c r="AJ1148" s="238" t="s">
        <v>982</v>
      </c>
      <c r="AK1148" s="238" t="s">
        <v>1167</v>
      </c>
      <c r="AL1148" t="s">
        <v>8715</v>
      </c>
      <c r="AM1148" t="s">
        <v>1167</v>
      </c>
    </row>
    <row r="1149" spans="1:39" hidden="1" x14ac:dyDescent="0.25">
      <c r="A1149">
        <v>1145</v>
      </c>
      <c r="B1149">
        <v>89</v>
      </c>
      <c r="C1149" s="24">
        <v>44788</v>
      </c>
      <c r="D1149" s="238" t="s">
        <v>27</v>
      </c>
      <c r="E1149" s="238" t="s">
        <v>5</v>
      </c>
      <c r="F1149">
        <v>1</v>
      </c>
      <c r="G1149">
        <v>14</v>
      </c>
      <c r="H1149">
        <v>304</v>
      </c>
      <c r="I1149" s="238" t="s">
        <v>44</v>
      </c>
      <c r="J1149">
        <v>82.76</v>
      </c>
      <c r="K1149" s="238" t="s">
        <v>38</v>
      </c>
      <c r="L1149">
        <v>6017250</v>
      </c>
      <c r="M1149">
        <v>0</v>
      </c>
      <c r="N1149">
        <v>6017250</v>
      </c>
      <c r="O1149">
        <v>72707.225712904779</v>
      </c>
      <c r="P1149">
        <v>0</v>
      </c>
      <c r="Q1149">
        <v>6017250</v>
      </c>
      <c r="R1149">
        <v>72707.225712904779</v>
      </c>
      <c r="S1149" s="238" t="s">
        <v>124</v>
      </c>
      <c r="T1149" s="238" t="s">
        <v>1167</v>
      </c>
      <c r="V1149" t="s">
        <v>1167</v>
      </c>
      <c r="W1149" s="24">
        <v>44781</v>
      </c>
      <c r="X1149" s="238" t="s">
        <v>3263</v>
      </c>
      <c r="Y1149" s="238" t="s">
        <v>3247</v>
      </c>
      <c r="Z1149" s="238" t="s">
        <v>1340</v>
      </c>
      <c r="AA1149" t="s">
        <v>1167</v>
      </c>
      <c r="AB1149" s="238" t="s">
        <v>3246</v>
      </c>
      <c r="AC1149" t="s">
        <v>1167</v>
      </c>
      <c r="AD1149" s="24"/>
      <c r="AE1149" s="238" t="s">
        <v>3248</v>
      </c>
      <c r="AG1149" s="238" t="s">
        <v>1167</v>
      </c>
      <c r="AH1149" s="238" t="s">
        <v>1167</v>
      </c>
      <c r="AI1149" s="238" t="s">
        <v>5050</v>
      </c>
      <c r="AJ1149" s="238" t="s">
        <v>982</v>
      </c>
      <c r="AK1149" s="238" t="s">
        <v>1167</v>
      </c>
      <c r="AL1149" t="s">
        <v>8715</v>
      </c>
      <c r="AM1149" t="s">
        <v>1167</v>
      </c>
    </row>
    <row r="1150" spans="1:39" hidden="1" x14ac:dyDescent="0.25">
      <c r="A1150">
        <v>1146</v>
      </c>
      <c r="B1150">
        <v>90</v>
      </c>
      <c r="C1150" s="24">
        <v>44788</v>
      </c>
      <c r="D1150" s="238" t="s">
        <v>27</v>
      </c>
      <c r="E1150" s="238" t="s">
        <v>5</v>
      </c>
      <c r="F1150">
        <v>4</v>
      </c>
      <c r="G1150">
        <v>14</v>
      </c>
      <c r="H1150">
        <v>307</v>
      </c>
      <c r="I1150" s="238" t="s">
        <v>42</v>
      </c>
      <c r="J1150">
        <v>40</v>
      </c>
      <c r="K1150" s="238" t="s">
        <v>38</v>
      </c>
      <c r="L1150">
        <v>2901750</v>
      </c>
      <c r="M1150">
        <v>0</v>
      </c>
      <c r="N1150">
        <v>2901750</v>
      </c>
      <c r="O1150">
        <v>72543.75</v>
      </c>
      <c r="P1150">
        <v>0</v>
      </c>
      <c r="Q1150">
        <v>2901750</v>
      </c>
      <c r="R1150">
        <v>72543.75</v>
      </c>
      <c r="S1150" s="238" t="s">
        <v>124</v>
      </c>
      <c r="T1150" s="238" t="s">
        <v>1167</v>
      </c>
      <c r="V1150" t="s">
        <v>1167</v>
      </c>
      <c r="W1150" s="24">
        <v>44781</v>
      </c>
      <c r="X1150" s="238" t="s">
        <v>3263</v>
      </c>
      <c r="Y1150" s="238" t="s">
        <v>3247</v>
      </c>
      <c r="Z1150" s="238" t="s">
        <v>1340</v>
      </c>
      <c r="AA1150" t="s">
        <v>1167</v>
      </c>
      <c r="AB1150" s="238" t="s">
        <v>3246</v>
      </c>
      <c r="AC1150" t="s">
        <v>1167</v>
      </c>
      <c r="AD1150" s="24"/>
      <c r="AE1150" s="238" t="s">
        <v>3248</v>
      </c>
      <c r="AG1150" s="238" t="s">
        <v>1167</v>
      </c>
      <c r="AH1150" s="238" t="s">
        <v>1167</v>
      </c>
      <c r="AI1150" s="238" t="s">
        <v>5050</v>
      </c>
      <c r="AJ1150" s="238" t="s">
        <v>982</v>
      </c>
      <c r="AK1150" s="238" t="s">
        <v>1167</v>
      </c>
      <c r="AL1150" t="s">
        <v>8715</v>
      </c>
      <c r="AM1150" t="s">
        <v>1167</v>
      </c>
    </row>
    <row r="1151" spans="1:39" hidden="1" x14ac:dyDescent="0.25">
      <c r="A1151">
        <v>1147</v>
      </c>
      <c r="B1151">
        <v>91</v>
      </c>
      <c r="C1151" s="24">
        <v>44788</v>
      </c>
      <c r="D1151" s="238" t="s">
        <v>27</v>
      </c>
      <c r="E1151" s="238" t="s">
        <v>5</v>
      </c>
      <c r="F1151">
        <v>6</v>
      </c>
      <c r="G1151">
        <v>14</v>
      </c>
      <c r="H1151">
        <v>309</v>
      </c>
      <c r="I1151" s="238" t="s">
        <v>42</v>
      </c>
      <c r="J1151">
        <v>37.11</v>
      </c>
      <c r="K1151" s="238" t="s">
        <v>38</v>
      </c>
      <c r="L1151">
        <v>2684250</v>
      </c>
      <c r="M1151">
        <v>0</v>
      </c>
      <c r="N1151">
        <v>2684250</v>
      </c>
      <c r="O1151">
        <v>72332.255456750208</v>
      </c>
      <c r="P1151">
        <v>0</v>
      </c>
      <c r="Q1151">
        <v>2684250</v>
      </c>
      <c r="R1151">
        <v>72332.255456750208</v>
      </c>
      <c r="S1151" s="238" t="s">
        <v>124</v>
      </c>
      <c r="T1151" s="238" t="s">
        <v>1167</v>
      </c>
      <c r="V1151" t="s">
        <v>1167</v>
      </c>
      <c r="W1151" s="24">
        <v>44781</v>
      </c>
      <c r="X1151" s="238" t="s">
        <v>3263</v>
      </c>
      <c r="Y1151" s="238" t="s">
        <v>3247</v>
      </c>
      <c r="Z1151" s="238" t="s">
        <v>1340</v>
      </c>
      <c r="AA1151" t="s">
        <v>1167</v>
      </c>
      <c r="AB1151" s="238" t="s">
        <v>3246</v>
      </c>
      <c r="AC1151" t="s">
        <v>1167</v>
      </c>
      <c r="AD1151" s="24"/>
      <c r="AE1151" s="238" t="s">
        <v>3248</v>
      </c>
      <c r="AG1151" s="238" t="s">
        <v>1167</v>
      </c>
      <c r="AH1151" s="238" t="s">
        <v>1167</v>
      </c>
      <c r="AI1151" s="238" t="s">
        <v>5050</v>
      </c>
      <c r="AJ1151" s="238" t="s">
        <v>982</v>
      </c>
      <c r="AK1151" s="238" t="s">
        <v>1167</v>
      </c>
      <c r="AL1151" t="s">
        <v>8715</v>
      </c>
      <c r="AM1151" t="s">
        <v>1167</v>
      </c>
    </row>
    <row r="1152" spans="1:39" hidden="1" x14ac:dyDescent="0.25">
      <c r="A1152">
        <v>1148</v>
      </c>
      <c r="B1152">
        <v>92</v>
      </c>
      <c r="C1152" s="24">
        <v>44788</v>
      </c>
      <c r="D1152" s="238" t="s">
        <v>27</v>
      </c>
      <c r="E1152" s="238" t="s">
        <v>5</v>
      </c>
      <c r="F1152">
        <v>7</v>
      </c>
      <c r="G1152">
        <v>14</v>
      </c>
      <c r="H1152">
        <v>310</v>
      </c>
      <c r="I1152" s="238" t="s">
        <v>43</v>
      </c>
      <c r="J1152">
        <v>59.93</v>
      </c>
      <c r="K1152" s="238" t="s">
        <v>38</v>
      </c>
      <c r="L1152">
        <v>4305750</v>
      </c>
      <c r="M1152">
        <v>0</v>
      </c>
      <c r="N1152">
        <v>4305750</v>
      </c>
      <c r="O1152">
        <v>71846.320707492079</v>
      </c>
      <c r="P1152">
        <v>0</v>
      </c>
      <c r="Q1152">
        <v>4305750</v>
      </c>
      <c r="R1152">
        <v>71846.320707492079</v>
      </c>
      <c r="S1152" s="238" t="s">
        <v>124</v>
      </c>
      <c r="T1152" s="238" t="s">
        <v>1167</v>
      </c>
      <c r="V1152" t="s">
        <v>1167</v>
      </c>
      <c r="W1152" s="24">
        <v>44781</v>
      </c>
      <c r="X1152" s="238" t="s">
        <v>3263</v>
      </c>
      <c r="Y1152" s="238" t="s">
        <v>3247</v>
      </c>
      <c r="Z1152" s="238" t="s">
        <v>1340</v>
      </c>
      <c r="AA1152" t="s">
        <v>1167</v>
      </c>
      <c r="AB1152" s="238" t="s">
        <v>3246</v>
      </c>
      <c r="AC1152" t="s">
        <v>1167</v>
      </c>
      <c r="AD1152" s="24"/>
      <c r="AE1152" s="238" t="s">
        <v>3248</v>
      </c>
      <c r="AG1152" s="238" t="s">
        <v>1167</v>
      </c>
      <c r="AH1152" s="238" t="s">
        <v>1167</v>
      </c>
      <c r="AI1152" s="238" t="s">
        <v>5050</v>
      </c>
      <c r="AJ1152" s="238" t="s">
        <v>982</v>
      </c>
      <c r="AK1152" s="238" t="s">
        <v>1167</v>
      </c>
      <c r="AL1152" t="s">
        <v>8715</v>
      </c>
      <c r="AM1152" t="s">
        <v>1167</v>
      </c>
    </row>
    <row r="1153" spans="1:39" hidden="1" x14ac:dyDescent="0.25">
      <c r="A1153">
        <v>1149</v>
      </c>
      <c r="B1153">
        <v>93</v>
      </c>
      <c r="C1153" s="24">
        <v>44785</v>
      </c>
      <c r="D1153" s="238" t="s">
        <v>27</v>
      </c>
      <c r="E1153" s="238" t="s">
        <v>5</v>
      </c>
      <c r="F1153">
        <v>1</v>
      </c>
      <c r="G1153">
        <v>15</v>
      </c>
      <c r="H1153">
        <v>312</v>
      </c>
      <c r="I1153" s="238" t="s">
        <v>44</v>
      </c>
      <c r="J1153">
        <v>82.76</v>
      </c>
      <c r="K1153" s="238" t="s">
        <v>38</v>
      </c>
      <c r="L1153">
        <v>6017250</v>
      </c>
      <c r="M1153">
        <v>0</v>
      </c>
      <c r="N1153">
        <v>6017250</v>
      </c>
      <c r="O1153">
        <v>72707.225712904779</v>
      </c>
      <c r="P1153">
        <v>0</v>
      </c>
      <c r="Q1153">
        <v>6017250</v>
      </c>
      <c r="R1153">
        <v>72707.225712904779</v>
      </c>
      <c r="S1153" s="238" t="s">
        <v>124</v>
      </c>
      <c r="T1153" s="238" t="s">
        <v>1167</v>
      </c>
      <c r="V1153" t="s">
        <v>1167</v>
      </c>
      <c r="W1153" s="24">
        <v>44781</v>
      </c>
      <c r="X1153" s="238" t="s">
        <v>3264</v>
      </c>
      <c r="Y1153" s="238" t="s">
        <v>3247</v>
      </c>
      <c r="Z1153" s="238" t="s">
        <v>1340</v>
      </c>
      <c r="AA1153" t="s">
        <v>1167</v>
      </c>
      <c r="AB1153" s="238" t="s">
        <v>3246</v>
      </c>
      <c r="AC1153" t="s">
        <v>1167</v>
      </c>
      <c r="AD1153" s="24"/>
      <c r="AE1153" s="238" t="s">
        <v>3248</v>
      </c>
      <c r="AG1153" s="238" t="s">
        <v>1167</v>
      </c>
      <c r="AH1153" s="238" t="s">
        <v>1167</v>
      </c>
      <c r="AI1153" s="238" t="s">
        <v>5050</v>
      </c>
      <c r="AJ1153" s="238" t="s">
        <v>982</v>
      </c>
      <c r="AK1153" s="238" t="s">
        <v>1167</v>
      </c>
      <c r="AL1153" t="s">
        <v>8715</v>
      </c>
      <c r="AM1153" t="s">
        <v>1167</v>
      </c>
    </row>
    <row r="1154" spans="1:39" hidden="1" x14ac:dyDescent="0.25">
      <c r="A1154">
        <v>1150</v>
      </c>
      <c r="B1154">
        <v>94</v>
      </c>
      <c r="C1154" s="24">
        <v>44785</v>
      </c>
      <c r="D1154" s="238" t="s">
        <v>27</v>
      </c>
      <c r="E1154" s="238" t="s">
        <v>5</v>
      </c>
      <c r="F1154">
        <v>6</v>
      </c>
      <c r="G1154">
        <v>15</v>
      </c>
      <c r="H1154">
        <v>317</v>
      </c>
      <c r="I1154" s="238" t="s">
        <v>42</v>
      </c>
      <c r="J1154">
        <v>37.11</v>
      </c>
      <c r="K1154" s="238" t="s">
        <v>38</v>
      </c>
      <c r="L1154">
        <v>2684250</v>
      </c>
      <c r="M1154">
        <v>0</v>
      </c>
      <c r="N1154">
        <v>2684250</v>
      </c>
      <c r="O1154">
        <v>72332.255456750208</v>
      </c>
      <c r="P1154">
        <v>0</v>
      </c>
      <c r="Q1154">
        <v>2684250</v>
      </c>
      <c r="R1154">
        <v>72332.255456750208</v>
      </c>
      <c r="S1154" s="238" t="s">
        <v>124</v>
      </c>
      <c r="T1154" s="238" t="s">
        <v>1167</v>
      </c>
      <c r="V1154" t="s">
        <v>1167</v>
      </c>
      <c r="W1154" s="24">
        <v>44781</v>
      </c>
      <c r="X1154" s="238" t="s">
        <v>3264</v>
      </c>
      <c r="Y1154" s="238" t="s">
        <v>3247</v>
      </c>
      <c r="Z1154" s="238" t="s">
        <v>1340</v>
      </c>
      <c r="AA1154" t="s">
        <v>1167</v>
      </c>
      <c r="AB1154" s="238" t="s">
        <v>3246</v>
      </c>
      <c r="AC1154" t="s">
        <v>1167</v>
      </c>
      <c r="AD1154" s="24"/>
      <c r="AE1154" s="238" t="s">
        <v>3248</v>
      </c>
      <c r="AG1154" s="238" t="s">
        <v>1167</v>
      </c>
      <c r="AH1154" s="238" t="s">
        <v>1167</v>
      </c>
      <c r="AI1154" s="238" t="s">
        <v>5050</v>
      </c>
      <c r="AJ1154" s="238" t="s">
        <v>982</v>
      </c>
      <c r="AK1154" s="238" t="s">
        <v>1167</v>
      </c>
      <c r="AL1154" t="s">
        <v>8715</v>
      </c>
      <c r="AM1154" t="s">
        <v>1167</v>
      </c>
    </row>
    <row r="1155" spans="1:39" hidden="1" x14ac:dyDescent="0.25">
      <c r="A1155">
        <v>1151</v>
      </c>
      <c r="B1155">
        <v>95</v>
      </c>
      <c r="C1155" s="24">
        <v>44785</v>
      </c>
      <c r="D1155" s="238" t="s">
        <v>27</v>
      </c>
      <c r="E1155" s="238" t="s">
        <v>5</v>
      </c>
      <c r="F1155">
        <v>7</v>
      </c>
      <c r="G1155">
        <v>15</v>
      </c>
      <c r="H1155">
        <v>318</v>
      </c>
      <c r="I1155" s="238" t="s">
        <v>43</v>
      </c>
      <c r="J1155">
        <v>59.93</v>
      </c>
      <c r="K1155" s="238" t="s">
        <v>38</v>
      </c>
      <c r="L1155">
        <v>4305750</v>
      </c>
      <c r="M1155">
        <v>0</v>
      </c>
      <c r="N1155">
        <v>4305750</v>
      </c>
      <c r="O1155">
        <v>71846.320707492079</v>
      </c>
      <c r="P1155">
        <v>0</v>
      </c>
      <c r="Q1155">
        <v>4305750</v>
      </c>
      <c r="R1155">
        <v>71846.320707492079</v>
      </c>
      <c r="S1155" s="238" t="s">
        <v>124</v>
      </c>
      <c r="T1155" s="238" t="s">
        <v>1167</v>
      </c>
      <c r="V1155" t="s">
        <v>1167</v>
      </c>
      <c r="W1155" s="24">
        <v>44781</v>
      </c>
      <c r="X1155" s="238" t="s">
        <v>3264</v>
      </c>
      <c r="Y1155" s="238" t="s">
        <v>3247</v>
      </c>
      <c r="Z1155" s="238" t="s">
        <v>1340</v>
      </c>
      <c r="AA1155" t="s">
        <v>1167</v>
      </c>
      <c r="AB1155" s="238" t="s">
        <v>3246</v>
      </c>
      <c r="AC1155" t="s">
        <v>1167</v>
      </c>
      <c r="AD1155" s="24"/>
      <c r="AE1155" s="238" t="s">
        <v>3248</v>
      </c>
      <c r="AG1155" s="238" t="s">
        <v>1167</v>
      </c>
      <c r="AH1155" s="238" t="s">
        <v>1167</v>
      </c>
      <c r="AI1155" s="238" t="s">
        <v>5050</v>
      </c>
      <c r="AJ1155" s="238" t="s">
        <v>982</v>
      </c>
      <c r="AK1155" s="238" t="s">
        <v>1167</v>
      </c>
      <c r="AL1155" t="s">
        <v>8715</v>
      </c>
      <c r="AM1155" t="s">
        <v>1167</v>
      </c>
    </row>
    <row r="1156" spans="1:39" hidden="1" x14ac:dyDescent="0.25">
      <c r="A1156">
        <v>1152</v>
      </c>
      <c r="B1156">
        <v>96</v>
      </c>
      <c r="C1156" s="24">
        <v>44785</v>
      </c>
      <c r="D1156" s="238" t="s">
        <v>27</v>
      </c>
      <c r="E1156" s="238" t="s">
        <v>5</v>
      </c>
      <c r="F1156">
        <v>1</v>
      </c>
      <c r="G1156">
        <v>16</v>
      </c>
      <c r="H1156">
        <v>320</v>
      </c>
      <c r="I1156" s="238" t="s">
        <v>44</v>
      </c>
      <c r="J1156">
        <v>82.76</v>
      </c>
      <c r="K1156" s="238" t="s">
        <v>38</v>
      </c>
      <c r="L1156">
        <v>6017250</v>
      </c>
      <c r="M1156">
        <v>0</v>
      </c>
      <c r="N1156">
        <v>6017250</v>
      </c>
      <c r="O1156">
        <v>72707.225712904779</v>
      </c>
      <c r="P1156">
        <v>0</v>
      </c>
      <c r="Q1156">
        <v>6017250</v>
      </c>
      <c r="R1156">
        <v>72707.225712904779</v>
      </c>
      <c r="S1156" s="238" t="s">
        <v>124</v>
      </c>
      <c r="T1156" s="238" t="s">
        <v>1167</v>
      </c>
      <c r="V1156" t="s">
        <v>1167</v>
      </c>
      <c r="W1156" s="24">
        <v>44781</v>
      </c>
      <c r="X1156" s="238" t="s">
        <v>3264</v>
      </c>
      <c r="Y1156" s="238" t="s">
        <v>3247</v>
      </c>
      <c r="Z1156" s="238" t="s">
        <v>1340</v>
      </c>
      <c r="AA1156" t="s">
        <v>1167</v>
      </c>
      <c r="AB1156" s="238" t="s">
        <v>3246</v>
      </c>
      <c r="AC1156" t="s">
        <v>1167</v>
      </c>
      <c r="AD1156" s="24"/>
      <c r="AE1156" s="238" t="s">
        <v>3248</v>
      </c>
      <c r="AG1156" s="238" t="s">
        <v>1167</v>
      </c>
      <c r="AH1156" s="238" t="s">
        <v>1167</v>
      </c>
      <c r="AI1156" s="238" t="s">
        <v>5050</v>
      </c>
      <c r="AJ1156" s="238" t="s">
        <v>982</v>
      </c>
      <c r="AK1156" s="238" t="s">
        <v>1167</v>
      </c>
      <c r="AL1156" t="s">
        <v>8715</v>
      </c>
      <c r="AM1156" t="s">
        <v>1167</v>
      </c>
    </row>
    <row r="1157" spans="1:39" hidden="1" x14ac:dyDescent="0.25">
      <c r="A1157">
        <v>1153</v>
      </c>
      <c r="B1157">
        <v>97</v>
      </c>
      <c r="C1157" s="24">
        <v>44785</v>
      </c>
      <c r="D1157" s="238" t="s">
        <v>27</v>
      </c>
      <c r="E1157" s="238" t="s">
        <v>5</v>
      </c>
      <c r="F1157">
        <v>4</v>
      </c>
      <c r="G1157">
        <v>16</v>
      </c>
      <c r="H1157">
        <v>323</v>
      </c>
      <c r="I1157" s="238" t="s">
        <v>42</v>
      </c>
      <c r="J1157">
        <v>40</v>
      </c>
      <c r="K1157" s="238" t="s">
        <v>38</v>
      </c>
      <c r="L1157">
        <v>2901750</v>
      </c>
      <c r="M1157">
        <v>0</v>
      </c>
      <c r="N1157">
        <v>2901750</v>
      </c>
      <c r="O1157">
        <v>72543.75</v>
      </c>
      <c r="P1157">
        <v>0</v>
      </c>
      <c r="Q1157">
        <v>2901750</v>
      </c>
      <c r="R1157">
        <v>72543.75</v>
      </c>
      <c r="S1157" s="238" t="s">
        <v>124</v>
      </c>
      <c r="T1157" s="238" t="s">
        <v>1167</v>
      </c>
      <c r="V1157" t="s">
        <v>1167</v>
      </c>
      <c r="W1157" s="24">
        <v>44781</v>
      </c>
      <c r="X1157" s="238" t="s">
        <v>3264</v>
      </c>
      <c r="Y1157" s="238" t="s">
        <v>3247</v>
      </c>
      <c r="Z1157" s="238" t="s">
        <v>1340</v>
      </c>
      <c r="AA1157" t="s">
        <v>1167</v>
      </c>
      <c r="AB1157" s="238" t="s">
        <v>3246</v>
      </c>
      <c r="AC1157" t="s">
        <v>1167</v>
      </c>
      <c r="AD1157" s="24"/>
      <c r="AE1157" s="238" t="s">
        <v>3248</v>
      </c>
      <c r="AG1157" s="238" t="s">
        <v>1167</v>
      </c>
      <c r="AH1157" s="238" t="s">
        <v>1167</v>
      </c>
      <c r="AI1157" s="238" t="s">
        <v>5050</v>
      </c>
      <c r="AJ1157" s="238" t="s">
        <v>982</v>
      </c>
      <c r="AK1157" s="238" t="s">
        <v>1167</v>
      </c>
      <c r="AL1157" t="s">
        <v>8715</v>
      </c>
      <c r="AM1157" t="s">
        <v>1167</v>
      </c>
    </row>
    <row r="1158" spans="1:39" hidden="1" x14ac:dyDescent="0.25">
      <c r="A1158">
        <v>1154</v>
      </c>
      <c r="B1158">
        <v>98</v>
      </c>
      <c r="C1158" s="24">
        <v>44785</v>
      </c>
      <c r="D1158" s="238" t="s">
        <v>27</v>
      </c>
      <c r="E1158" s="238" t="s">
        <v>5</v>
      </c>
      <c r="F1158">
        <v>1</v>
      </c>
      <c r="G1158">
        <v>17</v>
      </c>
      <c r="H1158">
        <v>328</v>
      </c>
      <c r="I1158" s="238" t="s">
        <v>44</v>
      </c>
      <c r="J1158">
        <v>82.76</v>
      </c>
      <c r="K1158" s="238" t="s">
        <v>38</v>
      </c>
      <c r="L1158">
        <v>6017250</v>
      </c>
      <c r="M1158">
        <v>0</v>
      </c>
      <c r="N1158">
        <v>6017250</v>
      </c>
      <c r="O1158">
        <v>72707.225712904779</v>
      </c>
      <c r="P1158">
        <v>0</v>
      </c>
      <c r="Q1158">
        <v>6017250</v>
      </c>
      <c r="R1158">
        <v>72707.225712904779</v>
      </c>
      <c r="S1158" s="238" t="s">
        <v>124</v>
      </c>
      <c r="T1158" s="238" t="s">
        <v>1167</v>
      </c>
      <c r="V1158" t="s">
        <v>1167</v>
      </c>
      <c r="W1158" s="24">
        <v>44781</v>
      </c>
      <c r="X1158" s="238" t="s">
        <v>3264</v>
      </c>
      <c r="Y1158" s="238" t="s">
        <v>3247</v>
      </c>
      <c r="Z1158" s="238" t="s">
        <v>1340</v>
      </c>
      <c r="AA1158" t="s">
        <v>1167</v>
      </c>
      <c r="AB1158" s="238" t="s">
        <v>3246</v>
      </c>
      <c r="AC1158" t="s">
        <v>1167</v>
      </c>
      <c r="AD1158" s="24"/>
      <c r="AE1158" s="238" t="s">
        <v>3248</v>
      </c>
      <c r="AG1158" s="238" t="s">
        <v>1167</v>
      </c>
      <c r="AH1158" s="238" t="s">
        <v>1167</v>
      </c>
      <c r="AI1158" s="238" t="s">
        <v>5050</v>
      </c>
      <c r="AJ1158" s="238" t="s">
        <v>982</v>
      </c>
      <c r="AK1158" s="238" t="s">
        <v>1167</v>
      </c>
      <c r="AL1158" t="s">
        <v>8715</v>
      </c>
      <c r="AM1158" t="s">
        <v>1167</v>
      </c>
    </row>
    <row r="1159" spans="1:39" hidden="1" x14ac:dyDescent="0.25">
      <c r="A1159">
        <v>1155</v>
      </c>
      <c r="B1159">
        <v>99</v>
      </c>
      <c r="C1159" s="24">
        <v>44785</v>
      </c>
      <c r="D1159" s="238" t="s">
        <v>27</v>
      </c>
      <c r="E1159" s="238" t="s">
        <v>5</v>
      </c>
      <c r="F1159">
        <v>4</v>
      </c>
      <c r="G1159">
        <v>17</v>
      </c>
      <c r="H1159">
        <v>331</v>
      </c>
      <c r="I1159" s="238" t="s">
        <v>42</v>
      </c>
      <c r="J1159">
        <v>40</v>
      </c>
      <c r="K1159" s="238" t="s">
        <v>38</v>
      </c>
      <c r="L1159">
        <v>2901750</v>
      </c>
      <c r="M1159">
        <v>0</v>
      </c>
      <c r="N1159">
        <v>2901750</v>
      </c>
      <c r="O1159">
        <v>72543.75</v>
      </c>
      <c r="P1159">
        <v>0</v>
      </c>
      <c r="Q1159">
        <v>2901750</v>
      </c>
      <c r="R1159">
        <v>72543.75</v>
      </c>
      <c r="S1159" s="238" t="s">
        <v>124</v>
      </c>
      <c r="T1159" s="238" t="s">
        <v>1167</v>
      </c>
      <c r="V1159" t="s">
        <v>1167</v>
      </c>
      <c r="W1159" s="24">
        <v>44781</v>
      </c>
      <c r="X1159" s="238" t="s">
        <v>3264</v>
      </c>
      <c r="Y1159" s="238" t="s">
        <v>3247</v>
      </c>
      <c r="Z1159" s="238" t="s">
        <v>1340</v>
      </c>
      <c r="AA1159" t="s">
        <v>1167</v>
      </c>
      <c r="AB1159" s="238" t="s">
        <v>3246</v>
      </c>
      <c r="AC1159" t="s">
        <v>1167</v>
      </c>
      <c r="AD1159" s="24"/>
      <c r="AE1159" s="238" t="s">
        <v>3248</v>
      </c>
      <c r="AG1159" s="238" t="s">
        <v>1167</v>
      </c>
      <c r="AH1159" s="238" t="s">
        <v>1167</v>
      </c>
      <c r="AI1159" s="238" t="s">
        <v>5050</v>
      </c>
      <c r="AJ1159" s="238" t="s">
        <v>982</v>
      </c>
      <c r="AK1159" s="238" t="s">
        <v>1167</v>
      </c>
      <c r="AL1159" t="s">
        <v>8715</v>
      </c>
      <c r="AM1159" t="s">
        <v>1167</v>
      </c>
    </row>
    <row r="1160" spans="1:39" hidden="1" x14ac:dyDescent="0.25">
      <c r="A1160">
        <v>1156</v>
      </c>
      <c r="B1160">
        <v>100</v>
      </c>
      <c r="C1160" s="24">
        <v>44785</v>
      </c>
      <c r="D1160" s="238" t="s">
        <v>27</v>
      </c>
      <c r="E1160" s="238" t="s">
        <v>5</v>
      </c>
      <c r="F1160">
        <v>6</v>
      </c>
      <c r="G1160">
        <v>17</v>
      </c>
      <c r="H1160">
        <v>333</v>
      </c>
      <c r="I1160" s="238" t="s">
        <v>42</v>
      </c>
      <c r="J1160">
        <v>37.11</v>
      </c>
      <c r="K1160" s="238" t="s">
        <v>38</v>
      </c>
      <c r="L1160">
        <v>2684250</v>
      </c>
      <c r="M1160">
        <v>0</v>
      </c>
      <c r="N1160">
        <v>2684250</v>
      </c>
      <c r="O1160">
        <v>72332.255456750208</v>
      </c>
      <c r="P1160">
        <v>0</v>
      </c>
      <c r="Q1160">
        <v>2684250</v>
      </c>
      <c r="R1160">
        <v>72332.255456750208</v>
      </c>
      <c r="S1160" s="238" t="s">
        <v>124</v>
      </c>
      <c r="T1160" s="238" t="s">
        <v>1167</v>
      </c>
      <c r="V1160" t="s">
        <v>1167</v>
      </c>
      <c r="W1160" s="24">
        <v>44781</v>
      </c>
      <c r="X1160" s="238" t="s">
        <v>3264</v>
      </c>
      <c r="Y1160" s="238" t="s">
        <v>3247</v>
      </c>
      <c r="Z1160" s="238" t="s">
        <v>1340</v>
      </c>
      <c r="AA1160" t="s">
        <v>1167</v>
      </c>
      <c r="AB1160" s="238" t="s">
        <v>3246</v>
      </c>
      <c r="AC1160" t="s">
        <v>1167</v>
      </c>
      <c r="AD1160" s="24"/>
      <c r="AE1160" s="238" t="s">
        <v>3248</v>
      </c>
      <c r="AG1160" s="238" t="s">
        <v>1167</v>
      </c>
      <c r="AH1160" s="238" t="s">
        <v>1167</v>
      </c>
      <c r="AI1160" s="238" t="s">
        <v>5050</v>
      </c>
      <c r="AJ1160" s="238" t="s">
        <v>982</v>
      </c>
      <c r="AK1160" s="238" t="s">
        <v>1167</v>
      </c>
      <c r="AL1160" t="s">
        <v>8715</v>
      </c>
      <c r="AM1160" t="s">
        <v>1167</v>
      </c>
    </row>
    <row r="1161" spans="1:39" hidden="1" x14ac:dyDescent="0.25">
      <c r="A1161">
        <v>1157</v>
      </c>
      <c r="B1161">
        <v>101</v>
      </c>
      <c r="C1161" s="24">
        <v>44785</v>
      </c>
      <c r="D1161" s="238" t="s">
        <v>27</v>
      </c>
      <c r="E1161" s="238" t="s">
        <v>5</v>
      </c>
      <c r="F1161">
        <v>7</v>
      </c>
      <c r="G1161">
        <v>17</v>
      </c>
      <c r="H1161">
        <v>334</v>
      </c>
      <c r="I1161" s="238" t="s">
        <v>43</v>
      </c>
      <c r="J1161">
        <v>59.93</v>
      </c>
      <c r="K1161" s="238" t="s">
        <v>38</v>
      </c>
      <c r="L1161">
        <v>4305750</v>
      </c>
      <c r="M1161">
        <v>0</v>
      </c>
      <c r="N1161">
        <v>4305750</v>
      </c>
      <c r="O1161">
        <v>71846.320707492079</v>
      </c>
      <c r="P1161">
        <v>0</v>
      </c>
      <c r="Q1161">
        <v>4305750</v>
      </c>
      <c r="R1161">
        <v>71846.320707492079</v>
      </c>
      <c r="S1161" s="238" t="s">
        <v>124</v>
      </c>
      <c r="T1161" s="238" t="s">
        <v>1167</v>
      </c>
      <c r="V1161" t="s">
        <v>1167</v>
      </c>
      <c r="W1161" s="24">
        <v>44781</v>
      </c>
      <c r="X1161" s="238" t="s">
        <v>3264</v>
      </c>
      <c r="Y1161" s="238" t="s">
        <v>3247</v>
      </c>
      <c r="Z1161" s="238" t="s">
        <v>1340</v>
      </c>
      <c r="AA1161" t="s">
        <v>1167</v>
      </c>
      <c r="AB1161" s="238" t="s">
        <v>3246</v>
      </c>
      <c r="AC1161" t="s">
        <v>1167</v>
      </c>
      <c r="AD1161" s="24"/>
      <c r="AE1161" s="238" t="s">
        <v>3248</v>
      </c>
      <c r="AG1161" s="238" t="s">
        <v>1167</v>
      </c>
      <c r="AH1161" s="238" t="s">
        <v>1167</v>
      </c>
      <c r="AI1161" s="238" t="s">
        <v>5050</v>
      </c>
      <c r="AJ1161" s="238" t="s">
        <v>982</v>
      </c>
      <c r="AK1161" s="238" t="s">
        <v>1167</v>
      </c>
      <c r="AL1161" t="s">
        <v>8715</v>
      </c>
      <c r="AM1161" t="s">
        <v>1167</v>
      </c>
    </row>
    <row r="1162" spans="1:39" hidden="1" x14ac:dyDescent="0.25">
      <c r="A1162">
        <v>1158</v>
      </c>
      <c r="B1162">
        <v>102</v>
      </c>
      <c r="C1162" s="24">
        <v>44785</v>
      </c>
      <c r="D1162" s="238" t="s">
        <v>27</v>
      </c>
      <c r="E1162" s="238" t="s">
        <v>5</v>
      </c>
      <c r="F1162">
        <v>1</v>
      </c>
      <c r="G1162">
        <v>18</v>
      </c>
      <c r="H1162">
        <v>336</v>
      </c>
      <c r="I1162" s="238" t="s">
        <v>44</v>
      </c>
      <c r="J1162">
        <v>82.76</v>
      </c>
      <c r="K1162" s="238" t="s">
        <v>38</v>
      </c>
      <c r="L1162">
        <v>6017250</v>
      </c>
      <c r="M1162">
        <v>0</v>
      </c>
      <c r="N1162">
        <v>6017250</v>
      </c>
      <c r="O1162">
        <v>72707.225712904779</v>
      </c>
      <c r="P1162">
        <v>0</v>
      </c>
      <c r="Q1162">
        <v>6017250</v>
      </c>
      <c r="R1162">
        <v>72707.225712904779</v>
      </c>
      <c r="S1162" s="238" t="s">
        <v>124</v>
      </c>
      <c r="T1162" s="238" t="s">
        <v>1167</v>
      </c>
      <c r="V1162" t="s">
        <v>1167</v>
      </c>
      <c r="W1162" s="24">
        <v>44781</v>
      </c>
      <c r="X1162" s="238" t="s">
        <v>3264</v>
      </c>
      <c r="Y1162" s="238" t="s">
        <v>3247</v>
      </c>
      <c r="Z1162" s="238" t="s">
        <v>1340</v>
      </c>
      <c r="AA1162" t="s">
        <v>1167</v>
      </c>
      <c r="AB1162" s="238" t="s">
        <v>3246</v>
      </c>
      <c r="AC1162" t="s">
        <v>1167</v>
      </c>
      <c r="AD1162" s="24"/>
      <c r="AE1162" s="238" t="s">
        <v>3248</v>
      </c>
      <c r="AG1162" s="238" t="s">
        <v>1167</v>
      </c>
      <c r="AH1162" s="238" t="s">
        <v>1167</v>
      </c>
      <c r="AI1162" s="238" t="s">
        <v>5050</v>
      </c>
      <c r="AJ1162" s="238" t="s">
        <v>982</v>
      </c>
      <c r="AK1162" s="238" t="s">
        <v>1167</v>
      </c>
      <c r="AL1162" t="s">
        <v>8715</v>
      </c>
      <c r="AM1162" t="s">
        <v>1167</v>
      </c>
    </row>
    <row r="1163" spans="1:39" hidden="1" x14ac:dyDescent="0.25">
      <c r="A1163">
        <v>1159</v>
      </c>
      <c r="B1163">
        <v>103</v>
      </c>
      <c r="C1163" s="24">
        <v>44785</v>
      </c>
      <c r="D1163" s="238" t="s">
        <v>27</v>
      </c>
      <c r="E1163" s="238" t="s">
        <v>5</v>
      </c>
      <c r="F1163">
        <v>6</v>
      </c>
      <c r="G1163">
        <v>18</v>
      </c>
      <c r="H1163">
        <v>341</v>
      </c>
      <c r="I1163" s="238" t="s">
        <v>42</v>
      </c>
      <c r="J1163">
        <v>37.11</v>
      </c>
      <c r="K1163" s="238" t="s">
        <v>38</v>
      </c>
      <c r="L1163">
        <v>2684250</v>
      </c>
      <c r="M1163">
        <v>0</v>
      </c>
      <c r="N1163">
        <v>2684250</v>
      </c>
      <c r="O1163">
        <v>72332.255456750208</v>
      </c>
      <c r="P1163">
        <v>0</v>
      </c>
      <c r="Q1163">
        <v>2684250</v>
      </c>
      <c r="R1163">
        <v>72332.255456750208</v>
      </c>
      <c r="S1163" s="238" t="s">
        <v>124</v>
      </c>
      <c r="T1163" s="238" t="s">
        <v>1167</v>
      </c>
      <c r="V1163" t="s">
        <v>1167</v>
      </c>
      <c r="W1163" s="24">
        <v>44781</v>
      </c>
      <c r="X1163" s="238" t="s">
        <v>3264</v>
      </c>
      <c r="Y1163" s="238" t="s">
        <v>3247</v>
      </c>
      <c r="Z1163" s="238" t="s">
        <v>1340</v>
      </c>
      <c r="AA1163" t="s">
        <v>1167</v>
      </c>
      <c r="AB1163" s="238" t="s">
        <v>3246</v>
      </c>
      <c r="AC1163" t="s">
        <v>1167</v>
      </c>
      <c r="AD1163" s="24"/>
      <c r="AE1163" s="238" t="s">
        <v>3248</v>
      </c>
      <c r="AG1163" s="238" t="s">
        <v>1167</v>
      </c>
      <c r="AH1163" s="238" t="s">
        <v>1167</v>
      </c>
      <c r="AI1163" s="238" t="s">
        <v>5050</v>
      </c>
      <c r="AJ1163" s="238" t="s">
        <v>982</v>
      </c>
      <c r="AK1163" s="238" t="s">
        <v>1167</v>
      </c>
      <c r="AL1163" t="s">
        <v>8715</v>
      </c>
      <c r="AM1163" t="s">
        <v>1167</v>
      </c>
    </row>
    <row r="1164" spans="1:39" hidden="1" x14ac:dyDescent="0.25">
      <c r="A1164">
        <v>1160</v>
      </c>
      <c r="B1164">
        <v>104</v>
      </c>
      <c r="C1164" s="24">
        <v>44785</v>
      </c>
      <c r="D1164" s="238" t="s">
        <v>27</v>
      </c>
      <c r="E1164" s="238" t="s">
        <v>5</v>
      </c>
      <c r="F1164">
        <v>1</v>
      </c>
      <c r="G1164">
        <v>19</v>
      </c>
      <c r="H1164">
        <v>344</v>
      </c>
      <c r="I1164" s="238" t="s">
        <v>44</v>
      </c>
      <c r="J1164">
        <v>82.76</v>
      </c>
      <c r="K1164" s="238" t="s">
        <v>38</v>
      </c>
      <c r="L1164">
        <v>6017250</v>
      </c>
      <c r="M1164">
        <v>0</v>
      </c>
      <c r="N1164">
        <v>6017250</v>
      </c>
      <c r="O1164">
        <v>72707.225712904779</v>
      </c>
      <c r="P1164">
        <v>0</v>
      </c>
      <c r="Q1164">
        <v>6017250</v>
      </c>
      <c r="R1164">
        <v>72707.225712904779</v>
      </c>
      <c r="S1164" s="238" t="s">
        <v>124</v>
      </c>
      <c r="T1164" s="238" t="s">
        <v>1167</v>
      </c>
      <c r="V1164" t="s">
        <v>1167</v>
      </c>
      <c r="W1164" s="24">
        <v>44781</v>
      </c>
      <c r="X1164" s="238" t="s">
        <v>3265</v>
      </c>
      <c r="Y1164" s="238" t="s">
        <v>3247</v>
      </c>
      <c r="Z1164" s="238" t="s">
        <v>1340</v>
      </c>
      <c r="AA1164" t="s">
        <v>1167</v>
      </c>
      <c r="AB1164" s="238" t="s">
        <v>3246</v>
      </c>
      <c r="AC1164" t="s">
        <v>1167</v>
      </c>
      <c r="AD1164" s="24"/>
      <c r="AE1164" s="238" t="s">
        <v>3248</v>
      </c>
      <c r="AG1164" s="238" t="s">
        <v>1167</v>
      </c>
      <c r="AH1164" s="238" t="s">
        <v>1167</v>
      </c>
      <c r="AI1164" s="238" t="s">
        <v>5050</v>
      </c>
      <c r="AJ1164" s="238" t="s">
        <v>982</v>
      </c>
      <c r="AK1164" s="238" t="s">
        <v>1167</v>
      </c>
      <c r="AL1164" t="s">
        <v>8715</v>
      </c>
      <c r="AM1164" t="s">
        <v>1167</v>
      </c>
    </row>
    <row r="1165" spans="1:39" hidden="1" x14ac:dyDescent="0.25">
      <c r="A1165">
        <v>1161</v>
      </c>
      <c r="B1165">
        <v>105</v>
      </c>
      <c r="C1165" s="24">
        <v>44785</v>
      </c>
      <c r="D1165" s="238" t="s">
        <v>27</v>
      </c>
      <c r="E1165" s="238" t="s">
        <v>5</v>
      </c>
      <c r="F1165">
        <v>2</v>
      </c>
      <c r="G1165">
        <v>19</v>
      </c>
      <c r="H1165">
        <v>345</v>
      </c>
      <c r="I1165" s="238" t="s">
        <v>42</v>
      </c>
      <c r="J1165">
        <v>37.159999999999997</v>
      </c>
      <c r="K1165" s="238" t="s">
        <v>38</v>
      </c>
      <c r="L1165">
        <v>2688000</v>
      </c>
      <c r="M1165">
        <v>0</v>
      </c>
      <c r="N1165">
        <v>2688000</v>
      </c>
      <c r="O1165">
        <v>72335.844994617873</v>
      </c>
      <c r="P1165">
        <v>0</v>
      </c>
      <c r="Q1165">
        <v>2688000</v>
      </c>
      <c r="R1165">
        <v>72335.844994617873</v>
      </c>
      <c r="S1165" s="238" t="s">
        <v>124</v>
      </c>
      <c r="T1165" s="238" t="s">
        <v>1167</v>
      </c>
      <c r="V1165" t="s">
        <v>1167</v>
      </c>
      <c r="W1165" s="24">
        <v>44781</v>
      </c>
      <c r="X1165" s="238" t="s">
        <v>3265</v>
      </c>
      <c r="Y1165" s="238" t="s">
        <v>3247</v>
      </c>
      <c r="Z1165" s="238" t="s">
        <v>1340</v>
      </c>
      <c r="AA1165" t="s">
        <v>1167</v>
      </c>
      <c r="AB1165" s="238" t="s">
        <v>3246</v>
      </c>
      <c r="AC1165" t="s">
        <v>1167</v>
      </c>
      <c r="AD1165" s="24"/>
      <c r="AE1165" s="238" t="s">
        <v>3248</v>
      </c>
      <c r="AG1165" s="238" t="s">
        <v>1167</v>
      </c>
      <c r="AH1165" s="238" t="s">
        <v>1167</v>
      </c>
      <c r="AI1165" s="238" t="s">
        <v>5050</v>
      </c>
      <c r="AJ1165" s="238" t="s">
        <v>982</v>
      </c>
      <c r="AK1165" s="238" t="s">
        <v>1167</v>
      </c>
      <c r="AL1165" t="s">
        <v>8715</v>
      </c>
      <c r="AM1165" t="s">
        <v>1167</v>
      </c>
    </row>
    <row r="1166" spans="1:39" hidden="1" x14ac:dyDescent="0.25">
      <c r="A1166">
        <v>1162</v>
      </c>
      <c r="B1166">
        <v>106</v>
      </c>
      <c r="C1166" s="24">
        <v>44785</v>
      </c>
      <c r="D1166" s="238" t="s">
        <v>27</v>
      </c>
      <c r="E1166" s="238" t="s">
        <v>5</v>
      </c>
      <c r="F1166">
        <v>4</v>
      </c>
      <c r="G1166">
        <v>19</v>
      </c>
      <c r="H1166">
        <v>347</v>
      </c>
      <c r="I1166" s="238" t="s">
        <v>42</v>
      </c>
      <c r="J1166">
        <v>40</v>
      </c>
      <c r="K1166" s="238" t="s">
        <v>38</v>
      </c>
      <c r="L1166">
        <v>2901750</v>
      </c>
      <c r="M1166">
        <v>0</v>
      </c>
      <c r="N1166">
        <v>2901750</v>
      </c>
      <c r="O1166">
        <v>72543.75</v>
      </c>
      <c r="P1166">
        <v>0</v>
      </c>
      <c r="Q1166">
        <v>2901750</v>
      </c>
      <c r="R1166">
        <v>72543.75</v>
      </c>
      <c r="S1166" s="238" t="s">
        <v>124</v>
      </c>
      <c r="T1166" s="238" t="s">
        <v>1167</v>
      </c>
      <c r="V1166" t="s">
        <v>1167</v>
      </c>
      <c r="W1166" s="24">
        <v>44781</v>
      </c>
      <c r="X1166" s="238" t="s">
        <v>3265</v>
      </c>
      <c r="Y1166" s="238" t="s">
        <v>3247</v>
      </c>
      <c r="Z1166" s="238" t="s">
        <v>1340</v>
      </c>
      <c r="AA1166" t="s">
        <v>1167</v>
      </c>
      <c r="AB1166" s="238" t="s">
        <v>3246</v>
      </c>
      <c r="AC1166" t="s">
        <v>1167</v>
      </c>
      <c r="AD1166" s="24"/>
      <c r="AE1166" s="238" t="s">
        <v>3248</v>
      </c>
      <c r="AG1166" s="238" t="s">
        <v>1167</v>
      </c>
      <c r="AH1166" s="238" t="s">
        <v>1167</v>
      </c>
      <c r="AI1166" s="238" t="s">
        <v>5050</v>
      </c>
      <c r="AJ1166" s="238" t="s">
        <v>982</v>
      </c>
      <c r="AK1166" s="238" t="s">
        <v>1167</v>
      </c>
      <c r="AL1166" t="s">
        <v>8715</v>
      </c>
      <c r="AM1166" t="s">
        <v>1167</v>
      </c>
    </row>
    <row r="1167" spans="1:39" hidden="1" x14ac:dyDescent="0.25">
      <c r="A1167">
        <v>1163</v>
      </c>
      <c r="B1167">
        <v>107</v>
      </c>
      <c r="C1167" s="24">
        <v>44785</v>
      </c>
      <c r="D1167" s="238" t="s">
        <v>27</v>
      </c>
      <c r="E1167" s="238" t="s">
        <v>5</v>
      </c>
      <c r="F1167">
        <v>6</v>
      </c>
      <c r="G1167">
        <v>19</v>
      </c>
      <c r="H1167">
        <v>349</v>
      </c>
      <c r="I1167" s="238" t="s">
        <v>42</v>
      </c>
      <c r="J1167">
        <v>37.11</v>
      </c>
      <c r="K1167" s="238" t="s">
        <v>38</v>
      </c>
      <c r="L1167">
        <v>2684250</v>
      </c>
      <c r="M1167">
        <v>0</v>
      </c>
      <c r="N1167">
        <v>2684250</v>
      </c>
      <c r="O1167">
        <v>72332.255456750208</v>
      </c>
      <c r="P1167">
        <v>0</v>
      </c>
      <c r="Q1167">
        <v>2684250</v>
      </c>
      <c r="R1167">
        <v>72332.255456750208</v>
      </c>
      <c r="S1167" s="238" t="s">
        <v>124</v>
      </c>
      <c r="T1167" s="238" t="s">
        <v>1167</v>
      </c>
      <c r="V1167" t="s">
        <v>1167</v>
      </c>
      <c r="W1167" s="24">
        <v>44781</v>
      </c>
      <c r="X1167" s="238" t="s">
        <v>3265</v>
      </c>
      <c r="Y1167" s="238" t="s">
        <v>3247</v>
      </c>
      <c r="Z1167" s="238" t="s">
        <v>1340</v>
      </c>
      <c r="AA1167" t="s">
        <v>1167</v>
      </c>
      <c r="AB1167" s="238" t="s">
        <v>3246</v>
      </c>
      <c r="AC1167" t="s">
        <v>1167</v>
      </c>
      <c r="AD1167" s="24"/>
      <c r="AE1167" s="238" t="s">
        <v>3248</v>
      </c>
      <c r="AG1167" s="238" t="s">
        <v>1167</v>
      </c>
      <c r="AH1167" s="238" t="s">
        <v>1167</v>
      </c>
      <c r="AI1167" s="238" t="s">
        <v>5050</v>
      </c>
      <c r="AJ1167" s="238" t="s">
        <v>982</v>
      </c>
      <c r="AK1167" s="238" t="s">
        <v>1167</v>
      </c>
      <c r="AL1167" t="s">
        <v>8715</v>
      </c>
      <c r="AM1167" t="s">
        <v>1167</v>
      </c>
    </row>
    <row r="1168" spans="1:39" hidden="1" x14ac:dyDescent="0.25">
      <c r="A1168">
        <v>1164</v>
      </c>
      <c r="B1168">
        <v>108</v>
      </c>
      <c r="C1168" s="24">
        <v>44785</v>
      </c>
      <c r="D1168" s="238" t="s">
        <v>27</v>
      </c>
      <c r="E1168" s="238" t="s">
        <v>5</v>
      </c>
      <c r="F1168">
        <v>8</v>
      </c>
      <c r="G1168">
        <v>19</v>
      </c>
      <c r="H1168">
        <v>351</v>
      </c>
      <c r="I1168" s="238" t="s">
        <v>43</v>
      </c>
      <c r="J1168">
        <v>55.8</v>
      </c>
      <c r="K1168" s="238" t="s">
        <v>38</v>
      </c>
      <c r="L1168">
        <v>4097250</v>
      </c>
      <c r="M1168">
        <v>0</v>
      </c>
      <c r="N1168">
        <v>4097250</v>
      </c>
      <c r="O1168">
        <v>73427.419354838712</v>
      </c>
      <c r="P1168">
        <v>0</v>
      </c>
      <c r="Q1168">
        <v>4097250</v>
      </c>
      <c r="R1168">
        <v>73427.419354838712</v>
      </c>
      <c r="S1168" s="238" t="s">
        <v>124</v>
      </c>
      <c r="T1168" s="238" t="s">
        <v>1167</v>
      </c>
      <c r="V1168" t="s">
        <v>1167</v>
      </c>
      <c r="W1168" s="24">
        <v>44781</v>
      </c>
      <c r="X1168" s="238" t="s">
        <v>3265</v>
      </c>
      <c r="Y1168" s="238" t="s">
        <v>3247</v>
      </c>
      <c r="Z1168" s="238" t="s">
        <v>1340</v>
      </c>
      <c r="AA1168" t="s">
        <v>1167</v>
      </c>
      <c r="AB1168" s="238" t="s">
        <v>3246</v>
      </c>
      <c r="AC1168" t="s">
        <v>1167</v>
      </c>
      <c r="AD1168" s="24"/>
      <c r="AE1168" s="238" t="s">
        <v>3248</v>
      </c>
      <c r="AG1168" s="238" t="s">
        <v>1167</v>
      </c>
      <c r="AH1168" s="238" t="s">
        <v>1167</v>
      </c>
      <c r="AI1168" s="238" t="s">
        <v>5050</v>
      </c>
      <c r="AJ1168" s="238" t="s">
        <v>982</v>
      </c>
      <c r="AK1168" s="238" t="s">
        <v>1167</v>
      </c>
      <c r="AL1168" t="s">
        <v>8715</v>
      </c>
      <c r="AM1168" t="s">
        <v>1167</v>
      </c>
    </row>
    <row r="1169" spans="1:39" hidden="1" x14ac:dyDescent="0.25">
      <c r="A1169">
        <v>1165</v>
      </c>
      <c r="B1169">
        <v>109</v>
      </c>
      <c r="C1169" s="24">
        <v>44785</v>
      </c>
      <c r="D1169" s="238" t="s">
        <v>27</v>
      </c>
      <c r="E1169" s="238" t="s">
        <v>5</v>
      </c>
      <c r="F1169">
        <v>1</v>
      </c>
      <c r="G1169">
        <v>20</v>
      </c>
      <c r="H1169">
        <v>352</v>
      </c>
      <c r="I1169" s="238" t="s">
        <v>44</v>
      </c>
      <c r="J1169">
        <v>82.76</v>
      </c>
      <c r="K1169" s="238" t="s">
        <v>38</v>
      </c>
      <c r="L1169">
        <v>6017250</v>
      </c>
      <c r="M1169">
        <v>0</v>
      </c>
      <c r="N1169">
        <v>6017250</v>
      </c>
      <c r="O1169">
        <v>72707.225712904779</v>
      </c>
      <c r="P1169">
        <v>0</v>
      </c>
      <c r="Q1169">
        <v>6017250</v>
      </c>
      <c r="R1169">
        <v>72707.225712904779</v>
      </c>
      <c r="S1169" s="238" t="s">
        <v>124</v>
      </c>
      <c r="T1169" s="238" t="s">
        <v>1167</v>
      </c>
      <c r="V1169" t="s">
        <v>1167</v>
      </c>
      <c r="W1169" s="24">
        <v>44781</v>
      </c>
      <c r="X1169" s="238" t="s">
        <v>3265</v>
      </c>
      <c r="Y1169" s="238" t="s">
        <v>3247</v>
      </c>
      <c r="Z1169" s="238" t="s">
        <v>1340</v>
      </c>
      <c r="AA1169" t="s">
        <v>1167</v>
      </c>
      <c r="AB1169" s="238" t="s">
        <v>3246</v>
      </c>
      <c r="AC1169" t="s">
        <v>1167</v>
      </c>
      <c r="AD1169" s="24"/>
      <c r="AE1169" s="238" t="s">
        <v>3248</v>
      </c>
      <c r="AG1169" s="238" t="s">
        <v>1167</v>
      </c>
      <c r="AH1169" s="238" t="s">
        <v>1167</v>
      </c>
      <c r="AI1169" s="238" t="s">
        <v>5050</v>
      </c>
      <c r="AJ1169" s="238" t="s">
        <v>982</v>
      </c>
      <c r="AK1169" s="238" t="s">
        <v>1167</v>
      </c>
      <c r="AL1169" t="s">
        <v>8715</v>
      </c>
      <c r="AM1169" t="s">
        <v>1167</v>
      </c>
    </row>
    <row r="1170" spans="1:39" hidden="1" x14ac:dyDescent="0.25">
      <c r="A1170">
        <v>1166</v>
      </c>
      <c r="B1170">
        <v>110</v>
      </c>
      <c r="C1170" s="24">
        <v>44785</v>
      </c>
      <c r="D1170" s="238" t="s">
        <v>27</v>
      </c>
      <c r="E1170" s="238" t="s">
        <v>5</v>
      </c>
      <c r="F1170">
        <v>2</v>
      </c>
      <c r="G1170">
        <v>20</v>
      </c>
      <c r="H1170">
        <v>353</v>
      </c>
      <c r="I1170" s="238" t="s">
        <v>42</v>
      </c>
      <c r="J1170">
        <v>37.159999999999997</v>
      </c>
      <c r="K1170" s="238" t="s">
        <v>38</v>
      </c>
      <c r="L1170">
        <v>2688000</v>
      </c>
      <c r="M1170">
        <v>0</v>
      </c>
      <c r="N1170">
        <v>2688000</v>
      </c>
      <c r="O1170">
        <v>72335.844994617873</v>
      </c>
      <c r="P1170">
        <v>0</v>
      </c>
      <c r="Q1170">
        <v>2688000</v>
      </c>
      <c r="R1170">
        <v>72335.844994617873</v>
      </c>
      <c r="S1170" s="238" t="s">
        <v>124</v>
      </c>
      <c r="T1170" s="238" t="s">
        <v>1167</v>
      </c>
      <c r="V1170" t="s">
        <v>1167</v>
      </c>
      <c r="W1170" s="24">
        <v>44781</v>
      </c>
      <c r="X1170" s="238" t="s">
        <v>3265</v>
      </c>
      <c r="Y1170" s="238" t="s">
        <v>3247</v>
      </c>
      <c r="Z1170" s="238" t="s">
        <v>1340</v>
      </c>
      <c r="AA1170" t="s">
        <v>1167</v>
      </c>
      <c r="AB1170" s="238" t="s">
        <v>3246</v>
      </c>
      <c r="AC1170" t="s">
        <v>1167</v>
      </c>
      <c r="AD1170" s="24"/>
      <c r="AE1170" s="238" t="s">
        <v>3248</v>
      </c>
      <c r="AG1170" s="238" t="s">
        <v>1167</v>
      </c>
      <c r="AH1170" s="238" t="s">
        <v>1167</v>
      </c>
      <c r="AI1170" s="238" t="s">
        <v>5050</v>
      </c>
      <c r="AJ1170" s="238" t="s">
        <v>982</v>
      </c>
      <c r="AK1170" s="238" t="s">
        <v>1167</v>
      </c>
      <c r="AL1170" t="s">
        <v>8715</v>
      </c>
      <c r="AM1170" t="s">
        <v>1167</v>
      </c>
    </row>
    <row r="1171" spans="1:39" hidden="1" x14ac:dyDescent="0.25">
      <c r="A1171">
        <v>1167</v>
      </c>
      <c r="B1171">
        <v>111</v>
      </c>
      <c r="C1171" s="24">
        <v>44785</v>
      </c>
      <c r="D1171" s="238" t="s">
        <v>27</v>
      </c>
      <c r="E1171" s="238" t="s">
        <v>5</v>
      </c>
      <c r="F1171">
        <v>4</v>
      </c>
      <c r="G1171">
        <v>20</v>
      </c>
      <c r="H1171">
        <v>355</v>
      </c>
      <c r="I1171" s="238" t="s">
        <v>42</v>
      </c>
      <c r="J1171">
        <v>40</v>
      </c>
      <c r="K1171" s="238" t="s">
        <v>38</v>
      </c>
      <c r="L1171">
        <v>2901750</v>
      </c>
      <c r="M1171">
        <v>0</v>
      </c>
      <c r="N1171">
        <v>2901750</v>
      </c>
      <c r="O1171">
        <v>72543.75</v>
      </c>
      <c r="P1171">
        <v>0</v>
      </c>
      <c r="Q1171">
        <v>2901750</v>
      </c>
      <c r="R1171">
        <v>72543.75</v>
      </c>
      <c r="S1171" s="238" t="s">
        <v>124</v>
      </c>
      <c r="T1171" s="238" t="s">
        <v>1167</v>
      </c>
      <c r="V1171" t="s">
        <v>1167</v>
      </c>
      <c r="W1171" s="24">
        <v>44781</v>
      </c>
      <c r="X1171" s="238" t="s">
        <v>3265</v>
      </c>
      <c r="Y1171" s="238" t="s">
        <v>3247</v>
      </c>
      <c r="Z1171" s="238" t="s">
        <v>1340</v>
      </c>
      <c r="AA1171" t="s">
        <v>1167</v>
      </c>
      <c r="AB1171" s="238" t="s">
        <v>3246</v>
      </c>
      <c r="AC1171" t="s">
        <v>1167</v>
      </c>
      <c r="AD1171" s="24"/>
      <c r="AE1171" s="238" t="s">
        <v>3248</v>
      </c>
      <c r="AG1171" s="238" t="s">
        <v>1167</v>
      </c>
      <c r="AH1171" s="238" t="s">
        <v>1167</v>
      </c>
      <c r="AI1171" s="238" t="s">
        <v>5050</v>
      </c>
      <c r="AJ1171" s="238" t="s">
        <v>982</v>
      </c>
      <c r="AK1171" s="238" t="s">
        <v>1167</v>
      </c>
      <c r="AL1171" t="s">
        <v>8715</v>
      </c>
      <c r="AM1171" t="s">
        <v>1167</v>
      </c>
    </row>
    <row r="1172" spans="1:39" hidden="1" x14ac:dyDescent="0.25">
      <c r="A1172">
        <v>1168</v>
      </c>
      <c r="B1172">
        <v>112</v>
      </c>
      <c r="C1172" s="24">
        <v>44785</v>
      </c>
      <c r="D1172" s="238" t="s">
        <v>27</v>
      </c>
      <c r="E1172" s="238" t="s">
        <v>5</v>
      </c>
      <c r="F1172">
        <v>6</v>
      </c>
      <c r="G1172">
        <v>20</v>
      </c>
      <c r="H1172">
        <v>357</v>
      </c>
      <c r="I1172" s="238" t="s">
        <v>42</v>
      </c>
      <c r="J1172">
        <v>37.11</v>
      </c>
      <c r="K1172" s="238" t="s">
        <v>38</v>
      </c>
      <c r="L1172">
        <v>2684250</v>
      </c>
      <c r="M1172">
        <v>0</v>
      </c>
      <c r="N1172">
        <v>2684250</v>
      </c>
      <c r="O1172">
        <v>72332.255456750208</v>
      </c>
      <c r="P1172">
        <v>0</v>
      </c>
      <c r="Q1172">
        <v>2684250</v>
      </c>
      <c r="R1172">
        <v>72332.255456750208</v>
      </c>
      <c r="S1172" s="238" t="s">
        <v>124</v>
      </c>
      <c r="T1172" s="238" t="s">
        <v>1167</v>
      </c>
      <c r="V1172" t="s">
        <v>1167</v>
      </c>
      <c r="W1172" s="24">
        <v>44781</v>
      </c>
      <c r="X1172" s="238" t="s">
        <v>3265</v>
      </c>
      <c r="Y1172" s="238" t="s">
        <v>3247</v>
      </c>
      <c r="Z1172" s="238" t="s">
        <v>1340</v>
      </c>
      <c r="AA1172" t="s">
        <v>1167</v>
      </c>
      <c r="AB1172" s="238" t="s">
        <v>3246</v>
      </c>
      <c r="AC1172" t="s">
        <v>1167</v>
      </c>
      <c r="AD1172" s="24"/>
      <c r="AE1172" s="238" t="s">
        <v>3248</v>
      </c>
      <c r="AG1172" s="238" t="s">
        <v>1167</v>
      </c>
      <c r="AH1172" s="238" t="s">
        <v>1167</v>
      </c>
      <c r="AI1172" s="238" t="s">
        <v>5050</v>
      </c>
      <c r="AJ1172" s="238" t="s">
        <v>982</v>
      </c>
      <c r="AK1172" s="238" t="s">
        <v>1167</v>
      </c>
      <c r="AL1172" t="s">
        <v>8715</v>
      </c>
      <c r="AM1172" t="s">
        <v>1167</v>
      </c>
    </row>
    <row r="1173" spans="1:39" hidden="1" x14ac:dyDescent="0.25">
      <c r="A1173">
        <v>1169</v>
      </c>
      <c r="B1173">
        <v>113</v>
      </c>
      <c r="C1173" s="24">
        <v>44785</v>
      </c>
      <c r="D1173" s="238" t="s">
        <v>27</v>
      </c>
      <c r="E1173" s="238" t="s">
        <v>5</v>
      </c>
      <c r="F1173">
        <v>7</v>
      </c>
      <c r="G1173">
        <v>20</v>
      </c>
      <c r="H1173">
        <v>358</v>
      </c>
      <c r="I1173" s="238" t="s">
        <v>43</v>
      </c>
      <c r="J1173">
        <v>59.93</v>
      </c>
      <c r="K1173" s="238" t="s">
        <v>38</v>
      </c>
      <c r="L1173">
        <v>4305750</v>
      </c>
      <c r="M1173">
        <v>0</v>
      </c>
      <c r="N1173">
        <v>4305750</v>
      </c>
      <c r="O1173">
        <v>71846.320707492079</v>
      </c>
      <c r="P1173">
        <v>0</v>
      </c>
      <c r="Q1173">
        <v>4305750</v>
      </c>
      <c r="R1173">
        <v>71846.320707492079</v>
      </c>
      <c r="S1173" s="238" t="s">
        <v>124</v>
      </c>
      <c r="T1173" s="238" t="s">
        <v>1167</v>
      </c>
      <c r="V1173" t="s">
        <v>1167</v>
      </c>
      <c r="W1173" s="24">
        <v>44781</v>
      </c>
      <c r="X1173" s="238" t="s">
        <v>3265</v>
      </c>
      <c r="Y1173" s="238" t="s">
        <v>3247</v>
      </c>
      <c r="Z1173" s="238" t="s">
        <v>1340</v>
      </c>
      <c r="AA1173" t="s">
        <v>1167</v>
      </c>
      <c r="AB1173" s="238" t="s">
        <v>3246</v>
      </c>
      <c r="AC1173" t="s">
        <v>1167</v>
      </c>
      <c r="AD1173" s="24"/>
      <c r="AE1173" s="238" t="s">
        <v>3248</v>
      </c>
      <c r="AG1173" s="238" t="s">
        <v>1167</v>
      </c>
      <c r="AH1173" s="238" t="s">
        <v>1167</v>
      </c>
      <c r="AI1173" s="238" t="s">
        <v>5050</v>
      </c>
      <c r="AJ1173" s="238" t="s">
        <v>982</v>
      </c>
      <c r="AK1173" s="238" t="s">
        <v>1167</v>
      </c>
      <c r="AL1173" t="s">
        <v>8715</v>
      </c>
      <c r="AM1173" t="s">
        <v>1167</v>
      </c>
    </row>
    <row r="1174" spans="1:39" hidden="1" x14ac:dyDescent="0.25">
      <c r="A1174">
        <v>1170</v>
      </c>
      <c r="B1174">
        <v>114</v>
      </c>
      <c r="C1174" s="24">
        <v>44785</v>
      </c>
      <c r="D1174" s="238" t="s">
        <v>27</v>
      </c>
      <c r="E1174" s="238" t="s">
        <v>5</v>
      </c>
      <c r="F1174">
        <v>8</v>
      </c>
      <c r="G1174">
        <v>20</v>
      </c>
      <c r="H1174">
        <v>359</v>
      </c>
      <c r="I1174" s="238" t="s">
        <v>43</v>
      </c>
      <c r="J1174">
        <v>55.8</v>
      </c>
      <c r="K1174" s="238" t="s">
        <v>38</v>
      </c>
      <c r="L1174">
        <v>4097250</v>
      </c>
      <c r="M1174">
        <v>0</v>
      </c>
      <c r="N1174">
        <v>4097250</v>
      </c>
      <c r="O1174">
        <v>73427.419354838712</v>
      </c>
      <c r="P1174">
        <v>0</v>
      </c>
      <c r="Q1174">
        <v>4097250</v>
      </c>
      <c r="R1174">
        <v>73427.419354838712</v>
      </c>
      <c r="S1174" s="238" t="s">
        <v>124</v>
      </c>
      <c r="T1174" s="238" t="s">
        <v>1167</v>
      </c>
      <c r="V1174" t="s">
        <v>1167</v>
      </c>
      <c r="W1174" s="24">
        <v>44781</v>
      </c>
      <c r="X1174" s="238" t="s">
        <v>3265</v>
      </c>
      <c r="Y1174" s="238" t="s">
        <v>3247</v>
      </c>
      <c r="Z1174" s="238" t="s">
        <v>1340</v>
      </c>
      <c r="AA1174" t="s">
        <v>1167</v>
      </c>
      <c r="AB1174" s="238" t="s">
        <v>3246</v>
      </c>
      <c r="AC1174" t="s">
        <v>1167</v>
      </c>
      <c r="AD1174" s="24"/>
      <c r="AE1174" s="238" t="s">
        <v>3248</v>
      </c>
      <c r="AG1174" s="238" t="s">
        <v>1167</v>
      </c>
      <c r="AH1174" s="238" t="s">
        <v>1167</v>
      </c>
      <c r="AI1174" s="238" t="s">
        <v>5050</v>
      </c>
      <c r="AJ1174" s="238" t="s">
        <v>982</v>
      </c>
      <c r="AK1174" s="238" t="s">
        <v>1167</v>
      </c>
      <c r="AL1174" t="s">
        <v>8715</v>
      </c>
      <c r="AM1174" t="s">
        <v>1167</v>
      </c>
    </row>
    <row r="1175" spans="1:39" hidden="1" x14ac:dyDescent="0.25">
      <c r="A1175">
        <v>1171</v>
      </c>
      <c r="B1175">
        <v>115</v>
      </c>
      <c r="C1175" s="24">
        <v>44785</v>
      </c>
      <c r="D1175" s="238" t="s">
        <v>27</v>
      </c>
      <c r="E1175" s="238" t="s">
        <v>5</v>
      </c>
      <c r="F1175">
        <v>1</v>
      </c>
      <c r="G1175">
        <v>21</v>
      </c>
      <c r="H1175">
        <v>360</v>
      </c>
      <c r="I1175" s="238" t="s">
        <v>44</v>
      </c>
      <c r="J1175">
        <v>82.76</v>
      </c>
      <c r="K1175" s="238" t="s">
        <v>38</v>
      </c>
      <c r="L1175">
        <v>6017250</v>
      </c>
      <c r="M1175">
        <v>0</v>
      </c>
      <c r="N1175">
        <v>6017250</v>
      </c>
      <c r="O1175">
        <v>72707.225712904779</v>
      </c>
      <c r="P1175">
        <v>0</v>
      </c>
      <c r="Q1175">
        <v>6017250</v>
      </c>
      <c r="R1175">
        <v>72707.225712904779</v>
      </c>
      <c r="S1175" s="238" t="s">
        <v>124</v>
      </c>
      <c r="T1175" s="238" t="s">
        <v>1167</v>
      </c>
      <c r="V1175" t="s">
        <v>1167</v>
      </c>
      <c r="W1175" s="24">
        <v>44781</v>
      </c>
      <c r="X1175" s="238" t="s">
        <v>3266</v>
      </c>
      <c r="Y1175" s="238" t="s">
        <v>3247</v>
      </c>
      <c r="Z1175" s="238" t="s">
        <v>1340</v>
      </c>
      <c r="AA1175" t="s">
        <v>1167</v>
      </c>
      <c r="AB1175" s="238" t="s">
        <v>3246</v>
      </c>
      <c r="AC1175" t="s">
        <v>1167</v>
      </c>
      <c r="AD1175" s="24"/>
      <c r="AE1175" s="238" t="s">
        <v>3248</v>
      </c>
      <c r="AG1175" s="238" t="s">
        <v>1167</v>
      </c>
      <c r="AH1175" s="238" t="s">
        <v>1167</v>
      </c>
      <c r="AI1175" s="238" t="s">
        <v>5050</v>
      </c>
      <c r="AJ1175" s="238" t="s">
        <v>982</v>
      </c>
      <c r="AK1175" s="238" t="s">
        <v>1167</v>
      </c>
      <c r="AL1175" t="s">
        <v>8715</v>
      </c>
      <c r="AM1175" t="s">
        <v>1167</v>
      </c>
    </row>
    <row r="1176" spans="1:39" hidden="1" x14ac:dyDescent="0.25">
      <c r="A1176">
        <v>1172</v>
      </c>
      <c r="B1176">
        <v>116</v>
      </c>
      <c r="C1176" s="24">
        <v>44785</v>
      </c>
      <c r="D1176" s="238" t="s">
        <v>27</v>
      </c>
      <c r="E1176" s="238" t="s">
        <v>5</v>
      </c>
      <c r="F1176">
        <v>2</v>
      </c>
      <c r="G1176">
        <v>21</v>
      </c>
      <c r="H1176">
        <v>361</v>
      </c>
      <c r="I1176" s="238" t="s">
        <v>42</v>
      </c>
      <c r="J1176">
        <v>37.159999999999997</v>
      </c>
      <c r="K1176" s="238" t="s">
        <v>38</v>
      </c>
      <c r="L1176">
        <v>2688000</v>
      </c>
      <c r="M1176">
        <v>0</v>
      </c>
      <c r="N1176">
        <v>2688000</v>
      </c>
      <c r="O1176">
        <v>72335.844994617873</v>
      </c>
      <c r="P1176">
        <v>0</v>
      </c>
      <c r="Q1176">
        <v>2688000</v>
      </c>
      <c r="R1176">
        <v>72335.844994617873</v>
      </c>
      <c r="S1176" s="238" t="s">
        <v>124</v>
      </c>
      <c r="T1176" s="238" t="s">
        <v>1167</v>
      </c>
      <c r="V1176" t="s">
        <v>1167</v>
      </c>
      <c r="W1176" s="24">
        <v>44781</v>
      </c>
      <c r="X1176" s="238" t="s">
        <v>3266</v>
      </c>
      <c r="Y1176" s="238" t="s">
        <v>3247</v>
      </c>
      <c r="Z1176" s="238" t="s">
        <v>1340</v>
      </c>
      <c r="AA1176" t="s">
        <v>1167</v>
      </c>
      <c r="AB1176" s="238" t="s">
        <v>3246</v>
      </c>
      <c r="AC1176" t="s">
        <v>1167</v>
      </c>
      <c r="AD1176" s="24"/>
      <c r="AE1176" s="238" t="s">
        <v>3248</v>
      </c>
      <c r="AG1176" s="238" t="s">
        <v>1167</v>
      </c>
      <c r="AH1176" s="238" t="s">
        <v>1167</v>
      </c>
      <c r="AI1176" s="238" t="s">
        <v>5050</v>
      </c>
      <c r="AJ1176" s="238" t="s">
        <v>982</v>
      </c>
      <c r="AK1176" s="238" t="s">
        <v>1167</v>
      </c>
      <c r="AL1176" t="s">
        <v>8715</v>
      </c>
      <c r="AM1176" t="s">
        <v>1167</v>
      </c>
    </row>
    <row r="1177" spans="1:39" hidden="1" x14ac:dyDescent="0.25">
      <c r="A1177">
        <v>1173</v>
      </c>
      <c r="B1177">
        <v>117</v>
      </c>
      <c r="C1177" s="24">
        <v>44785</v>
      </c>
      <c r="D1177" s="238" t="s">
        <v>27</v>
      </c>
      <c r="E1177" s="238" t="s">
        <v>5</v>
      </c>
      <c r="F1177">
        <v>4</v>
      </c>
      <c r="G1177">
        <v>21</v>
      </c>
      <c r="H1177">
        <v>363</v>
      </c>
      <c r="I1177" s="238" t="s">
        <v>42</v>
      </c>
      <c r="J1177">
        <v>40</v>
      </c>
      <c r="K1177" s="238" t="s">
        <v>38</v>
      </c>
      <c r="L1177">
        <v>2901750</v>
      </c>
      <c r="M1177">
        <v>0</v>
      </c>
      <c r="N1177">
        <v>2901750</v>
      </c>
      <c r="O1177">
        <v>72543.75</v>
      </c>
      <c r="P1177">
        <v>0</v>
      </c>
      <c r="Q1177">
        <v>2901750</v>
      </c>
      <c r="R1177">
        <v>72543.75</v>
      </c>
      <c r="S1177" s="238" t="s">
        <v>124</v>
      </c>
      <c r="T1177" s="238" t="s">
        <v>1167</v>
      </c>
      <c r="V1177" t="s">
        <v>1167</v>
      </c>
      <c r="W1177" s="24">
        <v>44781</v>
      </c>
      <c r="X1177" s="238" t="s">
        <v>3266</v>
      </c>
      <c r="Y1177" s="238" t="s">
        <v>3247</v>
      </c>
      <c r="Z1177" s="238" t="s">
        <v>1340</v>
      </c>
      <c r="AA1177" t="s">
        <v>1167</v>
      </c>
      <c r="AB1177" s="238" t="s">
        <v>3246</v>
      </c>
      <c r="AC1177" t="s">
        <v>1167</v>
      </c>
      <c r="AD1177" s="24"/>
      <c r="AE1177" s="238" t="s">
        <v>3248</v>
      </c>
      <c r="AG1177" s="238" t="s">
        <v>1167</v>
      </c>
      <c r="AH1177" s="238" t="s">
        <v>1167</v>
      </c>
      <c r="AI1177" s="238" t="s">
        <v>5050</v>
      </c>
      <c r="AJ1177" s="238" t="s">
        <v>982</v>
      </c>
      <c r="AK1177" s="238" t="s">
        <v>1167</v>
      </c>
      <c r="AL1177" t="s">
        <v>8715</v>
      </c>
      <c r="AM1177" t="s">
        <v>1167</v>
      </c>
    </row>
    <row r="1178" spans="1:39" hidden="1" x14ac:dyDescent="0.25">
      <c r="A1178">
        <v>1174</v>
      </c>
      <c r="B1178">
        <v>118</v>
      </c>
      <c r="C1178" s="24">
        <v>44785</v>
      </c>
      <c r="D1178" s="238" t="s">
        <v>27</v>
      </c>
      <c r="E1178" s="238" t="s">
        <v>5</v>
      </c>
      <c r="F1178">
        <v>6</v>
      </c>
      <c r="G1178">
        <v>21</v>
      </c>
      <c r="H1178">
        <v>365</v>
      </c>
      <c r="I1178" s="238" t="s">
        <v>42</v>
      </c>
      <c r="J1178">
        <v>37.11</v>
      </c>
      <c r="K1178" s="238" t="s">
        <v>38</v>
      </c>
      <c r="L1178">
        <v>2684250</v>
      </c>
      <c r="M1178">
        <v>0</v>
      </c>
      <c r="N1178">
        <v>2684250</v>
      </c>
      <c r="O1178">
        <v>72332.255456750208</v>
      </c>
      <c r="P1178">
        <v>0</v>
      </c>
      <c r="Q1178">
        <v>2684250</v>
      </c>
      <c r="R1178">
        <v>72332.255456750208</v>
      </c>
      <c r="S1178" s="238" t="s">
        <v>124</v>
      </c>
      <c r="T1178" s="238" t="s">
        <v>1167</v>
      </c>
      <c r="V1178" t="s">
        <v>1167</v>
      </c>
      <c r="W1178" s="24">
        <v>44781</v>
      </c>
      <c r="X1178" s="238" t="s">
        <v>3266</v>
      </c>
      <c r="Y1178" s="238" t="s">
        <v>3247</v>
      </c>
      <c r="Z1178" s="238" t="s">
        <v>1340</v>
      </c>
      <c r="AA1178" t="s">
        <v>1167</v>
      </c>
      <c r="AB1178" s="238" t="s">
        <v>3246</v>
      </c>
      <c r="AC1178" t="s">
        <v>1167</v>
      </c>
      <c r="AD1178" s="24"/>
      <c r="AE1178" s="238" t="s">
        <v>3248</v>
      </c>
      <c r="AG1178" s="238" t="s">
        <v>1167</v>
      </c>
      <c r="AH1178" s="238" t="s">
        <v>1167</v>
      </c>
      <c r="AI1178" s="238" t="s">
        <v>5050</v>
      </c>
      <c r="AJ1178" s="238" t="s">
        <v>982</v>
      </c>
      <c r="AK1178" s="238" t="s">
        <v>1167</v>
      </c>
      <c r="AL1178" t="s">
        <v>8715</v>
      </c>
      <c r="AM1178" t="s">
        <v>1167</v>
      </c>
    </row>
    <row r="1179" spans="1:39" hidden="1" x14ac:dyDescent="0.25">
      <c r="A1179">
        <v>1175</v>
      </c>
      <c r="B1179">
        <v>119</v>
      </c>
      <c r="C1179" s="24">
        <v>44785</v>
      </c>
      <c r="D1179" s="238" t="s">
        <v>27</v>
      </c>
      <c r="E1179" s="238" t="s">
        <v>5</v>
      </c>
      <c r="F1179">
        <v>7</v>
      </c>
      <c r="G1179">
        <v>21</v>
      </c>
      <c r="H1179">
        <v>366</v>
      </c>
      <c r="I1179" s="238" t="s">
        <v>43</v>
      </c>
      <c r="J1179">
        <v>59.93</v>
      </c>
      <c r="K1179" s="238" t="s">
        <v>38</v>
      </c>
      <c r="L1179">
        <v>4305750</v>
      </c>
      <c r="M1179">
        <v>0</v>
      </c>
      <c r="N1179">
        <v>4305750</v>
      </c>
      <c r="O1179">
        <v>71846.320707492079</v>
      </c>
      <c r="P1179">
        <v>0</v>
      </c>
      <c r="Q1179">
        <v>4305750</v>
      </c>
      <c r="R1179">
        <v>71846.320707492079</v>
      </c>
      <c r="S1179" s="238" t="s">
        <v>124</v>
      </c>
      <c r="T1179" s="238" t="s">
        <v>1167</v>
      </c>
      <c r="V1179" t="s">
        <v>1167</v>
      </c>
      <c r="W1179" s="24">
        <v>44781</v>
      </c>
      <c r="X1179" s="238" t="s">
        <v>3266</v>
      </c>
      <c r="Y1179" s="238" t="s">
        <v>3247</v>
      </c>
      <c r="Z1179" s="238" t="s">
        <v>1340</v>
      </c>
      <c r="AA1179" t="s">
        <v>1167</v>
      </c>
      <c r="AB1179" s="238" t="s">
        <v>3246</v>
      </c>
      <c r="AC1179" t="s">
        <v>1167</v>
      </c>
      <c r="AD1179" s="24"/>
      <c r="AE1179" s="238" t="s">
        <v>3248</v>
      </c>
      <c r="AG1179" s="238" t="s">
        <v>1167</v>
      </c>
      <c r="AH1179" s="238" t="s">
        <v>1167</v>
      </c>
      <c r="AI1179" s="238" t="s">
        <v>5050</v>
      </c>
      <c r="AJ1179" s="238" t="s">
        <v>982</v>
      </c>
      <c r="AK1179" s="238" t="s">
        <v>1167</v>
      </c>
      <c r="AL1179" t="s">
        <v>8715</v>
      </c>
      <c r="AM1179" t="s">
        <v>1167</v>
      </c>
    </row>
    <row r="1180" spans="1:39" hidden="1" x14ac:dyDescent="0.25">
      <c r="A1180">
        <v>1176</v>
      </c>
      <c r="B1180">
        <v>120</v>
      </c>
      <c r="C1180" s="24">
        <v>44785</v>
      </c>
      <c r="D1180" s="238" t="s">
        <v>27</v>
      </c>
      <c r="E1180" s="238" t="s">
        <v>5</v>
      </c>
      <c r="F1180">
        <v>8</v>
      </c>
      <c r="G1180">
        <v>21</v>
      </c>
      <c r="H1180">
        <v>367</v>
      </c>
      <c r="I1180" s="238" t="s">
        <v>43</v>
      </c>
      <c r="J1180">
        <v>55.8</v>
      </c>
      <c r="K1180" s="238" t="s">
        <v>38</v>
      </c>
      <c r="L1180">
        <v>4097250</v>
      </c>
      <c r="M1180">
        <v>0</v>
      </c>
      <c r="N1180">
        <v>4097250</v>
      </c>
      <c r="O1180">
        <v>73427.419354838712</v>
      </c>
      <c r="P1180">
        <v>0</v>
      </c>
      <c r="Q1180">
        <v>4097250</v>
      </c>
      <c r="R1180">
        <v>73427.419354838712</v>
      </c>
      <c r="S1180" s="238" t="s">
        <v>124</v>
      </c>
      <c r="T1180" s="238" t="s">
        <v>1167</v>
      </c>
      <c r="V1180" t="s">
        <v>1167</v>
      </c>
      <c r="W1180" s="24">
        <v>44781</v>
      </c>
      <c r="X1180" s="238" t="s">
        <v>3266</v>
      </c>
      <c r="Y1180" s="238" t="s">
        <v>3247</v>
      </c>
      <c r="Z1180" s="238" t="s">
        <v>1340</v>
      </c>
      <c r="AA1180" t="s">
        <v>1167</v>
      </c>
      <c r="AB1180" s="238" t="s">
        <v>3246</v>
      </c>
      <c r="AC1180" t="s">
        <v>1167</v>
      </c>
      <c r="AD1180" s="24"/>
      <c r="AE1180" s="238" t="s">
        <v>3248</v>
      </c>
      <c r="AG1180" s="238" t="s">
        <v>1167</v>
      </c>
      <c r="AH1180" s="238" t="s">
        <v>1167</v>
      </c>
      <c r="AI1180" s="238" t="s">
        <v>5050</v>
      </c>
      <c r="AJ1180" s="238" t="s">
        <v>982</v>
      </c>
      <c r="AK1180" s="238" t="s">
        <v>1167</v>
      </c>
      <c r="AL1180" t="s">
        <v>8715</v>
      </c>
      <c r="AM1180" t="s">
        <v>1167</v>
      </c>
    </row>
    <row r="1181" spans="1:39" hidden="1" x14ac:dyDescent="0.25">
      <c r="A1181">
        <v>1177</v>
      </c>
      <c r="B1181">
        <v>121</v>
      </c>
      <c r="C1181" s="24">
        <v>44785</v>
      </c>
      <c r="D1181" s="238" t="s">
        <v>27</v>
      </c>
      <c r="E1181" s="238" t="s">
        <v>5</v>
      </c>
      <c r="F1181">
        <v>1</v>
      </c>
      <c r="G1181">
        <v>22</v>
      </c>
      <c r="H1181">
        <v>368</v>
      </c>
      <c r="I1181" s="238" t="s">
        <v>44</v>
      </c>
      <c r="J1181">
        <v>82.76</v>
      </c>
      <c r="K1181" s="238" t="s">
        <v>38</v>
      </c>
      <c r="L1181">
        <v>6017250</v>
      </c>
      <c r="M1181">
        <v>0</v>
      </c>
      <c r="N1181">
        <v>6017250</v>
      </c>
      <c r="O1181">
        <v>72707.225712904779</v>
      </c>
      <c r="P1181">
        <v>0</v>
      </c>
      <c r="Q1181">
        <v>6017250</v>
      </c>
      <c r="R1181">
        <v>72707.225712904779</v>
      </c>
      <c r="S1181" s="238" t="s">
        <v>124</v>
      </c>
      <c r="T1181" s="238" t="s">
        <v>1167</v>
      </c>
      <c r="V1181" t="s">
        <v>1167</v>
      </c>
      <c r="W1181" s="24">
        <v>44781</v>
      </c>
      <c r="X1181" s="238" t="s">
        <v>3266</v>
      </c>
      <c r="Y1181" s="238" t="s">
        <v>3247</v>
      </c>
      <c r="Z1181" s="238" t="s">
        <v>1340</v>
      </c>
      <c r="AA1181" t="s">
        <v>1167</v>
      </c>
      <c r="AB1181" s="238" t="s">
        <v>3246</v>
      </c>
      <c r="AC1181" t="s">
        <v>1167</v>
      </c>
      <c r="AD1181" s="24"/>
      <c r="AE1181" s="238" t="s">
        <v>3248</v>
      </c>
      <c r="AG1181" s="238" t="s">
        <v>1167</v>
      </c>
      <c r="AH1181" s="238" t="s">
        <v>1167</v>
      </c>
      <c r="AI1181" s="238" t="s">
        <v>5050</v>
      </c>
      <c r="AJ1181" s="238" t="s">
        <v>982</v>
      </c>
      <c r="AK1181" s="238" t="s">
        <v>1167</v>
      </c>
      <c r="AL1181" t="s">
        <v>8715</v>
      </c>
      <c r="AM1181" t="s">
        <v>1167</v>
      </c>
    </row>
    <row r="1182" spans="1:39" hidden="1" x14ac:dyDescent="0.25">
      <c r="A1182">
        <v>1178</v>
      </c>
      <c r="B1182">
        <v>122</v>
      </c>
      <c r="C1182" s="24">
        <v>44785</v>
      </c>
      <c r="D1182" s="238" t="s">
        <v>27</v>
      </c>
      <c r="E1182" s="238" t="s">
        <v>5</v>
      </c>
      <c r="F1182">
        <v>2</v>
      </c>
      <c r="G1182">
        <v>22</v>
      </c>
      <c r="H1182">
        <v>369</v>
      </c>
      <c r="I1182" s="238" t="s">
        <v>42</v>
      </c>
      <c r="J1182">
        <v>37.159999999999997</v>
      </c>
      <c r="K1182" s="238" t="s">
        <v>38</v>
      </c>
      <c r="L1182">
        <v>2688000</v>
      </c>
      <c r="M1182">
        <v>0</v>
      </c>
      <c r="N1182">
        <v>2688000</v>
      </c>
      <c r="O1182">
        <v>72335.844994617873</v>
      </c>
      <c r="P1182">
        <v>0</v>
      </c>
      <c r="Q1182">
        <v>2688000</v>
      </c>
      <c r="R1182">
        <v>72335.844994617873</v>
      </c>
      <c r="S1182" s="238" t="s">
        <v>124</v>
      </c>
      <c r="T1182" s="238" t="s">
        <v>1167</v>
      </c>
      <c r="V1182" t="s">
        <v>1167</v>
      </c>
      <c r="W1182" s="24">
        <v>44781</v>
      </c>
      <c r="X1182" s="238" t="s">
        <v>3266</v>
      </c>
      <c r="Y1182" s="238" t="s">
        <v>3247</v>
      </c>
      <c r="Z1182" s="238" t="s">
        <v>1340</v>
      </c>
      <c r="AA1182" t="s">
        <v>1167</v>
      </c>
      <c r="AB1182" s="238" t="s">
        <v>3246</v>
      </c>
      <c r="AC1182" t="s">
        <v>1167</v>
      </c>
      <c r="AD1182" s="24"/>
      <c r="AE1182" s="238" t="s">
        <v>3248</v>
      </c>
      <c r="AG1182" s="238" t="s">
        <v>1167</v>
      </c>
      <c r="AH1182" s="238" t="s">
        <v>1167</v>
      </c>
      <c r="AI1182" s="238" t="s">
        <v>5050</v>
      </c>
      <c r="AJ1182" s="238" t="s">
        <v>982</v>
      </c>
      <c r="AK1182" s="238" t="s">
        <v>1167</v>
      </c>
      <c r="AL1182" t="s">
        <v>8715</v>
      </c>
      <c r="AM1182" t="s">
        <v>1167</v>
      </c>
    </row>
    <row r="1183" spans="1:39" hidden="1" x14ac:dyDescent="0.25">
      <c r="A1183">
        <v>1179</v>
      </c>
      <c r="B1183">
        <v>123</v>
      </c>
      <c r="C1183" s="24">
        <v>44785</v>
      </c>
      <c r="D1183" s="238" t="s">
        <v>27</v>
      </c>
      <c r="E1183" s="238" t="s">
        <v>5</v>
      </c>
      <c r="F1183">
        <v>4</v>
      </c>
      <c r="G1183">
        <v>22</v>
      </c>
      <c r="H1183">
        <v>371</v>
      </c>
      <c r="I1183" s="238" t="s">
        <v>42</v>
      </c>
      <c r="J1183">
        <v>40</v>
      </c>
      <c r="K1183" s="238" t="s">
        <v>38</v>
      </c>
      <c r="L1183">
        <v>2901750</v>
      </c>
      <c r="M1183">
        <v>0</v>
      </c>
      <c r="N1183">
        <v>2901750</v>
      </c>
      <c r="O1183">
        <v>72543.75</v>
      </c>
      <c r="P1183">
        <v>0</v>
      </c>
      <c r="Q1183">
        <v>2901750</v>
      </c>
      <c r="R1183">
        <v>72543.75</v>
      </c>
      <c r="S1183" s="238" t="s">
        <v>124</v>
      </c>
      <c r="T1183" s="238" t="s">
        <v>1167</v>
      </c>
      <c r="V1183" t="s">
        <v>1167</v>
      </c>
      <c r="W1183" s="24">
        <v>44781</v>
      </c>
      <c r="X1183" s="238" t="s">
        <v>3266</v>
      </c>
      <c r="Y1183" s="238" t="s">
        <v>3247</v>
      </c>
      <c r="Z1183" s="238" t="s">
        <v>1340</v>
      </c>
      <c r="AA1183" t="s">
        <v>1167</v>
      </c>
      <c r="AB1183" s="238" t="s">
        <v>3246</v>
      </c>
      <c r="AC1183" t="s">
        <v>1167</v>
      </c>
      <c r="AD1183" s="24"/>
      <c r="AE1183" s="238" t="s">
        <v>3248</v>
      </c>
      <c r="AG1183" s="238" t="s">
        <v>1167</v>
      </c>
      <c r="AH1183" s="238" t="s">
        <v>1167</v>
      </c>
      <c r="AI1183" s="238" t="s">
        <v>5050</v>
      </c>
      <c r="AJ1183" s="238" t="s">
        <v>982</v>
      </c>
      <c r="AK1183" s="238" t="s">
        <v>1167</v>
      </c>
      <c r="AL1183" t="s">
        <v>8715</v>
      </c>
      <c r="AM1183" t="s">
        <v>1167</v>
      </c>
    </row>
    <row r="1184" spans="1:39" hidden="1" x14ac:dyDescent="0.25">
      <c r="A1184">
        <v>1180</v>
      </c>
      <c r="B1184">
        <v>124</v>
      </c>
      <c r="C1184" s="24">
        <v>44785</v>
      </c>
      <c r="D1184" s="238" t="s">
        <v>27</v>
      </c>
      <c r="E1184" s="238" t="s">
        <v>5</v>
      </c>
      <c r="F1184">
        <v>6</v>
      </c>
      <c r="G1184">
        <v>22</v>
      </c>
      <c r="H1184">
        <v>373</v>
      </c>
      <c r="I1184" s="238" t="s">
        <v>42</v>
      </c>
      <c r="J1184">
        <v>37.11</v>
      </c>
      <c r="K1184" s="238" t="s">
        <v>38</v>
      </c>
      <c r="L1184">
        <v>2684250</v>
      </c>
      <c r="M1184">
        <v>0</v>
      </c>
      <c r="N1184">
        <v>2684250</v>
      </c>
      <c r="O1184">
        <v>72332.255456750208</v>
      </c>
      <c r="P1184">
        <v>0</v>
      </c>
      <c r="Q1184">
        <v>2684250</v>
      </c>
      <c r="R1184">
        <v>72332.255456750208</v>
      </c>
      <c r="S1184" s="238" t="s">
        <v>124</v>
      </c>
      <c r="T1184" s="238" t="s">
        <v>1167</v>
      </c>
      <c r="V1184" t="s">
        <v>1167</v>
      </c>
      <c r="W1184" s="24">
        <v>44781</v>
      </c>
      <c r="X1184" s="238" t="s">
        <v>3266</v>
      </c>
      <c r="Y1184" s="238" t="s">
        <v>3247</v>
      </c>
      <c r="Z1184" s="238" t="s">
        <v>1340</v>
      </c>
      <c r="AA1184" t="s">
        <v>1167</v>
      </c>
      <c r="AB1184" s="238" t="s">
        <v>3246</v>
      </c>
      <c r="AC1184" t="s">
        <v>1167</v>
      </c>
      <c r="AD1184" s="24"/>
      <c r="AE1184" s="238" t="s">
        <v>3248</v>
      </c>
      <c r="AG1184" s="238" t="s">
        <v>1167</v>
      </c>
      <c r="AH1184" s="238" t="s">
        <v>1167</v>
      </c>
      <c r="AI1184" s="238" t="s">
        <v>5050</v>
      </c>
      <c r="AJ1184" s="238" t="s">
        <v>982</v>
      </c>
      <c r="AK1184" s="238" t="s">
        <v>1167</v>
      </c>
      <c r="AL1184" t="s">
        <v>8715</v>
      </c>
      <c r="AM1184" t="s">
        <v>1167</v>
      </c>
    </row>
    <row r="1185" spans="1:39" hidden="1" x14ac:dyDescent="0.25">
      <c r="A1185">
        <v>1181</v>
      </c>
      <c r="B1185">
        <v>125</v>
      </c>
      <c r="C1185" s="24">
        <v>44785</v>
      </c>
      <c r="D1185" s="238" t="s">
        <v>27</v>
      </c>
      <c r="E1185" s="238" t="s">
        <v>5</v>
      </c>
      <c r="F1185">
        <v>7</v>
      </c>
      <c r="G1185">
        <v>22</v>
      </c>
      <c r="H1185">
        <v>374</v>
      </c>
      <c r="I1185" s="238" t="s">
        <v>43</v>
      </c>
      <c r="J1185">
        <v>59.93</v>
      </c>
      <c r="K1185" s="238" t="s">
        <v>38</v>
      </c>
      <c r="L1185">
        <v>4305750</v>
      </c>
      <c r="M1185">
        <v>0</v>
      </c>
      <c r="N1185">
        <v>4305750</v>
      </c>
      <c r="O1185">
        <v>71846.320707492079</v>
      </c>
      <c r="P1185">
        <v>0</v>
      </c>
      <c r="Q1185">
        <v>4305750</v>
      </c>
      <c r="R1185">
        <v>71846.320707492079</v>
      </c>
      <c r="S1185" s="238" t="s">
        <v>124</v>
      </c>
      <c r="T1185" s="238" t="s">
        <v>1167</v>
      </c>
      <c r="V1185" t="s">
        <v>1167</v>
      </c>
      <c r="W1185" s="24">
        <v>44781</v>
      </c>
      <c r="X1185" s="238" t="s">
        <v>3266</v>
      </c>
      <c r="Y1185" s="238" t="s">
        <v>3247</v>
      </c>
      <c r="Z1185" s="238" t="s">
        <v>1340</v>
      </c>
      <c r="AA1185" t="s">
        <v>1167</v>
      </c>
      <c r="AB1185" s="238" t="s">
        <v>3246</v>
      </c>
      <c r="AC1185" t="s">
        <v>1167</v>
      </c>
      <c r="AD1185" s="24"/>
      <c r="AE1185" s="238" t="s">
        <v>3248</v>
      </c>
      <c r="AG1185" s="238" t="s">
        <v>1167</v>
      </c>
      <c r="AH1185" s="238" t="s">
        <v>1167</v>
      </c>
      <c r="AI1185" s="238" t="s">
        <v>5050</v>
      </c>
      <c r="AJ1185" s="238" t="s">
        <v>982</v>
      </c>
      <c r="AK1185" s="238" t="s">
        <v>1167</v>
      </c>
      <c r="AL1185" t="s">
        <v>8715</v>
      </c>
      <c r="AM1185" t="s">
        <v>1167</v>
      </c>
    </row>
    <row r="1186" spans="1:39" hidden="1" x14ac:dyDescent="0.25">
      <c r="A1186">
        <v>1182</v>
      </c>
      <c r="B1186">
        <v>126</v>
      </c>
      <c r="C1186" s="24">
        <v>44785</v>
      </c>
      <c r="D1186" s="238" t="s">
        <v>27</v>
      </c>
      <c r="E1186" s="238" t="s">
        <v>5</v>
      </c>
      <c r="F1186">
        <v>8</v>
      </c>
      <c r="G1186">
        <v>22</v>
      </c>
      <c r="H1186">
        <v>375</v>
      </c>
      <c r="I1186" s="238" t="s">
        <v>43</v>
      </c>
      <c r="J1186">
        <v>55.8</v>
      </c>
      <c r="K1186" s="238" t="s">
        <v>38</v>
      </c>
      <c r="L1186">
        <v>4097250</v>
      </c>
      <c r="M1186">
        <v>0</v>
      </c>
      <c r="N1186">
        <v>4097250</v>
      </c>
      <c r="O1186">
        <v>73427.419354838712</v>
      </c>
      <c r="P1186">
        <v>0</v>
      </c>
      <c r="Q1186">
        <v>4097250</v>
      </c>
      <c r="R1186">
        <v>73427.419354838712</v>
      </c>
      <c r="S1186" s="238" t="s">
        <v>124</v>
      </c>
      <c r="T1186" s="238" t="s">
        <v>1167</v>
      </c>
      <c r="V1186" t="s">
        <v>1167</v>
      </c>
      <c r="W1186" s="24">
        <v>44781</v>
      </c>
      <c r="X1186" s="238" t="s">
        <v>3266</v>
      </c>
      <c r="Y1186" s="238" t="s">
        <v>3247</v>
      </c>
      <c r="Z1186" s="238" t="s">
        <v>1340</v>
      </c>
      <c r="AA1186" t="s">
        <v>1167</v>
      </c>
      <c r="AB1186" s="238" t="s">
        <v>3246</v>
      </c>
      <c r="AC1186" t="s">
        <v>1167</v>
      </c>
      <c r="AD1186" s="24"/>
      <c r="AE1186" s="238" t="s">
        <v>3248</v>
      </c>
      <c r="AG1186" s="238" t="s">
        <v>1167</v>
      </c>
      <c r="AH1186" s="238" t="s">
        <v>1167</v>
      </c>
      <c r="AI1186" s="238" t="s">
        <v>5050</v>
      </c>
      <c r="AJ1186" s="238" t="s">
        <v>982</v>
      </c>
      <c r="AK1186" s="238" t="s">
        <v>1167</v>
      </c>
      <c r="AL1186" t="s">
        <v>8715</v>
      </c>
      <c r="AM1186" t="s">
        <v>1167</v>
      </c>
    </row>
    <row r="1187" spans="1:39" hidden="1" x14ac:dyDescent="0.25">
      <c r="A1187">
        <v>1183</v>
      </c>
      <c r="B1187">
        <v>127</v>
      </c>
      <c r="C1187" s="24">
        <v>44785</v>
      </c>
      <c r="D1187" s="238" t="s">
        <v>27</v>
      </c>
      <c r="E1187" s="238" t="s">
        <v>5</v>
      </c>
      <c r="F1187">
        <v>1</v>
      </c>
      <c r="G1187">
        <v>23</v>
      </c>
      <c r="H1187">
        <v>376</v>
      </c>
      <c r="I1187" s="238" t="s">
        <v>44</v>
      </c>
      <c r="J1187">
        <v>82.76</v>
      </c>
      <c r="K1187" s="238" t="s">
        <v>38</v>
      </c>
      <c r="L1187">
        <v>6017250</v>
      </c>
      <c r="M1187">
        <v>0</v>
      </c>
      <c r="N1187">
        <v>6017250</v>
      </c>
      <c r="O1187">
        <v>72707.225712904779</v>
      </c>
      <c r="P1187">
        <v>0</v>
      </c>
      <c r="Q1187">
        <v>6017250</v>
      </c>
      <c r="R1187">
        <v>72707.225712904779</v>
      </c>
      <c r="S1187" s="238" t="s">
        <v>124</v>
      </c>
      <c r="T1187" s="238" t="s">
        <v>1167</v>
      </c>
      <c r="V1187" t="s">
        <v>1167</v>
      </c>
      <c r="W1187" s="24">
        <v>44781</v>
      </c>
      <c r="X1187" s="238" t="s">
        <v>3267</v>
      </c>
      <c r="Y1187" s="238" t="s">
        <v>3247</v>
      </c>
      <c r="Z1187" s="238" t="s">
        <v>1340</v>
      </c>
      <c r="AA1187" t="s">
        <v>1167</v>
      </c>
      <c r="AB1187" s="238" t="s">
        <v>3246</v>
      </c>
      <c r="AC1187" t="s">
        <v>1167</v>
      </c>
      <c r="AD1187" s="24"/>
      <c r="AE1187" s="238" t="s">
        <v>3248</v>
      </c>
      <c r="AG1187" s="238" t="s">
        <v>1167</v>
      </c>
      <c r="AH1187" s="238" t="s">
        <v>1167</v>
      </c>
      <c r="AI1187" s="238" t="s">
        <v>5050</v>
      </c>
      <c r="AJ1187" s="238" t="s">
        <v>982</v>
      </c>
      <c r="AK1187" s="238" t="s">
        <v>1167</v>
      </c>
      <c r="AL1187" t="s">
        <v>8715</v>
      </c>
      <c r="AM1187" t="s">
        <v>1167</v>
      </c>
    </row>
    <row r="1188" spans="1:39" hidden="1" x14ac:dyDescent="0.25">
      <c r="A1188">
        <v>1184</v>
      </c>
      <c r="B1188">
        <v>128</v>
      </c>
      <c r="C1188" s="24">
        <v>44785</v>
      </c>
      <c r="D1188" s="238" t="s">
        <v>27</v>
      </c>
      <c r="E1188" s="238" t="s">
        <v>5</v>
      </c>
      <c r="F1188">
        <v>2</v>
      </c>
      <c r="G1188">
        <v>23</v>
      </c>
      <c r="H1188">
        <v>377</v>
      </c>
      <c r="I1188" s="238" t="s">
        <v>42</v>
      </c>
      <c r="J1188">
        <v>37.159999999999997</v>
      </c>
      <c r="K1188" s="238" t="s">
        <v>38</v>
      </c>
      <c r="L1188">
        <v>2688000</v>
      </c>
      <c r="M1188">
        <v>0</v>
      </c>
      <c r="N1188">
        <v>2688000</v>
      </c>
      <c r="O1188">
        <v>72335.844994617873</v>
      </c>
      <c r="P1188">
        <v>0</v>
      </c>
      <c r="Q1188">
        <v>2688000</v>
      </c>
      <c r="R1188">
        <v>72335.844994617873</v>
      </c>
      <c r="S1188" s="238" t="s">
        <v>124</v>
      </c>
      <c r="T1188" s="238" t="s">
        <v>1167</v>
      </c>
      <c r="V1188" t="s">
        <v>1167</v>
      </c>
      <c r="W1188" s="24">
        <v>44781</v>
      </c>
      <c r="X1188" s="238" t="s">
        <v>3267</v>
      </c>
      <c r="Y1188" s="238" t="s">
        <v>3247</v>
      </c>
      <c r="Z1188" s="238" t="s">
        <v>1340</v>
      </c>
      <c r="AA1188" t="s">
        <v>1167</v>
      </c>
      <c r="AB1188" s="238" t="s">
        <v>3246</v>
      </c>
      <c r="AC1188" t="s">
        <v>1167</v>
      </c>
      <c r="AD1188" s="24"/>
      <c r="AE1188" s="238" t="s">
        <v>3248</v>
      </c>
      <c r="AG1188" s="238" t="s">
        <v>1167</v>
      </c>
      <c r="AH1188" s="238" t="s">
        <v>1167</v>
      </c>
      <c r="AI1188" s="238" t="s">
        <v>5050</v>
      </c>
      <c r="AJ1188" s="238" t="s">
        <v>982</v>
      </c>
      <c r="AK1188" s="238" t="s">
        <v>1167</v>
      </c>
      <c r="AL1188" t="s">
        <v>8715</v>
      </c>
      <c r="AM1188" t="s">
        <v>1167</v>
      </c>
    </row>
    <row r="1189" spans="1:39" hidden="1" x14ac:dyDescent="0.25">
      <c r="A1189">
        <v>1185</v>
      </c>
      <c r="B1189">
        <v>129</v>
      </c>
      <c r="C1189" s="24">
        <v>44785</v>
      </c>
      <c r="D1189" s="238" t="s">
        <v>27</v>
      </c>
      <c r="E1189" s="238" t="s">
        <v>5</v>
      </c>
      <c r="F1189">
        <v>4</v>
      </c>
      <c r="G1189">
        <v>23</v>
      </c>
      <c r="H1189">
        <v>379</v>
      </c>
      <c r="I1189" s="238" t="s">
        <v>42</v>
      </c>
      <c r="J1189">
        <v>40</v>
      </c>
      <c r="K1189" s="238" t="s">
        <v>38</v>
      </c>
      <c r="L1189">
        <v>2901750</v>
      </c>
      <c r="M1189">
        <v>0</v>
      </c>
      <c r="N1189">
        <v>2901750</v>
      </c>
      <c r="O1189">
        <v>72543.75</v>
      </c>
      <c r="P1189">
        <v>0</v>
      </c>
      <c r="Q1189">
        <v>2901750</v>
      </c>
      <c r="R1189">
        <v>72543.75</v>
      </c>
      <c r="S1189" s="238" t="s">
        <v>124</v>
      </c>
      <c r="T1189" s="238" t="s">
        <v>1167</v>
      </c>
      <c r="V1189" t="s">
        <v>1167</v>
      </c>
      <c r="W1189" s="24">
        <v>44781</v>
      </c>
      <c r="X1189" s="238" t="s">
        <v>3267</v>
      </c>
      <c r="Y1189" s="238" t="s">
        <v>3247</v>
      </c>
      <c r="Z1189" s="238" t="s">
        <v>1340</v>
      </c>
      <c r="AA1189" t="s">
        <v>1167</v>
      </c>
      <c r="AB1189" s="238" t="s">
        <v>3246</v>
      </c>
      <c r="AC1189" t="s">
        <v>1167</v>
      </c>
      <c r="AD1189" s="24"/>
      <c r="AE1189" s="238" t="s">
        <v>3248</v>
      </c>
      <c r="AG1189" s="238" t="s">
        <v>1167</v>
      </c>
      <c r="AH1189" s="238" t="s">
        <v>1167</v>
      </c>
      <c r="AI1189" s="238" t="s">
        <v>5050</v>
      </c>
      <c r="AJ1189" s="238" t="s">
        <v>982</v>
      </c>
      <c r="AK1189" s="238" t="s">
        <v>1167</v>
      </c>
      <c r="AL1189" t="s">
        <v>8715</v>
      </c>
      <c r="AM1189" t="s">
        <v>1167</v>
      </c>
    </row>
    <row r="1190" spans="1:39" hidden="1" x14ac:dyDescent="0.25">
      <c r="A1190">
        <v>1186</v>
      </c>
      <c r="B1190">
        <v>130</v>
      </c>
      <c r="C1190" s="24">
        <v>44785</v>
      </c>
      <c r="D1190" s="238" t="s">
        <v>27</v>
      </c>
      <c r="E1190" s="238" t="s">
        <v>5</v>
      </c>
      <c r="F1190">
        <v>6</v>
      </c>
      <c r="G1190">
        <v>23</v>
      </c>
      <c r="H1190">
        <v>381</v>
      </c>
      <c r="I1190" s="238" t="s">
        <v>42</v>
      </c>
      <c r="J1190">
        <v>37.11</v>
      </c>
      <c r="K1190" s="238" t="s">
        <v>38</v>
      </c>
      <c r="L1190">
        <v>2684250</v>
      </c>
      <c r="M1190">
        <v>0</v>
      </c>
      <c r="N1190">
        <v>2684250</v>
      </c>
      <c r="O1190">
        <v>72332.255456750208</v>
      </c>
      <c r="P1190">
        <v>0</v>
      </c>
      <c r="Q1190">
        <v>2684250</v>
      </c>
      <c r="R1190">
        <v>72332.255456750208</v>
      </c>
      <c r="S1190" s="238" t="s">
        <v>124</v>
      </c>
      <c r="T1190" s="238" t="s">
        <v>1167</v>
      </c>
      <c r="V1190" t="s">
        <v>1167</v>
      </c>
      <c r="W1190" s="24">
        <v>44781</v>
      </c>
      <c r="X1190" s="238" t="s">
        <v>3267</v>
      </c>
      <c r="Y1190" s="238" t="s">
        <v>3247</v>
      </c>
      <c r="Z1190" s="238" t="s">
        <v>1340</v>
      </c>
      <c r="AA1190" t="s">
        <v>1167</v>
      </c>
      <c r="AB1190" s="238" t="s">
        <v>3246</v>
      </c>
      <c r="AC1190" t="s">
        <v>1167</v>
      </c>
      <c r="AD1190" s="24"/>
      <c r="AE1190" s="238" t="s">
        <v>3248</v>
      </c>
      <c r="AG1190" s="238" t="s">
        <v>1167</v>
      </c>
      <c r="AH1190" s="238" t="s">
        <v>1167</v>
      </c>
      <c r="AI1190" s="238" t="s">
        <v>5050</v>
      </c>
      <c r="AJ1190" s="238" t="s">
        <v>982</v>
      </c>
      <c r="AK1190" s="238" t="s">
        <v>1167</v>
      </c>
      <c r="AL1190" t="s">
        <v>8715</v>
      </c>
      <c r="AM1190" t="s">
        <v>1167</v>
      </c>
    </row>
    <row r="1191" spans="1:39" hidden="1" x14ac:dyDescent="0.25">
      <c r="A1191">
        <v>1187</v>
      </c>
      <c r="B1191">
        <v>131</v>
      </c>
      <c r="C1191" s="24">
        <v>44785</v>
      </c>
      <c r="D1191" s="238" t="s">
        <v>27</v>
      </c>
      <c r="E1191" s="238" t="s">
        <v>5</v>
      </c>
      <c r="F1191">
        <v>7</v>
      </c>
      <c r="G1191">
        <v>23</v>
      </c>
      <c r="H1191">
        <v>382</v>
      </c>
      <c r="I1191" s="238" t="s">
        <v>43</v>
      </c>
      <c r="J1191">
        <v>59.93</v>
      </c>
      <c r="K1191" s="238" t="s">
        <v>38</v>
      </c>
      <c r="L1191">
        <v>4305750</v>
      </c>
      <c r="M1191">
        <v>0</v>
      </c>
      <c r="N1191">
        <v>4305750</v>
      </c>
      <c r="O1191">
        <v>71846.320707492079</v>
      </c>
      <c r="P1191">
        <v>0</v>
      </c>
      <c r="Q1191">
        <v>4305750</v>
      </c>
      <c r="R1191">
        <v>71846.320707492079</v>
      </c>
      <c r="S1191" s="238" t="s">
        <v>124</v>
      </c>
      <c r="T1191" s="238" t="s">
        <v>1167</v>
      </c>
      <c r="V1191" t="s">
        <v>1167</v>
      </c>
      <c r="W1191" s="24">
        <v>44781</v>
      </c>
      <c r="X1191" s="238" t="s">
        <v>3267</v>
      </c>
      <c r="Y1191" s="238" t="s">
        <v>3247</v>
      </c>
      <c r="Z1191" s="238" t="s">
        <v>1340</v>
      </c>
      <c r="AA1191" t="s">
        <v>1167</v>
      </c>
      <c r="AB1191" s="238" t="s">
        <v>3246</v>
      </c>
      <c r="AC1191" t="s">
        <v>1167</v>
      </c>
      <c r="AD1191" s="24"/>
      <c r="AE1191" s="238" t="s">
        <v>3248</v>
      </c>
      <c r="AG1191" s="238" t="s">
        <v>1167</v>
      </c>
      <c r="AH1191" s="238" t="s">
        <v>1167</v>
      </c>
      <c r="AI1191" s="238" t="s">
        <v>5050</v>
      </c>
      <c r="AJ1191" s="238" t="s">
        <v>982</v>
      </c>
      <c r="AK1191" s="238" t="s">
        <v>1167</v>
      </c>
      <c r="AL1191" t="s">
        <v>8715</v>
      </c>
      <c r="AM1191" t="s">
        <v>1167</v>
      </c>
    </row>
    <row r="1192" spans="1:39" hidden="1" x14ac:dyDescent="0.25">
      <c r="A1192">
        <v>1188</v>
      </c>
      <c r="B1192">
        <v>132</v>
      </c>
      <c r="C1192" s="24">
        <v>44785</v>
      </c>
      <c r="D1192" s="238" t="s">
        <v>27</v>
      </c>
      <c r="E1192" s="238" t="s">
        <v>5</v>
      </c>
      <c r="F1192">
        <v>8</v>
      </c>
      <c r="G1192">
        <v>23</v>
      </c>
      <c r="H1192">
        <v>383</v>
      </c>
      <c r="I1192" s="238" t="s">
        <v>43</v>
      </c>
      <c r="J1192">
        <v>55.8</v>
      </c>
      <c r="K1192" s="238" t="s">
        <v>38</v>
      </c>
      <c r="L1192">
        <v>4097250</v>
      </c>
      <c r="M1192">
        <v>0</v>
      </c>
      <c r="N1192">
        <v>4097250</v>
      </c>
      <c r="O1192">
        <v>73427.419354838712</v>
      </c>
      <c r="P1192">
        <v>0</v>
      </c>
      <c r="Q1192">
        <v>4097250</v>
      </c>
      <c r="R1192">
        <v>73427.419354838712</v>
      </c>
      <c r="S1192" s="238" t="s">
        <v>124</v>
      </c>
      <c r="T1192" s="238" t="s">
        <v>1167</v>
      </c>
      <c r="V1192" t="s">
        <v>1167</v>
      </c>
      <c r="W1192" s="24">
        <v>44781</v>
      </c>
      <c r="X1192" s="238" t="s">
        <v>3267</v>
      </c>
      <c r="Y1192" s="238" t="s">
        <v>3247</v>
      </c>
      <c r="Z1192" s="238" t="s">
        <v>1340</v>
      </c>
      <c r="AA1192" t="s">
        <v>1167</v>
      </c>
      <c r="AB1192" s="238" t="s">
        <v>3246</v>
      </c>
      <c r="AC1192" t="s">
        <v>1167</v>
      </c>
      <c r="AD1192" s="24"/>
      <c r="AE1192" s="238" t="s">
        <v>3248</v>
      </c>
      <c r="AG1192" s="238" t="s">
        <v>1167</v>
      </c>
      <c r="AH1192" s="238" t="s">
        <v>1167</v>
      </c>
      <c r="AI1192" s="238" t="s">
        <v>5050</v>
      </c>
      <c r="AJ1192" s="238" t="s">
        <v>982</v>
      </c>
      <c r="AK1192" s="238" t="s">
        <v>1167</v>
      </c>
      <c r="AL1192" t="s">
        <v>8715</v>
      </c>
      <c r="AM1192" t="s">
        <v>1167</v>
      </c>
    </row>
    <row r="1193" spans="1:39" hidden="1" x14ac:dyDescent="0.25">
      <c r="A1193">
        <v>1189</v>
      </c>
      <c r="B1193">
        <v>133</v>
      </c>
      <c r="C1193" s="24">
        <v>44785</v>
      </c>
      <c r="D1193" s="238" t="s">
        <v>27</v>
      </c>
      <c r="E1193" s="238" t="s">
        <v>5</v>
      </c>
      <c r="F1193">
        <v>1</v>
      </c>
      <c r="G1193">
        <v>24</v>
      </c>
      <c r="H1193">
        <v>384</v>
      </c>
      <c r="I1193" s="238" t="s">
        <v>44</v>
      </c>
      <c r="J1193">
        <v>82.76</v>
      </c>
      <c r="K1193" s="238" t="s">
        <v>38</v>
      </c>
      <c r="L1193">
        <v>6017250</v>
      </c>
      <c r="M1193">
        <v>0</v>
      </c>
      <c r="N1193">
        <v>6017250</v>
      </c>
      <c r="O1193">
        <v>72707.225712904779</v>
      </c>
      <c r="P1193">
        <v>0</v>
      </c>
      <c r="Q1193">
        <v>6017250</v>
      </c>
      <c r="R1193">
        <v>72707.225712904779</v>
      </c>
      <c r="S1193" s="238" t="s">
        <v>124</v>
      </c>
      <c r="T1193" s="238" t="s">
        <v>1167</v>
      </c>
      <c r="V1193" t="s">
        <v>1167</v>
      </c>
      <c r="W1193" s="24">
        <v>44781</v>
      </c>
      <c r="X1193" s="238" t="s">
        <v>3267</v>
      </c>
      <c r="Y1193" s="238" t="s">
        <v>3247</v>
      </c>
      <c r="Z1193" s="238" t="s">
        <v>1340</v>
      </c>
      <c r="AA1193" t="s">
        <v>1167</v>
      </c>
      <c r="AB1193" s="238" t="s">
        <v>3246</v>
      </c>
      <c r="AC1193" t="s">
        <v>1167</v>
      </c>
      <c r="AD1193" s="24"/>
      <c r="AE1193" s="238" t="s">
        <v>3248</v>
      </c>
      <c r="AG1193" s="238" t="s">
        <v>1167</v>
      </c>
      <c r="AH1193" s="238" t="s">
        <v>1167</v>
      </c>
      <c r="AI1193" s="238" t="s">
        <v>5050</v>
      </c>
      <c r="AJ1193" s="238" t="s">
        <v>982</v>
      </c>
      <c r="AK1193" s="238" t="s">
        <v>1167</v>
      </c>
      <c r="AL1193" t="s">
        <v>8715</v>
      </c>
      <c r="AM1193" t="s">
        <v>1167</v>
      </c>
    </row>
    <row r="1194" spans="1:39" hidden="1" x14ac:dyDescent="0.25">
      <c r="A1194">
        <v>1190</v>
      </c>
      <c r="B1194">
        <v>134</v>
      </c>
      <c r="C1194" s="24">
        <v>44785</v>
      </c>
      <c r="D1194" s="238" t="s">
        <v>27</v>
      </c>
      <c r="E1194" s="238" t="s">
        <v>5</v>
      </c>
      <c r="F1194">
        <v>2</v>
      </c>
      <c r="G1194">
        <v>24</v>
      </c>
      <c r="H1194">
        <v>385</v>
      </c>
      <c r="I1194" s="238" t="s">
        <v>42</v>
      </c>
      <c r="J1194">
        <v>37.159999999999997</v>
      </c>
      <c r="K1194" s="238" t="s">
        <v>38</v>
      </c>
      <c r="L1194">
        <v>2688000</v>
      </c>
      <c r="M1194">
        <v>0</v>
      </c>
      <c r="N1194">
        <v>2688000</v>
      </c>
      <c r="O1194">
        <v>72335.844994617873</v>
      </c>
      <c r="P1194">
        <v>0</v>
      </c>
      <c r="Q1194">
        <v>2688000</v>
      </c>
      <c r="R1194">
        <v>72335.844994617873</v>
      </c>
      <c r="S1194" s="238" t="s">
        <v>124</v>
      </c>
      <c r="T1194" s="238" t="s">
        <v>1167</v>
      </c>
      <c r="V1194" t="s">
        <v>1167</v>
      </c>
      <c r="W1194" s="24">
        <v>44781</v>
      </c>
      <c r="X1194" s="238" t="s">
        <v>3267</v>
      </c>
      <c r="Y1194" s="238" t="s">
        <v>3247</v>
      </c>
      <c r="Z1194" s="238" t="s">
        <v>1340</v>
      </c>
      <c r="AA1194" t="s">
        <v>1167</v>
      </c>
      <c r="AB1194" s="238" t="s">
        <v>3246</v>
      </c>
      <c r="AC1194" t="s">
        <v>1167</v>
      </c>
      <c r="AD1194" s="24"/>
      <c r="AE1194" s="238" t="s">
        <v>3248</v>
      </c>
      <c r="AG1194" s="238" t="s">
        <v>1167</v>
      </c>
      <c r="AH1194" s="238" t="s">
        <v>1167</v>
      </c>
      <c r="AI1194" s="238" t="s">
        <v>5050</v>
      </c>
      <c r="AJ1194" s="238" t="s">
        <v>982</v>
      </c>
      <c r="AK1194" s="238" t="s">
        <v>1167</v>
      </c>
      <c r="AL1194" t="s">
        <v>8715</v>
      </c>
      <c r="AM1194" t="s">
        <v>1167</v>
      </c>
    </row>
    <row r="1195" spans="1:39" hidden="1" x14ac:dyDescent="0.25">
      <c r="A1195">
        <v>1191</v>
      </c>
      <c r="B1195">
        <v>135</v>
      </c>
      <c r="C1195" s="24">
        <v>44785</v>
      </c>
      <c r="D1195" s="238" t="s">
        <v>27</v>
      </c>
      <c r="E1195" s="238" t="s">
        <v>5</v>
      </c>
      <c r="F1195">
        <v>4</v>
      </c>
      <c r="G1195">
        <v>24</v>
      </c>
      <c r="H1195">
        <v>387</v>
      </c>
      <c r="I1195" s="238" t="s">
        <v>42</v>
      </c>
      <c r="J1195">
        <v>40</v>
      </c>
      <c r="K1195" s="238" t="s">
        <v>38</v>
      </c>
      <c r="L1195">
        <v>2901750</v>
      </c>
      <c r="M1195">
        <v>0</v>
      </c>
      <c r="N1195">
        <v>2901750</v>
      </c>
      <c r="O1195">
        <v>72543.75</v>
      </c>
      <c r="P1195">
        <v>0</v>
      </c>
      <c r="Q1195">
        <v>2901750</v>
      </c>
      <c r="R1195">
        <v>72543.75</v>
      </c>
      <c r="S1195" s="238" t="s">
        <v>124</v>
      </c>
      <c r="T1195" s="238" t="s">
        <v>1167</v>
      </c>
      <c r="V1195" t="s">
        <v>1167</v>
      </c>
      <c r="W1195" s="24">
        <v>44781</v>
      </c>
      <c r="X1195" s="238" t="s">
        <v>3267</v>
      </c>
      <c r="Y1195" s="238" t="s">
        <v>3247</v>
      </c>
      <c r="Z1195" s="238" t="s">
        <v>1340</v>
      </c>
      <c r="AA1195" t="s">
        <v>1167</v>
      </c>
      <c r="AB1195" s="238" t="s">
        <v>3246</v>
      </c>
      <c r="AC1195" t="s">
        <v>1167</v>
      </c>
      <c r="AD1195" s="24"/>
      <c r="AE1195" s="238" t="s">
        <v>3248</v>
      </c>
      <c r="AG1195" s="238" t="s">
        <v>1167</v>
      </c>
      <c r="AH1195" s="238" t="s">
        <v>1167</v>
      </c>
      <c r="AI1195" s="238" t="s">
        <v>5050</v>
      </c>
      <c r="AJ1195" s="238" t="s">
        <v>982</v>
      </c>
      <c r="AK1195" s="238" t="s">
        <v>1167</v>
      </c>
      <c r="AL1195" t="s">
        <v>8715</v>
      </c>
      <c r="AM1195" t="s">
        <v>1167</v>
      </c>
    </row>
    <row r="1196" spans="1:39" hidden="1" x14ac:dyDescent="0.25">
      <c r="A1196">
        <v>1192</v>
      </c>
      <c r="B1196">
        <v>136</v>
      </c>
      <c r="C1196" s="24">
        <v>44785</v>
      </c>
      <c r="D1196" s="238" t="s">
        <v>27</v>
      </c>
      <c r="E1196" s="238" t="s">
        <v>5</v>
      </c>
      <c r="F1196">
        <v>6</v>
      </c>
      <c r="G1196">
        <v>24</v>
      </c>
      <c r="H1196">
        <v>389</v>
      </c>
      <c r="I1196" s="238" t="s">
        <v>42</v>
      </c>
      <c r="J1196">
        <v>37.11</v>
      </c>
      <c r="K1196" s="238" t="s">
        <v>38</v>
      </c>
      <c r="L1196">
        <v>2684250</v>
      </c>
      <c r="M1196">
        <v>0</v>
      </c>
      <c r="N1196">
        <v>2684250</v>
      </c>
      <c r="O1196">
        <v>72332.255456750208</v>
      </c>
      <c r="P1196">
        <v>0</v>
      </c>
      <c r="Q1196">
        <v>2684250</v>
      </c>
      <c r="R1196">
        <v>72332.255456750208</v>
      </c>
      <c r="S1196" s="238" t="s">
        <v>124</v>
      </c>
      <c r="T1196" s="238" t="s">
        <v>1167</v>
      </c>
      <c r="V1196" t="s">
        <v>1167</v>
      </c>
      <c r="W1196" s="24">
        <v>44781</v>
      </c>
      <c r="X1196" s="238" t="s">
        <v>3267</v>
      </c>
      <c r="Y1196" s="238" t="s">
        <v>3247</v>
      </c>
      <c r="Z1196" s="238" t="s">
        <v>1340</v>
      </c>
      <c r="AA1196" t="s">
        <v>1167</v>
      </c>
      <c r="AB1196" s="238" t="s">
        <v>3246</v>
      </c>
      <c r="AC1196" t="s">
        <v>1167</v>
      </c>
      <c r="AD1196" s="24"/>
      <c r="AE1196" s="238" t="s">
        <v>3248</v>
      </c>
      <c r="AG1196" s="238" t="s">
        <v>1167</v>
      </c>
      <c r="AH1196" s="238" t="s">
        <v>1167</v>
      </c>
      <c r="AI1196" s="238" t="s">
        <v>5050</v>
      </c>
      <c r="AJ1196" s="238" t="s">
        <v>982</v>
      </c>
      <c r="AK1196" s="238" t="s">
        <v>1167</v>
      </c>
      <c r="AL1196" t="s">
        <v>8715</v>
      </c>
      <c r="AM1196" t="s">
        <v>1167</v>
      </c>
    </row>
    <row r="1197" spans="1:39" hidden="1" x14ac:dyDescent="0.25">
      <c r="A1197">
        <v>1193</v>
      </c>
      <c r="B1197">
        <v>137</v>
      </c>
      <c r="C1197" s="24">
        <v>44785</v>
      </c>
      <c r="D1197" s="238" t="s">
        <v>27</v>
      </c>
      <c r="E1197" s="238" t="s">
        <v>5</v>
      </c>
      <c r="F1197">
        <v>7</v>
      </c>
      <c r="G1197">
        <v>24</v>
      </c>
      <c r="H1197">
        <v>390</v>
      </c>
      <c r="I1197" s="238" t="s">
        <v>43</v>
      </c>
      <c r="J1197">
        <v>59.93</v>
      </c>
      <c r="K1197" s="238" t="s">
        <v>38</v>
      </c>
      <c r="L1197">
        <v>4305750</v>
      </c>
      <c r="M1197">
        <v>0</v>
      </c>
      <c r="N1197">
        <v>4305750</v>
      </c>
      <c r="O1197">
        <v>71846.320707492079</v>
      </c>
      <c r="P1197">
        <v>0</v>
      </c>
      <c r="Q1197">
        <v>4305750</v>
      </c>
      <c r="R1197">
        <v>71846.320707492079</v>
      </c>
      <c r="S1197" s="238" t="s">
        <v>124</v>
      </c>
      <c r="T1197" s="238" t="s">
        <v>1167</v>
      </c>
      <c r="V1197" t="s">
        <v>1167</v>
      </c>
      <c r="W1197" s="24">
        <v>44781</v>
      </c>
      <c r="X1197" s="238" t="s">
        <v>3267</v>
      </c>
      <c r="Y1197" s="238" t="s">
        <v>3247</v>
      </c>
      <c r="Z1197" s="238" t="s">
        <v>1340</v>
      </c>
      <c r="AA1197" t="s">
        <v>1167</v>
      </c>
      <c r="AB1197" s="238" t="s">
        <v>3246</v>
      </c>
      <c r="AC1197" t="s">
        <v>1167</v>
      </c>
      <c r="AD1197" s="24"/>
      <c r="AE1197" s="238" t="s">
        <v>3248</v>
      </c>
      <c r="AG1197" s="238" t="s">
        <v>1167</v>
      </c>
      <c r="AH1197" s="238" t="s">
        <v>1167</v>
      </c>
      <c r="AI1197" s="238" t="s">
        <v>5050</v>
      </c>
      <c r="AJ1197" s="238" t="s">
        <v>982</v>
      </c>
      <c r="AK1197" s="238" t="s">
        <v>1167</v>
      </c>
      <c r="AL1197" t="s">
        <v>8715</v>
      </c>
      <c r="AM1197" t="s">
        <v>1167</v>
      </c>
    </row>
    <row r="1198" spans="1:39" hidden="1" x14ac:dyDescent="0.25">
      <c r="A1198">
        <v>1194</v>
      </c>
      <c r="B1198">
        <v>138</v>
      </c>
      <c r="C1198" s="24">
        <v>44785</v>
      </c>
      <c r="D1198" s="238" t="s">
        <v>27</v>
      </c>
      <c r="E1198" s="238" t="s">
        <v>5</v>
      </c>
      <c r="F1198">
        <v>8</v>
      </c>
      <c r="G1198">
        <v>24</v>
      </c>
      <c r="H1198">
        <v>391</v>
      </c>
      <c r="I1198" s="238" t="s">
        <v>43</v>
      </c>
      <c r="J1198">
        <v>55.8</v>
      </c>
      <c r="K1198" s="238" t="s">
        <v>38</v>
      </c>
      <c r="L1198">
        <v>4097250</v>
      </c>
      <c r="M1198">
        <v>0</v>
      </c>
      <c r="N1198">
        <v>4097250</v>
      </c>
      <c r="O1198">
        <v>73427.419354838712</v>
      </c>
      <c r="P1198">
        <v>0</v>
      </c>
      <c r="Q1198">
        <v>4097250</v>
      </c>
      <c r="R1198">
        <v>73427.419354838712</v>
      </c>
      <c r="S1198" s="238" t="s">
        <v>124</v>
      </c>
      <c r="T1198" s="238" t="s">
        <v>1167</v>
      </c>
      <c r="V1198" t="s">
        <v>1167</v>
      </c>
      <c r="W1198" s="24">
        <v>44781</v>
      </c>
      <c r="X1198" s="238" t="s">
        <v>3267</v>
      </c>
      <c r="Y1198" s="238" t="s">
        <v>3247</v>
      </c>
      <c r="Z1198" s="238" t="s">
        <v>1340</v>
      </c>
      <c r="AA1198" t="s">
        <v>1167</v>
      </c>
      <c r="AB1198" s="238" t="s">
        <v>3246</v>
      </c>
      <c r="AC1198" t="s">
        <v>1167</v>
      </c>
      <c r="AD1198" s="24"/>
      <c r="AE1198" s="238" t="s">
        <v>3248</v>
      </c>
      <c r="AG1198" s="238" t="s">
        <v>1167</v>
      </c>
      <c r="AH1198" s="238" t="s">
        <v>1167</v>
      </c>
      <c r="AI1198" s="238" t="s">
        <v>5050</v>
      </c>
      <c r="AJ1198" s="238" t="s">
        <v>982</v>
      </c>
      <c r="AK1198" s="238" t="s">
        <v>1167</v>
      </c>
      <c r="AL1198" t="s">
        <v>8715</v>
      </c>
      <c r="AM1198" t="s">
        <v>1167</v>
      </c>
    </row>
    <row r="1199" spans="1:39" hidden="1" x14ac:dyDescent="0.25">
      <c r="A1199">
        <v>1195</v>
      </c>
      <c r="B1199">
        <v>139</v>
      </c>
      <c r="C1199" s="24">
        <v>44785</v>
      </c>
      <c r="D1199" s="238" t="s">
        <v>27</v>
      </c>
      <c r="E1199" s="238" t="s">
        <v>16</v>
      </c>
      <c r="F1199">
        <v>1</v>
      </c>
      <c r="G1199">
        <v>2</v>
      </c>
      <c r="H1199">
        <v>392</v>
      </c>
      <c r="I1199" s="238" t="s">
        <v>44</v>
      </c>
      <c r="J1199">
        <v>82.76</v>
      </c>
      <c r="K1199" s="238" t="s">
        <v>38</v>
      </c>
      <c r="L1199">
        <v>6017250</v>
      </c>
      <c r="M1199">
        <v>0</v>
      </c>
      <c r="N1199">
        <v>6017250</v>
      </c>
      <c r="O1199">
        <v>72707.225712904779</v>
      </c>
      <c r="P1199">
        <v>0</v>
      </c>
      <c r="Q1199">
        <v>6017250</v>
      </c>
      <c r="R1199">
        <v>72707.225712904779</v>
      </c>
      <c r="S1199" s="238" t="s">
        <v>124</v>
      </c>
      <c r="T1199" s="238" t="s">
        <v>1167</v>
      </c>
      <c r="V1199" t="s">
        <v>1167</v>
      </c>
      <c r="W1199" s="24">
        <v>44781</v>
      </c>
      <c r="X1199" s="238" t="s">
        <v>3268</v>
      </c>
      <c r="Y1199" s="238" t="s">
        <v>3247</v>
      </c>
      <c r="Z1199" s="238" t="s">
        <v>1340</v>
      </c>
      <c r="AA1199" t="s">
        <v>1167</v>
      </c>
      <c r="AB1199" s="238" t="s">
        <v>3246</v>
      </c>
      <c r="AC1199" t="s">
        <v>1167</v>
      </c>
      <c r="AD1199" s="24"/>
      <c r="AE1199" s="238" t="s">
        <v>3248</v>
      </c>
      <c r="AG1199" s="238" t="s">
        <v>1167</v>
      </c>
      <c r="AH1199" s="238" t="s">
        <v>1167</v>
      </c>
      <c r="AI1199" s="238" t="s">
        <v>5050</v>
      </c>
      <c r="AJ1199" s="238" t="s">
        <v>982</v>
      </c>
      <c r="AK1199" s="238" t="s">
        <v>1167</v>
      </c>
      <c r="AL1199" t="s">
        <v>8715</v>
      </c>
      <c r="AM1199" t="s">
        <v>1167</v>
      </c>
    </row>
    <row r="1200" spans="1:39" hidden="1" x14ac:dyDescent="0.25">
      <c r="A1200">
        <v>1196</v>
      </c>
      <c r="B1200">
        <v>140</v>
      </c>
      <c r="C1200" s="24">
        <v>44785</v>
      </c>
      <c r="D1200" s="238" t="s">
        <v>27</v>
      </c>
      <c r="E1200" s="238" t="s">
        <v>16</v>
      </c>
      <c r="F1200">
        <v>2</v>
      </c>
      <c r="G1200">
        <v>2</v>
      </c>
      <c r="H1200">
        <v>393</v>
      </c>
      <c r="I1200" s="238" t="s">
        <v>42</v>
      </c>
      <c r="J1200">
        <v>37.159999999999997</v>
      </c>
      <c r="K1200" s="238" t="s">
        <v>38</v>
      </c>
      <c r="L1200">
        <v>2688000</v>
      </c>
      <c r="M1200">
        <v>0</v>
      </c>
      <c r="N1200">
        <v>2688000</v>
      </c>
      <c r="O1200">
        <v>72335.844994617873</v>
      </c>
      <c r="P1200">
        <v>0</v>
      </c>
      <c r="Q1200">
        <v>2688000</v>
      </c>
      <c r="R1200">
        <v>72335.844994617873</v>
      </c>
      <c r="S1200" s="238" t="s">
        <v>124</v>
      </c>
      <c r="T1200" s="238" t="s">
        <v>1167</v>
      </c>
      <c r="V1200" t="s">
        <v>1167</v>
      </c>
      <c r="W1200" s="24">
        <v>44781</v>
      </c>
      <c r="X1200" s="238" t="s">
        <v>3268</v>
      </c>
      <c r="Y1200" s="238" t="s">
        <v>3247</v>
      </c>
      <c r="Z1200" s="238" t="s">
        <v>1340</v>
      </c>
      <c r="AA1200" t="s">
        <v>1167</v>
      </c>
      <c r="AB1200" s="238" t="s">
        <v>3246</v>
      </c>
      <c r="AC1200" t="s">
        <v>1167</v>
      </c>
      <c r="AD1200" s="24"/>
      <c r="AE1200" s="238" t="s">
        <v>3248</v>
      </c>
      <c r="AG1200" s="238" t="s">
        <v>1167</v>
      </c>
      <c r="AH1200" s="238" t="s">
        <v>1167</v>
      </c>
      <c r="AI1200" s="238" t="s">
        <v>5050</v>
      </c>
      <c r="AJ1200" s="238" t="s">
        <v>982</v>
      </c>
      <c r="AK1200" s="238" t="s">
        <v>1167</v>
      </c>
      <c r="AL1200" t="s">
        <v>8715</v>
      </c>
      <c r="AM1200" t="s">
        <v>1167</v>
      </c>
    </row>
    <row r="1201" spans="1:39" hidden="1" x14ac:dyDescent="0.25">
      <c r="A1201">
        <v>1197</v>
      </c>
      <c r="B1201">
        <v>141</v>
      </c>
      <c r="C1201" s="24">
        <v>44785</v>
      </c>
      <c r="D1201" s="238" t="s">
        <v>27</v>
      </c>
      <c r="E1201" s="238" t="s">
        <v>16</v>
      </c>
      <c r="F1201">
        <v>7</v>
      </c>
      <c r="G1201">
        <v>2</v>
      </c>
      <c r="H1201">
        <v>398</v>
      </c>
      <c r="I1201" s="238" t="s">
        <v>43</v>
      </c>
      <c r="J1201">
        <v>59.93</v>
      </c>
      <c r="K1201" s="238" t="s">
        <v>38</v>
      </c>
      <c r="L1201">
        <v>4305750</v>
      </c>
      <c r="M1201">
        <v>0</v>
      </c>
      <c r="N1201">
        <v>4305750</v>
      </c>
      <c r="O1201">
        <v>71846.320707492079</v>
      </c>
      <c r="P1201">
        <v>0</v>
      </c>
      <c r="Q1201">
        <v>4305750</v>
      </c>
      <c r="R1201">
        <v>71846.320707492079</v>
      </c>
      <c r="S1201" s="238" t="s">
        <v>124</v>
      </c>
      <c r="T1201" s="238" t="s">
        <v>1167</v>
      </c>
      <c r="V1201" t="s">
        <v>1167</v>
      </c>
      <c r="W1201" s="24">
        <v>44781</v>
      </c>
      <c r="X1201" s="238" t="s">
        <v>3268</v>
      </c>
      <c r="Y1201" s="238" t="s">
        <v>3247</v>
      </c>
      <c r="Z1201" s="238" t="s">
        <v>1340</v>
      </c>
      <c r="AA1201" t="s">
        <v>1167</v>
      </c>
      <c r="AB1201" s="238" t="s">
        <v>3246</v>
      </c>
      <c r="AC1201" t="s">
        <v>1167</v>
      </c>
      <c r="AD1201" s="24"/>
      <c r="AE1201" s="238" t="s">
        <v>3248</v>
      </c>
      <c r="AG1201" s="238" t="s">
        <v>1167</v>
      </c>
      <c r="AH1201" s="238" t="s">
        <v>1167</v>
      </c>
      <c r="AI1201" s="238" t="s">
        <v>5050</v>
      </c>
      <c r="AJ1201" s="238" t="s">
        <v>982</v>
      </c>
      <c r="AK1201" s="238" t="s">
        <v>1167</v>
      </c>
      <c r="AL1201" t="s">
        <v>8715</v>
      </c>
      <c r="AM1201" t="s">
        <v>1167</v>
      </c>
    </row>
    <row r="1202" spans="1:39" hidden="1" x14ac:dyDescent="0.25">
      <c r="A1202">
        <v>1198</v>
      </c>
      <c r="B1202">
        <v>142</v>
      </c>
      <c r="C1202" s="24">
        <v>44785</v>
      </c>
      <c r="D1202" s="238" t="s">
        <v>27</v>
      </c>
      <c r="E1202" s="238" t="s">
        <v>16</v>
      </c>
      <c r="F1202">
        <v>8</v>
      </c>
      <c r="G1202">
        <v>2</v>
      </c>
      <c r="H1202">
        <v>399</v>
      </c>
      <c r="I1202" s="238" t="s">
        <v>43</v>
      </c>
      <c r="J1202">
        <v>55.21</v>
      </c>
      <c r="K1202" s="238" t="s">
        <v>38</v>
      </c>
      <c r="L1202">
        <v>4014000</v>
      </c>
      <c r="M1202">
        <v>0</v>
      </c>
      <c r="N1202">
        <v>4014000</v>
      </c>
      <c r="O1202">
        <v>72704.220249954713</v>
      </c>
      <c r="P1202">
        <v>0</v>
      </c>
      <c r="Q1202">
        <v>4014000</v>
      </c>
      <c r="R1202">
        <v>72704.220249954713</v>
      </c>
      <c r="S1202" s="238" t="s">
        <v>124</v>
      </c>
      <c r="T1202" s="238" t="s">
        <v>1167</v>
      </c>
      <c r="V1202" t="s">
        <v>1167</v>
      </c>
      <c r="W1202" s="24">
        <v>44781</v>
      </c>
      <c r="X1202" s="238" t="s">
        <v>3268</v>
      </c>
      <c r="Y1202" s="238" t="s">
        <v>3247</v>
      </c>
      <c r="Z1202" s="238" t="s">
        <v>1340</v>
      </c>
      <c r="AA1202" t="s">
        <v>1167</v>
      </c>
      <c r="AB1202" s="238" t="s">
        <v>3246</v>
      </c>
      <c r="AC1202" t="s">
        <v>1167</v>
      </c>
      <c r="AD1202" s="24"/>
      <c r="AE1202" s="238" t="s">
        <v>3248</v>
      </c>
      <c r="AG1202" s="238" t="s">
        <v>1167</v>
      </c>
      <c r="AH1202" s="238" t="s">
        <v>1167</v>
      </c>
      <c r="AI1202" s="238" t="s">
        <v>5050</v>
      </c>
      <c r="AJ1202" s="238" t="s">
        <v>982</v>
      </c>
      <c r="AK1202" s="238" t="s">
        <v>1167</v>
      </c>
      <c r="AL1202" t="s">
        <v>8715</v>
      </c>
      <c r="AM1202" t="s">
        <v>1167</v>
      </c>
    </row>
    <row r="1203" spans="1:39" hidden="1" x14ac:dyDescent="0.25">
      <c r="A1203">
        <v>1199</v>
      </c>
      <c r="B1203">
        <v>143</v>
      </c>
      <c r="C1203" s="24">
        <v>44785</v>
      </c>
      <c r="D1203" s="238" t="s">
        <v>27</v>
      </c>
      <c r="E1203" s="238" t="s">
        <v>16</v>
      </c>
      <c r="F1203">
        <v>1</v>
      </c>
      <c r="G1203">
        <v>3</v>
      </c>
      <c r="H1203">
        <v>400</v>
      </c>
      <c r="I1203" s="238" t="s">
        <v>44</v>
      </c>
      <c r="J1203">
        <v>82.76</v>
      </c>
      <c r="K1203" s="238" t="s">
        <v>38</v>
      </c>
      <c r="L1203">
        <v>6017250</v>
      </c>
      <c r="M1203">
        <v>0</v>
      </c>
      <c r="N1203">
        <v>6017250</v>
      </c>
      <c r="O1203">
        <v>72707.225712904779</v>
      </c>
      <c r="P1203">
        <v>0</v>
      </c>
      <c r="Q1203">
        <v>6017250</v>
      </c>
      <c r="R1203">
        <v>72707.225712904779</v>
      </c>
      <c r="S1203" s="238" t="s">
        <v>124</v>
      </c>
      <c r="T1203" s="238" t="s">
        <v>1167</v>
      </c>
      <c r="V1203" t="s">
        <v>1167</v>
      </c>
      <c r="W1203" s="24">
        <v>44781</v>
      </c>
      <c r="X1203" s="238" t="s">
        <v>3268</v>
      </c>
      <c r="Y1203" s="238" t="s">
        <v>3247</v>
      </c>
      <c r="Z1203" s="238" t="s">
        <v>1340</v>
      </c>
      <c r="AA1203" t="s">
        <v>1167</v>
      </c>
      <c r="AB1203" s="238" t="s">
        <v>3246</v>
      </c>
      <c r="AC1203" t="s">
        <v>1167</v>
      </c>
      <c r="AD1203" s="24"/>
      <c r="AE1203" s="238" t="s">
        <v>3248</v>
      </c>
      <c r="AG1203" s="238" t="s">
        <v>1167</v>
      </c>
      <c r="AH1203" s="238" t="s">
        <v>1167</v>
      </c>
      <c r="AI1203" s="238" t="s">
        <v>5050</v>
      </c>
      <c r="AJ1203" s="238" t="s">
        <v>982</v>
      </c>
      <c r="AK1203" s="238" t="s">
        <v>1167</v>
      </c>
      <c r="AL1203" t="s">
        <v>8715</v>
      </c>
      <c r="AM1203" t="s">
        <v>1167</v>
      </c>
    </row>
    <row r="1204" spans="1:39" hidden="1" x14ac:dyDescent="0.25">
      <c r="A1204">
        <v>1200</v>
      </c>
      <c r="B1204">
        <v>144</v>
      </c>
      <c r="C1204" s="24">
        <v>44785</v>
      </c>
      <c r="D1204" s="238" t="s">
        <v>27</v>
      </c>
      <c r="E1204" s="238" t="s">
        <v>16</v>
      </c>
      <c r="F1204">
        <v>4</v>
      </c>
      <c r="G1204">
        <v>3</v>
      </c>
      <c r="H1204">
        <v>403</v>
      </c>
      <c r="I1204" s="238" t="s">
        <v>42</v>
      </c>
      <c r="J1204">
        <v>40</v>
      </c>
      <c r="K1204" s="238" t="s">
        <v>38</v>
      </c>
      <c r="L1204">
        <v>2901750</v>
      </c>
      <c r="M1204">
        <v>0</v>
      </c>
      <c r="N1204">
        <v>2901750</v>
      </c>
      <c r="O1204">
        <v>72543.75</v>
      </c>
      <c r="P1204">
        <v>0</v>
      </c>
      <c r="Q1204">
        <v>2901750</v>
      </c>
      <c r="R1204">
        <v>72543.75</v>
      </c>
      <c r="S1204" s="238" t="s">
        <v>124</v>
      </c>
      <c r="T1204" s="238" t="s">
        <v>1167</v>
      </c>
      <c r="V1204" t="s">
        <v>1167</v>
      </c>
      <c r="W1204" s="24">
        <v>44781</v>
      </c>
      <c r="X1204" s="238" t="s">
        <v>3268</v>
      </c>
      <c r="Y1204" s="238" t="s">
        <v>3247</v>
      </c>
      <c r="Z1204" s="238" t="s">
        <v>1340</v>
      </c>
      <c r="AA1204" t="s">
        <v>1167</v>
      </c>
      <c r="AB1204" s="238" t="s">
        <v>3246</v>
      </c>
      <c r="AC1204" t="s">
        <v>1167</v>
      </c>
      <c r="AD1204" s="24"/>
      <c r="AE1204" s="238" t="s">
        <v>3248</v>
      </c>
      <c r="AG1204" s="238" t="s">
        <v>1167</v>
      </c>
      <c r="AH1204" s="238" t="s">
        <v>1167</v>
      </c>
      <c r="AI1204" s="238" t="s">
        <v>5050</v>
      </c>
      <c r="AJ1204" s="238" t="s">
        <v>982</v>
      </c>
      <c r="AK1204" s="238" t="s">
        <v>1167</v>
      </c>
      <c r="AL1204" t="s">
        <v>8715</v>
      </c>
      <c r="AM1204" t="s">
        <v>1167</v>
      </c>
    </row>
    <row r="1205" spans="1:39" hidden="1" x14ac:dyDescent="0.25">
      <c r="A1205">
        <v>1201</v>
      </c>
      <c r="B1205">
        <v>145</v>
      </c>
      <c r="C1205" s="24">
        <v>44785</v>
      </c>
      <c r="D1205" s="238" t="s">
        <v>27</v>
      </c>
      <c r="E1205" s="238" t="s">
        <v>16</v>
      </c>
      <c r="F1205">
        <v>7</v>
      </c>
      <c r="G1205">
        <v>3</v>
      </c>
      <c r="H1205">
        <v>406</v>
      </c>
      <c r="I1205" s="238" t="s">
        <v>43</v>
      </c>
      <c r="J1205">
        <v>59.93</v>
      </c>
      <c r="K1205" s="238" t="s">
        <v>38</v>
      </c>
      <c r="L1205">
        <v>4305750</v>
      </c>
      <c r="M1205">
        <v>0</v>
      </c>
      <c r="N1205">
        <v>4305750</v>
      </c>
      <c r="O1205">
        <v>71846.320707492079</v>
      </c>
      <c r="P1205">
        <v>0</v>
      </c>
      <c r="Q1205">
        <v>4305750</v>
      </c>
      <c r="R1205">
        <v>71846.320707492079</v>
      </c>
      <c r="S1205" s="238" t="s">
        <v>124</v>
      </c>
      <c r="T1205" s="238" t="s">
        <v>1167</v>
      </c>
      <c r="V1205" t="s">
        <v>1167</v>
      </c>
      <c r="W1205" s="24">
        <v>44781</v>
      </c>
      <c r="X1205" s="238" t="s">
        <v>3268</v>
      </c>
      <c r="Y1205" s="238" t="s">
        <v>3247</v>
      </c>
      <c r="Z1205" s="238" t="s">
        <v>1340</v>
      </c>
      <c r="AA1205" t="s">
        <v>1167</v>
      </c>
      <c r="AB1205" s="238" t="s">
        <v>3246</v>
      </c>
      <c r="AC1205" t="s">
        <v>1167</v>
      </c>
      <c r="AD1205" s="24"/>
      <c r="AE1205" s="238" t="s">
        <v>3248</v>
      </c>
      <c r="AG1205" s="238" t="s">
        <v>1167</v>
      </c>
      <c r="AH1205" s="238" t="s">
        <v>1167</v>
      </c>
      <c r="AI1205" s="238" t="s">
        <v>5050</v>
      </c>
      <c r="AJ1205" s="238" t="s">
        <v>982</v>
      </c>
      <c r="AK1205" s="238" t="s">
        <v>1167</v>
      </c>
      <c r="AL1205" t="s">
        <v>8715</v>
      </c>
      <c r="AM1205" t="s">
        <v>1167</v>
      </c>
    </row>
    <row r="1206" spans="1:39" hidden="1" x14ac:dyDescent="0.25">
      <c r="A1206">
        <v>1202</v>
      </c>
      <c r="B1206">
        <v>146</v>
      </c>
      <c r="C1206" s="24">
        <v>44785</v>
      </c>
      <c r="D1206" s="238" t="s">
        <v>27</v>
      </c>
      <c r="E1206" s="238" t="s">
        <v>16</v>
      </c>
      <c r="F1206">
        <v>8</v>
      </c>
      <c r="G1206">
        <v>3</v>
      </c>
      <c r="H1206">
        <v>407</v>
      </c>
      <c r="I1206" s="238" t="s">
        <v>43</v>
      </c>
      <c r="J1206">
        <v>55.8</v>
      </c>
      <c r="K1206" s="238" t="s">
        <v>38</v>
      </c>
      <c r="L1206">
        <v>4097250</v>
      </c>
      <c r="M1206">
        <v>0</v>
      </c>
      <c r="N1206">
        <v>4097250</v>
      </c>
      <c r="O1206">
        <v>73427.419354838712</v>
      </c>
      <c r="P1206">
        <v>0</v>
      </c>
      <c r="Q1206">
        <v>4097250</v>
      </c>
      <c r="R1206">
        <v>73427.419354838712</v>
      </c>
      <c r="S1206" s="238" t="s">
        <v>124</v>
      </c>
      <c r="T1206" s="238" t="s">
        <v>1167</v>
      </c>
      <c r="V1206" t="s">
        <v>1167</v>
      </c>
      <c r="W1206" s="24">
        <v>44781</v>
      </c>
      <c r="X1206" s="238" t="s">
        <v>3268</v>
      </c>
      <c r="Y1206" s="238" t="s">
        <v>3247</v>
      </c>
      <c r="Z1206" s="238" t="s">
        <v>1340</v>
      </c>
      <c r="AA1206" t="s">
        <v>1167</v>
      </c>
      <c r="AB1206" s="238" t="s">
        <v>3246</v>
      </c>
      <c r="AC1206" t="s">
        <v>1167</v>
      </c>
      <c r="AD1206" s="24"/>
      <c r="AE1206" s="238" t="s">
        <v>3248</v>
      </c>
      <c r="AG1206" s="238" t="s">
        <v>1167</v>
      </c>
      <c r="AH1206" s="238" t="s">
        <v>1167</v>
      </c>
      <c r="AI1206" s="238" t="s">
        <v>5050</v>
      </c>
      <c r="AJ1206" s="238" t="s">
        <v>982</v>
      </c>
      <c r="AK1206" s="238" t="s">
        <v>1167</v>
      </c>
      <c r="AL1206" t="s">
        <v>8715</v>
      </c>
      <c r="AM1206" t="s">
        <v>1167</v>
      </c>
    </row>
    <row r="1207" spans="1:39" hidden="1" x14ac:dyDescent="0.25">
      <c r="A1207">
        <v>1203</v>
      </c>
      <c r="B1207">
        <v>147</v>
      </c>
      <c r="C1207" s="24">
        <v>44785</v>
      </c>
      <c r="D1207" s="238" t="s">
        <v>27</v>
      </c>
      <c r="E1207" s="238" t="s">
        <v>16</v>
      </c>
      <c r="F1207">
        <v>1</v>
      </c>
      <c r="G1207">
        <v>4</v>
      </c>
      <c r="H1207">
        <v>408</v>
      </c>
      <c r="I1207" s="238" t="s">
        <v>44</v>
      </c>
      <c r="J1207">
        <v>82.76</v>
      </c>
      <c r="K1207" s="238" t="s">
        <v>38</v>
      </c>
      <c r="L1207">
        <v>6017250</v>
      </c>
      <c r="M1207">
        <v>0</v>
      </c>
      <c r="N1207">
        <v>6017250</v>
      </c>
      <c r="O1207">
        <v>72707.225712904779</v>
      </c>
      <c r="P1207">
        <v>0</v>
      </c>
      <c r="Q1207">
        <v>6017250</v>
      </c>
      <c r="R1207">
        <v>72707.225712904779</v>
      </c>
      <c r="S1207" s="238" t="s">
        <v>124</v>
      </c>
      <c r="T1207" s="238" t="s">
        <v>1167</v>
      </c>
      <c r="V1207" t="s">
        <v>1167</v>
      </c>
      <c r="W1207" s="24">
        <v>44781</v>
      </c>
      <c r="X1207" s="238" t="s">
        <v>3268</v>
      </c>
      <c r="Y1207" s="238" t="s">
        <v>3247</v>
      </c>
      <c r="Z1207" s="238" t="s">
        <v>1340</v>
      </c>
      <c r="AA1207" t="s">
        <v>1167</v>
      </c>
      <c r="AB1207" s="238" t="s">
        <v>3246</v>
      </c>
      <c r="AC1207" t="s">
        <v>1167</v>
      </c>
      <c r="AD1207" s="24"/>
      <c r="AE1207" s="238" t="s">
        <v>3248</v>
      </c>
      <c r="AG1207" s="238" t="s">
        <v>1167</v>
      </c>
      <c r="AH1207" s="238" t="s">
        <v>1167</v>
      </c>
      <c r="AI1207" s="238" t="s">
        <v>5050</v>
      </c>
      <c r="AJ1207" s="238" t="s">
        <v>982</v>
      </c>
      <c r="AK1207" s="238" t="s">
        <v>1167</v>
      </c>
      <c r="AL1207" t="s">
        <v>8715</v>
      </c>
      <c r="AM1207" t="s">
        <v>1167</v>
      </c>
    </row>
    <row r="1208" spans="1:39" hidden="1" x14ac:dyDescent="0.25">
      <c r="A1208">
        <v>1204</v>
      </c>
      <c r="B1208">
        <v>148</v>
      </c>
      <c r="C1208" s="24">
        <v>44785</v>
      </c>
      <c r="D1208" s="238" t="s">
        <v>27</v>
      </c>
      <c r="E1208" s="238" t="s">
        <v>16</v>
      </c>
      <c r="F1208">
        <v>4</v>
      </c>
      <c r="G1208">
        <v>4</v>
      </c>
      <c r="H1208">
        <v>411</v>
      </c>
      <c r="I1208" s="238" t="s">
        <v>42</v>
      </c>
      <c r="J1208">
        <v>40</v>
      </c>
      <c r="K1208" s="238" t="s">
        <v>38</v>
      </c>
      <c r="L1208">
        <v>2901750</v>
      </c>
      <c r="M1208">
        <v>0</v>
      </c>
      <c r="N1208">
        <v>2901750</v>
      </c>
      <c r="O1208">
        <v>72543.75</v>
      </c>
      <c r="P1208">
        <v>0</v>
      </c>
      <c r="Q1208">
        <v>2901750</v>
      </c>
      <c r="R1208">
        <v>72543.75</v>
      </c>
      <c r="S1208" s="238" t="s">
        <v>124</v>
      </c>
      <c r="T1208" s="238" t="s">
        <v>1167</v>
      </c>
      <c r="V1208" t="s">
        <v>1167</v>
      </c>
      <c r="W1208" s="24">
        <v>44781</v>
      </c>
      <c r="X1208" s="238" t="s">
        <v>3268</v>
      </c>
      <c r="Y1208" s="238" t="s">
        <v>3247</v>
      </c>
      <c r="Z1208" s="238" t="s">
        <v>1340</v>
      </c>
      <c r="AA1208" t="s">
        <v>1167</v>
      </c>
      <c r="AB1208" s="238" t="s">
        <v>3246</v>
      </c>
      <c r="AC1208" t="s">
        <v>1167</v>
      </c>
      <c r="AD1208" s="24"/>
      <c r="AE1208" s="238" t="s">
        <v>3248</v>
      </c>
      <c r="AG1208" s="238" t="s">
        <v>1167</v>
      </c>
      <c r="AH1208" s="238" t="s">
        <v>1167</v>
      </c>
      <c r="AI1208" s="238" t="s">
        <v>5050</v>
      </c>
      <c r="AJ1208" s="238" t="s">
        <v>982</v>
      </c>
      <c r="AK1208" s="238" t="s">
        <v>1167</v>
      </c>
      <c r="AL1208" t="s">
        <v>8715</v>
      </c>
      <c r="AM1208" t="s">
        <v>1167</v>
      </c>
    </row>
    <row r="1209" spans="1:39" hidden="1" x14ac:dyDescent="0.25">
      <c r="A1209">
        <v>1205</v>
      </c>
      <c r="B1209">
        <v>149</v>
      </c>
      <c r="C1209" s="24">
        <v>44785</v>
      </c>
      <c r="D1209" s="238" t="s">
        <v>27</v>
      </c>
      <c r="E1209" s="238" t="s">
        <v>16</v>
      </c>
      <c r="F1209">
        <v>6</v>
      </c>
      <c r="G1209">
        <v>4</v>
      </c>
      <c r="H1209">
        <v>413</v>
      </c>
      <c r="I1209" s="238" t="s">
        <v>42</v>
      </c>
      <c r="J1209">
        <v>37.11</v>
      </c>
      <c r="K1209" s="238" t="s">
        <v>38</v>
      </c>
      <c r="L1209">
        <v>2684250</v>
      </c>
      <c r="M1209">
        <v>0</v>
      </c>
      <c r="N1209">
        <v>2684250</v>
      </c>
      <c r="O1209">
        <v>72332.255456750208</v>
      </c>
      <c r="P1209">
        <v>0</v>
      </c>
      <c r="Q1209">
        <v>2684250</v>
      </c>
      <c r="R1209">
        <v>72332.255456750208</v>
      </c>
      <c r="S1209" s="238" t="s">
        <v>124</v>
      </c>
      <c r="T1209" s="238" t="s">
        <v>1167</v>
      </c>
      <c r="V1209" t="s">
        <v>1167</v>
      </c>
      <c r="W1209" s="24">
        <v>44781</v>
      </c>
      <c r="X1209" s="238" t="s">
        <v>3268</v>
      </c>
      <c r="Y1209" s="238" t="s">
        <v>3247</v>
      </c>
      <c r="Z1209" s="238" t="s">
        <v>1340</v>
      </c>
      <c r="AA1209" t="s">
        <v>1167</v>
      </c>
      <c r="AB1209" s="238" t="s">
        <v>3246</v>
      </c>
      <c r="AC1209" t="s">
        <v>1167</v>
      </c>
      <c r="AD1209" s="24"/>
      <c r="AE1209" s="238" t="s">
        <v>3248</v>
      </c>
      <c r="AG1209" s="238" t="s">
        <v>1167</v>
      </c>
      <c r="AH1209" s="238" t="s">
        <v>1167</v>
      </c>
      <c r="AI1209" s="238" t="s">
        <v>5050</v>
      </c>
      <c r="AJ1209" s="238" t="s">
        <v>982</v>
      </c>
      <c r="AK1209" s="238" t="s">
        <v>1167</v>
      </c>
      <c r="AL1209" t="s">
        <v>8715</v>
      </c>
      <c r="AM1209" t="s">
        <v>1167</v>
      </c>
    </row>
    <row r="1210" spans="1:39" hidden="1" x14ac:dyDescent="0.25">
      <c r="A1210">
        <v>1206</v>
      </c>
      <c r="B1210">
        <v>150</v>
      </c>
      <c r="C1210" s="24">
        <v>44785</v>
      </c>
      <c r="D1210" s="238" t="s">
        <v>27</v>
      </c>
      <c r="E1210" s="238" t="s">
        <v>16</v>
      </c>
      <c r="F1210">
        <v>7</v>
      </c>
      <c r="G1210">
        <v>4</v>
      </c>
      <c r="H1210">
        <v>414</v>
      </c>
      <c r="I1210" s="238" t="s">
        <v>43</v>
      </c>
      <c r="J1210">
        <v>59.93</v>
      </c>
      <c r="K1210" s="238" t="s">
        <v>38</v>
      </c>
      <c r="L1210">
        <v>4305750</v>
      </c>
      <c r="M1210">
        <v>0</v>
      </c>
      <c r="N1210">
        <v>4305750</v>
      </c>
      <c r="O1210">
        <v>71846.320707492079</v>
      </c>
      <c r="P1210">
        <v>0</v>
      </c>
      <c r="Q1210">
        <v>4305750</v>
      </c>
      <c r="R1210">
        <v>71846.320707492079</v>
      </c>
      <c r="S1210" s="238" t="s">
        <v>124</v>
      </c>
      <c r="T1210" s="238" t="s">
        <v>1167</v>
      </c>
      <c r="V1210" t="s">
        <v>1167</v>
      </c>
      <c r="W1210" s="24">
        <v>44781</v>
      </c>
      <c r="X1210" s="238" t="s">
        <v>3269</v>
      </c>
      <c r="Y1210" s="238" t="s">
        <v>3247</v>
      </c>
      <c r="Z1210" s="238" t="s">
        <v>1340</v>
      </c>
      <c r="AA1210" t="s">
        <v>1167</v>
      </c>
      <c r="AB1210" s="238" t="s">
        <v>3246</v>
      </c>
      <c r="AC1210" t="s">
        <v>1167</v>
      </c>
      <c r="AD1210" s="24"/>
      <c r="AE1210" s="238" t="s">
        <v>3248</v>
      </c>
      <c r="AG1210" s="238" t="s">
        <v>1167</v>
      </c>
      <c r="AH1210" s="238" t="s">
        <v>1167</v>
      </c>
      <c r="AI1210" s="238" t="s">
        <v>5050</v>
      </c>
      <c r="AJ1210" s="238" t="s">
        <v>982</v>
      </c>
      <c r="AK1210" s="238" t="s">
        <v>1167</v>
      </c>
      <c r="AL1210" t="s">
        <v>8715</v>
      </c>
      <c r="AM1210" t="s">
        <v>1167</v>
      </c>
    </row>
    <row r="1211" spans="1:39" hidden="1" x14ac:dyDescent="0.25">
      <c r="A1211">
        <v>1207</v>
      </c>
      <c r="B1211">
        <v>151</v>
      </c>
      <c r="C1211" s="24">
        <v>44785</v>
      </c>
      <c r="D1211" s="238" t="s">
        <v>27</v>
      </c>
      <c r="E1211" s="238" t="s">
        <v>16</v>
      </c>
      <c r="F1211">
        <v>1</v>
      </c>
      <c r="G1211">
        <v>5</v>
      </c>
      <c r="H1211">
        <v>416</v>
      </c>
      <c r="I1211" s="238" t="s">
        <v>44</v>
      </c>
      <c r="J1211">
        <v>82.76</v>
      </c>
      <c r="K1211" s="238" t="s">
        <v>38</v>
      </c>
      <c r="L1211">
        <v>6017250</v>
      </c>
      <c r="M1211">
        <v>0</v>
      </c>
      <c r="N1211">
        <v>6017250</v>
      </c>
      <c r="O1211">
        <v>72707.225712904779</v>
      </c>
      <c r="P1211">
        <v>0</v>
      </c>
      <c r="Q1211">
        <v>6017250</v>
      </c>
      <c r="R1211">
        <v>72707.225712904779</v>
      </c>
      <c r="S1211" s="238" t="s">
        <v>124</v>
      </c>
      <c r="T1211" s="238" t="s">
        <v>1167</v>
      </c>
      <c r="V1211" t="s">
        <v>1167</v>
      </c>
      <c r="W1211" s="24">
        <v>44781</v>
      </c>
      <c r="X1211" s="238" t="s">
        <v>3269</v>
      </c>
      <c r="Y1211" s="238" t="s">
        <v>3247</v>
      </c>
      <c r="Z1211" s="238" t="s">
        <v>1340</v>
      </c>
      <c r="AA1211" t="s">
        <v>1167</v>
      </c>
      <c r="AB1211" s="238" t="s">
        <v>3246</v>
      </c>
      <c r="AC1211" t="s">
        <v>1167</v>
      </c>
      <c r="AD1211" s="24"/>
      <c r="AE1211" s="238" t="s">
        <v>3248</v>
      </c>
      <c r="AG1211" s="238" t="s">
        <v>1167</v>
      </c>
      <c r="AH1211" s="238" t="s">
        <v>1167</v>
      </c>
      <c r="AI1211" s="238" t="s">
        <v>5050</v>
      </c>
      <c r="AJ1211" s="238" t="s">
        <v>982</v>
      </c>
      <c r="AK1211" s="238" t="s">
        <v>1167</v>
      </c>
      <c r="AL1211" t="s">
        <v>8715</v>
      </c>
      <c r="AM1211" t="s">
        <v>1167</v>
      </c>
    </row>
    <row r="1212" spans="1:39" hidden="1" x14ac:dyDescent="0.25">
      <c r="A1212">
        <v>1208</v>
      </c>
      <c r="B1212">
        <v>152</v>
      </c>
      <c r="C1212" s="24">
        <v>44785</v>
      </c>
      <c r="D1212" s="238" t="s">
        <v>27</v>
      </c>
      <c r="E1212" s="238" t="s">
        <v>16</v>
      </c>
      <c r="F1212">
        <v>7</v>
      </c>
      <c r="G1212">
        <v>5</v>
      </c>
      <c r="H1212">
        <v>422</v>
      </c>
      <c r="I1212" s="238" t="s">
        <v>43</v>
      </c>
      <c r="J1212">
        <v>59.93</v>
      </c>
      <c r="K1212" s="238" t="s">
        <v>38</v>
      </c>
      <c r="L1212">
        <v>4305750</v>
      </c>
      <c r="M1212">
        <v>0</v>
      </c>
      <c r="N1212">
        <v>4305750</v>
      </c>
      <c r="O1212">
        <v>71846.320707492079</v>
      </c>
      <c r="P1212">
        <v>0</v>
      </c>
      <c r="Q1212">
        <v>4305750</v>
      </c>
      <c r="R1212">
        <v>71846.320707492079</v>
      </c>
      <c r="S1212" s="238" t="s">
        <v>124</v>
      </c>
      <c r="T1212" s="238" t="s">
        <v>1167</v>
      </c>
      <c r="V1212" t="s">
        <v>1167</v>
      </c>
      <c r="W1212" s="24">
        <v>44781</v>
      </c>
      <c r="X1212" s="238" t="s">
        <v>3269</v>
      </c>
      <c r="Y1212" s="238" t="s">
        <v>3247</v>
      </c>
      <c r="Z1212" s="238" t="s">
        <v>1340</v>
      </c>
      <c r="AA1212" t="s">
        <v>1167</v>
      </c>
      <c r="AB1212" s="238" t="s">
        <v>3246</v>
      </c>
      <c r="AC1212" t="s">
        <v>1167</v>
      </c>
      <c r="AD1212" s="24"/>
      <c r="AE1212" s="238" t="s">
        <v>3248</v>
      </c>
      <c r="AG1212" s="238" t="s">
        <v>1167</v>
      </c>
      <c r="AH1212" s="238" t="s">
        <v>1167</v>
      </c>
      <c r="AI1212" s="238" t="s">
        <v>5050</v>
      </c>
      <c r="AJ1212" s="238" t="s">
        <v>982</v>
      </c>
      <c r="AK1212" s="238" t="s">
        <v>1167</v>
      </c>
      <c r="AL1212" t="s">
        <v>8715</v>
      </c>
      <c r="AM1212" t="s">
        <v>1167</v>
      </c>
    </row>
    <row r="1213" spans="1:39" hidden="1" x14ac:dyDescent="0.25">
      <c r="A1213">
        <v>1209</v>
      </c>
      <c r="B1213">
        <v>153</v>
      </c>
      <c r="C1213" s="24">
        <v>44785</v>
      </c>
      <c r="D1213" s="238" t="s">
        <v>27</v>
      </c>
      <c r="E1213" s="238" t="s">
        <v>16</v>
      </c>
      <c r="F1213">
        <v>1</v>
      </c>
      <c r="G1213">
        <v>6</v>
      </c>
      <c r="H1213">
        <v>424</v>
      </c>
      <c r="I1213" s="238" t="s">
        <v>44</v>
      </c>
      <c r="J1213">
        <v>82.76</v>
      </c>
      <c r="K1213" s="238" t="s">
        <v>38</v>
      </c>
      <c r="L1213">
        <v>6017250</v>
      </c>
      <c r="M1213">
        <v>0</v>
      </c>
      <c r="N1213">
        <v>6017250</v>
      </c>
      <c r="O1213">
        <v>72707.225712904779</v>
      </c>
      <c r="P1213">
        <v>0</v>
      </c>
      <c r="Q1213">
        <v>6017250</v>
      </c>
      <c r="R1213">
        <v>72707.225712904779</v>
      </c>
      <c r="S1213" s="238" t="s">
        <v>124</v>
      </c>
      <c r="T1213" s="238" t="s">
        <v>1167</v>
      </c>
      <c r="V1213" t="s">
        <v>1167</v>
      </c>
      <c r="W1213" s="24">
        <v>44781</v>
      </c>
      <c r="X1213" s="238" t="s">
        <v>3269</v>
      </c>
      <c r="Y1213" s="238" t="s">
        <v>3247</v>
      </c>
      <c r="Z1213" s="238" t="s">
        <v>1340</v>
      </c>
      <c r="AA1213" t="s">
        <v>1167</v>
      </c>
      <c r="AB1213" s="238" t="s">
        <v>3246</v>
      </c>
      <c r="AC1213" t="s">
        <v>1167</v>
      </c>
      <c r="AD1213" s="24"/>
      <c r="AE1213" s="238" t="s">
        <v>3248</v>
      </c>
      <c r="AG1213" s="238" t="s">
        <v>1167</v>
      </c>
      <c r="AH1213" s="238" t="s">
        <v>1167</v>
      </c>
      <c r="AI1213" s="238" t="s">
        <v>5050</v>
      </c>
      <c r="AJ1213" s="238" t="s">
        <v>982</v>
      </c>
      <c r="AK1213" s="238" t="s">
        <v>1167</v>
      </c>
      <c r="AL1213" t="s">
        <v>8715</v>
      </c>
      <c r="AM1213" t="s">
        <v>1167</v>
      </c>
    </row>
    <row r="1214" spans="1:39" hidden="1" x14ac:dyDescent="0.25">
      <c r="A1214">
        <v>1210</v>
      </c>
      <c r="B1214">
        <v>154</v>
      </c>
      <c r="C1214" s="24">
        <v>44785</v>
      </c>
      <c r="D1214" s="238" t="s">
        <v>27</v>
      </c>
      <c r="E1214" s="238" t="s">
        <v>16</v>
      </c>
      <c r="F1214">
        <v>4</v>
      </c>
      <c r="G1214">
        <v>6</v>
      </c>
      <c r="H1214">
        <v>427</v>
      </c>
      <c r="I1214" s="238" t="s">
        <v>42</v>
      </c>
      <c r="J1214">
        <v>40</v>
      </c>
      <c r="K1214" s="238" t="s">
        <v>38</v>
      </c>
      <c r="L1214">
        <v>2901750</v>
      </c>
      <c r="M1214">
        <v>0</v>
      </c>
      <c r="N1214">
        <v>2901750</v>
      </c>
      <c r="O1214">
        <v>72543.75</v>
      </c>
      <c r="P1214">
        <v>0</v>
      </c>
      <c r="Q1214">
        <v>2901750</v>
      </c>
      <c r="R1214">
        <v>72543.75</v>
      </c>
      <c r="S1214" s="238" t="s">
        <v>124</v>
      </c>
      <c r="T1214" s="238" t="s">
        <v>1167</v>
      </c>
      <c r="V1214" t="s">
        <v>1167</v>
      </c>
      <c r="W1214" s="24">
        <v>44781</v>
      </c>
      <c r="X1214" s="238" t="s">
        <v>3269</v>
      </c>
      <c r="Y1214" s="238" t="s">
        <v>3247</v>
      </c>
      <c r="Z1214" s="238" t="s">
        <v>1340</v>
      </c>
      <c r="AA1214" t="s">
        <v>1167</v>
      </c>
      <c r="AB1214" s="238" t="s">
        <v>3246</v>
      </c>
      <c r="AC1214" t="s">
        <v>1167</v>
      </c>
      <c r="AD1214" s="24"/>
      <c r="AE1214" s="238" t="s">
        <v>3248</v>
      </c>
      <c r="AG1214" s="238" t="s">
        <v>1167</v>
      </c>
      <c r="AH1214" s="238" t="s">
        <v>1167</v>
      </c>
      <c r="AI1214" s="238" t="s">
        <v>5050</v>
      </c>
      <c r="AJ1214" s="238" t="s">
        <v>982</v>
      </c>
      <c r="AK1214" s="238" t="s">
        <v>1167</v>
      </c>
      <c r="AL1214" t="s">
        <v>8715</v>
      </c>
      <c r="AM1214" t="s">
        <v>1167</v>
      </c>
    </row>
    <row r="1215" spans="1:39" hidden="1" x14ac:dyDescent="0.25">
      <c r="A1215">
        <v>1211</v>
      </c>
      <c r="B1215">
        <v>155</v>
      </c>
      <c r="C1215" s="24">
        <v>44785</v>
      </c>
      <c r="D1215" s="238" t="s">
        <v>27</v>
      </c>
      <c r="E1215" s="238" t="s">
        <v>16</v>
      </c>
      <c r="F1215">
        <v>6</v>
      </c>
      <c r="G1215">
        <v>6</v>
      </c>
      <c r="H1215">
        <v>429</v>
      </c>
      <c r="I1215" s="238" t="s">
        <v>42</v>
      </c>
      <c r="J1215">
        <v>37.11</v>
      </c>
      <c r="K1215" s="238" t="s">
        <v>38</v>
      </c>
      <c r="L1215">
        <v>2684250</v>
      </c>
      <c r="M1215">
        <v>0</v>
      </c>
      <c r="N1215">
        <v>2684250</v>
      </c>
      <c r="O1215">
        <v>72332.255456750208</v>
      </c>
      <c r="P1215">
        <v>0</v>
      </c>
      <c r="Q1215">
        <v>2684250</v>
      </c>
      <c r="R1215">
        <v>72332.255456750208</v>
      </c>
      <c r="S1215" s="238" t="s">
        <v>124</v>
      </c>
      <c r="T1215" s="238" t="s">
        <v>1167</v>
      </c>
      <c r="V1215" t="s">
        <v>1167</v>
      </c>
      <c r="W1215" s="24">
        <v>44781</v>
      </c>
      <c r="X1215" s="238" t="s">
        <v>3269</v>
      </c>
      <c r="Y1215" s="238" t="s">
        <v>3247</v>
      </c>
      <c r="Z1215" s="238" t="s">
        <v>1340</v>
      </c>
      <c r="AA1215" t="s">
        <v>1167</v>
      </c>
      <c r="AB1215" s="238" t="s">
        <v>3246</v>
      </c>
      <c r="AC1215" t="s">
        <v>1167</v>
      </c>
      <c r="AD1215" s="24"/>
      <c r="AE1215" s="238" t="s">
        <v>3248</v>
      </c>
      <c r="AG1215" s="238" t="s">
        <v>1167</v>
      </c>
      <c r="AH1215" s="238" t="s">
        <v>1167</v>
      </c>
      <c r="AI1215" s="238" t="s">
        <v>5050</v>
      </c>
      <c r="AJ1215" s="238" t="s">
        <v>982</v>
      </c>
      <c r="AK1215" s="238" t="s">
        <v>1167</v>
      </c>
      <c r="AL1215" t="s">
        <v>8715</v>
      </c>
      <c r="AM1215" t="s">
        <v>1167</v>
      </c>
    </row>
    <row r="1216" spans="1:39" hidden="1" x14ac:dyDescent="0.25">
      <c r="A1216">
        <v>1212</v>
      </c>
      <c r="B1216">
        <v>156</v>
      </c>
      <c r="C1216" s="24">
        <v>44785</v>
      </c>
      <c r="D1216" s="238" t="s">
        <v>27</v>
      </c>
      <c r="E1216" s="238" t="s">
        <v>16</v>
      </c>
      <c r="F1216">
        <v>7</v>
      </c>
      <c r="G1216">
        <v>6</v>
      </c>
      <c r="H1216">
        <v>430</v>
      </c>
      <c r="I1216" s="238" t="s">
        <v>43</v>
      </c>
      <c r="J1216">
        <v>59.93</v>
      </c>
      <c r="K1216" s="238" t="s">
        <v>38</v>
      </c>
      <c r="L1216">
        <v>4305750</v>
      </c>
      <c r="M1216">
        <v>0</v>
      </c>
      <c r="N1216">
        <v>4305750</v>
      </c>
      <c r="O1216">
        <v>71846.320707492079</v>
      </c>
      <c r="P1216">
        <v>0</v>
      </c>
      <c r="Q1216">
        <v>4305750</v>
      </c>
      <c r="R1216">
        <v>71846.320707492079</v>
      </c>
      <c r="S1216" s="238" t="s">
        <v>124</v>
      </c>
      <c r="T1216" s="238" t="s">
        <v>1167</v>
      </c>
      <c r="V1216" t="s">
        <v>1167</v>
      </c>
      <c r="W1216" s="24">
        <v>44781</v>
      </c>
      <c r="X1216" s="238" t="s">
        <v>3269</v>
      </c>
      <c r="Y1216" s="238" t="s">
        <v>3247</v>
      </c>
      <c r="Z1216" s="238" t="s">
        <v>1340</v>
      </c>
      <c r="AA1216" t="s">
        <v>1167</v>
      </c>
      <c r="AB1216" s="238" t="s">
        <v>3246</v>
      </c>
      <c r="AC1216" t="s">
        <v>1167</v>
      </c>
      <c r="AD1216" s="24"/>
      <c r="AE1216" s="238" t="s">
        <v>3248</v>
      </c>
      <c r="AG1216" s="238" t="s">
        <v>1167</v>
      </c>
      <c r="AH1216" s="238" t="s">
        <v>1167</v>
      </c>
      <c r="AI1216" s="238" t="s">
        <v>5050</v>
      </c>
      <c r="AJ1216" s="238" t="s">
        <v>982</v>
      </c>
      <c r="AK1216" s="238" t="s">
        <v>1167</v>
      </c>
      <c r="AL1216" t="s">
        <v>8715</v>
      </c>
      <c r="AM1216" t="s">
        <v>1167</v>
      </c>
    </row>
    <row r="1217" spans="1:39" hidden="1" x14ac:dyDescent="0.25">
      <c r="A1217">
        <v>1213</v>
      </c>
      <c r="B1217">
        <v>157</v>
      </c>
      <c r="C1217" s="24">
        <v>44785</v>
      </c>
      <c r="D1217" s="238" t="s">
        <v>27</v>
      </c>
      <c r="E1217" s="238" t="s">
        <v>16</v>
      </c>
      <c r="F1217">
        <v>1</v>
      </c>
      <c r="G1217">
        <v>7</v>
      </c>
      <c r="H1217">
        <v>432</v>
      </c>
      <c r="I1217" s="238" t="s">
        <v>44</v>
      </c>
      <c r="J1217">
        <v>82.76</v>
      </c>
      <c r="K1217" s="238" t="s">
        <v>38</v>
      </c>
      <c r="L1217">
        <v>6017250</v>
      </c>
      <c r="M1217">
        <v>0</v>
      </c>
      <c r="N1217">
        <v>6017250</v>
      </c>
      <c r="O1217">
        <v>72707.225712904779</v>
      </c>
      <c r="P1217">
        <v>0</v>
      </c>
      <c r="Q1217">
        <v>6017250</v>
      </c>
      <c r="R1217">
        <v>72707.225712904779</v>
      </c>
      <c r="S1217" s="238" t="s">
        <v>124</v>
      </c>
      <c r="T1217" s="238" t="s">
        <v>1167</v>
      </c>
      <c r="V1217" t="s">
        <v>1167</v>
      </c>
      <c r="W1217" s="24">
        <v>44781</v>
      </c>
      <c r="X1217" s="238" t="s">
        <v>3269</v>
      </c>
      <c r="Y1217" s="238" t="s">
        <v>3247</v>
      </c>
      <c r="Z1217" s="238" t="s">
        <v>1340</v>
      </c>
      <c r="AA1217" t="s">
        <v>1167</v>
      </c>
      <c r="AB1217" s="238" t="s">
        <v>3246</v>
      </c>
      <c r="AC1217" t="s">
        <v>1167</v>
      </c>
      <c r="AD1217" s="24"/>
      <c r="AE1217" s="238" t="s">
        <v>3248</v>
      </c>
      <c r="AG1217" s="238" t="s">
        <v>1167</v>
      </c>
      <c r="AH1217" s="238" t="s">
        <v>1167</v>
      </c>
      <c r="AI1217" s="238" t="s">
        <v>5050</v>
      </c>
      <c r="AJ1217" s="238" t="s">
        <v>982</v>
      </c>
      <c r="AK1217" s="238" t="s">
        <v>1167</v>
      </c>
      <c r="AL1217" t="s">
        <v>8715</v>
      </c>
      <c r="AM1217" t="s">
        <v>1167</v>
      </c>
    </row>
    <row r="1218" spans="1:39" hidden="1" x14ac:dyDescent="0.25">
      <c r="A1218">
        <v>1214</v>
      </c>
      <c r="B1218">
        <v>158</v>
      </c>
      <c r="C1218" s="24">
        <v>44785</v>
      </c>
      <c r="D1218" s="238" t="s">
        <v>27</v>
      </c>
      <c r="E1218" s="238" t="s">
        <v>16</v>
      </c>
      <c r="F1218">
        <v>4</v>
      </c>
      <c r="G1218">
        <v>7</v>
      </c>
      <c r="H1218">
        <v>435</v>
      </c>
      <c r="I1218" s="238" t="s">
        <v>42</v>
      </c>
      <c r="J1218">
        <v>40</v>
      </c>
      <c r="K1218" s="238" t="s">
        <v>38</v>
      </c>
      <c r="L1218">
        <v>2901750</v>
      </c>
      <c r="M1218">
        <v>0</v>
      </c>
      <c r="N1218">
        <v>2901750</v>
      </c>
      <c r="O1218">
        <v>72543.75</v>
      </c>
      <c r="P1218">
        <v>0</v>
      </c>
      <c r="Q1218">
        <v>2901750</v>
      </c>
      <c r="R1218">
        <v>72543.75</v>
      </c>
      <c r="S1218" s="238" t="s">
        <v>124</v>
      </c>
      <c r="T1218" s="238" t="s">
        <v>1167</v>
      </c>
      <c r="V1218" t="s">
        <v>1167</v>
      </c>
      <c r="W1218" s="24">
        <v>44781</v>
      </c>
      <c r="X1218" s="238" t="s">
        <v>3269</v>
      </c>
      <c r="Y1218" s="238" t="s">
        <v>3247</v>
      </c>
      <c r="Z1218" s="238" t="s">
        <v>1340</v>
      </c>
      <c r="AA1218" t="s">
        <v>1167</v>
      </c>
      <c r="AB1218" s="238" t="s">
        <v>3246</v>
      </c>
      <c r="AC1218" t="s">
        <v>1167</v>
      </c>
      <c r="AD1218" s="24"/>
      <c r="AE1218" s="238" t="s">
        <v>3248</v>
      </c>
      <c r="AG1218" s="238" t="s">
        <v>1167</v>
      </c>
      <c r="AH1218" s="238" t="s">
        <v>1167</v>
      </c>
      <c r="AI1218" s="238" t="s">
        <v>5050</v>
      </c>
      <c r="AJ1218" s="238" t="s">
        <v>982</v>
      </c>
      <c r="AK1218" s="238" t="s">
        <v>1167</v>
      </c>
      <c r="AL1218" t="s">
        <v>8715</v>
      </c>
      <c r="AM1218" t="s">
        <v>1167</v>
      </c>
    </row>
    <row r="1219" spans="1:39" hidden="1" x14ac:dyDescent="0.25">
      <c r="A1219">
        <v>1215</v>
      </c>
      <c r="B1219">
        <v>159</v>
      </c>
      <c r="C1219" s="24">
        <v>44785</v>
      </c>
      <c r="D1219" s="238" t="s">
        <v>27</v>
      </c>
      <c r="E1219" s="238" t="s">
        <v>16</v>
      </c>
      <c r="F1219">
        <v>6</v>
      </c>
      <c r="G1219">
        <v>7</v>
      </c>
      <c r="H1219">
        <v>437</v>
      </c>
      <c r="I1219" s="238" t="s">
        <v>42</v>
      </c>
      <c r="J1219">
        <v>37.11</v>
      </c>
      <c r="K1219" s="238" t="s">
        <v>38</v>
      </c>
      <c r="L1219">
        <v>2684250</v>
      </c>
      <c r="M1219">
        <v>0</v>
      </c>
      <c r="N1219">
        <v>2684250</v>
      </c>
      <c r="O1219">
        <v>72332.255456750208</v>
      </c>
      <c r="P1219">
        <v>0</v>
      </c>
      <c r="Q1219">
        <v>2684250</v>
      </c>
      <c r="R1219">
        <v>72332.255456750208</v>
      </c>
      <c r="S1219" s="238" t="s">
        <v>124</v>
      </c>
      <c r="T1219" s="238" t="s">
        <v>1167</v>
      </c>
      <c r="V1219" t="s">
        <v>1167</v>
      </c>
      <c r="W1219" s="24">
        <v>44781</v>
      </c>
      <c r="X1219" s="238" t="s">
        <v>3269</v>
      </c>
      <c r="Y1219" s="238" t="s">
        <v>3247</v>
      </c>
      <c r="Z1219" s="238" t="s">
        <v>1340</v>
      </c>
      <c r="AA1219" t="s">
        <v>1167</v>
      </c>
      <c r="AB1219" s="238" t="s">
        <v>3246</v>
      </c>
      <c r="AC1219" t="s">
        <v>1167</v>
      </c>
      <c r="AD1219" s="24"/>
      <c r="AE1219" s="238" t="s">
        <v>3248</v>
      </c>
      <c r="AG1219" s="238" t="s">
        <v>1167</v>
      </c>
      <c r="AH1219" s="238" t="s">
        <v>1167</v>
      </c>
      <c r="AI1219" s="238" t="s">
        <v>5050</v>
      </c>
      <c r="AJ1219" s="238" t="s">
        <v>982</v>
      </c>
      <c r="AK1219" s="238" t="s">
        <v>1167</v>
      </c>
      <c r="AL1219" t="s">
        <v>8715</v>
      </c>
      <c r="AM1219" t="s">
        <v>1167</v>
      </c>
    </row>
    <row r="1220" spans="1:39" hidden="1" x14ac:dyDescent="0.25">
      <c r="A1220">
        <v>1216</v>
      </c>
      <c r="B1220">
        <v>160</v>
      </c>
      <c r="C1220" s="24">
        <v>44785</v>
      </c>
      <c r="D1220" s="238" t="s">
        <v>27</v>
      </c>
      <c r="E1220" s="238" t="s">
        <v>16</v>
      </c>
      <c r="F1220">
        <v>7</v>
      </c>
      <c r="G1220">
        <v>7</v>
      </c>
      <c r="H1220">
        <v>438</v>
      </c>
      <c r="I1220" s="238" t="s">
        <v>43</v>
      </c>
      <c r="J1220">
        <v>59.93</v>
      </c>
      <c r="K1220" s="238" t="s">
        <v>38</v>
      </c>
      <c r="L1220">
        <v>4305750</v>
      </c>
      <c r="M1220">
        <v>0</v>
      </c>
      <c r="N1220">
        <v>4305750</v>
      </c>
      <c r="O1220">
        <v>71846.320707492079</v>
      </c>
      <c r="P1220">
        <v>0</v>
      </c>
      <c r="Q1220">
        <v>4305750</v>
      </c>
      <c r="R1220">
        <v>71846.320707492079</v>
      </c>
      <c r="S1220" s="238" t="s">
        <v>124</v>
      </c>
      <c r="T1220" s="238" t="s">
        <v>1167</v>
      </c>
      <c r="V1220" t="s">
        <v>1167</v>
      </c>
      <c r="W1220" s="24">
        <v>44781</v>
      </c>
      <c r="X1220" s="238" t="s">
        <v>3269</v>
      </c>
      <c r="Y1220" s="238" t="s">
        <v>3247</v>
      </c>
      <c r="Z1220" s="238" t="s">
        <v>1340</v>
      </c>
      <c r="AA1220" t="s">
        <v>1167</v>
      </c>
      <c r="AB1220" s="238" t="s">
        <v>3246</v>
      </c>
      <c r="AC1220" t="s">
        <v>1167</v>
      </c>
      <c r="AD1220" s="24"/>
      <c r="AE1220" s="238" t="s">
        <v>3248</v>
      </c>
      <c r="AG1220" s="238" t="s">
        <v>1167</v>
      </c>
      <c r="AH1220" s="238" t="s">
        <v>1167</v>
      </c>
      <c r="AI1220" s="238" t="s">
        <v>5050</v>
      </c>
      <c r="AJ1220" s="238" t="s">
        <v>982</v>
      </c>
      <c r="AK1220" s="238" t="s">
        <v>1167</v>
      </c>
      <c r="AL1220" t="s">
        <v>8715</v>
      </c>
      <c r="AM1220" t="s">
        <v>1167</v>
      </c>
    </row>
    <row r="1221" spans="1:39" hidden="1" x14ac:dyDescent="0.25">
      <c r="A1221">
        <v>1217</v>
      </c>
      <c r="B1221">
        <v>161</v>
      </c>
      <c r="C1221" s="24">
        <v>44785</v>
      </c>
      <c r="D1221" s="238" t="s">
        <v>27</v>
      </c>
      <c r="E1221" s="238" t="s">
        <v>16</v>
      </c>
      <c r="F1221">
        <v>8</v>
      </c>
      <c r="G1221">
        <v>7</v>
      </c>
      <c r="H1221">
        <v>439</v>
      </c>
      <c r="I1221" s="238" t="s">
        <v>43</v>
      </c>
      <c r="J1221">
        <v>55.8</v>
      </c>
      <c r="K1221" s="238" t="s">
        <v>38</v>
      </c>
      <c r="L1221">
        <v>4097250</v>
      </c>
      <c r="M1221">
        <v>0</v>
      </c>
      <c r="N1221">
        <v>4097250</v>
      </c>
      <c r="O1221">
        <v>73427.419354838712</v>
      </c>
      <c r="P1221">
        <v>0</v>
      </c>
      <c r="Q1221">
        <v>4097250</v>
      </c>
      <c r="R1221">
        <v>73427.419354838712</v>
      </c>
      <c r="S1221" s="238" t="s">
        <v>124</v>
      </c>
      <c r="T1221" s="238" t="s">
        <v>1167</v>
      </c>
      <c r="V1221" t="s">
        <v>1167</v>
      </c>
      <c r="W1221" s="24">
        <v>44781</v>
      </c>
      <c r="X1221" s="238" t="s">
        <v>3270</v>
      </c>
      <c r="Y1221" s="238" t="s">
        <v>3247</v>
      </c>
      <c r="Z1221" s="238" t="s">
        <v>1340</v>
      </c>
      <c r="AA1221" t="s">
        <v>1167</v>
      </c>
      <c r="AB1221" s="238" t="s">
        <v>3246</v>
      </c>
      <c r="AC1221" t="s">
        <v>1167</v>
      </c>
      <c r="AD1221" s="24"/>
      <c r="AE1221" s="238" t="s">
        <v>3248</v>
      </c>
      <c r="AG1221" s="238" t="s">
        <v>1167</v>
      </c>
      <c r="AH1221" s="238" t="s">
        <v>1167</v>
      </c>
      <c r="AI1221" s="238" t="s">
        <v>5050</v>
      </c>
      <c r="AJ1221" s="238" t="s">
        <v>982</v>
      </c>
      <c r="AK1221" s="238" t="s">
        <v>1167</v>
      </c>
      <c r="AL1221" t="s">
        <v>8715</v>
      </c>
      <c r="AM1221" t="s">
        <v>1167</v>
      </c>
    </row>
    <row r="1222" spans="1:39" hidden="1" x14ac:dyDescent="0.25">
      <c r="A1222">
        <v>1218</v>
      </c>
      <c r="B1222">
        <v>162</v>
      </c>
      <c r="C1222" s="24">
        <v>44785</v>
      </c>
      <c r="D1222" s="238" t="s">
        <v>27</v>
      </c>
      <c r="E1222" s="238" t="s">
        <v>16</v>
      </c>
      <c r="F1222">
        <v>1</v>
      </c>
      <c r="G1222">
        <v>8</v>
      </c>
      <c r="H1222">
        <v>440</v>
      </c>
      <c r="I1222" s="238" t="s">
        <v>44</v>
      </c>
      <c r="J1222">
        <v>82.76</v>
      </c>
      <c r="K1222" s="238" t="s">
        <v>38</v>
      </c>
      <c r="L1222">
        <v>6017250</v>
      </c>
      <c r="M1222">
        <v>0</v>
      </c>
      <c r="N1222">
        <v>6017250</v>
      </c>
      <c r="O1222">
        <v>72707.225712904779</v>
      </c>
      <c r="P1222">
        <v>0</v>
      </c>
      <c r="Q1222">
        <v>6017250</v>
      </c>
      <c r="R1222">
        <v>72707.225712904779</v>
      </c>
      <c r="S1222" s="238" t="s">
        <v>124</v>
      </c>
      <c r="T1222" s="238" t="s">
        <v>1167</v>
      </c>
      <c r="V1222" t="s">
        <v>1167</v>
      </c>
      <c r="W1222" s="24">
        <v>44781</v>
      </c>
      <c r="X1222" s="238" t="s">
        <v>3270</v>
      </c>
      <c r="Y1222" s="238" t="s">
        <v>3247</v>
      </c>
      <c r="Z1222" s="238" t="s">
        <v>1340</v>
      </c>
      <c r="AA1222" t="s">
        <v>1167</v>
      </c>
      <c r="AB1222" s="238" t="s">
        <v>3246</v>
      </c>
      <c r="AC1222" t="s">
        <v>1167</v>
      </c>
      <c r="AD1222" s="24"/>
      <c r="AE1222" s="238" t="s">
        <v>3248</v>
      </c>
      <c r="AG1222" s="238" t="s">
        <v>1167</v>
      </c>
      <c r="AH1222" s="238" t="s">
        <v>1167</v>
      </c>
      <c r="AI1222" s="238" t="s">
        <v>5050</v>
      </c>
      <c r="AJ1222" s="238" t="s">
        <v>982</v>
      </c>
      <c r="AK1222" s="238" t="s">
        <v>1167</v>
      </c>
      <c r="AL1222" t="s">
        <v>8715</v>
      </c>
      <c r="AM1222" t="s">
        <v>1167</v>
      </c>
    </row>
    <row r="1223" spans="1:39" hidden="1" x14ac:dyDescent="0.25">
      <c r="A1223">
        <v>1219</v>
      </c>
      <c r="B1223">
        <v>163</v>
      </c>
      <c r="C1223" s="24">
        <v>44785</v>
      </c>
      <c r="D1223" s="238" t="s">
        <v>27</v>
      </c>
      <c r="E1223" s="238" t="s">
        <v>16</v>
      </c>
      <c r="F1223">
        <v>1</v>
      </c>
      <c r="G1223">
        <v>9</v>
      </c>
      <c r="H1223">
        <v>448</v>
      </c>
      <c r="I1223" s="238" t="s">
        <v>44</v>
      </c>
      <c r="J1223">
        <v>82.76</v>
      </c>
      <c r="K1223" s="238" t="s">
        <v>38</v>
      </c>
      <c r="L1223">
        <v>6017250</v>
      </c>
      <c r="M1223">
        <v>0</v>
      </c>
      <c r="N1223">
        <v>6017250</v>
      </c>
      <c r="O1223">
        <v>72707.225712904779</v>
      </c>
      <c r="P1223">
        <v>0</v>
      </c>
      <c r="Q1223">
        <v>6017250</v>
      </c>
      <c r="R1223">
        <v>72707.225712904779</v>
      </c>
      <c r="S1223" s="238" t="s">
        <v>124</v>
      </c>
      <c r="T1223" s="238" t="s">
        <v>1167</v>
      </c>
      <c r="V1223" t="s">
        <v>1167</v>
      </c>
      <c r="W1223" s="24">
        <v>44781</v>
      </c>
      <c r="X1223" s="238" t="s">
        <v>3270</v>
      </c>
      <c r="Y1223" s="238" t="s">
        <v>3247</v>
      </c>
      <c r="Z1223" s="238" t="s">
        <v>1340</v>
      </c>
      <c r="AA1223" t="s">
        <v>1167</v>
      </c>
      <c r="AB1223" s="238" t="s">
        <v>3246</v>
      </c>
      <c r="AC1223" t="s">
        <v>1167</v>
      </c>
      <c r="AD1223" s="24"/>
      <c r="AE1223" s="238" t="s">
        <v>3248</v>
      </c>
      <c r="AG1223" s="238" t="s">
        <v>1167</v>
      </c>
      <c r="AH1223" s="238" t="s">
        <v>1167</v>
      </c>
      <c r="AI1223" s="238" t="s">
        <v>5050</v>
      </c>
      <c r="AJ1223" s="238" t="s">
        <v>982</v>
      </c>
      <c r="AK1223" s="238" t="s">
        <v>1167</v>
      </c>
      <c r="AL1223" t="s">
        <v>8715</v>
      </c>
      <c r="AM1223" t="s">
        <v>1167</v>
      </c>
    </row>
    <row r="1224" spans="1:39" hidden="1" x14ac:dyDescent="0.25">
      <c r="A1224">
        <v>1220</v>
      </c>
      <c r="B1224">
        <v>164</v>
      </c>
      <c r="C1224" s="24">
        <v>44785</v>
      </c>
      <c r="D1224" s="238" t="s">
        <v>27</v>
      </c>
      <c r="E1224" s="238" t="s">
        <v>16</v>
      </c>
      <c r="F1224">
        <v>4</v>
      </c>
      <c r="G1224">
        <v>9</v>
      </c>
      <c r="H1224">
        <v>451</v>
      </c>
      <c r="I1224" s="238" t="s">
        <v>42</v>
      </c>
      <c r="J1224">
        <v>40</v>
      </c>
      <c r="K1224" s="238" t="s">
        <v>38</v>
      </c>
      <c r="L1224">
        <v>2901750</v>
      </c>
      <c r="M1224">
        <v>0</v>
      </c>
      <c r="N1224">
        <v>2901750</v>
      </c>
      <c r="O1224">
        <v>72543.75</v>
      </c>
      <c r="P1224">
        <v>0</v>
      </c>
      <c r="Q1224">
        <v>2901750</v>
      </c>
      <c r="R1224">
        <v>72543.75</v>
      </c>
      <c r="S1224" s="238" t="s">
        <v>124</v>
      </c>
      <c r="T1224" s="238" t="s">
        <v>1167</v>
      </c>
      <c r="V1224" t="s">
        <v>1167</v>
      </c>
      <c r="W1224" s="24">
        <v>44781</v>
      </c>
      <c r="X1224" s="238" t="s">
        <v>3270</v>
      </c>
      <c r="Y1224" s="238" t="s">
        <v>3247</v>
      </c>
      <c r="Z1224" s="238" t="s">
        <v>1340</v>
      </c>
      <c r="AA1224" t="s">
        <v>1167</v>
      </c>
      <c r="AB1224" s="238" t="s">
        <v>3246</v>
      </c>
      <c r="AC1224" t="s">
        <v>1167</v>
      </c>
      <c r="AD1224" s="24"/>
      <c r="AE1224" s="238" t="s">
        <v>3248</v>
      </c>
      <c r="AG1224" s="238" t="s">
        <v>1167</v>
      </c>
      <c r="AH1224" s="238" t="s">
        <v>1167</v>
      </c>
      <c r="AI1224" s="238" t="s">
        <v>5050</v>
      </c>
      <c r="AJ1224" s="238" t="s">
        <v>982</v>
      </c>
      <c r="AK1224" s="238" t="s">
        <v>1167</v>
      </c>
      <c r="AL1224" t="s">
        <v>8715</v>
      </c>
      <c r="AM1224" t="s">
        <v>1167</v>
      </c>
    </row>
    <row r="1225" spans="1:39" hidden="1" x14ac:dyDescent="0.25">
      <c r="A1225">
        <v>1221</v>
      </c>
      <c r="B1225">
        <v>165</v>
      </c>
      <c r="C1225" s="24">
        <v>44785</v>
      </c>
      <c r="D1225" s="238" t="s">
        <v>27</v>
      </c>
      <c r="E1225" s="238" t="s">
        <v>16</v>
      </c>
      <c r="F1225">
        <v>7</v>
      </c>
      <c r="G1225">
        <v>9</v>
      </c>
      <c r="H1225">
        <v>454</v>
      </c>
      <c r="I1225" s="238" t="s">
        <v>43</v>
      </c>
      <c r="J1225">
        <v>59.93</v>
      </c>
      <c r="K1225" s="238" t="s">
        <v>38</v>
      </c>
      <c r="L1225">
        <v>4305750</v>
      </c>
      <c r="M1225">
        <v>0</v>
      </c>
      <c r="N1225">
        <v>4305750</v>
      </c>
      <c r="O1225">
        <v>71846.320707492079</v>
      </c>
      <c r="P1225">
        <v>0</v>
      </c>
      <c r="Q1225">
        <v>4305750</v>
      </c>
      <c r="R1225">
        <v>71846.320707492079</v>
      </c>
      <c r="S1225" s="238" t="s">
        <v>124</v>
      </c>
      <c r="T1225" s="238" t="s">
        <v>1167</v>
      </c>
      <c r="V1225" t="s">
        <v>1167</v>
      </c>
      <c r="W1225" s="24">
        <v>44781</v>
      </c>
      <c r="X1225" s="238" t="s">
        <v>3270</v>
      </c>
      <c r="Y1225" s="238" t="s">
        <v>3247</v>
      </c>
      <c r="Z1225" s="238" t="s">
        <v>1340</v>
      </c>
      <c r="AA1225" t="s">
        <v>1167</v>
      </c>
      <c r="AB1225" s="238" t="s">
        <v>3246</v>
      </c>
      <c r="AC1225" t="s">
        <v>1167</v>
      </c>
      <c r="AD1225" s="24"/>
      <c r="AE1225" s="238" t="s">
        <v>3248</v>
      </c>
      <c r="AG1225" s="238" t="s">
        <v>1167</v>
      </c>
      <c r="AH1225" s="238" t="s">
        <v>1167</v>
      </c>
      <c r="AI1225" s="238" t="s">
        <v>5050</v>
      </c>
      <c r="AJ1225" s="238" t="s">
        <v>982</v>
      </c>
      <c r="AK1225" s="238" t="s">
        <v>1167</v>
      </c>
      <c r="AL1225" t="s">
        <v>8715</v>
      </c>
      <c r="AM1225" t="s">
        <v>1167</v>
      </c>
    </row>
    <row r="1226" spans="1:39" hidden="1" x14ac:dyDescent="0.25">
      <c r="A1226">
        <v>1222</v>
      </c>
      <c r="B1226">
        <v>166</v>
      </c>
      <c r="C1226" s="24">
        <v>44785</v>
      </c>
      <c r="D1226" s="238" t="s">
        <v>27</v>
      </c>
      <c r="E1226" s="238" t="s">
        <v>16</v>
      </c>
      <c r="F1226">
        <v>1</v>
      </c>
      <c r="G1226">
        <v>10</v>
      </c>
      <c r="H1226">
        <v>456</v>
      </c>
      <c r="I1226" s="238" t="s">
        <v>44</v>
      </c>
      <c r="J1226">
        <v>82.76</v>
      </c>
      <c r="K1226" s="238" t="s">
        <v>38</v>
      </c>
      <c r="L1226">
        <v>6017250</v>
      </c>
      <c r="M1226">
        <v>0</v>
      </c>
      <c r="N1226">
        <v>6017250</v>
      </c>
      <c r="O1226">
        <v>72707.225712904779</v>
      </c>
      <c r="P1226">
        <v>0</v>
      </c>
      <c r="Q1226">
        <v>6017250</v>
      </c>
      <c r="R1226">
        <v>72707.225712904779</v>
      </c>
      <c r="S1226" s="238" t="s">
        <v>124</v>
      </c>
      <c r="T1226" s="238" t="s">
        <v>1167</v>
      </c>
      <c r="V1226" t="s">
        <v>1167</v>
      </c>
      <c r="W1226" s="24">
        <v>44781</v>
      </c>
      <c r="X1226" s="238" t="s">
        <v>3270</v>
      </c>
      <c r="Y1226" s="238" t="s">
        <v>3247</v>
      </c>
      <c r="Z1226" s="238" t="s">
        <v>1340</v>
      </c>
      <c r="AA1226" t="s">
        <v>1167</v>
      </c>
      <c r="AB1226" s="238" t="s">
        <v>3246</v>
      </c>
      <c r="AC1226" t="s">
        <v>1167</v>
      </c>
      <c r="AD1226" s="24"/>
      <c r="AE1226" s="238" t="s">
        <v>3248</v>
      </c>
      <c r="AG1226" s="238" t="s">
        <v>1167</v>
      </c>
      <c r="AH1226" s="238" t="s">
        <v>1167</v>
      </c>
      <c r="AI1226" s="238" t="s">
        <v>5050</v>
      </c>
      <c r="AJ1226" s="238" t="s">
        <v>982</v>
      </c>
      <c r="AK1226" s="238" t="s">
        <v>1167</v>
      </c>
      <c r="AL1226" t="s">
        <v>8715</v>
      </c>
      <c r="AM1226" t="s">
        <v>1167</v>
      </c>
    </row>
    <row r="1227" spans="1:39" hidden="1" x14ac:dyDescent="0.25">
      <c r="A1227">
        <v>1223</v>
      </c>
      <c r="B1227">
        <v>167</v>
      </c>
      <c r="C1227" s="24">
        <v>44785</v>
      </c>
      <c r="D1227" s="238" t="s">
        <v>27</v>
      </c>
      <c r="E1227" s="238" t="s">
        <v>16</v>
      </c>
      <c r="F1227">
        <v>6</v>
      </c>
      <c r="G1227">
        <v>10</v>
      </c>
      <c r="H1227">
        <v>461</v>
      </c>
      <c r="I1227" s="238" t="s">
        <v>42</v>
      </c>
      <c r="J1227">
        <v>37.11</v>
      </c>
      <c r="K1227" s="238" t="s">
        <v>38</v>
      </c>
      <c r="L1227">
        <v>2684250</v>
      </c>
      <c r="M1227">
        <v>0</v>
      </c>
      <c r="N1227">
        <v>2684250</v>
      </c>
      <c r="O1227">
        <v>72332.255456750208</v>
      </c>
      <c r="P1227">
        <v>0</v>
      </c>
      <c r="Q1227">
        <v>2684250</v>
      </c>
      <c r="R1227">
        <v>72332.255456750208</v>
      </c>
      <c r="S1227" s="238" t="s">
        <v>124</v>
      </c>
      <c r="T1227" s="238" t="s">
        <v>1167</v>
      </c>
      <c r="V1227" t="s">
        <v>1167</v>
      </c>
      <c r="W1227" s="24">
        <v>44781</v>
      </c>
      <c r="X1227" s="238" t="s">
        <v>3270</v>
      </c>
      <c r="Y1227" s="238" t="s">
        <v>3247</v>
      </c>
      <c r="Z1227" s="238" t="s">
        <v>1340</v>
      </c>
      <c r="AA1227" t="s">
        <v>1167</v>
      </c>
      <c r="AB1227" s="238" t="s">
        <v>3246</v>
      </c>
      <c r="AC1227" t="s">
        <v>1167</v>
      </c>
      <c r="AD1227" s="24"/>
      <c r="AE1227" s="238" t="s">
        <v>3248</v>
      </c>
      <c r="AG1227" s="238" t="s">
        <v>1167</v>
      </c>
      <c r="AH1227" s="238" t="s">
        <v>1167</v>
      </c>
      <c r="AI1227" s="238" t="s">
        <v>5050</v>
      </c>
      <c r="AJ1227" s="238" t="s">
        <v>982</v>
      </c>
      <c r="AK1227" s="238" t="s">
        <v>1167</v>
      </c>
      <c r="AL1227" t="s">
        <v>8715</v>
      </c>
      <c r="AM1227" t="s">
        <v>1167</v>
      </c>
    </row>
    <row r="1228" spans="1:39" hidden="1" x14ac:dyDescent="0.25">
      <c r="A1228">
        <v>1224</v>
      </c>
      <c r="B1228">
        <v>168</v>
      </c>
      <c r="C1228" s="24">
        <v>44785</v>
      </c>
      <c r="D1228" s="238" t="s">
        <v>27</v>
      </c>
      <c r="E1228" s="238" t="s">
        <v>16</v>
      </c>
      <c r="F1228">
        <v>7</v>
      </c>
      <c r="G1228">
        <v>10</v>
      </c>
      <c r="H1228">
        <v>462</v>
      </c>
      <c r="I1228" s="238" t="s">
        <v>43</v>
      </c>
      <c r="J1228">
        <v>59.93</v>
      </c>
      <c r="K1228" s="238" t="s">
        <v>38</v>
      </c>
      <c r="L1228">
        <v>4305750</v>
      </c>
      <c r="M1228">
        <v>0</v>
      </c>
      <c r="N1228">
        <v>4305750</v>
      </c>
      <c r="O1228">
        <v>71846.320707492079</v>
      </c>
      <c r="P1228">
        <v>0</v>
      </c>
      <c r="Q1228">
        <v>4305750</v>
      </c>
      <c r="R1228">
        <v>71846.320707492079</v>
      </c>
      <c r="S1228" s="238" t="s">
        <v>124</v>
      </c>
      <c r="T1228" s="238" t="s">
        <v>1167</v>
      </c>
      <c r="V1228" t="s">
        <v>1167</v>
      </c>
      <c r="W1228" s="24">
        <v>44781</v>
      </c>
      <c r="X1228" s="238" t="s">
        <v>3270</v>
      </c>
      <c r="Y1228" s="238" t="s">
        <v>3247</v>
      </c>
      <c r="Z1228" s="238" t="s">
        <v>1340</v>
      </c>
      <c r="AA1228" t="s">
        <v>1167</v>
      </c>
      <c r="AB1228" s="238" t="s">
        <v>3246</v>
      </c>
      <c r="AC1228" t="s">
        <v>1167</v>
      </c>
      <c r="AD1228" s="24"/>
      <c r="AE1228" s="238" t="s">
        <v>3248</v>
      </c>
      <c r="AG1228" s="238" t="s">
        <v>1167</v>
      </c>
      <c r="AH1228" s="238" t="s">
        <v>1167</v>
      </c>
      <c r="AI1228" s="238" t="s">
        <v>5050</v>
      </c>
      <c r="AJ1228" s="238" t="s">
        <v>982</v>
      </c>
      <c r="AK1228" s="238" t="s">
        <v>1167</v>
      </c>
      <c r="AL1228" t="s">
        <v>8715</v>
      </c>
      <c r="AM1228" t="s">
        <v>1167</v>
      </c>
    </row>
    <row r="1229" spans="1:39" hidden="1" x14ac:dyDescent="0.25">
      <c r="A1229">
        <v>1225</v>
      </c>
      <c r="B1229">
        <v>169</v>
      </c>
      <c r="C1229" s="24">
        <v>44785</v>
      </c>
      <c r="D1229" s="238" t="s">
        <v>27</v>
      </c>
      <c r="E1229" s="238" t="s">
        <v>16</v>
      </c>
      <c r="F1229">
        <v>8</v>
      </c>
      <c r="G1229">
        <v>10</v>
      </c>
      <c r="H1229">
        <v>463</v>
      </c>
      <c r="I1229" s="238" t="s">
        <v>43</v>
      </c>
      <c r="J1229">
        <v>55.8</v>
      </c>
      <c r="K1229" s="238" t="s">
        <v>38</v>
      </c>
      <c r="L1229">
        <v>4097250</v>
      </c>
      <c r="M1229">
        <v>0</v>
      </c>
      <c r="N1229">
        <v>4097250</v>
      </c>
      <c r="O1229">
        <v>73427.419354838712</v>
      </c>
      <c r="P1229">
        <v>0</v>
      </c>
      <c r="Q1229">
        <v>4097250</v>
      </c>
      <c r="R1229">
        <v>73427.419354838712</v>
      </c>
      <c r="S1229" s="238" t="s">
        <v>124</v>
      </c>
      <c r="T1229" s="238" t="s">
        <v>1167</v>
      </c>
      <c r="V1229" t="s">
        <v>1167</v>
      </c>
      <c r="W1229" s="24">
        <v>44781</v>
      </c>
      <c r="X1229" s="238" t="s">
        <v>3270</v>
      </c>
      <c r="Y1229" s="238" t="s">
        <v>3247</v>
      </c>
      <c r="Z1229" s="238" t="s">
        <v>1340</v>
      </c>
      <c r="AA1229" t="s">
        <v>1167</v>
      </c>
      <c r="AB1229" s="238" t="s">
        <v>3246</v>
      </c>
      <c r="AC1229" t="s">
        <v>1167</v>
      </c>
      <c r="AD1229" s="24"/>
      <c r="AE1229" s="238" t="s">
        <v>3248</v>
      </c>
      <c r="AG1229" s="238" t="s">
        <v>1167</v>
      </c>
      <c r="AH1229" s="238" t="s">
        <v>1167</v>
      </c>
      <c r="AI1229" s="238" t="s">
        <v>5050</v>
      </c>
      <c r="AJ1229" s="238" t="s">
        <v>982</v>
      </c>
      <c r="AK1229" s="238" t="s">
        <v>1167</v>
      </c>
      <c r="AL1229" t="s">
        <v>8715</v>
      </c>
      <c r="AM1229" t="s">
        <v>1167</v>
      </c>
    </row>
    <row r="1230" spans="1:39" hidden="1" x14ac:dyDescent="0.25">
      <c r="A1230">
        <v>1226</v>
      </c>
      <c r="B1230">
        <v>170</v>
      </c>
      <c r="C1230" s="24">
        <v>44785</v>
      </c>
      <c r="D1230" s="238" t="s">
        <v>27</v>
      </c>
      <c r="E1230" s="238" t="s">
        <v>16</v>
      </c>
      <c r="F1230">
        <v>1</v>
      </c>
      <c r="G1230">
        <v>11</v>
      </c>
      <c r="H1230">
        <v>464</v>
      </c>
      <c r="I1230" s="238" t="s">
        <v>44</v>
      </c>
      <c r="J1230">
        <v>82.76</v>
      </c>
      <c r="K1230" s="238" t="s">
        <v>38</v>
      </c>
      <c r="L1230">
        <v>6017250</v>
      </c>
      <c r="M1230">
        <v>0</v>
      </c>
      <c r="N1230">
        <v>6017250</v>
      </c>
      <c r="O1230">
        <v>72707.225712904779</v>
      </c>
      <c r="P1230">
        <v>0</v>
      </c>
      <c r="Q1230">
        <v>6017250</v>
      </c>
      <c r="R1230">
        <v>72707.225712904779</v>
      </c>
      <c r="S1230" s="238" t="s">
        <v>124</v>
      </c>
      <c r="T1230" s="238" t="s">
        <v>1167</v>
      </c>
      <c r="V1230" t="s">
        <v>1167</v>
      </c>
      <c r="W1230" s="24">
        <v>44781</v>
      </c>
      <c r="X1230" s="238" t="s">
        <v>3270</v>
      </c>
      <c r="Y1230" s="238" t="s">
        <v>3247</v>
      </c>
      <c r="Z1230" s="238" t="s">
        <v>1340</v>
      </c>
      <c r="AA1230" t="s">
        <v>1167</v>
      </c>
      <c r="AB1230" s="238" t="s">
        <v>3246</v>
      </c>
      <c r="AC1230" t="s">
        <v>1167</v>
      </c>
      <c r="AD1230" s="24"/>
      <c r="AE1230" s="238" t="s">
        <v>3248</v>
      </c>
      <c r="AG1230" s="238" t="s">
        <v>1167</v>
      </c>
      <c r="AH1230" s="238" t="s">
        <v>1167</v>
      </c>
      <c r="AI1230" s="238" t="s">
        <v>5050</v>
      </c>
      <c r="AJ1230" s="238" t="s">
        <v>982</v>
      </c>
      <c r="AK1230" s="238" t="s">
        <v>1167</v>
      </c>
      <c r="AL1230" t="s">
        <v>8715</v>
      </c>
      <c r="AM1230" t="s">
        <v>1167</v>
      </c>
    </row>
    <row r="1231" spans="1:39" hidden="1" x14ac:dyDescent="0.25">
      <c r="A1231">
        <v>1227</v>
      </c>
      <c r="B1231">
        <v>171</v>
      </c>
      <c r="C1231" s="24">
        <v>44785</v>
      </c>
      <c r="D1231" s="238" t="s">
        <v>27</v>
      </c>
      <c r="E1231" s="238" t="s">
        <v>16</v>
      </c>
      <c r="F1231">
        <v>1</v>
      </c>
      <c r="G1231">
        <v>12</v>
      </c>
      <c r="H1231">
        <v>472</v>
      </c>
      <c r="I1231" s="238" t="s">
        <v>44</v>
      </c>
      <c r="J1231">
        <v>82.76</v>
      </c>
      <c r="K1231" s="238" t="s">
        <v>38</v>
      </c>
      <c r="L1231">
        <v>6017250</v>
      </c>
      <c r="M1231">
        <v>0</v>
      </c>
      <c r="N1231">
        <v>6017250</v>
      </c>
      <c r="O1231">
        <v>72707.225712904779</v>
      </c>
      <c r="P1231">
        <v>0</v>
      </c>
      <c r="Q1231">
        <v>6017250</v>
      </c>
      <c r="R1231">
        <v>72707.225712904779</v>
      </c>
      <c r="S1231" s="238" t="s">
        <v>124</v>
      </c>
      <c r="T1231" s="238" t="s">
        <v>1167</v>
      </c>
      <c r="V1231" t="s">
        <v>1167</v>
      </c>
      <c r="W1231" s="24">
        <v>44781</v>
      </c>
      <c r="X1231" s="238" t="s">
        <v>3271</v>
      </c>
      <c r="Y1231" s="238" t="s">
        <v>3247</v>
      </c>
      <c r="Z1231" s="238" t="s">
        <v>1340</v>
      </c>
      <c r="AA1231" t="s">
        <v>1167</v>
      </c>
      <c r="AB1231" s="238" t="s">
        <v>3246</v>
      </c>
      <c r="AC1231" t="s">
        <v>1167</v>
      </c>
      <c r="AD1231" s="24"/>
      <c r="AE1231" s="238" t="s">
        <v>3248</v>
      </c>
      <c r="AG1231" s="238" t="s">
        <v>1167</v>
      </c>
      <c r="AH1231" s="238" t="s">
        <v>1167</v>
      </c>
      <c r="AI1231" s="238" t="s">
        <v>5050</v>
      </c>
      <c r="AJ1231" s="238" t="s">
        <v>982</v>
      </c>
      <c r="AK1231" s="238" t="s">
        <v>1167</v>
      </c>
      <c r="AL1231" t="s">
        <v>8715</v>
      </c>
      <c r="AM1231" t="s">
        <v>1167</v>
      </c>
    </row>
    <row r="1232" spans="1:39" hidden="1" x14ac:dyDescent="0.25">
      <c r="A1232">
        <v>1228</v>
      </c>
      <c r="B1232">
        <v>172</v>
      </c>
      <c r="C1232" s="24">
        <v>44785</v>
      </c>
      <c r="D1232" s="238" t="s">
        <v>27</v>
      </c>
      <c r="E1232" s="238" t="s">
        <v>16</v>
      </c>
      <c r="F1232">
        <v>4</v>
      </c>
      <c r="G1232">
        <v>12</v>
      </c>
      <c r="H1232">
        <v>475</v>
      </c>
      <c r="I1232" s="238" t="s">
        <v>42</v>
      </c>
      <c r="J1232">
        <v>40</v>
      </c>
      <c r="K1232" s="238" t="s">
        <v>38</v>
      </c>
      <c r="L1232">
        <v>2901750</v>
      </c>
      <c r="M1232">
        <v>0</v>
      </c>
      <c r="N1232">
        <v>2901750</v>
      </c>
      <c r="O1232">
        <v>72543.75</v>
      </c>
      <c r="P1232">
        <v>0</v>
      </c>
      <c r="Q1232">
        <v>2901750</v>
      </c>
      <c r="R1232">
        <v>72543.75</v>
      </c>
      <c r="S1232" s="238" t="s">
        <v>124</v>
      </c>
      <c r="T1232" s="238" t="s">
        <v>1167</v>
      </c>
      <c r="V1232" t="s">
        <v>1167</v>
      </c>
      <c r="W1232" s="24">
        <v>44781</v>
      </c>
      <c r="X1232" s="238" t="s">
        <v>3271</v>
      </c>
      <c r="Y1232" s="238" t="s">
        <v>3247</v>
      </c>
      <c r="Z1232" s="238" t="s">
        <v>1340</v>
      </c>
      <c r="AA1232" t="s">
        <v>1167</v>
      </c>
      <c r="AB1232" s="238" t="s">
        <v>3246</v>
      </c>
      <c r="AC1232" t="s">
        <v>1167</v>
      </c>
      <c r="AD1232" s="24"/>
      <c r="AE1232" s="238" t="s">
        <v>3248</v>
      </c>
      <c r="AG1232" s="238" t="s">
        <v>1167</v>
      </c>
      <c r="AH1232" s="238" t="s">
        <v>1167</v>
      </c>
      <c r="AI1232" s="238" t="s">
        <v>5050</v>
      </c>
      <c r="AJ1232" s="238" t="s">
        <v>982</v>
      </c>
      <c r="AK1232" s="238" t="s">
        <v>1167</v>
      </c>
      <c r="AL1232" t="s">
        <v>8715</v>
      </c>
      <c r="AM1232" t="s">
        <v>1167</v>
      </c>
    </row>
    <row r="1233" spans="1:39" hidden="1" x14ac:dyDescent="0.25">
      <c r="A1233">
        <v>1229</v>
      </c>
      <c r="B1233">
        <v>173</v>
      </c>
      <c r="C1233" s="24">
        <v>44785</v>
      </c>
      <c r="D1233" s="238" t="s">
        <v>27</v>
      </c>
      <c r="E1233" s="238" t="s">
        <v>16</v>
      </c>
      <c r="F1233">
        <v>7</v>
      </c>
      <c r="G1233">
        <v>12</v>
      </c>
      <c r="H1233">
        <v>478</v>
      </c>
      <c r="I1233" s="238" t="s">
        <v>43</v>
      </c>
      <c r="J1233">
        <v>59.93</v>
      </c>
      <c r="K1233" s="238" t="s">
        <v>38</v>
      </c>
      <c r="L1233">
        <v>4305750</v>
      </c>
      <c r="M1233">
        <v>0</v>
      </c>
      <c r="N1233">
        <v>4305750</v>
      </c>
      <c r="O1233">
        <v>71846.320707492079</v>
      </c>
      <c r="P1233">
        <v>0</v>
      </c>
      <c r="Q1233">
        <v>4305750</v>
      </c>
      <c r="R1233">
        <v>71846.320707492079</v>
      </c>
      <c r="S1233" s="238" t="s">
        <v>124</v>
      </c>
      <c r="T1233" s="238" t="s">
        <v>1167</v>
      </c>
      <c r="V1233" t="s">
        <v>1167</v>
      </c>
      <c r="W1233" s="24">
        <v>44781</v>
      </c>
      <c r="X1233" s="238" t="s">
        <v>3271</v>
      </c>
      <c r="Y1233" s="238" t="s">
        <v>3247</v>
      </c>
      <c r="Z1233" s="238" t="s">
        <v>1340</v>
      </c>
      <c r="AA1233" t="s">
        <v>1167</v>
      </c>
      <c r="AB1233" s="238" t="s">
        <v>3246</v>
      </c>
      <c r="AC1233" t="s">
        <v>1167</v>
      </c>
      <c r="AD1233" s="24"/>
      <c r="AE1233" s="238" t="s">
        <v>3248</v>
      </c>
      <c r="AG1233" s="238" t="s">
        <v>1167</v>
      </c>
      <c r="AH1233" s="238" t="s">
        <v>1167</v>
      </c>
      <c r="AI1233" s="238" t="s">
        <v>5050</v>
      </c>
      <c r="AJ1233" s="238" t="s">
        <v>982</v>
      </c>
      <c r="AK1233" s="238" t="s">
        <v>1167</v>
      </c>
      <c r="AL1233" t="s">
        <v>8715</v>
      </c>
      <c r="AM1233" t="s">
        <v>1167</v>
      </c>
    </row>
    <row r="1234" spans="1:39" hidden="1" x14ac:dyDescent="0.25">
      <c r="A1234">
        <v>1230</v>
      </c>
      <c r="B1234">
        <v>174</v>
      </c>
      <c r="C1234" s="24">
        <v>44785</v>
      </c>
      <c r="D1234" s="238" t="s">
        <v>27</v>
      </c>
      <c r="E1234" s="238" t="s">
        <v>16</v>
      </c>
      <c r="F1234">
        <v>8</v>
      </c>
      <c r="G1234">
        <v>12</v>
      </c>
      <c r="H1234">
        <v>479</v>
      </c>
      <c r="I1234" s="238" t="s">
        <v>43</v>
      </c>
      <c r="J1234">
        <v>55.8</v>
      </c>
      <c r="K1234" s="238" t="s">
        <v>38</v>
      </c>
      <c r="L1234">
        <v>4097250</v>
      </c>
      <c r="M1234">
        <v>0</v>
      </c>
      <c r="N1234">
        <v>4097250</v>
      </c>
      <c r="O1234">
        <v>73427.419354838712</v>
      </c>
      <c r="P1234">
        <v>0</v>
      </c>
      <c r="Q1234">
        <v>4097250</v>
      </c>
      <c r="R1234">
        <v>73427.419354838712</v>
      </c>
      <c r="S1234" s="238" t="s">
        <v>124</v>
      </c>
      <c r="T1234" s="238" t="s">
        <v>1167</v>
      </c>
      <c r="V1234" t="s">
        <v>1167</v>
      </c>
      <c r="W1234" s="24">
        <v>44781</v>
      </c>
      <c r="X1234" s="238" t="s">
        <v>3271</v>
      </c>
      <c r="Y1234" s="238" t="s">
        <v>3247</v>
      </c>
      <c r="Z1234" s="238" t="s">
        <v>1340</v>
      </c>
      <c r="AA1234" t="s">
        <v>1167</v>
      </c>
      <c r="AB1234" s="238" t="s">
        <v>3246</v>
      </c>
      <c r="AC1234" t="s">
        <v>1167</v>
      </c>
      <c r="AD1234" s="24"/>
      <c r="AE1234" s="238" t="s">
        <v>3248</v>
      </c>
      <c r="AG1234" s="238" t="s">
        <v>1167</v>
      </c>
      <c r="AH1234" s="238" t="s">
        <v>1167</v>
      </c>
      <c r="AI1234" s="238" t="s">
        <v>5050</v>
      </c>
      <c r="AJ1234" s="238" t="s">
        <v>982</v>
      </c>
      <c r="AK1234" s="238" t="s">
        <v>1167</v>
      </c>
      <c r="AL1234" t="s">
        <v>8715</v>
      </c>
      <c r="AM1234" t="s">
        <v>1167</v>
      </c>
    </row>
    <row r="1235" spans="1:39" hidden="1" x14ac:dyDescent="0.25">
      <c r="A1235">
        <v>1231</v>
      </c>
      <c r="B1235">
        <v>175</v>
      </c>
      <c r="C1235" s="24">
        <v>44785</v>
      </c>
      <c r="D1235" s="238" t="s">
        <v>27</v>
      </c>
      <c r="E1235" s="238" t="s">
        <v>16</v>
      </c>
      <c r="F1235">
        <v>1</v>
      </c>
      <c r="G1235">
        <v>13</v>
      </c>
      <c r="H1235">
        <v>480</v>
      </c>
      <c r="I1235" s="238" t="s">
        <v>44</v>
      </c>
      <c r="J1235">
        <v>82.76</v>
      </c>
      <c r="K1235" s="238" t="s">
        <v>38</v>
      </c>
      <c r="L1235">
        <v>6017250</v>
      </c>
      <c r="M1235">
        <v>0</v>
      </c>
      <c r="N1235">
        <v>6017250</v>
      </c>
      <c r="O1235">
        <v>72707.225712904779</v>
      </c>
      <c r="P1235">
        <v>0</v>
      </c>
      <c r="Q1235">
        <v>6017250</v>
      </c>
      <c r="R1235">
        <v>72707.225712904779</v>
      </c>
      <c r="S1235" s="238" t="s">
        <v>124</v>
      </c>
      <c r="T1235" s="238" t="s">
        <v>1167</v>
      </c>
      <c r="V1235" t="s">
        <v>1167</v>
      </c>
      <c r="W1235" s="24">
        <v>44781</v>
      </c>
      <c r="X1235" s="238" t="s">
        <v>3271</v>
      </c>
      <c r="Y1235" s="238" t="s">
        <v>3247</v>
      </c>
      <c r="Z1235" s="238" t="s">
        <v>1340</v>
      </c>
      <c r="AA1235" t="s">
        <v>1167</v>
      </c>
      <c r="AB1235" s="238" t="s">
        <v>3246</v>
      </c>
      <c r="AC1235" t="s">
        <v>1167</v>
      </c>
      <c r="AD1235" s="24"/>
      <c r="AE1235" s="238" t="s">
        <v>3248</v>
      </c>
      <c r="AG1235" s="238" t="s">
        <v>1167</v>
      </c>
      <c r="AH1235" s="238" t="s">
        <v>1167</v>
      </c>
      <c r="AI1235" s="238" t="s">
        <v>5050</v>
      </c>
      <c r="AJ1235" s="238" t="s">
        <v>982</v>
      </c>
      <c r="AK1235" s="238" t="s">
        <v>1167</v>
      </c>
      <c r="AL1235" t="s">
        <v>8715</v>
      </c>
      <c r="AM1235" t="s">
        <v>1167</v>
      </c>
    </row>
    <row r="1236" spans="1:39" hidden="1" x14ac:dyDescent="0.25">
      <c r="A1236">
        <v>1232</v>
      </c>
      <c r="B1236">
        <v>176</v>
      </c>
      <c r="C1236" s="24">
        <v>44785</v>
      </c>
      <c r="D1236" s="238" t="s">
        <v>27</v>
      </c>
      <c r="E1236" s="238" t="s">
        <v>16</v>
      </c>
      <c r="F1236">
        <v>4</v>
      </c>
      <c r="G1236">
        <v>13</v>
      </c>
      <c r="H1236">
        <v>483</v>
      </c>
      <c r="I1236" s="238" t="s">
        <v>42</v>
      </c>
      <c r="J1236">
        <v>40</v>
      </c>
      <c r="K1236" s="238" t="s">
        <v>38</v>
      </c>
      <c r="L1236">
        <v>2901750</v>
      </c>
      <c r="M1236">
        <v>0</v>
      </c>
      <c r="N1236">
        <v>2901750</v>
      </c>
      <c r="O1236">
        <v>72543.75</v>
      </c>
      <c r="P1236">
        <v>0</v>
      </c>
      <c r="Q1236">
        <v>2901750</v>
      </c>
      <c r="R1236">
        <v>72543.75</v>
      </c>
      <c r="S1236" s="238" t="s">
        <v>124</v>
      </c>
      <c r="T1236" s="238" t="s">
        <v>1167</v>
      </c>
      <c r="V1236" t="s">
        <v>1167</v>
      </c>
      <c r="W1236" s="24">
        <v>44781</v>
      </c>
      <c r="X1236" s="238" t="s">
        <v>3271</v>
      </c>
      <c r="Y1236" s="238" t="s">
        <v>3247</v>
      </c>
      <c r="Z1236" s="238" t="s">
        <v>1340</v>
      </c>
      <c r="AA1236" t="s">
        <v>1167</v>
      </c>
      <c r="AB1236" s="238" t="s">
        <v>3246</v>
      </c>
      <c r="AC1236" t="s">
        <v>1167</v>
      </c>
      <c r="AD1236" s="24"/>
      <c r="AE1236" s="238" t="s">
        <v>3248</v>
      </c>
      <c r="AG1236" s="238" t="s">
        <v>1167</v>
      </c>
      <c r="AH1236" s="238" t="s">
        <v>1167</v>
      </c>
      <c r="AI1236" s="238" t="s">
        <v>5050</v>
      </c>
      <c r="AJ1236" s="238" t="s">
        <v>982</v>
      </c>
      <c r="AK1236" s="238" t="s">
        <v>1167</v>
      </c>
      <c r="AL1236" t="s">
        <v>8715</v>
      </c>
      <c r="AM1236" t="s">
        <v>1167</v>
      </c>
    </row>
    <row r="1237" spans="1:39" hidden="1" x14ac:dyDescent="0.25">
      <c r="A1237">
        <v>1233</v>
      </c>
      <c r="B1237">
        <v>177</v>
      </c>
      <c r="C1237" s="24">
        <v>44785</v>
      </c>
      <c r="D1237" s="238" t="s">
        <v>27</v>
      </c>
      <c r="E1237" s="238" t="s">
        <v>16</v>
      </c>
      <c r="F1237">
        <v>6</v>
      </c>
      <c r="G1237">
        <v>13</v>
      </c>
      <c r="H1237">
        <v>485</v>
      </c>
      <c r="I1237" s="238" t="s">
        <v>42</v>
      </c>
      <c r="J1237">
        <v>37.11</v>
      </c>
      <c r="K1237" s="238" t="s">
        <v>38</v>
      </c>
      <c r="L1237">
        <v>2684250</v>
      </c>
      <c r="M1237">
        <v>0</v>
      </c>
      <c r="N1237">
        <v>2684250</v>
      </c>
      <c r="O1237">
        <v>72332.255456750208</v>
      </c>
      <c r="P1237">
        <v>0</v>
      </c>
      <c r="Q1237">
        <v>2684250</v>
      </c>
      <c r="R1237">
        <v>72332.255456750208</v>
      </c>
      <c r="S1237" s="238" t="s">
        <v>124</v>
      </c>
      <c r="T1237" s="238" t="s">
        <v>1167</v>
      </c>
      <c r="V1237" t="s">
        <v>1167</v>
      </c>
      <c r="W1237" s="24">
        <v>44781</v>
      </c>
      <c r="X1237" s="238" t="s">
        <v>3271</v>
      </c>
      <c r="Y1237" s="238" t="s">
        <v>3247</v>
      </c>
      <c r="Z1237" s="238" t="s">
        <v>1340</v>
      </c>
      <c r="AA1237" t="s">
        <v>1167</v>
      </c>
      <c r="AB1237" s="238" t="s">
        <v>3246</v>
      </c>
      <c r="AC1237" t="s">
        <v>1167</v>
      </c>
      <c r="AD1237" s="24"/>
      <c r="AE1237" s="238" t="s">
        <v>3248</v>
      </c>
      <c r="AG1237" s="238" t="s">
        <v>1167</v>
      </c>
      <c r="AH1237" s="238" t="s">
        <v>1167</v>
      </c>
      <c r="AI1237" s="238" t="s">
        <v>5050</v>
      </c>
      <c r="AJ1237" s="238" t="s">
        <v>982</v>
      </c>
      <c r="AK1237" s="238" t="s">
        <v>1167</v>
      </c>
      <c r="AL1237" t="s">
        <v>8715</v>
      </c>
      <c r="AM1237" t="s">
        <v>1167</v>
      </c>
    </row>
    <row r="1238" spans="1:39" hidden="1" x14ac:dyDescent="0.25">
      <c r="A1238">
        <v>1234</v>
      </c>
      <c r="B1238">
        <v>178</v>
      </c>
      <c r="C1238" s="24">
        <v>44785</v>
      </c>
      <c r="D1238" s="238" t="s">
        <v>27</v>
      </c>
      <c r="E1238" s="238" t="s">
        <v>16</v>
      </c>
      <c r="F1238">
        <v>7</v>
      </c>
      <c r="G1238">
        <v>13</v>
      </c>
      <c r="H1238">
        <v>486</v>
      </c>
      <c r="I1238" s="238" t="s">
        <v>43</v>
      </c>
      <c r="J1238">
        <v>59.93</v>
      </c>
      <c r="K1238" s="238" t="s">
        <v>38</v>
      </c>
      <c r="L1238">
        <v>4305750</v>
      </c>
      <c r="M1238">
        <v>0</v>
      </c>
      <c r="N1238">
        <v>4305750</v>
      </c>
      <c r="O1238">
        <v>71846.320707492079</v>
      </c>
      <c r="P1238">
        <v>0</v>
      </c>
      <c r="Q1238">
        <v>4305750</v>
      </c>
      <c r="R1238">
        <v>71846.320707492079</v>
      </c>
      <c r="S1238" s="238" t="s">
        <v>124</v>
      </c>
      <c r="T1238" s="238" t="s">
        <v>1167</v>
      </c>
      <c r="V1238" t="s">
        <v>1167</v>
      </c>
      <c r="W1238" s="24">
        <v>44781</v>
      </c>
      <c r="X1238" s="238" t="s">
        <v>3271</v>
      </c>
      <c r="Y1238" s="238" t="s">
        <v>3247</v>
      </c>
      <c r="Z1238" s="238" t="s">
        <v>1340</v>
      </c>
      <c r="AA1238" t="s">
        <v>1167</v>
      </c>
      <c r="AB1238" s="238" t="s">
        <v>3246</v>
      </c>
      <c r="AC1238" t="s">
        <v>1167</v>
      </c>
      <c r="AD1238" s="24"/>
      <c r="AE1238" s="238" t="s">
        <v>3248</v>
      </c>
      <c r="AG1238" s="238" t="s">
        <v>1167</v>
      </c>
      <c r="AH1238" s="238" t="s">
        <v>1167</v>
      </c>
      <c r="AI1238" s="238" t="s">
        <v>5050</v>
      </c>
      <c r="AJ1238" s="238" t="s">
        <v>982</v>
      </c>
      <c r="AK1238" s="238" t="s">
        <v>1167</v>
      </c>
      <c r="AL1238" t="s">
        <v>8715</v>
      </c>
      <c r="AM1238" t="s">
        <v>1167</v>
      </c>
    </row>
    <row r="1239" spans="1:39" hidden="1" x14ac:dyDescent="0.25">
      <c r="A1239">
        <v>1235</v>
      </c>
      <c r="B1239">
        <v>179</v>
      </c>
      <c r="C1239" s="24">
        <v>44785</v>
      </c>
      <c r="D1239" s="238" t="s">
        <v>27</v>
      </c>
      <c r="E1239" s="238" t="s">
        <v>16</v>
      </c>
      <c r="F1239">
        <v>1</v>
      </c>
      <c r="G1239">
        <v>14</v>
      </c>
      <c r="H1239">
        <v>488</v>
      </c>
      <c r="I1239" s="238" t="s">
        <v>44</v>
      </c>
      <c r="J1239">
        <v>82.76</v>
      </c>
      <c r="K1239" s="238" t="s">
        <v>38</v>
      </c>
      <c r="L1239">
        <v>6017250</v>
      </c>
      <c r="M1239">
        <v>0</v>
      </c>
      <c r="N1239">
        <v>6017250</v>
      </c>
      <c r="O1239">
        <v>72707.225712904779</v>
      </c>
      <c r="P1239">
        <v>0</v>
      </c>
      <c r="Q1239">
        <v>6017250</v>
      </c>
      <c r="R1239">
        <v>72707.225712904779</v>
      </c>
      <c r="S1239" s="238" t="s">
        <v>124</v>
      </c>
      <c r="T1239" s="238" t="s">
        <v>1167</v>
      </c>
      <c r="V1239" t="s">
        <v>1167</v>
      </c>
      <c r="W1239" s="24">
        <v>44781</v>
      </c>
      <c r="X1239" s="238" t="s">
        <v>3271</v>
      </c>
      <c r="Y1239" s="238" t="s">
        <v>3247</v>
      </c>
      <c r="Z1239" s="238" t="s">
        <v>1340</v>
      </c>
      <c r="AA1239" t="s">
        <v>1167</v>
      </c>
      <c r="AB1239" s="238" t="s">
        <v>3246</v>
      </c>
      <c r="AC1239" t="s">
        <v>1167</v>
      </c>
      <c r="AD1239" s="24"/>
      <c r="AE1239" s="238" t="s">
        <v>3248</v>
      </c>
      <c r="AG1239" s="238" t="s">
        <v>1167</v>
      </c>
      <c r="AH1239" s="238" t="s">
        <v>1167</v>
      </c>
      <c r="AI1239" s="238" t="s">
        <v>5050</v>
      </c>
      <c r="AJ1239" s="238" t="s">
        <v>982</v>
      </c>
      <c r="AK1239" s="238" t="s">
        <v>1167</v>
      </c>
      <c r="AL1239" t="s">
        <v>8715</v>
      </c>
      <c r="AM1239" t="s">
        <v>1167</v>
      </c>
    </row>
    <row r="1240" spans="1:39" hidden="1" x14ac:dyDescent="0.25">
      <c r="A1240">
        <v>1236</v>
      </c>
      <c r="B1240">
        <v>180</v>
      </c>
      <c r="C1240" s="24">
        <v>44785</v>
      </c>
      <c r="D1240" s="238" t="s">
        <v>27</v>
      </c>
      <c r="E1240" s="238" t="s">
        <v>16</v>
      </c>
      <c r="F1240">
        <v>2</v>
      </c>
      <c r="G1240">
        <v>14</v>
      </c>
      <c r="H1240">
        <v>489</v>
      </c>
      <c r="I1240" s="238" t="s">
        <v>42</v>
      </c>
      <c r="J1240">
        <v>37.159999999999997</v>
      </c>
      <c r="K1240" s="238" t="s">
        <v>38</v>
      </c>
      <c r="L1240">
        <v>2688000</v>
      </c>
      <c r="M1240">
        <v>0</v>
      </c>
      <c r="N1240">
        <v>2688000</v>
      </c>
      <c r="O1240">
        <v>72335.844994617873</v>
      </c>
      <c r="P1240">
        <v>0</v>
      </c>
      <c r="Q1240">
        <v>2688000</v>
      </c>
      <c r="R1240">
        <v>72335.844994617873</v>
      </c>
      <c r="S1240" s="238" t="s">
        <v>124</v>
      </c>
      <c r="T1240" s="238" t="s">
        <v>1167</v>
      </c>
      <c r="V1240" t="s">
        <v>1167</v>
      </c>
      <c r="W1240" s="24">
        <v>44781</v>
      </c>
      <c r="X1240" s="238" t="s">
        <v>3271</v>
      </c>
      <c r="Y1240" s="238" t="s">
        <v>3247</v>
      </c>
      <c r="Z1240" s="238" t="s">
        <v>1340</v>
      </c>
      <c r="AA1240" t="s">
        <v>1167</v>
      </c>
      <c r="AB1240" s="238" t="s">
        <v>3246</v>
      </c>
      <c r="AC1240" t="s">
        <v>1167</v>
      </c>
      <c r="AD1240" s="24"/>
      <c r="AE1240" s="238" t="s">
        <v>3248</v>
      </c>
      <c r="AG1240" s="238" t="s">
        <v>1167</v>
      </c>
      <c r="AH1240" s="238" t="s">
        <v>1167</v>
      </c>
      <c r="AI1240" s="238" t="s">
        <v>5050</v>
      </c>
      <c r="AJ1240" s="238" t="s">
        <v>982</v>
      </c>
      <c r="AK1240" s="238" t="s">
        <v>1167</v>
      </c>
      <c r="AL1240" t="s">
        <v>8715</v>
      </c>
      <c r="AM1240" t="s">
        <v>1167</v>
      </c>
    </row>
    <row r="1241" spans="1:39" hidden="1" x14ac:dyDescent="0.25">
      <c r="A1241">
        <v>1237</v>
      </c>
      <c r="B1241">
        <v>181</v>
      </c>
      <c r="C1241" s="24">
        <v>44785</v>
      </c>
      <c r="D1241" s="238" t="s">
        <v>27</v>
      </c>
      <c r="E1241" s="238" t="s">
        <v>16</v>
      </c>
      <c r="F1241">
        <v>1</v>
      </c>
      <c r="G1241">
        <v>15</v>
      </c>
      <c r="H1241">
        <v>496</v>
      </c>
      <c r="I1241" s="238" t="s">
        <v>44</v>
      </c>
      <c r="J1241">
        <v>82.76</v>
      </c>
      <c r="K1241" s="238" t="s">
        <v>38</v>
      </c>
      <c r="L1241">
        <v>6017250</v>
      </c>
      <c r="M1241">
        <v>0</v>
      </c>
      <c r="N1241">
        <v>6017250</v>
      </c>
      <c r="O1241">
        <v>72707.225712904779</v>
      </c>
      <c r="P1241">
        <v>0</v>
      </c>
      <c r="Q1241">
        <v>6017250</v>
      </c>
      <c r="R1241">
        <v>72707.225712904779</v>
      </c>
      <c r="S1241" s="238" t="s">
        <v>124</v>
      </c>
      <c r="T1241" s="238" t="s">
        <v>1167</v>
      </c>
      <c r="V1241" t="s">
        <v>1167</v>
      </c>
      <c r="W1241" s="24">
        <v>44781</v>
      </c>
      <c r="X1241" s="238" t="s">
        <v>3272</v>
      </c>
      <c r="Y1241" s="238" t="s">
        <v>3247</v>
      </c>
      <c r="Z1241" s="238" t="s">
        <v>1340</v>
      </c>
      <c r="AA1241" t="s">
        <v>1167</v>
      </c>
      <c r="AB1241" s="238" t="s">
        <v>3246</v>
      </c>
      <c r="AC1241" t="s">
        <v>1167</v>
      </c>
      <c r="AD1241" s="24"/>
      <c r="AE1241" s="238" t="s">
        <v>3248</v>
      </c>
      <c r="AG1241" s="238" t="s">
        <v>1167</v>
      </c>
      <c r="AH1241" s="238" t="s">
        <v>1167</v>
      </c>
      <c r="AI1241" s="238" t="s">
        <v>5050</v>
      </c>
      <c r="AJ1241" s="238" t="s">
        <v>982</v>
      </c>
      <c r="AK1241" s="238" t="s">
        <v>1167</v>
      </c>
      <c r="AL1241" t="s">
        <v>8715</v>
      </c>
      <c r="AM1241" t="s">
        <v>1167</v>
      </c>
    </row>
    <row r="1242" spans="1:39" hidden="1" x14ac:dyDescent="0.25">
      <c r="A1242">
        <v>1238</v>
      </c>
      <c r="B1242">
        <v>182</v>
      </c>
      <c r="C1242" s="24">
        <v>44785</v>
      </c>
      <c r="D1242" s="238" t="s">
        <v>27</v>
      </c>
      <c r="E1242" s="238" t="s">
        <v>16</v>
      </c>
      <c r="F1242">
        <v>2</v>
      </c>
      <c r="G1242">
        <v>15</v>
      </c>
      <c r="H1242">
        <v>497</v>
      </c>
      <c r="I1242" s="238" t="s">
        <v>42</v>
      </c>
      <c r="J1242">
        <v>37.159999999999997</v>
      </c>
      <c r="K1242" s="238" t="s">
        <v>38</v>
      </c>
      <c r="L1242">
        <v>2688000</v>
      </c>
      <c r="M1242">
        <v>0</v>
      </c>
      <c r="N1242">
        <v>2688000</v>
      </c>
      <c r="O1242">
        <v>72335.844994617873</v>
      </c>
      <c r="P1242">
        <v>0</v>
      </c>
      <c r="Q1242">
        <v>2688000</v>
      </c>
      <c r="R1242">
        <v>72335.844994617873</v>
      </c>
      <c r="S1242" s="238" t="s">
        <v>124</v>
      </c>
      <c r="T1242" s="238" t="s">
        <v>1167</v>
      </c>
      <c r="V1242" t="s">
        <v>1167</v>
      </c>
      <c r="W1242" s="24">
        <v>44781</v>
      </c>
      <c r="X1242" s="238" t="s">
        <v>3272</v>
      </c>
      <c r="Y1242" s="238" t="s">
        <v>3247</v>
      </c>
      <c r="Z1242" s="238" t="s">
        <v>1340</v>
      </c>
      <c r="AA1242" t="s">
        <v>1167</v>
      </c>
      <c r="AB1242" s="238" t="s">
        <v>3246</v>
      </c>
      <c r="AC1242" t="s">
        <v>1167</v>
      </c>
      <c r="AD1242" s="24"/>
      <c r="AE1242" s="238" t="s">
        <v>3248</v>
      </c>
      <c r="AG1242" s="238" t="s">
        <v>1167</v>
      </c>
      <c r="AH1242" s="238" t="s">
        <v>1167</v>
      </c>
      <c r="AI1242" s="238" t="s">
        <v>5050</v>
      </c>
      <c r="AJ1242" s="238" t="s">
        <v>982</v>
      </c>
      <c r="AK1242" s="238" t="s">
        <v>1167</v>
      </c>
      <c r="AL1242" t="s">
        <v>8715</v>
      </c>
      <c r="AM1242" t="s">
        <v>1167</v>
      </c>
    </row>
    <row r="1243" spans="1:39" hidden="1" x14ac:dyDescent="0.25">
      <c r="A1243">
        <v>1239</v>
      </c>
      <c r="B1243">
        <v>183</v>
      </c>
      <c r="C1243" s="24">
        <v>44785</v>
      </c>
      <c r="D1243" s="238" t="s">
        <v>27</v>
      </c>
      <c r="E1243" s="238" t="s">
        <v>16</v>
      </c>
      <c r="F1243">
        <v>4</v>
      </c>
      <c r="G1243">
        <v>15</v>
      </c>
      <c r="H1243">
        <v>499</v>
      </c>
      <c r="I1243" s="238" t="s">
        <v>42</v>
      </c>
      <c r="J1243">
        <v>40</v>
      </c>
      <c r="K1243" s="238" t="s">
        <v>38</v>
      </c>
      <c r="L1243">
        <v>2901750</v>
      </c>
      <c r="M1243">
        <v>0</v>
      </c>
      <c r="N1243">
        <v>2901750</v>
      </c>
      <c r="O1243">
        <v>72543.75</v>
      </c>
      <c r="P1243">
        <v>0</v>
      </c>
      <c r="Q1243">
        <v>2901750</v>
      </c>
      <c r="R1243">
        <v>72543.75</v>
      </c>
      <c r="S1243" s="238" t="s">
        <v>124</v>
      </c>
      <c r="T1243" s="238" t="s">
        <v>1167</v>
      </c>
      <c r="V1243" t="s">
        <v>1167</v>
      </c>
      <c r="W1243" s="24">
        <v>44781</v>
      </c>
      <c r="X1243" s="238" t="s">
        <v>3272</v>
      </c>
      <c r="Y1243" s="238" t="s">
        <v>3247</v>
      </c>
      <c r="Z1243" s="238" t="s">
        <v>1340</v>
      </c>
      <c r="AA1243" t="s">
        <v>1167</v>
      </c>
      <c r="AB1243" s="238" t="s">
        <v>3246</v>
      </c>
      <c r="AC1243" t="s">
        <v>1167</v>
      </c>
      <c r="AD1243" s="24"/>
      <c r="AE1243" s="238" t="s">
        <v>3248</v>
      </c>
      <c r="AG1243" s="238" t="s">
        <v>1167</v>
      </c>
      <c r="AH1243" s="238" t="s">
        <v>1167</v>
      </c>
      <c r="AI1243" s="238" t="s">
        <v>5050</v>
      </c>
      <c r="AJ1243" s="238" t="s">
        <v>982</v>
      </c>
      <c r="AK1243" s="238" t="s">
        <v>1167</v>
      </c>
      <c r="AL1243" t="s">
        <v>8715</v>
      </c>
      <c r="AM1243" t="s">
        <v>1167</v>
      </c>
    </row>
    <row r="1244" spans="1:39" hidden="1" x14ac:dyDescent="0.25">
      <c r="A1244">
        <v>1240</v>
      </c>
      <c r="B1244">
        <v>184</v>
      </c>
      <c r="C1244" s="24">
        <v>44785</v>
      </c>
      <c r="D1244" s="238" t="s">
        <v>27</v>
      </c>
      <c r="E1244" s="238" t="s">
        <v>16</v>
      </c>
      <c r="F1244">
        <v>7</v>
      </c>
      <c r="G1244">
        <v>15</v>
      </c>
      <c r="H1244">
        <v>502</v>
      </c>
      <c r="I1244" s="238" t="s">
        <v>43</v>
      </c>
      <c r="J1244">
        <v>59.93</v>
      </c>
      <c r="K1244" s="238" t="s">
        <v>38</v>
      </c>
      <c r="L1244">
        <v>4305750</v>
      </c>
      <c r="M1244">
        <v>0</v>
      </c>
      <c r="N1244">
        <v>4305750</v>
      </c>
      <c r="O1244">
        <v>71846.320707492079</v>
      </c>
      <c r="P1244">
        <v>0</v>
      </c>
      <c r="Q1244">
        <v>4305750</v>
      </c>
      <c r="R1244">
        <v>71846.320707492079</v>
      </c>
      <c r="S1244" s="238" t="s">
        <v>124</v>
      </c>
      <c r="T1244" s="238" t="s">
        <v>1167</v>
      </c>
      <c r="V1244" t="s">
        <v>1167</v>
      </c>
      <c r="W1244" s="24">
        <v>44781</v>
      </c>
      <c r="X1244" s="238" t="s">
        <v>3272</v>
      </c>
      <c r="Y1244" s="238" t="s">
        <v>3247</v>
      </c>
      <c r="Z1244" s="238" t="s">
        <v>1340</v>
      </c>
      <c r="AA1244" t="s">
        <v>1167</v>
      </c>
      <c r="AB1244" s="238" t="s">
        <v>3246</v>
      </c>
      <c r="AC1244" t="s">
        <v>1167</v>
      </c>
      <c r="AD1244" s="24"/>
      <c r="AE1244" s="238" t="s">
        <v>3248</v>
      </c>
      <c r="AG1244" s="238" t="s">
        <v>1167</v>
      </c>
      <c r="AH1244" s="238" t="s">
        <v>1167</v>
      </c>
      <c r="AI1244" s="238" t="s">
        <v>5050</v>
      </c>
      <c r="AJ1244" s="238" t="s">
        <v>982</v>
      </c>
      <c r="AK1244" s="238" t="s">
        <v>1167</v>
      </c>
      <c r="AL1244" t="s">
        <v>8715</v>
      </c>
      <c r="AM1244" t="s">
        <v>1167</v>
      </c>
    </row>
    <row r="1245" spans="1:39" hidden="1" x14ac:dyDescent="0.25">
      <c r="A1245">
        <v>1241</v>
      </c>
      <c r="B1245">
        <v>185</v>
      </c>
      <c r="C1245" s="24">
        <v>44785</v>
      </c>
      <c r="D1245" s="238" t="s">
        <v>27</v>
      </c>
      <c r="E1245" s="238" t="s">
        <v>16</v>
      </c>
      <c r="F1245">
        <v>8</v>
      </c>
      <c r="G1245">
        <v>15</v>
      </c>
      <c r="H1245">
        <v>503</v>
      </c>
      <c r="I1245" s="238" t="s">
        <v>43</v>
      </c>
      <c r="J1245">
        <v>55.8</v>
      </c>
      <c r="K1245" s="238" t="s">
        <v>38</v>
      </c>
      <c r="L1245">
        <v>4097250</v>
      </c>
      <c r="M1245">
        <v>0</v>
      </c>
      <c r="N1245">
        <v>4097250</v>
      </c>
      <c r="O1245">
        <v>73427.419354838712</v>
      </c>
      <c r="P1245">
        <v>0</v>
      </c>
      <c r="Q1245">
        <v>4097250</v>
      </c>
      <c r="R1245">
        <v>73427.419354838712</v>
      </c>
      <c r="S1245" s="238" t="s">
        <v>124</v>
      </c>
      <c r="T1245" s="238" t="s">
        <v>1167</v>
      </c>
      <c r="V1245" t="s">
        <v>1167</v>
      </c>
      <c r="W1245" s="24">
        <v>44781</v>
      </c>
      <c r="X1245" s="238" t="s">
        <v>3272</v>
      </c>
      <c r="Y1245" s="238" t="s">
        <v>3247</v>
      </c>
      <c r="Z1245" s="238" t="s">
        <v>1340</v>
      </c>
      <c r="AA1245" t="s">
        <v>1167</v>
      </c>
      <c r="AB1245" s="238" t="s">
        <v>3246</v>
      </c>
      <c r="AC1245" t="s">
        <v>1167</v>
      </c>
      <c r="AD1245" s="24"/>
      <c r="AE1245" s="238" t="s">
        <v>3248</v>
      </c>
      <c r="AG1245" s="238" t="s">
        <v>1167</v>
      </c>
      <c r="AH1245" s="238" t="s">
        <v>1167</v>
      </c>
      <c r="AI1245" s="238" t="s">
        <v>5050</v>
      </c>
      <c r="AJ1245" s="238" t="s">
        <v>982</v>
      </c>
      <c r="AK1245" s="238" t="s">
        <v>1167</v>
      </c>
      <c r="AL1245" t="s">
        <v>8715</v>
      </c>
      <c r="AM1245" t="s">
        <v>1167</v>
      </c>
    </row>
    <row r="1246" spans="1:39" hidden="1" x14ac:dyDescent="0.25">
      <c r="A1246">
        <v>1242</v>
      </c>
      <c r="B1246">
        <v>186</v>
      </c>
      <c r="C1246" s="24">
        <v>44785</v>
      </c>
      <c r="D1246" s="238" t="s">
        <v>27</v>
      </c>
      <c r="E1246" s="238" t="s">
        <v>16</v>
      </c>
      <c r="F1246">
        <v>1</v>
      </c>
      <c r="G1246">
        <v>16</v>
      </c>
      <c r="H1246">
        <v>504</v>
      </c>
      <c r="I1246" s="238" t="s">
        <v>44</v>
      </c>
      <c r="J1246">
        <v>82.76</v>
      </c>
      <c r="K1246" s="238" t="s">
        <v>38</v>
      </c>
      <c r="L1246">
        <v>6017250</v>
      </c>
      <c r="M1246">
        <v>0</v>
      </c>
      <c r="N1246">
        <v>6017250</v>
      </c>
      <c r="O1246">
        <v>72707.225712904779</v>
      </c>
      <c r="P1246">
        <v>0</v>
      </c>
      <c r="Q1246">
        <v>6017250</v>
      </c>
      <c r="R1246">
        <v>72707.225712904779</v>
      </c>
      <c r="S1246" s="238" t="s">
        <v>124</v>
      </c>
      <c r="T1246" s="238" t="s">
        <v>1167</v>
      </c>
      <c r="V1246" t="s">
        <v>1167</v>
      </c>
      <c r="W1246" s="24">
        <v>44781</v>
      </c>
      <c r="X1246" s="238" t="s">
        <v>3272</v>
      </c>
      <c r="Y1246" s="238" t="s">
        <v>3247</v>
      </c>
      <c r="Z1246" s="238" t="s">
        <v>1340</v>
      </c>
      <c r="AA1246" t="s">
        <v>1167</v>
      </c>
      <c r="AB1246" s="238" t="s">
        <v>3246</v>
      </c>
      <c r="AC1246" t="s">
        <v>1167</v>
      </c>
      <c r="AD1246" s="24"/>
      <c r="AE1246" s="238" t="s">
        <v>3248</v>
      </c>
      <c r="AG1246" s="238" t="s">
        <v>1167</v>
      </c>
      <c r="AH1246" s="238" t="s">
        <v>1167</v>
      </c>
      <c r="AI1246" s="238" t="s">
        <v>5050</v>
      </c>
      <c r="AJ1246" s="238" t="s">
        <v>982</v>
      </c>
      <c r="AK1246" s="238" t="s">
        <v>1167</v>
      </c>
      <c r="AL1246" t="s">
        <v>8715</v>
      </c>
      <c r="AM1246" t="s">
        <v>1167</v>
      </c>
    </row>
    <row r="1247" spans="1:39" hidden="1" x14ac:dyDescent="0.25">
      <c r="A1247">
        <v>1243</v>
      </c>
      <c r="B1247">
        <v>187</v>
      </c>
      <c r="C1247" s="24">
        <v>44785</v>
      </c>
      <c r="D1247" s="238" t="s">
        <v>27</v>
      </c>
      <c r="E1247" s="238" t="s">
        <v>16</v>
      </c>
      <c r="F1247">
        <v>2</v>
      </c>
      <c r="G1247">
        <v>16</v>
      </c>
      <c r="H1247">
        <v>505</v>
      </c>
      <c r="I1247" s="238" t="s">
        <v>42</v>
      </c>
      <c r="J1247">
        <v>37.159999999999997</v>
      </c>
      <c r="K1247" s="238" t="s">
        <v>38</v>
      </c>
      <c r="L1247">
        <v>2688000</v>
      </c>
      <c r="M1247">
        <v>0</v>
      </c>
      <c r="N1247">
        <v>2688000</v>
      </c>
      <c r="O1247">
        <v>72335.844994617873</v>
      </c>
      <c r="P1247">
        <v>0</v>
      </c>
      <c r="Q1247">
        <v>2688000</v>
      </c>
      <c r="R1247">
        <v>72335.844994617873</v>
      </c>
      <c r="S1247" s="238" t="s">
        <v>124</v>
      </c>
      <c r="T1247" s="238" t="s">
        <v>1167</v>
      </c>
      <c r="V1247" t="s">
        <v>1167</v>
      </c>
      <c r="W1247" s="24">
        <v>44781</v>
      </c>
      <c r="X1247" s="238" t="s">
        <v>3272</v>
      </c>
      <c r="Y1247" s="238" t="s">
        <v>3247</v>
      </c>
      <c r="Z1247" s="238" t="s">
        <v>1340</v>
      </c>
      <c r="AA1247" t="s">
        <v>1167</v>
      </c>
      <c r="AB1247" s="238" t="s">
        <v>3246</v>
      </c>
      <c r="AC1247" t="s">
        <v>1167</v>
      </c>
      <c r="AD1247" s="24"/>
      <c r="AE1247" s="238" t="s">
        <v>3248</v>
      </c>
      <c r="AG1247" s="238" t="s">
        <v>1167</v>
      </c>
      <c r="AH1247" s="238" t="s">
        <v>1167</v>
      </c>
      <c r="AI1247" s="238" t="s">
        <v>5050</v>
      </c>
      <c r="AJ1247" s="238" t="s">
        <v>982</v>
      </c>
      <c r="AK1247" s="238" t="s">
        <v>1167</v>
      </c>
      <c r="AL1247" t="s">
        <v>8715</v>
      </c>
      <c r="AM1247" t="s">
        <v>1167</v>
      </c>
    </row>
    <row r="1248" spans="1:39" hidden="1" x14ac:dyDescent="0.25">
      <c r="A1248">
        <v>1244</v>
      </c>
      <c r="B1248">
        <v>188</v>
      </c>
      <c r="C1248" s="24">
        <v>44785</v>
      </c>
      <c r="D1248" s="238" t="s">
        <v>27</v>
      </c>
      <c r="E1248" s="238" t="s">
        <v>16</v>
      </c>
      <c r="F1248">
        <v>4</v>
      </c>
      <c r="G1248">
        <v>16</v>
      </c>
      <c r="H1248">
        <v>507</v>
      </c>
      <c r="I1248" s="238" t="s">
        <v>42</v>
      </c>
      <c r="J1248">
        <v>40</v>
      </c>
      <c r="K1248" s="238" t="s">
        <v>38</v>
      </c>
      <c r="L1248">
        <v>2901750</v>
      </c>
      <c r="M1248">
        <v>0</v>
      </c>
      <c r="N1248">
        <v>2901750</v>
      </c>
      <c r="O1248">
        <v>72543.75</v>
      </c>
      <c r="P1248">
        <v>0</v>
      </c>
      <c r="Q1248">
        <v>2901750</v>
      </c>
      <c r="R1248">
        <v>72543.75</v>
      </c>
      <c r="S1248" s="238" t="s">
        <v>124</v>
      </c>
      <c r="T1248" s="238" t="s">
        <v>1167</v>
      </c>
      <c r="V1248" t="s">
        <v>1167</v>
      </c>
      <c r="W1248" s="24">
        <v>44781</v>
      </c>
      <c r="X1248" s="238" t="s">
        <v>3272</v>
      </c>
      <c r="Y1248" s="238" t="s">
        <v>3247</v>
      </c>
      <c r="Z1248" s="238" t="s">
        <v>1340</v>
      </c>
      <c r="AA1248" t="s">
        <v>1167</v>
      </c>
      <c r="AB1248" s="238" t="s">
        <v>3246</v>
      </c>
      <c r="AC1248" t="s">
        <v>1167</v>
      </c>
      <c r="AD1248" s="24"/>
      <c r="AE1248" s="238" t="s">
        <v>3248</v>
      </c>
      <c r="AG1248" s="238" t="s">
        <v>1167</v>
      </c>
      <c r="AH1248" s="238" t="s">
        <v>1167</v>
      </c>
      <c r="AI1248" s="238" t="s">
        <v>5050</v>
      </c>
      <c r="AJ1248" s="238" t="s">
        <v>982</v>
      </c>
      <c r="AK1248" s="238" t="s">
        <v>1167</v>
      </c>
      <c r="AL1248" t="s">
        <v>8715</v>
      </c>
      <c r="AM1248" t="s">
        <v>1167</v>
      </c>
    </row>
    <row r="1249" spans="1:39" hidden="1" x14ac:dyDescent="0.25">
      <c r="A1249">
        <v>1245</v>
      </c>
      <c r="B1249">
        <v>189</v>
      </c>
      <c r="C1249" s="24">
        <v>44785</v>
      </c>
      <c r="D1249" s="238" t="s">
        <v>27</v>
      </c>
      <c r="E1249" s="238" t="s">
        <v>16</v>
      </c>
      <c r="F1249">
        <v>7</v>
      </c>
      <c r="G1249">
        <v>16</v>
      </c>
      <c r="H1249">
        <v>510</v>
      </c>
      <c r="I1249" s="238" t="s">
        <v>43</v>
      </c>
      <c r="J1249">
        <v>59.93</v>
      </c>
      <c r="K1249" s="238" t="s">
        <v>38</v>
      </c>
      <c r="L1249">
        <v>4305750</v>
      </c>
      <c r="M1249">
        <v>0</v>
      </c>
      <c r="N1249">
        <v>4305750</v>
      </c>
      <c r="O1249">
        <v>71846.320707492079</v>
      </c>
      <c r="P1249">
        <v>0</v>
      </c>
      <c r="Q1249">
        <v>4305750</v>
      </c>
      <c r="R1249">
        <v>71846.320707492079</v>
      </c>
      <c r="S1249" s="238" t="s">
        <v>124</v>
      </c>
      <c r="T1249" s="238" t="s">
        <v>1167</v>
      </c>
      <c r="V1249" t="s">
        <v>1167</v>
      </c>
      <c r="W1249" s="24">
        <v>44781</v>
      </c>
      <c r="X1249" s="238" t="s">
        <v>3272</v>
      </c>
      <c r="Y1249" s="238" t="s">
        <v>3247</v>
      </c>
      <c r="Z1249" s="238" t="s">
        <v>1340</v>
      </c>
      <c r="AA1249" t="s">
        <v>1167</v>
      </c>
      <c r="AB1249" s="238" t="s">
        <v>3246</v>
      </c>
      <c r="AC1249" t="s">
        <v>1167</v>
      </c>
      <c r="AD1249" s="24"/>
      <c r="AE1249" s="238" t="s">
        <v>3248</v>
      </c>
      <c r="AG1249" s="238" t="s">
        <v>1167</v>
      </c>
      <c r="AH1249" s="238" t="s">
        <v>1167</v>
      </c>
      <c r="AI1249" s="238" t="s">
        <v>5050</v>
      </c>
      <c r="AJ1249" s="238" t="s">
        <v>982</v>
      </c>
      <c r="AK1249" s="238" t="s">
        <v>1167</v>
      </c>
      <c r="AL1249" t="s">
        <v>8715</v>
      </c>
      <c r="AM1249" t="s">
        <v>1167</v>
      </c>
    </row>
    <row r="1250" spans="1:39" hidden="1" x14ac:dyDescent="0.25">
      <c r="A1250">
        <v>1246</v>
      </c>
      <c r="B1250">
        <v>190</v>
      </c>
      <c r="C1250" s="24">
        <v>44785</v>
      </c>
      <c r="D1250" s="238" t="s">
        <v>27</v>
      </c>
      <c r="E1250" s="238" t="s">
        <v>16</v>
      </c>
      <c r="F1250">
        <v>8</v>
      </c>
      <c r="G1250">
        <v>16</v>
      </c>
      <c r="H1250">
        <v>511</v>
      </c>
      <c r="I1250" s="238" t="s">
        <v>43</v>
      </c>
      <c r="J1250">
        <v>55.8</v>
      </c>
      <c r="K1250" s="238" t="s">
        <v>38</v>
      </c>
      <c r="L1250">
        <v>4097250</v>
      </c>
      <c r="M1250">
        <v>0</v>
      </c>
      <c r="N1250">
        <v>4097250</v>
      </c>
      <c r="O1250">
        <v>73427.419354838712</v>
      </c>
      <c r="P1250">
        <v>0</v>
      </c>
      <c r="Q1250">
        <v>4097250</v>
      </c>
      <c r="R1250">
        <v>73427.419354838712</v>
      </c>
      <c r="S1250" s="238" t="s">
        <v>124</v>
      </c>
      <c r="T1250" s="238" t="s">
        <v>1167</v>
      </c>
      <c r="V1250" t="s">
        <v>1167</v>
      </c>
      <c r="W1250" s="24">
        <v>44781</v>
      </c>
      <c r="X1250" s="238" t="s">
        <v>3272</v>
      </c>
      <c r="Y1250" s="238" t="s">
        <v>3247</v>
      </c>
      <c r="Z1250" s="238" t="s">
        <v>1340</v>
      </c>
      <c r="AA1250" t="s">
        <v>1167</v>
      </c>
      <c r="AB1250" s="238" t="s">
        <v>3246</v>
      </c>
      <c r="AC1250" t="s">
        <v>1167</v>
      </c>
      <c r="AD1250" s="24"/>
      <c r="AE1250" s="238" t="s">
        <v>3248</v>
      </c>
      <c r="AG1250" s="238" t="s">
        <v>1167</v>
      </c>
      <c r="AH1250" s="238" t="s">
        <v>1167</v>
      </c>
      <c r="AI1250" s="238" t="s">
        <v>5050</v>
      </c>
      <c r="AJ1250" s="238" t="s">
        <v>982</v>
      </c>
      <c r="AK1250" s="238" t="s">
        <v>1167</v>
      </c>
      <c r="AL1250" t="s">
        <v>8715</v>
      </c>
      <c r="AM1250" t="s">
        <v>1167</v>
      </c>
    </row>
    <row r="1251" spans="1:39" hidden="1" x14ac:dyDescent="0.25">
      <c r="A1251">
        <v>1247</v>
      </c>
      <c r="B1251">
        <v>191</v>
      </c>
      <c r="C1251" s="24">
        <v>44785</v>
      </c>
      <c r="D1251" s="238" t="s">
        <v>27</v>
      </c>
      <c r="E1251" s="238" t="s">
        <v>15</v>
      </c>
      <c r="F1251">
        <v>7</v>
      </c>
      <c r="G1251">
        <v>2</v>
      </c>
      <c r="H1251">
        <v>518</v>
      </c>
      <c r="I1251" s="238" t="s">
        <v>43</v>
      </c>
      <c r="J1251">
        <v>59.93</v>
      </c>
      <c r="K1251" s="238" t="s">
        <v>38</v>
      </c>
      <c r="L1251">
        <v>4305750</v>
      </c>
      <c r="M1251">
        <v>0</v>
      </c>
      <c r="N1251">
        <v>4305750</v>
      </c>
      <c r="O1251">
        <v>71846.320707492079</v>
      </c>
      <c r="P1251">
        <v>0</v>
      </c>
      <c r="Q1251">
        <v>4305750</v>
      </c>
      <c r="R1251">
        <v>71846.320707492079</v>
      </c>
      <c r="S1251" s="238" t="s">
        <v>124</v>
      </c>
      <c r="T1251" s="238" t="s">
        <v>1167</v>
      </c>
      <c r="V1251" t="s">
        <v>1167</v>
      </c>
      <c r="W1251" s="24">
        <v>44781</v>
      </c>
      <c r="X1251" s="238" t="s">
        <v>3273</v>
      </c>
      <c r="Y1251" s="238" t="s">
        <v>3247</v>
      </c>
      <c r="Z1251" s="238" t="s">
        <v>1340</v>
      </c>
      <c r="AA1251" t="s">
        <v>1167</v>
      </c>
      <c r="AB1251" s="238" t="s">
        <v>3246</v>
      </c>
      <c r="AC1251" t="s">
        <v>1167</v>
      </c>
      <c r="AD1251" s="24"/>
      <c r="AE1251" s="238" t="s">
        <v>3248</v>
      </c>
      <c r="AG1251" s="238" t="s">
        <v>1167</v>
      </c>
      <c r="AH1251" s="238" t="s">
        <v>1167</v>
      </c>
      <c r="AI1251" s="238" t="s">
        <v>5050</v>
      </c>
      <c r="AJ1251" s="238" t="s">
        <v>982</v>
      </c>
      <c r="AK1251" s="238" t="s">
        <v>1167</v>
      </c>
      <c r="AL1251" t="s">
        <v>8715</v>
      </c>
      <c r="AM1251" t="s">
        <v>1167</v>
      </c>
    </row>
    <row r="1252" spans="1:39" hidden="1" x14ac:dyDescent="0.25">
      <c r="A1252">
        <v>1248</v>
      </c>
      <c r="B1252">
        <v>192</v>
      </c>
      <c r="C1252" s="24">
        <v>44785</v>
      </c>
      <c r="D1252" s="238" t="s">
        <v>27</v>
      </c>
      <c r="E1252" s="238" t="s">
        <v>15</v>
      </c>
      <c r="F1252">
        <v>8</v>
      </c>
      <c r="G1252">
        <v>2</v>
      </c>
      <c r="H1252">
        <v>519</v>
      </c>
      <c r="I1252" s="238" t="s">
        <v>43</v>
      </c>
      <c r="J1252">
        <v>55.21</v>
      </c>
      <c r="K1252" s="238" t="s">
        <v>38</v>
      </c>
      <c r="L1252">
        <v>4014000</v>
      </c>
      <c r="M1252">
        <v>0</v>
      </c>
      <c r="N1252">
        <v>4014000</v>
      </c>
      <c r="O1252">
        <v>72704.220249954713</v>
      </c>
      <c r="P1252">
        <v>0</v>
      </c>
      <c r="Q1252">
        <v>4014000</v>
      </c>
      <c r="R1252">
        <v>72704.220249954713</v>
      </c>
      <c r="S1252" s="238" t="s">
        <v>124</v>
      </c>
      <c r="T1252" s="238" t="s">
        <v>1167</v>
      </c>
      <c r="V1252" t="s">
        <v>1167</v>
      </c>
      <c r="W1252" s="24">
        <v>44781</v>
      </c>
      <c r="X1252" s="238" t="s">
        <v>3273</v>
      </c>
      <c r="Y1252" s="238" t="s">
        <v>3247</v>
      </c>
      <c r="Z1252" s="238" t="s">
        <v>1340</v>
      </c>
      <c r="AA1252" t="s">
        <v>1167</v>
      </c>
      <c r="AB1252" s="238" t="s">
        <v>3246</v>
      </c>
      <c r="AC1252" t="s">
        <v>1167</v>
      </c>
      <c r="AD1252" s="24"/>
      <c r="AE1252" s="238" t="s">
        <v>3248</v>
      </c>
      <c r="AG1252" s="238" t="s">
        <v>1167</v>
      </c>
      <c r="AH1252" s="238" t="s">
        <v>1167</v>
      </c>
      <c r="AI1252" s="238" t="s">
        <v>5050</v>
      </c>
      <c r="AJ1252" s="238" t="s">
        <v>982</v>
      </c>
      <c r="AK1252" s="238" t="s">
        <v>1167</v>
      </c>
      <c r="AL1252" t="s">
        <v>8715</v>
      </c>
      <c r="AM1252" t="s">
        <v>1167</v>
      </c>
    </row>
    <row r="1253" spans="1:39" hidden="1" x14ac:dyDescent="0.25">
      <c r="A1253">
        <v>1249</v>
      </c>
      <c r="B1253">
        <v>193</v>
      </c>
      <c r="C1253" s="24">
        <v>44785</v>
      </c>
      <c r="D1253" s="238" t="s">
        <v>27</v>
      </c>
      <c r="E1253" s="238" t="s">
        <v>15</v>
      </c>
      <c r="F1253">
        <v>2</v>
      </c>
      <c r="G1253">
        <v>3</v>
      </c>
      <c r="H1253">
        <v>521</v>
      </c>
      <c r="I1253" s="238" t="s">
        <v>42</v>
      </c>
      <c r="J1253">
        <v>37.159999999999997</v>
      </c>
      <c r="K1253" s="238" t="s">
        <v>38</v>
      </c>
      <c r="L1253">
        <v>2688000</v>
      </c>
      <c r="M1253">
        <v>0</v>
      </c>
      <c r="N1253">
        <v>2688000</v>
      </c>
      <c r="O1253">
        <v>72335.844994617873</v>
      </c>
      <c r="P1253">
        <v>0</v>
      </c>
      <c r="Q1253">
        <v>2688000</v>
      </c>
      <c r="R1253">
        <v>72335.844994617873</v>
      </c>
      <c r="S1253" s="238" t="s">
        <v>124</v>
      </c>
      <c r="T1253" s="238" t="s">
        <v>1167</v>
      </c>
      <c r="V1253" t="s">
        <v>1167</v>
      </c>
      <c r="W1253" s="24">
        <v>44781</v>
      </c>
      <c r="X1253" s="238" t="s">
        <v>3273</v>
      </c>
      <c r="Y1253" s="238" t="s">
        <v>3247</v>
      </c>
      <c r="Z1253" s="238" t="s">
        <v>1340</v>
      </c>
      <c r="AA1253" t="s">
        <v>1167</v>
      </c>
      <c r="AB1253" s="238" t="s">
        <v>3246</v>
      </c>
      <c r="AC1253" t="s">
        <v>1167</v>
      </c>
      <c r="AD1253" s="24"/>
      <c r="AE1253" s="238" t="s">
        <v>3248</v>
      </c>
      <c r="AG1253" s="238" t="s">
        <v>1167</v>
      </c>
      <c r="AH1253" s="238" t="s">
        <v>1167</v>
      </c>
      <c r="AI1253" s="238" t="s">
        <v>5050</v>
      </c>
      <c r="AJ1253" s="238" t="s">
        <v>982</v>
      </c>
      <c r="AK1253" s="238" t="s">
        <v>1167</v>
      </c>
      <c r="AL1253" t="s">
        <v>8715</v>
      </c>
      <c r="AM1253" t="s">
        <v>1167</v>
      </c>
    </row>
    <row r="1254" spans="1:39" hidden="1" x14ac:dyDescent="0.25">
      <c r="A1254">
        <v>1250</v>
      </c>
      <c r="B1254">
        <v>194</v>
      </c>
      <c r="C1254" s="24">
        <v>44785</v>
      </c>
      <c r="D1254" s="238" t="s">
        <v>27</v>
      </c>
      <c r="E1254" s="238" t="s">
        <v>15</v>
      </c>
      <c r="F1254">
        <v>2</v>
      </c>
      <c r="G1254">
        <v>4</v>
      </c>
      <c r="H1254">
        <v>529</v>
      </c>
      <c r="I1254" s="238" t="s">
        <v>42</v>
      </c>
      <c r="J1254">
        <v>37.159999999999997</v>
      </c>
      <c r="K1254" s="238" t="s">
        <v>38</v>
      </c>
      <c r="L1254">
        <v>2688000</v>
      </c>
      <c r="M1254">
        <v>0</v>
      </c>
      <c r="N1254">
        <v>2688000</v>
      </c>
      <c r="O1254">
        <v>72335.844994617873</v>
      </c>
      <c r="P1254">
        <v>0</v>
      </c>
      <c r="Q1254">
        <v>2688000</v>
      </c>
      <c r="R1254">
        <v>72335.844994617873</v>
      </c>
      <c r="S1254" s="238" t="s">
        <v>124</v>
      </c>
      <c r="T1254" s="238" t="s">
        <v>1167</v>
      </c>
      <c r="V1254" t="s">
        <v>1167</v>
      </c>
      <c r="W1254" s="24">
        <v>44781</v>
      </c>
      <c r="X1254" s="238" t="s">
        <v>3273</v>
      </c>
      <c r="Y1254" s="238" t="s">
        <v>3247</v>
      </c>
      <c r="Z1254" s="238" t="s">
        <v>1340</v>
      </c>
      <c r="AA1254" t="s">
        <v>1167</v>
      </c>
      <c r="AB1254" s="238" t="s">
        <v>3246</v>
      </c>
      <c r="AC1254" t="s">
        <v>1167</v>
      </c>
      <c r="AD1254" s="24"/>
      <c r="AE1254" s="238" t="s">
        <v>3248</v>
      </c>
      <c r="AG1254" s="238" t="s">
        <v>1167</v>
      </c>
      <c r="AH1254" s="238" t="s">
        <v>1167</v>
      </c>
      <c r="AI1254" s="238" t="s">
        <v>5050</v>
      </c>
      <c r="AJ1254" s="238" t="s">
        <v>982</v>
      </c>
      <c r="AK1254" s="238" t="s">
        <v>1167</v>
      </c>
      <c r="AL1254" t="s">
        <v>8715</v>
      </c>
      <c r="AM1254" t="s">
        <v>1167</v>
      </c>
    </row>
    <row r="1255" spans="1:39" hidden="1" x14ac:dyDescent="0.25">
      <c r="A1255">
        <v>1251</v>
      </c>
      <c r="B1255">
        <v>195</v>
      </c>
      <c r="C1255" s="24">
        <v>44785</v>
      </c>
      <c r="D1255" s="238" t="s">
        <v>27</v>
      </c>
      <c r="E1255" s="238" t="s">
        <v>15</v>
      </c>
      <c r="F1255">
        <v>4</v>
      </c>
      <c r="G1255">
        <v>10</v>
      </c>
      <c r="H1255">
        <v>579</v>
      </c>
      <c r="I1255" s="238" t="s">
        <v>42</v>
      </c>
      <c r="J1255">
        <v>40</v>
      </c>
      <c r="K1255" s="238" t="s">
        <v>38</v>
      </c>
      <c r="L1255">
        <v>2901750</v>
      </c>
      <c r="M1255">
        <v>0</v>
      </c>
      <c r="N1255">
        <v>2901750</v>
      </c>
      <c r="O1255">
        <v>72543.75</v>
      </c>
      <c r="P1255">
        <v>0</v>
      </c>
      <c r="Q1255">
        <v>2901750</v>
      </c>
      <c r="R1255">
        <v>72543.75</v>
      </c>
      <c r="S1255" s="238" t="s">
        <v>124</v>
      </c>
      <c r="T1255" s="238" t="s">
        <v>1167</v>
      </c>
      <c r="V1255" t="s">
        <v>1167</v>
      </c>
      <c r="W1255" s="24">
        <v>44781</v>
      </c>
      <c r="X1255" s="238" t="s">
        <v>3273</v>
      </c>
      <c r="Y1255" s="238" t="s">
        <v>3247</v>
      </c>
      <c r="Z1255" s="238" t="s">
        <v>1340</v>
      </c>
      <c r="AA1255" t="s">
        <v>1167</v>
      </c>
      <c r="AB1255" s="238" t="s">
        <v>3246</v>
      </c>
      <c r="AC1255" t="s">
        <v>1167</v>
      </c>
      <c r="AD1255" s="24"/>
      <c r="AE1255" s="238" t="s">
        <v>3248</v>
      </c>
      <c r="AG1255" s="238" t="s">
        <v>1167</v>
      </c>
      <c r="AH1255" s="238" t="s">
        <v>1167</v>
      </c>
      <c r="AI1255" s="238" t="s">
        <v>5050</v>
      </c>
      <c r="AJ1255" s="238" t="s">
        <v>982</v>
      </c>
      <c r="AK1255" s="238" t="s">
        <v>1167</v>
      </c>
      <c r="AL1255" t="s">
        <v>8715</v>
      </c>
      <c r="AM1255" t="s">
        <v>1167</v>
      </c>
    </row>
    <row r="1256" spans="1:39" hidden="1" x14ac:dyDescent="0.25">
      <c r="A1256">
        <v>1252</v>
      </c>
      <c r="B1256">
        <v>196</v>
      </c>
      <c r="C1256" s="24">
        <v>44785</v>
      </c>
      <c r="D1256" s="238" t="s">
        <v>27</v>
      </c>
      <c r="E1256" s="238" t="s">
        <v>15</v>
      </c>
      <c r="F1256">
        <v>4</v>
      </c>
      <c r="G1256">
        <v>11</v>
      </c>
      <c r="H1256">
        <v>587</v>
      </c>
      <c r="I1256" s="238" t="s">
        <v>42</v>
      </c>
      <c r="J1256">
        <v>40</v>
      </c>
      <c r="K1256" s="238" t="s">
        <v>38</v>
      </c>
      <c r="L1256">
        <v>2901750</v>
      </c>
      <c r="M1256">
        <v>0</v>
      </c>
      <c r="N1256">
        <v>2901750</v>
      </c>
      <c r="O1256">
        <v>72543.75</v>
      </c>
      <c r="P1256">
        <v>0</v>
      </c>
      <c r="Q1256">
        <v>2901750</v>
      </c>
      <c r="R1256">
        <v>72543.75</v>
      </c>
      <c r="S1256" s="238" t="s">
        <v>124</v>
      </c>
      <c r="T1256" s="238" t="s">
        <v>1167</v>
      </c>
      <c r="V1256" t="s">
        <v>1167</v>
      </c>
      <c r="W1256" s="24">
        <v>44781</v>
      </c>
      <c r="X1256" s="238" t="s">
        <v>3273</v>
      </c>
      <c r="Y1256" s="238" t="s">
        <v>3247</v>
      </c>
      <c r="Z1256" s="238" t="s">
        <v>1340</v>
      </c>
      <c r="AA1256" t="s">
        <v>1167</v>
      </c>
      <c r="AB1256" s="238" t="s">
        <v>3246</v>
      </c>
      <c r="AC1256" t="s">
        <v>1167</v>
      </c>
      <c r="AD1256" s="24"/>
      <c r="AE1256" s="238" t="s">
        <v>3248</v>
      </c>
      <c r="AG1256" s="238" t="s">
        <v>1167</v>
      </c>
      <c r="AH1256" s="238" t="s">
        <v>1167</v>
      </c>
      <c r="AI1256" s="238" t="s">
        <v>5050</v>
      </c>
      <c r="AJ1256" s="238" t="s">
        <v>982</v>
      </c>
      <c r="AK1256" s="238" t="s">
        <v>1167</v>
      </c>
      <c r="AL1256" t="s">
        <v>8715</v>
      </c>
      <c r="AM1256" t="s">
        <v>1167</v>
      </c>
    </row>
    <row r="1257" spans="1:39" hidden="1" x14ac:dyDescent="0.25">
      <c r="A1257">
        <v>1253</v>
      </c>
      <c r="B1257">
        <v>197</v>
      </c>
      <c r="C1257" s="24">
        <v>44785</v>
      </c>
      <c r="D1257" s="238" t="s">
        <v>27</v>
      </c>
      <c r="E1257" s="238" t="s">
        <v>15</v>
      </c>
      <c r="F1257">
        <v>2</v>
      </c>
      <c r="G1257">
        <v>16</v>
      </c>
      <c r="H1257">
        <v>625</v>
      </c>
      <c r="I1257" s="238" t="s">
        <v>42</v>
      </c>
      <c r="J1257">
        <v>37.159999999999997</v>
      </c>
      <c r="K1257" s="238" t="s">
        <v>38</v>
      </c>
      <c r="L1257">
        <v>2688000</v>
      </c>
      <c r="M1257">
        <v>0</v>
      </c>
      <c r="N1257">
        <v>2688000</v>
      </c>
      <c r="O1257">
        <v>72335.844994617873</v>
      </c>
      <c r="P1257">
        <v>0</v>
      </c>
      <c r="Q1257">
        <v>2688000</v>
      </c>
      <c r="R1257">
        <v>72335.844994617873</v>
      </c>
      <c r="S1257" s="238" t="s">
        <v>124</v>
      </c>
      <c r="T1257" s="238" t="s">
        <v>1167</v>
      </c>
      <c r="V1257" t="s">
        <v>1167</v>
      </c>
      <c r="W1257" s="24">
        <v>44781</v>
      </c>
      <c r="X1257" s="238" t="s">
        <v>3273</v>
      </c>
      <c r="Y1257" s="238" t="s">
        <v>3247</v>
      </c>
      <c r="Z1257" s="238" t="s">
        <v>1340</v>
      </c>
      <c r="AA1257" t="s">
        <v>1167</v>
      </c>
      <c r="AB1257" s="238" t="s">
        <v>3246</v>
      </c>
      <c r="AC1257" t="s">
        <v>1167</v>
      </c>
      <c r="AD1257" s="24"/>
      <c r="AE1257" s="238" t="s">
        <v>3248</v>
      </c>
      <c r="AG1257" s="238" t="s">
        <v>1167</v>
      </c>
      <c r="AH1257" s="238" t="s">
        <v>1167</v>
      </c>
      <c r="AI1257" s="238" t="s">
        <v>5050</v>
      </c>
      <c r="AJ1257" s="238" t="s">
        <v>982</v>
      </c>
      <c r="AK1257" s="238" t="s">
        <v>1167</v>
      </c>
      <c r="AL1257" t="s">
        <v>8715</v>
      </c>
      <c r="AM1257" t="s">
        <v>1167</v>
      </c>
    </row>
    <row r="1258" spans="1:39" hidden="1" x14ac:dyDescent="0.25">
      <c r="A1258">
        <v>1254</v>
      </c>
      <c r="B1258">
        <v>198</v>
      </c>
      <c r="C1258" s="24">
        <v>44785</v>
      </c>
      <c r="D1258" s="238" t="s">
        <v>27</v>
      </c>
      <c r="E1258" s="238" t="s">
        <v>14</v>
      </c>
      <c r="F1258">
        <v>1</v>
      </c>
      <c r="G1258">
        <v>2</v>
      </c>
      <c r="H1258">
        <v>632</v>
      </c>
      <c r="I1258" s="238" t="s">
        <v>42</v>
      </c>
      <c r="J1258">
        <v>42.52</v>
      </c>
      <c r="K1258" s="238" t="s">
        <v>38</v>
      </c>
      <c r="L1258">
        <v>3089250</v>
      </c>
      <c r="M1258">
        <v>0</v>
      </c>
      <c r="N1258">
        <v>3089250</v>
      </c>
      <c r="O1258">
        <v>72654.045155221072</v>
      </c>
      <c r="P1258">
        <v>0</v>
      </c>
      <c r="Q1258">
        <v>3089250</v>
      </c>
      <c r="R1258">
        <v>72654.045155221072</v>
      </c>
      <c r="S1258" s="238" t="s">
        <v>124</v>
      </c>
      <c r="T1258" s="238" t="s">
        <v>1167</v>
      </c>
      <c r="V1258" t="s">
        <v>1167</v>
      </c>
      <c r="W1258" s="24">
        <v>44781</v>
      </c>
      <c r="X1258" s="238" t="s">
        <v>3274</v>
      </c>
      <c r="Y1258" s="238" t="s">
        <v>3247</v>
      </c>
      <c r="Z1258" s="238" t="s">
        <v>1340</v>
      </c>
      <c r="AA1258" t="s">
        <v>1167</v>
      </c>
      <c r="AB1258" s="238" t="s">
        <v>3246</v>
      </c>
      <c r="AC1258" t="s">
        <v>1167</v>
      </c>
      <c r="AD1258" s="24"/>
      <c r="AE1258" s="238" t="s">
        <v>3248</v>
      </c>
      <c r="AG1258" s="238" t="s">
        <v>1167</v>
      </c>
      <c r="AH1258" s="238" t="s">
        <v>1167</v>
      </c>
      <c r="AI1258" s="238" t="s">
        <v>5050</v>
      </c>
      <c r="AJ1258" s="238" t="s">
        <v>982</v>
      </c>
      <c r="AK1258" s="238" t="s">
        <v>1167</v>
      </c>
      <c r="AL1258" t="s">
        <v>8715</v>
      </c>
      <c r="AM1258" t="s">
        <v>1167</v>
      </c>
    </row>
    <row r="1259" spans="1:39" hidden="1" x14ac:dyDescent="0.25">
      <c r="A1259">
        <v>1255</v>
      </c>
      <c r="B1259">
        <v>199</v>
      </c>
      <c r="C1259" s="24">
        <v>44785</v>
      </c>
      <c r="D1259" s="238" t="s">
        <v>27</v>
      </c>
      <c r="E1259" s="238" t="s">
        <v>14</v>
      </c>
      <c r="F1259">
        <v>2</v>
      </c>
      <c r="G1259">
        <v>2</v>
      </c>
      <c r="H1259">
        <v>633</v>
      </c>
      <c r="I1259" s="238" t="s">
        <v>42</v>
      </c>
      <c r="J1259">
        <v>40.75</v>
      </c>
      <c r="K1259" s="238" t="s">
        <v>38</v>
      </c>
      <c r="L1259">
        <v>2958000</v>
      </c>
      <c r="M1259">
        <v>0</v>
      </c>
      <c r="N1259">
        <v>2958000</v>
      </c>
      <c r="O1259">
        <v>72588.95705521472</v>
      </c>
      <c r="P1259">
        <v>0</v>
      </c>
      <c r="Q1259">
        <v>2958000</v>
      </c>
      <c r="R1259">
        <v>72588.95705521472</v>
      </c>
      <c r="S1259" s="238" t="s">
        <v>124</v>
      </c>
      <c r="T1259" s="238" t="s">
        <v>1167</v>
      </c>
      <c r="V1259" t="s">
        <v>1167</v>
      </c>
      <c r="W1259" s="24">
        <v>44781</v>
      </c>
      <c r="X1259" s="238" t="s">
        <v>3274</v>
      </c>
      <c r="Y1259" s="238" t="s">
        <v>3247</v>
      </c>
      <c r="Z1259" s="238" t="s">
        <v>1340</v>
      </c>
      <c r="AA1259" t="s">
        <v>1167</v>
      </c>
      <c r="AB1259" s="238" t="s">
        <v>3246</v>
      </c>
      <c r="AC1259" t="s">
        <v>1167</v>
      </c>
      <c r="AD1259" s="24"/>
      <c r="AE1259" s="238" t="s">
        <v>3248</v>
      </c>
      <c r="AG1259" s="238" t="s">
        <v>1167</v>
      </c>
      <c r="AH1259" s="238" t="s">
        <v>1167</v>
      </c>
      <c r="AI1259" s="238" t="s">
        <v>5050</v>
      </c>
      <c r="AJ1259" s="238" t="s">
        <v>982</v>
      </c>
      <c r="AK1259" s="238" t="s">
        <v>1167</v>
      </c>
      <c r="AL1259" t="s">
        <v>8715</v>
      </c>
      <c r="AM1259" t="s">
        <v>1167</v>
      </c>
    </row>
    <row r="1260" spans="1:39" hidden="1" x14ac:dyDescent="0.25">
      <c r="A1260">
        <v>1256</v>
      </c>
      <c r="B1260">
        <v>200</v>
      </c>
      <c r="C1260" s="24">
        <v>44785</v>
      </c>
      <c r="D1260" s="238" t="s">
        <v>27</v>
      </c>
      <c r="E1260" s="238" t="s">
        <v>14</v>
      </c>
      <c r="F1260">
        <v>5</v>
      </c>
      <c r="G1260">
        <v>2</v>
      </c>
      <c r="H1260">
        <v>636</v>
      </c>
      <c r="I1260" s="238" t="s">
        <v>42</v>
      </c>
      <c r="J1260">
        <v>38.96</v>
      </c>
      <c r="K1260" s="238" t="s">
        <v>38</v>
      </c>
      <c r="L1260">
        <v>2817750</v>
      </c>
      <c r="M1260">
        <v>0</v>
      </c>
      <c r="N1260">
        <v>2817750</v>
      </c>
      <c r="O1260">
        <v>72324.178644763859</v>
      </c>
      <c r="P1260">
        <v>0</v>
      </c>
      <c r="Q1260">
        <v>2817750</v>
      </c>
      <c r="R1260">
        <v>72324.178644763859</v>
      </c>
      <c r="S1260" s="238" t="s">
        <v>124</v>
      </c>
      <c r="T1260" s="238" t="s">
        <v>1167</v>
      </c>
      <c r="V1260" t="s">
        <v>1167</v>
      </c>
      <c r="W1260" s="24">
        <v>44781</v>
      </c>
      <c r="X1260" s="238" t="s">
        <v>3274</v>
      </c>
      <c r="Y1260" s="238" t="s">
        <v>3247</v>
      </c>
      <c r="Z1260" s="238" t="s">
        <v>1340</v>
      </c>
      <c r="AA1260" t="s">
        <v>1167</v>
      </c>
      <c r="AB1260" s="238" t="s">
        <v>3246</v>
      </c>
      <c r="AC1260" t="s">
        <v>1167</v>
      </c>
      <c r="AD1260" s="24"/>
      <c r="AE1260" s="238" t="s">
        <v>3248</v>
      </c>
      <c r="AG1260" s="238" t="s">
        <v>1167</v>
      </c>
      <c r="AH1260" s="238" t="s">
        <v>1167</v>
      </c>
      <c r="AI1260" s="238" t="s">
        <v>5050</v>
      </c>
      <c r="AJ1260" s="238" t="s">
        <v>982</v>
      </c>
      <c r="AK1260" s="238" t="s">
        <v>1167</v>
      </c>
      <c r="AL1260" t="s">
        <v>8715</v>
      </c>
      <c r="AM1260" t="s">
        <v>1167</v>
      </c>
    </row>
    <row r="1261" spans="1:39" hidden="1" x14ac:dyDescent="0.25">
      <c r="A1261">
        <v>1257</v>
      </c>
      <c r="B1261">
        <v>201</v>
      </c>
      <c r="C1261" s="24">
        <v>44785</v>
      </c>
      <c r="D1261" s="238" t="s">
        <v>27</v>
      </c>
      <c r="E1261" s="238" t="s">
        <v>14</v>
      </c>
      <c r="F1261">
        <v>6</v>
      </c>
      <c r="G1261">
        <v>2</v>
      </c>
      <c r="H1261">
        <v>637</v>
      </c>
      <c r="I1261" s="238" t="s">
        <v>43</v>
      </c>
      <c r="J1261">
        <v>61.95</v>
      </c>
      <c r="K1261" s="238" t="s">
        <v>38</v>
      </c>
      <c r="L1261">
        <v>4547250</v>
      </c>
      <c r="M1261">
        <v>0</v>
      </c>
      <c r="N1261">
        <v>4547250</v>
      </c>
      <c r="O1261">
        <v>73401.937046004838</v>
      </c>
      <c r="P1261">
        <v>0</v>
      </c>
      <c r="Q1261">
        <v>4547250</v>
      </c>
      <c r="R1261">
        <v>73401.937046004838</v>
      </c>
      <c r="S1261" s="238" t="s">
        <v>124</v>
      </c>
      <c r="T1261" s="238" t="s">
        <v>1167</v>
      </c>
      <c r="V1261" t="s">
        <v>1167</v>
      </c>
      <c r="W1261" s="24">
        <v>44781</v>
      </c>
      <c r="X1261" s="238" t="s">
        <v>3274</v>
      </c>
      <c r="Y1261" s="238" t="s">
        <v>3247</v>
      </c>
      <c r="Z1261" s="238" t="s">
        <v>1340</v>
      </c>
      <c r="AA1261" t="s">
        <v>1167</v>
      </c>
      <c r="AB1261" s="238" t="s">
        <v>3246</v>
      </c>
      <c r="AC1261" t="s">
        <v>1167</v>
      </c>
      <c r="AD1261" s="24"/>
      <c r="AE1261" s="238" t="s">
        <v>3248</v>
      </c>
      <c r="AG1261" s="238" t="s">
        <v>1167</v>
      </c>
      <c r="AH1261" s="238" t="s">
        <v>1167</v>
      </c>
      <c r="AI1261" s="238" t="s">
        <v>5050</v>
      </c>
      <c r="AJ1261" s="238" t="s">
        <v>982</v>
      </c>
      <c r="AK1261" s="238" t="s">
        <v>1167</v>
      </c>
      <c r="AL1261" t="s">
        <v>8715</v>
      </c>
      <c r="AM1261" t="s">
        <v>1167</v>
      </c>
    </row>
    <row r="1262" spans="1:39" hidden="1" x14ac:dyDescent="0.25">
      <c r="A1262">
        <v>1258</v>
      </c>
      <c r="B1262">
        <v>202</v>
      </c>
      <c r="C1262" s="24">
        <v>44785</v>
      </c>
      <c r="D1262" s="238" t="s">
        <v>27</v>
      </c>
      <c r="E1262" s="238" t="s">
        <v>14</v>
      </c>
      <c r="F1262">
        <v>7</v>
      </c>
      <c r="G1262">
        <v>2</v>
      </c>
      <c r="H1262">
        <v>638</v>
      </c>
      <c r="I1262" s="238" t="s">
        <v>42</v>
      </c>
      <c r="J1262">
        <v>38.909999999999997</v>
      </c>
      <c r="K1262" s="238" t="s">
        <v>38</v>
      </c>
      <c r="L1262">
        <v>2817000</v>
      </c>
      <c r="M1262">
        <v>0</v>
      </c>
      <c r="N1262">
        <v>2817000</v>
      </c>
      <c r="O1262">
        <v>72397.841171935244</v>
      </c>
      <c r="P1262">
        <v>0</v>
      </c>
      <c r="Q1262">
        <v>2817000</v>
      </c>
      <c r="R1262">
        <v>72397.841171935244</v>
      </c>
      <c r="S1262" s="238" t="s">
        <v>124</v>
      </c>
      <c r="T1262" s="238" t="s">
        <v>1167</v>
      </c>
      <c r="V1262" t="s">
        <v>1167</v>
      </c>
      <c r="W1262" s="24">
        <v>44781</v>
      </c>
      <c r="X1262" s="238" t="s">
        <v>3274</v>
      </c>
      <c r="Y1262" s="238" t="s">
        <v>3247</v>
      </c>
      <c r="Z1262" s="238" t="s">
        <v>1340</v>
      </c>
      <c r="AA1262" t="s">
        <v>1167</v>
      </c>
      <c r="AB1262" s="238" t="s">
        <v>3246</v>
      </c>
      <c r="AC1262" t="s">
        <v>1167</v>
      </c>
      <c r="AD1262" s="24"/>
      <c r="AE1262" s="238" t="s">
        <v>3248</v>
      </c>
      <c r="AG1262" s="238" t="s">
        <v>1167</v>
      </c>
      <c r="AH1262" s="238" t="s">
        <v>1167</v>
      </c>
      <c r="AI1262" s="238" t="s">
        <v>5050</v>
      </c>
      <c r="AJ1262" s="238" t="s">
        <v>982</v>
      </c>
      <c r="AK1262" s="238" t="s">
        <v>1167</v>
      </c>
      <c r="AL1262" t="s">
        <v>8715</v>
      </c>
      <c r="AM1262" t="s">
        <v>1167</v>
      </c>
    </row>
    <row r="1263" spans="1:39" hidden="1" x14ac:dyDescent="0.25">
      <c r="A1263">
        <v>1259</v>
      </c>
      <c r="B1263">
        <v>203</v>
      </c>
      <c r="C1263" s="24">
        <v>44785</v>
      </c>
      <c r="D1263" s="238" t="s">
        <v>27</v>
      </c>
      <c r="E1263" s="238" t="s">
        <v>14</v>
      </c>
      <c r="F1263">
        <v>8</v>
      </c>
      <c r="G1263">
        <v>2</v>
      </c>
      <c r="H1263">
        <v>639</v>
      </c>
      <c r="I1263" s="238" t="s">
        <v>43</v>
      </c>
      <c r="J1263">
        <v>62.35</v>
      </c>
      <c r="K1263" s="238" t="s">
        <v>38</v>
      </c>
      <c r="L1263">
        <v>4481250</v>
      </c>
      <c r="M1263">
        <v>0</v>
      </c>
      <c r="N1263">
        <v>4481250</v>
      </c>
      <c r="O1263">
        <v>71872.49398556535</v>
      </c>
      <c r="P1263">
        <v>0</v>
      </c>
      <c r="Q1263">
        <v>4481250</v>
      </c>
      <c r="R1263">
        <v>71872.49398556535</v>
      </c>
      <c r="S1263" s="238" t="s">
        <v>124</v>
      </c>
      <c r="T1263" s="238" t="s">
        <v>1167</v>
      </c>
      <c r="V1263" t="s">
        <v>1167</v>
      </c>
      <c r="W1263" s="24">
        <v>44781</v>
      </c>
      <c r="X1263" s="238" t="s">
        <v>3274</v>
      </c>
      <c r="Y1263" s="238" t="s">
        <v>3247</v>
      </c>
      <c r="Z1263" s="238" t="s">
        <v>1340</v>
      </c>
      <c r="AA1263" t="s">
        <v>1167</v>
      </c>
      <c r="AB1263" s="238" t="s">
        <v>3246</v>
      </c>
      <c r="AC1263" t="s">
        <v>1167</v>
      </c>
      <c r="AD1263" s="24"/>
      <c r="AE1263" s="238" t="s">
        <v>3248</v>
      </c>
      <c r="AG1263" s="238" t="s">
        <v>1167</v>
      </c>
      <c r="AH1263" s="238" t="s">
        <v>1167</v>
      </c>
      <c r="AI1263" s="238" t="s">
        <v>5050</v>
      </c>
      <c r="AJ1263" s="238" t="s">
        <v>982</v>
      </c>
      <c r="AK1263" s="238" t="s">
        <v>1167</v>
      </c>
      <c r="AL1263" t="s">
        <v>8715</v>
      </c>
      <c r="AM1263" t="s">
        <v>1167</v>
      </c>
    </row>
    <row r="1264" spans="1:39" hidden="1" x14ac:dyDescent="0.25">
      <c r="A1264">
        <v>1260</v>
      </c>
      <c r="B1264">
        <v>204</v>
      </c>
      <c r="C1264" s="24">
        <v>44785</v>
      </c>
      <c r="D1264" s="238" t="s">
        <v>27</v>
      </c>
      <c r="E1264" s="238" t="s">
        <v>14</v>
      </c>
      <c r="F1264">
        <v>9</v>
      </c>
      <c r="G1264">
        <v>2</v>
      </c>
      <c r="H1264">
        <v>640</v>
      </c>
      <c r="I1264" s="238" t="s">
        <v>42</v>
      </c>
      <c r="J1264">
        <v>42.62</v>
      </c>
      <c r="K1264" s="238" t="s">
        <v>38</v>
      </c>
      <c r="L1264">
        <v>3096750</v>
      </c>
      <c r="M1264">
        <v>0</v>
      </c>
      <c r="N1264">
        <v>3096750</v>
      </c>
      <c r="O1264">
        <v>72659.549507273579</v>
      </c>
      <c r="P1264">
        <v>0</v>
      </c>
      <c r="Q1264">
        <v>3096750</v>
      </c>
      <c r="R1264">
        <v>72659.549507273579</v>
      </c>
      <c r="S1264" s="238" t="s">
        <v>124</v>
      </c>
      <c r="T1264" s="238" t="s">
        <v>1167</v>
      </c>
      <c r="V1264" t="s">
        <v>1167</v>
      </c>
      <c r="W1264" s="24">
        <v>44781</v>
      </c>
      <c r="X1264" s="238" t="s">
        <v>3274</v>
      </c>
      <c r="Y1264" s="238" t="s">
        <v>3247</v>
      </c>
      <c r="Z1264" s="238" t="s">
        <v>1340</v>
      </c>
      <c r="AA1264" t="s">
        <v>1167</v>
      </c>
      <c r="AB1264" s="238" t="s">
        <v>3246</v>
      </c>
      <c r="AC1264" t="s">
        <v>1167</v>
      </c>
      <c r="AD1264" s="24"/>
      <c r="AE1264" s="238" t="s">
        <v>3248</v>
      </c>
      <c r="AG1264" s="238" t="s">
        <v>1167</v>
      </c>
      <c r="AH1264" s="238" t="s">
        <v>1167</v>
      </c>
      <c r="AI1264" s="238" t="s">
        <v>5050</v>
      </c>
      <c r="AJ1264" s="238" t="s">
        <v>982</v>
      </c>
      <c r="AK1264" s="238" t="s">
        <v>1167</v>
      </c>
      <c r="AL1264" t="s">
        <v>8715</v>
      </c>
      <c r="AM1264" t="s">
        <v>1167</v>
      </c>
    </row>
    <row r="1265" spans="1:39" hidden="1" x14ac:dyDescent="0.25">
      <c r="A1265">
        <v>1261</v>
      </c>
      <c r="B1265">
        <v>205</v>
      </c>
      <c r="C1265" s="24">
        <v>44785</v>
      </c>
      <c r="D1265" s="238" t="s">
        <v>27</v>
      </c>
      <c r="E1265" s="238" t="s">
        <v>14</v>
      </c>
      <c r="F1265">
        <v>1</v>
      </c>
      <c r="G1265">
        <v>3</v>
      </c>
      <c r="H1265">
        <v>641</v>
      </c>
      <c r="I1265" s="238" t="s">
        <v>42</v>
      </c>
      <c r="J1265">
        <v>42.52</v>
      </c>
      <c r="K1265" s="238" t="s">
        <v>38</v>
      </c>
      <c r="L1265">
        <v>3089250</v>
      </c>
      <c r="M1265">
        <v>0</v>
      </c>
      <c r="N1265">
        <v>3089250</v>
      </c>
      <c r="O1265">
        <v>72654.045155221072</v>
      </c>
      <c r="P1265">
        <v>0</v>
      </c>
      <c r="Q1265">
        <v>3089250</v>
      </c>
      <c r="R1265">
        <v>72654.045155221072</v>
      </c>
      <c r="S1265" s="238" t="s">
        <v>124</v>
      </c>
      <c r="T1265" s="238" t="s">
        <v>1167</v>
      </c>
      <c r="V1265" t="s">
        <v>1167</v>
      </c>
      <c r="W1265" s="24">
        <v>44781</v>
      </c>
      <c r="X1265" s="238" t="s">
        <v>3274</v>
      </c>
      <c r="Y1265" s="238" t="s">
        <v>3247</v>
      </c>
      <c r="Z1265" s="238" t="s">
        <v>1340</v>
      </c>
      <c r="AA1265" t="s">
        <v>1167</v>
      </c>
      <c r="AB1265" s="238" t="s">
        <v>3246</v>
      </c>
      <c r="AC1265" t="s">
        <v>1167</v>
      </c>
      <c r="AD1265" s="24"/>
      <c r="AE1265" s="238" t="s">
        <v>3248</v>
      </c>
      <c r="AG1265" s="238" t="s">
        <v>1167</v>
      </c>
      <c r="AH1265" s="238" t="s">
        <v>1167</v>
      </c>
      <c r="AI1265" s="238" t="s">
        <v>5050</v>
      </c>
      <c r="AJ1265" s="238" t="s">
        <v>982</v>
      </c>
      <c r="AK1265" s="238" t="s">
        <v>1167</v>
      </c>
      <c r="AL1265" t="s">
        <v>8715</v>
      </c>
      <c r="AM1265" t="s">
        <v>1167</v>
      </c>
    </row>
    <row r="1266" spans="1:39" hidden="1" x14ac:dyDescent="0.25">
      <c r="A1266">
        <v>1262</v>
      </c>
      <c r="B1266">
        <v>206</v>
      </c>
      <c r="C1266" s="24">
        <v>44785</v>
      </c>
      <c r="D1266" s="238" t="s">
        <v>27</v>
      </c>
      <c r="E1266" s="238" t="s">
        <v>14</v>
      </c>
      <c r="F1266">
        <v>2</v>
      </c>
      <c r="G1266">
        <v>3</v>
      </c>
      <c r="H1266">
        <v>642</v>
      </c>
      <c r="I1266" s="238" t="s">
        <v>42</v>
      </c>
      <c r="J1266">
        <v>40.75</v>
      </c>
      <c r="K1266" s="238" t="s">
        <v>38</v>
      </c>
      <c r="L1266">
        <v>2958000</v>
      </c>
      <c r="M1266">
        <v>0</v>
      </c>
      <c r="N1266">
        <v>2958000</v>
      </c>
      <c r="O1266">
        <v>72588.95705521472</v>
      </c>
      <c r="P1266">
        <v>0</v>
      </c>
      <c r="Q1266">
        <v>2958000</v>
      </c>
      <c r="R1266">
        <v>72588.95705521472</v>
      </c>
      <c r="S1266" s="238" t="s">
        <v>124</v>
      </c>
      <c r="T1266" s="238" t="s">
        <v>1167</v>
      </c>
      <c r="V1266" t="s">
        <v>1167</v>
      </c>
      <c r="W1266" s="24">
        <v>44781</v>
      </c>
      <c r="X1266" s="238" t="s">
        <v>3274</v>
      </c>
      <c r="Y1266" s="238" t="s">
        <v>3247</v>
      </c>
      <c r="Z1266" s="238" t="s">
        <v>1340</v>
      </c>
      <c r="AA1266" t="s">
        <v>1167</v>
      </c>
      <c r="AB1266" s="238" t="s">
        <v>3246</v>
      </c>
      <c r="AC1266" t="s">
        <v>1167</v>
      </c>
      <c r="AD1266" s="24"/>
      <c r="AE1266" s="238" t="s">
        <v>3248</v>
      </c>
      <c r="AG1266" s="238" t="s">
        <v>1167</v>
      </c>
      <c r="AH1266" s="238" t="s">
        <v>1167</v>
      </c>
      <c r="AI1266" s="238" t="s">
        <v>5050</v>
      </c>
      <c r="AJ1266" s="238" t="s">
        <v>982</v>
      </c>
      <c r="AK1266" s="238" t="s">
        <v>1167</v>
      </c>
      <c r="AL1266" t="s">
        <v>8715</v>
      </c>
      <c r="AM1266" t="s">
        <v>1167</v>
      </c>
    </row>
    <row r="1267" spans="1:39" hidden="1" x14ac:dyDescent="0.25">
      <c r="A1267">
        <v>1263</v>
      </c>
      <c r="B1267">
        <v>207</v>
      </c>
      <c r="C1267" s="24">
        <v>44785</v>
      </c>
      <c r="D1267" s="238" t="s">
        <v>27</v>
      </c>
      <c r="E1267" s="238" t="s">
        <v>14</v>
      </c>
      <c r="F1267">
        <v>3</v>
      </c>
      <c r="G1267">
        <v>3</v>
      </c>
      <c r="H1267">
        <v>643</v>
      </c>
      <c r="I1267" s="238" t="s">
        <v>43</v>
      </c>
      <c r="J1267">
        <v>56.33</v>
      </c>
      <c r="K1267" s="238" t="s">
        <v>38</v>
      </c>
      <c r="L1267">
        <v>4128000</v>
      </c>
      <c r="M1267">
        <v>0</v>
      </c>
      <c r="N1267">
        <v>4128000</v>
      </c>
      <c r="O1267">
        <v>73282.442748091606</v>
      </c>
      <c r="P1267">
        <v>0</v>
      </c>
      <c r="Q1267">
        <v>4128000</v>
      </c>
      <c r="R1267">
        <v>73282.442748091606</v>
      </c>
      <c r="S1267" s="238" t="s">
        <v>124</v>
      </c>
      <c r="T1267" s="238" t="s">
        <v>1167</v>
      </c>
      <c r="V1267" t="s">
        <v>1167</v>
      </c>
      <c r="W1267" s="24">
        <v>44781</v>
      </c>
      <c r="X1267" s="238" t="s">
        <v>3274</v>
      </c>
      <c r="Y1267" s="238" t="s">
        <v>3247</v>
      </c>
      <c r="Z1267" s="238" t="s">
        <v>1340</v>
      </c>
      <c r="AA1267" t="s">
        <v>1167</v>
      </c>
      <c r="AB1267" s="238" t="s">
        <v>3246</v>
      </c>
      <c r="AC1267" t="s">
        <v>1167</v>
      </c>
      <c r="AD1267" s="24"/>
      <c r="AE1267" s="238" t="s">
        <v>3248</v>
      </c>
      <c r="AG1267" s="238" t="s">
        <v>1167</v>
      </c>
      <c r="AH1267" s="238" t="s">
        <v>1167</v>
      </c>
      <c r="AI1267" s="238" t="s">
        <v>5050</v>
      </c>
      <c r="AJ1267" s="238" t="s">
        <v>982</v>
      </c>
      <c r="AK1267" s="238" t="s">
        <v>1167</v>
      </c>
      <c r="AL1267" t="s">
        <v>8715</v>
      </c>
      <c r="AM1267" t="s">
        <v>1167</v>
      </c>
    </row>
    <row r="1268" spans="1:39" hidden="1" x14ac:dyDescent="0.25">
      <c r="A1268">
        <v>1264</v>
      </c>
      <c r="B1268">
        <v>208</v>
      </c>
      <c r="C1268" s="24">
        <v>44785</v>
      </c>
      <c r="D1268" s="238" t="s">
        <v>27</v>
      </c>
      <c r="E1268" s="238" t="s">
        <v>14</v>
      </c>
      <c r="F1268">
        <v>5</v>
      </c>
      <c r="G1268">
        <v>3</v>
      </c>
      <c r="H1268">
        <v>645</v>
      </c>
      <c r="I1268" s="238" t="s">
        <v>42</v>
      </c>
      <c r="J1268">
        <v>38.96</v>
      </c>
      <c r="K1268" s="238" t="s">
        <v>38</v>
      </c>
      <c r="L1268">
        <v>2817750</v>
      </c>
      <c r="M1268">
        <v>0</v>
      </c>
      <c r="N1268">
        <v>2817750</v>
      </c>
      <c r="O1268">
        <v>72324.178644763859</v>
      </c>
      <c r="P1268">
        <v>0</v>
      </c>
      <c r="Q1268">
        <v>2817750</v>
      </c>
      <c r="R1268">
        <v>72324.178644763859</v>
      </c>
      <c r="S1268" s="238" t="s">
        <v>124</v>
      </c>
      <c r="T1268" s="238" t="s">
        <v>1167</v>
      </c>
      <c r="V1268" t="s">
        <v>1167</v>
      </c>
      <c r="W1268" s="24">
        <v>44781</v>
      </c>
      <c r="X1268" s="238" t="s">
        <v>3274</v>
      </c>
      <c r="Y1268" s="238" t="s">
        <v>3247</v>
      </c>
      <c r="Z1268" s="238" t="s">
        <v>1340</v>
      </c>
      <c r="AA1268" t="s">
        <v>1167</v>
      </c>
      <c r="AB1268" s="238" t="s">
        <v>3246</v>
      </c>
      <c r="AC1268" t="s">
        <v>1167</v>
      </c>
      <c r="AD1268" s="24"/>
      <c r="AE1268" s="238" t="s">
        <v>3248</v>
      </c>
      <c r="AG1268" s="238" t="s">
        <v>1167</v>
      </c>
      <c r="AH1268" s="238" t="s">
        <v>1167</v>
      </c>
      <c r="AI1268" s="238" t="s">
        <v>5050</v>
      </c>
      <c r="AJ1268" s="238" t="s">
        <v>982</v>
      </c>
      <c r="AK1268" s="238" t="s">
        <v>1167</v>
      </c>
      <c r="AL1268" t="s">
        <v>8715</v>
      </c>
      <c r="AM1268" t="s">
        <v>1167</v>
      </c>
    </row>
    <row r="1269" spans="1:39" hidden="1" x14ac:dyDescent="0.25">
      <c r="A1269">
        <v>1265</v>
      </c>
      <c r="B1269">
        <v>209</v>
      </c>
      <c r="C1269" s="24">
        <v>44785</v>
      </c>
      <c r="D1269" s="238" t="s">
        <v>27</v>
      </c>
      <c r="E1269" s="238" t="s">
        <v>14</v>
      </c>
      <c r="F1269">
        <v>8</v>
      </c>
      <c r="G1269">
        <v>3</v>
      </c>
      <c r="H1269">
        <v>648</v>
      </c>
      <c r="I1269" s="238" t="s">
        <v>43</v>
      </c>
      <c r="J1269">
        <v>62.35</v>
      </c>
      <c r="K1269" s="238" t="s">
        <v>38</v>
      </c>
      <c r="L1269">
        <v>4481250</v>
      </c>
      <c r="M1269">
        <v>0</v>
      </c>
      <c r="N1269">
        <v>4481250</v>
      </c>
      <c r="O1269">
        <v>71872.49398556535</v>
      </c>
      <c r="P1269">
        <v>0</v>
      </c>
      <c r="Q1269">
        <v>4481250</v>
      </c>
      <c r="R1269">
        <v>71872.49398556535</v>
      </c>
      <c r="S1269" s="238" t="s">
        <v>124</v>
      </c>
      <c r="T1269" s="238" t="s">
        <v>1167</v>
      </c>
      <c r="V1269" t="s">
        <v>1167</v>
      </c>
      <c r="W1269" s="24">
        <v>44781</v>
      </c>
      <c r="X1269" s="238" t="s">
        <v>3274</v>
      </c>
      <c r="Y1269" s="238" t="s">
        <v>3247</v>
      </c>
      <c r="Z1269" s="238" t="s">
        <v>1340</v>
      </c>
      <c r="AA1269" t="s">
        <v>1167</v>
      </c>
      <c r="AB1269" s="238" t="s">
        <v>3246</v>
      </c>
      <c r="AC1269" t="s">
        <v>1167</v>
      </c>
      <c r="AD1269" s="24"/>
      <c r="AE1269" s="238" t="s">
        <v>3248</v>
      </c>
      <c r="AG1269" s="238" t="s">
        <v>1167</v>
      </c>
      <c r="AH1269" s="238" t="s">
        <v>1167</v>
      </c>
      <c r="AI1269" s="238" t="s">
        <v>5050</v>
      </c>
      <c r="AJ1269" s="238" t="s">
        <v>982</v>
      </c>
      <c r="AK1269" s="238" t="s">
        <v>1167</v>
      </c>
      <c r="AL1269" t="s">
        <v>8715</v>
      </c>
      <c r="AM1269" t="s">
        <v>1167</v>
      </c>
    </row>
    <row r="1270" spans="1:39" hidden="1" x14ac:dyDescent="0.25">
      <c r="A1270">
        <v>1266</v>
      </c>
      <c r="B1270">
        <v>210</v>
      </c>
      <c r="C1270" s="24">
        <v>44785</v>
      </c>
      <c r="D1270" s="238" t="s">
        <v>27</v>
      </c>
      <c r="E1270" s="238" t="s">
        <v>14</v>
      </c>
      <c r="F1270">
        <v>9</v>
      </c>
      <c r="G1270">
        <v>3</v>
      </c>
      <c r="H1270">
        <v>649</v>
      </c>
      <c r="I1270" s="238" t="s">
        <v>42</v>
      </c>
      <c r="J1270">
        <v>42.62</v>
      </c>
      <c r="K1270" s="238" t="s">
        <v>38</v>
      </c>
      <c r="L1270">
        <v>3096750</v>
      </c>
      <c r="M1270">
        <v>0</v>
      </c>
      <c r="N1270">
        <v>3096750</v>
      </c>
      <c r="O1270">
        <v>72659.549507273579</v>
      </c>
      <c r="P1270">
        <v>0</v>
      </c>
      <c r="Q1270">
        <v>3096750</v>
      </c>
      <c r="R1270">
        <v>72659.549507273579</v>
      </c>
      <c r="S1270" s="238" t="s">
        <v>124</v>
      </c>
      <c r="T1270" s="238" t="s">
        <v>1167</v>
      </c>
      <c r="V1270" t="s">
        <v>1167</v>
      </c>
      <c r="W1270" s="24">
        <v>44781</v>
      </c>
      <c r="X1270" s="238" t="s">
        <v>3274</v>
      </c>
      <c r="Y1270" s="238" t="s">
        <v>3247</v>
      </c>
      <c r="Z1270" s="238" t="s">
        <v>1340</v>
      </c>
      <c r="AA1270" t="s">
        <v>1167</v>
      </c>
      <c r="AB1270" s="238" t="s">
        <v>3246</v>
      </c>
      <c r="AC1270" t="s">
        <v>1167</v>
      </c>
      <c r="AD1270" s="24"/>
      <c r="AE1270" s="238" t="s">
        <v>3248</v>
      </c>
      <c r="AG1270" s="238" t="s">
        <v>1167</v>
      </c>
      <c r="AH1270" s="238" t="s">
        <v>1167</v>
      </c>
      <c r="AI1270" s="238" t="s">
        <v>5050</v>
      </c>
      <c r="AJ1270" s="238" t="s">
        <v>982</v>
      </c>
      <c r="AK1270" s="238" t="s">
        <v>1167</v>
      </c>
      <c r="AL1270" t="s">
        <v>8715</v>
      </c>
      <c r="AM1270" t="s">
        <v>1167</v>
      </c>
    </row>
    <row r="1271" spans="1:39" hidden="1" x14ac:dyDescent="0.25">
      <c r="A1271">
        <v>1267</v>
      </c>
      <c r="B1271">
        <v>211</v>
      </c>
      <c r="C1271" s="24">
        <v>44785</v>
      </c>
      <c r="D1271" s="238" t="s">
        <v>27</v>
      </c>
      <c r="E1271" s="238" t="s">
        <v>14</v>
      </c>
      <c r="F1271">
        <v>1</v>
      </c>
      <c r="G1271">
        <v>4</v>
      </c>
      <c r="H1271">
        <v>650</v>
      </c>
      <c r="I1271" s="238" t="s">
        <v>42</v>
      </c>
      <c r="J1271">
        <v>42.52</v>
      </c>
      <c r="K1271" s="238" t="s">
        <v>38</v>
      </c>
      <c r="L1271">
        <v>3089250</v>
      </c>
      <c r="M1271">
        <v>0</v>
      </c>
      <c r="N1271">
        <v>3089250</v>
      </c>
      <c r="O1271">
        <v>72654.045155221072</v>
      </c>
      <c r="P1271">
        <v>0</v>
      </c>
      <c r="Q1271">
        <v>3089250</v>
      </c>
      <c r="R1271">
        <v>72654.045155221072</v>
      </c>
      <c r="S1271" s="238" t="s">
        <v>124</v>
      </c>
      <c r="T1271" s="238" t="s">
        <v>1167</v>
      </c>
      <c r="V1271" t="s">
        <v>1167</v>
      </c>
      <c r="W1271" s="24">
        <v>44781</v>
      </c>
      <c r="X1271" s="238" t="s">
        <v>3274</v>
      </c>
      <c r="Y1271" s="238" t="s">
        <v>3247</v>
      </c>
      <c r="Z1271" s="238" t="s">
        <v>1340</v>
      </c>
      <c r="AA1271" t="s">
        <v>1167</v>
      </c>
      <c r="AB1271" s="238" t="s">
        <v>3246</v>
      </c>
      <c r="AC1271" t="s">
        <v>1167</v>
      </c>
      <c r="AD1271" s="24"/>
      <c r="AE1271" s="238" t="s">
        <v>3248</v>
      </c>
      <c r="AG1271" s="238" t="s">
        <v>1167</v>
      </c>
      <c r="AH1271" s="238" t="s">
        <v>1167</v>
      </c>
      <c r="AI1271" s="238" t="s">
        <v>5050</v>
      </c>
      <c r="AJ1271" s="238" t="s">
        <v>982</v>
      </c>
      <c r="AK1271" s="238" t="s">
        <v>1167</v>
      </c>
      <c r="AL1271" t="s">
        <v>8715</v>
      </c>
      <c r="AM1271" t="s">
        <v>1167</v>
      </c>
    </row>
    <row r="1272" spans="1:39" hidden="1" x14ac:dyDescent="0.25">
      <c r="A1272">
        <v>1268</v>
      </c>
      <c r="B1272">
        <v>212</v>
      </c>
      <c r="C1272" s="24">
        <v>44784</v>
      </c>
      <c r="D1272" s="238" t="s">
        <v>27</v>
      </c>
      <c r="E1272" s="238" t="s">
        <v>14</v>
      </c>
      <c r="F1272">
        <v>5</v>
      </c>
      <c r="G1272">
        <v>4</v>
      </c>
      <c r="H1272">
        <v>654</v>
      </c>
      <c r="I1272" s="238" t="s">
        <v>42</v>
      </c>
      <c r="J1272">
        <v>38.96</v>
      </c>
      <c r="K1272" s="238" t="s">
        <v>38</v>
      </c>
      <c r="L1272">
        <v>2817750</v>
      </c>
      <c r="M1272">
        <v>0</v>
      </c>
      <c r="N1272">
        <v>2817750</v>
      </c>
      <c r="O1272">
        <v>72324.178644763859</v>
      </c>
      <c r="P1272">
        <v>0</v>
      </c>
      <c r="Q1272">
        <v>2817750</v>
      </c>
      <c r="R1272">
        <v>72324.178644763859</v>
      </c>
      <c r="S1272" s="238" t="s">
        <v>124</v>
      </c>
      <c r="T1272" s="238" t="s">
        <v>1167</v>
      </c>
      <c r="V1272" t="s">
        <v>1167</v>
      </c>
      <c r="W1272" s="24">
        <v>44781</v>
      </c>
      <c r="X1272" s="238" t="s">
        <v>3275</v>
      </c>
      <c r="Y1272" s="238" t="s">
        <v>3247</v>
      </c>
      <c r="Z1272" s="238" t="s">
        <v>1340</v>
      </c>
      <c r="AA1272" t="s">
        <v>1167</v>
      </c>
      <c r="AB1272" s="238" t="s">
        <v>3246</v>
      </c>
      <c r="AC1272" t="s">
        <v>1167</v>
      </c>
      <c r="AD1272" s="24"/>
      <c r="AE1272" s="238" t="s">
        <v>3248</v>
      </c>
      <c r="AG1272" s="238" t="s">
        <v>1167</v>
      </c>
      <c r="AH1272" s="238" t="s">
        <v>1167</v>
      </c>
      <c r="AI1272" s="238" t="s">
        <v>5050</v>
      </c>
      <c r="AJ1272" s="238" t="s">
        <v>982</v>
      </c>
      <c r="AK1272" s="238" t="s">
        <v>1167</v>
      </c>
      <c r="AL1272" t="s">
        <v>8715</v>
      </c>
      <c r="AM1272" t="s">
        <v>1167</v>
      </c>
    </row>
    <row r="1273" spans="1:39" hidden="1" x14ac:dyDescent="0.25">
      <c r="A1273">
        <v>1269</v>
      </c>
      <c r="B1273">
        <v>213</v>
      </c>
      <c r="C1273" s="24">
        <v>44784</v>
      </c>
      <c r="D1273" s="238" t="s">
        <v>27</v>
      </c>
      <c r="E1273" s="238" t="s">
        <v>14</v>
      </c>
      <c r="F1273">
        <v>6</v>
      </c>
      <c r="G1273">
        <v>4</v>
      </c>
      <c r="H1273">
        <v>655</v>
      </c>
      <c r="I1273" s="238" t="s">
        <v>43</v>
      </c>
      <c r="J1273">
        <v>61.95</v>
      </c>
      <c r="K1273" s="238" t="s">
        <v>38</v>
      </c>
      <c r="L1273">
        <v>4547250</v>
      </c>
      <c r="M1273">
        <v>0</v>
      </c>
      <c r="N1273">
        <v>4547250</v>
      </c>
      <c r="O1273">
        <v>73401.937046004838</v>
      </c>
      <c r="P1273">
        <v>0</v>
      </c>
      <c r="Q1273">
        <v>4547250</v>
      </c>
      <c r="R1273">
        <v>73401.937046004838</v>
      </c>
      <c r="S1273" s="238" t="s">
        <v>124</v>
      </c>
      <c r="T1273" s="238" t="s">
        <v>1167</v>
      </c>
      <c r="V1273" t="s">
        <v>1167</v>
      </c>
      <c r="W1273" s="24">
        <v>44781</v>
      </c>
      <c r="X1273" s="238" t="s">
        <v>3275</v>
      </c>
      <c r="Y1273" s="238" t="s">
        <v>3247</v>
      </c>
      <c r="Z1273" s="238" t="s">
        <v>1340</v>
      </c>
      <c r="AA1273" t="s">
        <v>1167</v>
      </c>
      <c r="AB1273" s="238" t="s">
        <v>3246</v>
      </c>
      <c r="AC1273" t="s">
        <v>1167</v>
      </c>
      <c r="AD1273" s="24"/>
      <c r="AE1273" s="238" t="s">
        <v>3248</v>
      </c>
      <c r="AG1273" s="238" t="s">
        <v>1167</v>
      </c>
      <c r="AH1273" s="238" t="s">
        <v>1167</v>
      </c>
      <c r="AI1273" s="238" t="s">
        <v>5050</v>
      </c>
      <c r="AJ1273" s="238" t="s">
        <v>982</v>
      </c>
      <c r="AK1273" s="238" t="s">
        <v>1167</v>
      </c>
      <c r="AL1273" t="s">
        <v>8715</v>
      </c>
      <c r="AM1273" t="s">
        <v>1167</v>
      </c>
    </row>
    <row r="1274" spans="1:39" hidden="1" x14ac:dyDescent="0.25">
      <c r="A1274">
        <v>1270</v>
      </c>
      <c r="B1274">
        <v>214</v>
      </c>
      <c r="C1274" s="24">
        <v>44784</v>
      </c>
      <c r="D1274" s="238" t="s">
        <v>27</v>
      </c>
      <c r="E1274" s="238" t="s">
        <v>14</v>
      </c>
      <c r="F1274">
        <v>7</v>
      </c>
      <c r="G1274">
        <v>4</v>
      </c>
      <c r="H1274">
        <v>656</v>
      </c>
      <c r="I1274" s="238" t="s">
        <v>42</v>
      </c>
      <c r="J1274">
        <v>38.909999999999997</v>
      </c>
      <c r="K1274" s="238" t="s">
        <v>38</v>
      </c>
      <c r="L1274">
        <v>2817000</v>
      </c>
      <c r="M1274">
        <v>0</v>
      </c>
      <c r="N1274">
        <v>2817000</v>
      </c>
      <c r="O1274">
        <v>72397.841171935244</v>
      </c>
      <c r="P1274">
        <v>0</v>
      </c>
      <c r="Q1274">
        <v>2817000</v>
      </c>
      <c r="R1274">
        <v>72397.841171935244</v>
      </c>
      <c r="S1274" s="238" t="s">
        <v>124</v>
      </c>
      <c r="T1274" s="238" t="s">
        <v>1167</v>
      </c>
      <c r="V1274" t="s">
        <v>1167</v>
      </c>
      <c r="W1274" s="24">
        <v>44781</v>
      </c>
      <c r="X1274" s="238" t="s">
        <v>3275</v>
      </c>
      <c r="Y1274" s="238" t="s">
        <v>3247</v>
      </c>
      <c r="Z1274" s="238" t="s">
        <v>1340</v>
      </c>
      <c r="AA1274" t="s">
        <v>1167</v>
      </c>
      <c r="AB1274" s="238" t="s">
        <v>3246</v>
      </c>
      <c r="AC1274" t="s">
        <v>1167</v>
      </c>
      <c r="AD1274" s="24"/>
      <c r="AE1274" s="238" t="s">
        <v>3248</v>
      </c>
      <c r="AG1274" s="238" t="s">
        <v>1167</v>
      </c>
      <c r="AH1274" s="238" t="s">
        <v>1167</v>
      </c>
      <c r="AI1274" s="238" t="s">
        <v>5050</v>
      </c>
      <c r="AJ1274" s="238" t="s">
        <v>982</v>
      </c>
      <c r="AK1274" s="238" t="s">
        <v>1167</v>
      </c>
      <c r="AL1274" t="s">
        <v>8715</v>
      </c>
      <c r="AM1274" t="s">
        <v>1167</v>
      </c>
    </row>
    <row r="1275" spans="1:39" hidden="1" x14ac:dyDescent="0.25">
      <c r="A1275">
        <v>1271</v>
      </c>
      <c r="B1275">
        <v>215</v>
      </c>
      <c r="C1275" s="24">
        <v>44784</v>
      </c>
      <c r="D1275" s="238" t="s">
        <v>27</v>
      </c>
      <c r="E1275" s="238" t="s">
        <v>14</v>
      </c>
      <c r="F1275">
        <v>8</v>
      </c>
      <c r="G1275">
        <v>4</v>
      </c>
      <c r="H1275">
        <v>657</v>
      </c>
      <c r="I1275" s="238" t="s">
        <v>43</v>
      </c>
      <c r="J1275">
        <v>62.35</v>
      </c>
      <c r="K1275" s="238" t="s">
        <v>38</v>
      </c>
      <c r="L1275">
        <v>4481250</v>
      </c>
      <c r="M1275">
        <v>0</v>
      </c>
      <c r="N1275">
        <v>4481250</v>
      </c>
      <c r="O1275">
        <v>71872.49398556535</v>
      </c>
      <c r="P1275">
        <v>0</v>
      </c>
      <c r="Q1275">
        <v>4481250</v>
      </c>
      <c r="R1275">
        <v>71872.49398556535</v>
      </c>
      <c r="S1275" s="238" t="s">
        <v>124</v>
      </c>
      <c r="T1275" s="238" t="s">
        <v>1167</v>
      </c>
      <c r="V1275" t="s">
        <v>1167</v>
      </c>
      <c r="W1275" s="24">
        <v>44781</v>
      </c>
      <c r="X1275" s="238" t="s">
        <v>3275</v>
      </c>
      <c r="Y1275" s="238" t="s">
        <v>3247</v>
      </c>
      <c r="Z1275" s="238" t="s">
        <v>1340</v>
      </c>
      <c r="AA1275" t="s">
        <v>1167</v>
      </c>
      <c r="AB1275" s="238" t="s">
        <v>3246</v>
      </c>
      <c r="AC1275" t="s">
        <v>1167</v>
      </c>
      <c r="AD1275" s="24"/>
      <c r="AE1275" s="238" t="s">
        <v>3248</v>
      </c>
      <c r="AG1275" s="238" t="s">
        <v>1167</v>
      </c>
      <c r="AH1275" s="238" t="s">
        <v>1167</v>
      </c>
      <c r="AI1275" s="238" t="s">
        <v>5050</v>
      </c>
      <c r="AJ1275" s="238" t="s">
        <v>982</v>
      </c>
      <c r="AK1275" s="238" t="s">
        <v>1167</v>
      </c>
      <c r="AL1275" t="s">
        <v>8715</v>
      </c>
      <c r="AM1275" t="s">
        <v>1167</v>
      </c>
    </row>
    <row r="1276" spans="1:39" hidden="1" x14ac:dyDescent="0.25">
      <c r="A1276">
        <v>1272</v>
      </c>
      <c r="B1276">
        <v>216</v>
      </c>
      <c r="C1276" s="24">
        <v>44784</v>
      </c>
      <c r="D1276" s="238" t="s">
        <v>27</v>
      </c>
      <c r="E1276" s="238" t="s">
        <v>14</v>
      </c>
      <c r="F1276">
        <v>9</v>
      </c>
      <c r="G1276">
        <v>4</v>
      </c>
      <c r="H1276">
        <v>658</v>
      </c>
      <c r="I1276" s="238" t="s">
        <v>42</v>
      </c>
      <c r="J1276">
        <v>42.62</v>
      </c>
      <c r="K1276" s="238" t="s">
        <v>38</v>
      </c>
      <c r="L1276">
        <v>3096750</v>
      </c>
      <c r="M1276">
        <v>0</v>
      </c>
      <c r="N1276">
        <v>3096750</v>
      </c>
      <c r="O1276">
        <v>72659.549507273579</v>
      </c>
      <c r="P1276">
        <v>0</v>
      </c>
      <c r="Q1276">
        <v>3096750</v>
      </c>
      <c r="R1276">
        <v>72659.549507273579</v>
      </c>
      <c r="S1276" s="238" t="s">
        <v>124</v>
      </c>
      <c r="T1276" s="238" t="s">
        <v>1167</v>
      </c>
      <c r="V1276" t="s">
        <v>1167</v>
      </c>
      <c r="W1276" s="24">
        <v>44781</v>
      </c>
      <c r="X1276" s="238" t="s">
        <v>3275</v>
      </c>
      <c r="Y1276" s="238" t="s">
        <v>3247</v>
      </c>
      <c r="Z1276" s="238" t="s">
        <v>1340</v>
      </c>
      <c r="AA1276" t="s">
        <v>1167</v>
      </c>
      <c r="AB1276" s="238" t="s">
        <v>3246</v>
      </c>
      <c r="AC1276" t="s">
        <v>1167</v>
      </c>
      <c r="AD1276" s="24"/>
      <c r="AE1276" s="238" t="s">
        <v>3248</v>
      </c>
      <c r="AG1276" s="238" t="s">
        <v>1167</v>
      </c>
      <c r="AH1276" s="238" t="s">
        <v>1167</v>
      </c>
      <c r="AI1276" s="238" t="s">
        <v>5050</v>
      </c>
      <c r="AJ1276" s="238" t="s">
        <v>982</v>
      </c>
      <c r="AK1276" s="238" t="s">
        <v>1167</v>
      </c>
      <c r="AL1276" t="s">
        <v>8715</v>
      </c>
      <c r="AM1276" t="s">
        <v>1167</v>
      </c>
    </row>
    <row r="1277" spans="1:39" hidden="1" x14ac:dyDescent="0.25">
      <c r="A1277">
        <v>1273</v>
      </c>
      <c r="B1277">
        <v>217</v>
      </c>
      <c r="C1277" s="24">
        <v>44784</v>
      </c>
      <c r="D1277" s="238" t="s">
        <v>27</v>
      </c>
      <c r="E1277" s="238" t="s">
        <v>14</v>
      </c>
      <c r="F1277">
        <v>1</v>
      </c>
      <c r="G1277">
        <v>5</v>
      </c>
      <c r="H1277">
        <v>659</v>
      </c>
      <c r="I1277" s="238" t="s">
        <v>42</v>
      </c>
      <c r="J1277">
        <v>42.52</v>
      </c>
      <c r="K1277" s="238" t="s">
        <v>38</v>
      </c>
      <c r="L1277">
        <v>3089250</v>
      </c>
      <c r="M1277">
        <v>0</v>
      </c>
      <c r="N1277">
        <v>3089250</v>
      </c>
      <c r="O1277">
        <v>72654.045155221072</v>
      </c>
      <c r="P1277">
        <v>0</v>
      </c>
      <c r="Q1277">
        <v>3089250</v>
      </c>
      <c r="R1277">
        <v>72654.045155221072</v>
      </c>
      <c r="S1277" s="238" t="s">
        <v>124</v>
      </c>
      <c r="T1277" s="238" t="s">
        <v>1167</v>
      </c>
      <c r="V1277" t="s">
        <v>1167</v>
      </c>
      <c r="W1277" s="24">
        <v>44781</v>
      </c>
      <c r="X1277" s="238" t="s">
        <v>3275</v>
      </c>
      <c r="Y1277" s="238" t="s">
        <v>3247</v>
      </c>
      <c r="Z1277" s="238" t="s">
        <v>1340</v>
      </c>
      <c r="AA1277" t="s">
        <v>1167</v>
      </c>
      <c r="AB1277" s="238" t="s">
        <v>3246</v>
      </c>
      <c r="AC1277" t="s">
        <v>1167</v>
      </c>
      <c r="AD1277" s="24"/>
      <c r="AE1277" s="238" t="s">
        <v>3248</v>
      </c>
      <c r="AG1277" s="238" t="s">
        <v>1167</v>
      </c>
      <c r="AH1277" s="238" t="s">
        <v>1167</v>
      </c>
      <c r="AI1277" s="238" t="s">
        <v>5050</v>
      </c>
      <c r="AJ1277" s="238" t="s">
        <v>982</v>
      </c>
      <c r="AK1277" s="238" t="s">
        <v>1167</v>
      </c>
      <c r="AL1277" t="s">
        <v>8715</v>
      </c>
      <c r="AM1277" t="s">
        <v>1167</v>
      </c>
    </row>
    <row r="1278" spans="1:39" hidden="1" x14ac:dyDescent="0.25">
      <c r="A1278">
        <v>1274</v>
      </c>
      <c r="B1278">
        <v>218</v>
      </c>
      <c r="C1278" s="24">
        <v>44784</v>
      </c>
      <c r="D1278" s="238" t="s">
        <v>27</v>
      </c>
      <c r="E1278" s="238" t="s">
        <v>14</v>
      </c>
      <c r="F1278">
        <v>2</v>
      </c>
      <c r="G1278">
        <v>5</v>
      </c>
      <c r="H1278">
        <v>660</v>
      </c>
      <c r="I1278" s="238" t="s">
        <v>42</v>
      </c>
      <c r="J1278">
        <v>40.75</v>
      </c>
      <c r="K1278" s="238" t="s">
        <v>38</v>
      </c>
      <c r="L1278">
        <v>2958000</v>
      </c>
      <c r="M1278">
        <v>0</v>
      </c>
      <c r="N1278">
        <v>2958000</v>
      </c>
      <c r="O1278">
        <v>72588.95705521472</v>
      </c>
      <c r="P1278">
        <v>0</v>
      </c>
      <c r="Q1278">
        <v>2958000</v>
      </c>
      <c r="R1278">
        <v>72588.95705521472</v>
      </c>
      <c r="S1278" s="238" t="s">
        <v>124</v>
      </c>
      <c r="T1278" s="238" t="s">
        <v>1167</v>
      </c>
      <c r="V1278" t="s">
        <v>1167</v>
      </c>
      <c r="W1278" s="24">
        <v>44781</v>
      </c>
      <c r="X1278" s="238" t="s">
        <v>3275</v>
      </c>
      <c r="Y1278" s="238" t="s">
        <v>3247</v>
      </c>
      <c r="Z1278" s="238" t="s">
        <v>1340</v>
      </c>
      <c r="AA1278" t="s">
        <v>1167</v>
      </c>
      <c r="AB1278" s="238" t="s">
        <v>3246</v>
      </c>
      <c r="AC1278" t="s">
        <v>1167</v>
      </c>
      <c r="AD1278" s="24"/>
      <c r="AE1278" s="238" t="s">
        <v>3248</v>
      </c>
      <c r="AG1278" s="238" t="s">
        <v>1167</v>
      </c>
      <c r="AH1278" s="238" t="s">
        <v>1167</v>
      </c>
      <c r="AI1278" s="238" t="s">
        <v>5050</v>
      </c>
      <c r="AJ1278" s="238" t="s">
        <v>982</v>
      </c>
      <c r="AK1278" s="238" t="s">
        <v>1167</v>
      </c>
      <c r="AL1278" t="s">
        <v>8715</v>
      </c>
      <c r="AM1278" t="s">
        <v>1167</v>
      </c>
    </row>
    <row r="1279" spans="1:39" hidden="1" x14ac:dyDescent="0.25">
      <c r="A1279">
        <v>1275</v>
      </c>
      <c r="B1279">
        <v>219</v>
      </c>
      <c r="C1279" s="24">
        <v>44784</v>
      </c>
      <c r="D1279" s="238" t="s">
        <v>27</v>
      </c>
      <c r="E1279" s="238" t="s">
        <v>14</v>
      </c>
      <c r="F1279">
        <v>6</v>
      </c>
      <c r="G1279">
        <v>5</v>
      </c>
      <c r="H1279">
        <v>664</v>
      </c>
      <c r="I1279" s="238" t="s">
        <v>43</v>
      </c>
      <c r="J1279">
        <v>61.95</v>
      </c>
      <c r="K1279" s="238" t="s">
        <v>38</v>
      </c>
      <c r="L1279">
        <v>4547250</v>
      </c>
      <c r="M1279">
        <v>0</v>
      </c>
      <c r="N1279">
        <v>4547250</v>
      </c>
      <c r="O1279">
        <v>73401.937046004838</v>
      </c>
      <c r="P1279">
        <v>0</v>
      </c>
      <c r="Q1279">
        <v>4547250</v>
      </c>
      <c r="R1279">
        <v>73401.937046004838</v>
      </c>
      <c r="S1279" s="238" t="s">
        <v>124</v>
      </c>
      <c r="T1279" s="238" t="s">
        <v>1167</v>
      </c>
      <c r="V1279" t="s">
        <v>1167</v>
      </c>
      <c r="W1279" s="24">
        <v>44781</v>
      </c>
      <c r="X1279" s="238" t="s">
        <v>3275</v>
      </c>
      <c r="Y1279" s="238" t="s">
        <v>3247</v>
      </c>
      <c r="Z1279" s="238" t="s">
        <v>1340</v>
      </c>
      <c r="AA1279" t="s">
        <v>1167</v>
      </c>
      <c r="AB1279" s="238" t="s">
        <v>3246</v>
      </c>
      <c r="AC1279" t="s">
        <v>1167</v>
      </c>
      <c r="AD1279" s="24"/>
      <c r="AE1279" s="238" t="s">
        <v>3248</v>
      </c>
      <c r="AG1279" s="238" t="s">
        <v>1167</v>
      </c>
      <c r="AH1279" s="238" t="s">
        <v>1167</v>
      </c>
      <c r="AI1279" s="238" t="s">
        <v>5050</v>
      </c>
      <c r="AJ1279" s="238" t="s">
        <v>982</v>
      </c>
      <c r="AK1279" s="238" t="s">
        <v>1167</v>
      </c>
      <c r="AL1279" t="s">
        <v>8715</v>
      </c>
      <c r="AM1279" t="s">
        <v>1167</v>
      </c>
    </row>
    <row r="1280" spans="1:39" hidden="1" x14ac:dyDescent="0.25">
      <c r="A1280">
        <v>1276</v>
      </c>
      <c r="B1280">
        <v>220</v>
      </c>
      <c r="C1280" s="24">
        <v>44784</v>
      </c>
      <c r="D1280" s="238" t="s">
        <v>27</v>
      </c>
      <c r="E1280" s="238" t="s">
        <v>14</v>
      </c>
      <c r="F1280">
        <v>8</v>
      </c>
      <c r="G1280">
        <v>5</v>
      </c>
      <c r="H1280">
        <v>666</v>
      </c>
      <c r="I1280" s="238" t="s">
        <v>43</v>
      </c>
      <c r="J1280">
        <v>62.35</v>
      </c>
      <c r="K1280" s="238" t="s">
        <v>38</v>
      </c>
      <c r="L1280">
        <v>4481250</v>
      </c>
      <c r="M1280">
        <v>0</v>
      </c>
      <c r="N1280">
        <v>4481250</v>
      </c>
      <c r="O1280">
        <v>71872.49398556535</v>
      </c>
      <c r="P1280">
        <v>0</v>
      </c>
      <c r="Q1280">
        <v>4481250</v>
      </c>
      <c r="R1280">
        <v>71872.49398556535</v>
      </c>
      <c r="S1280" s="238" t="s">
        <v>124</v>
      </c>
      <c r="T1280" s="238" t="s">
        <v>1167</v>
      </c>
      <c r="V1280" t="s">
        <v>1167</v>
      </c>
      <c r="W1280" s="24">
        <v>44781</v>
      </c>
      <c r="X1280" s="238" t="s">
        <v>3275</v>
      </c>
      <c r="Y1280" s="238" t="s">
        <v>3247</v>
      </c>
      <c r="Z1280" s="238" t="s">
        <v>1340</v>
      </c>
      <c r="AA1280" t="s">
        <v>1167</v>
      </c>
      <c r="AB1280" s="238" t="s">
        <v>3246</v>
      </c>
      <c r="AC1280" t="s">
        <v>1167</v>
      </c>
      <c r="AD1280" s="24"/>
      <c r="AE1280" s="238" t="s">
        <v>3248</v>
      </c>
      <c r="AG1280" s="238" t="s">
        <v>1167</v>
      </c>
      <c r="AH1280" s="238" t="s">
        <v>1167</v>
      </c>
      <c r="AI1280" s="238" t="s">
        <v>5050</v>
      </c>
      <c r="AJ1280" s="238" t="s">
        <v>982</v>
      </c>
      <c r="AK1280" s="238" t="s">
        <v>1167</v>
      </c>
      <c r="AL1280" t="s">
        <v>8715</v>
      </c>
      <c r="AM1280" t="s">
        <v>1167</v>
      </c>
    </row>
    <row r="1281" spans="1:39" hidden="1" x14ac:dyDescent="0.25">
      <c r="A1281">
        <v>1277</v>
      </c>
      <c r="B1281">
        <v>221</v>
      </c>
      <c r="C1281" s="24">
        <v>44784</v>
      </c>
      <c r="D1281" s="238" t="s">
        <v>27</v>
      </c>
      <c r="E1281" s="238" t="s">
        <v>14</v>
      </c>
      <c r="F1281">
        <v>9</v>
      </c>
      <c r="G1281">
        <v>5</v>
      </c>
      <c r="H1281">
        <v>667</v>
      </c>
      <c r="I1281" s="238" t="s">
        <v>42</v>
      </c>
      <c r="J1281">
        <v>42.62</v>
      </c>
      <c r="K1281" s="238" t="s">
        <v>38</v>
      </c>
      <c r="L1281">
        <v>3096750</v>
      </c>
      <c r="M1281">
        <v>0</v>
      </c>
      <c r="N1281">
        <v>3096750</v>
      </c>
      <c r="O1281">
        <v>72659.549507273579</v>
      </c>
      <c r="P1281">
        <v>0</v>
      </c>
      <c r="Q1281">
        <v>3096750</v>
      </c>
      <c r="R1281">
        <v>72659.549507273579</v>
      </c>
      <c r="S1281" s="238" t="s">
        <v>124</v>
      </c>
      <c r="T1281" s="238" t="s">
        <v>1167</v>
      </c>
      <c r="V1281" t="s">
        <v>1167</v>
      </c>
      <c r="W1281" s="24">
        <v>44781</v>
      </c>
      <c r="X1281" s="238" t="s">
        <v>3275</v>
      </c>
      <c r="Y1281" s="238" t="s">
        <v>3247</v>
      </c>
      <c r="Z1281" s="238" t="s">
        <v>1340</v>
      </c>
      <c r="AA1281" t="s">
        <v>1167</v>
      </c>
      <c r="AB1281" s="238" t="s">
        <v>3246</v>
      </c>
      <c r="AC1281" t="s">
        <v>1167</v>
      </c>
      <c r="AD1281" s="24"/>
      <c r="AE1281" s="238" t="s">
        <v>3248</v>
      </c>
      <c r="AG1281" s="238" t="s">
        <v>1167</v>
      </c>
      <c r="AH1281" s="238" t="s">
        <v>1167</v>
      </c>
      <c r="AI1281" s="238" t="s">
        <v>5050</v>
      </c>
      <c r="AJ1281" s="238" t="s">
        <v>982</v>
      </c>
      <c r="AK1281" s="238" t="s">
        <v>1167</v>
      </c>
      <c r="AL1281" t="s">
        <v>8715</v>
      </c>
      <c r="AM1281" t="s">
        <v>1167</v>
      </c>
    </row>
    <row r="1282" spans="1:39" hidden="1" x14ac:dyDescent="0.25">
      <c r="A1282">
        <v>1278</v>
      </c>
      <c r="B1282">
        <v>222</v>
      </c>
      <c r="C1282" s="24">
        <v>44784</v>
      </c>
      <c r="D1282" s="238" t="s">
        <v>27</v>
      </c>
      <c r="E1282" s="238" t="s">
        <v>14</v>
      </c>
      <c r="F1282">
        <v>1</v>
      </c>
      <c r="G1282">
        <v>6</v>
      </c>
      <c r="H1282">
        <v>668</v>
      </c>
      <c r="I1282" s="238" t="s">
        <v>42</v>
      </c>
      <c r="J1282">
        <v>42.52</v>
      </c>
      <c r="K1282" s="238" t="s">
        <v>38</v>
      </c>
      <c r="L1282">
        <v>3089250</v>
      </c>
      <c r="M1282">
        <v>0</v>
      </c>
      <c r="N1282">
        <v>3089250</v>
      </c>
      <c r="O1282">
        <v>72654.045155221072</v>
      </c>
      <c r="P1282">
        <v>0</v>
      </c>
      <c r="Q1282">
        <v>3089250</v>
      </c>
      <c r="R1282">
        <v>72654.045155221072</v>
      </c>
      <c r="S1282" s="238" t="s">
        <v>124</v>
      </c>
      <c r="T1282" s="238" t="s">
        <v>1167</v>
      </c>
      <c r="V1282" t="s">
        <v>1167</v>
      </c>
      <c r="W1282" s="24">
        <v>44781</v>
      </c>
      <c r="X1282" s="238" t="s">
        <v>3275</v>
      </c>
      <c r="Y1282" s="238" t="s">
        <v>3247</v>
      </c>
      <c r="Z1282" s="238" t="s">
        <v>1340</v>
      </c>
      <c r="AA1282" t="s">
        <v>1167</v>
      </c>
      <c r="AB1282" s="238" t="s">
        <v>3246</v>
      </c>
      <c r="AC1282" t="s">
        <v>1167</v>
      </c>
      <c r="AD1282" s="24"/>
      <c r="AE1282" s="238" t="s">
        <v>3248</v>
      </c>
      <c r="AG1282" s="238" t="s">
        <v>1167</v>
      </c>
      <c r="AH1282" s="238" t="s">
        <v>1167</v>
      </c>
      <c r="AI1282" s="238" t="s">
        <v>5050</v>
      </c>
      <c r="AJ1282" s="238" t="s">
        <v>982</v>
      </c>
      <c r="AK1282" s="238" t="s">
        <v>1167</v>
      </c>
      <c r="AL1282" t="s">
        <v>8715</v>
      </c>
      <c r="AM1282" t="s">
        <v>1167</v>
      </c>
    </row>
    <row r="1283" spans="1:39" hidden="1" x14ac:dyDescent="0.25">
      <c r="A1283">
        <v>1279</v>
      </c>
      <c r="B1283">
        <v>223</v>
      </c>
      <c r="C1283" s="24">
        <v>44784</v>
      </c>
      <c r="D1283" s="238" t="s">
        <v>27</v>
      </c>
      <c r="E1283" s="238" t="s">
        <v>14</v>
      </c>
      <c r="F1283">
        <v>2</v>
      </c>
      <c r="G1283">
        <v>6</v>
      </c>
      <c r="H1283">
        <v>669</v>
      </c>
      <c r="I1283" s="238" t="s">
        <v>42</v>
      </c>
      <c r="J1283">
        <v>40.75</v>
      </c>
      <c r="K1283" s="238" t="s">
        <v>38</v>
      </c>
      <c r="L1283">
        <v>2958000</v>
      </c>
      <c r="M1283">
        <v>0</v>
      </c>
      <c r="N1283">
        <v>2958000</v>
      </c>
      <c r="O1283">
        <v>72588.95705521472</v>
      </c>
      <c r="P1283">
        <v>0</v>
      </c>
      <c r="Q1283">
        <v>2958000</v>
      </c>
      <c r="R1283">
        <v>72588.95705521472</v>
      </c>
      <c r="S1283" s="238" t="s">
        <v>124</v>
      </c>
      <c r="T1283" s="238" t="s">
        <v>1167</v>
      </c>
      <c r="V1283" t="s">
        <v>1167</v>
      </c>
      <c r="W1283" s="24">
        <v>44781</v>
      </c>
      <c r="X1283" s="238" t="s">
        <v>3275</v>
      </c>
      <c r="Y1283" s="238" t="s">
        <v>3247</v>
      </c>
      <c r="Z1283" s="238" t="s">
        <v>1340</v>
      </c>
      <c r="AA1283" t="s">
        <v>1167</v>
      </c>
      <c r="AB1283" s="238" t="s">
        <v>3246</v>
      </c>
      <c r="AC1283" t="s">
        <v>1167</v>
      </c>
      <c r="AD1283" s="24"/>
      <c r="AE1283" s="238" t="s">
        <v>3248</v>
      </c>
      <c r="AG1283" s="238" t="s">
        <v>1167</v>
      </c>
      <c r="AH1283" s="238" t="s">
        <v>1167</v>
      </c>
      <c r="AI1283" s="238" t="s">
        <v>5050</v>
      </c>
      <c r="AJ1283" s="238" t="s">
        <v>982</v>
      </c>
      <c r="AK1283" s="238" t="s">
        <v>1167</v>
      </c>
      <c r="AL1283" t="s">
        <v>8715</v>
      </c>
      <c r="AM1283" t="s">
        <v>1167</v>
      </c>
    </row>
    <row r="1284" spans="1:39" hidden="1" x14ac:dyDescent="0.25">
      <c r="A1284">
        <v>1280</v>
      </c>
      <c r="B1284">
        <v>224</v>
      </c>
      <c r="C1284" s="24">
        <v>44784</v>
      </c>
      <c r="D1284" s="238" t="s">
        <v>27</v>
      </c>
      <c r="E1284" s="238" t="s">
        <v>14</v>
      </c>
      <c r="F1284">
        <v>8</v>
      </c>
      <c r="G1284">
        <v>6</v>
      </c>
      <c r="H1284">
        <v>675</v>
      </c>
      <c r="I1284" s="238" t="s">
        <v>43</v>
      </c>
      <c r="J1284">
        <v>62.35</v>
      </c>
      <c r="K1284" s="238" t="s">
        <v>38</v>
      </c>
      <c r="L1284">
        <v>4481250</v>
      </c>
      <c r="M1284">
        <v>0</v>
      </c>
      <c r="N1284">
        <v>4481250</v>
      </c>
      <c r="O1284">
        <v>71872.49398556535</v>
      </c>
      <c r="P1284">
        <v>0</v>
      </c>
      <c r="Q1284">
        <v>4481250</v>
      </c>
      <c r="R1284">
        <v>71872.49398556535</v>
      </c>
      <c r="S1284" s="238" t="s">
        <v>124</v>
      </c>
      <c r="T1284" s="238" t="s">
        <v>1167</v>
      </c>
      <c r="V1284" t="s">
        <v>1167</v>
      </c>
      <c r="W1284" s="24">
        <v>44781</v>
      </c>
      <c r="X1284" s="238" t="s">
        <v>3275</v>
      </c>
      <c r="Y1284" s="238" t="s">
        <v>3247</v>
      </c>
      <c r="Z1284" s="238" t="s">
        <v>1340</v>
      </c>
      <c r="AA1284" t="s">
        <v>1167</v>
      </c>
      <c r="AB1284" s="238" t="s">
        <v>3246</v>
      </c>
      <c r="AC1284" t="s">
        <v>1167</v>
      </c>
      <c r="AD1284" s="24"/>
      <c r="AE1284" s="238" t="s">
        <v>3248</v>
      </c>
      <c r="AG1284" s="238" t="s">
        <v>1167</v>
      </c>
      <c r="AH1284" s="238" t="s">
        <v>1167</v>
      </c>
      <c r="AI1284" s="238" t="s">
        <v>5050</v>
      </c>
      <c r="AJ1284" s="238" t="s">
        <v>982</v>
      </c>
      <c r="AK1284" s="238" t="s">
        <v>1167</v>
      </c>
      <c r="AL1284" t="s">
        <v>8715</v>
      </c>
      <c r="AM1284" t="s">
        <v>1167</v>
      </c>
    </row>
    <row r="1285" spans="1:39" hidden="1" x14ac:dyDescent="0.25">
      <c r="A1285">
        <v>1281</v>
      </c>
      <c r="B1285">
        <v>225</v>
      </c>
      <c r="C1285" s="24">
        <v>44784</v>
      </c>
      <c r="D1285" s="238" t="s">
        <v>27</v>
      </c>
      <c r="E1285" s="238" t="s">
        <v>14</v>
      </c>
      <c r="F1285">
        <v>9</v>
      </c>
      <c r="G1285">
        <v>6</v>
      </c>
      <c r="H1285">
        <v>676</v>
      </c>
      <c r="I1285" s="238" t="s">
        <v>42</v>
      </c>
      <c r="J1285">
        <v>42.62</v>
      </c>
      <c r="K1285" s="238" t="s">
        <v>38</v>
      </c>
      <c r="L1285">
        <v>3096750</v>
      </c>
      <c r="M1285">
        <v>0</v>
      </c>
      <c r="N1285">
        <v>3096750</v>
      </c>
      <c r="O1285">
        <v>72659.549507273579</v>
      </c>
      <c r="P1285">
        <v>0</v>
      </c>
      <c r="Q1285">
        <v>3096750</v>
      </c>
      <c r="R1285">
        <v>72659.549507273579</v>
      </c>
      <c r="S1285" s="238" t="s">
        <v>124</v>
      </c>
      <c r="T1285" s="238" t="s">
        <v>1167</v>
      </c>
      <c r="V1285" t="s">
        <v>1167</v>
      </c>
      <c r="W1285" s="24">
        <v>44781</v>
      </c>
      <c r="X1285" s="238" t="s">
        <v>3275</v>
      </c>
      <c r="Y1285" s="238" t="s">
        <v>3247</v>
      </c>
      <c r="Z1285" s="238" t="s">
        <v>1340</v>
      </c>
      <c r="AA1285" t="s">
        <v>1167</v>
      </c>
      <c r="AB1285" s="238" t="s">
        <v>3246</v>
      </c>
      <c r="AC1285" t="s">
        <v>1167</v>
      </c>
      <c r="AD1285" s="24"/>
      <c r="AE1285" s="238" t="s">
        <v>3248</v>
      </c>
      <c r="AG1285" s="238" t="s">
        <v>1167</v>
      </c>
      <c r="AH1285" s="238" t="s">
        <v>1167</v>
      </c>
      <c r="AI1285" s="238" t="s">
        <v>5050</v>
      </c>
      <c r="AJ1285" s="238" t="s">
        <v>982</v>
      </c>
      <c r="AK1285" s="238" t="s">
        <v>1167</v>
      </c>
      <c r="AL1285" t="s">
        <v>8715</v>
      </c>
      <c r="AM1285" t="s">
        <v>1167</v>
      </c>
    </row>
    <row r="1286" spans="1:39" hidden="1" x14ac:dyDescent="0.25">
      <c r="A1286">
        <v>1282</v>
      </c>
      <c r="B1286">
        <v>226</v>
      </c>
      <c r="C1286" s="24">
        <v>44788</v>
      </c>
      <c r="D1286" s="238" t="s">
        <v>27</v>
      </c>
      <c r="E1286" s="238" t="s">
        <v>14</v>
      </c>
      <c r="F1286">
        <v>1</v>
      </c>
      <c r="G1286">
        <v>7</v>
      </c>
      <c r="H1286">
        <v>677</v>
      </c>
      <c r="I1286" s="238" t="s">
        <v>42</v>
      </c>
      <c r="J1286">
        <v>42.52</v>
      </c>
      <c r="K1286" s="238" t="s">
        <v>38</v>
      </c>
      <c r="L1286">
        <v>3089250</v>
      </c>
      <c r="M1286">
        <v>0</v>
      </c>
      <c r="N1286">
        <v>3089250</v>
      </c>
      <c r="O1286">
        <v>72654.045155221072</v>
      </c>
      <c r="P1286">
        <v>0</v>
      </c>
      <c r="Q1286">
        <v>3089250</v>
      </c>
      <c r="R1286">
        <v>72654.045155221072</v>
      </c>
      <c r="S1286" s="238" t="s">
        <v>124</v>
      </c>
      <c r="T1286" s="238" t="s">
        <v>1167</v>
      </c>
      <c r="V1286" t="s">
        <v>1167</v>
      </c>
      <c r="W1286" s="24">
        <v>44781</v>
      </c>
      <c r="X1286" s="238" t="s">
        <v>3276</v>
      </c>
      <c r="Y1286" s="238" t="s">
        <v>3247</v>
      </c>
      <c r="Z1286" s="238" t="s">
        <v>1340</v>
      </c>
      <c r="AA1286" t="s">
        <v>1167</v>
      </c>
      <c r="AB1286" s="238" t="s">
        <v>3246</v>
      </c>
      <c r="AC1286" t="s">
        <v>1167</v>
      </c>
      <c r="AD1286" s="24"/>
      <c r="AE1286" s="238" t="s">
        <v>3248</v>
      </c>
      <c r="AG1286" s="238" t="s">
        <v>1167</v>
      </c>
      <c r="AH1286" s="238" t="s">
        <v>1167</v>
      </c>
      <c r="AI1286" s="238" t="s">
        <v>5050</v>
      </c>
      <c r="AJ1286" s="238" t="s">
        <v>982</v>
      </c>
      <c r="AK1286" s="238" t="s">
        <v>1167</v>
      </c>
      <c r="AL1286" t="s">
        <v>8715</v>
      </c>
      <c r="AM1286" t="s">
        <v>1167</v>
      </c>
    </row>
    <row r="1287" spans="1:39" hidden="1" x14ac:dyDescent="0.25">
      <c r="A1287">
        <v>1283</v>
      </c>
      <c r="B1287">
        <v>227</v>
      </c>
      <c r="C1287" s="24">
        <v>44788</v>
      </c>
      <c r="D1287" s="238" t="s">
        <v>27</v>
      </c>
      <c r="E1287" s="238" t="s">
        <v>14</v>
      </c>
      <c r="F1287">
        <v>2</v>
      </c>
      <c r="G1287">
        <v>7</v>
      </c>
      <c r="H1287">
        <v>678</v>
      </c>
      <c r="I1287" s="238" t="s">
        <v>42</v>
      </c>
      <c r="J1287">
        <v>40.75</v>
      </c>
      <c r="K1287" s="238" t="s">
        <v>38</v>
      </c>
      <c r="L1287">
        <v>2958000</v>
      </c>
      <c r="M1287">
        <v>0</v>
      </c>
      <c r="N1287">
        <v>2958000</v>
      </c>
      <c r="O1287">
        <v>72588.95705521472</v>
      </c>
      <c r="P1287">
        <v>0</v>
      </c>
      <c r="Q1287">
        <v>2958000</v>
      </c>
      <c r="R1287">
        <v>72588.95705521472</v>
      </c>
      <c r="S1287" s="238" t="s">
        <v>124</v>
      </c>
      <c r="T1287" s="238" t="s">
        <v>1167</v>
      </c>
      <c r="V1287" t="s">
        <v>1167</v>
      </c>
      <c r="W1287" s="24">
        <v>44781</v>
      </c>
      <c r="X1287" s="238" t="s">
        <v>3276</v>
      </c>
      <c r="Y1287" s="238" t="s">
        <v>3247</v>
      </c>
      <c r="Z1287" s="238" t="s">
        <v>1340</v>
      </c>
      <c r="AA1287" t="s">
        <v>1167</v>
      </c>
      <c r="AB1287" s="238" t="s">
        <v>3246</v>
      </c>
      <c r="AC1287" t="s">
        <v>1167</v>
      </c>
      <c r="AD1287" s="24"/>
      <c r="AE1287" s="238" t="s">
        <v>3248</v>
      </c>
      <c r="AG1287" s="238" t="s">
        <v>1167</v>
      </c>
      <c r="AH1287" s="238" t="s">
        <v>1167</v>
      </c>
      <c r="AI1287" s="238" t="s">
        <v>5050</v>
      </c>
      <c r="AJ1287" s="238" t="s">
        <v>982</v>
      </c>
      <c r="AK1287" s="238" t="s">
        <v>1167</v>
      </c>
      <c r="AL1287" t="s">
        <v>8715</v>
      </c>
      <c r="AM1287" t="s">
        <v>1167</v>
      </c>
    </row>
    <row r="1288" spans="1:39" hidden="1" x14ac:dyDescent="0.25">
      <c r="A1288">
        <v>1284</v>
      </c>
      <c r="B1288">
        <v>228</v>
      </c>
      <c r="C1288" s="24">
        <v>44788</v>
      </c>
      <c r="D1288" s="238" t="s">
        <v>27</v>
      </c>
      <c r="E1288" s="238" t="s">
        <v>14</v>
      </c>
      <c r="F1288">
        <v>5</v>
      </c>
      <c r="G1288">
        <v>7</v>
      </c>
      <c r="H1288">
        <v>681</v>
      </c>
      <c r="I1288" s="238" t="s">
        <v>42</v>
      </c>
      <c r="J1288">
        <v>38.96</v>
      </c>
      <c r="K1288" s="238" t="s">
        <v>38</v>
      </c>
      <c r="L1288">
        <v>2817750</v>
      </c>
      <c r="M1288">
        <v>0</v>
      </c>
      <c r="N1288">
        <v>2817750</v>
      </c>
      <c r="O1288">
        <v>72324.178644763859</v>
      </c>
      <c r="P1288">
        <v>0</v>
      </c>
      <c r="Q1288">
        <v>2817750</v>
      </c>
      <c r="R1288">
        <v>72324.178644763859</v>
      </c>
      <c r="S1288" s="238" t="s">
        <v>124</v>
      </c>
      <c r="T1288" s="238" t="s">
        <v>1167</v>
      </c>
      <c r="V1288" t="s">
        <v>1167</v>
      </c>
      <c r="W1288" s="24">
        <v>44781</v>
      </c>
      <c r="X1288" s="238" t="s">
        <v>3276</v>
      </c>
      <c r="Y1288" s="238" t="s">
        <v>3247</v>
      </c>
      <c r="Z1288" s="238" t="s">
        <v>1340</v>
      </c>
      <c r="AA1288" t="s">
        <v>1167</v>
      </c>
      <c r="AB1288" s="238" t="s">
        <v>3246</v>
      </c>
      <c r="AC1288" t="s">
        <v>1167</v>
      </c>
      <c r="AD1288" s="24"/>
      <c r="AE1288" s="238" t="s">
        <v>3248</v>
      </c>
      <c r="AG1288" s="238" t="s">
        <v>1167</v>
      </c>
      <c r="AH1288" s="238" t="s">
        <v>1167</v>
      </c>
      <c r="AI1288" s="238" t="s">
        <v>5050</v>
      </c>
      <c r="AJ1288" s="238" t="s">
        <v>982</v>
      </c>
      <c r="AK1288" s="238" t="s">
        <v>1167</v>
      </c>
      <c r="AL1288" t="s">
        <v>8715</v>
      </c>
      <c r="AM1288" t="s">
        <v>1167</v>
      </c>
    </row>
    <row r="1289" spans="1:39" hidden="1" x14ac:dyDescent="0.25">
      <c r="A1289">
        <v>1285</v>
      </c>
      <c r="B1289">
        <v>229</v>
      </c>
      <c r="C1289" s="24">
        <v>44788</v>
      </c>
      <c r="D1289" s="238" t="s">
        <v>27</v>
      </c>
      <c r="E1289" s="238" t="s">
        <v>14</v>
      </c>
      <c r="F1289">
        <v>6</v>
      </c>
      <c r="G1289">
        <v>7</v>
      </c>
      <c r="H1289">
        <v>682</v>
      </c>
      <c r="I1289" s="238" t="s">
        <v>43</v>
      </c>
      <c r="J1289">
        <v>61.95</v>
      </c>
      <c r="K1289" s="238" t="s">
        <v>38</v>
      </c>
      <c r="L1289">
        <v>4547250</v>
      </c>
      <c r="M1289">
        <v>0</v>
      </c>
      <c r="N1289">
        <v>4547250</v>
      </c>
      <c r="O1289">
        <v>73401.937046004838</v>
      </c>
      <c r="P1289">
        <v>0</v>
      </c>
      <c r="Q1289">
        <v>4547250</v>
      </c>
      <c r="R1289">
        <v>73401.937046004838</v>
      </c>
      <c r="S1289" s="238" t="s">
        <v>124</v>
      </c>
      <c r="T1289" s="238" t="s">
        <v>1167</v>
      </c>
      <c r="V1289" t="s">
        <v>1167</v>
      </c>
      <c r="W1289" s="24">
        <v>44781</v>
      </c>
      <c r="X1289" s="238" t="s">
        <v>3276</v>
      </c>
      <c r="Y1289" s="238" t="s">
        <v>3247</v>
      </c>
      <c r="Z1289" s="238" t="s">
        <v>1340</v>
      </c>
      <c r="AA1289" t="s">
        <v>1167</v>
      </c>
      <c r="AB1289" s="238" t="s">
        <v>3246</v>
      </c>
      <c r="AC1289" t="s">
        <v>1167</v>
      </c>
      <c r="AD1289" s="24"/>
      <c r="AE1289" s="238" t="s">
        <v>3248</v>
      </c>
      <c r="AG1289" s="238" t="s">
        <v>1167</v>
      </c>
      <c r="AH1289" s="238" t="s">
        <v>1167</v>
      </c>
      <c r="AI1289" s="238" t="s">
        <v>5050</v>
      </c>
      <c r="AJ1289" s="238" t="s">
        <v>982</v>
      </c>
      <c r="AK1289" s="238" t="s">
        <v>1167</v>
      </c>
      <c r="AL1289" t="s">
        <v>8715</v>
      </c>
      <c r="AM1289" t="s">
        <v>1167</v>
      </c>
    </row>
    <row r="1290" spans="1:39" hidden="1" x14ac:dyDescent="0.25">
      <c r="A1290">
        <v>1286</v>
      </c>
      <c r="B1290">
        <v>230</v>
      </c>
      <c r="C1290" s="24">
        <v>44788</v>
      </c>
      <c r="D1290" s="238" t="s">
        <v>27</v>
      </c>
      <c r="E1290" s="238" t="s">
        <v>14</v>
      </c>
      <c r="F1290">
        <v>8</v>
      </c>
      <c r="G1290">
        <v>7</v>
      </c>
      <c r="H1290">
        <v>684</v>
      </c>
      <c r="I1290" s="238" t="s">
        <v>43</v>
      </c>
      <c r="J1290">
        <v>62.35</v>
      </c>
      <c r="K1290" s="238" t="s">
        <v>38</v>
      </c>
      <c r="L1290">
        <v>4481250</v>
      </c>
      <c r="M1290">
        <v>0</v>
      </c>
      <c r="N1290">
        <v>4481250</v>
      </c>
      <c r="O1290">
        <v>71872.49398556535</v>
      </c>
      <c r="P1290">
        <v>0</v>
      </c>
      <c r="Q1290">
        <v>4481250</v>
      </c>
      <c r="R1290">
        <v>71872.49398556535</v>
      </c>
      <c r="S1290" s="238" t="s">
        <v>124</v>
      </c>
      <c r="T1290" s="238" t="s">
        <v>1167</v>
      </c>
      <c r="V1290" t="s">
        <v>1167</v>
      </c>
      <c r="W1290" s="24">
        <v>44781</v>
      </c>
      <c r="X1290" s="238" t="s">
        <v>3276</v>
      </c>
      <c r="Y1290" s="238" t="s">
        <v>3247</v>
      </c>
      <c r="Z1290" s="238" t="s">
        <v>1340</v>
      </c>
      <c r="AA1290" t="s">
        <v>1167</v>
      </c>
      <c r="AB1290" s="238" t="s">
        <v>3246</v>
      </c>
      <c r="AC1290" t="s">
        <v>1167</v>
      </c>
      <c r="AD1290" s="24"/>
      <c r="AE1290" s="238" t="s">
        <v>3248</v>
      </c>
      <c r="AG1290" s="238" t="s">
        <v>1167</v>
      </c>
      <c r="AH1290" s="238" t="s">
        <v>1167</v>
      </c>
      <c r="AI1290" s="238" t="s">
        <v>5050</v>
      </c>
      <c r="AJ1290" s="238" t="s">
        <v>982</v>
      </c>
      <c r="AK1290" s="238" t="s">
        <v>1167</v>
      </c>
      <c r="AL1290" t="s">
        <v>8715</v>
      </c>
      <c r="AM1290" t="s">
        <v>1167</v>
      </c>
    </row>
    <row r="1291" spans="1:39" hidden="1" x14ac:dyDescent="0.25">
      <c r="A1291">
        <v>1287</v>
      </c>
      <c r="B1291">
        <v>231</v>
      </c>
      <c r="C1291" s="24">
        <v>44788</v>
      </c>
      <c r="D1291" s="238" t="s">
        <v>27</v>
      </c>
      <c r="E1291" s="238" t="s">
        <v>14</v>
      </c>
      <c r="F1291">
        <v>9</v>
      </c>
      <c r="G1291">
        <v>7</v>
      </c>
      <c r="H1291">
        <v>685</v>
      </c>
      <c r="I1291" s="238" t="s">
        <v>42</v>
      </c>
      <c r="J1291">
        <v>42.62</v>
      </c>
      <c r="K1291" s="238" t="s">
        <v>38</v>
      </c>
      <c r="L1291">
        <v>3096750</v>
      </c>
      <c r="M1291">
        <v>0</v>
      </c>
      <c r="N1291">
        <v>3096750</v>
      </c>
      <c r="O1291">
        <v>72659.549507273579</v>
      </c>
      <c r="P1291">
        <v>0</v>
      </c>
      <c r="Q1291">
        <v>3096750</v>
      </c>
      <c r="R1291">
        <v>72659.549507273579</v>
      </c>
      <c r="S1291" s="238" t="s">
        <v>124</v>
      </c>
      <c r="T1291" s="238" t="s">
        <v>1167</v>
      </c>
      <c r="V1291" t="s">
        <v>1167</v>
      </c>
      <c r="W1291" s="24">
        <v>44781</v>
      </c>
      <c r="X1291" s="238" t="s">
        <v>3276</v>
      </c>
      <c r="Y1291" s="238" t="s">
        <v>3247</v>
      </c>
      <c r="Z1291" s="238" t="s">
        <v>1340</v>
      </c>
      <c r="AA1291" t="s">
        <v>1167</v>
      </c>
      <c r="AB1291" s="238" t="s">
        <v>3246</v>
      </c>
      <c r="AC1291" t="s">
        <v>1167</v>
      </c>
      <c r="AD1291" s="24"/>
      <c r="AE1291" s="238" t="s">
        <v>3248</v>
      </c>
      <c r="AG1291" s="238" t="s">
        <v>1167</v>
      </c>
      <c r="AH1291" s="238" t="s">
        <v>1167</v>
      </c>
      <c r="AI1291" s="238" t="s">
        <v>5050</v>
      </c>
      <c r="AJ1291" s="238" t="s">
        <v>982</v>
      </c>
      <c r="AK1291" s="238" t="s">
        <v>1167</v>
      </c>
      <c r="AL1291" t="s">
        <v>8715</v>
      </c>
      <c r="AM1291" t="s">
        <v>1167</v>
      </c>
    </row>
    <row r="1292" spans="1:39" hidden="1" x14ac:dyDescent="0.25">
      <c r="A1292">
        <v>1288</v>
      </c>
      <c r="B1292">
        <v>232</v>
      </c>
      <c r="C1292" s="24">
        <v>44788</v>
      </c>
      <c r="D1292" s="238" t="s">
        <v>27</v>
      </c>
      <c r="E1292" s="238" t="s">
        <v>14</v>
      </c>
      <c r="F1292">
        <v>1</v>
      </c>
      <c r="G1292">
        <v>8</v>
      </c>
      <c r="H1292">
        <v>686</v>
      </c>
      <c r="I1292" s="238" t="s">
        <v>42</v>
      </c>
      <c r="J1292">
        <v>42.52</v>
      </c>
      <c r="K1292" s="238" t="s">
        <v>38</v>
      </c>
      <c r="L1292">
        <v>3089250</v>
      </c>
      <c r="M1292">
        <v>0</v>
      </c>
      <c r="N1292">
        <v>3089250</v>
      </c>
      <c r="O1292">
        <v>72654.045155221072</v>
      </c>
      <c r="P1292">
        <v>0</v>
      </c>
      <c r="Q1292">
        <v>3089250</v>
      </c>
      <c r="R1292">
        <v>72654.045155221072</v>
      </c>
      <c r="S1292" s="238" t="s">
        <v>124</v>
      </c>
      <c r="T1292" s="238" t="s">
        <v>1167</v>
      </c>
      <c r="V1292" t="s">
        <v>1167</v>
      </c>
      <c r="W1292" s="24">
        <v>44781</v>
      </c>
      <c r="X1292" s="238" t="s">
        <v>3276</v>
      </c>
      <c r="Y1292" s="238" t="s">
        <v>3247</v>
      </c>
      <c r="Z1292" s="238" t="s">
        <v>1340</v>
      </c>
      <c r="AA1292" t="s">
        <v>1167</v>
      </c>
      <c r="AB1292" s="238" t="s">
        <v>3246</v>
      </c>
      <c r="AC1292" t="s">
        <v>1167</v>
      </c>
      <c r="AD1292" s="24"/>
      <c r="AE1292" s="238" t="s">
        <v>3248</v>
      </c>
      <c r="AG1292" s="238" t="s">
        <v>1167</v>
      </c>
      <c r="AH1292" s="238" t="s">
        <v>1167</v>
      </c>
      <c r="AI1292" s="238" t="s">
        <v>5050</v>
      </c>
      <c r="AJ1292" s="238" t="s">
        <v>982</v>
      </c>
      <c r="AK1292" s="238" t="s">
        <v>1167</v>
      </c>
      <c r="AL1292" t="s">
        <v>8715</v>
      </c>
      <c r="AM1292" t="s">
        <v>1167</v>
      </c>
    </row>
    <row r="1293" spans="1:39" hidden="1" x14ac:dyDescent="0.25">
      <c r="A1293">
        <v>1289</v>
      </c>
      <c r="B1293">
        <v>233</v>
      </c>
      <c r="C1293" s="24">
        <v>44788</v>
      </c>
      <c r="D1293" s="238" t="s">
        <v>27</v>
      </c>
      <c r="E1293" s="238" t="s">
        <v>14</v>
      </c>
      <c r="F1293">
        <v>2</v>
      </c>
      <c r="G1293">
        <v>8</v>
      </c>
      <c r="H1293">
        <v>687</v>
      </c>
      <c r="I1293" s="238" t="s">
        <v>42</v>
      </c>
      <c r="J1293">
        <v>40.75</v>
      </c>
      <c r="K1293" s="238" t="s">
        <v>38</v>
      </c>
      <c r="L1293">
        <v>2958000</v>
      </c>
      <c r="M1293">
        <v>0</v>
      </c>
      <c r="N1293">
        <v>2958000</v>
      </c>
      <c r="O1293">
        <v>72588.95705521472</v>
      </c>
      <c r="P1293">
        <v>0</v>
      </c>
      <c r="Q1293">
        <v>2958000</v>
      </c>
      <c r="R1293">
        <v>72588.95705521472</v>
      </c>
      <c r="S1293" s="238" t="s">
        <v>124</v>
      </c>
      <c r="T1293" s="238" t="s">
        <v>1167</v>
      </c>
      <c r="V1293" t="s">
        <v>1167</v>
      </c>
      <c r="W1293" s="24">
        <v>44781</v>
      </c>
      <c r="X1293" s="238" t="s">
        <v>3276</v>
      </c>
      <c r="Y1293" s="238" t="s">
        <v>3247</v>
      </c>
      <c r="Z1293" s="238" t="s">
        <v>1340</v>
      </c>
      <c r="AA1293" t="s">
        <v>1167</v>
      </c>
      <c r="AB1293" s="238" t="s">
        <v>3246</v>
      </c>
      <c r="AC1293" t="s">
        <v>1167</v>
      </c>
      <c r="AD1293" s="24"/>
      <c r="AE1293" s="238" t="s">
        <v>3248</v>
      </c>
      <c r="AG1293" s="238" t="s">
        <v>1167</v>
      </c>
      <c r="AH1293" s="238" t="s">
        <v>1167</v>
      </c>
      <c r="AI1293" s="238" t="s">
        <v>5050</v>
      </c>
      <c r="AJ1293" s="238" t="s">
        <v>982</v>
      </c>
      <c r="AK1293" s="238" t="s">
        <v>1167</v>
      </c>
      <c r="AL1293" t="s">
        <v>8715</v>
      </c>
      <c r="AM1293" t="s">
        <v>1167</v>
      </c>
    </row>
    <row r="1294" spans="1:39" hidden="1" x14ac:dyDescent="0.25">
      <c r="A1294">
        <v>1290</v>
      </c>
      <c r="B1294">
        <v>234</v>
      </c>
      <c r="C1294" s="24">
        <v>44788</v>
      </c>
      <c r="D1294" s="238" t="s">
        <v>27</v>
      </c>
      <c r="E1294" s="238" t="s">
        <v>14</v>
      </c>
      <c r="F1294">
        <v>8</v>
      </c>
      <c r="G1294">
        <v>8</v>
      </c>
      <c r="H1294">
        <v>693</v>
      </c>
      <c r="I1294" s="238" t="s">
        <v>43</v>
      </c>
      <c r="J1294">
        <v>62.35</v>
      </c>
      <c r="K1294" s="238" t="s">
        <v>38</v>
      </c>
      <c r="L1294">
        <v>4481250</v>
      </c>
      <c r="M1294">
        <v>0</v>
      </c>
      <c r="N1294">
        <v>4481250</v>
      </c>
      <c r="O1294">
        <v>71872.49398556535</v>
      </c>
      <c r="P1294">
        <v>0</v>
      </c>
      <c r="Q1294">
        <v>4481250</v>
      </c>
      <c r="R1294">
        <v>71872.49398556535</v>
      </c>
      <c r="S1294" s="238" t="s">
        <v>124</v>
      </c>
      <c r="T1294" s="238" t="s">
        <v>1167</v>
      </c>
      <c r="V1294" t="s">
        <v>1167</v>
      </c>
      <c r="W1294" s="24">
        <v>44781</v>
      </c>
      <c r="X1294" s="238" t="s">
        <v>3276</v>
      </c>
      <c r="Y1294" s="238" t="s">
        <v>3247</v>
      </c>
      <c r="Z1294" s="238" t="s">
        <v>1340</v>
      </c>
      <c r="AA1294" t="s">
        <v>1167</v>
      </c>
      <c r="AB1294" s="238" t="s">
        <v>3246</v>
      </c>
      <c r="AC1294" t="s">
        <v>1167</v>
      </c>
      <c r="AD1294" s="24"/>
      <c r="AE1294" s="238" t="s">
        <v>3248</v>
      </c>
      <c r="AG1294" s="238" t="s">
        <v>1167</v>
      </c>
      <c r="AH1294" s="238" t="s">
        <v>1167</v>
      </c>
      <c r="AI1294" s="238" t="s">
        <v>5050</v>
      </c>
      <c r="AJ1294" s="238" t="s">
        <v>982</v>
      </c>
      <c r="AK1294" s="238" t="s">
        <v>1167</v>
      </c>
      <c r="AL1294" t="s">
        <v>8715</v>
      </c>
      <c r="AM1294" t="s">
        <v>1167</v>
      </c>
    </row>
    <row r="1295" spans="1:39" hidden="1" x14ac:dyDescent="0.25">
      <c r="A1295">
        <v>1291</v>
      </c>
      <c r="B1295">
        <v>235</v>
      </c>
      <c r="C1295" s="24">
        <v>44788</v>
      </c>
      <c r="D1295" s="238" t="s">
        <v>27</v>
      </c>
      <c r="E1295" s="238" t="s">
        <v>14</v>
      </c>
      <c r="F1295">
        <v>9</v>
      </c>
      <c r="G1295">
        <v>8</v>
      </c>
      <c r="H1295">
        <v>694</v>
      </c>
      <c r="I1295" s="238" t="s">
        <v>42</v>
      </c>
      <c r="J1295">
        <v>42.62</v>
      </c>
      <c r="K1295" s="238" t="s">
        <v>38</v>
      </c>
      <c r="L1295">
        <v>3096750</v>
      </c>
      <c r="M1295">
        <v>0</v>
      </c>
      <c r="N1295">
        <v>3096750</v>
      </c>
      <c r="O1295">
        <v>72659.549507273579</v>
      </c>
      <c r="P1295">
        <v>0</v>
      </c>
      <c r="Q1295">
        <v>3096750</v>
      </c>
      <c r="R1295">
        <v>72659.549507273579</v>
      </c>
      <c r="S1295" s="238" t="s">
        <v>124</v>
      </c>
      <c r="T1295" s="238" t="s">
        <v>1167</v>
      </c>
      <c r="V1295" t="s">
        <v>1167</v>
      </c>
      <c r="W1295" s="24">
        <v>44781</v>
      </c>
      <c r="X1295" s="238" t="s">
        <v>3276</v>
      </c>
      <c r="Y1295" s="238" t="s">
        <v>3247</v>
      </c>
      <c r="Z1295" s="238" t="s">
        <v>1340</v>
      </c>
      <c r="AA1295" t="s">
        <v>1167</v>
      </c>
      <c r="AB1295" s="238" t="s">
        <v>3246</v>
      </c>
      <c r="AC1295" t="s">
        <v>1167</v>
      </c>
      <c r="AD1295" s="24"/>
      <c r="AE1295" s="238" t="s">
        <v>3248</v>
      </c>
      <c r="AG1295" s="238" t="s">
        <v>1167</v>
      </c>
      <c r="AH1295" s="238" t="s">
        <v>1167</v>
      </c>
      <c r="AI1295" s="238" t="s">
        <v>5050</v>
      </c>
      <c r="AJ1295" s="238" t="s">
        <v>982</v>
      </c>
      <c r="AK1295" s="238" t="s">
        <v>1167</v>
      </c>
      <c r="AL1295" t="s">
        <v>8715</v>
      </c>
      <c r="AM1295" t="s">
        <v>1167</v>
      </c>
    </row>
    <row r="1296" spans="1:39" hidden="1" x14ac:dyDescent="0.25">
      <c r="A1296">
        <v>1292</v>
      </c>
      <c r="B1296">
        <v>236</v>
      </c>
      <c r="C1296" s="24">
        <v>44788</v>
      </c>
      <c r="D1296" s="238" t="s">
        <v>27</v>
      </c>
      <c r="E1296" s="238" t="s">
        <v>14</v>
      </c>
      <c r="F1296">
        <v>1</v>
      </c>
      <c r="G1296">
        <v>9</v>
      </c>
      <c r="H1296">
        <v>695</v>
      </c>
      <c r="I1296" s="238" t="s">
        <v>42</v>
      </c>
      <c r="J1296">
        <v>42.52</v>
      </c>
      <c r="K1296" s="238" t="s">
        <v>38</v>
      </c>
      <c r="L1296">
        <v>3089250</v>
      </c>
      <c r="M1296">
        <v>0</v>
      </c>
      <c r="N1296">
        <v>3089250</v>
      </c>
      <c r="O1296">
        <v>72654.045155221072</v>
      </c>
      <c r="P1296">
        <v>0</v>
      </c>
      <c r="Q1296">
        <v>3089250</v>
      </c>
      <c r="R1296">
        <v>72654.045155221072</v>
      </c>
      <c r="S1296" s="238" t="s">
        <v>124</v>
      </c>
      <c r="T1296" s="238" t="s">
        <v>1167</v>
      </c>
      <c r="V1296" t="s">
        <v>1167</v>
      </c>
      <c r="W1296" s="24">
        <v>44781</v>
      </c>
      <c r="X1296" s="238" t="s">
        <v>3276</v>
      </c>
      <c r="Y1296" s="238" t="s">
        <v>3247</v>
      </c>
      <c r="Z1296" s="238" t="s">
        <v>1340</v>
      </c>
      <c r="AA1296" t="s">
        <v>1167</v>
      </c>
      <c r="AB1296" s="238" t="s">
        <v>3246</v>
      </c>
      <c r="AC1296" t="s">
        <v>1167</v>
      </c>
      <c r="AD1296" s="24"/>
      <c r="AE1296" s="238" t="s">
        <v>3248</v>
      </c>
      <c r="AG1296" s="238" t="s">
        <v>1167</v>
      </c>
      <c r="AH1296" s="238" t="s">
        <v>1167</v>
      </c>
      <c r="AI1296" s="238" t="s">
        <v>5050</v>
      </c>
      <c r="AJ1296" s="238" t="s">
        <v>982</v>
      </c>
      <c r="AK1296" s="238" t="s">
        <v>1167</v>
      </c>
      <c r="AL1296" t="s">
        <v>8715</v>
      </c>
      <c r="AM1296" t="s">
        <v>1167</v>
      </c>
    </row>
    <row r="1297" spans="1:39" hidden="1" x14ac:dyDescent="0.25">
      <c r="A1297">
        <v>1293</v>
      </c>
      <c r="B1297">
        <v>237</v>
      </c>
      <c r="C1297" s="24">
        <v>44788</v>
      </c>
      <c r="D1297" s="238" t="s">
        <v>27</v>
      </c>
      <c r="E1297" s="238" t="s">
        <v>14</v>
      </c>
      <c r="F1297">
        <v>2</v>
      </c>
      <c r="G1297">
        <v>9</v>
      </c>
      <c r="H1297">
        <v>696</v>
      </c>
      <c r="I1297" s="238" t="s">
        <v>42</v>
      </c>
      <c r="J1297">
        <v>40.75</v>
      </c>
      <c r="K1297" s="238" t="s">
        <v>38</v>
      </c>
      <c r="L1297">
        <v>2958000</v>
      </c>
      <c r="M1297">
        <v>0</v>
      </c>
      <c r="N1297">
        <v>2958000</v>
      </c>
      <c r="O1297">
        <v>72588.95705521472</v>
      </c>
      <c r="P1297">
        <v>0</v>
      </c>
      <c r="Q1297">
        <v>2958000</v>
      </c>
      <c r="R1297">
        <v>72588.95705521472</v>
      </c>
      <c r="S1297" s="238" t="s">
        <v>124</v>
      </c>
      <c r="T1297" s="238" t="s">
        <v>1167</v>
      </c>
      <c r="V1297" t="s">
        <v>1167</v>
      </c>
      <c r="W1297" s="24">
        <v>44781</v>
      </c>
      <c r="X1297" s="238" t="s">
        <v>3276</v>
      </c>
      <c r="Y1297" s="238" t="s">
        <v>3247</v>
      </c>
      <c r="Z1297" s="238" t="s">
        <v>1340</v>
      </c>
      <c r="AA1297" t="s">
        <v>1167</v>
      </c>
      <c r="AB1297" s="238" t="s">
        <v>3246</v>
      </c>
      <c r="AC1297" t="s">
        <v>1167</v>
      </c>
      <c r="AD1297" s="24"/>
      <c r="AE1297" s="238" t="s">
        <v>3248</v>
      </c>
      <c r="AG1297" s="238" t="s">
        <v>1167</v>
      </c>
      <c r="AH1297" s="238" t="s">
        <v>1167</v>
      </c>
      <c r="AI1297" s="238" t="s">
        <v>5050</v>
      </c>
      <c r="AJ1297" s="238" t="s">
        <v>982</v>
      </c>
      <c r="AK1297" s="238" t="s">
        <v>1167</v>
      </c>
      <c r="AL1297" t="s">
        <v>8715</v>
      </c>
      <c r="AM1297" t="s">
        <v>1167</v>
      </c>
    </row>
    <row r="1298" spans="1:39" hidden="1" x14ac:dyDescent="0.25">
      <c r="A1298">
        <v>1294</v>
      </c>
      <c r="B1298">
        <v>238</v>
      </c>
      <c r="C1298" s="24">
        <v>44788</v>
      </c>
      <c r="D1298" s="238" t="s">
        <v>27</v>
      </c>
      <c r="E1298" s="238" t="s">
        <v>14</v>
      </c>
      <c r="F1298">
        <v>6</v>
      </c>
      <c r="G1298">
        <v>9</v>
      </c>
      <c r="H1298">
        <v>700</v>
      </c>
      <c r="I1298" s="238" t="s">
        <v>43</v>
      </c>
      <c r="J1298">
        <v>61.95</v>
      </c>
      <c r="K1298" s="238" t="s">
        <v>38</v>
      </c>
      <c r="L1298">
        <v>4547250</v>
      </c>
      <c r="M1298">
        <v>0</v>
      </c>
      <c r="N1298">
        <v>4547250</v>
      </c>
      <c r="O1298">
        <v>73401.937046004838</v>
      </c>
      <c r="P1298">
        <v>0</v>
      </c>
      <c r="Q1298">
        <v>4547250</v>
      </c>
      <c r="R1298">
        <v>73401.937046004838</v>
      </c>
      <c r="S1298" s="238" t="s">
        <v>124</v>
      </c>
      <c r="T1298" s="238" t="s">
        <v>1167</v>
      </c>
      <c r="V1298" t="s">
        <v>1167</v>
      </c>
      <c r="W1298" s="24">
        <v>44781</v>
      </c>
      <c r="X1298" s="238" t="s">
        <v>3276</v>
      </c>
      <c r="Y1298" s="238" t="s">
        <v>3247</v>
      </c>
      <c r="Z1298" s="238" t="s">
        <v>1340</v>
      </c>
      <c r="AA1298" t="s">
        <v>1167</v>
      </c>
      <c r="AB1298" s="238" t="s">
        <v>3246</v>
      </c>
      <c r="AC1298" t="s">
        <v>1167</v>
      </c>
      <c r="AD1298" s="24"/>
      <c r="AE1298" s="238" t="s">
        <v>3248</v>
      </c>
      <c r="AG1298" s="238" t="s">
        <v>1167</v>
      </c>
      <c r="AH1298" s="238" t="s">
        <v>1167</v>
      </c>
      <c r="AI1298" s="238" t="s">
        <v>5050</v>
      </c>
      <c r="AJ1298" s="238" t="s">
        <v>982</v>
      </c>
      <c r="AK1298" s="238" t="s">
        <v>1167</v>
      </c>
      <c r="AL1298" t="s">
        <v>8715</v>
      </c>
      <c r="AM1298" t="s">
        <v>1167</v>
      </c>
    </row>
    <row r="1299" spans="1:39" hidden="1" x14ac:dyDescent="0.25">
      <c r="A1299">
        <v>1295</v>
      </c>
      <c r="B1299">
        <v>239</v>
      </c>
      <c r="C1299" s="24">
        <v>44788</v>
      </c>
      <c r="D1299" s="238" t="s">
        <v>27</v>
      </c>
      <c r="E1299" s="238" t="s">
        <v>14</v>
      </c>
      <c r="F1299">
        <v>8</v>
      </c>
      <c r="G1299">
        <v>9</v>
      </c>
      <c r="H1299">
        <v>702</v>
      </c>
      <c r="I1299" s="238" t="s">
        <v>43</v>
      </c>
      <c r="J1299">
        <v>62.35</v>
      </c>
      <c r="K1299" s="238" t="s">
        <v>38</v>
      </c>
      <c r="L1299">
        <v>4481250</v>
      </c>
      <c r="M1299">
        <v>0</v>
      </c>
      <c r="N1299">
        <v>4481250</v>
      </c>
      <c r="O1299">
        <v>71872.49398556535</v>
      </c>
      <c r="P1299">
        <v>0</v>
      </c>
      <c r="Q1299">
        <v>4481250</v>
      </c>
      <c r="R1299">
        <v>71872.49398556535</v>
      </c>
      <c r="S1299" s="238" t="s">
        <v>124</v>
      </c>
      <c r="T1299" s="238" t="s">
        <v>1167</v>
      </c>
      <c r="V1299" t="s">
        <v>1167</v>
      </c>
      <c r="W1299" s="24">
        <v>44781</v>
      </c>
      <c r="X1299" s="238" t="s">
        <v>3276</v>
      </c>
      <c r="Y1299" s="238" t="s">
        <v>3247</v>
      </c>
      <c r="Z1299" s="238" t="s">
        <v>1340</v>
      </c>
      <c r="AA1299" t="s">
        <v>1167</v>
      </c>
      <c r="AB1299" s="238" t="s">
        <v>3246</v>
      </c>
      <c r="AC1299" t="s">
        <v>1167</v>
      </c>
      <c r="AD1299" s="24"/>
      <c r="AE1299" s="238" t="s">
        <v>3248</v>
      </c>
      <c r="AG1299" s="238" t="s">
        <v>1167</v>
      </c>
      <c r="AH1299" s="238" t="s">
        <v>1167</v>
      </c>
      <c r="AI1299" s="238" t="s">
        <v>5050</v>
      </c>
      <c r="AJ1299" s="238" t="s">
        <v>982</v>
      </c>
      <c r="AK1299" s="238" t="s">
        <v>1167</v>
      </c>
      <c r="AL1299" t="s">
        <v>8715</v>
      </c>
      <c r="AM1299" t="s">
        <v>1167</v>
      </c>
    </row>
    <row r="1300" spans="1:39" hidden="1" x14ac:dyDescent="0.25">
      <c r="A1300">
        <v>1296</v>
      </c>
      <c r="B1300">
        <v>240</v>
      </c>
      <c r="C1300" s="24">
        <v>44788</v>
      </c>
      <c r="D1300" s="238" t="s">
        <v>27</v>
      </c>
      <c r="E1300" s="238" t="s">
        <v>14</v>
      </c>
      <c r="F1300">
        <v>9</v>
      </c>
      <c r="G1300">
        <v>9</v>
      </c>
      <c r="H1300">
        <v>703</v>
      </c>
      <c r="I1300" s="238" t="s">
        <v>42</v>
      </c>
      <c r="J1300">
        <v>42.62</v>
      </c>
      <c r="K1300" s="238" t="s">
        <v>38</v>
      </c>
      <c r="L1300">
        <v>3096750</v>
      </c>
      <c r="M1300">
        <v>0</v>
      </c>
      <c r="N1300">
        <v>3096750</v>
      </c>
      <c r="O1300">
        <v>72659.549507273579</v>
      </c>
      <c r="P1300">
        <v>0</v>
      </c>
      <c r="Q1300">
        <v>3096750</v>
      </c>
      <c r="R1300">
        <v>72659.549507273579</v>
      </c>
      <c r="S1300" s="238" t="s">
        <v>124</v>
      </c>
      <c r="T1300" s="238" t="s">
        <v>1167</v>
      </c>
      <c r="V1300" t="s">
        <v>1167</v>
      </c>
      <c r="W1300" s="24">
        <v>44781</v>
      </c>
      <c r="X1300" s="238" t="s">
        <v>3277</v>
      </c>
      <c r="Y1300" s="238" t="s">
        <v>3247</v>
      </c>
      <c r="Z1300" s="238" t="s">
        <v>1340</v>
      </c>
      <c r="AA1300" t="s">
        <v>1167</v>
      </c>
      <c r="AB1300" s="238" t="s">
        <v>3246</v>
      </c>
      <c r="AC1300" t="s">
        <v>1167</v>
      </c>
      <c r="AD1300" s="24"/>
      <c r="AE1300" s="238" t="s">
        <v>3248</v>
      </c>
      <c r="AG1300" s="238" t="s">
        <v>1167</v>
      </c>
      <c r="AH1300" s="238" t="s">
        <v>1167</v>
      </c>
      <c r="AI1300" s="238" t="s">
        <v>5050</v>
      </c>
      <c r="AJ1300" s="238" t="s">
        <v>982</v>
      </c>
      <c r="AK1300" s="238" t="s">
        <v>1167</v>
      </c>
      <c r="AL1300" t="s">
        <v>8715</v>
      </c>
      <c r="AM1300" t="s">
        <v>1167</v>
      </c>
    </row>
    <row r="1301" spans="1:39" hidden="1" x14ac:dyDescent="0.25">
      <c r="A1301">
        <v>1297</v>
      </c>
      <c r="B1301">
        <v>241</v>
      </c>
      <c r="C1301" s="24">
        <v>44788</v>
      </c>
      <c r="D1301" s="238" t="s">
        <v>27</v>
      </c>
      <c r="E1301" s="238" t="s">
        <v>14</v>
      </c>
      <c r="F1301">
        <v>1</v>
      </c>
      <c r="G1301">
        <v>10</v>
      </c>
      <c r="H1301">
        <v>704</v>
      </c>
      <c r="I1301" s="238" t="s">
        <v>42</v>
      </c>
      <c r="J1301">
        <v>42.52</v>
      </c>
      <c r="K1301" s="238" t="s">
        <v>38</v>
      </c>
      <c r="L1301">
        <v>3089250</v>
      </c>
      <c r="M1301">
        <v>0</v>
      </c>
      <c r="N1301">
        <v>3089250</v>
      </c>
      <c r="O1301">
        <v>72654.045155221072</v>
      </c>
      <c r="P1301">
        <v>0</v>
      </c>
      <c r="Q1301">
        <v>3089250</v>
      </c>
      <c r="R1301">
        <v>72654.045155221072</v>
      </c>
      <c r="S1301" s="238" t="s">
        <v>124</v>
      </c>
      <c r="T1301" s="238" t="s">
        <v>1167</v>
      </c>
      <c r="V1301" t="s">
        <v>1167</v>
      </c>
      <c r="W1301" s="24">
        <v>44781</v>
      </c>
      <c r="X1301" s="238" t="s">
        <v>3277</v>
      </c>
      <c r="Y1301" s="238" t="s">
        <v>3247</v>
      </c>
      <c r="Z1301" s="238" t="s">
        <v>1340</v>
      </c>
      <c r="AA1301" t="s">
        <v>1167</v>
      </c>
      <c r="AB1301" s="238" t="s">
        <v>3246</v>
      </c>
      <c r="AC1301" t="s">
        <v>1167</v>
      </c>
      <c r="AD1301" s="24"/>
      <c r="AE1301" s="238" t="s">
        <v>3248</v>
      </c>
      <c r="AG1301" s="238" t="s">
        <v>1167</v>
      </c>
      <c r="AH1301" s="238" t="s">
        <v>1167</v>
      </c>
      <c r="AI1301" s="238" t="s">
        <v>5050</v>
      </c>
      <c r="AJ1301" s="238" t="s">
        <v>982</v>
      </c>
      <c r="AK1301" s="238" t="s">
        <v>1167</v>
      </c>
      <c r="AL1301" t="s">
        <v>8715</v>
      </c>
      <c r="AM1301" t="s">
        <v>1167</v>
      </c>
    </row>
    <row r="1302" spans="1:39" hidden="1" x14ac:dyDescent="0.25">
      <c r="A1302">
        <v>1298</v>
      </c>
      <c r="B1302">
        <v>242</v>
      </c>
      <c r="C1302" s="24">
        <v>44788</v>
      </c>
      <c r="D1302" s="238" t="s">
        <v>27</v>
      </c>
      <c r="E1302" s="238" t="s">
        <v>14</v>
      </c>
      <c r="F1302">
        <v>2</v>
      </c>
      <c r="G1302">
        <v>10</v>
      </c>
      <c r="H1302">
        <v>705</v>
      </c>
      <c r="I1302" s="238" t="s">
        <v>42</v>
      </c>
      <c r="J1302">
        <v>40.75</v>
      </c>
      <c r="K1302" s="238" t="s">
        <v>38</v>
      </c>
      <c r="L1302">
        <v>2958000</v>
      </c>
      <c r="M1302">
        <v>0</v>
      </c>
      <c r="N1302">
        <v>2958000</v>
      </c>
      <c r="O1302">
        <v>72588.95705521472</v>
      </c>
      <c r="P1302">
        <v>0</v>
      </c>
      <c r="Q1302">
        <v>2958000</v>
      </c>
      <c r="R1302">
        <v>72588.95705521472</v>
      </c>
      <c r="S1302" s="238" t="s">
        <v>124</v>
      </c>
      <c r="T1302" s="238" t="s">
        <v>1167</v>
      </c>
      <c r="V1302" t="s">
        <v>1167</v>
      </c>
      <c r="W1302" s="24">
        <v>44781</v>
      </c>
      <c r="X1302" s="238" t="s">
        <v>3277</v>
      </c>
      <c r="Y1302" s="238" t="s">
        <v>3247</v>
      </c>
      <c r="Z1302" s="238" t="s">
        <v>1340</v>
      </c>
      <c r="AA1302" t="s">
        <v>1167</v>
      </c>
      <c r="AB1302" s="238" t="s">
        <v>3246</v>
      </c>
      <c r="AC1302" t="s">
        <v>1167</v>
      </c>
      <c r="AD1302" s="24"/>
      <c r="AE1302" s="238" t="s">
        <v>3248</v>
      </c>
      <c r="AG1302" s="238" t="s">
        <v>1167</v>
      </c>
      <c r="AH1302" s="238" t="s">
        <v>1167</v>
      </c>
      <c r="AI1302" s="238" t="s">
        <v>5050</v>
      </c>
      <c r="AJ1302" s="238" t="s">
        <v>982</v>
      </c>
      <c r="AK1302" s="238" t="s">
        <v>1167</v>
      </c>
      <c r="AL1302" t="s">
        <v>8715</v>
      </c>
      <c r="AM1302" t="s">
        <v>1167</v>
      </c>
    </row>
    <row r="1303" spans="1:39" hidden="1" x14ac:dyDescent="0.25">
      <c r="A1303">
        <v>1299</v>
      </c>
      <c r="B1303">
        <v>243</v>
      </c>
      <c r="C1303" s="24">
        <v>44788</v>
      </c>
      <c r="D1303" s="238" t="s">
        <v>27</v>
      </c>
      <c r="E1303" s="238" t="s">
        <v>14</v>
      </c>
      <c r="F1303">
        <v>6</v>
      </c>
      <c r="G1303">
        <v>10</v>
      </c>
      <c r="H1303">
        <v>709</v>
      </c>
      <c r="I1303" s="238" t="s">
        <v>43</v>
      </c>
      <c r="J1303">
        <v>61.95</v>
      </c>
      <c r="K1303" s="238" t="s">
        <v>38</v>
      </c>
      <c r="L1303">
        <v>4547250</v>
      </c>
      <c r="M1303">
        <v>0</v>
      </c>
      <c r="N1303">
        <v>4547250</v>
      </c>
      <c r="O1303">
        <v>73401.937046004838</v>
      </c>
      <c r="P1303">
        <v>0</v>
      </c>
      <c r="Q1303">
        <v>4547250</v>
      </c>
      <c r="R1303">
        <v>73401.937046004838</v>
      </c>
      <c r="S1303" s="238" t="s">
        <v>124</v>
      </c>
      <c r="T1303" s="238" t="s">
        <v>1167</v>
      </c>
      <c r="V1303" t="s">
        <v>1167</v>
      </c>
      <c r="W1303" s="24">
        <v>44781</v>
      </c>
      <c r="X1303" s="238" t="s">
        <v>3277</v>
      </c>
      <c r="Y1303" s="238" t="s">
        <v>3247</v>
      </c>
      <c r="Z1303" s="238" t="s">
        <v>1340</v>
      </c>
      <c r="AA1303" t="s">
        <v>1167</v>
      </c>
      <c r="AB1303" s="238" t="s">
        <v>3246</v>
      </c>
      <c r="AC1303" t="s">
        <v>1167</v>
      </c>
      <c r="AD1303" s="24"/>
      <c r="AE1303" s="238" t="s">
        <v>3248</v>
      </c>
      <c r="AG1303" s="238" t="s">
        <v>1167</v>
      </c>
      <c r="AH1303" s="238" t="s">
        <v>1167</v>
      </c>
      <c r="AI1303" s="238" t="s">
        <v>5050</v>
      </c>
      <c r="AJ1303" s="238" t="s">
        <v>982</v>
      </c>
      <c r="AK1303" s="238" t="s">
        <v>1167</v>
      </c>
      <c r="AL1303" t="s">
        <v>8715</v>
      </c>
      <c r="AM1303" t="s">
        <v>1167</v>
      </c>
    </row>
    <row r="1304" spans="1:39" hidden="1" x14ac:dyDescent="0.25">
      <c r="A1304">
        <v>1300</v>
      </c>
      <c r="B1304">
        <v>244</v>
      </c>
      <c r="C1304" s="24">
        <v>44788</v>
      </c>
      <c r="D1304" s="238" t="s">
        <v>27</v>
      </c>
      <c r="E1304" s="238" t="s">
        <v>14</v>
      </c>
      <c r="F1304">
        <v>8</v>
      </c>
      <c r="G1304">
        <v>10</v>
      </c>
      <c r="H1304">
        <v>711</v>
      </c>
      <c r="I1304" s="238" t="s">
        <v>43</v>
      </c>
      <c r="J1304">
        <v>62.35</v>
      </c>
      <c r="K1304" s="238" t="s">
        <v>38</v>
      </c>
      <c r="L1304">
        <v>4481250</v>
      </c>
      <c r="M1304">
        <v>0</v>
      </c>
      <c r="N1304">
        <v>4481250</v>
      </c>
      <c r="O1304">
        <v>71872.49398556535</v>
      </c>
      <c r="P1304">
        <v>0</v>
      </c>
      <c r="Q1304">
        <v>4481250</v>
      </c>
      <c r="R1304">
        <v>71872.49398556535</v>
      </c>
      <c r="S1304" s="238" t="s">
        <v>124</v>
      </c>
      <c r="T1304" s="238" t="s">
        <v>1167</v>
      </c>
      <c r="V1304" t="s">
        <v>1167</v>
      </c>
      <c r="W1304" s="24">
        <v>44781</v>
      </c>
      <c r="X1304" s="238" t="s">
        <v>3277</v>
      </c>
      <c r="Y1304" s="238" t="s">
        <v>3247</v>
      </c>
      <c r="Z1304" s="238" t="s">
        <v>1340</v>
      </c>
      <c r="AA1304" t="s">
        <v>1167</v>
      </c>
      <c r="AB1304" s="238" t="s">
        <v>3246</v>
      </c>
      <c r="AC1304" t="s">
        <v>1167</v>
      </c>
      <c r="AD1304" s="24"/>
      <c r="AE1304" s="238" t="s">
        <v>3248</v>
      </c>
      <c r="AG1304" s="238" t="s">
        <v>1167</v>
      </c>
      <c r="AH1304" s="238" t="s">
        <v>1167</v>
      </c>
      <c r="AI1304" s="238" t="s">
        <v>5050</v>
      </c>
      <c r="AJ1304" s="238" t="s">
        <v>982</v>
      </c>
      <c r="AK1304" s="238" t="s">
        <v>1167</v>
      </c>
      <c r="AL1304" t="s">
        <v>8715</v>
      </c>
      <c r="AM1304" t="s">
        <v>1167</v>
      </c>
    </row>
    <row r="1305" spans="1:39" hidden="1" x14ac:dyDescent="0.25">
      <c r="A1305">
        <v>1301</v>
      </c>
      <c r="B1305">
        <v>245</v>
      </c>
      <c r="C1305" s="24">
        <v>44788</v>
      </c>
      <c r="D1305" s="238" t="s">
        <v>27</v>
      </c>
      <c r="E1305" s="238" t="s">
        <v>14</v>
      </c>
      <c r="F1305">
        <v>9</v>
      </c>
      <c r="G1305">
        <v>10</v>
      </c>
      <c r="H1305">
        <v>712</v>
      </c>
      <c r="I1305" s="238" t="s">
        <v>42</v>
      </c>
      <c r="J1305">
        <v>42.62</v>
      </c>
      <c r="K1305" s="238" t="s">
        <v>38</v>
      </c>
      <c r="L1305">
        <v>3096750</v>
      </c>
      <c r="M1305">
        <v>0</v>
      </c>
      <c r="N1305">
        <v>3096750</v>
      </c>
      <c r="O1305">
        <v>72659.549507273579</v>
      </c>
      <c r="P1305">
        <v>0</v>
      </c>
      <c r="Q1305">
        <v>3096750</v>
      </c>
      <c r="R1305">
        <v>72659.549507273579</v>
      </c>
      <c r="S1305" s="238" t="s">
        <v>124</v>
      </c>
      <c r="T1305" s="238" t="s">
        <v>1167</v>
      </c>
      <c r="V1305" t="s">
        <v>1167</v>
      </c>
      <c r="W1305" s="24">
        <v>44781</v>
      </c>
      <c r="X1305" s="238" t="s">
        <v>3277</v>
      </c>
      <c r="Y1305" s="238" t="s">
        <v>3247</v>
      </c>
      <c r="Z1305" s="238" t="s">
        <v>1340</v>
      </c>
      <c r="AA1305" t="s">
        <v>1167</v>
      </c>
      <c r="AB1305" s="238" t="s">
        <v>3246</v>
      </c>
      <c r="AC1305" t="s">
        <v>1167</v>
      </c>
      <c r="AD1305" s="24"/>
      <c r="AE1305" s="238" t="s">
        <v>3248</v>
      </c>
      <c r="AG1305" s="238" t="s">
        <v>1167</v>
      </c>
      <c r="AH1305" s="238" t="s">
        <v>1167</v>
      </c>
      <c r="AI1305" s="238" t="s">
        <v>5050</v>
      </c>
      <c r="AJ1305" s="238" t="s">
        <v>982</v>
      </c>
      <c r="AK1305" s="238" t="s">
        <v>1167</v>
      </c>
      <c r="AL1305" t="s">
        <v>8715</v>
      </c>
      <c r="AM1305" t="s">
        <v>1167</v>
      </c>
    </row>
    <row r="1306" spans="1:39" hidden="1" x14ac:dyDescent="0.25">
      <c r="A1306">
        <v>1302</v>
      </c>
      <c r="B1306">
        <v>246</v>
      </c>
      <c r="C1306" s="24">
        <v>44788</v>
      </c>
      <c r="D1306" s="238" t="s">
        <v>27</v>
      </c>
      <c r="E1306" s="238" t="s">
        <v>14</v>
      </c>
      <c r="F1306">
        <v>1</v>
      </c>
      <c r="G1306">
        <v>11</v>
      </c>
      <c r="H1306">
        <v>713</v>
      </c>
      <c r="I1306" s="238" t="s">
        <v>42</v>
      </c>
      <c r="J1306">
        <v>42.52</v>
      </c>
      <c r="K1306" s="238" t="s">
        <v>38</v>
      </c>
      <c r="L1306">
        <v>3089250</v>
      </c>
      <c r="M1306">
        <v>0</v>
      </c>
      <c r="N1306">
        <v>3089250</v>
      </c>
      <c r="O1306">
        <v>72654.045155221072</v>
      </c>
      <c r="P1306">
        <v>0</v>
      </c>
      <c r="Q1306">
        <v>3089250</v>
      </c>
      <c r="R1306">
        <v>72654.045155221072</v>
      </c>
      <c r="S1306" s="238" t="s">
        <v>124</v>
      </c>
      <c r="T1306" s="238" t="s">
        <v>1167</v>
      </c>
      <c r="V1306" t="s">
        <v>1167</v>
      </c>
      <c r="W1306" s="24">
        <v>44781</v>
      </c>
      <c r="X1306" s="238" t="s">
        <v>3277</v>
      </c>
      <c r="Y1306" s="238" t="s">
        <v>3247</v>
      </c>
      <c r="Z1306" s="238" t="s">
        <v>1340</v>
      </c>
      <c r="AA1306" t="s">
        <v>1167</v>
      </c>
      <c r="AB1306" s="238" t="s">
        <v>3246</v>
      </c>
      <c r="AC1306" t="s">
        <v>1167</v>
      </c>
      <c r="AD1306" s="24"/>
      <c r="AE1306" s="238" t="s">
        <v>3248</v>
      </c>
      <c r="AG1306" s="238" t="s">
        <v>1167</v>
      </c>
      <c r="AH1306" s="238" t="s">
        <v>1167</v>
      </c>
      <c r="AI1306" s="238" t="s">
        <v>5050</v>
      </c>
      <c r="AJ1306" s="238" t="s">
        <v>982</v>
      </c>
      <c r="AK1306" s="238" t="s">
        <v>1167</v>
      </c>
      <c r="AL1306" t="s">
        <v>8715</v>
      </c>
      <c r="AM1306" t="s">
        <v>1167</v>
      </c>
    </row>
    <row r="1307" spans="1:39" hidden="1" x14ac:dyDescent="0.25">
      <c r="A1307">
        <v>1303</v>
      </c>
      <c r="B1307">
        <v>247</v>
      </c>
      <c r="C1307" s="24">
        <v>44788</v>
      </c>
      <c r="D1307" s="238" t="s">
        <v>27</v>
      </c>
      <c r="E1307" s="238" t="s">
        <v>14</v>
      </c>
      <c r="F1307">
        <v>2</v>
      </c>
      <c r="G1307">
        <v>11</v>
      </c>
      <c r="H1307">
        <v>714</v>
      </c>
      <c r="I1307" s="238" t="s">
        <v>42</v>
      </c>
      <c r="J1307">
        <v>40.75</v>
      </c>
      <c r="K1307" s="238" t="s">
        <v>38</v>
      </c>
      <c r="L1307">
        <v>2958000</v>
      </c>
      <c r="M1307">
        <v>0</v>
      </c>
      <c r="N1307">
        <v>2958000</v>
      </c>
      <c r="O1307">
        <v>72588.95705521472</v>
      </c>
      <c r="P1307">
        <v>0</v>
      </c>
      <c r="Q1307">
        <v>2958000</v>
      </c>
      <c r="R1307">
        <v>72588.95705521472</v>
      </c>
      <c r="S1307" s="238" t="s">
        <v>124</v>
      </c>
      <c r="T1307" s="238" t="s">
        <v>1167</v>
      </c>
      <c r="V1307" t="s">
        <v>1167</v>
      </c>
      <c r="W1307" s="24">
        <v>44781</v>
      </c>
      <c r="X1307" s="238" t="s">
        <v>3277</v>
      </c>
      <c r="Y1307" s="238" t="s">
        <v>3247</v>
      </c>
      <c r="Z1307" s="238" t="s">
        <v>1340</v>
      </c>
      <c r="AA1307" t="s">
        <v>1167</v>
      </c>
      <c r="AB1307" s="238" t="s">
        <v>3246</v>
      </c>
      <c r="AC1307" t="s">
        <v>1167</v>
      </c>
      <c r="AD1307" s="24"/>
      <c r="AE1307" s="238" t="s">
        <v>3248</v>
      </c>
      <c r="AG1307" s="238" t="s">
        <v>1167</v>
      </c>
      <c r="AH1307" s="238" t="s">
        <v>1167</v>
      </c>
      <c r="AI1307" s="238" t="s">
        <v>5050</v>
      </c>
      <c r="AJ1307" s="238" t="s">
        <v>982</v>
      </c>
      <c r="AK1307" s="238" t="s">
        <v>1167</v>
      </c>
      <c r="AL1307" t="s">
        <v>8715</v>
      </c>
      <c r="AM1307" t="s">
        <v>1167</v>
      </c>
    </row>
    <row r="1308" spans="1:39" hidden="1" x14ac:dyDescent="0.25">
      <c r="A1308">
        <v>1304</v>
      </c>
      <c r="B1308">
        <v>248</v>
      </c>
      <c r="C1308" s="24">
        <v>44788</v>
      </c>
      <c r="D1308" s="238" t="s">
        <v>27</v>
      </c>
      <c r="E1308" s="238" t="s">
        <v>14</v>
      </c>
      <c r="F1308">
        <v>6</v>
      </c>
      <c r="G1308">
        <v>11</v>
      </c>
      <c r="H1308">
        <v>718</v>
      </c>
      <c r="I1308" s="238" t="s">
        <v>43</v>
      </c>
      <c r="J1308">
        <v>61.95</v>
      </c>
      <c r="K1308" s="238" t="s">
        <v>38</v>
      </c>
      <c r="L1308">
        <v>4547250</v>
      </c>
      <c r="M1308">
        <v>0</v>
      </c>
      <c r="N1308">
        <v>4547250</v>
      </c>
      <c r="O1308">
        <v>73401.937046004838</v>
      </c>
      <c r="P1308">
        <v>0</v>
      </c>
      <c r="Q1308">
        <v>4547250</v>
      </c>
      <c r="R1308">
        <v>73401.937046004838</v>
      </c>
      <c r="S1308" s="238" t="s">
        <v>124</v>
      </c>
      <c r="T1308" s="238" t="s">
        <v>1167</v>
      </c>
      <c r="V1308" t="s">
        <v>1167</v>
      </c>
      <c r="W1308" s="24">
        <v>44781</v>
      </c>
      <c r="X1308" s="238" t="s">
        <v>3277</v>
      </c>
      <c r="Y1308" s="238" t="s">
        <v>3247</v>
      </c>
      <c r="Z1308" s="238" t="s">
        <v>1340</v>
      </c>
      <c r="AA1308" t="s">
        <v>1167</v>
      </c>
      <c r="AB1308" s="238" t="s">
        <v>3246</v>
      </c>
      <c r="AC1308" t="s">
        <v>1167</v>
      </c>
      <c r="AD1308" s="24"/>
      <c r="AE1308" s="238" t="s">
        <v>3248</v>
      </c>
      <c r="AG1308" s="238" t="s">
        <v>1167</v>
      </c>
      <c r="AH1308" s="238" t="s">
        <v>1167</v>
      </c>
      <c r="AI1308" s="238" t="s">
        <v>5050</v>
      </c>
      <c r="AJ1308" s="238" t="s">
        <v>982</v>
      </c>
      <c r="AK1308" s="238" t="s">
        <v>1167</v>
      </c>
      <c r="AL1308" t="s">
        <v>8715</v>
      </c>
      <c r="AM1308" t="s">
        <v>1167</v>
      </c>
    </row>
    <row r="1309" spans="1:39" hidden="1" x14ac:dyDescent="0.25">
      <c r="A1309">
        <v>1305</v>
      </c>
      <c r="B1309">
        <v>249</v>
      </c>
      <c r="C1309" s="24">
        <v>44788</v>
      </c>
      <c r="D1309" s="238" t="s">
        <v>27</v>
      </c>
      <c r="E1309" s="238" t="s">
        <v>14</v>
      </c>
      <c r="F1309">
        <v>8</v>
      </c>
      <c r="G1309">
        <v>11</v>
      </c>
      <c r="H1309">
        <v>720</v>
      </c>
      <c r="I1309" s="238" t="s">
        <v>43</v>
      </c>
      <c r="J1309">
        <v>62.35</v>
      </c>
      <c r="K1309" s="238" t="s">
        <v>38</v>
      </c>
      <c r="L1309">
        <v>4481250</v>
      </c>
      <c r="M1309">
        <v>0</v>
      </c>
      <c r="N1309">
        <v>4481250</v>
      </c>
      <c r="O1309">
        <v>71872.49398556535</v>
      </c>
      <c r="P1309">
        <v>0</v>
      </c>
      <c r="Q1309">
        <v>4481250</v>
      </c>
      <c r="R1309">
        <v>71872.49398556535</v>
      </c>
      <c r="S1309" s="238" t="s">
        <v>124</v>
      </c>
      <c r="T1309" s="238" t="s">
        <v>1167</v>
      </c>
      <c r="V1309" t="s">
        <v>1167</v>
      </c>
      <c r="W1309" s="24">
        <v>44781</v>
      </c>
      <c r="X1309" s="238" t="s">
        <v>3277</v>
      </c>
      <c r="Y1309" s="238" t="s">
        <v>3247</v>
      </c>
      <c r="Z1309" s="238" t="s">
        <v>1340</v>
      </c>
      <c r="AA1309" t="s">
        <v>1167</v>
      </c>
      <c r="AB1309" s="238" t="s">
        <v>3246</v>
      </c>
      <c r="AC1309" t="s">
        <v>1167</v>
      </c>
      <c r="AD1309" s="24"/>
      <c r="AE1309" s="238" t="s">
        <v>3248</v>
      </c>
      <c r="AG1309" s="238" t="s">
        <v>1167</v>
      </c>
      <c r="AH1309" s="238" t="s">
        <v>1167</v>
      </c>
      <c r="AI1309" s="238" t="s">
        <v>5050</v>
      </c>
      <c r="AJ1309" s="238" t="s">
        <v>982</v>
      </c>
      <c r="AK1309" s="238" t="s">
        <v>1167</v>
      </c>
      <c r="AL1309" t="s">
        <v>8715</v>
      </c>
      <c r="AM1309" t="s">
        <v>1167</v>
      </c>
    </row>
    <row r="1310" spans="1:39" hidden="1" x14ac:dyDescent="0.25">
      <c r="A1310">
        <v>1306</v>
      </c>
      <c r="B1310">
        <v>250</v>
      </c>
      <c r="C1310" s="24">
        <v>44788</v>
      </c>
      <c r="D1310" s="238" t="s">
        <v>27</v>
      </c>
      <c r="E1310" s="238" t="s">
        <v>14</v>
      </c>
      <c r="F1310">
        <v>9</v>
      </c>
      <c r="G1310">
        <v>11</v>
      </c>
      <c r="H1310">
        <v>721</v>
      </c>
      <c r="I1310" s="238" t="s">
        <v>42</v>
      </c>
      <c r="J1310">
        <v>42.62</v>
      </c>
      <c r="K1310" s="238" t="s">
        <v>38</v>
      </c>
      <c r="L1310">
        <v>3096750</v>
      </c>
      <c r="M1310">
        <v>0</v>
      </c>
      <c r="N1310">
        <v>3096750</v>
      </c>
      <c r="O1310">
        <v>72659.549507273579</v>
      </c>
      <c r="P1310">
        <v>0</v>
      </c>
      <c r="Q1310">
        <v>3096750</v>
      </c>
      <c r="R1310">
        <v>72659.549507273579</v>
      </c>
      <c r="S1310" s="238" t="s">
        <v>124</v>
      </c>
      <c r="T1310" s="238" t="s">
        <v>1167</v>
      </c>
      <c r="V1310" t="s">
        <v>1167</v>
      </c>
      <c r="W1310" s="24">
        <v>44781</v>
      </c>
      <c r="X1310" s="238" t="s">
        <v>3277</v>
      </c>
      <c r="Y1310" s="238" t="s">
        <v>3247</v>
      </c>
      <c r="Z1310" s="238" t="s">
        <v>1340</v>
      </c>
      <c r="AA1310" t="s">
        <v>1167</v>
      </c>
      <c r="AB1310" s="238" t="s">
        <v>3246</v>
      </c>
      <c r="AC1310" t="s">
        <v>1167</v>
      </c>
      <c r="AD1310" s="24"/>
      <c r="AE1310" s="238" t="s">
        <v>3248</v>
      </c>
      <c r="AG1310" s="238" t="s">
        <v>1167</v>
      </c>
      <c r="AH1310" s="238" t="s">
        <v>1167</v>
      </c>
      <c r="AI1310" s="238" t="s">
        <v>5050</v>
      </c>
      <c r="AJ1310" s="238" t="s">
        <v>982</v>
      </c>
      <c r="AK1310" s="238" t="s">
        <v>1167</v>
      </c>
      <c r="AL1310" t="s">
        <v>8715</v>
      </c>
      <c r="AM1310" t="s">
        <v>1167</v>
      </c>
    </row>
    <row r="1311" spans="1:39" hidden="1" x14ac:dyDescent="0.25">
      <c r="A1311">
        <v>1307</v>
      </c>
      <c r="B1311">
        <v>251</v>
      </c>
      <c r="C1311" s="24">
        <v>44788</v>
      </c>
      <c r="D1311" s="238" t="s">
        <v>27</v>
      </c>
      <c r="E1311" s="238" t="s">
        <v>14</v>
      </c>
      <c r="F1311">
        <v>1</v>
      </c>
      <c r="G1311">
        <v>12</v>
      </c>
      <c r="H1311">
        <v>722</v>
      </c>
      <c r="I1311" s="238" t="s">
        <v>42</v>
      </c>
      <c r="J1311">
        <v>42.52</v>
      </c>
      <c r="K1311" s="238" t="s">
        <v>38</v>
      </c>
      <c r="L1311">
        <v>3089250</v>
      </c>
      <c r="M1311">
        <v>0</v>
      </c>
      <c r="N1311">
        <v>3089250</v>
      </c>
      <c r="O1311">
        <v>72654.045155221072</v>
      </c>
      <c r="P1311">
        <v>0</v>
      </c>
      <c r="Q1311">
        <v>3089250</v>
      </c>
      <c r="R1311">
        <v>72654.045155221072</v>
      </c>
      <c r="S1311" s="238" t="s">
        <v>124</v>
      </c>
      <c r="T1311" s="238" t="s">
        <v>1167</v>
      </c>
      <c r="V1311" t="s">
        <v>1167</v>
      </c>
      <c r="W1311" s="24">
        <v>44781</v>
      </c>
      <c r="X1311" s="238" t="s">
        <v>3278</v>
      </c>
      <c r="Y1311" s="238" t="s">
        <v>3247</v>
      </c>
      <c r="Z1311" s="238" t="s">
        <v>1340</v>
      </c>
      <c r="AA1311" t="s">
        <v>1167</v>
      </c>
      <c r="AB1311" s="238" t="s">
        <v>3246</v>
      </c>
      <c r="AC1311" t="s">
        <v>1167</v>
      </c>
      <c r="AD1311" s="24"/>
      <c r="AE1311" s="238" t="s">
        <v>3248</v>
      </c>
      <c r="AG1311" s="238" t="s">
        <v>1167</v>
      </c>
      <c r="AH1311" s="238" t="s">
        <v>1167</v>
      </c>
      <c r="AI1311" s="238" t="s">
        <v>5050</v>
      </c>
      <c r="AJ1311" s="238" t="s">
        <v>982</v>
      </c>
      <c r="AK1311" s="238" t="s">
        <v>1167</v>
      </c>
      <c r="AL1311" t="s">
        <v>8715</v>
      </c>
      <c r="AM1311" t="s">
        <v>1167</v>
      </c>
    </row>
    <row r="1312" spans="1:39" hidden="1" x14ac:dyDescent="0.25">
      <c r="A1312">
        <v>1308</v>
      </c>
      <c r="B1312">
        <v>252</v>
      </c>
      <c r="C1312" s="24">
        <v>44788</v>
      </c>
      <c r="D1312" s="238" t="s">
        <v>27</v>
      </c>
      <c r="E1312" s="238" t="s">
        <v>14</v>
      </c>
      <c r="F1312">
        <v>2</v>
      </c>
      <c r="G1312">
        <v>12</v>
      </c>
      <c r="H1312">
        <v>723</v>
      </c>
      <c r="I1312" s="238" t="s">
        <v>42</v>
      </c>
      <c r="J1312">
        <v>40.75</v>
      </c>
      <c r="K1312" s="238" t="s">
        <v>38</v>
      </c>
      <c r="L1312">
        <v>2958000</v>
      </c>
      <c r="M1312">
        <v>0</v>
      </c>
      <c r="N1312">
        <v>2958000</v>
      </c>
      <c r="O1312">
        <v>72588.95705521472</v>
      </c>
      <c r="P1312">
        <v>0</v>
      </c>
      <c r="Q1312">
        <v>2958000</v>
      </c>
      <c r="R1312">
        <v>72588.95705521472</v>
      </c>
      <c r="S1312" s="238" t="s">
        <v>124</v>
      </c>
      <c r="T1312" s="238" t="s">
        <v>1167</v>
      </c>
      <c r="V1312" t="s">
        <v>1167</v>
      </c>
      <c r="W1312" s="24">
        <v>44781</v>
      </c>
      <c r="X1312" s="238" t="s">
        <v>3278</v>
      </c>
      <c r="Y1312" s="238" t="s">
        <v>3247</v>
      </c>
      <c r="Z1312" s="238" t="s">
        <v>1340</v>
      </c>
      <c r="AA1312" t="s">
        <v>1167</v>
      </c>
      <c r="AB1312" s="238" t="s">
        <v>3246</v>
      </c>
      <c r="AC1312" t="s">
        <v>1167</v>
      </c>
      <c r="AD1312" s="24"/>
      <c r="AE1312" s="238" t="s">
        <v>3248</v>
      </c>
      <c r="AG1312" s="238" t="s">
        <v>1167</v>
      </c>
      <c r="AH1312" s="238" t="s">
        <v>1167</v>
      </c>
      <c r="AI1312" s="238" t="s">
        <v>5050</v>
      </c>
      <c r="AJ1312" s="238" t="s">
        <v>982</v>
      </c>
      <c r="AK1312" s="238" t="s">
        <v>1167</v>
      </c>
      <c r="AL1312" t="s">
        <v>8715</v>
      </c>
      <c r="AM1312" t="s">
        <v>1167</v>
      </c>
    </row>
    <row r="1313" spans="1:39" hidden="1" x14ac:dyDescent="0.25">
      <c r="A1313">
        <v>1309</v>
      </c>
      <c r="B1313">
        <v>253</v>
      </c>
      <c r="C1313" s="24">
        <v>44788</v>
      </c>
      <c r="D1313" s="238" t="s">
        <v>27</v>
      </c>
      <c r="E1313" s="238" t="s">
        <v>14</v>
      </c>
      <c r="F1313">
        <v>8</v>
      </c>
      <c r="G1313">
        <v>12</v>
      </c>
      <c r="H1313">
        <v>729</v>
      </c>
      <c r="I1313" s="238" t="s">
        <v>43</v>
      </c>
      <c r="J1313">
        <v>62.35</v>
      </c>
      <c r="K1313" s="238" t="s">
        <v>38</v>
      </c>
      <c r="L1313">
        <v>4481250</v>
      </c>
      <c r="M1313">
        <v>0</v>
      </c>
      <c r="N1313">
        <v>4481250</v>
      </c>
      <c r="O1313">
        <v>71872.49398556535</v>
      </c>
      <c r="P1313">
        <v>0</v>
      </c>
      <c r="Q1313">
        <v>4481250</v>
      </c>
      <c r="R1313">
        <v>71872.49398556535</v>
      </c>
      <c r="S1313" s="238" t="s">
        <v>124</v>
      </c>
      <c r="T1313" s="238" t="s">
        <v>1167</v>
      </c>
      <c r="V1313" t="s">
        <v>1167</v>
      </c>
      <c r="W1313" s="24">
        <v>44781</v>
      </c>
      <c r="X1313" s="238" t="s">
        <v>3278</v>
      </c>
      <c r="Y1313" s="238" t="s">
        <v>3247</v>
      </c>
      <c r="Z1313" s="238" t="s">
        <v>1340</v>
      </c>
      <c r="AA1313" t="s">
        <v>1167</v>
      </c>
      <c r="AB1313" s="238" t="s">
        <v>3246</v>
      </c>
      <c r="AC1313" t="s">
        <v>1167</v>
      </c>
      <c r="AD1313" s="24"/>
      <c r="AE1313" s="238" t="s">
        <v>3248</v>
      </c>
      <c r="AG1313" s="238" t="s">
        <v>1167</v>
      </c>
      <c r="AH1313" s="238" t="s">
        <v>1167</v>
      </c>
      <c r="AI1313" s="238" t="s">
        <v>5050</v>
      </c>
      <c r="AJ1313" s="238" t="s">
        <v>982</v>
      </c>
      <c r="AK1313" s="238" t="s">
        <v>1167</v>
      </c>
      <c r="AL1313" t="s">
        <v>8715</v>
      </c>
      <c r="AM1313" t="s">
        <v>1167</v>
      </c>
    </row>
    <row r="1314" spans="1:39" hidden="1" x14ac:dyDescent="0.25">
      <c r="A1314">
        <v>1310</v>
      </c>
      <c r="B1314">
        <v>254</v>
      </c>
      <c r="C1314" s="24">
        <v>44788</v>
      </c>
      <c r="D1314" s="238" t="s">
        <v>27</v>
      </c>
      <c r="E1314" s="238" t="s">
        <v>14</v>
      </c>
      <c r="F1314">
        <v>9</v>
      </c>
      <c r="G1314">
        <v>12</v>
      </c>
      <c r="H1314">
        <v>730</v>
      </c>
      <c r="I1314" s="238" t="s">
        <v>42</v>
      </c>
      <c r="J1314">
        <v>42.62</v>
      </c>
      <c r="K1314" s="238" t="s">
        <v>38</v>
      </c>
      <c r="L1314">
        <v>3096750</v>
      </c>
      <c r="M1314">
        <v>0</v>
      </c>
      <c r="N1314">
        <v>3096750</v>
      </c>
      <c r="O1314">
        <v>72659.549507273579</v>
      </c>
      <c r="P1314">
        <v>0</v>
      </c>
      <c r="Q1314">
        <v>3096750</v>
      </c>
      <c r="R1314">
        <v>72659.549507273579</v>
      </c>
      <c r="S1314" s="238" t="s">
        <v>124</v>
      </c>
      <c r="T1314" s="238" t="s">
        <v>1167</v>
      </c>
      <c r="V1314" t="s">
        <v>1167</v>
      </c>
      <c r="W1314" s="24">
        <v>44781</v>
      </c>
      <c r="X1314" s="238" t="s">
        <v>3278</v>
      </c>
      <c r="Y1314" s="238" t="s">
        <v>3247</v>
      </c>
      <c r="Z1314" s="238" t="s">
        <v>1340</v>
      </c>
      <c r="AA1314" t="s">
        <v>1167</v>
      </c>
      <c r="AB1314" s="238" t="s">
        <v>3246</v>
      </c>
      <c r="AC1314" t="s">
        <v>1167</v>
      </c>
      <c r="AD1314" s="24"/>
      <c r="AE1314" s="238" t="s">
        <v>3248</v>
      </c>
      <c r="AG1314" s="238" t="s">
        <v>1167</v>
      </c>
      <c r="AH1314" s="238" t="s">
        <v>1167</v>
      </c>
      <c r="AI1314" s="238" t="s">
        <v>5050</v>
      </c>
      <c r="AJ1314" s="238" t="s">
        <v>982</v>
      </c>
      <c r="AK1314" s="238" t="s">
        <v>1167</v>
      </c>
      <c r="AL1314" t="s">
        <v>8715</v>
      </c>
      <c r="AM1314" t="s">
        <v>1167</v>
      </c>
    </row>
    <row r="1315" spans="1:39" hidden="1" x14ac:dyDescent="0.25">
      <c r="A1315">
        <v>1311</v>
      </c>
      <c r="B1315">
        <v>255</v>
      </c>
      <c r="C1315" s="24">
        <v>44788</v>
      </c>
      <c r="D1315" s="238" t="s">
        <v>27</v>
      </c>
      <c r="E1315" s="238" t="s">
        <v>14</v>
      </c>
      <c r="F1315">
        <v>1</v>
      </c>
      <c r="G1315">
        <v>13</v>
      </c>
      <c r="H1315">
        <v>731</v>
      </c>
      <c r="I1315" s="238" t="s">
        <v>42</v>
      </c>
      <c r="J1315">
        <v>42.52</v>
      </c>
      <c r="K1315" s="238" t="s">
        <v>38</v>
      </c>
      <c r="L1315">
        <v>3089250</v>
      </c>
      <c r="M1315">
        <v>0</v>
      </c>
      <c r="N1315">
        <v>3089250</v>
      </c>
      <c r="O1315">
        <v>72654.045155221072</v>
      </c>
      <c r="P1315">
        <v>0</v>
      </c>
      <c r="Q1315">
        <v>3089250</v>
      </c>
      <c r="R1315">
        <v>72654.045155221072</v>
      </c>
      <c r="S1315" s="238" t="s">
        <v>124</v>
      </c>
      <c r="T1315" s="238" t="s">
        <v>1167</v>
      </c>
      <c r="V1315" t="s">
        <v>1167</v>
      </c>
      <c r="W1315" s="24">
        <v>44781</v>
      </c>
      <c r="X1315" s="238" t="s">
        <v>3278</v>
      </c>
      <c r="Y1315" s="238" t="s">
        <v>3247</v>
      </c>
      <c r="Z1315" s="238" t="s">
        <v>1340</v>
      </c>
      <c r="AA1315" t="s">
        <v>1167</v>
      </c>
      <c r="AB1315" s="238" t="s">
        <v>3246</v>
      </c>
      <c r="AC1315" t="s">
        <v>1167</v>
      </c>
      <c r="AD1315" s="24"/>
      <c r="AE1315" s="238" t="s">
        <v>3248</v>
      </c>
      <c r="AG1315" s="238" t="s">
        <v>1167</v>
      </c>
      <c r="AH1315" s="238" t="s">
        <v>1167</v>
      </c>
      <c r="AI1315" s="238" t="s">
        <v>5050</v>
      </c>
      <c r="AJ1315" s="238" t="s">
        <v>982</v>
      </c>
      <c r="AK1315" s="238" t="s">
        <v>1167</v>
      </c>
      <c r="AL1315" t="s">
        <v>8715</v>
      </c>
      <c r="AM1315" t="s">
        <v>1167</v>
      </c>
    </row>
    <row r="1316" spans="1:39" hidden="1" x14ac:dyDescent="0.25">
      <c r="A1316">
        <v>1312</v>
      </c>
      <c r="B1316">
        <v>256</v>
      </c>
      <c r="C1316" s="24">
        <v>44788</v>
      </c>
      <c r="D1316" s="238" t="s">
        <v>27</v>
      </c>
      <c r="E1316" s="238" t="s">
        <v>14</v>
      </c>
      <c r="F1316">
        <v>5</v>
      </c>
      <c r="G1316">
        <v>13</v>
      </c>
      <c r="H1316">
        <v>735</v>
      </c>
      <c r="I1316" s="238" t="s">
        <v>42</v>
      </c>
      <c r="J1316">
        <v>38.96</v>
      </c>
      <c r="K1316" s="238" t="s">
        <v>38</v>
      </c>
      <c r="L1316">
        <v>2817750</v>
      </c>
      <c r="M1316">
        <v>0</v>
      </c>
      <c r="N1316">
        <v>2817750</v>
      </c>
      <c r="O1316">
        <v>72324.178644763859</v>
      </c>
      <c r="P1316">
        <v>0</v>
      </c>
      <c r="Q1316">
        <v>2817750</v>
      </c>
      <c r="R1316">
        <v>72324.178644763859</v>
      </c>
      <c r="S1316" s="238" t="s">
        <v>124</v>
      </c>
      <c r="T1316" s="238" t="s">
        <v>1167</v>
      </c>
      <c r="V1316" t="s">
        <v>1167</v>
      </c>
      <c r="W1316" s="24">
        <v>44781</v>
      </c>
      <c r="X1316" s="238" t="s">
        <v>3278</v>
      </c>
      <c r="Y1316" s="238" t="s">
        <v>3247</v>
      </c>
      <c r="Z1316" s="238" t="s">
        <v>1340</v>
      </c>
      <c r="AA1316" t="s">
        <v>1167</v>
      </c>
      <c r="AB1316" s="238" t="s">
        <v>3246</v>
      </c>
      <c r="AC1316" t="s">
        <v>1167</v>
      </c>
      <c r="AD1316" s="24"/>
      <c r="AE1316" s="238" t="s">
        <v>3248</v>
      </c>
      <c r="AG1316" s="238" t="s">
        <v>1167</v>
      </c>
      <c r="AH1316" s="238" t="s">
        <v>1167</v>
      </c>
      <c r="AI1316" s="238" t="s">
        <v>5050</v>
      </c>
      <c r="AJ1316" s="238" t="s">
        <v>982</v>
      </c>
      <c r="AK1316" s="238" t="s">
        <v>1167</v>
      </c>
      <c r="AL1316" t="s">
        <v>8715</v>
      </c>
      <c r="AM1316" t="s">
        <v>1167</v>
      </c>
    </row>
    <row r="1317" spans="1:39" hidden="1" x14ac:dyDescent="0.25">
      <c r="A1317">
        <v>1313</v>
      </c>
      <c r="B1317">
        <v>257</v>
      </c>
      <c r="C1317" s="24">
        <v>44788</v>
      </c>
      <c r="D1317" s="238" t="s">
        <v>27</v>
      </c>
      <c r="E1317" s="238" t="s">
        <v>14</v>
      </c>
      <c r="F1317">
        <v>7</v>
      </c>
      <c r="G1317">
        <v>13</v>
      </c>
      <c r="H1317">
        <v>737</v>
      </c>
      <c r="I1317" s="238" t="s">
        <v>42</v>
      </c>
      <c r="J1317">
        <v>38.909999999999997</v>
      </c>
      <c r="K1317" s="238" t="s">
        <v>38</v>
      </c>
      <c r="L1317">
        <v>2817000</v>
      </c>
      <c r="M1317">
        <v>0</v>
      </c>
      <c r="N1317">
        <v>2817000</v>
      </c>
      <c r="O1317">
        <v>72397.841171935244</v>
      </c>
      <c r="P1317">
        <v>0</v>
      </c>
      <c r="Q1317">
        <v>2817000</v>
      </c>
      <c r="R1317">
        <v>72397.841171935244</v>
      </c>
      <c r="S1317" s="238" t="s">
        <v>124</v>
      </c>
      <c r="T1317" s="238" t="s">
        <v>1167</v>
      </c>
      <c r="V1317" t="s">
        <v>1167</v>
      </c>
      <c r="W1317" s="24">
        <v>44781</v>
      </c>
      <c r="X1317" s="238" t="s">
        <v>3278</v>
      </c>
      <c r="Y1317" s="238" t="s">
        <v>3247</v>
      </c>
      <c r="Z1317" s="238" t="s">
        <v>1340</v>
      </c>
      <c r="AA1317" t="s">
        <v>1167</v>
      </c>
      <c r="AB1317" s="238" t="s">
        <v>3246</v>
      </c>
      <c r="AC1317" t="s">
        <v>1167</v>
      </c>
      <c r="AD1317" s="24"/>
      <c r="AE1317" s="238" t="s">
        <v>3248</v>
      </c>
      <c r="AG1317" s="238" t="s">
        <v>1167</v>
      </c>
      <c r="AH1317" s="238" t="s">
        <v>1167</v>
      </c>
      <c r="AI1317" s="238" t="s">
        <v>5050</v>
      </c>
      <c r="AJ1317" s="238" t="s">
        <v>982</v>
      </c>
      <c r="AK1317" s="238" t="s">
        <v>1167</v>
      </c>
      <c r="AL1317" t="s">
        <v>8715</v>
      </c>
      <c r="AM1317" t="s">
        <v>1167</v>
      </c>
    </row>
    <row r="1318" spans="1:39" hidden="1" x14ac:dyDescent="0.25">
      <c r="A1318">
        <v>1314</v>
      </c>
      <c r="B1318">
        <v>258</v>
      </c>
      <c r="C1318" s="24">
        <v>44788</v>
      </c>
      <c r="D1318" s="238" t="s">
        <v>27</v>
      </c>
      <c r="E1318" s="238" t="s">
        <v>14</v>
      </c>
      <c r="F1318">
        <v>8</v>
      </c>
      <c r="G1318">
        <v>13</v>
      </c>
      <c r="H1318">
        <v>738</v>
      </c>
      <c r="I1318" s="238" t="s">
        <v>43</v>
      </c>
      <c r="J1318">
        <v>62.35</v>
      </c>
      <c r="K1318" s="238" t="s">
        <v>38</v>
      </c>
      <c r="L1318">
        <v>4481250</v>
      </c>
      <c r="M1318">
        <v>0</v>
      </c>
      <c r="N1318">
        <v>4481250</v>
      </c>
      <c r="O1318">
        <v>71872.49398556535</v>
      </c>
      <c r="P1318">
        <v>0</v>
      </c>
      <c r="Q1318">
        <v>4481250</v>
      </c>
      <c r="R1318">
        <v>71872.49398556535</v>
      </c>
      <c r="S1318" s="238" t="s">
        <v>124</v>
      </c>
      <c r="T1318" s="238" t="s">
        <v>1167</v>
      </c>
      <c r="V1318" t="s">
        <v>1167</v>
      </c>
      <c r="W1318" s="24">
        <v>44781</v>
      </c>
      <c r="X1318" s="238" t="s">
        <v>3278</v>
      </c>
      <c r="Y1318" s="238" t="s">
        <v>3247</v>
      </c>
      <c r="Z1318" s="238" t="s">
        <v>1340</v>
      </c>
      <c r="AA1318" t="s">
        <v>1167</v>
      </c>
      <c r="AB1318" s="238" t="s">
        <v>3246</v>
      </c>
      <c r="AC1318" t="s">
        <v>1167</v>
      </c>
      <c r="AD1318" s="24"/>
      <c r="AE1318" s="238" t="s">
        <v>3248</v>
      </c>
      <c r="AG1318" s="238" t="s">
        <v>1167</v>
      </c>
      <c r="AH1318" s="238" t="s">
        <v>1167</v>
      </c>
      <c r="AI1318" s="238" t="s">
        <v>5050</v>
      </c>
      <c r="AJ1318" s="238" t="s">
        <v>982</v>
      </c>
      <c r="AK1318" s="238" t="s">
        <v>1167</v>
      </c>
      <c r="AL1318" t="s">
        <v>8715</v>
      </c>
      <c r="AM1318" t="s">
        <v>1167</v>
      </c>
    </row>
    <row r="1319" spans="1:39" hidden="1" x14ac:dyDescent="0.25">
      <c r="A1319">
        <v>1315</v>
      </c>
      <c r="B1319">
        <v>259</v>
      </c>
      <c r="C1319" s="24">
        <v>44788</v>
      </c>
      <c r="D1319" s="238" t="s">
        <v>27</v>
      </c>
      <c r="E1319" s="238" t="s">
        <v>14</v>
      </c>
      <c r="F1319">
        <v>9</v>
      </c>
      <c r="G1319">
        <v>13</v>
      </c>
      <c r="H1319">
        <v>739</v>
      </c>
      <c r="I1319" s="238" t="s">
        <v>42</v>
      </c>
      <c r="J1319">
        <v>42.62</v>
      </c>
      <c r="K1319" s="238" t="s">
        <v>38</v>
      </c>
      <c r="L1319">
        <v>3096750</v>
      </c>
      <c r="M1319">
        <v>0</v>
      </c>
      <c r="N1319">
        <v>3096750</v>
      </c>
      <c r="O1319">
        <v>72659.549507273579</v>
      </c>
      <c r="P1319">
        <v>0</v>
      </c>
      <c r="Q1319">
        <v>3096750</v>
      </c>
      <c r="R1319">
        <v>72659.549507273579</v>
      </c>
      <c r="S1319" s="238" t="s">
        <v>124</v>
      </c>
      <c r="T1319" s="238" t="s">
        <v>1167</v>
      </c>
      <c r="V1319" t="s">
        <v>1167</v>
      </c>
      <c r="W1319" s="24">
        <v>44781</v>
      </c>
      <c r="X1319" s="238" t="s">
        <v>3278</v>
      </c>
      <c r="Y1319" s="238" t="s">
        <v>3247</v>
      </c>
      <c r="Z1319" s="238" t="s">
        <v>1340</v>
      </c>
      <c r="AA1319" t="s">
        <v>1167</v>
      </c>
      <c r="AB1319" s="238" t="s">
        <v>3246</v>
      </c>
      <c r="AC1319" t="s">
        <v>1167</v>
      </c>
      <c r="AD1319" s="24"/>
      <c r="AE1319" s="238" t="s">
        <v>3248</v>
      </c>
      <c r="AG1319" s="238" t="s">
        <v>1167</v>
      </c>
      <c r="AH1319" s="238" t="s">
        <v>1167</v>
      </c>
      <c r="AI1319" s="238" t="s">
        <v>5050</v>
      </c>
      <c r="AJ1319" s="238" t="s">
        <v>982</v>
      </c>
      <c r="AK1319" s="238" t="s">
        <v>1167</v>
      </c>
      <c r="AL1319" t="s">
        <v>8715</v>
      </c>
      <c r="AM1319" t="s">
        <v>1167</v>
      </c>
    </row>
    <row r="1320" spans="1:39" hidden="1" x14ac:dyDescent="0.25">
      <c r="A1320">
        <v>1316</v>
      </c>
      <c r="B1320">
        <v>260</v>
      </c>
      <c r="C1320" s="24">
        <v>44788</v>
      </c>
      <c r="D1320" s="238" t="s">
        <v>27</v>
      </c>
      <c r="E1320" s="238" t="s">
        <v>14</v>
      </c>
      <c r="F1320">
        <v>1</v>
      </c>
      <c r="G1320">
        <v>14</v>
      </c>
      <c r="H1320">
        <v>740</v>
      </c>
      <c r="I1320" s="238" t="s">
        <v>42</v>
      </c>
      <c r="J1320">
        <v>42.52</v>
      </c>
      <c r="K1320" s="238" t="s">
        <v>38</v>
      </c>
      <c r="L1320">
        <v>3089250</v>
      </c>
      <c r="M1320">
        <v>0</v>
      </c>
      <c r="N1320">
        <v>3089250</v>
      </c>
      <c r="O1320">
        <v>72654.045155221072</v>
      </c>
      <c r="P1320">
        <v>0</v>
      </c>
      <c r="Q1320">
        <v>3089250</v>
      </c>
      <c r="R1320">
        <v>72654.045155221072</v>
      </c>
      <c r="S1320" s="238" t="s">
        <v>124</v>
      </c>
      <c r="T1320" s="238" t="s">
        <v>1167</v>
      </c>
      <c r="V1320" t="s">
        <v>1167</v>
      </c>
      <c r="W1320" s="24">
        <v>44781</v>
      </c>
      <c r="X1320" s="238" t="s">
        <v>3278</v>
      </c>
      <c r="Y1320" s="238" t="s">
        <v>3247</v>
      </c>
      <c r="Z1320" s="238" t="s">
        <v>1340</v>
      </c>
      <c r="AA1320" t="s">
        <v>1167</v>
      </c>
      <c r="AB1320" s="238" t="s">
        <v>3246</v>
      </c>
      <c r="AC1320" t="s">
        <v>1167</v>
      </c>
      <c r="AD1320" s="24"/>
      <c r="AE1320" s="238" t="s">
        <v>3248</v>
      </c>
      <c r="AG1320" s="238" t="s">
        <v>1167</v>
      </c>
      <c r="AH1320" s="238" t="s">
        <v>1167</v>
      </c>
      <c r="AI1320" s="238" t="s">
        <v>5050</v>
      </c>
      <c r="AJ1320" s="238" t="s">
        <v>982</v>
      </c>
      <c r="AK1320" s="238" t="s">
        <v>1167</v>
      </c>
      <c r="AL1320" t="s">
        <v>8715</v>
      </c>
      <c r="AM1320" t="s">
        <v>1167</v>
      </c>
    </row>
    <row r="1321" spans="1:39" hidden="1" x14ac:dyDescent="0.25">
      <c r="A1321">
        <v>1317</v>
      </c>
      <c r="B1321">
        <v>261</v>
      </c>
      <c r="C1321" s="24">
        <v>44788</v>
      </c>
      <c r="D1321" s="238" t="s">
        <v>27</v>
      </c>
      <c r="E1321" s="238" t="s">
        <v>14</v>
      </c>
      <c r="F1321">
        <v>2</v>
      </c>
      <c r="G1321">
        <v>14</v>
      </c>
      <c r="H1321">
        <v>741</v>
      </c>
      <c r="I1321" s="238" t="s">
        <v>42</v>
      </c>
      <c r="J1321">
        <v>40.75</v>
      </c>
      <c r="K1321" s="238" t="s">
        <v>38</v>
      </c>
      <c r="L1321">
        <v>2958000</v>
      </c>
      <c r="M1321">
        <v>0</v>
      </c>
      <c r="N1321">
        <v>2958000</v>
      </c>
      <c r="O1321">
        <v>72588.95705521472</v>
      </c>
      <c r="P1321">
        <v>0</v>
      </c>
      <c r="Q1321">
        <v>2958000</v>
      </c>
      <c r="R1321">
        <v>72588.95705521472</v>
      </c>
      <c r="S1321" s="238" t="s">
        <v>124</v>
      </c>
      <c r="T1321" s="238" t="s">
        <v>1167</v>
      </c>
      <c r="V1321" t="s">
        <v>1167</v>
      </c>
      <c r="W1321" s="24">
        <v>44781</v>
      </c>
      <c r="X1321" s="238" t="s">
        <v>3278</v>
      </c>
      <c r="Y1321" s="238" t="s">
        <v>3247</v>
      </c>
      <c r="Z1321" s="238" t="s">
        <v>1340</v>
      </c>
      <c r="AA1321" t="s">
        <v>1167</v>
      </c>
      <c r="AB1321" s="238" t="s">
        <v>3246</v>
      </c>
      <c r="AC1321" t="s">
        <v>1167</v>
      </c>
      <c r="AD1321" s="24"/>
      <c r="AE1321" s="238" t="s">
        <v>3248</v>
      </c>
      <c r="AG1321" s="238" t="s">
        <v>1167</v>
      </c>
      <c r="AH1321" s="238" t="s">
        <v>1167</v>
      </c>
      <c r="AI1321" s="238" t="s">
        <v>5050</v>
      </c>
      <c r="AJ1321" s="238" t="s">
        <v>982</v>
      </c>
      <c r="AK1321" s="238" t="s">
        <v>1167</v>
      </c>
      <c r="AL1321" t="s">
        <v>8715</v>
      </c>
      <c r="AM1321" t="s">
        <v>1167</v>
      </c>
    </row>
    <row r="1322" spans="1:39" hidden="1" x14ac:dyDescent="0.25">
      <c r="A1322">
        <v>1318</v>
      </c>
      <c r="B1322">
        <v>262</v>
      </c>
      <c r="C1322" s="24">
        <v>44788</v>
      </c>
      <c r="D1322" s="238" t="s">
        <v>27</v>
      </c>
      <c r="E1322" s="238" t="s">
        <v>14</v>
      </c>
      <c r="F1322">
        <v>6</v>
      </c>
      <c r="G1322">
        <v>14</v>
      </c>
      <c r="H1322">
        <v>745</v>
      </c>
      <c r="I1322" s="238" t="s">
        <v>43</v>
      </c>
      <c r="J1322">
        <v>61.95</v>
      </c>
      <c r="K1322" s="238" t="s">
        <v>38</v>
      </c>
      <c r="L1322">
        <v>4547250</v>
      </c>
      <c r="M1322">
        <v>0</v>
      </c>
      <c r="N1322">
        <v>4547250</v>
      </c>
      <c r="O1322">
        <v>73401.937046004838</v>
      </c>
      <c r="P1322">
        <v>0</v>
      </c>
      <c r="Q1322">
        <v>4547250</v>
      </c>
      <c r="R1322">
        <v>73401.937046004838</v>
      </c>
      <c r="S1322" s="238" t="s">
        <v>124</v>
      </c>
      <c r="T1322" s="238" t="s">
        <v>1167</v>
      </c>
      <c r="V1322" t="s">
        <v>1167</v>
      </c>
      <c r="W1322" s="24">
        <v>44781</v>
      </c>
      <c r="X1322" s="238" t="s">
        <v>3278</v>
      </c>
      <c r="Y1322" s="238" t="s">
        <v>3247</v>
      </c>
      <c r="Z1322" s="238" t="s">
        <v>1340</v>
      </c>
      <c r="AA1322" t="s">
        <v>1167</v>
      </c>
      <c r="AB1322" s="238" t="s">
        <v>3246</v>
      </c>
      <c r="AC1322" t="s">
        <v>1167</v>
      </c>
      <c r="AD1322" s="24"/>
      <c r="AE1322" s="238" t="s">
        <v>3248</v>
      </c>
      <c r="AG1322" s="238" t="s">
        <v>1167</v>
      </c>
      <c r="AH1322" s="238" t="s">
        <v>1167</v>
      </c>
      <c r="AI1322" s="238" t="s">
        <v>5050</v>
      </c>
      <c r="AJ1322" s="238" t="s">
        <v>982</v>
      </c>
      <c r="AK1322" s="238" t="s">
        <v>1167</v>
      </c>
      <c r="AL1322" t="s">
        <v>8715</v>
      </c>
      <c r="AM1322" t="s">
        <v>1167</v>
      </c>
    </row>
    <row r="1323" spans="1:39" hidden="1" x14ac:dyDescent="0.25">
      <c r="A1323">
        <v>1319</v>
      </c>
      <c r="B1323">
        <v>263</v>
      </c>
      <c r="C1323" s="24">
        <v>44788</v>
      </c>
      <c r="D1323" s="238" t="s">
        <v>27</v>
      </c>
      <c r="E1323" s="238" t="s">
        <v>14</v>
      </c>
      <c r="F1323">
        <v>8</v>
      </c>
      <c r="G1323">
        <v>14</v>
      </c>
      <c r="H1323">
        <v>747</v>
      </c>
      <c r="I1323" s="238" t="s">
        <v>43</v>
      </c>
      <c r="J1323">
        <v>62.35</v>
      </c>
      <c r="K1323" s="238" t="s">
        <v>38</v>
      </c>
      <c r="L1323">
        <v>4481250</v>
      </c>
      <c r="M1323">
        <v>0</v>
      </c>
      <c r="N1323">
        <v>4481250</v>
      </c>
      <c r="O1323">
        <v>71872.49398556535</v>
      </c>
      <c r="P1323">
        <v>0</v>
      </c>
      <c r="Q1323">
        <v>4481250</v>
      </c>
      <c r="R1323">
        <v>71872.49398556535</v>
      </c>
      <c r="S1323" s="238" t="s">
        <v>124</v>
      </c>
      <c r="T1323" s="238" t="s">
        <v>1167</v>
      </c>
      <c r="V1323" t="s">
        <v>1167</v>
      </c>
      <c r="W1323" s="24">
        <v>44781</v>
      </c>
      <c r="X1323" s="238" t="s">
        <v>3278</v>
      </c>
      <c r="Y1323" s="238" t="s">
        <v>3247</v>
      </c>
      <c r="Z1323" s="238" t="s">
        <v>1340</v>
      </c>
      <c r="AA1323" t="s">
        <v>1167</v>
      </c>
      <c r="AB1323" s="238" t="s">
        <v>3246</v>
      </c>
      <c r="AC1323" t="s">
        <v>1167</v>
      </c>
      <c r="AD1323" s="24"/>
      <c r="AE1323" s="238" t="s">
        <v>3248</v>
      </c>
      <c r="AG1323" s="238" t="s">
        <v>1167</v>
      </c>
      <c r="AH1323" s="238" t="s">
        <v>1167</v>
      </c>
      <c r="AI1323" s="238" t="s">
        <v>5050</v>
      </c>
      <c r="AJ1323" s="238" t="s">
        <v>982</v>
      </c>
      <c r="AK1323" s="238" t="s">
        <v>1167</v>
      </c>
      <c r="AL1323" t="s">
        <v>8715</v>
      </c>
      <c r="AM1323" t="s">
        <v>1167</v>
      </c>
    </row>
    <row r="1324" spans="1:39" hidden="1" x14ac:dyDescent="0.25">
      <c r="A1324">
        <v>1320</v>
      </c>
      <c r="B1324">
        <v>264</v>
      </c>
      <c r="C1324" s="24">
        <v>44788</v>
      </c>
      <c r="D1324" s="238" t="s">
        <v>27</v>
      </c>
      <c r="E1324" s="238" t="s">
        <v>14</v>
      </c>
      <c r="F1324">
        <v>9</v>
      </c>
      <c r="G1324">
        <v>14</v>
      </c>
      <c r="H1324">
        <v>748</v>
      </c>
      <c r="I1324" s="238" t="s">
        <v>42</v>
      </c>
      <c r="J1324">
        <v>42.62</v>
      </c>
      <c r="K1324" s="238" t="s">
        <v>38</v>
      </c>
      <c r="L1324">
        <v>3096750</v>
      </c>
      <c r="M1324">
        <v>0</v>
      </c>
      <c r="N1324">
        <v>3096750</v>
      </c>
      <c r="O1324">
        <v>72659.549507273579</v>
      </c>
      <c r="P1324">
        <v>0</v>
      </c>
      <c r="Q1324">
        <v>3096750</v>
      </c>
      <c r="R1324">
        <v>72659.549507273579</v>
      </c>
      <c r="S1324" s="238" t="s">
        <v>124</v>
      </c>
      <c r="T1324" s="238" t="s">
        <v>1167</v>
      </c>
      <c r="V1324" t="s">
        <v>1167</v>
      </c>
      <c r="W1324" s="24">
        <v>44781</v>
      </c>
      <c r="X1324" s="238" t="s">
        <v>3278</v>
      </c>
      <c r="Y1324" s="238" t="s">
        <v>3247</v>
      </c>
      <c r="Z1324" s="238" t="s">
        <v>1340</v>
      </c>
      <c r="AA1324" t="s">
        <v>1167</v>
      </c>
      <c r="AB1324" s="238" t="s">
        <v>3246</v>
      </c>
      <c r="AC1324" t="s">
        <v>1167</v>
      </c>
      <c r="AD1324" s="24"/>
      <c r="AE1324" s="238" t="s">
        <v>3248</v>
      </c>
      <c r="AG1324" s="238" t="s">
        <v>1167</v>
      </c>
      <c r="AH1324" s="238" t="s">
        <v>1167</v>
      </c>
      <c r="AI1324" s="238" t="s">
        <v>5050</v>
      </c>
      <c r="AJ1324" s="238" t="s">
        <v>982</v>
      </c>
      <c r="AK1324" s="238" t="s">
        <v>1167</v>
      </c>
      <c r="AL1324" t="s">
        <v>8715</v>
      </c>
      <c r="AM1324" t="s">
        <v>1167</v>
      </c>
    </row>
    <row r="1325" spans="1:39" hidden="1" x14ac:dyDescent="0.25">
      <c r="A1325">
        <v>1321</v>
      </c>
      <c r="B1325">
        <v>265</v>
      </c>
      <c r="C1325" s="24">
        <v>44792</v>
      </c>
      <c r="D1325" s="238" t="s">
        <v>27</v>
      </c>
      <c r="E1325" s="238" t="s">
        <v>14</v>
      </c>
      <c r="F1325">
        <v>1</v>
      </c>
      <c r="G1325">
        <v>15</v>
      </c>
      <c r="H1325">
        <v>749</v>
      </c>
      <c r="I1325" s="238" t="s">
        <v>42</v>
      </c>
      <c r="J1325">
        <v>42.52</v>
      </c>
      <c r="K1325" s="238" t="s">
        <v>38</v>
      </c>
      <c r="L1325">
        <v>3089250</v>
      </c>
      <c r="M1325">
        <v>0</v>
      </c>
      <c r="N1325">
        <v>3089250</v>
      </c>
      <c r="O1325">
        <v>72654.045155221072</v>
      </c>
      <c r="P1325">
        <v>0</v>
      </c>
      <c r="Q1325">
        <v>3089250</v>
      </c>
      <c r="R1325">
        <v>72654.045155221072</v>
      </c>
      <c r="S1325" s="238" t="s">
        <v>124</v>
      </c>
      <c r="T1325" s="238" t="s">
        <v>1167</v>
      </c>
      <c r="V1325" t="s">
        <v>1167</v>
      </c>
      <c r="W1325" s="24">
        <v>44781</v>
      </c>
      <c r="X1325" s="238" t="s">
        <v>3279</v>
      </c>
      <c r="Y1325" s="238" t="s">
        <v>3247</v>
      </c>
      <c r="Z1325" s="238" t="s">
        <v>1340</v>
      </c>
      <c r="AA1325" t="s">
        <v>1167</v>
      </c>
      <c r="AB1325" s="238" t="s">
        <v>3246</v>
      </c>
      <c r="AC1325" t="s">
        <v>1167</v>
      </c>
      <c r="AD1325" s="24"/>
      <c r="AE1325" s="238" t="s">
        <v>3248</v>
      </c>
      <c r="AG1325" s="238" t="s">
        <v>1167</v>
      </c>
      <c r="AH1325" s="238" t="s">
        <v>1167</v>
      </c>
      <c r="AI1325" s="238" t="s">
        <v>5050</v>
      </c>
      <c r="AJ1325" s="238" t="s">
        <v>982</v>
      </c>
      <c r="AK1325" s="238" t="s">
        <v>1167</v>
      </c>
      <c r="AL1325" t="s">
        <v>8715</v>
      </c>
      <c r="AM1325" t="s">
        <v>1167</v>
      </c>
    </row>
    <row r="1326" spans="1:39" hidden="1" x14ac:dyDescent="0.25">
      <c r="A1326">
        <v>1322</v>
      </c>
      <c r="B1326">
        <v>266</v>
      </c>
      <c r="C1326" s="24">
        <v>44792</v>
      </c>
      <c r="D1326" s="238" t="s">
        <v>27</v>
      </c>
      <c r="E1326" s="238" t="s">
        <v>14</v>
      </c>
      <c r="F1326">
        <v>2</v>
      </c>
      <c r="G1326">
        <v>15</v>
      </c>
      <c r="H1326">
        <v>750</v>
      </c>
      <c r="I1326" s="238" t="s">
        <v>42</v>
      </c>
      <c r="J1326">
        <v>40.75</v>
      </c>
      <c r="K1326" s="238" t="s">
        <v>38</v>
      </c>
      <c r="L1326">
        <v>2958000</v>
      </c>
      <c r="M1326">
        <v>0</v>
      </c>
      <c r="N1326">
        <v>2958000</v>
      </c>
      <c r="O1326">
        <v>72588.95705521472</v>
      </c>
      <c r="P1326">
        <v>0</v>
      </c>
      <c r="Q1326">
        <v>2958000</v>
      </c>
      <c r="R1326">
        <v>72588.95705521472</v>
      </c>
      <c r="S1326" s="238" t="s">
        <v>124</v>
      </c>
      <c r="T1326" s="238" t="s">
        <v>1167</v>
      </c>
      <c r="V1326" t="s">
        <v>1167</v>
      </c>
      <c r="W1326" s="24">
        <v>44781</v>
      </c>
      <c r="X1326" s="238" t="s">
        <v>3279</v>
      </c>
      <c r="Y1326" s="238" t="s">
        <v>3247</v>
      </c>
      <c r="Z1326" s="238" t="s">
        <v>1340</v>
      </c>
      <c r="AA1326" t="s">
        <v>1167</v>
      </c>
      <c r="AB1326" s="238" t="s">
        <v>3246</v>
      </c>
      <c r="AC1326" t="s">
        <v>1167</v>
      </c>
      <c r="AD1326" s="24"/>
      <c r="AE1326" s="238" t="s">
        <v>3248</v>
      </c>
      <c r="AG1326" s="238" t="s">
        <v>1167</v>
      </c>
      <c r="AH1326" s="238" t="s">
        <v>1167</v>
      </c>
      <c r="AI1326" s="238" t="s">
        <v>5050</v>
      </c>
      <c r="AJ1326" s="238" t="s">
        <v>982</v>
      </c>
      <c r="AK1326" s="238" t="s">
        <v>1167</v>
      </c>
      <c r="AL1326" t="s">
        <v>8715</v>
      </c>
      <c r="AM1326" t="s">
        <v>1167</v>
      </c>
    </row>
    <row r="1327" spans="1:39" hidden="1" x14ac:dyDescent="0.25">
      <c r="A1327">
        <v>1323</v>
      </c>
      <c r="B1327">
        <v>267</v>
      </c>
      <c r="C1327" s="24">
        <v>44792</v>
      </c>
      <c r="D1327" s="238" t="s">
        <v>27</v>
      </c>
      <c r="E1327" s="238" t="s">
        <v>14</v>
      </c>
      <c r="F1327">
        <v>6</v>
      </c>
      <c r="G1327">
        <v>15</v>
      </c>
      <c r="H1327">
        <v>754</v>
      </c>
      <c r="I1327" s="238" t="s">
        <v>43</v>
      </c>
      <c r="J1327">
        <v>61.95</v>
      </c>
      <c r="K1327" s="238" t="s">
        <v>38</v>
      </c>
      <c r="L1327">
        <v>4547250</v>
      </c>
      <c r="M1327">
        <v>0</v>
      </c>
      <c r="N1327">
        <v>4547250</v>
      </c>
      <c r="O1327">
        <v>73401.937046004838</v>
      </c>
      <c r="P1327">
        <v>0</v>
      </c>
      <c r="Q1327">
        <v>4547250</v>
      </c>
      <c r="R1327">
        <v>73401.937046004838</v>
      </c>
      <c r="S1327" s="238" t="s">
        <v>124</v>
      </c>
      <c r="T1327" s="238" t="s">
        <v>1167</v>
      </c>
      <c r="V1327" t="s">
        <v>1167</v>
      </c>
      <c r="W1327" s="24">
        <v>44781</v>
      </c>
      <c r="X1327" s="238" t="s">
        <v>3279</v>
      </c>
      <c r="Y1327" s="238" t="s">
        <v>3247</v>
      </c>
      <c r="Z1327" s="238" t="s">
        <v>1340</v>
      </c>
      <c r="AA1327" t="s">
        <v>1167</v>
      </c>
      <c r="AB1327" s="238" t="s">
        <v>3246</v>
      </c>
      <c r="AC1327" t="s">
        <v>1167</v>
      </c>
      <c r="AD1327" s="24"/>
      <c r="AE1327" s="238" t="s">
        <v>3248</v>
      </c>
      <c r="AG1327" s="238" t="s">
        <v>1167</v>
      </c>
      <c r="AH1327" s="238" t="s">
        <v>1167</v>
      </c>
      <c r="AI1327" s="238" t="s">
        <v>5050</v>
      </c>
      <c r="AJ1327" s="238" t="s">
        <v>982</v>
      </c>
      <c r="AK1327" s="238" t="s">
        <v>1167</v>
      </c>
      <c r="AL1327" t="s">
        <v>8715</v>
      </c>
      <c r="AM1327" t="s">
        <v>1167</v>
      </c>
    </row>
    <row r="1328" spans="1:39" hidden="1" x14ac:dyDescent="0.25">
      <c r="A1328">
        <v>1324</v>
      </c>
      <c r="B1328">
        <v>268</v>
      </c>
      <c r="C1328" s="24">
        <v>44792</v>
      </c>
      <c r="D1328" s="238" t="s">
        <v>27</v>
      </c>
      <c r="E1328" s="238" t="s">
        <v>14</v>
      </c>
      <c r="F1328">
        <v>8</v>
      </c>
      <c r="G1328">
        <v>15</v>
      </c>
      <c r="H1328">
        <v>756</v>
      </c>
      <c r="I1328" s="238" t="s">
        <v>43</v>
      </c>
      <c r="J1328">
        <v>62.35</v>
      </c>
      <c r="K1328" s="238" t="s">
        <v>38</v>
      </c>
      <c r="L1328">
        <v>4481250</v>
      </c>
      <c r="M1328">
        <v>0</v>
      </c>
      <c r="N1328">
        <v>4481250</v>
      </c>
      <c r="O1328">
        <v>71872.49398556535</v>
      </c>
      <c r="P1328">
        <v>0</v>
      </c>
      <c r="Q1328">
        <v>4481250</v>
      </c>
      <c r="R1328">
        <v>71872.49398556535</v>
      </c>
      <c r="S1328" s="238" t="s">
        <v>124</v>
      </c>
      <c r="T1328" s="238" t="s">
        <v>1167</v>
      </c>
      <c r="V1328" t="s">
        <v>1167</v>
      </c>
      <c r="W1328" s="24">
        <v>44781</v>
      </c>
      <c r="X1328" s="238" t="s">
        <v>3279</v>
      </c>
      <c r="Y1328" s="238" t="s">
        <v>3247</v>
      </c>
      <c r="Z1328" s="238" t="s">
        <v>1340</v>
      </c>
      <c r="AA1328" t="s">
        <v>1167</v>
      </c>
      <c r="AB1328" s="238" t="s">
        <v>3246</v>
      </c>
      <c r="AC1328" t="s">
        <v>1167</v>
      </c>
      <c r="AD1328" s="24"/>
      <c r="AE1328" s="238" t="s">
        <v>3248</v>
      </c>
      <c r="AG1328" s="238" t="s">
        <v>1167</v>
      </c>
      <c r="AH1328" s="238" t="s">
        <v>1167</v>
      </c>
      <c r="AI1328" s="238" t="s">
        <v>5050</v>
      </c>
      <c r="AJ1328" s="238" t="s">
        <v>982</v>
      </c>
      <c r="AK1328" s="238" t="s">
        <v>1167</v>
      </c>
      <c r="AL1328" t="s">
        <v>8715</v>
      </c>
      <c r="AM1328" t="s">
        <v>1167</v>
      </c>
    </row>
    <row r="1329" spans="1:39" hidden="1" x14ac:dyDescent="0.25">
      <c r="A1329">
        <v>1325</v>
      </c>
      <c r="B1329">
        <v>269</v>
      </c>
      <c r="C1329" s="24">
        <v>44792</v>
      </c>
      <c r="D1329" s="238" t="s">
        <v>27</v>
      </c>
      <c r="E1329" s="238" t="s">
        <v>14</v>
      </c>
      <c r="F1329">
        <v>9</v>
      </c>
      <c r="G1329">
        <v>15</v>
      </c>
      <c r="H1329">
        <v>757</v>
      </c>
      <c r="I1329" s="238" t="s">
        <v>42</v>
      </c>
      <c r="J1329">
        <v>42.62</v>
      </c>
      <c r="K1329" s="238" t="s">
        <v>38</v>
      </c>
      <c r="L1329">
        <v>3096750</v>
      </c>
      <c r="M1329">
        <v>0</v>
      </c>
      <c r="N1329">
        <v>3096750</v>
      </c>
      <c r="O1329">
        <v>72659.549507273579</v>
      </c>
      <c r="P1329">
        <v>0</v>
      </c>
      <c r="Q1329">
        <v>3096750</v>
      </c>
      <c r="R1329">
        <v>72659.549507273579</v>
      </c>
      <c r="S1329" s="238" t="s">
        <v>124</v>
      </c>
      <c r="T1329" s="238" t="s">
        <v>1167</v>
      </c>
      <c r="V1329" t="s">
        <v>1167</v>
      </c>
      <c r="W1329" s="24">
        <v>44781</v>
      </c>
      <c r="X1329" s="238" t="s">
        <v>3279</v>
      </c>
      <c r="Y1329" s="238" t="s">
        <v>3247</v>
      </c>
      <c r="Z1329" s="238" t="s">
        <v>1340</v>
      </c>
      <c r="AA1329" t="s">
        <v>1167</v>
      </c>
      <c r="AB1329" s="238" t="s">
        <v>3246</v>
      </c>
      <c r="AC1329" t="s">
        <v>1167</v>
      </c>
      <c r="AD1329" s="24"/>
      <c r="AE1329" s="238" t="s">
        <v>3248</v>
      </c>
      <c r="AG1329" s="238" t="s">
        <v>1167</v>
      </c>
      <c r="AH1329" s="238" t="s">
        <v>1167</v>
      </c>
      <c r="AI1329" s="238" t="s">
        <v>5050</v>
      </c>
      <c r="AJ1329" s="238" t="s">
        <v>982</v>
      </c>
      <c r="AK1329" s="238" t="s">
        <v>1167</v>
      </c>
      <c r="AL1329" t="s">
        <v>8715</v>
      </c>
      <c r="AM1329" t="s">
        <v>1167</v>
      </c>
    </row>
    <row r="1330" spans="1:39" hidden="1" x14ac:dyDescent="0.25">
      <c r="A1330">
        <v>1326</v>
      </c>
      <c r="B1330">
        <v>270</v>
      </c>
      <c r="C1330" s="24">
        <v>44792</v>
      </c>
      <c r="D1330" s="238" t="s">
        <v>27</v>
      </c>
      <c r="E1330" s="238" t="s">
        <v>14</v>
      </c>
      <c r="F1330">
        <v>1</v>
      </c>
      <c r="G1330">
        <v>16</v>
      </c>
      <c r="H1330">
        <v>758</v>
      </c>
      <c r="I1330" s="238" t="s">
        <v>42</v>
      </c>
      <c r="J1330">
        <v>42.52</v>
      </c>
      <c r="K1330" s="238" t="s">
        <v>38</v>
      </c>
      <c r="L1330">
        <v>3089250</v>
      </c>
      <c r="M1330">
        <v>0</v>
      </c>
      <c r="N1330">
        <v>3089250</v>
      </c>
      <c r="O1330">
        <v>72654.045155221072</v>
      </c>
      <c r="P1330">
        <v>0</v>
      </c>
      <c r="Q1330">
        <v>3089250</v>
      </c>
      <c r="R1330">
        <v>72654.045155221072</v>
      </c>
      <c r="S1330" s="238" t="s">
        <v>124</v>
      </c>
      <c r="T1330" s="238" t="s">
        <v>1167</v>
      </c>
      <c r="V1330" t="s">
        <v>1167</v>
      </c>
      <c r="W1330" s="24">
        <v>44781</v>
      </c>
      <c r="X1330" s="238" t="s">
        <v>3279</v>
      </c>
      <c r="Y1330" s="238" t="s">
        <v>3247</v>
      </c>
      <c r="Z1330" s="238" t="s">
        <v>1340</v>
      </c>
      <c r="AA1330" t="s">
        <v>1167</v>
      </c>
      <c r="AB1330" s="238" t="s">
        <v>3246</v>
      </c>
      <c r="AC1330" t="s">
        <v>1167</v>
      </c>
      <c r="AD1330" s="24"/>
      <c r="AE1330" s="238" t="s">
        <v>3248</v>
      </c>
      <c r="AG1330" s="238" t="s">
        <v>1167</v>
      </c>
      <c r="AH1330" s="238" t="s">
        <v>1167</v>
      </c>
      <c r="AI1330" s="238" t="s">
        <v>5050</v>
      </c>
      <c r="AJ1330" s="238" t="s">
        <v>982</v>
      </c>
      <c r="AK1330" s="238" t="s">
        <v>1167</v>
      </c>
      <c r="AL1330" t="s">
        <v>8715</v>
      </c>
      <c r="AM1330" t="s">
        <v>1167</v>
      </c>
    </row>
    <row r="1331" spans="1:39" hidden="1" x14ac:dyDescent="0.25">
      <c r="A1331">
        <v>1327</v>
      </c>
      <c r="B1331">
        <v>271</v>
      </c>
      <c r="C1331" s="24">
        <v>44792</v>
      </c>
      <c r="D1331" s="238" t="s">
        <v>27</v>
      </c>
      <c r="E1331" s="238" t="s">
        <v>14</v>
      </c>
      <c r="F1331">
        <v>2</v>
      </c>
      <c r="G1331">
        <v>16</v>
      </c>
      <c r="H1331">
        <v>759</v>
      </c>
      <c r="I1331" s="238" t="s">
        <v>42</v>
      </c>
      <c r="J1331">
        <v>40.75</v>
      </c>
      <c r="K1331" s="238" t="s">
        <v>38</v>
      </c>
      <c r="L1331">
        <v>2958000</v>
      </c>
      <c r="M1331">
        <v>0</v>
      </c>
      <c r="N1331">
        <v>2958000</v>
      </c>
      <c r="O1331">
        <v>72588.95705521472</v>
      </c>
      <c r="P1331">
        <v>0</v>
      </c>
      <c r="Q1331">
        <v>2958000</v>
      </c>
      <c r="R1331">
        <v>72588.95705521472</v>
      </c>
      <c r="S1331" s="238" t="s">
        <v>124</v>
      </c>
      <c r="T1331" s="238" t="s">
        <v>1167</v>
      </c>
      <c r="V1331" t="s">
        <v>1167</v>
      </c>
      <c r="W1331" s="24">
        <v>44781</v>
      </c>
      <c r="X1331" s="238" t="s">
        <v>3279</v>
      </c>
      <c r="Y1331" s="238" t="s">
        <v>3247</v>
      </c>
      <c r="Z1331" s="238" t="s">
        <v>1340</v>
      </c>
      <c r="AA1331" t="s">
        <v>1167</v>
      </c>
      <c r="AB1331" s="238" t="s">
        <v>3246</v>
      </c>
      <c r="AC1331" t="s">
        <v>1167</v>
      </c>
      <c r="AD1331" s="24"/>
      <c r="AE1331" s="238" t="s">
        <v>3248</v>
      </c>
      <c r="AG1331" s="238" t="s">
        <v>1167</v>
      </c>
      <c r="AH1331" s="238" t="s">
        <v>1167</v>
      </c>
      <c r="AI1331" s="238" t="s">
        <v>5050</v>
      </c>
      <c r="AJ1331" s="238" t="s">
        <v>982</v>
      </c>
      <c r="AK1331" s="238" t="s">
        <v>1167</v>
      </c>
      <c r="AL1331" t="s">
        <v>8715</v>
      </c>
      <c r="AM1331" t="s">
        <v>1167</v>
      </c>
    </row>
    <row r="1332" spans="1:39" hidden="1" x14ac:dyDescent="0.25">
      <c r="A1332">
        <v>1328</v>
      </c>
      <c r="B1332">
        <v>272</v>
      </c>
      <c r="C1332" s="24">
        <v>44792</v>
      </c>
      <c r="D1332" s="238" t="s">
        <v>27</v>
      </c>
      <c r="E1332" s="238" t="s">
        <v>14</v>
      </c>
      <c r="F1332">
        <v>3</v>
      </c>
      <c r="G1332">
        <v>16</v>
      </c>
      <c r="H1332">
        <v>760</v>
      </c>
      <c r="I1332" s="238" t="s">
        <v>43</v>
      </c>
      <c r="J1332">
        <v>56.33</v>
      </c>
      <c r="K1332" s="238" t="s">
        <v>38</v>
      </c>
      <c r="L1332">
        <v>4128000</v>
      </c>
      <c r="M1332">
        <v>0</v>
      </c>
      <c r="N1332">
        <v>4128000</v>
      </c>
      <c r="O1332">
        <v>73282.442748091606</v>
      </c>
      <c r="P1332">
        <v>0</v>
      </c>
      <c r="Q1332">
        <v>4128000</v>
      </c>
      <c r="R1332">
        <v>73282.442748091606</v>
      </c>
      <c r="S1332" s="238" t="s">
        <v>124</v>
      </c>
      <c r="T1332" s="238" t="s">
        <v>1167</v>
      </c>
      <c r="V1332" t="s">
        <v>1167</v>
      </c>
      <c r="W1332" s="24">
        <v>44781</v>
      </c>
      <c r="X1332" s="238" t="s">
        <v>3279</v>
      </c>
      <c r="Y1332" s="238" t="s">
        <v>3247</v>
      </c>
      <c r="Z1332" s="238" t="s">
        <v>1340</v>
      </c>
      <c r="AA1332" t="s">
        <v>1167</v>
      </c>
      <c r="AB1332" s="238" t="s">
        <v>3246</v>
      </c>
      <c r="AC1332" t="s">
        <v>1167</v>
      </c>
      <c r="AD1332" s="24"/>
      <c r="AE1332" s="238" t="s">
        <v>3248</v>
      </c>
      <c r="AG1332" s="238" t="s">
        <v>1167</v>
      </c>
      <c r="AH1332" s="238" t="s">
        <v>1167</v>
      </c>
      <c r="AI1332" s="238" t="s">
        <v>5050</v>
      </c>
      <c r="AJ1332" s="238" t="s">
        <v>982</v>
      </c>
      <c r="AK1332" s="238" t="s">
        <v>1167</v>
      </c>
      <c r="AL1332" t="s">
        <v>8715</v>
      </c>
      <c r="AM1332" t="s">
        <v>1167</v>
      </c>
    </row>
    <row r="1333" spans="1:39" hidden="1" x14ac:dyDescent="0.25">
      <c r="A1333">
        <v>1329</v>
      </c>
      <c r="B1333">
        <v>273</v>
      </c>
      <c r="C1333" s="24">
        <v>44792</v>
      </c>
      <c r="D1333" s="238" t="s">
        <v>27</v>
      </c>
      <c r="E1333" s="238" t="s">
        <v>14</v>
      </c>
      <c r="F1333">
        <v>8</v>
      </c>
      <c r="G1333">
        <v>16</v>
      </c>
      <c r="H1333">
        <v>765</v>
      </c>
      <c r="I1333" s="238" t="s">
        <v>43</v>
      </c>
      <c r="J1333">
        <v>62.35</v>
      </c>
      <c r="K1333" s="238" t="s">
        <v>38</v>
      </c>
      <c r="L1333">
        <v>4481250</v>
      </c>
      <c r="M1333">
        <v>0</v>
      </c>
      <c r="N1333">
        <v>4481250</v>
      </c>
      <c r="O1333">
        <v>71872.49398556535</v>
      </c>
      <c r="P1333">
        <v>0</v>
      </c>
      <c r="Q1333">
        <v>4481250</v>
      </c>
      <c r="R1333">
        <v>71872.49398556535</v>
      </c>
      <c r="S1333" s="238" t="s">
        <v>124</v>
      </c>
      <c r="T1333" s="238" t="s">
        <v>1167</v>
      </c>
      <c r="V1333" t="s">
        <v>1167</v>
      </c>
      <c r="W1333" s="24">
        <v>44781</v>
      </c>
      <c r="X1333" s="238" t="s">
        <v>3279</v>
      </c>
      <c r="Y1333" s="238" t="s">
        <v>3247</v>
      </c>
      <c r="Z1333" s="238" t="s">
        <v>1340</v>
      </c>
      <c r="AA1333" t="s">
        <v>1167</v>
      </c>
      <c r="AB1333" s="238" t="s">
        <v>3246</v>
      </c>
      <c r="AC1333" t="s">
        <v>1167</v>
      </c>
      <c r="AD1333" s="24"/>
      <c r="AE1333" s="238" t="s">
        <v>3248</v>
      </c>
      <c r="AG1333" s="238" t="s">
        <v>1167</v>
      </c>
      <c r="AH1333" s="238" t="s">
        <v>1167</v>
      </c>
      <c r="AI1333" s="238" t="s">
        <v>5050</v>
      </c>
      <c r="AJ1333" s="238" t="s">
        <v>982</v>
      </c>
      <c r="AK1333" s="238" t="s">
        <v>1167</v>
      </c>
      <c r="AL1333" t="s">
        <v>8715</v>
      </c>
      <c r="AM1333" t="s">
        <v>1167</v>
      </c>
    </row>
    <row r="1334" spans="1:39" hidden="1" x14ac:dyDescent="0.25">
      <c r="A1334">
        <v>1330</v>
      </c>
      <c r="B1334">
        <v>274</v>
      </c>
      <c r="C1334" s="24">
        <v>44792</v>
      </c>
      <c r="D1334" s="238" t="s">
        <v>27</v>
      </c>
      <c r="E1334" s="238" t="s">
        <v>14</v>
      </c>
      <c r="F1334">
        <v>9</v>
      </c>
      <c r="G1334">
        <v>16</v>
      </c>
      <c r="H1334">
        <v>766</v>
      </c>
      <c r="I1334" s="238" t="s">
        <v>42</v>
      </c>
      <c r="J1334">
        <v>42.62</v>
      </c>
      <c r="K1334" s="238" t="s">
        <v>38</v>
      </c>
      <c r="L1334">
        <v>3096750</v>
      </c>
      <c r="M1334">
        <v>0</v>
      </c>
      <c r="N1334">
        <v>3096750</v>
      </c>
      <c r="O1334">
        <v>72659.549507273579</v>
      </c>
      <c r="P1334">
        <v>0</v>
      </c>
      <c r="Q1334">
        <v>3096750</v>
      </c>
      <c r="R1334">
        <v>72659.549507273579</v>
      </c>
      <c r="S1334" s="238" t="s">
        <v>124</v>
      </c>
      <c r="T1334" s="238" t="s">
        <v>1167</v>
      </c>
      <c r="V1334" t="s">
        <v>1167</v>
      </c>
      <c r="W1334" s="24">
        <v>44781</v>
      </c>
      <c r="X1334" s="238" t="s">
        <v>3279</v>
      </c>
      <c r="Y1334" s="238" t="s">
        <v>3247</v>
      </c>
      <c r="Z1334" s="238" t="s">
        <v>1340</v>
      </c>
      <c r="AA1334" t="s">
        <v>1167</v>
      </c>
      <c r="AB1334" s="238" t="s">
        <v>3246</v>
      </c>
      <c r="AC1334" t="s">
        <v>1167</v>
      </c>
      <c r="AD1334" s="24"/>
      <c r="AE1334" s="238" t="s">
        <v>3248</v>
      </c>
      <c r="AG1334" s="238" t="s">
        <v>1167</v>
      </c>
      <c r="AH1334" s="238" t="s">
        <v>1167</v>
      </c>
      <c r="AI1334" s="238" t="s">
        <v>5050</v>
      </c>
      <c r="AJ1334" s="238" t="s">
        <v>982</v>
      </c>
      <c r="AK1334" s="238" t="s">
        <v>1167</v>
      </c>
      <c r="AL1334" t="s">
        <v>8715</v>
      </c>
      <c r="AM1334" t="s">
        <v>1167</v>
      </c>
    </row>
    <row r="1335" spans="1:39" hidden="1" x14ac:dyDescent="0.25">
      <c r="A1335">
        <v>1331</v>
      </c>
      <c r="B1335">
        <v>275</v>
      </c>
      <c r="C1335" s="24">
        <v>44792</v>
      </c>
      <c r="D1335" s="238" t="s">
        <v>27</v>
      </c>
      <c r="E1335" s="238" t="s">
        <v>14</v>
      </c>
      <c r="F1335">
        <v>1</v>
      </c>
      <c r="G1335">
        <v>17</v>
      </c>
      <c r="H1335">
        <v>767</v>
      </c>
      <c r="I1335" s="238" t="s">
        <v>42</v>
      </c>
      <c r="J1335">
        <v>42.52</v>
      </c>
      <c r="K1335" s="238" t="s">
        <v>38</v>
      </c>
      <c r="L1335">
        <v>3089250</v>
      </c>
      <c r="M1335">
        <v>0</v>
      </c>
      <c r="N1335">
        <v>3089250</v>
      </c>
      <c r="O1335">
        <v>72654.045155221072</v>
      </c>
      <c r="P1335">
        <v>0</v>
      </c>
      <c r="Q1335">
        <v>3089250</v>
      </c>
      <c r="R1335">
        <v>72654.045155221072</v>
      </c>
      <c r="S1335" s="238" t="s">
        <v>124</v>
      </c>
      <c r="T1335" s="238" t="s">
        <v>1167</v>
      </c>
      <c r="V1335" t="s">
        <v>1167</v>
      </c>
      <c r="W1335" s="24">
        <v>44781</v>
      </c>
      <c r="X1335" s="238" t="s">
        <v>3279</v>
      </c>
      <c r="Y1335" s="238" t="s">
        <v>3247</v>
      </c>
      <c r="Z1335" s="238" t="s">
        <v>1340</v>
      </c>
      <c r="AA1335" t="s">
        <v>1167</v>
      </c>
      <c r="AB1335" s="238" t="s">
        <v>3246</v>
      </c>
      <c r="AC1335" t="s">
        <v>1167</v>
      </c>
      <c r="AD1335" s="24"/>
      <c r="AE1335" s="238" t="s">
        <v>3248</v>
      </c>
      <c r="AG1335" s="238" t="s">
        <v>1167</v>
      </c>
      <c r="AH1335" s="238" t="s">
        <v>1167</v>
      </c>
      <c r="AI1335" s="238" t="s">
        <v>5050</v>
      </c>
      <c r="AJ1335" s="238" t="s">
        <v>982</v>
      </c>
      <c r="AK1335" s="238" t="s">
        <v>1167</v>
      </c>
      <c r="AL1335" t="s">
        <v>8715</v>
      </c>
      <c r="AM1335" t="s">
        <v>1167</v>
      </c>
    </row>
    <row r="1336" spans="1:39" hidden="1" x14ac:dyDescent="0.25">
      <c r="A1336">
        <v>1332</v>
      </c>
      <c r="B1336">
        <v>276</v>
      </c>
      <c r="C1336" s="24">
        <v>44792</v>
      </c>
      <c r="D1336" s="238" t="s">
        <v>27</v>
      </c>
      <c r="E1336" s="238" t="s">
        <v>14</v>
      </c>
      <c r="F1336">
        <v>4</v>
      </c>
      <c r="G1336">
        <v>17</v>
      </c>
      <c r="H1336">
        <v>770</v>
      </c>
      <c r="I1336" s="238" t="s">
        <v>42</v>
      </c>
      <c r="J1336">
        <v>38.92</v>
      </c>
      <c r="K1336" s="238" t="s">
        <v>38</v>
      </c>
      <c r="L1336">
        <v>2814750</v>
      </c>
      <c r="M1336">
        <v>0</v>
      </c>
      <c r="N1336">
        <v>2814750</v>
      </c>
      <c r="O1336">
        <v>72321.428571428565</v>
      </c>
      <c r="P1336">
        <v>0</v>
      </c>
      <c r="Q1336">
        <v>2814750</v>
      </c>
      <c r="R1336">
        <v>72321.428571428565</v>
      </c>
      <c r="S1336" s="238" t="s">
        <v>124</v>
      </c>
      <c r="T1336" s="238" t="s">
        <v>1167</v>
      </c>
      <c r="V1336" t="s">
        <v>1167</v>
      </c>
      <c r="W1336" s="24">
        <v>44781</v>
      </c>
      <c r="X1336" s="238" t="s">
        <v>3279</v>
      </c>
      <c r="Y1336" s="238" t="s">
        <v>3247</v>
      </c>
      <c r="Z1336" s="238" t="s">
        <v>1340</v>
      </c>
      <c r="AA1336" t="s">
        <v>1167</v>
      </c>
      <c r="AB1336" s="238" t="s">
        <v>3246</v>
      </c>
      <c r="AC1336" t="s">
        <v>1167</v>
      </c>
      <c r="AD1336" s="24"/>
      <c r="AE1336" s="238" t="s">
        <v>3248</v>
      </c>
      <c r="AG1336" s="238" t="s">
        <v>1167</v>
      </c>
      <c r="AH1336" s="238" t="s">
        <v>1167</v>
      </c>
      <c r="AI1336" s="238" t="s">
        <v>5050</v>
      </c>
      <c r="AJ1336" s="238" t="s">
        <v>982</v>
      </c>
      <c r="AK1336" s="238" t="s">
        <v>1167</v>
      </c>
      <c r="AL1336" t="s">
        <v>8715</v>
      </c>
      <c r="AM1336" t="s">
        <v>1167</v>
      </c>
    </row>
    <row r="1337" spans="1:39" hidden="1" x14ac:dyDescent="0.25">
      <c r="A1337">
        <v>1333</v>
      </c>
      <c r="B1337">
        <v>277</v>
      </c>
      <c r="C1337" s="24">
        <v>44792</v>
      </c>
      <c r="D1337" s="238" t="s">
        <v>27</v>
      </c>
      <c r="E1337" s="238" t="s">
        <v>14</v>
      </c>
      <c r="F1337">
        <v>6</v>
      </c>
      <c r="G1337">
        <v>17</v>
      </c>
      <c r="H1337">
        <v>772</v>
      </c>
      <c r="I1337" s="238" t="s">
        <v>42</v>
      </c>
      <c r="J1337">
        <v>38.909999999999997</v>
      </c>
      <c r="K1337" s="238" t="s">
        <v>38</v>
      </c>
      <c r="L1337">
        <v>2817000</v>
      </c>
      <c r="M1337">
        <v>0</v>
      </c>
      <c r="N1337">
        <v>2817000</v>
      </c>
      <c r="O1337">
        <v>72397.841171935244</v>
      </c>
      <c r="P1337">
        <v>0</v>
      </c>
      <c r="Q1337">
        <v>2817000</v>
      </c>
      <c r="R1337">
        <v>72397.841171935244</v>
      </c>
      <c r="S1337" s="238" t="s">
        <v>124</v>
      </c>
      <c r="T1337" s="238" t="s">
        <v>1167</v>
      </c>
      <c r="V1337" t="s">
        <v>1167</v>
      </c>
      <c r="W1337" s="24">
        <v>44781</v>
      </c>
      <c r="X1337" s="238" t="s">
        <v>3279</v>
      </c>
      <c r="Y1337" s="238" t="s">
        <v>3247</v>
      </c>
      <c r="Z1337" s="238" t="s">
        <v>1340</v>
      </c>
      <c r="AA1337" t="s">
        <v>1167</v>
      </c>
      <c r="AB1337" s="238" t="s">
        <v>3246</v>
      </c>
      <c r="AC1337" t="s">
        <v>1167</v>
      </c>
      <c r="AD1337" s="24"/>
      <c r="AE1337" s="238" t="s">
        <v>3248</v>
      </c>
      <c r="AG1337" s="238" t="s">
        <v>1167</v>
      </c>
      <c r="AH1337" s="238" t="s">
        <v>1167</v>
      </c>
      <c r="AI1337" s="238" t="s">
        <v>5050</v>
      </c>
      <c r="AJ1337" s="238" t="s">
        <v>982</v>
      </c>
      <c r="AK1337" s="238" t="s">
        <v>1167</v>
      </c>
      <c r="AL1337" t="s">
        <v>8715</v>
      </c>
      <c r="AM1337" t="s">
        <v>1167</v>
      </c>
    </row>
    <row r="1338" spans="1:39" hidden="1" x14ac:dyDescent="0.25">
      <c r="A1338">
        <v>1334</v>
      </c>
      <c r="B1338">
        <v>278</v>
      </c>
      <c r="C1338" s="24">
        <v>44792</v>
      </c>
      <c r="D1338" s="238" t="s">
        <v>27</v>
      </c>
      <c r="E1338" s="238" t="s">
        <v>14</v>
      </c>
      <c r="F1338">
        <v>7</v>
      </c>
      <c r="G1338">
        <v>17</v>
      </c>
      <c r="H1338">
        <v>773</v>
      </c>
      <c r="I1338" s="238" t="s">
        <v>43</v>
      </c>
      <c r="J1338">
        <v>62.38</v>
      </c>
      <c r="K1338" s="238" t="s">
        <v>38</v>
      </c>
      <c r="L1338">
        <v>4483500</v>
      </c>
      <c r="M1338">
        <v>0</v>
      </c>
      <c r="N1338">
        <v>4483500</v>
      </c>
      <c r="O1338">
        <v>71873.99807630651</v>
      </c>
      <c r="P1338">
        <v>0</v>
      </c>
      <c r="Q1338">
        <v>4483500</v>
      </c>
      <c r="R1338">
        <v>71873.99807630651</v>
      </c>
      <c r="S1338" s="238" t="s">
        <v>124</v>
      </c>
      <c r="T1338" s="238" t="s">
        <v>1167</v>
      </c>
      <c r="V1338" t="s">
        <v>1167</v>
      </c>
      <c r="W1338" s="24">
        <v>44781</v>
      </c>
      <c r="X1338" s="238" t="s">
        <v>3279</v>
      </c>
      <c r="Y1338" s="238" t="s">
        <v>3247</v>
      </c>
      <c r="Z1338" s="238" t="s">
        <v>1340</v>
      </c>
      <c r="AA1338" t="s">
        <v>1167</v>
      </c>
      <c r="AB1338" s="238" t="s">
        <v>3246</v>
      </c>
      <c r="AC1338" t="s">
        <v>1167</v>
      </c>
      <c r="AD1338" s="24"/>
      <c r="AE1338" s="238" t="s">
        <v>3248</v>
      </c>
      <c r="AG1338" s="238" t="s">
        <v>1167</v>
      </c>
      <c r="AH1338" s="238" t="s">
        <v>1167</v>
      </c>
      <c r="AI1338" s="238" t="s">
        <v>5050</v>
      </c>
      <c r="AJ1338" s="238" t="s">
        <v>982</v>
      </c>
      <c r="AK1338" s="238" t="s">
        <v>1167</v>
      </c>
      <c r="AL1338" t="s">
        <v>8715</v>
      </c>
      <c r="AM1338" t="s">
        <v>1167</v>
      </c>
    </row>
    <row r="1339" spans="1:39" hidden="1" x14ac:dyDescent="0.25">
      <c r="A1339">
        <v>1335</v>
      </c>
      <c r="B1339">
        <v>279</v>
      </c>
      <c r="C1339" s="24">
        <v>44784</v>
      </c>
      <c r="D1339" s="238" t="s">
        <v>27</v>
      </c>
      <c r="E1339" s="238" t="s">
        <v>14</v>
      </c>
      <c r="F1339">
        <v>8</v>
      </c>
      <c r="G1339">
        <v>17</v>
      </c>
      <c r="H1339">
        <v>774</v>
      </c>
      <c r="I1339" s="238" t="s">
        <v>42</v>
      </c>
      <c r="J1339">
        <v>42.62</v>
      </c>
      <c r="K1339" s="238" t="s">
        <v>38</v>
      </c>
      <c r="L1339">
        <v>3096750</v>
      </c>
      <c r="M1339">
        <v>0</v>
      </c>
      <c r="N1339">
        <v>3096750</v>
      </c>
      <c r="O1339">
        <v>72659.549507273579</v>
      </c>
      <c r="P1339">
        <v>0</v>
      </c>
      <c r="Q1339">
        <v>3096750</v>
      </c>
      <c r="R1339">
        <v>72659.549507273579</v>
      </c>
      <c r="S1339" s="238" t="s">
        <v>124</v>
      </c>
      <c r="T1339" s="238" t="s">
        <v>1167</v>
      </c>
      <c r="V1339" t="s">
        <v>1167</v>
      </c>
      <c r="W1339" s="24">
        <v>44781</v>
      </c>
      <c r="X1339" s="238" t="s">
        <v>3280</v>
      </c>
      <c r="Y1339" s="238" t="s">
        <v>3247</v>
      </c>
      <c r="Z1339" s="238" t="s">
        <v>1340</v>
      </c>
      <c r="AA1339" t="s">
        <v>1167</v>
      </c>
      <c r="AB1339" s="238" t="s">
        <v>3246</v>
      </c>
      <c r="AC1339" t="s">
        <v>1167</v>
      </c>
      <c r="AD1339" s="24"/>
      <c r="AE1339" s="238" t="s">
        <v>3248</v>
      </c>
      <c r="AG1339" s="238" t="s">
        <v>1167</v>
      </c>
      <c r="AH1339" s="238" t="s">
        <v>1167</v>
      </c>
      <c r="AI1339" s="238" t="s">
        <v>5050</v>
      </c>
      <c r="AJ1339" s="238" t="s">
        <v>982</v>
      </c>
      <c r="AK1339" s="238" t="s">
        <v>1167</v>
      </c>
      <c r="AL1339" t="s">
        <v>8715</v>
      </c>
      <c r="AM1339" t="s">
        <v>1167</v>
      </c>
    </row>
    <row r="1340" spans="1:39" hidden="1" x14ac:dyDescent="0.25">
      <c r="A1340">
        <v>1336</v>
      </c>
      <c r="B1340">
        <v>280</v>
      </c>
      <c r="C1340" s="24">
        <v>44784</v>
      </c>
      <c r="D1340" s="238" t="s">
        <v>27</v>
      </c>
      <c r="E1340" s="238" t="s">
        <v>14</v>
      </c>
      <c r="F1340">
        <v>1</v>
      </c>
      <c r="G1340">
        <v>18</v>
      </c>
      <c r="H1340">
        <v>775</v>
      </c>
      <c r="I1340" s="238" t="s">
        <v>42</v>
      </c>
      <c r="J1340">
        <v>42.52</v>
      </c>
      <c r="K1340" s="238" t="s">
        <v>38</v>
      </c>
      <c r="L1340">
        <v>3089250</v>
      </c>
      <c r="M1340">
        <v>0</v>
      </c>
      <c r="N1340">
        <v>3089250</v>
      </c>
      <c r="O1340">
        <v>72654.045155221072</v>
      </c>
      <c r="P1340">
        <v>0</v>
      </c>
      <c r="Q1340">
        <v>3089250</v>
      </c>
      <c r="R1340">
        <v>72654.045155221072</v>
      </c>
      <c r="S1340" s="238" t="s">
        <v>124</v>
      </c>
      <c r="T1340" s="238" t="s">
        <v>1167</v>
      </c>
      <c r="V1340" t="s">
        <v>1167</v>
      </c>
      <c r="W1340" s="24">
        <v>44781</v>
      </c>
      <c r="X1340" s="238" t="s">
        <v>3280</v>
      </c>
      <c r="Y1340" s="238" t="s">
        <v>3247</v>
      </c>
      <c r="Z1340" s="238" t="s">
        <v>1340</v>
      </c>
      <c r="AA1340" t="s">
        <v>1167</v>
      </c>
      <c r="AB1340" s="238" t="s">
        <v>3246</v>
      </c>
      <c r="AC1340" t="s">
        <v>1167</v>
      </c>
      <c r="AD1340" s="24"/>
      <c r="AE1340" s="238" t="s">
        <v>3248</v>
      </c>
      <c r="AG1340" s="238" t="s">
        <v>1167</v>
      </c>
      <c r="AH1340" s="238" t="s">
        <v>1167</v>
      </c>
      <c r="AI1340" s="238" t="s">
        <v>5050</v>
      </c>
      <c r="AJ1340" s="238" t="s">
        <v>982</v>
      </c>
      <c r="AK1340" s="238" t="s">
        <v>1167</v>
      </c>
      <c r="AL1340" t="s">
        <v>8715</v>
      </c>
      <c r="AM1340" t="s">
        <v>1167</v>
      </c>
    </row>
    <row r="1341" spans="1:39" hidden="1" x14ac:dyDescent="0.25">
      <c r="A1341">
        <v>1337</v>
      </c>
      <c r="B1341">
        <v>281</v>
      </c>
      <c r="C1341" s="24">
        <v>44784</v>
      </c>
      <c r="D1341" s="238" t="s">
        <v>27</v>
      </c>
      <c r="E1341" s="238" t="s">
        <v>14</v>
      </c>
      <c r="F1341">
        <v>2</v>
      </c>
      <c r="G1341">
        <v>18</v>
      </c>
      <c r="H1341">
        <v>776</v>
      </c>
      <c r="I1341" s="238" t="s">
        <v>45</v>
      </c>
      <c r="J1341">
        <v>100.26</v>
      </c>
      <c r="K1341" s="238" t="s">
        <v>38</v>
      </c>
      <c r="L1341">
        <v>7324500</v>
      </c>
      <c r="M1341">
        <v>0</v>
      </c>
      <c r="N1341">
        <v>7324500</v>
      </c>
      <c r="O1341">
        <v>73055.056852184323</v>
      </c>
      <c r="P1341">
        <v>0</v>
      </c>
      <c r="Q1341">
        <v>7324500</v>
      </c>
      <c r="R1341">
        <v>73055.056852184323</v>
      </c>
      <c r="S1341" s="238" t="s">
        <v>124</v>
      </c>
      <c r="T1341" s="238" t="s">
        <v>1167</v>
      </c>
      <c r="V1341" t="s">
        <v>1167</v>
      </c>
      <c r="W1341" s="24">
        <v>44781</v>
      </c>
      <c r="X1341" s="238" t="s">
        <v>3280</v>
      </c>
      <c r="Y1341" s="238" t="s">
        <v>3247</v>
      </c>
      <c r="Z1341" s="238" t="s">
        <v>1340</v>
      </c>
      <c r="AA1341" t="s">
        <v>1167</v>
      </c>
      <c r="AB1341" s="238" t="s">
        <v>3246</v>
      </c>
      <c r="AC1341" t="s">
        <v>1167</v>
      </c>
      <c r="AD1341" s="24"/>
      <c r="AE1341" s="238" t="s">
        <v>3248</v>
      </c>
      <c r="AG1341" s="238" t="s">
        <v>1167</v>
      </c>
      <c r="AH1341" s="238" t="s">
        <v>1167</v>
      </c>
      <c r="AI1341" s="238" t="s">
        <v>5050</v>
      </c>
      <c r="AJ1341" s="238" t="s">
        <v>982</v>
      </c>
      <c r="AK1341" s="238" t="s">
        <v>1167</v>
      </c>
      <c r="AL1341" t="s">
        <v>8715</v>
      </c>
      <c r="AM1341" t="s">
        <v>1167</v>
      </c>
    </row>
    <row r="1342" spans="1:39" hidden="1" x14ac:dyDescent="0.25">
      <c r="A1342">
        <v>1338</v>
      </c>
      <c r="B1342">
        <v>282</v>
      </c>
      <c r="C1342" s="24">
        <v>44784</v>
      </c>
      <c r="D1342" s="238" t="s">
        <v>27</v>
      </c>
      <c r="E1342" s="238" t="s">
        <v>14</v>
      </c>
      <c r="F1342">
        <v>4</v>
      </c>
      <c r="G1342">
        <v>18</v>
      </c>
      <c r="H1342">
        <v>778</v>
      </c>
      <c r="I1342" s="238" t="s">
        <v>42</v>
      </c>
      <c r="J1342">
        <v>38.92</v>
      </c>
      <c r="K1342" s="238" t="s">
        <v>38</v>
      </c>
      <c r="L1342">
        <v>2814750</v>
      </c>
      <c r="M1342">
        <v>0</v>
      </c>
      <c r="N1342">
        <v>2814750</v>
      </c>
      <c r="O1342">
        <v>72321.428571428565</v>
      </c>
      <c r="P1342">
        <v>0</v>
      </c>
      <c r="Q1342">
        <v>2814750</v>
      </c>
      <c r="R1342">
        <v>72321.428571428565</v>
      </c>
      <c r="S1342" s="238" t="s">
        <v>124</v>
      </c>
      <c r="T1342" s="238" t="s">
        <v>1167</v>
      </c>
      <c r="V1342" t="s">
        <v>1167</v>
      </c>
      <c r="W1342" s="24">
        <v>44781</v>
      </c>
      <c r="X1342" s="238" t="s">
        <v>3280</v>
      </c>
      <c r="Y1342" s="238" t="s">
        <v>3247</v>
      </c>
      <c r="Z1342" s="238" t="s">
        <v>1340</v>
      </c>
      <c r="AA1342" t="s">
        <v>1167</v>
      </c>
      <c r="AB1342" s="238" t="s">
        <v>3246</v>
      </c>
      <c r="AC1342" t="s">
        <v>1167</v>
      </c>
      <c r="AD1342" s="24"/>
      <c r="AE1342" s="238" t="s">
        <v>3248</v>
      </c>
      <c r="AG1342" s="238" t="s">
        <v>1167</v>
      </c>
      <c r="AH1342" s="238" t="s">
        <v>1167</v>
      </c>
      <c r="AI1342" s="238" t="s">
        <v>5050</v>
      </c>
      <c r="AJ1342" s="238" t="s">
        <v>982</v>
      </c>
      <c r="AK1342" s="238" t="s">
        <v>1167</v>
      </c>
      <c r="AL1342" t="s">
        <v>8715</v>
      </c>
      <c r="AM1342" t="s">
        <v>1167</v>
      </c>
    </row>
    <row r="1343" spans="1:39" hidden="1" x14ac:dyDescent="0.25">
      <c r="A1343">
        <v>1339</v>
      </c>
      <c r="B1343">
        <v>283</v>
      </c>
      <c r="C1343" s="24">
        <v>44784</v>
      </c>
      <c r="D1343" s="238" t="s">
        <v>27</v>
      </c>
      <c r="E1343" s="238" t="s">
        <v>14</v>
      </c>
      <c r="F1343">
        <v>5</v>
      </c>
      <c r="G1343">
        <v>18</v>
      </c>
      <c r="H1343">
        <v>779</v>
      </c>
      <c r="I1343" s="238" t="s">
        <v>43</v>
      </c>
      <c r="J1343">
        <v>61.96</v>
      </c>
      <c r="K1343" s="238" t="s">
        <v>38</v>
      </c>
      <c r="L1343">
        <v>4548000</v>
      </c>
      <c r="M1343">
        <v>0</v>
      </c>
      <c r="N1343">
        <v>4548000</v>
      </c>
      <c r="O1343">
        <v>73402.194964493217</v>
      </c>
      <c r="P1343">
        <v>0</v>
      </c>
      <c r="Q1343">
        <v>4548000</v>
      </c>
      <c r="R1343">
        <v>73402.194964493217</v>
      </c>
      <c r="S1343" s="238" t="s">
        <v>124</v>
      </c>
      <c r="T1343" s="238" t="s">
        <v>1167</v>
      </c>
      <c r="V1343" t="s">
        <v>1167</v>
      </c>
      <c r="W1343" s="24">
        <v>44781</v>
      </c>
      <c r="X1343" s="238" t="s">
        <v>3280</v>
      </c>
      <c r="Y1343" s="238" t="s">
        <v>3247</v>
      </c>
      <c r="Z1343" s="238" t="s">
        <v>1340</v>
      </c>
      <c r="AA1343" t="s">
        <v>1167</v>
      </c>
      <c r="AB1343" s="238" t="s">
        <v>3246</v>
      </c>
      <c r="AC1343" t="s">
        <v>1167</v>
      </c>
      <c r="AD1343" s="24"/>
      <c r="AE1343" s="238" t="s">
        <v>3248</v>
      </c>
      <c r="AG1343" s="238" t="s">
        <v>1167</v>
      </c>
      <c r="AH1343" s="238" t="s">
        <v>1167</v>
      </c>
      <c r="AI1343" s="238" t="s">
        <v>5050</v>
      </c>
      <c r="AJ1343" s="238" t="s">
        <v>982</v>
      </c>
      <c r="AK1343" s="238" t="s">
        <v>1167</v>
      </c>
      <c r="AL1343" t="s">
        <v>8715</v>
      </c>
      <c r="AM1343" t="s">
        <v>1167</v>
      </c>
    </row>
    <row r="1344" spans="1:39" hidden="1" x14ac:dyDescent="0.25">
      <c r="A1344">
        <v>1340</v>
      </c>
      <c r="B1344">
        <v>284</v>
      </c>
      <c r="C1344" s="24">
        <v>44784</v>
      </c>
      <c r="D1344" s="238" t="s">
        <v>27</v>
      </c>
      <c r="E1344" s="238" t="s">
        <v>14</v>
      </c>
      <c r="F1344">
        <v>7</v>
      </c>
      <c r="G1344">
        <v>18</v>
      </c>
      <c r="H1344">
        <v>781</v>
      </c>
      <c r="I1344" s="238" t="s">
        <v>43</v>
      </c>
      <c r="J1344">
        <v>62.38</v>
      </c>
      <c r="K1344" s="238" t="s">
        <v>38</v>
      </c>
      <c r="L1344">
        <v>4483500</v>
      </c>
      <c r="M1344">
        <v>0</v>
      </c>
      <c r="N1344">
        <v>4483500</v>
      </c>
      <c r="O1344">
        <v>71873.99807630651</v>
      </c>
      <c r="P1344">
        <v>0</v>
      </c>
      <c r="Q1344">
        <v>4483500</v>
      </c>
      <c r="R1344">
        <v>71873.99807630651</v>
      </c>
      <c r="S1344" s="238" t="s">
        <v>124</v>
      </c>
      <c r="T1344" s="238" t="s">
        <v>1167</v>
      </c>
      <c r="V1344" t="s">
        <v>1167</v>
      </c>
      <c r="W1344" s="24">
        <v>44781</v>
      </c>
      <c r="X1344" s="238" t="s">
        <v>3280</v>
      </c>
      <c r="Y1344" s="238" t="s">
        <v>3247</v>
      </c>
      <c r="Z1344" s="238" t="s">
        <v>1340</v>
      </c>
      <c r="AA1344" t="s">
        <v>1167</v>
      </c>
      <c r="AB1344" s="238" t="s">
        <v>3246</v>
      </c>
      <c r="AC1344" t="s">
        <v>1167</v>
      </c>
      <c r="AD1344" s="24"/>
      <c r="AE1344" s="238" t="s">
        <v>3248</v>
      </c>
      <c r="AG1344" s="238" t="s">
        <v>1167</v>
      </c>
      <c r="AH1344" s="238" t="s">
        <v>1167</v>
      </c>
      <c r="AI1344" s="238" t="s">
        <v>5050</v>
      </c>
      <c r="AJ1344" s="238" t="s">
        <v>982</v>
      </c>
      <c r="AK1344" s="238" t="s">
        <v>1167</v>
      </c>
      <c r="AL1344" t="s">
        <v>8715</v>
      </c>
      <c r="AM1344" t="s">
        <v>1167</v>
      </c>
    </row>
    <row r="1345" spans="1:39" hidden="1" x14ac:dyDescent="0.25">
      <c r="A1345">
        <v>1341</v>
      </c>
      <c r="B1345">
        <v>285</v>
      </c>
      <c r="C1345" s="24">
        <v>44784</v>
      </c>
      <c r="D1345" s="238" t="s">
        <v>27</v>
      </c>
      <c r="E1345" s="238" t="s">
        <v>14</v>
      </c>
      <c r="F1345">
        <v>8</v>
      </c>
      <c r="G1345">
        <v>18</v>
      </c>
      <c r="H1345">
        <v>782</v>
      </c>
      <c r="I1345" s="238" t="s">
        <v>42</v>
      </c>
      <c r="J1345">
        <v>42.62</v>
      </c>
      <c r="K1345" s="238" t="s">
        <v>38</v>
      </c>
      <c r="L1345">
        <v>3096750</v>
      </c>
      <c r="M1345">
        <v>0</v>
      </c>
      <c r="N1345">
        <v>3096750</v>
      </c>
      <c r="O1345">
        <v>72659.549507273579</v>
      </c>
      <c r="P1345">
        <v>0</v>
      </c>
      <c r="Q1345">
        <v>3096750</v>
      </c>
      <c r="R1345">
        <v>72659.549507273579</v>
      </c>
      <c r="S1345" s="238" t="s">
        <v>124</v>
      </c>
      <c r="T1345" s="238" t="s">
        <v>1167</v>
      </c>
      <c r="V1345" t="s">
        <v>1167</v>
      </c>
      <c r="W1345" s="24">
        <v>44781</v>
      </c>
      <c r="X1345" s="238" t="s">
        <v>3280</v>
      </c>
      <c r="Y1345" s="238" t="s">
        <v>3247</v>
      </c>
      <c r="Z1345" s="238" t="s">
        <v>1340</v>
      </c>
      <c r="AA1345" t="s">
        <v>1167</v>
      </c>
      <c r="AB1345" s="238" t="s">
        <v>3246</v>
      </c>
      <c r="AC1345" t="s">
        <v>1167</v>
      </c>
      <c r="AD1345" s="24"/>
      <c r="AE1345" s="238" t="s">
        <v>3248</v>
      </c>
      <c r="AG1345" s="238" t="s">
        <v>1167</v>
      </c>
      <c r="AH1345" s="238" t="s">
        <v>1167</v>
      </c>
      <c r="AI1345" s="238" t="s">
        <v>5050</v>
      </c>
      <c r="AJ1345" s="238" t="s">
        <v>982</v>
      </c>
      <c r="AK1345" s="238" t="s">
        <v>1167</v>
      </c>
      <c r="AL1345" t="s">
        <v>8715</v>
      </c>
      <c r="AM1345" t="s">
        <v>1167</v>
      </c>
    </row>
    <row r="1346" spans="1:39" hidden="1" x14ac:dyDescent="0.25">
      <c r="A1346">
        <v>1342</v>
      </c>
      <c r="B1346">
        <v>286</v>
      </c>
      <c r="C1346" s="24">
        <v>44784</v>
      </c>
      <c r="D1346" s="238" t="s">
        <v>27</v>
      </c>
      <c r="E1346" s="238" t="s">
        <v>14</v>
      </c>
      <c r="F1346">
        <v>1</v>
      </c>
      <c r="G1346">
        <v>19</v>
      </c>
      <c r="H1346">
        <v>783</v>
      </c>
      <c r="I1346" s="238" t="s">
        <v>42</v>
      </c>
      <c r="J1346">
        <v>42.52</v>
      </c>
      <c r="K1346" s="238" t="s">
        <v>38</v>
      </c>
      <c r="L1346">
        <v>3089250</v>
      </c>
      <c r="M1346">
        <v>0</v>
      </c>
      <c r="N1346">
        <v>3089250</v>
      </c>
      <c r="O1346">
        <v>72654.045155221072</v>
      </c>
      <c r="P1346">
        <v>0</v>
      </c>
      <c r="Q1346">
        <v>3089250</v>
      </c>
      <c r="R1346">
        <v>72654.045155221072</v>
      </c>
      <c r="S1346" s="238" t="s">
        <v>124</v>
      </c>
      <c r="T1346" s="238" t="s">
        <v>1167</v>
      </c>
      <c r="V1346" t="s">
        <v>1167</v>
      </c>
      <c r="W1346" s="24">
        <v>44781</v>
      </c>
      <c r="X1346" s="238" t="s">
        <v>3280</v>
      </c>
      <c r="Y1346" s="238" t="s">
        <v>3247</v>
      </c>
      <c r="Z1346" s="238" t="s">
        <v>1340</v>
      </c>
      <c r="AA1346" t="s">
        <v>1167</v>
      </c>
      <c r="AB1346" s="238" t="s">
        <v>3246</v>
      </c>
      <c r="AC1346" t="s">
        <v>1167</v>
      </c>
      <c r="AD1346" s="24"/>
      <c r="AE1346" s="238" t="s">
        <v>3248</v>
      </c>
      <c r="AG1346" s="238" t="s">
        <v>1167</v>
      </c>
      <c r="AH1346" s="238" t="s">
        <v>1167</v>
      </c>
      <c r="AI1346" s="238" t="s">
        <v>5050</v>
      </c>
      <c r="AJ1346" s="238" t="s">
        <v>982</v>
      </c>
      <c r="AK1346" s="238" t="s">
        <v>1167</v>
      </c>
      <c r="AL1346" t="s">
        <v>8715</v>
      </c>
      <c r="AM1346" t="s">
        <v>1167</v>
      </c>
    </row>
    <row r="1347" spans="1:39" hidden="1" x14ac:dyDescent="0.25">
      <c r="A1347">
        <v>1343</v>
      </c>
      <c r="B1347">
        <v>287</v>
      </c>
      <c r="C1347" s="24">
        <v>44784</v>
      </c>
      <c r="D1347" s="238" t="s">
        <v>27</v>
      </c>
      <c r="E1347" s="238" t="s">
        <v>14</v>
      </c>
      <c r="F1347">
        <v>4</v>
      </c>
      <c r="G1347">
        <v>19</v>
      </c>
      <c r="H1347">
        <v>786</v>
      </c>
      <c r="I1347" s="238" t="s">
        <v>42</v>
      </c>
      <c r="J1347">
        <v>38.92</v>
      </c>
      <c r="K1347" s="238" t="s">
        <v>38</v>
      </c>
      <c r="L1347">
        <v>2814750</v>
      </c>
      <c r="M1347">
        <v>0</v>
      </c>
      <c r="N1347">
        <v>2814750</v>
      </c>
      <c r="O1347">
        <v>72321.428571428565</v>
      </c>
      <c r="P1347">
        <v>0</v>
      </c>
      <c r="Q1347">
        <v>2814750</v>
      </c>
      <c r="R1347">
        <v>72321.428571428565</v>
      </c>
      <c r="S1347" s="238" t="s">
        <v>124</v>
      </c>
      <c r="T1347" s="238" t="s">
        <v>1167</v>
      </c>
      <c r="V1347" t="s">
        <v>1167</v>
      </c>
      <c r="W1347" s="24">
        <v>44781</v>
      </c>
      <c r="X1347" s="238" t="s">
        <v>3280</v>
      </c>
      <c r="Y1347" s="238" t="s">
        <v>3247</v>
      </c>
      <c r="Z1347" s="238" t="s">
        <v>1340</v>
      </c>
      <c r="AA1347" t="s">
        <v>1167</v>
      </c>
      <c r="AB1347" s="238" t="s">
        <v>3246</v>
      </c>
      <c r="AC1347" t="s">
        <v>1167</v>
      </c>
      <c r="AD1347" s="24"/>
      <c r="AE1347" s="238" t="s">
        <v>3248</v>
      </c>
      <c r="AG1347" s="238" t="s">
        <v>1167</v>
      </c>
      <c r="AH1347" s="238" t="s">
        <v>1167</v>
      </c>
      <c r="AI1347" s="238" t="s">
        <v>5050</v>
      </c>
      <c r="AJ1347" s="238" t="s">
        <v>982</v>
      </c>
      <c r="AK1347" s="238" t="s">
        <v>1167</v>
      </c>
      <c r="AL1347" t="s">
        <v>8715</v>
      </c>
      <c r="AM1347" t="s">
        <v>1167</v>
      </c>
    </row>
    <row r="1348" spans="1:39" hidden="1" x14ac:dyDescent="0.25">
      <c r="A1348">
        <v>1344</v>
      </c>
      <c r="B1348">
        <v>288</v>
      </c>
      <c r="C1348" s="24">
        <v>44784</v>
      </c>
      <c r="D1348" s="238" t="s">
        <v>27</v>
      </c>
      <c r="E1348" s="238" t="s">
        <v>14</v>
      </c>
      <c r="F1348">
        <v>5</v>
      </c>
      <c r="G1348">
        <v>19</v>
      </c>
      <c r="H1348">
        <v>787</v>
      </c>
      <c r="I1348" s="238" t="s">
        <v>43</v>
      </c>
      <c r="J1348">
        <v>61.96</v>
      </c>
      <c r="K1348" s="238" t="s">
        <v>38</v>
      </c>
      <c r="L1348">
        <v>4548000</v>
      </c>
      <c r="M1348">
        <v>0</v>
      </c>
      <c r="N1348">
        <v>4548000</v>
      </c>
      <c r="O1348">
        <v>73402.194964493217</v>
      </c>
      <c r="P1348">
        <v>0</v>
      </c>
      <c r="Q1348">
        <v>4548000</v>
      </c>
      <c r="R1348">
        <v>73402.194964493217</v>
      </c>
      <c r="S1348" s="238" t="s">
        <v>124</v>
      </c>
      <c r="T1348" s="238" t="s">
        <v>1167</v>
      </c>
      <c r="V1348" t="s">
        <v>1167</v>
      </c>
      <c r="W1348" s="24">
        <v>44781</v>
      </c>
      <c r="X1348" s="238" t="s">
        <v>3280</v>
      </c>
      <c r="Y1348" s="238" t="s">
        <v>3247</v>
      </c>
      <c r="Z1348" s="238" t="s">
        <v>1340</v>
      </c>
      <c r="AA1348" t="s">
        <v>1167</v>
      </c>
      <c r="AB1348" s="238" t="s">
        <v>3246</v>
      </c>
      <c r="AC1348" t="s">
        <v>1167</v>
      </c>
      <c r="AD1348" s="24"/>
      <c r="AE1348" s="238" t="s">
        <v>3248</v>
      </c>
      <c r="AG1348" s="238" t="s">
        <v>1167</v>
      </c>
      <c r="AH1348" s="238" t="s">
        <v>1167</v>
      </c>
      <c r="AI1348" s="238" t="s">
        <v>5050</v>
      </c>
      <c r="AJ1348" s="238" t="s">
        <v>982</v>
      </c>
      <c r="AK1348" s="238" t="s">
        <v>1167</v>
      </c>
      <c r="AL1348" t="s">
        <v>8715</v>
      </c>
      <c r="AM1348" t="s">
        <v>1167</v>
      </c>
    </row>
    <row r="1349" spans="1:39" hidden="1" x14ac:dyDescent="0.25">
      <c r="A1349">
        <v>1345</v>
      </c>
      <c r="B1349">
        <v>289</v>
      </c>
      <c r="C1349" s="24">
        <v>44784</v>
      </c>
      <c r="D1349" s="238" t="s">
        <v>27</v>
      </c>
      <c r="E1349" s="238" t="s">
        <v>14</v>
      </c>
      <c r="F1349">
        <v>6</v>
      </c>
      <c r="G1349">
        <v>19</v>
      </c>
      <c r="H1349">
        <v>788</v>
      </c>
      <c r="I1349" s="238" t="s">
        <v>42</v>
      </c>
      <c r="J1349">
        <v>38.909999999999997</v>
      </c>
      <c r="K1349" s="238" t="s">
        <v>38</v>
      </c>
      <c r="L1349">
        <v>2817000</v>
      </c>
      <c r="M1349">
        <v>0</v>
      </c>
      <c r="N1349">
        <v>2817000</v>
      </c>
      <c r="O1349">
        <v>72397.841171935244</v>
      </c>
      <c r="P1349">
        <v>0</v>
      </c>
      <c r="Q1349">
        <v>2817000</v>
      </c>
      <c r="R1349">
        <v>72397.841171935244</v>
      </c>
      <c r="S1349" s="238" t="s">
        <v>124</v>
      </c>
      <c r="T1349" s="238" t="s">
        <v>1167</v>
      </c>
      <c r="V1349" t="s">
        <v>1167</v>
      </c>
      <c r="W1349" s="24">
        <v>44781</v>
      </c>
      <c r="X1349" s="238" t="s">
        <v>3280</v>
      </c>
      <c r="Y1349" s="238" t="s">
        <v>3247</v>
      </c>
      <c r="Z1349" s="238" t="s">
        <v>1340</v>
      </c>
      <c r="AA1349" t="s">
        <v>1167</v>
      </c>
      <c r="AB1349" s="238" t="s">
        <v>3246</v>
      </c>
      <c r="AC1349" t="s">
        <v>1167</v>
      </c>
      <c r="AD1349" s="24"/>
      <c r="AE1349" s="238" t="s">
        <v>3248</v>
      </c>
      <c r="AG1349" s="238" t="s">
        <v>1167</v>
      </c>
      <c r="AH1349" s="238" t="s">
        <v>1167</v>
      </c>
      <c r="AI1349" s="238" t="s">
        <v>5050</v>
      </c>
      <c r="AJ1349" s="238" t="s">
        <v>982</v>
      </c>
      <c r="AK1349" s="238" t="s">
        <v>1167</v>
      </c>
      <c r="AL1349" t="s">
        <v>8715</v>
      </c>
      <c r="AM1349" t="s">
        <v>1167</v>
      </c>
    </row>
    <row r="1350" spans="1:39" hidden="1" x14ac:dyDescent="0.25">
      <c r="A1350">
        <v>1346</v>
      </c>
      <c r="B1350">
        <v>290</v>
      </c>
      <c r="C1350" s="24">
        <v>44784</v>
      </c>
      <c r="D1350" s="238" t="s">
        <v>27</v>
      </c>
      <c r="E1350" s="238" t="s">
        <v>14</v>
      </c>
      <c r="F1350">
        <v>7</v>
      </c>
      <c r="G1350">
        <v>19</v>
      </c>
      <c r="H1350">
        <v>789</v>
      </c>
      <c r="I1350" s="238" t="s">
        <v>43</v>
      </c>
      <c r="J1350">
        <v>62.38</v>
      </c>
      <c r="K1350" s="238" t="s">
        <v>38</v>
      </c>
      <c r="L1350">
        <v>4483500</v>
      </c>
      <c r="M1350">
        <v>0</v>
      </c>
      <c r="N1350">
        <v>4483500</v>
      </c>
      <c r="O1350">
        <v>71873.99807630651</v>
      </c>
      <c r="P1350">
        <v>0</v>
      </c>
      <c r="Q1350">
        <v>4483500</v>
      </c>
      <c r="R1350">
        <v>71873.99807630651</v>
      </c>
      <c r="S1350" s="238" t="s">
        <v>124</v>
      </c>
      <c r="T1350" s="238" t="s">
        <v>1167</v>
      </c>
      <c r="V1350" t="s">
        <v>1167</v>
      </c>
      <c r="W1350" s="24">
        <v>44781</v>
      </c>
      <c r="X1350" s="238" t="s">
        <v>3280</v>
      </c>
      <c r="Y1350" s="238" t="s">
        <v>3247</v>
      </c>
      <c r="Z1350" s="238" t="s">
        <v>1340</v>
      </c>
      <c r="AA1350" t="s">
        <v>1167</v>
      </c>
      <c r="AB1350" s="238" t="s">
        <v>3246</v>
      </c>
      <c r="AC1350" t="s">
        <v>1167</v>
      </c>
      <c r="AD1350" s="24"/>
      <c r="AE1350" s="238" t="s">
        <v>3248</v>
      </c>
      <c r="AG1350" s="238" t="s">
        <v>1167</v>
      </c>
      <c r="AH1350" s="238" t="s">
        <v>1167</v>
      </c>
      <c r="AI1350" s="238" t="s">
        <v>5050</v>
      </c>
      <c r="AJ1350" s="238" t="s">
        <v>982</v>
      </c>
      <c r="AK1350" s="238" t="s">
        <v>1167</v>
      </c>
      <c r="AL1350" t="s">
        <v>8715</v>
      </c>
      <c r="AM1350" t="s">
        <v>1167</v>
      </c>
    </row>
    <row r="1351" spans="1:39" hidden="1" x14ac:dyDescent="0.25">
      <c r="A1351">
        <v>1347</v>
      </c>
      <c r="B1351">
        <v>291</v>
      </c>
      <c r="C1351" s="24">
        <v>44784</v>
      </c>
      <c r="D1351" s="238" t="s">
        <v>27</v>
      </c>
      <c r="E1351" s="238" t="s">
        <v>14</v>
      </c>
      <c r="F1351">
        <v>8</v>
      </c>
      <c r="G1351">
        <v>19</v>
      </c>
      <c r="H1351">
        <v>790</v>
      </c>
      <c r="I1351" s="238" t="s">
        <v>42</v>
      </c>
      <c r="J1351">
        <v>42.62</v>
      </c>
      <c r="K1351" s="238" t="s">
        <v>38</v>
      </c>
      <c r="L1351">
        <v>3096750</v>
      </c>
      <c r="M1351">
        <v>0</v>
      </c>
      <c r="N1351">
        <v>3096750</v>
      </c>
      <c r="O1351">
        <v>72659.549507273579</v>
      </c>
      <c r="P1351">
        <v>0</v>
      </c>
      <c r="Q1351">
        <v>3096750</v>
      </c>
      <c r="R1351">
        <v>72659.549507273579</v>
      </c>
      <c r="S1351" s="238" t="s">
        <v>124</v>
      </c>
      <c r="T1351" s="238" t="s">
        <v>1167</v>
      </c>
      <c r="V1351" t="s">
        <v>1167</v>
      </c>
      <c r="W1351" s="24">
        <v>44781</v>
      </c>
      <c r="X1351" s="238" t="s">
        <v>3280</v>
      </c>
      <c r="Y1351" s="238" t="s">
        <v>3247</v>
      </c>
      <c r="Z1351" s="238" t="s">
        <v>1340</v>
      </c>
      <c r="AA1351" t="s">
        <v>1167</v>
      </c>
      <c r="AB1351" s="238" t="s">
        <v>3246</v>
      </c>
      <c r="AC1351" t="s">
        <v>1167</v>
      </c>
      <c r="AD1351" s="24"/>
      <c r="AE1351" s="238" t="s">
        <v>3248</v>
      </c>
      <c r="AG1351" s="238" t="s">
        <v>1167</v>
      </c>
      <c r="AH1351" s="238" t="s">
        <v>1167</v>
      </c>
      <c r="AI1351" s="238" t="s">
        <v>5050</v>
      </c>
      <c r="AJ1351" s="238" t="s">
        <v>982</v>
      </c>
      <c r="AK1351" s="238" t="s">
        <v>1167</v>
      </c>
      <c r="AL1351" t="s">
        <v>8715</v>
      </c>
      <c r="AM1351" t="s">
        <v>1167</v>
      </c>
    </row>
    <row r="1352" spans="1:39" hidden="1" x14ac:dyDescent="0.25">
      <c r="A1352">
        <v>1348</v>
      </c>
      <c r="B1352">
        <v>292</v>
      </c>
      <c r="C1352" s="24">
        <v>44784</v>
      </c>
      <c r="D1352" s="238" t="s">
        <v>27</v>
      </c>
      <c r="E1352" s="238" t="s">
        <v>14</v>
      </c>
      <c r="F1352">
        <v>1</v>
      </c>
      <c r="G1352">
        <v>20</v>
      </c>
      <c r="H1352">
        <v>791</v>
      </c>
      <c r="I1352" s="238" t="s">
        <v>42</v>
      </c>
      <c r="J1352">
        <v>42.52</v>
      </c>
      <c r="K1352" s="238" t="s">
        <v>38</v>
      </c>
      <c r="L1352">
        <v>3089250</v>
      </c>
      <c r="M1352">
        <v>0</v>
      </c>
      <c r="N1352">
        <v>3089250</v>
      </c>
      <c r="O1352">
        <v>72654.045155221072</v>
      </c>
      <c r="P1352">
        <v>0</v>
      </c>
      <c r="Q1352">
        <v>3089250</v>
      </c>
      <c r="R1352">
        <v>72654.045155221072</v>
      </c>
      <c r="S1352" s="238" t="s">
        <v>124</v>
      </c>
      <c r="T1352" s="238" t="s">
        <v>1167</v>
      </c>
      <c r="V1352" t="s">
        <v>1167</v>
      </c>
      <c r="W1352" s="24">
        <v>44781</v>
      </c>
      <c r="X1352" s="238" t="s">
        <v>3281</v>
      </c>
      <c r="Y1352" s="238" t="s">
        <v>3247</v>
      </c>
      <c r="Z1352" s="238" t="s">
        <v>1340</v>
      </c>
      <c r="AA1352" t="s">
        <v>1167</v>
      </c>
      <c r="AB1352" s="238" t="s">
        <v>3246</v>
      </c>
      <c r="AC1352" t="s">
        <v>1167</v>
      </c>
      <c r="AD1352" s="24"/>
      <c r="AE1352" s="238" t="s">
        <v>3248</v>
      </c>
      <c r="AG1352" s="238" t="s">
        <v>1167</v>
      </c>
      <c r="AH1352" s="238" t="s">
        <v>1167</v>
      </c>
      <c r="AI1352" s="238" t="s">
        <v>5050</v>
      </c>
      <c r="AJ1352" s="238" t="s">
        <v>982</v>
      </c>
      <c r="AK1352" s="238" t="s">
        <v>1167</v>
      </c>
      <c r="AL1352" t="s">
        <v>8715</v>
      </c>
      <c r="AM1352" t="s">
        <v>1167</v>
      </c>
    </row>
    <row r="1353" spans="1:39" hidden="1" x14ac:dyDescent="0.25">
      <c r="A1353">
        <v>1349</v>
      </c>
      <c r="B1353">
        <v>293</v>
      </c>
      <c r="C1353" s="24">
        <v>44784</v>
      </c>
      <c r="D1353" s="238" t="s">
        <v>27</v>
      </c>
      <c r="E1353" s="238" t="s">
        <v>14</v>
      </c>
      <c r="F1353">
        <v>2</v>
      </c>
      <c r="G1353">
        <v>20</v>
      </c>
      <c r="H1353">
        <v>792</v>
      </c>
      <c r="I1353" s="238" t="s">
        <v>45</v>
      </c>
      <c r="J1353">
        <v>100.26</v>
      </c>
      <c r="K1353" s="238" t="s">
        <v>38</v>
      </c>
      <c r="L1353">
        <v>7324500</v>
      </c>
      <c r="M1353">
        <v>0</v>
      </c>
      <c r="N1353">
        <v>7324500</v>
      </c>
      <c r="O1353">
        <v>73055.056852184323</v>
      </c>
      <c r="P1353">
        <v>0</v>
      </c>
      <c r="Q1353">
        <v>7324500</v>
      </c>
      <c r="R1353">
        <v>73055.056852184323</v>
      </c>
      <c r="S1353" s="238" t="s">
        <v>124</v>
      </c>
      <c r="T1353" s="238" t="s">
        <v>1167</v>
      </c>
      <c r="V1353" t="s">
        <v>1167</v>
      </c>
      <c r="W1353" s="24">
        <v>44781</v>
      </c>
      <c r="X1353" s="238" t="s">
        <v>3281</v>
      </c>
      <c r="Y1353" s="238" t="s">
        <v>3247</v>
      </c>
      <c r="Z1353" s="238" t="s">
        <v>1340</v>
      </c>
      <c r="AA1353" t="s">
        <v>1167</v>
      </c>
      <c r="AB1353" s="238" t="s">
        <v>3246</v>
      </c>
      <c r="AC1353" t="s">
        <v>1167</v>
      </c>
      <c r="AD1353" s="24"/>
      <c r="AE1353" s="238" t="s">
        <v>3248</v>
      </c>
      <c r="AG1353" s="238" t="s">
        <v>1167</v>
      </c>
      <c r="AH1353" s="238" t="s">
        <v>1167</v>
      </c>
      <c r="AI1353" s="238" t="s">
        <v>5050</v>
      </c>
      <c r="AJ1353" s="238" t="s">
        <v>982</v>
      </c>
      <c r="AK1353" s="238" t="s">
        <v>1167</v>
      </c>
      <c r="AL1353" t="s">
        <v>8715</v>
      </c>
      <c r="AM1353" t="s">
        <v>1167</v>
      </c>
    </row>
    <row r="1354" spans="1:39" hidden="1" x14ac:dyDescent="0.25">
      <c r="A1354">
        <v>1350</v>
      </c>
      <c r="B1354">
        <v>294</v>
      </c>
      <c r="C1354" s="24">
        <v>44784</v>
      </c>
      <c r="D1354" s="238" t="s">
        <v>27</v>
      </c>
      <c r="E1354" s="238" t="s">
        <v>14</v>
      </c>
      <c r="F1354">
        <v>5</v>
      </c>
      <c r="G1354">
        <v>20</v>
      </c>
      <c r="H1354">
        <v>795</v>
      </c>
      <c r="I1354" s="238" t="s">
        <v>43</v>
      </c>
      <c r="J1354">
        <v>61.96</v>
      </c>
      <c r="K1354" s="238" t="s">
        <v>38</v>
      </c>
      <c r="L1354">
        <v>4548000</v>
      </c>
      <c r="M1354">
        <v>0</v>
      </c>
      <c r="N1354">
        <v>4548000</v>
      </c>
      <c r="O1354">
        <v>73402.194964493217</v>
      </c>
      <c r="P1354">
        <v>0</v>
      </c>
      <c r="Q1354">
        <v>4548000</v>
      </c>
      <c r="R1354">
        <v>73402.194964493217</v>
      </c>
      <c r="S1354" s="238" t="s">
        <v>124</v>
      </c>
      <c r="T1354" s="238" t="s">
        <v>1167</v>
      </c>
      <c r="V1354" t="s">
        <v>1167</v>
      </c>
      <c r="W1354" s="24">
        <v>44781</v>
      </c>
      <c r="X1354" s="238" t="s">
        <v>3281</v>
      </c>
      <c r="Y1354" s="238" t="s">
        <v>3247</v>
      </c>
      <c r="Z1354" s="238" t="s">
        <v>1340</v>
      </c>
      <c r="AA1354" t="s">
        <v>1167</v>
      </c>
      <c r="AB1354" s="238" t="s">
        <v>3246</v>
      </c>
      <c r="AC1354" t="s">
        <v>1167</v>
      </c>
      <c r="AD1354" s="24"/>
      <c r="AE1354" s="238" t="s">
        <v>3248</v>
      </c>
      <c r="AG1354" s="238" t="s">
        <v>1167</v>
      </c>
      <c r="AH1354" s="238" t="s">
        <v>1167</v>
      </c>
      <c r="AI1354" s="238" t="s">
        <v>5050</v>
      </c>
      <c r="AJ1354" s="238" t="s">
        <v>982</v>
      </c>
      <c r="AK1354" s="238" t="s">
        <v>1167</v>
      </c>
      <c r="AL1354" t="s">
        <v>8715</v>
      </c>
      <c r="AM1354" t="s">
        <v>1167</v>
      </c>
    </row>
    <row r="1355" spans="1:39" hidden="1" x14ac:dyDescent="0.25">
      <c r="A1355">
        <v>1351</v>
      </c>
      <c r="B1355">
        <v>295</v>
      </c>
      <c r="C1355" s="24">
        <v>44784</v>
      </c>
      <c r="D1355" s="238" t="s">
        <v>27</v>
      </c>
      <c r="E1355" s="238" t="s">
        <v>14</v>
      </c>
      <c r="F1355">
        <v>6</v>
      </c>
      <c r="G1355">
        <v>20</v>
      </c>
      <c r="H1355">
        <v>796</v>
      </c>
      <c r="I1355" s="238" t="s">
        <v>42</v>
      </c>
      <c r="J1355">
        <v>38.909999999999997</v>
      </c>
      <c r="K1355" s="238" t="s">
        <v>38</v>
      </c>
      <c r="L1355">
        <v>2817000</v>
      </c>
      <c r="M1355">
        <v>0</v>
      </c>
      <c r="N1355">
        <v>2817000</v>
      </c>
      <c r="O1355">
        <v>72397.841171935244</v>
      </c>
      <c r="P1355">
        <v>0</v>
      </c>
      <c r="Q1355">
        <v>2817000</v>
      </c>
      <c r="R1355">
        <v>72397.841171935244</v>
      </c>
      <c r="S1355" s="238" t="s">
        <v>124</v>
      </c>
      <c r="T1355" s="238" t="s">
        <v>1167</v>
      </c>
      <c r="V1355" t="s">
        <v>1167</v>
      </c>
      <c r="W1355" s="24">
        <v>44781</v>
      </c>
      <c r="X1355" s="238" t="s">
        <v>3281</v>
      </c>
      <c r="Y1355" s="238" t="s">
        <v>3247</v>
      </c>
      <c r="Z1355" s="238" t="s">
        <v>1340</v>
      </c>
      <c r="AA1355" t="s">
        <v>1167</v>
      </c>
      <c r="AB1355" s="238" t="s">
        <v>3246</v>
      </c>
      <c r="AC1355" t="s">
        <v>1167</v>
      </c>
      <c r="AD1355" s="24"/>
      <c r="AE1355" s="238" t="s">
        <v>3248</v>
      </c>
      <c r="AG1355" s="238" t="s">
        <v>1167</v>
      </c>
      <c r="AH1355" s="238" t="s">
        <v>1167</v>
      </c>
      <c r="AI1355" s="238" t="s">
        <v>5050</v>
      </c>
      <c r="AJ1355" s="238" t="s">
        <v>982</v>
      </c>
      <c r="AK1355" s="238" t="s">
        <v>1167</v>
      </c>
      <c r="AL1355" t="s">
        <v>8715</v>
      </c>
      <c r="AM1355" t="s">
        <v>1167</v>
      </c>
    </row>
    <row r="1356" spans="1:39" hidden="1" x14ac:dyDescent="0.25">
      <c r="A1356">
        <v>1352</v>
      </c>
      <c r="B1356">
        <v>296</v>
      </c>
      <c r="C1356" s="24">
        <v>44784</v>
      </c>
      <c r="D1356" s="238" t="s">
        <v>27</v>
      </c>
      <c r="E1356" s="238" t="s">
        <v>14</v>
      </c>
      <c r="F1356">
        <v>7</v>
      </c>
      <c r="G1356">
        <v>20</v>
      </c>
      <c r="H1356">
        <v>797</v>
      </c>
      <c r="I1356" s="238" t="s">
        <v>43</v>
      </c>
      <c r="J1356">
        <v>62.38</v>
      </c>
      <c r="K1356" s="238" t="s">
        <v>38</v>
      </c>
      <c r="L1356">
        <v>4483500</v>
      </c>
      <c r="M1356">
        <v>0</v>
      </c>
      <c r="N1356">
        <v>4483500</v>
      </c>
      <c r="O1356">
        <v>71873.99807630651</v>
      </c>
      <c r="P1356">
        <v>0</v>
      </c>
      <c r="Q1356">
        <v>4483500</v>
      </c>
      <c r="R1356">
        <v>71873.99807630651</v>
      </c>
      <c r="S1356" s="238" t="s">
        <v>124</v>
      </c>
      <c r="T1356" s="238" t="s">
        <v>1167</v>
      </c>
      <c r="V1356" t="s">
        <v>1167</v>
      </c>
      <c r="W1356" s="24">
        <v>44781</v>
      </c>
      <c r="X1356" s="238" t="s">
        <v>3281</v>
      </c>
      <c r="Y1356" s="238" t="s">
        <v>3247</v>
      </c>
      <c r="Z1356" s="238" t="s">
        <v>1340</v>
      </c>
      <c r="AA1356" t="s">
        <v>1167</v>
      </c>
      <c r="AB1356" s="238" t="s">
        <v>3246</v>
      </c>
      <c r="AC1356" t="s">
        <v>1167</v>
      </c>
      <c r="AD1356" s="24"/>
      <c r="AE1356" s="238" t="s">
        <v>3248</v>
      </c>
      <c r="AG1356" s="238" t="s">
        <v>1167</v>
      </c>
      <c r="AH1356" s="238" t="s">
        <v>1167</v>
      </c>
      <c r="AI1356" s="238" t="s">
        <v>5050</v>
      </c>
      <c r="AJ1356" s="238" t="s">
        <v>982</v>
      </c>
      <c r="AK1356" s="238" t="s">
        <v>1167</v>
      </c>
      <c r="AL1356" t="s">
        <v>8715</v>
      </c>
      <c r="AM1356" t="s">
        <v>1167</v>
      </c>
    </row>
    <row r="1357" spans="1:39" hidden="1" x14ac:dyDescent="0.25">
      <c r="A1357">
        <v>1353</v>
      </c>
      <c r="B1357">
        <v>297</v>
      </c>
      <c r="C1357" s="24">
        <v>44784</v>
      </c>
      <c r="D1357" s="238" t="s">
        <v>27</v>
      </c>
      <c r="E1357" s="238" t="s">
        <v>14</v>
      </c>
      <c r="F1357">
        <v>8</v>
      </c>
      <c r="G1357">
        <v>20</v>
      </c>
      <c r="H1357">
        <v>798</v>
      </c>
      <c r="I1357" s="238" t="s">
        <v>42</v>
      </c>
      <c r="J1357">
        <v>42.62</v>
      </c>
      <c r="K1357" s="238" t="s">
        <v>38</v>
      </c>
      <c r="L1357">
        <v>3096750</v>
      </c>
      <c r="M1357">
        <v>0</v>
      </c>
      <c r="N1357">
        <v>3096750</v>
      </c>
      <c r="O1357">
        <v>72659.549507273579</v>
      </c>
      <c r="P1357">
        <v>0</v>
      </c>
      <c r="Q1357">
        <v>3096750</v>
      </c>
      <c r="R1357">
        <v>72659.549507273579</v>
      </c>
      <c r="S1357" s="238" t="s">
        <v>124</v>
      </c>
      <c r="T1357" s="238" t="s">
        <v>1167</v>
      </c>
      <c r="V1357" t="s">
        <v>1167</v>
      </c>
      <c r="W1357" s="24">
        <v>44781</v>
      </c>
      <c r="X1357" s="238" t="s">
        <v>3281</v>
      </c>
      <c r="Y1357" s="238" t="s">
        <v>3247</v>
      </c>
      <c r="Z1357" s="238" t="s">
        <v>1340</v>
      </c>
      <c r="AA1357" t="s">
        <v>1167</v>
      </c>
      <c r="AB1357" s="238" t="s">
        <v>3246</v>
      </c>
      <c r="AC1357" t="s">
        <v>1167</v>
      </c>
      <c r="AD1357" s="24"/>
      <c r="AE1357" s="238" t="s">
        <v>3248</v>
      </c>
      <c r="AG1357" s="238" t="s">
        <v>1167</v>
      </c>
      <c r="AH1357" s="238" t="s">
        <v>1167</v>
      </c>
      <c r="AI1357" s="238" t="s">
        <v>5050</v>
      </c>
      <c r="AJ1357" s="238" t="s">
        <v>982</v>
      </c>
      <c r="AK1357" s="238" t="s">
        <v>1167</v>
      </c>
      <c r="AL1357" t="s">
        <v>8715</v>
      </c>
      <c r="AM1357" t="s">
        <v>1167</v>
      </c>
    </row>
    <row r="1358" spans="1:39" hidden="1" x14ac:dyDescent="0.25">
      <c r="A1358">
        <v>1354</v>
      </c>
      <c r="B1358">
        <v>298</v>
      </c>
      <c r="C1358" s="24">
        <v>44784</v>
      </c>
      <c r="D1358" s="238" t="s">
        <v>27</v>
      </c>
      <c r="E1358" s="238" t="s">
        <v>14</v>
      </c>
      <c r="F1358">
        <v>1</v>
      </c>
      <c r="G1358">
        <v>21</v>
      </c>
      <c r="H1358">
        <v>799</v>
      </c>
      <c r="I1358" s="238" t="s">
        <v>42</v>
      </c>
      <c r="J1358">
        <v>42.52</v>
      </c>
      <c r="K1358" s="238" t="s">
        <v>38</v>
      </c>
      <c r="L1358">
        <v>3089250</v>
      </c>
      <c r="M1358">
        <v>0</v>
      </c>
      <c r="N1358">
        <v>3089250</v>
      </c>
      <c r="O1358">
        <v>72654.045155221072</v>
      </c>
      <c r="P1358">
        <v>0</v>
      </c>
      <c r="Q1358">
        <v>3089250</v>
      </c>
      <c r="R1358">
        <v>72654.045155221072</v>
      </c>
      <c r="S1358" s="238" t="s">
        <v>124</v>
      </c>
      <c r="T1358" s="238" t="s">
        <v>1167</v>
      </c>
      <c r="V1358" t="s">
        <v>1167</v>
      </c>
      <c r="W1358" s="24">
        <v>44781</v>
      </c>
      <c r="X1358" s="238" t="s">
        <v>3281</v>
      </c>
      <c r="Y1358" s="238" t="s">
        <v>3247</v>
      </c>
      <c r="Z1358" s="238" t="s">
        <v>1340</v>
      </c>
      <c r="AA1358" t="s">
        <v>1167</v>
      </c>
      <c r="AB1358" s="238" t="s">
        <v>3246</v>
      </c>
      <c r="AC1358" t="s">
        <v>1167</v>
      </c>
      <c r="AD1358" s="24"/>
      <c r="AE1358" s="238" t="s">
        <v>3248</v>
      </c>
      <c r="AG1358" s="238" t="s">
        <v>1167</v>
      </c>
      <c r="AH1358" s="238" t="s">
        <v>1167</v>
      </c>
      <c r="AI1358" s="238" t="s">
        <v>5050</v>
      </c>
      <c r="AJ1358" s="238" t="s">
        <v>982</v>
      </c>
      <c r="AK1358" s="238" t="s">
        <v>1167</v>
      </c>
      <c r="AL1358" t="s">
        <v>8715</v>
      </c>
      <c r="AM1358" t="s">
        <v>1167</v>
      </c>
    </row>
    <row r="1359" spans="1:39" hidden="1" x14ac:dyDescent="0.25">
      <c r="A1359">
        <v>1355</v>
      </c>
      <c r="B1359">
        <v>299</v>
      </c>
      <c r="C1359" s="24">
        <v>44784</v>
      </c>
      <c r="D1359" s="238" t="s">
        <v>27</v>
      </c>
      <c r="E1359" s="238" t="s">
        <v>14</v>
      </c>
      <c r="F1359">
        <v>2</v>
      </c>
      <c r="G1359">
        <v>21</v>
      </c>
      <c r="H1359">
        <v>800</v>
      </c>
      <c r="I1359" s="238" t="s">
        <v>45</v>
      </c>
      <c r="J1359">
        <v>100.26</v>
      </c>
      <c r="K1359" s="238" t="s">
        <v>38</v>
      </c>
      <c r="L1359">
        <v>7324500</v>
      </c>
      <c r="M1359">
        <v>0</v>
      </c>
      <c r="N1359">
        <v>7324500</v>
      </c>
      <c r="O1359">
        <v>73055.056852184323</v>
      </c>
      <c r="P1359">
        <v>0</v>
      </c>
      <c r="Q1359">
        <v>7324500</v>
      </c>
      <c r="R1359">
        <v>73055.056852184323</v>
      </c>
      <c r="S1359" s="238" t="s">
        <v>124</v>
      </c>
      <c r="T1359" s="238" t="s">
        <v>1167</v>
      </c>
      <c r="V1359" t="s">
        <v>1167</v>
      </c>
      <c r="W1359" s="24">
        <v>44781</v>
      </c>
      <c r="X1359" s="238" t="s">
        <v>3281</v>
      </c>
      <c r="Y1359" s="238" t="s">
        <v>3247</v>
      </c>
      <c r="Z1359" s="238" t="s">
        <v>1340</v>
      </c>
      <c r="AA1359" t="s">
        <v>1167</v>
      </c>
      <c r="AB1359" s="238" t="s">
        <v>3246</v>
      </c>
      <c r="AC1359" t="s">
        <v>1167</v>
      </c>
      <c r="AD1359" s="24"/>
      <c r="AE1359" s="238" t="s">
        <v>3248</v>
      </c>
      <c r="AG1359" s="238" t="s">
        <v>1167</v>
      </c>
      <c r="AH1359" s="238" t="s">
        <v>1167</v>
      </c>
      <c r="AI1359" s="238" t="s">
        <v>5050</v>
      </c>
      <c r="AJ1359" s="238" t="s">
        <v>982</v>
      </c>
      <c r="AK1359" s="238" t="s">
        <v>1167</v>
      </c>
      <c r="AL1359" t="s">
        <v>8715</v>
      </c>
      <c r="AM1359" t="s">
        <v>1167</v>
      </c>
    </row>
    <row r="1360" spans="1:39" hidden="1" x14ac:dyDescent="0.25">
      <c r="A1360">
        <v>1356</v>
      </c>
      <c r="B1360">
        <v>300</v>
      </c>
      <c r="C1360" s="24">
        <v>44784</v>
      </c>
      <c r="D1360" s="238" t="s">
        <v>27</v>
      </c>
      <c r="E1360" s="238" t="s">
        <v>14</v>
      </c>
      <c r="F1360">
        <v>4</v>
      </c>
      <c r="G1360">
        <v>21</v>
      </c>
      <c r="H1360">
        <v>802</v>
      </c>
      <c r="I1360" s="238" t="s">
        <v>42</v>
      </c>
      <c r="J1360">
        <v>38.92</v>
      </c>
      <c r="K1360" s="238" t="s">
        <v>38</v>
      </c>
      <c r="L1360">
        <v>2814750</v>
      </c>
      <c r="M1360">
        <v>0</v>
      </c>
      <c r="N1360">
        <v>2814750</v>
      </c>
      <c r="O1360">
        <v>72321.428571428565</v>
      </c>
      <c r="P1360">
        <v>0</v>
      </c>
      <c r="Q1360">
        <v>2814750</v>
      </c>
      <c r="R1360">
        <v>72321.428571428565</v>
      </c>
      <c r="S1360" s="238" t="s">
        <v>124</v>
      </c>
      <c r="T1360" s="238" t="s">
        <v>1167</v>
      </c>
      <c r="V1360" t="s">
        <v>1167</v>
      </c>
      <c r="W1360" s="24">
        <v>44781</v>
      </c>
      <c r="X1360" s="238" t="s">
        <v>3281</v>
      </c>
      <c r="Y1360" s="238" t="s">
        <v>3247</v>
      </c>
      <c r="Z1360" s="238" t="s">
        <v>1340</v>
      </c>
      <c r="AA1360" t="s">
        <v>1167</v>
      </c>
      <c r="AB1360" s="238" t="s">
        <v>3246</v>
      </c>
      <c r="AC1360" t="s">
        <v>1167</v>
      </c>
      <c r="AD1360" s="24"/>
      <c r="AE1360" s="238" t="s">
        <v>3248</v>
      </c>
      <c r="AG1360" s="238" t="s">
        <v>1167</v>
      </c>
      <c r="AH1360" s="238" t="s">
        <v>1167</v>
      </c>
      <c r="AI1360" s="238" t="s">
        <v>5050</v>
      </c>
      <c r="AJ1360" s="238" t="s">
        <v>982</v>
      </c>
      <c r="AK1360" s="238" t="s">
        <v>1167</v>
      </c>
      <c r="AL1360" t="s">
        <v>8715</v>
      </c>
      <c r="AM1360" t="s">
        <v>1167</v>
      </c>
    </row>
    <row r="1361" spans="1:39" hidden="1" x14ac:dyDescent="0.25">
      <c r="A1361">
        <v>1357</v>
      </c>
      <c r="B1361">
        <v>301</v>
      </c>
      <c r="C1361" s="24">
        <v>44784</v>
      </c>
      <c r="D1361" s="238" t="s">
        <v>27</v>
      </c>
      <c r="E1361" s="238" t="s">
        <v>14</v>
      </c>
      <c r="F1361">
        <v>6</v>
      </c>
      <c r="G1361">
        <v>21</v>
      </c>
      <c r="H1361">
        <v>804</v>
      </c>
      <c r="I1361" s="238" t="s">
        <v>42</v>
      </c>
      <c r="J1361">
        <v>38.909999999999997</v>
      </c>
      <c r="K1361" s="238" t="s">
        <v>38</v>
      </c>
      <c r="L1361">
        <v>2817000</v>
      </c>
      <c r="M1361">
        <v>0</v>
      </c>
      <c r="N1361">
        <v>2817000</v>
      </c>
      <c r="O1361">
        <v>72397.841171935244</v>
      </c>
      <c r="P1361">
        <v>0</v>
      </c>
      <c r="Q1361">
        <v>2817000</v>
      </c>
      <c r="R1361">
        <v>72397.841171935244</v>
      </c>
      <c r="S1361" s="238" t="s">
        <v>124</v>
      </c>
      <c r="T1361" s="238" t="s">
        <v>1167</v>
      </c>
      <c r="V1361" t="s">
        <v>1167</v>
      </c>
      <c r="W1361" s="24">
        <v>44781</v>
      </c>
      <c r="X1361" s="238" t="s">
        <v>3281</v>
      </c>
      <c r="Y1361" s="238" t="s">
        <v>3247</v>
      </c>
      <c r="Z1361" s="238" t="s">
        <v>1340</v>
      </c>
      <c r="AA1361" t="s">
        <v>1167</v>
      </c>
      <c r="AB1361" s="238" t="s">
        <v>3246</v>
      </c>
      <c r="AC1361" t="s">
        <v>1167</v>
      </c>
      <c r="AD1361" s="24"/>
      <c r="AE1361" s="238" t="s">
        <v>3248</v>
      </c>
      <c r="AG1361" s="238" t="s">
        <v>1167</v>
      </c>
      <c r="AH1361" s="238" t="s">
        <v>1167</v>
      </c>
      <c r="AI1361" s="238" t="s">
        <v>5050</v>
      </c>
      <c r="AJ1361" s="238" t="s">
        <v>982</v>
      </c>
      <c r="AK1361" s="238" t="s">
        <v>1167</v>
      </c>
      <c r="AL1361" t="s">
        <v>8715</v>
      </c>
      <c r="AM1361" t="s">
        <v>1167</v>
      </c>
    </row>
    <row r="1362" spans="1:39" hidden="1" x14ac:dyDescent="0.25">
      <c r="A1362">
        <v>1358</v>
      </c>
      <c r="B1362">
        <v>302</v>
      </c>
      <c r="C1362" s="24">
        <v>44784</v>
      </c>
      <c r="D1362" s="238" t="s">
        <v>27</v>
      </c>
      <c r="E1362" s="238" t="s">
        <v>14</v>
      </c>
      <c r="F1362">
        <v>7</v>
      </c>
      <c r="G1362">
        <v>21</v>
      </c>
      <c r="H1362">
        <v>805</v>
      </c>
      <c r="I1362" s="238" t="s">
        <v>43</v>
      </c>
      <c r="J1362">
        <v>62.38</v>
      </c>
      <c r="K1362" s="238" t="s">
        <v>38</v>
      </c>
      <c r="L1362">
        <v>4483500</v>
      </c>
      <c r="M1362">
        <v>0</v>
      </c>
      <c r="N1362">
        <v>4483500</v>
      </c>
      <c r="O1362">
        <v>71873.99807630651</v>
      </c>
      <c r="P1362">
        <v>0</v>
      </c>
      <c r="Q1362">
        <v>4483500</v>
      </c>
      <c r="R1362">
        <v>71873.99807630651</v>
      </c>
      <c r="S1362" s="238" t="s">
        <v>124</v>
      </c>
      <c r="T1362" s="238" t="s">
        <v>1167</v>
      </c>
      <c r="V1362" t="s">
        <v>1167</v>
      </c>
      <c r="W1362" s="24">
        <v>44781</v>
      </c>
      <c r="X1362" s="238" t="s">
        <v>3281</v>
      </c>
      <c r="Y1362" s="238" t="s">
        <v>3247</v>
      </c>
      <c r="Z1362" s="238" t="s">
        <v>1340</v>
      </c>
      <c r="AA1362" t="s">
        <v>1167</v>
      </c>
      <c r="AB1362" s="238" t="s">
        <v>3246</v>
      </c>
      <c r="AC1362" t="s">
        <v>1167</v>
      </c>
      <c r="AD1362" s="24"/>
      <c r="AE1362" s="238" t="s">
        <v>3248</v>
      </c>
      <c r="AG1362" s="238" t="s">
        <v>1167</v>
      </c>
      <c r="AH1362" s="238" t="s">
        <v>1167</v>
      </c>
      <c r="AI1362" s="238" t="s">
        <v>5050</v>
      </c>
      <c r="AJ1362" s="238" t="s">
        <v>982</v>
      </c>
      <c r="AK1362" s="238" t="s">
        <v>1167</v>
      </c>
      <c r="AL1362" t="s">
        <v>8715</v>
      </c>
      <c r="AM1362" t="s">
        <v>1167</v>
      </c>
    </row>
    <row r="1363" spans="1:39" hidden="1" x14ac:dyDescent="0.25">
      <c r="A1363">
        <v>1359</v>
      </c>
      <c r="B1363">
        <v>303</v>
      </c>
      <c r="C1363" s="24">
        <v>44784</v>
      </c>
      <c r="D1363" s="238" t="s">
        <v>27</v>
      </c>
      <c r="E1363" s="238" t="s">
        <v>14</v>
      </c>
      <c r="F1363">
        <v>8</v>
      </c>
      <c r="G1363">
        <v>21</v>
      </c>
      <c r="H1363">
        <v>806</v>
      </c>
      <c r="I1363" s="238" t="s">
        <v>42</v>
      </c>
      <c r="J1363">
        <v>42.62</v>
      </c>
      <c r="K1363" s="238" t="s">
        <v>38</v>
      </c>
      <c r="L1363">
        <v>3096750</v>
      </c>
      <c r="M1363">
        <v>0</v>
      </c>
      <c r="N1363">
        <v>3096750</v>
      </c>
      <c r="O1363">
        <v>72659.549507273579</v>
      </c>
      <c r="P1363">
        <v>0</v>
      </c>
      <c r="Q1363">
        <v>3096750</v>
      </c>
      <c r="R1363">
        <v>72659.549507273579</v>
      </c>
      <c r="S1363" s="238" t="s">
        <v>124</v>
      </c>
      <c r="T1363" s="238" t="s">
        <v>1167</v>
      </c>
      <c r="V1363" t="s">
        <v>1167</v>
      </c>
      <c r="W1363" s="24">
        <v>44781</v>
      </c>
      <c r="X1363" s="238" t="s">
        <v>3281</v>
      </c>
      <c r="Y1363" s="238" t="s">
        <v>3247</v>
      </c>
      <c r="Z1363" s="238" t="s">
        <v>1340</v>
      </c>
      <c r="AA1363" t="s">
        <v>1167</v>
      </c>
      <c r="AB1363" s="238" t="s">
        <v>3246</v>
      </c>
      <c r="AC1363" t="s">
        <v>1167</v>
      </c>
      <c r="AD1363" s="24"/>
      <c r="AE1363" s="238" t="s">
        <v>3248</v>
      </c>
      <c r="AG1363" s="238" t="s">
        <v>1167</v>
      </c>
      <c r="AH1363" s="238" t="s">
        <v>1167</v>
      </c>
      <c r="AI1363" s="238" t="s">
        <v>5050</v>
      </c>
      <c r="AJ1363" s="238" t="s">
        <v>982</v>
      </c>
      <c r="AK1363" s="238" t="s">
        <v>1167</v>
      </c>
      <c r="AL1363" t="s">
        <v>8715</v>
      </c>
      <c r="AM1363" t="s">
        <v>1167</v>
      </c>
    </row>
    <row r="1364" spans="1:39" hidden="1" x14ac:dyDescent="0.25">
      <c r="A1364">
        <v>1360</v>
      </c>
      <c r="B1364">
        <v>304</v>
      </c>
      <c r="C1364" s="24">
        <v>44784</v>
      </c>
      <c r="D1364" s="238" t="s">
        <v>27</v>
      </c>
      <c r="E1364" s="238" t="s">
        <v>14</v>
      </c>
      <c r="F1364">
        <v>1</v>
      </c>
      <c r="G1364">
        <v>22</v>
      </c>
      <c r="H1364">
        <v>807</v>
      </c>
      <c r="I1364" s="238" t="s">
        <v>42</v>
      </c>
      <c r="J1364">
        <v>42.52</v>
      </c>
      <c r="K1364" s="238" t="s">
        <v>38</v>
      </c>
      <c r="L1364">
        <v>3089250</v>
      </c>
      <c r="M1364">
        <v>0</v>
      </c>
      <c r="N1364">
        <v>3089250</v>
      </c>
      <c r="O1364">
        <v>72654.045155221072</v>
      </c>
      <c r="P1364">
        <v>0</v>
      </c>
      <c r="Q1364">
        <v>3089250</v>
      </c>
      <c r="R1364">
        <v>72654.045155221072</v>
      </c>
      <c r="S1364" s="238" t="s">
        <v>124</v>
      </c>
      <c r="T1364" s="238" t="s">
        <v>1167</v>
      </c>
      <c r="V1364" t="s">
        <v>1167</v>
      </c>
      <c r="W1364" s="24">
        <v>44781</v>
      </c>
      <c r="X1364" s="238" t="s">
        <v>3282</v>
      </c>
      <c r="Y1364" s="238" t="s">
        <v>3247</v>
      </c>
      <c r="Z1364" s="238" t="s">
        <v>1340</v>
      </c>
      <c r="AA1364" t="s">
        <v>1167</v>
      </c>
      <c r="AB1364" s="238" t="s">
        <v>3246</v>
      </c>
      <c r="AC1364" t="s">
        <v>1167</v>
      </c>
      <c r="AD1364" s="24"/>
      <c r="AE1364" s="238" t="s">
        <v>3248</v>
      </c>
      <c r="AG1364" s="238" t="s">
        <v>1167</v>
      </c>
      <c r="AH1364" s="238" t="s">
        <v>1167</v>
      </c>
      <c r="AI1364" s="238" t="s">
        <v>5050</v>
      </c>
      <c r="AJ1364" s="238" t="s">
        <v>982</v>
      </c>
      <c r="AK1364" s="238" t="s">
        <v>1167</v>
      </c>
      <c r="AL1364" t="s">
        <v>8715</v>
      </c>
      <c r="AM1364" t="s">
        <v>1167</v>
      </c>
    </row>
    <row r="1365" spans="1:39" hidden="1" x14ac:dyDescent="0.25">
      <c r="A1365">
        <v>1361</v>
      </c>
      <c r="B1365">
        <v>305</v>
      </c>
      <c r="C1365" s="24">
        <v>44784</v>
      </c>
      <c r="D1365" s="238" t="s">
        <v>27</v>
      </c>
      <c r="E1365" s="238" t="s">
        <v>14</v>
      </c>
      <c r="F1365">
        <v>2</v>
      </c>
      <c r="G1365">
        <v>22</v>
      </c>
      <c r="H1365">
        <v>808</v>
      </c>
      <c r="I1365" s="238" t="s">
        <v>45</v>
      </c>
      <c r="J1365">
        <v>100.26</v>
      </c>
      <c r="K1365" s="238" t="s">
        <v>38</v>
      </c>
      <c r="L1365">
        <v>7324500</v>
      </c>
      <c r="M1365">
        <v>0</v>
      </c>
      <c r="N1365">
        <v>7324500</v>
      </c>
      <c r="O1365">
        <v>73055.056852184323</v>
      </c>
      <c r="P1365">
        <v>0</v>
      </c>
      <c r="Q1365">
        <v>7324500</v>
      </c>
      <c r="R1365">
        <v>73055.056852184323</v>
      </c>
      <c r="S1365" s="238" t="s">
        <v>124</v>
      </c>
      <c r="T1365" s="238" t="s">
        <v>1167</v>
      </c>
      <c r="V1365" t="s">
        <v>1167</v>
      </c>
      <c r="W1365" s="24">
        <v>44781</v>
      </c>
      <c r="X1365" s="238" t="s">
        <v>3282</v>
      </c>
      <c r="Y1365" s="238" t="s">
        <v>3247</v>
      </c>
      <c r="Z1365" s="238" t="s">
        <v>1340</v>
      </c>
      <c r="AA1365" t="s">
        <v>1167</v>
      </c>
      <c r="AB1365" s="238" t="s">
        <v>3246</v>
      </c>
      <c r="AC1365" t="s">
        <v>1167</v>
      </c>
      <c r="AD1365" s="24"/>
      <c r="AE1365" s="238" t="s">
        <v>3248</v>
      </c>
      <c r="AG1365" s="238" t="s">
        <v>1167</v>
      </c>
      <c r="AH1365" s="238" t="s">
        <v>1167</v>
      </c>
      <c r="AI1365" s="238" t="s">
        <v>5050</v>
      </c>
      <c r="AJ1365" s="238" t="s">
        <v>982</v>
      </c>
      <c r="AK1365" s="238" t="s">
        <v>1167</v>
      </c>
      <c r="AL1365" t="s">
        <v>8715</v>
      </c>
      <c r="AM1365" t="s">
        <v>1167</v>
      </c>
    </row>
    <row r="1366" spans="1:39" hidden="1" x14ac:dyDescent="0.25">
      <c r="A1366">
        <v>1362</v>
      </c>
      <c r="B1366">
        <v>306</v>
      </c>
      <c r="C1366" s="24">
        <v>44784</v>
      </c>
      <c r="D1366" s="238" t="s">
        <v>27</v>
      </c>
      <c r="E1366" s="238" t="s">
        <v>14</v>
      </c>
      <c r="F1366">
        <v>4</v>
      </c>
      <c r="G1366">
        <v>22</v>
      </c>
      <c r="H1366">
        <v>810</v>
      </c>
      <c r="I1366" s="238" t="s">
        <v>42</v>
      </c>
      <c r="J1366">
        <v>38.92</v>
      </c>
      <c r="K1366" s="238" t="s">
        <v>38</v>
      </c>
      <c r="L1366">
        <v>2814750</v>
      </c>
      <c r="M1366">
        <v>0</v>
      </c>
      <c r="N1366">
        <v>2814750</v>
      </c>
      <c r="O1366">
        <v>72321.428571428565</v>
      </c>
      <c r="P1366">
        <v>0</v>
      </c>
      <c r="Q1366">
        <v>2814750</v>
      </c>
      <c r="R1366">
        <v>72321.428571428565</v>
      </c>
      <c r="S1366" s="238" t="s">
        <v>124</v>
      </c>
      <c r="T1366" s="238" t="s">
        <v>1167</v>
      </c>
      <c r="V1366" t="s">
        <v>1167</v>
      </c>
      <c r="W1366" s="24">
        <v>44781</v>
      </c>
      <c r="X1366" s="238" t="s">
        <v>3282</v>
      </c>
      <c r="Y1366" s="238" t="s">
        <v>3247</v>
      </c>
      <c r="Z1366" s="238" t="s">
        <v>1340</v>
      </c>
      <c r="AA1366" t="s">
        <v>1167</v>
      </c>
      <c r="AB1366" s="238" t="s">
        <v>3246</v>
      </c>
      <c r="AC1366" t="s">
        <v>1167</v>
      </c>
      <c r="AD1366" s="24"/>
      <c r="AE1366" s="238" t="s">
        <v>3248</v>
      </c>
      <c r="AG1366" s="238" t="s">
        <v>1167</v>
      </c>
      <c r="AH1366" s="238" t="s">
        <v>1167</v>
      </c>
      <c r="AI1366" s="238" t="s">
        <v>5050</v>
      </c>
      <c r="AJ1366" s="238" t="s">
        <v>982</v>
      </c>
      <c r="AK1366" s="238" t="s">
        <v>1167</v>
      </c>
      <c r="AL1366" t="s">
        <v>8715</v>
      </c>
      <c r="AM1366" t="s">
        <v>1167</v>
      </c>
    </row>
    <row r="1367" spans="1:39" hidden="1" x14ac:dyDescent="0.25">
      <c r="A1367">
        <v>1363</v>
      </c>
      <c r="B1367">
        <v>307</v>
      </c>
      <c r="C1367" s="24">
        <v>44784</v>
      </c>
      <c r="D1367" s="238" t="s">
        <v>27</v>
      </c>
      <c r="E1367" s="238" t="s">
        <v>14</v>
      </c>
      <c r="F1367">
        <v>6</v>
      </c>
      <c r="G1367">
        <v>22</v>
      </c>
      <c r="H1367">
        <v>812</v>
      </c>
      <c r="I1367" s="238" t="s">
        <v>42</v>
      </c>
      <c r="J1367">
        <v>38.909999999999997</v>
      </c>
      <c r="K1367" s="238" t="s">
        <v>38</v>
      </c>
      <c r="L1367">
        <v>2817000</v>
      </c>
      <c r="M1367">
        <v>0</v>
      </c>
      <c r="N1367">
        <v>2817000</v>
      </c>
      <c r="O1367">
        <v>72397.841171935244</v>
      </c>
      <c r="P1367">
        <v>0</v>
      </c>
      <c r="Q1367">
        <v>2817000</v>
      </c>
      <c r="R1367">
        <v>72397.841171935244</v>
      </c>
      <c r="S1367" s="238" t="s">
        <v>124</v>
      </c>
      <c r="T1367" s="238" t="s">
        <v>1167</v>
      </c>
      <c r="V1367" t="s">
        <v>1167</v>
      </c>
      <c r="W1367" s="24">
        <v>44781</v>
      </c>
      <c r="X1367" s="238" t="s">
        <v>3282</v>
      </c>
      <c r="Y1367" s="238" t="s">
        <v>3247</v>
      </c>
      <c r="Z1367" s="238" t="s">
        <v>1340</v>
      </c>
      <c r="AA1367" t="s">
        <v>1167</v>
      </c>
      <c r="AB1367" s="238" t="s">
        <v>3246</v>
      </c>
      <c r="AC1367" t="s">
        <v>1167</v>
      </c>
      <c r="AD1367" s="24"/>
      <c r="AE1367" s="238" t="s">
        <v>3248</v>
      </c>
      <c r="AG1367" s="238" t="s">
        <v>1167</v>
      </c>
      <c r="AH1367" s="238" t="s">
        <v>1167</v>
      </c>
      <c r="AI1367" s="238" t="s">
        <v>5050</v>
      </c>
      <c r="AJ1367" s="238" t="s">
        <v>982</v>
      </c>
      <c r="AK1367" s="238" t="s">
        <v>1167</v>
      </c>
      <c r="AL1367" t="s">
        <v>8715</v>
      </c>
      <c r="AM1367" t="s">
        <v>1167</v>
      </c>
    </row>
    <row r="1368" spans="1:39" hidden="1" x14ac:dyDescent="0.25">
      <c r="A1368">
        <v>1364</v>
      </c>
      <c r="B1368">
        <v>308</v>
      </c>
      <c r="C1368" s="24">
        <v>44784</v>
      </c>
      <c r="D1368" s="238" t="s">
        <v>27</v>
      </c>
      <c r="E1368" s="238" t="s">
        <v>14</v>
      </c>
      <c r="F1368">
        <v>7</v>
      </c>
      <c r="G1368">
        <v>22</v>
      </c>
      <c r="H1368">
        <v>813</v>
      </c>
      <c r="I1368" s="238" t="s">
        <v>43</v>
      </c>
      <c r="J1368">
        <v>62.38</v>
      </c>
      <c r="K1368" s="238" t="s">
        <v>38</v>
      </c>
      <c r="L1368">
        <v>4483500</v>
      </c>
      <c r="M1368">
        <v>0</v>
      </c>
      <c r="N1368">
        <v>4483500</v>
      </c>
      <c r="O1368">
        <v>71873.99807630651</v>
      </c>
      <c r="P1368">
        <v>0</v>
      </c>
      <c r="Q1368">
        <v>4483500</v>
      </c>
      <c r="R1368">
        <v>71873.99807630651</v>
      </c>
      <c r="S1368" s="238" t="s">
        <v>124</v>
      </c>
      <c r="T1368" s="238" t="s">
        <v>1167</v>
      </c>
      <c r="V1368" t="s">
        <v>1167</v>
      </c>
      <c r="W1368" s="24">
        <v>44781</v>
      </c>
      <c r="X1368" s="238" t="s">
        <v>3282</v>
      </c>
      <c r="Y1368" s="238" t="s">
        <v>3247</v>
      </c>
      <c r="Z1368" s="238" t="s">
        <v>1340</v>
      </c>
      <c r="AA1368" t="s">
        <v>1167</v>
      </c>
      <c r="AB1368" s="238" t="s">
        <v>3246</v>
      </c>
      <c r="AC1368" t="s">
        <v>1167</v>
      </c>
      <c r="AD1368" s="24"/>
      <c r="AE1368" s="238" t="s">
        <v>3248</v>
      </c>
      <c r="AG1368" s="238" t="s">
        <v>1167</v>
      </c>
      <c r="AH1368" s="238" t="s">
        <v>1167</v>
      </c>
      <c r="AI1368" s="238" t="s">
        <v>5050</v>
      </c>
      <c r="AJ1368" s="238" t="s">
        <v>982</v>
      </c>
      <c r="AK1368" s="238" t="s">
        <v>1167</v>
      </c>
      <c r="AL1368" t="s">
        <v>8715</v>
      </c>
      <c r="AM1368" t="s">
        <v>1167</v>
      </c>
    </row>
    <row r="1369" spans="1:39" hidden="1" x14ac:dyDescent="0.25">
      <c r="A1369">
        <v>1365</v>
      </c>
      <c r="B1369">
        <v>309</v>
      </c>
      <c r="C1369" s="24">
        <v>44784</v>
      </c>
      <c r="D1369" s="238" t="s">
        <v>27</v>
      </c>
      <c r="E1369" s="238" t="s">
        <v>14</v>
      </c>
      <c r="F1369">
        <v>8</v>
      </c>
      <c r="G1369">
        <v>22</v>
      </c>
      <c r="H1369">
        <v>814</v>
      </c>
      <c r="I1369" s="238" t="s">
        <v>42</v>
      </c>
      <c r="J1369">
        <v>42.62</v>
      </c>
      <c r="K1369" s="238" t="s">
        <v>38</v>
      </c>
      <c r="L1369">
        <v>3096750</v>
      </c>
      <c r="M1369">
        <v>0</v>
      </c>
      <c r="N1369">
        <v>3096750</v>
      </c>
      <c r="O1369">
        <v>72659.549507273579</v>
      </c>
      <c r="P1369">
        <v>0</v>
      </c>
      <c r="Q1369">
        <v>3096750</v>
      </c>
      <c r="R1369">
        <v>72659.549507273579</v>
      </c>
      <c r="S1369" s="238" t="s">
        <v>124</v>
      </c>
      <c r="T1369" s="238" t="s">
        <v>1167</v>
      </c>
      <c r="V1369" t="s">
        <v>1167</v>
      </c>
      <c r="W1369" s="24">
        <v>44781</v>
      </c>
      <c r="X1369" s="238" t="s">
        <v>3282</v>
      </c>
      <c r="Y1369" s="238" t="s">
        <v>3247</v>
      </c>
      <c r="Z1369" s="238" t="s">
        <v>1340</v>
      </c>
      <c r="AA1369" t="s">
        <v>1167</v>
      </c>
      <c r="AB1369" s="238" t="s">
        <v>3246</v>
      </c>
      <c r="AC1369" t="s">
        <v>1167</v>
      </c>
      <c r="AD1369" s="24"/>
      <c r="AE1369" s="238" t="s">
        <v>3248</v>
      </c>
      <c r="AG1369" s="238" t="s">
        <v>1167</v>
      </c>
      <c r="AH1369" s="238" t="s">
        <v>1167</v>
      </c>
      <c r="AI1369" s="238" t="s">
        <v>5050</v>
      </c>
      <c r="AJ1369" s="238" t="s">
        <v>982</v>
      </c>
      <c r="AK1369" s="238" t="s">
        <v>1167</v>
      </c>
      <c r="AL1369" t="s">
        <v>8715</v>
      </c>
      <c r="AM1369" t="s">
        <v>1167</v>
      </c>
    </row>
    <row r="1370" spans="1:39" hidden="1" x14ac:dyDescent="0.25">
      <c r="A1370">
        <v>1366</v>
      </c>
      <c r="B1370">
        <v>310</v>
      </c>
      <c r="C1370" s="24">
        <v>44784</v>
      </c>
      <c r="D1370" s="238" t="s">
        <v>27</v>
      </c>
      <c r="E1370" s="238" t="s">
        <v>14</v>
      </c>
      <c r="F1370">
        <v>1</v>
      </c>
      <c r="G1370">
        <v>23</v>
      </c>
      <c r="H1370">
        <v>815</v>
      </c>
      <c r="I1370" s="238" t="s">
        <v>42</v>
      </c>
      <c r="J1370">
        <v>42.52</v>
      </c>
      <c r="K1370" s="238" t="s">
        <v>38</v>
      </c>
      <c r="L1370">
        <v>3089250</v>
      </c>
      <c r="M1370">
        <v>0</v>
      </c>
      <c r="N1370">
        <v>3089250</v>
      </c>
      <c r="O1370">
        <v>72654.045155221072</v>
      </c>
      <c r="P1370">
        <v>0</v>
      </c>
      <c r="Q1370">
        <v>3089250</v>
      </c>
      <c r="R1370">
        <v>72654.045155221072</v>
      </c>
      <c r="S1370" s="238" t="s">
        <v>124</v>
      </c>
      <c r="T1370" s="238" t="s">
        <v>1167</v>
      </c>
      <c r="V1370" t="s">
        <v>1167</v>
      </c>
      <c r="W1370" s="24">
        <v>44781</v>
      </c>
      <c r="X1370" s="238" t="s">
        <v>3282</v>
      </c>
      <c r="Y1370" s="238" t="s">
        <v>3247</v>
      </c>
      <c r="Z1370" s="238" t="s">
        <v>1340</v>
      </c>
      <c r="AA1370" t="s">
        <v>1167</v>
      </c>
      <c r="AB1370" s="238" t="s">
        <v>3246</v>
      </c>
      <c r="AC1370" t="s">
        <v>1167</v>
      </c>
      <c r="AD1370" s="24"/>
      <c r="AE1370" s="238" t="s">
        <v>3248</v>
      </c>
      <c r="AG1370" s="238" t="s">
        <v>1167</v>
      </c>
      <c r="AH1370" s="238" t="s">
        <v>1167</v>
      </c>
      <c r="AI1370" s="238" t="s">
        <v>5050</v>
      </c>
      <c r="AJ1370" s="238" t="s">
        <v>982</v>
      </c>
      <c r="AK1370" s="238" t="s">
        <v>1167</v>
      </c>
      <c r="AL1370" t="s">
        <v>8715</v>
      </c>
      <c r="AM1370" t="s">
        <v>1167</v>
      </c>
    </row>
    <row r="1371" spans="1:39" hidden="1" x14ac:dyDescent="0.25">
      <c r="A1371">
        <v>1367</v>
      </c>
      <c r="B1371">
        <v>311</v>
      </c>
      <c r="C1371" s="24">
        <v>44784</v>
      </c>
      <c r="D1371" s="238" t="s">
        <v>27</v>
      </c>
      <c r="E1371" s="238" t="s">
        <v>14</v>
      </c>
      <c r="F1371">
        <v>2</v>
      </c>
      <c r="G1371">
        <v>23</v>
      </c>
      <c r="H1371">
        <v>816</v>
      </c>
      <c r="I1371" s="238" t="s">
        <v>45</v>
      </c>
      <c r="J1371">
        <v>100.26</v>
      </c>
      <c r="K1371" s="238" t="s">
        <v>38</v>
      </c>
      <c r="L1371">
        <v>7324500</v>
      </c>
      <c r="M1371">
        <v>0</v>
      </c>
      <c r="N1371">
        <v>7324500</v>
      </c>
      <c r="O1371">
        <v>73055.056852184323</v>
      </c>
      <c r="P1371">
        <v>0</v>
      </c>
      <c r="Q1371">
        <v>7324500</v>
      </c>
      <c r="R1371">
        <v>73055.056852184323</v>
      </c>
      <c r="S1371" s="238" t="s">
        <v>124</v>
      </c>
      <c r="T1371" s="238" t="s">
        <v>1167</v>
      </c>
      <c r="V1371" t="s">
        <v>1167</v>
      </c>
      <c r="W1371" s="24">
        <v>44781</v>
      </c>
      <c r="X1371" s="238" t="s">
        <v>3282</v>
      </c>
      <c r="Y1371" s="238" t="s">
        <v>3247</v>
      </c>
      <c r="Z1371" s="238" t="s">
        <v>1340</v>
      </c>
      <c r="AA1371" t="s">
        <v>1167</v>
      </c>
      <c r="AB1371" s="238" t="s">
        <v>3246</v>
      </c>
      <c r="AC1371" t="s">
        <v>1167</v>
      </c>
      <c r="AD1371" s="24"/>
      <c r="AE1371" s="238" t="s">
        <v>3248</v>
      </c>
      <c r="AG1371" s="238" t="s">
        <v>1167</v>
      </c>
      <c r="AH1371" s="238" t="s">
        <v>1167</v>
      </c>
      <c r="AI1371" s="238" t="s">
        <v>5050</v>
      </c>
      <c r="AJ1371" s="238" t="s">
        <v>982</v>
      </c>
      <c r="AK1371" s="238" t="s">
        <v>1167</v>
      </c>
      <c r="AL1371" t="s">
        <v>8715</v>
      </c>
      <c r="AM1371" t="s">
        <v>1167</v>
      </c>
    </row>
    <row r="1372" spans="1:39" hidden="1" x14ac:dyDescent="0.25">
      <c r="A1372">
        <v>1368</v>
      </c>
      <c r="B1372">
        <v>312</v>
      </c>
      <c r="C1372" s="24">
        <v>44784</v>
      </c>
      <c r="D1372" s="238" t="s">
        <v>27</v>
      </c>
      <c r="E1372" s="238" t="s">
        <v>14</v>
      </c>
      <c r="F1372">
        <v>4</v>
      </c>
      <c r="G1372">
        <v>23</v>
      </c>
      <c r="H1372">
        <v>818</v>
      </c>
      <c r="I1372" s="238" t="s">
        <v>42</v>
      </c>
      <c r="J1372">
        <v>38.92</v>
      </c>
      <c r="K1372" s="238" t="s">
        <v>38</v>
      </c>
      <c r="L1372">
        <v>2814750</v>
      </c>
      <c r="M1372">
        <v>0</v>
      </c>
      <c r="N1372">
        <v>2814750</v>
      </c>
      <c r="O1372">
        <v>72321.428571428565</v>
      </c>
      <c r="P1372">
        <v>0</v>
      </c>
      <c r="Q1372">
        <v>2814750</v>
      </c>
      <c r="R1372">
        <v>72321.428571428565</v>
      </c>
      <c r="S1372" s="238" t="s">
        <v>124</v>
      </c>
      <c r="T1372" s="238" t="s">
        <v>1167</v>
      </c>
      <c r="V1372" t="s">
        <v>1167</v>
      </c>
      <c r="W1372" s="24">
        <v>44781</v>
      </c>
      <c r="X1372" s="238" t="s">
        <v>3282</v>
      </c>
      <c r="Y1372" s="238" t="s">
        <v>3247</v>
      </c>
      <c r="Z1372" s="238" t="s">
        <v>1340</v>
      </c>
      <c r="AA1372" t="s">
        <v>1167</v>
      </c>
      <c r="AB1372" s="238" t="s">
        <v>3246</v>
      </c>
      <c r="AC1372" t="s">
        <v>1167</v>
      </c>
      <c r="AD1372" s="24"/>
      <c r="AE1372" s="238" t="s">
        <v>3248</v>
      </c>
      <c r="AG1372" s="238" t="s">
        <v>1167</v>
      </c>
      <c r="AH1372" s="238" t="s">
        <v>1167</v>
      </c>
      <c r="AI1372" s="238" t="s">
        <v>5050</v>
      </c>
      <c r="AJ1372" s="238" t="s">
        <v>982</v>
      </c>
      <c r="AK1372" s="238" t="s">
        <v>1167</v>
      </c>
      <c r="AL1372" t="s">
        <v>8715</v>
      </c>
      <c r="AM1372" t="s">
        <v>1167</v>
      </c>
    </row>
    <row r="1373" spans="1:39" hidden="1" x14ac:dyDescent="0.25">
      <c r="A1373">
        <v>1369</v>
      </c>
      <c r="B1373">
        <v>313</v>
      </c>
      <c r="C1373" s="24">
        <v>44784</v>
      </c>
      <c r="D1373" s="238" t="s">
        <v>27</v>
      </c>
      <c r="E1373" s="238" t="s">
        <v>14</v>
      </c>
      <c r="F1373">
        <v>5</v>
      </c>
      <c r="G1373">
        <v>23</v>
      </c>
      <c r="H1373">
        <v>819</v>
      </c>
      <c r="I1373" s="238" t="s">
        <v>43</v>
      </c>
      <c r="J1373">
        <v>61.96</v>
      </c>
      <c r="K1373" s="238" t="s">
        <v>38</v>
      </c>
      <c r="L1373">
        <v>4548000</v>
      </c>
      <c r="M1373">
        <v>0</v>
      </c>
      <c r="N1373">
        <v>4548000</v>
      </c>
      <c r="O1373">
        <v>73402.194964493217</v>
      </c>
      <c r="P1373">
        <v>0</v>
      </c>
      <c r="Q1373">
        <v>4548000</v>
      </c>
      <c r="R1373">
        <v>73402.194964493217</v>
      </c>
      <c r="S1373" s="238" t="s">
        <v>124</v>
      </c>
      <c r="T1373" s="238" t="s">
        <v>1167</v>
      </c>
      <c r="V1373" t="s">
        <v>1167</v>
      </c>
      <c r="W1373" s="24">
        <v>44781</v>
      </c>
      <c r="X1373" s="238" t="s">
        <v>3282</v>
      </c>
      <c r="Y1373" s="238" t="s">
        <v>3247</v>
      </c>
      <c r="Z1373" s="238" t="s">
        <v>1340</v>
      </c>
      <c r="AA1373" t="s">
        <v>1167</v>
      </c>
      <c r="AB1373" s="238" t="s">
        <v>3246</v>
      </c>
      <c r="AC1373" t="s">
        <v>1167</v>
      </c>
      <c r="AD1373" s="24"/>
      <c r="AE1373" s="238" t="s">
        <v>3248</v>
      </c>
      <c r="AG1373" s="238" t="s">
        <v>1167</v>
      </c>
      <c r="AH1373" s="238" t="s">
        <v>1167</v>
      </c>
      <c r="AI1373" s="238" t="s">
        <v>5050</v>
      </c>
      <c r="AJ1373" s="238" t="s">
        <v>982</v>
      </c>
      <c r="AK1373" s="238" t="s">
        <v>1167</v>
      </c>
      <c r="AL1373" t="s">
        <v>8715</v>
      </c>
      <c r="AM1373" t="s">
        <v>1167</v>
      </c>
    </row>
    <row r="1374" spans="1:39" hidden="1" x14ac:dyDescent="0.25">
      <c r="A1374">
        <v>1370</v>
      </c>
      <c r="B1374">
        <v>314</v>
      </c>
      <c r="C1374" s="24">
        <v>44784</v>
      </c>
      <c r="D1374" s="238" t="s">
        <v>27</v>
      </c>
      <c r="E1374" s="238" t="s">
        <v>14</v>
      </c>
      <c r="F1374">
        <v>7</v>
      </c>
      <c r="G1374">
        <v>23</v>
      </c>
      <c r="H1374">
        <v>821</v>
      </c>
      <c r="I1374" s="238" t="s">
        <v>43</v>
      </c>
      <c r="J1374">
        <v>62.38</v>
      </c>
      <c r="K1374" s="238" t="s">
        <v>38</v>
      </c>
      <c r="L1374">
        <v>4483500</v>
      </c>
      <c r="M1374">
        <v>0</v>
      </c>
      <c r="N1374">
        <v>4483500</v>
      </c>
      <c r="O1374">
        <v>71873.99807630651</v>
      </c>
      <c r="P1374">
        <v>0</v>
      </c>
      <c r="Q1374">
        <v>4483500</v>
      </c>
      <c r="R1374">
        <v>71873.99807630651</v>
      </c>
      <c r="S1374" s="238" t="s">
        <v>124</v>
      </c>
      <c r="T1374" s="238" t="s">
        <v>1167</v>
      </c>
      <c r="V1374" t="s">
        <v>1167</v>
      </c>
      <c r="W1374" s="24">
        <v>44781</v>
      </c>
      <c r="X1374" s="238" t="s">
        <v>3282</v>
      </c>
      <c r="Y1374" s="238" t="s">
        <v>3247</v>
      </c>
      <c r="Z1374" s="238" t="s">
        <v>1340</v>
      </c>
      <c r="AA1374" t="s">
        <v>1167</v>
      </c>
      <c r="AB1374" s="238" t="s">
        <v>3246</v>
      </c>
      <c r="AC1374" t="s">
        <v>1167</v>
      </c>
      <c r="AD1374" s="24"/>
      <c r="AE1374" s="238" t="s">
        <v>3248</v>
      </c>
      <c r="AG1374" s="238" t="s">
        <v>1167</v>
      </c>
      <c r="AH1374" s="238" t="s">
        <v>1167</v>
      </c>
      <c r="AI1374" s="238" t="s">
        <v>5050</v>
      </c>
      <c r="AJ1374" s="238" t="s">
        <v>982</v>
      </c>
      <c r="AK1374" s="238" t="s">
        <v>1167</v>
      </c>
      <c r="AL1374" t="s">
        <v>8715</v>
      </c>
      <c r="AM1374" t="s">
        <v>1167</v>
      </c>
    </row>
    <row r="1375" spans="1:39" hidden="1" x14ac:dyDescent="0.25">
      <c r="A1375">
        <v>1371</v>
      </c>
      <c r="B1375">
        <v>315</v>
      </c>
      <c r="C1375" s="24">
        <v>44784</v>
      </c>
      <c r="D1375" s="238" t="s">
        <v>27</v>
      </c>
      <c r="E1375" s="238" t="s">
        <v>14</v>
      </c>
      <c r="F1375">
        <v>8</v>
      </c>
      <c r="G1375">
        <v>23</v>
      </c>
      <c r="H1375">
        <v>822</v>
      </c>
      <c r="I1375" s="238" t="s">
        <v>42</v>
      </c>
      <c r="J1375">
        <v>42.62</v>
      </c>
      <c r="K1375" s="238" t="s">
        <v>38</v>
      </c>
      <c r="L1375">
        <v>3096750</v>
      </c>
      <c r="M1375">
        <v>0</v>
      </c>
      <c r="N1375">
        <v>3096750</v>
      </c>
      <c r="O1375">
        <v>72659.549507273579</v>
      </c>
      <c r="P1375">
        <v>0</v>
      </c>
      <c r="Q1375">
        <v>3096750</v>
      </c>
      <c r="R1375">
        <v>72659.549507273579</v>
      </c>
      <c r="S1375" s="238" t="s">
        <v>124</v>
      </c>
      <c r="T1375" s="238" t="s">
        <v>1167</v>
      </c>
      <c r="V1375" t="s">
        <v>1167</v>
      </c>
      <c r="W1375" s="24">
        <v>44781</v>
      </c>
      <c r="X1375" s="238" t="s">
        <v>3282</v>
      </c>
      <c r="Y1375" s="238" t="s">
        <v>3247</v>
      </c>
      <c r="Z1375" s="238" t="s">
        <v>1340</v>
      </c>
      <c r="AA1375" t="s">
        <v>1167</v>
      </c>
      <c r="AB1375" s="238" t="s">
        <v>3246</v>
      </c>
      <c r="AC1375" t="s">
        <v>1167</v>
      </c>
      <c r="AD1375" s="24"/>
      <c r="AE1375" s="238" t="s">
        <v>3248</v>
      </c>
      <c r="AG1375" s="238" t="s">
        <v>1167</v>
      </c>
      <c r="AH1375" s="238" t="s">
        <v>1167</v>
      </c>
      <c r="AI1375" s="238" t="s">
        <v>5050</v>
      </c>
      <c r="AJ1375" s="238" t="s">
        <v>982</v>
      </c>
      <c r="AK1375" s="238" t="s">
        <v>1167</v>
      </c>
      <c r="AL1375" t="s">
        <v>8715</v>
      </c>
      <c r="AM1375" t="s">
        <v>1167</v>
      </c>
    </row>
    <row r="1376" spans="1:39" hidden="1" x14ac:dyDescent="0.25">
      <c r="A1376">
        <v>1372</v>
      </c>
      <c r="B1376">
        <v>316</v>
      </c>
      <c r="C1376" s="24">
        <v>44784</v>
      </c>
      <c r="D1376" s="238" t="s">
        <v>27</v>
      </c>
      <c r="E1376" s="238" t="s">
        <v>14</v>
      </c>
      <c r="F1376">
        <v>1</v>
      </c>
      <c r="G1376">
        <v>24</v>
      </c>
      <c r="H1376">
        <v>823</v>
      </c>
      <c r="I1376" s="238" t="s">
        <v>42</v>
      </c>
      <c r="J1376">
        <v>42.52</v>
      </c>
      <c r="K1376" s="238" t="s">
        <v>38</v>
      </c>
      <c r="L1376">
        <v>3089250</v>
      </c>
      <c r="M1376">
        <v>0</v>
      </c>
      <c r="N1376">
        <v>3089250</v>
      </c>
      <c r="O1376">
        <v>72654.045155221072</v>
      </c>
      <c r="P1376">
        <v>0</v>
      </c>
      <c r="Q1376">
        <v>3089250</v>
      </c>
      <c r="R1376">
        <v>72654.045155221072</v>
      </c>
      <c r="S1376" s="238" t="s">
        <v>124</v>
      </c>
      <c r="T1376" s="238" t="s">
        <v>1167</v>
      </c>
      <c r="V1376" t="s">
        <v>1167</v>
      </c>
      <c r="W1376" s="24">
        <v>44781</v>
      </c>
      <c r="X1376" s="238" t="s">
        <v>3283</v>
      </c>
      <c r="Y1376" s="238" t="s">
        <v>3247</v>
      </c>
      <c r="Z1376" s="238" t="s">
        <v>1340</v>
      </c>
      <c r="AA1376" t="s">
        <v>1167</v>
      </c>
      <c r="AB1376" s="238" t="s">
        <v>3246</v>
      </c>
      <c r="AC1376" t="s">
        <v>1167</v>
      </c>
      <c r="AD1376" s="24"/>
      <c r="AE1376" s="238" t="s">
        <v>3248</v>
      </c>
      <c r="AG1376" s="238" t="s">
        <v>1167</v>
      </c>
      <c r="AH1376" s="238" t="s">
        <v>1167</v>
      </c>
      <c r="AI1376" s="238" t="s">
        <v>5050</v>
      </c>
      <c r="AJ1376" s="238" t="s">
        <v>982</v>
      </c>
      <c r="AK1376" s="238" t="s">
        <v>1167</v>
      </c>
      <c r="AL1376" t="s">
        <v>8715</v>
      </c>
      <c r="AM1376" t="s">
        <v>1167</v>
      </c>
    </row>
    <row r="1377" spans="1:39" hidden="1" x14ac:dyDescent="0.25">
      <c r="A1377">
        <v>1373</v>
      </c>
      <c r="B1377">
        <v>317</v>
      </c>
      <c r="C1377" s="24">
        <v>44784</v>
      </c>
      <c r="D1377" s="238" t="s">
        <v>27</v>
      </c>
      <c r="E1377" s="238" t="s">
        <v>14</v>
      </c>
      <c r="F1377">
        <v>2</v>
      </c>
      <c r="G1377">
        <v>24</v>
      </c>
      <c r="H1377">
        <v>824</v>
      </c>
      <c r="I1377" s="238" t="s">
        <v>45</v>
      </c>
      <c r="J1377">
        <v>100.26</v>
      </c>
      <c r="K1377" s="238" t="s">
        <v>38</v>
      </c>
      <c r="L1377">
        <v>7324500</v>
      </c>
      <c r="M1377">
        <v>0</v>
      </c>
      <c r="N1377">
        <v>7324500</v>
      </c>
      <c r="O1377">
        <v>73055.056852184323</v>
      </c>
      <c r="P1377">
        <v>0</v>
      </c>
      <c r="Q1377">
        <v>7324500</v>
      </c>
      <c r="R1377">
        <v>73055.056852184323</v>
      </c>
      <c r="S1377" s="238" t="s">
        <v>124</v>
      </c>
      <c r="T1377" s="238" t="s">
        <v>1167</v>
      </c>
      <c r="V1377" t="s">
        <v>1167</v>
      </c>
      <c r="W1377" s="24">
        <v>44781</v>
      </c>
      <c r="X1377" s="238" t="s">
        <v>3283</v>
      </c>
      <c r="Y1377" s="238" t="s">
        <v>3247</v>
      </c>
      <c r="Z1377" s="238" t="s">
        <v>1340</v>
      </c>
      <c r="AA1377" t="s">
        <v>1167</v>
      </c>
      <c r="AB1377" s="238" t="s">
        <v>3246</v>
      </c>
      <c r="AC1377" t="s">
        <v>1167</v>
      </c>
      <c r="AD1377" s="24"/>
      <c r="AE1377" s="238" t="s">
        <v>3248</v>
      </c>
      <c r="AG1377" s="238" t="s">
        <v>1167</v>
      </c>
      <c r="AH1377" s="238" t="s">
        <v>1167</v>
      </c>
      <c r="AI1377" s="238" t="s">
        <v>5050</v>
      </c>
      <c r="AJ1377" s="238" t="s">
        <v>982</v>
      </c>
      <c r="AK1377" s="238" t="s">
        <v>1167</v>
      </c>
      <c r="AL1377" t="s">
        <v>8715</v>
      </c>
      <c r="AM1377" t="s">
        <v>1167</v>
      </c>
    </row>
    <row r="1378" spans="1:39" hidden="1" x14ac:dyDescent="0.25">
      <c r="A1378">
        <v>1374</v>
      </c>
      <c r="B1378">
        <v>318</v>
      </c>
      <c r="C1378" s="24">
        <v>44784</v>
      </c>
      <c r="D1378" s="238" t="s">
        <v>27</v>
      </c>
      <c r="E1378" s="238" t="s">
        <v>14</v>
      </c>
      <c r="F1378">
        <v>4</v>
      </c>
      <c r="G1378">
        <v>24</v>
      </c>
      <c r="H1378">
        <v>826</v>
      </c>
      <c r="I1378" s="238" t="s">
        <v>42</v>
      </c>
      <c r="J1378">
        <v>38.92</v>
      </c>
      <c r="K1378" s="238" t="s">
        <v>38</v>
      </c>
      <c r="L1378">
        <v>2814750</v>
      </c>
      <c r="M1378">
        <v>0</v>
      </c>
      <c r="N1378">
        <v>2814750</v>
      </c>
      <c r="O1378">
        <v>72321.428571428565</v>
      </c>
      <c r="P1378">
        <v>0</v>
      </c>
      <c r="Q1378">
        <v>2814750</v>
      </c>
      <c r="R1378">
        <v>72321.428571428565</v>
      </c>
      <c r="S1378" s="238" t="s">
        <v>124</v>
      </c>
      <c r="T1378" s="238" t="s">
        <v>1167</v>
      </c>
      <c r="V1378" t="s">
        <v>1167</v>
      </c>
      <c r="W1378" s="24">
        <v>44781</v>
      </c>
      <c r="X1378" s="238" t="s">
        <v>3283</v>
      </c>
      <c r="Y1378" s="238" t="s">
        <v>3247</v>
      </c>
      <c r="Z1378" s="238" t="s">
        <v>1340</v>
      </c>
      <c r="AA1378" t="s">
        <v>1167</v>
      </c>
      <c r="AB1378" s="238" t="s">
        <v>3246</v>
      </c>
      <c r="AC1378" t="s">
        <v>1167</v>
      </c>
      <c r="AD1378" s="24"/>
      <c r="AE1378" s="238" t="s">
        <v>3248</v>
      </c>
      <c r="AG1378" s="238" t="s">
        <v>1167</v>
      </c>
      <c r="AH1378" s="238" t="s">
        <v>1167</v>
      </c>
      <c r="AI1378" s="238" t="s">
        <v>5050</v>
      </c>
      <c r="AJ1378" s="238" t="s">
        <v>982</v>
      </c>
      <c r="AK1378" s="238" t="s">
        <v>1167</v>
      </c>
      <c r="AL1378" t="s">
        <v>8715</v>
      </c>
      <c r="AM1378" t="s">
        <v>1167</v>
      </c>
    </row>
    <row r="1379" spans="1:39" hidden="1" x14ac:dyDescent="0.25">
      <c r="A1379">
        <v>1375</v>
      </c>
      <c r="B1379">
        <v>319</v>
      </c>
      <c r="C1379" s="24">
        <v>44784</v>
      </c>
      <c r="D1379" s="238" t="s">
        <v>27</v>
      </c>
      <c r="E1379" s="238" t="s">
        <v>14</v>
      </c>
      <c r="F1379">
        <v>5</v>
      </c>
      <c r="G1379">
        <v>24</v>
      </c>
      <c r="H1379">
        <v>827</v>
      </c>
      <c r="I1379" s="238" t="s">
        <v>43</v>
      </c>
      <c r="J1379">
        <v>61.96</v>
      </c>
      <c r="K1379" s="238" t="s">
        <v>38</v>
      </c>
      <c r="L1379">
        <v>4548000</v>
      </c>
      <c r="M1379">
        <v>0</v>
      </c>
      <c r="N1379">
        <v>4548000</v>
      </c>
      <c r="O1379">
        <v>73402.194964493217</v>
      </c>
      <c r="P1379">
        <v>0</v>
      </c>
      <c r="Q1379">
        <v>4548000</v>
      </c>
      <c r="R1379">
        <v>73402.194964493217</v>
      </c>
      <c r="S1379" s="238" t="s">
        <v>124</v>
      </c>
      <c r="T1379" s="238" t="s">
        <v>1167</v>
      </c>
      <c r="V1379" t="s">
        <v>1167</v>
      </c>
      <c r="W1379" s="24">
        <v>44781</v>
      </c>
      <c r="X1379" s="238" t="s">
        <v>3283</v>
      </c>
      <c r="Y1379" s="238" t="s">
        <v>3247</v>
      </c>
      <c r="Z1379" s="238" t="s">
        <v>1340</v>
      </c>
      <c r="AA1379" t="s">
        <v>1167</v>
      </c>
      <c r="AB1379" s="238" t="s">
        <v>3246</v>
      </c>
      <c r="AC1379" t="s">
        <v>1167</v>
      </c>
      <c r="AD1379" s="24"/>
      <c r="AE1379" s="238" t="s">
        <v>3248</v>
      </c>
      <c r="AG1379" s="238" t="s">
        <v>1167</v>
      </c>
      <c r="AH1379" s="238" t="s">
        <v>1167</v>
      </c>
      <c r="AI1379" s="238" t="s">
        <v>5050</v>
      </c>
      <c r="AJ1379" s="238" t="s">
        <v>982</v>
      </c>
      <c r="AK1379" s="238" t="s">
        <v>1167</v>
      </c>
      <c r="AL1379" t="s">
        <v>8715</v>
      </c>
      <c r="AM1379" t="s">
        <v>1167</v>
      </c>
    </row>
    <row r="1380" spans="1:39" hidden="1" x14ac:dyDescent="0.25">
      <c r="A1380">
        <v>1376</v>
      </c>
      <c r="B1380">
        <v>320</v>
      </c>
      <c r="C1380" s="24">
        <v>44784</v>
      </c>
      <c r="D1380" s="238" t="s">
        <v>27</v>
      </c>
      <c r="E1380" s="238" t="s">
        <v>14</v>
      </c>
      <c r="F1380">
        <v>6</v>
      </c>
      <c r="G1380">
        <v>24</v>
      </c>
      <c r="H1380">
        <v>828</v>
      </c>
      <c r="I1380" s="238" t="s">
        <v>42</v>
      </c>
      <c r="J1380">
        <v>38.909999999999997</v>
      </c>
      <c r="K1380" s="238" t="s">
        <v>38</v>
      </c>
      <c r="L1380">
        <v>2817000</v>
      </c>
      <c r="M1380">
        <v>0</v>
      </c>
      <c r="N1380">
        <v>2817000</v>
      </c>
      <c r="O1380">
        <v>72397.841171935244</v>
      </c>
      <c r="P1380">
        <v>0</v>
      </c>
      <c r="Q1380">
        <v>2817000</v>
      </c>
      <c r="R1380">
        <v>72397.841171935244</v>
      </c>
      <c r="S1380" s="238" t="s">
        <v>124</v>
      </c>
      <c r="T1380" s="238" t="s">
        <v>1167</v>
      </c>
      <c r="V1380" t="s">
        <v>1167</v>
      </c>
      <c r="W1380" s="24">
        <v>44781</v>
      </c>
      <c r="X1380" s="238" t="s">
        <v>3283</v>
      </c>
      <c r="Y1380" s="238" t="s">
        <v>3247</v>
      </c>
      <c r="Z1380" s="238" t="s">
        <v>1340</v>
      </c>
      <c r="AA1380" t="s">
        <v>1167</v>
      </c>
      <c r="AB1380" s="238" t="s">
        <v>3246</v>
      </c>
      <c r="AC1380" t="s">
        <v>1167</v>
      </c>
      <c r="AD1380" s="24"/>
      <c r="AE1380" s="238" t="s">
        <v>3248</v>
      </c>
      <c r="AG1380" s="238" t="s">
        <v>1167</v>
      </c>
      <c r="AH1380" s="238" t="s">
        <v>1167</v>
      </c>
      <c r="AI1380" s="238" t="s">
        <v>5050</v>
      </c>
      <c r="AJ1380" s="238" t="s">
        <v>982</v>
      </c>
      <c r="AK1380" s="238" t="s">
        <v>1167</v>
      </c>
      <c r="AL1380" t="s">
        <v>8715</v>
      </c>
      <c r="AM1380" t="s">
        <v>1167</v>
      </c>
    </row>
    <row r="1381" spans="1:39" hidden="1" x14ac:dyDescent="0.25">
      <c r="A1381">
        <v>1377</v>
      </c>
      <c r="B1381">
        <v>321</v>
      </c>
      <c r="C1381" s="24">
        <v>44784</v>
      </c>
      <c r="D1381" s="238" t="s">
        <v>27</v>
      </c>
      <c r="E1381" s="238" t="s">
        <v>14</v>
      </c>
      <c r="F1381">
        <v>7</v>
      </c>
      <c r="G1381">
        <v>24</v>
      </c>
      <c r="H1381">
        <v>829</v>
      </c>
      <c r="I1381" s="238" t="s">
        <v>43</v>
      </c>
      <c r="J1381">
        <v>62.38</v>
      </c>
      <c r="K1381" s="238" t="s">
        <v>38</v>
      </c>
      <c r="L1381">
        <v>4483500</v>
      </c>
      <c r="M1381">
        <v>0</v>
      </c>
      <c r="N1381">
        <v>4483500</v>
      </c>
      <c r="O1381">
        <v>71873.99807630651</v>
      </c>
      <c r="P1381">
        <v>0</v>
      </c>
      <c r="Q1381">
        <v>4483500</v>
      </c>
      <c r="R1381">
        <v>71873.99807630651</v>
      </c>
      <c r="S1381" s="238" t="s">
        <v>124</v>
      </c>
      <c r="T1381" s="238" t="s">
        <v>1167</v>
      </c>
      <c r="V1381" t="s">
        <v>1167</v>
      </c>
      <c r="W1381" s="24">
        <v>44781</v>
      </c>
      <c r="X1381" s="238" t="s">
        <v>3283</v>
      </c>
      <c r="Y1381" s="238" t="s">
        <v>3247</v>
      </c>
      <c r="Z1381" s="238" t="s">
        <v>1340</v>
      </c>
      <c r="AA1381" t="s">
        <v>1167</v>
      </c>
      <c r="AB1381" s="238" t="s">
        <v>3246</v>
      </c>
      <c r="AC1381" t="s">
        <v>1167</v>
      </c>
      <c r="AD1381" s="24"/>
      <c r="AE1381" s="238" t="s">
        <v>3248</v>
      </c>
      <c r="AG1381" s="238" t="s">
        <v>1167</v>
      </c>
      <c r="AH1381" s="238" t="s">
        <v>1167</v>
      </c>
      <c r="AI1381" s="238" t="s">
        <v>5050</v>
      </c>
      <c r="AJ1381" s="238" t="s">
        <v>982</v>
      </c>
      <c r="AK1381" s="238" t="s">
        <v>1167</v>
      </c>
      <c r="AL1381" t="s">
        <v>8715</v>
      </c>
      <c r="AM1381" t="s">
        <v>1167</v>
      </c>
    </row>
    <row r="1382" spans="1:39" hidden="1" x14ac:dyDescent="0.25">
      <c r="A1382">
        <v>1378</v>
      </c>
      <c r="B1382">
        <v>322</v>
      </c>
      <c r="C1382" s="24">
        <v>44784</v>
      </c>
      <c r="D1382" s="238" t="s">
        <v>27</v>
      </c>
      <c r="E1382" s="238" t="s">
        <v>14</v>
      </c>
      <c r="F1382">
        <v>8</v>
      </c>
      <c r="G1382">
        <v>24</v>
      </c>
      <c r="H1382">
        <v>830</v>
      </c>
      <c r="I1382" s="238" t="s">
        <v>42</v>
      </c>
      <c r="J1382">
        <v>42.62</v>
      </c>
      <c r="K1382" s="238" t="s">
        <v>38</v>
      </c>
      <c r="L1382">
        <v>3096750</v>
      </c>
      <c r="M1382">
        <v>0</v>
      </c>
      <c r="N1382">
        <v>3096750</v>
      </c>
      <c r="O1382">
        <v>72659.549507273579</v>
      </c>
      <c r="P1382">
        <v>0</v>
      </c>
      <c r="Q1382">
        <v>3096750</v>
      </c>
      <c r="R1382">
        <v>72659.549507273579</v>
      </c>
      <c r="S1382" s="238" t="s">
        <v>124</v>
      </c>
      <c r="T1382" s="238" t="s">
        <v>1167</v>
      </c>
      <c r="V1382" t="s">
        <v>1167</v>
      </c>
      <c r="W1382" s="24">
        <v>44781</v>
      </c>
      <c r="X1382" s="238" t="s">
        <v>3283</v>
      </c>
      <c r="Y1382" s="238" t="s">
        <v>3247</v>
      </c>
      <c r="Z1382" s="238" t="s">
        <v>1340</v>
      </c>
      <c r="AA1382" t="s">
        <v>1167</v>
      </c>
      <c r="AB1382" s="238" t="s">
        <v>3246</v>
      </c>
      <c r="AC1382" t="s">
        <v>1167</v>
      </c>
      <c r="AD1382" s="24"/>
      <c r="AE1382" s="238" t="s">
        <v>3248</v>
      </c>
      <c r="AG1382" s="238" t="s">
        <v>1167</v>
      </c>
      <c r="AH1382" s="238" t="s">
        <v>1167</v>
      </c>
      <c r="AI1382" s="238" t="s">
        <v>5050</v>
      </c>
      <c r="AJ1382" s="238" t="s">
        <v>982</v>
      </c>
      <c r="AK1382" s="238" t="s">
        <v>1167</v>
      </c>
      <c r="AL1382" t="s">
        <v>8715</v>
      </c>
      <c r="AM1382" t="s">
        <v>1167</v>
      </c>
    </row>
    <row r="1383" spans="1:39" hidden="1" x14ac:dyDescent="0.25">
      <c r="A1383">
        <v>1379</v>
      </c>
      <c r="B1383">
        <v>323</v>
      </c>
      <c r="C1383" s="24">
        <v>44784</v>
      </c>
      <c r="D1383" s="238" t="s">
        <v>27</v>
      </c>
      <c r="E1383" s="238" t="s">
        <v>13</v>
      </c>
      <c r="F1383">
        <v>1</v>
      </c>
      <c r="G1383">
        <v>2</v>
      </c>
      <c r="H1383">
        <v>831</v>
      </c>
      <c r="I1383" s="238" t="s">
        <v>42</v>
      </c>
      <c r="J1383">
        <v>37.15</v>
      </c>
      <c r="K1383" s="238" t="s">
        <v>38</v>
      </c>
      <c r="L1383">
        <v>2690250</v>
      </c>
      <c r="M1383">
        <v>0</v>
      </c>
      <c r="N1383">
        <v>2690250</v>
      </c>
      <c r="O1383">
        <v>72415.881561238231</v>
      </c>
      <c r="P1383">
        <v>0</v>
      </c>
      <c r="Q1383">
        <v>2690250</v>
      </c>
      <c r="R1383">
        <v>72415.881561238231</v>
      </c>
      <c r="S1383" s="238" t="s">
        <v>124</v>
      </c>
      <c r="T1383" s="238" t="s">
        <v>1167</v>
      </c>
      <c r="V1383" t="s">
        <v>1167</v>
      </c>
      <c r="W1383" s="24">
        <v>44781</v>
      </c>
      <c r="X1383" s="238" t="s">
        <v>3284</v>
      </c>
      <c r="Y1383" s="238" t="s">
        <v>3247</v>
      </c>
      <c r="Z1383" s="238" t="s">
        <v>1340</v>
      </c>
      <c r="AA1383" t="s">
        <v>1167</v>
      </c>
      <c r="AB1383" s="238" t="s">
        <v>3246</v>
      </c>
      <c r="AC1383" t="s">
        <v>1167</v>
      </c>
      <c r="AD1383" s="24"/>
      <c r="AE1383" s="238" t="s">
        <v>3248</v>
      </c>
      <c r="AG1383" s="238" t="s">
        <v>1167</v>
      </c>
      <c r="AH1383" s="238" t="s">
        <v>1167</v>
      </c>
      <c r="AI1383" s="238" t="s">
        <v>5050</v>
      </c>
      <c r="AJ1383" s="238" t="s">
        <v>982</v>
      </c>
      <c r="AK1383" s="238" t="s">
        <v>1167</v>
      </c>
      <c r="AL1383" t="s">
        <v>8715</v>
      </c>
      <c r="AM1383" t="s">
        <v>1167</v>
      </c>
    </row>
    <row r="1384" spans="1:39" hidden="1" x14ac:dyDescent="0.25">
      <c r="A1384">
        <v>1380</v>
      </c>
      <c r="B1384">
        <v>324</v>
      </c>
      <c r="C1384" s="24">
        <v>44784</v>
      </c>
      <c r="D1384" s="238" t="s">
        <v>27</v>
      </c>
      <c r="E1384" s="238" t="s">
        <v>13</v>
      </c>
      <c r="F1384">
        <v>2</v>
      </c>
      <c r="G1384">
        <v>2</v>
      </c>
      <c r="H1384">
        <v>832</v>
      </c>
      <c r="I1384" s="238" t="s">
        <v>44</v>
      </c>
      <c r="J1384">
        <v>86.1</v>
      </c>
      <c r="K1384" s="238" t="s">
        <v>38</v>
      </c>
      <c r="L1384">
        <v>6259500</v>
      </c>
      <c r="M1384">
        <v>0</v>
      </c>
      <c r="N1384">
        <v>6259500</v>
      </c>
      <c r="O1384">
        <v>72700.348432055747</v>
      </c>
      <c r="P1384">
        <v>0</v>
      </c>
      <c r="Q1384">
        <v>6259500</v>
      </c>
      <c r="R1384">
        <v>72700.348432055747</v>
      </c>
      <c r="S1384" s="238" t="s">
        <v>124</v>
      </c>
      <c r="T1384" s="238" t="s">
        <v>1167</v>
      </c>
      <c r="V1384" t="s">
        <v>1167</v>
      </c>
      <c r="W1384" s="24">
        <v>44781</v>
      </c>
      <c r="X1384" s="238" t="s">
        <v>3284</v>
      </c>
      <c r="Y1384" s="238" t="s">
        <v>3247</v>
      </c>
      <c r="Z1384" s="238" t="s">
        <v>1340</v>
      </c>
      <c r="AA1384" t="s">
        <v>1167</v>
      </c>
      <c r="AB1384" s="238" t="s">
        <v>3246</v>
      </c>
      <c r="AC1384" t="s">
        <v>1167</v>
      </c>
      <c r="AD1384" s="24"/>
      <c r="AE1384" s="238" t="s">
        <v>3248</v>
      </c>
      <c r="AG1384" s="238" t="s">
        <v>1167</v>
      </c>
      <c r="AH1384" s="238" t="s">
        <v>1167</v>
      </c>
      <c r="AI1384" s="238" t="s">
        <v>5050</v>
      </c>
      <c r="AJ1384" s="238" t="s">
        <v>982</v>
      </c>
      <c r="AK1384" s="238" t="s">
        <v>1167</v>
      </c>
      <c r="AL1384" t="s">
        <v>8715</v>
      </c>
      <c r="AM1384" t="s">
        <v>1167</v>
      </c>
    </row>
    <row r="1385" spans="1:39" hidden="1" x14ac:dyDescent="0.25">
      <c r="A1385">
        <v>1381</v>
      </c>
      <c r="B1385">
        <v>325</v>
      </c>
      <c r="C1385" s="24">
        <v>44784</v>
      </c>
      <c r="D1385" s="238" t="s">
        <v>27</v>
      </c>
      <c r="E1385" s="238" t="s">
        <v>13</v>
      </c>
      <c r="F1385">
        <v>4</v>
      </c>
      <c r="G1385">
        <v>2</v>
      </c>
      <c r="H1385">
        <v>834</v>
      </c>
      <c r="I1385" s="238" t="s">
        <v>42</v>
      </c>
      <c r="J1385">
        <v>37.229999999999997</v>
      </c>
      <c r="K1385" s="238" t="s">
        <v>38</v>
      </c>
      <c r="L1385">
        <v>2693250</v>
      </c>
      <c r="M1385">
        <v>0</v>
      </c>
      <c r="N1385">
        <v>2693250</v>
      </c>
      <c r="O1385">
        <v>72340.854149879131</v>
      </c>
      <c r="P1385">
        <v>0</v>
      </c>
      <c r="Q1385">
        <v>2693250</v>
      </c>
      <c r="R1385">
        <v>72340.854149879131</v>
      </c>
      <c r="S1385" s="238" t="s">
        <v>124</v>
      </c>
      <c r="T1385" s="238" t="s">
        <v>1167</v>
      </c>
      <c r="V1385" t="s">
        <v>1167</v>
      </c>
      <c r="W1385" s="24">
        <v>44781</v>
      </c>
      <c r="X1385" s="238" t="s">
        <v>3284</v>
      </c>
      <c r="Y1385" s="238" t="s">
        <v>3247</v>
      </c>
      <c r="Z1385" s="238" t="s">
        <v>1340</v>
      </c>
      <c r="AA1385" t="s">
        <v>1167</v>
      </c>
      <c r="AB1385" s="238" t="s">
        <v>3246</v>
      </c>
      <c r="AC1385" t="s">
        <v>1167</v>
      </c>
      <c r="AD1385" s="24"/>
      <c r="AE1385" s="238" t="s">
        <v>3248</v>
      </c>
      <c r="AG1385" s="238" t="s">
        <v>1167</v>
      </c>
      <c r="AH1385" s="238" t="s">
        <v>1167</v>
      </c>
      <c r="AI1385" s="238" t="s">
        <v>5050</v>
      </c>
      <c r="AJ1385" s="238" t="s">
        <v>982</v>
      </c>
      <c r="AK1385" s="238" t="s">
        <v>1167</v>
      </c>
      <c r="AL1385" t="s">
        <v>8715</v>
      </c>
      <c r="AM1385" t="s">
        <v>1167</v>
      </c>
    </row>
    <row r="1386" spans="1:39" hidden="1" x14ac:dyDescent="0.25">
      <c r="A1386">
        <v>1382</v>
      </c>
      <c r="B1386">
        <v>326</v>
      </c>
      <c r="C1386" s="24">
        <v>44784</v>
      </c>
      <c r="D1386" s="238" t="s">
        <v>27</v>
      </c>
      <c r="E1386" s="238" t="s">
        <v>13</v>
      </c>
      <c r="F1386">
        <v>5</v>
      </c>
      <c r="G1386">
        <v>2</v>
      </c>
      <c r="H1386">
        <v>835</v>
      </c>
      <c r="I1386" s="238" t="s">
        <v>42</v>
      </c>
      <c r="J1386">
        <v>37.270000000000003</v>
      </c>
      <c r="K1386" s="238" t="s">
        <v>38</v>
      </c>
      <c r="L1386">
        <v>2699250</v>
      </c>
      <c r="M1386">
        <v>0</v>
      </c>
      <c r="N1386">
        <v>2699250</v>
      </c>
      <c r="O1386">
        <v>72424.201770861269</v>
      </c>
      <c r="P1386">
        <v>0</v>
      </c>
      <c r="Q1386">
        <v>2699250</v>
      </c>
      <c r="R1386">
        <v>72424.201770861269</v>
      </c>
      <c r="S1386" s="238" t="s">
        <v>124</v>
      </c>
      <c r="T1386" s="238" t="s">
        <v>1167</v>
      </c>
      <c r="V1386" t="s">
        <v>1167</v>
      </c>
      <c r="W1386" s="24">
        <v>44781</v>
      </c>
      <c r="X1386" s="238" t="s">
        <v>3284</v>
      </c>
      <c r="Y1386" s="238" t="s">
        <v>3247</v>
      </c>
      <c r="Z1386" s="238" t="s">
        <v>1340</v>
      </c>
      <c r="AA1386" t="s">
        <v>1167</v>
      </c>
      <c r="AB1386" s="238" t="s">
        <v>3246</v>
      </c>
      <c r="AC1386" t="s">
        <v>1167</v>
      </c>
      <c r="AD1386" s="24"/>
      <c r="AE1386" s="238" t="s">
        <v>3248</v>
      </c>
      <c r="AG1386" s="238" t="s">
        <v>1167</v>
      </c>
      <c r="AH1386" s="238" t="s">
        <v>1167</v>
      </c>
      <c r="AI1386" s="238" t="s">
        <v>5050</v>
      </c>
      <c r="AJ1386" s="238" t="s">
        <v>982</v>
      </c>
      <c r="AK1386" s="238" t="s">
        <v>1167</v>
      </c>
      <c r="AL1386" t="s">
        <v>8715</v>
      </c>
      <c r="AM1386" t="s">
        <v>1167</v>
      </c>
    </row>
    <row r="1387" spans="1:39" hidden="1" x14ac:dyDescent="0.25">
      <c r="A1387">
        <v>1383</v>
      </c>
      <c r="B1387">
        <v>327</v>
      </c>
      <c r="C1387" s="24">
        <v>44784</v>
      </c>
      <c r="D1387" s="238" t="s">
        <v>27</v>
      </c>
      <c r="E1387" s="238" t="s">
        <v>13</v>
      </c>
      <c r="F1387">
        <v>7</v>
      </c>
      <c r="G1387">
        <v>2</v>
      </c>
      <c r="H1387">
        <v>837</v>
      </c>
      <c r="I1387" s="238" t="s">
        <v>43</v>
      </c>
      <c r="J1387">
        <v>62.69</v>
      </c>
      <c r="K1387" s="238" t="s">
        <v>38</v>
      </c>
      <c r="L1387">
        <v>4504500</v>
      </c>
      <c r="M1387">
        <v>0</v>
      </c>
      <c r="N1387">
        <v>4504500</v>
      </c>
      <c r="O1387">
        <v>71853.565161907798</v>
      </c>
      <c r="P1387">
        <v>0</v>
      </c>
      <c r="Q1387">
        <v>4504500</v>
      </c>
      <c r="R1387">
        <v>71853.565161907798</v>
      </c>
      <c r="S1387" s="238" t="s">
        <v>124</v>
      </c>
      <c r="T1387" s="238" t="s">
        <v>1167</v>
      </c>
      <c r="V1387" t="s">
        <v>1167</v>
      </c>
      <c r="W1387" s="24">
        <v>44781</v>
      </c>
      <c r="X1387" s="238" t="s">
        <v>3284</v>
      </c>
      <c r="Y1387" s="238" t="s">
        <v>3247</v>
      </c>
      <c r="Z1387" s="238" t="s">
        <v>1340</v>
      </c>
      <c r="AA1387" t="s">
        <v>1167</v>
      </c>
      <c r="AB1387" s="238" t="s">
        <v>3246</v>
      </c>
      <c r="AC1387" t="s">
        <v>1167</v>
      </c>
      <c r="AD1387" s="24"/>
      <c r="AE1387" s="238" t="s">
        <v>3248</v>
      </c>
      <c r="AG1387" s="238" t="s">
        <v>1167</v>
      </c>
      <c r="AH1387" s="238" t="s">
        <v>1167</v>
      </c>
      <c r="AI1387" s="238" t="s">
        <v>5050</v>
      </c>
      <c r="AJ1387" s="238" t="s">
        <v>982</v>
      </c>
      <c r="AK1387" s="238" t="s">
        <v>1167</v>
      </c>
      <c r="AL1387" t="s">
        <v>8715</v>
      </c>
      <c r="AM1387" t="s">
        <v>1167</v>
      </c>
    </row>
    <row r="1388" spans="1:39" hidden="1" x14ac:dyDescent="0.25">
      <c r="A1388">
        <v>1384</v>
      </c>
      <c r="B1388">
        <v>328</v>
      </c>
      <c r="C1388" s="24">
        <v>44784</v>
      </c>
      <c r="D1388" s="238" t="s">
        <v>27</v>
      </c>
      <c r="E1388" s="238" t="s">
        <v>13</v>
      </c>
      <c r="F1388">
        <v>1</v>
      </c>
      <c r="G1388">
        <v>3</v>
      </c>
      <c r="H1388">
        <v>840</v>
      </c>
      <c r="I1388" s="238" t="s">
        <v>42</v>
      </c>
      <c r="J1388">
        <v>37.15</v>
      </c>
      <c r="K1388" s="238" t="s">
        <v>38</v>
      </c>
      <c r="L1388">
        <v>2690250</v>
      </c>
      <c r="M1388">
        <v>0</v>
      </c>
      <c r="N1388">
        <v>2690250</v>
      </c>
      <c r="O1388">
        <v>72415.881561238231</v>
      </c>
      <c r="P1388">
        <v>0</v>
      </c>
      <c r="Q1388">
        <v>2690250</v>
      </c>
      <c r="R1388">
        <v>72415.881561238231</v>
      </c>
      <c r="S1388" s="238" t="s">
        <v>124</v>
      </c>
      <c r="T1388" s="238" t="s">
        <v>1167</v>
      </c>
      <c r="V1388" t="s">
        <v>1167</v>
      </c>
      <c r="W1388" s="24">
        <v>44781</v>
      </c>
      <c r="X1388" s="238" t="s">
        <v>3284</v>
      </c>
      <c r="Y1388" s="238" t="s">
        <v>3247</v>
      </c>
      <c r="Z1388" s="238" t="s">
        <v>1340</v>
      </c>
      <c r="AA1388" t="s">
        <v>1167</v>
      </c>
      <c r="AB1388" s="238" t="s">
        <v>3246</v>
      </c>
      <c r="AC1388" t="s">
        <v>1167</v>
      </c>
      <c r="AD1388" s="24"/>
      <c r="AE1388" s="238" t="s">
        <v>3248</v>
      </c>
      <c r="AG1388" s="238" t="s">
        <v>1167</v>
      </c>
      <c r="AH1388" s="238" t="s">
        <v>1167</v>
      </c>
      <c r="AI1388" s="238" t="s">
        <v>5050</v>
      </c>
      <c r="AJ1388" s="238" t="s">
        <v>982</v>
      </c>
      <c r="AK1388" s="238" t="s">
        <v>1167</v>
      </c>
      <c r="AL1388" t="s">
        <v>8715</v>
      </c>
      <c r="AM1388" t="s">
        <v>1167</v>
      </c>
    </row>
    <row r="1389" spans="1:39" hidden="1" x14ac:dyDescent="0.25">
      <c r="A1389">
        <v>1385</v>
      </c>
      <c r="B1389">
        <v>329</v>
      </c>
      <c r="C1389" s="24">
        <v>44784</v>
      </c>
      <c r="D1389" s="238" t="s">
        <v>27</v>
      </c>
      <c r="E1389" s="238" t="s">
        <v>13</v>
      </c>
      <c r="F1389">
        <v>2</v>
      </c>
      <c r="G1389">
        <v>3</v>
      </c>
      <c r="H1389">
        <v>841</v>
      </c>
      <c r="I1389" s="238" t="s">
        <v>44</v>
      </c>
      <c r="J1389">
        <v>86.1</v>
      </c>
      <c r="K1389" s="238" t="s">
        <v>38</v>
      </c>
      <c r="L1389">
        <v>6259500</v>
      </c>
      <c r="M1389">
        <v>0</v>
      </c>
      <c r="N1389">
        <v>6259500</v>
      </c>
      <c r="O1389">
        <v>72700.348432055747</v>
      </c>
      <c r="P1389">
        <v>0</v>
      </c>
      <c r="Q1389">
        <v>6259500</v>
      </c>
      <c r="R1389">
        <v>72700.348432055747</v>
      </c>
      <c r="S1389" s="238" t="s">
        <v>124</v>
      </c>
      <c r="T1389" s="238" t="s">
        <v>1167</v>
      </c>
      <c r="V1389" t="s">
        <v>1167</v>
      </c>
      <c r="W1389" s="24">
        <v>44781</v>
      </c>
      <c r="X1389" s="238" t="s">
        <v>3284</v>
      </c>
      <c r="Y1389" s="238" t="s">
        <v>3247</v>
      </c>
      <c r="Z1389" s="238" t="s">
        <v>1340</v>
      </c>
      <c r="AA1389" t="s">
        <v>1167</v>
      </c>
      <c r="AB1389" s="238" t="s">
        <v>3246</v>
      </c>
      <c r="AC1389" t="s">
        <v>1167</v>
      </c>
      <c r="AD1389" s="24"/>
      <c r="AE1389" s="238" t="s">
        <v>3248</v>
      </c>
      <c r="AG1389" s="238" t="s">
        <v>1167</v>
      </c>
      <c r="AH1389" s="238" t="s">
        <v>1167</v>
      </c>
      <c r="AI1389" s="238" t="s">
        <v>5050</v>
      </c>
      <c r="AJ1389" s="238" t="s">
        <v>982</v>
      </c>
      <c r="AK1389" s="238" t="s">
        <v>1167</v>
      </c>
      <c r="AL1389" t="s">
        <v>8715</v>
      </c>
      <c r="AM1389" t="s">
        <v>1167</v>
      </c>
    </row>
    <row r="1390" spans="1:39" hidden="1" x14ac:dyDescent="0.25">
      <c r="A1390">
        <v>1386</v>
      </c>
      <c r="B1390">
        <v>330</v>
      </c>
      <c r="C1390" s="24">
        <v>44784</v>
      </c>
      <c r="D1390" s="238" t="s">
        <v>27</v>
      </c>
      <c r="E1390" s="238" t="s">
        <v>13</v>
      </c>
      <c r="F1390">
        <v>3</v>
      </c>
      <c r="G1390">
        <v>3</v>
      </c>
      <c r="H1390">
        <v>842</v>
      </c>
      <c r="I1390" s="238" t="s">
        <v>42</v>
      </c>
      <c r="J1390">
        <v>37.31</v>
      </c>
      <c r="K1390" s="238" t="s">
        <v>38</v>
      </c>
      <c r="L1390">
        <v>2699250</v>
      </c>
      <c r="M1390">
        <v>0</v>
      </c>
      <c r="N1390">
        <v>2699250</v>
      </c>
      <c r="O1390">
        <v>72346.555883141249</v>
      </c>
      <c r="P1390">
        <v>0</v>
      </c>
      <c r="Q1390">
        <v>2699250</v>
      </c>
      <c r="R1390">
        <v>72346.555883141249</v>
      </c>
      <c r="S1390" s="238" t="s">
        <v>124</v>
      </c>
      <c r="T1390" s="238" t="s">
        <v>1167</v>
      </c>
      <c r="V1390" t="s">
        <v>1167</v>
      </c>
      <c r="W1390" s="24">
        <v>44781</v>
      </c>
      <c r="X1390" s="238" t="s">
        <v>3284</v>
      </c>
      <c r="Y1390" s="238" t="s">
        <v>3247</v>
      </c>
      <c r="Z1390" s="238" t="s">
        <v>1340</v>
      </c>
      <c r="AA1390" t="s">
        <v>1167</v>
      </c>
      <c r="AB1390" s="238" t="s">
        <v>3246</v>
      </c>
      <c r="AC1390" t="s">
        <v>1167</v>
      </c>
      <c r="AD1390" s="24"/>
      <c r="AE1390" s="238" t="s">
        <v>3248</v>
      </c>
      <c r="AG1390" s="238" t="s">
        <v>1167</v>
      </c>
      <c r="AH1390" s="238" t="s">
        <v>1167</v>
      </c>
      <c r="AI1390" s="238" t="s">
        <v>5050</v>
      </c>
      <c r="AJ1390" s="238" t="s">
        <v>982</v>
      </c>
      <c r="AK1390" s="238" t="s">
        <v>1167</v>
      </c>
      <c r="AL1390" t="s">
        <v>8715</v>
      </c>
      <c r="AM1390" t="s">
        <v>1167</v>
      </c>
    </row>
    <row r="1391" spans="1:39" hidden="1" x14ac:dyDescent="0.25">
      <c r="A1391">
        <v>1387</v>
      </c>
      <c r="B1391">
        <v>331</v>
      </c>
      <c r="C1391" s="24">
        <v>44784</v>
      </c>
      <c r="D1391" s="238" t="s">
        <v>27</v>
      </c>
      <c r="E1391" s="238" t="s">
        <v>13</v>
      </c>
      <c r="F1391">
        <v>4</v>
      </c>
      <c r="G1391">
        <v>3</v>
      </c>
      <c r="H1391">
        <v>843</v>
      </c>
      <c r="I1391" s="238" t="s">
        <v>42</v>
      </c>
      <c r="J1391">
        <v>37.229999999999997</v>
      </c>
      <c r="K1391" s="238" t="s">
        <v>38</v>
      </c>
      <c r="L1391">
        <v>2693250</v>
      </c>
      <c r="M1391">
        <v>0</v>
      </c>
      <c r="N1391">
        <v>2693250</v>
      </c>
      <c r="O1391">
        <v>72340.854149879131</v>
      </c>
      <c r="P1391">
        <v>0</v>
      </c>
      <c r="Q1391">
        <v>2693250</v>
      </c>
      <c r="R1391">
        <v>72340.854149879131</v>
      </c>
      <c r="S1391" s="238" t="s">
        <v>124</v>
      </c>
      <c r="T1391" s="238" t="s">
        <v>1167</v>
      </c>
      <c r="V1391" t="s">
        <v>1167</v>
      </c>
      <c r="W1391" s="24">
        <v>44781</v>
      </c>
      <c r="X1391" s="238" t="s">
        <v>3284</v>
      </c>
      <c r="Y1391" s="238" t="s">
        <v>3247</v>
      </c>
      <c r="Z1391" s="238" t="s">
        <v>1340</v>
      </c>
      <c r="AA1391" t="s">
        <v>1167</v>
      </c>
      <c r="AB1391" s="238" t="s">
        <v>3246</v>
      </c>
      <c r="AC1391" t="s">
        <v>1167</v>
      </c>
      <c r="AD1391" s="24"/>
      <c r="AE1391" s="238" t="s">
        <v>3248</v>
      </c>
      <c r="AG1391" s="238" t="s">
        <v>1167</v>
      </c>
      <c r="AH1391" s="238" t="s">
        <v>1167</v>
      </c>
      <c r="AI1391" s="238" t="s">
        <v>5050</v>
      </c>
      <c r="AJ1391" s="238" t="s">
        <v>982</v>
      </c>
      <c r="AK1391" s="238" t="s">
        <v>1167</v>
      </c>
      <c r="AL1391" t="s">
        <v>8715</v>
      </c>
      <c r="AM1391" t="s">
        <v>1167</v>
      </c>
    </row>
    <row r="1392" spans="1:39" hidden="1" x14ac:dyDescent="0.25">
      <c r="A1392">
        <v>1388</v>
      </c>
      <c r="B1392">
        <v>332</v>
      </c>
      <c r="C1392" s="24">
        <v>44784</v>
      </c>
      <c r="D1392" s="238" t="s">
        <v>27</v>
      </c>
      <c r="E1392" s="238" t="s">
        <v>13</v>
      </c>
      <c r="F1392">
        <v>5</v>
      </c>
      <c r="G1392">
        <v>3</v>
      </c>
      <c r="H1392">
        <v>844</v>
      </c>
      <c r="I1392" s="238" t="s">
        <v>42</v>
      </c>
      <c r="J1392">
        <v>37.270000000000003</v>
      </c>
      <c r="K1392" s="238" t="s">
        <v>38</v>
      </c>
      <c r="L1392">
        <v>2699250</v>
      </c>
      <c r="M1392">
        <v>0</v>
      </c>
      <c r="N1392">
        <v>2699250</v>
      </c>
      <c r="O1392">
        <v>72424.201770861269</v>
      </c>
      <c r="P1392">
        <v>0</v>
      </c>
      <c r="Q1392">
        <v>2699250</v>
      </c>
      <c r="R1392">
        <v>72424.201770861269</v>
      </c>
      <c r="S1392" s="238" t="s">
        <v>124</v>
      </c>
      <c r="T1392" s="238" t="s">
        <v>1167</v>
      </c>
      <c r="V1392" t="s">
        <v>1167</v>
      </c>
      <c r="W1392" s="24">
        <v>44781</v>
      </c>
      <c r="X1392" s="238" t="s">
        <v>3284</v>
      </c>
      <c r="Y1392" s="238" t="s">
        <v>3247</v>
      </c>
      <c r="Z1392" s="238" t="s">
        <v>1340</v>
      </c>
      <c r="AA1392" t="s">
        <v>1167</v>
      </c>
      <c r="AB1392" s="238" t="s">
        <v>3246</v>
      </c>
      <c r="AC1392" t="s">
        <v>1167</v>
      </c>
      <c r="AD1392" s="24"/>
      <c r="AE1392" s="238" t="s">
        <v>3248</v>
      </c>
      <c r="AG1392" s="238" t="s">
        <v>1167</v>
      </c>
      <c r="AH1392" s="238" t="s">
        <v>1167</v>
      </c>
      <c r="AI1392" s="238" t="s">
        <v>5050</v>
      </c>
      <c r="AJ1392" s="238" t="s">
        <v>982</v>
      </c>
      <c r="AK1392" s="238" t="s">
        <v>1167</v>
      </c>
      <c r="AL1392" t="s">
        <v>8715</v>
      </c>
      <c r="AM1392" t="s">
        <v>1167</v>
      </c>
    </row>
    <row r="1393" spans="1:39" hidden="1" x14ac:dyDescent="0.25">
      <c r="A1393">
        <v>1389</v>
      </c>
      <c r="B1393">
        <v>333</v>
      </c>
      <c r="C1393" s="24">
        <v>44784</v>
      </c>
      <c r="D1393" s="238" t="s">
        <v>27</v>
      </c>
      <c r="E1393" s="238" t="s">
        <v>13</v>
      </c>
      <c r="F1393">
        <v>7</v>
      </c>
      <c r="G1393">
        <v>3</v>
      </c>
      <c r="H1393">
        <v>846</v>
      </c>
      <c r="I1393" s="238" t="s">
        <v>43</v>
      </c>
      <c r="J1393">
        <v>62.69</v>
      </c>
      <c r="K1393" s="238" t="s">
        <v>38</v>
      </c>
      <c r="L1393">
        <v>4504500</v>
      </c>
      <c r="M1393">
        <v>0</v>
      </c>
      <c r="N1393">
        <v>4504500</v>
      </c>
      <c r="O1393">
        <v>71853.565161907798</v>
      </c>
      <c r="P1393">
        <v>0</v>
      </c>
      <c r="Q1393">
        <v>4504500</v>
      </c>
      <c r="R1393">
        <v>71853.565161907798</v>
      </c>
      <c r="S1393" s="238" t="s">
        <v>124</v>
      </c>
      <c r="T1393" s="238" t="s">
        <v>1167</v>
      </c>
      <c r="V1393" t="s">
        <v>1167</v>
      </c>
      <c r="W1393" s="24">
        <v>44781</v>
      </c>
      <c r="X1393" s="238" t="s">
        <v>3284</v>
      </c>
      <c r="Y1393" s="238" t="s">
        <v>3247</v>
      </c>
      <c r="Z1393" s="238" t="s">
        <v>1340</v>
      </c>
      <c r="AA1393" t="s">
        <v>1167</v>
      </c>
      <c r="AB1393" s="238" t="s">
        <v>3246</v>
      </c>
      <c r="AC1393" t="s">
        <v>1167</v>
      </c>
      <c r="AD1393" s="24"/>
      <c r="AE1393" s="238" t="s">
        <v>3248</v>
      </c>
      <c r="AG1393" s="238" t="s">
        <v>1167</v>
      </c>
      <c r="AH1393" s="238" t="s">
        <v>1167</v>
      </c>
      <c r="AI1393" s="238" t="s">
        <v>5050</v>
      </c>
      <c r="AJ1393" s="238" t="s">
        <v>982</v>
      </c>
      <c r="AK1393" s="238" t="s">
        <v>1167</v>
      </c>
      <c r="AL1393" t="s">
        <v>8715</v>
      </c>
      <c r="AM1393" t="s">
        <v>1167</v>
      </c>
    </row>
    <row r="1394" spans="1:39" hidden="1" x14ac:dyDescent="0.25">
      <c r="A1394">
        <v>1390</v>
      </c>
      <c r="B1394">
        <v>334</v>
      </c>
      <c r="C1394" s="24">
        <v>44784</v>
      </c>
      <c r="D1394" s="238" t="s">
        <v>27</v>
      </c>
      <c r="E1394" s="238" t="s">
        <v>13</v>
      </c>
      <c r="F1394">
        <v>1</v>
      </c>
      <c r="G1394">
        <v>4</v>
      </c>
      <c r="H1394">
        <v>849</v>
      </c>
      <c r="I1394" s="238" t="s">
        <v>42</v>
      </c>
      <c r="J1394">
        <v>37.15</v>
      </c>
      <c r="K1394" s="238" t="s">
        <v>38</v>
      </c>
      <c r="L1394">
        <v>2690250</v>
      </c>
      <c r="M1394">
        <v>0</v>
      </c>
      <c r="N1394">
        <v>2690250</v>
      </c>
      <c r="O1394">
        <v>72415.881561238231</v>
      </c>
      <c r="P1394">
        <v>0</v>
      </c>
      <c r="Q1394">
        <v>2690250</v>
      </c>
      <c r="R1394">
        <v>72415.881561238231</v>
      </c>
      <c r="S1394" s="238" t="s">
        <v>124</v>
      </c>
      <c r="T1394" s="238" t="s">
        <v>1167</v>
      </c>
      <c r="V1394" t="s">
        <v>1167</v>
      </c>
      <c r="W1394" s="24">
        <v>44781</v>
      </c>
      <c r="X1394" s="238" t="s">
        <v>3285</v>
      </c>
      <c r="Y1394" s="238" t="s">
        <v>3247</v>
      </c>
      <c r="Z1394" s="238" t="s">
        <v>1340</v>
      </c>
      <c r="AA1394" t="s">
        <v>1167</v>
      </c>
      <c r="AB1394" s="238" t="s">
        <v>3246</v>
      </c>
      <c r="AC1394" t="s">
        <v>1167</v>
      </c>
      <c r="AD1394" s="24"/>
      <c r="AE1394" s="238" t="s">
        <v>3248</v>
      </c>
      <c r="AG1394" s="238" t="s">
        <v>1167</v>
      </c>
      <c r="AH1394" s="238" t="s">
        <v>1167</v>
      </c>
      <c r="AI1394" s="238" t="s">
        <v>5050</v>
      </c>
      <c r="AJ1394" s="238" t="s">
        <v>982</v>
      </c>
      <c r="AK1394" s="238" t="s">
        <v>1167</v>
      </c>
      <c r="AL1394" t="s">
        <v>8715</v>
      </c>
      <c r="AM1394" t="s">
        <v>1167</v>
      </c>
    </row>
    <row r="1395" spans="1:39" hidden="1" x14ac:dyDescent="0.25">
      <c r="A1395">
        <v>1391</v>
      </c>
      <c r="B1395">
        <v>335</v>
      </c>
      <c r="C1395" s="24">
        <v>44784</v>
      </c>
      <c r="D1395" s="238" t="s">
        <v>27</v>
      </c>
      <c r="E1395" s="238" t="s">
        <v>13</v>
      </c>
      <c r="F1395">
        <v>2</v>
      </c>
      <c r="G1395">
        <v>4</v>
      </c>
      <c r="H1395">
        <v>850</v>
      </c>
      <c r="I1395" s="238" t="s">
        <v>44</v>
      </c>
      <c r="J1395">
        <v>86.1</v>
      </c>
      <c r="K1395" s="238" t="s">
        <v>38</v>
      </c>
      <c r="L1395">
        <v>6259500</v>
      </c>
      <c r="M1395">
        <v>0</v>
      </c>
      <c r="N1395">
        <v>6259500</v>
      </c>
      <c r="O1395">
        <v>72700.348432055747</v>
      </c>
      <c r="P1395">
        <v>0</v>
      </c>
      <c r="Q1395">
        <v>6259500</v>
      </c>
      <c r="R1395">
        <v>72700.348432055747</v>
      </c>
      <c r="S1395" s="238" t="s">
        <v>124</v>
      </c>
      <c r="T1395" s="238" t="s">
        <v>1167</v>
      </c>
      <c r="V1395" t="s">
        <v>1167</v>
      </c>
      <c r="W1395" s="24">
        <v>44781</v>
      </c>
      <c r="X1395" s="238" t="s">
        <v>3285</v>
      </c>
      <c r="Y1395" s="238" t="s">
        <v>3247</v>
      </c>
      <c r="Z1395" s="238" t="s">
        <v>1340</v>
      </c>
      <c r="AA1395" t="s">
        <v>1167</v>
      </c>
      <c r="AB1395" s="238" t="s">
        <v>3246</v>
      </c>
      <c r="AC1395" t="s">
        <v>1167</v>
      </c>
      <c r="AD1395" s="24"/>
      <c r="AE1395" s="238" t="s">
        <v>3248</v>
      </c>
      <c r="AG1395" s="238" t="s">
        <v>1167</v>
      </c>
      <c r="AH1395" s="238" t="s">
        <v>1167</v>
      </c>
      <c r="AI1395" s="238" t="s">
        <v>5050</v>
      </c>
      <c r="AJ1395" s="238" t="s">
        <v>982</v>
      </c>
      <c r="AK1395" s="238" t="s">
        <v>1167</v>
      </c>
      <c r="AL1395" t="s">
        <v>8715</v>
      </c>
      <c r="AM1395" t="s">
        <v>1167</v>
      </c>
    </row>
    <row r="1396" spans="1:39" hidden="1" x14ac:dyDescent="0.25">
      <c r="A1396">
        <v>1392</v>
      </c>
      <c r="B1396">
        <v>336</v>
      </c>
      <c r="C1396" s="24">
        <v>44784</v>
      </c>
      <c r="D1396" s="238" t="s">
        <v>27</v>
      </c>
      <c r="E1396" s="238" t="s">
        <v>13</v>
      </c>
      <c r="F1396">
        <v>4</v>
      </c>
      <c r="G1396">
        <v>4</v>
      </c>
      <c r="H1396">
        <v>852</v>
      </c>
      <c r="I1396" s="238" t="s">
        <v>42</v>
      </c>
      <c r="J1396">
        <v>37.229999999999997</v>
      </c>
      <c r="K1396" s="238" t="s">
        <v>38</v>
      </c>
      <c r="L1396">
        <v>2693250</v>
      </c>
      <c r="M1396">
        <v>0</v>
      </c>
      <c r="N1396">
        <v>2693250</v>
      </c>
      <c r="O1396">
        <v>72340.854149879131</v>
      </c>
      <c r="P1396">
        <v>0</v>
      </c>
      <c r="Q1396">
        <v>2693250</v>
      </c>
      <c r="R1396">
        <v>72340.854149879131</v>
      </c>
      <c r="S1396" s="238" t="s">
        <v>124</v>
      </c>
      <c r="T1396" s="238" t="s">
        <v>1167</v>
      </c>
      <c r="V1396" t="s">
        <v>1167</v>
      </c>
      <c r="W1396" s="24">
        <v>44781</v>
      </c>
      <c r="X1396" s="238" t="s">
        <v>3285</v>
      </c>
      <c r="Y1396" s="238" t="s">
        <v>3247</v>
      </c>
      <c r="Z1396" s="238" t="s">
        <v>1340</v>
      </c>
      <c r="AA1396" t="s">
        <v>1167</v>
      </c>
      <c r="AB1396" s="238" t="s">
        <v>3246</v>
      </c>
      <c r="AC1396" t="s">
        <v>1167</v>
      </c>
      <c r="AD1396" s="24"/>
      <c r="AE1396" s="238" t="s">
        <v>3248</v>
      </c>
      <c r="AG1396" s="238" t="s">
        <v>1167</v>
      </c>
      <c r="AH1396" s="238" t="s">
        <v>1167</v>
      </c>
      <c r="AI1396" s="238" t="s">
        <v>5050</v>
      </c>
      <c r="AJ1396" s="238" t="s">
        <v>982</v>
      </c>
      <c r="AK1396" s="238" t="s">
        <v>1167</v>
      </c>
      <c r="AL1396" t="s">
        <v>8715</v>
      </c>
      <c r="AM1396" t="s">
        <v>1167</v>
      </c>
    </row>
    <row r="1397" spans="1:39" hidden="1" x14ac:dyDescent="0.25">
      <c r="A1397">
        <v>1393</v>
      </c>
      <c r="B1397">
        <v>337</v>
      </c>
      <c r="C1397" s="24">
        <v>44784</v>
      </c>
      <c r="D1397" s="238" t="s">
        <v>27</v>
      </c>
      <c r="E1397" s="238" t="s">
        <v>13</v>
      </c>
      <c r="F1397">
        <v>5</v>
      </c>
      <c r="G1397">
        <v>4</v>
      </c>
      <c r="H1397">
        <v>853</v>
      </c>
      <c r="I1397" s="238" t="s">
        <v>42</v>
      </c>
      <c r="J1397">
        <v>37.270000000000003</v>
      </c>
      <c r="K1397" s="238" t="s">
        <v>38</v>
      </c>
      <c r="L1397">
        <v>2699250</v>
      </c>
      <c r="M1397">
        <v>0</v>
      </c>
      <c r="N1397">
        <v>2699250</v>
      </c>
      <c r="O1397">
        <v>72424.201770861269</v>
      </c>
      <c r="P1397">
        <v>0</v>
      </c>
      <c r="Q1397">
        <v>2699250</v>
      </c>
      <c r="R1397">
        <v>72424.201770861269</v>
      </c>
      <c r="S1397" s="238" t="s">
        <v>124</v>
      </c>
      <c r="T1397" s="238" t="s">
        <v>1167</v>
      </c>
      <c r="V1397" t="s">
        <v>1167</v>
      </c>
      <c r="W1397" s="24">
        <v>44781</v>
      </c>
      <c r="X1397" s="238" t="s">
        <v>3285</v>
      </c>
      <c r="Y1397" s="238" t="s">
        <v>3247</v>
      </c>
      <c r="Z1397" s="238" t="s">
        <v>1340</v>
      </c>
      <c r="AA1397" t="s">
        <v>1167</v>
      </c>
      <c r="AB1397" s="238" t="s">
        <v>3246</v>
      </c>
      <c r="AC1397" t="s">
        <v>1167</v>
      </c>
      <c r="AD1397" s="24"/>
      <c r="AE1397" s="238" t="s">
        <v>3248</v>
      </c>
      <c r="AG1397" s="238" t="s">
        <v>1167</v>
      </c>
      <c r="AH1397" s="238" t="s">
        <v>1167</v>
      </c>
      <c r="AI1397" s="238" t="s">
        <v>5050</v>
      </c>
      <c r="AJ1397" s="238" t="s">
        <v>982</v>
      </c>
      <c r="AK1397" s="238" t="s">
        <v>1167</v>
      </c>
      <c r="AL1397" t="s">
        <v>8715</v>
      </c>
      <c r="AM1397" t="s">
        <v>1167</v>
      </c>
    </row>
    <row r="1398" spans="1:39" hidden="1" x14ac:dyDescent="0.25">
      <c r="A1398">
        <v>1394</v>
      </c>
      <c r="B1398">
        <v>338</v>
      </c>
      <c r="C1398" s="24">
        <v>44784</v>
      </c>
      <c r="D1398" s="238" t="s">
        <v>27</v>
      </c>
      <c r="E1398" s="238" t="s">
        <v>13</v>
      </c>
      <c r="F1398">
        <v>7</v>
      </c>
      <c r="G1398">
        <v>4</v>
      </c>
      <c r="H1398">
        <v>855</v>
      </c>
      <c r="I1398" s="238" t="s">
        <v>43</v>
      </c>
      <c r="J1398">
        <v>62.69</v>
      </c>
      <c r="K1398" s="238" t="s">
        <v>38</v>
      </c>
      <c r="L1398">
        <v>4504500</v>
      </c>
      <c r="M1398">
        <v>0</v>
      </c>
      <c r="N1398">
        <v>4504500</v>
      </c>
      <c r="O1398">
        <v>71853.565161907798</v>
      </c>
      <c r="P1398">
        <v>0</v>
      </c>
      <c r="Q1398">
        <v>4504500</v>
      </c>
      <c r="R1398">
        <v>71853.565161907798</v>
      </c>
      <c r="S1398" s="238" t="s">
        <v>124</v>
      </c>
      <c r="T1398" s="238" t="s">
        <v>1167</v>
      </c>
      <c r="V1398" t="s">
        <v>1167</v>
      </c>
      <c r="W1398" s="24">
        <v>44781</v>
      </c>
      <c r="X1398" s="238" t="s">
        <v>3285</v>
      </c>
      <c r="Y1398" s="238" t="s">
        <v>3247</v>
      </c>
      <c r="Z1398" s="238" t="s">
        <v>1340</v>
      </c>
      <c r="AA1398" t="s">
        <v>1167</v>
      </c>
      <c r="AB1398" s="238" t="s">
        <v>3246</v>
      </c>
      <c r="AC1398" t="s">
        <v>1167</v>
      </c>
      <c r="AD1398" s="24"/>
      <c r="AE1398" s="238" t="s">
        <v>3248</v>
      </c>
      <c r="AG1398" s="238" t="s">
        <v>1167</v>
      </c>
      <c r="AH1398" s="238" t="s">
        <v>1167</v>
      </c>
      <c r="AI1398" s="238" t="s">
        <v>5050</v>
      </c>
      <c r="AJ1398" s="238" t="s">
        <v>982</v>
      </c>
      <c r="AK1398" s="238" t="s">
        <v>1167</v>
      </c>
      <c r="AL1398" t="s">
        <v>8715</v>
      </c>
      <c r="AM1398" t="s">
        <v>1167</v>
      </c>
    </row>
    <row r="1399" spans="1:39" hidden="1" x14ac:dyDescent="0.25">
      <c r="A1399">
        <v>1395</v>
      </c>
      <c r="B1399">
        <v>339</v>
      </c>
      <c r="C1399" s="24">
        <v>44784</v>
      </c>
      <c r="D1399" s="238" t="s">
        <v>27</v>
      </c>
      <c r="E1399" s="238" t="s">
        <v>13</v>
      </c>
      <c r="F1399">
        <v>2</v>
      </c>
      <c r="G1399">
        <v>5</v>
      </c>
      <c r="H1399">
        <v>859</v>
      </c>
      <c r="I1399" s="238" t="s">
        <v>44</v>
      </c>
      <c r="J1399">
        <v>86.1</v>
      </c>
      <c r="K1399" s="238" t="s">
        <v>38</v>
      </c>
      <c r="L1399">
        <v>6259500</v>
      </c>
      <c r="M1399">
        <v>0</v>
      </c>
      <c r="N1399">
        <v>6259500</v>
      </c>
      <c r="O1399">
        <v>72700.348432055747</v>
      </c>
      <c r="P1399">
        <v>0</v>
      </c>
      <c r="Q1399">
        <v>6259500</v>
      </c>
      <c r="R1399">
        <v>72700.348432055747</v>
      </c>
      <c r="S1399" s="238" t="s">
        <v>124</v>
      </c>
      <c r="T1399" s="238" t="s">
        <v>1167</v>
      </c>
      <c r="V1399" t="s">
        <v>1167</v>
      </c>
      <c r="W1399" s="24">
        <v>44781</v>
      </c>
      <c r="X1399" s="238" t="s">
        <v>3285</v>
      </c>
      <c r="Y1399" s="238" t="s">
        <v>3247</v>
      </c>
      <c r="Z1399" s="238" t="s">
        <v>1340</v>
      </c>
      <c r="AA1399" t="s">
        <v>1167</v>
      </c>
      <c r="AB1399" s="238" t="s">
        <v>3246</v>
      </c>
      <c r="AC1399" t="s">
        <v>1167</v>
      </c>
      <c r="AD1399" s="24"/>
      <c r="AE1399" s="238" t="s">
        <v>3248</v>
      </c>
      <c r="AG1399" s="238" t="s">
        <v>1167</v>
      </c>
      <c r="AH1399" s="238" t="s">
        <v>1167</v>
      </c>
      <c r="AI1399" s="238" t="s">
        <v>5050</v>
      </c>
      <c r="AJ1399" s="238" t="s">
        <v>982</v>
      </c>
      <c r="AK1399" s="238" t="s">
        <v>1167</v>
      </c>
      <c r="AL1399" t="s">
        <v>8715</v>
      </c>
      <c r="AM1399" t="s">
        <v>1167</v>
      </c>
    </row>
    <row r="1400" spans="1:39" hidden="1" x14ac:dyDescent="0.25">
      <c r="A1400">
        <v>1396</v>
      </c>
      <c r="B1400">
        <v>340</v>
      </c>
      <c r="C1400" s="24">
        <v>44784</v>
      </c>
      <c r="D1400" s="238" t="s">
        <v>27</v>
      </c>
      <c r="E1400" s="238" t="s">
        <v>13</v>
      </c>
      <c r="F1400">
        <v>4</v>
      </c>
      <c r="G1400">
        <v>5</v>
      </c>
      <c r="H1400">
        <v>861</v>
      </c>
      <c r="I1400" s="238" t="s">
        <v>42</v>
      </c>
      <c r="J1400">
        <v>37.229999999999997</v>
      </c>
      <c r="K1400" s="238" t="s">
        <v>38</v>
      </c>
      <c r="L1400">
        <v>2693250</v>
      </c>
      <c r="M1400">
        <v>0</v>
      </c>
      <c r="N1400">
        <v>2693250</v>
      </c>
      <c r="O1400">
        <v>72340.854149879131</v>
      </c>
      <c r="P1400">
        <v>0</v>
      </c>
      <c r="Q1400">
        <v>2693250</v>
      </c>
      <c r="R1400">
        <v>72340.854149879131</v>
      </c>
      <c r="S1400" s="238" t="s">
        <v>124</v>
      </c>
      <c r="T1400" s="238" t="s">
        <v>1167</v>
      </c>
      <c r="V1400" t="s">
        <v>1167</v>
      </c>
      <c r="W1400" s="24">
        <v>44781</v>
      </c>
      <c r="X1400" s="238" t="s">
        <v>3285</v>
      </c>
      <c r="Y1400" s="238" t="s">
        <v>3247</v>
      </c>
      <c r="Z1400" s="238" t="s">
        <v>1340</v>
      </c>
      <c r="AA1400" t="s">
        <v>1167</v>
      </c>
      <c r="AB1400" s="238" t="s">
        <v>3246</v>
      </c>
      <c r="AC1400" t="s">
        <v>1167</v>
      </c>
      <c r="AD1400" s="24"/>
      <c r="AE1400" s="238" t="s">
        <v>3248</v>
      </c>
      <c r="AG1400" s="238" t="s">
        <v>1167</v>
      </c>
      <c r="AH1400" s="238" t="s">
        <v>1167</v>
      </c>
      <c r="AI1400" s="238" t="s">
        <v>5050</v>
      </c>
      <c r="AJ1400" s="238" t="s">
        <v>982</v>
      </c>
      <c r="AK1400" s="238" t="s">
        <v>1167</v>
      </c>
      <c r="AL1400" t="s">
        <v>8715</v>
      </c>
      <c r="AM1400" t="s">
        <v>1167</v>
      </c>
    </row>
    <row r="1401" spans="1:39" hidden="1" x14ac:dyDescent="0.25">
      <c r="A1401">
        <v>1397</v>
      </c>
      <c r="B1401">
        <v>341</v>
      </c>
      <c r="C1401" s="24">
        <v>44784</v>
      </c>
      <c r="D1401" s="238" t="s">
        <v>27</v>
      </c>
      <c r="E1401" s="238" t="s">
        <v>13</v>
      </c>
      <c r="F1401">
        <v>5</v>
      </c>
      <c r="G1401">
        <v>5</v>
      </c>
      <c r="H1401">
        <v>862</v>
      </c>
      <c r="I1401" s="238" t="s">
        <v>42</v>
      </c>
      <c r="J1401">
        <v>37.270000000000003</v>
      </c>
      <c r="K1401" s="238" t="s">
        <v>38</v>
      </c>
      <c r="L1401">
        <v>2699250</v>
      </c>
      <c r="M1401">
        <v>0</v>
      </c>
      <c r="N1401">
        <v>2699250</v>
      </c>
      <c r="O1401">
        <v>72424.201770861269</v>
      </c>
      <c r="P1401">
        <v>0</v>
      </c>
      <c r="Q1401">
        <v>2699250</v>
      </c>
      <c r="R1401">
        <v>72424.201770861269</v>
      </c>
      <c r="S1401" s="238" t="s">
        <v>124</v>
      </c>
      <c r="T1401" s="238" t="s">
        <v>1167</v>
      </c>
      <c r="V1401" t="s">
        <v>1167</v>
      </c>
      <c r="W1401" s="24">
        <v>44781</v>
      </c>
      <c r="X1401" s="238" t="s">
        <v>3285</v>
      </c>
      <c r="Y1401" s="238" t="s">
        <v>3247</v>
      </c>
      <c r="Z1401" s="238" t="s">
        <v>1340</v>
      </c>
      <c r="AA1401" t="s">
        <v>1167</v>
      </c>
      <c r="AB1401" s="238" t="s">
        <v>3246</v>
      </c>
      <c r="AC1401" t="s">
        <v>1167</v>
      </c>
      <c r="AD1401" s="24"/>
      <c r="AE1401" s="238" t="s">
        <v>3248</v>
      </c>
      <c r="AG1401" s="238" t="s">
        <v>1167</v>
      </c>
      <c r="AH1401" s="238" t="s">
        <v>1167</v>
      </c>
      <c r="AI1401" s="238" t="s">
        <v>5050</v>
      </c>
      <c r="AJ1401" s="238" t="s">
        <v>982</v>
      </c>
      <c r="AK1401" s="238" t="s">
        <v>1167</v>
      </c>
      <c r="AL1401" t="s">
        <v>8715</v>
      </c>
      <c r="AM1401" t="s">
        <v>1167</v>
      </c>
    </row>
    <row r="1402" spans="1:39" hidden="1" x14ac:dyDescent="0.25">
      <c r="A1402">
        <v>1398</v>
      </c>
      <c r="B1402">
        <v>342</v>
      </c>
      <c r="C1402" s="24">
        <v>44784</v>
      </c>
      <c r="D1402" s="238" t="s">
        <v>27</v>
      </c>
      <c r="E1402" s="238" t="s">
        <v>13</v>
      </c>
      <c r="F1402">
        <v>1</v>
      </c>
      <c r="G1402">
        <v>6</v>
      </c>
      <c r="H1402">
        <v>867</v>
      </c>
      <c r="I1402" s="238" t="s">
        <v>42</v>
      </c>
      <c r="J1402">
        <v>37.15</v>
      </c>
      <c r="K1402" s="238" t="s">
        <v>38</v>
      </c>
      <c r="L1402">
        <v>2690250</v>
      </c>
      <c r="M1402">
        <v>0</v>
      </c>
      <c r="N1402">
        <v>2690250</v>
      </c>
      <c r="O1402">
        <v>72415.881561238231</v>
      </c>
      <c r="P1402">
        <v>0</v>
      </c>
      <c r="Q1402">
        <v>2690250</v>
      </c>
      <c r="R1402">
        <v>72415.881561238231</v>
      </c>
      <c r="S1402" s="238" t="s">
        <v>124</v>
      </c>
      <c r="T1402" s="238" t="s">
        <v>1167</v>
      </c>
      <c r="V1402" t="s">
        <v>1167</v>
      </c>
      <c r="W1402" s="24">
        <v>44781</v>
      </c>
      <c r="X1402" s="238" t="s">
        <v>3286</v>
      </c>
      <c r="Y1402" s="238" t="s">
        <v>3247</v>
      </c>
      <c r="Z1402" s="238" t="s">
        <v>1340</v>
      </c>
      <c r="AA1402" t="s">
        <v>1167</v>
      </c>
      <c r="AB1402" s="238" t="s">
        <v>3246</v>
      </c>
      <c r="AC1402" t="s">
        <v>1167</v>
      </c>
      <c r="AD1402" s="24"/>
      <c r="AE1402" s="238" t="s">
        <v>3248</v>
      </c>
      <c r="AG1402" s="238" t="s">
        <v>1167</v>
      </c>
      <c r="AH1402" s="238" t="s">
        <v>1167</v>
      </c>
      <c r="AI1402" s="238" t="s">
        <v>5050</v>
      </c>
      <c r="AJ1402" s="238" t="s">
        <v>982</v>
      </c>
      <c r="AK1402" s="238" t="s">
        <v>1167</v>
      </c>
      <c r="AL1402" t="s">
        <v>8715</v>
      </c>
      <c r="AM1402" t="s">
        <v>1167</v>
      </c>
    </row>
    <row r="1403" spans="1:39" hidden="1" x14ac:dyDescent="0.25">
      <c r="A1403">
        <v>1399</v>
      </c>
      <c r="B1403">
        <v>343</v>
      </c>
      <c r="C1403" s="24">
        <v>44784</v>
      </c>
      <c r="D1403" s="238" t="s">
        <v>27</v>
      </c>
      <c r="E1403" s="238" t="s">
        <v>13</v>
      </c>
      <c r="F1403">
        <v>2</v>
      </c>
      <c r="G1403">
        <v>6</v>
      </c>
      <c r="H1403">
        <v>868</v>
      </c>
      <c r="I1403" s="238" t="s">
        <v>44</v>
      </c>
      <c r="J1403">
        <v>86.1</v>
      </c>
      <c r="K1403" s="238" t="s">
        <v>38</v>
      </c>
      <c r="L1403">
        <v>6259500</v>
      </c>
      <c r="M1403">
        <v>0</v>
      </c>
      <c r="N1403">
        <v>6259500</v>
      </c>
      <c r="O1403">
        <v>72700.348432055747</v>
      </c>
      <c r="P1403">
        <v>0</v>
      </c>
      <c r="Q1403">
        <v>6259500</v>
      </c>
      <c r="R1403">
        <v>72700.348432055747</v>
      </c>
      <c r="S1403" s="238" t="s">
        <v>124</v>
      </c>
      <c r="T1403" s="238" t="s">
        <v>1167</v>
      </c>
      <c r="V1403" t="s">
        <v>1167</v>
      </c>
      <c r="W1403" s="24">
        <v>44781</v>
      </c>
      <c r="X1403" s="238" t="s">
        <v>3286</v>
      </c>
      <c r="Y1403" s="238" t="s">
        <v>3247</v>
      </c>
      <c r="Z1403" s="238" t="s">
        <v>1340</v>
      </c>
      <c r="AA1403" t="s">
        <v>1167</v>
      </c>
      <c r="AB1403" s="238" t="s">
        <v>3246</v>
      </c>
      <c r="AC1403" t="s">
        <v>1167</v>
      </c>
      <c r="AD1403" s="24"/>
      <c r="AE1403" s="238" t="s">
        <v>3248</v>
      </c>
      <c r="AG1403" s="238" t="s">
        <v>1167</v>
      </c>
      <c r="AH1403" s="238" t="s">
        <v>1167</v>
      </c>
      <c r="AI1403" s="238" t="s">
        <v>5050</v>
      </c>
      <c r="AJ1403" s="238" t="s">
        <v>982</v>
      </c>
      <c r="AK1403" s="238" t="s">
        <v>1167</v>
      </c>
      <c r="AL1403" t="s">
        <v>8715</v>
      </c>
      <c r="AM1403" t="s">
        <v>1167</v>
      </c>
    </row>
    <row r="1404" spans="1:39" hidden="1" x14ac:dyDescent="0.25">
      <c r="A1404">
        <v>1400</v>
      </c>
      <c r="B1404">
        <v>344</v>
      </c>
      <c r="C1404" s="24">
        <v>44784</v>
      </c>
      <c r="D1404" s="238" t="s">
        <v>27</v>
      </c>
      <c r="E1404" s="238" t="s">
        <v>13</v>
      </c>
      <c r="F1404">
        <v>3</v>
      </c>
      <c r="G1404">
        <v>6</v>
      </c>
      <c r="H1404">
        <v>869</v>
      </c>
      <c r="I1404" s="238" t="s">
        <v>42</v>
      </c>
      <c r="J1404">
        <v>37.31</v>
      </c>
      <c r="K1404" s="238" t="s">
        <v>38</v>
      </c>
      <c r="L1404">
        <v>2699250</v>
      </c>
      <c r="M1404">
        <v>0</v>
      </c>
      <c r="N1404">
        <v>2699250</v>
      </c>
      <c r="O1404">
        <v>72346.555883141249</v>
      </c>
      <c r="P1404">
        <v>0</v>
      </c>
      <c r="Q1404">
        <v>2699250</v>
      </c>
      <c r="R1404">
        <v>72346.555883141249</v>
      </c>
      <c r="S1404" s="238" t="s">
        <v>124</v>
      </c>
      <c r="T1404" s="238" t="s">
        <v>1167</v>
      </c>
      <c r="V1404" t="s">
        <v>1167</v>
      </c>
      <c r="W1404" s="24">
        <v>44781</v>
      </c>
      <c r="X1404" s="238" t="s">
        <v>3286</v>
      </c>
      <c r="Y1404" s="238" t="s">
        <v>3247</v>
      </c>
      <c r="Z1404" s="238" t="s">
        <v>1340</v>
      </c>
      <c r="AA1404" t="s">
        <v>1167</v>
      </c>
      <c r="AB1404" s="238" t="s">
        <v>3246</v>
      </c>
      <c r="AC1404" t="s">
        <v>1167</v>
      </c>
      <c r="AD1404" s="24"/>
      <c r="AE1404" s="238" t="s">
        <v>3248</v>
      </c>
      <c r="AG1404" s="238" t="s">
        <v>1167</v>
      </c>
      <c r="AH1404" s="238" t="s">
        <v>1167</v>
      </c>
      <c r="AI1404" s="238" t="s">
        <v>5050</v>
      </c>
      <c r="AJ1404" s="238" t="s">
        <v>982</v>
      </c>
      <c r="AK1404" s="238" t="s">
        <v>1167</v>
      </c>
      <c r="AL1404" t="s">
        <v>8715</v>
      </c>
      <c r="AM1404" t="s">
        <v>1167</v>
      </c>
    </row>
    <row r="1405" spans="1:39" hidden="1" x14ac:dyDescent="0.25">
      <c r="A1405">
        <v>1401</v>
      </c>
      <c r="B1405">
        <v>345</v>
      </c>
      <c r="C1405" s="24">
        <v>44784</v>
      </c>
      <c r="D1405" s="238" t="s">
        <v>27</v>
      </c>
      <c r="E1405" s="238" t="s">
        <v>13</v>
      </c>
      <c r="F1405">
        <v>4</v>
      </c>
      <c r="G1405">
        <v>6</v>
      </c>
      <c r="H1405">
        <v>870</v>
      </c>
      <c r="I1405" s="238" t="s">
        <v>42</v>
      </c>
      <c r="J1405">
        <v>37.229999999999997</v>
      </c>
      <c r="K1405" s="238" t="s">
        <v>38</v>
      </c>
      <c r="L1405">
        <v>2693250</v>
      </c>
      <c r="M1405">
        <v>0</v>
      </c>
      <c r="N1405">
        <v>2693250</v>
      </c>
      <c r="O1405">
        <v>72340.854149879131</v>
      </c>
      <c r="P1405">
        <v>0</v>
      </c>
      <c r="Q1405">
        <v>2693250</v>
      </c>
      <c r="R1405">
        <v>72340.854149879131</v>
      </c>
      <c r="S1405" s="238" t="s">
        <v>124</v>
      </c>
      <c r="T1405" s="238" t="s">
        <v>1167</v>
      </c>
      <c r="V1405" t="s">
        <v>1167</v>
      </c>
      <c r="W1405" s="24">
        <v>44781</v>
      </c>
      <c r="X1405" s="238" t="s">
        <v>3286</v>
      </c>
      <c r="Y1405" s="238" t="s">
        <v>3247</v>
      </c>
      <c r="Z1405" s="238" t="s">
        <v>1340</v>
      </c>
      <c r="AA1405" t="s">
        <v>1167</v>
      </c>
      <c r="AB1405" s="238" t="s">
        <v>3246</v>
      </c>
      <c r="AC1405" t="s">
        <v>1167</v>
      </c>
      <c r="AD1405" s="24"/>
      <c r="AE1405" s="238" t="s">
        <v>3248</v>
      </c>
      <c r="AG1405" s="238" t="s">
        <v>1167</v>
      </c>
      <c r="AH1405" s="238" t="s">
        <v>1167</v>
      </c>
      <c r="AI1405" s="238" t="s">
        <v>5050</v>
      </c>
      <c r="AJ1405" s="238" t="s">
        <v>982</v>
      </c>
      <c r="AK1405" s="238" t="s">
        <v>1167</v>
      </c>
      <c r="AL1405" t="s">
        <v>8715</v>
      </c>
      <c r="AM1405" t="s">
        <v>1167</v>
      </c>
    </row>
    <row r="1406" spans="1:39" hidden="1" x14ac:dyDescent="0.25">
      <c r="A1406">
        <v>1402</v>
      </c>
      <c r="B1406">
        <v>346</v>
      </c>
      <c r="C1406" s="24">
        <v>44784</v>
      </c>
      <c r="D1406" s="238" t="s">
        <v>27</v>
      </c>
      <c r="E1406" s="238" t="s">
        <v>13</v>
      </c>
      <c r="F1406">
        <v>7</v>
      </c>
      <c r="G1406">
        <v>6</v>
      </c>
      <c r="H1406">
        <v>873</v>
      </c>
      <c r="I1406" s="238" t="s">
        <v>43</v>
      </c>
      <c r="J1406">
        <v>62.69</v>
      </c>
      <c r="K1406" s="238" t="s">
        <v>38</v>
      </c>
      <c r="L1406">
        <v>4504500</v>
      </c>
      <c r="M1406">
        <v>0</v>
      </c>
      <c r="N1406">
        <v>4504500</v>
      </c>
      <c r="O1406">
        <v>71853.565161907798</v>
      </c>
      <c r="P1406">
        <v>0</v>
      </c>
      <c r="Q1406">
        <v>4504500</v>
      </c>
      <c r="R1406">
        <v>71853.565161907798</v>
      </c>
      <c r="S1406" s="238" t="s">
        <v>124</v>
      </c>
      <c r="T1406" s="238" t="s">
        <v>1167</v>
      </c>
      <c r="V1406" t="s">
        <v>1167</v>
      </c>
      <c r="W1406" s="24">
        <v>44781</v>
      </c>
      <c r="X1406" s="238" t="s">
        <v>3286</v>
      </c>
      <c r="Y1406" s="238" t="s">
        <v>3247</v>
      </c>
      <c r="Z1406" s="238" t="s">
        <v>1340</v>
      </c>
      <c r="AA1406" t="s">
        <v>1167</v>
      </c>
      <c r="AB1406" s="238" t="s">
        <v>3246</v>
      </c>
      <c r="AC1406" t="s">
        <v>1167</v>
      </c>
      <c r="AD1406" s="24"/>
      <c r="AE1406" s="238" t="s">
        <v>3248</v>
      </c>
      <c r="AG1406" s="238" t="s">
        <v>1167</v>
      </c>
      <c r="AH1406" s="238" t="s">
        <v>1167</v>
      </c>
      <c r="AI1406" s="238" t="s">
        <v>5050</v>
      </c>
      <c r="AJ1406" s="238" t="s">
        <v>982</v>
      </c>
      <c r="AK1406" s="238" t="s">
        <v>1167</v>
      </c>
      <c r="AL1406" t="s">
        <v>8715</v>
      </c>
      <c r="AM1406" t="s">
        <v>1167</v>
      </c>
    </row>
    <row r="1407" spans="1:39" hidden="1" x14ac:dyDescent="0.25">
      <c r="A1407">
        <v>1403</v>
      </c>
      <c r="B1407">
        <v>347</v>
      </c>
      <c r="C1407" s="24">
        <v>44784</v>
      </c>
      <c r="D1407" s="238" t="s">
        <v>27</v>
      </c>
      <c r="E1407" s="238" t="s">
        <v>13</v>
      </c>
      <c r="F1407">
        <v>2</v>
      </c>
      <c r="G1407">
        <v>7</v>
      </c>
      <c r="H1407">
        <v>877</v>
      </c>
      <c r="I1407" s="238" t="s">
        <v>44</v>
      </c>
      <c r="J1407">
        <v>86.1</v>
      </c>
      <c r="K1407" s="238" t="s">
        <v>38</v>
      </c>
      <c r="L1407">
        <v>6259500</v>
      </c>
      <c r="M1407">
        <v>0</v>
      </c>
      <c r="N1407">
        <v>6259500</v>
      </c>
      <c r="O1407">
        <v>72700.348432055747</v>
      </c>
      <c r="P1407">
        <v>0</v>
      </c>
      <c r="Q1407">
        <v>6259500</v>
      </c>
      <c r="R1407">
        <v>72700.348432055747</v>
      </c>
      <c r="S1407" s="238" t="s">
        <v>124</v>
      </c>
      <c r="T1407" s="238" t="s">
        <v>1167</v>
      </c>
      <c r="V1407" t="s">
        <v>1167</v>
      </c>
      <c r="W1407" s="24">
        <v>44781</v>
      </c>
      <c r="X1407" s="238" t="s">
        <v>3286</v>
      </c>
      <c r="Y1407" s="238" t="s">
        <v>3247</v>
      </c>
      <c r="Z1407" s="238" t="s">
        <v>1340</v>
      </c>
      <c r="AA1407" t="s">
        <v>1167</v>
      </c>
      <c r="AB1407" s="238" t="s">
        <v>3246</v>
      </c>
      <c r="AC1407" t="s">
        <v>1167</v>
      </c>
      <c r="AD1407" s="24"/>
      <c r="AE1407" s="238" t="s">
        <v>3248</v>
      </c>
      <c r="AG1407" s="238" t="s">
        <v>1167</v>
      </c>
      <c r="AH1407" s="238" t="s">
        <v>1167</v>
      </c>
      <c r="AI1407" s="238" t="s">
        <v>5050</v>
      </c>
      <c r="AJ1407" s="238" t="s">
        <v>982</v>
      </c>
      <c r="AK1407" s="238" t="s">
        <v>1167</v>
      </c>
      <c r="AL1407" t="s">
        <v>8715</v>
      </c>
      <c r="AM1407" t="s">
        <v>1167</v>
      </c>
    </row>
    <row r="1408" spans="1:39" hidden="1" x14ac:dyDescent="0.25">
      <c r="A1408">
        <v>1404</v>
      </c>
      <c r="B1408">
        <v>348</v>
      </c>
      <c r="C1408" s="24">
        <v>44784</v>
      </c>
      <c r="D1408" s="238" t="s">
        <v>27</v>
      </c>
      <c r="E1408" s="238" t="s">
        <v>13</v>
      </c>
      <c r="F1408">
        <v>3</v>
      </c>
      <c r="G1408">
        <v>7</v>
      </c>
      <c r="H1408">
        <v>878</v>
      </c>
      <c r="I1408" s="238" t="s">
        <v>42</v>
      </c>
      <c r="J1408">
        <v>37.31</v>
      </c>
      <c r="K1408" s="238" t="s">
        <v>38</v>
      </c>
      <c r="L1408">
        <v>2699250</v>
      </c>
      <c r="M1408">
        <v>0</v>
      </c>
      <c r="N1408">
        <v>2699250</v>
      </c>
      <c r="O1408">
        <v>72346.555883141249</v>
      </c>
      <c r="P1408">
        <v>0</v>
      </c>
      <c r="Q1408">
        <v>2699250</v>
      </c>
      <c r="R1408">
        <v>72346.555883141249</v>
      </c>
      <c r="S1408" s="238" t="s">
        <v>124</v>
      </c>
      <c r="T1408" s="238" t="s">
        <v>1167</v>
      </c>
      <c r="V1408" t="s">
        <v>1167</v>
      </c>
      <c r="W1408" s="24">
        <v>44781</v>
      </c>
      <c r="X1408" s="238" t="s">
        <v>3286</v>
      </c>
      <c r="Y1408" s="238" t="s">
        <v>3247</v>
      </c>
      <c r="Z1408" s="238" t="s">
        <v>1340</v>
      </c>
      <c r="AA1408" t="s">
        <v>1167</v>
      </c>
      <c r="AB1408" s="238" t="s">
        <v>3246</v>
      </c>
      <c r="AC1408" t="s">
        <v>1167</v>
      </c>
      <c r="AD1408" s="24"/>
      <c r="AE1408" s="238" t="s">
        <v>3248</v>
      </c>
      <c r="AG1408" s="238" t="s">
        <v>1167</v>
      </c>
      <c r="AH1408" s="238" t="s">
        <v>1167</v>
      </c>
      <c r="AI1408" s="238" t="s">
        <v>5050</v>
      </c>
      <c r="AJ1408" s="238" t="s">
        <v>982</v>
      </c>
      <c r="AK1408" s="238" t="s">
        <v>1167</v>
      </c>
      <c r="AL1408" t="s">
        <v>8715</v>
      </c>
      <c r="AM1408" t="s">
        <v>1167</v>
      </c>
    </row>
    <row r="1409" spans="1:39" hidden="1" x14ac:dyDescent="0.25">
      <c r="A1409">
        <v>1405</v>
      </c>
      <c r="B1409">
        <v>349</v>
      </c>
      <c r="C1409" s="24">
        <v>44784</v>
      </c>
      <c r="D1409" s="238" t="s">
        <v>27</v>
      </c>
      <c r="E1409" s="238" t="s">
        <v>13</v>
      </c>
      <c r="F1409">
        <v>4</v>
      </c>
      <c r="G1409">
        <v>7</v>
      </c>
      <c r="H1409">
        <v>879</v>
      </c>
      <c r="I1409" s="238" t="s">
        <v>42</v>
      </c>
      <c r="J1409">
        <v>37.229999999999997</v>
      </c>
      <c r="K1409" s="238" t="s">
        <v>38</v>
      </c>
      <c r="L1409">
        <v>2693250</v>
      </c>
      <c r="M1409">
        <v>0</v>
      </c>
      <c r="N1409">
        <v>2693250</v>
      </c>
      <c r="O1409">
        <v>72340.854149879131</v>
      </c>
      <c r="P1409">
        <v>0</v>
      </c>
      <c r="Q1409">
        <v>2693250</v>
      </c>
      <c r="R1409">
        <v>72340.854149879131</v>
      </c>
      <c r="S1409" s="238" t="s">
        <v>124</v>
      </c>
      <c r="T1409" s="238" t="s">
        <v>1167</v>
      </c>
      <c r="V1409" t="s">
        <v>1167</v>
      </c>
      <c r="W1409" s="24">
        <v>44781</v>
      </c>
      <c r="X1409" s="238" t="s">
        <v>3286</v>
      </c>
      <c r="Y1409" s="238" t="s">
        <v>3247</v>
      </c>
      <c r="Z1409" s="238" t="s">
        <v>1340</v>
      </c>
      <c r="AA1409" t="s">
        <v>1167</v>
      </c>
      <c r="AB1409" s="238" t="s">
        <v>3246</v>
      </c>
      <c r="AC1409" t="s">
        <v>1167</v>
      </c>
      <c r="AD1409" s="24"/>
      <c r="AE1409" s="238" t="s">
        <v>3248</v>
      </c>
      <c r="AG1409" s="238" t="s">
        <v>1167</v>
      </c>
      <c r="AH1409" s="238" t="s">
        <v>1167</v>
      </c>
      <c r="AI1409" s="238" t="s">
        <v>5050</v>
      </c>
      <c r="AJ1409" s="238" t="s">
        <v>982</v>
      </c>
      <c r="AK1409" s="238" t="s">
        <v>1167</v>
      </c>
      <c r="AL1409" t="s">
        <v>8715</v>
      </c>
      <c r="AM1409" t="s">
        <v>1167</v>
      </c>
    </row>
    <row r="1410" spans="1:39" hidden="1" x14ac:dyDescent="0.25">
      <c r="A1410">
        <v>1406</v>
      </c>
      <c r="B1410">
        <v>350</v>
      </c>
      <c r="C1410" s="24">
        <v>44784</v>
      </c>
      <c r="D1410" s="238" t="s">
        <v>27</v>
      </c>
      <c r="E1410" s="238" t="s">
        <v>13</v>
      </c>
      <c r="F1410">
        <v>5</v>
      </c>
      <c r="G1410">
        <v>7</v>
      </c>
      <c r="H1410">
        <v>880</v>
      </c>
      <c r="I1410" s="238" t="s">
        <v>42</v>
      </c>
      <c r="J1410">
        <v>37.270000000000003</v>
      </c>
      <c r="K1410" s="238" t="s">
        <v>38</v>
      </c>
      <c r="L1410">
        <v>2699250</v>
      </c>
      <c r="M1410">
        <v>0</v>
      </c>
      <c r="N1410">
        <v>2699250</v>
      </c>
      <c r="O1410">
        <v>72424.201770861269</v>
      </c>
      <c r="P1410">
        <v>0</v>
      </c>
      <c r="Q1410">
        <v>2699250</v>
      </c>
      <c r="R1410">
        <v>72424.201770861269</v>
      </c>
      <c r="S1410" s="238" t="s">
        <v>124</v>
      </c>
      <c r="T1410" s="238" t="s">
        <v>1167</v>
      </c>
      <c r="V1410" t="s">
        <v>1167</v>
      </c>
      <c r="W1410" s="24">
        <v>44781</v>
      </c>
      <c r="X1410" s="238" t="s">
        <v>3286</v>
      </c>
      <c r="Y1410" s="238" t="s">
        <v>3247</v>
      </c>
      <c r="Z1410" s="238" t="s">
        <v>1340</v>
      </c>
      <c r="AA1410" t="s">
        <v>1167</v>
      </c>
      <c r="AB1410" s="238" t="s">
        <v>3246</v>
      </c>
      <c r="AC1410" t="s">
        <v>1167</v>
      </c>
      <c r="AD1410" s="24"/>
      <c r="AE1410" s="238" t="s">
        <v>3248</v>
      </c>
      <c r="AG1410" s="238" t="s">
        <v>1167</v>
      </c>
      <c r="AH1410" s="238" t="s">
        <v>1167</v>
      </c>
      <c r="AI1410" s="238" t="s">
        <v>5050</v>
      </c>
      <c r="AJ1410" s="238" t="s">
        <v>982</v>
      </c>
      <c r="AK1410" s="238" t="s">
        <v>1167</v>
      </c>
      <c r="AL1410" t="s">
        <v>8715</v>
      </c>
      <c r="AM1410" t="s">
        <v>1167</v>
      </c>
    </row>
    <row r="1411" spans="1:39" hidden="1" x14ac:dyDescent="0.25">
      <c r="A1411">
        <v>1407</v>
      </c>
      <c r="B1411">
        <v>351</v>
      </c>
      <c r="C1411" s="24">
        <v>44784</v>
      </c>
      <c r="D1411" s="238" t="s">
        <v>27</v>
      </c>
      <c r="E1411" s="238" t="s">
        <v>13</v>
      </c>
      <c r="F1411">
        <v>7</v>
      </c>
      <c r="G1411">
        <v>7</v>
      </c>
      <c r="H1411">
        <v>882</v>
      </c>
      <c r="I1411" s="238" t="s">
        <v>43</v>
      </c>
      <c r="J1411">
        <v>62.69</v>
      </c>
      <c r="K1411" s="238" t="s">
        <v>38</v>
      </c>
      <c r="L1411">
        <v>4504500</v>
      </c>
      <c r="M1411">
        <v>0</v>
      </c>
      <c r="N1411">
        <v>4504500</v>
      </c>
      <c r="O1411">
        <v>71853.565161907798</v>
      </c>
      <c r="P1411">
        <v>0</v>
      </c>
      <c r="Q1411">
        <v>4504500</v>
      </c>
      <c r="R1411">
        <v>71853.565161907798</v>
      </c>
      <c r="S1411" s="238" t="s">
        <v>124</v>
      </c>
      <c r="T1411" s="238" t="s">
        <v>1167</v>
      </c>
      <c r="V1411" t="s">
        <v>1167</v>
      </c>
      <c r="W1411" s="24">
        <v>44781</v>
      </c>
      <c r="X1411" s="238" t="s">
        <v>3286</v>
      </c>
      <c r="Y1411" s="238" t="s">
        <v>3247</v>
      </c>
      <c r="Z1411" s="238" t="s">
        <v>1340</v>
      </c>
      <c r="AA1411" t="s">
        <v>1167</v>
      </c>
      <c r="AB1411" s="238" t="s">
        <v>3246</v>
      </c>
      <c r="AC1411" t="s">
        <v>1167</v>
      </c>
      <c r="AD1411" s="24"/>
      <c r="AE1411" s="238" t="s">
        <v>3248</v>
      </c>
      <c r="AG1411" s="238" t="s">
        <v>1167</v>
      </c>
      <c r="AH1411" s="238" t="s">
        <v>1167</v>
      </c>
      <c r="AI1411" s="238" t="s">
        <v>5050</v>
      </c>
      <c r="AJ1411" s="238" t="s">
        <v>982</v>
      </c>
      <c r="AK1411" s="238" t="s">
        <v>1167</v>
      </c>
      <c r="AL1411" t="s">
        <v>8715</v>
      </c>
      <c r="AM1411" t="s">
        <v>1167</v>
      </c>
    </row>
    <row r="1412" spans="1:39" hidden="1" x14ac:dyDescent="0.25">
      <c r="A1412">
        <v>1408</v>
      </c>
      <c r="B1412">
        <v>352</v>
      </c>
      <c r="C1412" s="24">
        <v>44785</v>
      </c>
      <c r="D1412" s="238" t="s">
        <v>27</v>
      </c>
      <c r="E1412" s="238" t="s">
        <v>13</v>
      </c>
      <c r="F1412">
        <v>2</v>
      </c>
      <c r="G1412">
        <v>8</v>
      </c>
      <c r="H1412">
        <v>886</v>
      </c>
      <c r="I1412" s="238" t="s">
        <v>44</v>
      </c>
      <c r="J1412">
        <v>86.1</v>
      </c>
      <c r="K1412" s="238" t="s">
        <v>38</v>
      </c>
      <c r="L1412">
        <v>6259500</v>
      </c>
      <c r="M1412">
        <v>0</v>
      </c>
      <c r="N1412">
        <v>6259500</v>
      </c>
      <c r="O1412">
        <v>72700.348432055747</v>
      </c>
      <c r="P1412">
        <v>0</v>
      </c>
      <c r="Q1412">
        <v>6259500</v>
      </c>
      <c r="R1412">
        <v>72700.348432055747</v>
      </c>
      <c r="S1412" s="238" t="s">
        <v>124</v>
      </c>
      <c r="T1412" s="238" t="s">
        <v>1167</v>
      </c>
      <c r="V1412" t="s">
        <v>1167</v>
      </c>
      <c r="W1412" s="24">
        <v>44781</v>
      </c>
      <c r="X1412" s="238" t="s">
        <v>3287</v>
      </c>
      <c r="Y1412" s="238" t="s">
        <v>3247</v>
      </c>
      <c r="Z1412" s="238" t="s">
        <v>1340</v>
      </c>
      <c r="AA1412" t="s">
        <v>1167</v>
      </c>
      <c r="AB1412" s="238" t="s">
        <v>3246</v>
      </c>
      <c r="AC1412" t="s">
        <v>1167</v>
      </c>
      <c r="AD1412" s="24"/>
      <c r="AE1412" s="238" t="s">
        <v>3248</v>
      </c>
      <c r="AG1412" s="238" t="s">
        <v>1167</v>
      </c>
      <c r="AH1412" s="238" t="s">
        <v>1167</v>
      </c>
      <c r="AI1412" s="238" t="s">
        <v>5050</v>
      </c>
      <c r="AJ1412" s="238" t="s">
        <v>982</v>
      </c>
      <c r="AK1412" s="238" t="s">
        <v>1167</v>
      </c>
      <c r="AL1412" t="s">
        <v>8715</v>
      </c>
      <c r="AM1412" t="s">
        <v>1167</v>
      </c>
    </row>
    <row r="1413" spans="1:39" hidden="1" x14ac:dyDescent="0.25">
      <c r="A1413">
        <v>1409</v>
      </c>
      <c r="B1413">
        <v>353</v>
      </c>
      <c r="C1413" s="24">
        <v>44785</v>
      </c>
      <c r="D1413" s="238" t="s">
        <v>27</v>
      </c>
      <c r="E1413" s="238" t="s">
        <v>13</v>
      </c>
      <c r="F1413">
        <v>4</v>
      </c>
      <c r="G1413">
        <v>8</v>
      </c>
      <c r="H1413">
        <v>888</v>
      </c>
      <c r="I1413" s="238" t="s">
        <v>42</v>
      </c>
      <c r="J1413">
        <v>37.229999999999997</v>
      </c>
      <c r="K1413" s="238" t="s">
        <v>38</v>
      </c>
      <c r="L1413">
        <v>2693250</v>
      </c>
      <c r="M1413">
        <v>0</v>
      </c>
      <c r="N1413">
        <v>2693250</v>
      </c>
      <c r="O1413">
        <v>72340.854149879131</v>
      </c>
      <c r="P1413">
        <v>0</v>
      </c>
      <c r="Q1413">
        <v>2693250</v>
      </c>
      <c r="R1413">
        <v>72340.854149879131</v>
      </c>
      <c r="S1413" s="238" t="s">
        <v>124</v>
      </c>
      <c r="T1413" s="238" t="s">
        <v>1167</v>
      </c>
      <c r="V1413" t="s">
        <v>1167</v>
      </c>
      <c r="W1413" s="24">
        <v>44781</v>
      </c>
      <c r="X1413" s="238" t="s">
        <v>3287</v>
      </c>
      <c r="Y1413" s="238" t="s">
        <v>3247</v>
      </c>
      <c r="Z1413" s="238" t="s">
        <v>1340</v>
      </c>
      <c r="AA1413" t="s">
        <v>1167</v>
      </c>
      <c r="AB1413" s="238" t="s">
        <v>3246</v>
      </c>
      <c r="AC1413" t="s">
        <v>1167</v>
      </c>
      <c r="AD1413" s="24"/>
      <c r="AE1413" s="238" t="s">
        <v>3248</v>
      </c>
      <c r="AG1413" s="238" t="s">
        <v>1167</v>
      </c>
      <c r="AH1413" s="238" t="s">
        <v>1167</v>
      </c>
      <c r="AI1413" s="238" t="s">
        <v>5050</v>
      </c>
      <c r="AJ1413" s="238" t="s">
        <v>982</v>
      </c>
      <c r="AK1413" s="238" t="s">
        <v>1167</v>
      </c>
      <c r="AL1413" t="s">
        <v>8715</v>
      </c>
      <c r="AM1413" t="s">
        <v>1167</v>
      </c>
    </row>
    <row r="1414" spans="1:39" hidden="1" x14ac:dyDescent="0.25">
      <c r="A1414">
        <v>1410</v>
      </c>
      <c r="B1414">
        <v>354</v>
      </c>
      <c r="C1414" s="24">
        <v>44785</v>
      </c>
      <c r="D1414" s="238" t="s">
        <v>27</v>
      </c>
      <c r="E1414" s="238" t="s">
        <v>13</v>
      </c>
      <c r="F1414">
        <v>5</v>
      </c>
      <c r="G1414">
        <v>8</v>
      </c>
      <c r="H1414">
        <v>889</v>
      </c>
      <c r="I1414" s="238" t="s">
        <v>42</v>
      </c>
      <c r="J1414">
        <v>37.270000000000003</v>
      </c>
      <c r="K1414" s="238" t="s">
        <v>38</v>
      </c>
      <c r="L1414">
        <v>2699250</v>
      </c>
      <c r="M1414">
        <v>0</v>
      </c>
      <c r="N1414">
        <v>2699250</v>
      </c>
      <c r="O1414">
        <v>72424.201770861269</v>
      </c>
      <c r="P1414">
        <v>0</v>
      </c>
      <c r="Q1414">
        <v>2699250</v>
      </c>
      <c r="R1414">
        <v>72424.201770861269</v>
      </c>
      <c r="S1414" s="238" t="s">
        <v>124</v>
      </c>
      <c r="T1414" s="238" t="s">
        <v>1167</v>
      </c>
      <c r="V1414" t="s">
        <v>1167</v>
      </c>
      <c r="W1414" s="24">
        <v>44781</v>
      </c>
      <c r="X1414" s="238" t="s">
        <v>3287</v>
      </c>
      <c r="Y1414" s="238" t="s">
        <v>3247</v>
      </c>
      <c r="Z1414" s="238" t="s">
        <v>1340</v>
      </c>
      <c r="AA1414" t="s">
        <v>1167</v>
      </c>
      <c r="AB1414" s="238" t="s">
        <v>3246</v>
      </c>
      <c r="AC1414" t="s">
        <v>1167</v>
      </c>
      <c r="AD1414" s="24"/>
      <c r="AE1414" s="238" t="s">
        <v>3248</v>
      </c>
      <c r="AG1414" s="238" t="s">
        <v>1167</v>
      </c>
      <c r="AH1414" s="238" t="s">
        <v>1167</v>
      </c>
      <c r="AI1414" s="238" t="s">
        <v>5050</v>
      </c>
      <c r="AJ1414" s="238" t="s">
        <v>982</v>
      </c>
      <c r="AK1414" s="238" t="s">
        <v>1167</v>
      </c>
      <c r="AL1414" t="s">
        <v>8715</v>
      </c>
      <c r="AM1414" t="s">
        <v>1167</v>
      </c>
    </row>
    <row r="1415" spans="1:39" hidden="1" x14ac:dyDescent="0.25">
      <c r="A1415">
        <v>1411</v>
      </c>
      <c r="B1415">
        <v>355</v>
      </c>
      <c r="C1415" s="24">
        <v>44785</v>
      </c>
      <c r="D1415" s="238" t="s">
        <v>27</v>
      </c>
      <c r="E1415" s="238" t="s">
        <v>13</v>
      </c>
      <c r="F1415">
        <v>7</v>
      </c>
      <c r="G1415">
        <v>8</v>
      </c>
      <c r="H1415">
        <v>891</v>
      </c>
      <c r="I1415" s="238" t="s">
        <v>43</v>
      </c>
      <c r="J1415">
        <v>62.69</v>
      </c>
      <c r="K1415" s="238" t="s">
        <v>38</v>
      </c>
      <c r="L1415">
        <v>4504500</v>
      </c>
      <c r="M1415">
        <v>0</v>
      </c>
      <c r="N1415">
        <v>4504500</v>
      </c>
      <c r="O1415">
        <v>71853.565161907798</v>
      </c>
      <c r="P1415">
        <v>0</v>
      </c>
      <c r="Q1415">
        <v>4504500</v>
      </c>
      <c r="R1415">
        <v>71853.565161907798</v>
      </c>
      <c r="S1415" s="238" t="s">
        <v>124</v>
      </c>
      <c r="T1415" s="238" t="s">
        <v>1167</v>
      </c>
      <c r="V1415" t="s">
        <v>1167</v>
      </c>
      <c r="W1415" s="24">
        <v>44781</v>
      </c>
      <c r="X1415" s="238" t="s">
        <v>3287</v>
      </c>
      <c r="Y1415" s="238" t="s">
        <v>3247</v>
      </c>
      <c r="Z1415" s="238" t="s">
        <v>1340</v>
      </c>
      <c r="AA1415" t="s">
        <v>1167</v>
      </c>
      <c r="AB1415" s="238" t="s">
        <v>3246</v>
      </c>
      <c r="AC1415" t="s">
        <v>1167</v>
      </c>
      <c r="AD1415" s="24"/>
      <c r="AE1415" s="238" t="s">
        <v>3248</v>
      </c>
      <c r="AG1415" s="238" t="s">
        <v>1167</v>
      </c>
      <c r="AH1415" s="238" t="s">
        <v>1167</v>
      </c>
      <c r="AI1415" s="238" t="s">
        <v>5050</v>
      </c>
      <c r="AJ1415" s="238" t="s">
        <v>982</v>
      </c>
      <c r="AK1415" s="238" t="s">
        <v>1167</v>
      </c>
      <c r="AL1415" t="s">
        <v>8715</v>
      </c>
      <c r="AM1415" t="s">
        <v>1167</v>
      </c>
    </row>
    <row r="1416" spans="1:39" hidden="1" x14ac:dyDescent="0.25">
      <c r="A1416">
        <v>1412</v>
      </c>
      <c r="B1416">
        <v>356</v>
      </c>
      <c r="C1416" s="24">
        <v>44785</v>
      </c>
      <c r="D1416" s="238" t="s">
        <v>27</v>
      </c>
      <c r="E1416" s="238" t="s">
        <v>13</v>
      </c>
      <c r="F1416">
        <v>4</v>
      </c>
      <c r="G1416">
        <v>9</v>
      </c>
      <c r="H1416">
        <v>897</v>
      </c>
      <c r="I1416" s="238" t="s">
        <v>42</v>
      </c>
      <c r="J1416">
        <v>37.229999999999997</v>
      </c>
      <c r="K1416" s="238" t="s">
        <v>38</v>
      </c>
      <c r="L1416">
        <v>2693250</v>
      </c>
      <c r="M1416">
        <v>0</v>
      </c>
      <c r="N1416">
        <v>2693250</v>
      </c>
      <c r="O1416">
        <v>72340.854149879131</v>
      </c>
      <c r="P1416">
        <v>0</v>
      </c>
      <c r="Q1416">
        <v>2693250</v>
      </c>
      <c r="R1416">
        <v>72340.854149879131</v>
      </c>
      <c r="S1416" s="238" t="s">
        <v>124</v>
      </c>
      <c r="T1416" s="238" t="s">
        <v>1167</v>
      </c>
      <c r="V1416" t="s">
        <v>1167</v>
      </c>
      <c r="W1416" s="24">
        <v>44781</v>
      </c>
      <c r="X1416" s="238" t="s">
        <v>3287</v>
      </c>
      <c r="Y1416" s="238" t="s">
        <v>3247</v>
      </c>
      <c r="Z1416" s="238" t="s">
        <v>1340</v>
      </c>
      <c r="AA1416" t="s">
        <v>1167</v>
      </c>
      <c r="AB1416" s="238" t="s">
        <v>3246</v>
      </c>
      <c r="AC1416" t="s">
        <v>1167</v>
      </c>
      <c r="AD1416" s="24"/>
      <c r="AE1416" s="238" t="s">
        <v>3248</v>
      </c>
      <c r="AG1416" s="238" t="s">
        <v>1167</v>
      </c>
      <c r="AH1416" s="238" t="s">
        <v>1167</v>
      </c>
      <c r="AI1416" s="238" t="s">
        <v>5050</v>
      </c>
      <c r="AJ1416" s="238" t="s">
        <v>982</v>
      </c>
      <c r="AK1416" s="238" t="s">
        <v>1167</v>
      </c>
      <c r="AL1416" t="s">
        <v>8715</v>
      </c>
      <c r="AM1416" t="s">
        <v>1167</v>
      </c>
    </row>
    <row r="1417" spans="1:39" hidden="1" x14ac:dyDescent="0.25">
      <c r="A1417">
        <v>1413</v>
      </c>
      <c r="B1417">
        <v>357</v>
      </c>
      <c r="C1417" s="24">
        <v>44785</v>
      </c>
      <c r="D1417" s="238" t="s">
        <v>27</v>
      </c>
      <c r="E1417" s="238" t="s">
        <v>13</v>
      </c>
      <c r="F1417">
        <v>7</v>
      </c>
      <c r="G1417">
        <v>9</v>
      </c>
      <c r="H1417">
        <v>900</v>
      </c>
      <c r="I1417" s="238" t="s">
        <v>43</v>
      </c>
      <c r="J1417">
        <v>62.69</v>
      </c>
      <c r="K1417" s="238" t="s">
        <v>38</v>
      </c>
      <c r="L1417">
        <v>4504500</v>
      </c>
      <c r="M1417">
        <v>0</v>
      </c>
      <c r="N1417">
        <v>4504500</v>
      </c>
      <c r="O1417">
        <v>71853.565161907798</v>
      </c>
      <c r="P1417">
        <v>0</v>
      </c>
      <c r="Q1417">
        <v>4504500</v>
      </c>
      <c r="R1417">
        <v>71853.565161907798</v>
      </c>
      <c r="S1417" s="238" t="s">
        <v>124</v>
      </c>
      <c r="T1417" s="238" t="s">
        <v>1167</v>
      </c>
      <c r="V1417" t="s">
        <v>1167</v>
      </c>
      <c r="W1417" s="24">
        <v>44781</v>
      </c>
      <c r="X1417" s="238" t="s">
        <v>3287</v>
      </c>
      <c r="Y1417" s="238" t="s">
        <v>3247</v>
      </c>
      <c r="Z1417" s="238" t="s">
        <v>1340</v>
      </c>
      <c r="AA1417" t="s">
        <v>1167</v>
      </c>
      <c r="AB1417" s="238" t="s">
        <v>3246</v>
      </c>
      <c r="AC1417" t="s">
        <v>1167</v>
      </c>
      <c r="AD1417" s="24"/>
      <c r="AE1417" s="238" t="s">
        <v>3248</v>
      </c>
      <c r="AG1417" s="238" t="s">
        <v>1167</v>
      </c>
      <c r="AH1417" s="238" t="s">
        <v>1167</v>
      </c>
      <c r="AI1417" s="238" t="s">
        <v>5050</v>
      </c>
      <c r="AJ1417" s="238" t="s">
        <v>982</v>
      </c>
      <c r="AK1417" s="238" t="s">
        <v>1167</v>
      </c>
      <c r="AL1417" t="s">
        <v>8715</v>
      </c>
      <c r="AM1417" t="s">
        <v>1167</v>
      </c>
    </row>
    <row r="1418" spans="1:39" hidden="1" x14ac:dyDescent="0.25">
      <c r="A1418">
        <v>1414</v>
      </c>
      <c r="B1418">
        <v>358</v>
      </c>
      <c r="C1418" s="24">
        <v>44785</v>
      </c>
      <c r="D1418" s="238" t="s">
        <v>27</v>
      </c>
      <c r="E1418" s="238" t="s">
        <v>13</v>
      </c>
      <c r="F1418">
        <v>1</v>
      </c>
      <c r="G1418">
        <v>10</v>
      </c>
      <c r="H1418">
        <v>903</v>
      </c>
      <c r="I1418" s="238" t="s">
        <v>42</v>
      </c>
      <c r="J1418">
        <v>37.15</v>
      </c>
      <c r="K1418" s="238" t="s">
        <v>38</v>
      </c>
      <c r="L1418">
        <v>2690250</v>
      </c>
      <c r="M1418">
        <v>0</v>
      </c>
      <c r="N1418">
        <v>2690250</v>
      </c>
      <c r="O1418">
        <v>72415.881561238231</v>
      </c>
      <c r="P1418">
        <v>0</v>
      </c>
      <c r="Q1418">
        <v>2690250</v>
      </c>
      <c r="R1418">
        <v>72415.881561238231</v>
      </c>
      <c r="S1418" s="238" t="s">
        <v>124</v>
      </c>
      <c r="T1418" s="238" t="s">
        <v>1167</v>
      </c>
      <c r="V1418" t="s">
        <v>1167</v>
      </c>
      <c r="W1418" s="24">
        <v>44781</v>
      </c>
      <c r="X1418" s="238" t="s">
        <v>3287</v>
      </c>
      <c r="Y1418" s="238" t="s">
        <v>3247</v>
      </c>
      <c r="Z1418" s="238" t="s">
        <v>1340</v>
      </c>
      <c r="AA1418" t="s">
        <v>1167</v>
      </c>
      <c r="AB1418" s="238" t="s">
        <v>3246</v>
      </c>
      <c r="AC1418" t="s">
        <v>1167</v>
      </c>
      <c r="AD1418" s="24"/>
      <c r="AE1418" s="238" t="s">
        <v>3248</v>
      </c>
      <c r="AG1418" s="238" t="s">
        <v>1167</v>
      </c>
      <c r="AH1418" s="238" t="s">
        <v>1167</v>
      </c>
      <c r="AI1418" s="238" t="s">
        <v>5050</v>
      </c>
      <c r="AJ1418" s="238" t="s">
        <v>982</v>
      </c>
      <c r="AK1418" s="238" t="s">
        <v>1167</v>
      </c>
      <c r="AL1418" t="s">
        <v>8715</v>
      </c>
      <c r="AM1418" t="s">
        <v>1167</v>
      </c>
    </row>
    <row r="1419" spans="1:39" hidden="1" x14ac:dyDescent="0.25">
      <c r="A1419">
        <v>1415</v>
      </c>
      <c r="B1419">
        <v>359</v>
      </c>
      <c r="C1419" s="24">
        <v>44785</v>
      </c>
      <c r="D1419" s="238" t="s">
        <v>27</v>
      </c>
      <c r="E1419" s="238" t="s">
        <v>13</v>
      </c>
      <c r="F1419">
        <v>2</v>
      </c>
      <c r="G1419">
        <v>10</v>
      </c>
      <c r="H1419">
        <v>904</v>
      </c>
      <c r="I1419" s="238" t="s">
        <v>44</v>
      </c>
      <c r="J1419">
        <v>86.1</v>
      </c>
      <c r="K1419" s="238" t="s">
        <v>38</v>
      </c>
      <c r="L1419">
        <v>6259500</v>
      </c>
      <c r="M1419">
        <v>0</v>
      </c>
      <c r="N1419">
        <v>6259500</v>
      </c>
      <c r="O1419">
        <v>72700.348432055747</v>
      </c>
      <c r="P1419">
        <v>0</v>
      </c>
      <c r="Q1419">
        <v>6259500</v>
      </c>
      <c r="R1419">
        <v>72700.348432055747</v>
      </c>
      <c r="S1419" s="238" t="s">
        <v>124</v>
      </c>
      <c r="T1419" s="238" t="s">
        <v>1167</v>
      </c>
      <c r="V1419" t="s">
        <v>1167</v>
      </c>
      <c r="W1419" s="24">
        <v>44781</v>
      </c>
      <c r="X1419" s="238" t="s">
        <v>3287</v>
      </c>
      <c r="Y1419" s="238" t="s">
        <v>3247</v>
      </c>
      <c r="Z1419" s="238" t="s">
        <v>1340</v>
      </c>
      <c r="AA1419" t="s">
        <v>1167</v>
      </c>
      <c r="AB1419" s="238" t="s">
        <v>3246</v>
      </c>
      <c r="AC1419" t="s">
        <v>1167</v>
      </c>
      <c r="AD1419" s="24"/>
      <c r="AE1419" s="238" t="s">
        <v>3248</v>
      </c>
      <c r="AG1419" s="238" t="s">
        <v>1167</v>
      </c>
      <c r="AH1419" s="238" t="s">
        <v>1167</v>
      </c>
      <c r="AI1419" s="238" t="s">
        <v>5050</v>
      </c>
      <c r="AJ1419" s="238" t="s">
        <v>982</v>
      </c>
      <c r="AK1419" s="238" t="s">
        <v>1167</v>
      </c>
      <c r="AL1419" t="s">
        <v>8715</v>
      </c>
      <c r="AM1419" t="s">
        <v>1167</v>
      </c>
    </row>
    <row r="1420" spans="1:39" hidden="1" x14ac:dyDescent="0.25">
      <c r="A1420">
        <v>1416</v>
      </c>
      <c r="B1420">
        <v>360</v>
      </c>
      <c r="C1420" s="24">
        <v>44785</v>
      </c>
      <c r="D1420" s="238" t="s">
        <v>27</v>
      </c>
      <c r="E1420" s="238" t="s">
        <v>13</v>
      </c>
      <c r="F1420">
        <v>3</v>
      </c>
      <c r="G1420">
        <v>10</v>
      </c>
      <c r="H1420">
        <v>905</v>
      </c>
      <c r="I1420" s="238" t="s">
        <v>42</v>
      </c>
      <c r="J1420">
        <v>37.31</v>
      </c>
      <c r="K1420" s="238" t="s">
        <v>38</v>
      </c>
      <c r="L1420">
        <v>2699250</v>
      </c>
      <c r="M1420">
        <v>0</v>
      </c>
      <c r="N1420">
        <v>2699250</v>
      </c>
      <c r="O1420">
        <v>72346.555883141249</v>
      </c>
      <c r="P1420">
        <v>0</v>
      </c>
      <c r="Q1420">
        <v>2699250</v>
      </c>
      <c r="R1420">
        <v>72346.555883141249</v>
      </c>
      <c r="S1420" s="238" t="s">
        <v>124</v>
      </c>
      <c r="T1420" s="238" t="s">
        <v>1167</v>
      </c>
      <c r="V1420" t="s">
        <v>1167</v>
      </c>
      <c r="W1420" s="24">
        <v>44781</v>
      </c>
      <c r="X1420" s="238" t="s">
        <v>3287</v>
      </c>
      <c r="Y1420" s="238" t="s">
        <v>3247</v>
      </c>
      <c r="Z1420" s="238" t="s">
        <v>1340</v>
      </c>
      <c r="AA1420" t="s">
        <v>1167</v>
      </c>
      <c r="AB1420" s="238" t="s">
        <v>3246</v>
      </c>
      <c r="AC1420" t="s">
        <v>1167</v>
      </c>
      <c r="AD1420" s="24"/>
      <c r="AE1420" s="238" t="s">
        <v>3248</v>
      </c>
      <c r="AG1420" s="238" t="s">
        <v>1167</v>
      </c>
      <c r="AH1420" s="238" t="s">
        <v>1167</v>
      </c>
      <c r="AI1420" s="238" t="s">
        <v>5050</v>
      </c>
      <c r="AJ1420" s="238" t="s">
        <v>982</v>
      </c>
      <c r="AK1420" s="238" t="s">
        <v>1167</v>
      </c>
      <c r="AL1420" t="s">
        <v>8715</v>
      </c>
      <c r="AM1420" t="s">
        <v>1167</v>
      </c>
    </row>
    <row r="1421" spans="1:39" hidden="1" x14ac:dyDescent="0.25">
      <c r="A1421">
        <v>1417</v>
      </c>
      <c r="B1421">
        <v>361</v>
      </c>
      <c r="C1421" s="24">
        <v>44785</v>
      </c>
      <c r="D1421" s="238" t="s">
        <v>27</v>
      </c>
      <c r="E1421" s="238" t="s">
        <v>13</v>
      </c>
      <c r="F1421">
        <v>4</v>
      </c>
      <c r="G1421">
        <v>10</v>
      </c>
      <c r="H1421">
        <v>906</v>
      </c>
      <c r="I1421" s="238" t="s">
        <v>42</v>
      </c>
      <c r="J1421">
        <v>37.229999999999997</v>
      </c>
      <c r="K1421" s="238" t="s">
        <v>38</v>
      </c>
      <c r="L1421">
        <v>2693250</v>
      </c>
      <c r="M1421">
        <v>0</v>
      </c>
      <c r="N1421">
        <v>2693250</v>
      </c>
      <c r="O1421">
        <v>72340.854149879131</v>
      </c>
      <c r="P1421">
        <v>0</v>
      </c>
      <c r="Q1421">
        <v>2693250</v>
      </c>
      <c r="R1421">
        <v>72340.854149879131</v>
      </c>
      <c r="S1421" s="238" t="s">
        <v>124</v>
      </c>
      <c r="T1421" s="238" t="s">
        <v>1167</v>
      </c>
      <c r="V1421" t="s">
        <v>1167</v>
      </c>
      <c r="W1421" s="24">
        <v>44781</v>
      </c>
      <c r="X1421" s="238" t="s">
        <v>3287</v>
      </c>
      <c r="Y1421" s="238" t="s">
        <v>3247</v>
      </c>
      <c r="Z1421" s="238" t="s">
        <v>1340</v>
      </c>
      <c r="AA1421" t="s">
        <v>1167</v>
      </c>
      <c r="AB1421" s="238" t="s">
        <v>3246</v>
      </c>
      <c r="AC1421" t="s">
        <v>1167</v>
      </c>
      <c r="AD1421" s="24"/>
      <c r="AE1421" s="238" t="s">
        <v>3248</v>
      </c>
      <c r="AG1421" s="238" t="s">
        <v>1167</v>
      </c>
      <c r="AH1421" s="238" t="s">
        <v>1167</v>
      </c>
      <c r="AI1421" s="238" t="s">
        <v>5050</v>
      </c>
      <c r="AJ1421" s="238" t="s">
        <v>982</v>
      </c>
      <c r="AK1421" s="238" t="s">
        <v>1167</v>
      </c>
      <c r="AL1421" t="s">
        <v>8715</v>
      </c>
      <c r="AM1421" t="s">
        <v>1167</v>
      </c>
    </row>
    <row r="1422" spans="1:39" hidden="1" x14ac:dyDescent="0.25">
      <c r="A1422">
        <v>1418</v>
      </c>
      <c r="B1422">
        <v>362</v>
      </c>
      <c r="C1422" s="24">
        <v>44785</v>
      </c>
      <c r="D1422" s="238" t="s">
        <v>27</v>
      </c>
      <c r="E1422" s="238" t="s">
        <v>13</v>
      </c>
      <c r="F1422">
        <v>7</v>
      </c>
      <c r="G1422">
        <v>10</v>
      </c>
      <c r="H1422">
        <v>909</v>
      </c>
      <c r="I1422" s="238" t="s">
        <v>43</v>
      </c>
      <c r="J1422">
        <v>62.69</v>
      </c>
      <c r="K1422" s="238" t="s">
        <v>38</v>
      </c>
      <c r="L1422">
        <v>4504500</v>
      </c>
      <c r="M1422">
        <v>0</v>
      </c>
      <c r="N1422">
        <v>4504500</v>
      </c>
      <c r="O1422">
        <v>71853.565161907798</v>
      </c>
      <c r="P1422">
        <v>0</v>
      </c>
      <c r="Q1422">
        <v>4504500</v>
      </c>
      <c r="R1422">
        <v>71853.565161907798</v>
      </c>
      <c r="S1422" s="238" t="s">
        <v>124</v>
      </c>
      <c r="T1422" s="238" t="s">
        <v>1167</v>
      </c>
      <c r="V1422" t="s">
        <v>1167</v>
      </c>
      <c r="W1422" s="24">
        <v>44781</v>
      </c>
      <c r="X1422" s="238" t="s">
        <v>3287</v>
      </c>
      <c r="Y1422" s="238" t="s">
        <v>3247</v>
      </c>
      <c r="Z1422" s="238" t="s">
        <v>1340</v>
      </c>
      <c r="AA1422" t="s">
        <v>1167</v>
      </c>
      <c r="AB1422" s="238" t="s">
        <v>3246</v>
      </c>
      <c r="AC1422" t="s">
        <v>1167</v>
      </c>
      <c r="AD1422" s="24"/>
      <c r="AE1422" s="238" t="s">
        <v>3248</v>
      </c>
      <c r="AG1422" s="238" t="s">
        <v>1167</v>
      </c>
      <c r="AH1422" s="238" t="s">
        <v>1167</v>
      </c>
      <c r="AI1422" s="238" t="s">
        <v>5050</v>
      </c>
      <c r="AJ1422" s="238" t="s">
        <v>982</v>
      </c>
      <c r="AK1422" s="238" t="s">
        <v>1167</v>
      </c>
      <c r="AL1422" t="s">
        <v>8715</v>
      </c>
      <c r="AM1422" t="s">
        <v>1167</v>
      </c>
    </row>
    <row r="1423" spans="1:39" hidden="1" x14ac:dyDescent="0.25">
      <c r="A1423">
        <v>1419</v>
      </c>
      <c r="B1423">
        <v>363</v>
      </c>
      <c r="C1423" s="24">
        <v>44792</v>
      </c>
      <c r="D1423" s="238" t="s">
        <v>91</v>
      </c>
      <c r="E1423" s="238" t="s">
        <v>16</v>
      </c>
      <c r="F1423">
        <v>7</v>
      </c>
      <c r="G1423">
        <v>7</v>
      </c>
      <c r="H1423">
        <v>282</v>
      </c>
      <c r="I1423" s="238" t="s">
        <v>42</v>
      </c>
      <c r="J1423">
        <v>33.840000000000003</v>
      </c>
      <c r="K1423" s="238" t="s">
        <v>36</v>
      </c>
      <c r="L1423">
        <v>2377488</v>
      </c>
      <c r="M1423">
        <v>15000</v>
      </c>
      <c r="N1423">
        <v>2392488</v>
      </c>
      <c r="O1423">
        <v>70700</v>
      </c>
      <c r="P1423">
        <v>0</v>
      </c>
      <c r="Q1423">
        <v>2392488</v>
      </c>
      <c r="R1423">
        <v>70700</v>
      </c>
      <c r="S1423" s="238" t="s">
        <v>137</v>
      </c>
      <c r="T1423" s="238" t="s">
        <v>1167</v>
      </c>
      <c r="V1423" t="s">
        <v>4091</v>
      </c>
      <c r="W1423" s="24">
        <v>44776</v>
      </c>
      <c r="X1423" s="238" t="s">
        <v>3288</v>
      </c>
      <c r="Y1423" s="238" t="s">
        <v>39</v>
      </c>
      <c r="Z1423" s="238" t="s">
        <v>1340</v>
      </c>
      <c r="AA1423" t="s">
        <v>1167</v>
      </c>
      <c r="AB1423" s="238" t="s">
        <v>3246</v>
      </c>
      <c r="AC1423" t="s">
        <v>3079</v>
      </c>
      <c r="AD1423" s="24"/>
      <c r="AE1423" s="238" t="s">
        <v>3289</v>
      </c>
      <c r="AF1423">
        <v>79277216252</v>
      </c>
      <c r="AG1423" s="238" t="s">
        <v>3290</v>
      </c>
      <c r="AH1423" s="238" t="s">
        <v>1212</v>
      </c>
      <c r="AI1423" s="238" t="s">
        <v>135</v>
      </c>
      <c r="AJ1423" s="238" t="s">
        <v>130</v>
      </c>
      <c r="AK1423" s="238" t="s">
        <v>141</v>
      </c>
      <c r="AL1423" t="s">
        <v>8715</v>
      </c>
      <c r="AM1423" t="s">
        <v>1167</v>
      </c>
    </row>
    <row r="1424" spans="1:39" hidden="1" x14ac:dyDescent="0.25">
      <c r="A1424">
        <v>1420</v>
      </c>
      <c r="B1424">
        <v>364</v>
      </c>
      <c r="C1424" s="24">
        <v>44792</v>
      </c>
      <c r="D1424" s="238" t="s">
        <v>91</v>
      </c>
      <c r="E1424" s="238" t="s">
        <v>6</v>
      </c>
      <c r="F1424">
        <v>7</v>
      </c>
      <c r="G1424">
        <v>3</v>
      </c>
      <c r="H1424">
        <v>15</v>
      </c>
      <c r="I1424" s="238" t="s">
        <v>4052</v>
      </c>
      <c r="J1424">
        <v>21.75</v>
      </c>
      <c r="K1424" s="238" t="s">
        <v>37</v>
      </c>
      <c r="L1424">
        <v>1874640</v>
      </c>
      <c r="M1424">
        <v>15000</v>
      </c>
      <c r="N1424">
        <v>1889640</v>
      </c>
      <c r="O1424">
        <v>86880</v>
      </c>
      <c r="P1424">
        <v>163125</v>
      </c>
      <c r="Q1424">
        <v>1726515</v>
      </c>
      <c r="R1424">
        <v>79380</v>
      </c>
      <c r="S1424" s="238" t="s">
        <v>124</v>
      </c>
      <c r="T1424" s="238" t="s">
        <v>1167</v>
      </c>
      <c r="V1424" t="s">
        <v>1167</v>
      </c>
      <c r="W1424" s="24">
        <v>44789</v>
      </c>
      <c r="X1424" s="238" t="s">
        <v>3291</v>
      </c>
      <c r="Y1424" s="238" t="s">
        <v>39</v>
      </c>
      <c r="Z1424" s="238" t="s">
        <v>1340</v>
      </c>
      <c r="AA1424" t="s">
        <v>3113</v>
      </c>
      <c r="AB1424" s="238" t="s">
        <v>3246</v>
      </c>
      <c r="AC1424" t="s">
        <v>1167</v>
      </c>
      <c r="AD1424" s="24"/>
      <c r="AE1424" s="238" t="s">
        <v>3292</v>
      </c>
      <c r="AF1424">
        <v>79270167705</v>
      </c>
      <c r="AG1424" s="238" t="s">
        <v>3293</v>
      </c>
      <c r="AH1424" s="238" t="s">
        <v>1212</v>
      </c>
      <c r="AI1424" s="238" t="s">
        <v>135</v>
      </c>
      <c r="AJ1424" s="238" t="s">
        <v>399</v>
      </c>
      <c r="AK1424" s="238" t="s">
        <v>1167</v>
      </c>
      <c r="AL1424" t="s">
        <v>8715</v>
      </c>
      <c r="AM1424" t="s">
        <v>1167</v>
      </c>
    </row>
    <row r="1425" spans="1:39" hidden="1" x14ac:dyDescent="0.25">
      <c r="A1425">
        <v>1421</v>
      </c>
      <c r="B1425">
        <v>365</v>
      </c>
      <c r="C1425" s="24">
        <v>44792</v>
      </c>
      <c r="D1425" s="238" t="s">
        <v>27</v>
      </c>
      <c r="E1425" s="238" t="s">
        <v>6</v>
      </c>
      <c r="F1425">
        <v>4</v>
      </c>
      <c r="G1425">
        <v>16</v>
      </c>
      <c r="H1425">
        <v>130</v>
      </c>
      <c r="I1425" s="238" t="s">
        <v>4052</v>
      </c>
      <c r="J1425">
        <v>24.39</v>
      </c>
      <c r="K1425" s="238" t="s">
        <v>37</v>
      </c>
      <c r="L1425">
        <v>2380672.77</v>
      </c>
      <c r="M1425">
        <v>0</v>
      </c>
      <c r="N1425">
        <v>2380672.77</v>
      </c>
      <c r="O1425">
        <v>97608.55965559656</v>
      </c>
      <c r="P1425">
        <v>182924.9999999986</v>
      </c>
      <c r="Q1425">
        <v>2197747.7700000014</v>
      </c>
      <c r="R1425">
        <v>90108.559655596619</v>
      </c>
      <c r="S1425" s="238" t="s">
        <v>137</v>
      </c>
      <c r="T1425" s="238" t="s">
        <v>1167</v>
      </c>
      <c r="V1425" t="s">
        <v>4091</v>
      </c>
      <c r="W1425" s="24">
        <v>44790</v>
      </c>
      <c r="X1425" s="238" t="s">
        <v>3294</v>
      </c>
      <c r="Y1425" s="238" t="s">
        <v>39</v>
      </c>
      <c r="Z1425" s="238" t="s">
        <v>1340</v>
      </c>
      <c r="AA1425" t="s">
        <v>1167</v>
      </c>
      <c r="AB1425" s="238" t="s">
        <v>3246</v>
      </c>
      <c r="AC1425" t="s">
        <v>3079</v>
      </c>
      <c r="AD1425" s="24"/>
      <c r="AE1425" s="238" t="s">
        <v>3295</v>
      </c>
      <c r="AF1425">
        <v>79510619129</v>
      </c>
      <c r="AG1425" s="238" t="s">
        <v>3296</v>
      </c>
      <c r="AH1425" s="238" t="s">
        <v>146</v>
      </c>
      <c r="AI1425" s="238" t="s">
        <v>135</v>
      </c>
      <c r="AJ1425" s="238" t="s">
        <v>399</v>
      </c>
      <c r="AK1425" s="238" t="s">
        <v>141</v>
      </c>
      <c r="AL1425" t="s">
        <v>8715</v>
      </c>
      <c r="AM1425" t="s">
        <v>1167</v>
      </c>
    </row>
    <row r="1426" spans="1:39" hidden="1" x14ac:dyDescent="0.25">
      <c r="A1426">
        <v>1422</v>
      </c>
      <c r="B1426">
        <v>366</v>
      </c>
      <c r="C1426" s="24">
        <v>44795</v>
      </c>
      <c r="D1426" s="238" t="s">
        <v>27</v>
      </c>
      <c r="E1426" s="238" t="s">
        <v>6</v>
      </c>
      <c r="F1426">
        <v>4</v>
      </c>
      <c r="G1426">
        <v>11</v>
      </c>
      <c r="H1426">
        <v>85</v>
      </c>
      <c r="I1426" s="238" t="s">
        <v>4052</v>
      </c>
      <c r="J1426">
        <v>24.39</v>
      </c>
      <c r="K1426" s="238" t="s">
        <v>38</v>
      </c>
      <c r="L1426">
        <v>2800544.38</v>
      </c>
      <c r="M1426">
        <v>0</v>
      </c>
      <c r="N1426">
        <v>2800544.38</v>
      </c>
      <c r="O1426">
        <v>114823.46781467814</v>
      </c>
      <c r="P1426">
        <v>536580.00000000093</v>
      </c>
      <c r="Q1426">
        <v>2263964.379999999</v>
      </c>
      <c r="R1426">
        <v>92823.467814678108</v>
      </c>
      <c r="S1426" s="238" t="s">
        <v>137</v>
      </c>
      <c r="T1426" s="238" t="s">
        <v>1167</v>
      </c>
      <c r="V1426" t="s">
        <v>4091</v>
      </c>
      <c r="W1426" s="24">
        <v>44790</v>
      </c>
      <c r="X1426" s="238" t="s">
        <v>3297</v>
      </c>
      <c r="Y1426" s="238" t="s">
        <v>39</v>
      </c>
      <c r="Z1426" s="238" t="s">
        <v>1340</v>
      </c>
      <c r="AA1426" t="s">
        <v>1167</v>
      </c>
      <c r="AB1426" s="238" t="s">
        <v>3246</v>
      </c>
      <c r="AC1426" t="s">
        <v>3079</v>
      </c>
      <c r="AD1426" s="24"/>
      <c r="AE1426" s="238" t="s">
        <v>1349</v>
      </c>
      <c r="AF1426">
        <v>79325468086</v>
      </c>
      <c r="AG1426" s="238" t="s">
        <v>3298</v>
      </c>
      <c r="AH1426" s="238" t="s">
        <v>1212</v>
      </c>
      <c r="AI1426" s="238" t="s">
        <v>3088</v>
      </c>
      <c r="AJ1426" s="238" t="s">
        <v>130</v>
      </c>
      <c r="AK1426" s="238" t="s">
        <v>141</v>
      </c>
      <c r="AL1426" t="s">
        <v>8715</v>
      </c>
      <c r="AM1426" t="s">
        <v>1167</v>
      </c>
    </row>
    <row r="1427" spans="1:39" hidden="1" x14ac:dyDescent="0.25">
      <c r="A1427">
        <v>1423</v>
      </c>
      <c r="B1427">
        <v>367</v>
      </c>
      <c r="C1427" s="24">
        <v>44795</v>
      </c>
      <c r="D1427" s="238" t="s">
        <v>91</v>
      </c>
      <c r="E1427" s="238" t="s">
        <v>6</v>
      </c>
      <c r="F1427">
        <v>5</v>
      </c>
      <c r="G1427">
        <v>11</v>
      </c>
      <c r="H1427">
        <v>77</v>
      </c>
      <c r="I1427" s="238" t="s">
        <v>43</v>
      </c>
      <c r="J1427">
        <v>54.66</v>
      </c>
      <c r="K1427" s="238" t="s">
        <v>37</v>
      </c>
      <c r="L1427">
        <v>4311112.91</v>
      </c>
      <c r="M1427">
        <v>0</v>
      </c>
      <c r="N1427">
        <v>4311112.91</v>
      </c>
      <c r="O1427">
        <v>78871.439992682048</v>
      </c>
      <c r="P1427">
        <v>409950</v>
      </c>
      <c r="Q1427">
        <v>3901162.91</v>
      </c>
      <c r="R1427">
        <v>71371.439992682048</v>
      </c>
      <c r="S1427" s="238" t="s">
        <v>137</v>
      </c>
      <c r="T1427" s="238" t="s">
        <v>1167</v>
      </c>
      <c r="V1427" t="s">
        <v>4091</v>
      </c>
      <c r="W1427" s="24">
        <v>44791</v>
      </c>
      <c r="X1427" s="238" t="s">
        <v>3299</v>
      </c>
      <c r="Y1427" s="238" t="s">
        <v>39</v>
      </c>
      <c r="Z1427" s="238" t="s">
        <v>1340</v>
      </c>
      <c r="AA1427" t="s">
        <v>1167</v>
      </c>
      <c r="AB1427" s="238" t="s">
        <v>3246</v>
      </c>
      <c r="AC1427" t="s">
        <v>3079</v>
      </c>
      <c r="AD1427" s="24"/>
      <c r="AE1427" s="238" t="s">
        <v>3300</v>
      </c>
      <c r="AF1427">
        <v>79179555284</v>
      </c>
      <c r="AG1427" s="238" t="s">
        <v>3301</v>
      </c>
      <c r="AH1427" s="238" t="s">
        <v>1171</v>
      </c>
      <c r="AI1427" s="238" t="s">
        <v>3074</v>
      </c>
      <c r="AJ1427" s="238" t="s">
        <v>399</v>
      </c>
      <c r="AK1427" s="238" t="s">
        <v>141</v>
      </c>
      <c r="AL1427" t="s">
        <v>8715</v>
      </c>
      <c r="AM1427" t="s">
        <v>1167</v>
      </c>
    </row>
    <row r="1428" spans="1:39" hidden="1" x14ac:dyDescent="0.25">
      <c r="A1428">
        <v>1424</v>
      </c>
      <c r="B1428">
        <v>368</v>
      </c>
      <c r="C1428" s="24">
        <v>44792</v>
      </c>
      <c r="D1428" s="238" t="s">
        <v>19</v>
      </c>
      <c r="E1428" s="238" t="s">
        <v>5</v>
      </c>
      <c r="F1428">
        <v>3</v>
      </c>
      <c r="G1428">
        <v>7</v>
      </c>
      <c r="H1428">
        <v>219</v>
      </c>
      <c r="I1428" s="238" t="s">
        <v>44</v>
      </c>
      <c r="J1428">
        <v>88.7</v>
      </c>
      <c r="K1428" s="238" t="s">
        <v>36</v>
      </c>
      <c r="L1428">
        <v>6652500</v>
      </c>
      <c r="M1428">
        <v>0</v>
      </c>
      <c r="N1428">
        <v>6652500</v>
      </c>
      <c r="O1428">
        <v>75000</v>
      </c>
      <c r="P1428">
        <v>0</v>
      </c>
      <c r="Q1428">
        <v>6652500</v>
      </c>
      <c r="R1428">
        <v>75000</v>
      </c>
      <c r="S1428" s="238" t="s">
        <v>137</v>
      </c>
      <c r="T1428" s="238" t="s">
        <v>3390</v>
      </c>
      <c r="U1428">
        <v>1333685.2199999997</v>
      </c>
      <c r="V1428" t="s">
        <v>4091</v>
      </c>
      <c r="W1428" s="24">
        <v>44789</v>
      </c>
      <c r="X1428" s="238" t="s">
        <v>3302</v>
      </c>
      <c r="Y1428" s="238" t="s">
        <v>39</v>
      </c>
      <c r="Z1428" s="238" t="s">
        <v>1340</v>
      </c>
      <c r="AA1428" t="s">
        <v>1167</v>
      </c>
      <c r="AB1428" s="238" t="s">
        <v>3124</v>
      </c>
      <c r="AC1428" t="s">
        <v>3077</v>
      </c>
      <c r="AD1428" s="24"/>
      <c r="AE1428" s="238" t="s">
        <v>3303</v>
      </c>
      <c r="AF1428">
        <v>79370618858</v>
      </c>
      <c r="AG1428" s="238" t="s">
        <v>3304</v>
      </c>
      <c r="AH1428" s="238" t="s">
        <v>1171</v>
      </c>
      <c r="AI1428" s="238" t="s">
        <v>3090</v>
      </c>
      <c r="AJ1428" s="238" t="s">
        <v>130</v>
      </c>
      <c r="AK1428" s="238" t="s">
        <v>141</v>
      </c>
      <c r="AL1428" t="s">
        <v>8715</v>
      </c>
      <c r="AM1428" t="s">
        <v>1167</v>
      </c>
    </row>
    <row r="1429" spans="1:39" hidden="1" x14ac:dyDescent="0.25">
      <c r="A1429">
        <v>1425</v>
      </c>
      <c r="B1429">
        <v>369</v>
      </c>
      <c r="C1429" s="24">
        <v>44796</v>
      </c>
      <c r="D1429" s="238" t="s">
        <v>91</v>
      </c>
      <c r="E1429" s="238" t="s">
        <v>5</v>
      </c>
      <c r="F1429">
        <v>3</v>
      </c>
      <c r="G1429">
        <v>5</v>
      </c>
      <c r="H1429">
        <v>147</v>
      </c>
      <c r="I1429" s="238" t="s">
        <v>42</v>
      </c>
      <c r="J1429">
        <v>35.380000000000003</v>
      </c>
      <c r="K1429" s="238" t="s">
        <v>36</v>
      </c>
      <c r="L1429">
        <v>2121950.88</v>
      </c>
      <c r="M1429">
        <v>0</v>
      </c>
      <c r="N1429">
        <v>2121950.88</v>
      </c>
      <c r="O1429">
        <v>59975.999999999993</v>
      </c>
      <c r="P1429">
        <v>0</v>
      </c>
      <c r="Q1429">
        <v>2121950.88</v>
      </c>
      <c r="R1429">
        <v>59975.999999999993</v>
      </c>
      <c r="S1429" s="238" t="s">
        <v>137</v>
      </c>
      <c r="T1429" s="238" t="s">
        <v>350</v>
      </c>
      <c r="U1429">
        <v>530487.72</v>
      </c>
      <c r="V1429" t="s">
        <v>4092</v>
      </c>
      <c r="W1429" s="24">
        <v>44785</v>
      </c>
      <c r="X1429" s="238" t="s">
        <v>3305</v>
      </c>
      <c r="Y1429" s="238" t="s">
        <v>39</v>
      </c>
      <c r="Z1429" s="238" t="s">
        <v>1340</v>
      </c>
      <c r="AA1429" t="s">
        <v>1167</v>
      </c>
      <c r="AB1429" s="238" t="s">
        <v>3246</v>
      </c>
      <c r="AC1429" t="s">
        <v>3079</v>
      </c>
      <c r="AD1429" s="24"/>
      <c r="AE1429" s="238" t="s">
        <v>3306</v>
      </c>
      <c r="AF1429">
        <v>79276022928</v>
      </c>
      <c r="AG1429" s="238" t="s">
        <v>3307</v>
      </c>
      <c r="AH1429" s="238" t="s">
        <v>1171</v>
      </c>
      <c r="AI1429" s="238" t="s">
        <v>3094</v>
      </c>
      <c r="AJ1429" s="238" t="s">
        <v>399</v>
      </c>
      <c r="AK1429" s="238" t="s">
        <v>141</v>
      </c>
      <c r="AL1429" t="s">
        <v>8715</v>
      </c>
      <c r="AM1429" t="s">
        <v>1167</v>
      </c>
    </row>
    <row r="1430" spans="1:39" hidden="1" x14ac:dyDescent="0.25">
      <c r="A1430">
        <v>1426</v>
      </c>
      <c r="B1430">
        <v>370</v>
      </c>
      <c r="C1430" s="24">
        <v>44796</v>
      </c>
      <c r="D1430" s="238" t="s">
        <v>27</v>
      </c>
      <c r="E1430" s="238" t="s">
        <v>6</v>
      </c>
      <c r="F1430">
        <v>3</v>
      </c>
      <c r="G1430">
        <v>9</v>
      </c>
      <c r="H1430">
        <v>66</v>
      </c>
      <c r="I1430" s="238" t="s">
        <v>42</v>
      </c>
      <c r="J1430">
        <v>41.06</v>
      </c>
      <c r="K1430" s="238" t="s">
        <v>36</v>
      </c>
      <c r="L1430">
        <v>3441485.37</v>
      </c>
      <c r="M1430">
        <v>0</v>
      </c>
      <c r="N1430">
        <v>3441485.37</v>
      </c>
      <c r="O1430">
        <v>83816.009985387238</v>
      </c>
      <c r="P1430">
        <v>0</v>
      </c>
      <c r="Q1430">
        <v>3441485.37</v>
      </c>
      <c r="R1430">
        <v>83816.009985387238</v>
      </c>
      <c r="S1430" s="238" t="s">
        <v>137</v>
      </c>
      <c r="T1430" s="238" t="s">
        <v>1167</v>
      </c>
      <c r="V1430" t="s">
        <v>4091</v>
      </c>
      <c r="W1430" s="24">
        <v>44792</v>
      </c>
      <c r="X1430" s="238" t="s">
        <v>3308</v>
      </c>
      <c r="Y1430" s="238" t="s">
        <v>39</v>
      </c>
      <c r="Z1430" s="238" t="s">
        <v>1340</v>
      </c>
      <c r="AA1430" t="s">
        <v>1167</v>
      </c>
      <c r="AB1430" s="238" t="s">
        <v>3246</v>
      </c>
      <c r="AC1430" t="s">
        <v>3079</v>
      </c>
      <c r="AD1430" s="24"/>
      <c r="AE1430" s="238" t="s">
        <v>3309</v>
      </c>
      <c r="AF1430">
        <v>79019425256</v>
      </c>
      <c r="AG1430" s="238" t="s">
        <v>3310</v>
      </c>
      <c r="AH1430" s="238" t="s">
        <v>1212</v>
      </c>
      <c r="AI1430" s="238" t="s">
        <v>135</v>
      </c>
      <c r="AJ1430" s="238" t="s">
        <v>399</v>
      </c>
      <c r="AK1430" s="238" t="s">
        <v>141</v>
      </c>
      <c r="AL1430" t="s">
        <v>8715</v>
      </c>
      <c r="AM1430" t="s">
        <v>3663</v>
      </c>
    </row>
    <row r="1431" spans="1:39" hidden="1" x14ac:dyDescent="0.25">
      <c r="A1431">
        <v>1427</v>
      </c>
      <c r="B1431">
        <v>371</v>
      </c>
      <c r="C1431" s="24">
        <v>44796</v>
      </c>
      <c r="D1431" s="238" t="s">
        <v>91</v>
      </c>
      <c r="E1431" s="238" t="s">
        <v>16</v>
      </c>
      <c r="F1431">
        <v>7</v>
      </c>
      <c r="G1431">
        <v>15</v>
      </c>
      <c r="H1431">
        <v>338</v>
      </c>
      <c r="I1431" s="238" t="s">
        <v>42</v>
      </c>
      <c r="J1431">
        <v>33.840000000000003</v>
      </c>
      <c r="K1431" s="238" t="s">
        <v>36</v>
      </c>
      <c r="L1431">
        <v>2612596.9</v>
      </c>
      <c r="M1431">
        <v>0</v>
      </c>
      <c r="N1431">
        <v>2612596.9</v>
      </c>
      <c r="O1431">
        <v>77204.400118203295</v>
      </c>
      <c r="P1431">
        <v>0</v>
      </c>
      <c r="Q1431">
        <v>2612596.9</v>
      </c>
      <c r="R1431">
        <v>77204.400118203295</v>
      </c>
      <c r="S1431" s="238" t="s">
        <v>137</v>
      </c>
      <c r="T1431" s="238" t="s">
        <v>1167</v>
      </c>
      <c r="V1431" t="s">
        <v>4092</v>
      </c>
      <c r="W1431" s="24">
        <v>44793</v>
      </c>
      <c r="X1431" s="238" t="s">
        <v>3311</v>
      </c>
      <c r="Y1431" s="238" t="s">
        <v>39</v>
      </c>
      <c r="Z1431" s="238" t="s">
        <v>1340</v>
      </c>
      <c r="AA1431" t="s">
        <v>1167</v>
      </c>
      <c r="AB1431" s="238" t="s">
        <v>3246</v>
      </c>
      <c r="AC1431" t="s">
        <v>3079</v>
      </c>
      <c r="AD1431" s="24"/>
      <c r="AE1431" s="238" t="s">
        <v>3312</v>
      </c>
      <c r="AF1431">
        <v>79379955848</v>
      </c>
      <c r="AG1431" s="238" t="s">
        <v>3313</v>
      </c>
      <c r="AH1431" s="238" t="s">
        <v>146</v>
      </c>
      <c r="AI1431" s="238" t="s">
        <v>135</v>
      </c>
      <c r="AJ1431" s="238" t="s">
        <v>130</v>
      </c>
      <c r="AK1431" s="238" t="s">
        <v>141</v>
      </c>
      <c r="AL1431" t="s">
        <v>8715</v>
      </c>
      <c r="AM1431" t="s">
        <v>1167</v>
      </c>
    </row>
    <row r="1432" spans="1:39" hidden="1" x14ac:dyDescent="0.25">
      <c r="A1432">
        <v>1428</v>
      </c>
      <c r="B1432">
        <v>372</v>
      </c>
      <c r="C1432" s="24">
        <v>44797</v>
      </c>
      <c r="D1432" s="238" t="s">
        <v>91</v>
      </c>
      <c r="E1432" s="238" t="s">
        <v>16</v>
      </c>
      <c r="F1432">
        <v>3</v>
      </c>
      <c r="G1432">
        <v>6</v>
      </c>
      <c r="H1432">
        <v>271</v>
      </c>
      <c r="I1432" s="238" t="s">
        <v>4052</v>
      </c>
      <c r="J1432">
        <v>36.450000000000003</v>
      </c>
      <c r="K1432" s="238" t="s">
        <v>36</v>
      </c>
      <c r="L1432">
        <v>2768176.2</v>
      </c>
      <c r="M1432">
        <v>15000</v>
      </c>
      <c r="N1432">
        <v>2783176.2</v>
      </c>
      <c r="O1432">
        <v>76356</v>
      </c>
      <c r="P1432">
        <v>0</v>
      </c>
      <c r="Q1432">
        <v>2783176.2</v>
      </c>
      <c r="R1432">
        <v>76356</v>
      </c>
      <c r="S1432" s="238" t="s">
        <v>137</v>
      </c>
      <c r="T1432" s="238" t="s">
        <v>1167</v>
      </c>
      <c r="V1432" t="s">
        <v>4091</v>
      </c>
      <c r="W1432" s="24">
        <v>44771</v>
      </c>
      <c r="X1432" s="238" t="s">
        <v>3314</v>
      </c>
      <c r="Y1432" s="238" t="s">
        <v>39</v>
      </c>
      <c r="Z1432" s="238" t="s">
        <v>1340</v>
      </c>
      <c r="AA1432" t="s">
        <v>1167</v>
      </c>
      <c r="AB1432" s="238" t="s">
        <v>3246</v>
      </c>
      <c r="AC1432" t="s">
        <v>3079</v>
      </c>
      <c r="AD1432" s="24"/>
      <c r="AE1432" s="238" t="s">
        <v>7724</v>
      </c>
      <c r="AF1432">
        <v>79277462775</v>
      </c>
      <c r="AG1432" s="238" t="s">
        <v>7725</v>
      </c>
      <c r="AH1432" s="238" t="s">
        <v>1212</v>
      </c>
      <c r="AI1432" s="238" t="s">
        <v>135</v>
      </c>
      <c r="AJ1432" s="238" t="s">
        <v>120</v>
      </c>
      <c r="AK1432" s="238" t="s">
        <v>141</v>
      </c>
      <c r="AL1432" t="s">
        <v>8715</v>
      </c>
      <c r="AM1432" t="s">
        <v>1167</v>
      </c>
    </row>
    <row r="1433" spans="1:39" hidden="1" x14ac:dyDescent="0.25">
      <c r="A1433">
        <v>1429</v>
      </c>
      <c r="B1433">
        <v>373</v>
      </c>
      <c r="C1433" s="24">
        <v>44797</v>
      </c>
      <c r="D1433" s="238" t="s">
        <v>91</v>
      </c>
      <c r="E1433" s="238" t="s">
        <v>5</v>
      </c>
      <c r="F1433">
        <v>3</v>
      </c>
      <c r="G1433">
        <v>11</v>
      </c>
      <c r="H1433">
        <v>195</v>
      </c>
      <c r="I1433" s="238" t="s">
        <v>42</v>
      </c>
      <c r="J1433">
        <v>35.380000000000003</v>
      </c>
      <c r="K1433" s="238" t="s">
        <v>36</v>
      </c>
      <c r="L1433">
        <v>2020905.6</v>
      </c>
      <c r="M1433">
        <v>0</v>
      </c>
      <c r="N1433">
        <v>2020905.6</v>
      </c>
      <c r="O1433">
        <v>57120</v>
      </c>
      <c r="P1433">
        <v>0</v>
      </c>
      <c r="Q1433">
        <v>2020905.6</v>
      </c>
      <c r="R1433">
        <v>57120</v>
      </c>
      <c r="S1433" s="238" t="s">
        <v>137</v>
      </c>
      <c r="T1433" s="238" t="s">
        <v>350</v>
      </c>
      <c r="U1433">
        <v>505226.4</v>
      </c>
      <c r="V1433" t="s">
        <v>4092</v>
      </c>
      <c r="W1433" s="24">
        <v>44777</v>
      </c>
      <c r="X1433" s="238" t="s">
        <v>3315</v>
      </c>
      <c r="Y1433" s="238" t="s">
        <v>39</v>
      </c>
      <c r="Z1433" s="238" t="s">
        <v>1340</v>
      </c>
      <c r="AA1433" t="s">
        <v>1167</v>
      </c>
      <c r="AB1433" s="238" t="s">
        <v>3246</v>
      </c>
      <c r="AC1433" t="s">
        <v>3079</v>
      </c>
      <c r="AD1433" s="24">
        <v>45467</v>
      </c>
      <c r="AE1433" s="238" t="s">
        <v>7591</v>
      </c>
      <c r="AF1433">
        <v>79879126040</v>
      </c>
      <c r="AG1433" s="238" t="s">
        <v>7592</v>
      </c>
      <c r="AH1433" s="238" t="s">
        <v>1171</v>
      </c>
      <c r="AI1433" s="238" t="s">
        <v>3094</v>
      </c>
      <c r="AJ1433" s="238" t="s">
        <v>399</v>
      </c>
      <c r="AK1433" s="238" t="s">
        <v>141</v>
      </c>
      <c r="AL1433" t="s">
        <v>8715</v>
      </c>
      <c r="AM1433" t="s">
        <v>1167</v>
      </c>
    </row>
    <row r="1434" spans="1:39" hidden="1" x14ac:dyDescent="0.25">
      <c r="A1434">
        <v>1430</v>
      </c>
      <c r="B1434">
        <v>374</v>
      </c>
      <c r="C1434" s="24">
        <v>44797</v>
      </c>
      <c r="D1434" s="238" t="s">
        <v>91</v>
      </c>
      <c r="E1434" s="238" t="s">
        <v>16</v>
      </c>
      <c r="F1434">
        <v>7</v>
      </c>
      <c r="G1434">
        <v>6</v>
      </c>
      <c r="H1434">
        <v>275</v>
      </c>
      <c r="I1434" s="238" t="s">
        <v>42</v>
      </c>
      <c r="J1434">
        <v>33.840000000000003</v>
      </c>
      <c r="K1434" s="238" t="s">
        <v>38</v>
      </c>
      <c r="L1434">
        <v>3256592.4</v>
      </c>
      <c r="M1434">
        <v>0</v>
      </c>
      <c r="N1434">
        <v>3256592.4</v>
      </c>
      <c r="O1434">
        <v>96234.999999999985</v>
      </c>
      <c r="P1434">
        <v>744479.99999999953</v>
      </c>
      <c r="Q1434">
        <v>2512112.4000000004</v>
      </c>
      <c r="R1434">
        <v>74235</v>
      </c>
      <c r="S1434" s="238" t="s">
        <v>137</v>
      </c>
      <c r="T1434" s="238" t="s">
        <v>1167</v>
      </c>
      <c r="V1434" t="s">
        <v>4092</v>
      </c>
      <c r="W1434" s="24">
        <v>44783</v>
      </c>
      <c r="X1434" s="238" t="s">
        <v>3316</v>
      </c>
      <c r="Y1434" s="238" t="s">
        <v>39</v>
      </c>
      <c r="Z1434" s="238" t="s">
        <v>1340</v>
      </c>
      <c r="AA1434" t="s">
        <v>1167</v>
      </c>
      <c r="AB1434" s="238" t="s">
        <v>3246</v>
      </c>
      <c r="AC1434" t="s">
        <v>3079</v>
      </c>
      <c r="AD1434" s="24"/>
      <c r="AE1434" s="238" t="s">
        <v>2340</v>
      </c>
      <c r="AF1434">
        <v>79991718013</v>
      </c>
      <c r="AG1434" s="238" t="s">
        <v>2341</v>
      </c>
      <c r="AH1434" s="238" t="s">
        <v>1171</v>
      </c>
      <c r="AI1434" s="238" t="s">
        <v>3082</v>
      </c>
      <c r="AJ1434" s="238" t="s">
        <v>120</v>
      </c>
      <c r="AK1434" s="238" t="s">
        <v>141</v>
      </c>
      <c r="AL1434" t="s">
        <v>8715</v>
      </c>
      <c r="AM1434" t="s">
        <v>1167</v>
      </c>
    </row>
    <row r="1435" spans="1:39" hidden="1" x14ac:dyDescent="0.25">
      <c r="A1435">
        <v>1431</v>
      </c>
      <c r="B1435">
        <v>375</v>
      </c>
      <c r="C1435" s="24">
        <v>44797</v>
      </c>
      <c r="D1435" s="238" t="s">
        <v>91</v>
      </c>
      <c r="E1435" s="238" t="s">
        <v>5</v>
      </c>
      <c r="F1435">
        <v>5</v>
      </c>
      <c r="G1435">
        <v>4</v>
      </c>
      <c r="H1435">
        <v>141</v>
      </c>
      <c r="I1435" s="238" t="s">
        <v>42</v>
      </c>
      <c r="J1435">
        <v>36.700000000000003</v>
      </c>
      <c r="K1435" s="238" t="s">
        <v>36</v>
      </c>
      <c r="L1435">
        <v>2805348</v>
      </c>
      <c r="M1435">
        <v>0</v>
      </c>
      <c r="N1435">
        <v>2805348</v>
      </c>
      <c r="O1435">
        <v>76440</v>
      </c>
      <c r="P1435">
        <v>0</v>
      </c>
      <c r="Q1435">
        <v>2805348</v>
      </c>
      <c r="R1435">
        <v>76440</v>
      </c>
      <c r="S1435" s="238" t="s">
        <v>137</v>
      </c>
      <c r="T1435" s="238" t="s">
        <v>1167</v>
      </c>
      <c r="V1435" t="s">
        <v>4091</v>
      </c>
      <c r="W1435" s="24">
        <v>44787</v>
      </c>
      <c r="X1435" s="238" t="s">
        <v>3317</v>
      </c>
      <c r="Y1435" s="238" t="s">
        <v>39</v>
      </c>
      <c r="Z1435" s="238" t="s">
        <v>1340</v>
      </c>
      <c r="AA1435" t="s">
        <v>1167</v>
      </c>
      <c r="AB1435" s="238" t="s">
        <v>3246</v>
      </c>
      <c r="AC1435" t="s">
        <v>3079</v>
      </c>
      <c r="AD1435" s="24">
        <v>45376</v>
      </c>
      <c r="AE1435" s="238" t="s">
        <v>7708</v>
      </c>
      <c r="AF1435">
        <v>79279036998</v>
      </c>
      <c r="AG1435" s="238" t="s">
        <v>7709</v>
      </c>
      <c r="AH1435" s="238" t="s">
        <v>1212</v>
      </c>
      <c r="AI1435" s="238" t="s">
        <v>3082</v>
      </c>
      <c r="AJ1435" s="238" t="s">
        <v>120</v>
      </c>
      <c r="AK1435" s="238" t="s">
        <v>141</v>
      </c>
      <c r="AL1435" t="s">
        <v>8715</v>
      </c>
      <c r="AM1435" t="s">
        <v>1167</v>
      </c>
    </row>
    <row r="1436" spans="1:39" hidden="1" x14ac:dyDescent="0.25">
      <c r="A1436">
        <v>1432</v>
      </c>
      <c r="B1436">
        <v>376</v>
      </c>
      <c r="C1436" s="24">
        <v>44797</v>
      </c>
      <c r="D1436" s="238" t="s">
        <v>27</v>
      </c>
      <c r="E1436" s="238" t="s">
        <v>6</v>
      </c>
      <c r="F1436">
        <v>2</v>
      </c>
      <c r="G1436">
        <v>11</v>
      </c>
      <c r="H1436">
        <v>83</v>
      </c>
      <c r="I1436" s="238" t="s">
        <v>42</v>
      </c>
      <c r="J1436">
        <v>37.94</v>
      </c>
      <c r="K1436" s="238" t="s">
        <v>36</v>
      </c>
      <c r="L1436">
        <v>3109224.13</v>
      </c>
      <c r="M1436">
        <v>0</v>
      </c>
      <c r="N1436">
        <v>3109224.13</v>
      </c>
      <c r="O1436">
        <v>81951.084080126515</v>
      </c>
      <c r="P1436">
        <v>0</v>
      </c>
      <c r="Q1436">
        <v>3109224.13</v>
      </c>
      <c r="R1436">
        <v>81951.084080126515</v>
      </c>
      <c r="S1436" s="238" t="s">
        <v>137</v>
      </c>
      <c r="T1436" s="238" t="s">
        <v>1167</v>
      </c>
      <c r="V1436" t="s">
        <v>4091</v>
      </c>
      <c r="W1436" s="24">
        <v>44792</v>
      </c>
      <c r="X1436" s="238" t="s">
        <v>3318</v>
      </c>
      <c r="Y1436" s="238" t="s">
        <v>39</v>
      </c>
      <c r="Z1436" s="238" t="s">
        <v>1340</v>
      </c>
      <c r="AA1436" t="s">
        <v>1167</v>
      </c>
      <c r="AB1436" s="238" t="s">
        <v>3246</v>
      </c>
      <c r="AC1436" t="s">
        <v>3079</v>
      </c>
      <c r="AD1436" s="24"/>
      <c r="AE1436" s="238" t="s">
        <v>3319</v>
      </c>
      <c r="AF1436">
        <v>79397552669</v>
      </c>
      <c r="AG1436" s="238" t="s">
        <v>3320</v>
      </c>
      <c r="AH1436" s="238" t="s">
        <v>1171</v>
      </c>
      <c r="AI1436" s="238" t="s">
        <v>3074</v>
      </c>
      <c r="AJ1436" s="238" t="s">
        <v>399</v>
      </c>
      <c r="AK1436" s="238" t="s">
        <v>141</v>
      </c>
      <c r="AL1436" t="s">
        <v>8715</v>
      </c>
      <c r="AM1436" t="s">
        <v>3663</v>
      </c>
    </row>
    <row r="1437" spans="1:39" hidden="1" x14ac:dyDescent="0.25">
      <c r="A1437">
        <v>1433</v>
      </c>
      <c r="B1437">
        <v>377</v>
      </c>
      <c r="C1437" s="24">
        <v>44798</v>
      </c>
      <c r="D1437" s="238" t="s">
        <v>91</v>
      </c>
      <c r="E1437" s="238" t="s">
        <v>15</v>
      </c>
      <c r="F1437">
        <v>6</v>
      </c>
      <c r="G1437">
        <v>13</v>
      </c>
      <c r="H1437">
        <v>506</v>
      </c>
      <c r="I1437" s="238" t="s">
        <v>43</v>
      </c>
      <c r="J1437">
        <v>58.62</v>
      </c>
      <c r="K1437" s="238" t="s">
        <v>38</v>
      </c>
      <c r="L1437">
        <v>5514451.4000000004</v>
      </c>
      <c r="M1437">
        <v>0</v>
      </c>
      <c r="N1437">
        <v>5514451.4000000004</v>
      </c>
      <c r="O1437">
        <v>94071.160013647226</v>
      </c>
      <c r="P1437">
        <v>1289640.0000000019</v>
      </c>
      <c r="Q1437">
        <v>4224811.3999999985</v>
      </c>
      <c r="R1437">
        <v>72071.160013647197</v>
      </c>
      <c r="S1437" s="238" t="s">
        <v>137</v>
      </c>
      <c r="T1437" s="238" t="s">
        <v>1167</v>
      </c>
      <c r="V1437" t="s">
        <v>4092</v>
      </c>
      <c r="W1437" s="24">
        <v>44794</v>
      </c>
      <c r="X1437" s="238" t="s">
        <v>3321</v>
      </c>
      <c r="Y1437" s="238" t="s">
        <v>39</v>
      </c>
      <c r="Z1437" s="238" t="s">
        <v>1340</v>
      </c>
      <c r="AA1437" t="s">
        <v>1167</v>
      </c>
      <c r="AB1437" s="238" t="s">
        <v>3246</v>
      </c>
      <c r="AC1437" t="s">
        <v>3079</v>
      </c>
      <c r="AD1437" s="24"/>
      <c r="AE1437" s="238" t="s">
        <v>3322</v>
      </c>
      <c r="AF1437">
        <v>79967383722</v>
      </c>
      <c r="AG1437" s="238" t="s">
        <v>3323</v>
      </c>
      <c r="AH1437" s="238" t="s">
        <v>1212</v>
      </c>
      <c r="AI1437" s="238" t="s">
        <v>3099</v>
      </c>
      <c r="AJ1437" s="238" t="s">
        <v>120</v>
      </c>
      <c r="AK1437" s="238" t="s">
        <v>141</v>
      </c>
      <c r="AL1437" t="s">
        <v>8715</v>
      </c>
      <c r="AM1437" t="s">
        <v>1167</v>
      </c>
    </row>
    <row r="1438" spans="1:39" hidden="1" x14ac:dyDescent="0.25">
      <c r="A1438">
        <v>1434</v>
      </c>
      <c r="B1438">
        <v>378</v>
      </c>
      <c r="C1438" s="24">
        <v>44799</v>
      </c>
      <c r="D1438" s="238" t="s">
        <v>19</v>
      </c>
      <c r="E1438" s="238" t="s">
        <v>6</v>
      </c>
      <c r="F1438">
        <v>3</v>
      </c>
      <c r="G1438">
        <v>4</v>
      </c>
      <c r="H1438">
        <v>17</v>
      </c>
      <c r="I1438" s="238" t="s">
        <v>44</v>
      </c>
      <c r="J1438">
        <v>78.8</v>
      </c>
      <c r="K1438" s="238" t="s">
        <v>36</v>
      </c>
      <c r="L1438">
        <v>5988800</v>
      </c>
      <c r="M1438">
        <v>0</v>
      </c>
      <c r="N1438">
        <v>5988800</v>
      </c>
      <c r="O1438">
        <v>76000</v>
      </c>
      <c r="P1438">
        <v>0</v>
      </c>
      <c r="Q1438">
        <v>5988800</v>
      </c>
      <c r="R1438">
        <v>76000</v>
      </c>
      <c r="S1438" s="238" t="s">
        <v>137</v>
      </c>
      <c r="T1438" s="238" t="s">
        <v>3390</v>
      </c>
      <c r="U1438">
        <v>1053662.3799999999</v>
      </c>
      <c r="V1438" t="s">
        <v>4091</v>
      </c>
      <c r="W1438" s="24">
        <v>44788</v>
      </c>
      <c r="X1438" s="238" t="s">
        <v>3324</v>
      </c>
      <c r="Y1438" s="238" t="s">
        <v>39</v>
      </c>
      <c r="Z1438" s="238" t="s">
        <v>1340</v>
      </c>
      <c r="AA1438" t="s">
        <v>1167</v>
      </c>
      <c r="AB1438" s="238" t="s">
        <v>3124</v>
      </c>
      <c r="AC1438" t="s">
        <v>3079</v>
      </c>
      <c r="AD1438" s="24"/>
      <c r="AE1438" s="238" t="s">
        <v>3325</v>
      </c>
      <c r="AF1438">
        <v>79271629340</v>
      </c>
      <c r="AG1438" s="238" t="s">
        <v>3326</v>
      </c>
      <c r="AH1438" s="238" t="s">
        <v>1212</v>
      </c>
      <c r="AI1438" s="238" t="s">
        <v>3074</v>
      </c>
      <c r="AJ1438" s="238" t="s">
        <v>120</v>
      </c>
      <c r="AK1438" s="238" t="s">
        <v>141</v>
      </c>
      <c r="AL1438" t="s">
        <v>8715</v>
      </c>
      <c r="AM1438" t="s">
        <v>1167</v>
      </c>
    </row>
    <row r="1439" spans="1:39" hidden="1" x14ac:dyDescent="0.25">
      <c r="A1439">
        <v>1435</v>
      </c>
      <c r="B1439">
        <v>379</v>
      </c>
      <c r="C1439" s="24">
        <v>44799</v>
      </c>
      <c r="D1439" s="238" t="s">
        <v>91</v>
      </c>
      <c r="E1439" s="238" t="s">
        <v>16</v>
      </c>
      <c r="F1439">
        <v>5</v>
      </c>
      <c r="G1439">
        <v>13</v>
      </c>
      <c r="H1439">
        <v>322</v>
      </c>
      <c r="I1439" s="238" t="s">
        <v>43</v>
      </c>
      <c r="J1439">
        <v>56.7</v>
      </c>
      <c r="K1439" s="238" t="s">
        <v>36</v>
      </c>
      <c r="L1439">
        <v>3876831.3</v>
      </c>
      <c r="M1439">
        <v>15000</v>
      </c>
      <c r="N1439">
        <v>3891831.3</v>
      </c>
      <c r="O1439">
        <v>68639</v>
      </c>
      <c r="P1439">
        <v>0</v>
      </c>
      <c r="Q1439">
        <v>3891831.3</v>
      </c>
      <c r="R1439">
        <v>68639</v>
      </c>
      <c r="S1439" s="238" t="s">
        <v>124</v>
      </c>
      <c r="T1439" s="238" t="s">
        <v>321</v>
      </c>
      <c r="U1439">
        <v>11.34</v>
      </c>
      <c r="V1439" t="s">
        <v>1167</v>
      </c>
      <c r="W1439" s="24">
        <v>44791</v>
      </c>
      <c r="X1439" s="238" t="s">
        <v>3327</v>
      </c>
      <c r="Y1439" s="238" t="s">
        <v>39</v>
      </c>
      <c r="Z1439" s="238" t="s">
        <v>1340</v>
      </c>
      <c r="AA1439" t="s">
        <v>3113</v>
      </c>
      <c r="AB1439" s="238" t="s">
        <v>3246</v>
      </c>
      <c r="AC1439" t="s">
        <v>1167</v>
      </c>
      <c r="AD1439" s="24"/>
      <c r="AE1439" s="238" t="s">
        <v>3328</v>
      </c>
      <c r="AF1439">
        <v>79053042142</v>
      </c>
      <c r="AG1439" s="238" t="s">
        <v>3329</v>
      </c>
      <c r="AH1439" s="238" t="s">
        <v>1212</v>
      </c>
      <c r="AI1439" s="238" t="s">
        <v>135</v>
      </c>
      <c r="AJ1439" s="238" t="s">
        <v>130</v>
      </c>
      <c r="AK1439" s="238" t="s">
        <v>1167</v>
      </c>
      <c r="AL1439" t="s">
        <v>8715</v>
      </c>
      <c r="AM1439" t="s">
        <v>1167</v>
      </c>
    </row>
    <row r="1440" spans="1:39" hidden="1" x14ac:dyDescent="0.25">
      <c r="A1440">
        <v>1436</v>
      </c>
      <c r="B1440">
        <v>380</v>
      </c>
      <c r="C1440" s="24">
        <v>44799</v>
      </c>
      <c r="D1440" s="238" t="s">
        <v>27</v>
      </c>
      <c r="E1440" s="238" t="s">
        <v>14</v>
      </c>
      <c r="F1440">
        <v>3</v>
      </c>
      <c r="G1440">
        <v>15</v>
      </c>
      <c r="H1440">
        <v>751</v>
      </c>
      <c r="I1440" s="238" t="s">
        <v>43</v>
      </c>
      <c r="J1440">
        <v>56.33</v>
      </c>
      <c r="K1440" s="238" t="s">
        <v>37</v>
      </c>
      <c r="L1440">
        <v>5040135.0999999996</v>
      </c>
      <c r="M1440">
        <v>15000</v>
      </c>
      <c r="N1440">
        <v>5055135.0999999996</v>
      </c>
      <c r="O1440">
        <v>89741.436179655604</v>
      </c>
      <c r="P1440">
        <v>422475</v>
      </c>
      <c r="Q1440">
        <v>4632660.0999999996</v>
      </c>
      <c r="R1440">
        <v>82241.436179655604</v>
      </c>
      <c r="S1440" s="238" t="s">
        <v>137</v>
      </c>
      <c r="T1440" s="238" t="s">
        <v>1167</v>
      </c>
      <c r="V1440" t="s">
        <v>4091</v>
      </c>
      <c r="W1440" s="24">
        <v>44799</v>
      </c>
      <c r="X1440" s="238" t="s">
        <v>3330</v>
      </c>
      <c r="Y1440" s="238" t="s">
        <v>39</v>
      </c>
      <c r="Z1440" s="238" t="s">
        <v>1340</v>
      </c>
      <c r="AA1440" t="s">
        <v>1167</v>
      </c>
      <c r="AB1440" s="238" t="s">
        <v>3246</v>
      </c>
      <c r="AC1440" t="s">
        <v>3079</v>
      </c>
      <c r="AD1440" s="24"/>
      <c r="AE1440" s="238" t="s">
        <v>3331</v>
      </c>
      <c r="AF1440">
        <v>79272136605</v>
      </c>
      <c r="AG1440" s="238" t="s">
        <v>3332</v>
      </c>
      <c r="AH1440" s="238" t="s">
        <v>1171</v>
      </c>
      <c r="AI1440" s="238" t="s">
        <v>3074</v>
      </c>
      <c r="AJ1440" s="238" t="s">
        <v>399</v>
      </c>
      <c r="AK1440" s="238" t="s">
        <v>141</v>
      </c>
      <c r="AL1440" t="s">
        <v>8715</v>
      </c>
      <c r="AM1440" t="s">
        <v>3663</v>
      </c>
    </row>
    <row r="1441" spans="1:39" hidden="1" x14ac:dyDescent="0.25">
      <c r="A1441">
        <v>1437</v>
      </c>
      <c r="B1441">
        <v>381</v>
      </c>
      <c r="C1441" s="24">
        <v>44802</v>
      </c>
      <c r="D1441" s="238" t="s">
        <v>91</v>
      </c>
      <c r="E1441" s="238" t="s">
        <v>16</v>
      </c>
      <c r="F1441">
        <v>1</v>
      </c>
      <c r="G1441">
        <v>3</v>
      </c>
      <c r="H1441">
        <v>248</v>
      </c>
      <c r="I1441" s="238" t="s">
        <v>4052</v>
      </c>
      <c r="J1441">
        <v>29.35</v>
      </c>
      <c r="K1441" s="238" t="s">
        <v>36</v>
      </c>
      <c r="L1441">
        <v>2329803</v>
      </c>
      <c r="M1441">
        <v>0</v>
      </c>
      <c r="N1441">
        <v>2329803</v>
      </c>
      <c r="O1441">
        <v>79380</v>
      </c>
      <c r="P1441">
        <v>0</v>
      </c>
      <c r="Q1441">
        <v>2329803</v>
      </c>
      <c r="R1441">
        <v>79380</v>
      </c>
      <c r="S1441" s="238" t="s">
        <v>137</v>
      </c>
      <c r="T1441" s="238" t="s">
        <v>1167</v>
      </c>
      <c r="V1441" t="s">
        <v>4091</v>
      </c>
      <c r="W1441" s="24">
        <v>44773</v>
      </c>
      <c r="X1441" s="238" t="s">
        <v>3333</v>
      </c>
      <c r="Y1441" s="238" t="s">
        <v>39</v>
      </c>
      <c r="Z1441" s="238" t="s">
        <v>1340</v>
      </c>
      <c r="AA1441" t="s">
        <v>1167</v>
      </c>
      <c r="AB1441" s="238" t="s">
        <v>3246</v>
      </c>
      <c r="AC1441" t="s">
        <v>3079</v>
      </c>
      <c r="AD1441" s="24"/>
      <c r="AE1441" s="238" t="s">
        <v>3334</v>
      </c>
      <c r="AF1441">
        <v>79170114446</v>
      </c>
      <c r="AG1441" s="238" t="s">
        <v>3335</v>
      </c>
      <c r="AH1441" s="238" t="s">
        <v>1171</v>
      </c>
      <c r="AI1441" s="238" t="s">
        <v>3074</v>
      </c>
      <c r="AJ1441" s="238" t="s">
        <v>120</v>
      </c>
      <c r="AK1441" s="238" t="s">
        <v>141</v>
      </c>
      <c r="AL1441" t="s">
        <v>8715</v>
      </c>
      <c r="AM1441" t="s">
        <v>1167</v>
      </c>
    </row>
    <row r="1442" spans="1:39" hidden="1" x14ac:dyDescent="0.25">
      <c r="A1442">
        <v>1438</v>
      </c>
      <c r="B1442">
        <v>382</v>
      </c>
      <c r="C1442" s="24">
        <v>44802</v>
      </c>
      <c r="D1442" s="238" t="s">
        <v>27</v>
      </c>
      <c r="E1442" s="238" t="s">
        <v>14</v>
      </c>
      <c r="F1442">
        <v>4</v>
      </c>
      <c r="G1442">
        <v>2</v>
      </c>
      <c r="H1442">
        <v>635</v>
      </c>
      <c r="I1442" s="238" t="s">
        <v>4052</v>
      </c>
      <c r="J1442">
        <v>24.39</v>
      </c>
      <c r="K1442" s="238" t="s">
        <v>36</v>
      </c>
      <c r="L1442">
        <v>2135302.48</v>
      </c>
      <c r="M1442">
        <v>15000</v>
      </c>
      <c r="N1442">
        <v>2150302.48</v>
      </c>
      <c r="O1442">
        <v>88163.283312833126</v>
      </c>
      <c r="P1442">
        <v>0</v>
      </c>
      <c r="Q1442">
        <v>2150302.48</v>
      </c>
      <c r="R1442">
        <v>88163.283312833126</v>
      </c>
      <c r="S1442" s="238" t="s">
        <v>121</v>
      </c>
      <c r="T1442" s="238" t="s">
        <v>1167</v>
      </c>
      <c r="V1442" t="s">
        <v>1167</v>
      </c>
      <c r="W1442" s="24">
        <v>44797</v>
      </c>
      <c r="X1442" s="238" t="s">
        <v>3336</v>
      </c>
      <c r="Y1442" s="238" t="s">
        <v>39</v>
      </c>
      <c r="Z1442" s="238" t="s">
        <v>1340</v>
      </c>
      <c r="AA1442" t="s">
        <v>3113</v>
      </c>
      <c r="AB1442" s="238" t="s">
        <v>3246</v>
      </c>
      <c r="AC1442" t="s">
        <v>1167</v>
      </c>
      <c r="AD1442" s="24"/>
      <c r="AE1442" s="238" t="s">
        <v>3337</v>
      </c>
      <c r="AF1442">
        <v>79277173568</v>
      </c>
      <c r="AG1442" s="238" t="s">
        <v>3338</v>
      </c>
      <c r="AH1442" s="238" t="s">
        <v>146</v>
      </c>
      <c r="AI1442" s="238" t="s">
        <v>135</v>
      </c>
      <c r="AJ1442" s="238" t="s">
        <v>399</v>
      </c>
      <c r="AK1442" s="238" t="s">
        <v>1167</v>
      </c>
      <c r="AL1442" t="s">
        <v>8715</v>
      </c>
      <c r="AM1442" t="s">
        <v>1167</v>
      </c>
    </row>
    <row r="1443" spans="1:39" hidden="1" x14ac:dyDescent="0.25">
      <c r="A1443">
        <v>1439</v>
      </c>
      <c r="B1443">
        <v>383</v>
      </c>
      <c r="C1443" s="24">
        <v>44802</v>
      </c>
      <c r="D1443" s="238" t="s">
        <v>27</v>
      </c>
      <c r="E1443" s="238" t="s">
        <v>6</v>
      </c>
      <c r="F1443">
        <v>2</v>
      </c>
      <c r="G1443">
        <v>7</v>
      </c>
      <c r="H1443">
        <v>47</v>
      </c>
      <c r="I1443" s="238" t="s">
        <v>42</v>
      </c>
      <c r="J1443">
        <v>37.94</v>
      </c>
      <c r="K1443" s="238" t="s">
        <v>38</v>
      </c>
      <c r="L1443">
        <v>3943903.98</v>
      </c>
      <c r="M1443">
        <v>0</v>
      </c>
      <c r="N1443">
        <v>3943903.98</v>
      </c>
      <c r="O1443">
        <v>103951.08012651556</v>
      </c>
      <c r="P1443">
        <v>834679.99999999814</v>
      </c>
      <c r="Q1443">
        <v>3109223.9800000018</v>
      </c>
      <c r="R1443">
        <v>81951.080126515604</v>
      </c>
      <c r="S1443" s="238" t="s">
        <v>137</v>
      </c>
      <c r="T1443" s="238" t="s">
        <v>1167</v>
      </c>
      <c r="V1443" t="s">
        <v>4091</v>
      </c>
      <c r="W1443" s="24">
        <v>44797</v>
      </c>
      <c r="X1443" s="238" t="s">
        <v>3339</v>
      </c>
      <c r="Y1443" s="238" t="s">
        <v>39</v>
      </c>
      <c r="Z1443" s="238" t="s">
        <v>1340</v>
      </c>
      <c r="AA1443" t="s">
        <v>3113</v>
      </c>
      <c r="AB1443" s="238" t="s">
        <v>3246</v>
      </c>
      <c r="AC1443" t="s">
        <v>3079</v>
      </c>
      <c r="AD1443" s="24"/>
      <c r="AE1443" s="238" t="s">
        <v>3340</v>
      </c>
      <c r="AF1443">
        <v>79324113241</v>
      </c>
      <c r="AG1443" s="238" t="s">
        <v>3341</v>
      </c>
      <c r="AH1443" s="238" t="s">
        <v>1171</v>
      </c>
      <c r="AI1443" s="238" t="s">
        <v>6406</v>
      </c>
      <c r="AJ1443" s="238" t="s">
        <v>399</v>
      </c>
      <c r="AK1443" s="238" t="s">
        <v>141</v>
      </c>
      <c r="AL1443" t="s">
        <v>57</v>
      </c>
      <c r="AM1443" t="s">
        <v>3663</v>
      </c>
    </row>
    <row r="1444" spans="1:39" hidden="1" x14ac:dyDescent="0.25">
      <c r="A1444">
        <v>1440</v>
      </c>
      <c r="B1444">
        <v>384</v>
      </c>
      <c r="C1444" s="24">
        <v>44802</v>
      </c>
      <c r="D1444" s="238" t="s">
        <v>27</v>
      </c>
      <c r="E1444" s="238" t="s">
        <v>13</v>
      </c>
      <c r="F1444">
        <v>9</v>
      </c>
      <c r="G1444">
        <v>5</v>
      </c>
      <c r="H1444">
        <v>866</v>
      </c>
      <c r="I1444" s="238" t="s">
        <v>4052</v>
      </c>
      <c r="J1444">
        <v>23.09</v>
      </c>
      <c r="K1444" s="238" t="s">
        <v>36</v>
      </c>
      <c r="L1444">
        <v>2036203.45</v>
      </c>
      <c r="M1444">
        <v>0</v>
      </c>
      <c r="N1444">
        <v>2036203.45</v>
      </c>
      <c r="O1444">
        <v>88185.511043741877</v>
      </c>
      <c r="P1444">
        <v>0</v>
      </c>
      <c r="Q1444">
        <v>2036203.45</v>
      </c>
      <c r="R1444">
        <v>88185.511043741877</v>
      </c>
      <c r="S1444" s="238" t="s">
        <v>137</v>
      </c>
      <c r="T1444" s="238" t="s">
        <v>1167</v>
      </c>
      <c r="V1444" t="s">
        <v>4091</v>
      </c>
      <c r="W1444" s="24">
        <v>44798</v>
      </c>
      <c r="X1444" s="238" t="s">
        <v>3342</v>
      </c>
      <c r="Y1444" s="238" t="s">
        <v>39</v>
      </c>
      <c r="Z1444" s="238" t="s">
        <v>1340</v>
      </c>
      <c r="AA1444" t="s">
        <v>1167</v>
      </c>
      <c r="AB1444" s="238" t="s">
        <v>3246</v>
      </c>
      <c r="AC1444" t="s">
        <v>3079</v>
      </c>
      <c r="AD1444" s="24"/>
      <c r="AE1444" s="238" t="s">
        <v>3343</v>
      </c>
      <c r="AF1444">
        <v>79198069174</v>
      </c>
      <c r="AG1444" s="238" t="s">
        <v>3344</v>
      </c>
      <c r="AH1444" s="238" t="s">
        <v>1171</v>
      </c>
      <c r="AI1444" s="238" t="s">
        <v>135</v>
      </c>
      <c r="AJ1444" s="238" t="s">
        <v>399</v>
      </c>
      <c r="AK1444" s="238" t="s">
        <v>3345</v>
      </c>
      <c r="AL1444" t="s">
        <v>8715</v>
      </c>
      <c r="AM1444" t="s">
        <v>3663</v>
      </c>
    </row>
    <row r="1445" spans="1:39" hidden="1" x14ac:dyDescent="0.25">
      <c r="A1445">
        <v>1441</v>
      </c>
      <c r="B1445">
        <v>385</v>
      </c>
      <c r="C1445" s="24">
        <v>44803</v>
      </c>
      <c r="D1445" s="238" t="s">
        <v>27</v>
      </c>
      <c r="E1445" s="238" t="s">
        <v>6</v>
      </c>
      <c r="F1445">
        <v>3</v>
      </c>
      <c r="G1445">
        <v>6</v>
      </c>
      <c r="H1445">
        <v>39</v>
      </c>
      <c r="I1445" s="238" t="s">
        <v>42</v>
      </c>
      <c r="J1445">
        <v>41.06</v>
      </c>
      <c r="K1445" s="238" t="s">
        <v>38</v>
      </c>
      <c r="L1445">
        <v>2993250</v>
      </c>
      <c r="M1445">
        <v>0</v>
      </c>
      <c r="N1445">
        <v>2993250</v>
      </c>
      <c r="O1445">
        <v>72899.415489527513</v>
      </c>
      <c r="P1445">
        <v>0</v>
      </c>
      <c r="Q1445">
        <v>2993250</v>
      </c>
      <c r="R1445">
        <v>72899.415489527513</v>
      </c>
      <c r="S1445" s="238" t="s">
        <v>124</v>
      </c>
      <c r="T1445" s="238" t="s">
        <v>1167</v>
      </c>
      <c r="V1445" t="s">
        <v>1167</v>
      </c>
      <c r="W1445" s="24">
        <v>44775</v>
      </c>
      <c r="X1445" s="238" t="s">
        <v>3355</v>
      </c>
      <c r="Y1445" s="238" t="s">
        <v>3247</v>
      </c>
      <c r="Z1445" s="238" t="s">
        <v>1340</v>
      </c>
      <c r="AA1445" t="s">
        <v>1167</v>
      </c>
      <c r="AB1445" s="238" t="s">
        <v>3246</v>
      </c>
      <c r="AC1445" t="s">
        <v>1167</v>
      </c>
      <c r="AD1445" s="24"/>
      <c r="AE1445" s="238" t="s">
        <v>3248</v>
      </c>
      <c r="AG1445" s="238" t="s">
        <v>1167</v>
      </c>
      <c r="AH1445" s="238" t="s">
        <v>1167</v>
      </c>
      <c r="AI1445" s="238" t="s">
        <v>5050</v>
      </c>
      <c r="AJ1445" s="238" t="s">
        <v>982</v>
      </c>
      <c r="AK1445" s="238" t="s">
        <v>1167</v>
      </c>
      <c r="AL1445" t="s">
        <v>8715</v>
      </c>
      <c r="AM1445" t="s">
        <v>1167</v>
      </c>
    </row>
    <row r="1446" spans="1:39" hidden="1" x14ac:dyDescent="0.25">
      <c r="A1446">
        <v>1442</v>
      </c>
      <c r="B1446">
        <v>386</v>
      </c>
      <c r="C1446" s="24">
        <v>44803</v>
      </c>
      <c r="D1446" s="238" t="s">
        <v>27</v>
      </c>
      <c r="E1446" s="238" t="s">
        <v>6</v>
      </c>
      <c r="F1446">
        <v>7</v>
      </c>
      <c r="G1446">
        <v>6</v>
      </c>
      <c r="H1446">
        <v>43</v>
      </c>
      <c r="I1446" s="238" t="s">
        <v>43</v>
      </c>
      <c r="J1446">
        <v>60.06</v>
      </c>
      <c r="K1446" s="238" t="s">
        <v>38</v>
      </c>
      <c r="L1446">
        <v>4313250</v>
      </c>
      <c r="M1446">
        <v>0</v>
      </c>
      <c r="N1446">
        <v>4313250</v>
      </c>
      <c r="O1446">
        <v>71815.68431568431</v>
      </c>
      <c r="P1446">
        <v>0</v>
      </c>
      <c r="Q1446">
        <v>4313250</v>
      </c>
      <c r="R1446">
        <v>71815.68431568431</v>
      </c>
      <c r="S1446" s="238" t="s">
        <v>124</v>
      </c>
      <c r="T1446" s="238" t="s">
        <v>1167</v>
      </c>
      <c r="V1446" t="s">
        <v>1167</v>
      </c>
      <c r="W1446" s="24">
        <v>44775</v>
      </c>
      <c r="X1446" s="238" t="s">
        <v>3355</v>
      </c>
      <c r="Y1446" s="238" t="s">
        <v>3247</v>
      </c>
      <c r="Z1446" s="238" t="s">
        <v>1340</v>
      </c>
      <c r="AA1446" t="s">
        <v>1167</v>
      </c>
      <c r="AB1446" s="238" t="s">
        <v>3246</v>
      </c>
      <c r="AC1446" t="s">
        <v>1167</v>
      </c>
      <c r="AD1446" s="24"/>
      <c r="AE1446" s="238" t="s">
        <v>3248</v>
      </c>
      <c r="AG1446" s="238" t="s">
        <v>1167</v>
      </c>
      <c r="AH1446" s="238" t="s">
        <v>1167</v>
      </c>
      <c r="AI1446" s="238" t="s">
        <v>5050</v>
      </c>
      <c r="AJ1446" s="238" t="s">
        <v>982</v>
      </c>
      <c r="AK1446" s="238" t="s">
        <v>1167</v>
      </c>
      <c r="AL1446" t="s">
        <v>8715</v>
      </c>
      <c r="AM1446" t="s">
        <v>1167</v>
      </c>
    </row>
    <row r="1447" spans="1:39" hidden="1" x14ac:dyDescent="0.25">
      <c r="A1447">
        <v>1443</v>
      </c>
      <c r="B1447">
        <v>387</v>
      </c>
      <c r="C1447" s="24">
        <v>44803</v>
      </c>
      <c r="D1447" s="238" t="s">
        <v>27</v>
      </c>
      <c r="E1447" s="238" t="s">
        <v>6</v>
      </c>
      <c r="F1447">
        <v>8</v>
      </c>
      <c r="G1447">
        <v>6</v>
      </c>
      <c r="H1447">
        <v>44</v>
      </c>
      <c r="I1447" s="238" t="s">
        <v>42</v>
      </c>
      <c r="J1447">
        <v>37.69</v>
      </c>
      <c r="K1447" s="238" t="s">
        <v>38</v>
      </c>
      <c r="L1447">
        <v>2726250</v>
      </c>
      <c r="M1447">
        <v>0</v>
      </c>
      <c r="N1447">
        <v>2726250</v>
      </c>
      <c r="O1447">
        <v>72333.510214911119</v>
      </c>
      <c r="P1447">
        <v>0</v>
      </c>
      <c r="Q1447">
        <v>2726250</v>
      </c>
      <c r="R1447">
        <v>72333.510214911119</v>
      </c>
      <c r="S1447" s="238" t="s">
        <v>124</v>
      </c>
      <c r="T1447" s="238" t="s">
        <v>1167</v>
      </c>
      <c r="V1447" t="s">
        <v>1167</v>
      </c>
      <c r="W1447" s="24">
        <v>44775</v>
      </c>
      <c r="X1447" s="238" t="s">
        <v>3355</v>
      </c>
      <c r="Y1447" s="238" t="s">
        <v>3247</v>
      </c>
      <c r="Z1447" s="238" t="s">
        <v>1340</v>
      </c>
      <c r="AA1447" t="s">
        <v>1167</v>
      </c>
      <c r="AB1447" s="238" t="s">
        <v>3246</v>
      </c>
      <c r="AC1447" t="s">
        <v>1167</v>
      </c>
      <c r="AD1447" s="24"/>
      <c r="AE1447" s="238" t="s">
        <v>3248</v>
      </c>
      <c r="AG1447" s="238" t="s">
        <v>1167</v>
      </c>
      <c r="AH1447" s="238" t="s">
        <v>1167</v>
      </c>
      <c r="AI1447" s="238" t="s">
        <v>5050</v>
      </c>
      <c r="AJ1447" s="238" t="s">
        <v>982</v>
      </c>
      <c r="AK1447" s="238" t="s">
        <v>1167</v>
      </c>
      <c r="AL1447" t="s">
        <v>8715</v>
      </c>
      <c r="AM1447" t="s">
        <v>1167</v>
      </c>
    </row>
    <row r="1448" spans="1:39" hidden="1" x14ac:dyDescent="0.25">
      <c r="A1448">
        <v>1444</v>
      </c>
      <c r="B1448">
        <v>388</v>
      </c>
      <c r="C1448" s="24">
        <v>44803</v>
      </c>
      <c r="D1448" s="238" t="s">
        <v>27</v>
      </c>
      <c r="E1448" s="238" t="s">
        <v>6</v>
      </c>
      <c r="F1448">
        <v>1</v>
      </c>
      <c r="G1448">
        <v>7</v>
      </c>
      <c r="H1448">
        <v>46</v>
      </c>
      <c r="I1448" s="238" t="s">
        <v>44</v>
      </c>
      <c r="J1448">
        <v>82.71</v>
      </c>
      <c r="K1448" s="238" t="s">
        <v>38</v>
      </c>
      <c r="L1448">
        <v>6012750</v>
      </c>
      <c r="M1448">
        <v>0</v>
      </c>
      <c r="N1448">
        <v>6012750</v>
      </c>
      <c r="O1448">
        <v>72696.771853463913</v>
      </c>
      <c r="P1448">
        <v>0</v>
      </c>
      <c r="Q1448">
        <v>6012750</v>
      </c>
      <c r="R1448">
        <v>72696.771853463913</v>
      </c>
      <c r="S1448" s="238" t="s">
        <v>124</v>
      </c>
      <c r="T1448" s="238" t="s">
        <v>1167</v>
      </c>
      <c r="V1448" t="s">
        <v>1167</v>
      </c>
      <c r="W1448" s="24">
        <v>44775</v>
      </c>
      <c r="X1448" s="238" t="s">
        <v>3355</v>
      </c>
      <c r="Y1448" s="238" t="s">
        <v>3247</v>
      </c>
      <c r="Z1448" s="238" t="s">
        <v>1340</v>
      </c>
      <c r="AA1448" t="s">
        <v>1167</v>
      </c>
      <c r="AB1448" s="238" t="s">
        <v>3246</v>
      </c>
      <c r="AC1448" t="s">
        <v>1167</v>
      </c>
      <c r="AD1448" s="24"/>
      <c r="AE1448" s="238" t="s">
        <v>3248</v>
      </c>
      <c r="AG1448" s="238" t="s">
        <v>1167</v>
      </c>
      <c r="AH1448" s="238" t="s">
        <v>1167</v>
      </c>
      <c r="AI1448" s="238" t="s">
        <v>5050</v>
      </c>
      <c r="AJ1448" s="238" t="s">
        <v>982</v>
      </c>
      <c r="AK1448" s="238" t="s">
        <v>1167</v>
      </c>
      <c r="AL1448" t="s">
        <v>8715</v>
      </c>
      <c r="AM1448" t="s">
        <v>1167</v>
      </c>
    </row>
    <row r="1449" spans="1:39" hidden="1" x14ac:dyDescent="0.25">
      <c r="A1449">
        <v>1445</v>
      </c>
      <c r="B1449">
        <v>389</v>
      </c>
      <c r="C1449" s="24">
        <v>44803</v>
      </c>
      <c r="D1449" s="238" t="s">
        <v>27</v>
      </c>
      <c r="E1449" s="238" t="s">
        <v>6</v>
      </c>
      <c r="F1449">
        <v>7</v>
      </c>
      <c r="G1449">
        <v>7</v>
      </c>
      <c r="H1449">
        <v>52</v>
      </c>
      <c r="I1449" s="238" t="s">
        <v>43</v>
      </c>
      <c r="J1449">
        <v>60.06</v>
      </c>
      <c r="K1449" s="238" t="s">
        <v>38</v>
      </c>
      <c r="L1449">
        <v>4313250</v>
      </c>
      <c r="M1449">
        <v>0</v>
      </c>
      <c r="N1449">
        <v>4313250</v>
      </c>
      <c r="O1449">
        <v>71815.68431568431</v>
      </c>
      <c r="P1449">
        <v>0</v>
      </c>
      <c r="Q1449">
        <v>4313250</v>
      </c>
      <c r="R1449">
        <v>71815.68431568431</v>
      </c>
      <c r="S1449" s="238" t="s">
        <v>124</v>
      </c>
      <c r="T1449" s="238" t="s">
        <v>1167</v>
      </c>
      <c r="V1449" t="s">
        <v>1167</v>
      </c>
      <c r="W1449" s="24">
        <v>44775</v>
      </c>
      <c r="X1449" s="238" t="s">
        <v>3355</v>
      </c>
      <c r="Y1449" s="238" t="s">
        <v>3247</v>
      </c>
      <c r="Z1449" s="238" t="s">
        <v>1340</v>
      </c>
      <c r="AA1449" t="s">
        <v>1167</v>
      </c>
      <c r="AB1449" s="238" t="s">
        <v>3246</v>
      </c>
      <c r="AC1449" t="s">
        <v>1167</v>
      </c>
      <c r="AD1449" s="24"/>
      <c r="AE1449" s="238" t="s">
        <v>3248</v>
      </c>
      <c r="AG1449" s="238" t="s">
        <v>1167</v>
      </c>
      <c r="AH1449" s="238" t="s">
        <v>1167</v>
      </c>
      <c r="AI1449" s="238" t="s">
        <v>5050</v>
      </c>
      <c r="AJ1449" s="238" t="s">
        <v>982</v>
      </c>
      <c r="AK1449" s="238" t="s">
        <v>1167</v>
      </c>
      <c r="AL1449" t="s">
        <v>8715</v>
      </c>
      <c r="AM1449" t="s">
        <v>1167</v>
      </c>
    </row>
    <row r="1450" spans="1:39" hidden="1" x14ac:dyDescent="0.25">
      <c r="A1450">
        <v>1446</v>
      </c>
      <c r="B1450">
        <v>390</v>
      </c>
      <c r="C1450" s="24">
        <v>44803</v>
      </c>
      <c r="D1450" s="238" t="s">
        <v>27</v>
      </c>
      <c r="E1450" s="238" t="s">
        <v>6</v>
      </c>
      <c r="F1450">
        <v>9</v>
      </c>
      <c r="G1450">
        <v>7</v>
      </c>
      <c r="H1450">
        <v>54</v>
      </c>
      <c r="I1450" s="238" t="s">
        <v>42</v>
      </c>
      <c r="J1450">
        <v>37.94</v>
      </c>
      <c r="K1450" s="238" t="s">
        <v>38</v>
      </c>
      <c r="L1450">
        <v>2745000</v>
      </c>
      <c r="M1450">
        <v>0</v>
      </c>
      <c r="N1450">
        <v>2745000</v>
      </c>
      <c r="O1450">
        <v>72351.080653663681</v>
      </c>
      <c r="P1450">
        <v>0</v>
      </c>
      <c r="Q1450">
        <v>2745000</v>
      </c>
      <c r="R1450">
        <v>72351.080653663681</v>
      </c>
      <c r="S1450" s="238" t="s">
        <v>124</v>
      </c>
      <c r="T1450" s="238" t="s">
        <v>1167</v>
      </c>
      <c r="V1450" t="s">
        <v>1167</v>
      </c>
      <c r="W1450" s="24">
        <v>44775</v>
      </c>
      <c r="X1450" s="238" t="s">
        <v>3355</v>
      </c>
      <c r="Y1450" s="238" t="s">
        <v>3247</v>
      </c>
      <c r="Z1450" s="238" t="s">
        <v>1340</v>
      </c>
      <c r="AA1450" t="s">
        <v>1167</v>
      </c>
      <c r="AB1450" s="238" t="s">
        <v>3246</v>
      </c>
      <c r="AC1450" t="s">
        <v>1167</v>
      </c>
      <c r="AD1450" s="24"/>
      <c r="AE1450" s="238" t="s">
        <v>3248</v>
      </c>
      <c r="AG1450" s="238" t="s">
        <v>1167</v>
      </c>
      <c r="AH1450" s="238" t="s">
        <v>1167</v>
      </c>
      <c r="AI1450" s="238" t="s">
        <v>5050</v>
      </c>
      <c r="AJ1450" s="238" t="s">
        <v>982</v>
      </c>
      <c r="AK1450" s="238" t="s">
        <v>1167</v>
      </c>
      <c r="AL1450" t="s">
        <v>8715</v>
      </c>
      <c r="AM1450" t="s">
        <v>1167</v>
      </c>
    </row>
    <row r="1451" spans="1:39" hidden="1" x14ac:dyDescent="0.25">
      <c r="A1451">
        <v>1447</v>
      </c>
      <c r="B1451">
        <v>391</v>
      </c>
      <c r="C1451" s="24">
        <v>44803</v>
      </c>
      <c r="D1451" s="238" t="s">
        <v>27</v>
      </c>
      <c r="E1451" s="238" t="s">
        <v>6</v>
      </c>
      <c r="F1451">
        <v>7</v>
      </c>
      <c r="G1451">
        <v>8</v>
      </c>
      <c r="H1451">
        <v>61</v>
      </c>
      <c r="I1451" s="238" t="s">
        <v>43</v>
      </c>
      <c r="J1451">
        <v>60.06</v>
      </c>
      <c r="K1451" s="238" t="s">
        <v>38</v>
      </c>
      <c r="L1451">
        <v>4313250</v>
      </c>
      <c r="M1451">
        <v>0</v>
      </c>
      <c r="N1451">
        <v>4313250</v>
      </c>
      <c r="O1451">
        <v>71815.68431568431</v>
      </c>
      <c r="P1451">
        <v>0</v>
      </c>
      <c r="Q1451">
        <v>4313250</v>
      </c>
      <c r="R1451">
        <v>71815.68431568431</v>
      </c>
      <c r="S1451" s="238" t="s">
        <v>124</v>
      </c>
      <c r="T1451" s="238" t="s">
        <v>1167</v>
      </c>
      <c r="V1451" t="s">
        <v>1167</v>
      </c>
      <c r="W1451" s="24">
        <v>44775</v>
      </c>
      <c r="X1451" s="238" t="s">
        <v>3355</v>
      </c>
      <c r="Y1451" s="238" t="s">
        <v>3247</v>
      </c>
      <c r="Z1451" s="238" t="s">
        <v>1340</v>
      </c>
      <c r="AA1451" t="s">
        <v>1167</v>
      </c>
      <c r="AB1451" s="238" t="s">
        <v>3246</v>
      </c>
      <c r="AC1451" t="s">
        <v>1167</v>
      </c>
      <c r="AD1451" s="24"/>
      <c r="AE1451" s="238" t="s">
        <v>3248</v>
      </c>
      <c r="AG1451" s="238" t="s">
        <v>1167</v>
      </c>
      <c r="AH1451" s="238" t="s">
        <v>1167</v>
      </c>
      <c r="AI1451" s="238" t="s">
        <v>5050</v>
      </c>
      <c r="AJ1451" s="238" t="s">
        <v>982</v>
      </c>
      <c r="AK1451" s="238" t="s">
        <v>1167</v>
      </c>
      <c r="AL1451" t="s">
        <v>8715</v>
      </c>
      <c r="AM1451" t="s">
        <v>1167</v>
      </c>
    </row>
    <row r="1452" spans="1:39" hidden="1" x14ac:dyDescent="0.25">
      <c r="A1452">
        <v>1448</v>
      </c>
      <c r="B1452">
        <v>392</v>
      </c>
      <c r="C1452" s="24">
        <v>44803</v>
      </c>
      <c r="D1452" s="238" t="s">
        <v>27</v>
      </c>
      <c r="E1452" s="238" t="s">
        <v>6</v>
      </c>
      <c r="F1452">
        <v>7</v>
      </c>
      <c r="G1452">
        <v>9</v>
      </c>
      <c r="H1452">
        <v>70</v>
      </c>
      <c r="I1452" s="238" t="s">
        <v>43</v>
      </c>
      <c r="J1452">
        <v>60.06</v>
      </c>
      <c r="K1452" s="238" t="s">
        <v>38</v>
      </c>
      <c r="L1452">
        <v>4313250</v>
      </c>
      <c r="M1452">
        <v>0</v>
      </c>
      <c r="N1452">
        <v>4313250</v>
      </c>
      <c r="O1452">
        <v>71815.68431568431</v>
      </c>
      <c r="P1452">
        <v>0</v>
      </c>
      <c r="Q1452">
        <v>4313250</v>
      </c>
      <c r="R1452">
        <v>71815.68431568431</v>
      </c>
      <c r="S1452" s="238" t="s">
        <v>124</v>
      </c>
      <c r="T1452" s="238" t="s">
        <v>1167</v>
      </c>
      <c r="V1452" t="s">
        <v>1167</v>
      </c>
      <c r="W1452" s="24">
        <v>44775</v>
      </c>
      <c r="X1452" s="238" t="s">
        <v>3355</v>
      </c>
      <c r="Y1452" s="238" t="s">
        <v>3247</v>
      </c>
      <c r="Z1452" s="238" t="s">
        <v>1340</v>
      </c>
      <c r="AA1452" t="s">
        <v>1167</v>
      </c>
      <c r="AB1452" s="238" t="s">
        <v>3246</v>
      </c>
      <c r="AC1452" t="s">
        <v>1167</v>
      </c>
      <c r="AD1452" s="24"/>
      <c r="AE1452" s="238" t="s">
        <v>3248</v>
      </c>
      <c r="AG1452" s="238" t="s">
        <v>1167</v>
      </c>
      <c r="AH1452" s="238" t="s">
        <v>1167</v>
      </c>
      <c r="AI1452" s="238" t="s">
        <v>5050</v>
      </c>
      <c r="AJ1452" s="238" t="s">
        <v>982</v>
      </c>
      <c r="AK1452" s="238" t="s">
        <v>1167</v>
      </c>
      <c r="AL1452" t="s">
        <v>8715</v>
      </c>
      <c r="AM1452" t="s">
        <v>1167</v>
      </c>
    </row>
    <row r="1453" spans="1:39" hidden="1" x14ac:dyDescent="0.25">
      <c r="A1453">
        <v>1449</v>
      </c>
      <c r="B1453">
        <v>393</v>
      </c>
      <c r="C1453" s="24">
        <v>44803</v>
      </c>
      <c r="D1453" s="238" t="s">
        <v>27</v>
      </c>
      <c r="E1453" s="238" t="s">
        <v>6</v>
      </c>
      <c r="F1453">
        <v>7</v>
      </c>
      <c r="G1453">
        <v>10</v>
      </c>
      <c r="H1453">
        <v>79</v>
      </c>
      <c r="I1453" s="238" t="s">
        <v>43</v>
      </c>
      <c r="J1453">
        <v>60.06</v>
      </c>
      <c r="K1453" s="238" t="s">
        <v>38</v>
      </c>
      <c r="L1453">
        <v>4313250</v>
      </c>
      <c r="M1453">
        <v>0</v>
      </c>
      <c r="N1453">
        <v>4313250</v>
      </c>
      <c r="O1453">
        <v>71815.68431568431</v>
      </c>
      <c r="P1453">
        <v>0</v>
      </c>
      <c r="Q1453">
        <v>4313250</v>
      </c>
      <c r="R1453">
        <v>71815.68431568431</v>
      </c>
      <c r="S1453" s="238" t="s">
        <v>124</v>
      </c>
      <c r="T1453" s="238" t="s">
        <v>1167</v>
      </c>
      <c r="V1453" t="s">
        <v>1167</v>
      </c>
      <c r="W1453" s="24">
        <v>44775</v>
      </c>
      <c r="X1453" s="238" t="s">
        <v>3355</v>
      </c>
      <c r="Y1453" s="238" t="s">
        <v>3247</v>
      </c>
      <c r="Z1453" s="238" t="s">
        <v>1340</v>
      </c>
      <c r="AA1453" t="s">
        <v>1167</v>
      </c>
      <c r="AB1453" s="238" t="s">
        <v>3246</v>
      </c>
      <c r="AC1453" t="s">
        <v>1167</v>
      </c>
      <c r="AD1453" s="24"/>
      <c r="AE1453" s="238" t="s">
        <v>3248</v>
      </c>
      <c r="AG1453" s="238" t="s">
        <v>1167</v>
      </c>
      <c r="AH1453" s="238" t="s">
        <v>1167</v>
      </c>
      <c r="AI1453" s="238" t="s">
        <v>5050</v>
      </c>
      <c r="AJ1453" s="238" t="s">
        <v>982</v>
      </c>
      <c r="AK1453" s="238" t="s">
        <v>1167</v>
      </c>
      <c r="AL1453" t="s">
        <v>8715</v>
      </c>
      <c r="AM1453" t="s">
        <v>1167</v>
      </c>
    </row>
    <row r="1454" spans="1:39" hidden="1" x14ac:dyDescent="0.25">
      <c r="A1454">
        <v>1450</v>
      </c>
      <c r="B1454">
        <v>394</v>
      </c>
      <c r="C1454" s="24">
        <v>44803</v>
      </c>
      <c r="D1454" s="238" t="s">
        <v>27</v>
      </c>
      <c r="E1454" s="238" t="s">
        <v>6</v>
      </c>
      <c r="F1454">
        <v>7</v>
      </c>
      <c r="G1454">
        <v>11</v>
      </c>
      <c r="H1454">
        <v>88</v>
      </c>
      <c r="I1454" s="238" t="s">
        <v>43</v>
      </c>
      <c r="J1454">
        <v>60.06</v>
      </c>
      <c r="K1454" s="238" t="s">
        <v>38</v>
      </c>
      <c r="L1454">
        <v>4313250</v>
      </c>
      <c r="M1454">
        <v>0</v>
      </c>
      <c r="N1454">
        <v>4313250</v>
      </c>
      <c r="O1454">
        <v>71815.68431568431</v>
      </c>
      <c r="P1454">
        <v>0</v>
      </c>
      <c r="Q1454">
        <v>4313250</v>
      </c>
      <c r="R1454">
        <v>71815.68431568431</v>
      </c>
      <c r="S1454" s="238" t="s">
        <v>124</v>
      </c>
      <c r="T1454" s="238" t="s">
        <v>1167</v>
      </c>
      <c r="V1454" t="s">
        <v>1167</v>
      </c>
      <c r="W1454" s="24">
        <v>44775</v>
      </c>
      <c r="X1454" s="238" t="s">
        <v>3355</v>
      </c>
      <c r="Y1454" s="238" t="s">
        <v>3247</v>
      </c>
      <c r="Z1454" s="238" t="s">
        <v>1340</v>
      </c>
      <c r="AA1454" t="s">
        <v>1167</v>
      </c>
      <c r="AB1454" s="238" t="s">
        <v>3246</v>
      </c>
      <c r="AC1454" t="s">
        <v>1167</v>
      </c>
      <c r="AD1454" s="24"/>
      <c r="AE1454" s="238" t="s">
        <v>3248</v>
      </c>
      <c r="AG1454" s="238" t="s">
        <v>1167</v>
      </c>
      <c r="AH1454" s="238" t="s">
        <v>1167</v>
      </c>
      <c r="AI1454" s="238" t="s">
        <v>5050</v>
      </c>
      <c r="AJ1454" s="238" t="s">
        <v>982</v>
      </c>
      <c r="AK1454" s="238" t="s">
        <v>1167</v>
      </c>
      <c r="AL1454" t="s">
        <v>8715</v>
      </c>
      <c r="AM1454" t="s">
        <v>1167</v>
      </c>
    </row>
    <row r="1455" spans="1:39" hidden="1" x14ac:dyDescent="0.25">
      <c r="A1455">
        <v>1451</v>
      </c>
      <c r="B1455">
        <v>395</v>
      </c>
      <c r="C1455" s="24">
        <v>44803</v>
      </c>
      <c r="D1455" s="238" t="s">
        <v>27</v>
      </c>
      <c r="E1455" s="238" t="s">
        <v>6</v>
      </c>
      <c r="F1455">
        <v>7</v>
      </c>
      <c r="G1455">
        <v>12</v>
      </c>
      <c r="H1455">
        <v>97</v>
      </c>
      <c r="I1455" s="238" t="s">
        <v>43</v>
      </c>
      <c r="J1455">
        <v>60.06</v>
      </c>
      <c r="K1455" s="238" t="s">
        <v>38</v>
      </c>
      <c r="L1455">
        <v>4313250</v>
      </c>
      <c r="M1455">
        <v>0</v>
      </c>
      <c r="N1455">
        <v>4313250</v>
      </c>
      <c r="O1455">
        <v>71815.68431568431</v>
      </c>
      <c r="P1455">
        <v>0</v>
      </c>
      <c r="Q1455">
        <v>4313250</v>
      </c>
      <c r="R1455">
        <v>71815.68431568431</v>
      </c>
      <c r="S1455" s="238" t="s">
        <v>124</v>
      </c>
      <c r="T1455" s="238" t="s">
        <v>1167</v>
      </c>
      <c r="V1455" t="s">
        <v>1167</v>
      </c>
      <c r="W1455" s="24">
        <v>44775</v>
      </c>
      <c r="X1455" s="238" t="s">
        <v>3355</v>
      </c>
      <c r="Y1455" s="238" t="s">
        <v>3247</v>
      </c>
      <c r="Z1455" s="238" t="s">
        <v>1340</v>
      </c>
      <c r="AA1455" t="s">
        <v>1167</v>
      </c>
      <c r="AB1455" s="238" t="s">
        <v>3246</v>
      </c>
      <c r="AC1455" t="s">
        <v>1167</v>
      </c>
      <c r="AD1455" s="24"/>
      <c r="AE1455" s="238" t="s">
        <v>3248</v>
      </c>
      <c r="AG1455" s="238" t="s">
        <v>1167</v>
      </c>
      <c r="AH1455" s="238" t="s">
        <v>1167</v>
      </c>
      <c r="AI1455" s="238" t="s">
        <v>5050</v>
      </c>
      <c r="AJ1455" s="238" t="s">
        <v>982</v>
      </c>
      <c r="AK1455" s="238" t="s">
        <v>1167</v>
      </c>
      <c r="AL1455" t="s">
        <v>8715</v>
      </c>
      <c r="AM1455" t="s">
        <v>1167</v>
      </c>
    </row>
    <row r="1456" spans="1:39" hidden="1" x14ac:dyDescent="0.25">
      <c r="A1456">
        <v>1452</v>
      </c>
      <c r="B1456">
        <v>396</v>
      </c>
      <c r="C1456" s="24">
        <v>44803</v>
      </c>
      <c r="D1456" s="238" t="s">
        <v>27</v>
      </c>
      <c r="E1456" s="238" t="s">
        <v>6</v>
      </c>
      <c r="F1456">
        <v>7</v>
      </c>
      <c r="G1456">
        <v>13</v>
      </c>
      <c r="H1456">
        <v>106</v>
      </c>
      <c r="I1456" s="238" t="s">
        <v>43</v>
      </c>
      <c r="J1456">
        <v>60.06</v>
      </c>
      <c r="K1456" s="238" t="s">
        <v>38</v>
      </c>
      <c r="L1456">
        <v>4313250</v>
      </c>
      <c r="M1456">
        <v>0</v>
      </c>
      <c r="N1456">
        <v>4313250</v>
      </c>
      <c r="O1456">
        <v>71815.68431568431</v>
      </c>
      <c r="P1456">
        <v>0</v>
      </c>
      <c r="Q1456">
        <v>4313250</v>
      </c>
      <c r="R1456">
        <v>71815.68431568431</v>
      </c>
      <c r="S1456" s="238" t="s">
        <v>124</v>
      </c>
      <c r="T1456" s="238" t="s">
        <v>1167</v>
      </c>
      <c r="V1456" t="s">
        <v>1167</v>
      </c>
      <c r="W1456" s="24">
        <v>44775</v>
      </c>
      <c r="X1456" s="238" t="s">
        <v>3355</v>
      </c>
      <c r="Y1456" s="238" t="s">
        <v>3247</v>
      </c>
      <c r="Z1456" s="238" t="s">
        <v>1340</v>
      </c>
      <c r="AA1456" t="s">
        <v>1167</v>
      </c>
      <c r="AB1456" s="238" t="s">
        <v>3246</v>
      </c>
      <c r="AC1456" t="s">
        <v>1167</v>
      </c>
      <c r="AD1456" s="24"/>
      <c r="AE1456" s="238" t="s">
        <v>3248</v>
      </c>
      <c r="AG1456" s="238" t="s">
        <v>1167</v>
      </c>
      <c r="AH1456" s="238" t="s">
        <v>1167</v>
      </c>
      <c r="AI1456" s="238" t="s">
        <v>5050</v>
      </c>
      <c r="AJ1456" s="238" t="s">
        <v>982</v>
      </c>
      <c r="AK1456" s="238" t="s">
        <v>1167</v>
      </c>
      <c r="AL1456" t="s">
        <v>8715</v>
      </c>
      <c r="AM1456" t="s">
        <v>1167</v>
      </c>
    </row>
    <row r="1457" spans="1:39" hidden="1" x14ac:dyDescent="0.25">
      <c r="A1457">
        <v>1453</v>
      </c>
      <c r="B1457">
        <v>397</v>
      </c>
      <c r="C1457" s="24">
        <v>44803</v>
      </c>
      <c r="D1457" s="238" t="s">
        <v>27</v>
      </c>
      <c r="E1457" s="238" t="s">
        <v>6</v>
      </c>
      <c r="F1457">
        <v>7</v>
      </c>
      <c r="G1457">
        <v>17</v>
      </c>
      <c r="H1457">
        <v>142</v>
      </c>
      <c r="I1457" s="238" t="s">
        <v>43</v>
      </c>
      <c r="J1457">
        <v>60.06</v>
      </c>
      <c r="K1457" s="238" t="s">
        <v>38</v>
      </c>
      <c r="L1457">
        <v>4313250</v>
      </c>
      <c r="M1457">
        <v>0</v>
      </c>
      <c r="N1457">
        <v>4313250</v>
      </c>
      <c r="O1457">
        <v>71815.68431568431</v>
      </c>
      <c r="P1457">
        <v>0</v>
      </c>
      <c r="Q1457">
        <v>4313250</v>
      </c>
      <c r="R1457">
        <v>71815.68431568431</v>
      </c>
      <c r="S1457" s="238" t="s">
        <v>124</v>
      </c>
      <c r="T1457" s="238" t="s">
        <v>1167</v>
      </c>
      <c r="V1457" t="s">
        <v>1167</v>
      </c>
      <c r="W1457" s="24">
        <v>44775</v>
      </c>
      <c r="X1457" s="238" t="s">
        <v>3356</v>
      </c>
      <c r="Y1457" s="238" t="s">
        <v>3247</v>
      </c>
      <c r="Z1457" s="238" t="s">
        <v>1340</v>
      </c>
      <c r="AA1457" t="s">
        <v>1167</v>
      </c>
      <c r="AB1457" s="238" t="s">
        <v>3246</v>
      </c>
      <c r="AC1457" t="s">
        <v>1167</v>
      </c>
      <c r="AD1457" s="24"/>
      <c r="AE1457" s="238" t="s">
        <v>3248</v>
      </c>
      <c r="AG1457" s="238" t="s">
        <v>1167</v>
      </c>
      <c r="AH1457" s="238" t="s">
        <v>1167</v>
      </c>
      <c r="AI1457" s="238" t="s">
        <v>5050</v>
      </c>
      <c r="AJ1457" s="238" t="s">
        <v>982</v>
      </c>
      <c r="AK1457" s="238" t="s">
        <v>1167</v>
      </c>
      <c r="AL1457" t="s">
        <v>8715</v>
      </c>
      <c r="AM1457" t="s">
        <v>1167</v>
      </c>
    </row>
    <row r="1458" spans="1:39" hidden="1" x14ac:dyDescent="0.25">
      <c r="A1458">
        <v>1454</v>
      </c>
      <c r="B1458">
        <v>398</v>
      </c>
      <c r="C1458" s="24">
        <v>44803</v>
      </c>
      <c r="D1458" s="238" t="s">
        <v>27</v>
      </c>
      <c r="E1458" s="238" t="s">
        <v>6</v>
      </c>
      <c r="F1458">
        <v>8</v>
      </c>
      <c r="G1458">
        <v>17</v>
      </c>
      <c r="H1458">
        <v>143</v>
      </c>
      <c r="I1458" s="238" t="s">
        <v>42</v>
      </c>
      <c r="J1458">
        <v>37.69</v>
      </c>
      <c r="K1458" s="238" t="s">
        <v>38</v>
      </c>
      <c r="L1458">
        <v>2726250</v>
      </c>
      <c r="M1458">
        <v>0</v>
      </c>
      <c r="N1458">
        <v>2726250</v>
      </c>
      <c r="O1458">
        <v>72333.510214911119</v>
      </c>
      <c r="P1458">
        <v>0</v>
      </c>
      <c r="Q1458">
        <v>2726250</v>
      </c>
      <c r="R1458">
        <v>72333.510214911119</v>
      </c>
      <c r="S1458" s="238" t="s">
        <v>124</v>
      </c>
      <c r="T1458" s="238" t="s">
        <v>1167</v>
      </c>
      <c r="V1458" t="s">
        <v>1167</v>
      </c>
      <c r="W1458" s="24">
        <v>44775</v>
      </c>
      <c r="X1458" s="238" t="s">
        <v>3356</v>
      </c>
      <c r="Y1458" s="238" t="s">
        <v>3247</v>
      </c>
      <c r="Z1458" s="238" t="s">
        <v>1340</v>
      </c>
      <c r="AA1458" t="s">
        <v>1167</v>
      </c>
      <c r="AB1458" s="238" t="s">
        <v>3246</v>
      </c>
      <c r="AC1458" t="s">
        <v>1167</v>
      </c>
      <c r="AD1458" s="24"/>
      <c r="AE1458" s="238" t="s">
        <v>3248</v>
      </c>
      <c r="AG1458" s="238" t="s">
        <v>1167</v>
      </c>
      <c r="AH1458" s="238" t="s">
        <v>1167</v>
      </c>
      <c r="AI1458" s="238" t="s">
        <v>5050</v>
      </c>
      <c r="AJ1458" s="238" t="s">
        <v>982</v>
      </c>
      <c r="AK1458" s="238" t="s">
        <v>1167</v>
      </c>
      <c r="AL1458" t="s">
        <v>8715</v>
      </c>
      <c r="AM1458" t="s">
        <v>1167</v>
      </c>
    </row>
    <row r="1459" spans="1:39" hidden="1" x14ac:dyDescent="0.25">
      <c r="A1459">
        <v>1455</v>
      </c>
      <c r="B1459">
        <v>399</v>
      </c>
      <c r="C1459" s="24">
        <v>44803</v>
      </c>
      <c r="D1459" s="238" t="s">
        <v>27</v>
      </c>
      <c r="E1459" s="238" t="s">
        <v>6</v>
      </c>
      <c r="F1459">
        <v>9</v>
      </c>
      <c r="G1459">
        <v>17</v>
      </c>
      <c r="H1459">
        <v>144</v>
      </c>
      <c r="I1459" s="238" t="s">
        <v>42</v>
      </c>
      <c r="J1459">
        <v>37.94</v>
      </c>
      <c r="K1459" s="238" t="s">
        <v>38</v>
      </c>
      <c r="L1459">
        <v>2745000</v>
      </c>
      <c r="M1459">
        <v>0</v>
      </c>
      <c r="N1459">
        <v>2745000</v>
      </c>
      <c r="O1459">
        <v>72351.080653663681</v>
      </c>
      <c r="P1459">
        <v>0</v>
      </c>
      <c r="Q1459">
        <v>2745000</v>
      </c>
      <c r="R1459">
        <v>72351.080653663681</v>
      </c>
      <c r="S1459" s="238" t="s">
        <v>124</v>
      </c>
      <c r="T1459" s="238" t="s">
        <v>1167</v>
      </c>
      <c r="V1459" t="s">
        <v>1167</v>
      </c>
      <c r="W1459" s="24">
        <v>44775</v>
      </c>
      <c r="X1459" s="238" t="s">
        <v>3356</v>
      </c>
      <c r="Y1459" s="238" t="s">
        <v>3247</v>
      </c>
      <c r="Z1459" s="238" t="s">
        <v>1340</v>
      </c>
      <c r="AA1459" t="s">
        <v>1167</v>
      </c>
      <c r="AB1459" s="238" t="s">
        <v>3246</v>
      </c>
      <c r="AC1459" t="s">
        <v>1167</v>
      </c>
      <c r="AD1459" s="24"/>
      <c r="AE1459" s="238" t="s">
        <v>3248</v>
      </c>
      <c r="AG1459" s="238" t="s">
        <v>1167</v>
      </c>
      <c r="AH1459" s="238" t="s">
        <v>1167</v>
      </c>
      <c r="AI1459" s="238" t="s">
        <v>5050</v>
      </c>
      <c r="AJ1459" s="238" t="s">
        <v>982</v>
      </c>
      <c r="AK1459" s="238" t="s">
        <v>1167</v>
      </c>
      <c r="AL1459" t="s">
        <v>8715</v>
      </c>
      <c r="AM1459" t="s">
        <v>1167</v>
      </c>
    </row>
    <row r="1460" spans="1:39" hidden="1" x14ac:dyDescent="0.25">
      <c r="A1460">
        <v>1456</v>
      </c>
      <c r="B1460">
        <v>400</v>
      </c>
      <c r="C1460" s="24">
        <v>44803</v>
      </c>
      <c r="D1460" s="238" t="s">
        <v>27</v>
      </c>
      <c r="E1460" s="238" t="s">
        <v>6</v>
      </c>
      <c r="F1460">
        <v>1</v>
      </c>
      <c r="G1460">
        <v>18</v>
      </c>
      <c r="H1460">
        <v>145</v>
      </c>
      <c r="I1460" s="238" t="s">
        <v>44</v>
      </c>
      <c r="J1460">
        <v>82.71</v>
      </c>
      <c r="K1460" s="238" t="s">
        <v>38</v>
      </c>
      <c r="L1460">
        <v>6012750</v>
      </c>
      <c r="M1460">
        <v>0</v>
      </c>
      <c r="N1460">
        <v>6012750</v>
      </c>
      <c r="O1460">
        <v>72696.771853463913</v>
      </c>
      <c r="P1460">
        <v>0</v>
      </c>
      <c r="Q1460">
        <v>6012750</v>
      </c>
      <c r="R1460">
        <v>72696.771853463913</v>
      </c>
      <c r="S1460" s="238" t="s">
        <v>124</v>
      </c>
      <c r="T1460" s="238" t="s">
        <v>1167</v>
      </c>
      <c r="V1460" t="s">
        <v>1167</v>
      </c>
      <c r="W1460" s="24">
        <v>44775</v>
      </c>
      <c r="X1460" s="238" t="s">
        <v>3356</v>
      </c>
      <c r="Y1460" s="238" t="s">
        <v>3247</v>
      </c>
      <c r="Z1460" s="238" t="s">
        <v>1340</v>
      </c>
      <c r="AA1460" t="s">
        <v>1167</v>
      </c>
      <c r="AB1460" s="238" t="s">
        <v>3246</v>
      </c>
      <c r="AC1460" t="s">
        <v>1167</v>
      </c>
      <c r="AD1460" s="24"/>
      <c r="AE1460" s="238" t="s">
        <v>3248</v>
      </c>
      <c r="AG1460" s="238" t="s">
        <v>1167</v>
      </c>
      <c r="AH1460" s="238" t="s">
        <v>1167</v>
      </c>
      <c r="AI1460" s="238" t="s">
        <v>5050</v>
      </c>
      <c r="AJ1460" s="238" t="s">
        <v>982</v>
      </c>
      <c r="AK1460" s="238" t="s">
        <v>1167</v>
      </c>
      <c r="AL1460" t="s">
        <v>8715</v>
      </c>
      <c r="AM1460" t="s">
        <v>1167</v>
      </c>
    </row>
    <row r="1461" spans="1:39" hidden="1" x14ac:dyDescent="0.25">
      <c r="A1461">
        <v>1457</v>
      </c>
      <c r="B1461">
        <v>401</v>
      </c>
      <c r="C1461" s="24">
        <v>44803</v>
      </c>
      <c r="D1461" s="238" t="s">
        <v>27</v>
      </c>
      <c r="E1461" s="238" t="s">
        <v>6</v>
      </c>
      <c r="F1461">
        <v>3</v>
      </c>
      <c r="G1461">
        <v>18</v>
      </c>
      <c r="H1461">
        <v>147</v>
      </c>
      <c r="I1461" s="238" t="s">
        <v>42</v>
      </c>
      <c r="J1461">
        <v>41.06</v>
      </c>
      <c r="K1461" s="238" t="s">
        <v>38</v>
      </c>
      <c r="L1461">
        <v>2993250</v>
      </c>
      <c r="M1461">
        <v>0</v>
      </c>
      <c r="N1461">
        <v>2993250</v>
      </c>
      <c r="O1461">
        <v>72899.415489527513</v>
      </c>
      <c r="P1461">
        <v>0</v>
      </c>
      <c r="Q1461">
        <v>2993250</v>
      </c>
      <c r="R1461">
        <v>72899.415489527513</v>
      </c>
      <c r="S1461" s="238" t="s">
        <v>124</v>
      </c>
      <c r="T1461" s="238" t="s">
        <v>1167</v>
      </c>
      <c r="V1461" t="s">
        <v>1167</v>
      </c>
      <c r="W1461" s="24">
        <v>44775</v>
      </c>
      <c r="X1461" s="238" t="s">
        <v>3356</v>
      </c>
      <c r="Y1461" s="238" t="s">
        <v>3247</v>
      </c>
      <c r="Z1461" s="238" t="s">
        <v>1340</v>
      </c>
      <c r="AA1461" t="s">
        <v>1167</v>
      </c>
      <c r="AB1461" s="238" t="s">
        <v>3246</v>
      </c>
      <c r="AC1461" t="s">
        <v>1167</v>
      </c>
      <c r="AD1461" s="24"/>
      <c r="AE1461" s="238" t="s">
        <v>3248</v>
      </c>
      <c r="AG1461" s="238" t="s">
        <v>1167</v>
      </c>
      <c r="AH1461" s="238" t="s">
        <v>1167</v>
      </c>
      <c r="AI1461" s="238" t="s">
        <v>5050</v>
      </c>
      <c r="AJ1461" s="238" t="s">
        <v>982</v>
      </c>
      <c r="AK1461" s="238" t="s">
        <v>1167</v>
      </c>
      <c r="AL1461" t="s">
        <v>8715</v>
      </c>
      <c r="AM1461" t="s">
        <v>1167</v>
      </c>
    </row>
    <row r="1462" spans="1:39" hidden="1" x14ac:dyDescent="0.25">
      <c r="A1462">
        <v>1458</v>
      </c>
      <c r="B1462">
        <v>402</v>
      </c>
      <c r="C1462" s="24">
        <v>44803</v>
      </c>
      <c r="D1462" s="238" t="s">
        <v>27</v>
      </c>
      <c r="E1462" s="238" t="s">
        <v>6</v>
      </c>
      <c r="F1462">
        <v>7</v>
      </c>
      <c r="G1462">
        <v>18</v>
      </c>
      <c r="H1462">
        <v>151</v>
      </c>
      <c r="I1462" s="238" t="s">
        <v>43</v>
      </c>
      <c r="J1462">
        <v>60.06</v>
      </c>
      <c r="K1462" s="238" t="s">
        <v>38</v>
      </c>
      <c r="L1462">
        <v>4313250</v>
      </c>
      <c r="M1462">
        <v>0</v>
      </c>
      <c r="N1462">
        <v>4313250</v>
      </c>
      <c r="O1462">
        <v>71815.68431568431</v>
      </c>
      <c r="P1462">
        <v>0</v>
      </c>
      <c r="Q1462">
        <v>4313250</v>
      </c>
      <c r="R1462">
        <v>71815.68431568431</v>
      </c>
      <c r="S1462" s="238" t="s">
        <v>124</v>
      </c>
      <c r="T1462" s="238" t="s">
        <v>1167</v>
      </c>
      <c r="V1462" t="s">
        <v>1167</v>
      </c>
      <c r="W1462" s="24">
        <v>44775</v>
      </c>
      <c r="X1462" s="238" t="s">
        <v>3356</v>
      </c>
      <c r="Y1462" s="238" t="s">
        <v>3247</v>
      </c>
      <c r="Z1462" s="238" t="s">
        <v>1340</v>
      </c>
      <c r="AA1462" t="s">
        <v>1167</v>
      </c>
      <c r="AB1462" s="238" t="s">
        <v>3246</v>
      </c>
      <c r="AC1462" t="s">
        <v>1167</v>
      </c>
      <c r="AD1462" s="24"/>
      <c r="AE1462" s="238" t="s">
        <v>3248</v>
      </c>
      <c r="AG1462" s="238" t="s">
        <v>1167</v>
      </c>
      <c r="AH1462" s="238" t="s">
        <v>1167</v>
      </c>
      <c r="AI1462" s="238" t="s">
        <v>5050</v>
      </c>
      <c r="AJ1462" s="238" t="s">
        <v>982</v>
      </c>
      <c r="AK1462" s="238" t="s">
        <v>1167</v>
      </c>
      <c r="AL1462" t="s">
        <v>8715</v>
      </c>
      <c r="AM1462" t="s">
        <v>1167</v>
      </c>
    </row>
    <row r="1463" spans="1:39" hidden="1" x14ac:dyDescent="0.25">
      <c r="A1463">
        <v>1459</v>
      </c>
      <c r="B1463">
        <v>403</v>
      </c>
      <c r="C1463" s="24">
        <v>44803</v>
      </c>
      <c r="D1463" s="238" t="s">
        <v>27</v>
      </c>
      <c r="E1463" s="238" t="s">
        <v>6</v>
      </c>
      <c r="F1463">
        <v>8</v>
      </c>
      <c r="G1463">
        <v>18</v>
      </c>
      <c r="H1463">
        <v>152</v>
      </c>
      <c r="I1463" s="238" t="s">
        <v>42</v>
      </c>
      <c r="J1463">
        <v>37.69</v>
      </c>
      <c r="K1463" s="238" t="s">
        <v>38</v>
      </c>
      <c r="L1463">
        <v>2726250</v>
      </c>
      <c r="M1463">
        <v>0</v>
      </c>
      <c r="N1463">
        <v>2726250</v>
      </c>
      <c r="O1463">
        <v>72333.510214911119</v>
      </c>
      <c r="P1463">
        <v>0</v>
      </c>
      <c r="Q1463">
        <v>2726250</v>
      </c>
      <c r="R1463">
        <v>72333.510214911119</v>
      </c>
      <c r="S1463" s="238" t="s">
        <v>124</v>
      </c>
      <c r="T1463" s="238" t="s">
        <v>1167</v>
      </c>
      <c r="V1463" t="s">
        <v>1167</v>
      </c>
      <c r="W1463" s="24">
        <v>44775</v>
      </c>
      <c r="X1463" s="238" t="s">
        <v>3356</v>
      </c>
      <c r="Y1463" s="238" t="s">
        <v>3247</v>
      </c>
      <c r="Z1463" s="238" t="s">
        <v>1340</v>
      </c>
      <c r="AA1463" t="s">
        <v>1167</v>
      </c>
      <c r="AB1463" s="238" t="s">
        <v>3246</v>
      </c>
      <c r="AC1463" t="s">
        <v>1167</v>
      </c>
      <c r="AD1463" s="24"/>
      <c r="AE1463" s="238" t="s">
        <v>3248</v>
      </c>
      <c r="AG1463" s="238" t="s">
        <v>1167</v>
      </c>
      <c r="AH1463" s="238" t="s">
        <v>1167</v>
      </c>
      <c r="AI1463" s="238" t="s">
        <v>5050</v>
      </c>
      <c r="AJ1463" s="238" t="s">
        <v>982</v>
      </c>
      <c r="AK1463" s="238" t="s">
        <v>1167</v>
      </c>
      <c r="AL1463" t="s">
        <v>8715</v>
      </c>
      <c r="AM1463" t="s">
        <v>1167</v>
      </c>
    </row>
    <row r="1464" spans="1:39" hidden="1" x14ac:dyDescent="0.25">
      <c r="A1464">
        <v>1460</v>
      </c>
      <c r="B1464">
        <v>404</v>
      </c>
      <c r="C1464" s="24">
        <v>44803</v>
      </c>
      <c r="D1464" s="238" t="s">
        <v>27</v>
      </c>
      <c r="E1464" s="238" t="s">
        <v>6</v>
      </c>
      <c r="F1464">
        <v>9</v>
      </c>
      <c r="G1464">
        <v>18</v>
      </c>
      <c r="H1464">
        <v>153</v>
      </c>
      <c r="I1464" s="238" t="s">
        <v>42</v>
      </c>
      <c r="J1464">
        <v>37.94</v>
      </c>
      <c r="K1464" s="238" t="s">
        <v>38</v>
      </c>
      <c r="L1464">
        <v>2745000</v>
      </c>
      <c r="M1464">
        <v>0</v>
      </c>
      <c r="N1464">
        <v>2745000</v>
      </c>
      <c r="O1464">
        <v>72351.080653663681</v>
      </c>
      <c r="P1464">
        <v>0</v>
      </c>
      <c r="Q1464">
        <v>2745000</v>
      </c>
      <c r="R1464">
        <v>72351.080653663681</v>
      </c>
      <c r="S1464" s="238" t="s">
        <v>124</v>
      </c>
      <c r="T1464" s="238" t="s">
        <v>1167</v>
      </c>
      <c r="V1464" t="s">
        <v>1167</v>
      </c>
      <c r="W1464" s="24">
        <v>44775</v>
      </c>
      <c r="X1464" s="238" t="s">
        <v>3356</v>
      </c>
      <c r="Y1464" s="238" t="s">
        <v>3247</v>
      </c>
      <c r="Z1464" s="238" t="s">
        <v>1340</v>
      </c>
      <c r="AA1464" t="s">
        <v>1167</v>
      </c>
      <c r="AB1464" s="238" t="s">
        <v>3246</v>
      </c>
      <c r="AC1464" t="s">
        <v>1167</v>
      </c>
      <c r="AD1464" s="24"/>
      <c r="AE1464" s="238" t="s">
        <v>3248</v>
      </c>
      <c r="AG1464" s="238" t="s">
        <v>1167</v>
      </c>
      <c r="AH1464" s="238" t="s">
        <v>1167</v>
      </c>
      <c r="AI1464" s="238" t="s">
        <v>5050</v>
      </c>
      <c r="AJ1464" s="238" t="s">
        <v>982</v>
      </c>
      <c r="AK1464" s="238" t="s">
        <v>1167</v>
      </c>
      <c r="AL1464" t="s">
        <v>8715</v>
      </c>
      <c r="AM1464" t="s">
        <v>1167</v>
      </c>
    </row>
    <row r="1465" spans="1:39" hidden="1" x14ac:dyDescent="0.25">
      <c r="A1465">
        <v>1461</v>
      </c>
      <c r="B1465">
        <v>405</v>
      </c>
      <c r="C1465" s="24">
        <v>44803</v>
      </c>
      <c r="D1465" s="238" t="s">
        <v>27</v>
      </c>
      <c r="E1465" s="238" t="s">
        <v>6</v>
      </c>
      <c r="F1465">
        <v>7</v>
      </c>
      <c r="G1465">
        <v>19</v>
      </c>
      <c r="H1465">
        <v>160</v>
      </c>
      <c r="I1465" s="238" t="s">
        <v>43</v>
      </c>
      <c r="J1465">
        <v>60.06</v>
      </c>
      <c r="K1465" s="238" t="s">
        <v>38</v>
      </c>
      <c r="L1465">
        <v>4313250</v>
      </c>
      <c r="M1465">
        <v>0</v>
      </c>
      <c r="N1465">
        <v>4313250</v>
      </c>
      <c r="O1465">
        <v>71815.68431568431</v>
      </c>
      <c r="P1465">
        <v>0</v>
      </c>
      <c r="Q1465">
        <v>4313250</v>
      </c>
      <c r="R1465">
        <v>71815.68431568431</v>
      </c>
      <c r="S1465" s="238" t="s">
        <v>124</v>
      </c>
      <c r="T1465" s="238" t="s">
        <v>1167</v>
      </c>
      <c r="V1465" t="s">
        <v>1167</v>
      </c>
      <c r="W1465" s="24">
        <v>44775</v>
      </c>
      <c r="X1465" s="238" t="s">
        <v>3356</v>
      </c>
      <c r="Y1465" s="238" t="s">
        <v>3247</v>
      </c>
      <c r="Z1465" s="238" t="s">
        <v>1340</v>
      </c>
      <c r="AA1465" t="s">
        <v>1167</v>
      </c>
      <c r="AB1465" s="238" t="s">
        <v>3246</v>
      </c>
      <c r="AC1465" t="s">
        <v>1167</v>
      </c>
      <c r="AD1465" s="24"/>
      <c r="AE1465" s="238" t="s">
        <v>3248</v>
      </c>
      <c r="AG1465" s="238" t="s">
        <v>1167</v>
      </c>
      <c r="AH1465" s="238" t="s">
        <v>1167</v>
      </c>
      <c r="AI1465" s="238" t="s">
        <v>5050</v>
      </c>
      <c r="AJ1465" s="238" t="s">
        <v>982</v>
      </c>
      <c r="AK1465" s="238" t="s">
        <v>1167</v>
      </c>
      <c r="AL1465" t="s">
        <v>8715</v>
      </c>
      <c r="AM1465" t="s">
        <v>1167</v>
      </c>
    </row>
    <row r="1466" spans="1:39" hidden="1" x14ac:dyDescent="0.25">
      <c r="A1466">
        <v>1462</v>
      </c>
      <c r="B1466">
        <v>406</v>
      </c>
      <c r="C1466" s="24">
        <v>44803</v>
      </c>
      <c r="D1466" s="238" t="s">
        <v>27</v>
      </c>
      <c r="E1466" s="238" t="s">
        <v>6</v>
      </c>
      <c r="F1466">
        <v>1</v>
      </c>
      <c r="G1466">
        <v>20</v>
      </c>
      <c r="H1466">
        <v>163</v>
      </c>
      <c r="I1466" s="238" t="s">
        <v>44</v>
      </c>
      <c r="J1466">
        <v>82.71</v>
      </c>
      <c r="K1466" s="238" t="s">
        <v>38</v>
      </c>
      <c r="L1466">
        <v>6012750</v>
      </c>
      <c r="M1466">
        <v>0</v>
      </c>
      <c r="N1466">
        <v>6012750</v>
      </c>
      <c r="O1466">
        <v>72696.771853463913</v>
      </c>
      <c r="P1466">
        <v>0</v>
      </c>
      <c r="Q1466">
        <v>6012750</v>
      </c>
      <c r="R1466">
        <v>72696.771853463913</v>
      </c>
      <c r="S1466" s="238" t="s">
        <v>124</v>
      </c>
      <c r="T1466" s="238" t="s">
        <v>1167</v>
      </c>
      <c r="V1466" t="s">
        <v>1167</v>
      </c>
      <c r="W1466" s="24">
        <v>44775</v>
      </c>
      <c r="X1466" s="238" t="s">
        <v>3356</v>
      </c>
      <c r="Y1466" s="238" t="s">
        <v>3247</v>
      </c>
      <c r="Z1466" s="238" t="s">
        <v>1340</v>
      </c>
      <c r="AA1466" t="s">
        <v>1167</v>
      </c>
      <c r="AB1466" s="238" t="s">
        <v>3246</v>
      </c>
      <c r="AC1466" t="s">
        <v>1167</v>
      </c>
      <c r="AD1466" s="24"/>
      <c r="AE1466" s="238" t="s">
        <v>3248</v>
      </c>
      <c r="AG1466" s="238" t="s">
        <v>1167</v>
      </c>
      <c r="AH1466" s="238" t="s">
        <v>1167</v>
      </c>
      <c r="AI1466" s="238" t="s">
        <v>5050</v>
      </c>
      <c r="AJ1466" s="238" t="s">
        <v>982</v>
      </c>
      <c r="AK1466" s="238" t="s">
        <v>1167</v>
      </c>
      <c r="AL1466" t="s">
        <v>8715</v>
      </c>
      <c r="AM1466" t="s">
        <v>1167</v>
      </c>
    </row>
    <row r="1467" spans="1:39" hidden="1" x14ac:dyDescent="0.25">
      <c r="A1467">
        <v>1463</v>
      </c>
      <c r="B1467">
        <v>407</v>
      </c>
      <c r="C1467" s="24">
        <v>44803</v>
      </c>
      <c r="D1467" s="238" t="s">
        <v>27</v>
      </c>
      <c r="E1467" s="238" t="s">
        <v>6</v>
      </c>
      <c r="F1467">
        <v>6</v>
      </c>
      <c r="G1467">
        <v>20</v>
      </c>
      <c r="H1467">
        <v>168</v>
      </c>
      <c r="I1467" s="238" t="s">
        <v>43</v>
      </c>
      <c r="J1467">
        <v>54.67</v>
      </c>
      <c r="K1467" s="238" t="s">
        <v>38</v>
      </c>
      <c r="L1467">
        <v>3999750</v>
      </c>
      <c r="M1467">
        <v>0</v>
      </c>
      <c r="N1467">
        <v>3999750</v>
      </c>
      <c r="O1467">
        <v>73161.69745747211</v>
      </c>
      <c r="P1467">
        <v>0</v>
      </c>
      <c r="Q1467">
        <v>3999750</v>
      </c>
      <c r="R1467">
        <v>73161.69745747211</v>
      </c>
      <c r="S1467" s="238" t="s">
        <v>124</v>
      </c>
      <c r="T1467" s="238" t="s">
        <v>1167</v>
      </c>
      <c r="V1467" t="s">
        <v>1167</v>
      </c>
      <c r="W1467" s="24">
        <v>44775</v>
      </c>
      <c r="X1467" s="238" t="s">
        <v>3356</v>
      </c>
      <c r="Y1467" s="238" t="s">
        <v>3247</v>
      </c>
      <c r="Z1467" s="238" t="s">
        <v>1340</v>
      </c>
      <c r="AA1467" t="s">
        <v>1167</v>
      </c>
      <c r="AB1467" s="238" t="s">
        <v>3246</v>
      </c>
      <c r="AC1467" t="s">
        <v>1167</v>
      </c>
      <c r="AD1467" s="24"/>
      <c r="AE1467" s="238" t="s">
        <v>3248</v>
      </c>
      <c r="AG1467" s="238" t="s">
        <v>1167</v>
      </c>
      <c r="AH1467" s="238" t="s">
        <v>1167</v>
      </c>
      <c r="AI1467" s="238" t="s">
        <v>5050</v>
      </c>
      <c r="AJ1467" s="238" t="s">
        <v>982</v>
      </c>
      <c r="AK1467" s="238" t="s">
        <v>1167</v>
      </c>
      <c r="AL1467" t="s">
        <v>8715</v>
      </c>
      <c r="AM1467" t="s">
        <v>1167</v>
      </c>
    </row>
    <row r="1468" spans="1:39" hidden="1" x14ac:dyDescent="0.25">
      <c r="A1468">
        <v>1464</v>
      </c>
      <c r="B1468">
        <v>408</v>
      </c>
      <c r="C1468" s="24">
        <v>44803</v>
      </c>
      <c r="D1468" s="238" t="s">
        <v>27</v>
      </c>
      <c r="E1468" s="238" t="s">
        <v>6</v>
      </c>
      <c r="F1468">
        <v>7</v>
      </c>
      <c r="G1468">
        <v>20</v>
      </c>
      <c r="H1468">
        <v>169</v>
      </c>
      <c r="I1468" s="238" t="s">
        <v>43</v>
      </c>
      <c r="J1468">
        <v>60.06</v>
      </c>
      <c r="K1468" s="238" t="s">
        <v>38</v>
      </c>
      <c r="L1468">
        <v>4313250</v>
      </c>
      <c r="M1468">
        <v>0</v>
      </c>
      <c r="N1468">
        <v>4313250</v>
      </c>
      <c r="O1468">
        <v>71815.68431568431</v>
      </c>
      <c r="P1468">
        <v>0</v>
      </c>
      <c r="Q1468">
        <v>4313250</v>
      </c>
      <c r="R1468">
        <v>71815.68431568431</v>
      </c>
      <c r="S1468" s="238" t="s">
        <v>124</v>
      </c>
      <c r="T1468" s="238" t="s">
        <v>1167</v>
      </c>
      <c r="V1468" t="s">
        <v>1167</v>
      </c>
      <c r="W1468" s="24">
        <v>44775</v>
      </c>
      <c r="X1468" s="238" t="s">
        <v>3356</v>
      </c>
      <c r="Y1468" s="238" t="s">
        <v>3247</v>
      </c>
      <c r="Z1468" s="238" t="s">
        <v>1340</v>
      </c>
      <c r="AA1468" t="s">
        <v>1167</v>
      </c>
      <c r="AB1468" s="238" t="s">
        <v>3246</v>
      </c>
      <c r="AC1468" t="s">
        <v>1167</v>
      </c>
      <c r="AD1468" s="24"/>
      <c r="AE1468" s="238" t="s">
        <v>3248</v>
      </c>
      <c r="AG1468" s="238" t="s">
        <v>1167</v>
      </c>
      <c r="AH1468" s="238" t="s">
        <v>1167</v>
      </c>
      <c r="AI1468" s="238" t="s">
        <v>5050</v>
      </c>
      <c r="AJ1468" s="238" t="s">
        <v>982</v>
      </c>
      <c r="AK1468" s="238" t="s">
        <v>1167</v>
      </c>
      <c r="AL1468" t="s">
        <v>8715</v>
      </c>
      <c r="AM1468" t="s">
        <v>1167</v>
      </c>
    </row>
    <row r="1469" spans="1:39" hidden="1" x14ac:dyDescent="0.25">
      <c r="A1469">
        <v>1465</v>
      </c>
      <c r="B1469">
        <v>409</v>
      </c>
      <c r="C1469" s="24">
        <v>44803</v>
      </c>
      <c r="D1469" s="238" t="s">
        <v>27</v>
      </c>
      <c r="E1469" s="238" t="s">
        <v>6</v>
      </c>
      <c r="F1469">
        <v>9</v>
      </c>
      <c r="G1469">
        <v>20</v>
      </c>
      <c r="H1469">
        <v>171</v>
      </c>
      <c r="I1469" s="238" t="s">
        <v>42</v>
      </c>
      <c r="J1469">
        <v>37.94</v>
      </c>
      <c r="K1469" s="238" t="s">
        <v>38</v>
      </c>
      <c r="L1469">
        <v>2745000</v>
      </c>
      <c r="M1469">
        <v>0</v>
      </c>
      <c r="N1469">
        <v>2745000</v>
      </c>
      <c r="O1469">
        <v>72351.080653663681</v>
      </c>
      <c r="P1469">
        <v>0</v>
      </c>
      <c r="Q1469">
        <v>2745000</v>
      </c>
      <c r="R1469">
        <v>72351.080653663681</v>
      </c>
      <c r="S1469" s="238" t="s">
        <v>124</v>
      </c>
      <c r="T1469" s="238" t="s">
        <v>1167</v>
      </c>
      <c r="V1469" t="s">
        <v>1167</v>
      </c>
      <c r="W1469" s="24">
        <v>44775</v>
      </c>
      <c r="X1469" s="238" t="s">
        <v>3356</v>
      </c>
      <c r="Y1469" s="238" t="s">
        <v>3247</v>
      </c>
      <c r="Z1469" s="238" t="s">
        <v>1340</v>
      </c>
      <c r="AA1469" t="s">
        <v>1167</v>
      </c>
      <c r="AB1469" s="238" t="s">
        <v>3246</v>
      </c>
      <c r="AC1469" t="s">
        <v>1167</v>
      </c>
      <c r="AD1469" s="24"/>
      <c r="AE1469" s="238" t="s">
        <v>3248</v>
      </c>
      <c r="AG1469" s="238" t="s">
        <v>1167</v>
      </c>
      <c r="AH1469" s="238" t="s">
        <v>1167</v>
      </c>
      <c r="AI1469" s="238" t="s">
        <v>5050</v>
      </c>
      <c r="AJ1469" s="238" t="s">
        <v>982</v>
      </c>
      <c r="AK1469" s="238" t="s">
        <v>1167</v>
      </c>
      <c r="AL1469" t="s">
        <v>8715</v>
      </c>
      <c r="AM1469" t="s">
        <v>1167</v>
      </c>
    </row>
    <row r="1470" spans="1:39" hidden="1" x14ac:dyDescent="0.25">
      <c r="A1470">
        <v>1466</v>
      </c>
      <c r="B1470">
        <v>410</v>
      </c>
      <c r="C1470" s="24">
        <v>44803</v>
      </c>
      <c r="D1470" s="238" t="s">
        <v>19</v>
      </c>
      <c r="E1470" s="238" t="s">
        <v>6</v>
      </c>
      <c r="F1470">
        <v>6</v>
      </c>
      <c r="G1470">
        <v>10</v>
      </c>
      <c r="H1470">
        <v>62</v>
      </c>
      <c r="I1470" s="238" t="s">
        <v>43</v>
      </c>
      <c r="J1470">
        <v>61.7</v>
      </c>
      <c r="K1470" s="238" t="s">
        <v>36</v>
      </c>
      <c r="L1470">
        <v>5734785.9800000004</v>
      </c>
      <c r="M1470">
        <v>15000</v>
      </c>
      <c r="N1470">
        <v>5749785.9800000004</v>
      </c>
      <c r="O1470">
        <v>93189.400000000009</v>
      </c>
      <c r="P1470">
        <v>0</v>
      </c>
      <c r="Q1470">
        <v>5749785.9800000004</v>
      </c>
      <c r="R1470">
        <v>93189.400000000009</v>
      </c>
      <c r="S1470" s="238" t="s">
        <v>137</v>
      </c>
      <c r="T1470" s="238" t="s">
        <v>1167</v>
      </c>
      <c r="V1470" t="s">
        <v>4091</v>
      </c>
      <c r="W1470" s="24">
        <v>44789</v>
      </c>
      <c r="X1470" s="238" t="s">
        <v>3357</v>
      </c>
      <c r="Y1470" s="238" t="s">
        <v>39</v>
      </c>
      <c r="Z1470" s="238" t="s">
        <v>1340</v>
      </c>
      <c r="AA1470" t="s">
        <v>3474</v>
      </c>
      <c r="AB1470" s="238" t="s">
        <v>3124</v>
      </c>
      <c r="AC1470" t="s">
        <v>3077</v>
      </c>
      <c r="AD1470" s="24"/>
      <c r="AE1470" s="238" t="s">
        <v>3358</v>
      </c>
      <c r="AF1470">
        <v>79631112266</v>
      </c>
      <c r="AG1470" s="238" t="s">
        <v>3359</v>
      </c>
      <c r="AH1470" s="238" t="s">
        <v>1171</v>
      </c>
      <c r="AI1470" s="238" t="s">
        <v>6406</v>
      </c>
      <c r="AJ1470" s="238" t="s">
        <v>130</v>
      </c>
      <c r="AK1470" s="238" t="s">
        <v>141</v>
      </c>
      <c r="AL1470" t="s">
        <v>57</v>
      </c>
      <c r="AM1470" t="s">
        <v>3664</v>
      </c>
    </row>
    <row r="1471" spans="1:39" hidden="1" x14ac:dyDescent="0.25">
      <c r="A1471">
        <v>1467</v>
      </c>
      <c r="B1471">
        <v>411</v>
      </c>
      <c r="C1471" s="24">
        <v>44803</v>
      </c>
      <c r="D1471" s="238" t="s">
        <v>91</v>
      </c>
      <c r="E1471" s="238" t="s">
        <v>6</v>
      </c>
      <c r="F1471">
        <v>1</v>
      </c>
      <c r="G1471">
        <v>2</v>
      </c>
      <c r="H1471">
        <v>1</v>
      </c>
      <c r="I1471" s="238" t="s">
        <v>42</v>
      </c>
      <c r="J1471">
        <v>33.53</v>
      </c>
      <c r="K1471" s="238" t="s">
        <v>37</v>
      </c>
      <c r="L1471">
        <v>2840138.53</v>
      </c>
      <c r="M1471">
        <v>0</v>
      </c>
      <c r="N1471">
        <v>2840138.53</v>
      </c>
      <c r="O1471">
        <v>84704.399940351912</v>
      </c>
      <c r="P1471">
        <v>251475.00000000047</v>
      </c>
      <c r="Q1471">
        <v>2588663.5299999993</v>
      </c>
      <c r="R1471">
        <v>77204.399940351897</v>
      </c>
      <c r="S1471" s="238" t="s">
        <v>124</v>
      </c>
      <c r="T1471" s="238" t="s">
        <v>1167</v>
      </c>
      <c r="V1471" t="s">
        <v>1167</v>
      </c>
      <c r="W1471" s="24">
        <v>44790</v>
      </c>
      <c r="X1471" s="238" t="s">
        <v>3360</v>
      </c>
      <c r="Y1471" s="238" t="s">
        <v>39</v>
      </c>
      <c r="Z1471" s="238" t="s">
        <v>1340</v>
      </c>
      <c r="AA1471" t="s">
        <v>3113</v>
      </c>
      <c r="AB1471" s="238" t="s">
        <v>3246</v>
      </c>
      <c r="AC1471" t="s">
        <v>1167</v>
      </c>
      <c r="AD1471" s="24">
        <v>45281</v>
      </c>
      <c r="AE1471" s="238" t="s">
        <v>7757</v>
      </c>
      <c r="AF1471">
        <v>79226830994</v>
      </c>
      <c r="AG1471" s="238" t="s">
        <v>7758</v>
      </c>
      <c r="AH1471" s="238" t="s">
        <v>1197</v>
      </c>
      <c r="AI1471" s="238" t="s">
        <v>6406</v>
      </c>
      <c r="AJ1471" s="238" t="s">
        <v>982</v>
      </c>
      <c r="AK1471" s="238" t="s">
        <v>1167</v>
      </c>
      <c r="AL1471" t="s">
        <v>57</v>
      </c>
      <c r="AM1471" t="s">
        <v>1167</v>
      </c>
    </row>
    <row r="1472" spans="1:39" hidden="1" x14ac:dyDescent="0.25">
      <c r="A1472">
        <v>1468</v>
      </c>
      <c r="B1472">
        <v>412</v>
      </c>
      <c r="C1472" s="24">
        <v>44803</v>
      </c>
      <c r="D1472" s="238" t="s">
        <v>91</v>
      </c>
      <c r="E1472" s="238" t="s">
        <v>5</v>
      </c>
      <c r="F1472">
        <v>1</v>
      </c>
      <c r="G1472">
        <v>3</v>
      </c>
      <c r="H1472">
        <v>129</v>
      </c>
      <c r="I1472" s="238" t="s">
        <v>4052</v>
      </c>
      <c r="J1472">
        <v>28.97</v>
      </c>
      <c r="K1472" s="238" t="s">
        <v>37</v>
      </c>
      <c r="L1472">
        <v>2516913.6</v>
      </c>
      <c r="M1472">
        <v>0</v>
      </c>
      <c r="N1472">
        <v>2516913.6</v>
      </c>
      <c r="O1472">
        <v>86880</v>
      </c>
      <c r="P1472">
        <v>217275</v>
      </c>
      <c r="Q1472">
        <v>2299638.6</v>
      </c>
      <c r="R1472">
        <v>79380</v>
      </c>
      <c r="S1472" s="238" t="s">
        <v>124</v>
      </c>
      <c r="T1472" s="238" t="s">
        <v>1167</v>
      </c>
      <c r="V1472" t="s">
        <v>1167</v>
      </c>
      <c r="W1472" s="24">
        <v>44791</v>
      </c>
      <c r="X1472" s="238" t="s">
        <v>3361</v>
      </c>
      <c r="Y1472" s="238" t="s">
        <v>39</v>
      </c>
      <c r="Z1472" s="238" t="s">
        <v>1340</v>
      </c>
      <c r="AA1472" t="s">
        <v>3113</v>
      </c>
      <c r="AB1472" s="238" t="s">
        <v>3246</v>
      </c>
      <c r="AC1472" t="s">
        <v>1167</v>
      </c>
      <c r="AD1472" s="24">
        <v>45254</v>
      </c>
      <c r="AE1472" s="238" t="s">
        <v>7754</v>
      </c>
      <c r="AF1472">
        <v>79276549966</v>
      </c>
      <c r="AG1472" s="238" t="s">
        <v>7755</v>
      </c>
      <c r="AH1472" s="238" t="s">
        <v>1171</v>
      </c>
      <c r="AI1472" s="238" t="s">
        <v>6406</v>
      </c>
      <c r="AJ1472" s="238" t="s">
        <v>982</v>
      </c>
      <c r="AK1472" s="238" t="s">
        <v>1167</v>
      </c>
      <c r="AL1472" t="s">
        <v>57</v>
      </c>
      <c r="AM1472" t="s">
        <v>1167</v>
      </c>
    </row>
    <row r="1473" spans="1:39" hidden="1" x14ac:dyDescent="0.25">
      <c r="A1473">
        <v>1469</v>
      </c>
      <c r="B1473">
        <v>413</v>
      </c>
      <c r="C1473" s="24">
        <v>44803</v>
      </c>
      <c r="D1473" s="238" t="s">
        <v>91</v>
      </c>
      <c r="E1473" s="238" t="s">
        <v>6</v>
      </c>
      <c r="F1473">
        <v>7</v>
      </c>
      <c r="G1473">
        <v>4</v>
      </c>
      <c r="H1473">
        <v>23</v>
      </c>
      <c r="I1473" s="238" t="s">
        <v>4052</v>
      </c>
      <c r="J1473">
        <v>21.75</v>
      </c>
      <c r="K1473" s="238" t="s">
        <v>37</v>
      </c>
      <c r="L1473">
        <v>1874640</v>
      </c>
      <c r="M1473">
        <v>15000</v>
      </c>
      <c r="N1473">
        <v>1889640</v>
      </c>
      <c r="O1473">
        <v>86880</v>
      </c>
      <c r="P1473">
        <v>163125</v>
      </c>
      <c r="Q1473">
        <v>1726515</v>
      </c>
      <c r="R1473">
        <v>79380</v>
      </c>
      <c r="S1473" s="238" t="s">
        <v>137</v>
      </c>
      <c r="T1473" s="238" t="s">
        <v>1167</v>
      </c>
      <c r="V1473" t="s">
        <v>4091</v>
      </c>
      <c r="W1473" s="24">
        <v>44797</v>
      </c>
      <c r="X1473" s="238" t="s">
        <v>3362</v>
      </c>
      <c r="Y1473" s="238" t="s">
        <v>39</v>
      </c>
      <c r="Z1473" s="238" t="s">
        <v>1340</v>
      </c>
      <c r="AA1473" t="s">
        <v>1167</v>
      </c>
      <c r="AB1473" s="238" t="s">
        <v>3246</v>
      </c>
      <c r="AC1473" t="s">
        <v>3079</v>
      </c>
      <c r="AD1473" s="24"/>
      <c r="AE1473" s="238" t="s">
        <v>1754</v>
      </c>
      <c r="AF1473">
        <v>79272088701</v>
      </c>
      <c r="AG1473" s="238" t="s">
        <v>1755</v>
      </c>
      <c r="AH1473" s="238" t="s">
        <v>1212</v>
      </c>
      <c r="AI1473" s="238" t="s">
        <v>3082</v>
      </c>
      <c r="AJ1473" s="238" t="s">
        <v>120</v>
      </c>
      <c r="AK1473" s="238" t="s">
        <v>141</v>
      </c>
      <c r="AL1473" t="s">
        <v>8715</v>
      </c>
      <c r="AM1473" t="s">
        <v>1167</v>
      </c>
    </row>
    <row r="1474" spans="1:39" hidden="1" x14ac:dyDescent="0.25">
      <c r="A1474">
        <v>1470</v>
      </c>
      <c r="B1474">
        <v>414</v>
      </c>
      <c r="C1474" s="24">
        <v>44803</v>
      </c>
      <c r="D1474" s="238" t="s">
        <v>91</v>
      </c>
      <c r="E1474" s="238" t="s">
        <v>6</v>
      </c>
      <c r="F1474">
        <v>7</v>
      </c>
      <c r="G1474">
        <v>2</v>
      </c>
      <c r="H1474">
        <v>7</v>
      </c>
      <c r="I1474" s="238" t="s">
        <v>4052</v>
      </c>
      <c r="J1474">
        <v>21.75</v>
      </c>
      <c r="K1474" s="238" t="s">
        <v>36</v>
      </c>
      <c r="L1474">
        <v>1629300</v>
      </c>
      <c r="M1474">
        <v>15000</v>
      </c>
      <c r="N1474">
        <v>1644300</v>
      </c>
      <c r="O1474">
        <v>75600</v>
      </c>
      <c r="P1474">
        <v>0</v>
      </c>
      <c r="Q1474">
        <v>1644300</v>
      </c>
      <c r="R1474">
        <v>75600</v>
      </c>
      <c r="S1474" s="238" t="s">
        <v>137</v>
      </c>
      <c r="T1474" s="238" t="s">
        <v>1167</v>
      </c>
      <c r="V1474" t="s">
        <v>4091</v>
      </c>
      <c r="W1474" s="24">
        <v>44797</v>
      </c>
      <c r="X1474" s="238" t="s">
        <v>3363</v>
      </c>
      <c r="Y1474" s="238" t="s">
        <v>39</v>
      </c>
      <c r="Z1474" s="238" t="s">
        <v>1340</v>
      </c>
      <c r="AA1474" t="s">
        <v>1167</v>
      </c>
      <c r="AB1474" s="238" t="s">
        <v>3246</v>
      </c>
      <c r="AC1474" t="s">
        <v>3079</v>
      </c>
      <c r="AD1474" s="24"/>
      <c r="AE1474" s="238" t="s">
        <v>3364</v>
      </c>
      <c r="AF1474">
        <v>79171057734</v>
      </c>
      <c r="AG1474" s="238" t="s">
        <v>3365</v>
      </c>
      <c r="AH1474" s="238" t="s">
        <v>1212</v>
      </c>
      <c r="AI1474" s="238" t="s">
        <v>3095</v>
      </c>
      <c r="AJ1474" s="238" t="s">
        <v>399</v>
      </c>
      <c r="AK1474" s="238" t="s">
        <v>141</v>
      </c>
      <c r="AL1474" t="s">
        <v>8715</v>
      </c>
      <c r="AM1474" t="s">
        <v>1167</v>
      </c>
    </row>
    <row r="1475" spans="1:39" hidden="1" x14ac:dyDescent="0.25">
      <c r="A1475">
        <v>1471</v>
      </c>
      <c r="B1475">
        <v>415</v>
      </c>
      <c r="C1475" s="24">
        <v>44803</v>
      </c>
      <c r="D1475" s="238" t="s">
        <v>27</v>
      </c>
      <c r="E1475" s="238" t="s">
        <v>6</v>
      </c>
      <c r="F1475">
        <v>2</v>
      </c>
      <c r="G1475">
        <v>10</v>
      </c>
      <c r="H1475">
        <v>74</v>
      </c>
      <c r="I1475" s="238" t="s">
        <v>42</v>
      </c>
      <c r="J1475">
        <v>37.94</v>
      </c>
      <c r="K1475" s="238" t="s">
        <v>38</v>
      </c>
      <c r="L1475">
        <v>3943904.13</v>
      </c>
      <c r="M1475">
        <v>0</v>
      </c>
      <c r="N1475">
        <v>3943904.13</v>
      </c>
      <c r="O1475">
        <v>103951.08408012651</v>
      </c>
      <c r="P1475">
        <v>834680.00000000047</v>
      </c>
      <c r="Q1475">
        <v>3109224.1299999994</v>
      </c>
      <c r="R1475">
        <v>81951.0840801265</v>
      </c>
      <c r="S1475" s="238" t="s">
        <v>137</v>
      </c>
      <c r="T1475" s="238" t="s">
        <v>1167</v>
      </c>
      <c r="V1475" t="s">
        <v>4091</v>
      </c>
      <c r="W1475" s="24">
        <v>44799</v>
      </c>
      <c r="X1475" s="238" t="s">
        <v>3366</v>
      </c>
      <c r="Y1475" s="238" t="s">
        <v>39</v>
      </c>
      <c r="Z1475" s="238" t="s">
        <v>1340</v>
      </c>
      <c r="AA1475" t="s">
        <v>1167</v>
      </c>
      <c r="AB1475" s="238" t="s">
        <v>3246</v>
      </c>
      <c r="AC1475" t="s">
        <v>3079</v>
      </c>
      <c r="AD1475" s="24"/>
      <c r="AE1475" s="238" t="s">
        <v>3367</v>
      </c>
      <c r="AF1475">
        <v>79867211015</v>
      </c>
      <c r="AG1475" s="238" t="s">
        <v>3368</v>
      </c>
      <c r="AH1475" s="238" t="s">
        <v>1212</v>
      </c>
      <c r="AI1475" s="238" t="s">
        <v>3088</v>
      </c>
      <c r="AJ1475" s="238" t="s">
        <v>399</v>
      </c>
      <c r="AK1475" s="238" t="s">
        <v>3345</v>
      </c>
      <c r="AL1475" t="s">
        <v>8715</v>
      </c>
      <c r="AM1475" t="s">
        <v>3663</v>
      </c>
    </row>
    <row r="1476" spans="1:39" hidden="1" x14ac:dyDescent="0.25">
      <c r="A1476">
        <v>1472</v>
      </c>
      <c r="B1476">
        <v>416</v>
      </c>
      <c r="C1476" s="24">
        <v>44803</v>
      </c>
      <c r="D1476" s="238" t="s">
        <v>27</v>
      </c>
      <c r="E1476" s="238" t="s">
        <v>14</v>
      </c>
      <c r="F1476">
        <v>4</v>
      </c>
      <c r="G1476">
        <v>7</v>
      </c>
      <c r="H1476">
        <v>680</v>
      </c>
      <c r="I1476" s="238" t="s">
        <v>4052</v>
      </c>
      <c r="J1476">
        <v>24.39</v>
      </c>
      <c r="K1476" s="238" t="s">
        <v>38</v>
      </c>
      <c r="L1476">
        <v>2793403.3</v>
      </c>
      <c r="M1476">
        <v>0</v>
      </c>
      <c r="N1476">
        <v>2793403.3</v>
      </c>
      <c r="O1476">
        <v>114530.68060680605</v>
      </c>
      <c r="P1476">
        <v>536580</v>
      </c>
      <c r="Q1476">
        <v>2256823.2999999998</v>
      </c>
      <c r="R1476">
        <v>92530.680606806054</v>
      </c>
      <c r="S1476" s="238" t="s">
        <v>137</v>
      </c>
      <c r="T1476" s="238" t="s">
        <v>321</v>
      </c>
      <c r="U1476">
        <v>20000</v>
      </c>
      <c r="V1476" t="s">
        <v>4091</v>
      </c>
      <c r="W1476" s="24">
        <v>44800</v>
      </c>
      <c r="X1476" s="238" t="s">
        <v>3369</v>
      </c>
      <c r="Y1476" s="238" t="s">
        <v>39</v>
      </c>
      <c r="Z1476" s="238" t="s">
        <v>1340</v>
      </c>
      <c r="AA1476" t="s">
        <v>1167</v>
      </c>
      <c r="AB1476" s="238" t="s">
        <v>3246</v>
      </c>
      <c r="AC1476" t="s">
        <v>3079</v>
      </c>
      <c r="AD1476" s="24"/>
      <c r="AE1476" s="238" t="s">
        <v>3370</v>
      </c>
      <c r="AF1476">
        <v>79639124939</v>
      </c>
      <c r="AG1476" s="238" t="s">
        <v>3371</v>
      </c>
      <c r="AH1476" s="238" t="s">
        <v>1212</v>
      </c>
      <c r="AI1476" s="238" t="s">
        <v>135</v>
      </c>
      <c r="AJ1476" s="238" t="s">
        <v>399</v>
      </c>
      <c r="AK1476" s="238" t="s">
        <v>3345</v>
      </c>
      <c r="AL1476" t="s">
        <v>8715</v>
      </c>
      <c r="AM1476" t="s">
        <v>3663</v>
      </c>
    </row>
    <row r="1477" spans="1:39" hidden="1" x14ac:dyDescent="0.25">
      <c r="A1477">
        <v>1473</v>
      </c>
      <c r="B1477">
        <v>417</v>
      </c>
      <c r="C1477" s="24">
        <v>44804</v>
      </c>
      <c r="D1477" s="238" t="s">
        <v>19</v>
      </c>
      <c r="E1477" s="238" t="s">
        <v>6</v>
      </c>
      <c r="F1477">
        <v>3</v>
      </c>
      <c r="G1477">
        <v>14</v>
      </c>
      <c r="H1477">
        <v>87</v>
      </c>
      <c r="I1477" s="238" t="s">
        <v>44</v>
      </c>
      <c r="J1477">
        <v>78.7</v>
      </c>
      <c r="K1477" s="238" t="s">
        <v>36</v>
      </c>
      <c r="L1477">
        <v>5981200</v>
      </c>
      <c r="M1477">
        <v>0</v>
      </c>
      <c r="N1477">
        <v>5981200</v>
      </c>
      <c r="O1477">
        <v>76000</v>
      </c>
      <c r="P1477">
        <v>0</v>
      </c>
      <c r="Q1477">
        <v>5981200</v>
      </c>
      <c r="R1477">
        <v>76000</v>
      </c>
      <c r="S1477" s="238" t="s">
        <v>137</v>
      </c>
      <c r="T1477" s="238" t="s">
        <v>3390</v>
      </c>
      <c r="U1477">
        <v>1052325.25</v>
      </c>
      <c r="V1477" t="s">
        <v>4091</v>
      </c>
      <c r="W1477" s="24">
        <v>44791</v>
      </c>
      <c r="X1477" s="238" t="s">
        <v>3391</v>
      </c>
      <c r="Y1477" s="238" t="s">
        <v>39</v>
      </c>
      <c r="Z1477" s="238" t="s">
        <v>1340</v>
      </c>
      <c r="AA1477" t="s">
        <v>1167</v>
      </c>
      <c r="AB1477" s="238" t="s">
        <v>3124</v>
      </c>
      <c r="AC1477" t="s">
        <v>3079</v>
      </c>
      <c r="AD1477" s="24"/>
      <c r="AE1477" s="238" t="s">
        <v>3392</v>
      </c>
      <c r="AF1477">
        <v>79638891609</v>
      </c>
      <c r="AG1477" s="238" t="s">
        <v>3393</v>
      </c>
      <c r="AH1477" s="238" t="s">
        <v>1212</v>
      </c>
      <c r="AI1477" s="238" t="s">
        <v>3088</v>
      </c>
      <c r="AJ1477" s="238" t="s">
        <v>399</v>
      </c>
      <c r="AK1477" s="238" t="s">
        <v>141</v>
      </c>
      <c r="AL1477" t="s">
        <v>8715</v>
      </c>
      <c r="AM1477" t="s">
        <v>1167</v>
      </c>
    </row>
    <row r="1478" spans="1:39" hidden="1" x14ac:dyDescent="0.25">
      <c r="A1478">
        <v>1474</v>
      </c>
      <c r="B1478">
        <v>418</v>
      </c>
      <c r="C1478" s="24">
        <v>44804</v>
      </c>
      <c r="D1478" s="238" t="s">
        <v>19</v>
      </c>
      <c r="E1478" s="238" t="s">
        <v>6</v>
      </c>
      <c r="F1478">
        <v>1</v>
      </c>
      <c r="G1478">
        <v>10</v>
      </c>
      <c r="H1478">
        <v>57</v>
      </c>
      <c r="I1478" s="238" t="s">
        <v>43</v>
      </c>
      <c r="J1478">
        <v>61</v>
      </c>
      <c r="K1478" s="238" t="s">
        <v>37</v>
      </c>
      <c r="L1478">
        <v>5294800</v>
      </c>
      <c r="M1478">
        <v>0</v>
      </c>
      <c r="N1478">
        <v>5294800</v>
      </c>
      <c r="O1478">
        <v>86800</v>
      </c>
      <c r="P1478">
        <v>335500</v>
      </c>
      <c r="Q1478">
        <v>4959300</v>
      </c>
      <c r="R1478">
        <v>81300</v>
      </c>
      <c r="S1478" s="238" t="s">
        <v>137</v>
      </c>
      <c r="T1478" s="238" t="s">
        <v>3390</v>
      </c>
      <c r="U1478">
        <v>766471.39891914732</v>
      </c>
      <c r="V1478" t="s">
        <v>4092</v>
      </c>
      <c r="W1478" s="24">
        <v>44799</v>
      </c>
      <c r="X1478" s="238" t="s">
        <v>3394</v>
      </c>
      <c r="Y1478" s="238" t="s">
        <v>39</v>
      </c>
      <c r="Z1478" s="238" t="s">
        <v>1340</v>
      </c>
      <c r="AA1478" t="s">
        <v>1167</v>
      </c>
      <c r="AB1478" s="238" t="s">
        <v>3124</v>
      </c>
      <c r="AC1478" t="s">
        <v>3079</v>
      </c>
      <c r="AD1478" s="24"/>
      <c r="AE1478" s="238" t="s">
        <v>3395</v>
      </c>
      <c r="AF1478">
        <v>79874374340</v>
      </c>
      <c r="AG1478" s="238" t="s">
        <v>3396</v>
      </c>
      <c r="AH1478" s="238" t="s">
        <v>135</v>
      </c>
      <c r="AI1478" s="238" t="s">
        <v>3099</v>
      </c>
      <c r="AJ1478" s="238" t="s">
        <v>120</v>
      </c>
      <c r="AK1478" s="238" t="s">
        <v>3345</v>
      </c>
      <c r="AL1478" t="s">
        <v>8715</v>
      </c>
      <c r="AM1478" t="s">
        <v>1167</v>
      </c>
    </row>
    <row r="1479" spans="1:39" hidden="1" x14ac:dyDescent="0.25">
      <c r="A1479">
        <v>1475</v>
      </c>
      <c r="B1479">
        <v>419</v>
      </c>
      <c r="C1479" s="24">
        <v>44804</v>
      </c>
      <c r="D1479" s="238" t="s">
        <v>27</v>
      </c>
      <c r="E1479" s="238" t="s">
        <v>6</v>
      </c>
      <c r="F1479">
        <v>3</v>
      </c>
      <c r="G1479">
        <v>10</v>
      </c>
      <c r="H1479">
        <v>75</v>
      </c>
      <c r="I1479" s="238" t="s">
        <v>42</v>
      </c>
      <c r="J1479">
        <v>41.06</v>
      </c>
      <c r="K1479" s="238" t="s">
        <v>37</v>
      </c>
      <c r="L1479">
        <v>3543066.99</v>
      </c>
      <c r="M1479">
        <v>0</v>
      </c>
      <c r="N1479">
        <v>3543066.99</v>
      </c>
      <c r="O1479">
        <v>86289.990014612762</v>
      </c>
      <c r="P1479">
        <v>307950</v>
      </c>
      <c r="Q1479">
        <v>3235116.99</v>
      </c>
      <c r="R1479">
        <v>78789.990014612762</v>
      </c>
      <c r="S1479" s="238" t="s">
        <v>137</v>
      </c>
      <c r="T1479" s="238" t="s">
        <v>1167</v>
      </c>
      <c r="V1479" t="s">
        <v>4091</v>
      </c>
      <c r="W1479" s="24">
        <v>44802</v>
      </c>
      <c r="X1479" s="238" t="s">
        <v>3397</v>
      </c>
      <c r="Y1479" s="238" t="s">
        <v>39</v>
      </c>
      <c r="Z1479" s="238" t="s">
        <v>1340</v>
      </c>
      <c r="AA1479" t="s">
        <v>1167</v>
      </c>
      <c r="AB1479" s="238" t="s">
        <v>3246</v>
      </c>
      <c r="AC1479" t="s">
        <v>3079</v>
      </c>
      <c r="AD1479" s="24"/>
      <c r="AE1479" s="238" t="s">
        <v>3398</v>
      </c>
      <c r="AF1479">
        <v>79279063647</v>
      </c>
      <c r="AG1479" s="238" t="s">
        <v>3399</v>
      </c>
      <c r="AH1479" s="238" t="s">
        <v>1171</v>
      </c>
      <c r="AI1479" s="238" t="s">
        <v>135</v>
      </c>
      <c r="AJ1479" s="238" t="s">
        <v>399</v>
      </c>
      <c r="AK1479" s="238" t="s">
        <v>141</v>
      </c>
      <c r="AL1479" t="s">
        <v>8715</v>
      </c>
      <c r="AM1479" t="s">
        <v>3663</v>
      </c>
    </row>
    <row r="1480" spans="1:39" hidden="1" x14ac:dyDescent="0.25">
      <c r="A1480">
        <v>1476</v>
      </c>
      <c r="B1480">
        <v>420</v>
      </c>
      <c r="C1480" s="24">
        <v>44804</v>
      </c>
      <c r="D1480" s="238" t="s">
        <v>19</v>
      </c>
      <c r="E1480" s="238" t="s">
        <v>6</v>
      </c>
      <c r="F1480">
        <v>1</v>
      </c>
      <c r="G1480">
        <v>11</v>
      </c>
      <c r="H1480">
        <v>64</v>
      </c>
      <c r="I1480" s="238" t="s">
        <v>43</v>
      </c>
      <c r="J1480">
        <v>60.9</v>
      </c>
      <c r="K1480" s="238" t="s">
        <v>36</v>
      </c>
      <c r="L1480">
        <v>4951170</v>
      </c>
      <c r="M1480">
        <v>0</v>
      </c>
      <c r="N1480">
        <v>4951170</v>
      </c>
      <c r="O1480">
        <v>81300</v>
      </c>
      <c r="P1480">
        <v>0</v>
      </c>
      <c r="Q1480">
        <v>4951170</v>
      </c>
      <c r="R1480">
        <v>81300</v>
      </c>
      <c r="S1480" s="238" t="s">
        <v>137</v>
      </c>
      <c r="T1480" s="238" t="s">
        <v>3390</v>
      </c>
      <c r="U1480">
        <v>1100164.888429116</v>
      </c>
      <c r="V1480" t="s">
        <v>4091</v>
      </c>
      <c r="W1480" s="24">
        <v>44802</v>
      </c>
      <c r="X1480" s="238" t="s">
        <v>3400</v>
      </c>
      <c r="Y1480" s="238" t="s">
        <v>39</v>
      </c>
      <c r="Z1480" s="238" t="s">
        <v>1340</v>
      </c>
      <c r="AA1480" t="s">
        <v>1167</v>
      </c>
      <c r="AB1480" s="238" t="s">
        <v>3124</v>
      </c>
      <c r="AC1480" t="s">
        <v>3079</v>
      </c>
      <c r="AD1480" s="24"/>
      <c r="AE1480" s="238" t="s">
        <v>3401</v>
      </c>
      <c r="AF1480">
        <v>79963416202</v>
      </c>
      <c r="AG1480" s="238" t="s">
        <v>3402</v>
      </c>
      <c r="AH1480" s="238" t="s">
        <v>135</v>
      </c>
      <c r="AI1480" s="238" t="s">
        <v>3099</v>
      </c>
      <c r="AJ1480" s="238" t="s">
        <v>399</v>
      </c>
      <c r="AK1480" s="238" t="s">
        <v>141</v>
      </c>
      <c r="AL1480" t="s">
        <v>8715</v>
      </c>
      <c r="AM1480" t="s">
        <v>1167</v>
      </c>
    </row>
    <row r="1481" spans="1:39" hidden="1" x14ac:dyDescent="0.25">
      <c r="A1481">
        <v>1477</v>
      </c>
      <c r="B1481">
        <v>421</v>
      </c>
      <c r="C1481" s="24">
        <v>44804</v>
      </c>
      <c r="D1481" s="238" t="s">
        <v>27</v>
      </c>
      <c r="E1481" s="238" t="s">
        <v>14</v>
      </c>
      <c r="F1481">
        <v>4</v>
      </c>
      <c r="G1481">
        <v>15</v>
      </c>
      <c r="H1481">
        <v>752</v>
      </c>
      <c r="I1481" s="238" t="s">
        <v>4052</v>
      </c>
      <c r="J1481">
        <v>24.39</v>
      </c>
      <c r="K1481" s="238" t="s">
        <v>38</v>
      </c>
      <c r="L1481">
        <v>2813403.33</v>
      </c>
      <c r="M1481">
        <v>0</v>
      </c>
      <c r="N1481">
        <v>2813403.33</v>
      </c>
      <c r="O1481">
        <v>115350.69003690037</v>
      </c>
      <c r="P1481">
        <v>536580</v>
      </c>
      <c r="Q1481">
        <v>2276823.33</v>
      </c>
      <c r="R1481">
        <v>93350.690036900371</v>
      </c>
      <c r="S1481" s="238" t="s">
        <v>137</v>
      </c>
      <c r="T1481" s="238" t="s">
        <v>1167</v>
      </c>
      <c r="V1481" t="s">
        <v>4091</v>
      </c>
      <c r="W1481" s="24">
        <v>44802</v>
      </c>
      <c r="X1481" s="238" t="s">
        <v>3403</v>
      </c>
      <c r="Y1481" s="238" t="s">
        <v>39</v>
      </c>
      <c r="Z1481" s="238" t="s">
        <v>1340</v>
      </c>
      <c r="AA1481" t="s">
        <v>1167</v>
      </c>
      <c r="AB1481" s="238" t="s">
        <v>3246</v>
      </c>
      <c r="AC1481" t="s">
        <v>3079</v>
      </c>
      <c r="AD1481" s="24"/>
      <c r="AE1481" s="238" t="s">
        <v>3404</v>
      </c>
      <c r="AF1481">
        <v>79277396665</v>
      </c>
      <c r="AG1481" s="238" t="s">
        <v>3405</v>
      </c>
      <c r="AH1481" s="238" t="s">
        <v>1212</v>
      </c>
      <c r="AI1481" s="238" t="s">
        <v>3084</v>
      </c>
      <c r="AJ1481" s="238" t="s">
        <v>399</v>
      </c>
      <c r="AK1481" s="238" t="s">
        <v>3345</v>
      </c>
      <c r="AL1481" t="s">
        <v>8715</v>
      </c>
      <c r="AM1481" t="s">
        <v>3663</v>
      </c>
    </row>
    <row r="1482" spans="1:39" hidden="1" x14ac:dyDescent="0.25">
      <c r="A1482">
        <v>1478</v>
      </c>
      <c r="B1482">
        <v>422</v>
      </c>
      <c r="C1482" s="24">
        <v>44804</v>
      </c>
      <c r="D1482" s="238" t="s">
        <v>27</v>
      </c>
      <c r="E1482" s="238" t="s">
        <v>6</v>
      </c>
      <c r="F1482">
        <v>2</v>
      </c>
      <c r="G1482">
        <v>3</v>
      </c>
      <c r="H1482">
        <v>11</v>
      </c>
      <c r="I1482" s="238" t="s">
        <v>42</v>
      </c>
      <c r="J1482">
        <v>37.94</v>
      </c>
      <c r="K1482" s="238" t="s">
        <v>36</v>
      </c>
      <c r="L1482">
        <v>3109223.98</v>
      </c>
      <c r="M1482">
        <v>0</v>
      </c>
      <c r="N1482">
        <v>3109223.98</v>
      </c>
      <c r="O1482">
        <v>81951.080126515561</v>
      </c>
      <c r="P1482">
        <v>0</v>
      </c>
      <c r="Q1482">
        <v>3109223.98</v>
      </c>
      <c r="R1482">
        <v>81951.080126515561</v>
      </c>
      <c r="S1482" s="238" t="s">
        <v>137</v>
      </c>
      <c r="T1482" s="238" t="s">
        <v>1167</v>
      </c>
      <c r="V1482" t="s">
        <v>4091</v>
      </c>
      <c r="W1482" s="24">
        <v>44803</v>
      </c>
      <c r="X1482" s="238" t="s">
        <v>3406</v>
      </c>
      <c r="Y1482" s="238" t="s">
        <v>39</v>
      </c>
      <c r="Z1482" s="238" t="s">
        <v>1340</v>
      </c>
      <c r="AA1482" t="s">
        <v>1167</v>
      </c>
      <c r="AB1482" s="238" t="s">
        <v>3246</v>
      </c>
      <c r="AC1482" t="s">
        <v>3079</v>
      </c>
      <c r="AD1482" s="24"/>
      <c r="AE1482" s="238" t="s">
        <v>3407</v>
      </c>
      <c r="AF1482">
        <v>79879539577</v>
      </c>
      <c r="AG1482" s="238" t="s">
        <v>3408</v>
      </c>
      <c r="AH1482" s="238" t="s">
        <v>146</v>
      </c>
      <c r="AI1482" s="238" t="s">
        <v>135</v>
      </c>
      <c r="AJ1482" s="238" t="s">
        <v>120</v>
      </c>
      <c r="AK1482" s="238" t="s">
        <v>3345</v>
      </c>
      <c r="AL1482" t="s">
        <v>8715</v>
      </c>
      <c r="AM1482" t="s">
        <v>1167</v>
      </c>
    </row>
    <row r="1483" spans="1:39" hidden="1" x14ac:dyDescent="0.25">
      <c r="A1483">
        <v>1479</v>
      </c>
      <c r="B1483">
        <v>423</v>
      </c>
      <c r="C1483" s="24">
        <v>44804</v>
      </c>
      <c r="D1483" s="238" t="s">
        <v>27</v>
      </c>
      <c r="E1483" s="238" t="s">
        <v>14</v>
      </c>
      <c r="F1483">
        <v>5</v>
      </c>
      <c r="G1483">
        <v>16</v>
      </c>
      <c r="H1483">
        <v>762</v>
      </c>
      <c r="I1483" s="238" t="s">
        <v>42</v>
      </c>
      <c r="J1483">
        <v>38.96</v>
      </c>
      <c r="K1483" s="238" t="s">
        <v>37</v>
      </c>
      <c r="L1483">
        <v>3484748.1</v>
      </c>
      <c r="M1483">
        <v>0</v>
      </c>
      <c r="N1483">
        <v>3484748.1</v>
      </c>
      <c r="O1483">
        <v>89444.253080082141</v>
      </c>
      <c r="P1483">
        <v>292200</v>
      </c>
      <c r="Q1483">
        <v>3192548.1</v>
      </c>
      <c r="R1483">
        <v>81944.253080082141</v>
      </c>
      <c r="S1483" s="238" t="s">
        <v>137</v>
      </c>
      <c r="T1483" s="238" t="s">
        <v>1167</v>
      </c>
      <c r="V1483" t="s">
        <v>4091</v>
      </c>
      <c r="W1483" s="24">
        <v>44804</v>
      </c>
      <c r="X1483" s="238" t="s">
        <v>3409</v>
      </c>
      <c r="Y1483" s="238" t="s">
        <v>39</v>
      </c>
      <c r="Z1483" s="238" t="s">
        <v>1340</v>
      </c>
      <c r="AA1483" t="s">
        <v>1167</v>
      </c>
      <c r="AB1483" s="238" t="s">
        <v>3246</v>
      </c>
      <c r="AC1483" t="s">
        <v>3079</v>
      </c>
      <c r="AD1483" s="24"/>
      <c r="AE1483" s="238" t="s">
        <v>3410</v>
      </c>
      <c r="AF1483">
        <v>79226241334</v>
      </c>
      <c r="AG1483" s="238" t="s">
        <v>3411</v>
      </c>
      <c r="AH1483" s="238" t="s">
        <v>1212</v>
      </c>
      <c r="AI1483" s="238" t="s">
        <v>3102</v>
      </c>
      <c r="AJ1483" s="238" t="s">
        <v>130</v>
      </c>
      <c r="AK1483" s="238" t="s">
        <v>141</v>
      </c>
      <c r="AL1483" t="s">
        <v>8715</v>
      </c>
      <c r="AM1483" t="s">
        <v>3663</v>
      </c>
    </row>
    <row r="1484" spans="1:39" hidden="1" x14ac:dyDescent="0.25">
      <c r="A1484">
        <v>1480</v>
      </c>
      <c r="B1484">
        <v>1</v>
      </c>
      <c r="C1484" s="24">
        <v>44806</v>
      </c>
      <c r="D1484" s="238" t="s">
        <v>91</v>
      </c>
      <c r="E1484" s="238" t="s">
        <v>6</v>
      </c>
      <c r="F1484">
        <v>1</v>
      </c>
      <c r="G1484">
        <v>16</v>
      </c>
      <c r="H1484">
        <v>113</v>
      </c>
      <c r="I1484" s="238" t="s">
        <v>42</v>
      </c>
      <c r="J1484">
        <v>33.53</v>
      </c>
      <c r="K1484" s="238" t="s">
        <v>37</v>
      </c>
      <c r="L1484">
        <v>2840138.53</v>
      </c>
      <c r="M1484">
        <v>0</v>
      </c>
      <c r="N1484">
        <v>2840138.53</v>
      </c>
      <c r="O1484">
        <v>84704.399940351912</v>
      </c>
      <c r="P1484">
        <v>251475.00000000047</v>
      </c>
      <c r="Q1484">
        <v>2588663.5299999993</v>
      </c>
      <c r="R1484">
        <v>77204.399940351897</v>
      </c>
      <c r="S1484" s="238" t="s">
        <v>124</v>
      </c>
      <c r="T1484" s="238" t="s">
        <v>1167</v>
      </c>
      <c r="V1484" t="s">
        <v>1167</v>
      </c>
      <c r="W1484" s="24">
        <v>44800</v>
      </c>
      <c r="X1484" s="238" t="s">
        <v>3412</v>
      </c>
      <c r="Y1484" s="238" t="s">
        <v>39</v>
      </c>
      <c r="Z1484" s="238" t="s">
        <v>1340</v>
      </c>
      <c r="AA1484" t="s">
        <v>3113</v>
      </c>
      <c r="AB1484" s="238" t="s">
        <v>3246</v>
      </c>
      <c r="AC1484" t="s">
        <v>1167</v>
      </c>
      <c r="AD1484" s="24"/>
      <c r="AE1484" s="238" t="s">
        <v>3413</v>
      </c>
      <c r="AF1484">
        <v>79279075735</v>
      </c>
      <c r="AG1484" s="238" t="s">
        <v>3414</v>
      </c>
      <c r="AH1484" s="238" t="s">
        <v>1171</v>
      </c>
      <c r="AI1484" s="238" t="s">
        <v>6406</v>
      </c>
      <c r="AJ1484" s="238" t="s">
        <v>399</v>
      </c>
      <c r="AK1484" s="238" t="s">
        <v>1167</v>
      </c>
      <c r="AL1484" t="s">
        <v>57</v>
      </c>
      <c r="AM1484" t="s">
        <v>1167</v>
      </c>
    </row>
    <row r="1485" spans="1:39" hidden="1" x14ac:dyDescent="0.25">
      <c r="A1485">
        <v>1481</v>
      </c>
      <c r="B1485">
        <v>2</v>
      </c>
      <c r="C1485" s="24">
        <v>44810</v>
      </c>
      <c r="D1485" s="238" t="s">
        <v>27</v>
      </c>
      <c r="E1485" s="238" t="s">
        <v>6</v>
      </c>
      <c r="F1485">
        <v>2</v>
      </c>
      <c r="G1485">
        <v>14</v>
      </c>
      <c r="H1485">
        <v>110</v>
      </c>
      <c r="I1485" s="238" t="s">
        <v>42</v>
      </c>
      <c r="J1485">
        <v>37.94</v>
      </c>
      <c r="K1485" s="238" t="s">
        <v>36</v>
      </c>
      <c r="L1485">
        <v>2953762.93</v>
      </c>
      <c r="M1485">
        <v>0</v>
      </c>
      <c r="N1485">
        <v>2953762.93</v>
      </c>
      <c r="O1485">
        <v>77853.530047443346</v>
      </c>
      <c r="P1485">
        <v>0</v>
      </c>
      <c r="Q1485">
        <v>2953762.93</v>
      </c>
      <c r="R1485">
        <v>77853.530047443346</v>
      </c>
      <c r="S1485" s="238" t="s">
        <v>137</v>
      </c>
      <c r="T1485" s="238" t="s">
        <v>1167</v>
      </c>
      <c r="V1485" t="s">
        <v>4091</v>
      </c>
      <c r="W1485" s="24">
        <v>44807</v>
      </c>
      <c r="X1485" s="238" t="s">
        <v>3415</v>
      </c>
      <c r="Y1485" s="238" t="s">
        <v>39</v>
      </c>
      <c r="Z1485" s="238" t="s">
        <v>1340</v>
      </c>
      <c r="AA1485" t="s">
        <v>1167</v>
      </c>
      <c r="AB1485" s="238" t="s">
        <v>3246</v>
      </c>
      <c r="AC1485" t="s">
        <v>3079</v>
      </c>
      <c r="AD1485" s="24"/>
      <c r="AE1485" s="238" t="s">
        <v>3416</v>
      </c>
      <c r="AF1485">
        <v>79061494376</v>
      </c>
      <c r="AG1485" s="238" t="s">
        <v>3417</v>
      </c>
      <c r="AH1485" s="238" t="s">
        <v>1212</v>
      </c>
      <c r="AI1485" s="238" t="s">
        <v>135</v>
      </c>
      <c r="AJ1485" s="238" t="s">
        <v>399</v>
      </c>
      <c r="AK1485" s="238" t="s">
        <v>3345</v>
      </c>
      <c r="AL1485" t="s">
        <v>8715</v>
      </c>
      <c r="AM1485" t="s">
        <v>1167</v>
      </c>
    </row>
    <row r="1486" spans="1:39" hidden="1" x14ac:dyDescent="0.25">
      <c r="A1486">
        <v>1482</v>
      </c>
      <c r="B1486">
        <v>3</v>
      </c>
      <c r="C1486" s="24">
        <v>44811</v>
      </c>
      <c r="D1486" s="238" t="s">
        <v>27</v>
      </c>
      <c r="E1486" s="238" t="s">
        <v>13</v>
      </c>
      <c r="F1486">
        <v>8</v>
      </c>
      <c r="G1486">
        <v>4</v>
      </c>
      <c r="H1486">
        <v>856</v>
      </c>
      <c r="I1486" s="238" t="s">
        <v>4052</v>
      </c>
      <c r="J1486">
        <v>23.09</v>
      </c>
      <c r="K1486" s="238" t="s">
        <v>38</v>
      </c>
      <c r="L1486">
        <v>2513042.17</v>
      </c>
      <c r="M1486">
        <v>0</v>
      </c>
      <c r="N1486">
        <v>2513042.17</v>
      </c>
      <c r="O1486">
        <v>108836.81983542659</v>
      </c>
      <c r="P1486">
        <v>507980</v>
      </c>
      <c r="Q1486">
        <v>2005062.17</v>
      </c>
      <c r="R1486">
        <v>86836.819835426591</v>
      </c>
      <c r="S1486" s="238" t="s">
        <v>121</v>
      </c>
      <c r="T1486" s="238" t="s">
        <v>1167</v>
      </c>
      <c r="V1486" t="s">
        <v>1167</v>
      </c>
      <c r="W1486" s="24">
        <v>44809</v>
      </c>
      <c r="X1486" s="238" t="s">
        <v>3418</v>
      </c>
      <c r="Y1486" s="238" t="s">
        <v>39</v>
      </c>
      <c r="Z1486" s="238" t="s">
        <v>1340</v>
      </c>
      <c r="AA1486" t="s">
        <v>3113</v>
      </c>
      <c r="AB1486" s="238" t="s">
        <v>3246</v>
      </c>
      <c r="AC1486" t="s">
        <v>1167</v>
      </c>
      <c r="AD1486" s="24"/>
      <c r="AE1486" s="238" t="s">
        <v>3419</v>
      </c>
      <c r="AF1486">
        <v>79277137314</v>
      </c>
      <c r="AG1486" s="238" t="s">
        <v>3420</v>
      </c>
      <c r="AH1486" s="238" t="s">
        <v>1212</v>
      </c>
      <c r="AI1486" s="238" t="s">
        <v>3097</v>
      </c>
      <c r="AJ1486" s="238" t="s">
        <v>120</v>
      </c>
      <c r="AK1486" s="238" t="s">
        <v>1167</v>
      </c>
      <c r="AL1486" t="s">
        <v>8715</v>
      </c>
      <c r="AM1486" t="s">
        <v>1167</v>
      </c>
    </row>
    <row r="1487" spans="1:39" hidden="1" x14ac:dyDescent="0.25">
      <c r="A1487">
        <v>1483</v>
      </c>
      <c r="B1487">
        <v>4</v>
      </c>
      <c r="C1487" s="24">
        <v>44812</v>
      </c>
      <c r="D1487" s="238" t="s">
        <v>19</v>
      </c>
      <c r="E1487" s="238" t="s">
        <v>6</v>
      </c>
      <c r="F1487">
        <v>3</v>
      </c>
      <c r="G1487">
        <v>18</v>
      </c>
      <c r="H1487">
        <v>115</v>
      </c>
      <c r="I1487" s="238" t="s">
        <v>44</v>
      </c>
      <c r="J1487">
        <v>79</v>
      </c>
      <c r="K1487" s="238" t="s">
        <v>37</v>
      </c>
      <c r="L1487">
        <v>7294836.6500000004</v>
      </c>
      <c r="M1487">
        <v>0</v>
      </c>
      <c r="N1487">
        <v>7294836.6500000004</v>
      </c>
      <c r="O1487">
        <v>92339.704430379745</v>
      </c>
      <c r="P1487">
        <v>434500</v>
      </c>
      <c r="Q1487">
        <v>6860336.6500000004</v>
      </c>
      <c r="R1487">
        <v>86839.704430379745</v>
      </c>
      <c r="S1487" s="238" t="s">
        <v>137</v>
      </c>
      <c r="T1487" s="238" t="s">
        <v>3390</v>
      </c>
      <c r="U1487">
        <v>200000.15</v>
      </c>
      <c r="V1487" t="s">
        <v>4091</v>
      </c>
      <c r="W1487" s="24">
        <v>44799</v>
      </c>
      <c r="X1487" s="238" t="s">
        <v>3421</v>
      </c>
      <c r="Y1487" s="238" t="s">
        <v>39</v>
      </c>
      <c r="Z1487" s="238" t="s">
        <v>1340</v>
      </c>
      <c r="AA1487" t="s">
        <v>3474</v>
      </c>
      <c r="AB1487" s="238" t="s">
        <v>3124</v>
      </c>
      <c r="AC1487" t="s">
        <v>3104</v>
      </c>
      <c r="AD1487" s="24"/>
      <c r="AE1487" s="238" t="s">
        <v>3422</v>
      </c>
      <c r="AF1487">
        <v>79270209360</v>
      </c>
      <c r="AG1487" s="238" t="s">
        <v>3423</v>
      </c>
      <c r="AH1487" s="238" t="s">
        <v>1171</v>
      </c>
      <c r="AI1487" s="238" t="s">
        <v>135</v>
      </c>
      <c r="AJ1487" s="238" t="s">
        <v>120</v>
      </c>
      <c r="AK1487" s="238" t="s">
        <v>141</v>
      </c>
      <c r="AL1487" t="s">
        <v>8715</v>
      </c>
      <c r="AM1487" t="s">
        <v>1167</v>
      </c>
    </row>
    <row r="1488" spans="1:39" hidden="1" x14ac:dyDescent="0.25">
      <c r="A1488">
        <v>1484</v>
      </c>
      <c r="B1488">
        <v>5</v>
      </c>
      <c r="C1488" s="24">
        <v>44812</v>
      </c>
      <c r="D1488" s="238" t="s">
        <v>27</v>
      </c>
      <c r="E1488" s="238" t="s">
        <v>6</v>
      </c>
      <c r="F1488">
        <v>3</v>
      </c>
      <c r="G1488">
        <v>11</v>
      </c>
      <c r="H1488">
        <v>84</v>
      </c>
      <c r="I1488" s="238" t="s">
        <v>42</v>
      </c>
      <c r="J1488">
        <v>41.06</v>
      </c>
      <c r="K1488" s="238" t="s">
        <v>38</v>
      </c>
      <c r="L1488">
        <v>4172731.12</v>
      </c>
      <c r="M1488">
        <v>0</v>
      </c>
      <c r="N1488">
        <v>4172731.12</v>
      </c>
      <c r="O1488">
        <v>101625.20993667803</v>
      </c>
      <c r="P1488">
        <v>903320</v>
      </c>
      <c r="Q1488">
        <v>3269411.12</v>
      </c>
      <c r="R1488">
        <v>79625.209936678031</v>
      </c>
      <c r="S1488" s="238" t="s">
        <v>137</v>
      </c>
      <c r="T1488" s="238" t="s">
        <v>1167</v>
      </c>
      <c r="V1488" t="s">
        <v>4091</v>
      </c>
      <c r="W1488" s="24">
        <v>44809</v>
      </c>
      <c r="X1488" s="238" t="s">
        <v>3424</v>
      </c>
      <c r="Y1488" s="238" t="s">
        <v>39</v>
      </c>
      <c r="Z1488" s="238" t="s">
        <v>1340</v>
      </c>
      <c r="AA1488" t="s">
        <v>3113</v>
      </c>
      <c r="AB1488" s="238" t="s">
        <v>3246</v>
      </c>
      <c r="AC1488" t="s">
        <v>3079</v>
      </c>
      <c r="AD1488" s="24"/>
      <c r="AE1488" s="238" t="s">
        <v>3425</v>
      </c>
      <c r="AF1488">
        <v>79276147953</v>
      </c>
      <c r="AG1488" s="238" t="s">
        <v>3426</v>
      </c>
      <c r="AH1488" s="238" t="s">
        <v>1212</v>
      </c>
      <c r="AI1488" s="238" t="s">
        <v>135</v>
      </c>
      <c r="AJ1488" s="238" t="s">
        <v>120</v>
      </c>
      <c r="AK1488" s="238" t="s">
        <v>3345</v>
      </c>
      <c r="AL1488" t="s">
        <v>8715</v>
      </c>
      <c r="AM1488" t="s">
        <v>3663</v>
      </c>
    </row>
    <row r="1489" spans="1:39" hidden="1" x14ac:dyDescent="0.25">
      <c r="A1489">
        <v>1485</v>
      </c>
      <c r="B1489">
        <v>6</v>
      </c>
      <c r="C1489" s="24">
        <v>44812</v>
      </c>
      <c r="D1489" s="238" t="s">
        <v>27</v>
      </c>
      <c r="E1489" s="238" t="s">
        <v>13</v>
      </c>
      <c r="F1489">
        <v>9</v>
      </c>
      <c r="G1489">
        <v>8</v>
      </c>
      <c r="H1489">
        <v>893</v>
      </c>
      <c r="I1489" s="238" t="s">
        <v>4052</v>
      </c>
      <c r="J1489">
        <v>23.09</v>
      </c>
      <c r="K1489" s="238" t="s">
        <v>36</v>
      </c>
      <c r="L1489">
        <v>1893669.32</v>
      </c>
      <c r="M1489">
        <v>0</v>
      </c>
      <c r="N1489">
        <v>1893669.32</v>
      </c>
      <c r="O1489">
        <v>82012.530099610231</v>
      </c>
      <c r="P1489">
        <v>0</v>
      </c>
      <c r="Q1489">
        <v>1893669.32</v>
      </c>
      <c r="R1489">
        <v>82012.530099610231</v>
      </c>
      <c r="S1489" s="238" t="s">
        <v>137</v>
      </c>
      <c r="T1489" s="238" t="s">
        <v>1167</v>
      </c>
      <c r="V1489" t="s">
        <v>4091</v>
      </c>
      <c r="W1489" s="24">
        <v>44810</v>
      </c>
      <c r="X1489" s="238" t="s">
        <v>3427</v>
      </c>
      <c r="Y1489" s="238" t="s">
        <v>39</v>
      </c>
      <c r="Z1489" s="238" t="s">
        <v>1340</v>
      </c>
      <c r="AA1489" t="s">
        <v>1167</v>
      </c>
      <c r="AB1489" s="238" t="s">
        <v>3246</v>
      </c>
      <c r="AC1489" t="s">
        <v>3079</v>
      </c>
      <c r="AD1489" s="24"/>
      <c r="AE1489" s="238" t="s">
        <v>3428</v>
      </c>
      <c r="AF1489">
        <v>79093718666</v>
      </c>
      <c r="AG1489" s="238" t="s">
        <v>3429</v>
      </c>
      <c r="AH1489" s="238" t="s">
        <v>146</v>
      </c>
      <c r="AI1489" s="238" t="s">
        <v>135</v>
      </c>
      <c r="AJ1489" s="238" t="s">
        <v>130</v>
      </c>
      <c r="AK1489" s="238" t="s">
        <v>3345</v>
      </c>
      <c r="AL1489" t="s">
        <v>8715</v>
      </c>
      <c r="AM1489" t="s">
        <v>1167</v>
      </c>
    </row>
    <row r="1490" spans="1:39" hidden="1" x14ac:dyDescent="0.25">
      <c r="A1490">
        <v>1486</v>
      </c>
      <c r="B1490">
        <v>7</v>
      </c>
      <c r="C1490" s="24">
        <v>44813</v>
      </c>
      <c r="D1490" s="238" t="s">
        <v>91</v>
      </c>
      <c r="E1490" s="238" t="s">
        <v>15</v>
      </c>
      <c r="F1490">
        <v>6</v>
      </c>
      <c r="G1490">
        <v>8</v>
      </c>
      <c r="H1490">
        <v>461</v>
      </c>
      <c r="I1490" s="238" t="s">
        <v>43</v>
      </c>
      <c r="J1490">
        <v>58.62</v>
      </c>
      <c r="K1490" s="238" t="s">
        <v>37</v>
      </c>
      <c r="L1490">
        <v>4608443.8099999996</v>
      </c>
      <c r="M1490">
        <v>15000</v>
      </c>
      <c r="N1490">
        <v>4623443.8099999996</v>
      </c>
      <c r="O1490">
        <v>78871.439952234723</v>
      </c>
      <c r="P1490">
        <v>439650</v>
      </c>
      <c r="Q1490">
        <v>4183793.8099999996</v>
      </c>
      <c r="R1490">
        <v>71371.439952234723</v>
      </c>
      <c r="S1490" s="238" t="s">
        <v>124</v>
      </c>
      <c r="T1490" s="238" t="s">
        <v>1167</v>
      </c>
      <c r="V1490" t="s">
        <v>1167</v>
      </c>
      <c r="W1490" s="24">
        <v>44777</v>
      </c>
      <c r="X1490" s="238" t="s">
        <v>3430</v>
      </c>
      <c r="Y1490" s="238" t="s">
        <v>39</v>
      </c>
      <c r="Z1490" s="238" t="s">
        <v>1168</v>
      </c>
      <c r="AA1490" t="s">
        <v>1167</v>
      </c>
      <c r="AB1490" s="238" t="s">
        <v>3246</v>
      </c>
      <c r="AC1490" t="s">
        <v>1167</v>
      </c>
      <c r="AD1490" s="24"/>
      <c r="AE1490" s="238" t="s">
        <v>3431</v>
      </c>
      <c r="AF1490">
        <v>79171429539</v>
      </c>
      <c r="AG1490" s="238" t="s">
        <v>3432</v>
      </c>
      <c r="AH1490" s="238" t="s">
        <v>1212</v>
      </c>
      <c r="AI1490" s="238" t="s">
        <v>135</v>
      </c>
      <c r="AJ1490" s="238" t="s">
        <v>120</v>
      </c>
      <c r="AK1490" s="238" t="s">
        <v>1167</v>
      </c>
      <c r="AL1490" t="s">
        <v>8715</v>
      </c>
      <c r="AM1490" t="s">
        <v>1167</v>
      </c>
    </row>
    <row r="1491" spans="1:39" hidden="1" x14ac:dyDescent="0.25">
      <c r="A1491">
        <v>1487</v>
      </c>
      <c r="B1491">
        <v>8</v>
      </c>
      <c r="C1491" s="24">
        <v>44813</v>
      </c>
      <c r="D1491" s="238" t="s">
        <v>91</v>
      </c>
      <c r="E1491" s="238" t="s">
        <v>16</v>
      </c>
      <c r="F1491">
        <v>7</v>
      </c>
      <c r="G1491">
        <v>12</v>
      </c>
      <c r="H1491">
        <v>317</v>
      </c>
      <c r="I1491" s="238" t="s">
        <v>42</v>
      </c>
      <c r="J1491">
        <v>33.840000000000003</v>
      </c>
      <c r="K1491" s="238" t="s">
        <v>36</v>
      </c>
      <c r="L1491">
        <v>2612596.9</v>
      </c>
      <c r="M1491">
        <v>0</v>
      </c>
      <c r="N1491">
        <v>2612596.9</v>
      </c>
      <c r="O1491">
        <v>77204.400118203295</v>
      </c>
      <c r="P1491">
        <v>0</v>
      </c>
      <c r="Q1491">
        <v>2612596.9</v>
      </c>
      <c r="R1491">
        <v>77204.400118203295</v>
      </c>
      <c r="S1491" s="238" t="s">
        <v>137</v>
      </c>
      <c r="T1491" s="238" t="s">
        <v>1167</v>
      </c>
      <c r="V1491" t="s">
        <v>4092</v>
      </c>
      <c r="W1491" s="24">
        <v>44809</v>
      </c>
      <c r="X1491" s="238" t="s">
        <v>3433</v>
      </c>
      <c r="Y1491" s="238" t="s">
        <v>39</v>
      </c>
      <c r="Z1491" s="238" t="s">
        <v>1340</v>
      </c>
      <c r="AA1491" t="s">
        <v>1167</v>
      </c>
      <c r="AB1491" s="238" t="s">
        <v>3246</v>
      </c>
      <c r="AC1491" t="s">
        <v>3079</v>
      </c>
      <c r="AD1491" s="24"/>
      <c r="AE1491" s="238" t="s">
        <v>3434</v>
      </c>
      <c r="AF1491">
        <v>79371790606</v>
      </c>
      <c r="AG1491" s="238" t="s">
        <v>3435</v>
      </c>
      <c r="AH1491" s="238" t="s">
        <v>1212</v>
      </c>
      <c r="AI1491" s="238" t="s">
        <v>135</v>
      </c>
      <c r="AJ1491" s="238" t="s">
        <v>130</v>
      </c>
      <c r="AK1491" s="238" t="s">
        <v>141</v>
      </c>
      <c r="AL1491" t="s">
        <v>8715</v>
      </c>
      <c r="AM1491" t="s">
        <v>1167</v>
      </c>
    </row>
    <row r="1492" spans="1:39" hidden="1" x14ac:dyDescent="0.25">
      <c r="A1492">
        <v>1488</v>
      </c>
      <c r="B1492">
        <v>9</v>
      </c>
      <c r="C1492" s="24">
        <v>44813</v>
      </c>
      <c r="D1492" s="238" t="s">
        <v>27</v>
      </c>
      <c r="E1492" s="238" t="s">
        <v>16</v>
      </c>
      <c r="F1492">
        <v>2</v>
      </c>
      <c r="G1492">
        <v>10</v>
      </c>
      <c r="H1492">
        <v>457</v>
      </c>
      <c r="I1492" s="238" t="s">
        <v>42</v>
      </c>
      <c r="J1492">
        <v>37.159999999999997</v>
      </c>
      <c r="K1492" s="238" t="s">
        <v>36</v>
      </c>
      <c r="L1492">
        <v>2893230.41</v>
      </c>
      <c r="M1492">
        <v>0</v>
      </c>
      <c r="N1492">
        <v>2893230.41</v>
      </c>
      <c r="O1492">
        <v>77858.730086114112</v>
      </c>
      <c r="P1492">
        <v>0</v>
      </c>
      <c r="Q1492">
        <v>2893230.41</v>
      </c>
      <c r="R1492">
        <v>77858.730086114112</v>
      </c>
      <c r="S1492" s="238" t="s">
        <v>137</v>
      </c>
      <c r="T1492" s="238" t="s">
        <v>1167</v>
      </c>
      <c r="V1492" t="s">
        <v>4091</v>
      </c>
      <c r="W1492" s="24">
        <v>44809</v>
      </c>
      <c r="X1492" s="238" t="s">
        <v>1025</v>
      </c>
      <c r="Y1492" s="238" t="s">
        <v>39</v>
      </c>
      <c r="Z1492" s="238" t="s">
        <v>1340</v>
      </c>
      <c r="AA1492" t="s">
        <v>1167</v>
      </c>
      <c r="AB1492" s="238" t="s">
        <v>3246</v>
      </c>
      <c r="AC1492" t="s">
        <v>3079</v>
      </c>
      <c r="AD1492" s="24"/>
      <c r="AE1492" s="238" t="s">
        <v>3436</v>
      </c>
      <c r="AF1492">
        <v>79277572767</v>
      </c>
      <c r="AG1492" s="238" t="s">
        <v>3437</v>
      </c>
      <c r="AH1492" s="238" t="s">
        <v>1212</v>
      </c>
      <c r="AI1492" s="238" t="s">
        <v>135</v>
      </c>
      <c r="AJ1492" s="238" t="s">
        <v>130</v>
      </c>
      <c r="AK1492" s="238" t="s">
        <v>141</v>
      </c>
      <c r="AL1492" t="s">
        <v>8715</v>
      </c>
      <c r="AM1492" t="s">
        <v>3663</v>
      </c>
    </row>
    <row r="1493" spans="1:39" hidden="1" x14ac:dyDescent="0.25">
      <c r="A1493">
        <v>1489</v>
      </c>
      <c r="B1493">
        <v>10</v>
      </c>
      <c r="C1493" s="24">
        <v>44813</v>
      </c>
      <c r="D1493" s="238" t="s">
        <v>27</v>
      </c>
      <c r="E1493" s="238" t="s">
        <v>14</v>
      </c>
      <c r="F1493">
        <v>5</v>
      </c>
      <c r="G1493">
        <v>8</v>
      </c>
      <c r="H1493">
        <v>690</v>
      </c>
      <c r="I1493" s="238" t="s">
        <v>42</v>
      </c>
      <c r="J1493">
        <v>38.96</v>
      </c>
      <c r="K1493" s="238" t="s">
        <v>36</v>
      </c>
      <c r="L1493">
        <v>3032920.68</v>
      </c>
      <c r="M1493">
        <v>0</v>
      </c>
      <c r="N1493">
        <v>3032920.68</v>
      </c>
      <c r="O1493">
        <v>77847.040041067768</v>
      </c>
      <c r="P1493">
        <v>0</v>
      </c>
      <c r="Q1493">
        <v>3032920.68</v>
      </c>
      <c r="R1493">
        <v>77847.040041067768</v>
      </c>
      <c r="S1493" s="238" t="s">
        <v>137</v>
      </c>
      <c r="T1493" s="238" t="s">
        <v>1167</v>
      </c>
      <c r="V1493" t="s">
        <v>4092</v>
      </c>
      <c r="W1493" s="24">
        <v>44809</v>
      </c>
      <c r="X1493" s="238" t="s">
        <v>3438</v>
      </c>
      <c r="Y1493" s="238" t="s">
        <v>39</v>
      </c>
      <c r="Z1493" s="238" t="s">
        <v>1340</v>
      </c>
      <c r="AA1493" t="s">
        <v>1167</v>
      </c>
      <c r="AB1493" s="238" t="s">
        <v>3246</v>
      </c>
      <c r="AC1493" t="s">
        <v>3079</v>
      </c>
      <c r="AD1493" s="24"/>
      <c r="AE1493" s="238" t="s">
        <v>3439</v>
      </c>
      <c r="AF1493">
        <v>79639127813</v>
      </c>
      <c r="AG1493" s="238" t="s">
        <v>3440</v>
      </c>
      <c r="AH1493" s="238" t="s">
        <v>1212</v>
      </c>
      <c r="AI1493" s="238" t="s">
        <v>3097</v>
      </c>
      <c r="AJ1493" s="238" t="s">
        <v>130</v>
      </c>
      <c r="AK1493" s="238" t="s">
        <v>141</v>
      </c>
      <c r="AL1493" t="s">
        <v>8715</v>
      </c>
      <c r="AM1493" t="s">
        <v>3663</v>
      </c>
    </row>
    <row r="1494" spans="1:39" hidden="1" x14ac:dyDescent="0.25">
      <c r="A1494">
        <v>1490</v>
      </c>
      <c r="B1494">
        <v>11</v>
      </c>
      <c r="C1494" s="24">
        <v>44816</v>
      </c>
      <c r="D1494" s="238" t="s">
        <v>91</v>
      </c>
      <c r="E1494" s="238" t="s">
        <v>16</v>
      </c>
      <c r="F1494">
        <v>1</v>
      </c>
      <c r="G1494">
        <v>6</v>
      </c>
      <c r="H1494">
        <v>269</v>
      </c>
      <c r="I1494" s="238" t="s">
        <v>4052</v>
      </c>
      <c r="J1494">
        <v>29.35</v>
      </c>
      <c r="K1494" s="238" t="s">
        <v>36</v>
      </c>
      <c r="L1494">
        <v>2314803</v>
      </c>
      <c r="M1494">
        <v>15000</v>
      </c>
      <c r="N1494">
        <v>2329803</v>
      </c>
      <c r="O1494">
        <v>79380</v>
      </c>
      <c r="P1494">
        <v>0</v>
      </c>
      <c r="Q1494">
        <v>2329803</v>
      </c>
      <c r="R1494">
        <v>79380</v>
      </c>
      <c r="S1494" s="238" t="s">
        <v>137</v>
      </c>
      <c r="T1494" s="238" t="s">
        <v>1167</v>
      </c>
      <c r="V1494" t="s">
        <v>4091</v>
      </c>
      <c r="W1494" s="24">
        <v>44807</v>
      </c>
      <c r="X1494" s="238" t="s">
        <v>3442</v>
      </c>
      <c r="Y1494" s="238" t="s">
        <v>39</v>
      </c>
      <c r="Z1494" s="238" t="s">
        <v>1340</v>
      </c>
      <c r="AA1494" t="s">
        <v>1167</v>
      </c>
      <c r="AB1494" s="238" t="s">
        <v>3246</v>
      </c>
      <c r="AC1494" t="s">
        <v>3079</v>
      </c>
      <c r="AD1494" s="24"/>
      <c r="AE1494" s="238" t="s">
        <v>3443</v>
      </c>
      <c r="AF1494">
        <v>79276115623</v>
      </c>
      <c r="AG1494" s="238" t="s">
        <v>3444</v>
      </c>
      <c r="AH1494" s="238" t="s">
        <v>135</v>
      </c>
      <c r="AI1494" s="238" t="s">
        <v>3075</v>
      </c>
      <c r="AJ1494" s="238" t="s">
        <v>120</v>
      </c>
      <c r="AK1494" s="238" t="s">
        <v>141</v>
      </c>
      <c r="AL1494" t="s">
        <v>8715</v>
      </c>
      <c r="AM1494" t="s">
        <v>1167</v>
      </c>
    </row>
    <row r="1495" spans="1:39" hidden="1" x14ac:dyDescent="0.25">
      <c r="A1495">
        <v>1491</v>
      </c>
      <c r="B1495">
        <v>12</v>
      </c>
      <c r="C1495" s="24">
        <v>44816</v>
      </c>
      <c r="D1495" s="238" t="s">
        <v>27</v>
      </c>
      <c r="E1495" s="238" t="s">
        <v>16</v>
      </c>
      <c r="F1495">
        <v>3</v>
      </c>
      <c r="G1495">
        <v>11</v>
      </c>
      <c r="H1495">
        <v>466</v>
      </c>
      <c r="I1495" s="238" t="s">
        <v>4052</v>
      </c>
      <c r="J1495">
        <v>23.54</v>
      </c>
      <c r="K1495" s="238" t="s">
        <v>38</v>
      </c>
      <c r="L1495">
        <v>2448280.29</v>
      </c>
      <c r="M1495">
        <v>0</v>
      </c>
      <c r="N1495">
        <v>2448280.29</v>
      </c>
      <c r="O1495">
        <v>104005.11002548854</v>
      </c>
      <c r="P1495">
        <v>517880.00000000093</v>
      </c>
      <c r="Q1495">
        <v>1930400.2899999991</v>
      </c>
      <c r="R1495">
        <v>82005.110025488495</v>
      </c>
      <c r="S1495" s="238" t="s">
        <v>137</v>
      </c>
      <c r="T1495" s="238" t="s">
        <v>1167</v>
      </c>
      <c r="V1495" t="s">
        <v>4091</v>
      </c>
      <c r="W1495" s="24">
        <v>44809</v>
      </c>
      <c r="X1495" s="238" t="s">
        <v>3445</v>
      </c>
      <c r="Y1495" s="238" t="s">
        <v>39</v>
      </c>
      <c r="Z1495" s="238" t="s">
        <v>1340</v>
      </c>
      <c r="AA1495" t="s">
        <v>1167</v>
      </c>
      <c r="AB1495" s="238" t="s">
        <v>3246</v>
      </c>
      <c r="AC1495" t="s">
        <v>3079</v>
      </c>
      <c r="AD1495" s="24"/>
      <c r="AE1495" s="238" t="s">
        <v>3446</v>
      </c>
      <c r="AF1495">
        <v>79027003787</v>
      </c>
      <c r="AG1495" s="238" t="s">
        <v>3447</v>
      </c>
      <c r="AH1495" s="238" t="s">
        <v>135</v>
      </c>
      <c r="AI1495" s="238" t="s">
        <v>3075</v>
      </c>
      <c r="AJ1495" s="238" t="s">
        <v>399</v>
      </c>
      <c r="AK1495" s="238" t="s">
        <v>3345</v>
      </c>
      <c r="AL1495" t="s">
        <v>8715</v>
      </c>
      <c r="AM1495" t="s">
        <v>3663</v>
      </c>
    </row>
    <row r="1496" spans="1:39" hidden="1" x14ac:dyDescent="0.25">
      <c r="A1496">
        <v>1492</v>
      </c>
      <c r="B1496">
        <v>13</v>
      </c>
      <c r="C1496" s="24">
        <v>44816</v>
      </c>
      <c r="D1496" s="238" t="s">
        <v>27</v>
      </c>
      <c r="E1496" s="238" t="s">
        <v>13</v>
      </c>
      <c r="F1496">
        <v>9</v>
      </c>
      <c r="G1496">
        <v>2</v>
      </c>
      <c r="H1496">
        <v>839</v>
      </c>
      <c r="I1496" s="238" t="s">
        <v>4052</v>
      </c>
      <c r="J1496">
        <v>23.09</v>
      </c>
      <c r="K1496" s="238" t="s">
        <v>36</v>
      </c>
      <c r="L1496">
        <v>1893669.32</v>
      </c>
      <c r="M1496">
        <v>0</v>
      </c>
      <c r="N1496">
        <v>1893669.32</v>
      </c>
      <c r="O1496">
        <v>82012.530099610231</v>
      </c>
      <c r="P1496">
        <v>0</v>
      </c>
      <c r="Q1496">
        <v>1893669.32</v>
      </c>
      <c r="R1496">
        <v>82012.530099610231</v>
      </c>
      <c r="S1496" s="238" t="s">
        <v>137</v>
      </c>
      <c r="T1496" s="238" t="s">
        <v>1167</v>
      </c>
      <c r="V1496" t="s">
        <v>4091</v>
      </c>
      <c r="W1496" s="24">
        <v>44810</v>
      </c>
      <c r="X1496" s="238" t="s">
        <v>3448</v>
      </c>
      <c r="Y1496" s="238" t="s">
        <v>39</v>
      </c>
      <c r="Z1496" s="238" t="s">
        <v>1340</v>
      </c>
      <c r="AA1496" t="s">
        <v>1167</v>
      </c>
      <c r="AB1496" s="238" t="s">
        <v>3246</v>
      </c>
      <c r="AC1496" t="s">
        <v>3079</v>
      </c>
      <c r="AD1496" s="24"/>
      <c r="AE1496" s="238" t="s">
        <v>1899</v>
      </c>
      <c r="AF1496">
        <v>79228129111</v>
      </c>
      <c r="AG1496" s="238" t="s">
        <v>1900</v>
      </c>
      <c r="AH1496" s="238" t="s">
        <v>1171</v>
      </c>
      <c r="AI1496" s="238" t="s">
        <v>3082</v>
      </c>
      <c r="AJ1496" s="238" t="s">
        <v>120</v>
      </c>
      <c r="AK1496" s="238" t="s">
        <v>3345</v>
      </c>
      <c r="AL1496" t="s">
        <v>8715</v>
      </c>
      <c r="AM1496" t="s">
        <v>1167</v>
      </c>
    </row>
    <row r="1497" spans="1:39" hidden="1" x14ac:dyDescent="0.25">
      <c r="A1497">
        <v>1493</v>
      </c>
      <c r="B1497">
        <v>14</v>
      </c>
      <c r="C1497" s="24">
        <v>44816</v>
      </c>
      <c r="D1497" s="238" t="s">
        <v>27</v>
      </c>
      <c r="E1497" s="238" t="s">
        <v>14</v>
      </c>
      <c r="F1497">
        <v>3</v>
      </c>
      <c r="G1497">
        <v>24</v>
      </c>
      <c r="H1497">
        <v>825</v>
      </c>
      <c r="I1497" s="238" t="s">
        <v>4052</v>
      </c>
      <c r="J1497">
        <v>24.37</v>
      </c>
      <c r="K1497" s="238" t="s">
        <v>36</v>
      </c>
      <c r="L1497">
        <v>2232617.1</v>
      </c>
      <c r="M1497">
        <v>0</v>
      </c>
      <c r="N1497">
        <v>2232617.1</v>
      </c>
      <c r="O1497">
        <v>91613.340172343043</v>
      </c>
      <c r="P1497">
        <v>0</v>
      </c>
      <c r="Q1497">
        <v>2232617.1</v>
      </c>
      <c r="R1497">
        <v>91613.340172343043</v>
      </c>
      <c r="S1497" s="238" t="s">
        <v>137</v>
      </c>
      <c r="T1497" s="238" t="s">
        <v>1167</v>
      </c>
      <c r="V1497" t="s">
        <v>4091</v>
      </c>
      <c r="W1497" s="24">
        <v>44810</v>
      </c>
      <c r="X1497" s="238" t="s">
        <v>3449</v>
      </c>
      <c r="Y1497" s="238" t="s">
        <v>39</v>
      </c>
      <c r="Z1497" s="238" t="s">
        <v>1340</v>
      </c>
      <c r="AA1497" t="s">
        <v>1167</v>
      </c>
      <c r="AB1497" s="238" t="s">
        <v>3246</v>
      </c>
      <c r="AC1497" t="s">
        <v>3079</v>
      </c>
      <c r="AD1497" s="24"/>
      <c r="AE1497" s="238" t="s">
        <v>3450</v>
      </c>
      <c r="AF1497">
        <v>79276033385</v>
      </c>
      <c r="AG1497" s="238" t="s">
        <v>3451</v>
      </c>
      <c r="AH1497" s="238" t="s">
        <v>1212</v>
      </c>
      <c r="AI1497" s="238" t="s">
        <v>135</v>
      </c>
      <c r="AJ1497" s="238" t="s">
        <v>130</v>
      </c>
      <c r="AK1497" s="238" t="s">
        <v>141</v>
      </c>
      <c r="AL1497" t="s">
        <v>8715</v>
      </c>
      <c r="AM1497" t="s">
        <v>3663</v>
      </c>
    </row>
    <row r="1498" spans="1:39" hidden="1" x14ac:dyDescent="0.25">
      <c r="A1498">
        <v>1494</v>
      </c>
      <c r="B1498">
        <v>15</v>
      </c>
      <c r="C1498" s="24">
        <v>44816</v>
      </c>
      <c r="D1498" s="238" t="s">
        <v>91</v>
      </c>
      <c r="E1498" s="238" t="s">
        <v>6</v>
      </c>
      <c r="F1498">
        <v>3</v>
      </c>
      <c r="G1498">
        <v>16</v>
      </c>
      <c r="H1498">
        <v>115</v>
      </c>
      <c r="I1498" s="238" t="s">
        <v>42</v>
      </c>
      <c r="J1498">
        <v>35.54</v>
      </c>
      <c r="K1498" s="238" t="s">
        <v>37</v>
      </c>
      <c r="L1498">
        <v>3064727.93</v>
      </c>
      <c r="M1498">
        <v>0</v>
      </c>
      <c r="N1498">
        <v>3064727.93</v>
      </c>
      <c r="O1498">
        <v>86233.200056274625</v>
      </c>
      <c r="P1498">
        <v>266550</v>
      </c>
      <c r="Q1498">
        <v>2798177.93</v>
      </c>
      <c r="R1498">
        <v>78733.200056274625</v>
      </c>
      <c r="S1498" s="238" t="s">
        <v>124</v>
      </c>
      <c r="T1498" s="238" t="s">
        <v>1167</v>
      </c>
      <c r="V1498" t="s">
        <v>1167</v>
      </c>
      <c r="W1498" s="24">
        <v>44812</v>
      </c>
      <c r="X1498" s="238" t="s">
        <v>3452</v>
      </c>
      <c r="Y1498" s="238" t="s">
        <v>39</v>
      </c>
      <c r="Z1498" s="238" t="s">
        <v>1340</v>
      </c>
      <c r="AA1498" t="s">
        <v>1167</v>
      </c>
      <c r="AB1498" s="238" t="s">
        <v>3246</v>
      </c>
      <c r="AC1498" t="s">
        <v>1167</v>
      </c>
      <c r="AD1498" s="24"/>
      <c r="AE1498" s="238" t="s">
        <v>3453</v>
      </c>
      <c r="AF1498">
        <v>79276508234</v>
      </c>
      <c r="AG1498" s="238" t="s">
        <v>3454</v>
      </c>
      <c r="AH1498" s="238" t="s">
        <v>1171</v>
      </c>
      <c r="AI1498" s="238" t="s">
        <v>6406</v>
      </c>
      <c r="AJ1498" s="238" t="s">
        <v>982</v>
      </c>
      <c r="AK1498" s="238" t="s">
        <v>1167</v>
      </c>
      <c r="AL1498" t="s">
        <v>57</v>
      </c>
      <c r="AM1498" t="s">
        <v>1167</v>
      </c>
    </row>
    <row r="1499" spans="1:39" hidden="1" x14ac:dyDescent="0.25">
      <c r="A1499">
        <v>1495</v>
      </c>
      <c r="B1499">
        <v>16</v>
      </c>
      <c r="C1499" s="24">
        <v>44816</v>
      </c>
      <c r="D1499" s="238" t="s">
        <v>27</v>
      </c>
      <c r="E1499" s="238" t="s">
        <v>13</v>
      </c>
      <c r="F1499">
        <v>8</v>
      </c>
      <c r="G1499">
        <v>6</v>
      </c>
      <c r="H1499">
        <v>874</v>
      </c>
      <c r="I1499" s="238" t="s">
        <v>4052</v>
      </c>
      <c r="J1499">
        <v>23.09</v>
      </c>
      <c r="K1499" s="238" t="s">
        <v>38</v>
      </c>
      <c r="L1499">
        <v>2513042.17</v>
      </c>
      <c r="M1499">
        <v>0</v>
      </c>
      <c r="N1499">
        <v>2513042.17</v>
      </c>
      <c r="O1499">
        <v>108836.81983542659</v>
      </c>
      <c r="P1499">
        <v>507979.99999999953</v>
      </c>
      <c r="Q1499">
        <v>2005062.1700000004</v>
      </c>
      <c r="R1499">
        <v>86836.819835426606</v>
      </c>
      <c r="S1499" s="238" t="s">
        <v>137</v>
      </c>
      <c r="T1499" s="238" t="s">
        <v>1167</v>
      </c>
      <c r="V1499" t="s">
        <v>4091</v>
      </c>
      <c r="W1499" s="24">
        <v>44816</v>
      </c>
      <c r="X1499" s="238" t="s">
        <v>3455</v>
      </c>
      <c r="Y1499" s="238" t="s">
        <v>39</v>
      </c>
      <c r="Z1499" s="238" t="s">
        <v>1340</v>
      </c>
      <c r="AA1499" t="s">
        <v>1167</v>
      </c>
      <c r="AB1499" s="238" t="s">
        <v>3246</v>
      </c>
      <c r="AC1499" t="s">
        <v>3079</v>
      </c>
      <c r="AD1499" s="24"/>
      <c r="AE1499" s="238" t="s">
        <v>3456</v>
      </c>
      <c r="AF1499">
        <v>79277742396</v>
      </c>
      <c r="AG1499" s="238" t="s">
        <v>3457</v>
      </c>
      <c r="AH1499" s="238" t="s">
        <v>1212</v>
      </c>
      <c r="AI1499" s="238" t="s">
        <v>3090</v>
      </c>
      <c r="AJ1499" s="238" t="s">
        <v>399</v>
      </c>
      <c r="AK1499" s="238" t="s">
        <v>141</v>
      </c>
      <c r="AL1499" t="s">
        <v>8715</v>
      </c>
      <c r="AM1499" t="s">
        <v>3663</v>
      </c>
    </row>
    <row r="1500" spans="1:39" hidden="1" x14ac:dyDescent="0.25">
      <c r="A1500">
        <v>1496</v>
      </c>
      <c r="B1500">
        <v>17</v>
      </c>
      <c r="C1500" s="24">
        <v>44817</v>
      </c>
      <c r="D1500" s="238" t="s">
        <v>91</v>
      </c>
      <c r="E1500" s="238" t="s">
        <v>15</v>
      </c>
      <c r="F1500">
        <v>2</v>
      </c>
      <c r="G1500">
        <v>12</v>
      </c>
      <c r="H1500">
        <v>493</v>
      </c>
      <c r="I1500" s="238" t="s">
        <v>42</v>
      </c>
      <c r="J1500">
        <v>38.6</v>
      </c>
      <c r="K1500" s="238" t="s">
        <v>37</v>
      </c>
      <c r="L1500">
        <v>3328601.52</v>
      </c>
      <c r="M1500">
        <v>0</v>
      </c>
      <c r="N1500">
        <v>3328601.52</v>
      </c>
      <c r="O1500">
        <v>86233.2</v>
      </c>
      <c r="P1500">
        <v>289500</v>
      </c>
      <c r="Q1500">
        <v>3039101.52</v>
      </c>
      <c r="R1500">
        <v>78733.2</v>
      </c>
      <c r="S1500" s="238" t="s">
        <v>124</v>
      </c>
      <c r="T1500" s="238" t="s">
        <v>1167</v>
      </c>
      <c r="V1500" t="s">
        <v>1167</v>
      </c>
      <c r="W1500" s="24">
        <v>44811</v>
      </c>
      <c r="X1500" s="238" t="s">
        <v>3458</v>
      </c>
      <c r="Y1500" s="238" t="s">
        <v>1172</v>
      </c>
      <c r="Z1500" s="238" t="s">
        <v>1340</v>
      </c>
      <c r="AA1500" t="s">
        <v>1167</v>
      </c>
      <c r="AB1500" s="238" t="s">
        <v>3246</v>
      </c>
      <c r="AC1500" t="s">
        <v>1167</v>
      </c>
      <c r="AD1500" s="24">
        <v>45210</v>
      </c>
      <c r="AE1500" s="238" t="s">
        <v>3459</v>
      </c>
      <c r="AF1500">
        <v>79277010939</v>
      </c>
      <c r="AG1500" s="238" t="s">
        <v>3460</v>
      </c>
      <c r="AH1500" s="238" t="s">
        <v>1171</v>
      </c>
      <c r="AI1500" s="238" t="s">
        <v>6406</v>
      </c>
      <c r="AJ1500" s="238" t="s">
        <v>982</v>
      </c>
      <c r="AK1500" s="238" t="s">
        <v>1167</v>
      </c>
      <c r="AL1500" t="s">
        <v>57</v>
      </c>
      <c r="AM1500" t="s">
        <v>1167</v>
      </c>
    </row>
    <row r="1501" spans="1:39" hidden="1" x14ac:dyDescent="0.25">
      <c r="A1501">
        <v>1497</v>
      </c>
      <c r="B1501">
        <v>18</v>
      </c>
      <c r="C1501" s="24">
        <v>44817</v>
      </c>
      <c r="D1501" s="238" t="s">
        <v>27</v>
      </c>
      <c r="E1501" s="238" t="s">
        <v>6</v>
      </c>
      <c r="F1501">
        <v>3</v>
      </c>
      <c r="G1501">
        <v>16</v>
      </c>
      <c r="H1501">
        <v>129</v>
      </c>
      <c r="I1501" s="238" t="s">
        <v>42</v>
      </c>
      <c r="J1501">
        <v>41.06</v>
      </c>
      <c r="K1501" s="238" t="s">
        <v>36</v>
      </c>
      <c r="L1501">
        <v>3073361.12</v>
      </c>
      <c r="M1501">
        <v>0</v>
      </c>
      <c r="N1501">
        <v>3073361.12</v>
      </c>
      <c r="O1501">
        <v>74850.490014612762</v>
      </c>
      <c r="P1501">
        <v>0</v>
      </c>
      <c r="Q1501">
        <v>3073361.12</v>
      </c>
      <c r="R1501">
        <v>74850.490014612762</v>
      </c>
      <c r="S1501" s="238" t="s">
        <v>137</v>
      </c>
      <c r="T1501" s="238" t="s">
        <v>1167</v>
      </c>
      <c r="V1501" t="s">
        <v>4091</v>
      </c>
      <c r="W1501" s="24">
        <v>44812</v>
      </c>
      <c r="X1501" s="238" t="s">
        <v>3461</v>
      </c>
      <c r="Y1501" s="238" t="s">
        <v>39</v>
      </c>
      <c r="Z1501" s="238" t="s">
        <v>1340</v>
      </c>
      <c r="AA1501" t="s">
        <v>1167</v>
      </c>
      <c r="AB1501" s="238" t="s">
        <v>3246</v>
      </c>
      <c r="AC1501" t="s">
        <v>3079</v>
      </c>
      <c r="AD1501" s="24"/>
      <c r="AE1501" s="238" t="s">
        <v>3462</v>
      </c>
      <c r="AF1501">
        <v>79053028162</v>
      </c>
      <c r="AG1501" s="238" t="s">
        <v>3463</v>
      </c>
      <c r="AH1501" s="238" t="s">
        <v>1212</v>
      </c>
      <c r="AI1501" s="238" t="s">
        <v>3074</v>
      </c>
      <c r="AJ1501" s="238" t="s">
        <v>399</v>
      </c>
      <c r="AK1501" s="238" t="s">
        <v>3345</v>
      </c>
      <c r="AL1501" t="s">
        <v>8715</v>
      </c>
      <c r="AM1501" t="s">
        <v>3663</v>
      </c>
    </row>
    <row r="1502" spans="1:39" hidden="1" x14ac:dyDescent="0.25">
      <c r="A1502">
        <v>1498</v>
      </c>
      <c r="B1502">
        <v>19</v>
      </c>
      <c r="C1502" s="24">
        <v>44817</v>
      </c>
      <c r="D1502" s="238" t="s">
        <v>27</v>
      </c>
      <c r="E1502" s="238" t="s">
        <v>6</v>
      </c>
      <c r="F1502">
        <v>5</v>
      </c>
      <c r="G1502">
        <v>19</v>
      </c>
      <c r="H1502">
        <v>158</v>
      </c>
      <c r="I1502" s="238" t="s">
        <v>4052</v>
      </c>
      <c r="J1502">
        <v>24.47</v>
      </c>
      <c r="K1502" s="238" t="s">
        <v>38</v>
      </c>
      <c r="L1502">
        <v>2650051.5699999998</v>
      </c>
      <c r="M1502">
        <v>0</v>
      </c>
      <c r="N1502">
        <v>2650051.5699999998</v>
      </c>
      <c r="O1502">
        <v>108297.97997548018</v>
      </c>
      <c r="P1502">
        <v>538339.99999999953</v>
      </c>
      <c r="Q1502">
        <v>2111711.5700000003</v>
      </c>
      <c r="R1502">
        <v>86297.979975480193</v>
      </c>
      <c r="S1502" s="238" t="s">
        <v>121</v>
      </c>
      <c r="T1502" s="238" t="s">
        <v>1167</v>
      </c>
      <c r="V1502" t="s">
        <v>1167</v>
      </c>
      <c r="W1502" s="24">
        <v>44815</v>
      </c>
      <c r="X1502" s="238" t="s">
        <v>3464</v>
      </c>
      <c r="Y1502" s="238" t="s">
        <v>39</v>
      </c>
      <c r="Z1502" s="238" t="s">
        <v>1340</v>
      </c>
      <c r="AA1502" t="s">
        <v>1167</v>
      </c>
      <c r="AB1502" s="238" t="s">
        <v>3246</v>
      </c>
      <c r="AC1502" t="s">
        <v>1167</v>
      </c>
      <c r="AD1502" s="24"/>
      <c r="AE1502" s="238" t="s">
        <v>3465</v>
      </c>
      <c r="AF1502">
        <v>79376568600</v>
      </c>
      <c r="AG1502" s="238" t="s">
        <v>3466</v>
      </c>
      <c r="AH1502" s="238" t="s">
        <v>1171</v>
      </c>
      <c r="AI1502" s="238" t="s">
        <v>135</v>
      </c>
      <c r="AJ1502" s="238" t="s">
        <v>120</v>
      </c>
      <c r="AK1502" s="238" t="s">
        <v>1167</v>
      </c>
      <c r="AL1502" t="s">
        <v>8715</v>
      </c>
      <c r="AM1502" t="s">
        <v>1167</v>
      </c>
    </row>
    <row r="1503" spans="1:39" hidden="1" x14ac:dyDescent="0.25">
      <c r="A1503">
        <v>1499</v>
      </c>
      <c r="B1503">
        <v>20</v>
      </c>
      <c r="C1503" s="24">
        <v>44818</v>
      </c>
      <c r="D1503" s="238" t="s">
        <v>27</v>
      </c>
      <c r="E1503" s="238" t="s">
        <v>13</v>
      </c>
      <c r="F1503">
        <v>8</v>
      </c>
      <c r="G1503">
        <v>3</v>
      </c>
      <c r="H1503">
        <v>847</v>
      </c>
      <c r="I1503" s="238" t="s">
        <v>4052</v>
      </c>
      <c r="J1503">
        <v>23.09</v>
      </c>
      <c r="K1503" s="238" t="s">
        <v>38</v>
      </c>
      <c r="L1503">
        <v>2513042.17</v>
      </c>
      <c r="M1503">
        <v>0</v>
      </c>
      <c r="N1503">
        <v>2513042.17</v>
      </c>
      <c r="O1503">
        <v>108836.81983542659</v>
      </c>
      <c r="P1503">
        <v>507979.99999999953</v>
      </c>
      <c r="Q1503">
        <v>2005062.1700000004</v>
      </c>
      <c r="R1503">
        <v>86836.819835426606</v>
      </c>
      <c r="S1503" s="238" t="s">
        <v>137</v>
      </c>
      <c r="T1503" s="238" t="s">
        <v>1167</v>
      </c>
      <c r="V1503" t="s">
        <v>4092</v>
      </c>
      <c r="W1503" s="24">
        <v>44811</v>
      </c>
      <c r="X1503" s="238" t="s">
        <v>3467</v>
      </c>
      <c r="Y1503" s="238" t="s">
        <v>39</v>
      </c>
      <c r="Z1503" s="238" t="s">
        <v>1340</v>
      </c>
      <c r="AA1503" t="s">
        <v>1167</v>
      </c>
      <c r="AB1503" s="238" t="s">
        <v>3246</v>
      </c>
      <c r="AC1503" t="s">
        <v>3079</v>
      </c>
      <c r="AD1503" s="24"/>
      <c r="AE1503" s="238" t="s">
        <v>3468</v>
      </c>
      <c r="AF1503">
        <v>79276007061</v>
      </c>
      <c r="AG1503" s="238" t="s">
        <v>3469</v>
      </c>
      <c r="AH1503" s="238" t="s">
        <v>1212</v>
      </c>
      <c r="AI1503" s="238" t="s">
        <v>3102</v>
      </c>
      <c r="AJ1503" s="238" t="s">
        <v>120</v>
      </c>
      <c r="AK1503" s="238" t="s">
        <v>141</v>
      </c>
      <c r="AL1503" t="s">
        <v>8715</v>
      </c>
      <c r="AM1503" t="s">
        <v>3663</v>
      </c>
    </row>
    <row r="1504" spans="1:39" hidden="1" x14ac:dyDescent="0.25">
      <c r="A1504">
        <v>1500</v>
      </c>
      <c r="B1504">
        <v>21</v>
      </c>
      <c r="C1504" s="24">
        <v>44818</v>
      </c>
      <c r="D1504" s="238" t="s">
        <v>27</v>
      </c>
      <c r="E1504" s="238" t="s">
        <v>6</v>
      </c>
      <c r="F1504">
        <v>3</v>
      </c>
      <c r="G1504">
        <v>7</v>
      </c>
      <c r="H1504">
        <v>48</v>
      </c>
      <c r="I1504" s="238" t="s">
        <v>42</v>
      </c>
      <c r="J1504">
        <v>41.06</v>
      </c>
      <c r="K1504" s="238" t="s">
        <v>37</v>
      </c>
      <c r="L1504">
        <v>3381311.12</v>
      </c>
      <c r="M1504">
        <v>0</v>
      </c>
      <c r="N1504">
        <v>3381311.12</v>
      </c>
      <c r="O1504">
        <v>82350.490014612762</v>
      </c>
      <c r="P1504">
        <v>307950</v>
      </c>
      <c r="Q1504">
        <v>3073361.12</v>
      </c>
      <c r="R1504">
        <v>74850.490014612762</v>
      </c>
      <c r="S1504" s="238" t="s">
        <v>137</v>
      </c>
      <c r="T1504" s="238" t="s">
        <v>1167</v>
      </c>
      <c r="V1504" t="s">
        <v>4091</v>
      </c>
      <c r="W1504" s="24">
        <v>44818</v>
      </c>
      <c r="X1504" s="238" t="s">
        <v>3470</v>
      </c>
      <c r="Y1504" s="238" t="s">
        <v>39</v>
      </c>
      <c r="Z1504" s="238" t="s">
        <v>1340</v>
      </c>
      <c r="AA1504" t="s">
        <v>1167</v>
      </c>
      <c r="AB1504" s="238" t="s">
        <v>3246</v>
      </c>
      <c r="AC1504" t="s">
        <v>3079</v>
      </c>
      <c r="AD1504" s="24"/>
      <c r="AE1504" s="238" t="s">
        <v>3471</v>
      </c>
      <c r="AF1504">
        <v>79228883947</v>
      </c>
      <c r="AG1504" s="238" t="s">
        <v>3472</v>
      </c>
      <c r="AH1504" s="238" t="s">
        <v>1212</v>
      </c>
      <c r="AI1504" s="238" t="s">
        <v>135</v>
      </c>
      <c r="AJ1504" s="238" t="s">
        <v>130</v>
      </c>
      <c r="AK1504" s="238" t="s">
        <v>141</v>
      </c>
      <c r="AL1504" t="s">
        <v>8715</v>
      </c>
      <c r="AM1504" t="s">
        <v>3663</v>
      </c>
    </row>
    <row r="1505" spans="1:39" hidden="1" x14ac:dyDescent="0.25">
      <c r="A1505">
        <v>1501</v>
      </c>
      <c r="B1505">
        <v>22</v>
      </c>
      <c r="C1505" s="24">
        <v>44819</v>
      </c>
      <c r="D1505" s="238" t="s">
        <v>91</v>
      </c>
      <c r="E1505" s="238" t="s">
        <v>16</v>
      </c>
      <c r="F1505">
        <v>3</v>
      </c>
      <c r="G1505">
        <v>19</v>
      </c>
      <c r="H1505">
        <v>362</v>
      </c>
      <c r="I1505" s="238" t="s">
        <v>4052</v>
      </c>
      <c r="J1505">
        <v>36.450000000000003</v>
      </c>
      <c r="K1505" s="238" t="s">
        <v>36</v>
      </c>
      <c r="L1505">
        <v>3153807.09</v>
      </c>
      <c r="M1505">
        <v>0</v>
      </c>
      <c r="N1505">
        <v>3153807.09</v>
      </c>
      <c r="O1505">
        <v>86524.199999999983</v>
      </c>
      <c r="P1505">
        <v>0</v>
      </c>
      <c r="Q1505">
        <v>3153807.09</v>
      </c>
      <c r="R1505">
        <v>86524.199999999983</v>
      </c>
      <c r="S1505" s="238" t="s">
        <v>121</v>
      </c>
      <c r="T1505" s="238" t="s">
        <v>1167</v>
      </c>
      <c r="V1505" t="s">
        <v>1167</v>
      </c>
      <c r="W1505" s="24">
        <v>44809</v>
      </c>
      <c r="X1505" s="238" t="s">
        <v>3475</v>
      </c>
      <c r="Y1505" s="238" t="s">
        <v>39</v>
      </c>
      <c r="Z1505" s="238" t="s">
        <v>1340</v>
      </c>
      <c r="AA1505" t="s">
        <v>1167</v>
      </c>
      <c r="AB1505" s="238" t="s">
        <v>3246</v>
      </c>
      <c r="AC1505" t="s">
        <v>1167</v>
      </c>
      <c r="AD1505" s="24"/>
      <c r="AE1505" s="238" t="s">
        <v>3476</v>
      </c>
      <c r="AF1505">
        <v>79276019206</v>
      </c>
      <c r="AG1505" s="238" t="s">
        <v>3477</v>
      </c>
      <c r="AH1505" s="238" t="s">
        <v>1212</v>
      </c>
      <c r="AI1505" s="238" t="s">
        <v>135</v>
      </c>
      <c r="AJ1505" s="238" t="s">
        <v>120</v>
      </c>
      <c r="AK1505" s="238" t="s">
        <v>1167</v>
      </c>
      <c r="AL1505" t="s">
        <v>8715</v>
      </c>
      <c r="AM1505" t="s">
        <v>3663</v>
      </c>
    </row>
    <row r="1506" spans="1:39" hidden="1" x14ac:dyDescent="0.25">
      <c r="A1506">
        <v>1502</v>
      </c>
      <c r="B1506">
        <v>23</v>
      </c>
      <c r="C1506" s="24">
        <v>44823</v>
      </c>
      <c r="D1506" s="238" t="s">
        <v>27</v>
      </c>
      <c r="E1506" s="238" t="s">
        <v>6</v>
      </c>
      <c r="F1506">
        <v>3</v>
      </c>
      <c r="G1506">
        <v>19</v>
      </c>
      <c r="H1506">
        <v>156</v>
      </c>
      <c r="I1506" s="238" t="s">
        <v>42</v>
      </c>
      <c r="J1506">
        <v>41.06</v>
      </c>
      <c r="K1506" s="238" t="s">
        <v>36</v>
      </c>
      <c r="L1506">
        <v>3296144.88</v>
      </c>
      <c r="M1506">
        <v>0</v>
      </c>
      <c r="N1506">
        <v>3296144.88</v>
      </c>
      <c r="O1506">
        <v>80276.300048709192</v>
      </c>
      <c r="P1506">
        <v>0</v>
      </c>
      <c r="Q1506">
        <v>3296144.88</v>
      </c>
      <c r="R1506">
        <v>80276.300048709192</v>
      </c>
      <c r="S1506" s="238" t="s">
        <v>137</v>
      </c>
      <c r="T1506" s="238" t="s">
        <v>1167</v>
      </c>
      <c r="V1506" t="s">
        <v>4091</v>
      </c>
      <c r="W1506" s="24">
        <v>44818</v>
      </c>
      <c r="X1506" s="238" t="s">
        <v>3478</v>
      </c>
      <c r="Y1506" s="238" t="s">
        <v>39</v>
      </c>
      <c r="Z1506" s="238" t="s">
        <v>1340</v>
      </c>
      <c r="AA1506" t="s">
        <v>1167</v>
      </c>
      <c r="AB1506" s="238" t="s">
        <v>3246</v>
      </c>
      <c r="AC1506" t="s">
        <v>3079</v>
      </c>
      <c r="AD1506" s="24"/>
      <c r="AE1506" s="238" t="s">
        <v>3479</v>
      </c>
      <c r="AF1506">
        <v>79370730681</v>
      </c>
      <c r="AG1506" s="238" t="s">
        <v>3480</v>
      </c>
      <c r="AH1506" s="238" t="s">
        <v>1212</v>
      </c>
      <c r="AI1506" s="238" t="s">
        <v>135</v>
      </c>
      <c r="AJ1506" s="238" t="s">
        <v>130</v>
      </c>
      <c r="AK1506" s="238" t="s">
        <v>141</v>
      </c>
      <c r="AL1506" t="s">
        <v>8715</v>
      </c>
      <c r="AM1506" t="s">
        <v>3663</v>
      </c>
    </row>
    <row r="1507" spans="1:39" hidden="1" x14ac:dyDescent="0.25">
      <c r="A1507">
        <v>1503</v>
      </c>
      <c r="B1507">
        <v>24</v>
      </c>
      <c r="C1507" s="24">
        <v>44824</v>
      </c>
      <c r="D1507" s="238" t="s">
        <v>19</v>
      </c>
      <c r="E1507" s="238" t="s">
        <v>6</v>
      </c>
      <c r="F1507">
        <v>3</v>
      </c>
      <c r="G1507">
        <v>7</v>
      </c>
      <c r="H1507">
        <v>38</v>
      </c>
      <c r="I1507" s="238" t="s">
        <v>44</v>
      </c>
      <c r="J1507">
        <v>78.7</v>
      </c>
      <c r="K1507" s="238" t="s">
        <v>36</v>
      </c>
      <c r="L1507">
        <v>7023525.25</v>
      </c>
      <c r="M1507">
        <v>0</v>
      </c>
      <c r="N1507">
        <v>7023525.25</v>
      </c>
      <c r="O1507">
        <v>89244.285260482837</v>
      </c>
      <c r="P1507">
        <v>0</v>
      </c>
      <c r="Q1507">
        <v>7023525.25</v>
      </c>
      <c r="R1507">
        <v>89244.285260482837</v>
      </c>
      <c r="S1507" s="238" t="s">
        <v>137</v>
      </c>
      <c r="T1507" s="238" t="s">
        <v>3390</v>
      </c>
      <c r="U1507">
        <v>10000</v>
      </c>
      <c r="V1507" t="s">
        <v>4091</v>
      </c>
      <c r="W1507" s="24">
        <v>44810</v>
      </c>
      <c r="X1507" s="238" t="s">
        <v>3481</v>
      </c>
      <c r="Y1507" s="238" t="s">
        <v>39</v>
      </c>
      <c r="Z1507" s="238" t="s">
        <v>1340</v>
      </c>
      <c r="AA1507" t="s">
        <v>1167</v>
      </c>
      <c r="AB1507" s="238" t="s">
        <v>3124</v>
      </c>
      <c r="AC1507" t="s">
        <v>3079</v>
      </c>
      <c r="AD1507" s="24"/>
      <c r="AE1507" s="238" t="s">
        <v>3482</v>
      </c>
      <c r="AF1507">
        <v>79379991940</v>
      </c>
      <c r="AG1507" s="238" t="s">
        <v>3483</v>
      </c>
      <c r="AH1507" s="238" t="s">
        <v>146</v>
      </c>
      <c r="AI1507" s="238" t="s">
        <v>135</v>
      </c>
      <c r="AJ1507" s="238" t="s">
        <v>130</v>
      </c>
      <c r="AK1507" s="238" t="s">
        <v>141</v>
      </c>
      <c r="AL1507" t="s">
        <v>8715</v>
      </c>
      <c r="AM1507" t="s">
        <v>7801</v>
      </c>
    </row>
    <row r="1508" spans="1:39" hidden="1" x14ac:dyDescent="0.25">
      <c r="A1508">
        <v>1504</v>
      </c>
      <c r="B1508">
        <v>25</v>
      </c>
      <c r="C1508" s="24">
        <v>44824</v>
      </c>
      <c r="D1508" s="238" t="s">
        <v>27</v>
      </c>
      <c r="E1508" s="238" t="s">
        <v>6</v>
      </c>
      <c r="F1508">
        <v>2</v>
      </c>
      <c r="G1508">
        <v>15</v>
      </c>
      <c r="H1508">
        <v>119</v>
      </c>
      <c r="I1508" s="238" t="s">
        <v>42</v>
      </c>
      <c r="J1508">
        <v>37.94</v>
      </c>
      <c r="K1508" s="238" t="s">
        <v>36</v>
      </c>
      <c r="L1508">
        <v>2953762.93</v>
      </c>
      <c r="M1508">
        <v>0</v>
      </c>
      <c r="N1508">
        <v>2953762.93</v>
      </c>
      <c r="O1508">
        <v>77853.530047443346</v>
      </c>
      <c r="P1508">
        <v>0</v>
      </c>
      <c r="Q1508">
        <v>2953762.93</v>
      </c>
      <c r="R1508">
        <v>77853.530047443346</v>
      </c>
      <c r="S1508" s="238" t="s">
        <v>121</v>
      </c>
      <c r="T1508" s="238" t="s">
        <v>1167</v>
      </c>
      <c r="V1508" t="s">
        <v>1167</v>
      </c>
      <c r="W1508" s="24">
        <v>44813</v>
      </c>
      <c r="X1508" s="238" t="s">
        <v>3484</v>
      </c>
      <c r="Y1508" s="238" t="s">
        <v>39</v>
      </c>
      <c r="Z1508" s="238" t="s">
        <v>1340</v>
      </c>
      <c r="AA1508" t="s">
        <v>1167</v>
      </c>
      <c r="AB1508" s="238" t="s">
        <v>3246</v>
      </c>
      <c r="AC1508" t="s">
        <v>1167</v>
      </c>
      <c r="AD1508" s="24"/>
      <c r="AE1508" s="238" t="s">
        <v>3485</v>
      </c>
      <c r="AF1508">
        <v>79370707771</v>
      </c>
      <c r="AG1508" s="238" t="s">
        <v>3486</v>
      </c>
      <c r="AH1508" s="238" t="s">
        <v>1212</v>
      </c>
      <c r="AI1508" s="238" t="s">
        <v>135</v>
      </c>
      <c r="AJ1508" s="238" t="s">
        <v>130</v>
      </c>
      <c r="AK1508" s="238" t="s">
        <v>1167</v>
      </c>
      <c r="AL1508" t="s">
        <v>8715</v>
      </c>
      <c r="AM1508" t="s">
        <v>1167</v>
      </c>
    </row>
    <row r="1509" spans="1:39" hidden="1" x14ac:dyDescent="0.25">
      <c r="A1509">
        <v>1505</v>
      </c>
      <c r="B1509">
        <v>26</v>
      </c>
      <c r="C1509" s="24">
        <v>44824</v>
      </c>
      <c r="D1509" s="238" t="s">
        <v>27</v>
      </c>
      <c r="E1509" s="238" t="s">
        <v>6</v>
      </c>
      <c r="F1509">
        <v>5</v>
      </c>
      <c r="G1509">
        <v>4</v>
      </c>
      <c r="H1509">
        <v>23</v>
      </c>
      <c r="I1509" s="238" t="s">
        <v>4052</v>
      </c>
      <c r="J1509">
        <v>24.47</v>
      </c>
      <c r="K1509" s="238" t="s">
        <v>38</v>
      </c>
      <c r="L1509">
        <v>2588920.13</v>
      </c>
      <c r="M1509">
        <v>0</v>
      </c>
      <c r="N1509">
        <v>2588920.13</v>
      </c>
      <c r="O1509">
        <v>105799.76011442582</v>
      </c>
      <c r="P1509">
        <v>538340</v>
      </c>
      <c r="Q1509">
        <v>2050580.13</v>
      </c>
      <c r="R1509">
        <v>83799.760114425822</v>
      </c>
      <c r="S1509" s="238" t="s">
        <v>137</v>
      </c>
      <c r="T1509" s="238" t="s">
        <v>1167</v>
      </c>
      <c r="V1509" t="s">
        <v>4091</v>
      </c>
      <c r="W1509" s="24">
        <v>44823</v>
      </c>
      <c r="X1509" s="238" t="s">
        <v>3487</v>
      </c>
      <c r="Y1509" s="238" t="s">
        <v>39</v>
      </c>
      <c r="Z1509" s="238" t="s">
        <v>1340</v>
      </c>
      <c r="AA1509" t="s">
        <v>1167</v>
      </c>
      <c r="AB1509" s="238" t="s">
        <v>3246</v>
      </c>
      <c r="AC1509" t="s">
        <v>3079</v>
      </c>
      <c r="AD1509" s="24"/>
      <c r="AE1509" s="238" t="s">
        <v>3488</v>
      </c>
      <c r="AF1509">
        <v>79047452847</v>
      </c>
      <c r="AG1509" s="238" t="s">
        <v>3489</v>
      </c>
      <c r="AH1509" s="238" t="s">
        <v>1212</v>
      </c>
      <c r="AI1509" s="238" t="s">
        <v>135</v>
      </c>
      <c r="AJ1509" s="238" t="s">
        <v>120</v>
      </c>
      <c r="AK1509" s="238" t="s">
        <v>141</v>
      </c>
      <c r="AL1509" t="s">
        <v>8715</v>
      </c>
      <c r="AM1509" t="s">
        <v>3663</v>
      </c>
    </row>
    <row r="1510" spans="1:39" hidden="1" x14ac:dyDescent="0.25">
      <c r="A1510">
        <v>1506</v>
      </c>
      <c r="B1510">
        <v>27</v>
      </c>
      <c r="C1510" s="24">
        <v>44825</v>
      </c>
      <c r="D1510" s="238" t="s">
        <v>27</v>
      </c>
      <c r="E1510" s="238" t="s">
        <v>14</v>
      </c>
      <c r="F1510">
        <v>3</v>
      </c>
      <c r="G1510">
        <v>22</v>
      </c>
      <c r="H1510">
        <v>809</v>
      </c>
      <c r="I1510" s="238" t="s">
        <v>4052</v>
      </c>
      <c r="J1510">
        <v>24.37</v>
      </c>
      <c r="K1510" s="238" t="s">
        <v>37</v>
      </c>
      <c r="L1510">
        <v>2242268.9</v>
      </c>
      <c r="M1510">
        <v>0</v>
      </c>
      <c r="N1510">
        <v>2242268.9</v>
      </c>
      <c r="O1510">
        <v>92009.392695937626</v>
      </c>
      <c r="P1510">
        <v>182775</v>
      </c>
      <c r="Q1510">
        <v>2059493.9</v>
      </c>
      <c r="R1510">
        <v>84509.392695937626</v>
      </c>
      <c r="S1510" s="238" t="s">
        <v>137</v>
      </c>
      <c r="T1510" s="238" t="s">
        <v>324</v>
      </c>
      <c r="U1510">
        <v>55555</v>
      </c>
      <c r="V1510" t="s">
        <v>4091</v>
      </c>
      <c r="W1510" s="24">
        <v>44817</v>
      </c>
      <c r="X1510" s="238" t="s">
        <v>3490</v>
      </c>
      <c r="Y1510" s="238" t="s">
        <v>39</v>
      </c>
      <c r="Z1510" s="238" t="s">
        <v>1340</v>
      </c>
      <c r="AA1510" t="s">
        <v>1167</v>
      </c>
      <c r="AB1510" s="238" t="s">
        <v>3246</v>
      </c>
      <c r="AC1510" t="s">
        <v>3079</v>
      </c>
      <c r="AD1510" s="24"/>
      <c r="AE1510" s="238" t="s">
        <v>3491</v>
      </c>
      <c r="AF1510">
        <v>79279572933</v>
      </c>
      <c r="AG1510" s="238" t="s">
        <v>3492</v>
      </c>
      <c r="AH1510" s="238" t="s">
        <v>1212</v>
      </c>
      <c r="AI1510" s="238" t="s">
        <v>3093</v>
      </c>
      <c r="AJ1510" s="238" t="s">
        <v>399</v>
      </c>
      <c r="AK1510" s="238" t="s">
        <v>3345</v>
      </c>
      <c r="AL1510" t="s">
        <v>8715</v>
      </c>
      <c r="AM1510" t="s">
        <v>3663</v>
      </c>
    </row>
    <row r="1511" spans="1:39" hidden="1" x14ac:dyDescent="0.25">
      <c r="A1511">
        <v>1507</v>
      </c>
      <c r="B1511">
        <v>28</v>
      </c>
      <c r="C1511" s="24">
        <v>44826</v>
      </c>
      <c r="D1511" s="238" t="s">
        <v>91</v>
      </c>
      <c r="E1511" s="238" t="s">
        <v>16</v>
      </c>
      <c r="F1511">
        <v>4</v>
      </c>
      <c r="G1511">
        <v>16</v>
      </c>
      <c r="H1511">
        <v>342</v>
      </c>
      <c r="I1511" s="238" t="s">
        <v>43</v>
      </c>
      <c r="J1511">
        <v>58.55</v>
      </c>
      <c r="K1511" s="238" t="s">
        <v>36</v>
      </c>
      <c r="L1511">
        <v>4219766.42</v>
      </c>
      <c r="M1511">
        <v>0</v>
      </c>
      <c r="N1511">
        <v>4219766.42</v>
      </c>
      <c r="O1511">
        <v>72071.160034158835</v>
      </c>
      <c r="P1511">
        <v>0</v>
      </c>
      <c r="Q1511">
        <v>4219766.42</v>
      </c>
      <c r="R1511">
        <v>72071.160034158835</v>
      </c>
      <c r="S1511" s="238" t="s">
        <v>124</v>
      </c>
      <c r="T1511" s="238" t="s">
        <v>1167</v>
      </c>
      <c r="V1511" t="s">
        <v>1167</v>
      </c>
      <c r="W1511" s="24">
        <v>44821</v>
      </c>
      <c r="X1511" s="238" t="s">
        <v>3493</v>
      </c>
      <c r="Y1511" s="238" t="s">
        <v>39</v>
      </c>
      <c r="Z1511" s="238" t="s">
        <v>1340</v>
      </c>
      <c r="AA1511" t="s">
        <v>1167</v>
      </c>
      <c r="AB1511" s="238" t="s">
        <v>3246</v>
      </c>
      <c r="AC1511" t="s">
        <v>1167</v>
      </c>
      <c r="AD1511" s="24"/>
      <c r="AE1511" s="238" t="s">
        <v>3494</v>
      </c>
      <c r="AF1511">
        <v>79214426924</v>
      </c>
      <c r="AG1511" s="238" t="s">
        <v>3495</v>
      </c>
      <c r="AH1511" s="238" t="s">
        <v>1171</v>
      </c>
      <c r="AI1511" s="238" t="s">
        <v>3074</v>
      </c>
      <c r="AJ1511" s="238" t="s">
        <v>120</v>
      </c>
      <c r="AK1511" s="238" t="s">
        <v>1167</v>
      </c>
      <c r="AL1511" t="s">
        <v>8715</v>
      </c>
      <c r="AM1511" t="s">
        <v>1167</v>
      </c>
    </row>
    <row r="1512" spans="1:39" hidden="1" x14ac:dyDescent="0.25">
      <c r="A1512">
        <v>1508</v>
      </c>
      <c r="B1512">
        <v>29</v>
      </c>
      <c r="C1512" s="24">
        <v>44826</v>
      </c>
      <c r="D1512" s="238" t="s">
        <v>27</v>
      </c>
      <c r="E1512" s="238" t="s">
        <v>6</v>
      </c>
      <c r="F1512">
        <v>4</v>
      </c>
      <c r="G1512">
        <v>3</v>
      </c>
      <c r="H1512">
        <v>13</v>
      </c>
      <c r="I1512" s="238" t="s">
        <v>4052</v>
      </c>
      <c r="J1512">
        <v>24.39</v>
      </c>
      <c r="K1512" s="238" t="s">
        <v>37</v>
      </c>
      <c r="L1512">
        <v>2288411.9900000002</v>
      </c>
      <c r="M1512">
        <v>0</v>
      </c>
      <c r="N1512">
        <v>2288411.9900000002</v>
      </c>
      <c r="O1512">
        <v>93825.829848298483</v>
      </c>
      <c r="P1512">
        <v>182925</v>
      </c>
      <c r="Q1512">
        <v>2105486.9900000002</v>
      </c>
      <c r="R1512">
        <v>86325.829848298497</v>
      </c>
      <c r="S1512" s="238" t="s">
        <v>137</v>
      </c>
      <c r="T1512" s="238" t="s">
        <v>1167</v>
      </c>
      <c r="V1512" t="s">
        <v>4091</v>
      </c>
      <c r="W1512" s="24">
        <v>44824</v>
      </c>
      <c r="X1512" s="238" t="s">
        <v>3496</v>
      </c>
      <c r="Y1512" s="238" t="s">
        <v>39</v>
      </c>
      <c r="Z1512" s="238" t="s">
        <v>1340</v>
      </c>
      <c r="AA1512" t="s">
        <v>1167</v>
      </c>
      <c r="AB1512" s="238" t="s">
        <v>3246</v>
      </c>
      <c r="AC1512" t="s">
        <v>3079</v>
      </c>
      <c r="AD1512" s="24"/>
      <c r="AE1512" s="238" t="s">
        <v>3497</v>
      </c>
      <c r="AF1512">
        <v>79966196521</v>
      </c>
      <c r="AG1512" s="238" t="s">
        <v>3498</v>
      </c>
      <c r="AH1512" s="238" t="s">
        <v>1171</v>
      </c>
      <c r="AI1512" s="238" t="s">
        <v>135</v>
      </c>
      <c r="AJ1512" s="238" t="s">
        <v>130</v>
      </c>
      <c r="AK1512" s="238" t="s">
        <v>141</v>
      </c>
      <c r="AL1512" t="s">
        <v>8715</v>
      </c>
      <c r="AM1512" t="s">
        <v>3663</v>
      </c>
    </row>
    <row r="1513" spans="1:39" hidden="1" x14ac:dyDescent="0.25">
      <c r="A1513">
        <v>1509</v>
      </c>
      <c r="B1513">
        <v>30</v>
      </c>
      <c r="C1513" s="24">
        <v>44826</v>
      </c>
      <c r="D1513" s="238" t="s">
        <v>27</v>
      </c>
      <c r="E1513" s="238" t="s">
        <v>16</v>
      </c>
      <c r="F1513">
        <v>5</v>
      </c>
      <c r="G1513">
        <v>4</v>
      </c>
      <c r="H1513">
        <v>412</v>
      </c>
      <c r="I1513" s="238" t="s">
        <v>4052</v>
      </c>
      <c r="J1513">
        <v>23.63</v>
      </c>
      <c r="K1513" s="238" t="s">
        <v>36</v>
      </c>
      <c r="L1513">
        <v>2051744.69</v>
      </c>
      <c r="M1513">
        <v>0</v>
      </c>
      <c r="N1513">
        <v>2051744.69</v>
      </c>
      <c r="O1513">
        <v>86827.959796868396</v>
      </c>
      <c r="P1513">
        <v>0</v>
      </c>
      <c r="Q1513">
        <v>2051744.69</v>
      </c>
      <c r="R1513">
        <v>86827.959796868396</v>
      </c>
      <c r="S1513" s="238" t="s">
        <v>137</v>
      </c>
      <c r="T1513" s="238" t="s">
        <v>1167</v>
      </c>
      <c r="V1513" t="s">
        <v>4091</v>
      </c>
      <c r="W1513" s="24">
        <v>44825</v>
      </c>
      <c r="X1513" s="238" t="s">
        <v>3499</v>
      </c>
      <c r="Y1513" s="238" t="s">
        <v>39</v>
      </c>
      <c r="Z1513" s="238" t="s">
        <v>1340</v>
      </c>
      <c r="AA1513" t="s">
        <v>1167</v>
      </c>
      <c r="AB1513" s="238" t="s">
        <v>3246</v>
      </c>
      <c r="AC1513" t="s">
        <v>3079</v>
      </c>
      <c r="AD1513" s="24"/>
      <c r="AE1513" s="238" t="s">
        <v>3500</v>
      </c>
      <c r="AF1513">
        <v>79155731257</v>
      </c>
      <c r="AG1513" s="238" t="s">
        <v>3501</v>
      </c>
      <c r="AH1513" s="238" t="s">
        <v>146</v>
      </c>
      <c r="AI1513" s="238" t="s">
        <v>135</v>
      </c>
      <c r="AJ1513" s="238" t="s">
        <v>399</v>
      </c>
      <c r="AK1513" s="238" t="s">
        <v>3345</v>
      </c>
      <c r="AL1513" t="s">
        <v>8715</v>
      </c>
      <c r="AM1513" t="s">
        <v>3663</v>
      </c>
    </row>
    <row r="1514" spans="1:39" hidden="1" x14ac:dyDescent="0.25">
      <c r="A1514">
        <v>1510</v>
      </c>
      <c r="B1514">
        <v>31</v>
      </c>
      <c r="C1514" s="24">
        <v>44827</v>
      </c>
      <c r="D1514" s="238" t="s">
        <v>27</v>
      </c>
      <c r="E1514" s="238" t="s">
        <v>6</v>
      </c>
      <c r="F1514">
        <v>4</v>
      </c>
      <c r="G1514">
        <v>19</v>
      </c>
      <c r="H1514">
        <v>157</v>
      </c>
      <c r="I1514" s="238" t="s">
        <v>4052</v>
      </c>
      <c r="J1514">
        <v>24.39</v>
      </c>
      <c r="K1514" s="238" t="s">
        <v>38</v>
      </c>
      <c r="L1514">
        <v>2641417</v>
      </c>
      <c r="M1514">
        <v>0</v>
      </c>
      <c r="N1514">
        <v>2641417</v>
      </c>
      <c r="O1514">
        <v>108299.17999179992</v>
      </c>
      <c r="P1514">
        <v>536580.00000000047</v>
      </c>
      <c r="Q1514">
        <v>2104836.9999999995</v>
      </c>
      <c r="R1514">
        <v>86299.179991799901</v>
      </c>
      <c r="S1514" s="238" t="s">
        <v>137</v>
      </c>
      <c r="T1514" s="238" t="s">
        <v>1167</v>
      </c>
      <c r="V1514" t="s">
        <v>4092</v>
      </c>
      <c r="W1514" s="24">
        <v>44823</v>
      </c>
      <c r="X1514" s="238" t="s">
        <v>3502</v>
      </c>
      <c r="Y1514" s="238" t="s">
        <v>39</v>
      </c>
      <c r="Z1514" s="238" t="s">
        <v>1340</v>
      </c>
      <c r="AA1514" t="s">
        <v>1167</v>
      </c>
      <c r="AB1514" s="238" t="s">
        <v>3246</v>
      </c>
      <c r="AC1514" t="s">
        <v>3079</v>
      </c>
      <c r="AD1514" s="24"/>
      <c r="AE1514" s="238" t="s">
        <v>3503</v>
      </c>
      <c r="AF1514">
        <v>79613812481</v>
      </c>
      <c r="AG1514" s="238" t="s">
        <v>3504</v>
      </c>
      <c r="AH1514" s="238" t="s">
        <v>1212</v>
      </c>
      <c r="AI1514" s="238" t="s">
        <v>3098</v>
      </c>
      <c r="AJ1514" s="238" t="s">
        <v>120</v>
      </c>
      <c r="AK1514" s="238" t="s">
        <v>3345</v>
      </c>
      <c r="AL1514" t="s">
        <v>8715</v>
      </c>
      <c r="AM1514" t="s">
        <v>1167</v>
      </c>
    </row>
    <row r="1515" spans="1:39" hidden="1" x14ac:dyDescent="0.25">
      <c r="A1515">
        <v>1511</v>
      </c>
      <c r="B1515">
        <v>32</v>
      </c>
      <c r="C1515" s="24">
        <v>44827</v>
      </c>
      <c r="D1515" s="238" t="s">
        <v>27</v>
      </c>
      <c r="E1515" s="238" t="s">
        <v>14</v>
      </c>
      <c r="F1515">
        <v>7</v>
      </c>
      <c r="G1515">
        <v>15</v>
      </c>
      <c r="H1515">
        <v>755</v>
      </c>
      <c r="I1515" s="238" t="s">
        <v>42</v>
      </c>
      <c r="J1515">
        <v>38.909999999999997</v>
      </c>
      <c r="K1515" s="238" t="s">
        <v>36</v>
      </c>
      <c r="L1515">
        <v>3238047.01</v>
      </c>
      <c r="M1515">
        <v>0</v>
      </c>
      <c r="N1515">
        <v>3238047.01</v>
      </c>
      <c r="O1515">
        <v>83218.890002570028</v>
      </c>
      <c r="P1515">
        <v>0</v>
      </c>
      <c r="Q1515">
        <v>3238047.01</v>
      </c>
      <c r="R1515">
        <v>83218.890002570028</v>
      </c>
      <c r="S1515" s="238" t="s">
        <v>137</v>
      </c>
      <c r="T1515" s="238" t="s">
        <v>1167</v>
      </c>
      <c r="V1515" t="s">
        <v>4091</v>
      </c>
      <c r="W1515" s="24">
        <v>44825</v>
      </c>
      <c r="X1515" s="238" t="s">
        <v>3505</v>
      </c>
      <c r="Y1515" s="238" t="s">
        <v>39</v>
      </c>
      <c r="Z1515" s="238" t="s">
        <v>1340</v>
      </c>
      <c r="AA1515" t="s">
        <v>1167</v>
      </c>
      <c r="AB1515" s="238" t="s">
        <v>3246</v>
      </c>
      <c r="AC1515" t="s">
        <v>3079</v>
      </c>
      <c r="AD1515" s="24"/>
      <c r="AE1515" s="238" t="s">
        <v>3506</v>
      </c>
      <c r="AF1515">
        <v>79058840061</v>
      </c>
      <c r="AG1515" s="238" t="s">
        <v>3507</v>
      </c>
      <c r="AH1515" s="238" t="s">
        <v>1171</v>
      </c>
      <c r="AI1515" s="238" t="s">
        <v>135</v>
      </c>
      <c r="AJ1515" s="238" t="s">
        <v>399</v>
      </c>
      <c r="AK1515" s="238" t="s">
        <v>3345</v>
      </c>
      <c r="AL1515" t="s">
        <v>8715</v>
      </c>
      <c r="AM1515" t="s">
        <v>3663</v>
      </c>
    </row>
    <row r="1516" spans="1:39" hidden="1" x14ac:dyDescent="0.25">
      <c r="A1516">
        <v>1512</v>
      </c>
      <c r="B1516">
        <v>33</v>
      </c>
      <c r="C1516" s="24">
        <v>44827</v>
      </c>
      <c r="D1516" s="238" t="s">
        <v>27</v>
      </c>
      <c r="E1516" s="238" t="s">
        <v>14</v>
      </c>
      <c r="F1516">
        <v>7</v>
      </c>
      <c r="G1516">
        <v>16</v>
      </c>
      <c r="H1516">
        <v>764</v>
      </c>
      <c r="I1516" s="238" t="s">
        <v>42</v>
      </c>
      <c r="J1516">
        <v>38.909999999999997</v>
      </c>
      <c r="K1516" s="238" t="s">
        <v>37</v>
      </c>
      <c r="L1516">
        <v>3320865.39</v>
      </c>
      <c r="M1516">
        <v>0</v>
      </c>
      <c r="N1516">
        <v>3320865.39</v>
      </c>
      <c r="O1516">
        <v>85347.350038550518</v>
      </c>
      <c r="P1516">
        <v>291825.00000000047</v>
      </c>
      <c r="Q1516">
        <v>3029040.3899999997</v>
      </c>
      <c r="R1516">
        <v>77847.350038550503</v>
      </c>
      <c r="S1516" s="238" t="s">
        <v>137</v>
      </c>
      <c r="T1516" s="238" t="s">
        <v>1167</v>
      </c>
      <c r="V1516" t="s">
        <v>4091</v>
      </c>
      <c r="W1516" s="24">
        <v>44826</v>
      </c>
      <c r="X1516" s="238" t="s">
        <v>3508</v>
      </c>
      <c r="Y1516" s="238" t="s">
        <v>39</v>
      </c>
      <c r="Z1516" s="238" t="s">
        <v>1340</v>
      </c>
      <c r="AA1516" t="s">
        <v>1167</v>
      </c>
      <c r="AB1516" s="238" t="s">
        <v>3246</v>
      </c>
      <c r="AC1516" t="s">
        <v>3079</v>
      </c>
      <c r="AD1516" s="24"/>
      <c r="AE1516" s="238" t="s">
        <v>3509</v>
      </c>
      <c r="AF1516">
        <v>79276986264</v>
      </c>
      <c r="AG1516" s="238" t="s">
        <v>3510</v>
      </c>
      <c r="AH1516" s="238" t="s">
        <v>1171</v>
      </c>
      <c r="AI1516" s="238" t="s">
        <v>135</v>
      </c>
      <c r="AJ1516" s="238" t="s">
        <v>120</v>
      </c>
      <c r="AK1516" s="238" t="s">
        <v>3345</v>
      </c>
      <c r="AL1516" t="s">
        <v>8715</v>
      </c>
      <c r="AM1516" t="s">
        <v>3663</v>
      </c>
    </row>
    <row r="1517" spans="1:39" hidden="1" x14ac:dyDescent="0.25">
      <c r="A1517">
        <v>1513</v>
      </c>
      <c r="B1517">
        <v>34</v>
      </c>
      <c r="C1517" s="24">
        <v>44827</v>
      </c>
      <c r="D1517" s="238" t="s">
        <v>27</v>
      </c>
      <c r="E1517" s="238" t="s">
        <v>6</v>
      </c>
      <c r="F1517">
        <v>2</v>
      </c>
      <c r="G1517">
        <v>20</v>
      </c>
      <c r="H1517">
        <v>164</v>
      </c>
      <c r="I1517" s="238" t="s">
        <v>42</v>
      </c>
      <c r="J1517">
        <v>37.94</v>
      </c>
      <c r="K1517" s="238" t="s">
        <v>36</v>
      </c>
      <c r="L1517">
        <v>3159617.78</v>
      </c>
      <c r="M1517">
        <v>0</v>
      </c>
      <c r="N1517">
        <v>3159617.78</v>
      </c>
      <c r="O1517">
        <v>83279.329994728512</v>
      </c>
      <c r="P1517">
        <v>0</v>
      </c>
      <c r="Q1517">
        <v>3159617.78</v>
      </c>
      <c r="R1517">
        <v>83279.329994728512</v>
      </c>
      <c r="S1517" s="238" t="s">
        <v>137</v>
      </c>
      <c r="T1517" s="238" t="s">
        <v>1167</v>
      </c>
      <c r="V1517" t="s">
        <v>4091</v>
      </c>
      <c r="W1517" s="24">
        <v>44819</v>
      </c>
      <c r="X1517" s="238" t="s">
        <v>3511</v>
      </c>
      <c r="Y1517" s="238" t="s">
        <v>39</v>
      </c>
      <c r="Z1517" s="238" t="s">
        <v>1340</v>
      </c>
      <c r="AA1517" t="s">
        <v>1167</v>
      </c>
      <c r="AB1517" s="238" t="s">
        <v>3246</v>
      </c>
      <c r="AC1517" t="s">
        <v>3079</v>
      </c>
      <c r="AD1517" s="24"/>
      <c r="AE1517" s="238" t="s">
        <v>3512</v>
      </c>
      <c r="AF1517">
        <v>79397176539</v>
      </c>
      <c r="AG1517" s="238" t="s">
        <v>3513</v>
      </c>
      <c r="AH1517" s="238" t="s">
        <v>1171</v>
      </c>
      <c r="AI1517" s="238" t="s">
        <v>3514</v>
      </c>
      <c r="AJ1517" s="238" t="s">
        <v>130</v>
      </c>
      <c r="AK1517" s="238" t="s">
        <v>141</v>
      </c>
      <c r="AL1517" t="s">
        <v>8715</v>
      </c>
      <c r="AM1517" t="s">
        <v>3663</v>
      </c>
    </row>
    <row r="1518" spans="1:39" hidden="1" x14ac:dyDescent="0.25">
      <c r="A1518">
        <v>1514</v>
      </c>
      <c r="B1518">
        <v>35</v>
      </c>
      <c r="C1518" s="24">
        <v>44831</v>
      </c>
      <c r="D1518" s="238" t="s">
        <v>27</v>
      </c>
      <c r="E1518" s="238" t="s">
        <v>14</v>
      </c>
      <c r="F1518">
        <v>5</v>
      </c>
      <c r="G1518">
        <v>17</v>
      </c>
      <c r="H1518">
        <v>771</v>
      </c>
      <c r="I1518" s="238" t="s">
        <v>43</v>
      </c>
      <c r="J1518">
        <v>61.96</v>
      </c>
      <c r="K1518" s="238" t="s">
        <v>36</v>
      </c>
      <c r="L1518">
        <v>4568347.1500000004</v>
      </c>
      <c r="M1518">
        <v>0</v>
      </c>
      <c r="N1518">
        <v>4568347.1500000004</v>
      </c>
      <c r="O1518">
        <v>73730.586668818592</v>
      </c>
      <c r="P1518">
        <v>0</v>
      </c>
      <c r="Q1518">
        <v>4568347.1500000004</v>
      </c>
      <c r="R1518">
        <v>73730.586668818592</v>
      </c>
      <c r="S1518" s="238" t="s">
        <v>137</v>
      </c>
      <c r="T1518" s="238" t="s">
        <v>3515</v>
      </c>
      <c r="U1518">
        <v>120000</v>
      </c>
      <c r="V1518" t="s">
        <v>4091</v>
      </c>
      <c r="W1518" s="24">
        <v>44819</v>
      </c>
      <c r="X1518" s="238" t="s">
        <v>3516</v>
      </c>
      <c r="Y1518" s="238" t="s">
        <v>39</v>
      </c>
      <c r="Z1518" s="238" t="s">
        <v>1340</v>
      </c>
      <c r="AA1518" t="s">
        <v>1167</v>
      </c>
      <c r="AB1518" s="238" t="s">
        <v>3246</v>
      </c>
      <c r="AC1518" t="s">
        <v>3079</v>
      </c>
      <c r="AD1518" s="24"/>
      <c r="AE1518" s="238" t="s">
        <v>3517</v>
      </c>
      <c r="AF1518">
        <v>79276871573</v>
      </c>
      <c r="AG1518" s="238" t="s">
        <v>3518</v>
      </c>
      <c r="AH1518" s="238" t="s">
        <v>1171</v>
      </c>
      <c r="AI1518" s="238" t="s">
        <v>135</v>
      </c>
      <c r="AJ1518" s="238" t="s">
        <v>130</v>
      </c>
      <c r="AK1518" s="238" t="s">
        <v>141</v>
      </c>
      <c r="AL1518" t="s">
        <v>8715</v>
      </c>
      <c r="AM1518" t="s">
        <v>1167</v>
      </c>
    </row>
    <row r="1519" spans="1:39" hidden="1" x14ac:dyDescent="0.25">
      <c r="A1519">
        <v>1515</v>
      </c>
      <c r="B1519">
        <v>36</v>
      </c>
      <c r="C1519" s="24">
        <v>44831</v>
      </c>
      <c r="D1519" s="238" t="s">
        <v>27</v>
      </c>
      <c r="E1519" s="238" t="s">
        <v>6</v>
      </c>
      <c r="F1519">
        <v>6</v>
      </c>
      <c r="G1519">
        <v>22</v>
      </c>
      <c r="H1519">
        <v>186</v>
      </c>
      <c r="I1519" s="238" t="s">
        <v>43</v>
      </c>
      <c r="J1519">
        <v>54.67</v>
      </c>
      <c r="K1519" s="238" t="s">
        <v>37</v>
      </c>
      <c r="L1519">
        <v>4473352.5199999996</v>
      </c>
      <c r="M1519">
        <v>0</v>
      </c>
      <c r="N1519">
        <v>4473352.5199999996</v>
      </c>
      <c r="O1519">
        <v>81824.629961587692</v>
      </c>
      <c r="P1519">
        <v>410024.99999999953</v>
      </c>
      <c r="Q1519">
        <v>4063327.52</v>
      </c>
      <c r="R1519">
        <v>74324.629961587707</v>
      </c>
      <c r="S1519" s="238" t="s">
        <v>137</v>
      </c>
      <c r="T1519" s="238" t="s">
        <v>1167</v>
      </c>
      <c r="V1519" t="s">
        <v>4091</v>
      </c>
      <c r="W1519" s="24">
        <v>44827</v>
      </c>
      <c r="X1519" s="238" t="s">
        <v>3519</v>
      </c>
      <c r="Y1519" s="238" t="s">
        <v>39</v>
      </c>
      <c r="Z1519" s="238" t="s">
        <v>1340</v>
      </c>
      <c r="AA1519" t="s">
        <v>1167</v>
      </c>
      <c r="AB1519" s="238" t="s">
        <v>3246</v>
      </c>
      <c r="AC1519" t="s">
        <v>3079</v>
      </c>
      <c r="AD1519" s="24"/>
      <c r="AE1519" s="238" t="s">
        <v>3520</v>
      </c>
      <c r="AF1519">
        <v>79608236392</v>
      </c>
      <c r="AG1519" s="238" t="s">
        <v>3521</v>
      </c>
      <c r="AH1519" s="238" t="s">
        <v>1212</v>
      </c>
      <c r="AI1519" s="238" t="s">
        <v>135</v>
      </c>
      <c r="AJ1519" s="238" t="s">
        <v>130</v>
      </c>
      <c r="AK1519" s="238" t="s">
        <v>3345</v>
      </c>
      <c r="AL1519" t="s">
        <v>8715</v>
      </c>
      <c r="AM1519" t="s">
        <v>3663</v>
      </c>
    </row>
    <row r="1520" spans="1:39" hidden="1" x14ac:dyDescent="0.25">
      <c r="A1520">
        <v>1516</v>
      </c>
      <c r="B1520">
        <v>37</v>
      </c>
      <c r="C1520" s="24">
        <v>44831</v>
      </c>
      <c r="D1520" s="238" t="s">
        <v>27</v>
      </c>
      <c r="E1520" s="238" t="s">
        <v>14</v>
      </c>
      <c r="F1520">
        <v>3</v>
      </c>
      <c r="G1520">
        <v>11</v>
      </c>
      <c r="H1520">
        <v>715</v>
      </c>
      <c r="I1520" s="238" t="s">
        <v>43</v>
      </c>
      <c r="J1520">
        <v>56.33</v>
      </c>
      <c r="K1520" s="238" t="s">
        <v>38</v>
      </c>
      <c r="L1520">
        <v>5708818.4900000002</v>
      </c>
      <c r="M1520">
        <v>0</v>
      </c>
      <c r="N1520">
        <v>5708818.4900000002</v>
      </c>
      <c r="O1520">
        <v>101345.96999822475</v>
      </c>
      <c r="P1520">
        <v>1239260</v>
      </c>
      <c r="Q1520">
        <v>4469558.49</v>
      </c>
      <c r="R1520">
        <v>79345.969998224755</v>
      </c>
      <c r="S1520" s="238" t="s">
        <v>137</v>
      </c>
      <c r="T1520" s="238" t="s">
        <v>1167</v>
      </c>
      <c r="V1520" t="s">
        <v>4091</v>
      </c>
      <c r="W1520" s="24">
        <v>44831</v>
      </c>
      <c r="X1520" s="238" t="s">
        <v>3522</v>
      </c>
      <c r="Y1520" s="238" t="s">
        <v>39</v>
      </c>
      <c r="Z1520" s="238" t="s">
        <v>1340</v>
      </c>
      <c r="AA1520" t="s">
        <v>1167</v>
      </c>
      <c r="AB1520" s="238" t="s">
        <v>3246</v>
      </c>
      <c r="AC1520" t="s">
        <v>3079</v>
      </c>
      <c r="AD1520" s="24"/>
      <c r="AE1520" s="238" t="s">
        <v>3523</v>
      </c>
      <c r="AF1520">
        <v>79093234535</v>
      </c>
      <c r="AG1520" s="238" t="s">
        <v>3524</v>
      </c>
      <c r="AH1520" s="238" t="s">
        <v>1212</v>
      </c>
      <c r="AI1520" s="238" t="s">
        <v>135</v>
      </c>
      <c r="AJ1520" s="238" t="s">
        <v>399</v>
      </c>
      <c r="AK1520" s="238" t="s">
        <v>141</v>
      </c>
      <c r="AL1520" t="s">
        <v>8715</v>
      </c>
      <c r="AM1520" t="s">
        <v>3663</v>
      </c>
    </row>
    <row r="1521" spans="1:39" hidden="1" x14ac:dyDescent="0.25">
      <c r="A1521">
        <v>1517</v>
      </c>
      <c r="B1521">
        <v>38</v>
      </c>
      <c r="C1521" s="24">
        <v>44834</v>
      </c>
      <c r="D1521" s="238" t="s">
        <v>27</v>
      </c>
      <c r="E1521" s="238" t="s">
        <v>6</v>
      </c>
      <c r="F1521">
        <v>9</v>
      </c>
      <c r="G1521">
        <v>19</v>
      </c>
      <c r="H1521">
        <v>162</v>
      </c>
      <c r="I1521" s="238" t="s">
        <v>42</v>
      </c>
      <c r="J1521">
        <v>37.94</v>
      </c>
      <c r="K1521" s="238" t="s">
        <v>38</v>
      </c>
      <c r="L1521">
        <v>3881077.61</v>
      </c>
      <c r="M1521">
        <v>0</v>
      </c>
      <c r="N1521">
        <v>3881077.61</v>
      </c>
      <c r="O1521">
        <v>102295.13995782816</v>
      </c>
      <c r="P1521">
        <v>834679.99999999814</v>
      </c>
      <c r="Q1521">
        <v>3046397.6100000017</v>
      </c>
      <c r="R1521">
        <v>80295.1399578282</v>
      </c>
      <c r="S1521" s="238" t="s">
        <v>137</v>
      </c>
      <c r="T1521" s="238" t="s">
        <v>1167</v>
      </c>
      <c r="V1521" t="s">
        <v>4091</v>
      </c>
      <c r="W1521" s="24">
        <v>44811</v>
      </c>
      <c r="X1521" s="238" t="s">
        <v>3525</v>
      </c>
      <c r="Y1521" s="238" t="s">
        <v>39</v>
      </c>
      <c r="Z1521" s="238" t="s">
        <v>1340</v>
      </c>
      <c r="AA1521" t="s">
        <v>3113</v>
      </c>
      <c r="AB1521" s="238" t="s">
        <v>3246</v>
      </c>
      <c r="AC1521" t="s">
        <v>3079</v>
      </c>
      <c r="AD1521" s="24"/>
      <c r="AE1521" s="238" t="s">
        <v>3526</v>
      </c>
      <c r="AF1521">
        <v>79397561510</v>
      </c>
      <c r="AG1521" s="238" t="s">
        <v>3527</v>
      </c>
      <c r="AH1521" s="238" t="s">
        <v>146</v>
      </c>
      <c r="AI1521" s="238" t="s">
        <v>135</v>
      </c>
      <c r="AJ1521" s="238" t="s">
        <v>399</v>
      </c>
      <c r="AK1521" s="238" t="s">
        <v>3345</v>
      </c>
      <c r="AL1521" t="s">
        <v>8715</v>
      </c>
      <c r="AM1521" t="s">
        <v>3663</v>
      </c>
    </row>
    <row r="1522" spans="1:39" hidden="1" x14ac:dyDescent="0.25">
      <c r="A1522">
        <v>1518</v>
      </c>
      <c r="B1522">
        <v>39</v>
      </c>
      <c r="C1522" s="24">
        <v>44834</v>
      </c>
      <c r="D1522" s="238" t="s">
        <v>19</v>
      </c>
      <c r="E1522" s="238" t="s">
        <v>6</v>
      </c>
      <c r="F1522">
        <v>6</v>
      </c>
      <c r="G1522">
        <v>13</v>
      </c>
      <c r="H1522">
        <v>83</v>
      </c>
      <c r="I1522" s="238" t="s">
        <v>43</v>
      </c>
      <c r="J1522">
        <v>61.6</v>
      </c>
      <c r="K1522" s="238" t="s">
        <v>37</v>
      </c>
      <c r="L1522">
        <v>5346880</v>
      </c>
      <c r="M1522">
        <v>0</v>
      </c>
      <c r="N1522">
        <v>5346880</v>
      </c>
      <c r="O1522">
        <v>86800</v>
      </c>
      <c r="P1522">
        <v>338800</v>
      </c>
      <c r="Q1522">
        <v>5008080</v>
      </c>
      <c r="R1522">
        <v>81300</v>
      </c>
      <c r="S1522" s="238" t="s">
        <v>137</v>
      </c>
      <c r="T1522" s="238" t="s">
        <v>3390</v>
      </c>
      <c r="U1522">
        <v>732387.04</v>
      </c>
      <c r="V1522" t="s">
        <v>4091</v>
      </c>
      <c r="W1522" s="24">
        <v>44814</v>
      </c>
      <c r="X1522" s="238" t="s">
        <v>3528</v>
      </c>
      <c r="Y1522" s="238" t="s">
        <v>39</v>
      </c>
      <c r="Z1522" s="238" t="s">
        <v>1340</v>
      </c>
      <c r="AA1522" t="s">
        <v>3113</v>
      </c>
      <c r="AB1522" s="238" t="s">
        <v>3124</v>
      </c>
      <c r="AC1522" t="s">
        <v>3079</v>
      </c>
      <c r="AD1522" s="24"/>
      <c r="AE1522" s="238" t="s">
        <v>3529</v>
      </c>
      <c r="AF1522">
        <v>79297060876</v>
      </c>
      <c r="AG1522" s="238" t="s">
        <v>3530</v>
      </c>
      <c r="AH1522" s="238" t="s">
        <v>1212</v>
      </c>
      <c r="AI1522" s="238" t="s">
        <v>135</v>
      </c>
      <c r="AJ1522" s="238" t="s">
        <v>130</v>
      </c>
      <c r="AK1522" s="238" t="s">
        <v>141</v>
      </c>
      <c r="AL1522" t="s">
        <v>8715</v>
      </c>
      <c r="AM1522" t="s">
        <v>3665</v>
      </c>
    </row>
    <row r="1523" spans="1:39" hidden="1" x14ac:dyDescent="0.25">
      <c r="A1523">
        <v>1519</v>
      </c>
      <c r="B1523">
        <v>40</v>
      </c>
      <c r="C1523" s="24">
        <v>44834</v>
      </c>
      <c r="D1523" s="238" t="s">
        <v>27</v>
      </c>
      <c r="E1523" s="238" t="s">
        <v>6</v>
      </c>
      <c r="F1523">
        <v>5</v>
      </c>
      <c r="G1523">
        <v>2</v>
      </c>
      <c r="H1523">
        <v>5</v>
      </c>
      <c r="I1523" s="238" t="s">
        <v>4052</v>
      </c>
      <c r="J1523">
        <v>24.47</v>
      </c>
      <c r="K1523" s="238" t="s">
        <v>36</v>
      </c>
      <c r="L1523">
        <v>2112363.7000000002</v>
      </c>
      <c r="M1523">
        <v>0</v>
      </c>
      <c r="N1523">
        <v>2112363.7000000002</v>
      </c>
      <c r="O1523">
        <v>86324.630159378838</v>
      </c>
      <c r="P1523">
        <v>0</v>
      </c>
      <c r="Q1523">
        <v>2112363.7000000002</v>
      </c>
      <c r="R1523">
        <v>86324.630159378838</v>
      </c>
      <c r="S1523" s="238" t="s">
        <v>137</v>
      </c>
      <c r="T1523" s="238" t="s">
        <v>1167</v>
      </c>
      <c r="V1523" t="s">
        <v>4091</v>
      </c>
      <c r="W1523" s="24">
        <v>44830</v>
      </c>
      <c r="X1523" s="238" t="s">
        <v>3531</v>
      </c>
      <c r="Y1523" s="238" t="s">
        <v>39</v>
      </c>
      <c r="Z1523" s="238" t="s">
        <v>1340</v>
      </c>
      <c r="AA1523" t="s">
        <v>3113</v>
      </c>
      <c r="AB1523" s="238" t="s">
        <v>3246</v>
      </c>
      <c r="AC1523" t="s">
        <v>3079</v>
      </c>
      <c r="AD1523" s="24"/>
      <c r="AE1523" s="238" t="s">
        <v>3532</v>
      </c>
      <c r="AF1523">
        <v>79022353294</v>
      </c>
      <c r="AG1523" s="238" t="s">
        <v>3533</v>
      </c>
      <c r="AH1523" s="238" t="s">
        <v>137</v>
      </c>
      <c r="AI1523" s="238" t="s">
        <v>3114</v>
      </c>
      <c r="AJ1523" s="238" t="s">
        <v>399</v>
      </c>
      <c r="AK1523" s="238" t="s">
        <v>3345</v>
      </c>
      <c r="AL1523" t="s">
        <v>8715</v>
      </c>
      <c r="AM1523" t="s">
        <v>3663</v>
      </c>
    </row>
    <row r="1524" spans="1:39" hidden="1" x14ac:dyDescent="0.25">
      <c r="A1524">
        <v>1520</v>
      </c>
      <c r="B1524">
        <v>1</v>
      </c>
      <c r="C1524" s="24">
        <v>44835</v>
      </c>
      <c r="D1524" s="238" t="s">
        <v>19</v>
      </c>
      <c r="E1524" s="238" t="s">
        <v>6</v>
      </c>
      <c r="F1524">
        <v>6</v>
      </c>
      <c r="G1524">
        <v>17</v>
      </c>
      <c r="H1524">
        <v>111</v>
      </c>
      <c r="I1524" s="238" t="s">
        <v>43</v>
      </c>
      <c r="J1524">
        <v>61.8</v>
      </c>
      <c r="K1524" s="238" t="s">
        <v>38</v>
      </c>
      <c r="L1524">
        <v>5125500</v>
      </c>
      <c r="M1524">
        <v>0</v>
      </c>
      <c r="N1524">
        <v>5125500</v>
      </c>
      <c r="O1524">
        <v>82936.893203883505</v>
      </c>
      <c r="P1524">
        <v>0</v>
      </c>
      <c r="Q1524">
        <v>5125500</v>
      </c>
      <c r="R1524">
        <v>82936.893203883505</v>
      </c>
      <c r="S1524" s="238" t="s">
        <v>124</v>
      </c>
      <c r="T1524" s="238" t="s">
        <v>1167</v>
      </c>
      <c r="V1524" t="s">
        <v>1167</v>
      </c>
      <c r="W1524" s="24">
        <v>44827</v>
      </c>
      <c r="X1524" s="238" t="s">
        <v>3534</v>
      </c>
      <c r="Y1524" s="238" t="s">
        <v>3247</v>
      </c>
      <c r="Z1524" s="238" t="s">
        <v>1340</v>
      </c>
      <c r="AA1524" t="s">
        <v>1167</v>
      </c>
      <c r="AB1524" s="238" t="s">
        <v>3124</v>
      </c>
      <c r="AC1524" t="s">
        <v>1167</v>
      </c>
      <c r="AD1524" s="24"/>
      <c r="AE1524" s="238" t="s">
        <v>3248</v>
      </c>
      <c r="AG1524" s="238" t="s">
        <v>1167</v>
      </c>
      <c r="AH1524" s="238" t="s">
        <v>1167</v>
      </c>
      <c r="AI1524" s="238" t="s">
        <v>5050</v>
      </c>
      <c r="AJ1524" s="238" t="s">
        <v>982</v>
      </c>
      <c r="AK1524" s="238" t="s">
        <v>1167</v>
      </c>
      <c r="AL1524" t="s">
        <v>8715</v>
      </c>
      <c r="AM1524" t="s">
        <v>1167</v>
      </c>
    </row>
    <row r="1525" spans="1:39" hidden="1" x14ac:dyDescent="0.25">
      <c r="A1525">
        <v>1521</v>
      </c>
      <c r="B1525">
        <v>2</v>
      </c>
      <c r="C1525" s="24">
        <v>44835</v>
      </c>
      <c r="D1525" s="238" t="s">
        <v>19</v>
      </c>
      <c r="E1525" s="238" t="s">
        <v>6</v>
      </c>
      <c r="F1525">
        <v>7</v>
      </c>
      <c r="G1525">
        <v>17</v>
      </c>
      <c r="H1525">
        <v>112</v>
      </c>
      <c r="I1525" s="238" t="s">
        <v>43</v>
      </c>
      <c r="J1525">
        <v>59.8</v>
      </c>
      <c r="K1525" s="238" t="s">
        <v>38</v>
      </c>
      <c r="L1525">
        <v>4955500</v>
      </c>
      <c r="M1525">
        <v>0</v>
      </c>
      <c r="N1525">
        <v>4955500</v>
      </c>
      <c r="O1525">
        <v>82867.892976588628</v>
      </c>
      <c r="P1525">
        <v>0</v>
      </c>
      <c r="Q1525">
        <v>4955500</v>
      </c>
      <c r="R1525">
        <v>82867.892976588628</v>
      </c>
      <c r="S1525" s="238" t="s">
        <v>124</v>
      </c>
      <c r="T1525" s="238" t="s">
        <v>1167</v>
      </c>
      <c r="V1525" t="s">
        <v>1167</v>
      </c>
      <c r="W1525" s="24">
        <v>44827</v>
      </c>
      <c r="X1525" s="238" t="s">
        <v>3534</v>
      </c>
      <c r="Y1525" s="238" t="s">
        <v>3247</v>
      </c>
      <c r="Z1525" s="238" t="s">
        <v>1340</v>
      </c>
      <c r="AA1525" t="s">
        <v>1167</v>
      </c>
      <c r="AB1525" s="238" t="s">
        <v>3124</v>
      </c>
      <c r="AC1525" t="s">
        <v>1167</v>
      </c>
      <c r="AD1525" s="24"/>
      <c r="AE1525" s="238" t="s">
        <v>3248</v>
      </c>
      <c r="AG1525" s="238" t="s">
        <v>1167</v>
      </c>
      <c r="AH1525" s="238" t="s">
        <v>1167</v>
      </c>
      <c r="AI1525" s="238" t="s">
        <v>5050</v>
      </c>
      <c r="AJ1525" s="238" t="s">
        <v>982</v>
      </c>
      <c r="AK1525" s="238" t="s">
        <v>1167</v>
      </c>
      <c r="AL1525" t="s">
        <v>8715</v>
      </c>
      <c r="AM1525" t="s">
        <v>1167</v>
      </c>
    </row>
    <row r="1526" spans="1:39" hidden="1" x14ac:dyDescent="0.25">
      <c r="A1526">
        <v>1522</v>
      </c>
      <c r="B1526">
        <v>3</v>
      </c>
      <c r="C1526" s="24">
        <v>44835</v>
      </c>
      <c r="D1526" s="238" t="s">
        <v>19</v>
      </c>
      <c r="E1526" s="238" t="s">
        <v>6</v>
      </c>
      <c r="F1526">
        <v>6</v>
      </c>
      <c r="G1526">
        <v>18</v>
      </c>
      <c r="H1526">
        <v>118</v>
      </c>
      <c r="I1526" s="238" t="s">
        <v>43</v>
      </c>
      <c r="J1526">
        <v>61.7</v>
      </c>
      <c r="K1526" s="238" t="s">
        <v>38</v>
      </c>
      <c r="L1526">
        <v>5117000</v>
      </c>
      <c r="M1526">
        <v>0</v>
      </c>
      <c r="N1526">
        <v>5117000</v>
      </c>
      <c r="O1526">
        <v>82933.549432739062</v>
      </c>
      <c r="P1526">
        <v>0</v>
      </c>
      <c r="Q1526">
        <v>5117000</v>
      </c>
      <c r="R1526">
        <v>82933.549432739062</v>
      </c>
      <c r="S1526" s="238" t="s">
        <v>124</v>
      </c>
      <c r="T1526" s="238" t="s">
        <v>1167</v>
      </c>
      <c r="V1526" t="s">
        <v>1167</v>
      </c>
      <c r="W1526" s="24">
        <v>44827</v>
      </c>
      <c r="X1526" s="238" t="s">
        <v>3534</v>
      </c>
      <c r="Y1526" s="238" t="s">
        <v>3247</v>
      </c>
      <c r="Z1526" s="238" t="s">
        <v>1340</v>
      </c>
      <c r="AA1526" t="s">
        <v>1167</v>
      </c>
      <c r="AB1526" s="238" t="s">
        <v>3124</v>
      </c>
      <c r="AC1526" t="s">
        <v>1167</v>
      </c>
      <c r="AD1526" s="24"/>
      <c r="AE1526" s="238" t="s">
        <v>3248</v>
      </c>
      <c r="AG1526" s="238" t="s">
        <v>1167</v>
      </c>
      <c r="AH1526" s="238" t="s">
        <v>1167</v>
      </c>
      <c r="AI1526" s="238" t="s">
        <v>5050</v>
      </c>
      <c r="AJ1526" s="238" t="s">
        <v>982</v>
      </c>
      <c r="AK1526" s="238" t="s">
        <v>1167</v>
      </c>
      <c r="AL1526" t="s">
        <v>8715</v>
      </c>
      <c r="AM1526" t="s">
        <v>1167</v>
      </c>
    </row>
    <row r="1527" spans="1:39" hidden="1" x14ac:dyDescent="0.25">
      <c r="A1527">
        <v>1523</v>
      </c>
      <c r="B1527">
        <v>4</v>
      </c>
      <c r="C1527" s="24">
        <v>44835</v>
      </c>
      <c r="D1527" s="238" t="s">
        <v>19</v>
      </c>
      <c r="E1527" s="238" t="s">
        <v>6</v>
      </c>
      <c r="F1527">
        <v>7</v>
      </c>
      <c r="G1527">
        <v>19</v>
      </c>
      <c r="H1527">
        <v>126</v>
      </c>
      <c r="I1527" s="238" t="s">
        <v>43</v>
      </c>
      <c r="J1527">
        <v>59.6</v>
      </c>
      <c r="K1527" s="238" t="s">
        <v>38</v>
      </c>
      <c r="L1527">
        <v>4938500</v>
      </c>
      <c r="M1527">
        <v>0</v>
      </c>
      <c r="N1527">
        <v>4938500</v>
      </c>
      <c r="O1527">
        <v>82860.738255033561</v>
      </c>
      <c r="P1527">
        <v>0</v>
      </c>
      <c r="Q1527">
        <v>4938500</v>
      </c>
      <c r="R1527">
        <v>82860.738255033561</v>
      </c>
      <c r="S1527" s="238" t="s">
        <v>124</v>
      </c>
      <c r="T1527" s="238" t="s">
        <v>1167</v>
      </c>
      <c r="V1527" t="s">
        <v>1167</v>
      </c>
      <c r="W1527" s="24">
        <v>44827</v>
      </c>
      <c r="X1527" s="238" t="s">
        <v>3534</v>
      </c>
      <c r="Y1527" s="238" t="s">
        <v>3247</v>
      </c>
      <c r="Z1527" s="238" t="s">
        <v>1340</v>
      </c>
      <c r="AA1527" t="s">
        <v>1167</v>
      </c>
      <c r="AB1527" s="238" t="s">
        <v>3124</v>
      </c>
      <c r="AC1527" t="s">
        <v>1167</v>
      </c>
      <c r="AD1527" s="24"/>
      <c r="AE1527" s="238" t="s">
        <v>3248</v>
      </c>
      <c r="AG1527" s="238" t="s">
        <v>1167</v>
      </c>
      <c r="AH1527" s="238" t="s">
        <v>1167</v>
      </c>
      <c r="AI1527" s="238" t="s">
        <v>5050</v>
      </c>
      <c r="AJ1527" s="238" t="s">
        <v>982</v>
      </c>
      <c r="AK1527" s="238" t="s">
        <v>1167</v>
      </c>
      <c r="AL1527" t="s">
        <v>8715</v>
      </c>
      <c r="AM1527" t="s">
        <v>1167</v>
      </c>
    </row>
    <row r="1528" spans="1:39" hidden="1" x14ac:dyDescent="0.25">
      <c r="A1528">
        <v>1524</v>
      </c>
      <c r="B1528">
        <v>5</v>
      </c>
      <c r="C1528" s="24">
        <v>44835</v>
      </c>
      <c r="D1528" s="238" t="s">
        <v>19</v>
      </c>
      <c r="E1528" s="238" t="s">
        <v>6</v>
      </c>
      <c r="F1528">
        <v>6</v>
      </c>
      <c r="G1528">
        <v>20</v>
      </c>
      <c r="H1528">
        <v>132</v>
      </c>
      <c r="I1528" s="238" t="s">
        <v>43</v>
      </c>
      <c r="J1528">
        <v>61.5</v>
      </c>
      <c r="K1528" s="238" t="s">
        <v>38</v>
      </c>
      <c r="L1528">
        <v>5100000</v>
      </c>
      <c r="M1528">
        <v>0</v>
      </c>
      <c r="N1528">
        <v>5100000</v>
      </c>
      <c r="O1528">
        <v>82926.829268292684</v>
      </c>
      <c r="P1528">
        <v>0</v>
      </c>
      <c r="Q1528">
        <v>5100000</v>
      </c>
      <c r="R1528">
        <v>82926.829268292684</v>
      </c>
      <c r="S1528" s="238" t="s">
        <v>124</v>
      </c>
      <c r="T1528" s="238" t="s">
        <v>1167</v>
      </c>
      <c r="V1528" t="s">
        <v>1167</v>
      </c>
      <c r="W1528" s="24">
        <v>44827</v>
      </c>
      <c r="X1528" s="238" t="s">
        <v>3534</v>
      </c>
      <c r="Y1528" s="238" t="s">
        <v>3247</v>
      </c>
      <c r="Z1528" s="238" t="s">
        <v>1340</v>
      </c>
      <c r="AA1528" t="s">
        <v>1167</v>
      </c>
      <c r="AB1528" s="238" t="s">
        <v>3124</v>
      </c>
      <c r="AC1528" t="s">
        <v>1167</v>
      </c>
      <c r="AD1528" s="24"/>
      <c r="AE1528" s="238" t="s">
        <v>3248</v>
      </c>
      <c r="AG1528" s="238" t="s">
        <v>1167</v>
      </c>
      <c r="AH1528" s="238" t="s">
        <v>1167</v>
      </c>
      <c r="AI1528" s="238" t="s">
        <v>5050</v>
      </c>
      <c r="AJ1528" s="238" t="s">
        <v>982</v>
      </c>
      <c r="AK1528" s="238" t="s">
        <v>1167</v>
      </c>
      <c r="AL1528" t="s">
        <v>8715</v>
      </c>
      <c r="AM1528" t="s">
        <v>1167</v>
      </c>
    </row>
    <row r="1529" spans="1:39" hidden="1" x14ac:dyDescent="0.25">
      <c r="A1529">
        <v>1525</v>
      </c>
      <c r="B1529">
        <v>6</v>
      </c>
      <c r="C1529" s="24">
        <v>44835</v>
      </c>
      <c r="D1529" s="238" t="s">
        <v>19</v>
      </c>
      <c r="E1529" s="238" t="s">
        <v>6</v>
      </c>
      <c r="F1529">
        <v>7</v>
      </c>
      <c r="G1529">
        <v>21</v>
      </c>
      <c r="H1529">
        <v>140</v>
      </c>
      <c r="I1529" s="238" t="s">
        <v>43</v>
      </c>
      <c r="J1529">
        <v>59.8</v>
      </c>
      <c r="K1529" s="238" t="s">
        <v>38</v>
      </c>
      <c r="L1529">
        <v>4964000</v>
      </c>
      <c r="M1529">
        <v>0</v>
      </c>
      <c r="N1529">
        <v>4964000</v>
      </c>
      <c r="O1529">
        <v>83010.033444816057</v>
      </c>
      <c r="P1529">
        <v>0</v>
      </c>
      <c r="Q1529">
        <v>4964000</v>
      </c>
      <c r="R1529">
        <v>83010.033444816057</v>
      </c>
      <c r="S1529" s="238" t="s">
        <v>124</v>
      </c>
      <c r="T1529" s="238" t="s">
        <v>1167</v>
      </c>
      <c r="V1529" t="s">
        <v>1167</v>
      </c>
      <c r="W1529" s="24">
        <v>44827</v>
      </c>
      <c r="X1529" s="238" t="s">
        <v>3535</v>
      </c>
      <c r="Y1529" s="238" t="s">
        <v>3247</v>
      </c>
      <c r="Z1529" s="238" t="s">
        <v>1340</v>
      </c>
      <c r="AA1529" t="s">
        <v>1167</v>
      </c>
      <c r="AB1529" s="238" t="s">
        <v>3124</v>
      </c>
      <c r="AC1529" t="s">
        <v>1167</v>
      </c>
      <c r="AD1529" s="24"/>
      <c r="AE1529" s="238" t="s">
        <v>3248</v>
      </c>
      <c r="AG1529" s="238" t="s">
        <v>1167</v>
      </c>
      <c r="AH1529" s="238" t="s">
        <v>1167</v>
      </c>
      <c r="AI1529" s="238" t="s">
        <v>5050</v>
      </c>
      <c r="AJ1529" s="238" t="s">
        <v>982</v>
      </c>
      <c r="AK1529" s="238" t="s">
        <v>1167</v>
      </c>
      <c r="AL1529" t="s">
        <v>8715</v>
      </c>
      <c r="AM1529" t="s">
        <v>1167</v>
      </c>
    </row>
    <row r="1530" spans="1:39" hidden="1" x14ac:dyDescent="0.25">
      <c r="A1530">
        <v>1526</v>
      </c>
      <c r="B1530">
        <v>7</v>
      </c>
      <c r="C1530" s="24">
        <v>44835</v>
      </c>
      <c r="D1530" s="238" t="s">
        <v>19</v>
      </c>
      <c r="E1530" s="238" t="s">
        <v>6</v>
      </c>
      <c r="F1530">
        <v>1</v>
      </c>
      <c r="G1530">
        <v>22</v>
      </c>
      <c r="H1530">
        <v>141</v>
      </c>
      <c r="I1530" s="238" t="s">
        <v>43</v>
      </c>
      <c r="J1530">
        <v>60.8</v>
      </c>
      <c r="K1530" s="238" t="s">
        <v>38</v>
      </c>
      <c r="L1530">
        <v>5040500</v>
      </c>
      <c r="M1530">
        <v>0</v>
      </c>
      <c r="N1530">
        <v>5040500</v>
      </c>
      <c r="O1530">
        <v>82902.960526315786</v>
      </c>
      <c r="P1530">
        <v>0</v>
      </c>
      <c r="Q1530">
        <v>5040500</v>
      </c>
      <c r="R1530">
        <v>82902.960526315786</v>
      </c>
      <c r="S1530" s="238" t="s">
        <v>124</v>
      </c>
      <c r="T1530" s="238" t="s">
        <v>1167</v>
      </c>
      <c r="V1530" t="s">
        <v>1167</v>
      </c>
      <c r="W1530" s="24">
        <v>44827</v>
      </c>
      <c r="X1530" s="238" t="s">
        <v>3535</v>
      </c>
      <c r="Y1530" s="238" t="s">
        <v>3247</v>
      </c>
      <c r="Z1530" s="238" t="s">
        <v>1340</v>
      </c>
      <c r="AA1530" t="s">
        <v>1167</v>
      </c>
      <c r="AB1530" s="238" t="s">
        <v>3124</v>
      </c>
      <c r="AC1530" t="s">
        <v>1167</v>
      </c>
      <c r="AD1530" s="24"/>
      <c r="AE1530" s="238" t="s">
        <v>3248</v>
      </c>
      <c r="AG1530" s="238" t="s">
        <v>1167</v>
      </c>
      <c r="AH1530" s="238" t="s">
        <v>1167</v>
      </c>
      <c r="AI1530" s="238" t="s">
        <v>5050</v>
      </c>
      <c r="AJ1530" s="238" t="s">
        <v>982</v>
      </c>
      <c r="AK1530" s="238" t="s">
        <v>1167</v>
      </c>
      <c r="AL1530" t="s">
        <v>8715</v>
      </c>
      <c r="AM1530" t="s">
        <v>1167</v>
      </c>
    </row>
    <row r="1531" spans="1:39" hidden="1" x14ac:dyDescent="0.25">
      <c r="A1531">
        <v>1527</v>
      </c>
      <c r="B1531">
        <v>8</v>
      </c>
      <c r="C1531" s="24">
        <v>44835</v>
      </c>
      <c r="D1531" s="238" t="s">
        <v>19</v>
      </c>
      <c r="E1531" s="238" t="s">
        <v>6</v>
      </c>
      <c r="F1531">
        <v>6</v>
      </c>
      <c r="G1531">
        <v>23</v>
      </c>
      <c r="H1531">
        <v>153</v>
      </c>
      <c r="I1531" s="238" t="s">
        <v>43</v>
      </c>
      <c r="J1531">
        <v>61.6</v>
      </c>
      <c r="K1531" s="238" t="s">
        <v>38</v>
      </c>
      <c r="L1531">
        <v>5108500</v>
      </c>
      <c r="M1531">
        <v>0</v>
      </c>
      <c r="N1531">
        <v>5108500</v>
      </c>
      <c r="O1531">
        <v>82930.194805194798</v>
      </c>
      <c r="P1531">
        <v>0</v>
      </c>
      <c r="Q1531">
        <v>5108500</v>
      </c>
      <c r="R1531">
        <v>82930.194805194798</v>
      </c>
      <c r="S1531" s="238" t="s">
        <v>124</v>
      </c>
      <c r="T1531" s="238" t="s">
        <v>1167</v>
      </c>
      <c r="V1531" t="s">
        <v>1167</v>
      </c>
      <c r="W1531" s="24">
        <v>44827</v>
      </c>
      <c r="X1531" s="238" t="s">
        <v>3535</v>
      </c>
      <c r="Y1531" s="238" t="s">
        <v>3247</v>
      </c>
      <c r="Z1531" s="238" t="s">
        <v>1340</v>
      </c>
      <c r="AA1531" t="s">
        <v>1167</v>
      </c>
      <c r="AB1531" s="238" t="s">
        <v>3124</v>
      </c>
      <c r="AC1531" t="s">
        <v>1167</v>
      </c>
      <c r="AD1531" s="24"/>
      <c r="AE1531" s="238" t="s">
        <v>3248</v>
      </c>
      <c r="AG1531" s="238" t="s">
        <v>1167</v>
      </c>
      <c r="AH1531" s="238" t="s">
        <v>1167</v>
      </c>
      <c r="AI1531" s="238" t="s">
        <v>5050</v>
      </c>
      <c r="AJ1531" s="238" t="s">
        <v>982</v>
      </c>
      <c r="AK1531" s="238" t="s">
        <v>1167</v>
      </c>
      <c r="AL1531" t="s">
        <v>8715</v>
      </c>
      <c r="AM1531" t="s">
        <v>1167</v>
      </c>
    </row>
    <row r="1532" spans="1:39" hidden="1" x14ac:dyDescent="0.25">
      <c r="A1532">
        <v>1528</v>
      </c>
      <c r="B1532">
        <v>9</v>
      </c>
      <c r="C1532" s="24">
        <v>44835</v>
      </c>
      <c r="D1532" s="238" t="s">
        <v>19</v>
      </c>
      <c r="E1532" s="238" t="s">
        <v>6</v>
      </c>
      <c r="F1532">
        <v>7</v>
      </c>
      <c r="G1532">
        <v>23</v>
      </c>
      <c r="H1532">
        <v>154</v>
      </c>
      <c r="I1532" s="238" t="s">
        <v>43</v>
      </c>
      <c r="J1532">
        <v>59.6</v>
      </c>
      <c r="K1532" s="238" t="s">
        <v>38</v>
      </c>
      <c r="L1532">
        <v>4938500</v>
      </c>
      <c r="M1532">
        <v>0</v>
      </c>
      <c r="N1532">
        <v>4938500</v>
      </c>
      <c r="O1532">
        <v>82860.738255033561</v>
      </c>
      <c r="P1532">
        <v>0</v>
      </c>
      <c r="Q1532">
        <v>4938500</v>
      </c>
      <c r="R1532">
        <v>82860.738255033561</v>
      </c>
      <c r="S1532" s="238" t="s">
        <v>124</v>
      </c>
      <c r="T1532" s="238" t="s">
        <v>1167</v>
      </c>
      <c r="V1532" t="s">
        <v>1167</v>
      </c>
      <c r="W1532" s="24">
        <v>44827</v>
      </c>
      <c r="X1532" s="238" t="s">
        <v>3535</v>
      </c>
      <c r="Y1532" s="238" t="s">
        <v>3247</v>
      </c>
      <c r="Z1532" s="238" t="s">
        <v>1340</v>
      </c>
      <c r="AA1532" t="s">
        <v>1167</v>
      </c>
      <c r="AB1532" s="238" t="s">
        <v>3124</v>
      </c>
      <c r="AC1532" t="s">
        <v>1167</v>
      </c>
      <c r="AD1532" s="24"/>
      <c r="AE1532" s="238" t="s">
        <v>3248</v>
      </c>
      <c r="AG1532" s="238" t="s">
        <v>1167</v>
      </c>
      <c r="AH1532" s="238" t="s">
        <v>1167</v>
      </c>
      <c r="AI1532" s="238" t="s">
        <v>5050</v>
      </c>
      <c r="AJ1532" s="238" t="s">
        <v>982</v>
      </c>
      <c r="AK1532" s="238" t="s">
        <v>1167</v>
      </c>
      <c r="AL1532" t="s">
        <v>8715</v>
      </c>
      <c r="AM1532" t="s">
        <v>1167</v>
      </c>
    </row>
    <row r="1533" spans="1:39" hidden="1" x14ac:dyDescent="0.25">
      <c r="A1533">
        <v>1529</v>
      </c>
      <c r="B1533">
        <v>10</v>
      </c>
      <c r="C1533" s="24">
        <v>44835</v>
      </c>
      <c r="D1533" s="238" t="s">
        <v>19</v>
      </c>
      <c r="E1533" s="238" t="s">
        <v>5</v>
      </c>
      <c r="F1533">
        <v>9</v>
      </c>
      <c r="G1533">
        <v>13</v>
      </c>
      <c r="H1533">
        <v>291</v>
      </c>
      <c r="I1533" s="238" t="s">
        <v>43</v>
      </c>
      <c r="J1533">
        <v>62</v>
      </c>
      <c r="K1533" s="238" t="s">
        <v>38</v>
      </c>
      <c r="L1533">
        <v>5142500</v>
      </c>
      <c r="M1533">
        <v>0</v>
      </c>
      <c r="N1533">
        <v>5142500</v>
      </c>
      <c r="O1533">
        <v>82943.548387096773</v>
      </c>
      <c r="P1533">
        <v>0</v>
      </c>
      <c r="Q1533">
        <v>5142500</v>
      </c>
      <c r="R1533">
        <v>82943.548387096773</v>
      </c>
      <c r="S1533" s="238" t="s">
        <v>124</v>
      </c>
      <c r="T1533" s="238" t="s">
        <v>1167</v>
      </c>
      <c r="V1533" t="s">
        <v>1167</v>
      </c>
      <c r="W1533" s="24">
        <v>44827</v>
      </c>
      <c r="X1533" s="238" t="s">
        <v>3535</v>
      </c>
      <c r="Y1533" s="238" t="s">
        <v>3247</v>
      </c>
      <c r="Z1533" s="238" t="s">
        <v>1340</v>
      </c>
      <c r="AA1533" t="s">
        <v>1167</v>
      </c>
      <c r="AB1533" s="238" t="s">
        <v>3124</v>
      </c>
      <c r="AC1533" t="s">
        <v>1167</v>
      </c>
      <c r="AD1533" s="24"/>
      <c r="AE1533" s="238" t="s">
        <v>3248</v>
      </c>
      <c r="AG1533" s="238" t="s">
        <v>1167</v>
      </c>
      <c r="AH1533" s="238" t="s">
        <v>1167</v>
      </c>
      <c r="AI1533" s="238" t="s">
        <v>5050</v>
      </c>
      <c r="AJ1533" s="238" t="s">
        <v>982</v>
      </c>
      <c r="AK1533" s="238" t="s">
        <v>1167</v>
      </c>
      <c r="AL1533" t="s">
        <v>8715</v>
      </c>
      <c r="AM1533" t="s">
        <v>1167</v>
      </c>
    </row>
    <row r="1534" spans="1:39" hidden="1" x14ac:dyDescent="0.25">
      <c r="A1534">
        <v>1530</v>
      </c>
      <c r="B1534">
        <v>11</v>
      </c>
      <c r="C1534" s="24">
        <v>44842</v>
      </c>
      <c r="D1534" s="238" t="s">
        <v>27</v>
      </c>
      <c r="E1534" s="238" t="s">
        <v>14</v>
      </c>
      <c r="F1534">
        <v>7</v>
      </c>
      <c r="G1534">
        <v>8</v>
      </c>
      <c r="H1534">
        <v>692</v>
      </c>
      <c r="I1534" s="238" t="s">
        <v>42</v>
      </c>
      <c r="J1534">
        <v>38.909999999999997</v>
      </c>
      <c r="K1534" s="238" t="s">
        <v>36</v>
      </c>
      <c r="L1534">
        <v>3054083.14</v>
      </c>
      <c r="M1534">
        <v>0</v>
      </c>
      <c r="N1534">
        <v>3054083.14</v>
      </c>
      <c r="O1534">
        <v>78490.957080442051</v>
      </c>
      <c r="P1534">
        <v>0</v>
      </c>
      <c r="Q1534">
        <v>3054083.14</v>
      </c>
      <c r="R1534">
        <v>78490.957080442051</v>
      </c>
      <c r="S1534" s="238" t="s">
        <v>137</v>
      </c>
      <c r="T1534" s="238" t="s">
        <v>3540</v>
      </c>
      <c r="U1534">
        <v>160741.22</v>
      </c>
      <c r="V1534" t="s">
        <v>4091</v>
      </c>
      <c r="W1534" s="24">
        <v>44839</v>
      </c>
      <c r="X1534" s="238" t="s">
        <v>3541</v>
      </c>
      <c r="Y1534" s="238" t="s">
        <v>39</v>
      </c>
      <c r="Z1534" s="238" t="s">
        <v>1340</v>
      </c>
      <c r="AA1534" t="s">
        <v>3113</v>
      </c>
      <c r="AB1534" s="238" t="s">
        <v>3246</v>
      </c>
      <c r="AC1534" t="s">
        <v>3079</v>
      </c>
      <c r="AD1534" s="24"/>
      <c r="AE1534" s="238" t="s">
        <v>3542</v>
      </c>
      <c r="AF1534">
        <v>79103221234</v>
      </c>
      <c r="AG1534" s="238" t="s">
        <v>3543</v>
      </c>
      <c r="AH1534" s="238" t="s">
        <v>146</v>
      </c>
      <c r="AI1534" s="238" t="s">
        <v>135</v>
      </c>
      <c r="AJ1534" s="238" t="s">
        <v>130</v>
      </c>
      <c r="AK1534" s="238" t="s">
        <v>141</v>
      </c>
      <c r="AL1534" t="s">
        <v>8715</v>
      </c>
      <c r="AM1534" t="s">
        <v>3663</v>
      </c>
    </row>
    <row r="1535" spans="1:39" hidden="1" x14ac:dyDescent="0.25">
      <c r="A1535">
        <v>1531</v>
      </c>
      <c r="B1535">
        <v>12</v>
      </c>
      <c r="C1535" s="24">
        <v>44841</v>
      </c>
      <c r="D1535" s="238" t="s">
        <v>27</v>
      </c>
      <c r="E1535" s="238" t="s">
        <v>14</v>
      </c>
      <c r="F1535">
        <v>4</v>
      </c>
      <c r="G1535">
        <v>12</v>
      </c>
      <c r="H1535">
        <v>725</v>
      </c>
      <c r="I1535" s="238" t="s">
        <v>4052</v>
      </c>
      <c r="J1535">
        <v>24.39</v>
      </c>
      <c r="K1535" s="238" t="s">
        <v>37</v>
      </c>
      <c r="L1535">
        <v>2300370.65</v>
      </c>
      <c r="M1535">
        <v>0</v>
      </c>
      <c r="N1535">
        <v>2300370.65</v>
      </c>
      <c r="O1535">
        <v>94316.139811398112</v>
      </c>
      <c r="P1535">
        <v>182925.00000000047</v>
      </c>
      <c r="Q1535">
        <v>2117445.6499999994</v>
      </c>
      <c r="R1535">
        <v>86816.139811398083</v>
      </c>
      <c r="S1535" s="238" t="s">
        <v>137</v>
      </c>
      <c r="T1535" s="238" t="s">
        <v>1167</v>
      </c>
      <c r="V1535" t="s">
        <v>4091</v>
      </c>
      <c r="W1535" s="24">
        <v>44839</v>
      </c>
      <c r="X1535" s="238" t="s">
        <v>3544</v>
      </c>
      <c r="Y1535" s="238" t="s">
        <v>39</v>
      </c>
      <c r="Z1535" s="238" t="s">
        <v>1340</v>
      </c>
      <c r="AA1535" t="s">
        <v>3113</v>
      </c>
      <c r="AB1535" s="238" t="s">
        <v>3246</v>
      </c>
      <c r="AC1535" t="s">
        <v>3079</v>
      </c>
      <c r="AD1535" s="24"/>
      <c r="AE1535" s="238" t="s">
        <v>3545</v>
      </c>
      <c r="AF1535">
        <v>79871511382</v>
      </c>
      <c r="AG1535" s="238" t="s">
        <v>3546</v>
      </c>
      <c r="AH1535" s="238" t="s">
        <v>146</v>
      </c>
      <c r="AI1535" s="238" t="s">
        <v>135</v>
      </c>
      <c r="AJ1535" s="238" t="s">
        <v>399</v>
      </c>
      <c r="AK1535" s="238" t="s">
        <v>3345</v>
      </c>
      <c r="AL1535" t="s">
        <v>8715</v>
      </c>
      <c r="AM1535" t="s">
        <v>3663</v>
      </c>
    </row>
    <row r="1536" spans="1:39" hidden="1" x14ac:dyDescent="0.25">
      <c r="A1536">
        <v>1532</v>
      </c>
      <c r="B1536">
        <v>13</v>
      </c>
      <c r="C1536" s="24">
        <v>44841</v>
      </c>
      <c r="D1536" s="238" t="s">
        <v>27</v>
      </c>
      <c r="E1536" s="238" t="s">
        <v>6</v>
      </c>
      <c r="F1536">
        <v>5</v>
      </c>
      <c r="G1536">
        <v>11</v>
      </c>
      <c r="H1536">
        <v>86</v>
      </c>
      <c r="I1536" s="238" t="s">
        <v>4052</v>
      </c>
      <c r="J1536">
        <v>24.47</v>
      </c>
      <c r="K1536" s="238" t="s">
        <v>36</v>
      </c>
      <c r="L1536">
        <v>2112363.7000000002</v>
      </c>
      <c r="M1536">
        <v>0</v>
      </c>
      <c r="N1536">
        <v>2112363.7000000002</v>
      </c>
      <c r="O1536">
        <v>86324.630159378838</v>
      </c>
      <c r="P1536">
        <v>0</v>
      </c>
      <c r="Q1536">
        <v>2112363.7000000002</v>
      </c>
      <c r="R1536">
        <v>86324.630159378838</v>
      </c>
      <c r="S1536" s="238" t="s">
        <v>137</v>
      </c>
      <c r="T1536" s="238" t="s">
        <v>1167</v>
      </c>
      <c r="V1536" t="s">
        <v>4091</v>
      </c>
      <c r="W1536" s="24">
        <v>44839</v>
      </c>
      <c r="X1536" s="238" t="s">
        <v>3547</v>
      </c>
      <c r="Y1536" s="238" t="s">
        <v>39</v>
      </c>
      <c r="Z1536" s="238" t="s">
        <v>1340</v>
      </c>
      <c r="AA1536" t="s">
        <v>3113</v>
      </c>
      <c r="AB1536" s="238" t="s">
        <v>3246</v>
      </c>
      <c r="AC1536" t="s">
        <v>3079</v>
      </c>
      <c r="AD1536" s="24"/>
      <c r="AE1536" s="238" t="s">
        <v>3548</v>
      </c>
      <c r="AF1536">
        <v>79272019673</v>
      </c>
      <c r="AG1536" s="238" t="s">
        <v>3549</v>
      </c>
      <c r="AH1536" s="238" t="s">
        <v>146</v>
      </c>
      <c r="AI1536" s="238" t="s">
        <v>135</v>
      </c>
      <c r="AJ1536" s="238" t="s">
        <v>399</v>
      </c>
      <c r="AK1536" s="238" t="s">
        <v>3345</v>
      </c>
      <c r="AL1536" t="s">
        <v>8715</v>
      </c>
      <c r="AM1536" t="s">
        <v>3663</v>
      </c>
    </row>
    <row r="1537" spans="1:39" hidden="1" x14ac:dyDescent="0.25">
      <c r="A1537">
        <v>1533</v>
      </c>
      <c r="B1537">
        <v>14</v>
      </c>
      <c r="C1537" s="24">
        <v>44844</v>
      </c>
      <c r="D1537" s="238" t="s">
        <v>91</v>
      </c>
      <c r="E1537" s="238" t="s">
        <v>5</v>
      </c>
      <c r="F1537">
        <v>1</v>
      </c>
      <c r="G1537">
        <v>16</v>
      </c>
      <c r="H1537">
        <v>233</v>
      </c>
      <c r="I1537" s="238" t="s">
        <v>4052</v>
      </c>
      <c r="J1537">
        <v>28.97</v>
      </c>
      <c r="K1537" s="238" t="s">
        <v>36</v>
      </c>
      <c r="L1537">
        <v>2299638.6</v>
      </c>
      <c r="M1537">
        <v>0</v>
      </c>
      <c r="N1537">
        <v>2299638.6</v>
      </c>
      <c r="O1537">
        <v>79380</v>
      </c>
      <c r="P1537">
        <v>0</v>
      </c>
      <c r="Q1537">
        <v>2299638.6</v>
      </c>
      <c r="R1537">
        <v>79380</v>
      </c>
      <c r="S1537" s="238" t="s">
        <v>124</v>
      </c>
      <c r="T1537" s="238" t="s">
        <v>1167</v>
      </c>
      <c r="V1537" t="s">
        <v>1167</v>
      </c>
      <c r="W1537" s="24">
        <v>44841</v>
      </c>
      <c r="X1537" s="238" t="s">
        <v>3552</v>
      </c>
      <c r="Y1537" s="238" t="s">
        <v>39</v>
      </c>
      <c r="Z1537" s="238" t="s">
        <v>1340</v>
      </c>
      <c r="AA1537" t="s">
        <v>3113</v>
      </c>
      <c r="AB1537" s="238" t="s">
        <v>3246</v>
      </c>
      <c r="AC1537" t="s">
        <v>1167</v>
      </c>
      <c r="AD1537" s="24"/>
      <c r="AE1537" s="238" t="s">
        <v>3553</v>
      </c>
      <c r="AF1537">
        <v>79277620020</v>
      </c>
      <c r="AG1537" s="238" t="s">
        <v>3554</v>
      </c>
      <c r="AH1537" s="238" t="s">
        <v>1171</v>
      </c>
      <c r="AI1537" s="238" t="s">
        <v>6406</v>
      </c>
      <c r="AJ1537" s="238" t="s">
        <v>399</v>
      </c>
      <c r="AK1537" s="238" t="s">
        <v>1167</v>
      </c>
      <c r="AL1537" t="s">
        <v>57</v>
      </c>
      <c r="AM1537" t="s">
        <v>1167</v>
      </c>
    </row>
    <row r="1538" spans="1:39" hidden="1" x14ac:dyDescent="0.25">
      <c r="A1538">
        <v>1534</v>
      </c>
      <c r="B1538">
        <v>15</v>
      </c>
      <c r="C1538" s="24">
        <v>44844</v>
      </c>
      <c r="D1538" s="238" t="s">
        <v>27</v>
      </c>
      <c r="E1538" s="238" t="s">
        <v>6</v>
      </c>
      <c r="F1538">
        <v>5</v>
      </c>
      <c r="G1538">
        <v>12</v>
      </c>
      <c r="H1538">
        <v>95</v>
      </c>
      <c r="I1538" s="238" t="s">
        <v>4052</v>
      </c>
      <c r="J1538">
        <v>24.47</v>
      </c>
      <c r="K1538" s="238" t="s">
        <v>38</v>
      </c>
      <c r="L1538">
        <v>2650703.7000000002</v>
      </c>
      <c r="M1538">
        <v>0</v>
      </c>
      <c r="N1538">
        <v>2650703.7000000002</v>
      </c>
      <c r="O1538">
        <v>108324.63015937884</v>
      </c>
      <c r="P1538">
        <v>538340</v>
      </c>
      <c r="Q1538">
        <v>2112363.7000000002</v>
      </c>
      <c r="R1538">
        <v>86324.630159378838</v>
      </c>
      <c r="S1538" s="238" t="s">
        <v>137</v>
      </c>
      <c r="T1538" s="238" t="s">
        <v>1167</v>
      </c>
      <c r="V1538" t="s">
        <v>4091</v>
      </c>
      <c r="W1538" s="24">
        <v>44841</v>
      </c>
      <c r="X1538" s="238" t="s">
        <v>3555</v>
      </c>
      <c r="Y1538" s="238" t="s">
        <v>39</v>
      </c>
      <c r="Z1538" s="238" t="s">
        <v>1340</v>
      </c>
      <c r="AA1538" t="s">
        <v>3113</v>
      </c>
      <c r="AB1538" s="238" t="s">
        <v>3246</v>
      </c>
      <c r="AC1538" t="s">
        <v>3079</v>
      </c>
      <c r="AD1538" s="24"/>
      <c r="AE1538" s="238" t="s">
        <v>3556</v>
      </c>
      <c r="AF1538">
        <v>79171078398</v>
      </c>
      <c r="AG1538" s="238" t="s">
        <v>3557</v>
      </c>
      <c r="AH1538" s="238" t="s">
        <v>135</v>
      </c>
      <c r="AI1538" s="238" t="s">
        <v>3075</v>
      </c>
      <c r="AJ1538" s="238" t="s">
        <v>130</v>
      </c>
      <c r="AK1538" s="238" t="s">
        <v>3345</v>
      </c>
      <c r="AL1538" t="s">
        <v>8715</v>
      </c>
      <c r="AM1538" t="s">
        <v>3663</v>
      </c>
    </row>
    <row r="1539" spans="1:39" hidden="1" x14ac:dyDescent="0.25">
      <c r="A1539">
        <v>1535</v>
      </c>
      <c r="B1539">
        <v>16</v>
      </c>
      <c r="C1539" s="24">
        <v>44845</v>
      </c>
      <c r="D1539" s="238" t="s">
        <v>27</v>
      </c>
      <c r="E1539" s="238" t="s">
        <v>14</v>
      </c>
      <c r="F1539">
        <v>7</v>
      </c>
      <c r="G1539">
        <v>11</v>
      </c>
      <c r="H1539">
        <v>719</v>
      </c>
      <c r="I1539" s="238" t="s">
        <v>42</v>
      </c>
      <c r="J1539">
        <v>38.909999999999997</v>
      </c>
      <c r="K1539" s="238" t="s">
        <v>37</v>
      </c>
      <c r="L1539">
        <v>3345908.14</v>
      </c>
      <c r="M1539">
        <v>0</v>
      </c>
      <c r="N1539">
        <v>3345908.14</v>
      </c>
      <c r="O1539">
        <v>85990.957080442051</v>
      </c>
      <c r="P1539">
        <v>291825</v>
      </c>
      <c r="Q1539">
        <v>3054083.14</v>
      </c>
      <c r="R1539">
        <v>78490.957080442051</v>
      </c>
      <c r="S1539" s="238" t="s">
        <v>137</v>
      </c>
      <c r="T1539" s="238" t="s">
        <v>3540</v>
      </c>
      <c r="U1539">
        <v>160741.22</v>
      </c>
      <c r="V1539" t="s">
        <v>4091</v>
      </c>
      <c r="W1539" s="24">
        <v>44839</v>
      </c>
      <c r="X1539" s="238" t="s">
        <v>3558</v>
      </c>
      <c r="Y1539" s="238" t="s">
        <v>39</v>
      </c>
      <c r="Z1539" s="238" t="s">
        <v>1340</v>
      </c>
      <c r="AA1539" t="s">
        <v>3113</v>
      </c>
      <c r="AB1539" s="238" t="s">
        <v>3246</v>
      </c>
      <c r="AC1539" t="s">
        <v>3079</v>
      </c>
      <c r="AD1539" s="24"/>
      <c r="AE1539" s="238" t="s">
        <v>2926</v>
      </c>
      <c r="AF1539">
        <v>79969248977</v>
      </c>
      <c r="AG1539" s="238" t="s">
        <v>3559</v>
      </c>
      <c r="AH1539" s="238" t="s">
        <v>1212</v>
      </c>
      <c r="AI1539" s="238" t="s">
        <v>135</v>
      </c>
      <c r="AJ1539" s="238" t="s">
        <v>399</v>
      </c>
      <c r="AK1539" s="238" t="s">
        <v>141</v>
      </c>
      <c r="AL1539" t="s">
        <v>8715</v>
      </c>
      <c r="AM1539" t="s">
        <v>3663</v>
      </c>
    </row>
    <row r="1540" spans="1:39" hidden="1" x14ac:dyDescent="0.25">
      <c r="A1540">
        <v>1536</v>
      </c>
      <c r="B1540">
        <v>17</v>
      </c>
      <c r="C1540" s="24">
        <v>44847</v>
      </c>
      <c r="D1540" s="238" t="s">
        <v>27</v>
      </c>
      <c r="E1540" s="238" t="s">
        <v>14</v>
      </c>
      <c r="F1540">
        <v>4</v>
      </c>
      <c r="G1540">
        <v>4</v>
      </c>
      <c r="H1540">
        <v>653</v>
      </c>
      <c r="I1540" s="238" t="s">
        <v>4052</v>
      </c>
      <c r="J1540">
        <v>24.39</v>
      </c>
      <c r="K1540" s="238" t="s">
        <v>36</v>
      </c>
      <c r="L1540">
        <v>2011573.37</v>
      </c>
      <c r="M1540">
        <v>0</v>
      </c>
      <c r="N1540">
        <v>2011573.37</v>
      </c>
      <c r="O1540">
        <v>82475.332923329232</v>
      </c>
      <c r="P1540">
        <v>0</v>
      </c>
      <c r="Q1540">
        <v>2011573.37</v>
      </c>
      <c r="R1540">
        <v>82475.332923329232</v>
      </c>
      <c r="S1540" s="238" t="s">
        <v>137</v>
      </c>
      <c r="T1540" s="238" t="s">
        <v>3540</v>
      </c>
      <c r="U1540">
        <v>105872.28</v>
      </c>
      <c r="V1540" t="s">
        <v>4091</v>
      </c>
      <c r="W1540" s="24">
        <v>44844</v>
      </c>
      <c r="X1540" s="238" t="s">
        <v>3560</v>
      </c>
      <c r="Y1540" s="238" t="s">
        <v>39</v>
      </c>
      <c r="Z1540" s="238" t="s">
        <v>1340</v>
      </c>
      <c r="AA1540" t="s">
        <v>3113</v>
      </c>
      <c r="AB1540" s="238" t="s">
        <v>3246</v>
      </c>
      <c r="AC1540" t="s">
        <v>3079</v>
      </c>
      <c r="AD1540" s="24"/>
      <c r="AE1540" s="238" t="s">
        <v>3561</v>
      </c>
      <c r="AF1540">
        <v>79270107310</v>
      </c>
      <c r="AG1540" s="238" t="s">
        <v>3562</v>
      </c>
      <c r="AH1540" s="238" t="s">
        <v>1171</v>
      </c>
      <c r="AI1540" s="238" t="s">
        <v>3074</v>
      </c>
      <c r="AJ1540" s="238" t="s">
        <v>130</v>
      </c>
      <c r="AK1540" s="238" t="s">
        <v>3345</v>
      </c>
      <c r="AL1540" t="s">
        <v>8715</v>
      </c>
      <c r="AM1540" t="s">
        <v>3663</v>
      </c>
    </row>
    <row r="1541" spans="1:39" hidden="1" x14ac:dyDescent="0.25">
      <c r="A1541">
        <v>1537</v>
      </c>
      <c r="B1541">
        <v>18</v>
      </c>
      <c r="C1541" s="24">
        <v>44847</v>
      </c>
      <c r="D1541" s="238" t="s">
        <v>27</v>
      </c>
      <c r="E1541" s="238" t="s">
        <v>13</v>
      </c>
      <c r="F1541">
        <v>9</v>
      </c>
      <c r="G1541">
        <v>4</v>
      </c>
      <c r="H1541">
        <v>857</v>
      </c>
      <c r="I1541" s="238" t="s">
        <v>4052</v>
      </c>
      <c r="J1541">
        <v>23.09</v>
      </c>
      <c r="K1541" s="238" t="s">
        <v>38</v>
      </c>
      <c r="L1541">
        <v>2513042.17</v>
      </c>
      <c r="M1541">
        <v>0</v>
      </c>
      <c r="N1541">
        <v>2513042.17</v>
      </c>
      <c r="O1541">
        <v>108836.81983542659</v>
      </c>
      <c r="P1541">
        <v>507979.99999999953</v>
      </c>
      <c r="Q1541">
        <v>2005062.1700000004</v>
      </c>
      <c r="R1541">
        <v>86836.819835426606</v>
      </c>
      <c r="S1541" s="238" t="s">
        <v>137</v>
      </c>
      <c r="T1541" s="238" t="s">
        <v>1167</v>
      </c>
      <c r="V1541" t="s">
        <v>4091</v>
      </c>
      <c r="W1541" s="24">
        <v>44845</v>
      </c>
      <c r="X1541" s="238" t="s">
        <v>3563</v>
      </c>
      <c r="Y1541" s="238" t="s">
        <v>39</v>
      </c>
      <c r="Z1541" s="238" t="s">
        <v>1340</v>
      </c>
      <c r="AA1541" t="s">
        <v>3113</v>
      </c>
      <c r="AB1541" s="238" t="s">
        <v>3246</v>
      </c>
      <c r="AC1541" t="s">
        <v>3079</v>
      </c>
      <c r="AD1541" s="24"/>
      <c r="AE1541" s="238" t="s">
        <v>3564</v>
      </c>
      <c r="AF1541">
        <v>79171149782</v>
      </c>
      <c r="AG1541" s="238" t="s">
        <v>3565</v>
      </c>
      <c r="AH1541" s="238" t="s">
        <v>1171</v>
      </c>
      <c r="AI1541" s="238" t="s">
        <v>3074</v>
      </c>
      <c r="AJ1541" s="238" t="s">
        <v>130</v>
      </c>
      <c r="AK1541" s="238" t="s">
        <v>3345</v>
      </c>
      <c r="AL1541" t="s">
        <v>8715</v>
      </c>
      <c r="AM1541" t="s">
        <v>3663</v>
      </c>
    </row>
    <row r="1542" spans="1:39" hidden="1" x14ac:dyDescent="0.25">
      <c r="A1542">
        <v>1538</v>
      </c>
      <c r="B1542">
        <v>19</v>
      </c>
      <c r="C1542" s="24">
        <v>44849</v>
      </c>
      <c r="D1542" s="238" t="s">
        <v>27</v>
      </c>
      <c r="E1542" s="238" t="s">
        <v>13</v>
      </c>
      <c r="F1542">
        <v>8</v>
      </c>
      <c r="G1542">
        <v>8</v>
      </c>
      <c r="H1542">
        <v>892</v>
      </c>
      <c r="I1542" s="238" t="s">
        <v>4052</v>
      </c>
      <c r="J1542">
        <v>23.09</v>
      </c>
      <c r="K1542" s="238" t="s">
        <v>36</v>
      </c>
      <c r="L1542">
        <v>1863669.32</v>
      </c>
      <c r="M1542">
        <v>0</v>
      </c>
      <c r="N1542">
        <v>1863669.32</v>
      </c>
      <c r="O1542">
        <v>80713.266349068857</v>
      </c>
      <c r="P1542">
        <v>0</v>
      </c>
      <c r="Q1542">
        <v>1863669.32</v>
      </c>
      <c r="R1542">
        <v>80713.266349068857</v>
      </c>
      <c r="S1542" s="238" t="s">
        <v>124</v>
      </c>
      <c r="T1542" s="238" t="s">
        <v>3566</v>
      </c>
      <c r="U1542">
        <v>30000</v>
      </c>
      <c r="V1542" t="s">
        <v>1167</v>
      </c>
      <c r="W1542" s="24">
        <v>44845</v>
      </c>
      <c r="X1542" s="238" t="s">
        <v>3567</v>
      </c>
      <c r="Y1542" s="238" t="s">
        <v>39</v>
      </c>
      <c r="Z1542" s="238" t="s">
        <v>1340</v>
      </c>
      <c r="AA1542" t="s">
        <v>3113</v>
      </c>
      <c r="AB1542" s="238" t="s">
        <v>3246</v>
      </c>
      <c r="AC1542" t="s">
        <v>1167</v>
      </c>
      <c r="AD1542" s="24">
        <v>45145</v>
      </c>
      <c r="AE1542" s="238" t="s">
        <v>4905</v>
      </c>
      <c r="AF1542">
        <v>79171116044</v>
      </c>
      <c r="AG1542" s="238" t="s">
        <v>4906</v>
      </c>
      <c r="AH1542" s="238" t="s">
        <v>1212</v>
      </c>
      <c r="AI1542" s="238" t="s">
        <v>135</v>
      </c>
      <c r="AJ1542" s="238" t="s">
        <v>130</v>
      </c>
      <c r="AK1542" s="238" t="s">
        <v>1167</v>
      </c>
      <c r="AL1542" t="s">
        <v>8715</v>
      </c>
      <c r="AM1542" t="s">
        <v>1167</v>
      </c>
    </row>
    <row r="1543" spans="1:39" hidden="1" x14ac:dyDescent="0.25">
      <c r="A1543">
        <v>1539</v>
      </c>
      <c r="B1543">
        <v>20</v>
      </c>
      <c r="C1543" s="24">
        <v>44848</v>
      </c>
      <c r="D1543" s="238" t="s">
        <v>27</v>
      </c>
      <c r="E1543" s="238" t="s">
        <v>6</v>
      </c>
      <c r="F1543">
        <v>3</v>
      </c>
      <c r="G1543">
        <v>23</v>
      </c>
      <c r="H1543">
        <v>192</v>
      </c>
      <c r="I1543" s="238" t="s">
        <v>42</v>
      </c>
      <c r="J1543">
        <v>41.06</v>
      </c>
      <c r="K1543" s="238" t="s">
        <v>36</v>
      </c>
      <c r="L1543">
        <v>3477194.47</v>
      </c>
      <c r="M1543">
        <v>15000</v>
      </c>
      <c r="N1543">
        <v>3492194.47</v>
      </c>
      <c r="O1543">
        <v>85051.009985387238</v>
      </c>
      <c r="P1543">
        <v>0</v>
      </c>
      <c r="Q1543">
        <v>3492194.47</v>
      </c>
      <c r="R1543">
        <v>85051.009985387238</v>
      </c>
      <c r="S1543" s="238" t="s">
        <v>137</v>
      </c>
      <c r="T1543" s="238" t="s">
        <v>1167</v>
      </c>
      <c r="V1543" t="s">
        <v>4091</v>
      </c>
      <c r="W1543" s="24">
        <v>44845</v>
      </c>
      <c r="X1543" s="238" t="s">
        <v>3568</v>
      </c>
      <c r="Y1543" s="238" t="s">
        <v>39</v>
      </c>
      <c r="Z1543" s="238" t="s">
        <v>1340</v>
      </c>
      <c r="AA1543" t="s">
        <v>3113</v>
      </c>
      <c r="AB1543" s="238" t="s">
        <v>3246</v>
      </c>
      <c r="AC1543" t="s">
        <v>3079</v>
      </c>
      <c r="AD1543" s="24"/>
      <c r="AE1543" s="238" t="s">
        <v>3569</v>
      </c>
      <c r="AF1543">
        <v>79879217776</v>
      </c>
      <c r="AG1543" s="238" t="s">
        <v>3570</v>
      </c>
      <c r="AH1543" s="238" t="s">
        <v>1171</v>
      </c>
      <c r="AI1543" s="238" t="s">
        <v>135</v>
      </c>
      <c r="AJ1543" s="238" t="s">
        <v>130</v>
      </c>
      <c r="AK1543" s="238" t="s">
        <v>141</v>
      </c>
      <c r="AL1543" t="s">
        <v>8715</v>
      </c>
      <c r="AM1543" t="s">
        <v>3663</v>
      </c>
    </row>
    <row r="1544" spans="1:39" hidden="1" x14ac:dyDescent="0.25">
      <c r="A1544">
        <v>1540</v>
      </c>
      <c r="B1544">
        <v>21</v>
      </c>
      <c r="C1544" s="24">
        <v>44851</v>
      </c>
      <c r="D1544" s="238" t="s">
        <v>27</v>
      </c>
      <c r="E1544" s="238" t="s">
        <v>13</v>
      </c>
      <c r="F1544">
        <v>8</v>
      </c>
      <c r="G1544">
        <v>5</v>
      </c>
      <c r="H1544">
        <v>865</v>
      </c>
      <c r="I1544" s="238" t="s">
        <v>4052</v>
      </c>
      <c r="J1544">
        <v>23.09</v>
      </c>
      <c r="K1544" s="238" t="s">
        <v>38</v>
      </c>
      <c r="L1544">
        <v>2306965.85</v>
      </c>
      <c r="M1544">
        <v>0</v>
      </c>
      <c r="N1544">
        <v>2306965.85</v>
      </c>
      <c r="O1544">
        <v>99911.903421394542</v>
      </c>
      <c r="P1544">
        <v>507980</v>
      </c>
      <c r="Q1544">
        <v>1798985.85</v>
      </c>
      <c r="R1544">
        <v>77911.903421394542</v>
      </c>
      <c r="S1544" s="238" t="s">
        <v>124</v>
      </c>
      <c r="T1544" s="238" t="s">
        <v>3540</v>
      </c>
      <c r="U1544">
        <v>94683.47</v>
      </c>
      <c r="V1544" t="s">
        <v>1167</v>
      </c>
      <c r="W1544" s="24">
        <v>44848</v>
      </c>
      <c r="X1544" s="238" t="s">
        <v>3571</v>
      </c>
      <c r="Y1544" s="238" t="s">
        <v>39</v>
      </c>
      <c r="Z1544" s="238" t="s">
        <v>1340</v>
      </c>
      <c r="AA1544" t="s">
        <v>3113</v>
      </c>
      <c r="AB1544" s="238" t="s">
        <v>3246</v>
      </c>
      <c r="AC1544" t="s">
        <v>1167</v>
      </c>
      <c r="AD1544" s="24"/>
      <c r="AE1544" s="238" t="s">
        <v>2832</v>
      </c>
      <c r="AF1544">
        <v>79781173848</v>
      </c>
      <c r="AG1544" s="238" t="s">
        <v>2833</v>
      </c>
      <c r="AH1544" s="238" t="s">
        <v>146</v>
      </c>
      <c r="AI1544" s="238" t="s">
        <v>135</v>
      </c>
      <c r="AJ1544" s="238" t="s">
        <v>130</v>
      </c>
      <c r="AK1544" s="238" t="s">
        <v>1167</v>
      </c>
      <c r="AL1544" t="s">
        <v>8715</v>
      </c>
      <c r="AM1544" t="s">
        <v>1167</v>
      </c>
    </row>
    <row r="1545" spans="1:39" hidden="1" x14ac:dyDescent="0.25">
      <c r="A1545">
        <v>1541</v>
      </c>
      <c r="B1545">
        <v>22</v>
      </c>
      <c r="C1545" s="24">
        <v>44851</v>
      </c>
      <c r="D1545" s="238" t="s">
        <v>91</v>
      </c>
      <c r="E1545" s="238" t="s">
        <v>16</v>
      </c>
      <c r="F1545">
        <v>5</v>
      </c>
      <c r="G1545">
        <v>5</v>
      </c>
      <c r="H1545">
        <v>266</v>
      </c>
      <c r="I1545" s="238" t="s">
        <v>43</v>
      </c>
      <c r="J1545">
        <v>56.7</v>
      </c>
      <c r="K1545" s="238" t="s">
        <v>36</v>
      </c>
      <c r="L1545">
        <v>3844422.73</v>
      </c>
      <c r="M1545">
        <v>0</v>
      </c>
      <c r="N1545">
        <v>3844422.73</v>
      </c>
      <c r="O1545">
        <v>67802.870017636684</v>
      </c>
      <c r="P1545">
        <v>0</v>
      </c>
      <c r="Q1545">
        <v>3844422.73</v>
      </c>
      <c r="R1545">
        <v>67802.870017636684</v>
      </c>
      <c r="S1545" s="238" t="s">
        <v>137</v>
      </c>
      <c r="T1545" s="238" t="s">
        <v>3540</v>
      </c>
      <c r="U1545">
        <v>202338.03</v>
      </c>
      <c r="V1545" t="s">
        <v>4091</v>
      </c>
      <c r="W1545" s="24">
        <v>44848</v>
      </c>
      <c r="X1545" s="238" t="s">
        <v>3572</v>
      </c>
      <c r="Y1545" s="238" t="s">
        <v>39</v>
      </c>
      <c r="Z1545" s="238" t="s">
        <v>1340</v>
      </c>
      <c r="AA1545" t="s">
        <v>3113</v>
      </c>
      <c r="AB1545" s="238" t="s">
        <v>3246</v>
      </c>
      <c r="AC1545" t="s">
        <v>3079</v>
      </c>
      <c r="AD1545" s="24"/>
      <c r="AE1545" s="238" t="s">
        <v>3573</v>
      </c>
      <c r="AF1545">
        <v>79179578896</v>
      </c>
      <c r="AG1545" s="238" t="s">
        <v>3574</v>
      </c>
      <c r="AH1545" s="238" t="s">
        <v>1171</v>
      </c>
      <c r="AI1545" s="238" t="s">
        <v>6406</v>
      </c>
      <c r="AJ1545" s="238" t="s">
        <v>130</v>
      </c>
      <c r="AK1545" s="238" t="s">
        <v>3345</v>
      </c>
      <c r="AL1545" t="s">
        <v>57</v>
      </c>
      <c r="AM1545" t="s">
        <v>3663</v>
      </c>
    </row>
    <row r="1546" spans="1:39" hidden="1" x14ac:dyDescent="0.25">
      <c r="A1546">
        <v>1542</v>
      </c>
      <c r="B1546">
        <v>23</v>
      </c>
      <c r="C1546" s="24">
        <v>44852</v>
      </c>
      <c r="D1546" s="238" t="s">
        <v>27</v>
      </c>
      <c r="E1546" s="238" t="s">
        <v>14</v>
      </c>
      <c r="F1546">
        <v>7</v>
      </c>
      <c r="G1546">
        <v>14</v>
      </c>
      <c r="H1546">
        <v>746</v>
      </c>
      <c r="I1546" s="238" t="s">
        <v>42</v>
      </c>
      <c r="J1546">
        <v>38.909999999999997</v>
      </c>
      <c r="K1546" s="238" t="s">
        <v>38</v>
      </c>
      <c r="L1546">
        <v>4094067.01</v>
      </c>
      <c r="M1546">
        <v>0</v>
      </c>
      <c r="N1546">
        <v>4094067.01</v>
      </c>
      <c r="O1546">
        <v>105218.89000257004</v>
      </c>
      <c r="P1546">
        <v>856020</v>
      </c>
      <c r="Q1546">
        <v>3238047.01</v>
      </c>
      <c r="R1546">
        <v>83218.890002570028</v>
      </c>
      <c r="S1546" s="238" t="s">
        <v>137</v>
      </c>
      <c r="T1546" s="238" t="s">
        <v>1167</v>
      </c>
      <c r="V1546" t="s">
        <v>4091</v>
      </c>
      <c r="W1546" s="24">
        <v>44851</v>
      </c>
      <c r="X1546" s="238" t="s">
        <v>3575</v>
      </c>
      <c r="Y1546" s="238" t="s">
        <v>39</v>
      </c>
      <c r="Z1546" s="238" t="s">
        <v>1340</v>
      </c>
      <c r="AA1546" t="s">
        <v>3113</v>
      </c>
      <c r="AB1546" s="238" t="s">
        <v>3246</v>
      </c>
      <c r="AC1546" t="s">
        <v>3079</v>
      </c>
      <c r="AD1546" s="24"/>
      <c r="AE1546" s="238" t="s">
        <v>3576</v>
      </c>
      <c r="AF1546">
        <v>79276511114</v>
      </c>
      <c r="AG1546" s="238" t="s">
        <v>3577</v>
      </c>
      <c r="AH1546" s="238" t="s">
        <v>146</v>
      </c>
      <c r="AI1546" s="238" t="s">
        <v>135</v>
      </c>
      <c r="AJ1546" s="238" t="s">
        <v>130</v>
      </c>
      <c r="AK1546" s="238" t="s">
        <v>141</v>
      </c>
      <c r="AL1546" t="s">
        <v>8715</v>
      </c>
      <c r="AM1546" t="s">
        <v>3663</v>
      </c>
    </row>
    <row r="1547" spans="1:39" hidden="1" x14ac:dyDescent="0.25">
      <c r="A1547">
        <v>1543</v>
      </c>
      <c r="B1547">
        <v>24</v>
      </c>
      <c r="C1547" s="24">
        <v>44853</v>
      </c>
      <c r="D1547" s="238" t="s">
        <v>27</v>
      </c>
      <c r="E1547" s="238" t="s">
        <v>14</v>
      </c>
      <c r="F1547">
        <v>2</v>
      </c>
      <c r="G1547">
        <v>4</v>
      </c>
      <c r="H1547">
        <v>651</v>
      </c>
      <c r="I1547" s="238" t="s">
        <v>42</v>
      </c>
      <c r="J1547">
        <v>40.75</v>
      </c>
      <c r="K1547" s="238" t="s">
        <v>36</v>
      </c>
      <c r="L1547">
        <v>3198084.14</v>
      </c>
      <c r="M1547">
        <v>0</v>
      </c>
      <c r="N1547">
        <v>3198084.14</v>
      </c>
      <c r="O1547">
        <v>78480.592392638035</v>
      </c>
      <c r="P1547">
        <v>0</v>
      </c>
      <c r="Q1547">
        <v>3198084.14</v>
      </c>
      <c r="R1547">
        <v>78480.592392638035</v>
      </c>
      <c r="S1547" s="238" t="s">
        <v>137</v>
      </c>
      <c r="T1547" s="238" t="s">
        <v>3540</v>
      </c>
      <c r="U1547">
        <v>168320.22</v>
      </c>
      <c r="V1547" t="s">
        <v>4091</v>
      </c>
      <c r="W1547" s="24">
        <v>44844</v>
      </c>
      <c r="X1547" s="238" t="s">
        <v>3578</v>
      </c>
      <c r="Y1547" s="238" t="s">
        <v>39</v>
      </c>
      <c r="Z1547" s="238" t="s">
        <v>1340</v>
      </c>
      <c r="AA1547" t="s">
        <v>3113</v>
      </c>
      <c r="AB1547" s="238" t="s">
        <v>3246</v>
      </c>
      <c r="AC1547" t="s">
        <v>3079</v>
      </c>
      <c r="AD1547" s="24"/>
      <c r="AE1547" s="238" t="s">
        <v>3482</v>
      </c>
      <c r="AF1547">
        <v>79379991940</v>
      </c>
      <c r="AG1547" s="238" t="s">
        <v>3483</v>
      </c>
      <c r="AH1547" s="238" t="s">
        <v>1212</v>
      </c>
      <c r="AI1547" s="238" t="s">
        <v>3082</v>
      </c>
      <c r="AJ1547" s="238" t="s">
        <v>130</v>
      </c>
      <c r="AK1547" s="238" t="s">
        <v>141</v>
      </c>
      <c r="AL1547" t="s">
        <v>8715</v>
      </c>
      <c r="AM1547" t="s">
        <v>3663</v>
      </c>
    </row>
    <row r="1548" spans="1:39" hidden="1" x14ac:dyDescent="0.25">
      <c r="A1548">
        <v>1544</v>
      </c>
      <c r="B1548">
        <v>25</v>
      </c>
      <c r="C1548" s="24">
        <v>44853</v>
      </c>
      <c r="D1548" s="238" t="s">
        <v>27</v>
      </c>
      <c r="E1548" s="238" t="s">
        <v>14</v>
      </c>
      <c r="F1548">
        <v>3</v>
      </c>
      <c r="G1548">
        <v>18</v>
      </c>
      <c r="H1548">
        <v>777</v>
      </c>
      <c r="I1548" s="238" t="s">
        <v>4052</v>
      </c>
      <c r="J1548">
        <v>24.37</v>
      </c>
      <c r="K1548" s="238" t="s">
        <v>37</v>
      </c>
      <c r="L1548">
        <v>2298491.89</v>
      </c>
      <c r="M1548">
        <v>0</v>
      </c>
      <c r="N1548">
        <v>2298491.89</v>
      </c>
      <c r="O1548">
        <v>94316.450143619208</v>
      </c>
      <c r="P1548">
        <v>182775.00000000047</v>
      </c>
      <c r="Q1548">
        <v>2115716.8899999997</v>
      </c>
      <c r="R1548">
        <v>86816.450143619193</v>
      </c>
      <c r="S1548" s="238" t="s">
        <v>137</v>
      </c>
      <c r="T1548" s="238" t="s">
        <v>1167</v>
      </c>
      <c r="V1548" t="s">
        <v>4091</v>
      </c>
      <c r="W1548" s="24">
        <v>44852</v>
      </c>
      <c r="X1548" s="238" t="s">
        <v>3579</v>
      </c>
      <c r="Y1548" s="238" t="s">
        <v>39</v>
      </c>
      <c r="Z1548" s="238" t="s">
        <v>1340</v>
      </c>
      <c r="AA1548" t="s">
        <v>3113</v>
      </c>
      <c r="AB1548" s="238" t="s">
        <v>3246</v>
      </c>
      <c r="AC1548" t="s">
        <v>3079</v>
      </c>
      <c r="AD1548" s="24"/>
      <c r="AE1548" s="238" t="s">
        <v>3580</v>
      </c>
      <c r="AF1548">
        <v>79272970874</v>
      </c>
      <c r="AG1548" s="238" t="s">
        <v>3581</v>
      </c>
      <c r="AH1548" s="238" t="s">
        <v>1171</v>
      </c>
      <c r="AI1548" s="238" t="s">
        <v>135</v>
      </c>
      <c r="AJ1548" s="238" t="s">
        <v>399</v>
      </c>
      <c r="AK1548" s="238" t="s">
        <v>3345</v>
      </c>
      <c r="AL1548" t="s">
        <v>8715</v>
      </c>
      <c r="AM1548" t="s">
        <v>3663</v>
      </c>
    </row>
    <row r="1549" spans="1:39" hidden="1" x14ac:dyDescent="0.25">
      <c r="A1549">
        <v>1545</v>
      </c>
      <c r="B1549">
        <v>26</v>
      </c>
      <c r="C1549" s="24">
        <v>44853</v>
      </c>
      <c r="D1549" s="238" t="s">
        <v>91</v>
      </c>
      <c r="E1549" s="238" t="s">
        <v>5</v>
      </c>
      <c r="F1549">
        <v>1</v>
      </c>
      <c r="G1549">
        <v>13</v>
      </c>
      <c r="H1549">
        <v>209</v>
      </c>
      <c r="I1549" s="238" t="s">
        <v>4052</v>
      </c>
      <c r="J1549">
        <v>28.97</v>
      </c>
      <c r="K1549" s="238" t="s">
        <v>36</v>
      </c>
      <c r="L1549">
        <v>2184656.67</v>
      </c>
      <c r="M1549">
        <v>0</v>
      </c>
      <c r="N1549">
        <v>2184656.67</v>
      </c>
      <c r="O1549">
        <v>75411</v>
      </c>
      <c r="P1549">
        <v>0</v>
      </c>
      <c r="Q1549">
        <v>2184656.67</v>
      </c>
      <c r="R1549">
        <v>75411</v>
      </c>
      <c r="S1549" s="238" t="s">
        <v>124</v>
      </c>
      <c r="T1549" s="238" t="s">
        <v>3540</v>
      </c>
      <c r="U1549">
        <v>114981.93000000017</v>
      </c>
      <c r="V1549" t="s">
        <v>1167</v>
      </c>
      <c r="W1549" s="24">
        <v>44852</v>
      </c>
      <c r="X1549" s="238" t="s">
        <v>3582</v>
      </c>
      <c r="Y1549" s="238" t="s">
        <v>39</v>
      </c>
      <c r="Z1549" s="238" t="s">
        <v>1340</v>
      </c>
      <c r="AA1549" t="s">
        <v>3113</v>
      </c>
      <c r="AB1549" s="238" t="s">
        <v>3246</v>
      </c>
      <c r="AC1549" t="s">
        <v>1167</v>
      </c>
      <c r="AD1549" s="24"/>
      <c r="AE1549" s="238" t="s">
        <v>2242</v>
      </c>
      <c r="AF1549">
        <v>79876304688</v>
      </c>
      <c r="AG1549" s="238" t="s">
        <v>2243</v>
      </c>
      <c r="AH1549" s="238" t="s">
        <v>1171</v>
      </c>
      <c r="AI1549" s="238" t="s">
        <v>3082</v>
      </c>
      <c r="AJ1549" s="238" t="s">
        <v>399</v>
      </c>
      <c r="AK1549" s="238" t="s">
        <v>1167</v>
      </c>
      <c r="AL1549" t="s">
        <v>8715</v>
      </c>
      <c r="AM1549" t="s">
        <v>1167</v>
      </c>
    </row>
    <row r="1550" spans="1:39" hidden="1" x14ac:dyDescent="0.25">
      <c r="A1550">
        <v>1546</v>
      </c>
      <c r="B1550">
        <v>27</v>
      </c>
      <c r="C1550" s="24">
        <v>44854</v>
      </c>
      <c r="D1550" s="238" t="s">
        <v>27</v>
      </c>
      <c r="E1550" s="238" t="s">
        <v>5</v>
      </c>
      <c r="F1550">
        <v>3</v>
      </c>
      <c r="G1550">
        <v>9</v>
      </c>
      <c r="H1550">
        <v>266</v>
      </c>
      <c r="I1550" s="238" t="s">
        <v>4052</v>
      </c>
      <c r="J1550">
        <v>23.54</v>
      </c>
      <c r="K1550" s="238" t="s">
        <v>38</v>
      </c>
      <c r="L1550">
        <v>2351760.27</v>
      </c>
      <c r="M1550">
        <v>0</v>
      </c>
      <c r="N1550">
        <v>2351760.27</v>
      </c>
      <c r="O1550">
        <v>99904.854290569245</v>
      </c>
      <c r="P1550">
        <v>517880</v>
      </c>
      <c r="Q1550">
        <v>1833880.27</v>
      </c>
      <c r="R1550">
        <v>77904.854290569245</v>
      </c>
      <c r="S1550" s="238" t="s">
        <v>137</v>
      </c>
      <c r="T1550" s="238" t="s">
        <v>3540</v>
      </c>
      <c r="U1550">
        <v>96520.01</v>
      </c>
      <c r="V1550" t="s">
        <v>4091</v>
      </c>
      <c r="W1550" s="24">
        <v>44848</v>
      </c>
      <c r="X1550" s="238" t="s">
        <v>3030</v>
      </c>
      <c r="Y1550" s="238" t="s">
        <v>39</v>
      </c>
      <c r="Z1550" s="238" t="s">
        <v>1340</v>
      </c>
      <c r="AA1550" t="s">
        <v>3113</v>
      </c>
      <c r="AB1550" s="238" t="s">
        <v>3246</v>
      </c>
      <c r="AC1550" t="s">
        <v>3079</v>
      </c>
      <c r="AD1550" s="24"/>
      <c r="AE1550" s="238" t="s">
        <v>3583</v>
      </c>
      <c r="AF1550">
        <v>79093656050</v>
      </c>
      <c r="AG1550" s="238" t="s">
        <v>3584</v>
      </c>
      <c r="AH1550" s="238" t="s">
        <v>1212</v>
      </c>
      <c r="AI1550" s="238" t="s">
        <v>135</v>
      </c>
      <c r="AJ1550" s="238" t="s">
        <v>130</v>
      </c>
      <c r="AK1550" s="238" t="s">
        <v>3345</v>
      </c>
      <c r="AL1550" t="s">
        <v>8715</v>
      </c>
      <c r="AM1550" t="s">
        <v>3663</v>
      </c>
    </row>
    <row r="1551" spans="1:39" hidden="1" x14ac:dyDescent="0.25">
      <c r="A1551">
        <v>1547</v>
      </c>
      <c r="B1551">
        <v>28</v>
      </c>
      <c r="C1551" s="24">
        <v>44854</v>
      </c>
      <c r="D1551" s="238" t="s">
        <v>27</v>
      </c>
      <c r="E1551" s="238" t="s">
        <v>5</v>
      </c>
      <c r="F1551">
        <v>7</v>
      </c>
      <c r="G1551">
        <v>5</v>
      </c>
      <c r="H1551">
        <v>238</v>
      </c>
      <c r="I1551" s="238" t="s">
        <v>43</v>
      </c>
      <c r="J1551">
        <v>59.93</v>
      </c>
      <c r="K1551" s="238" t="s">
        <v>36</v>
      </c>
      <c r="L1551">
        <v>4274829.07</v>
      </c>
      <c r="M1551">
        <v>0</v>
      </c>
      <c r="N1551">
        <v>4274829.07</v>
      </c>
      <c r="O1551">
        <v>71330.369931586858</v>
      </c>
      <c r="P1551">
        <v>0</v>
      </c>
      <c r="Q1551">
        <v>4274829.07</v>
      </c>
      <c r="R1551">
        <v>71330.369931586858</v>
      </c>
      <c r="S1551" s="238" t="s">
        <v>137</v>
      </c>
      <c r="T1551" s="238" t="s">
        <v>3540</v>
      </c>
      <c r="U1551">
        <v>224991</v>
      </c>
      <c r="V1551" t="s">
        <v>4092</v>
      </c>
      <c r="W1551" s="24">
        <v>44851</v>
      </c>
      <c r="X1551" s="238" t="s">
        <v>3585</v>
      </c>
      <c r="Y1551" s="238" t="s">
        <v>39</v>
      </c>
      <c r="Z1551" s="238" t="s">
        <v>1340</v>
      </c>
      <c r="AA1551" t="s">
        <v>3113</v>
      </c>
      <c r="AB1551" s="238" t="s">
        <v>3246</v>
      </c>
      <c r="AC1551" t="s">
        <v>3079</v>
      </c>
      <c r="AD1551" s="24"/>
      <c r="AE1551" s="238" t="s">
        <v>3586</v>
      </c>
      <c r="AF1551">
        <v>79272087818</v>
      </c>
      <c r="AG1551" s="238" t="s">
        <v>3587</v>
      </c>
      <c r="AH1551" s="238" t="s">
        <v>1212</v>
      </c>
      <c r="AI1551" s="238" t="s">
        <v>135</v>
      </c>
      <c r="AJ1551" s="238" t="s">
        <v>130</v>
      </c>
      <c r="AK1551" s="238" t="s">
        <v>3345</v>
      </c>
      <c r="AL1551" t="s">
        <v>8715</v>
      </c>
      <c r="AM1551" t="s">
        <v>3663</v>
      </c>
    </row>
    <row r="1552" spans="1:39" hidden="1" x14ac:dyDescent="0.25">
      <c r="A1552">
        <v>1548</v>
      </c>
      <c r="B1552">
        <v>29</v>
      </c>
      <c r="C1552" s="24">
        <v>44855</v>
      </c>
      <c r="D1552" s="238" t="s">
        <v>27</v>
      </c>
      <c r="E1552" s="238" t="s">
        <v>15</v>
      </c>
      <c r="F1552">
        <v>4</v>
      </c>
      <c r="G1552">
        <v>16</v>
      </c>
      <c r="H1552">
        <v>627</v>
      </c>
      <c r="I1552" s="238" t="s">
        <v>42</v>
      </c>
      <c r="J1552">
        <v>40</v>
      </c>
      <c r="K1552" s="238" t="s">
        <v>36</v>
      </c>
      <c r="L1552">
        <v>2844549.28</v>
      </c>
      <c r="M1552">
        <v>0</v>
      </c>
      <c r="N1552">
        <v>2844549.28</v>
      </c>
      <c r="O1552">
        <v>71113.731999999989</v>
      </c>
      <c r="P1552">
        <v>0</v>
      </c>
      <c r="Q1552">
        <v>2844549.28</v>
      </c>
      <c r="R1552">
        <v>71113.731999999989</v>
      </c>
      <c r="S1552" s="238" t="s">
        <v>137</v>
      </c>
      <c r="T1552" s="238" t="s">
        <v>3540</v>
      </c>
      <c r="U1552">
        <v>149713.12</v>
      </c>
      <c r="V1552" t="s">
        <v>4091</v>
      </c>
      <c r="W1552" s="24">
        <v>44851</v>
      </c>
      <c r="X1552" s="238" t="s">
        <v>3588</v>
      </c>
      <c r="Y1552" s="238" t="s">
        <v>39</v>
      </c>
      <c r="Z1552" s="238" t="s">
        <v>1340</v>
      </c>
      <c r="AA1552" t="s">
        <v>3113</v>
      </c>
      <c r="AB1552" s="238" t="s">
        <v>3246</v>
      </c>
      <c r="AC1552" t="s">
        <v>3079</v>
      </c>
      <c r="AD1552" s="24"/>
      <c r="AE1552" s="238" t="s">
        <v>3589</v>
      </c>
      <c r="AF1552">
        <v>79021839443</v>
      </c>
      <c r="AG1552" s="238" t="s">
        <v>3590</v>
      </c>
      <c r="AH1552" s="238" t="s">
        <v>1212</v>
      </c>
      <c r="AI1552" s="238" t="s">
        <v>3090</v>
      </c>
      <c r="AJ1552" s="238" t="s">
        <v>130</v>
      </c>
      <c r="AK1552" s="238" t="s">
        <v>141</v>
      </c>
      <c r="AL1552" t="s">
        <v>8715</v>
      </c>
      <c r="AM1552" t="s">
        <v>3663</v>
      </c>
    </row>
    <row r="1553" spans="1:39" hidden="1" x14ac:dyDescent="0.25">
      <c r="A1553">
        <v>1549</v>
      </c>
      <c r="B1553">
        <v>30</v>
      </c>
      <c r="C1553" s="24">
        <v>44858</v>
      </c>
      <c r="D1553" s="238" t="s">
        <v>91</v>
      </c>
      <c r="E1553" s="238" t="s">
        <v>5</v>
      </c>
      <c r="F1553">
        <v>4</v>
      </c>
      <c r="G1553">
        <v>16</v>
      </c>
      <c r="H1553">
        <v>236</v>
      </c>
      <c r="I1553" s="238" t="s">
        <v>42</v>
      </c>
      <c r="J1553">
        <v>37.81</v>
      </c>
      <c r="K1553" s="238" t="s">
        <v>36</v>
      </c>
      <c r="L1553">
        <v>2855514.05</v>
      </c>
      <c r="M1553">
        <v>0</v>
      </c>
      <c r="N1553">
        <v>2855514.05</v>
      </c>
      <c r="O1553">
        <v>75522.720179846598</v>
      </c>
      <c r="P1553">
        <v>0</v>
      </c>
      <c r="Q1553">
        <v>2855514.05</v>
      </c>
      <c r="R1553">
        <v>75522.720179846598</v>
      </c>
      <c r="S1553" s="238" t="s">
        <v>137</v>
      </c>
      <c r="T1553" s="238" t="s">
        <v>3540</v>
      </c>
      <c r="U1553">
        <v>150290.21</v>
      </c>
      <c r="V1553" t="s">
        <v>4092</v>
      </c>
      <c r="W1553" s="24">
        <v>44851</v>
      </c>
      <c r="X1553" s="238" t="s">
        <v>3591</v>
      </c>
      <c r="Y1553" s="238" t="s">
        <v>39</v>
      </c>
      <c r="Z1553" s="238" t="s">
        <v>1340</v>
      </c>
      <c r="AA1553" t="s">
        <v>3113</v>
      </c>
      <c r="AB1553" s="238" t="s">
        <v>3246</v>
      </c>
      <c r="AC1553" t="s">
        <v>3079</v>
      </c>
      <c r="AD1553" s="24"/>
      <c r="AE1553" s="238" t="s">
        <v>3592</v>
      </c>
      <c r="AF1553">
        <v>79379973024</v>
      </c>
      <c r="AG1553" s="238" t="s">
        <v>3593</v>
      </c>
      <c r="AH1553" s="238" t="s">
        <v>1212</v>
      </c>
      <c r="AI1553" s="238" t="s">
        <v>3102</v>
      </c>
      <c r="AJ1553" s="238" t="s">
        <v>399</v>
      </c>
      <c r="AK1553" s="238" t="s">
        <v>3345</v>
      </c>
      <c r="AL1553" t="s">
        <v>8715</v>
      </c>
      <c r="AM1553" t="s">
        <v>3663</v>
      </c>
    </row>
    <row r="1554" spans="1:39" hidden="1" x14ac:dyDescent="0.25">
      <c r="A1554">
        <v>1550</v>
      </c>
      <c r="B1554">
        <v>31</v>
      </c>
      <c r="C1554" s="24">
        <v>44858</v>
      </c>
      <c r="D1554" s="238" t="s">
        <v>27</v>
      </c>
      <c r="E1554" s="238" t="s">
        <v>5</v>
      </c>
      <c r="F1554">
        <v>7</v>
      </c>
      <c r="G1554">
        <v>11</v>
      </c>
      <c r="H1554">
        <v>286</v>
      </c>
      <c r="I1554" s="238" t="s">
        <v>43</v>
      </c>
      <c r="J1554">
        <v>59.93</v>
      </c>
      <c r="K1554" s="238" t="s">
        <v>38</v>
      </c>
      <c r="L1554">
        <v>5593289.0700000003</v>
      </c>
      <c r="M1554">
        <v>0</v>
      </c>
      <c r="N1554">
        <v>5593289.0700000003</v>
      </c>
      <c r="O1554">
        <v>93330.369931586858</v>
      </c>
      <c r="P1554">
        <v>1318459.9999999972</v>
      </c>
      <c r="Q1554">
        <v>4274829.0700000031</v>
      </c>
      <c r="R1554">
        <v>71330.369931586902</v>
      </c>
      <c r="S1554" s="238" t="s">
        <v>137</v>
      </c>
      <c r="T1554" s="238" t="s">
        <v>3540</v>
      </c>
      <c r="U1554">
        <v>224991.00368421059</v>
      </c>
      <c r="V1554" t="s">
        <v>4092</v>
      </c>
      <c r="W1554" s="24">
        <v>44854</v>
      </c>
      <c r="X1554" s="238" t="s">
        <v>3594</v>
      </c>
      <c r="Y1554" s="238" t="s">
        <v>39</v>
      </c>
      <c r="Z1554" s="238" t="s">
        <v>1340</v>
      </c>
      <c r="AA1554" t="s">
        <v>3474</v>
      </c>
      <c r="AB1554" s="238" t="s">
        <v>3246</v>
      </c>
      <c r="AC1554" t="s">
        <v>3077</v>
      </c>
      <c r="AD1554" s="24"/>
      <c r="AE1554" s="238" t="s">
        <v>3595</v>
      </c>
      <c r="AF1554">
        <v>79272185155</v>
      </c>
      <c r="AG1554" s="238" t="s">
        <v>3596</v>
      </c>
      <c r="AH1554" s="238" t="s">
        <v>146</v>
      </c>
      <c r="AI1554" s="238" t="s">
        <v>135</v>
      </c>
      <c r="AJ1554" s="238" t="s">
        <v>399</v>
      </c>
      <c r="AK1554" s="238" t="s">
        <v>141</v>
      </c>
      <c r="AL1554" t="s">
        <v>8715</v>
      </c>
      <c r="AM1554" t="s">
        <v>3663</v>
      </c>
    </row>
    <row r="1555" spans="1:39" hidden="1" x14ac:dyDescent="0.25">
      <c r="A1555">
        <v>1551</v>
      </c>
      <c r="B1555">
        <v>32</v>
      </c>
      <c r="C1555" s="24">
        <v>44858</v>
      </c>
      <c r="D1555" s="238" t="s">
        <v>27</v>
      </c>
      <c r="E1555" s="238" t="s">
        <v>6</v>
      </c>
      <c r="F1555">
        <v>8</v>
      </c>
      <c r="G1555">
        <v>19</v>
      </c>
      <c r="H1555">
        <v>161</v>
      </c>
      <c r="I1555" s="238" t="s">
        <v>42</v>
      </c>
      <c r="J1555">
        <v>37.69</v>
      </c>
      <c r="K1555" s="238" t="s">
        <v>36</v>
      </c>
      <c r="L1555">
        <v>3138859.76</v>
      </c>
      <c r="M1555">
        <v>0</v>
      </c>
      <c r="N1555">
        <v>3138859.76</v>
      </c>
      <c r="O1555">
        <v>83280.970018572567</v>
      </c>
      <c r="P1555">
        <v>0</v>
      </c>
      <c r="Q1555">
        <v>3138859.76</v>
      </c>
      <c r="R1555">
        <v>83280.970018572567</v>
      </c>
      <c r="S1555" s="238" t="s">
        <v>137</v>
      </c>
      <c r="T1555" s="238" t="s">
        <v>1167</v>
      </c>
      <c r="V1555" t="s">
        <v>4091</v>
      </c>
      <c r="W1555" s="24">
        <v>44855</v>
      </c>
      <c r="X1555" s="238" t="s">
        <v>3597</v>
      </c>
      <c r="Y1555" s="238" t="s">
        <v>39</v>
      </c>
      <c r="Z1555" s="238" t="s">
        <v>1340</v>
      </c>
      <c r="AA1555" t="s">
        <v>3113</v>
      </c>
      <c r="AB1555" s="238" t="s">
        <v>3246</v>
      </c>
      <c r="AC1555" t="s">
        <v>3079</v>
      </c>
      <c r="AD1555" s="24"/>
      <c r="AE1555" s="238" t="s">
        <v>3598</v>
      </c>
      <c r="AF1555">
        <v>79991718146</v>
      </c>
      <c r="AG1555" s="238" t="s">
        <v>3599</v>
      </c>
      <c r="AH1555" s="238" t="s">
        <v>1212</v>
      </c>
      <c r="AI1555" s="238" t="s">
        <v>3085</v>
      </c>
      <c r="AJ1555" s="238" t="s">
        <v>130</v>
      </c>
      <c r="AK1555" s="238" t="s">
        <v>3345</v>
      </c>
      <c r="AL1555" t="s">
        <v>8715</v>
      </c>
      <c r="AM1555" t="s">
        <v>3663</v>
      </c>
    </row>
    <row r="1556" spans="1:39" hidden="1" x14ac:dyDescent="0.25">
      <c r="A1556">
        <v>1552</v>
      </c>
      <c r="B1556">
        <v>33</v>
      </c>
      <c r="C1556" s="24">
        <v>44858</v>
      </c>
      <c r="D1556" s="238" t="s">
        <v>27</v>
      </c>
      <c r="E1556" s="238" t="s">
        <v>14</v>
      </c>
      <c r="F1556">
        <v>7</v>
      </c>
      <c r="G1556">
        <v>5</v>
      </c>
      <c r="H1556">
        <v>665</v>
      </c>
      <c r="I1556" s="238" t="s">
        <v>42</v>
      </c>
      <c r="J1556">
        <v>38.909999999999997</v>
      </c>
      <c r="K1556" s="238" t="s">
        <v>37</v>
      </c>
      <c r="L1556">
        <v>3506649.35</v>
      </c>
      <c r="M1556">
        <v>0</v>
      </c>
      <c r="N1556">
        <v>3506649.35</v>
      </c>
      <c r="O1556">
        <v>90122.059881778478</v>
      </c>
      <c r="P1556">
        <v>291824.9999999986</v>
      </c>
      <c r="Q1556">
        <v>3214824.3500000015</v>
      </c>
      <c r="R1556">
        <v>82622.059881778507</v>
      </c>
      <c r="S1556" s="238" t="s">
        <v>137</v>
      </c>
      <c r="T1556" s="238" t="s">
        <v>1167</v>
      </c>
      <c r="V1556" t="s">
        <v>4091</v>
      </c>
      <c r="W1556" s="24">
        <v>44855</v>
      </c>
      <c r="X1556" s="238" t="s">
        <v>3600</v>
      </c>
      <c r="Y1556" s="238" t="s">
        <v>39</v>
      </c>
      <c r="Z1556" s="238" t="s">
        <v>1340</v>
      </c>
      <c r="AA1556" t="s">
        <v>3113</v>
      </c>
      <c r="AB1556" s="238" t="s">
        <v>3246</v>
      </c>
      <c r="AC1556" t="s">
        <v>3079</v>
      </c>
      <c r="AD1556" s="24"/>
      <c r="AE1556" s="238" t="s">
        <v>3601</v>
      </c>
      <c r="AF1556">
        <v>79170303730</v>
      </c>
      <c r="AG1556" s="238" t="s">
        <v>3602</v>
      </c>
      <c r="AH1556" s="238" t="s">
        <v>1171</v>
      </c>
      <c r="AI1556" s="238" t="s">
        <v>135</v>
      </c>
      <c r="AJ1556" s="238" t="s">
        <v>399</v>
      </c>
      <c r="AK1556" s="238" t="s">
        <v>141</v>
      </c>
      <c r="AL1556" t="s">
        <v>8715</v>
      </c>
      <c r="AM1556" t="s">
        <v>3663</v>
      </c>
    </row>
    <row r="1557" spans="1:39" hidden="1" x14ac:dyDescent="0.25">
      <c r="A1557">
        <v>1553</v>
      </c>
      <c r="B1557">
        <v>34</v>
      </c>
      <c r="C1557" s="24">
        <v>44859</v>
      </c>
      <c r="D1557" s="238" t="s">
        <v>27</v>
      </c>
      <c r="E1557" s="238" t="s">
        <v>13</v>
      </c>
      <c r="F1557">
        <v>1</v>
      </c>
      <c r="G1557">
        <v>7</v>
      </c>
      <c r="H1557">
        <v>876</v>
      </c>
      <c r="I1557" s="238" t="s">
        <v>42</v>
      </c>
      <c r="J1557">
        <v>37.15</v>
      </c>
      <c r="K1557" s="238" t="s">
        <v>36</v>
      </c>
      <c r="L1557">
        <v>3069834.9</v>
      </c>
      <c r="M1557">
        <v>0</v>
      </c>
      <c r="N1557">
        <v>3069834.9</v>
      </c>
      <c r="O1557">
        <v>82633.510094212659</v>
      </c>
      <c r="P1557">
        <v>0</v>
      </c>
      <c r="Q1557">
        <v>3069834.9</v>
      </c>
      <c r="R1557">
        <v>82633.510094212659</v>
      </c>
      <c r="S1557" s="238" t="s">
        <v>137</v>
      </c>
      <c r="T1557" s="238" t="s">
        <v>1167</v>
      </c>
      <c r="V1557" t="s">
        <v>4091</v>
      </c>
      <c r="W1557" s="24">
        <v>44853</v>
      </c>
      <c r="X1557" s="238" t="s">
        <v>3603</v>
      </c>
      <c r="Y1557" s="238" t="s">
        <v>39</v>
      </c>
      <c r="Z1557" s="238" t="s">
        <v>1340</v>
      </c>
      <c r="AA1557" t="s">
        <v>3113</v>
      </c>
      <c r="AB1557" s="238" t="s">
        <v>3246</v>
      </c>
      <c r="AC1557" t="s">
        <v>3079</v>
      </c>
      <c r="AD1557" s="24"/>
      <c r="AE1557" s="238" t="s">
        <v>3604</v>
      </c>
      <c r="AF1557">
        <v>79917121245</v>
      </c>
      <c r="AG1557" s="238" t="s">
        <v>3605</v>
      </c>
      <c r="AH1557" s="238" t="s">
        <v>1212</v>
      </c>
      <c r="AI1557" s="238" t="s">
        <v>135</v>
      </c>
      <c r="AJ1557" s="238" t="s">
        <v>399</v>
      </c>
      <c r="AK1557" s="238" t="s">
        <v>3345</v>
      </c>
      <c r="AL1557" t="s">
        <v>8715</v>
      </c>
      <c r="AM1557" t="s">
        <v>3663</v>
      </c>
    </row>
    <row r="1558" spans="1:39" hidden="1" x14ac:dyDescent="0.25">
      <c r="A1558">
        <v>1554</v>
      </c>
      <c r="B1558">
        <v>35</v>
      </c>
      <c r="C1558" s="24">
        <v>44859</v>
      </c>
      <c r="D1558" s="238" t="s">
        <v>27</v>
      </c>
      <c r="E1558" s="238" t="s">
        <v>5</v>
      </c>
      <c r="F1558">
        <v>3</v>
      </c>
      <c r="G1558">
        <v>22</v>
      </c>
      <c r="H1558">
        <v>370</v>
      </c>
      <c r="I1558" s="238" t="s">
        <v>4052</v>
      </c>
      <c r="J1558">
        <v>23.54</v>
      </c>
      <c r="K1558" s="238" t="s">
        <v>38</v>
      </c>
      <c r="L1558">
        <v>2561199.08</v>
      </c>
      <c r="M1558">
        <v>0</v>
      </c>
      <c r="N1558">
        <v>2561199.08</v>
      </c>
      <c r="O1558">
        <v>108802</v>
      </c>
      <c r="P1558">
        <v>517880.00000000023</v>
      </c>
      <c r="Q1558">
        <v>2043319.0799999998</v>
      </c>
      <c r="R1558">
        <v>86802</v>
      </c>
      <c r="S1558" s="238" t="s">
        <v>137</v>
      </c>
      <c r="T1558" s="238" t="s">
        <v>1167</v>
      </c>
      <c r="V1558" t="s">
        <v>4092</v>
      </c>
      <c r="W1558" s="24">
        <v>44855</v>
      </c>
      <c r="X1558" s="238" t="s">
        <v>3606</v>
      </c>
      <c r="Y1558" s="238" t="s">
        <v>39</v>
      </c>
      <c r="Z1558" s="238" t="s">
        <v>1340</v>
      </c>
      <c r="AA1558" t="s">
        <v>3113</v>
      </c>
      <c r="AB1558" s="238" t="s">
        <v>3246</v>
      </c>
      <c r="AC1558" t="s">
        <v>3079</v>
      </c>
      <c r="AD1558" s="24"/>
      <c r="AE1558" s="238" t="s">
        <v>3607</v>
      </c>
      <c r="AF1558">
        <v>79179492196</v>
      </c>
      <c r="AG1558" s="238" t="s">
        <v>3608</v>
      </c>
      <c r="AH1558" s="238" t="s">
        <v>1171</v>
      </c>
      <c r="AI1558" s="238" t="s">
        <v>3074</v>
      </c>
      <c r="AJ1558" s="238" t="s">
        <v>130</v>
      </c>
      <c r="AK1558" s="238" t="s">
        <v>141</v>
      </c>
      <c r="AL1558" t="s">
        <v>8715</v>
      </c>
      <c r="AM1558" t="s">
        <v>3663</v>
      </c>
    </row>
    <row r="1559" spans="1:39" hidden="1" x14ac:dyDescent="0.25">
      <c r="A1559">
        <v>1555</v>
      </c>
      <c r="B1559">
        <v>36</v>
      </c>
      <c r="C1559" s="24">
        <v>44859</v>
      </c>
      <c r="D1559" s="238" t="s">
        <v>19</v>
      </c>
      <c r="E1559" s="238" t="s">
        <v>6</v>
      </c>
      <c r="F1559">
        <v>1</v>
      </c>
      <c r="G1559">
        <v>13</v>
      </c>
      <c r="H1559">
        <v>78</v>
      </c>
      <c r="I1559" s="238" t="s">
        <v>43</v>
      </c>
      <c r="J1559">
        <v>60.8</v>
      </c>
      <c r="K1559" s="238" t="s">
        <v>36</v>
      </c>
      <c r="L1559">
        <v>4943040</v>
      </c>
      <c r="M1559">
        <v>0</v>
      </c>
      <c r="N1559">
        <v>4943040</v>
      </c>
      <c r="O1559">
        <v>81300</v>
      </c>
      <c r="P1559">
        <v>0</v>
      </c>
      <c r="Q1559">
        <v>4943040</v>
      </c>
      <c r="R1559">
        <v>81300</v>
      </c>
      <c r="S1559" s="238" t="s">
        <v>137</v>
      </c>
      <c r="T1559" s="238" t="s">
        <v>3390</v>
      </c>
      <c r="U1559">
        <v>1098358.3799999999</v>
      </c>
      <c r="V1559" t="s">
        <v>4091</v>
      </c>
      <c r="W1559" s="24">
        <v>44855</v>
      </c>
      <c r="X1559" s="238" t="s">
        <v>3609</v>
      </c>
      <c r="Y1559" s="238" t="s">
        <v>39</v>
      </c>
      <c r="Z1559" s="238" t="s">
        <v>1340</v>
      </c>
      <c r="AA1559" t="s">
        <v>3113</v>
      </c>
      <c r="AB1559" s="238" t="s">
        <v>3124</v>
      </c>
      <c r="AC1559" t="s">
        <v>3079</v>
      </c>
      <c r="AD1559" s="24"/>
      <c r="AE1559" s="238" t="s">
        <v>3610</v>
      </c>
      <c r="AF1559">
        <v>79370048081</v>
      </c>
      <c r="AG1559" s="238" t="s">
        <v>3611</v>
      </c>
      <c r="AH1559" s="238" t="s">
        <v>1212</v>
      </c>
      <c r="AI1559" s="238" t="s">
        <v>3075</v>
      </c>
      <c r="AJ1559" s="238" t="s">
        <v>130</v>
      </c>
      <c r="AK1559" s="238" t="s">
        <v>141</v>
      </c>
      <c r="AL1559" t="s">
        <v>8715</v>
      </c>
      <c r="AM1559" t="s">
        <v>3663</v>
      </c>
    </row>
    <row r="1560" spans="1:39" hidden="1" x14ac:dyDescent="0.25">
      <c r="A1560">
        <v>1556</v>
      </c>
      <c r="B1560">
        <v>37</v>
      </c>
      <c r="C1560" s="24">
        <v>44859</v>
      </c>
      <c r="D1560" s="238" t="s">
        <v>27</v>
      </c>
      <c r="E1560" s="238" t="s">
        <v>15</v>
      </c>
      <c r="F1560">
        <v>2</v>
      </c>
      <c r="G1560">
        <v>10</v>
      </c>
      <c r="H1560">
        <v>577</v>
      </c>
      <c r="I1560" s="238" t="s">
        <v>42</v>
      </c>
      <c r="J1560">
        <v>37.159999999999997</v>
      </c>
      <c r="K1560" s="238" t="s">
        <v>37</v>
      </c>
      <c r="L1560">
        <v>3090477.82</v>
      </c>
      <c r="M1560">
        <v>0</v>
      </c>
      <c r="N1560">
        <v>3090477.82</v>
      </c>
      <c r="O1560">
        <v>83166.787405812705</v>
      </c>
      <c r="P1560">
        <v>278700</v>
      </c>
      <c r="Q1560">
        <v>2811777.82</v>
      </c>
      <c r="R1560">
        <v>75666.787405812705</v>
      </c>
      <c r="S1560" s="238" t="s">
        <v>121</v>
      </c>
      <c r="T1560" s="238" t="s">
        <v>3540</v>
      </c>
      <c r="U1560">
        <v>147988.31</v>
      </c>
      <c r="V1560" t="s">
        <v>1167</v>
      </c>
      <c r="W1560" s="24">
        <v>44857</v>
      </c>
      <c r="X1560" s="238" t="s">
        <v>3612</v>
      </c>
      <c r="Y1560" s="238" t="s">
        <v>39</v>
      </c>
      <c r="Z1560" s="238" t="s">
        <v>1340</v>
      </c>
      <c r="AA1560" t="s">
        <v>3113</v>
      </c>
      <c r="AB1560" s="238" t="s">
        <v>3246</v>
      </c>
      <c r="AC1560" t="s">
        <v>1167</v>
      </c>
      <c r="AD1560" s="24"/>
      <c r="AE1560" s="238" t="s">
        <v>3613</v>
      </c>
      <c r="AF1560">
        <v>79376402771</v>
      </c>
      <c r="AG1560" s="238" t="s">
        <v>3614</v>
      </c>
      <c r="AH1560" s="238" t="s">
        <v>1212</v>
      </c>
      <c r="AI1560" s="238" t="s">
        <v>3097</v>
      </c>
      <c r="AJ1560" s="238" t="s">
        <v>399</v>
      </c>
      <c r="AK1560" s="238" t="s">
        <v>1167</v>
      </c>
      <c r="AL1560" t="s">
        <v>8715</v>
      </c>
      <c r="AM1560" t="s">
        <v>3663</v>
      </c>
    </row>
    <row r="1561" spans="1:39" hidden="1" x14ac:dyDescent="0.25">
      <c r="A1561">
        <v>1557</v>
      </c>
      <c r="B1561">
        <v>38</v>
      </c>
      <c r="C1561" s="24">
        <v>44859</v>
      </c>
      <c r="D1561" s="238" t="s">
        <v>19</v>
      </c>
      <c r="E1561" s="238" t="s">
        <v>6</v>
      </c>
      <c r="F1561">
        <v>7</v>
      </c>
      <c r="G1561">
        <v>15</v>
      </c>
      <c r="H1561">
        <v>98</v>
      </c>
      <c r="I1561" s="238" t="s">
        <v>43</v>
      </c>
      <c r="J1561">
        <v>59.9</v>
      </c>
      <c r="K1561" s="238" t="s">
        <v>36</v>
      </c>
      <c r="L1561">
        <v>4869870</v>
      </c>
      <c r="M1561">
        <v>0</v>
      </c>
      <c r="N1561">
        <v>4869870</v>
      </c>
      <c r="O1561">
        <v>81300</v>
      </c>
      <c r="P1561">
        <v>0</v>
      </c>
      <c r="Q1561">
        <v>4869870</v>
      </c>
      <c r="R1561">
        <v>81300</v>
      </c>
      <c r="S1561" s="238" t="s">
        <v>137</v>
      </c>
      <c r="T1561" s="238" t="s">
        <v>3390</v>
      </c>
      <c r="U1561">
        <v>875085.9</v>
      </c>
      <c r="V1561" t="s">
        <v>4091</v>
      </c>
      <c r="W1561" s="24">
        <v>44858</v>
      </c>
      <c r="X1561" s="238" t="s">
        <v>3615</v>
      </c>
      <c r="Y1561" s="238" t="s">
        <v>39</v>
      </c>
      <c r="Z1561" s="238" t="s">
        <v>1340</v>
      </c>
      <c r="AA1561" t="s">
        <v>3113</v>
      </c>
      <c r="AB1561" s="238" t="s">
        <v>3124</v>
      </c>
      <c r="AC1561" t="s">
        <v>3079</v>
      </c>
      <c r="AD1561" s="24"/>
      <c r="AE1561" s="238" t="s">
        <v>3616</v>
      </c>
      <c r="AF1561">
        <v>79178189004</v>
      </c>
      <c r="AG1561" s="238" t="s">
        <v>3617</v>
      </c>
      <c r="AH1561" s="238" t="s">
        <v>1171</v>
      </c>
      <c r="AI1561" s="238" t="s">
        <v>3074</v>
      </c>
      <c r="AJ1561" s="238" t="s">
        <v>130</v>
      </c>
      <c r="AK1561" s="238" t="s">
        <v>141</v>
      </c>
      <c r="AL1561" t="s">
        <v>8715</v>
      </c>
      <c r="AM1561" t="s">
        <v>3663</v>
      </c>
    </row>
    <row r="1562" spans="1:39" hidden="1" x14ac:dyDescent="0.25">
      <c r="A1562">
        <v>1558</v>
      </c>
      <c r="B1562">
        <v>39</v>
      </c>
      <c r="C1562" s="24">
        <v>44859</v>
      </c>
      <c r="D1562" s="238" t="s">
        <v>27</v>
      </c>
      <c r="E1562" s="238" t="s">
        <v>13</v>
      </c>
      <c r="F1562">
        <v>3</v>
      </c>
      <c r="G1562">
        <v>9</v>
      </c>
      <c r="H1562">
        <v>896</v>
      </c>
      <c r="I1562" s="238" t="s">
        <v>42</v>
      </c>
      <c r="J1562">
        <v>37.31</v>
      </c>
      <c r="K1562" s="238" t="s">
        <v>38</v>
      </c>
      <c r="L1562">
        <v>3777495.46</v>
      </c>
      <c r="M1562">
        <v>15000</v>
      </c>
      <c r="N1562">
        <v>3792495.46</v>
      </c>
      <c r="O1562">
        <v>101648.22996515679</v>
      </c>
      <c r="P1562">
        <v>820819.99999999953</v>
      </c>
      <c r="Q1562">
        <v>2971675.4600000004</v>
      </c>
      <c r="R1562">
        <v>79648.229965156803</v>
      </c>
      <c r="S1562" s="238" t="s">
        <v>137</v>
      </c>
      <c r="T1562" s="238" t="s">
        <v>1167</v>
      </c>
      <c r="V1562" t="s">
        <v>4091</v>
      </c>
      <c r="W1562" s="24">
        <v>44859</v>
      </c>
      <c r="X1562" s="238" t="s">
        <v>3618</v>
      </c>
      <c r="Y1562" s="238" t="s">
        <v>39</v>
      </c>
      <c r="Z1562" s="238" t="s">
        <v>1340</v>
      </c>
      <c r="AA1562" t="s">
        <v>3113</v>
      </c>
      <c r="AB1562" s="238" t="s">
        <v>3246</v>
      </c>
      <c r="AC1562" t="s">
        <v>3079</v>
      </c>
      <c r="AD1562" s="24"/>
      <c r="AE1562" s="238" t="s">
        <v>3619</v>
      </c>
      <c r="AF1562">
        <v>79178215909</v>
      </c>
      <c r="AG1562" s="238" t="s">
        <v>3620</v>
      </c>
      <c r="AH1562" s="238" t="s">
        <v>1171</v>
      </c>
      <c r="AI1562" s="238" t="s">
        <v>135</v>
      </c>
      <c r="AJ1562" s="238" t="s">
        <v>130</v>
      </c>
      <c r="AK1562" s="238" t="s">
        <v>141</v>
      </c>
      <c r="AL1562" t="s">
        <v>8715</v>
      </c>
      <c r="AM1562" t="s">
        <v>3663</v>
      </c>
    </row>
    <row r="1563" spans="1:39" hidden="1" x14ac:dyDescent="0.25">
      <c r="A1563">
        <v>1559</v>
      </c>
      <c r="B1563">
        <v>40</v>
      </c>
      <c r="C1563" s="24">
        <v>44860</v>
      </c>
      <c r="D1563" s="238" t="s">
        <v>91</v>
      </c>
      <c r="E1563" s="238" t="s">
        <v>16</v>
      </c>
      <c r="F1563">
        <v>4</v>
      </c>
      <c r="G1563">
        <v>2</v>
      </c>
      <c r="H1563">
        <v>244</v>
      </c>
      <c r="I1563" s="238" t="s">
        <v>43</v>
      </c>
      <c r="J1563">
        <v>58.55</v>
      </c>
      <c r="K1563" s="238" t="s">
        <v>36</v>
      </c>
      <c r="L1563">
        <v>4178797.81</v>
      </c>
      <c r="M1563">
        <v>0</v>
      </c>
      <c r="N1563">
        <v>4178797.81</v>
      </c>
      <c r="O1563">
        <v>71371.439965841171</v>
      </c>
      <c r="P1563">
        <v>0</v>
      </c>
      <c r="Q1563">
        <v>4178797.81</v>
      </c>
      <c r="R1563">
        <v>71371.439965841171</v>
      </c>
      <c r="S1563" s="238" t="s">
        <v>124</v>
      </c>
      <c r="T1563" s="238" t="s">
        <v>1167</v>
      </c>
      <c r="V1563" t="s">
        <v>1167</v>
      </c>
      <c r="W1563" s="24">
        <v>44859</v>
      </c>
      <c r="X1563" s="238" t="s">
        <v>3621</v>
      </c>
      <c r="Y1563" s="238" t="s">
        <v>39</v>
      </c>
      <c r="Z1563" s="238" t="s">
        <v>1340</v>
      </c>
      <c r="AA1563" t="s">
        <v>3113</v>
      </c>
      <c r="AB1563" s="238" t="s">
        <v>3246</v>
      </c>
      <c r="AC1563" t="s">
        <v>1167</v>
      </c>
      <c r="AD1563" s="24"/>
      <c r="AE1563" s="238" t="s">
        <v>1208</v>
      </c>
      <c r="AF1563">
        <v>79270179449</v>
      </c>
      <c r="AG1563" s="238" t="s">
        <v>1209</v>
      </c>
      <c r="AH1563" s="238" t="s">
        <v>1171</v>
      </c>
      <c r="AI1563" s="238" t="s">
        <v>3082</v>
      </c>
      <c r="AJ1563" s="238" t="s">
        <v>399</v>
      </c>
      <c r="AK1563" s="238" t="s">
        <v>1167</v>
      </c>
      <c r="AL1563" t="s">
        <v>8715</v>
      </c>
      <c r="AM1563" t="s">
        <v>1167</v>
      </c>
    </row>
    <row r="1564" spans="1:39" hidden="1" x14ac:dyDescent="0.25">
      <c r="A1564">
        <v>1560</v>
      </c>
      <c r="B1564">
        <v>41</v>
      </c>
      <c r="C1564" s="24">
        <v>44861</v>
      </c>
      <c r="D1564" s="238" t="s">
        <v>27</v>
      </c>
      <c r="E1564" s="238" t="s">
        <v>14</v>
      </c>
      <c r="F1564">
        <v>5</v>
      </c>
      <c r="G1564">
        <v>12</v>
      </c>
      <c r="H1564">
        <v>726</v>
      </c>
      <c r="I1564" s="238" t="s">
        <v>42</v>
      </c>
      <c r="J1564">
        <v>38.96</v>
      </c>
      <c r="K1564" s="238" t="s">
        <v>37</v>
      </c>
      <c r="L1564">
        <v>3350196</v>
      </c>
      <c r="M1564">
        <v>0</v>
      </c>
      <c r="N1564">
        <v>3350196</v>
      </c>
      <c r="O1564">
        <v>85990.657084188904</v>
      </c>
      <c r="P1564">
        <v>292200</v>
      </c>
      <c r="Q1564">
        <v>3057996</v>
      </c>
      <c r="R1564">
        <v>78490.657084188904</v>
      </c>
      <c r="S1564" s="238" t="s">
        <v>137</v>
      </c>
      <c r="T1564" s="238" t="s">
        <v>3540</v>
      </c>
      <c r="U1564">
        <v>160947.16899999999</v>
      </c>
      <c r="V1564" t="s">
        <v>4091</v>
      </c>
      <c r="W1564" s="24">
        <v>44848</v>
      </c>
      <c r="X1564" s="238" t="s">
        <v>3622</v>
      </c>
      <c r="Y1564" s="238" t="s">
        <v>39</v>
      </c>
      <c r="Z1564" s="238" t="s">
        <v>1340</v>
      </c>
      <c r="AA1564" t="s">
        <v>3113</v>
      </c>
      <c r="AB1564" s="238" t="s">
        <v>3246</v>
      </c>
      <c r="AC1564" t="s">
        <v>3079</v>
      </c>
      <c r="AD1564" s="24"/>
      <c r="AE1564" s="238" t="s">
        <v>3623</v>
      </c>
      <c r="AF1564">
        <v>79613927708</v>
      </c>
      <c r="AG1564" s="238" t="s">
        <v>3624</v>
      </c>
      <c r="AH1564" s="238" t="s">
        <v>1212</v>
      </c>
      <c r="AI1564" s="238" t="s">
        <v>3107</v>
      </c>
      <c r="AJ1564" s="238" t="s">
        <v>130</v>
      </c>
      <c r="AK1564" s="238" t="s">
        <v>3345</v>
      </c>
      <c r="AL1564" t="s">
        <v>8715</v>
      </c>
      <c r="AM1564" t="s">
        <v>3663</v>
      </c>
    </row>
    <row r="1565" spans="1:39" hidden="1" x14ac:dyDescent="0.25">
      <c r="A1565">
        <v>1561</v>
      </c>
      <c r="B1565">
        <v>42</v>
      </c>
      <c r="C1565" s="24">
        <v>44861</v>
      </c>
      <c r="D1565" s="238" t="s">
        <v>27</v>
      </c>
      <c r="E1565" s="238" t="s">
        <v>14</v>
      </c>
      <c r="F1565">
        <v>5</v>
      </c>
      <c r="G1565">
        <v>14</v>
      </c>
      <c r="H1565">
        <v>744</v>
      </c>
      <c r="I1565" s="238" t="s">
        <v>42</v>
      </c>
      <c r="J1565">
        <v>38.96</v>
      </c>
      <c r="K1565" s="238" t="s">
        <v>36</v>
      </c>
      <c r="L1565">
        <v>3235220.09</v>
      </c>
      <c r="M1565">
        <v>0</v>
      </c>
      <c r="N1565">
        <v>3235220.09</v>
      </c>
      <c r="O1565">
        <v>83039.530030800815</v>
      </c>
      <c r="P1565">
        <v>0</v>
      </c>
      <c r="Q1565">
        <v>3235220.09</v>
      </c>
      <c r="R1565">
        <v>83039.530030800815</v>
      </c>
      <c r="S1565" s="238" t="s">
        <v>137</v>
      </c>
      <c r="T1565" s="238" t="s">
        <v>1167</v>
      </c>
      <c r="V1565" t="s">
        <v>4092</v>
      </c>
      <c r="W1565" s="24">
        <v>44858</v>
      </c>
      <c r="X1565" s="238" t="s">
        <v>3625</v>
      </c>
      <c r="Y1565" s="238" t="s">
        <v>39</v>
      </c>
      <c r="Z1565" s="238" t="s">
        <v>1340</v>
      </c>
      <c r="AA1565" t="s">
        <v>3113</v>
      </c>
      <c r="AB1565" s="238" t="s">
        <v>3246</v>
      </c>
      <c r="AC1565" t="s">
        <v>3079</v>
      </c>
      <c r="AD1565" s="24"/>
      <c r="AE1565" s="238" t="s">
        <v>3626</v>
      </c>
      <c r="AF1565">
        <v>79967268000</v>
      </c>
      <c r="AG1565" s="238" t="s">
        <v>3627</v>
      </c>
      <c r="AH1565" s="238" t="s">
        <v>1171</v>
      </c>
      <c r="AI1565" s="238" t="s">
        <v>3074</v>
      </c>
      <c r="AJ1565" s="238" t="s">
        <v>130</v>
      </c>
      <c r="AK1565" s="238" t="s">
        <v>141</v>
      </c>
      <c r="AL1565" t="s">
        <v>8715</v>
      </c>
      <c r="AM1565" t="s">
        <v>3663</v>
      </c>
    </row>
    <row r="1566" spans="1:39" hidden="1" x14ac:dyDescent="0.25">
      <c r="A1566">
        <v>1562</v>
      </c>
      <c r="B1566">
        <v>43</v>
      </c>
      <c r="C1566" s="24">
        <v>44861</v>
      </c>
      <c r="D1566" s="238" t="s">
        <v>27</v>
      </c>
      <c r="E1566" s="238" t="s">
        <v>14</v>
      </c>
      <c r="F1566">
        <v>7</v>
      </c>
      <c r="G1566">
        <v>6</v>
      </c>
      <c r="H1566">
        <v>674</v>
      </c>
      <c r="I1566" s="238" t="s">
        <v>42</v>
      </c>
      <c r="J1566">
        <v>38.909999999999997</v>
      </c>
      <c r="K1566" s="238" t="s">
        <v>38</v>
      </c>
      <c r="L1566">
        <v>4070844.35</v>
      </c>
      <c r="M1566">
        <v>0</v>
      </c>
      <c r="N1566">
        <v>4070844.35</v>
      </c>
      <c r="O1566">
        <v>104622.05988177848</v>
      </c>
      <c r="P1566">
        <v>856020</v>
      </c>
      <c r="Q1566">
        <v>3214824.35</v>
      </c>
      <c r="R1566">
        <v>82622.059881778478</v>
      </c>
      <c r="S1566" s="238" t="s">
        <v>137</v>
      </c>
      <c r="T1566" s="238" t="s">
        <v>1167</v>
      </c>
      <c r="V1566" t="s">
        <v>4091</v>
      </c>
      <c r="W1566" s="24">
        <v>44858</v>
      </c>
      <c r="X1566" s="238" t="s">
        <v>3628</v>
      </c>
      <c r="Y1566" s="238" t="s">
        <v>39</v>
      </c>
      <c r="Z1566" s="238" t="s">
        <v>1340</v>
      </c>
      <c r="AA1566" t="s">
        <v>3113</v>
      </c>
      <c r="AB1566" s="238" t="s">
        <v>3246</v>
      </c>
      <c r="AC1566" t="s">
        <v>3079</v>
      </c>
      <c r="AD1566" s="24"/>
      <c r="AE1566" s="238" t="s">
        <v>3629</v>
      </c>
      <c r="AF1566">
        <v>79272048366</v>
      </c>
      <c r="AG1566" s="238" t="s">
        <v>3630</v>
      </c>
      <c r="AH1566" s="238" t="s">
        <v>1171</v>
      </c>
      <c r="AI1566" s="238" t="s">
        <v>3090</v>
      </c>
      <c r="AJ1566" s="238" t="s">
        <v>130</v>
      </c>
      <c r="AK1566" s="238" t="s">
        <v>141</v>
      </c>
      <c r="AL1566" t="s">
        <v>8715</v>
      </c>
      <c r="AM1566" t="s">
        <v>3663</v>
      </c>
    </row>
    <row r="1567" spans="1:39" hidden="1" x14ac:dyDescent="0.25">
      <c r="A1567">
        <v>1563</v>
      </c>
      <c r="B1567">
        <v>44</v>
      </c>
      <c r="C1567" s="24">
        <v>44862</v>
      </c>
      <c r="D1567" s="238" t="s">
        <v>27</v>
      </c>
      <c r="E1567" s="238" t="s">
        <v>5</v>
      </c>
      <c r="F1567">
        <v>3</v>
      </c>
      <c r="G1567">
        <v>19</v>
      </c>
      <c r="H1567">
        <v>346</v>
      </c>
      <c r="I1567" s="238" t="s">
        <v>4052</v>
      </c>
      <c r="J1567">
        <v>23.54</v>
      </c>
      <c r="K1567" s="238" t="s">
        <v>36</v>
      </c>
      <c r="L1567">
        <v>2043319.08</v>
      </c>
      <c r="M1567">
        <v>0</v>
      </c>
      <c r="N1567">
        <v>2043319.08</v>
      </c>
      <c r="O1567">
        <v>86802</v>
      </c>
      <c r="P1567">
        <v>0</v>
      </c>
      <c r="Q1567">
        <v>2043319.08</v>
      </c>
      <c r="R1567">
        <v>86802</v>
      </c>
      <c r="S1567" s="238" t="s">
        <v>137</v>
      </c>
      <c r="T1567" s="238" t="s">
        <v>1167</v>
      </c>
      <c r="V1567" t="s">
        <v>4091</v>
      </c>
      <c r="W1567" s="24">
        <v>44858</v>
      </c>
      <c r="X1567" s="238" t="s">
        <v>3631</v>
      </c>
      <c r="Y1567" s="238" t="s">
        <v>39</v>
      </c>
      <c r="Z1567" s="238" t="s">
        <v>1340</v>
      </c>
      <c r="AA1567" t="s">
        <v>3113</v>
      </c>
      <c r="AB1567" s="238" t="s">
        <v>3246</v>
      </c>
      <c r="AC1567" t="s">
        <v>3079</v>
      </c>
      <c r="AD1567" s="24"/>
      <c r="AE1567" s="238" t="s">
        <v>3632</v>
      </c>
      <c r="AF1567">
        <v>79277173881</v>
      </c>
      <c r="AG1567" s="238" t="s">
        <v>3633</v>
      </c>
      <c r="AH1567" s="238" t="s">
        <v>1212</v>
      </c>
      <c r="AI1567" s="238" t="s">
        <v>3086</v>
      </c>
      <c r="AJ1567" s="238" t="s">
        <v>399</v>
      </c>
      <c r="AK1567" s="238" t="s">
        <v>141</v>
      </c>
      <c r="AL1567" t="s">
        <v>8715</v>
      </c>
      <c r="AM1567" t="s">
        <v>3663</v>
      </c>
    </row>
    <row r="1568" spans="1:39" hidden="1" x14ac:dyDescent="0.25">
      <c r="A1568">
        <v>1564</v>
      </c>
      <c r="B1568">
        <v>45</v>
      </c>
      <c r="C1568" s="24">
        <v>44862</v>
      </c>
      <c r="D1568" s="238" t="s">
        <v>27</v>
      </c>
      <c r="E1568" s="238" t="s">
        <v>14</v>
      </c>
      <c r="F1568">
        <v>5</v>
      </c>
      <c r="G1568">
        <v>9</v>
      </c>
      <c r="H1568">
        <v>699</v>
      </c>
      <c r="I1568" s="238" t="s">
        <v>42</v>
      </c>
      <c r="J1568">
        <v>38.96</v>
      </c>
      <c r="K1568" s="238" t="s">
        <v>37</v>
      </c>
      <c r="L1568">
        <v>3350196.21</v>
      </c>
      <c r="M1568">
        <v>0</v>
      </c>
      <c r="N1568">
        <v>3350196.21</v>
      </c>
      <c r="O1568">
        <v>85990.662474332639</v>
      </c>
      <c r="P1568">
        <v>292200</v>
      </c>
      <c r="Q1568">
        <v>3057996.21</v>
      </c>
      <c r="R1568">
        <v>78490.662474332639</v>
      </c>
      <c r="S1568" s="238" t="s">
        <v>137</v>
      </c>
      <c r="T1568" s="238" t="s">
        <v>3540</v>
      </c>
      <c r="U1568">
        <v>160947.17000000001</v>
      </c>
      <c r="V1568" t="s">
        <v>4091</v>
      </c>
      <c r="W1568" s="24">
        <v>44859</v>
      </c>
      <c r="X1568" s="238" t="s">
        <v>3634</v>
      </c>
      <c r="Y1568" s="238" t="s">
        <v>39</v>
      </c>
      <c r="Z1568" s="238" t="s">
        <v>1340</v>
      </c>
      <c r="AA1568" t="s">
        <v>3113</v>
      </c>
      <c r="AB1568" s="238" t="s">
        <v>3246</v>
      </c>
      <c r="AC1568" t="s">
        <v>3079</v>
      </c>
      <c r="AD1568" s="24"/>
      <c r="AE1568" s="238" t="s">
        <v>3635</v>
      </c>
      <c r="AF1568">
        <v>79372002692</v>
      </c>
      <c r="AG1568" s="238" t="s">
        <v>3636</v>
      </c>
      <c r="AH1568" s="238" t="s">
        <v>1171</v>
      </c>
      <c r="AI1568" s="238" t="s">
        <v>3074</v>
      </c>
      <c r="AJ1568" s="238" t="s">
        <v>399</v>
      </c>
      <c r="AK1568" s="238" t="s">
        <v>141</v>
      </c>
      <c r="AL1568" t="s">
        <v>8715</v>
      </c>
      <c r="AM1568" t="s">
        <v>3663</v>
      </c>
    </row>
    <row r="1569" spans="1:39" hidden="1" x14ac:dyDescent="0.25">
      <c r="A1569">
        <v>1565</v>
      </c>
      <c r="B1569">
        <v>46</v>
      </c>
      <c r="C1569" s="24">
        <v>44862</v>
      </c>
      <c r="D1569" s="238" t="s">
        <v>27</v>
      </c>
      <c r="E1569" s="238" t="s">
        <v>6</v>
      </c>
      <c r="F1569">
        <v>5</v>
      </c>
      <c r="G1569">
        <v>9</v>
      </c>
      <c r="H1569">
        <v>68</v>
      </c>
      <c r="I1569" s="238" t="s">
        <v>4052</v>
      </c>
      <c r="J1569">
        <v>24.47</v>
      </c>
      <c r="K1569" s="238" t="s">
        <v>38</v>
      </c>
      <c r="L1569">
        <v>2545085.5099999998</v>
      </c>
      <c r="M1569">
        <v>0</v>
      </c>
      <c r="N1569">
        <v>2545085.5099999998</v>
      </c>
      <c r="O1569">
        <v>104008.39844707806</v>
      </c>
      <c r="P1569">
        <v>538340</v>
      </c>
      <c r="Q1569">
        <v>2006745.5099999998</v>
      </c>
      <c r="R1569">
        <v>82008.398447078056</v>
      </c>
      <c r="S1569" s="238" t="s">
        <v>137</v>
      </c>
      <c r="T1569" s="238" t="s">
        <v>3540</v>
      </c>
      <c r="U1569">
        <v>105618.18</v>
      </c>
      <c r="V1569" t="s">
        <v>4091</v>
      </c>
      <c r="W1569" s="24">
        <v>44860</v>
      </c>
      <c r="X1569" s="238" t="s">
        <v>3637</v>
      </c>
      <c r="Y1569" s="238" t="s">
        <v>39</v>
      </c>
      <c r="Z1569" s="238" t="s">
        <v>1340</v>
      </c>
      <c r="AA1569" t="s">
        <v>3474</v>
      </c>
      <c r="AB1569" s="238" t="s">
        <v>3246</v>
      </c>
      <c r="AC1569" t="s">
        <v>3077</v>
      </c>
      <c r="AD1569" s="24"/>
      <c r="AE1569" s="238" t="s">
        <v>3638</v>
      </c>
      <c r="AF1569">
        <v>79111111111</v>
      </c>
      <c r="AG1569" s="238" t="s">
        <v>3639</v>
      </c>
      <c r="AH1569" s="238" t="s">
        <v>1212</v>
      </c>
      <c r="AI1569" s="238" t="s">
        <v>135</v>
      </c>
      <c r="AJ1569" s="238" t="s">
        <v>399</v>
      </c>
      <c r="AK1569" s="238" t="s">
        <v>3345</v>
      </c>
      <c r="AL1569" t="s">
        <v>8715</v>
      </c>
      <c r="AM1569" t="s">
        <v>1167</v>
      </c>
    </row>
    <row r="1570" spans="1:39" hidden="1" x14ac:dyDescent="0.25">
      <c r="A1570">
        <v>1566</v>
      </c>
      <c r="B1570">
        <v>47</v>
      </c>
      <c r="C1570" s="24">
        <v>44865</v>
      </c>
      <c r="D1570" s="238" t="s">
        <v>91</v>
      </c>
      <c r="E1570" s="238" t="s">
        <v>5</v>
      </c>
      <c r="F1570">
        <v>3</v>
      </c>
      <c r="G1570">
        <v>14</v>
      </c>
      <c r="H1570">
        <v>219</v>
      </c>
      <c r="I1570" s="238" t="s">
        <v>42</v>
      </c>
      <c r="J1570">
        <v>35.380000000000003</v>
      </c>
      <c r="K1570" s="238" t="s">
        <v>37</v>
      </c>
      <c r="L1570">
        <v>3008886.14</v>
      </c>
      <c r="M1570">
        <v>15000</v>
      </c>
      <c r="N1570">
        <v>3023886.14</v>
      </c>
      <c r="O1570">
        <v>85468.799886941779</v>
      </c>
      <c r="P1570">
        <v>265350</v>
      </c>
      <c r="Q1570">
        <v>2758536.14</v>
      </c>
      <c r="R1570">
        <v>77968.799886941779</v>
      </c>
      <c r="S1570" s="238" t="s">
        <v>137</v>
      </c>
      <c r="T1570" s="238" t="s">
        <v>1167</v>
      </c>
      <c r="V1570" t="s">
        <v>4091</v>
      </c>
      <c r="W1570" s="24">
        <v>44855</v>
      </c>
      <c r="X1570" s="238" t="s">
        <v>3640</v>
      </c>
      <c r="Y1570" s="238" t="s">
        <v>39</v>
      </c>
      <c r="Z1570" s="238" t="s">
        <v>1340</v>
      </c>
      <c r="AA1570" t="s">
        <v>3113</v>
      </c>
      <c r="AB1570" s="238" t="s">
        <v>3246</v>
      </c>
      <c r="AC1570" t="s">
        <v>3079</v>
      </c>
      <c r="AD1570" s="24"/>
      <c r="AE1570" s="238" t="s">
        <v>3641</v>
      </c>
      <c r="AF1570">
        <v>79277146318</v>
      </c>
      <c r="AG1570" s="238" t="s">
        <v>3642</v>
      </c>
      <c r="AH1570" s="238" t="s">
        <v>1171</v>
      </c>
      <c r="AI1570" s="238" t="s">
        <v>6406</v>
      </c>
      <c r="AJ1570" s="238" t="s">
        <v>130</v>
      </c>
      <c r="AK1570" s="238" t="s">
        <v>141</v>
      </c>
      <c r="AL1570" t="s">
        <v>57</v>
      </c>
      <c r="AM1570" t="s">
        <v>3663</v>
      </c>
    </row>
    <row r="1571" spans="1:39" hidden="1" x14ac:dyDescent="0.25">
      <c r="A1571">
        <v>1567</v>
      </c>
      <c r="B1571">
        <v>48</v>
      </c>
      <c r="C1571" s="24">
        <v>44865</v>
      </c>
      <c r="D1571" s="238" t="s">
        <v>27</v>
      </c>
      <c r="E1571" s="238" t="s">
        <v>5</v>
      </c>
      <c r="F1571">
        <v>7</v>
      </c>
      <c r="G1571">
        <v>12</v>
      </c>
      <c r="H1571">
        <v>294</v>
      </c>
      <c r="I1571" s="238" t="s">
        <v>43</v>
      </c>
      <c r="J1571">
        <v>59.93</v>
      </c>
      <c r="K1571" s="238" t="s">
        <v>36</v>
      </c>
      <c r="L1571">
        <v>4274829.07</v>
      </c>
      <c r="M1571">
        <v>0</v>
      </c>
      <c r="N1571">
        <v>4274829.07</v>
      </c>
      <c r="O1571">
        <v>71330.369931586858</v>
      </c>
      <c r="P1571">
        <v>0</v>
      </c>
      <c r="Q1571">
        <v>4274829.07</v>
      </c>
      <c r="R1571">
        <v>71330.369931586858</v>
      </c>
      <c r="S1571" s="238" t="s">
        <v>137</v>
      </c>
      <c r="T1571" s="238" t="s">
        <v>3540</v>
      </c>
      <c r="U1571">
        <v>224991</v>
      </c>
      <c r="V1571" t="s">
        <v>4091</v>
      </c>
      <c r="W1571" s="24">
        <v>44858</v>
      </c>
      <c r="X1571" s="238" t="s">
        <v>3643</v>
      </c>
      <c r="Y1571" s="238" t="s">
        <v>39</v>
      </c>
      <c r="Z1571" s="238" t="s">
        <v>1340</v>
      </c>
      <c r="AA1571" t="s">
        <v>3113</v>
      </c>
      <c r="AB1571" s="238" t="s">
        <v>3246</v>
      </c>
      <c r="AC1571" t="s">
        <v>3079</v>
      </c>
      <c r="AD1571" s="24"/>
      <c r="AE1571" s="238" t="s">
        <v>3644</v>
      </c>
      <c r="AF1571">
        <v>79677659943</v>
      </c>
      <c r="AG1571" s="238" t="s">
        <v>3645</v>
      </c>
      <c r="AH1571" s="238" t="s">
        <v>1212</v>
      </c>
      <c r="AI1571" s="238" t="s">
        <v>3074</v>
      </c>
      <c r="AJ1571" s="238" t="s">
        <v>130</v>
      </c>
      <c r="AK1571" s="238" t="s">
        <v>141</v>
      </c>
      <c r="AL1571" t="s">
        <v>8715</v>
      </c>
      <c r="AM1571" t="s">
        <v>3663</v>
      </c>
    </row>
    <row r="1572" spans="1:39" hidden="1" x14ac:dyDescent="0.25">
      <c r="A1572">
        <v>1568</v>
      </c>
      <c r="B1572">
        <v>49</v>
      </c>
      <c r="C1572" s="24">
        <v>44865</v>
      </c>
      <c r="D1572" s="238" t="s">
        <v>27</v>
      </c>
      <c r="E1572" s="238" t="s">
        <v>6</v>
      </c>
      <c r="F1572">
        <v>6</v>
      </c>
      <c r="G1572">
        <v>18</v>
      </c>
      <c r="H1572">
        <v>150</v>
      </c>
      <c r="I1572" s="238" t="s">
        <v>43</v>
      </c>
      <c r="J1572">
        <v>54.67</v>
      </c>
      <c r="K1572" s="238" t="s">
        <v>36</v>
      </c>
      <c r="L1572">
        <v>3930928.78</v>
      </c>
      <c r="M1572">
        <v>0</v>
      </c>
      <c r="N1572">
        <v>3930928.78</v>
      </c>
      <c r="O1572">
        <v>71902.849460398749</v>
      </c>
      <c r="P1572">
        <v>0</v>
      </c>
      <c r="Q1572">
        <v>3930928.78</v>
      </c>
      <c r="R1572">
        <v>71902.849460398749</v>
      </c>
      <c r="S1572" s="238" t="s">
        <v>137</v>
      </c>
      <c r="T1572" s="238" t="s">
        <v>3540</v>
      </c>
      <c r="U1572">
        <v>206890.99</v>
      </c>
      <c r="V1572" t="s">
        <v>4091</v>
      </c>
      <c r="W1572" s="24">
        <v>44859</v>
      </c>
      <c r="X1572" s="238" t="s">
        <v>3646</v>
      </c>
      <c r="Y1572" s="238" t="s">
        <v>39</v>
      </c>
      <c r="Z1572" s="238" t="s">
        <v>1340</v>
      </c>
      <c r="AA1572" t="s">
        <v>3113</v>
      </c>
      <c r="AB1572" s="238" t="s">
        <v>3246</v>
      </c>
      <c r="AC1572" t="s">
        <v>3079</v>
      </c>
      <c r="AD1572" s="24"/>
      <c r="AE1572" s="238" t="s">
        <v>3647</v>
      </c>
      <c r="AF1572">
        <v>79053040853</v>
      </c>
      <c r="AG1572" s="238" t="s">
        <v>3648</v>
      </c>
      <c r="AH1572" s="238" t="s">
        <v>1212</v>
      </c>
      <c r="AI1572" s="238" t="s">
        <v>3095</v>
      </c>
      <c r="AJ1572" s="238" t="s">
        <v>130</v>
      </c>
      <c r="AK1572" s="238" t="s">
        <v>3345</v>
      </c>
      <c r="AL1572" t="s">
        <v>8715</v>
      </c>
      <c r="AM1572" t="s">
        <v>3663</v>
      </c>
    </row>
    <row r="1573" spans="1:39" hidden="1" x14ac:dyDescent="0.25">
      <c r="A1573">
        <v>1569</v>
      </c>
      <c r="B1573">
        <v>50</v>
      </c>
      <c r="C1573" s="24">
        <v>44865</v>
      </c>
      <c r="D1573" s="238" t="s">
        <v>27</v>
      </c>
      <c r="E1573" s="238" t="s">
        <v>14</v>
      </c>
      <c r="F1573">
        <v>7</v>
      </c>
      <c r="G1573">
        <v>12</v>
      </c>
      <c r="H1573">
        <v>728</v>
      </c>
      <c r="I1573" s="238" t="s">
        <v>42</v>
      </c>
      <c r="J1573">
        <v>38.909999999999997</v>
      </c>
      <c r="K1573" s="238" t="s">
        <v>36</v>
      </c>
      <c r="L1573">
        <v>3054083.13</v>
      </c>
      <c r="M1573">
        <v>0</v>
      </c>
      <c r="N1573">
        <v>3054083.13</v>
      </c>
      <c r="O1573">
        <v>78490.956823438712</v>
      </c>
      <c r="P1573">
        <v>0</v>
      </c>
      <c r="Q1573">
        <v>3054083.13</v>
      </c>
      <c r="R1573">
        <v>78490.956823438712</v>
      </c>
      <c r="S1573" s="238" t="s">
        <v>137</v>
      </c>
      <c r="T1573" s="238" t="s">
        <v>3540</v>
      </c>
      <c r="U1573">
        <v>160741.22099999999</v>
      </c>
      <c r="V1573" t="s">
        <v>4091</v>
      </c>
      <c r="W1573" s="24">
        <v>44860</v>
      </c>
      <c r="X1573" s="238" t="s">
        <v>3649</v>
      </c>
      <c r="Y1573" s="238" t="s">
        <v>39</v>
      </c>
      <c r="Z1573" s="238" t="s">
        <v>1340</v>
      </c>
      <c r="AA1573" t="s">
        <v>3113</v>
      </c>
      <c r="AB1573" s="238" t="s">
        <v>3246</v>
      </c>
      <c r="AC1573" t="s">
        <v>3079</v>
      </c>
      <c r="AD1573" s="24"/>
      <c r="AE1573" s="238" t="s">
        <v>3650</v>
      </c>
      <c r="AF1573">
        <v>79372053266</v>
      </c>
      <c r="AG1573" s="238" t="s">
        <v>3651</v>
      </c>
      <c r="AH1573" s="238" t="s">
        <v>1212</v>
      </c>
      <c r="AI1573" s="238" t="s">
        <v>135</v>
      </c>
      <c r="AJ1573" s="238" t="s">
        <v>399</v>
      </c>
      <c r="AK1573" s="238" t="s">
        <v>141</v>
      </c>
      <c r="AL1573" t="s">
        <v>8715</v>
      </c>
      <c r="AM1573" t="s">
        <v>3663</v>
      </c>
    </row>
    <row r="1574" spans="1:39" hidden="1" x14ac:dyDescent="0.25">
      <c r="A1574">
        <v>1570</v>
      </c>
      <c r="B1574">
        <v>51</v>
      </c>
      <c r="C1574" s="24">
        <v>44865</v>
      </c>
      <c r="D1574" s="238" t="s">
        <v>27</v>
      </c>
      <c r="E1574" s="238" t="s">
        <v>14</v>
      </c>
      <c r="F1574">
        <v>3</v>
      </c>
      <c r="G1574">
        <v>19</v>
      </c>
      <c r="H1574">
        <v>785</v>
      </c>
      <c r="I1574" s="238" t="s">
        <v>4052</v>
      </c>
      <c r="J1574">
        <v>24.37</v>
      </c>
      <c r="K1574" s="238" t="s">
        <v>36</v>
      </c>
      <c r="L1574">
        <v>2009296.46</v>
      </c>
      <c r="M1574">
        <v>0</v>
      </c>
      <c r="N1574">
        <v>2009296.46</v>
      </c>
      <c r="O1574">
        <v>82449.588018054987</v>
      </c>
      <c r="P1574">
        <v>0</v>
      </c>
      <c r="Q1574">
        <v>2009296.46</v>
      </c>
      <c r="R1574">
        <v>82449.588018054987</v>
      </c>
      <c r="S1574" s="238" t="s">
        <v>137</v>
      </c>
      <c r="T1574" s="238" t="s">
        <v>3540</v>
      </c>
      <c r="U1574">
        <v>105752.45</v>
      </c>
      <c r="V1574" t="s">
        <v>4091</v>
      </c>
      <c r="W1574" s="24">
        <v>44861</v>
      </c>
      <c r="X1574" s="238" t="s">
        <v>3652</v>
      </c>
      <c r="Y1574" s="238" t="s">
        <v>39</v>
      </c>
      <c r="Z1574" s="238" t="s">
        <v>1340</v>
      </c>
      <c r="AA1574" t="s">
        <v>3113</v>
      </c>
      <c r="AB1574" s="238" t="s">
        <v>3246</v>
      </c>
      <c r="AC1574" t="s">
        <v>3079</v>
      </c>
      <c r="AD1574" s="24"/>
      <c r="AE1574" s="238" t="s">
        <v>3653</v>
      </c>
      <c r="AF1574">
        <v>79170137280</v>
      </c>
      <c r="AG1574" s="238" t="s">
        <v>3654</v>
      </c>
      <c r="AH1574" s="238" t="s">
        <v>1212</v>
      </c>
      <c r="AI1574" s="238" t="s">
        <v>3088</v>
      </c>
      <c r="AJ1574" s="238" t="s">
        <v>130</v>
      </c>
      <c r="AK1574" s="238" t="s">
        <v>3345</v>
      </c>
      <c r="AL1574" t="s">
        <v>8715</v>
      </c>
      <c r="AM1574" t="s">
        <v>3663</v>
      </c>
    </row>
    <row r="1575" spans="1:39" hidden="1" x14ac:dyDescent="0.25">
      <c r="A1575">
        <v>1571</v>
      </c>
      <c r="B1575">
        <v>52</v>
      </c>
      <c r="C1575" s="24">
        <v>44865</v>
      </c>
      <c r="D1575" s="238" t="s">
        <v>27</v>
      </c>
      <c r="E1575" s="238" t="s">
        <v>14</v>
      </c>
      <c r="F1575">
        <v>3</v>
      </c>
      <c r="G1575">
        <v>21</v>
      </c>
      <c r="H1575">
        <v>801</v>
      </c>
      <c r="I1575" s="238" t="s">
        <v>4052</v>
      </c>
      <c r="J1575">
        <v>24.37</v>
      </c>
      <c r="K1575" s="238" t="s">
        <v>36</v>
      </c>
      <c r="L1575">
        <v>2120986.25</v>
      </c>
      <c r="M1575">
        <v>0</v>
      </c>
      <c r="N1575">
        <v>2120986.25</v>
      </c>
      <c r="O1575">
        <v>87032.673368896183</v>
      </c>
      <c r="P1575">
        <v>0</v>
      </c>
      <c r="Q1575">
        <v>2120986.25</v>
      </c>
      <c r="R1575">
        <v>87032.673368896183</v>
      </c>
      <c r="S1575" s="238" t="s">
        <v>137</v>
      </c>
      <c r="T1575" s="238" t="s">
        <v>3540</v>
      </c>
      <c r="U1575">
        <v>111630.85</v>
      </c>
      <c r="V1575" t="s">
        <v>4091</v>
      </c>
      <c r="W1575" s="24">
        <v>44862</v>
      </c>
      <c r="X1575" s="238" t="s">
        <v>3655</v>
      </c>
      <c r="Y1575" s="238" t="s">
        <v>39</v>
      </c>
      <c r="Z1575" s="238" t="s">
        <v>1340</v>
      </c>
      <c r="AA1575" t="s">
        <v>3113</v>
      </c>
      <c r="AB1575" s="238" t="s">
        <v>3246</v>
      </c>
      <c r="AC1575" t="s">
        <v>3079</v>
      </c>
      <c r="AD1575" s="24"/>
      <c r="AE1575" s="238" t="s">
        <v>3656</v>
      </c>
      <c r="AF1575">
        <v>79882890063</v>
      </c>
      <c r="AG1575" s="238" t="s">
        <v>3657</v>
      </c>
      <c r="AH1575" s="238" t="s">
        <v>1212</v>
      </c>
      <c r="AI1575" s="238" t="s">
        <v>3074</v>
      </c>
      <c r="AJ1575" s="238" t="s">
        <v>399</v>
      </c>
      <c r="AK1575" s="238" t="s">
        <v>3345</v>
      </c>
      <c r="AL1575" t="s">
        <v>8715</v>
      </c>
      <c r="AM1575" t="s">
        <v>3663</v>
      </c>
    </row>
    <row r="1576" spans="1:39" hidden="1" x14ac:dyDescent="0.25">
      <c r="A1576">
        <v>1572</v>
      </c>
      <c r="B1576">
        <v>53</v>
      </c>
      <c r="C1576" s="24">
        <v>44865</v>
      </c>
      <c r="D1576" s="238" t="s">
        <v>27</v>
      </c>
      <c r="E1576" s="238" t="s">
        <v>14</v>
      </c>
      <c r="F1576">
        <v>7</v>
      </c>
      <c r="G1576">
        <v>9</v>
      </c>
      <c r="H1576">
        <v>701</v>
      </c>
      <c r="I1576" s="238" t="s">
        <v>42</v>
      </c>
      <c r="J1576">
        <v>38.909999999999997</v>
      </c>
      <c r="K1576" s="238" t="s">
        <v>38</v>
      </c>
      <c r="L1576">
        <v>3910103.14</v>
      </c>
      <c r="M1576">
        <v>0</v>
      </c>
      <c r="N1576">
        <v>3910103.14</v>
      </c>
      <c r="O1576">
        <v>100490.95708044205</v>
      </c>
      <c r="P1576">
        <v>856020</v>
      </c>
      <c r="Q1576">
        <v>3054083.14</v>
      </c>
      <c r="R1576">
        <v>78490.957080442051</v>
      </c>
      <c r="S1576" s="238" t="s">
        <v>137</v>
      </c>
      <c r="T1576" s="238" t="s">
        <v>3540</v>
      </c>
      <c r="U1576">
        <v>160741.22</v>
      </c>
      <c r="V1576" t="s">
        <v>4091</v>
      </c>
      <c r="W1576" s="24">
        <v>44862</v>
      </c>
      <c r="X1576" s="238" t="s">
        <v>3658</v>
      </c>
      <c r="Y1576" s="238" t="s">
        <v>39</v>
      </c>
      <c r="Z1576" s="238" t="s">
        <v>1340</v>
      </c>
      <c r="AA1576" t="s">
        <v>3113</v>
      </c>
      <c r="AB1576" s="238" t="s">
        <v>3246</v>
      </c>
      <c r="AC1576" t="s">
        <v>3079</v>
      </c>
      <c r="AD1576" s="24"/>
      <c r="AE1576" s="238" t="s">
        <v>3659</v>
      </c>
      <c r="AF1576">
        <v>79226227004</v>
      </c>
      <c r="AG1576" s="238" t="s">
        <v>3660</v>
      </c>
      <c r="AH1576" s="238" t="s">
        <v>1212</v>
      </c>
      <c r="AI1576" s="238" t="s">
        <v>3103</v>
      </c>
      <c r="AJ1576" s="238" t="s">
        <v>130</v>
      </c>
      <c r="AK1576" s="238" t="s">
        <v>3345</v>
      </c>
      <c r="AL1576" t="s">
        <v>8715</v>
      </c>
      <c r="AM1576" t="s">
        <v>3663</v>
      </c>
    </row>
    <row r="1577" spans="1:39" hidden="1" x14ac:dyDescent="0.25">
      <c r="A1577">
        <v>1573</v>
      </c>
      <c r="B1577">
        <v>1</v>
      </c>
      <c r="C1577" s="24">
        <v>44867</v>
      </c>
      <c r="D1577" s="238" t="s">
        <v>91</v>
      </c>
      <c r="E1577" s="238" t="s">
        <v>5</v>
      </c>
      <c r="F1577">
        <v>6</v>
      </c>
      <c r="G1577">
        <v>6</v>
      </c>
      <c r="H1577">
        <v>158</v>
      </c>
      <c r="I1577" s="238" t="s">
        <v>42</v>
      </c>
      <c r="J1577">
        <v>36.659999999999997</v>
      </c>
      <c r="K1577" s="238" t="s">
        <v>36</v>
      </c>
      <c r="L1577">
        <v>2914382.02</v>
      </c>
      <c r="M1577">
        <v>0</v>
      </c>
      <c r="N1577">
        <v>2914382.02</v>
      </c>
      <c r="O1577">
        <v>79497.600109110761</v>
      </c>
      <c r="P1577">
        <v>0</v>
      </c>
      <c r="Q1577">
        <v>2914382.02</v>
      </c>
      <c r="R1577">
        <v>79497.600109110761</v>
      </c>
      <c r="S1577" s="238" t="s">
        <v>137</v>
      </c>
      <c r="T1577" s="238" t="s">
        <v>1167</v>
      </c>
      <c r="V1577" t="s">
        <v>4091</v>
      </c>
      <c r="W1577" s="24">
        <v>44844</v>
      </c>
      <c r="X1577" s="238" t="s">
        <v>3666</v>
      </c>
      <c r="Y1577" s="238" t="s">
        <v>39</v>
      </c>
      <c r="Z1577" s="238" t="s">
        <v>1340</v>
      </c>
      <c r="AA1577" t="s">
        <v>3113</v>
      </c>
      <c r="AB1577" s="238" t="s">
        <v>3246</v>
      </c>
      <c r="AC1577" t="s">
        <v>3079</v>
      </c>
      <c r="AD1577" s="24"/>
      <c r="AE1577" s="238" t="s">
        <v>3667</v>
      </c>
      <c r="AF1577">
        <v>79879072903</v>
      </c>
      <c r="AG1577" s="238" t="s">
        <v>3668</v>
      </c>
      <c r="AH1577" s="238" t="s">
        <v>1212</v>
      </c>
      <c r="AI1577" s="238" t="s">
        <v>135</v>
      </c>
      <c r="AJ1577" s="238" t="s">
        <v>399</v>
      </c>
      <c r="AK1577" s="238" t="s">
        <v>3345</v>
      </c>
      <c r="AL1577" t="s">
        <v>8715</v>
      </c>
      <c r="AM1577" t="s">
        <v>3663</v>
      </c>
    </row>
    <row r="1578" spans="1:39" hidden="1" x14ac:dyDescent="0.25">
      <c r="A1578">
        <v>1574</v>
      </c>
      <c r="B1578">
        <v>2</v>
      </c>
      <c r="C1578" s="24">
        <v>44867</v>
      </c>
      <c r="D1578" s="238" t="s">
        <v>91</v>
      </c>
      <c r="E1578" s="238" t="s">
        <v>6</v>
      </c>
      <c r="F1578">
        <v>1</v>
      </c>
      <c r="G1578">
        <v>3</v>
      </c>
      <c r="H1578">
        <v>9</v>
      </c>
      <c r="I1578" s="238" t="s">
        <v>42</v>
      </c>
      <c r="J1578">
        <v>33.53</v>
      </c>
      <c r="K1578" s="238" t="s">
        <v>37</v>
      </c>
      <c r="L1578">
        <v>2710705.36</v>
      </c>
      <c r="M1578">
        <v>0</v>
      </c>
      <c r="N1578">
        <v>2710705.36</v>
      </c>
      <c r="O1578">
        <v>80844.180137190575</v>
      </c>
      <c r="P1578">
        <v>251475</v>
      </c>
      <c r="Q1578">
        <v>2459230.36</v>
      </c>
      <c r="R1578">
        <v>73344.180137190575</v>
      </c>
      <c r="S1578" s="238" t="s">
        <v>137</v>
      </c>
      <c r="T1578" s="238" t="s">
        <v>3540</v>
      </c>
      <c r="U1578">
        <v>129433.18</v>
      </c>
      <c r="V1578" t="s">
        <v>4091</v>
      </c>
      <c r="W1578" s="24">
        <v>44862</v>
      </c>
      <c r="X1578" s="238" t="s">
        <v>3669</v>
      </c>
      <c r="Y1578" s="238" t="s">
        <v>39</v>
      </c>
      <c r="Z1578" s="238" t="s">
        <v>1340</v>
      </c>
      <c r="AA1578" t="s">
        <v>3113</v>
      </c>
      <c r="AB1578" s="238" t="s">
        <v>3246</v>
      </c>
      <c r="AC1578" t="s">
        <v>3079</v>
      </c>
      <c r="AD1578" s="24"/>
      <c r="AE1578" s="238" t="s">
        <v>3670</v>
      </c>
      <c r="AF1578">
        <v>79277417935</v>
      </c>
      <c r="AG1578" s="238" t="s">
        <v>3671</v>
      </c>
      <c r="AH1578" s="238" t="s">
        <v>1171</v>
      </c>
      <c r="AI1578" s="238" t="s">
        <v>3085</v>
      </c>
      <c r="AJ1578" s="238" t="s">
        <v>399</v>
      </c>
      <c r="AK1578" s="238" t="s">
        <v>141</v>
      </c>
      <c r="AL1578" t="s">
        <v>8715</v>
      </c>
      <c r="AM1578" t="s">
        <v>3663</v>
      </c>
    </row>
    <row r="1579" spans="1:39" hidden="1" x14ac:dyDescent="0.25">
      <c r="A1579">
        <v>1575</v>
      </c>
      <c r="B1579">
        <v>3</v>
      </c>
      <c r="C1579" s="24">
        <v>44867</v>
      </c>
      <c r="D1579" s="238" t="s">
        <v>27</v>
      </c>
      <c r="E1579" s="238" t="s">
        <v>13</v>
      </c>
      <c r="F1579">
        <v>8</v>
      </c>
      <c r="G1579">
        <v>9</v>
      </c>
      <c r="H1579">
        <v>901</v>
      </c>
      <c r="I1579" s="238" t="s">
        <v>4052</v>
      </c>
      <c r="J1579">
        <v>23.09</v>
      </c>
      <c r="K1579" s="238" t="s">
        <v>36</v>
      </c>
      <c r="L1579">
        <v>2005062.17</v>
      </c>
      <c r="M1579">
        <v>0</v>
      </c>
      <c r="N1579">
        <v>2005062.17</v>
      </c>
      <c r="O1579">
        <v>86836.819835426591</v>
      </c>
      <c r="P1579">
        <v>0</v>
      </c>
      <c r="Q1579">
        <v>2005062.17</v>
      </c>
      <c r="R1579">
        <v>86836.819835426591</v>
      </c>
      <c r="S1579" s="238" t="s">
        <v>137</v>
      </c>
      <c r="T1579" s="238" t="s">
        <v>1167</v>
      </c>
      <c r="V1579" t="s">
        <v>4091</v>
      </c>
      <c r="W1579" s="24">
        <v>44865</v>
      </c>
      <c r="X1579" s="238" t="s">
        <v>3672</v>
      </c>
      <c r="Y1579" s="238" t="s">
        <v>39</v>
      </c>
      <c r="Z1579" s="238" t="s">
        <v>1340</v>
      </c>
      <c r="AA1579" t="s">
        <v>3113</v>
      </c>
      <c r="AB1579" s="238" t="s">
        <v>3246</v>
      </c>
      <c r="AC1579" t="s">
        <v>3079</v>
      </c>
      <c r="AD1579" s="24"/>
      <c r="AE1579" s="238" t="s">
        <v>3673</v>
      </c>
      <c r="AF1579">
        <v>79179535713</v>
      </c>
      <c r="AG1579" s="238" t="s">
        <v>3674</v>
      </c>
      <c r="AH1579" s="238" t="s">
        <v>1171</v>
      </c>
      <c r="AI1579" s="238" t="s">
        <v>6406</v>
      </c>
      <c r="AJ1579" s="238" t="s">
        <v>399</v>
      </c>
      <c r="AK1579" s="238" t="s">
        <v>3345</v>
      </c>
      <c r="AL1579" t="s">
        <v>57</v>
      </c>
      <c r="AM1579" t="s">
        <v>3663</v>
      </c>
    </row>
    <row r="1580" spans="1:39" hidden="1" x14ac:dyDescent="0.25">
      <c r="A1580">
        <v>1576</v>
      </c>
      <c r="B1580">
        <v>4</v>
      </c>
      <c r="C1580" s="24">
        <v>44867</v>
      </c>
      <c r="D1580" s="238" t="s">
        <v>27</v>
      </c>
      <c r="E1580" s="238" t="s">
        <v>5</v>
      </c>
      <c r="F1580">
        <v>3</v>
      </c>
      <c r="G1580">
        <v>3</v>
      </c>
      <c r="H1580">
        <v>218</v>
      </c>
      <c r="I1580" s="238" t="s">
        <v>4052</v>
      </c>
      <c r="J1580">
        <v>23.54</v>
      </c>
      <c r="K1580" s="238" t="s">
        <v>37</v>
      </c>
      <c r="L1580">
        <v>2010430.27</v>
      </c>
      <c r="M1580">
        <v>0</v>
      </c>
      <c r="N1580">
        <v>2010430.27</v>
      </c>
      <c r="O1580">
        <v>85404.854290569245</v>
      </c>
      <c r="P1580">
        <v>176550</v>
      </c>
      <c r="Q1580">
        <v>1833880.27</v>
      </c>
      <c r="R1580">
        <v>77904.854290569245</v>
      </c>
      <c r="S1580" s="238" t="s">
        <v>121</v>
      </c>
      <c r="T1580" s="238" t="s">
        <v>3540</v>
      </c>
      <c r="U1580">
        <v>96520.01</v>
      </c>
      <c r="V1580" t="s">
        <v>1167</v>
      </c>
      <c r="W1580" s="24">
        <v>44866</v>
      </c>
      <c r="X1580" s="238" t="s">
        <v>3675</v>
      </c>
      <c r="Y1580" s="238" t="s">
        <v>39</v>
      </c>
      <c r="Z1580" s="238" t="s">
        <v>1340</v>
      </c>
      <c r="AA1580" t="s">
        <v>3113</v>
      </c>
      <c r="AB1580" s="238" t="s">
        <v>3246</v>
      </c>
      <c r="AC1580" t="s">
        <v>1167</v>
      </c>
      <c r="AD1580" s="24"/>
      <c r="AE1580" s="238" t="s">
        <v>3676</v>
      </c>
      <c r="AF1580">
        <v>79277403570</v>
      </c>
      <c r="AG1580" s="238" t="s">
        <v>3677</v>
      </c>
      <c r="AH1580" s="238" t="s">
        <v>1212</v>
      </c>
      <c r="AI1580" s="238" t="s">
        <v>135</v>
      </c>
      <c r="AJ1580" s="238" t="s">
        <v>130</v>
      </c>
      <c r="AK1580" s="238" t="s">
        <v>1167</v>
      </c>
      <c r="AL1580" t="s">
        <v>8715</v>
      </c>
      <c r="AM1580" t="s">
        <v>1167</v>
      </c>
    </row>
    <row r="1581" spans="1:39" hidden="1" x14ac:dyDescent="0.25">
      <c r="A1581">
        <v>1577</v>
      </c>
      <c r="B1581">
        <v>5</v>
      </c>
      <c r="C1581" s="24">
        <v>44868</v>
      </c>
      <c r="D1581" s="238" t="s">
        <v>91</v>
      </c>
      <c r="E1581" s="238" t="s">
        <v>6</v>
      </c>
      <c r="F1581">
        <v>1</v>
      </c>
      <c r="G1581">
        <v>4</v>
      </c>
      <c r="H1581">
        <v>17</v>
      </c>
      <c r="I1581" s="238" t="s">
        <v>42</v>
      </c>
      <c r="J1581">
        <v>33.53</v>
      </c>
      <c r="K1581" s="238" t="s">
        <v>37</v>
      </c>
      <c r="L1581">
        <v>2710705.36</v>
      </c>
      <c r="M1581">
        <v>0</v>
      </c>
      <c r="N1581">
        <v>2710705.36</v>
      </c>
      <c r="O1581">
        <v>80844.180137190575</v>
      </c>
      <c r="P1581">
        <v>251475</v>
      </c>
      <c r="Q1581">
        <v>2459230.36</v>
      </c>
      <c r="R1581">
        <v>73344.180137190575</v>
      </c>
      <c r="S1581" s="238" t="s">
        <v>137</v>
      </c>
      <c r="T1581" s="238" t="s">
        <v>3540</v>
      </c>
      <c r="U1581">
        <v>129433.18</v>
      </c>
      <c r="V1581" t="s">
        <v>4091</v>
      </c>
      <c r="W1581" s="24">
        <v>44862</v>
      </c>
      <c r="X1581" s="238" t="s">
        <v>3678</v>
      </c>
      <c r="Y1581" s="238" t="s">
        <v>39</v>
      </c>
      <c r="Z1581" s="238" t="s">
        <v>1340</v>
      </c>
      <c r="AA1581" t="s">
        <v>3113</v>
      </c>
      <c r="AB1581" s="238" t="s">
        <v>3246</v>
      </c>
      <c r="AC1581" t="s">
        <v>3079</v>
      </c>
      <c r="AD1581" s="24"/>
      <c r="AE1581" s="238" t="s">
        <v>3679</v>
      </c>
      <c r="AF1581">
        <v>79879881220</v>
      </c>
      <c r="AG1581" s="238" t="s">
        <v>3680</v>
      </c>
      <c r="AH1581" s="238" t="s">
        <v>137</v>
      </c>
      <c r="AI1581" s="238" t="s">
        <v>3114</v>
      </c>
      <c r="AJ1581" s="238" t="s">
        <v>130</v>
      </c>
      <c r="AK1581" s="238" t="s">
        <v>141</v>
      </c>
      <c r="AL1581" t="s">
        <v>8715</v>
      </c>
      <c r="AM1581" t="s">
        <v>3663</v>
      </c>
    </row>
    <row r="1582" spans="1:39" hidden="1" x14ac:dyDescent="0.25">
      <c r="A1582">
        <v>1578</v>
      </c>
      <c r="B1582">
        <v>6</v>
      </c>
      <c r="C1582" s="24">
        <v>44868</v>
      </c>
      <c r="D1582" s="238" t="s">
        <v>27</v>
      </c>
      <c r="E1582" s="238" t="s">
        <v>5</v>
      </c>
      <c r="F1582">
        <v>5</v>
      </c>
      <c r="G1582">
        <v>2</v>
      </c>
      <c r="H1582">
        <v>212</v>
      </c>
      <c r="I1582" s="238" t="s">
        <v>4052</v>
      </c>
      <c r="J1582">
        <v>23.63</v>
      </c>
      <c r="K1582" s="238" t="s">
        <v>36</v>
      </c>
      <c r="L1582">
        <v>1949157.46</v>
      </c>
      <c r="M1582">
        <v>0</v>
      </c>
      <c r="N1582">
        <v>1949157.46</v>
      </c>
      <c r="O1582">
        <v>82486.561997460856</v>
      </c>
      <c r="P1582">
        <v>0</v>
      </c>
      <c r="Q1582">
        <v>1949157.46</v>
      </c>
      <c r="R1582">
        <v>82486.561997460856</v>
      </c>
      <c r="S1582" s="238" t="s">
        <v>121</v>
      </c>
      <c r="T1582" s="238" t="s">
        <v>3540</v>
      </c>
      <c r="U1582">
        <v>102587.23</v>
      </c>
      <c r="V1582" t="s">
        <v>1167</v>
      </c>
      <c r="W1582" s="24">
        <v>44866</v>
      </c>
      <c r="X1582" s="238" t="s">
        <v>3681</v>
      </c>
      <c r="Y1582" s="238" t="s">
        <v>39</v>
      </c>
      <c r="Z1582" s="238" t="s">
        <v>1340</v>
      </c>
      <c r="AA1582" t="s">
        <v>3113</v>
      </c>
      <c r="AB1582" s="238" t="s">
        <v>3246</v>
      </c>
      <c r="AC1582" t="s">
        <v>1167</v>
      </c>
      <c r="AD1582" s="24"/>
      <c r="AE1582" s="238" t="s">
        <v>3682</v>
      </c>
      <c r="AF1582">
        <v>79272071878</v>
      </c>
      <c r="AG1582" s="238" t="s">
        <v>3683</v>
      </c>
      <c r="AH1582" s="238" t="s">
        <v>1212</v>
      </c>
      <c r="AI1582" s="238" t="s">
        <v>3103</v>
      </c>
      <c r="AJ1582" s="238" t="s">
        <v>130</v>
      </c>
      <c r="AK1582" s="238" t="s">
        <v>1167</v>
      </c>
      <c r="AL1582" t="s">
        <v>8715</v>
      </c>
      <c r="AM1582" t="s">
        <v>3663</v>
      </c>
    </row>
    <row r="1583" spans="1:39" hidden="1" x14ac:dyDescent="0.25">
      <c r="A1583">
        <v>1579</v>
      </c>
      <c r="B1583">
        <v>7</v>
      </c>
      <c r="C1583" s="24">
        <v>44872</v>
      </c>
      <c r="D1583" s="238" t="s">
        <v>19</v>
      </c>
      <c r="E1583" s="238" t="s">
        <v>6</v>
      </c>
      <c r="F1583">
        <v>2</v>
      </c>
      <c r="G1583">
        <v>4</v>
      </c>
      <c r="H1583">
        <v>16</v>
      </c>
      <c r="I1583" s="238" t="s">
        <v>43</v>
      </c>
      <c r="J1583">
        <v>60.4</v>
      </c>
      <c r="K1583" s="238" t="s">
        <v>36</v>
      </c>
      <c r="L1583">
        <v>4895520</v>
      </c>
      <c r="M1583">
        <v>15000</v>
      </c>
      <c r="N1583">
        <v>4910520</v>
      </c>
      <c r="O1583">
        <v>81300</v>
      </c>
      <c r="P1583">
        <v>0</v>
      </c>
      <c r="Q1583">
        <v>4910520</v>
      </c>
      <c r="R1583">
        <v>81300</v>
      </c>
      <c r="S1583" s="238" t="s">
        <v>121</v>
      </c>
      <c r="T1583" s="238" t="s">
        <v>1167</v>
      </c>
      <c r="V1583" t="s">
        <v>1167</v>
      </c>
      <c r="W1583" s="24">
        <v>44868</v>
      </c>
      <c r="X1583" s="238" t="s">
        <v>3684</v>
      </c>
      <c r="Y1583" s="238" t="s">
        <v>39</v>
      </c>
      <c r="Z1583" s="238" t="s">
        <v>1340</v>
      </c>
      <c r="AA1583" t="s">
        <v>3113</v>
      </c>
      <c r="AB1583" s="238" t="s">
        <v>3124</v>
      </c>
      <c r="AC1583" t="s">
        <v>1167</v>
      </c>
      <c r="AD1583" s="24"/>
      <c r="AE1583" s="238" t="s">
        <v>3685</v>
      </c>
      <c r="AF1583">
        <v>79871624059</v>
      </c>
      <c r="AG1583" s="238" t="s">
        <v>3686</v>
      </c>
      <c r="AH1583" s="238" t="s">
        <v>1212</v>
      </c>
      <c r="AI1583" s="238" t="s">
        <v>135</v>
      </c>
      <c r="AJ1583" s="238" t="s">
        <v>130</v>
      </c>
      <c r="AK1583" s="238" t="s">
        <v>1167</v>
      </c>
      <c r="AL1583" t="s">
        <v>8715</v>
      </c>
      <c r="AM1583" t="s">
        <v>1167</v>
      </c>
    </row>
    <row r="1584" spans="1:39" hidden="1" x14ac:dyDescent="0.25">
      <c r="A1584">
        <v>1580</v>
      </c>
      <c r="B1584">
        <v>8</v>
      </c>
      <c r="C1584" s="24">
        <v>44873</v>
      </c>
      <c r="D1584" s="238" t="s">
        <v>91</v>
      </c>
      <c r="E1584" s="238" t="s">
        <v>5</v>
      </c>
      <c r="F1584">
        <v>5</v>
      </c>
      <c r="G1584">
        <v>5</v>
      </c>
      <c r="H1584">
        <v>149</v>
      </c>
      <c r="I1584" s="238" t="s">
        <v>42</v>
      </c>
      <c r="J1584">
        <v>36.700000000000003</v>
      </c>
      <c r="K1584" s="238" t="s">
        <v>36</v>
      </c>
      <c r="L1584">
        <v>2889508.44</v>
      </c>
      <c r="M1584">
        <v>0</v>
      </c>
      <c r="N1584">
        <v>2889508.44</v>
      </c>
      <c r="O1584">
        <v>78733.2</v>
      </c>
      <c r="P1584">
        <v>0</v>
      </c>
      <c r="Q1584">
        <v>2889508.44</v>
      </c>
      <c r="R1584">
        <v>78733.2</v>
      </c>
      <c r="S1584" s="238" t="s">
        <v>137</v>
      </c>
      <c r="T1584" s="238" t="s">
        <v>1167</v>
      </c>
      <c r="V1584" t="s">
        <v>4091</v>
      </c>
      <c r="W1584" s="24">
        <v>44867</v>
      </c>
      <c r="X1584" s="238" t="s">
        <v>3687</v>
      </c>
      <c r="Y1584" s="238" t="s">
        <v>39</v>
      </c>
      <c r="Z1584" s="238" t="s">
        <v>1340</v>
      </c>
      <c r="AA1584" t="s">
        <v>3113</v>
      </c>
      <c r="AB1584" s="238" t="s">
        <v>3246</v>
      </c>
      <c r="AC1584" t="s">
        <v>3079</v>
      </c>
      <c r="AD1584" s="24"/>
      <c r="AE1584" s="238" t="s">
        <v>3688</v>
      </c>
      <c r="AF1584">
        <v>79272674212</v>
      </c>
      <c r="AG1584" s="238" t="s">
        <v>3689</v>
      </c>
      <c r="AH1584" s="238" t="s">
        <v>1171</v>
      </c>
      <c r="AI1584" s="238" t="s">
        <v>3074</v>
      </c>
      <c r="AJ1584" s="238" t="s">
        <v>399</v>
      </c>
      <c r="AK1584" s="238" t="s">
        <v>141</v>
      </c>
      <c r="AL1584" t="s">
        <v>8715</v>
      </c>
      <c r="AM1584" t="s">
        <v>3663</v>
      </c>
    </row>
    <row r="1585" spans="1:39" hidden="1" x14ac:dyDescent="0.25">
      <c r="A1585">
        <v>1581</v>
      </c>
      <c r="B1585">
        <v>9</v>
      </c>
      <c r="C1585" s="24">
        <v>44873</v>
      </c>
      <c r="D1585" s="238" t="s">
        <v>91</v>
      </c>
      <c r="E1585" s="238" t="s">
        <v>6</v>
      </c>
      <c r="F1585">
        <v>1</v>
      </c>
      <c r="G1585">
        <v>9</v>
      </c>
      <c r="H1585">
        <v>57</v>
      </c>
      <c r="I1585" s="238" t="s">
        <v>42</v>
      </c>
      <c r="J1585">
        <v>33.53</v>
      </c>
      <c r="K1585" s="238" t="s">
        <v>37</v>
      </c>
      <c r="L1585">
        <v>2710705.36</v>
      </c>
      <c r="M1585">
        <v>0</v>
      </c>
      <c r="N1585">
        <v>2710705.36</v>
      </c>
      <c r="O1585">
        <v>80844.180137190575</v>
      </c>
      <c r="P1585">
        <v>251475</v>
      </c>
      <c r="Q1585">
        <v>2459230.36</v>
      </c>
      <c r="R1585">
        <v>73344.180137190575</v>
      </c>
      <c r="S1585" s="238" t="s">
        <v>137</v>
      </c>
      <c r="T1585" s="238" t="s">
        <v>3540</v>
      </c>
      <c r="U1585">
        <v>129433.18</v>
      </c>
      <c r="V1585" t="s">
        <v>4091</v>
      </c>
      <c r="W1585" s="24">
        <v>44868</v>
      </c>
      <c r="X1585" s="238" t="s">
        <v>3690</v>
      </c>
      <c r="Y1585" s="238" t="s">
        <v>39</v>
      </c>
      <c r="Z1585" s="238" t="s">
        <v>1340</v>
      </c>
      <c r="AA1585" t="s">
        <v>3113</v>
      </c>
      <c r="AB1585" s="238" t="s">
        <v>3246</v>
      </c>
      <c r="AC1585" t="s">
        <v>3079</v>
      </c>
      <c r="AD1585" s="24"/>
      <c r="AE1585" s="238" t="s">
        <v>3691</v>
      </c>
      <c r="AF1585">
        <v>79869532962</v>
      </c>
      <c r="AG1585" s="238" t="s">
        <v>3692</v>
      </c>
      <c r="AH1585" s="238" t="s">
        <v>1171</v>
      </c>
      <c r="AI1585" s="238" t="s">
        <v>3090</v>
      </c>
      <c r="AJ1585" s="238" t="s">
        <v>130</v>
      </c>
      <c r="AK1585" s="238" t="s">
        <v>3345</v>
      </c>
      <c r="AL1585" t="s">
        <v>8715</v>
      </c>
      <c r="AM1585" t="s">
        <v>3663</v>
      </c>
    </row>
    <row r="1586" spans="1:39" hidden="1" x14ac:dyDescent="0.25">
      <c r="A1586">
        <v>1582</v>
      </c>
      <c r="B1586">
        <v>10</v>
      </c>
      <c r="C1586" s="24">
        <v>44873</v>
      </c>
      <c r="D1586" s="238" t="s">
        <v>27</v>
      </c>
      <c r="E1586" s="238" t="s">
        <v>6</v>
      </c>
      <c r="F1586">
        <v>2</v>
      </c>
      <c r="G1586">
        <v>19</v>
      </c>
      <c r="H1586">
        <v>155</v>
      </c>
      <c r="I1586" s="238" t="s">
        <v>42</v>
      </c>
      <c r="J1586">
        <v>37.94</v>
      </c>
      <c r="K1586" s="238" t="s">
        <v>36</v>
      </c>
      <c r="L1586">
        <v>3317598.8</v>
      </c>
      <c r="M1586">
        <v>0</v>
      </c>
      <c r="N1586">
        <v>3317598.8</v>
      </c>
      <c r="O1586">
        <v>87443.299947285181</v>
      </c>
      <c r="P1586">
        <v>0</v>
      </c>
      <c r="Q1586">
        <v>3317598.8</v>
      </c>
      <c r="R1586">
        <v>87443.299947285181</v>
      </c>
      <c r="S1586" s="238" t="s">
        <v>137</v>
      </c>
      <c r="T1586" s="238" t="s">
        <v>1167</v>
      </c>
      <c r="V1586" t="s">
        <v>4091</v>
      </c>
      <c r="W1586" s="24">
        <v>44871</v>
      </c>
      <c r="X1586" s="238" t="s">
        <v>3693</v>
      </c>
      <c r="Y1586" s="238" t="s">
        <v>39</v>
      </c>
      <c r="Z1586" s="238" t="s">
        <v>1340</v>
      </c>
      <c r="AA1586" t="s">
        <v>3113</v>
      </c>
      <c r="AB1586" s="238" t="s">
        <v>3246</v>
      </c>
      <c r="AC1586" t="s">
        <v>3079</v>
      </c>
      <c r="AD1586" s="24"/>
      <c r="AE1586" s="238" t="s">
        <v>3694</v>
      </c>
      <c r="AF1586">
        <v>79277342250</v>
      </c>
      <c r="AG1586" s="238" t="s">
        <v>3695</v>
      </c>
      <c r="AH1586" s="238" t="s">
        <v>1171</v>
      </c>
      <c r="AI1586" s="238" t="s">
        <v>3514</v>
      </c>
      <c r="AJ1586" s="238" t="s">
        <v>130</v>
      </c>
      <c r="AK1586" s="238" t="s">
        <v>141</v>
      </c>
      <c r="AL1586" t="s">
        <v>8715</v>
      </c>
      <c r="AM1586" t="s">
        <v>1167</v>
      </c>
    </row>
    <row r="1587" spans="1:39" hidden="1" x14ac:dyDescent="0.25">
      <c r="A1587">
        <v>1583</v>
      </c>
      <c r="B1587">
        <v>11</v>
      </c>
      <c r="C1587" s="24">
        <v>44877</v>
      </c>
      <c r="D1587" s="238" t="s">
        <v>91</v>
      </c>
      <c r="E1587" s="238" t="s">
        <v>16</v>
      </c>
      <c r="F1587">
        <v>5</v>
      </c>
      <c r="G1587">
        <v>14</v>
      </c>
      <c r="H1587">
        <v>329</v>
      </c>
      <c r="I1587" s="238" t="s">
        <v>43</v>
      </c>
      <c r="J1587">
        <v>56.7</v>
      </c>
      <c r="K1587" s="238" t="s">
        <v>36</v>
      </c>
      <c r="L1587">
        <v>3882112.92</v>
      </c>
      <c r="M1587">
        <v>0</v>
      </c>
      <c r="N1587">
        <v>3882112.92</v>
      </c>
      <c r="O1587">
        <v>68467.599999999991</v>
      </c>
      <c r="P1587">
        <v>0</v>
      </c>
      <c r="Q1587">
        <v>3882112.92</v>
      </c>
      <c r="R1587">
        <v>68467.599999999991</v>
      </c>
      <c r="S1587" s="238" t="s">
        <v>124</v>
      </c>
      <c r="T1587" s="238" t="s">
        <v>3540</v>
      </c>
      <c r="U1587">
        <v>204321.74</v>
      </c>
      <c r="V1587" t="s">
        <v>1167</v>
      </c>
      <c r="W1587" s="24">
        <v>44873</v>
      </c>
      <c r="X1587" s="238" t="s">
        <v>3696</v>
      </c>
      <c r="Y1587" s="238" t="s">
        <v>39</v>
      </c>
      <c r="Z1587" s="238" t="s">
        <v>1340</v>
      </c>
      <c r="AA1587" t="s">
        <v>3113</v>
      </c>
      <c r="AB1587" s="238" t="s">
        <v>3246</v>
      </c>
      <c r="AC1587" t="s">
        <v>1167</v>
      </c>
      <c r="AD1587" s="24"/>
      <c r="AE1587" s="238" t="s">
        <v>3697</v>
      </c>
      <c r="AF1587">
        <v>79272690253</v>
      </c>
      <c r="AG1587" s="238" t="s">
        <v>3698</v>
      </c>
      <c r="AH1587" s="238" t="s">
        <v>1212</v>
      </c>
      <c r="AI1587" s="238" t="s">
        <v>135</v>
      </c>
      <c r="AJ1587" s="238" t="s">
        <v>399</v>
      </c>
      <c r="AK1587" s="238" t="s">
        <v>1167</v>
      </c>
      <c r="AL1587" t="s">
        <v>8715</v>
      </c>
      <c r="AM1587" t="s">
        <v>1167</v>
      </c>
    </row>
    <row r="1588" spans="1:39" hidden="1" x14ac:dyDescent="0.25">
      <c r="A1588">
        <v>1584</v>
      </c>
      <c r="B1588">
        <v>12</v>
      </c>
      <c r="C1588" s="24">
        <v>44876</v>
      </c>
      <c r="D1588" s="238" t="s">
        <v>91</v>
      </c>
      <c r="E1588" s="238" t="s">
        <v>16</v>
      </c>
      <c r="F1588">
        <v>5</v>
      </c>
      <c r="G1588">
        <v>9</v>
      </c>
      <c r="H1588">
        <v>294</v>
      </c>
      <c r="I1588" s="238" t="s">
        <v>43</v>
      </c>
      <c r="J1588">
        <v>56.7</v>
      </c>
      <c r="K1588" s="238" t="s">
        <v>37</v>
      </c>
      <c r="L1588">
        <v>4269672.7300000004</v>
      </c>
      <c r="M1588">
        <v>0</v>
      </c>
      <c r="N1588">
        <v>4269672.7300000004</v>
      </c>
      <c r="O1588">
        <v>75302.870017636684</v>
      </c>
      <c r="P1588">
        <v>425249.99999999953</v>
      </c>
      <c r="Q1588">
        <v>3844422.7300000009</v>
      </c>
      <c r="R1588">
        <v>67802.870017636698</v>
      </c>
      <c r="S1588" s="238" t="s">
        <v>137</v>
      </c>
      <c r="T1588" s="238" t="s">
        <v>3540</v>
      </c>
      <c r="U1588">
        <v>202338.03</v>
      </c>
      <c r="V1588" t="s">
        <v>4092</v>
      </c>
      <c r="W1588" s="24">
        <v>44866</v>
      </c>
      <c r="X1588" s="238" t="s">
        <v>3699</v>
      </c>
      <c r="Y1588" s="238" t="s">
        <v>39</v>
      </c>
      <c r="Z1588" s="238" t="s">
        <v>1340</v>
      </c>
      <c r="AA1588" t="s">
        <v>3113</v>
      </c>
      <c r="AB1588" s="238" t="s">
        <v>3246</v>
      </c>
      <c r="AC1588" t="s">
        <v>3079</v>
      </c>
      <c r="AD1588" s="24"/>
      <c r="AE1588" s="238" t="s">
        <v>3700</v>
      </c>
      <c r="AF1588">
        <v>79966208011</v>
      </c>
      <c r="AG1588" s="238" t="s">
        <v>3701</v>
      </c>
      <c r="AH1588" s="238" t="s">
        <v>1212</v>
      </c>
      <c r="AI1588" s="238" t="s">
        <v>135</v>
      </c>
      <c r="AJ1588" s="238" t="s">
        <v>130</v>
      </c>
      <c r="AK1588" s="238" t="s">
        <v>3345</v>
      </c>
      <c r="AL1588" t="s">
        <v>8715</v>
      </c>
      <c r="AM1588" t="s">
        <v>3663</v>
      </c>
    </row>
    <row r="1589" spans="1:39" hidden="1" x14ac:dyDescent="0.25">
      <c r="A1589">
        <v>1585</v>
      </c>
      <c r="B1589">
        <v>13</v>
      </c>
      <c r="C1589" s="24">
        <v>44876</v>
      </c>
      <c r="D1589" s="238" t="s">
        <v>27</v>
      </c>
      <c r="E1589" s="238" t="s">
        <v>6</v>
      </c>
      <c r="F1589">
        <v>2</v>
      </c>
      <c r="G1589">
        <v>21</v>
      </c>
      <c r="H1589">
        <v>173</v>
      </c>
      <c r="I1589" s="238" t="s">
        <v>42</v>
      </c>
      <c r="J1589">
        <v>37.94</v>
      </c>
      <c r="K1589" s="238" t="s">
        <v>36</v>
      </c>
      <c r="L1589">
        <v>3317598.8</v>
      </c>
      <c r="M1589">
        <v>0</v>
      </c>
      <c r="N1589">
        <v>3317598.8</v>
      </c>
      <c r="O1589">
        <v>87443.299947285181</v>
      </c>
      <c r="P1589">
        <v>0</v>
      </c>
      <c r="Q1589">
        <v>3317598.8</v>
      </c>
      <c r="R1589">
        <v>87443.299947285181</v>
      </c>
      <c r="S1589" s="238" t="s">
        <v>121</v>
      </c>
      <c r="T1589" s="238" t="s">
        <v>1167</v>
      </c>
      <c r="V1589" t="s">
        <v>1167</v>
      </c>
      <c r="W1589" s="24">
        <v>44868</v>
      </c>
      <c r="X1589" s="238" t="s">
        <v>3702</v>
      </c>
      <c r="Y1589" s="238" t="s">
        <v>39</v>
      </c>
      <c r="Z1589" s="238" t="s">
        <v>1340</v>
      </c>
      <c r="AA1589" t="s">
        <v>3113</v>
      </c>
      <c r="AB1589" s="238" t="s">
        <v>3246</v>
      </c>
      <c r="AC1589" t="s">
        <v>1167</v>
      </c>
      <c r="AD1589" s="24"/>
      <c r="AE1589" s="238" t="s">
        <v>3703</v>
      </c>
      <c r="AF1589">
        <v>79292814124</v>
      </c>
      <c r="AG1589" s="238" t="s">
        <v>3704</v>
      </c>
      <c r="AH1589" s="238" t="s">
        <v>1171</v>
      </c>
      <c r="AI1589" s="238" t="s">
        <v>3074</v>
      </c>
      <c r="AJ1589" s="238" t="s">
        <v>130</v>
      </c>
      <c r="AK1589" s="238" t="s">
        <v>1167</v>
      </c>
      <c r="AL1589" t="s">
        <v>8715</v>
      </c>
      <c r="AM1589" t="s">
        <v>1167</v>
      </c>
    </row>
    <row r="1590" spans="1:39" hidden="1" x14ac:dyDescent="0.25">
      <c r="A1590">
        <v>1586</v>
      </c>
      <c r="B1590">
        <v>14</v>
      </c>
      <c r="C1590" s="24">
        <v>44876</v>
      </c>
      <c r="D1590" s="238" t="s">
        <v>27</v>
      </c>
      <c r="E1590" s="238" t="s">
        <v>6</v>
      </c>
      <c r="F1590">
        <v>4</v>
      </c>
      <c r="G1590">
        <v>14</v>
      </c>
      <c r="H1590">
        <v>112</v>
      </c>
      <c r="I1590" s="238" t="s">
        <v>4052</v>
      </c>
      <c r="J1590">
        <v>24.39</v>
      </c>
      <c r="K1590" s="238" t="s">
        <v>37</v>
      </c>
      <c r="L1590">
        <v>2351576.48</v>
      </c>
      <c r="M1590">
        <v>0</v>
      </c>
      <c r="N1590">
        <v>2351576.48</v>
      </c>
      <c r="O1590">
        <v>96415.599835998364</v>
      </c>
      <c r="P1590">
        <v>182925</v>
      </c>
      <c r="Q1590">
        <v>2168651.48</v>
      </c>
      <c r="R1590">
        <v>88915.599835998364</v>
      </c>
      <c r="S1590" s="238" t="s">
        <v>137</v>
      </c>
      <c r="T1590" s="238" t="s">
        <v>1167</v>
      </c>
      <c r="V1590" t="s">
        <v>4091</v>
      </c>
      <c r="W1590" s="24">
        <v>44871</v>
      </c>
      <c r="X1590" s="238" t="s">
        <v>3705</v>
      </c>
      <c r="Y1590" s="238" t="s">
        <v>39</v>
      </c>
      <c r="Z1590" s="238" t="s">
        <v>1340</v>
      </c>
      <c r="AA1590" t="s">
        <v>3113</v>
      </c>
      <c r="AB1590" s="238" t="s">
        <v>3246</v>
      </c>
      <c r="AC1590" t="s">
        <v>3079</v>
      </c>
      <c r="AD1590" s="24"/>
      <c r="AE1590" s="238" t="s">
        <v>3706</v>
      </c>
      <c r="AF1590">
        <v>79379865732</v>
      </c>
      <c r="AG1590" s="238" t="s">
        <v>3707</v>
      </c>
      <c r="AH1590" s="238" t="s">
        <v>146</v>
      </c>
      <c r="AI1590" s="238" t="s">
        <v>135</v>
      </c>
      <c r="AJ1590" s="238" t="s">
        <v>130</v>
      </c>
      <c r="AK1590" s="238" t="s">
        <v>141</v>
      </c>
      <c r="AL1590" t="s">
        <v>8715</v>
      </c>
      <c r="AM1590" t="s">
        <v>1167</v>
      </c>
    </row>
    <row r="1591" spans="1:39" hidden="1" x14ac:dyDescent="0.25">
      <c r="A1591">
        <v>1587</v>
      </c>
      <c r="B1591">
        <v>15</v>
      </c>
      <c r="C1591" s="24">
        <v>44879</v>
      </c>
      <c r="D1591" s="238" t="s">
        <v>91</v>
      </c>
      <c r="E1591" s="238" t="s">
        <v>5</v>
      </c>
      <c r="F1591">
        <v>8</v>
      </c>
      <c r="G1591">
        <v>7</v>
      </c>
      <c r="H1591">
        <v>168</v>
      </c>
      <c r="I1591" s="238" t="s">
        <v>42</v>
      </c>
      <c r="J1591">
        <v>33.79</v>
      </c>
      <c r="K1591" s="238" t="s">
        <v>38</v>
      </c>
      <c r="L1591">
        <v>3273854.64</v>
      </c>
      <c r="M1591">
        <v>0</v>
      </c>
      <c r="N1591">
        <v>3273854.64</v>
      </c>
      <c r="O1591">
        <v>96888.269902337983</v>
      </c>
      <c r="P1591">
        <v>743380</v>
      </c>
      <c r="Q1591">
        <v>2530474.64</v>
      </c>
      <c r="R1591">
        <v>74888.269902337983</v>
      </c>
      <c r="S1591" s="238" t="s">
        <v>137</v>
      </c>
      <c r="T1591" s="238" t="s">
        <v>321</v>
      </c>
      <c r="U1591">
        <v>78262.100000000006</v>
      </c>
      <c r="V1591" t="s">
        <v>4091</v>
      </c>
      <c r="W1591" s="24">
        <v>44873</v>
      </c>
      <c r="X1591" s="238" t="s">
        <v>3708</v>
      </c>
      <c r="Y1591" s="238" t="s">
        <v>39</v>
      </c>
      <c r="Z1591" s="238" t="s">
        <v>1340</v>
      </c>
      <c r="AA1591" t="s">
        <v>3113</v>
      </c>
      <c r="AB1591" s="238" t="s">
        <v>3246</v>
      </c>
      <c r="AC1591" t="s">
        <v>3079</v>
      </c>
      <c r="AD1591" s="24"/>
      <c r="AE1591" s="238" t="s">
        <v>3709</v>
      </c>
      <c r="AF1591">
        <v>79198046711</v>
      </c>
      <c r="AG1591" s="238" t="s">
        <v>3710</v>
      </c>
      <c r="AH1591" s="238" t="s">
        <v>1171</v>
      </c>
      <c r="AI1591" s="238" t="s">
        <v>135</v>
      </c>
      <c r="AJ1591" s="238" t="s">
        <v>399</v>
      </c>
      <c r="AK1591" s="238" t="s">
        <v>141</v>
      </c>
      <c r="AL1591" t="s">
        <v>8715</v>
      </c>
      <c r="AM1591" t="s">
        <v>3663</v>
      </c>
    </row>
    <row r="1592" spans="1:39" hidden="1" x14ac:dyDescent="0.25">
      <c r="A1592">
        <v>1588</v>
      </c>
      <c r="B1592">
        <v>16</v>
      </c>
      <c r="C1592" s="24">
        <v>44879</v>
      </c>
      <c r="D1592" s="238" t="s">
        <v>91</v>
      </c>
      <c r="E1592" s="238" t="s">
        <v>5</v>
      </c>
      <c r="F1592">
        <v>3</v>
      </c>
      <c r="G1592">
        <v>8</v>
      </c>
      <c r="H1592">
        <v>171</v>
      </c>
      <c r="I1592" s="238" t="s">
        <v>42</v>
      </c>
      <c r="J1592">
        <v>35.380000000000003</v>
      </c>
      <c r="K1592" s="238" t="s">
        <v>36</v>
      </c>
      <c r="L1592">
        <v>2758536.14</v>
      </c>
      <c r="M1592">
        <v>0</v>
      </c>
      <c r="N1592">
        <v>2758536.14</v>
      </c>
      <c r="O1592">
        <v>77968.799886941779</v>
      </c>
      <c r="P1592">
        <v>0</v>
      </c>
      <c r="Q1592">
        <v>2758536.14</v>
      </c>
      <c r="R1592">
        <v>77968.799886941779</v>
      </c>
      <c r="S1592" s="238" t="s">
        <v>124</v>
      </c>
      <c r="T1592" s="238" t="s">
        <v>1167</v>
      </c>
      <c r="V1592" t="s">
        <v>1167</v>
      </c>
      <c r="W1592" s="24">
        <v>44876</v>
      </c>
      <c r="X1592" s="238" t="s">
        <v>3711</v>
      </c>
      <c r="Y1592" s="238" t="s">
        <v>39</v>
      </c>
      <c r="Z1592" s="238" t="s">
        <v>1340</v>
      </c>
      <c r="AA1592" t="s">
        <v>3113</v>
      </c>
      <c r="AB1592" s="238" t="s">
        <v>3246</v>
      </c>
      <c r="AC1592" t="s">
        <v>1167</v>
      </c>
      <c r="AD1592" s="24"/>
      <c r="AE1592" s="238" t="s">
        <v>3712</v>
      </c>
      <c r="AF1592">
        <v>79372112068</v>
      </c>
      <c r="AG1592" s="238" t="s">
        <v>3713</v>
      </c>
      <c r="AH1592" s="238" t="s">
        <v>1212</v>
      </c>
      <c r="AI1592" s="238" t="s">
        <v>135</v>
      </c>
      <c r="AJ1592" s="238" t="s">
        <v>399</v>
      </c>
      <c r="AK1592" s="238" t="s">
        <v>1167</v>
      </c>
      <c r="AL1592" t="s">
        <v>8715</v>
      </c>
      <c r="AM1592" t="s">
        <v>1167</v>
      </c>
    </row>
    <row r="1593" spans="1:39" hidden="1" x14ac:dyDescent="0.25">
      <c r="A1593">
        <v>1589</v>
      </c>
      <c r="B1593">
        <v>17</v>
      </c>
      <c r="C1593" s="24">
        <v>44880</v>
      </c>
      <c r="D1593" s="238" t="s">
        <v>27</v>
      </c>
      <c r="E1593" s="238" t="s">
        <v>6</v>
      </c>
      <c r="F1593">
        <v>2</v>
      </c>
      <c r="G1593">
        <v>23</v>
      </c>
      <c r="H1593">
        <v>191</v>
      </c>
      <c r="I1593" s="238" t="s">
        <v>42</v>
      </c>
      <c r="J1593">
        <v>37.94</v>
      </c>
      <c r="K1593" s="238" t="s">
        <v>36</v>
      </c>
      <c r="L1593">
        <v>2986636.89</v>
      </c>
      <c r="M1593">
        <v>15000</v>
      </c>
      <c r="N1593">
        <v>3001636.89</v>
      </c>
      <c r="O1593">
        <v>79115.363468634692</v>
      </c>
      <c r="P1593">
        <v>0</v>
      </c>
      <c r="Q1593">
        <v>3001636.89</v>
      </c>
      <c r="R1593">
        <v>79115.363468634692</v>
      </c>
      <c r="S1593" s="238" t="s">
        <v>137</v>
      </c>
      <c r="T1593" s="238" t="s">
        <v>3540</v>
      </c>
      <c r="U1593">
        <v>157980.89000000001</v>
      </c>
      <c r="V1593" t="s">
        <v>4092</v>
      </c>
      <c r="W1593" s="24">
        <v>44875</v>
      </c>
      <c r="X1593" s="238" t="s">
        <v>3714</v>
      </c>
      <c r="Y1593" s="238" t="s">
        <v>39</v>
      </c>
      <c r="Z1593" s="238" t="s">
        <v>1340</v>
      </c>
      <c r="AA1593" t="s">
        <v>3113</v>
      </c>
      <c r="AB1593" s="238" t="s">
        <v>3246</v>
      </c>
      <c r="AC1593" t="s">
        <v>3079</v>
      </c>
      <c r="AD1593" s="24"/>
      <c r="AE1593" s="238" t="s">
        <v>3715</v>
      </c>
      <c r="AF1593">
        <v>79991728999</v>
      </c>
      <c r="AG1593" s="238" t="s">
        <v>3716</v>
      </c>
      <c r="AH1593" s="238" t="s">
        <v>1171</v>
      </c>
      <c r="AI1593" s="238" t="s">
        <v>3082</v>
      </c>
      <c r="AJ1593" s="238" t="s">
        <v>130</v>
      </c>
      <c r="AK1593" s="238" t="s">
        <v>141</v>
      </c>
      <c r="AL1593" t="s">
        <v>8715</v>
      </c>
      <c r="AM1593" t="s">
        <v>1167</v>
      </c>
    </row>
    <row r="1594" spans="1:39" hidden="1" x14ac:dyDescent="0.25">
      <c r="A1594">
        <v>1590</v>
      </c>
      <c r="B1594">
        <v>18</v>
      </c>
      <c r="C1594" s="24">
        <v>44881</v>
      </c>
      <c r="D1594" s="238" t="s">
        <v>91</v>
      </c>
      <c r="E1594" s="238" t="s">
        <v>5</v>
      </c>
      <c r="F1594">
        <v>8</v>
      </c>
      <c r="G1594">
        <v>9</v>
      </c>
      <c r="H1594">
        <v>184</v>
      </c>
      <c r="I1594" s="238" t="s">
        <v>42</v>
      </c>
      <c r="J1594">
        <v>33.79</v>
      </c>
      <c r="K1594" s="238" t="s">
        <v>37</v>
      </c>
      <c r="L1594">
        <v>2731724.85</v>
      </c>
      <c r="M1594">
        <v>0</v>
      </c>
      <c r="N1594">
        <v>2731724.85</v>
      </c>
      <c r="O1594">
        <v>80844.180230837534</v>
      </c>
      <c r="P1594">
        <v>253425</v>
      </c>
      <c r="Q1594">
        <v>2478299.85</v>
      </c>
      <c r="R1594">
        <v>73344.180230837534</v>
      </c>
      <c r="S1594" s="238" t="s">
        <v>124</v>
      </c>
      <c r="T1594" s="238" t="s">
        <v>3540</v>
      </c>
      <c r="U1594">
        <v>130436.83</v>
      </c>
      <c r="V1594" t="s">
        <v>1167</v>
      </c>
      <c r="W1594" s="24">
        <v>44878</v>
      </c>
      <c r="X1594" s="238" t="s">
        <v>3717</v>
      </c>
      <c r="Y1594" s="238" t="s">
        <v>39</v>
      </c>
      <c r="Z1594" s="238" t="s">
        <v>1340</v>
      </c>
      <c r="AA1594" t="s">
        <v>3113</v>
      </c>
      <c r="AB1594" s="238" t="s">
        <v>3246</v>
      </c>
      <c r="AC1594" t="s">
        <v>1167</v>
      </c>
      <c r="AD1594" s="24"/>
      <c r="AE1594" s="238" t="s">
        <v>3718</v>
      </c>
      <c r="AF1594">
        <v>79277290757</v>
      </c>
      <c r="AG1594" s="238" t="s">
        <v>3719</v>
      </c>
      <c r="AH1594" s="238" t="s">
        <v>146</v>
      </c>
      <c r="AI1594" s="238" t="s">
        <v>135</v>
      </c>
      <c r="AJ1594" s="238" t="s">
        <v>399</v>
      </c>
      <c r="AK1594" s="238" t="s">
        <v>1167</v>
      </c>
      <c r="AL1594" t="s">
        <v>8715</v>
      </c>
      <c r="AM1594" t="s">
        <v>1167</v>
      </c>
    </row>
    <row r="1595" spans="1:39" hidden="1" x14ac:dyDescent="0.25">
      <c r="A1595">
        <v>1591</v>
      </c>
      <c r="B1595">
        <v>19</v>
      </c>
      <c r="C1595" s="24">
        <v>44881</v>
      </c>
      <c r="D1595" s="238" t="s">
        <v>91</v>
      </c>
      <c r="E1595" s="238" t="s">
        <v>5</v>
      </c>
      <c r="F1595">
        <v>7</v>
      </c>
      <c r="G1595">
        <v>13</v>
      </c>
      <c r="H1595">
        <v>215</v>
      </c>
      <c r="I1595" s="238" t="s">
        <v>44</v>
      </c>
      <c r="J1595">
        <v>78.73</v>
      </c>
      <c r="K1595" s="238" t="s">
        <v>38</v>
      </c>
      <c r="L1595">
        <v>5703327.1699999999</v>
      </c>
      <c r="M1595">
        <v>0</v>
      </c>
      <c r="N1595">
        <v>5703327.1699999999</v>
      </c>
      <c r="O1595">
        <v>72441.60002540327</v>
      </c>
      <c r="P1595">
        <v>0</v>
      </c>
      <c r="Q1595">
        <v>5703327.1699999999</v>
      </c>
      <c r="R1595">
        <v>72441.60002540327</v>
      </c>
      <c r="S1595" s="238" t="s">
        <v>137</v>
      </c>
      <c r="T1595" s="238" t="s">
        <v>1167</v>
      </c>
      <c r="V1595" t="s">
        <v>3661</v>
      </c>
      <c r="W1595" s="24">
        <v>44880</v>
      </c>
      <c r="X1595" s="238" t="s">
        <v>3720</v>
      </c>
      <c r="Y1595" s="238" t="s">
        <v>39</v>
      </c>
      <c r="Z1595" s="238" t="s">
        <v>1168</v>
      </c>
      <c r="AA1595" t="s">
        <v>1167</v>
      </c>
      <c r="AB1595" s="238" t="s">
        <v>3246</v>
      </c>
      <c r="AC1595" t="s">
        <v>3115</v>
      </c>
      <c r="AD1595" s="24"/>
      <c r="AE1595" s="238" t="s">
        <v>3721</v>
      </c>
      <c r="AF1595">
        <v>79871605204</v>
      </c>
      <c r="AG1595" s="238" t="s">
        <v>7914</v>
      </c>
      <c r="AH1595" s="238" t="s">
        <v>1171</v>
      </c>
      <c r="AI1595" s="238" t="s">
        <v>6406</v>
      </c>
      <c r="AJ1595" s="238" t="s">
        <v>399</v>
      </c>
      <c r="AK1595" s="238" t="s">
        <v>3345</v>
      </c>
      <c r="AL1595" t="s">
        <v>57</v>
      </c>
      <c r="AM1595" t="s">
        <v>4545</v>
      </c>
    </row>
    <row r="1596" spans="1:39" hidden="1" x14ac:dyDescent="0.25">
      <c r="A1596">
        <v>1592</v>
      </c>
      <c r="B1596">
        <v>20</v>
      </c>
      <c r="C1596" s="24">
        <v>44883</v>
      </c>
      <c r="D1596" s="238" t="s">
        <v>19</v>
      </c>
      <c r="E1596" s="238" t="s">
        <v>6</v>
      </c>
      <c r="F1596">
        <v>7</v>
      </c>
      <c r="G1596">
        <v>5</v>
      </c>
      <c r="H1596">
        <v>28</v>
      </c>
      <c r="I1596" s="238" t="s">
        <v>43</v>
      </c>
      <c r="J1596">
        <v>59.7</v>
      </c>
      <c r="K1596" s="238" t="s">
        <v>38</v>
      </c>
      <c r="L1596">
        <v>5421900</v>
      </c>
      <c r="M1596">
        <v>0</v>
      </c>
      <c r="N1596">
        <v>5421900</v>
      </c>
      <c r="O1596">
        <v>90819.095477386931</v>
      </c>
      <c r="P1596">
        <v>0</v>
      </c>
      <c r="Q1596">
        <v>5421900</v>
      </c>
      <c r="R1596">
        <v>90819.095477386931</v>
      </c>
      <c r="S1596" s="238" t="s">
        <v>124</v>
      </c>
      <c r="T1596" s="238" t="s">
        <v>1167</v>
      </c>
      <c r="V1596" t="s">
        <v>1167</v>
      </c>
      <c r="W1596" s="24">
        <v>44883</v>
      </c>
      <c r="X1596" s="238" t="s">
        <v>3723</v>
      </c>
      <c r="Y1596" s="238" t="s">
        <v>3247</v>
      </c>
      <c r="Z1596" s="238" t="s">
        <v>1340</v>
      </c>
      <c r="AA1596" t="s">
        <v>1167</v>
      </c>
      <c r="AB1596" s="238" t="s">
        <v>3124</v>
      </c>
      <c r="AC1596" t="s">
        <v>1167</v>
      </c>
      <c r="AD1596" s="24"/>
      <c r="AE1596" s="238" t="s">
        <v>3248</v>
      </c>
      <c r="AG1596" s="238" t="s">
        <v>1167</v>
      </c>
      <c r="AH1596" s="238" t="s">
        <v>1167</v>
      </c>
      <c r="AI1596" s="238" t="s">
        <v>5050</v>
      </c>
      <c r="AJ1596" s="238" t="s">
        <v>982</v>
      </c>
      <c r="AK1596" s="238" t="s">
        <v>1167</v>
      </c>
      <c r="AL1596" t="s">
        <v>8715</v>
      </c>
      <c r="AM1596" t="s">
        <v>1167</v>
      </c>
    </row>
    <row r="1597" spans="1:39" hidden="1" x14ac:dyDescent="0.25">
      <c r="A1597">
        <v>1593</v>
      </c>
      <c r="B1597">
        <v>21</v>
      </c>
      <c r="C1597" s="24">
        <v>44883</v>
      </c>
      <c r="D1597" s="238" t="s">
        <v>19</v>
      </c>
      <c r="E1597" s="238" t="s">
        <v>6</v>
      </c>
      <c r="F1597">
        <v>7</v>
      </c>
      <c r="G1597">
        <v>8</v>
      </c>
      <c r="H1597">
        <v>49</v>
      </c>
      <c r="I1597" s="238" t="s">
        <v>43</v>
      </c>
      <c r="J1597">
        <v>59.5</v>
      </c>
      <c r="K1597" s="238" t="s">
        <v>38</v>
      </c>
      <c r="L1597">
        <v>5403300</v>
      </c>
      <c r="M1597">
        <v>0</v>
      </c>
      <c r="N1597">
        <v>5403300</v>
      </c>
      <c r="O1597">
        <v>90811.76470588235</v>
      </c>
      <c r="P1597">
        <v>0</v>
      </c>
      <c r="Q1597">
        <v>5403300</v>
      </c>
      <c r="R1597">
        <v>90811.76470588235</v>
      </c>
      <c r="S1597" s="238" t="s">
        <v>124</v>
      </c>
      <c r="T1597" s="238" t="s">
        <v>1167</v>
      </c>
      <c r="V1597" t="s">
        <v>1167</v>
      </c>
      <c r="W1597" s="24">
        <v>44883</v>
      </c>
      <c r="X1597" s="238" t="s">
        <v>3723</v>
      </c>
      <c r="Y1597" s="238" t="s">
        <v>3247</v>
      </c>
      <c r="Z1597" s="238" t="s">
        <v>1340</v>
      </c>
      <c r="AA1597" t="s">
        <v>1167</v>
      </c>
      <c r="AB1597" s="238" t="s">
        <v>3124</v>
      </c>
      <c r="AC1597" t="s">
        <v>1167</v>
      </c>
      <c r="AD1597" s="24"/>
      <c r="AE1597" s="238" t="s">
        <v>3248</v>
      </c>
      <c r="AG1597" s="238" t="s">
        <v>1167</v>
      </c>
      <c r="AH1597" s="238" t="s">
        <v>1167</v>
      </c>
      <c r="AI1597" s="238" t="s">
        <v>5050</v>
      </c>
      <c r="AJ1597" s="238" t="s">
        <v>982</v>
      </c>
      <c r="AK1597" s="238" t="s">
        <v>1167</v>
      </c>
      <c r="AL1597" t="s">
        <v>8715</v>
      </c>
      <c r="AM1597" t="s">
        <v>1167</v>
      </c>
    </row>
    <row r="1598" spans="1:39" hidden="1" x14ac:dyDescent="0.25">
      <c r="A1598">
        <v>1594</v>
      </c>
      <c r="B1598">
        <v>22</v>
      </c>
      <c r="C1598" s="24">
        <v>44883</v>
      </c>
      <c r="D1598" s="238" t="s">
        <v>19</v>
      </c>
      <c r="E1598" s="238" t="s">
        <v>6</v>
      </c>
      <c r="F1598">
        <v>6</v>
      </c>
      <c r="G1598">
        <v>11</v>
      </c>
      <c r="H1598">
        <v>69</v>
      </c>
      <c r="I1598" s="238" t="s">
        <v>43</v>
      </c>
      <c r="J1598">
        <v>61.8</v>
      </c>
      <c r="K1598" s="238" t="s">
        <v>38</v>
      </c>
      <c r="L1598">
        <v>5607900</v>
      </c>
      <c r="M1598">
        <v>0</v>
      </c>
      <c r="N1598">
        <v>5607900</v>
      </c>
      <c r="O1598">
        <v>90742.718446601939</v>
      </c>
      <c r="P1598">
        <v>0</v>
      </c>
      <c r="Q1598">
        <v>5607900</v>
      </c>
      <c r="R1598">
        <v>90742.718446601939</v>
      </c>
      <c r="S1598" s="238" t="s">
        <v>124</v>
      </c>
      <c r="T1598" s="238" t="s">
        <v>1167</v>
      </c>
      <c r="V1598" t="s">
        <v>1167</v>
      </c>
      <c r="W1598" s="24">
        <v>44883</v>
      </c>
      <c r="X1598" s="238" t="s">
        <v>3723</v>
      </c>
      <c r="Y1598" s="238" t="s">
        <v>3247</v>
      </c>
      <c r="Z1598" s="238" t="s">
        <v>1340</v>
      </c>
      <c r="AA1598" t="s">
        <v>1167</v>
      </c>
      <c r="AB1598" s="238" t="s">
        <v>3124</v>
      </c>
      <c r="AC1598" t="s">
        <v>1167</v>
      </c>
      <c r="AD1598" s="24"/>
      <c r="AE1598" s="238" t="s">
        <v>3248</v>
      </c>
      <c r="AG1598" s="238" t="s">
        <v>1167</v>
      </c>
      <c r="AH1598" s="238" t="s">
        <v>1167</v>
      </c>
      <c r="AI1598" s="238" t="s">
        <v>5050</v>
      </c>
      <c r="AJ1598" s="238" t="s">
        <v>982</v>
      </c>
      <c r="AK1598" s="238" t="s">
        <v>1167</v>
      </c>
      <c r="AL1598" t="s">
        <v>8715</v>
      </c>
      <c r="AM1598" t="s">
        <v>1167</v>
      </c>
    </row>
    <row r="1599" spans="1:39" hidden="1" x14ac:dyDescent="0.25">
      <c r="A1599">
        <v>1595</v>
      </c>
      <c r="B1599">
        <v>23</v>
      </c>
      <c r="C1599" s="24">
        <v>44886</v>
      </c>
      <c r="D1599" s="238" t="s">
        <v>91</v>
      </c>
      <c r="E1599" s="238" t="s">
        <v>16</v>
      </c>
      <c r="F1599">
        <v>4</v>
      </c>
      <c r="G1599">
        <v>13</v>
      </c>
      <c r="H1599">
        <v>321</v>
      </c>
      <c r="I1599" s="238" t="s">
        <v>43</v>
      </c>
      <c r="J1599">
        <v>58.55</v>
      </c>
      <c r="K1599" s="238" t="s">
        <v>37</v>
      </c>
      <c r="L1599">
        <v>4658891.42</v>
      </c>
      <c r="M1599">
        <v>0</v>
      </c>
      <c r="N1599">
        <v>4658891.42</v>
      </c>
      <c r="O1599">
        <v>79571.160034158835</v>
      </c>
      <c r="P1599">
        <v>439125</v>
      </c>
      <c r="Q1599">
        <v>4219766.42</v>
      </c>
      <c r="R1599">
        <v>72071.160034158835</v>
      </c>
      <c r="S1599" s="238" t="s">
        <v>124</v>
      </c>
      <c r="T1599" s="238" t="s">
        <v>1167</v>
      </c>
      <c r="V1599" t="s">
        <v>1167</v>
      </c>
      <c r="W1599" s="24">
        <v>44881</v>
      </c>
      <c r="X1599" s="238" t="s">
        <v>3724</v>
      </c>
      <c r="Y1599" s="238" t="s">
        <v>39</v>
      </c>
      <c r="Z1599" s="238" t="s">
        <v>1340</v>
      </c>
      <c r="AA1599" t="s">
        <v>3113</v>
      </c>
      <c r="AB1599" s="238" t="s">
        <v>3246</v>
      </c>
      <c r="AC1599" t="s">
        <v>1167</v>
      </c>
      <c r="AD1599" s="24"/>
      <c r="AE1599" s="238" t="s">
        <v>3725</v>
      </c>
      <c r="AF1599">
        <v>79279087376</v>
      </c>
      <c r="AG1599" s="238" t="s">
        <v>3726</v>
      </c>
      <c r="AH1599" s="238" t="s">
        <v>1171</v>
      </c>
      <c r="AI1599" s="238" t="s">
        <v>6406</v>
      </c>
      <c r="AJ1599" s="238" t="s">
        <v>399</v>
      </c>
      <c r="AK1599" s="238" t="s">
        <v>1167</v>
      </c>
      <c r="AL1599" t="s">
        <v>57</v>
      </c>
      <c r="AM1599" t="s">
        <v>1167</v>
      </c>
    </row>
    <row r="1600" spans="1:39" hidden="1" x14ac:dyDescent="0.25">
      <c r="A1600">
        <v>1596</v>
      </c>
      <c r="B1600">
        <v>24</v>
      </c>
      <c r="C1600" s="24">
        <v>44887</v>
      </c>
      <c r="D1600" s="238" t="s">
        <v>19</v>
      </c>
      <c r="E1600" s="238" t="s">
        <v>6</v>
      </c>
      <c r="F1600">
        <v>2</v>
      </c>
      <c r="G1600">
        <v>2</v>
      </c>
      <c r="H1600">
        <v>2</v>
      </c>
      <c r="I1600" s="238" t="s">
        <v>43</v>
      </c>
      <c r="J1600">
        <v>59.9</v>
      </c>
      <c r="K1600" s="238" t="s">
        <v>38</v>
      </c>
      <c r="L1600">
        <v>3607402.5</v>
      </c>
      <c r="M1600">
        <v>0</v>
      </c>
      <c r="N1600">
        <v>3607402.5</v>
      </c>
      <c r="O1600">
        <v>60223.74791318865</v>
      </c>
      <c r="P1600">
        <v>0</v>
      </c>
      <c r="Q1600">
        <v>3607402.5</v>
      </c>
      <c r="R1600">
        <v>60223.74791318865</v>
      </c>
      <c r="S1600" s="238" t="s">
        <v>124</v>
      </c>
      <c r="T1600" s="238" t="s">
        <v>1167</v>
      </c>
      <c r="V1600" t="s">
        <v>1167</v>
      </c>
      <c r="W1600" s="24">
        <v>44887</v>
      </c>
      <c r="X1600" s="238" t="s">
        <v>3760</v>
      </c>
      <c r="Y1600" s="238" t="s">
        <v>3247</v>
      </c>
      <c r="Z1600" s="238" t="s">
        <v>1340</v>
      </c>
      <c r="AA1600" t="s">
        <v>1167</v>
      </c>
      <c r="AB1600" s="238" t="s">
        <v>3124</v>
      </c>
      <c r="AC1600" t="s">
        <v>1167</v>
      </c>
      <c r="AD1600" s="24"/>
      <c r="AE1600" s="238" t="s">
        <v>3990</v>
      </c>
      <c r="AG1600" s="238" t="s">
        <v>1167</v>
      </c>
      <c r="AH1600" s="238" t="s">
        <v>1167</v>
      </c>
      <c r="AI1600" s="238" t="s">
        <v>5050</v>
      </c>
      <c r="AJ1600" s="238" t="s">
        <v>982</v>
      </c>
      <c r="AK1600" s="238" t="s">
        <v>1167</v>
      </c>
      <c r="AL1600" t="s">
        <v>8715</v>
      </c>
      <c r="AM1600" t="s">
        <v>1167</v>
      </c>
    </row>
    <row r="1601" spans="1:39" hidden="1" x14ac:dyDescent="0.25">
      <c r="A1601">
        <v>1597</v>
      </c>
      <c r="B1601">
        <v>25</v>
      </c>
      <c r="C1601" s="24">
        <v>44887</v>
      </c>
      <c r="D1601" s="238" t="s">
        <v>19</v>
      </c>
      <c r="E1601" s="238" t="s">
        <v>6</v>
      </c>
      <c r="F1601">
        <v>3</v>
      </c>
      <c r="G1601">
        <v>19</v>
      </c>
      <c r="H1601">
        <v>122</v>
      </c>
      <c r="I1601" s="238" t="s">
        <v>44</v>
      </c>
      <c r="J1601">
        <v>78.7</v>
      </c>
      <c r="K1601" s="238" t="s">
        <v>38</v>
      </c>
      <c r="L1601">
        <v>4760538</v>
      </c>
      <c r="M1601">
        <v>0</v>
      </c>
      <c r="N1601">
        <v>4760538</v>
      </c>
      <c r="O1601">
        <v>60489.682337992374</v>
      </c>
      <c r="P1601">
        <v>0</v>
      </c>
      <c r="Q1601">
        <v>4760538</v>
      </c>
      <c r="R1601">
        <v>60489.682337992374</v>
      </c>
      <c r="S1601" s="238" t="s">
        <v>124</v>
      </c>
      <c r="T1601" s="238" t="s">
        <v>1167</v>
      </c>
      <c r="V1601" t="s">
        <v>1167</v>
      </c>
      <c r="W1601" s="24">
        <v>44887</v>
      </c>
      <c r="X1601" s="238" t="s">
        <v>3760</v>
      </c>
      <c r="Y1601" s="238" t="s">
        <v>3247</v>
      </c>
      <c r="Z1601" s="238" t="s">
        <v>1340</v>
      </c>
      <c r="AA1601" t="s">
        <v>1167</v>
      </c>
      <c r="AB1601" s="238" t="s">
        <v>3124</v>
      </c>
      <c r="AC1601" t="s">
        <v>1167</v>
      </c>
      <c r="AD1601" s="24"/>
      <c r="AE1601" s="238" t="s">
        <v>3990</v>
      </c>
      <c r="AG1601" s="238" t="s">
        <v>1167</v>
      </c>
      <c r="AH1601" s="238" t="s">
        <v>1167</v>
      </c>
      <c r="AI1601" s="238" t="s">
        <v>5050</v>
      </c>
      <c r="AJ1601" s="238" t="s">
        <v>982</v>
      </c>
      <c r="AK1601" s="238" t="s">
        <v>1167</v>
      </c>
      <c r="AL1601" t="s">
        <v>8715</v>
      </c>
      <c r="AM1601" t="s">
        <v>1167</v>
      </c>
    </row>
    <row r="1602" spans="1:39" hidden="1" x14ac:dyDescent="0.25">
      <c r="A1602">
        <v>1598</v>
      </c>
      <c r="B1602">
        <v>26</v>
      </c>
      <c r="C1602" s="24">
        <v>44887</v>
      </c>
      <c r="D1602" s="238" t="s">
        <v>19</v>
      </c>
      <c r="E1602" s="238" t="s">
        <v>6</v>
      </c>
      <c r="F1602">
        <v>2</v>
      </c>
      <c r="G1602">
        <v>24</v>
      </c>
      <c r="H1602">
        <v>156</v>
      </c>
      <c r="I1602" s="238" t="s">
        <v>43</v>
      </c>
      <c r="J1602">
        <v>60.4</v>
      </c>
      <c r="K1602" s="238" t="s">
        <v>38</v>
      </c>
      <c r="L1602">
        <v>3632068.5</v>
      </c>
      <c r="M1602">
        <v>0</v>
      </c>
      <c r="N1602">
        <v>3632068.5</v>
      </c>
      <c r="O1602">
        <v>60133.584437086094</v>
      </c>
      <c r="P1602">
        <v>0</v>
      </c>
      <c r="Q1602">
        <v>3632068.5</v>
      </c>
      <c r="R1602">
        <v>60133.584437086094</v>
      </c>
      <c r="S1602" s="238" t="s">
        <v>124</v>
      </c>
      <c r="T1602" s="238" t="s">
        <v>1167</v>
      </c>
      <c r="V1602" t="s">
        <v>1167</v>
      </c>
      <c r="W1602" s="24">
        <v>44887</v>
      </c>
      <c r="X1602" s="238" t="s">
        <v>3760</v>
      </c>
      <c r="Y1602" s="238" t="s">
        <v>3247</v>
      </c>
      <c r="Z1602" s="238" t="s">
        <v>1340</v>
      </c>
      <c r="AA1602" t="s">
        <v>1167</v>
      </c>
      <c r="AB1602" s="238" t="s">
        <v>3124</v>
      </c>
      <c r="AC1602" t="s">
        <v>1167</v>
      </c>
      <c r="AD1602" s="24"/>
      <c r="AE1602" s="238" t="s">
        <v>3990</v>
      </c>
      <c r="AG1602" s="238" t="s">
        <v>1167</v>
      </c>
      <c r="AH1602" s="238" t="s">
        <v>1167</v>
      </c>
      <c r="AI1602" s="238" t="s">
        <v>5050</v>
      </c>
      <c r="AJ1602" s="238" t="s">
        <v>982</v>
      </c>
      <c r="AK1602" s="238" t="s">
        <v>1167</v>
      </c>
      <c r="AL1602" t="s">
        <v>8715</v>
      </c>
      <c r="AM1602" t="s">
        <v>1167</v>
      </c>
    </row>
    <row r="1603" spans="1:39" hidden="1" x14ac:dyDescent="0.25">
      <c r="A1603">
        <v>1599</v>
      </c>
      <c r="B1603">
        <v>27</v>
      </c>
      <c r="C1603" s="24">
        <v>44887</v>
      </c>
      <c r="D1603" s="238" t="s">
        <v>91</v>
      </c>
      <c r="E1603" s="238" t="s">
        <v>5</v>
      </c>
      <c r="F1603">
        <v>8</v>
      </c>
      <c r="G1603">
        <v>3</v>
      </c>
      <c r="H1603">
        <v>136</v>
      </c>
      <c r="I1603" s="238" t="s">
        <v>42</v>
      </c>
      <c r="J1603">
        <v>33.79</v>
      </c>
      <c r="K1603" s="238" t="s">
        <v>37</v>
      </c>
      <c r="L1603">
        <v>2731724.84</v>
      </c>
      <c r="M1603">
        <v>0</v>
      </c>
      <c r="N1603">
        <v>2731724.84</v>
      </c>
      <c r="O1603">
        <v>80844.179934891974</v>
      </c>
      <c r="P1603">
        <v>253425</v>
      </c>
      <c r="Q1603">
        <v>2478299.84</v>
      </c>
      <c r="R1603">
        <v>73344.179934891974</v>
      </c>
      <c r="S1603" s="238" t="s">
        <v>137</v>
      </c>
      <c r="T1603" s="238" t="s">
        <v>3540</v>
      </c>
      <c r="U1603">
        <v>130436.83368421067</v>
      </c>
      <c r="V1603" t="s">
        <v>4091</v>
      </c>
      <c r="W1603" s="24">
        <v>44879</v>
      </c>
      <c r="X1603" s="238" t="s">
        <v>3727</v>
      </c>
      <c r="Y1603" s="238" t="s">
        <v>39</v>
      </c>
      <c r="Z1603" s="238" t="s">
        <v>1340</v>
      </c>
      <c r="AA1603" t="s">
        <v>3113</v>
      </c>
      <c r="AB1603" s="238" t="s">
        <v>3246</v>
      </c>
      <c r="AC1603" t="s">
        <v>3079</v>
      </c>
      <c r="AD1603" s="24"/>
      <c r="AE1603" s="238" t="s">
        <v>3728</v>
      </c>
      <c r="AF1603">
        <v>79871521740</v>
      </c>
      <c r="AG1603" s="238" t="s">
        <v>3729</v>
      </c>
      <c r="AH1603" s="238" t="s">
        <v>1212</v>
      </c>
      <c r="AI1603" s="238" t="s">
        <v>135</v>
      </c>
      <c r="AJ1603" s="238" t="s">
        <v>130</v>
      </c>
      <c r="AK1603" s="238" t="s">
        <v>3345</v>
      </c>
      <c r="AL1603" t="s">
        <v>8715</v>
      </c>
      <c r="AM1603" t="s">
        <v>1167</v>
      </c>
    </row>
    <row r="1604" spans="1:39" hidden="1" x14ac:dyDescent="0.25">
      <c r="A1604">
        <v>1600</v>
      </c>
      <c r="B1604">
        <v>28</v>
      </c>
      <c r="C1604" s="24">
        <v>44887</v>
      </c>
      <c r="D1604" s="238" t="s">
        <v>27</v>
      </c>
      <c r="E1604" s="238" t="s">
        <v>6</v>
      </c>
      <c r="F1604">
        <v>3</v>
      </c>
      <c r="G1604">
        <v>21</v>
      </c>
      <c r="H1604">
        <v>174</v>
      </c>
      <c r="I1604" s="238" t="s">
        <v>42</v>
      </c>
      <c r="J1604">
        <v>41.06</v>
      </c>
      <c r="K1604" s="238" t="s">
        <v>36</v>
      </c>
      <c r="L1604">
        <v>3666804.17</v>
      </c>
      <c r="M1604">
        <v>0</v>
      </c>
      <c r="N1604">
        <v>3666804.17</v>
      </c>
      <c r="O1604">
        <v>89303.559912323428</v>
      </c>
      <c r="P1604">
        <v>0</v>
      </c>
      <c r="Q1604">
        <v>3666804.17</v>
      </c>
      <c r="R1604">
        <v>89303.559912323428</v>
      </c>
      <c r="S1604" s="238" t="s">
        <v>137</v>
      </c>
      <c r="T1604" s="238" t="s">
        <v>1167</v>
      </c>
      <c r="V1604" t="s">
        <v>4092</v>
      </c>
      <c r="W1604" s="24">
        <v>44880</v>
      </c>
      <c r="X1604" s="238" t="s">
        <v>3730</v>
      </c>
      <c r="Y1604" s="238" t="s">
        <v>39</v>
      </c>
      <c r="Z1604" s="238" t="s">
        <v>1340</v>
      </c>
      <c r="AA1604" t="s">
        <v>3113</v>
      </c>
      <c r="AB1604" s="238" t="s">
        <v>3246</v>
      </c>
      <c r="AC1604" t="s">
        <v>3079</v>
      </c>
      <c r="AD1604" s="24"/>
      <c r="AE1604" s="238" t="s">
        <v>3731</v>
      </c>
      <c r="AF1604">
        <v>79171092533</v>
      </c>
      <c r="AG1604" s="238" t="s">
        <v>3732</v>
      </c>
      <c r="AH1604" s="238" t="s">
        <v>1171</v>
      </c>
      <c r="AI1604" s="238" t="s">
        <v>3514</v>
      </c>
      <c r="AJ1604" s="238" t="s">
        <v>130</v>
      </c>
      <c r="AK1604" s="238" t="s">
        <v>141</v>
      </c>
      <c r="AL1604" t="s">
        <v>8715</v>
      </c>
      <c r="AM1604" t="s">
        <v>1167</v>
      </c>
    </row>
    <row r="1605" spans="1:39" hidden="1" x14ac:dyDescent="0.25">
      <c r="A1605">
        <v>1601</v>
      </c>
      <c r="B1605">
        <v>29</v>
      </c>
      <c r="C1605" s="24">
        <v>44888</v>
      </c>
      <c r="D1605" s="238" t="s">
        <v>27</v>
      </c>
      <c r="E1605" s="238" t="s">
        <v>14</v>
      </c>
      <c r="F1605">
        <v>3</v>
      </c>
      <c r="G1605">
        <v>23</v>
      </c>
      <c r="H1605">
        <v>817</v>
      </c>
      <c r="I1605" s="238" t="s">
        <v>4052</v>
      </c>
      <c r="J1605">
        <v>24.37</v>
      </c>
      <c r="K1605" s="238" t="s">
        <v>36</v>
      </c>
      <c r="L1605">
        <v>2284595.6</v>
      </c>
      <c r="M1605">
        <v>15000</v>
      </c>
      <c r="N1605">
        <v>2299595.6</v>
      </c>
      <c r="O1605">
        <v>94361.739844070573</v>
      </c>
      <c r="P1605">
        <v>0</v>
      </c>
      <c r="Q1605">
        <v>2299595.6</v>
      </c>
      <c r="R1605">
        <v>94361.739844070573</v>
      </c>
      <c r="S1605" s="238" t="s">
        <v>137</v>
      </c>
      <c r="T1605" s="238" t="s">
        <v>1167</v>
      </c>
      <c r="V1605" t="s">
        <v>4091</v>
      </c>
      <c r="W1605" s="24">
        <v>44868</v>
      </c>
      <c r="X1605" s="238" t="s">
        <v>3734</v>
      </c>
      <c r="Y1605" s="238" t="s">
        <v>39</v>
      </c>
      <c r="Z1605" s="238" t="s">
        <v>1340</v>
      </c>
      <c r="AA1605" t="s">
        <v>3113</v>
      </c>
      <c r="AB1605" s="238" t="s">
        <v>3246</v>
      </c>
      <c r="AC1605" t="s">
        <v>3079</v>
      </c>
      <c r="AD1605" s="24"/>
      <c r="AE1605" s="238" t="s">
        <v>3735</v>
      </c>
      <c r="AF1605">
        <v>79276001519</v>
      </c>
      <c r="AG1605" s="238" t="s">
        <v>3736</v>
      </c>
      <c r="AH1605" s="238" t="s">
        <v>1212</v>
      </c>
      <c r="AI1605" s="238" t="s">
        <v>135</v>
      </c>
      <c r="AJ1605" s="238" t="s">
        <v>130</v>
      </c>
      <c r="AK1605" s="238" t="s">
        <v>141</v>
      </c>
      <c r="AL1605" t="s">
        <v>8715</v>
      </c>
      <c r="AM1605" t="s">
        <v>3663</v>
      </c>
    </row>
    <row r="1606" spans="1:39" hidden="1" x14ac:dyDescent="0.25">
      <c r="A1606">
        <v>1602</v>
      </c>
      <c r="B1606">
        <v>30</v>
      </c>
      <c r="C1606" s="24">
        <v>44888</v>
      </c>
      <c r="D1606" s="238" t="s">
        <v>27</v>
      </c>
      <c r="E1606" s="238" t="s">
        <v>6</v>
      </c>
      <c r="F1606">
        <v>5</v>
      </c>
      <c r="G1606">
        <v>14</v>
      </c>
      <c r="H1606">
        <v>113</v>
      </c>
      <c r="I1606" s="238" t="s">
        <v>4052</v>
      </c>
      <c r="J1606">
        <v>24.47</v>
      </c>
      <c r="K1606" s="238" t="s">
        <v>36</v>
      </c>
      <c r="L1606">
        <v>2160734.63</v>
      </c>
      <c r="M1606">
        <v>15000</v>
      </c>
      <c r="N1606">
        <v>2175734.63</v>
      </c>
      <c r="O1606">
        <v>88914.369840621162</v>
      </c>
      <c r="P1606">
        <v>0</v>
      </c>
      <c r="Q1606">
        <v>2175734.63</v>
      </c>
      <c r="R1606">
        <v>88914.369840621162</v>
      </c>
      <c r="S1606" s="238" t="s">
        <v>137</v>
      </c>
      <c r="T1606" s="238" t="s">
        <v>1167</v>
      </c>
      <c r="V1606" t="s">
        <v>4091</v>
      </c>
      <c r="W1606" s="24">
        <v>44876</v>
      </c>
      <c r="X1606" s="238" t="s">
        <v>3737</v>
      </c>
      <c r="Y1606" s="238" t="s">
        <v>39</v>
      </c>
      <c r="Z1606" s="238" t="s">
        <v>1340</v>
      </c>
      <c r="AA1606" t="s">
        <v>3113</v>
      </c>
      <c r="AB1606" s="238" t="s">
        <v>3246</v>
      </c>
      <c r="AC1606" t="s">
        <v>3079</v>
      </c>
      <c r="AD1606" s="24"/>
      <c r="AE1606" s="238" t="s">
        <v>3738</v>
      </c>
      <c r="AF1606">
        <v>79277073799</v>
      </c>
      <c r="AG1606" s="238" t="s">
        <v>3739</v>
      </c>
      <c r="AH1606" s="238" t="s">
        <v>1212</v>
      </c>
      <c r="AI1606" s="238" t="s">
        <v>135</v>
      </c>
      <c r="AJ1606" s="238" t="s">
        <v>130</v>
      </c>
      <c r="AK1606" s="238" t="s">
        <v>3345</v>
      </c>
      <c r="AL1606" t="s">
        <v>8715</v>
      </c>
      <c r="AM1606" t="s">
        <v>3663</v>
      </c>
    </row>
    <row r="1607" spans="1:39" hidden="1" x14ac:dyDescent="0.25">
      <c r="A1607">
        <v>1603</v>
      </c>
      <c r="B1607">
        <v>31</v>
      </c>
      <c r="C1607" s="24">
        <v>44888</v>
      </c>
      <c r="D1607" s="238" t="s">
        <v>91</v>
      </c>
      <c r="E1607" s="238" t="s">
        <v>16</v>
      </c>
      <c r="F1607">
        <v>5</v>
      </c>
      <c r="G1607">
        <v>23</v>
      </c>
      <c r="H1607">
        <v>392</v>
      </c>
      <c r="I1607" s="238" t="s">
        <v>43</v>
      </c>
      <c r="J1607">
        <v>56.7</v>
      </c>
      <c r="K1607" s="238" t="s">
        <v>36</v>
      </c>
      <c r="L1607">
        <v>4183636.37</v>
      </c>
      <c r="M1607">
        <v>0</v>
      </c>
      <c r="N1607">
        <v>4183636.37</v>
      </c>
      <c r="O1607">
        <v>73785.473897707227</v>
      </c>
      <c r="P1607">
        <v>0</v>
      </c>
      <c r="Q1607">
        <v>4183636.37</v>
      </c>
      <c r="R1607">
        <v>73785.473897707227</v>
      </c>
      <c r="S1607" s="238" t="s">
        <v>124</v>
      </c>
      <c r="T1607" s="238" t="s">
        <v>3540</v>
      </c>
      <c r="U1607">
        <v>220191.38789473474</v>
      </c>
      <c r="V1607" t="s">
        <v>1167</v>
      </c>
      <c r="W1607" s="24">
        <v>44881</v>
      </c>
      <c r="X1607" s="238" t="s">
        <v>3740</v>
      </c>
      <c r="Y1607" s="238" t="s">
        <v>39</v>
      </c>
      <c r="Z1607" s="238" t="s">
        <v>1340</v>
      </c>
      <c r="AA1607" t="s">
        <v>3113</v>
      </c>
      <c r="AB1607" s="238" t="s">
        <v>3246</v>
      </c>
      <c r="AC1607" t="s">
        <v>1167</v>
      </c>
      <c r="AD1607" s="24"/>
      <c r="AE1607" s="238" t="s">
        <v>3741</v>
      </c>
      <c r="AF1607">
        <v>79228433837</v>
      </c>
      <c r="AG1607" s="238" t="s">
        <v>3742</v>
      </c>
      <c r="AH1607" s="238" t="s">
        <v>1212</v>
      </c>
      <c r="AI1607" s="238" t="s">
        <v>135</v>
      </c>
      <c r="AJ1607" s="238" t="s">
        <v>130</v>
      </c>
      <c r="AK1607" s="238" t="s">
        <v>1167</v>
      </c>
      <c r="AL1607" t="s">
        <v>8715</v>
      </c>
      <c r="AM1607" t="s">
        <v>1167</v>
      </c>
    </row>
    <row r="1608" spans="1:39" hidden="1" x14ac:dyDescent="0.25">
      <c r="A1608">
        <v>1604</v>
      </c>
      <c r="B1608">
        <v>32</v>
      </c>
      <c r="C1608" s="24">
        <v>44888</v>
      </c>
      <c r="D1608" s="238" t="s">
        <v>91</v>
      </c>
      <c r="E1608" s="238" t="s">
        <v>5</v>
      </c>
      <c r="F1608">
        <v>1</v>
      </c>
      <c r="G1608">
        <v>15</v>
      </c>
      <c r="H1608">
        <v>225</v>
      </c>
      <c r="I1608" s="238" t="s">
        <v>4052</v>
      </c>
      <c r="J1608">
        <v>28.97</v>
      </c>
      <c r="K1608" s="238" t="s">
        <v>36</v>
      </c>
      <c r="L1608">
        <v>2184656.67</v>
      </c>
      <c r="M1608">
        <v>0</v>
      </c>
      <c r="N1608">
        <v>2184656.67</v>
      </c>
      <c r="O1608">
        <v>75411</v>
      </c>
      <c r="P1608">
        <v>0</v>
      </c>
      <c r="Q1608">
        <v>2184656.67</v>
      </c>
      <c r="R1608">
        <v>75411</v>
      </c>
      <c r="S1608" s="238" t="s">
        <v>121</v>
      </c>
      <c r="T1608" s="238" t="s">
        <v>3540</v>
      </c>
      <c r="U1608">
        <v>114981.93000000017</v>
      </c>
      <c r="V1608" t="s">
        <v>1167</v>
      </c>
      <c r="W1608" s="24">
        <v>44882</v>
      </c>
      <c r="X1608" s="238" t="s">
        <v>3743</v>
      </c>
      <c r="Y1608" s="238" t="s">
        <v>39</v>
      </c>
      <c r="Z1608" s="238" t="s">
        <v>1340</v>
      </c>
      <c r="AA1608" t="s">
        <v>3113</v>
      </c>
      <c r="AB1608" s="238" t="s">
        <v>3246</v>
      </c>
      <c r="AC1608" t="s">
        <v>1167</v>
      </c>
      <c r="AD1608" s="24"/>
      <c r="AE1608" s="238" t="s">
        <v>3744</v>
      </c>
      <c r="AF1608">
        <v>79277959746</v>
      </c>
      <c r="AG1608" s="238" t="s">
        <v>3745</v>
      </c>
      <c r="AH1608" s="238" t="s">
        <v>1171</v>
      </c>
      <c r="AI1608" s="238" t="s">
        <v>6406</v>
      </c>
      <c r="AJ1608" s="238" t="s">
        <v>982</v>
      </c>
      <c r="AK1608" s="238" t="s">
        <v>1167</v>
      </c>
      <c r="AL1608" t="s">
        <v>57</v>
      </c>
      <c r="AM1608" t="s">
        <v>1167</v>
      </c>
    </row>
    <row r="1609" spans="1:39" hidden="1" x14ac:dyDescent="0.25">
      <c r="A1609">
        <v>1605</v>
      </c>
      <c r="B1609">
        <v>33</v>
      </c>
      <c r="C1609" s="24">
        <v>44888</v>
      </c>
      <c r="D1609" s="238" t="s">
        <v>91</v>
      </c>
      <c r="E1609" s="238" t="s">
        <v>5</v>
      </c>
      <c r="F1609">
        <v>3</v>
      </c>
      <c r="G1609">
        <v>12</v>
      </c>
      <c r="H1609">
        <v>203</v>
      </c>
      <c r="I1609" s="238" t="s">
        <v>42</v>
      </c>
      <c r="J1609">
        <v>35.380000000000003</v>
      </c>
      <c r="K1609" s="238" t="s">
        <v>36</v>
      </c>
      <c r="L1609">
        <v>2785580.62</v>
      </c>
      <c r="M1609">
        <v>0</v>
      </c>
      <c r="N1609">
        <v>2785580.62</v>
      </c>
      <c r="O1609">
        <v>78733.200113058221</v>
      </c>
      <c r="P1609">
        <v>0</v>
      </c>
      <c r="Q1609">
        <v>2785580.62</v>
      </c>
      <c r="R1609">
        <v>78733.200113058221</v>
      </c>
      <c r="S1609" s="238" t="s">
        <v>137</v>
      </c>
      <c r="T1609" s="238" t="s">
        <v>1167</v>
      </c>
      <c r="V1609" t="s">
        <v>4091</v>
      </c>
      <c r="W1609" s="24">
        <v>44882</v>
      </c>
      <c r="X1609" s="238" t="s">
        <v>3746</v>
      </c>
      <c r="Y1609" s="238" t="s">
        <v>39</v>
      </c>
      <c r="Z1609" s="238" t="s">
        <v>1340</v>
      </c>
      <c r="AA1609" t="s">
        <v>3113</v>
      </c>
      <c r="AB1609" s="238" t="s">
        <v>3246</v>
      </c>
      <c r="AC1609" t="s">
        <v>3079</v>
      </c>
      <c r="AD1609" s="24"/>
      <c r="AE1609" s="238" t="s">
        <v>3747</v>
      </c>
      <c r="AF1609">
        <v>79879889902</v>
      </c>
      <c r="AG1609" s="238" t="s">
        <v>3748</v>
      </c>
      <c r="AH1609" s="238" t="s">
        <v>1212</v>
      </c>
      <c r="AI1609" s="238" t="s">
        <v>3089</v>
      </c>
      <c r="AJ1609" s="238" t="s">
        <v>399</v>
      </c>
      <c r="AK1609" s="238" t="s">
        <v>3345</v>
      </c>
      <c r="AL1609" t="s">
        <v>8715</v>
      </c>
      <c r="AM1609" t="s">
        <v>1167</v>
      </c>
    </row>
    <row r="1610" spans="1:39" hidden="1" x14ac:dyDescent="0.25">
      <c r="A1610">
        <v>1606</v>
      </c>
      <c r="B1610">
        <v>34</v>
      </c>
      <c r="C1610" s="24">
        <v>44888</v>
      </c>
      <c r="D1610" s="238" t="s">
        <v>91</v>
      </c>
      <c r="E1610" s="238" t="s">
        <v>15</v>
      </c>
      <c r="F1610">
        <v>2</v>
      </c>
      <c r="G1610">
        <v>11</v>
      </c>
      <c r="H1610">
        <v>484</v>
      </c>
      <c r="I1610" s="238" t="s">
        <v>42</v>
      </c>
      <c r="J1610">
        <v>38.6</v>
      </c>
      <c r="K1610" s="238" t="s">
        <v>37</v>
      </c>
      <c r="L1610">
        <v>3299095.68</v>
      </c>
      <c r="M1610">
        <v>0</v>
      </c>
      <c r="N1610">
        <v>3299095.68</v>
      </c>
      <c r="O1610">
        <v>85468.800000000003</v>
      </c>
      <c r="P1610">
        <v>289500</v>
      </c>
      <c r="Q1610">
        <v>3009595.68</v>
      </c>
      <c r="R1610">
        <v>77968.800000000003</v>
      </c>
      <c r="S1610" s="238" t="s">
        <v>137</v>
      </c>
      <c r="T1610" s="238" t="s">
        <v>1167</v>
      </c>
      <c r="V1610" t="s">
        <v>4091</v>
      </c>
      <c r="W1610" s="24">
        <v>44882</v>
      </c>
      <c r="X1610" s="238" t="s">
        <v>3749</v>
      </c>
      <c r="Y1610" s="238" t="s">
        <v>39</v>
      </c>
      <c r="Z1610" s="238" t="s">
        <v>1340</v>
      </c>
      <c r="AA1610" t="s">
        <v>3113</v>
      </c>
      <c r="AB1610" s="238" t="s">
        <v>3246</v>
      </c>
      <c r="AC1610" t="s">
        <v>3079</v>
      </c>
      <c r="AD1610" s="24"/>
      <c r="AE1610" s="238" t="s">
        <v>3750</v>
      </c>
      <c r="AF1610">
        <v>79272634994</v>
      </c>
      <c r="AG1610" s="238" t="s">
        <v>3751</v>
      </c>
      <c r="AH1610" s="238" t="s">
        <v>1212</v>
      </c>
      <c r="AI1610" s="238" t="s">
        <v>3074</v>
      </c>
      <c r="AJ1610" s="238" t="s">
        <v>399</v>
      </c>
      <c r="AK1610" s="238" t="s">
        <v>3345</v>
      </c>
      <c r="AL1610" t="s">
        <v>8715</v>
      </c>
      <c r="AM1610" t="s">
        <v>1167</v>
      </c>
    </row>
    <row r="1611" spans="1:39" hidden="1" x14ac:dyDescent="0.25">
      <c r="A1611">
        <v>1607</v>
      </c>
      <c r="B1611">
        <v>35</v>
      </c>
      <c r="C1611" s="24">
        <v>44888</v>
      </c>
      <c r="D1611" s="238" t="s">
        <v>27</v>
      </c>
      <c r="E1611" s="238" t="s">
        <v>6</v>
      </c>
      <c r="F1611">
        <v>3</v>
      </c>
      <c r="G1611">
        <v>20</v>
      </c>
      <c r="H1611">
        <v>165</v>
      </c>
      <c r="I1611" s="238" t="s">
        <v>42</v>
      </c>
      <c r="J1611">
        <v>41.06</v>
      </c>
      <c r="K1611" s="238" t="s">
        <v>37</v>
      </c>
      <c r="L1611">
        <v>4341434.34</v>
      </c>
      <c r="M1611">
        <v>0</v>
      </c>
      <c r="N1611">
        <v>4341434.34</v>
      </c>
      <c r="O1611">
        <v>105733.90988796881</v>
      </c>
      <c r="P1611">
        <v>307950.00000000093</v>
      </c>
      <c r="Q1611">
        <v>4033484.3399999989</v>
      </c>
      <c r="R1611">
        <v>98233.909887968795</v>
      </c>
      <c r="S1611" s="238" t="s">
        <v>137</v>
      </c>
      <c r="T1611" s="238" t="s">
        <v>1167</v>
      </c>
      <c r="V1611" t="s">
        <v>4091</v>
      </c>
      <c r="W1611" s="24">
        <v>44883</v>
      </c>
      <c r="X1611" s="238" t="s">
        <v>3752</v>
      </c>
      <c r="Y1611" s="238" t="s">
        <v>39</v>
      </c>
      <c r="Z1611" s="238" t="s">
        <v>1340</v>
      </c>
      <c r="AA1611" t="s">
        <v>3113</v>
      </c>
      <c r="AB1611" s="238" t="s">
        <v>3246</v>
      </c>
      <c r="AC1611" t="s">
        <v>3079</v>
      </c>
      <c r="AD1611" s="24"/>
      <c r="AE1611" s="238" t="s">
        <v>3753</v>
      </c>
      <c r="AF1611">
        <v>79277866455</v>
      </c>
      <c r="AG1611" s="238" t="s">
        <v>3754</v>
      </c>
      <c r="AH1611" s="238" t="s">
        <v>1212</v>
      </c>
      <c r="AI1611" s="238" t="s">
        <v>135</v>
      </c>
      <c r="AJ1611" s="238" t="s">
        <v>130</v>
      </c>
      <c r="AK1611" s="238" t="s">
        <v>141</v>
      </c>
      <c r="AL1611" t="s">
        <v>8715</v>
      </c>
      <c r="AM1611" t="s">
        <v>1167</v>
      </c>
    </row>
    <row r="1612" spans="1:39" hidden="1" x14ac:dyDescent="0.25">
      <c r="A1612">
        <v>1608</v>
      </c>
      <c r="B1612">
        <v>36</v>
      </c>
      <c r="C1612" s="24">
        <v>44888</v>
      </c>
      <c r="D1612" s="238" t="s">
        <v>91</v>
      </c>
      <c r="E1612" s="238" t="s">
        <v>6</v>
      </c>
      <c r="F1612">
        <v>1</v>
      </c>
      <c r="G1612">
        <v>7</v>
      </c>
      <c r="H1612">
        <v>41</v>
      </c>
      <c r="I1612" s="238" t="s">
        <v>42</v>
      </c>
      <c r="J1612">
        <v>33.53</v>
      </c>
      <c r="K1612" s="238" t="s">
        <v>38</v>
      </c>
      <c r="L1612">
        <v>3196890.35</v>
      </c>
      <c r="M1612">
        <v>0</v>
      </c>
      <c r="N1612">
        <v>3196890.35</v>
      </c>
      <c r="O1612">
        <v>95344.179838950193</v>
      </c>
      <c r="P1612">
        <v>737660</v>
      </c>
      <c r="Q1612">
        <v>2459230.35</v>
      </c>
      <c r="R1612">
        <v>73344.179838950193</v>
      </c>
      <c r="S1612" s="238" t="s">
        <v>137</v>
      </c>
      <c r="T1612" s="238" t="s">
        <v>3540</v>
      </c>
      <c r="U1612">
        <v>129433.18</v>
      </c>
      <c r="V1612" t="s">
        <v>4091</v>
      </c>
      <c r="W1612" s="24">
        <v>44885</v>
      </c>
      <c r="X1612" s="238" t="s">
        <v>3755</v>
      </c>
      <c r="Y1612" s="238" t="s">
        <v>39</v>
      </c>
      <c r="Z1612" s="238" t="s">
        <v>1340</v>
      </c>
      <c r="AA1612" t="s">
        <v>3113</v>
      </c>
      <c r="AB1612" s="238" t="s">
        <v>3246</v>
      </c>
      <c r="AC1612" t="s">
        <v>3079</v>
      </c>
      <c r="AD1612" s="24"/>
      <c r="AE1612" s="238" t="s">
        <v>3756</v>
      </c>
      <c r="AF1612">
        <v>79225485343</v>
      </c>
      <c r="AG1612" s="238" t="s">
        <v>3757</v>
      </c>
      <c r="AH1612" s="238" t="s">
        <v>1212</v>
      </c>
      <c r="AI1612" s="238" t="s">
        <v>3084</v>
      </c>
      <c r="AJ1612" s="238" t="s">
        <v>399</v>
      </c>
      <c r="AK1612" s="238" t="s">
        <v>3345</v>
      </c>
      <c r="AL1612" t="s">
        <v>8715</v>
      </c>
      <c r="AM1612" t="s">
        <v>1167</v>
      </c>
    </row>
    <row r="1613" spans="1:39" hidden="1" x14ac:dyDescent="0.25">
      <c r="A1613">
        <v>1609</v>
      </c>
      <c r="B1613">
        <v>37</v>
      </c>
      <c r="C1613" s="24">
        <v>44889</v>
      </c>
      <c r="D1613" s="238" t="s">
        <v>27</v>
      </c>
      <c r="E1613" s="238" t="s">
        <v>14</v>
      </c>
      <c r="F1613">
        <v>3</v>
      </c>
      <c r="G1613">
        <v>17</v>
      </c>
      <c r="H1613">
        <v>769</v>
      </c>
      <c r="I1613" s="238" t="s">
        <v>4052</v>
      </c>
      <c r="J1613">
        <v>24.37</v>
      </c>
      <c r="K1613" s="238" t="s">
        <v>38</v>
      </c>
      <c r="L1613">
        <v>2933247.04</v>
      </c>
      <c r="M1613">
        <v>0</v>
      </c>
      <c r="N1613">
        <v>2933247.04</v>
      </c>
      <c r="O1613">
        <v>120363.02995486253</v>
      </c>
      <c r="P1613">
        <v>536140.00000000093</v>
      </c>
      <c r="Q1613">
        <v>2397107.0399999991</v>
      </c>
      <c r="R1613">
        <v>98363.02995486249</v>
      </c>
      <c r="S1613" s="238" t="s">
        <v>137</v>
      </c>
      <c r="T1613" s="238" t="s">
        <v>1167</v>
      </c>
      <c r="V1613" t="s">
        <v>4091</v>
      </c>
      <c r="W1613" s="24">
        <v>44881</v>
      </c>
      <c r="X1613" s="238" t="s">
        <v>3761</v>
      </c>
      <c r="Y1613" s="238" t="s">
        <v>39</v>
      </c>
      <c r="Z1613" s="238" t="s">
        <v>1340</v>
      </c>
      <c r="AA1613" t="s">
        <v>3113</v>
      </c>
      <c r="AB1613" s="238" t="s">
        <v>3246</v>
      </c>
      <c r="AC1613" t="s">
        <v>3079</v>
      </c>
      <c r="AD1613" s="24"/>
      <c r="AE1613" s="238" t="s">
        <v>3762</v>
      </c>
      <c r="AF1613">
        <v>79270973407</v>
      </c>
      <c r="AG1613" s="238" t="s">
        <v>3763</v>
      </c>
      <c r="AH1613" s="238" t="s">
        <v>137</v>
      </c>
      <c r="AI1613" s="238" t="s">
        <v>3114</v>
      </c>
      <c r="AJ1613" s="238" t="s">
        <v>130</v>
      </c>
      <c r="AK1613" s="238" t="s">
        <v>141</v>
      </c>
      <c r="AL1613" t="s">
        <v>8715</v>
      </c>
      <c r="AM1613" t="s">
        <v>1167</v>
      </c>
    </row>
    <row r="1614" spans="1:39" hidden="1" x14ac:dyDescent="0.25">
      <c r="A1614">
        <v>1610</v>
      </c>
      <c r="B1614">
        <v>38</v>
      </c>
      <c r="C1614" s="24">
        <v>44889</v>
      </c>
      <c r="D1614" s="238" t="s">
        <v>91</v>
      </c>
      <c r="E1614" s="238" t="s">
        <v>16</v>
      </c>
      <c r="F1614">
        <v>2</v>
      </c>
      <c r="G1614">
        <v>8</v>
      </c>
      <c r="H1614">
        <v>284</v>
      </c>
      <c r="I1614" s="238" t="s">
        <v>43</v>
      </c>
      <c r="J1614">
        <v>67.95</v>
      </c>
      <c r="K1614" s="238" t="s">
        <v>36</v>
      </c>
      <c r="L1614">
        <v>5087419.22</v>
      </c>
      <c r="M1614">
        <v>0</v>
      </c>
      <c r="N1614">
        <v>5087419.22</v>
      </c>
      <c r="O1614">
        <v>74870.040029433396</v>
      </c>
      <c r="P1614">
        <v>0</v>
      </c>
      <c r="Q1614">
        <v>5087419.22</v>
      </c>
      <c r="R1614">
        <v>74870.040029433396</v>
      </c>
      <c r="S1614" s="238" t="s">
        <v>137</v>
      </c>
      <c r="T1614" s="238" t="s">
        <v>1167</v>
      </c>
      <c r="V1614" t="s">
        <v>4091</v>
      </c>
      <c r="W1614" s="24">
        <v>44886</v>
      </c>
      <c r="X1614" s="238" t="s">
        <v>3764</v>
      </c>
      <c r="Y1614" s="238" t="s">
        <v>39</v>
      </c>
      <c r="Z1614" s="238" t="s">
        <v>1340</v>
      </c>
      <c r="AA1614" t="s">
        <v>3113</v>
      </c>
      <c r="AB1614" s="238" t="s">
        <v>3246</v>
      </c>
      <c r="AC1614" t="s">
        <v>3079</v>
      </c>
      <c r="AD1614" s="24"/>
      <c r="AE1614" s="238" t="s">
        <v>3765</v>
      </c>
      <c r="AF1614">
        <v>79272611740</v>
      </c>
      <c r="AG1614" s="238" t="s">
        <v>3766</v>
      </c>
      <c r="AH1614" s="238" t="s">
        <v>1171</v>
      </c>
      <c r="AI1614" s="238" t="s">
        <v>3082</v>
      </c>
      <c r="AJ1614" s="238" t="s">
        <v>399</v>
      </c>
      <c r="AK1614" s="238" t="s">
        <v>141</v>
      </c>
      <c r="AL1614" t="s">
        <v>8715</v>
      </c>
      <c r="AM1614" t="s">
        <v>3663</v>
      </c>
    </row>
    <row r="1615" spans="1:39" hidden="1" x14ac:dyDescent="0.25">
      <c r="A1615">
        <v>1611</v>
      </c>
      <c r="B1615">
        <v>39</v>
      </c>
      <c r="C1615" s="24">
        <v>44889</v>
      </c>
      <c r="D1615" s="238" t="s">
        <v>91</v>
      </c>
      <c r="E1615" s="238" t="s">
        <v>6</v>
      </c>
      <c r="F1615">
        <v>4</v>
      </c>
      <c r="G1615">
        <v>16</v>
      </c>
      <c r="H1615">
        <v>116</v>
      </c>
      <c r="I1615" s="238" t="s">
        <v>43</v>
      </c>
      <c r="J1615">
        <v>56.03</v>
      </c>
      <c r="K1615" s="238" t="s">
        <v>37</v>
      </c>
      <c r="L1615">
        <v>4448276.83</v>
      </c>
      <c r="M1615">
        <v>0</v>
      </c>
      <c r="N1615">
        <v>4448276.83</v>
      </c>
      <c r="O1615">
        <v>79390.983937176512</v>
      </c>
      <c r="P1615">
        <v>420225.00000000093</v>
      </c>
      <c r="Q1615">
        <v>4028051.8299999991</v>
      </c>
      <c r="R1615">
        <v>71890.983937176497</v>
      </c>
      <c r="S1615" s="238" t="s">
        <v>137</v>
      </c>
      <c r="T1615" s="238" t="s">
        <v>3733</v>
      </c>
      <c r="U1615">
        <v>212002.72789473739</v>
      </c>
      <c r="V1615" t="s">
        <v>4091</v>
      </c>
      <c r="W1615" s="24">
        <v>44887</v>
      </c>
      <c r="X1615" s="238" t="s">
        <v>3767</v>
      </c>
      <c r="Y1615" s="238" t="s">
        <v>39</v>
      </c>
      <c r="Z1615" s="238" t="s">
        <v>1340</v>
      </c>
      <c r="AA1615" t="s">
        <v>3113</v>
      </c>
      <c r="AB1615" s="238" t="s">
        <v>3246</v>
      </c>
      <c r="AC1615" t="s">
        <v>3079</v>
      </c>
      <c r="AD1615" s="24"/>
      <c r="AE1615" s="238" t="s">
        <v>3768</v>
      </c>
      <c r="AF1615">
        <v>79879294979</v>
      </c>
      <c r="AG1615" s="238" t="s">
        <v>3769</v>
      </c>
      <c r="AH1615" s="238" t="s">
        <v>135</v>
      </c>
      <c r="AI1615" s="238" t="s">
        <v>3099</v>
      </c>
      <c r="AJ1615" s="238" t="s">
        <v>130</v>
      </c>
      <c r="AK1615" s="238" t="s">
        <v>3345</v>
      </c>
      <c r="AL1615" t="s">
        <v>8715</v>
      </c>
      <c r="AM1615" t="s">
        <v>3663</v>
      </c>
    </row>
    <row r="1616" spans="1:39" hidden="1" x14ac:dyDescent="0.25">
      <c r="A1616">
        <v>1612</v>
      </c>
      <c r="B1616">
        <v>40</v>
      </c>
      <c r="C1616" s="24">
        <v>44890</v>
      </c>
      <c r="D1616" s="238" t="s">
        <v>27</v>
      </c>
      <c r="E1616" s="238" t="s">
        <v>14</v>
      </c>
      <c r="F1616">
        <v>5</v>
      </c>
      <c r="G1616">
        <v>6</v>
      </c>
      <c r="H1616">
        <v>672</v>
      </c>
      <c r="I1616" s="238" t="s">
        <v>42</v>
      </c>
      <c r="J1616">
        <v>38.96</v>
      </c>
      <c r="K1616" s="238" t="s">
        <v>37</v>
      </c>
      <c r="L1616">
        <v>4010079.56</v>
      </c>
      <c r="M1616">
        <v>0</v>
      </c>
      <c r="N1616">
        <v>4010079.56</v>
      </c>
      <c r="O1616">
        <v>102928.12012320329</v>
      </c>
      <c r="P1616">
        <v>292199.99999999907</v>
      </c>
      <c r="Q1616">
        <v>3717879.560000001</v>
      </c>
      <c r="R1616">
        <v>95428.120123203305</v>
      </c>
      <c r="S1616" s="238" t="s">
        <v>137</v>
      </c>
      <c r="T1616" s="238" t="s">
        <v>1167</v>
      </c>
      <c r="V1616" t="s">
        <v>4091</v>
      </c>
      <c r="W1616" s="24">
        <v>44884</v>
      </c>
      <c r="X1616" s="238" t="s">
        <v>3770</v>
      </c>
      <c r="Y1616" s="238" t="s">
        <v>39</v>
      </c>
      <c r="Z1616" s="238" t="s">
        <v>1340</v>
      </c>
      <c r="AA1616" t="s">
        <v>3113</v>
      </c>
      <c r="AB1616" s="238" t="s">
        <v>3246</v>
      </c>
      <c r="AC1616" t="s">
        <v>3079</v>
      </c>
      <c r="AD1616" s="24"/>
      <c r="AE1616" s="238" t="s">
        <v>3771</v>
      </c>
      <c r="AF1616">
        <v>765764533</v>
      </c>
      <c r="AG1616" s="238" t="s">
        <v>3772</v>
      </c>
      <c r="AH1616" s="238" t="s">
        <v>1171</v>
      </c>
      <c r="AI1616" s="238" t="s">
        <v>3074</v>
      </c>
      <c r="AJ1616" s="238" t="s">
        <v>130</v>
      </c>
      <c r="AK1616" s="238" t="s">
        <v>141</v>
      </c>
      <c r="AL1616" t="s">
        <v>8715</v>
      </c>
      <c r="AM1616" t="s">
        <v>1167</v>
      </c>
    </row>
    <row r="1617" spans="1:39" hidden="1" x14ac:dyDescent="0.25">
      <c r="A1617">
        <v>1613</v>
      </c>
      <c r="B1617">
        <v>41</v>
      </c>
      <c r="C1617" s="24">
        <v>44890</v>
      </c>
      <c r="D1617" s="238" t="s">
        <v>27</v>
      </c>
      <c r="E1617" s="238" t="s">
        <v>14</v>
      </c>
      <c r="F1617">
        <v>6</v>
      </c>
      <c r="G1617">
        <v>12</v>
      </c>
      <c r="H1617">
        <v>727</v>
      </c>
      <c r="I1617" s="238" t="s">
        <v>43</v>
      </c>
      <c r="J1617">
        <v>61.95</v>
      </c>
      <c r="K1617" s="238" t="s">
        <v>37</v>
      </c>
      <c r="L1617">
        <v>5328064.47</v>
      </c>
      <c r="M1617">
        <v>15000</v>
      </c>
      <c r="N1617">
        <v>5343064.47</v>
      </c>
      <c r="O1617">
        <v>86248.01404358352</v>
      </c>
      <c r="P1617">
        <v>464625.00000000093</v>
      </c>
      <c r="Q1617">
        <v>4878439.4699999988</v>
      </c>
      <c r="R1617">
        <v>78748.014043583506</v>
      </c>
      <c r="S1617" s="238" t="s">
        <v>137</v>
      </c>
      <c r="T1617" s="238" t="s">
        <v>3515</v>
      </c>
      <c r="U1617">
        <v>120000</v>
      </c>
      <c r="V1617" t="s">
        <v>4091</v>
      </c>
      <c r="W1617" s="24">
        <v>44886</v>
      </c>
      <c r="X1617" s="238" t="s">
        <v>3773</v>
      </c>
      <c r="Y1617" s="238" t="s">
        <v>39</v>
      </c>
      <c r="Z1617" s="238" t="s">
        <v>1340</v>
      </c>
      <c r="AA1617" t="s">
        <v>3113</v>
      </c>
      <c r="AB1617" s="238" t="s">
        <v>3246</v>
      </c>
      <c r="AC1617" t="s">
        <v>3079</v>
      </c>
      <c r="AD1617" s="24"/>
      <c r="AE1617" s="238" t="s">
        <v>3774</v>
      </c>
      <c r="AF1617">
        <v>79276865196</v>
      </c>
      <c r="AG1617" s="238" t="s">
        <v>3775</v>
      </c>
      <c r="AH1617" s="238" t="s">
        <v>1171</v>
      </c>
      <c r="AI1617" s="238" t="s">
        <v>3090</v>
      </c>
      <c r="AJ1617" s="238" t="s">
        <v>399</v>
      </c>
      <c r="AK1617" s="238" t="s">
        <v>3345</v>
      </c>
      <c r="AL1617" t="s">
        <v>8715</v>
      </c>
      <c r="AM1617" t="s">
        <v>3663</v>
      </c>
    </row>
    <row r="1618" spans="1:39" hidden="1" x14ac:dyDescent="0.25">
      <c r="A1618">
        <v>1614</v>
      </c>
      <c r="B1618">
        <v>42</v>
      </c>
      <c r="C1618" s="24">
        <v>44893</v>
      </c>
      <c r="D1618" s="238" t="s">
        <v>91</v>
      </c>
      <c r="E1618" s="238" t="s">
        <v>15</v>
      </c>
      <c r="F1618">
        <v>4</v>
      </c>
      <c r="G1618">
        <v>12</v>
      </c>
      <c r="H1618">
        <v>495</v>
      </c>
      <c r="I1618" s="238" t="s">
        <v>42</v>
      </c>
      <c r="J1618">
        <v>36.5</v>
      </c>
      <c r="K1618" s="238" t="s">
        <v>37</v>
      </c>
      <c r="L1618">
        <v>3291199.89</v>
      </c>
      <c r="M1618">
        <v>0</v>
      </c>
      <c r="N1618">
        <v>3291199.89</v>
      </c>
      <c r="O1618">
        <v>90169.86</v>
      </c>
      <c r="P1618">
        <v>273750</v>
      </c>
      <c r="Q1618">
        <v>3017449.89</v>
      </c>
      <c r="R1618">
        <v>82669.86</v>
      </c>
      <c r="S1618" s="238" t="s">
        <v>137</v>
      </c>
      <c r="T1618" s="238" t="s">
        <v>1167</v>
      </c>
      <c r="V1618" t="s">
        <v>4091</v>
      </c>
      <c r="W1618" s="24">
        <v>44888</v>
      </c>
      <c r="X1618" s="238" t="s">
        <v>3778</v>
      </c>
      <c r="Y1618" s="238" t="s">
        <v>39</v>
      </c>
      <c r="Z1618" s="238" t="s">
        <v>1340</v>
      </c>
      <c r="AA1618" t="s">
        <v>3113</v>
      </c>
      <c r="AB1618" s="238" t="s">
        <v>3246</v>
      </c>
      <c r="AC1618" t="s">
        <v>3079</v>
      </c>
      <c r="AD1618" s="24"/>
      <c r="AE1618" s="238" t="s">
        <v>3779</v>
      </c>
      <c r="AF1618">
        <v>79093429541</v>
      </c>
      <c r="AG1618" s="238" t="s">
        <v>3780</v>
      </c>
      <c r="AH1618" s="238" t="s">
        <v>1212</v>
      </c>
      <c r="AI1618" s="238" t="s">
        <v>135</v>
      </c>
      <c r="AJ1618" s="238" t="s">
        <v>130</v>
      </c>
      <c r="AK1618" s="238" t="s">
        <v>3345</v>
      </c>
      <c r="AL1618" t="s">
        <v>8715</v>
      </c>
      <c r="AM1618" t="s">
        <v>1167</v>
      </c>
    </row>
    <row r="1619" spans="1:39" hidden="1" x14ac:dyDescent="0.25">
      <c r="A1619">
        <v>1615</v>
      </c>
      <c r="B1619">
        <v>43</v>
      </c>
      <c r="C1619" s="24">
        <v>44893</v>
      </c>
      <c r="D1619" s="238" t="s">
        <v>27</v>
      </c>
      <c r="E1619" s="238" t="s">
        <v>6</v>
      </c>
      <c r="F1619">
        <v>5</v>
      </c>
      <c r="G1619">
        <v>6</v>
      </c>
      <c r="H1619">
        <v>41</v>
      </c>
      <c r="I1619" s="238" t="s">
        <v>4052</v>
      </c>
      <c r="J1619">
        <v>24.47</v>
      </c>
      <c r="K1619" s="238" t="s">
        <v>36</v>
      </c>
      <c r="L1619">
        <v>2393307.9300000002</v>
      </c>
      <c r="M1619">
        <v>0</v>
      </c>
      <c r="N1619">
        <v>2393307.9300000002</v>
      </c>
      <c r="O1619">
        <v>97805.800163465479</v>
      </c>
      <c r="P1619">
        <v>0</v>
      </c>
      <c r="Q1619">
        <v>2393307.9300000002</v>
      </c>
      <c r="R1619">
        <v>97805.800163465479</v>
      </c>
      <c r="S1619" s="238" t="s">
        <v>137</v>
      </c>
      <c r="T1619" s="238" t="s">
        <v>1167</v>
      </c>
      <c r="V1619" t="s">
        <v>4091</v>
      </c>
      <c r="W1619" s="24">
        <v>44889</v>
      </c>
      <c r="X1619" s="238" t="s">
        <v>3781</v>
      </c>
      <c r="Y1619" s="238" t="s">
        <v>39</v>
      </c>
      <c r="Z1619" s="238" t="s">
        <v>1340</v>
      </c>
      <c r="AA1619" t="s">
        <v>3113</v>
      </c>
      <c r="AB1619" s="238" t="s">
        <v>3246</v>
      </c>
      <c r="AC1619" t="s">
        <v>3079</v>
      </c>
      <c r="AD1619" s="24"/>
      <c r="AE1619" s="238" t="s">
        <v>3782</v>
      </c>
      <c r="AF1619">
        <v>79276953167</v>
      </c>
      <c r="AG1619" s="238" t="s">
        <v>3783</v>
      </c>
      <c r="AH1619" s="238" t="s">
        <v>1171</v>
      </c>
      <c r="AI1619" s="238" t="s">
        <v>135</v>
      </c>
      <c r="AJ1619" s="238" t="s">
        <v>130</v>
      </c>
      <c r="AK1619" s="238" t="s">
        <v>141</v>
      </c>
      <c r="AL1619" t="s">
        <v>8715</v>
      </c>
      <c r="AM1619" t="s">
        <v>1167</v>
      </c>
    </row>
    <row r="1620" spans="1:39" hidden="1" x14ac:dyDescent="0.25">
      <c r="A1620">
        <v>1616</v>
      </c>
      <c r="B1620">
        <v>44</v>
      </c>
      <c r="C1620" s="24">
        <v>44893</v>
      </c>
      <c r="D1620" s="238" t="s">
        <v>27</v>
      </c>
      <c r="E1620" s="238" t="s">
        <v>14</v>
      </c>
      <c r="F1620">
        <v>3</v>
      </c>
      <c r="G1620">
        <v>20</v>
      </c>
      <c r="H1620">
        <v>793</v>
      </c>
      <c r="I1620" s="238" t="s">
        <v>4052</v>
      </c>
      <c r="J1620">
        <v>24.37</v>
      </c>
      <c r="K1620" s="238" t="s">
        <v>38</v>
      </c>
      <c r="L1620">
        <v>3065695.07</v>
      </c>
      <c r="M1620">
        <v>0</v>
      </c>
      <c r="N1620">
        <v>3065695.07</v>
      </c>
      <c r="O1620">
        <v>125797.91013541238</v>
      </c>
      <c r="P1620">
        <v>536140.00000000931</v>
      </c>
      <c r="Q1620">
        <v>2529555.0699999905</v>
      </c>
      <c r="R1620">
        <v>103797.91013541199</v>
      </c>
      <c r="S1620" s="238" t="s">
        <v>137</v>
      </c>
      <c r="T1620" s="238" t="s">
        <v>1167</v>
      </c>
      <c r="V1620" t="s">
        <v>4091</v>
      </c>
      <c r="W1620" s="24">
        <v>44890</v>
      </c>
      <c r="X1620" s="238" t="s">
        <v>3784</v>
      </c>
      <c r="Y1620" s="238" t="s">
        <v>39</v>
      </c>
      <c r="Z1620" s="238" t="s">
        <v>1340</v>
      </c>
      <c r="AA1620" t="s">
        <v>3113</v>
      </c>
      <c r="AB1620" s="238" t="s">
        <v>3246</v>
      </c>
      <c r="AC1620" t="s">
        <v>3079</v>
      </c>
      <c r="AD1620" s="24"/>
      <c r="AE1620" s="238" t="s">
        <v>3785</v>
      </c>
      <c r="AF1620">
        <v>79371707132</v>
      </c>
      <c r="AG1620" s="238" t="s">
        <v>3786</v>
      </c>
      <c r="AH1620" s="238" t="s">
        <v>1171</v>
      </c>
      <c r="AI1620" s="238" t="s">
        <v>135</v>
      </c>
      <c r="AJ1620" s="238" t="s">
        <v>130</v>
      </c>
      <c r="AK1620" s="238" t="s">
        <v>3345</v>
      </c>
      <c r="AL1620" t="s">
        <v>8715</v>
      </c>
      <c r="AM1620" t="s">
        <v>3663</v>
      </c>
    </row>
    <row r="1621" spans="1:39" hidden="1" x14ac:dyDescent="0.25">
      <c r="A1621">
        <v>1617</v>
      </c>
      <c r="B1621">
        <v>45</v>
      </c>
      <c r="C1621" s="24">
        <v>44893</v>
      </c>
      <c r="D1621" s="238" t="s">
        <v>91</v>
      </c>
      <c r="E1621" s="238" t="s">
        <v>5</v>
      </c>
      <c r="F1621">
        <v>1</v>
      </c>
      <c r="G1621">
        <v>7</v>
      </c>
      <c r="H1621">
        <v>161</v>
      </c>
      <c r="I1621" s="238" t="s">
        <v>4052</v>
      </c>
      <c r="J1621">
        <v>28.97</v>
      </c>
      <c r="K1621" s="238" t="s">
        <v>37</v>
      </c>
      <c r="L1621">
        <v>2402200.2799999998</v>
      </c>
      <c r="M1621">
        <v>0</v>
      </c>
      <c r="N1621">
        <v>2402200.2799999998</v>
      </c>
      <c r="O1621">
        <v>82920.272005522944</v>
      </c>
      <c r="P1621">
        <v>217275.0000000014</v>
      </c>
      <c r="Q1621">
        <v>2184925.2799999984</v>
      </c>
      <c r="R1621">
        <v>75420.2720055229</v>
      </c>
      <c r="S1621" s="238" t="s">
        <v>137</v>
      </c>
      <c r="T1621" s="238" t="s">
        <v>3540</v>
      </c>
      <c r="U1621">
        <v>114996.06736842124</v>
      </c>
      <c r="V1621" t="s">
        <v>4091</v>
      </c>
      <c r="W1621" s="24">
        <v>44890</v>
      </c>
      <c r="X1621" s="238" t="s">
        <v>3787</v>
      </c>
      <c r="Y1621" s="238" t="s">
        <v>39</v>
      </c>
      <c r="Z1621" s="238" t="s">
        <v>1340</v>
      </c>
      <c r="AA1621" t="s">
        <v>3113</v>
      </c>
      <c r="AB1621" s="238" t="s">
        <v>3246</v>
      </c>
      <c r="AC1621" t="s">
        <v>3079</v>
      </c>
      <c r="AD1621" s="24"/>
      <c r="AE1621" s="238" t="s">
        <v>3788</v>
      </c>
      <c r="AF1621">
        <v>79272651405</v>
      </c>
      <c r="AG1621" s="238" t="s">
        <v>3789</v>
      </c>
      <c r="AH1621" s="238" t="s">
        <v>1212</v>
      </c>
      <c r="AI1621" s="238" t="s">
        <v>3074</v>
      </c>
      <c r="AJ1621" s="238" t="s">
        <v>399</v>
      </c>
      <c r="AK1621" s="238" t="s">
        <v>3345</v>
      </c>
      <c r="AL1621" t="s">
        <v>8715</v>
      </c>
      <c r="AM1621" t="s">
        <v>1167</v>
      </c>
    </row>
    <row r="1622" spans="1:39" hidden="1" x14ac:dyDescent="0.25">
      <c r="A1622">
        <v>1618</v>
      </c>
      <c r="B1622">
        <v>46</v>
      </c>
      <c r="C1622" s="24">
        <v>44894</v>
      </c>
      <c r="D1622" s="238" t="s">
        <v>91</v>
      </c>
      <c r="E1622" s="238" t="s">
        <v>5</v>
      </c>
      <c r="F1622">
        <v>8</v>
      </c>
      <c r="G1622">
        <v>16</v>
      </c>
      <c r="H1622">
        <v>240</v>
      </c>
      <c r="I1622" s="238" t="s">
        <v>42</v>
      </c>
      <c r="J1622">
        <v>33.79</v>
      </c>
      <c r="K1622" s="238" t="s">
        <v>36</v>
      </c>
      <c r="L1622">
        <v>2602214.83</v>
      </c>
      <c r="M1622">
        <v>0</v>
      </c>
      <c r="N1622">
        <v>2602214.83</v>
      </c>
      <c r="O1622">
        <v>77011.388872447467</v>
      </c>
      <c r="P1622">
        <v>0</v>
      </c>
      <c r="Q1622">
        <v>2602214.83</v>
      </c>
      <c r="R1622">
        <v>77011.388872447467</v>
      </c>
      <c r="S1622" s="238" t="s">
        <v>124</v>
      </c>
      <c r="T1622" s="238" t="s">
        <v>3540</v>
      </c>
      <c r="U1622">
        <v>136958.68</v>
      </c>
      <c r="V1622" t="s">
        <v>1167</v>
      </c>
      <c r="W1622" s="24">
        <v>44891</v>
      </c>
      <c r="X1622" s="238" t="s">
        <v>3790</v>
      </c>
      <c r="Y1622" s="238" t="s">
        <v>39</v>
      </c>
      <c r="Z1622" s="238" t="s">
        <v>1340</v>
      </c>
      <c r="AA1622" t="s">
        <v>3113</v>
      </c>
      <c r="AB1622" s="238" t="s">
        <v>3246</v>
      </c>
      <c r="AC1622" t="s">
        <v>1167</v>
      </c>
      <c r="AD1622" s="24"/>
      <c r="AE1622" s="238" t="s">
        <v>3791</v>
      </c>
      <c r="AF1622">
        <v>79277134001</v>
      </c>
      <c r="AG1622" s="238" t="s">
        <v>3792</v>
      </c>
      <c r="AH1622" s="238" t="s">
        <v>1171</v>
      </c>
      <c r="AI1622" s="238" t="s">
        <v>3085</v>
      </c>
      <c r="AJ1622" s="238" t="s">
        <v>130</v>
      </c>
      <c r="AK1622" s="238" t="s">
        <v>1167</v>
      </c>
      <c r="AL1622" t="s">
        <v>8715</v>
      </c>
      <c r="AM1622" t="s">
        <v>1167</v>
      </c>
    </row>
    <row r="1623" spans="1:39" hidden="1" x14ac:dyDescent="0.25">
      <c r="A1623">
        <v>1619</v>
      </c>
      <c r="B1623">
        <v>47</v>
      </c>
      <c r="C1623" s="24">
        <v>44895</v>
      </c>
      <c r="D1623" s="238" t="s">
        <v>91</v>
      </c>
      <c r="E1623" s="238" t="s">
        <v>16</v>
      </c>
      <c r="F1623">
        <v>7</v>
      </c>
      <c r="G1623">
        <v>10</v>
      </c>
      <c r="H1623">
        <v>303</v>
      </c>
      <c r="I1623" s="238" t="s">
        <v>42</v>
      </c>
      <c r="J1623">
        <v>33.840000000000003</v>
      </c>
      <c r="K1623" s="238" t="s">
        <v>37</v>
      </c>
      <c r="L1623">
        <v>2720767.05</v>
      </c>
      <c r="M1623">
        <v>15000</v>
      </c>
      <c r="N1623">
        <v>2735767.05</v>
      </c>
      <c r="O1623">
        <v>80844.179964538998</v>
      </c>
      <c r="P1623">
        <v>253800</v>
      </c>
      <c r="Q1623">
        <v>2481967.0499999998</v>
      </c>
      <c r="R1623">
        <v>73344.179964538998</v>
      </c>
      <c r="S1623" s="238" t="s">
        <v>124</v>
      </c>
      <c r="T1623" s="238" t="s">
        <v>3540</v>
      </c>
      <c r="U1623">
        <v>130629.85</v>
      </c>
      <c r="V1623" t="s">
        <v>1167</v>
      </c>
      <c r="W1623" s="24">
        <v>44860</v>
      </c>
      <c r="X1623" s="238" t="s">
        <v>3795</v>
      </c>
      <c r="Y1623" s="238" t="s">
        <v>39</v>
      </c>
      <c r="Z1623" s="238" t="s">
        <v>1168</v>
      </c>
      <c r="AA1623" t="s">
        <v>1167</v>
      </c>
      <c r="AB1623" s="238" t="s">
        <v>3246</v>
      </c>
      <c r="AC1623" t="s">
        <v>1167</v>
      </c>
      <c r="AD1623" s="24"/>
      <c r="AE1623" s="238" t="s">
        <v>3796</v>
      </c>
      <c r="AF1623">
        <v>79371747316</v>
      </c>
      <c r="AG1623" s="238" t="s">
        <v>3797</v>
      </c>
      <c r="AH1623" s="238" t="s">
        <v>135</v>
      </c>
      <c r="AI1623" s="238" t="s">
        <v>3075</v>
      </c>
      <c r="AJ1623" s="238" t="s">
        <v>130</v>
      </c>
      <c r="AK1623" s="238" t="s">
        <v>1167</v>
      </c>
      <c r="AL1623" t="s">
        <v>8715</v>
      </c>
      <c r="AM1623" t="s">
        <v>1167</v>
      </c>
    </row>
    <row r="1624" spans="1:39" hidden="1" x14ac:dyDescent="0.25">
      <c r="A1624">
        <v>1620</v>
      </c>
      <c r="B1624">
        <v>48</v>
      </c>
      <c r="C1624" s="24">
        <v>44895</v>
      </c>
      <c r="D1624" s="238" t="s">
        <v>27</v>
      </c>
      <c r="E1624" s="238" t="s">
        <v>14</v>
      </c>
      <c r="F1624">
        <v>5</v>
      </c>
      <c r="G1624">
        <v>15</v>
      </c>
      <c r="H1624">
        <v>753</v>
      </c>
      <c r="I1624" s="238" t="s">
        <v>42</v>
      </c>
      <c r="J1624">
        <v>38.96</v>
      </c>
      <c r="K1624" s="238" t="s">
        <v>36</v>
      </c>
      <c r="L1624">
        <v>3220220.09</v>
      </c>
      <c r="M1624">
        <v>15000</v>
      </c>
      <c r="N1624">
        <v>3235220.09</v>
      </c>
      <c r="O1624">
        <v>83039.530030800815</v>
      </c>
      <c r="P1624">
        <v>0</v>
      </c>
      <c r="Q1624">
        <v>3235220.09</v>
      </c>
      <c r="R1624">
        <v>83039.530030800815</v>
      </c>
      <c r="S1624" s="238" t="s">
        <v>137</v>
      </c>
      <c r="T1624" s="238" t="s">
        <v>1167</v>
      </c>
      <c r="V1624" t="s">
        <v>4094</v>
      </c>
      <c r="W1624" s="24">
        <v>44866</v>
      </c>
      <c r="X1624" s="238" t="s">
        <v>3798</v>
      </c>
      <c r="Y1624" s="238" t="s">
        <v>39</v>
      </c>
      <c r="Z1624" s="238" t="s">
        <v>1168</v>
      </c>
      <c r="AA1624" t="s">
        <v>1167</v>
      </c>
      <c r="AB1624" s="238" t="s">
        <v>3246</v>
      </c>
      <c r="AC1624" t="s">
        <v>3080</v>
      </c>
      <c r="AD1624" s="24"/>
      <c r="AE1624" s="238" t="s">
        <v>3799</v>
      </c>
      <c r="AF1624">
        <v>79613879281</v>
      </c>
      <c r="AG1624" s="238" t="s">
        <v>3800</v>
      </c>
      <c r="AH1624" s="238" t="s">
        <v>1171</v>
      </c>
      <c r="AI1624" s="238" t="s">
        <v>3074</v>
      </c>
      <c r="AJ1624" s="238" t="s">
        <v>130</v>
      </c>
      <c r="AK1624" s="238" t="s">
        <v>3345</v>
      </c>
      <c r="AL1624" t="s">
        <v>8715</v>
      </c>
      <c r="AM1624" t="s">
        <v>1167</v>
      </c>
    </row>
    <row r="1625" spans="1:39" hidden="1" x14ac:dyDescent="0.25">
      <c r="A1625">
        <v>1621</v>
      </c>
      <c r="B1625">
        <v>49</v>
      </c>
      <c r="C1625" s="24">
        <v>44895</v>
      </c>
      <c r="D1625" s="238" t="s">
        <v>91</v>
      </c>
      <c r="E1625" s="238" t="s">
        <v>6</v>
      </c>
      <c r="F1625">
        <v>6</v>
      </c>
      <c r="G1625">
        <v>16</v>
      </c>
      <c r="H1625">
        <v>118</v>
      </c>
      <c r="I1625" s="238" t="s">
        <v>43</v>
      </c>
      <c r="J1625">
        <v>59.87</v>
      </c>
      <c r="K1625" s="238" t="s">
        <v>37</v>
      </c>
      <c r="L1625">
        <v>4826763.7</v>
      </c>
      <c r="M1625">
        <v>0</v>
      </c>
      <c r="N1625">
        <v>4826763.7</v>
      </c>
      <c r="O1625">
        <v>80620.739936529149</v>
      </c>
      <c r="P1625">
        <v>449025</v>
      </c>
      <c r="Q1625">
        <v>4377738.7</v>
      </c>
      <c r="R1625">
        <v>73120.739936529149</v>
      </c>
      <c r="S1625" s="238" t="s">
        <v>137</v>
      </c>
      <c r="T1625" s="238" t="s">
        <v>3733</v>
      </c>
      <c r="U1625">
        <v>460814.59999999963</v>
      </c>
      <c r="V1625" t="s">
        <v>4091</v>
      </c>
      <c r="W1625" s="24">
        <v>44887</v>
      </c>
      <c r="X1625" s="238" t="s">
        <v>3801</v>
      </c>
      <c r="Y1625" s="238" t="s">
        <v>39</v>
      </c>
      <c r="Z1625" s="238" t="s">
        <v>1340</v>
      </c>
      <c r="AA1625" t="s">
        <v>3113</v>
      </c>
      <c r="AB1625" s="238" t="s">
        <v>3246</v>
      </c>
      <c r="AC1625" t="s">
        <v>3079</v>
      </c>
      <c r="AD1625" s="24"/>
      <c r="AE1625" s="238" t="s">
        <v>3802</v>
      </c>
      <c r="AF1625">
        <v>79297061456</v>
      </c>
      <c r="AG1625" s="238" t="s">
        <v>3803</v>
      </c>
      <c r="AH1625" s="238" t="s">
        <v>1212</v>
      </c>
      <c r="AI1625" s="238" t="s">
        <v>135</v>
      </c>
      <c r="AJ1625" s="238" t="s">
        <v>399</v>
      </c>
      <c r="AK1625" s="238" t="s">
        <v>141</v>
      </c>
      <c r="AL1625" t="s">
        <v>8715</v>
      </c>
      <c r="AM1625" t="s">
        <v>3663</v>
      </c>
    </row>
    <row r="1626" spans="1:39" hidden="1" x14ac:dyDescent="0.25">
      <c r="A1626">
        <v>1622</v>
      </c>
      <c r="B1626">
        <v>50</v>
      </c>
      <c r="C1626" s="24">
        <v>44895</v>
      </c>
      <c r="D1626" s="238" t="s">
        <v>27</v>
      </c>
      <c r="E1626" s="238" t="s">
        <v>16</v>
      </c>
      <c r="F1626">
        <v>5</v>
      </c>
      <c r="G1626">
        <v>15</v>
      </c>
      <c r="H1626">
        <v>500</v>
      </c>
      <c r="I1626" s="238" t="s">
        <v>4052</v>
      </c>
      <c r="J1626">
        <v>23.63</v>
      </c>
      <c r="K1626" s="238" t="s">
        <v>36</v>
      </c>
      <c r="L1626">
        <v>2036744.69</v>
      </c>
      <c r="M1626">
        <v>15000</v>
      </c>
      <c r="N1626">
        <v>2051744.69</v>
      </c>
      <c r="O1626">
        <v>86827.959796868396</v>
      </c>
      <c r="P1626">
        <v>0</v>
      </c>
      <c r="Q1626">
        <v>2051744.69</v>
      </c>
      <c r="R1626">
        <v>86827.959796868396</v>
      </c>
      <c r="S1626" s="238" t="s">
        <v>137</v>
      </c>
      <c r="T1626" s="238" t="s">
        <v>1167</v>
      </c>
      <c r="V1626" t="s">
        <v>4091</v>
      </c>
      <c r="W1626" s="24">
        <v>44889</v>
      </c>
      <c r="X1626" s="238" t="s">
        <v>3804</v>
      </c>
      <c r="Y1626" s="238" t="s">
        <v>39</v>
      </c>
      <c r="Z1626" s="238" t="s">
        <v>1340</v>
      </c>
      <c r="AA1626" t="s">
        <v>1167</v>
      </c>
      <c r="AB1626" s="238" t="s">
        <v>3246</v>
      </c>
      <c r="AC1626" t="s">
        <v>3079</v>
      </c>
      <c r="AD1626" s="24"/>
      <c r="AE1626" s="238" t="s">
        <v>3805</v>
      </c>
      <c r="AF1626">
        <v>79879023930</v>
      </c>
      <c r="AG1626" s="238" t="s">
        <v>3806</v>
      </c>
      <c r="AH1626" s="238" t="s">
        <v>1171</v>
      </c>
      <c r="AI1626" s="238" t="s">
        <v>6406</v>
      </c>
      <c r="AJ1626" s="238" t="s">
        <v>399</v>
      </c>
      <c r="AK1626" s="238" t="s">
        <v>141</v>
      </c>
      <c r="AL1626" t="s">
        <v>57</v>
      </c>
      <c r="AM1626" t="s">
        <v>1167</v>
      </c>
    </row>
    <row r="1627" spans="1:39" hidden="1" x14ac:dyDescent="0.25">
      <c r="A1627">
        <v>1623</v>
      </c>
      <c r="B1627">
        <v>51</v>
      </c>
      <c r="C1627" s="24">
        <v>44895</v>
      </c>
      <c r="D1627" s="238" t="s">
        <v>91</v>
      </c>
      <c r="E1627" s="238" t="s">
        <v>6</v>
      </c>
      <c r="F1627">
        <v>3</v>
      </c>
      <c r="G1627">
        <v>3</v>
      </c>
      <c r="H1627">
        <v>11</v>
      </c>
      <c r="I1627" s="238" t="s">
        <v>42</v>
      </c>
      <c r="J1627">
        <v>35.54</v>
      </c>
      <c r="K1627" s="238" t="s">
        <v>38</v>
      </c>
      <c r="L1627">
        <v>3691799.6</v>
      </c>
      <c r="M1627">
        <v>0</v>
      </c>
      <c r="N1627">
        <v>3691799.6</v>
      </c>
      <c r="O1627">
        <v>103877.31007315702</v>
      </c>
      <c r="P1627">
        <v>781880.00000000047</v>
      </c>
      <c r="Q1627">
        <v>2909919.5999999996</v>
      </c>
      <c r="R1627">
        <v>81877.310073157001</v>
      </c>
      <c r="S1627" s="238" t="s">
        <v>124</v>
      </c>
      <c r="T1627" s="238" t="s">
        <v>1167</v>
      </c>
      <c r="V1627" t="s">
        <v>1167</v>
      </c>
      <c r="W1627" s="24">
        <v>44890</v>
      </c>
      <c r="X1627" s="238" t="s">
        <v>3807</v>
      </c>
      <c r="Y1627" s="238" t="s">
        <v>39</v>
      </c>
      <c r="Z1627" s="238" t="s">
        <v>1340</v>
      </c>
      <c r="AA1627" t="s">
        <v>3113</v>
      </c>
      <c r="AB1627" s="238" t="s">
        <v>3246</v>
      </c>
      <c r="AC1627" t="s">
        <v>1167</v>
      </c>
      <c r="AD1627" s="24"/>
      <c r="AE1627" s="238" t="s">
        <v>3808</v>
      </c>
      <c r="AF1627">
        <v>79871551406</v>
      </c>
      <c r="AG1627" s="238" t="s">
        <v>3809</v>
      </c>
      <c r="AH1627" s="238" t="s">
        <v>1171</v>
      </c>
      <c r="AI1627" s="238" t="s">
        <v>6406</v>
      </c>
      <c r="AJ1627" s="238" t="s">
        <v>399</v>
      </c>
      <c r="AK1627" s="238" t="s">
        <v>1167</v>
      </c>
      <c r="AL1627" t="s">
        <v>57</v>
      </c>
      <c r="AM1627" t="s">
        <v>1167</v>
      </c>
    </row>
    <row r="1628" spans="1:39" hidden="1" x14ac:dyDescent="0.25">
      <c r="A1628">
        <v>1624</v>
      </c>
      <c r="B1628">
        <v>52</v>
      </c>
      <c r="C1628" s="24">
        <v>44895</v>
      </c>
      <c r="D1628" s="238" t="s">
        <v>27</v>
      </c>
      <c r="E1628" s="238" t="s">
        <v>6</v>
      </c>
      <c r="F1628">
        <v>2</v>
      </c>
      <c r="G1628">
        <v>18</v>
      </c>
      <c r="H1628">
        <v>146</v>
      </c>
      <c r="I1628" s="238" t="s">
        <v>42</v>
      </c>
      <c r="J1628">
        <v>37.94</v>
      </c>
      <c r="K1628" s="238" t="s">
        <v>38</v>
      </c>
      <c r="L1628">
        <v>4246275.91</v>
      </c>
      <c r="M1628">
        <v>0</v>
      </c>
      <c r="N1628">
        <v>4246275.91</v>
      </c>
      <c r="O1628">
        <v>111920.81997891409</v>
      </c>
      <c r="P1628">
        <v>834680</v>
      </c>
      <c r="Q1628">
        <v>3411595.91</v>
      </c>
      <c r="R1628">
        <v>89920.819978914078</v>
      </c>
      <c r="S1628" s="238" t="s">
        <v>137</v>
      </c>
      <c r="T1628" s="238" t="s">
        <v>1167</v>
      </c>
      <c r="V1628" t="s">
        <v>4092</v>
      </c>
      <c r="W1628" s="24">
        <v>44893</v>
      </c>
      <c r="X1628" s="238" t="s">
        <v>3810</v>
      </c>
      <c r="Y1628" s="238" t="s">
        <v>39</v>
      </c>
      <c r="Z1628" s="238" t="s">
        <v>1340</v>
      </c>
      <c r="AA1628" t="s">
        <v>3113</v>
      </c>
      <c r="AB1628" s="238" t="s">
        <v>3246</v>
      </c>
      <c r="AC1628" t="s">
        <v>3079</v>
      </c>
      <c r="AD1628" s="24"/>
      <c r="AE1628" s="238" t="s">
        <v>2298</v>
      </c>
      <c r="AF1628">
        <v>79874502232</v>
      </c>
      <c r="AG1628" s="238" t="s">
        <v>2299</v>
      </c>
      <c r="AH1628" s="238" t="s">
        <v>1171</v>
      </c>
      <c r="AI1628" s="238" t="s">
        <v>3082</v>
      </c>
      <c r="AJ1628" s="238" t="s">
        <v>130</v>
      </c>
      <c r="AK1628" s="238" t="s">
        <v>3345</v>
      </c>
      <c r="AL1628" t="s">
        <v>8715</v>
      </c>
      <c r="AM1628" t="s">
        <v>1167</v>
      </c>
    </row>
    <row r="1629" spans="1:39" hidden="1" x14ac:dyDescent="0.25">
      <c r="A1629">
        <v>1625</v>
      </c>
      <c r="B1629">
        <v>53</v>
      </c>
      <c r="C1629" s="24">
        <v>44895</v>
      </c>
      <c r="D1629" s="238" t="s">
        <v>91</v>
      </c>
      <c r="E1629" s="238" t="s">
        <v>15</v>
      </c>
      <c r="F1629">
        <v>3</v>
      </c>
      <c r="G1629">
        <v>16</v>
      </c>
      <c r="H1629">
        <v>530</v>
      </c>
      <c r="I1629" s="238" t="s">
        <v>44</v>
      </c>
      <c r="J1629">
        <v>74.28</v>
      </c>
      <c r="K1629" s="238" t="s">
        <v>38</v>
      </c>
      <c r="L1629">
        <v>6495234.21</v>
      </c>
      <c r="M1629">
        <v>0</v>
      </c>
      <c r="N1629">
        <v>6495234.21</v>
      </c>
      <c r="O1629">
        <v>87442.571486268178</v>
      </c>
      <c r="P1629">
        <v>1634159.9999999981</v>
      </c>
      <c r="Q1629">
        <v>4861074.2100000018</v>
      </c>
      <c r="R1629">
        <v>65442.5714862682</v>
      </c>
      <c r="S1629" s="238" t="s">
        <v>137</v>
      </c>
      <c r="T1629" s="238" t="s">
        <v>3733</v>
      </c>
      <c r="U1629">
        <v>422702.11</v>
      </c>
      <c r="V1629" t="s">
        <v>4091</v>
      </c>
      <c r="W1629" s="24">
        <v>44893</v>
      </c>
      <c r="X1629" s="238" t="s">
        <v>3811</v>
      </c>
      <c r="Y1629" s="238" t="s">
        <v>39</v>
      </c>
      <c r="Z1629" s="238" t="s">
        <v>1340</v>
      </c>
      <c r="AA1629" t="s">
        <v>3113</v>
      </c>
      <c r="AB1629" s="238" t="s">
        <v>3246</v>
      </c>
      <c r="AC1629" t="s">
        <v>3079</v>
      </c>
      <c r="AD1629" s="24"/>
      <c r="AE1629" s="238" t="s">
        <v>3812</v>
      </c>
      <c r="AF1629">
        <v>79171415140</v>
      </c>
      <c r="AG1629" s="238" t="s">
        <v>3813</v>
      </c>
      <c r="AH1629" s="238" t="s">
        <v>1171</v>
      </c>
      <c r="AI1629" s="238" t="s">
        <v>135</v>
      </c>
      <c r="AJ1629" s="238" t="s">
        <v>130</v>
      </c>
      <c r="AK1629" s="238" t="s">
        <v>141</v>
      </c>
      <c r="AL1629" t="s">
        <v>8715</v>
      </c>
      <c r="AM1629" t="s">
        <v>3663</v>
      </c>
    </row>
    <row r="1630" spans="1:39" hidden="1" x14ac:dyDescent="0.25">
      <c r="A1630">
        <v>1626</v>
      </c>
      <c r="B1630">
        <v>1</v>
      </c>
      <c r="C1630" s="24">
        <v>44897</v>
      </c>
      <c r="D1630" s="238" t="s">
        <v>91</v>
      </c>
      <c r="E1630" s="238" t="s">
        <v>16</v>
      </c>
      <c r="F1630">
        <v>3</v>
      </c>
      <c r="G1630">
        <v>10</v>
      </c>
      <c r="H1630">
        <v>299</v>
      </c>
      <c r="I1630" s="238" t="s">
        <v>4052</v>
      </c>
      <c r="J1630">
        <v>36.450000000000003</v>
      </c>
      <c r="K1630" s="238" t="s">
        <v>36</v>
      </c>
      <c r="L1630">
        <v>2922694.41</v>
      </c>
      <c r="M1630">
        <v>0</v>
      </c>
      <c r="N1630">
        <v>2922694.41</v>
      </c>
      <c r="O1630">
        <v>80183.66008230453</v>
      </c>
      <c r="P1630">
        <v>0</v>
      </c>
      <c r="Q1630">
        <v>2922694.41</v>
      </c>
      <c r="R1630">
        <v>80183.66008230453</v>
      </c>
      <c r="S1630" s="238" t="s">
        <v>124</v>
      </c>
      <c r="T1630" s="238" t="s">
        <v>1167</v>
      </c>
      <c r="V1630" t="s">
        <v>1167</v>
      </c>
      <c r="W1630" s="24">
        <v>44894</v>
      </c>
      <c r="X1630" s="238" t="s">
        <v>3814</v>
      </c>
      <c r="Y1630" s="238" t="s">
        <v>1172</v>
      </c>
      <c r="Z1630" s="238" t="s">
        <v>1340</v>
      </c>
      <c r="AA1630" t="s">
        <v>3113</v>
      </c>
      <c r="AB1630" s="238" t="s">
        <v>3246</v>
      </c>
      <c r="AC1630" t="s">
        <v>1167</v>
      </c>
      <c r="AD1630" s="24">
        <v>45436</v>
      </c>
      <c r="AE1630" s="238" t="s">
        <v>3815</v>
      </c>
      <c r="AF1630">
        <v>79376526594</v>
      </c>
      <c r="AG1630" s="238" t="s">
        <v>3816</v>
      </c>
      <c r="AH1630" s="238" t="s">
        <v>1212</v>
      </c>
      <c r="AI1630" s="238" t="s">
        <v>135</v>
      </c>
      <c r="AJ1630" s="238" t="s">
        <v>399</v>
      </c>
      <c r="AK1630" s="238" t="s">
        <v>1167</v>
      </c>
      <c r="AL1630" t="s">
        <v>8715</v>
      </c>
      <c r="AM1630" t="s">
        <v>1167</v>
      </c>
    </row>
    <row r="1631" spans="1:39" hidden="1" x14ac:dyDescent="0.25">
      <c r="A1631">
        <v>1627</v>
      </c>
      <c r="B1631">
        <v>2</v>
      </c>
      <c r="C1631" s="24">
        <v>44900</v>
      </c>
      <c r="D1631" s="238" t="s">
        <v>91</v>
      </c>
      <c r="E1631" s="238" t="s">
        <v>6</v>
      </c>
      <c r="F1631">
        <v>3</v>
      </c>
      <c r="G1631">
        <v>5</v>
      </c>
      <c r="H1631">
        <v>27</v>
      </c>
      <c r="I1631" s="238" t="s">
        <v>42</v>
      </c>
      <c r="J1631">
        <v>35.54</v>
      </c>
      <c r="K1631" s="238" t="s">
        <v>37</v>
      </c>
      <c r="L1631">
        <v>3176469.6</v>
      </c>
      <c r="M1631">
        <v>0</v>
      </c>
      <c r="N1631">
        <v>3176469.6</v>
      </c>
      <c r="O1631">
        <v>89377.310073157016</v>
      </c>
      <c r="P1631">
        <v>266550.00000000047</v>
      </c>
      <c r="Q1631">
        <v>2909919.5999999996</v>
      </c>
      <c r="R1631">
        <v>81877.310073157001</v>
      </c>
      <c r="S1631" s="238" t="s">
        <v>124</v>
      </c>
      <c r="T1631" s="238" t="s">
        <v>1167</v>
      </c>
      <c r="V1631" t="s">
        <v>1167</v>
      </c>
      <c r="W1631" s="24">
        <v>44895</v>
      </c>
      <c r="X1631" s="238" t="s">
        <v>3819</v>
      </c>
      <c r="Y1631" s="238" t="s">
        <v>39</v>
      </c>
      <c r="Z1631" s="238" t="s">
        <v>1340</v>
      </c>
      <c r="AA1631" t="s">
        <v>3113</v>
      </c>
      <c r="AB1631" s="238" t="s">
        <v>3246</v>
      </c>
      <c r="AC1631" t="s">
        <v>1167</v>
      </c>
      <c r="AD1631" s="24"/>
      <c r="AE1631" s="238" t="s">
        <v>3820</v>
      </c>
      <c r="AF1631">
        <v>79276555534</v>
      </c>
      <c r="AG1631" s="238" t="s">
        <v>3821</v>
      </c>
      <c r="AH1631" s="238" t="s">
        <v>1212</v>
      </c>
      <c r="AI1631" s="238" t="s">
        <v>3074</v>
      </c>
      <c r="AJ1631" s="238" t="s">
        <v>130</v>
      </c>
      <c r="AK1631" s="238" t="s">
        <v>1167</v>
      </c>
      <c r="AL1631" t="s">
        <v>8715</v>
      </c>
      <c r="AM1631" t="s">
        <v>1167</v>
      </c>
    </row>
    <row r="1632" spans="1:39" hidden="1" x14ac:dyDescent="0.25">
      <c r="A1632">
        <v>1628</v>
      </c>
      <c r="B1632">
        <v>3</v>
      </c>
      <c r="C1632" s="24">
        <v>44900</v>
      </c>
      <c r="D1632" s="238" t="s">
        <v>91</v>
      </c>
      <c r="E1632" s="238" t="s">
        <v>16</v>
      </c>
      <c r="F1632">
        <v>4</v>
      </c>
      <c r="G1632">
        <v>15</v>
      </c>
      <c r="H1632">
        <v>335</v>
      </c>
      <c r="I1632" s="238" t="s">
        <v>43</v>
      </c>
      <c r="J1632">
        <v>58.55</v>
      </c>
      <c r="K1632" s="238" t="s">
        <v>36</v>
      </c>
      <c r="L1632">
        <v>4209734.96</v>
      </c>
      <c r="M1632">
        <v>0</v>
      </c>
      <c r="N1632">
        <v>4209734.96</v>
      </c>
      <c r="O1632">
        <v>71899.82852263024</v>
      </c>
      <c r="P1632">
        <v>0</v>
      </c>
      <c r="Q1632">
        <v>4209734.96</v>
      </c>
      <c r="R1632">
        <v>71899.82852263024</v>
      </c>
      <c r="S1632" s="238" t="s">
        <v>137</v>
      </c>
      <c r="T1632" s="238" t="s">
        <v>3540</v>
      </c>
      <c r="U1632">
        <v>221565</v>
      </c>
      <c r="V1632" t="s">
        <v>4091</v>
      </c>
      <c r="W1632" s="24">
        <v>44895</v>
      </c>
      <c r="X1632" s="238" t="s">
        <v>3822</v>
      </c>
      <c r="Y1632" s="238" t="s">
        <v>39</v>
      </c>
      <c r="Z1632" s="238" t="s">
        <v>1340</v>
      </c>
      <c r="AA1632" t="s">
        <v>3113</v>
      </c>
      <c r="AB1632" s="238" t="s">
        <v>3246</v>
      </c>
      <c r="AC1632" t="s">
        <v>3079</v>
      </c>
      <c r="AD1632" s="24"/>
      <c r="AE1632" s="238" t="s">
        <v>3823</v>
      </c>
      <c r="AF1632">
        <v>79297061665</v>
      </c>
      <c r="AG1632" s="238" t="s">
        <v>3824</v>
      </c>
      <c r="AH1632" s="238" t="s">
        <v>1212</v>
      </c>
      <c r="AI1632" s="238" t="s">
        <v>3074</v>
      </c>
      <c r="AJ1632" s="238" t="s">
        <v>399</v>
      </c>
      <c r="AK1632" s="238" t="s">
        <v>141</v>
      </c>
      <c r="AL1632" t="s">
        <v>8715</v>
      </c>
      <c r="AM1632" t="s">
        <v>3663</v>
      </c>
    </row>
    <row r="1633" spans="1:39" hidden="1" x14ac:dyDescent="0.25">
      <c r="A1633">
        <v>1629</v>
      </c>
      <c r="B1633">
        <v>4</v>
      </c>
      <c r="C1633" s="24">
        <v>44903</v>
      </c>
      <c r="D1633" s="238" t="s">
        <v>91</v>
      </c>
      <c r="E1633" s="238" t="s">
        <v>15</v>
      </c>
      <c r="F1633">
        <v>4</v>
      </c>
      <c r="G1633">
        <v>11</v>
      </c>
      <c r="H1633">
        <v>486</v>
      </c>
      <c r="I1633" s="238" t="s">
        <v>42</v>
      </c>
      <c r="J1633">
        <v>36.5</v>
      </c>
      <c r="K1633" s="238" t="s">
        <v>37</v>
      </c>
      <c r="L1633">
        <v>3127050.67</v>
      </c>
      <c r="M1633">
        <v>0</v>
      </c>
      <c r="N1633">
        <v>3127050.67</v>
      </c>
      <c r="O1633">
        <v>85672.621095890412</v>
      </c>
      <c r="P1633">
        <v>146000</v>
      </c>
      <c r="Q1633">
        <v>2981050.67</v>
      </c>
      <c r="R1633">
        <v>81672.621095890412</v>
      </c>
      <c r="S1633" s="238" t="s">
        <v>137</v>
      </c>
      <c r="T1633" s="238" t="s">
        <v>3540</v>
      </c>
      <c r="U1633">
        <v>156897.40349999999</v>
      </c>
      <c r="V1633" t="s">
        <v>4091</v>
      </c>
      <c r="W1633" s="24">
        <v>44899</v>
      </c>
      <c r="X1633" s="238" t="s">
        <v>3825</v>
      </c>
      <c r="Y1633" s="238" t="s">
        <v>39</v>
      </c>
      <c r="Z1633" s="238" t="s">
        <v>1340</v>
      </c>
      <c r="AA1633" t="s">
        <v>3113</v>
      </c>
      <c r="AB1633" s="238" t="s">
        <v>3246</v>
      </c>
      <c r="AC1633" t="s">
        <v>3079</v>
      </c>
      <c r="AD1633" s="24"/>
      <c r="AE1633" s="238" t="s">
        <v>3826</v>
      </c>
      <c r="AF1633">
        <v>79277205561</v>
      </c>
      <c r="AG1633" s="238" t="s">
        <v>3827</v>
      </c>
      <c r="AH1633" s="238" t="s">
        <v>146</v>
      </c>
      <c r="AI1633" s="238" t="s">
        <v>135</v>
      </c>
      <c r="AJ1633" s="238" t="s">
        <v>130</v>
      </c>
      <c r="AK1633" s="238" t="s">
        <v>141</v>
      </c>
      <c r="AL1633" t="s">
        <v>8715</v>
      </c>
      <c r="AM1633" t="s">
        <v>1167</v>
      </c>
    </row>
    <row r="1634" spans="1:39" hidden="1" x14ac:dyDescent="0.25">
      <c r="A1634">
        <v>1630</v>
      </c>
      <c r="B1634">
        <v>5</v>
      </c>
      <c r="C1634" s="24">
        <v>44904</v>
      </c>
      <c r="D1634" s="238" t="s">
        <v>91</v>
      </c>
      <c r="E1634" s="238" t="s">
        <v>6</v>
      </c>
      <c r="F1634">
        <v>5</v>
      </c>
      <c r="G1634">
        <v>14</v>
      </c>
      <c r="H1634">
        <v>101</v>
      </c>
      <c r="I1634" s="238" t="s">
        <v>43</v>
      </c>
      <c r="J1634">
        <v>54.66</v>
      </c>
      <c r="K1634" s="238" t="s">
        <v>37</v>
      </c>
      <c r="L1634">
        <v>4301838.66</v>
      </c>
      <c r="M1634">
        <v>0</v>
      </c>
      <c r="N1634">
        <v>4301838.66</v>
      </c>
      <c r="O1634">
        <v>78701.76838638859</v>
      </c>
      <c r="P1634">
        <v>409949.99999999907</v>
      </c>
      <c r="Q1634">
        <v>3891888.6600000011</v>
      </c>
      <c r="R1634">
        <v>71201.768386388605</v>
      </c>
      <c r="S1634" s="238" t="s">
        <v>137</v>
      </c>
      <c r="T1634" s="238" t="s">
        <v>3540</v>
      </c>
      <c r="U1634">
        <v>204836.25</v>
      </c>
      <c r="V1634" t="s">
        <v>4091</v>
      </c>
      <c r="W1634" s="24">
        <v>44895</v>
      </c>
      <c r="X1634" s="238" t="s">
        <v>3828</v>
      </c>
      <c r="Y1634" s="238" t="s">
        <v>39</v>
      </c>
      <c r="Z1634" s="238" t="s">
        <v>1340</v>
      </c>
      <c r="AA1634" t="s">
        <v>3113</v>
      </c>
      <c r="AB1634" s="238" t="s">
        <v>3246</v>
      </c>
      <c r="AC1634" t="s">
        <v>3079</v>
      </c>
      <c r="AD1634" s="24"/>
      <c r="AE1634" s="238" t="s">
        <v>3829</v>
      </c>
      <c r="AF1634">
        <v>79639159682</v>
      </c>
      <c r="AG1634" s="238" t="s">
        <v>3830</v>
      </c>
      <c r="AH1634" s="238" t="s">
        <v>1171</v>
      </c>
      <c r="AI1634" s="238" t="s">
        <v>3074</v>
      </c>
      <c r="AJ1634" s="238" t="s">
        <v>130</v>
      </c>
      <c r="AK1634" s="238" t="s">
        <v>3345</v>
      </c>
      <c r="AL1634" t="s">
        <v>8715</v>
      </c>
      <c r="AM1634" t="s">
        <v>3663</v>
      </c>
    </row>
    <row r="1635" spans="1:39" hidden="1" x14ac:dyDescent="0.25">
      <c r="A1635">
        <v>1631</v>
      </c>
      <c r="B1635">
        <v>6</v>
      </c>
      <c r="C1635" s="24">
        <v>44904</v>
      </c>
      <c r="D1635" s="238" t="s">
        <v>91</v>
      </c>
      <c r="E1635" s="238" t="s">
        <v>5</v>
      </c>
      <c r="F1635">
        <v>3</v>
      </c>
      <c r="G1635">
        <v>4</v>
      </c>
      <c r="H1635">
        <v>139</v>
      </c>
      <c r="I1635" s="238" t="s">
        <v>42</v>
      </c>
      <c r="J1635">
        <v>35.380000000000003</v>
      </c>
      <c r="K1635" s="238" t="s">
        <v>36</v>
      </c>
      <c r="L1635">
        <v>3071480.38</v>
      </c>
      <c r="M1635">
        <v>0</v>
      </c>
      <c r="N1635">
        <v>3071480.38</v>
      </c>
      <c r="O1635">
        <v>86814.029960429616</v>
      </c>
      <c r="P1635">
        <v>0</v>
      </c>
      <c r="Q1635">
        <v>3071480.38</v>
      </c>
      <c r="R1635">
        <v>86814.029960429616</v>
      </c>
      <c r="S1635" s="238" t="s">
        <v>124</v>
      </c>
      <c r="T1635" s="238" t="s">
        <v>1167</v>
      </c>
      <c r="V1635" t="s">
        <v>1167</v>
      </c>
      <c r="W1635" s="24">
        <v>44899</v>
      </c>
      <c r="X1635" s="238" t="s">
        <v>3831</v>
      </c>
      <c r="Y1635" s="238" t="s">
        <v>39</v>
      </c>
      <c r="Z1635" s="238" t="s">
        <v>1340</v>
      </c>
      <c r="AA1635" t="s">
        <v>3113</v>
      </c>
      <c r="AB1635" s="238" t="s">
        <v>3246</v>
      </c>
      <c r="AC1635" t="s">
        <v>1167</v>
      </c>
      <c r="AD1635" s="24"/>
      <c r="AE1635" s="238" t="s">
        <v>3832</v>
      </c>
      <c r="AF1635">
        <v>79608257283</v>
      </c>
      <c r="AG1635" s="238" t="s">
        <v>3833</v>
      </c>
      <c r="AH1635" s="238" t="s">
        <v>1212</v>
      </c>
      <c r="AI1635" s="238" t="s">
        <v>135</v>
      </c>
      <c r="AJ1635" s="238" t="s">
        <v>399</v>
      </c>
      <c r="AK1635" s="238" t="s">
        <v>1167</v>
      </c>
      <c r="AL1635" t="s">
        <v>8715</v>
      </c>
      <c r="AM1635" t="s">
        <v>1167</v>
      </c>
    </row>
    <row r="1636" spans="1:39" hidden="1" x14ac:dyDescent="0.25">
      <c r="A1636">
        <v>1632</v>
      </c>
      <c r="B1636">
        <v>7</v>
      </c>
      <c r="C1636" s="24">
        <v>44907</v>
      </c>
      <c r="D1636" s="238" t="s">
        <v>91</v>
      </c>
      <c r="E1636" s="238" t="s">
        <v>6</v>
      </c>
      <c r="F1636">
        <v>7</v>
      </c>
      <c r="G1636">
        <v>7</v>
      </c>
      <c r="H1636">
        <v>47</v>
      </c>
      <c r="I1636" s="238" t="s">
        <v>4052</v>
      </c>
      <c r="J1636">
        <v>21.75</v>
      </c>
      <c r="K1636" s="238" t="s">
        <v>37</v>
      </c>
      <c r="L1636">
        <v>1900063.69</v>
      </c>
      <c r="M1636">
        <v>0</v>
      </c>
      <c r="N1636">
        <v>1900063.69</v>
      </c>
      <c r="O1636">
        <v>87359.250114942522</v>
      </c>
      <c r="P1636">
        <v>87000</v>
      </c>
      <c r="Q1636">
        <v>1813063.69</v>
      </c>
      <c r="R1636">
        <v>83359.250114942522</v>
      </c>
      <c r="S1636" s="238" t="s">
        <v>137</v>
      </c>
      <c r="T1636" s="238" t="s">
        <v>1167</v>
      </c>
      <c r="V1636" t="s">
        <v>4092</v>
      </c>
      <c r="W1636" s="24">
        <v>44901</v>
      </c>
      <c r="X1636" s="238" t="s">
        <v>3834</v>
      </c>
      <c r="Y1636" s="238" t="s">
        <v>39</v>
      </c>
      <c r="Z1636" s="238" t="s">
        <v>1340</v>
      </c>
      <c r="AA1636" t="s">
        <v>3113</v>
      </c>
      <c r="AB1636" s="238" t="s">
        <v>3246</v>
      </c>
      <c r="AC1636" t="s">
        <v>3079</v>
      </c>
      <c r="AD1636" s="24"/>
      <c r="AE1636" s="238" t="s">
        <v>3835</v>
      </c>
      <c r="AF1636">
        <v>79608102138</v>
      </c>
      <c r="AG1636" s="238" t="s">
        <v>3836</v>
      </c>
      <c r="AH1636" s="238" t="s">
        <v>146</v>
      </c>
      <c r="AI1636" s="238" t="s">
        <v>135</v>
      </c>
      <c r="AJ1636" s="238" t="s">
        <v>399</v>
      </c>
      <c r="AK1636" s="238" t="s">
        <v>141</v>
      </c>
      <c r="AL1636" t="s">
        <v>8715</v>
      </c>
      <c r="AM1636" t="s">
        <v>1167</v>
      </c>
    </row>
    <row r="1637" spans="1:39" hidden="1" x14ac:dyDescent="0.25">
      <c r="A1637">
        <v>1633</v>
      </c>
      <c r="B1637">
        <v>8</v>
      </c>
      <c r="C1637" s="24">
        <v>44908</v>
      </c>
      <c r="D1637" s="238" t="s">
        <v>91</v>
      </c>
      <c r="E1637" s="238" t="s">
        <v>5</v>
      </c>
      <c r="F1637">
        <v>7</v>
      </c>
      <c r="G1637">
        <v>4</v>
      </c>
      <c r="H1637">
        <v>143</v>
      </c>
      <c r="I1637" s="238" t="s">
        <v>44</v>
      </c>
      <c r="J1637">
        <v>78.73</v>
      </c>
      <c r="K1637" s="238" t="s">
        <v>36</v>
      </c>
      <c r="L1637">
        <v>5418827.2199999997</v>
      </c>
      <c r="M1637">
        <v>0</v>
      </c>
      <c r="N1637">
        <v>5418827.2199999997</v>
      </c>
      <c r="O1637">
        <v>68827.984504001011</v>
      </c>
      <c r="P1637">
        <v>0</v>
      </c>
      <c r="Q1637">
        <v>5418827.2199999997</v>
      </c>
      <c r="R1637">
        <v>68827.984504001011</v>
      </c>
      <c r="S1637" s="238" t="s">
        <v>137</v>
      </c>
      <c r="T1637" s="238" t="s">
        <v>3540</v>
      </c>
      <c r="U1637">
        <v>285201.43</v>
      </c>
      <c r="V1637" t="s">
        <v>4091</v>
      </c>
      <c r="W1637" s="24">
        <v>44897</v>
      </c>
      <c r="X1637" s="238" t="s">
        <v>3837</v>
      </c>
      <c r="Y1637" s="238" t="s">
        <v>39</v>
      </c>
      <c r="Z1637" s="238" t="s">
        <v>1340</v>
      </c>
      <c r="AA1637" t="s">
        <v>3113</v>
      </c>
      <c r="AB1637" s="238" t="s">
        <v>3246</v>
      </c>
      <c r="AC1637" t="s">
        <v>3079</v>
      </c>
      <c r="AD1637" s="24"/>
      <c r="AE1637" s="238" t="s">
        <v>3838</v>
      </c>
      <c r="AF1637">
        <v>79619369949</v>
      </c>
      <c r="AG1637" s="238" t="s">
        <v>3839</v>
      </c>
      <c r="AH1637" s="238" t="s">
        <v>135</v>
      </c>
      <c r="AI1637" s="238" t="s">
        <v>3075</v>
      </c>
      <c r="AJ1637" s="238" t="s">
        <v>399</v>
      </c>
      <c r="AK1637" s="238" t="s">
        <v>141</v>
      </c>
      <c r="AL1637" t="s">
        <v>8715</v>
      </c>
      <c r="AM1637" t="s">
        <v>3663</v>
      </c>
    </row>
    <row r="1638" spans="1:39" hidden="1" x14ac:dyDescent="0.25">
      <c r="A1638">
        <v>1634</v>
      </c>
      <c r="B1638">
        <v>9</v>
      </c>
      <c r="C1638" s="24">
        <v>44909</v>
      </c>
      <c r="D1638" s="238" t="s">
        <v>91</v>
      </c>
      <c r="E1638" s="238" t="s">
        <v>6</v>
      </c>
      <c r="F1638">
        <v>2</v>
      </c>
      <c r="G1638">
        <v>5</v>
      </c>
      <c r="H1638">
        <v>26</v>
      </c>
      <c r="I1638" s="238" t="s">
        <v>43</v>
      </c>
      <c r="J1638">
        <v>61.76</v>
      </c>
      <c r="K1638" s="238" t="s">
        <v>38</v>
      </c>
      <c r="L1638">
        <v>5366933.41</v>
      </c>
      <c r="M1638">
        <v>0</v>
      </c>
      <c r="N1638">
        <v>5366933.41</v>
      </c>
      <c r="O1638">
        <v>86899.82852979275</v>
      </c>
      <c r="P1638">
        <v>926400</v>
      </c>
      <c r="Q1638">
        <v>4440533.41</v>
      </c>
      <c r="R1638">
        <v>71899.82852979275</v>
      </c>
      <c r="S1638" s="238" t="s">
        <v>137</v>
      </c>
      <c r="T1638" s="238" t="s">
        <v>3540</v>
      </c>
      <c r="U1638">
        <v>233712.28</v>
      </c>
      <c r="V1638" t="s">
        <v>4091</v>
      </c>
      <c r="W1638" s="24">
        <v>44901</v>
      </c>
      <c r="X1638" s="238" t="s">
        <v>3840</v>
      </c>
      <c r="Y1638" s="238" t="s">
        <v>39</v>
      </c>
      <c r="Z1638" s="238" t="s">
        <v>1340</v>
      </c>
      <c r="AA1638" t="s">
        <v>3113</v>
      </c>
      <c r="AB1638" s="238" t="s">
        <v>3246</v>
      </c>
      <c r="AC1638" t="s">
        <v>3079</v>
      </c>
      <c r="AD1638" s="24"/>
      <c r="AE1638" s="238" t="s">
        <v>3841</v>
      </c>
      <c r="AF1638">
        <v>79228896697</v>
      </c>
      <c r="AG1638" s="238" t="s">
        <v>3842</v>
      </c>
      <c r="AH1638" s="238" t="s">
        <v>1171</v>
      </c>
      <c r="AI1638" s="238" t="s">
        <v>3074</v>
      </c>
      <c r="AJ1638" s="238" t="s">
        <v>399</v>
      </c>
      <c r="AK1638" s="238" t="s">
        <v>141</v>
      </c>
      <c r="AL1638" t="s">
        <v>8715</v>
      </c>
      <c r="AM1638" t="s">
        <v>3663</v>
      </c>
    </row>
    <row r="1639" spans="1:39" hidden="1" x14ac:dyDescent="0.25">
      <c r="A1639">
        <v>1635</v>
      </c>
      <c r="B1639">
        <v>10</v>
      </c>
      <c r="C1639" s="24">
        <v>44910</v>
      </c>
      <c r="D1639" s="238" t="s">
        <v>27</v>
      </c>
      <c r="E1639" s="238" t="s">
        <v>6</v>
      </c>
      <c r="F1639">
        <v>4</v>
      </c>
      <c r="G1639">
        <v>5</v>
      </c>
      <c r="H1639">
        <v>31</v>
      </c>
      <c r="I1639" s="238" t="s">
        <v>4052</v>
      </c>
      <c r="J1639">
        <v>24.39</v>
      </c>
      <c r="K1639" s="238" t="s">
        <v>36</v>
      </c>
      <c r="L1639">
        <v>2266240.7999999998</v>
      </c>
      <c r="M1639">
        <v>0</v>
      </c>
      <c r="N1639">
        <v>2266240.7999999998</v>
      </c>
      <c r="O1639">
        <v>92916.801968019674</v>
      </c>
      <c r="P1639">
        <v>0</v>
      </c>
      <c r="Q1639">
        <v>2266240.7999999998</v>
      </c>
      <c r="R1639">
        <v>92916.801968019674</v>
      </c>
      <c r="S1639" s="238" t="s">
        <v>137</v>
      </c>
      <c r="T1639" s="238" t="s">
        <v>3540</v>
      </c>
      <c r="U1639">
        <v>119275.83</v>
      </c>
      <c r="V1639" t="s">
        <v>4091</v>
      </c>
      <c r="W1639" s="24">
        <v>44901</v>
      </c>
      <c r="X1639" s="238" t="s">
        <v>3843</v>
      </c>
      <c r="Y1639" s="238" t="s">
        <v>39</v>
      </c>
      <c r="Z1639" s="238" t="s">
        <v>1340</v>
      </c>
      <c r="AA1639" t="s">
        <v>3113</v>
      </c>
      <c r="AB1639" s="238" t="s">
        <v>3246</v>
      </c>
      <c r="AC1639" t="s">
        <v>3079</v>
      </c>
      <c r="AD1639" s="24"/>
      <c r="AE1639" s="238" t="s">
        <v>2179</v>
      </c>
      <c r="AF1639">
        <v>79226002069</v>
      </c>
      <c r="AG1639" s="238" t="s">
        <v>2180</v>
      </c>
      <c r="AH1639" s="238" t="s">
        <v>1212</v>
      </c>
      <c r="AI1639" s="238" t="s">
        <v>3082</v>
      </c>
      <c r="AJ1639" s="238" t="s">
        <v>399</v>
      </c>
      <c r="AK1639" s="238" t="s">
        <v>141</v>
      </c>
      <c r="AL1639" t="s">
        <v>8715</v>
      </c>
      <c r="AM1639" t="s">
        <v>1167</v>
      </c>
    </row>
    <row r="1640" spans="1:39" hidden="1" x14ac:dyDescent="0.25">
      <c r="A1640">
        <v>1636</v>
      </c>
      <c r="B1640">
        <v>11</v>
      </c>
      <c r="C1640" s="24">
        <v>44910</v>
      </c>
      <c r="D1640" s="238" t="s">
        <v>19</v>
      </c>
      <c r="E1640" s="238" t="s">
        <v>5</v>
      </c>
      <c r="F1640">
        <v>3</v>
      </c>
      <c r="G1640">
        <v>3</v>
      </c>
      <c r="H1640">
        <v>175</v>
      </c>
      <c r="I1640" s="238" t="s">
        <v>44</v>
      </c>
      <c r="J1640">
        <v>88.3</v>
      </c>
      <c r="K1640" s="238" t="s">
        <v>36</v>
      </c>
      <c r="L1640">
        <v>6419762.3200000003</v>
      </c>
      <c r="M1640">
        <v>0</v>
      </c>
      <c r="N1640">
        <v>6419762.3200000003</v>
      </c>
      <c r="O1640">
        <v>72703.990033975089</v>
      </c>
      <c r="P1640">
        <v>0</v>
      </c>
      <c r="Q1640">
        <v>6419762.3200000003</v>
      </c>
      <c r="R1640">
        <v>72703.990033975089</v>
      </c>
      <c r="S1640" s="238" t="s">
        <v>137</v>
      </c>
      <c r="T1640" s="238" t="s">
        <v>3540</v>
      </c>
      <c r="U1640">
        <v>337882.23</v>
      </c>
      <c r="V1640" t="s">
        <v>4092</v>
      </c>
      <c r="W1640" s="24">
        <v>44901</v>
      </c>
      <c r="X1640" s="238" t="s">
        <v>3844</v>
      </c>
      <c r="Y1640" s="238" t="s">
        <v>39</v>
      </c>
      <c r="Z1640" s="238" t="s">
        <v>1340</v>
      </c>
      <c r="AA1640" t="s">
        <v>3474</v>
      </c>
      <c r="AB1640" s="238" t="s">
        <v>3124</v>
      </c>
      <c r="AC1640" t="s">
        <v>3077</v>
      </c>
      <c r="AD1640" s="24"/>
      <c r="AE1640" s="238" t="s">
        <v>3845</v>
      </c>
      <c r="AF1640">
        <v>79179430272</v>
      </c>
      <c r="AG1640" s="238" t="s">
        <v>3846</v>
      </c>
      <c r="AH1640" s="238" t="s">
        <v>146</v>
      </c>
      <c r="AI1640" s="238" t="s">
        <v>135</v>
      </c>
      <c r="AJ1640" s="238" t="s">
        <v>399</v>
      </c>
      <c r="AK1640" s="238" t="s">
        <v>3345</v>
      </c>
      <c r="AL1640" t="s">
        <v>8715</v>
      </c>
      <c r="AM1640" t="s">
        <v>1167</v>
      </c>
    </row>
    <row r="1641" spans="1:39" hidden="1" x14ac:dyDescent="0.25">
      <c r="A1641">
        <v>1637</v>
      </c>
      <c r="B1641">
        <v>12</v>
      </c>
      <c r="C1641" s="24">
        <v>44910</v>
      </c>
      <c r="D1641" s="238" t="s">
        <v>91</v>
      </c>
      <c r="E1641" s="238" t="s">
        <v>16</v>
      </c>
      <c r="F1641">
        <v>1</v>
      </c>
      <c r="G1641">
        <v>14</v>
      </c>
      <c r="H1641">
        <v>325</v>
      </c>
      <c r="I1641" s="238" t="s">
        <v>4052</v>
      </c>
      <c r="J1641">
        <v>29.35</v>
      </c>
      <c r="K1641" s="238" t="s">
        <v>36</v>
      </c>
      <c r="L1641">
        <v>2446593.9900000002</v>
      </c>
      <c r="M1641">
        <v>0</v>
      </c>
      <c r="N1641">
        <v>2446593.9900000002</v>
      </c>
      <c r="O1641">
        <v>83359.250085178879</v>
      </c>
      <c r="P1641">
        <v>0</v>
      </c>
      <c r="Q1641">
        <v>2446593.9900000002</v>
      </c>
      <c r="R1641">
        <v>83359.250085178879</v>
      </c>
      <c r="S1641" s="238" t="s">
        <v>137</v>
      </c>
      <c r="T1641" s="238" t="s">
        <v>1167</v>
      </c>
      <c r="V1641" t="s">
        <v>4091</v>
      </c>
      <c r="W1641" s="24">
        <v>44907</v>
      </c>
      <c r="X1641" s="238" t="s">
        <v>3847</v>
      </c>
      <c r="Y1641" s="238" t="s">
        <v>39</v>
      </c>
      <c r="Z1641" s="238" t="s">
        <v>1340</v>
      </c>
      <c r="AA1641" t="s">
        <v>3113</v>
      </c>
      <c r="AB1641" s="238" t="s">
        <v>3246</v>
      </c>
      <c r="AC1641" t="s">
        <v>3079</v>
      </c>
      <c r="AD1641" s="24"/>
      <c r="AE1641" s="238" t="s">
        <v>3848</v>
      </c>
      <c r="AF1641">
        <v>79277168910</v>
      </c>
      <c r="AG1641" s="238" t="s">
        <v>3849</v>
      </c>
      <c r="AH1641" s="238" t="s">
        <v>146</v>
      </c>
      <c r="AI1641" s="238" t="s">
        <v>135</v>
      </c>
      <c r="AJ1641" s="238" t="s">
        <v>399</v>
      </c>
      <c r="AK1641" s="238" t="s">
        <v>3345</v>
      </c>
      <c r="AL1641" t="s">
        <v>8715</v>
      </c>
      <c r="AM1641" t="s">
        <v>1167</v>
      </c>
    </row>
    <row r="1642" spans="1:39" hidden="1" x14ac:dyDescent="0.25">
      <c r="A1642">
        <v>1638</v>
      </c>
      <c r="B1642">
        <v>13</v>
      </c>
      <c r="C1642" s="24">
        <v>44910</v>
      </c>
      <c r="D1642" s="238" t="s">
        <v>91</v>
      </c>
      <c r="E1642" s="238" t="s">
        <v>5</v>
      </c>
      <c r="F1642">
        <v>1</v>
      </c>
      <c r="G1642">
        <v>9</v>
      </c>
      <c r="H1642">
        <v>177</v>
      </c>
      <c r="I1642" s="238" t="s">
        <v>4052</v>
      </c>
      <c r="J1642">
        <v>28.97</v>
      </c>
      <c r="K1642" s="238" t="s">
        <v>37</v>
      </c>
      <c r="L1642">
        <v>2530797.4700000002</v>
      </c>
      <c r="M1642">
        <v>0</v>
      </c>
      <c r="N1642">
        <v>2530797.4700000002</v>
      </c>
      <c r="O1642">
        <v>87359.249913703839</v>
      </c>
      <c r="P1642">
        <v>115880</v>
      </c>
      <c r="Q1642">
        <v>2414917.4700000002</v>
      </c>
      <c r="R1642">
        <v>83359.249913703839</v>
      </c>
      <c r="S1642" s="238" t="s">
        <v>124</v>
      </c>
      <c r="T1642" s="238" t="s">
        <v>1167</v>
      </c>
      <c r="V1642" t="s">
        <v>1167</v>
      </c>
      <c r="W1642" s="24">
        <v>44908</v>
      </c>
      <c r="X1642" s="238" t="s">
        <v>3850</v>
      </c>
      <c r="Y1642" s="238" t="s">
        <v>39</v>
      </c>
      <c r="Z1642" s="238" t="s">
        <v>1340</v>
      </c>
      <c r="AA1642" t="s">
        <v>3113</v>
      </c>
      <c r="AB1642" s="238" t="s">
        <v>3246</v>
      </c>
      <c r="AC1642" t="s">
        <v>1167</v>
      </c>
      <c r="AD1642" s="24"/>
      <c r="AE1642" s="238" t="s">
        <v>3851</v>
      </c>
      <c r="AF1642">
        <v>79397180402</v>
      </c>
      <c r="AG1642" s="238" t="s">
        <v>3852</v>
      </c>
      <c r="AH1642" s="238" t="s">
        <v>1171</v>
      </c>
      <c r="AI1642" s="238" t="s">
        <v>135</v>
      </c>
      <c r="AJ1642" s="238" t="s">
        <v>130</v>
      </c>
      <c r="AK1642" s="238" t="s">
        <v>1167</v>
      </c>
      <c r="AL1642" t="s">
        <v>8715</v>
      </c>
      <c r="AM1642" t="s">
        <v>1167</v>
      </c>
    </row>
    <row r="1643" spans="1:39" hidden="1" x14ac:dyDescent="0.25">
      <c r="A1643">
        <v>1639</v>
      </c>
      <c r="B1643">
        <v>14</v>
      </c>
      <c r="C1643" s="24">
        <v>44911</v>
      </c>
      <c r="D1643" s="238" t="s">
        <v>91</v>
      </c>
      <c r="E1643" s="238" t="s">
        <v>15</v>
      </c>
      <c r="F1643">
        <v>6</v>
      </c>
      <c r="G1643">
        <v>10</v>
      </c>
      <c r="H1643">
        <v>479</v>
      </c>
      <c r="I1643" s="238" t="s">
        <v>43</v>
      </c>
      <c r="J1643">
        <v>58.62</v>
      </c>
      <c r="K1643" s="238" t="s">
        <v>38</v>
      </c>
      <c r="L1643">
        <v>5114584.95</v>
      </c>
      <c r="M1643">
        <v>0</v>
      </c>
      <c r="N1643">
        <v>5114584.95</v>
      </c>
      <c r="O1643">
        <v>87249.828556806562</v>
      </c>
      <c r="P1643">
        <v>879300</v>
      </c>
      <c r="Q1643">
        <v>4235284.95</v>
      </c>
      <c r="R1643">
        <v>72249.828556806562</v>
      </c>
      <c r="S1643" s="238" t="s">
        <v>137</v>
      </c>
      <c r="T1643" s="238" t="s">
        <v>3540</v>
      </c>
      <c r="U1643">
        <v>201312.89199999999</v>
      </c>
      <c r="V1643" t="s">
        <v>4091</v>
      </c>
      <c r="W1643" s="24">
        <v>44900</v>
      </c>
      <c r="X1643" s="238" t="s">
        <v>3853</v>
      </c>
      <c r="Y1643" s="238" t="s">
        <v>39</v>
      </c>
      <c r="Z1643" s="238" t="s">
        <v>1340</v>
      </c>
      <c r="AA1643" t="s">
        <v>3113</v>
      </c>
      <c r="AB1643" s="238" t="s">
        <v>3246</v>
      </c>
      <c r="AC1643" t="s">
        <v>3079</v>
      </c>
      <c r="AD1643" s="24"/>
      <c r="AE1643" s="238" t="s">
        <v>3854</v>
      </c>
      <c r="AF1643">
        <v>79178173375</v>
      </c>
      <c r="AG1643" s="238" t="s">
        <v>3855</v>
      </c>
      <c r="AH1643" s="238" t="s">
        <v>1171</v>
      </c>
      <c r="AI1643" s="238" t="s">
        <v>3084</v>
      </c>
      <c r="AJ1643" s="238" t="s">
        <v>130</v>
      </c>
      <c r="AK1643" s="238" t="s">
        <v>3345</v>
      </c>
      <c r="AL1643" t="s">
        <v>8715</v>
      </c>
      <c r="AM1643" t="s">
        <v>1167</v>
      </c>
    </row>
    <row r="1644" spans="1:39" hidden="1" x14ac:dyDescent="0.25">
      <c r="A1644">
        <v>1640</v>
      </c>
      <c r="B1644">
        <v>15</v>
      </c>
      <c r="C1644" s="24">
        <v>44911</v>
      </c>
      <c r="D1644" s="238" t="s">
        <v>91</v>
      </c>
      <c r="E1644" s="238" t="s">
        <v>5</v>
      </c>
      <c r="F1644">
        <v>4</v>
      </c>
      <c r="G1644">
        <v>8</v>
      </c>
      <c r="H1644">
        <v>172</v>
      </c>
      <c r="I1644" s="238" t="s">
        <v>42</v>
      </c>
      <c r="J1644">
        <v>37.81</v>
      </c>
      <c r="K1644" s="238" t="s">
        <v>37</v>
      </c>
      <c r="L1644">
        <v>3253400.33</v>
      </c>
      <c r="M1644">
        <v>0</v>
      </c>
      <c r="N1644">
        <v>3253400.33</v>
      </c>
      <c r="O1644">
        <v>86046.028299391692</v>
      </c>
      <c r="P1644">
        <v>283574.99999999953</v>
      </c>
      <c r="Q1644">
        <v>2969825.3300000005</v>
      </c>
      <c r="R1644">
        <v>78546.028299391706</v>
      </c>
      <c r="S1644" s="238" t="s">
        <v>137</v>
      </c>
      <c r="T1644" s="238" t="s">
        <v>3540</v>
      </c>
      <c r="U1644">
        <v>156306.5963157895</v>
      </c>
      <c r="V1644" t="s">
        <v>4091</v>
      </c>
      <c r="W1644" s="24">
        <v>44907</v>
      </c>
      <c r="X1644" s="238" t="s">
        <v>3856</v>
      </c>
      <c r="Y1644" s="238" t="s">
        <v>39</v>
      </c>
      <c r="Z1644" s="238" t="s">
        <v>1340</v>
      </c>
      <c r="AA1644" t="s">
        <v>3113</v>
      </c>
      <c r="AB1644" s="238" t="s">
        <v>3246</v>
      </c>
      <c r="AC1644" t="s">
        <v>3076</v>
      </c>
      <c r="AD1644" s="24"/>
      <c r="AE1644" s="238" t="s">
        <v>3857</v>
      </c>
      <c r="AF1644">
        <v>79277453262</v>
      </c>
      <c r="AG1644" s="238" t="s">
        <v>3858</v>
      </c>
      <c r="AH1644" s="238" t="s">
        <v>1212</v>
      </c>
      <c r="AI1644" s="238" t="s">
        <v>3094</v>
      </c>
      <c r="AJ1644" s="238" t="s">
        <v>130</v>
      </c>
      <c r="AK1644" s="238" t="s">
        <v>141</v>
      </c>
      <c r="AL1644" t="s">
        <v>8715</v>
      </c>
      <c r="AM1644" t="s">
        <v>1167</v>
      </c>
    </row>
    <row r="1645" spans="1:39" hidden="1" x14ac:dyDescent="0.25">
      <c r="A1645">
        <v>1641</v>
      </c>
      <c r="B1645">
        <v>16</v>
      </c>
      <c r="C1645" s="24">
        <v>44914</v>
      </c>
      <c r="D1645" s="238" t="s">
        <v>91</v>
      </c>
      <c r="E1645" s="238" t="s">
        <v>16</v>
      </c>
      <c r="F1645">
        <v>5</v>
      </c>
      <c r="G1645">
        <v>19</v>
      </c>
      <c r="H1645">
        <v>364</v>
      </c>
      <c r="I1645" s="238" t="s">
        <v>43</v>
      </c>
      <c r="J1645">
        <v>56.7</v>
      </c>
      <c r="K1645" s="238" t="s">
        <v>37</v>
      </c>
      <c r="L1645">
        <v>4620158.68</v>
      </c>
      <c r="M1645">
        <v>0</v>
      </c>
      <c r="N1645">
        <v>4620158.68</v>
      </c>
      <c r="O1645">
        <v>81484.280070546723</v>
      </c>
      <c r="P1645">
        <v>226800</v>
      </c>
      <c r="Q1645">
        <v>4393358.68</v>
      </c>
      <c r="R1645">
        <v>77484.280070546723</v>
      </c>
      <c r="S1645" s="238" t="s">
        <v>137</v>
      </c>
      <c r="T1645" s="238" t="s">
        <v>3540</v>
      </c>
      <c r="U1645">
        <v>231229.4</v>
      </c>
      <c r="V1645" t="s">
        <v>4091</v>
      </c>
      <c r="W1645" s="24">
        <v>44908</v>
      </c>
      <c r="X1645" s="238" t="s">
        <v>3859</v>
      </c>
      <c r="Y1645" s="238" t="s">
        <v>39</v>
      </c>
      <c r="Z1645" s="238" t="s">
        <v>1340</v>
      </c>
      <c r="AA1645" t="s">
        <v>3113</v>
      </c>
      <c r="AB1645" s="238" t="s">
        <v>3246</v>
      </c>
      <c r="AC1645" t="s">
        <v>3079</v>
      </c>
      <c r="AD1645" s="24"/>
      <c r="AE1645" s="238" t="s">
        <v>3860</v>
      </c>
      <c r="AF1645">
        <v>79125120108</v>
      </c>
      <c r="AG1645" s="238" t="s">
        <v>3861</v>
      </c>
      <c r="AH1645" s="238" t="s">
        <v>1171</v>
      </c>
      <c r="AI1645" s="238" t="s">
        <v>135</v>
      </c>
      <c r="AJ1645" s="238" t="s">
        <v>130</v>
      </c>
      <c r="AK1645" s="238" t="s">
        <v>141</v>
      </c>
      <c r="AL1645" t="s">
        <v>8715</v>
      </c>
      <c r="AM1645" t="s">
        <v>3663</v>
      </c>
    </row>
    <row r="1646" spans="1:39" hidden="1" x14ac:dyDescent="0.25">
      <c r="A1646">
        <v>1642</v>
      </c>
      <c r="B1646">
        <v>17</v>
      </c>
      <c r="C1646" s="24">
        <v>44914</v>
      </c>
      <c r="D1646" s="238" t="s">
        <v>91</v>
      </c>
      <c r="E1646" s="238" t="s">
        <v>6</v>
      </c>
      <c r="F1646">
        <v>1</v>
      </c>
      <c r="G1646">
        <v>13</v>
      </c>
      <c r="H1646">
        <v>89</v>
      </c>
      <c r="I1646" s="238" t="s">
        <v>42</v>
      </c>
      <c r="J1646">
        <v>33.53</v>
      </c>
      <c r="K1646" s="238" t="s">
        <v>38</v>
      </c>
      <c r="L1646">
        <v>3342302.57</v>
      </c>
      <c r="M1646">
        <v>15000</v>
      </c>
      <c r="N1646">
        <v>3357302.57</v>
      </c>
      <c r="O1646">
        <v>100128.32001192961</v>
      </c>
      <c r="P1646">
        <v>502950.00000000047</v>
      </c>
      <c r="Q1646">
        <v>2854352.5699999994</v>
      </c>
      <c r="R1646">
        <v>85128.320011929594</v>
      </c>
      <c r="S1646" s="238" t="s">
        <v>124</v>
      </c>
      <c r="T1646" s="238" t="s">
        <v>1167</v>
      </c>
      <c r="V1646" t="s">
        <v>1167</v>
      </c>
      <c r="W1646" s="24">
        <v>44910</v>
      </c>
      <c r="X1646" s="238" t="s">
        <v>3862</v>
      </c>
      <c r="Y1646" s="238" t="s">
        <v>39</v>
      </c>
      <c r="Z1646" s="238" t="s">
        <v>1340</v>
      </c>
      <c r="AA1646" t="s">
        <v>3113</v>
      </c>
      <c r="AB1646" s="238" t="s">
        <v>3246</v>
      </c>
      <c r="AC1646" t="s">
        <v>1167</v>
      </c>
      <c r="AD1646" s="24"/>
      <c r="AE1646" s="238" t="s">
        <v>3863</v>
      </c>
      <c r="AF1646">
        <v>79272657804</v>
      </c>
      <c r="AG1646" s="238" t="s">
        <v>3864</v>
      </c>
      <c r="AH1646" s="238" t="s">
        <v>1171</v>
      </c>
      <c r="AI1646" s="238" t="s">
        <v>3074</v>
      </c>
      <c r="AJ1646" s="238" t="s">
        <v>399</v>
      </c>
      <c r="AK1646" s="238" t="s">
        <v>1167</v>
      </c>
      <c r="AL1646" t="s">
        <v>8715</v>
      </c>
      <c r="AM1646" t="s">
        <v>1167</v>
      </c>
    </row>
    <row r="1647" spans="1:39" hidden="1" x14ac:dyDescent="0.25">
      <c r="A1647">
        <v>1643</v>
      </c>
      <c r="B1647">
        <v>18</v>
      </c>
      <c r="C1647" s="24">
        <v>44915</v>
      </c>
      <c r="D1647" s="238" t="s">
        <v>91</v>
      </c>
      <c r="E1647" s="238" t="s">
        <v>15</v>
      </c>
      <c r="F1647">
        <v>5</v>
      </c>
      <c r="G1647">
        <v>14</v>
      </c>
      <c r="H1647">
        <v>514</v>
      </c>
      <c r="I1647" s="238" t="s">
        <v>43</v>
      </c>
      <c r="J1647">
        <v>56.04</v>
      </c>
      <c r="K1647" s="238" t="s">
        <v>38</v>
      </c>
      <c r="L1647">
        <v>4791627.83</v>
      </c>
      <c r="M1647">
        <v>0</v>
      </c>
      <c r="N1647">
        <v>4791627.83</v>
      </c>
      <c r="O1647">
        <v>85503.708600999293</v>
      </c>
      <c r="P1647">
        <v>840600</v>
      </c>
      <c r="Q1647">
        <v>3951027.83</v>
      </c>
      <c r="R1647">
        <v>70503.708600999293</v>
      </c>
      <c r="S1647" s="238" t="s">
        <v>137</v>
      </c>
      <c r="T1647" s="238" t="s">
        <v>3540</v>
      </c>
      <c r="U1647">
        <v>207948.83</v>
      </c>
      <c r="V1647" t="s">
        <v>4091</v>
      </c>
      <c r="W1647" s="24">
        <v>44908</v>
      </c>
      <c r="X1647" s="238" t="s">
        <v>3865</v>
      </c>
      <c r="Y1647" s="238" t="s">
        <v>39</v>
      </c>
      <c r="Z1647" s="238" t="s">
        <v>1340</v>
      </c>
      <c r="AA1647" t="s">
        <v>3113</v>
      </c>
      <c r="AB1647" s="238" t="s">
        <v>3246</v>
      </c>
      <c r="AC1647" t="s">
        <v>3079</v>
      </c>
      <c r="AD1647" s="24"/>
      <c r="AE1647" s="238" t="s">
        <v>3866</v>
      </c>
      <c r="AF1647">
        <v>79967452123</v>
      </c>
      <c r="AG1647" s="238" t="s">
        <v>3867</v>
      </c>
      <c r="AH1647" s="238" t="s">
        <v>1212</v>
      </c>
      <c r="AI1647" s="238" t="s">
        <v>135</v>
      </c>
      <c r="AJ1647" s="238" t="s">
        <v>130</v>
      </c>
      <c r="AK1647" s="238" t="s">
        <v>3345</v>
      </c>
      <c r="AL1647" t="s">
        <v>8715</v>
      </c>
      <c r="AM1647" t="s">
        <v>3663</v>
      </c>
    </row>
    <row r="1648" spans="1:39" hidden="1" x14ac:dyDescent="0.25">
      <c r="A1648">
        <v>1644</v>
      </c>
      <c r="B1648">
        <v>19</v>
      </c>
      <c r="C1648" s="24">
        <v>44916</v>
      </c>
      <c r="D1648" s="238" t="s">
        <v>19</v>
      </c>
      <c r="E1648" s="238" t="s">
        <v>6</v>
      </c>
      <c r="F1648">
        <v>3</v>
      </c>
      <c r="G1648">
        <v>10</v>
      </c>
      <c r="H1648">
        <v>59</v>
      </c>
      <c r="I1648" s="238" t="s">
        <v>44</v>
      </c>
      <c r="J1648">
        <v>78.8</v>
      </c>
      <c r="K1648" s="238" t="s">
        <v>36</v>
      </c>
      <c r="L1648">
        <v>5986093.2199999997</v>
      </c>
      <c r="M1648">
        <v>0</v>
      </c>
      <c r="N1648">
        <v>5986093.2199999997</v>
      </c>
      <c r="O1648">
        <v>75965.649999999994</v>
      </c>
      <c r="P1648">
        <v>0</v>
      </c>
      <c r="Q1648">
        <v>5986093.2199999997</v>
      </c>
      <c r="R1648">
        <v>75965.649999999994</v>
      </c>
      <c r="S1648" s="238" t="s">
        <v>137</v>
      </c>
      <c r="T1648" s="238" t="s">
        <v>1167</v>
      </c>
      <c r="V1648" t="s">
        <v>4092</v>
      </c>
      <c r="W1648" s="24">
        <v>44905</v>
      </c>
      <c r="X1648" s="238" t="s">
        <v>3868</v>
      </c>
      <c r="Y1648" s="238" t="s">
        <v>39</v>
      </c>
      <c r="Z1648" s="238" t="s">
        <v>1340</v>
      </c>
      <c r="AA1648" t="s">
        <v>3113</v>
      </c>
      <c r="AB1648" s="238" t="s">
        <v>3124</v>
      </c>
      <c r="AC1648" t="s">
        <v>3079</v>
      </c>
      <c r="AD1648" s="24"/>
      <c r="AE1648" s="238" t="s">
        <v>3869</v>
      </c>
      <c r="AF1648">
        <v>79033000654</v>
      </c>
      <c r="AG1648" s="238" t="s">
        <v>3870</v>
      </c>
      <c r="AH1648" s="238" t="s">
        <v>1171</v>
      </c>
      <c r="AI1648" s="238" t="s">
        <v>3074</v>
      </c>
      <c r="AJ1648" s="238" t="s">
        <v>399</v>
      </c>
      <c r="AK1648" s="238" t="s">
        <v>3345</v>
      </c>
      <c r="AL1648" t="s">
        <v>8715</v>
      </c>
      <c r="AM1648" t="s">
        <v>3663</v>
      </c>
    </row>
    <row r="1649" spans="1:39" hidden="1" x14ac:dyDescent="0.25">
      <c r="A1649">
        <v>1645</v>
      </c>
      <c r="B1649">
        <v>20</v>
      </c>
      <c r="C1649" s="24">
        <v>44916</v>
      </c>
      <c r="D1649" s="238" t="s">
        <v>91</v>
      </c>
      <c r="E1649" s="238" t="s">
        <v>15</v>
      </c>
      <c r="F1649">
        <v>6</v>
      </c>
      <c r="G1649">
        <v>14</v>
      </c>
      <c r="H1649">
        <v>515</v>
      </c>
      <c r="I1649" s="238" t="s">
        <v>43</v>
      </c>
      <c r="J1649">
        <v>58.62</v>
      </c>
      <c r="K1649" s="238" t="s">
        <v>38</v>
      </c>
      <c r="L1649">
        <v>5053147.67</v>
      </c>
      <c r="M1649">
        <v>0</v>
      </c>
      <c r="N1649">
        <v>5053147.67</v>
      </c>
      <c r="O1649">
        <v>86201.768509041285</v>
      </c>
      <c r="P1649">
        <v>879300</v>
      </c>
      <c r="Q1649">
        <v>4173847.67</v>
      </c>
      <c r="R1649">
        <v>71201.768509041285</v>
      </c>
      <c r="S1649" s="238" t="s">
        <v>137</v>
      </c>
      <c r="T1649" s="238" t="s">
        <v>3540</v>
      </c>
      <c r="U1649">
        <v>219676.19</v>
      </c>
      <c r="V1649" t="s">
        <v>4091</v>
      </c>
      <c r="W1649" s="24">
        <v>44913</v>
      </c>
      <c r="X1649" s="238" t="s">
        <v>3871</v>
      </c>
      <c r="Y1649" s="238" t="s">
        <v>39</v>
      </c>
      <c r="Z1649" s="238" t="s">
        <v>1340</v>
      </c>
      <c r="AA1649" t="s">
        <v>3113</v>
      </c>
      <c r="AB1649" s="238" t="s">
        <v>3246</v>
      </c>
      <c r="AC1649" t="s">
        <v>3079</v>
      </c>
      <c r="AD1649" s="24"/>
      <c r="AE1649" s="238" t="s">
        <v>3872</v>
      </c>
      <c r="AF1649">
        <v>79608271114</v>
      </c>
      <c r="AG1649" s="238" t="s">
        <v>3873</v>
      </c>
      <c r="AH1649" s="238" t="s">
        <v>1212</v>
      </c>
      <c r="AI1649" s="238" t="s">
        <v>135</v>
      </c>
      <c r="AJ1649" s="238" t="s">
        <v>130</v>
      </c>
      <c r="AK1649" s="238" t="s">
        <v>141</v>
      </c>
      <c r="AL1649" t="s">
        <v>8715</v>
      </c>
      <c r="AM1649" t="s">
        <v>3663</v>
      </c>
    </row>
    <row r="1650" spans="1:39" hidden="1" x14ac:dyDescent="0.25">
      <c r="A1650">
        <v>1646</v>
      </c>
      <c r="B1650">
        <v>21</v>
      </c>
      <c r="C1650" s="24">
        <v>44917</v>
      </c>
      <c r="D1650" s="238" t="s">
        <v>91</v>
      </c>
      <c r="E1650" s="238" t="s">
        <v>16</v>
      </c>
      <c r="F1650">
        <v>2</v>
      </c>
      <c r="G1650">
        <v>24</v>
      </c>
      <c r="H1650">
        <v>396</v>
      </c>
      <c r="I1650" s="238" t="s">
        <v>43</v>
      </c>
      <c r="J1650">
        <v>67.95</v>
      </c>
      <c r="K1650" s="238" t="s">
        <v>37</v>
      </c>
      <c r="L1650">
        <v>5711588.2400000002</v>
      </c>
      <c r="M1650">
        <v>15000</v>
      </c>
      <c r="N1650">
        <v>5726588.2400000002</v>
      </c>
      <c r="O1650">
        <v>84276.500956585718</v>
      </c>
      <c r="P1650">
        <v>271800</v>
      </c>
      <c r="Q1650">
        <v>5454788.2400000002</v>
      </c>
      <c r="R1650">
        <v>80276.500956585718</v>
      </c>
      <c r="S1650" s="238" t="s">
        <v>137</v>
      </c>
      <c r="T1650" s="238" t="s">
        <v>3733</v>
      </c>
      <c r="U1650">
        <v>287094.12</v>
      </c>
      <c r="V1650" t="s">
        <v>4092</v>
      </c>
      <c r="W1650" s="24">
        <v>44901</v>
      </c>
      <c r="X1650" s="238" t="s">
        <v>3874</v>
      </c>
      <c r="Y1650" s="238" t="s">
        <v>39</v>
      </c>
      <c r="Z1650" s="238" t="s">
        <v>1340</v>
      </c>
      <c r="AA1650" t="s">
        <v>3113</v>
      </c>
      <c r="AB1650" s="238" t="s">
        <v>3246</v>
      </c>
      <c r="AC1650" t="s">
        <v>3079</v>
      </c>
      <c r="AD1650" s="24"/>
      <c r="AE1650" s="238" t="s">
        <v>3875</v>
      </c>
      <c r="AF1650">
        <v>79272621924</v>
      </c>
      <c r="AG1650" s="238" t="s">
        <v>3876</v>
      </c>
      <c r="AH1650" s="238" t="s">
        <v>1212</v>
      </c>
      <c r="AI1650" s="238" t="s">
        <v>3106</v>
      </c>
      <c r="AJ1650" s="238" t="s">
        <v>399</v>
      </c>
      <c r="AK1650" s="238" t="s">
        <v>141</v>
      </c>
      <c r="AL1650" t="s">
        <v>8715</v>
      </c>
      <c r="AM1650" t="s">
        <v>3663</v>
      </c>
    </row>
    <row r="1651" spans="1:39" hidden="1" x14ac:dyDescent="0.25">
      <c r="A1651">
        <v>1647</v>
      </c>
      <c r="B1651">
        <v>22</v>
      </c>
      <c r="C1651" s="24">
        <v>44917</v>
      </c>
      <c r="D1651" s="238" t="s">
        <v>91</v>
      </c>
      <c r="E1651" s="238" t="s">
        <v>6</v>
      </c>
      <c r="F1651">
        <v>3</v>
      </c>
      <c r="G1651">
        <v>6</v>
      </c>
      <c r="H1651">
        <v>35</v>
      </c>
      <c r="I1651" s="238" t="s">
        <v>42</v>
      </c>
      <c r="J1651">
        <v>35.54</v>
      </c>
      <c r="K1651" s="238" t="s">
        <v>37</v>
      </c>
      <c r="L1651">
        <v>3029804.95</v>
      </c>
      <c r="M1651">
        <v>15000</v>
      </c>
      <c r="N1651">
        <v>3044804.95</v>
      </c>
      <c r="O1651">
        <v>85672.620990433323</v>
      </c>
      <c r="P1651">
        <v>142160</v>
      </c>
      <c r="Q1651">
        <v>2902644.95</v>
      </c>
      <c r="R1651">
        <v>81672.620990433323</v>
      </c>
      <c r="S1651" s="238" t="s">
        <v>137</v>
      </c>
      <c r="T1651" s="238" t="s">
        <v>3540</v>
      </c>
      <c r="U1651">
        <v>152770.79</v>
      </c>
      <c r="V1651" t="s">
        <v>4091</v>
      </c>
      <c r="W1651" s="24">
        <v>44907</v>
      </c>
      <c r="X1651" s="238" t="s">
        <v>3877</v>
      </c>
      <c r="Y1651" s="238" t="s">
        <v>39</v>
      </c>
      <c r="Z1651" s="238" t="s">
        <v>1340</v>
      </c>
      <c r="AA1651" t="s">
        <v>3113</v>
      </c>
      <c r="AB1651" s="238" t="s">
        <v>3246</v>
      </c>
      <c r="AC1651" t="s">
        <v>3079</v>
      </c>
      <c r="AD1651" s="24"/>
      <c r="AE1651" s="238" t="s">
        <v>3878</v>
      </c>
      <c r="AF1651">
        <v>79633434335</v>
      </c>
      <c r="AG1651" s="238" t="s">
        <v>3879</v>
      </c>
      <c r="AH1651" s="238" t="s">
        <v>1212</v>
      </c>
      <c r="AI1651" s="238" t="s">
        <v>3088</v>
      </c>
      <c r="AJ1651" s="238" t="s">
        <v>130</v>
      </c>
      <c r="AK1651" s="238" t="s">
        <v>141</v>
      </c>
      <c r="AL1651" t="s">
        <v>8715</v>
      </c>
      <c r="AM1651" t="s">
        <v>3663</v>
      </c>
    </row>
    <row r="1652" spans="1:39" hidden="1" x14ac:dyDescent="0.25">
      <c r="A1652">
        <v>1648</v>
      </c>
      <c r="B1652">
        <v>23</v>
      </c>
      <c r="C1652" s="24">
        <v>44917</v>
      </c>
      <c r="D1652" s="238" t="s">
        <v>91</v>
      </c>
      <c r="E1652" s="238" t="s">
        <v>6</v>
      </c>
      <c r="F1652">
        <v>2</v>
      </c>
      <c r="G1652">
        <v>10</v>
      </c>
      <c r="H1652">
        <v>66</v>
      </c>
      <c r="I1652" s="238" t="s">
        <v>43</v>
      </c>
      <c r="J1652">
        <v>61.76</v>
      </c>
      <c r="K1652" s="238" t="s">
        <v>38</v>
      </c>
      <c r="L1652">
        <v>5600645.6900000004</v>
      </c>
      <c r="M1652">
        <v>0</v>
      </c>
      <c r="N1652">
        <v>5600645.6900000004</v>
      </c>
      <c r="O1652">
        <v>90684.029954663216</v>
      </c>
      <c r="P1652">
        <v>926400</v>
      </c>
      <c r="Q1652">
        <v>4674245.6900000004</v>
      </c>
      <c r="R1652">
        <v>75684.029954663216</v>
      </c>
      <c r="S1652" s="238" t="s">
        <v>137</v>
      </c>
      <c r="T1652" s="238" t="s">
        <v>1167</v>
      </c>
      <c r="V1652" t="s">
        <v>4092</v>
      </c>
      <c r="W1652" s="24">
        <v>44908</v>
      </c>
      <c r="X1652" s="238" t="s">
        <v>3880</v>
      </c>
      <c r="Y1652" s="238" t="s">
        <v>39</v>
      </c>
      <c r="Z1652" s="238" t="s">
        <v>1340</v>
      </c>
      <c r="AA1652" t="s">
        <v>3113</v>
      </c>
      <c r="AB1652" s="238" t="s">
        <v>3246</v>
      </c>
      <c r="AC1652" t="s">
        <v>3079</v>
      </c>
      <c r="AD1652" s="24"/>
      <c r="AE1652" s="238" t="s">
        <v>3881</v>
      </c>
      <c r="AF1652">
        <v>71234566666</v>
      </c>
      <c r="AG1652" s="238" t="s">
        <v>3882</v>
      </c>
      <c r="AH1652" s="238" t="s">
        <v>1171</v>
      </c>
      <c r="AI1652" s="238" t="s">
        <v>3090</v>
      </c>
      <c r="AJ1652" s="238" t="s">
        <v>130</v>
      </c>
      <c r="AK1652" s="238" t="s">
        <v>141</v>
      </c>
      <c r="AL1652" t="s">
        <v>8715</v>
      </c>
      <c r="AM1652" t="s">
        <v>3663</v>
      </c>
    </row>
    <row r="1653" spans="1:39" hidden="1" x14ac:dyDescent="0.25">
      <c r="A1653">
        <v>1649</v>
      </c>
      <c r="B1653">
        <v>24</v>
      </c>
      <c r="C1653" s="24">
        <v>44918</v>
      </c>
      <c r="D1653" s="238" t="s">
        <v>27</v>
      </c>
      <c r="E1653" s="238" t="s">
        <v>6</v>
      </c>
      <c r="F1653">
        <v>4</v>
      </c>
      <c r="G1653">
        <v>17</v>
      </c>
      <c r="H1653">
        <v>139</v>
      </c>
      <c r="I1653" s="238" t="s">
        <v>4052</v>
      </c>
      <c r="J1653">
        <v>24.39</v>
      </c>
      <c r="K1653" s="238" t="s">
        <v>36</v>
      </c>
      <c r="L1653">
        <v>2235516.63</v>
      </c>
      <c r="M1653">
        <v>0</v>
      </c>
      <c r="N1653">
        <v>2235516.63</v>
      </c>
      <c r="O1653">
        <v>91657.098400984003</v>
      </c>
      <c r="P1653">
        <v>0</v>
      </c>
      <c r="Q1653">
        <v>2235516.63</v>
      </c>
      <c r="R1653">
        <v>91657.098400984003</v>
      </c>
      <c r="S1653" s="238" t="s">
        <v>137</v>
      </c>
      <c r="T1653" s="238" t="s">
        <v>3390</v>
      </c>
      <c r="U1653">
        <v>150000</v>
      </c>
      <c r="V1653" t="s">
        <v>4091</v>
      </c>
      <c r="W1653" s="24">
        <v>44915</v>
      </c>
      <c r="X1653" s="238" t="s">
        <v>3883</v>
      </c>
      <c r="Y1653" s="238" t="s">
        <v>39</v>
      </c>
      <c r="Z1653" s="238" t="s">
        <v>1340</v>
      </c>
      <c r="AA1653" t="s">
        <v>3474</v>
      </c>
      <c r="AB1653" s="238" t="s">
        <v>3246</v>
      </c>
      <c r="AC1653" t="s">
        <v>3077</v>
      </c>
      <c r="AD1653" s="24"/>
      <c r="AE1653" s="238" t="s">
        <v>3884</v>
      </c>
      <c r="AF1653">
        <v>79277078808</v>
      </c>
      <c r="AG1653" s="238" t="s">
        <v>3885</v>
      </c>
      <c r="AH1653" s="238" t="s">
        <v>137</v>
      </c>
      <c r="AI1653" s="238" t="s">
        <v>3110</v>
      </c>
      <c r="AJ1653" s="238" t="s">
        <v>130</v>
      </c>
      <c r="AK1653" s="238" t="s">
        <v>141</v>
      </c>
      <c r="AL1653" t="s">
        <v>8715</v>
      </c>
      <c r="AM1653" t="s">
        <v>1167</v>
      </c>
    </row>
    <row r="1654" spans="1:39" hidden="1" x14ac:dyDescent="0.25">
      <c r="A1654">
        <v>1650</v>
      </c>
      <c r="B1654">
        <v>25</v>
      </c>
      <c r="C1654" s="24">
        <v>44921</v>
      </c>
      <c r="D1654" s="238" t="s">
        <v>91</v>
      </c>
      <c r="E1654" s="238" t="s">
        <v>15</v>
      </c>
      <c r="F1654">
        <v>3</v>
      </c>
      <c r="G1654">
        <v>8</v>
      </c>
      <c r="H1654">
        <v>458</v>
      </c>
      <c r="I1654" s="238" t="s">
        <v>44</v>
      </c>
      <c r="J1654">
        <v>74.28</v>
      </c>
      <c r="K1654" s="238" t="s">
        <v>37</v>
      </c>
      <c r="L1654">
        <v>5270229.92</v>
      </c>
      <c r="M1654">
        <v>0</v>
      </c>
      <c r="N1654">
        <v>5270229.92</v>
      </c>
      <c r="O1654">
        <v>70950.860527732904</v>
      </c>
      <c r="P1654">
        <v>297120</v>
      </c>
      <c r="Q1654">
        <v>4973109.92</v>
      </c>
      <c r="R1654">
        <v>66950.860527732904</v>
      </c>
      <c r="S1654" s="238" t="s">
        <v>137</v>
      </c>
      <c r="T1654" s="238" t="s">
        <v>3540</v>
      </c>
      <c r="U1654">
        <v>261742.63</v>
      </c>
      <c r="V1654" t="s">
        <v>4092</v>
      </c>
      <c r="W1654" s="24">
        <v>44907</v>
      </c>
      <c r="X1654" s="238" t="s">
        <v>3886</v>
      </c>
      <c r="Y1654" s="238" t="s">
        <v>39</v>
      </c>
      <c r="Z1654" s="238" t="s">
        <v>1340</v>
      </c>
      <c r="AA1654" t="s">
        <v>3113</v>
      </c>
      <c r="AB1654" s="238" t="s">
        <v>3246</v>
      </c>
      <c r="AC1654" t="s">
        <v>3079</v>
      </c>
      <c r="AD1654" s="24"/>
      <c r="AE1654" s="238" t="s">
        <v>3887</v>
      </c>
      <c r="AF1654">
        <v>79879095479</v>
      </c>
      <c r="AG1654" s="238" t="s">
        <v>3888</v>
      </c>
      <c r="AH1654" s="238" t="s">
        <v>1171</v>
      </c>
      <c r="AI1654" s="238" t="s">
        <v>3074</v>
      </c>
      <c r="AJ1654" s="238" t="s">
        <v>399</v>
      </c>
      <c r="AK1654" s="238" t="s">
        <v>141</v>
      </c>
      <c r="AL1654" t="s">
        <v>8715</v>
      </c>
      <c r="AM1654" t="s">
        <v>3663</v>
      </c>
    </row>
    <row r="1655" spans="1:39" hidden="1" x14ac:dyDescent="0.25">
      <c r="A1655">
        <v>1651</v>
      </c>
      <c r="B1655">
        <v>26</v>
      </c>
      <c r="C1655" s="24">
        <v>44921</v>
      </c>
      <c r="D1655" s="238" t="s">
        <v>91</v>
      </c>
      <c r="E1655" s="238" t="s">
        <v>6</v>
      </c>
      <c r="F1655">
        <v>3</v>
      </c>
      <c r="G1655">
        <v>12</v>
      </c>
      <c r="H1655">
        <v>83</v>
      </c>
      <c r="I1655" s="238" t="s">
        <v>42</v>
      </c>
      <c r="J1655">
        <v>35.54</v>
      </c>
      <c r="K1655" s="238" t="s">
        <v>38</v>
      </c>
      <c r="L1655">
        <v>3588515.74</v>
      </c>
      <c r="M1655">
        <v>0</v>
      </c>
      <c r="N1655">
        <v>3588515.74</v>
      </c>
      <c r="O1655">
        <v>100971.18007878448</v>
      </c>
      <c r="P1655">
        <v>533100</v>
      </c>
      <c r="Q1655">
        <v>3055415.74</v>
      </c>
      <c r="R1655">
        <v>85971.18007878447</v>
      </c>
      <c r="S1655" s="238" t="s">
        <v>137</v>
      </c>
      <c r="T1655" s="238" t="s">
        <v>1167</v>
      </c>
      <c r="V1655" t="s">
        <v>4091</v>
      </c>
      <c r="W1655" s="24">
        <v>44908</v>
      </c>
      <c r="X1655" s="238" t="s">
        <v>3889</v>
      </c>
      <c r="Y1655" s="238" t="s">
        <v>39</v>
      </c>
      <c r="Z1655" s="238" t="s">
        <v>1340</v>
      </c>
      <c r="AA1655" t="s">
        <v>3113</v>
      </c>
      <c r="AB1655" s="238" t="s">
        <v>3246</v>
      </c>
      <c r="AC1655" t="s">
        <v>3079</v>
      </c>
      <c r="AD1655" s="24"/>
      <c r="AE1655" s="238" t="s">
        <v>3890</v>
      </c>
      <c r="AF1655">
        <v>79169376617</v>
      </c>
      <c r="AG1655" s="238" t="s">
        <v>3891</v>
      </c>
      <c r="AH1655" s="238" t="s">
        <v>1171</v>
      </c>
      <c r="AI1655" s="238" t="s">
        <v>135</v>
      </c>
      <c r="AJ1655" s="238" t="s">
        <v>130</v>
      </c>
      <c r="AK1655" s="238" t="s">
        <v>141</v>
      </c>
      <c r="AL1655" t="s">
        <v>8715</v>
      </c>
      <c r="AM1655" t="s">
        <v>1167</v>
      </c>
    </row>
    <row r="1656" spans="1:39" hidden="1" x14ac:dyDescent="0.25">
      <c r="A1656">
        <v>1652</v>
      </c>
      <c r="B1656">
        <v>27</v>
      </c>
      <c r="C1656" s="24">
        <v>44921</v>
      </c>
      <c r="D1656" s="238" t="s">
        <v>91</v>
      </c>
      <c r="E1656" s="238" t="s">
        <v>6</v>
      </c>
      <c r="F1656">
        <v>5</v>
      </c>
      <c r="G1656">
        <v>9</v>
      </c>
      <c r="H1656">
        <v>61</v>
      </c>
      <c r="I1656" s="238" t="s">
        <v>43</v>
      </c>
      <c r="J1656">
        <v>54.66</v>
      </c>
      <c r="K1656" s="238" t="s">
        <v>38</v>
      </c>
      <c r="L1656">
        <v>4916624.91</v>
      </c>
      <c r="M1656">
        <v>0</v>
      </c>
      <c r="N1656">
        <v>4916624.91</v>
      </c>
      <c r="O1656">
        <v>89949.229967069157</v>
      </c>
      <c r="P1656">
        <v>819900</v>
      </c>
      <c r="Q1656">
        <v>4096724.91</v>
      </c>
      <c r="R1656">
        <v>74949.229967069157</v>
      </c>
      <c r="S1656" s="238" t="s">
        <v>137</v>
      </c>
      <c r="T1656" s="238" t="s">
        <v>1167</v>
      </c>
      <c r="V1656" t="s">
        <v>4091</v>
      </c>
      <c r="W1656" s="24">
        <v>44912</v>
      </c>
      <c r="X1656" s="238" t="s">
        <v>3892</v>
      </c>
      <c r="Y1656" s="238" t="s">
        <v>39</v>
      </c>
      <c r="Z1656" s="238" t="s">
        <v>1340</v>
      </c>
      <c r="AA1656" t="s">
        <v>3113</v>
      </c>
      <c r="AB1656" s="238" t="s">
        <v>3246</v>
      </c>
      <c r="AC1656" t="s">
        <v>3079</v>
      </c>
      <c r="AD1656" s="24"/>
      <c r="AE1656" s="238" t="s">
        <v>3893</v>
      </c>
      <c r="AF1656">
        <v>79649777716</v>
      </c>
      <c r="AG1656" s="238" t="s">
        <v>3894</v>
      </c>
      <c r="AH1656" s="238" t="s">
        <v>1212</v>
      </c>
      <c r="AI1656" s="238" t="s">
        <v>135</v>
      </c>
      <c r="AJ1656" s="238" t="s">
        <v>130</v>
      </c>
      <c r="AK1656" s="238" t="s">
        <v>141</v>
      </c>
      <c r="AL1656" t="s">
        <v>8715</v>
      </c>
      <c r="AM1656" t="s">
        <v>1167</v>
      </c>
    </row>
    <row r="1657" spans="1:39" hidden="1" x14ac:dyDescent="0.25">
      <c r="A1657">
        <v>1653</v>
      </c>
      <c r="B1657">
        <v>28</v>
      </c>
      <c r="C1657" s="24">
        <v>44921</v>
      </c>
      <c r="D1657" s="238" t="s">
        <v>27</v>
      </c>
      <c r="E1657" s="238" t="s">
        <v>13</v>
      </c>
      <c r="F1657">
        <v>8</v>
      </c>
      <c r="G1657">
        <v>7</v>
      </c>
      <c r="H1657">
        <v>883</v>
      </c>
      <c r="I1657" s="238" t="s">
        <v>4052</v>
      </c>
      <c r="J1657">
        <v>23.09</v>
      </c>
      <c r="K1657" s="238" t="s">
        <v>37</v>
      </c>
      <c r="L1657">
        <v>2250508.73</v>
      </c>
      <c r="M1657">
        <v>0</v>
      </c>
      <c r="N1657">
        <v>2250508.73</v>
      </c>
      <c r="O1657">
        <v>97466.813772195761</v>
      </c>
      <c r="P1657">
        <v>92359.999999999069</v>
      </c>
      <c r="Q1657">
        <v>2158148.7300000009</v>
      </c>
      <c r="R1657">
        <v>93466.81377219579</v>
      </c>
      <c r="S1657" s="238" t="s">
        <v>137</v>
      </c>
      <c r="T1657" s="238" t="s">
        <v>3540</v>
      </c>
      <c r="U1657">
        <v>113586.77554</v>
      </c>
      <c r="V1657" t="s">
        <v>4091</v>
      </c>
      <c r="W1657" s="24">
        <v>44917</v>
      </c>
      <c r="X1657" s="238" t="s">
        <v>3895</v>
      </c>
      <c r="Y1657" s="238" t="s">
        <v>39</v>
      </c>
      <c r="Z1657" s="238" t="s">
        <v>1340</v>
      </c>
      <c r="AA1657" t="s">
        <v>3113</v>
      </c>
      <c r="AB1657" s="238" t="s">
        <v>3246</v>
      </c>
      <c r="AC1657" t="s">
        <v>3079</v>
      </c>
      <c r="AD1657" s="24"/>
      <c r="AE1657" s="238" t="s">
        <v>3896</v>
      </c>
      <c r="AF1657">
        <v>79376674998</v>
      </c>
      <c r="AG1657" s="238" t="s">
        <v>3897</v>
      </c>
      <c r="AH1657" s="238" t="s">
        <v>1171</v>
      </c>
      <c r="AI1657" s="238" t="s">
        <v>3074</v>
      </c>
      <c r="AJ1657" s="238" t="s">
        <v>399</v>
      </c>
      <c r="AK1657" s="238" t="s">
        <v>3345</v>
      </c>
      <c r="AL1657" t="s">
        <v>8715</v>
      </c>
      <c r="AM1657" t="s">
        <v>1167</v>
      </c>
    </row>
    <row r="1658" spans="1:39" hidden="1" x14ac:dyDescent="0.25">
      <c r="A1658">
        <v>1654</v>
      </c>
      <c r="B1658">
        <v>29</v>
      </c>
      <c r="C1658" s="24">
        <v>44921</v>
      </c>
      <c r="D1658" s="238" t="s">
        <v>27</v>
      </c>
      <c r="E1658" s="238" t="s">
        <v>6</v>
      </c>
      <c r="F1658">
        <v>2</v>
      </c>
      <c r="G1658">
        <v>22</v>
      </c>
      <c r="H1658">
        <v>182</v>
      </c>
      <c r="I1658" s="238" t="s">
        <v>42</v>
      </c>
      <c r="J1658">
        <v>37.94</v>
      </c>
      <c r="K1658" s="238" t="s">
        <v>38</v>
      </c>
      <c r="L1658">
        <v>4218458.3</v>
      </c>
      <c r="M1658">
        <v>0</v>
      </c>
      <c r="N1658">
        <v>4218458.3</v>
      </c>
      <c r="O1658">
        <v>111187.61992619926</v>
      </c>
      <c r="P1658">
        <v>569099.9999999986</v>
      </c>
      <c r="Q1658">
        <v>3649358.3000000012</v>
      </c>
      <c r="R1658">
        <v>96187.619926199302</v>
      </c>
      <c r="S1658" s="238" t="s">
        <v>137</v>
      </c>
      <c r="T1658" s="238" t="s">
        <v>1167</v>
      </c>
      <c r="V1658" t="s">
        <v>4091</v>
      </c>
      <c r="W1658" s="24">
        <v>44918</v>
      </c>
      <c r="X1658" s="238" t="s">
        <v>3898</v>
      </c>
      <c r="Y1658" s="238" t="s">
        <v>39</v>
      </c>
      <c r="Z1658" s="238" t="s">
        <v>1340</v>
      </c>
      <c r="AA1658" t="s">
        <v>3113</v>
      </c>
      <c r="AB1658" s="238" t="s">
        <v>3246</v>
      </c>
      <c r="AC1658" t="s">
        <v>3079</v>
      </c>
      <c r="AD1658" s="24"/>
      <c r="AE1658" s="238" t="s">
        <v>3899</v>
      </c>
      <c r="AF1658">
        <v>79063414441</v>
      </c>
      <c r="AG1658" s="238" t="s">
        <v>3900</v>
      </c>
      <c r="AH1658" s="238" t="s">
        <v>146</v>
      </c>
      <c r="AI1658" s="238" t="s">
        <v>135</v>
      </c>
      <c r="AJ1658" s="238" t="s">
        <v>3901</v>
      </c>
      <c r="AK1658" s="238" t="s">
        <v>3345</v>
      </c>
      <c r="AL1658" t="s">
        <v>8715</v>
      </c>
      <c r="AM1658" t="s">
        <v>3663</v>
      </c>
    </row>
    <row r="1659" spans="1:39" hidden="1" x14ac:dyDescent="0.25">
      <c r="A1659">
        <v>1655</v>
      </c>
      <c r="B1659">
        <v>30</v>
      </c>
      <c r="C1659" s="24">
        <v>44922</v>
      </c>
      <c r="D1659" s="238" t="s">
        <v>91</v>
      </c>
      <c r="E1659" s="238" t="s">
        <v>15</v>
      </c>
      <c r="F1659">
        <v>2</v>
      </c>
      <c r="G1659">
        <v>3</v>
      </c>
      <c r="H1659">
        <v>412</v>
      </c>
      <c r="I1659" s="238" t="s">
        <v>42</v>
      </c>
      <c r="J1659">
        <v>38.6</v>
      </c>
      <c r="K1659" s="238" t="s">
        <v>37</v>
      </c>
      <c r="L1659">
        <v>3472887.55</v>
      </c>
      <c r="M1659">
        <v>0</v>
      </c>
      <c r="N1659">
        <v>3472887.55</v>
      </c>
      <c r="O1659">
        <v>89971.18005181347</v>
      </c>
      <c r="P1659">
        <v>154400</v>
      </c>
      <c r="Q1659">
        <v>3318487.55</v>
      </c>
      <c r="R1659">
        <v>85971.18005181347</v>
      </c>
      <c r="S1659" s="238" t="s">
        <v>137</v>
      </c>
      <c r="T1659" s="238" t="s">
        <v>1167</v>
      </c>
      <c r="V1659" t="s">
        <v>4091</v>
      </c>
      <c r="W1659" s="24">
        <v>44915</v>
      </c>
      <c r="X1659" s="238" t="s">
        <v>3902</v>
      </c>
      <c r="Y1659" s="238" t="s">
        <v>39</v>
      </c>
      <c r="Z1659" s="238" t="s">
        <v>1340</v>
      </c>
      <c r="AA1659" t="s">
        <v>3113</v>
      </c>
      <c r="AB1659" s="238" t="s">
        <v>3246</v>
      </c>
      <c r="AC1659" t="s">
        <v>3079</v>
      </c>
      <c r="AD1659" s="24"/>
      <c r="AE1659" s="238" t="s">
        <v>3903</v>
      </c>
      <c r="AF1659">
        <v>79171011222</v>
      </c>
      <c r="AG1659" s="238" t="s">
        <v>3904</v>
      </c>
      <c r="AH1659" s="238" t="s">
        <v>1171</v>
      </c>
      <c r="AI1659" s="238" t="s">
        <v>3110</v>
      </c>
      <c r="AJ1659" s="238" t="s">
        <v>3901</v>
      </c>
      <c r="AK1659" s="238" t="s">
        <v>3345</v>
      </c>
      <c r="AL1659" t="s">
        <v>8715</v>
      </c>
      <c r="AM1659" t="s">
        <v>3663</v>
      </c>
    </row>
    <row r="1660" spans="1:39" hidden="1" x14ac:dyDescent="0.25">
      <c r="A1660">
        <v>1656</v>
      </c>
      <c r="B1660">
        <v>31</v>
      </c>
      <c r="C1660" s="24">
        <v>44922</v>
      </c>
      <c r="D1660" s="238" t="s">
        <v>91</v>
      </c>
      <c r="E1660" s="238" t="s">
        <v>6</v>
      </c>
      <c r="F1660">
        <v>4</v>
      </c>
      <c r="G1660">
        <v>5</v>
      </c>
      <c r="H1660">
        <v>28</v>
      </c>
      <c r="I1660" s="238" t="s">
        <v>43</v>
      </c>
      <c r="J1660">
        <v>56.03</v>
      </c>
      <c r="K1660" s="238" t="s">
        <v>37</v>
      </c>
      <c r="L1660">
        <v>4423525.3600000003</v>
      </c>
      <c r="M1660">
        <v>0</v>
      </c>
      <c r="N1660">
        <v>4423525.3600000003</v>
      </c>
      <c r="O1660">
        <v>78949.230055327513</v>
      </c>
      <c r="P1660">
        <v>224120</v>
      </c>
      <c r="Q1660">
        <v>4199405.3600000003</v>
      </c>
      <c r="R1660">
        <v>74949.230055327513</v>
      </c>
      <c r="S1660" s="238" t="s">
        <v>137</v>
      </c>
      <c r="T1660" s="238" t="s">
        <v>1167</v>
      </c>
      <c r="V1660" t="s">
        <v>4091</v>
      </c>
      <c r="W1660" s="24">
        <v>44916</v>
      </c>
      <c r="X1660" s="238" t="s">
        <v>3905</v>
      </c>
      <c r="Y1660" s="238" t="s">
        <v>39</v>
      </c>
      <c r="Z1660" s="238" t="s">
        <v>1340</v>
      </c>
      <c r="AA1660" t="s">
        <v>3113</v>
      </c>
      <c r="AB1660" s="238" t="s">
        <v>3246</v>
      </c>
      <c r="AC1660" t="s">
        <v>3079</v>
      </c>
      <c r="AD1660" s="24"/>
      <c r="AE1660" s="238" t="s">
        <v>3906</v>
      </c>
      <c r="AF1660">
        <v>79171014121</v>
      </c>
      <c r="AG1660" s="238" t="s">
        <v>3907</v>
      </c>
      <c r="AH1660" s="238" t="s">
        <v>1171</v>
      </c>
      <c r="AI1660" s="238" t="s">
        <v>3110</v>
      </c>
      <c r="AJ1660" s="238" t="s">
        <v>3901</v>
      </c>
      <c r="AK1660" s="238" t="s">
        <v>3345</v>
      </c>
      <c r="AL1660" t="s">
        <v>8715</v>
      </c>
      <c r="AM1660" t="s">
        <v>3663</v>
      </c>
    </row>
    <row r="1661" spans="1:39" hidden="1" x14ac:dyDescent="0.25">
      <c r="A1661">
        <v>1657</v>
      </c>
      <c r="B1661">
        <v>32</v>
      </c>
      <c r="C1661" s="24">
        <v>44922</v>
      </c>
      <c r="D1661" s="238" t="s">
        <v>27</v>
      </c>
      <c r="E1661" s="238" t="s">
        <v>6</v>
      </c>
      <c r="F1661">
        <v>4</v>
      </c>
      <c r="G1661">
        <v>6</v>
      </c>
      <c r="H1661">
        <v>40</v>
      </c>
      <c r="I1661" s="238" t="s">
        <v>4052</v>
      </c>
      <c r="J1661">
        <v>24.39</v>
      </c>
      <c r="K1661" s="238" t="s">
        <v>38</v>
      </c>
      <c r="L1661">
        <v>2751366.63</v>
      </c>
      <c r="M1661">
        <v>0</v>
      </c>
      <c r="N1661">
        <v>2751366.63</v>
      </c>
      <c r="O1661">
        <v>112807.15990159901</v>
      </c>
      <c r="P1661">
        <v>365850</v>
      </c>
      <c r="Q1661">
        <v>2385516.63</v>
      </c>
      <c r="R1661">
        <v>97807.159901599007</v>
      </c>
      <c r="S1661" s="238" t="s">
        <v>137</v>
      </c>
      <c r="T1661" s="238" t="s">
        <v>1167</v>
      </c>
      <c r="V1661" t="s">
        <v>4091</v>
      </c>
      <c r="W1661" s="24">
        <v>44917</v>
      </c>
      <c r="X1661" s="238" t="s">
        <v>3908</v>
      </c>
      <c r="Y1661" s="238" t="s">
        <v>39</v>
      </c>
      <c r="Z1661" s="238" t="s">
        <v>1340</v>
      </c>
      <c r="AA1661" t="s">
        <v>3113</v>
      </c>
      <c r="AB1661" s="238" t="s">
        <v>3246</v>
      </c>
      <c r="AC1661" t="s">
        <v>3079</v>
      </c>
      <c r="AD1661" s="24"/>
      <c r="AE1661" s="238" t="s">
        <v>3909</v>
      </c>
      <c r="AF1661">
        <v>79879226410</v>
      </c>
      <c r="AG1661" s="238" t="s">
        <v>3910</v>
      </c>
      <c r="AH1661" s="238" t="s">
        <v>146</v>
      </c>
      <c r="AI1661" s="238" t="s">
        <v>135</v>
      </c>
      <c r="AJ1661" s="238" t="s">
        <v>3901</v>
      </c>
      <c r="AK1661" s="238" t="s">
        <v>141</v>
      </c>
      <c r="AL1661" t="s">
        <v>8715</v>
      </c>
      <c r="AM1661" t="s">
        <v>1167</v>
      </c>
    </row>
    <row r="1662" spans="1:39" hidden="1" x14ac:dyDescent="0.25">
      <c r="A1662">
        <v>1658</v>
      </c>
      <c r="B1662">
        <v>33</v>
      </c>
      <c r="C1662" s="24">
        <v>44922</v>
      </c>
      <c r="D1662" s="238" t="s">
        <v>91</v>
      </c>
      <c r="E1662" s="238" t="s">
        <v>6</v>
      </c>
      <c r="F1662">
        <v>4</v>
      </c>
      <c r="G1662">
        <v>6</v>
      </c>
      <c r="H1662">
        <v>40</v>
      </c>
      <c r="I1662" s="238" t="s">
        <v>4052</v>
      </c>
      <c r="J1662">
        <v>21.73</v>
      </c>
      <c r="K1662" s="238" t="s">
        <v>37</v>
      </c>
      <c r="L1662">
        <v>1898316.5</v>
      </c>
      <c r="M1662">
        <v>0</v>
      </c>
      <c r="N1662">
        <v>1898316.5</v>
      </c>
      <c r="O1662">
        <v>87359.249884951685</v>
      </c>
      <c r="P1662">
        <v>86920</v>
      </c>
      <c r="Q1662">
        <v>1811396.5</v>
      </c>
      <c r="R1662">
        <v>83359.249884951685</v>
      </c>
      <c r="S1662" s="238" t="s">
        <v>124</v>
      </c>
      <c r="T1662" s="238" t="s">
        <v>1167</v>
      </c>
      <c r="V1662" t="s">
        <v>1167</v>
      </c>
      <c r="W1662" s="24">
        <v>44917</v>
      </c>
      <c r="X1662" s="238" t="s">
        <v>3911</v>
      </c>
      <c r="Y1662" s="238" t="s">
        <v>39</v>
      </c>
      <c r="Z1662" s="238" t="s">
        <v>1340</v>
      </c>
      <c r="AA1662" t="s">
        <v>3113</v>
      </c>
      <c r="AB1662" s="238" t="s">
        <v>3246</v>
      </c>
      <c r="AC1662" t="s">
        <v>1167</v>
      </c>
      <c r="AD1662" s="24"/>
      <c r="AE1662" s="238" t="s">
        <v>3912</v>
      </c>
      <c r="AF1662">
        <v>79879257536</v>
      </c>
      <c r="AG1662" s="238" t="s">
        <v>3913</v>
      </c>
      <c r="AH1662" s="238" t="s">
        <v>1212</v>
      </c>
      <c r="AI1662" s="238" t="s">
        <v>3914</v>
      </c>
      <c r="AJ1662" s="238" t="s">
        <v>399</v>
      </c>
      <c r="AK1662" s="238" t="s">
        <v>1167</v>
      </c>
      <c r="AL1662" t="s">
        <v>8715</v>
      </c>
      <c r="AM1662" t="s">
        <v>1167</v>
      </c>
    </row>
    <row r="1663" spans="1:39" hidden="1" x14ac:dyDescent="0.25">
      <c r="A1663">
        <v>1659</v>
      </c>
      <c r="B1663">
        <v>34</v>
      </c>
      <c r="C1663" s="24">
        <v>44922</v>
      </c>
      <c r="D1663" s="238" t="s">
        <v>91</v>
      </c>
      <c r="E1663" s="238" t="s">
        <v>6</v>
      </c>
      <c r="F1663">
        <v>8</v>
      </c>
      <c r="G1663">
        <v>9</v>
      </c>
      <c r="H1663">
        <v>64</v>
      </c>
      <c r="I1663" s="238" t="s">
        <v>4052</v>
      </c>
      <c r="J1663">
        <v>21.73</v>
      </c>
      <c r="K1663" s="238" t="s">
        <v>37</v>
      </c>
      <c r="L1663">
        <v>1898316.5</v>
      </c>
      <c r="M1663">
        <v>0</v>
      </c>
      <c r="N1663">
        <v>1898316.5</v>
      </c>
      <c r="O1663">
        <v>87359.249884951685</v>
      </c>
      <c r="P1663">
        <v>86919.999999999534</v>
      </c>
      <c r="Q1663">
        <v>1811396.5000000005</v>
      </c>
      <c r="R1663">
        <v>83359.2498849517</v>
      </c>
      <c r="S1663" s="238" t="s">
        <v>124</v>
      </c>
      <c r="T1663" s="238" t="s">
        <v>1167</v>
      </c>
      <c r="V1663" t="s">
        <v>1167</v>
      </c>
      <c r="W1663" s="24">
        <v>44921</v>
      </c>
      <c r="X1663" s="238" t="s">
        <v>3915</v>
      </c>
      <c r="Y1663" s="238" t="s">
        <v>39</v>
      </c>
      <c r="Z1663" s="238" t="s">
        <v>1168</v>
      </c>
      <c r="AA1663" t="s">
        <v>3113</v>
      </c>
      <c r="AB1663" s="238" t="s">
        <v>3246</v>
      </c>
      <c r="AC1663" t="s">
        <v>1167</v>
      </c>
      <c r="AD1663" s="24"/>
      <c r="AE1663" s="238" t="s">
        <v>3916</v>
      </c>
      <c r="AF1663">
        <v>79773620529</v>
      </c>
      <c r="AG1663" s="238" t="s">
        <v>3917</v>
      </c>
      <c r="AH1663" s="238" t="s">
        <v>1171</v>
      </c>
      <c r="AI1663" s="238" t="s">
        <v>135</v>
      </c>
      <c r="AJ1663" s="238" t="s">
        <v>399</v>
      </c>
      <c r="AK1663" s="238" t="s">
        <v>1167</v>
      </c>
      <c r="AL1663" t="s">
        <v>8715</v>
      </c>
      <c r="AM1663" t="s">
        <v>1167</v>
      </c>
    </row>
    <row r="1664" spans="1:39" hidden="1" x14ac:dyDescent="0.25">
      <c r="A1664">
        <v>1660</v>
      </c>
      <c r="B1664">
        <v>35</v>
      </c>
      <c r="C1664" s="24">
        <v>44923</v>
      </c>
      <c r="D1664" s="238" t="s">
        <v>27</v>
      </c>
      <c r="E1664" s="238" t="s">
        <v>6</v>
      </c>
      <c r="F1664">
        <v>5</v>
      </c>
      <c r="G1664">
        <v>5</v>
      </c>
      <c r="H1664">
        <v>32</v>
      </c>
      <c r="I1664" s="238" t="s">
        <v>4052</v>
      </c>
      <c r="J1664">
        <v>24.47</v>
      </c>
      <c r="K1664" s="238" t="s">
        <v>38</v>
      </c>
      <c r="L1664">
        <v>2760357.93</v>
      </c>
      <c r="M1664">
        <v>0</v>
      </c>
      <c r="N1664">
        <v>2760357.93</v>
      </c>
      <c r="O1664">
        <v>112805.80016346548</v>
      </c>
      <c r="P1664">
        <v>367049.99999999953</v>
      </c>
      <c r="Q1664">
        <v>2393307.9300000006</v>
      </c>
      <c r="R1664">
        <v>97805.800163465494</v>
      </c>
      <c r="S1664" s="238" t="s">
        <v>137</v>
      </c>
      <c r="T1664" s="238" t="s">
        <v>1167</v>
      </c>
      <c r="V1664" t="s">
        <v>4093</v>
      </c>
      <c r="W1664" s="24">
        <v>44916</v>
      </c>
      <c r="X1664" s="238" t="s">
        <v>3918</v>
      </c>
      <c r="Y1664" s="238" t="s">
        <v>39</v>
      </c>
      <c r="Z1664" s="238" t="s">
        <v>1340</v>
      </c>
      <c r="AA1664" t="s">
        <v>3113</v>
      </c>
      <c r="AB1664" s="238" t="s">
        <v>3246</v>
      </c>
      <c r="AC1664" t="s">
        <v>3079</v>
      </c>
      <c r="AD1664" s="24"/>
      <c r="AE1664" s="238" t="s">
        <v>3919</v>
      </c>
      <c r="AF1664">
        <v>79879594733</v>
      </c>
      <c r="AG1664" s="238" t="s">
        <v>3920</v>
      </c>
      <c r="AH1664" s="238" t="s">
        <v>1171</v>
      </c>
      <c r="AI1664" s="238" t="s">
        <v>135</v>
      </c>
      <c r="AJ1664" s="238" t="s">
        <v>130</v>
      </c>
      <c r="AK1664" s="238" t="s">
        <v>3345</v>
      </c>
      <c r="AL1664" t="s">
        <v>8715</v>
      </c>
      <c r="AM1664" t="s">
        <v>1167</v>
      </c>
    </row>
    <row r="1665" spans="1:39" hidden="1" x14ac:dyDescent="0.25">
      <c r="A1665">
        <v>1661</v>
      </c>
      <c r="B1665">
        <v>36</v>
      </c>
      <c r="C1665" s="24">
        <v>44923</v>
      </c>
      <c r="D1665" s="238" t="s">
        <v>91</v>
      </c>
      <c r="E1665" s="238" t="s">
        <v>6</v>
      </c>
      <c r="F1665">
        <v>7</v>
      </c>
      <c r="G1665">
        <v>6</v>
      </c>
      <c r="H1665">
        <v>39</v>
      </c>
      <c r="I1665" s="238" t="s">
        <v>4052</v>
      </c>
      <c r="J1665">
        <v>21.75</v>
      </c>
      <c r="K1665" s="238" t="s">
        <v>38</v>
      </c>
      <c r="L1665">
        <v>2139313.69</v>
      </c>
      <c r="M1665">
        <v>0</v>
      </c>
      <c r="N1665">
        <v>2139313.69</v>
      </c>
      <c r="O1665">
        <v>98359.250114942522</v>
      </c>
      <c r="P1665">
        <v>326250.0000000007</v>
      </c>
      <c r="Q1665">
        <v>1813063.6899999992</v>
      </c>
      <c r="R1665">
        <v>83359.250114942493</v>
      </c>
      <c r="S1665" s="238" t="s">
        <v>137</v>
      </c>
      <c r="T1665" s="238" t="s">
        <v>1167</v>
      </c>
      <c r="V1665" t="s">
        <v>4091</v>
      </c>
      <c r="W1665" s="24">
        <v>44916</v>
      </c>
      <c r="X1665" s="238" t="s">
        <v>3921</v>
      </c>
      <c r="Y1665" s="238" t="s">
        <v>39</v>
      </c>
      <c r="Z1665" s="238" t="s">
        <v>1340</v>
      </c>
      <c r="AA1665" t="s">
        <v>3113</v>
      </c>
      <c r="AB1665" s="238" t="s">
        <v>3246</v>
      </c>
      <c r="AC1665" t="s">
        <v>3079</v>
      </c>
      <c r="AD1665" s="24"/>
      <c r="AE1665" s="238" t="s">
        <v>3922</v>
      </c>
      <c r="AF1665">
        <v>79276928885</v>
      </c>
      <c r="AG1665" s="238" t="s">
        <v>3923</v>
      </c>
      <c r="AH1665" s="238" t="s">
        <v>1212</v>
      </c>
      <c r="AI1665" s="238" t="s">
        <v>3090</v>
      </c>
      <c r="AJ1665" s="238" t="s">
        <v>130</v>
      </c>
      <c r="AK1665" s="238" t="s">
        <v>141</v>
      </c>
      <c r="AL1665" t="s">
        <v>8715</v>
      </c>
      <c r="AM1665" t="s">
        <v>1167</v>
      </c>
    </row>
    <row r="1666" spans="1:39" hidden="1" x14ac:dyDescent="0.25">
      <c r="A1666">
        <v>1662</v>
      </c>
      <c r="B1666">
        <v>37</v>
      </c>
      <c r="C1666" s="24">
        <v>44923</v>
      </c>
      <c r="D1666" s="238" t="s">
        <v>91</v>
      </c>
      <c r="E1666" s="238" t="s">
        <v>16</v>
      </c>
      <c r="F1666">
        <v>5</v>
      </c>
      <c r="G1666">
        <v>8</v>
      </c>
      <c r="H1666">
        <v>287</v>
      </c>
      <c r="I1666" s="238" t="s">
        <v>43</v>
      </c>
      <c r="J1666">
        <v>56.7</v>
      </c>
      <c r="K1666" s="238" t="s">
        <v>36</v>
      </c>
      <c r="L1666">
        <v>4291284.5</v>
      </c>
      <c r="M1666">
        <v>0</v>
      </c>
      <c r="N1666">
        <v>4291284.5</v>
      </c>
      <c r="O1666">
        <v>75684.02998236331</v>
      </c>
      <c r="P1666">
        <v>0</v>
      </c>
      <c r="Q1666">
        <v>4291284.5</v>
      </c>
      <c r="R1666">
        <v>75684.02998236331</v>
      </c>
      <c r="S1666" s="238" t="s">
        <v>137</v>
      </c>
      <c r="T1666" s="238" t="s">
        <v>1167</v>
      </c>
      <c r="V1666" t="s">
        <v>4091</v>
      </c>
      <c r="W1666" s="24">
        <v>44917</v>
      </c>
      <c r="X1666" s="238" t="s">
        <v>3924</v>
      </c>
      <c r="Y1666" s="238" t="s">
        <v>39</v>
      </c>
      <c r="Z1666" s="238" t="s">
        <v>1340</v>
      </c>
      <c r="AA1666" t="s">
        <v>3113</v>
      </c>
      <c r="AB1666" s="238" t="s">
        <v>3246</v>
      </c>
      <c r="AC1666" t="s">
        <v>3079</v>
      </c>
      <c r="AD1666" s="24"/>
      <c r="AE1666" s="238" t="s">
        <v>3925</v>
      </c>
      <c r="AF1666">
        <v>79279006838</v>
      </c>
      <c r="AG1666" s="238" t="s">
        <v>3926</v>
      </c>
      <c r="AH1666" s="238" t="s">
        <v>1171</v>
      </c>
      <c r="AI1666" s="238" t="s">
        <v>3074</v>
      </c>
      <c r="AJ1666" s="238" t="s">
        <v>130</v>
      </c>
      <c r="AK1666" s="238" t="s">
        <v>141</v>
      </c>
      <c r="AL1666" t="s">
        <v>8715</v>
      </c>
      <c r="AM1666" t="s">
        <v>3663</v>
      </c>
    </row>
    <row r="1667" spans="1:39" hidden="1" x14ac:dyDescent="0.25">
      <c r="A1667">
        <v>1663</v>
      </c>
      <c r="B1667">
        <v>38</v>
      </c>
      <c r="C1667" s="24">
        <v>44923</v>
      </c>
      <c r="D1667" s="238" t="s">
        <v>27</v>
      </c>
      <c r="E1667" s="238" t="s">
        <v>13</v>
      </c>
      <c r="F1667">
        <v>9</v>
      </c>
      <c r="G1667">
        <v>9</v>
      </c>
      <c r="H1667">
        <v>902</v>
      </c>
      <c r="I1667" s="238" t="s">
        <v>4052</v>
      </c>
      <c r="J1667">
        <v>23.09</v>
      </c>
      <c r="K1667" s="238" t="s">
        <v>36</v>
      </c>
      <c r="L1667">
        <v>2121735.5099999998</v>
      </c>
      <c r="M1667">
        <v>0</v>
      </c>
      <c r="N1667">
        <v>2121735.5099999998</v>
      </c>
      <c r="O1667">
        <v>91889.801212646154</v>
      </c>
      <c r="P1667">
        <v>0</v>
      </c>
      <c r="Q1667">
        <v>2121735.5099999998</v>
      </c>
      <c r="R1667">
        <v>91889.801212646154</v>
      </c>
      <c r="S1667" s="238" t="s">
        <v>137</v>
      </c>
      <c r="T1667" s="238" t="s">
        <v>3390</v>
      </c>
      <c r="U1667">
        <v>150000</v>
      </c>
      <c r="V1667" t="s">
        <v>4091</v>
      </c>
      <c r="W1667" s="24">
        <v>44920</v>
      </c>
      <c r="X1667" s="238" t="s">
        <v>3927</v>
      </c>
      <c r="Y1667" s="238" t="s">
        <v>39</v>
      </c>
      <c r="Z1667" s="238" t="s">
        <v>1340</v>
      </c>
      <c r="AA1667" t="s">
        <v>3113</v>
      </c>
      <c r="AB1667" s="238" t="s">
        <v>3246</v>
      </c>
      <c r="AC1667" t="s">
        <v>3079</v>
      </c>
      <c r="AD1667" s="24"/>
      <c r="AE1667" s="238" t="s">
        <v>3928</v>
      </c>
      <c r="AF1667">
        <v>79171670395</v>
      </c>
      <c r="AG1667" s="238" t="s">
        <v>3929</v>
      </c>
      <c r="AH1667" s="238" t="s">
        <v>1212</v>
      </c>
      <c r="AI1667" s="238" t="s">
        <v>135</v>
      </c>
      <c r="AJ1667" s="238" t="s">
        <v>130</v>
      </c>
      <c r="AK1667" s="238" t="s">
        <v>3345</v>
      </c>
      <c r="AL1667" t="s">
        <v>8715</v>
      </c>
      <c r="AM1667" t="s">
        <v>1167</v>
      </c>
    </row>
    <row r="1668" spans="1:39" hidden="1" x14ac:dyDescent="0.25">
      <c r="A1668">
        <v>1664</v>
      </c>
      <c r="B1668">
        <v>39</v>
      </c>
      <c r="C1668" s="24">
        <v>44923</v>
      </c>
      <c r="D1668" s="238" t="s">
        <v>91</v>
      </c>
      <c r="E1668" s="238" t="s">
        <v>6</v>
      </c>
      <c r="F1668">
        <v>4</v>
      </c>
      <c r="G1668">
        <v>2</v>
      </c>
      <c r="H1668">
        <v>4</v>
      </c>
      <c r="I1668" s="238" t="s">
        <v>43</v>
      </c>
      <c r="J1668">
        <v>56.03</v>
      </c>
      <c r="K1668" s="238" t="s">
        <v>38</v>
      </c>
      <c r="L1668">
        <v>5039855.3600000003</v>
      </c>
      <c r="M1668">
        <v>0</v>
      </c>
      <c r="N1668">
        <v>5039855.3600000003</v>
      </c>
      <c r="O1668">
        <v>89949.230055327513</v>
      </c>
      <c r="P1668">
        <v>840450.00000000093</v>
      </c>
      <c r="Q1668">
        <v>4199405.3599999994</v>
      </c>
      <c r="R1668">
        <v>74949.230055327498</v>
      </c>
      <c r="S1668" s="238" t="s">
        <v>137</v>
      </c>
      <c r="T1668" s="238" t="s">
        <v>1167</v>
      </c>
      <c r="V1668" t="s">
        <v>4091</v>
      </c>
      <c r="W1668" s="24">
        <v>44920</v>
      </c>
      <c r="X1668" s="238" t="s">
        <v>3930</v>
      </c>
      <c r="Y1668" s="238" t="s">
        <v>39</v>
      </c>
      <c r="Z1668" s="238" t="s">
        <v>1340</v>
      </c>
      <c r="AA1668" t="s">
        <v>3113</v>
      </c>
      <c r="AB1668" s="238" t="s">
        <v>3246</v>
      </c>
      <c r="AC1668" t="s">
        <v>3079</v>
      </c>
      <c r="AD1668" s="24"/>
      <c r="AE1668" s="238" t="s">
        <v>3931</v>
      </c>
      <c r="AF1668">
        <v>79608146621</v>
      </c>
      <c r="AG1668" s="238" t="s">
        <v>3932</v>
      </c>
      <c r="AH1668" s="238" t="s">
        <v>135</v>
      </c>
      <c r="AI1668" s="238" t="s">
        <v>3099</v>
      </c>
      <c r="AJ1668" s="238" t="s">
        <v>3901</v>
      </c>
      <c r="AK1668" s="238" t="s">
        <v>3345</v>
      </c>
      <c r="AL1668" t="s">
        <v>8715</v>
      </c>
      <c r="AM1668" t="s">
        <v>3663</v>
      </c>
    </row>
    <row r="1669" spans="1:39" hidden="1" x14ac:dyDescent="0.25">
      <c r="A1669">
        <v>1665</v>
      </c>
      <c r="B1669">
        <v>40</v>
      </c>
      <c r="C1669" s="24">
        <v>44923</v>
      </c>
      <c r="D1669" s="238" t="s">
        <v>27</v>
      </c>
      <c r="E1669" s="238" t="s">
        <v>6</v>
      </c>
      <c r="F1669">
        <v>4</v>
      </c>
      <c r="G1669">
        <v>8</v>
      </c>
      <c r="H1669">
        <v>58</v>
      </c>
      <c r="I1669" s="238" t="s">
        <v>4052</v>
      </c>
      <c r="J1669">
        <v>24.39</v>
      </c>
      <c r="K1669" s="238" t="s">
        <v>38</v>
      </c>
      <c r="L1669">
        <v>2632090.7999999998</v>
      </c>
      <c r="M1669">
        <v>0</v>
      </c>
      <c r="N1669">
        <v>2632090.7999999998</v>
      </c>
      <c r="O1669">
        <v>107916.80196801967</v>
      </c>
      <c r="P1669">
        <v>365849.99999999907</v>
      </c>
      <c r="Q1669">
        <v>2266240.8000000007</v>
      </c>
      <c r="R1669">
        <v>92916.801968019703</v>
      </c>
      <c r="S1669" s="238" t="s">
        <v>137</v>
      </c>
      <c r="T1669" s="238" t="s">
        <v>3540</v>
      </c>
      <c r="U1669">
        <v>119275.8315789476</v>
      </c>
      <c r="V1669" t="s">
        <v>4091</v>
      </c>
      <c r="W1669" s="24">
        <v>44921</v>
      </c>
      <c r="X1669" s="238" t="s">
        <v>3933</v>
      </c>
      <c r="Y1669" s="238" t="s">
        <v>39</v>
      </c>
      <c r="Z1669" s="238" t="s">
        <v>1340</v>
      </c>
      <c r="AA1669" t="s">
        <v>3113</v>
      </c>
      <c r="AB1669" s="238" t="s">
        <v>3246</v>
      </c>
      <c r="AC1669" t="s">
        <v>3079</v>
      </c>
      <c r="AD1669" s="24"/>
      <c r="AE1669" s="238" t="s">
        <v>3934</v>
      </c>
      <c r="AF1669">
        <v>79531533784</v>
      </c>
      <c r="AG1669" s="238" t="s">
        <v>3935</v>
      </c>
      <c r="AH1669" s="238" t="s">
        <v>1171</v>
      </c>
      <c r="AI1669" s="238" t="s">
        <v>135</v>
      </c>
      <c r="AJ1669" s="238" t="s">
        <v>3901</v>
      </c>
      <c r="AK1669" s="238" t="s">
        <v>3345</v>
      </c>
      <c r="AL1669" t="s">
        <v>8715</v>
      </c>
      <c r="AM1669" t="s">
        <v>1167</v>
      </c>
    </row>
    <row r="1670" spans="1:39" hidden="1" x14ac:dyDescent="0.25">
      <c r="A1670">
        <v>1666</v>
      </c>
      <c r="B1670">
        <v>41</v>
      </c>
      <c r="C1670" s="24">
        <v>44923</v>
      </c>
      <c r="D1670" s="238" t="s">
        <v>91</v>
      </c>
      <c r="E1670" s="238" t="s">
        <v>5</v>
      </c>
      <c r="F1670">
        <v>6</v>
      </c>
      <c r="G1670">
        <v>16</v>
      </c>
      <c r="H1670">
        <v>238</v>
      </c>
      <c r="I1670" s="238" t="s">
        <v>42</v>
      </c>
      <c r="J1670">
        <v>36.659999999999997</v>
      </c>
      <c r="K1670" s="238" t="s">
        <v>37</v>
      </c>
      <c r="L1670">
        <v>3360141.22</v>
      </c>
      <c r="M1670">
        <v>0</v>
      </c>
      <c r="N1670">
        <v>3360141.22</v>
      </c>
      <c r="O1670">
        <v>91656.879978177865</v>
      </c>
      <c r="P1670">
        <v>146639.99999999907</v>
      </c>
      <c r="Q1670">
        <v>3213501.2200000011</v>
      </c>
      <c r="R1670">
        <v>87656.879978177894</v>
      </c>
      <c r="S1670" s="238" t="s">
        <v>137</v>
      </c>
      <c r="T1670" s="238" t="s">
        <v>1167</v>
      </c>
      <c r="V1670" t="s">
        <v>4091</v>
      </c>
      <c r="W1670" s="24">
        <v>44921</v>
      </c>
      <c r="X1670" s="238" t="s">
        <v>3936</v>
      </c>
      <c r="Y1670" s="238" t="s">
        <v>39</v>
      </c>
      <c r="Z1670" s="238" t="s">
        <v>1340</v>
      </c>
      <c r="AA1670" t="s">
        <v>3113</v>
      </c>
      <c r="AB1670" s="238" t="s">
        <v>3246</v>
      </c>
      <c r="AC1670" t="s">
        <v>3079</v>
      </c>
      <c r="AD1670" s="24"/>
      <c r="AE1670" s="238" t="s">
        <v>3937</v>
      </c>
      <c r="AF1670">
        <v>79277422107</v>
      </c>
      <c r="AG1670" s="238" t="s">
        <v>3938</v>
      </c>
      <c r="AH1670" s="238" t="s">
        <v>1171</v>
      </c>
      <c r="AI1670" s="238" t="s">
        <v>3074</v>
      </c>
      <c r="AJ1670" s="238" t="s">
        <v>3901</v>
      </c>
      <c r="AK1670" s="238" t="s">
        <v>3345</v>
      </c>
      <c r="AL1670" t="s">
        <v>8715</v>
      </c>
      <c r="AM1670" t="s">
        <v>1167</v>
      </c>
    </row>
    <row r="1671" spans="1:39" hidden="1" x14ac:dyDescent="0.25">
      <c r="A1671">
        <v>1667</v>
      </c>
      <c r="B1671">
        <v>42</v>
      </c>
      <c r="C1671" s="24">
        <v>44924</v>
      </c>
      <c r="D1671" s="238" t="s">
        <v>91</v>
      </c>
      <c r="E1671" s="238" t="s">
        <v>5</v>
      </c>
      <c r="F1671">
        <v>8</v>
      </c>
      <c r="G1671">
        <v>12</v>
      </c>
      <c r="H1671">
        <v>208</v>
      </c>
      <c r="I1671" s="238" t="s">
        <v>42</v>
      </c>
      <c r="J1671">
        <v>33.79</v>
      </c>
      <c r="K1671" s="238" t="s">
        <v>37</v>
      </c>
      <c r="L1671">
        <v>2867821.63</v>
      </c>
      <c r="M1671">
        <v>0</v>
      </c>
      <c r="N1671">
        <v>2867821.63</v>
      </c>
      <c r="O1671">
        <v>84871.903817697545</v>
      </c>
      <c r="P1671">
        <v>135160.0000000014</v>
      </c>
      <c r="Q1671">
        <v>2732661.6299999985</v>
      </c>
      <c r="R1671">
        <v>80871.903817697501</v>
      </c>
      <c r="S1671" s="238" t="s">
        <v>124</v>
      </c>
      <c r="T1671" s="238" t="s">
        <v>3540</v>
      </c>
      <c r="U1671">
        <v>143824.29631578969</v>
      </c>
      <c r="V1671" t="s">
        <v>1167</v>
      </c>
      <c r="W1671" s="24">
        <v>44919</v>
      </c>
      <c r="X1671" s="238" t="s">
        <v>3939</v>
      </c>
      <c r="Y1671" s="238" t="s">
        <v>39</v>
      </c>
      <c r="Z1671" s="238" t="s">
        <v>1340</v>
      </c>
      <c r="AA1671" t="s">
        <v>3113</v>
      </c>
      <c r="AB1671" s="238" t="s">
        <v>3246</v>
      </c>
      <c r="AC1671" t="s">
        <v>1167</v>
      </c>
      <c r="AD1671" s="24"/>
      <c r="AE1671" s="238" t="s">
        <v>3940</v>
      </c>
      <c r="AF1671">
        <v>79272670738</v>
      </c>
      <c r="AG1671" s="238" t="s">
        <v>3941</v>
      </c>
      <c r="AH1671" s="238" t="s">
        <v>1171</v>
      </c>
      <c r="AI1671" s="238" t="s">
        <v>3074</v>
      </c>
      <c r="AJ1671" s="238" t="s">
        <v>399</v>
      </c>
      <c r="AK1671" s="238" t="s">
        <v>1167</v>
      </c>
      <c r="AL1671" t="s">
        <v>8715</v>
      </c>
      <c r="AM1671" t="s">
        <v>1167</v>
      </c>
    </row>
    <row r="1672" spans="1:39" hidden="1" x14ac:dyDescent="0.25">
      <c r="A1672">
        <v>1668</v>
      </c>
      <c r="B1672">
        <v>43</v>
      </c>
      <c r="C1672" s="24">
        <v>44924</v>
      </c>
      <c r="D1672" s="238" t="s">
        <v>27</v>
      </c>
      <c r="E1672" s="238" t="s">
        <v>6</v>
      </c>
      <c r="F1672">
        <v>8</v>
      </c>
      <c r="G1672">
        <v>22</v>
      </c>
      <c r="H1672">
        <v>188</v>
      </c>
      <c r="I1672" s="238" t="s">
        <v>42</v>
      </c>
      <c r="J1672">
        <v>37.69</v>
      </c>
      <c r="K1672" s="238" t="s">
        <v>38</v>
      </c>
      <c r="L1672">
        <v>4009463.86</v>
      </c>
      <c r="M1672">
        <v>0</v>
      </c>
      <c r="N1672">
        <v>4009463.86</v>
      </c>
      <c r="O1672">
        <v>106380.04404351287</v>
      </c>
      <c r="P1672">
        <v>565349.99999999907</v>
      </c>
      <c r="Q1672">
        <v>3444113.8600000008</v>
      </c>
      <c r="R1672">
        <v>91380.044043512898</v>
      </c>
      <c r="S1672" s="238" t="s">
        <v>137</v>
      </c>
      <c r="T1672" s="238" t="s">
        <v>3540</v>
      </c>
      <c r="U1672">
        <v>181269.15052631637</v>
      </c>
      <c r="V1672" t="s">
        <v>4091</v>
      </c>
      <c r="W1672" s="24">
        <v>44921</v>
      </c>
      <c r="X1672" s="238" t="s">
        <v>3942</v>
      </c>
      <c r="Y1672" s="238" t="s">
        <v>39</v>
      </c>
      <c r="Z1672" s="238" t="s">
        <v>1340</v>
      </c>
      <c r="AA1672" t="s">
        <v>3113</v>
      </c>
      <c r="AB1672" s="238" t="s">
        <v>3246</v>
      </c>
      <c r="AC1672" t="s">
        <v>3079</v>
      </c>
      <c r="AD1672" s="24"/>
      <c r="AE1672" s="238" t="s">
        <v>3943</v>
      </c>
      <c r="AF1672">
        <v>79279083882</v>
      </c>
      <c r="AG1672" s="238" t="s">
        <v>3944</v>
      </c>
      <c r="AH1672" s="238" t="s">
        <v>1171</v>
      </c>
      <c r="AI1672" s="238" t="s">
        <v>3074</v>
      </c>
      <c r="AJ1672" s="238" t="s">
        <v>399</v>
      </c>
      <c r="AK1672" s="238" t="s">
        <v>3345</v>
      </c>
      <c r="AL1672" t="s">
        <v>8715</v>
      </c>
      <c r="AM1672" t="s">
        <v>3663</v>
      </c>
    </row>
    <row r="1673" spans="1:39" hidden="1" x14ac:dyDescent="0.25">
      <c r="A1673">
        <v>1669</v>
      </c>
      <c r="B1673">
        <v>44</v>
      </c>
      <c r="C1673" s="24">
        <v>44924</v>
      </c>
      <c r="D1673" s="238" t="s">
        <v>27</v>
      </c>
      <c r="E1673" s="238" t="s">
        <v>14</v>
      </c>
      <c r="F1673">
        <v>3</v>
      </c>
      <c r="G1673">
        <v>1</v>
      </c>
      <c r="H1673">
        <v>18</v>
      </c>
      <c r="I1673" s="238" t="s">
        <v>3946</v>
      </c>
      <c r="J1673">
        <v>103.81</v>
      </c>
      <c r="K1673" s="238" t="s">
        <v>36</v>
      </c>
      <c r="L1673">
        <v>10900050</v>
      </c>
      <c r="M1673">
        <v>0</v>
      </c>
      <c r="N1673">
        <v>10900050</v>
      </c>
      <c r="O1673">
        <v>105000</v>
      </c>
      <c r="P1673">
        <v>0</v>
      </c>
      <c r="Q1673">
        <v>10900050</v>
      </c>
      <c r="R1673">
        <v>105000</v>
      </c>
      <c r="S1673" s="238" t="s">
        <v>124</v>
      </c>
      <c r="T1673" s="238" t="s">
        <v>1167</v>
      </c>
      <c r="V1673" t="s">
        <v>1167</v>
      </c>
      <c r="W1673" s="24">
        <v>44922</v>
      </c>
      <c r="X1673" s="238" t="s">
        <v>3945</v>
      </c>
      <c r="Y1673" s="238" t="s">
        <v>3946</v>
      </c>
      <c r="Z1673" s="238" t="s">
        <v>1340</v>
      </c>
      <c r="AA1673" t="s">
        <v>3113</v>
      </c>
      <c r="AB1673" s="238" t="s">
        <v>3246</v>
      </c>
      <c r="AC1673" t="s">
        <v>1167</v>
      </c>
      <c r="AD1673" s="24"/>
      <c r="AE1673" s="238" t="s">
        <v>3947</v>
      </c>
      <c r="AF1673">
        <v>79272114959</v>
      </c>
      <c r="AG1673" s="238" t="s">
        <v>3948</v>
      </c>
      <c r="AH1673" s="238" t="s">
        <v>1171</v>
      </c>
      <c r="AI1673" s="238" t="s">
        <v>135</v>
      </c>
      <c r="AJ1673" s="238" t="s">
        <v>130</v>
      </c>
      <c r="AK1673" s="238" t="s">
        <v>1167</v>
      </c>
      <c r="AL1673" t="s">
        <v>8715</v>
      </c>
      <c r="AM1673" t="s">
        <v>1167</v>
      </c>
    </row>
    <row r="1674" spans="1:39" hidden="1" x14ac:dyDescent="0.25">
      <c r="A1674">
        <v>1670</v>
      </c>
      <c r="B1674">
        <v>45</v>
      </c>
      <c r="C1674" s="24">
        <v>44924</v>
      </c>
      <c r="D1674" s="238" t="s">
        <v>27</v>
      </c>
      <c r="E1674" s="238" t="s">
        <v>14</v>
      </c>
      <c r="F1674">
        <v>4</v>
      </c>
      <c r="G1674">
        <v>1</v>
      </c>
      <c r="H1674">
        <v>19</v>
      </c>
      <c r="I1674" s="238" t="s">
        <v>3946</v>
      </c>
      <c r="J1674">
        <v>116.69</v>
      </c>
      <c r="K1674" s="238" t="s">
        <v>36</v>
      </c>
      <c r="L1674">
        <v>12252450</v>
      </c>
      <c r="M1674">
        <v>0</v>
      </c>
      <c r="N1674">
        <v>12252450</v>
      </c>
      <c r="O1674">
        <v>105000</v>
      </c>
      <c r="P1674">
        <v>0</v>
      </c>
      <c r="Q1674">
        <v>12252450</v>
      </c>
      <c r="R1674">
        <v>105000</v>
      </c>
      <c r="S1674" s="238" t="s">
        <v>124</v>
      </c>
      <c r="T1674" s="238" t="s">
        <v>1167</v>
      </c>
      <c r="V1674" t="s">
        <v>1167</v>
      </c>
      <c r="W1674" s="24">
        <v>44922</v>
      </c>
      <c r="X1674" s="238" t="s">
        <v>3949</v>
      </c>
      <c r="Y1674" s="238" t="s">
        <v>3946</v>
      </c>
      <c r="Z1674" s="238" t="s">
        <v>1340</v>
      </c>
      <c r="AA1674" t="s">
        <v>3113</v>
      </c>
      <c r="AB1674" s="238" t="s">
        <v>3246</v>
      </c>
      <c r="AC1674" t="s">
        <v>1167</v>
      </c>
      <c r="AD1674" s="24"/>
      <c r="AE1674" s="238" t="s">
        <v>3947</v>
      </c>
      <c r="AF1674">
        <v>79272114959</v>
      </c>
      <c r="AG1674" s="238" t="s">
        <v>3948</v>
      </c>
      <c r="AH1674" s="238" t="s">
        <v>1197</v>
      </c>
      <c r="AI1674" s="238" t="s">
        <v>135</v>
      </c>
      <c r="AJ1674" s="238" t="s">
        <v>130</v>
      </c>
      <c r="AK1674" s="238" t="s">
        <v>1167</v>
      </c>
      <c r="AL1674" t="s">
        <v>8715</v>
      </c>
      <c r="AM1674" t="s">
        <v>1167</v>
      </c>
    </row>
    <row r="1675" spans="1:39" hidden="1" x14ac:dyDescent="0.25">
      <c r="A1675">
        <v>1671</v>
      </c>
      <c r="B1675">
        <v>46</v>
      </c>
      <c r="C1675" s="24">
        <v>44924</v>
      </c>
      <c r="D1675" s="238" t="s">
        <v>91</v>
      </c>
      <c r="E1675" s="238" t="s">
        <v>15</v>
      </c>
      <c r="F1675">
        <v>4</v>
      </c>
      <c r="G1675">
        <v>6</v>
      </c>
      <c r="H1675">
        <v>441</v>
      </c>
      <c r="I1675" s="238" t="s">
        <v>42</v>
      </c>
      <c r="J1675">
        <v>36.5</v>
      </c>
      <c r="K1675" s="238" t="s">
        <v>37</v>
      </c>
      <c r="L1675">
        <v>3314712.1</v>
      </c>
      <c r="M1675">
        <v>0</v>
      </c>
      <c r="N1675">
        <v>3314712.1</v>
      </c>
      <c r="O1675">
        <v>90814.030136986301</v>
      </c>
      <c r="P1675">
        <v>146000</v>
      </c>
      <c r="Q1675">
        <v>3168712.1</v>
      </c>
      <c r="R1675">
        <v>86814.030136986301</v>
      </c>
      <c r="S1675" s="238" t="s">
        <v>124</v>
      </c>
      <c r="T1675" s="238" t="s">
        <v>1167</v>
      </c>
      <c r="V1675" t="s">
        <v>1167</v>
      </c>
      <c r="W1675" s="24">
        <v>44922</v>
      </c>
      <c r="X1675" s="238" t="s">
        <v>3950</v>
      </c>
      <c r="Y1675" s="238" t="s">
        <v>39</v>
      </c>
      <c r="Z1675" s="238" t="s">
        <v>1340</v>
      </c>
      <c r="AA1675" t="s">
        <v>3113</v>
      </c>
      <c r="AB1675" s="238" t="s">
        <v>3246</v>
      </c>
      <c r="AC1675" t="s">
        <v>1167</v>
      </c>
      <c r="AD1675" s="24"/>
      <c r="AE1675" s="238" t="s">
        <v>3951</v>
      </c>
      <c r="AF1675">
        <v>79997019901</v>
      </c>
      <c r="AG1675" s="238" t="s">
        <v>3952</v>
      </c>
      <c r="AH1675" s="238" t="s">
        <v>1171</v>
      </c>
      <c r="AI1675" s="238" t="s">
        <v>3074</v>
      </c>
      <c r="AJ1675" s="238" t="s">
        <v>3901</v>
      </c>
      <c r="AK1675" s="238" t="s">
        <v>1167</v>
      </c>
      <c r="AL1675" t="s">
        <v>8715</v>
      </c>
      <c r="AM1675" t="s">
        <v>1167</v>
      </c>
    </row>
    <row r="1676" spans="1:39" hidden="1" x14ac:dyDescent="0.25">
      <c r="A1676">
        <v>1672</v>
      </c>
      <c r="B1676">
        <v>47</v>
      </c>
      <c r="C1676" s="24">
        <v>44925</v>
      </c>
      <c r="D1676" s="238" t="s">
        <v>91</v>
      </c>
      <c r="E1676" s="238" t="s">
        <v>5</v>
      </c>
      <c r="F1676">
        <v>8</v>
      </c>
      <c r="G1676">
        <v>8</v>
      </c>
      <c r="H1676">
        <v>176</v>
      </c>
      <c r="I1676" s="238" t="s">
        <v>42</v>
      </c>
      <c r="J1676">
        <v>33.79</v>
      </c>
      <c r="K1676" s="238" t="s">
        <v>36</v>
      </c>
      <c r="L1676">
        <v>2732661.63</v>
      </c>
      <c r="M1676">
        <v>0</v>
      </c>
      <c r="N1676">
        <v>2732661.63</v>
      </c>
      <c r="O1676">
        <v>80871.903817697545</v>
      </c>
      <c r="P1676">
        <v>0</v>
      </c>
      <c r="Q1676">
        <v>2732661.63</v>
      </c>
      <c r="R1676">
        <v>80871.903817697545</v>
      </c>
      <c r="S1676" s="238" t="s">
        <v>137</v>
      </c>
      <c r="T1676" s="238" t="s">
        <v>3540</v>
      </c>
      <c r="U1676">
        <v>143824.29631578829</v>
      </c>
      <c r="V1676" t="s">
        <v>4091</v>
      </c>
      <c r="W1676" s="24">
        <v>44919</v>
      </c>
      <c r="X1676" s="238" t="s">
        <v>3954</v>
      </c>
      <c r="Y1676" s="238" t="s">
        <v>39</v>
      </c>
      <c r="Z1676" s="238" t="s">
        <v>1340</v>
      </c>
      <c r="AA1676" t="s">
        <v>3113</v>
      </c>
      <c r="AB1676" s="238" t="s">
        <v>3246</v>
      </c>
      <c r="AC1676" t="s">
        <v>3079</v>
      </c>
      <c r="AD1676" s="24"/>
      <c r="AE1676" s="238" t="s">
        <v>2930</v>
      </c>
      <c r="AF1676">
        <v>79631170969</v>
      </c>
      <c r="AG1676" s="238" t="s">
        <v>2931</v>
      </c>
      <c r="AH1676" s="238" t="s">
        <v>1171</v>
      </c>
      <c r="AI1676" s="238" t="s">
        <v>3082</v>
      </c>
      <c r="AJ1676" s="238" t="s">
        <v>399</v>
      </c>
      <c r="AK1676" s="238" t="s">
        <v>141</v>
      </c>
      <c r="AL1676" t="s">
        <v>8715</v>
      </c>
      <c r="AM1676" t="s">
        <v>1167</v>
      </c>
    </row>
    <row r="1677" spans="1:39" hidden="1" x14ac:dyDescent="0.25">
      <c r="A1677">
        <v>1673</v>
      </c>
      <c r="B1677">
        <v>48</v>
      </c>
      <c r="C1677" s="24">
        <v>44925</v>
      </c>
      <c r="D1677" s="238" t="s">
        <v>91</v>
      </c>
      <c r="E1677" s="238" t="s">
        <v>6</v>
      </c>
      <c r="F1677">
        <v>8</v>
      </c>
      <c r="G1677">
        <v>12</v>
      </c>
      <c r="H1677">
        <v>88</v>
      </c>
      <c r="I1677" s="238" t="s">
        <v>4052</v>
      </c>
      <c r="J1677">
        <v>21.73</v>
      </c>
      <c r="K1677" s="238" t="s">
        <v>37</v>
      </c>
      <c r="L1677">
        <v>1898316.5</v>
      </c>
      <c r="M1677">
        <v>0</v>
      </c>
      <c r="N1677">
        <v>1898316.5</v>
      </c>
      <c r="O1677">
        <v>87359.249884951685</v>
      </c>
      <c r="P1677">
        <v>86919.999999999534</v>
      </c>
      <c r="Q1677">
        <v>1811396.5000000005</v>
      </c>
      <c r="R1677">
        <v>83359.2498849517</v>
      </c>
      <c r="S1677" s="238" t="s">
        <v>137</v>
      </c>
      <c r="T1677" s="238" t="s">
        <v>1167</v>
      </c>
      <c r="V1677" t="s">
        <v>4091</v>
      </c>
      <c r="W1677" s="24">
        <v>44922</v>
      </c>
      <c r="X1677" s="238" t="s">
        <v>3955</v>
      </c>
      <c r="Y1677" s="238" t="s">
        <v>39</v>
      </c>
      <c r="Z1677" s="238" t="s">
        <v>1340</v>
      </c>
      <c r="AA1677" t="s">
        <v>3113</v>
      </c>
      <c r="AB1677" s="238" t="s">
        <v>3246</v>
      </c>
      <c r="AC1677" t="s">
        <v>3079</v>
      </c>
      <c r="AD1677" s="24"/>
      <c r="AE1677" s="238" t="s">
        <v>3956</v>
      </c>
      <c r="AF1677">
        <v>79272603173</v>
      </c>
      <c r="AG1677" s="238" t="s">
        <v>3957</v>
      </c>
      <c r="AH1677" s="238" t="s">
        <v>1212</v>
      </c>
      <c r="AI1677" s="238" t="s">
        <v>3093</v>
      </c>
      <c r="AJ1677" s="238" t="s">
        <v>399</v>
      </c>
      <c r="AK1677" s="238" t="s">
        <v>141</v>
      </c>
      <c r="AL1677" t="s">
        <v>8715</v>
      </c>
      <c r="AM1677" t="s">
        <v>1167</v>
      </c>
    </row>
    <row r="1678" spans="1:39" hidden="1" x14ac:dyDescent="0.25">
      <c r="A1678">
        <v>1674</v>
      </c>
      <c r="B1678">
        <v>49</v>
      </c>
      <c r="C1678" s="24">
        <v>44925</v>
      </c>
      <c r="D1678" s="238" t="s">
        <v>19</v>
      </c>
      <c r="E1678" s="238" t="s">
        <v>5</v>
      </c>
      <c r="F1678">
        <v>3</v>
      </c>
      <c r="G1678">
        <v>5</v>
      </c>
      <c r="H1678">
        <v>197</v>
      </c>
      <c r="I1678" s="238" t="s">
        <v>44</v>
      </c>
      <c r="J1678">
        <v>88.6</v>
      </c>
      <c r="K1678" s="238" t="s">
        <v>37</v>
      </c>
      <c r="L1678">
        <v>7049485.5599999996</v>
      </c>
      <c r="M1678">
        <v>15000</v>
      </c>
      <c r="N1678">
        <v>7064485.5599999996</v>
      </c>
      <c r="O1678">
        <v>79734.600000000006</v>
      </c>
      <c r="P1678">
        <v>487300</v>
      </c>
      <c r="Q1678">
        <v>6577185.5599999996</v>
      </c>
      <c r="R1678">
        <v>74234.600000000006</v>
      </c>
      <c r="S1678" s="238" t="s">
        <v>137</v>
      </c>
      <c r="T1678" s="238" t="s">
        <v>3538</v>
      </c>
      <c r="U1678">
        <v>203418.51000000071</v>
      </c>
      <c r="V1678" t="s">
        <v>4091</v>
      </c>
      <c r="W1678" s="24">
        <v>44924</v>
      </c>
      <c r="X1678" s="238" t="s">
        <v>3958</v>
      </c>
      <c r="Y1678" s="238" t="s">
        <v>39</v>
      </c>
      <c r="Z1678" s="238" t="s">
        <v>1340</v>
      </c>
      <c r="AA1678" t="s">
        <v>3474</v>
      </c>
      <c r="AB1678" s="238" t="s">
        <v>3124</v>
      </c>
      <c r="AC1678" t="s">
        <v>3077</v>
      </c>
      <c r="AD1678" s="24"/>
      <c r="AE1678" s="238" t="s">
        <v>3959</v>
      </c>
      <c r="AF1678">
        <v>79277239597</v>
      </c>
      <c r="AG1678" s="238" t="s">
        <v>1167</v>
      </c>
      <c r="AH1678" s="238" t="s">
        <v>1171</v>
      </c>
      <c r="AI1678" s="238" t="s">
        <v>3096</v>
      </c>
      <c r="AJ1678" s="238" t="s">
        <v>3901</v>
      </c>
      <c r="AK1678" s="238" t="s">
        <v>3345</v>
      </c>
      <c r="AL1678" t="s">
        <v>8715</v>
      </c>
      <c r="AM1678" t="s">
        <v>1167</v>
      </c>
    </row>
    <row r="1679" spans="1:39" hidden="1" x14ac:dyDescent="0.25">
      <c r="A1679">
        <v>1675</v>
      </c>
      <c r="B1679">
        <v>50</v>
      </c>
      <c r="C1679" s="24">
        <v>44925</v>
      </c>
      <c r="D1679" s="238" t="s">
        <v>27</v>
      </c>
      <c r="E1679" s="238" t="s">
        <v>6</v>
      </c>
      <c r="F1679">
        <v>4</v>
      </c>
      <c r="G1679">
        <v>20</v>
      </c>
      <c r="H1679">
        <v>166</v>
      </c>
      <c r="I1679" s="238" t="s">
        <v>4052</v>
      </c>
      <c r="J1679">
        <v>24.39</v>
      </c>
      <c r="K1679" s="238" t="s">
        <v>36</v>
      </c>
      <c r="L1679">
        <v>2364356.81</v>
      </c>
      <c r="M1679">
        <v>0</v>
      </c>
      <c r="N1679">
        <v>2364356.81</v>
      </c>
      <c r="O1679">
        <v>96939.598605986059</v>
      </c>
      <c r="P1679">
        <v>0</v>
      </c>
      <c r="Q1679">
        <v>2364356.81</v>
      </c>
      <c r="R1679">
        <v>96939.598605986059</v>
      </c>
      <c r="S1679" s="238" t="s">
        <v>121</v>
      </c>
      <c r="T1679" s="238" t="s">
        <v>3390</v>
      </c>
      <c r="U1679">
        <v>150000</v>
      </c>
      <c r="V1679" t="s">
        <v>1167</v>
      </c>
      <c r="W1679" s="24">
        <v>44924</v>
      </c>
      <c r="X1679" s="238" t="s">
        <v>3960</v>
      </c>
      <c r="Y1679" s="238" t="s">
        <v>39</v>
      </c>
      <c r="Z1679" s="238" t="s">
        <v>1340</v>
      </c>
      <c r="AA1679" t="s">
        <v>3113</v>
      </c>
      <c r="AB1679" s="238" t="s">
        <v>3246</v>
      </c>
      <c r="AC1679" t="s">
        <v>1167</v>
      </c>
      <c r="AD1679" s="24"/>
      <c r="AE1679" s="238" t="s">
        <v>3961</v>
      </c>
      <c r="AF1679">
        <v>79021582190</v>
      </c>
      <c r="AG1679" s="238" t="s">
        <v>3962</v>
      </c>
      <c r="AH1679" s="238" t="s">
        <v>1212</v>
      </c>
      <c r="AI1679" s="238" t="s">
        <v>135</v>
      </c>
      <c r="AJ1679" s="238" t="s">
        <v>3901</v>
      </c>
      <c r="AK1679" s="238" t="s">
        <v>1167</v>
      </c>
      <c r="AL1679" t="s">
        <v>8715</v>
      </c>
      <c r="AM1679" t="s">
        <v>1167</v>
      </c>
    </row>
    <row r="1680" spans="1:39" hidden="1" x14ac:dyDescent="0.25">
      <c r="A1680">
        <v>1676</v>
      </c>
      <c r="B1680">
        <v>51</v>
      </c>
      <c r="C1680" s="24">
        <v>44925</v>
      </c>
      <c r="D1680" s="238" t="s">
        <v>91</v>
      </c>
      <c r="E1680" s="238" t="s">
        <v>5</v>
      </c>
      <c r="F1680">
        <v>8</v>
      </c>
      <c r="G1680">
        <v>5</v>
      </c>
      <c r="H1680">
        <v>152</v>
      </c>
      <c r="I1680" s="238" t="s">
        <v>42</v>
      </c>
      <c r="J1680">
        <v>33.79</v>
      </c>
      <c r="K1680" s="238" t="s">
        <v>36</v>
      </c>
      <c r="L1680">
        <v>2732661.63</v>
      </c>
      <c r="M1680">
        <v>0</v>
      </c>
      <c r="N1680">
        <v>2732661.63</v>
      </c>
      <c r="O1680">
        <v>80871.903817697545</v>
      </c>
      <c r="P1680">
        <v>0</v>
      </c>
      <c r="Q1680">
        <v>2732661.63</v>
      </c>
      <c r="R1680">
        <v>80871.903817697545</v>
      </c>
      <c r="S1680" s="238" t="s">
        <v>124</v>
      </c>
      <c r="T1680" s="238" t="s">
        <v>3540</v>
      </c>
      <c r="U1680">
        <v>143824.29631578829</v>
      </c>
      <c r="V1680" t="s">
        <v>1167</v>
      </c>
      <c r="W1680" s="24">
        <v>44925</v>
      </c>
      <c r="X1680" s="238" t="s">
        <v>3963</v>
      </c>
      <c r="Y1680" s="238" t="s">
        <v>39</v>
      </c>
      <c r="Z1680" s="238" t="s">
        <v>1340</v>
      </c>
      <c r="AA1680" t="s">
        <v>3113</v>
      </c>
      <c r="AB1680" s="238" t="s">
        <v>3246</v>
      </c>
      <c r="AC1680" t="s">
        <v>1167</v>
      </c>
      <c r="AD1680" s="24">
        <v>45400</v>
      </c>
      <c r="AE1680" s="238" t="s">
        <v>7726</v>
      </c>
      <c r="AF1680">
        <v>79292162050</v>
      </c>
      <c r="AG1680" s="238" t="s">
        <v>7727</v>
      </c>
      <c r="AH1680" s="238" t="s">
        <v>1197</v>
      </c>
      <c r="AI1680" s="238" t="s">
        <v>3084</v>
      </c>
      <c r="AJ1680" s="238" t="s">
        <v>399</v>
      </c>
      <c r="AK1680" s="238" t="s">
        <v>1167</v>
      </c>
      <c r="AL1680" t="s">
        <v>8715</v>
      </c>
      <c r="AM1680" t="s">
        <v>1167</v>
      </c>
    </row>
    <row r="1681" spans="1:39" hidden="1" x14ac:dyDescent="0.25">
      <c r="A1681">
        <v>1677</v>
      </c>
      <c r="B1681">
        <v>1</v>
      </c>
      <c r="C1681" s="24">
        <v>44939</v>
      </c>
      <c r="D1681" s="238" t="s">
        <v>91</v>
      </c>
      <c r="E1681" s="238" t="s">
        <v>6</v>
      </c>
      <c r="F1681">
        <v>5</v>
      </c>
      <c r="G1681">
        <v>7</v>
      </c>
      <c r="H1681">
        <v>45</v>
      </c>
      <c r="I1681" s="238" t="s">
        <v>43</v>
      </c>
      <c r="J1681">
        <v>54.66</v>
      </c>
      <c r="K1681" s="238" t="s">
        <v>37</v>
      </c>
      <c r="L1681">
        <v>4315364.91</v>
      </c>
      <c r="M1681">
        <v>0</v>
      </c>
      <c r="N1681">
        <v>4315364.91</v>
      </c>
      <c r="O1681">
        <v>78949.229967069157</v>
      </c>
      <c r="P1681">
        <v>218639.99999999767</v>
      </c>
      <c r="Q1681">
        <v>4096724.9100000025</v>
      </c>
      <c r="R1681">
        <v>74949.229967069201</v>
      </c>
      <c r="S1681" s="238" t="s">
        <v>137</v>
      </c>
      <c r="T1681" s="238" t="s">
        <v>1167</v>
      </c>
      <c r="V1681" t="s">
        <v>4091</v>
      </c>
      <c r="W1681" s="24">
        <v>44917</v>
      </c>
      <c r="X1681" s="238" t="s">
        <v>3965</v>
      </c>
      <c r="Y1681" s="238" t="s">
        <v>39</v>
      </c>
      <c r="Z1681" s="238" t="s">
        <v>1340</v>
      </c>
      <c r="AA1681" t="s">
        <v>3113</v>
      </c>
      <c r="AB1681" s="238" t="s">
        <v>3246</v>
      </c>
      <c r="AC1681" t="s">
        <v>3079</v>
      </c>
      <c r="AD1681" s="24"/>
      <c r="AE1681" s="238" t="s">
        <v>3966</v>
      </c>
      <c r="AF1681">
        <v>79991721700</v>
      </c>
      <c r="AG1681" s="238" t="s">
        <v>3967</v>
      </c>
      <c r="AH1681" s="238" t="s">
        <v>1212</v>
      </c>
      <c r="AI1681" s="238" t="s">
        <v>3084</v>
      </c>
      <c r="AJ1681" s="238" t="s">
        <v>130</v>
      </c>
      <c r="AK1681" s="238" t="s">
        <v>141</v>
      </c>
      <c r="AL1681" t="s">
        <v>8715</v>
      </c>
      <c r="AM1681" t="s">
        <v>3663</v>
      </c>
    </row>
    <row r="1682" spans="1:39" hidden="1" x14ac:dyDescent="0.25">
      <c r="A1682">
        <v>1678</v>
      </c>
      <c r="B1682">
        <v>2</v>
      </c>
      <c r="C1682" s="24">
        <v>44942</v>
      </c>
      <c r="D1682" s="238" t="s">
        <v>91</v>
      </c>
      <c r="E1682" s="238" t="s">
        <v>6</v>
      </c>
      <c r="F1682">
        <v>4</v>
      </c>
      <c r="G1682">
        <v>6</v>
      </c>
      <c r="H1682">
        <v>36</v>
      </c>
      <c r="I1682" s="238" t="s">
        <v>43</v>
      </c>
      <c r="J1682">
        <v>56.03</v>
      </c>
      <c r="K1682" s="238" t="s">
        <v>37</v>
      </c>
      <c r="L1682">
        <v>4213555.09</v>
      </c>
      <c r="M1682">
        <v>0</v>
      </c>
      <c r="N1682">
        <v>4213555.09</v>
      </c>
      <c r="O1682">
        <v>75201.768516865966</v>
      </c>
      <c r="P1682">
        <v>224119.99999999814</v>
      </c>
      <c r="Q1682">
        <v>3989435.0900000017</v>
      </c>
      <c r="R1682">
        <v>71201.768516865995</v>
      </c>
      <c r="S1682" s="238" t="s">
        <v>137</v>
      </c>
      <c r="T1682" s="238" t="s">
        <v>3540</v>
      </c>
      <c r="U1682">
        <v>209970.26789473742</v>
      </c>
      <c r="V1682" t="s">
        <v>4092</v>
      </c>
      <c r="W1682" s="24">
        <v>44938</v>
      </c>
      <c r="X1682" s="238" t="s">
        <v>3968</v>
      </c>
      <c r="Y1682" s="238" t="s">
        <v>39</v>
      </c>
      <c r="Z1682" s="238" t="s">
        <v>1340</v>
      </c>
      <c r="AA1682" t="s">
        <v>3113</v>
      </c>
      <c r="AB1682" s="238" t="s">
        <v>3246</v>
      </c>
      <c r="AC1682" t="s">
        <v>3079</v>
      </c>
      <c r="AD1682" s="24"/>
      <c r="AE1682" s="238" t="s">
        <v>3969</v>
      </c>
      <c r="AF1682">
        <v>79874344367</v>
      </c>
      <c r="AG1682" s="238" t="s">
        <v>3970</v>
      </c>
      <c r="AH1682" s="238" t="s">
        <v>135</v>
      </c>
      <c r="AI1682" s="238" t="s">
        <v>3075</v>
      </c>
      <c r="AJ1682" s="238" t="s">
        <v>3901</v>
      </c>
      <c r="AK1682" s="238" t="s">
        <v>3345</v>
      </c>
      <c r="AL1682" t="s">
        <v>8715</v>
      </c>
      <c r="AM1682" t="s">
        <v>3663</v>
      </c>
    </row>
    <row r="1683" spans="1:39" hidden="1" x14ac:dyDescent="0.25">
      <c r="A1683">
        <v>1679</v>
      </c>
      <c r="B1683">
        <v>3</v>
      </c>
      <c r="C1683" s="24">
        <v>44942</v>
      </c>
      <c r="D1683" s="238" t="s">
        <v>27</v>
      </c>
      <c r="E1683" s="238" t="s">
        <v>6</v>
      </c>
      <c r="F1683">
        <v>8</v>
      </c>
      <c r="G1683">
        <v>21</v>
      </c>
      <c r="H1683">
        <v>179</v>
      </c>
      <c r="I1683" s="238" t="s">
        <v>42</v>
      </c>
      <c r="J1683">
        <v>37.69</v>
      </c>
      <c r="K1683" s="238" t="s">
        <v>37</v>
      </c>
      <c r="L1683">
        <v>3792334.03</v>
      </c>
      <c r="M1683">
        <v>0</v>
      </c>
      <c r="N1683">
        <v>3792334.03</v>
      </c>
      <c r="O1683">
        <v>100619.10400636774</v>
      </c>
      <c r="P1683">
        <v>150760.00000000093</v>
      </c>
      <c r="Q1683">
        <v>3641574.0299999989</v>
      </c>
      <c r="R1683">
        <v>96619.104006367706</v>
      </c>
      <c r="S1683" s="238" t="s">
        <v>121</v>
      </c>
      <c r="T1683" s="238" t="s">
        <v>3540</v>
      </c>
      <c r="U1683">
        <v>191661.79105263157</v>
      </c>
      <c r="V1683" t="s">
        <v>1167</v>
      </c>
      <c r="W1683" s="24">
        <v>44938</v>
      </c>
      <c r="X1683" s="238" t="s">
        <v>3971</v>
      </c>
      <c r="Y1683" s="238" t="s">
        <v>39</v>
      </c>
      <c r="Z1683" s="238" t="s">
        <v>1340</v>
      </c>
      <c r="AA1683" t="s">
        <v>3113</v>
      </c>
      <c r="AB1683" s="238" t="s">
        <v>3246</v>
      </c>
      <c r="AC1683" t="s">
        <v>1167</v>
      </c>
      <c r="AD1683" s="24"/>
      <c r="AE1683" s="238" t="s">
        <v>3972</v>
      </c>
      <c r="AF1683">
        <v>79171502786</v>
      </c>
      <c r="AG1683" s="238" t="s">
        <v>3973</v>
      </c>
      <c r="AH1683" s="238" t="s">
        <v>1171</v>
      </c>
      <c r="AI1683" s="238" t="s">
        <v>3074</v>
      </c>
      <c r="AJ1683" s="238" t="s">
        <v>3901</v>
      </c>
      <c r="AK1683" s="238" t="s">
        <v>1167</v>
      </c>
      <c r="AL1683" t="s">
        <v>8715</v>
      </c>
      <c r="AM1683" t="s">
        <v>1167</v>
      </c>
    </row>
    <row r="1684" spans="1:39" hidden="1" x14ac:dyDescent="0.25">
      <c r="A1684">
        <v>1680</v>
      </c>
      <c r="B1684">
        <v>4</v>
      </c>
      <c r="C1684" s="24">
        <v>44945</v>
      </c>
      <c r="D1684" s="238" t="s">
        <v>27</v>
      </c>
      <c r="E1684" s="238" t="s">
        <v>13</v>
      </c>
      <c r="F1684">
        <v>9</v>
      </c>
      <c r="G1684">
        <v>10</v>
      </c>
      <c r="H1684">
        <v>911</v>
      </c>
      <c r="I1684" s="238" t="s">
        <v>4052</v>
      </c>
      <c r="J1684">
        <v>23.09</v>
      </c>
      <c r="K1684" s="238" t="s">
        <v>38</v>
      </c>
      <c r="L1684">
        <v>2468085.5099999998</v>
      </c>
      <c r="M1684">
        <v>0</v>
      </c>
      <c r="N1684">
        <v>2468085.5099999998</v>
      </c>
      <c r="O1684">
        <v>106889.80121264615</v>
      </c>
      <c r="P1684">
        <v>346350</v>
      </c>
      <c r="Q1684">
        <v>2121735.5099999998</v>
      </c>
      <c r="R1684">
        <v>91889.801212646154</v>
      </c>
      <c r="S1684" s="238" t="s">
        <v>137</v>
      </c>
      <c r="T1684" s="238" t="s">
        <v>3390</v>
      </c>
      <c r="U1684">
        <v>150000</v>
      </c>
      <c r="V1684" t="s">
        <v>4091</v>
      </c>
      <c r="W1684" s="24">
        <v>44941</v>
      </c>
      <c r="X1684" s="238" t="s">
        <v>3974</v>
      </c>
      <c r="Y1684" s="238" t="s">
        <v>39</v>
      </c>
      <c r="Z1684" s="238" t="s">
        <v>1340</v>
      </c>
      <c r="AA1684" t="s">
        <v>3113</v>
      </c>
      <c r="AB1684" s="238" t="s">
        <v>3246</v>
      </c>
      <c r="AC1684" t="s">
        <v>3079</v>
      </c>
      <c r="AD1684" s="24"/>
      <c r="AE1684" s="238" t="s">
        <v>3975</v>
      </c>
      <c r="AF1684">
        <v>79957912014</v>
      </c>
      <c r="AG1684" s="238" t="s">
        <v>3976</v>
      </c>
      <c r="AH1684" s="238" t="s">
        <v>1212</v>
      </c>
      <c r="AI1684" s="238" t="s">
        <v>135</v>
      </c>
      <c r="AJ1684" s="238" t="s">
        <v>399</v>
      </c>
      <c r="AK1684" s="238" t="s">
        <v>3345</v>
      </c>
      <c r="AL1684" t="s">
        <v>8715</v>
      </c>
      <c r="AM1684" t="s">
        <v>1167</v>
      </c>
    </row>
    <row r="1685" spans="1:39" hidden="1" x14ac:dyDescent="0.25">
      <c r="A1685">
        <v>1681</v>
      </c>
      <c r="B1685">
        <v>5</v>
      </c>
      <c r="C1685" s="24">
        <v>44945</v>
      </c>
      <c r="D1685" s="238" t="s">
        <v>91</v>
      </c>
      <c r="E1685" s="238" t="s">
        <v>6</v>
      </c>
      <c r="F1685">
        <v>8</v>
      </c>
      <c r="G1685">
        <v>16</v>
      </c>
      <c r="H1685">
        <v>120</v>
      </c>
      <c r="I1685" s="238" t="s">
        <v>4052</v>
      </c>
      <c r="J1685">
        <v>21.73</v>
      </c>
      <c r="K1685" s="238" t="s">
        <v>38</v>
      </c>
      <c r="L1685">
        <v>2198886.6800000002</v>
      </c>
      <c r="M1685">
        <v>0</v>
      </c>
      <c r="N1685">
        <v>2198886.6800000002</v>
      </c>
      <c r="O1685">
        <v>101191.28762080074</v>
      </c>
      <c r="P1685">
        <v>478060.00000000023</v>
      </c>
      <c r="Q1685">
        <v>1720826.68</v>
      </c>
      <c r="R1685">
        <v>79191.287620800736</v>
      </c>
      <c r="S1685" s="238" t="s">
        <v>121</v>
      </c>
      <c r="T1685" s="238" t="s">
        <v>3540</v>
      </c>
      <c r="U1685">
        <v>90569.83</v>
      </c>
      <c r="V1685" t="s">
        <v>1167</v>
      </c>
      <c r="W1685" s="24">
        <v>44943</v>
      </c>
      <c r="X1685" s="238" t="s">
        <v>3977</v>
      </c>
      <c r="Y1685" s="238" t="s">
        <v>39</v>
      </c>
      <c r="Z1685" s="238" t="s">
        <v>1340</v>
      </c>
      <c r="AA1685" t="s">
        <v>3113</v>
      </c>
      <c r="AB1685" s="238" t="s">
        <v>3246</v>
      </c>
      <c r="AC1685" t="s">
        <v>1167</v>
      </c>
      <c r="AD1685" s="24"/>
      <c r="AE1685" s="238" t="s">
        <v>3978</v>
      </c>
      <c r="AF1685">
        <v>79277782855</v>
      </c>
      <c r="AG1685" s="238" t="s">
        <v>3979</v>
      </c>
      <c r="AH1685" s="238" t="s">
        <v>1212</v>
      </c>
      <c r="AI1685" s="238" t="s">
        <v>135</v>
      </c>
      <c r="AJ1685" s="238" t="s">
        <v>3901</v>
      </c>
      <c r="AK1685" s="238" t="s">
        <v>1167</v>
      </c>
      <c r="AL1685" t="s">
        <v>8715</v>
      </c>
      <c r="AM1685" t="s">
        <v>7677</v>
      </c>
    </row>
    <row r="1686" spans="1:39" hidden="1" x14ac:dyDescent="0.25">
      <c r="A1686">
        <v>1682</v>
      </c>
      <c r="B1686">
        <v>6</v>
      </c>
      <c r="C1686" s="24">
        <v>44948</v>
      </c>
      <c r="D1686" s="238" t="s">
        <v>27</v>
      </c>
      <c r="E1686" s="238" t="s">
        <v>5</v>
      </c>
      <c r="F1686">
        <v>3</v>
      </c>
      <c r="G1686">
        <v>23</v>
      </c>
      <c r="H1686">
        <v>378</v>
      </c>
      <c r="I1686" s="238" t="s">
        <v>4052</v>
      </c>
      <c r="J1686">
        <v>23.54</v>
      </c>
      <c r="K1686" s="238" t="s">
        <v>38</v>
      </c>
      <c r="L1686">
        <v>2696848.6</v>
      </c>
      <c r="M1686">
        <v>0</v>
      </c>
      <c r="N1686">
        <v>2696848.6</v>
      </c>
      <c r="O1686">
        <v>114564.51146983859</v>
      </c>
      <c r="P1686">
        <v>353099.99999999953</v>
      </c>
      <c r="Q1686">
        <v>2343748.6000000006</v>
      </c>
      <c r="R1686">
        <v>99564.511469838602</v>
      </c>
      <c r="S1686" s="238" t="s">
        <v>137</v>
      </c>
      <c r="T1686" s="238" t="s">
        <v>3390</v>
      </c>
      <c r="U1686">
        <v>100000</v>
      </c>
      <c r="V1686" t="s">
        <v>4091</v>
      </c>
      <c r="W1686" s="24">
        <v>44944</v>
      </c>
      <c r="X1686" s="238" t="s">
        <v>3980</v>
      </c>
      <c r="Y1686" s="238" t="s">
        <v>39</v>
      </c>
      <c r="Z1686" s="238" t="s">
        <v>1340</v>
      </c>
      <c r="AA1686" t="s">
        <v>3113</v>
      </c>
      <c r="AB1686" s="238" t="s">
        <v>3246</v>
      </c>
      <c r="AC1686" t="s">
        <v>3079</v>
      </c>
      <c r="AD1686" s="24"/>
      <c r="AE1686" s="238" t="s">
        <v>3981</v>
      </c>
      <c r="AF1686">
        <v>79379948217</v>
      </c>
      <c r="AG1686" s="238" t="s">
        <v>3982</v>
      </c>
      <c r="AH1686" s="238" t="s">
        <v>137</v>
      </c>
      <c r="AI1686" s="238" t="s">
        <v>3114</v>
      </c>
      <c r="AJ1686" s="238" t="s">
        <v>130</v>
      </c>
      <c r="AK1686" s="238" t="s">
        <v>3345</v>
      </c>
      <c r="AL1686" t="s">
        <v>8715</v>
      </c>
      <c r="AM1686" t="s">
        <v>3663</v>
      </c>
    </row>
    <row r="1687" spans="1:39" hidden="1" x14ac:dyDescent="0.25">
      <c r="A1687">
        <v>1683</v>
      </c>
      <c r="B1687">
        <v>7</v>
      </c>
      <c r="C1687" s="24">
        <v>44949</v>
      </c>
      <c r="D1687" s="238" t="s">
        <v>91</v>
      </c>
      <c r="E1687" s="238" t="s">
        <v>16</v>
      </c>
      <c r="F1687">
        <v>5</v>
      </c>
      <c r="G1687">
        <v>11</v>
      </c>
      <c r="H1687">
        <v>308</v>
      </c>
      <c r="I1687" s="238" t="s">
        <v>43</v>
      </c>
      <c r="J1687">
        <v>56.7</v>
      </c>
      <c r="K1687" s="238" t="s">
        <v>38</v>
      </c>
      <c r="L1687">
        <v>4303520.28</v>
      </c>
      <c r="M1687">
        <v>0</v>
      </c>
      <c r="N1687">
        <v>4303520.28</v>
      </c>
      <c r="O1687">
        <v>75899.828571428574</v>
      </c>
      <c r="P1687">
        <v>226800</v>
      </c>
      <c r="Q1687">
        <v>4076720.2800000003</v>
      </c>
      <c r="R1687">
        <v>71899.828571428574</v>
      </c>
      <c r="S1687" s="238" t="s">
        <v>121</v>
      </c>
      <c r="T1687" s="238" t="s">
        <v>978</v>
      </c>
      <c r="U1687">
        <v>214564.23</v>
      </c>
      <c r="V1687" t="s">
        <v>1167</v>
      </c>
      <c r="W1687" s="24">
        <v>44908</v>
      </c>
      <c r="X1687" s="238" t="s">
        <v>3984</v>
      </c>
      <c r="Y1687" s="238" t="s">
        <v>39</v>
      </c>
      <c r="Z1687" s="238" t="s">
        <v>1168</v>
      </c>
      <c r="AA1687" t="s">
        <v>1167</v>
      </c>
      <c r="AB1687" s="238" t="s">
        <v>3246</v>
      </c>
      <c r="AC1687" t="s">
        <v>1167</v>
      </c>
      <c r="AD1687" s="24"/>
      <c r="AE1687" s="238" t="s">
        <v>3985</v>
      </c>
      <c r="AF1687">
        <v>79273891398</v>
      </c>
      <c r="AG1687" s="238" t="s">
        <v>3986</v>
      </c>
      <c r="AH1687" s="238" t="s">
        <v>146</v>
      </c>
      <c r="AI1687" s="238" t="s">
        <v>135</v>
      </c>
      <c r="AJ1687" s="238" t="s">
        <v>130</v>
      </c>
      <c r="AK1687" s="238" t="s">
        <v>1167</v>
      </c>
      <c r="AL1687" t="s">
        <v>8715</v>
      </c>
      <c r="AM1687" t="s">
        <v>4546</v>
      </c>
    </row>
    <row r="1688" spans="1:39" hidden="1" x14ac:dyDescent="0.25">
      <c r="A1688">
        <v>1684</v>
      </c>
      <c r="B1688">
        <v>8</v>
      </c>
      <c r="C1688" s="24">
        <v>44949</v>
      </c>
      <c r="D1688" s="238" t="s">
        <v>91</v>
      </c>
      <c r="E1688" s="238" t="s">
        <v>6</v>
      </c>
      <c r="F1688">
        <v>8</v>
      </c>
      <c r="G1688">
        <v>11</v>
      </c>
      <c r="H1688">
        <v>80</v>
      </c>
      <c r="I1688" s="238" t="s">
        <v>4052</v>
      </c>
      <c r="J1688">
        <v>21.73</v>
      </c>
      <c r="K1688" s="238" t="s">
        <v>37</v>
      </c>
      <c r="L1688">
        <v>1898316.5</v>
      </c>
      <c r="M1688">
        <v>0</v>
      </c>
      <c r="N1688">
        <v>1898316.5</v>
      </c>
      <c r="O1688">
        <v>87359.249884951685</v>
      </c>
      <c r="P1688">
        <v>86920</v>
      </c>
      <c r="Q1688">
        <v>1811396.5</v>
      </c>
      <c r="R1688">
        <v>83359.249884951685</v>
      </c>
      <c r="S1688" s="238" t="s">
        <v>137</v>
      </c>
      <c r="T1688" s="238" t="s">
        <v>1167</v>
      </c>
      <c r="V1688" t="s">
        <v>4091</v>
      </c>
      <c r="W1688" s="24">
        <v>44943</v>
      </c>
      <c r="X1688" s="238" t="s">
        <v>3987</v>
      </c>
      <c r="Y1688" s="238" t="s">
        <v>39</v>
      </c>
      <c r="Z1688" s="238" t="s">
        <v>1340</v>
      </c>
      <c r="AA1688" t="s">
        <v>3113</v>
      </c>
      <c r="AB1688" s="238" t="s">
        <v>3246</v>
      </c>
      <c r="AC1688" t="s">
        <v>3079</v>
      </c>
      <c r="AD1688" s="24"/>
      <c r="AE1688" s="238" t="s">
        <v>3988</v>
      </c>
      <c r="AF1688">
        <v>79869539855</v>
      </c>
      <c r="AG1688" s="238" t="s">
        <v>3989</v>
      </c>
      <c r="AH1688" s="238" t="s">
        <v>1212</v>
      </c>
      <c r="AI1688" s="238" t="s">
        <v>3074</v>
      </c>
      <c r="AJ1688" s="238" t="s">
        <v>3901</v>
      </c>
      <c r="AK1688" s="238" t="s">
        <v>3345</v>
      </c>
      <c r="AL1688" t="s">
        <v>8715</v>
      </c>
      <c r="AM1688" t="s">
        <v>3663</v>
      </c>
    </row>
    <row r="1689" spans="1:39" hidden="1" x14ac:dyDescent="0.25">
      <c r="A1689">
        <v>1685</v>
      </c>
      <c r="B1689">
        <v>9</v>
      </c>
      <c r="C1689" s="24">
        <v>44950</v>
      </c>
      <c r="D1689" s="238" t="s">
        <v>91</v>
      </c>
      <c r="E1689" s="238" t="s">
        <v>15</v>
      </c>
      <c r="F1689">
        <v>3</v>
      </c>
      <c r="G1689">
        <v>11</v>
      </c>
      <c r="H1689">
        <v>485</v>
      </c>
      <c r="I1689" s="238" t="s">
        <v>44</v>
      </c>
      <c r="J1689">
        <v>74.28</v>
      </c>
      <c r="K1689" s="238" t="s">
        <v>37</v>
      </c>
      <c r="L1689">
        <v>5270229.92</v>
      </c>
      <c r="M1689">
        <v>0</v>
      </c>
      <c r="N1689">
        <v>5270229.92</v>
      </c>
      <c r="O1689">
        <v>70950.860527732904</v>
      </c>
      <c r="P1689">
        <v>297120</v>
      </c>
      <c r="Q1689">
        <v>4973109.92</v>
      </c>
      <c r="R1689">
        <v>66950.860527732904</v>
      </c>
      <c r="S1689" s="238" t="s">
        <v>137</v>
      </c>
      <c r="T1689" s="238" t="s">
        <v>3540</v>
      </c>
      <c r="U1689">
        <v>261742.63</v>
      </c>
      <c r="V1689" t="s">
        <v>4091</v>
      </c>
      <c r="W1689" s="24">
        <v>44945</v>
      </c>
      <c r="X1689" s="238" t="s">
        <v>3991</v>
      </c>
      <c r="Y1689" s="238" t="s">
        <v>39</v>
      </c>
      <c r="Z1689" s="238" t="s">
        <v>1340</v>
      </c>
      <c r="AA1689" t="s">
        <v>3113</v>
      </c>
      <c r="AB1689" s="238" t="s">
        <v>3246</v>
      </c>
      <c r="AC1689" t="s">
        <v>3079</v>
      </c>
      <c r="AD1689" s="24"/>
      <c r="AE1689" s="238" t="s">
        <v>3992</v>
      </c>
      <c r="AF1689">
        <v>79963421639</v>
      </c>
      <c r="AG1689" s="238" t="s">
        <v>3993</v>
      </c>
      <c r="AH1689" s="238" t="s">
        <v>1212</v>
      </c>
      <c r="AI1689" s="238" t="s">
        <v>135</v>
      </c>
      <c r="AJ1689" s="238" t="s">
        <v>130</v>
      </c>
      <c r="AK1689" s="238" t="s">
        <v>3345</v>
      </c>
      <c r="AL1689" t="s">
        <v>8715</v>
      </c>
      <c r="AM1689" t="s">
        <v>3663</v>
      </c>
    </row>
    <row r="1690" spans="1:39" hidden="1" x14ac:dyDescent="0.25">
      <c r="A1690">
        <v>1686</v>
      </c>
      <c r="B1690">
        <v>10</v>
      </c>
      <c r="C1690" s="24">
        <v>44952</v>
      </c>
      <c r="D1690" s="238" t="s">
        <v>91</v>
      </c>
      <c r="E1690" s="238" t="s">
        <v>16</v>
      </c>
      <c r="F1690">
        <v>5</v>
      </c>
      <c r="G1690">
        <v>6</v>
      </c>
      <c r="H1690">
        <v>273</v>
      </c>
      <c r="I1690" s="238" t="s">
        <v>43</v>
      </c>
      <c r="J1690">
        <v>56.7</v>
      </c>
      <c r="K1690" s="238" t="s">
        <v>37</v>
      </c>
      <c r="L1690">
        <v>4303520.28</v>
      </c>
      <c r="M1690">
        <v>0</v>
      </c>
      <c r="N1690">
        <v>4303520.28</v>
      </c>
      <c r="O1690">
        <v>75899.828571428574</v>
      </c>
      <c r="P1690">
        <v>226800</v>
      </c>
      <c r="Q1690">
        <v>4076720.2800000003</v>
      </c>
      <c r="R1690">
        <v>71899.828571428574</v>
      </c>
      <c r="S1690" s="238" t="s">
        <v>137</v>
      </c>
      <c r="T1690" s="238" t="s">
        <v>3540</v>
      </c>
      <c r="U1690">
        <v>214564.23</v>
      </c>
      <c r="V1690" t="s">
        <v>4091</v>
      </c>
      <c r="W1690" s="24">
        <v>44940</v>
      </c>
      <c r="X1690" s="238" t="s">
        <v>3994</v>
      </c>
      <c r="Y1690" s="238" t="s">
        <v>39</v>
      </c>
      <c r="Z1690" s="238" t="s">
        <v>1340</v>
      </c>
      <c r="AA1690" t="s">
        <v>3113</v>
      </c>
      <c r="AB1690" s="238" t="s">
        <v>3246</v>
      </c>
      <c r="AC1690" t="s">
        <v>3079</v>
      </c>
      <c r="AD1690" s="24"/>
      <c r="AE1690" s="238" t="s">
        <v>3995</v>
      </c>
      <c r="AF1690">
        <v>79874148713</v>
      </c>
      <c r="AG1690" s="238" t="s">
        <v>3996</v>
      </c>
      <c r="AH1690" s="238" t="s">
        <v>1212</v>
      </c>
      <c r="AI1690" s="238" t="s">
        <v>135</v>
      </c>
      <c r="AJ1690" s="238" t="s">
        <v>130</v>
      </c>
      <c r="AK1690" s="238" t="s">
        <v>3345</v>
      </c>
      <c r="AL1690" t="s">
        <v>8715</v>
      </c>
      <c r="AM1690" t="s">
        <v>3663</v>
      </c>
    </row>
    <row r="1691" spans="1:39" hidden="1" x14ac:dyDescent="0.25">
      <c r="A1691">
        <v>1687</v>
      </c>
      <c r="B1691">
        <v>11</v>
      </c>
      <c r="C1691" s="24">
        <v>44952</v>
      </c>
      <c r="D1691" s="238" t="s">
        <v>27</v>
      </c>
      <c r="E1691" s="238" t="s">
        <v>6</v>
      </c>
      <c r="F1691">
        <v>4</v>
      </c>
      <c r="G1691">
        <v>12</v>
      </c>
      <c r="H1691">
        <v>94</v>
      </c>
      <c r="I1691" s="238" t="s">
        <v>4052</v>
      </c>
      <c r="J1691">
        <v>24.39</v>
      </c>
      <c r="K1691" s="238" t="s">
        <v>36</v>
      </c>
      <c r="L1691">
        <v>2235516.63</v>
      </c>
      <c r="M1691">
        <v>0</v>
      </c>
      <c r="N1691">
        <v>2235516.63</v>
      </c>
      <c r="O1691">
        <v>91657.098400984003</v>
      </c>
      <c r="P1691">
        <v>0</v>
      </c>
      <c r="Q1691">
        <v>2235516.63</v>
      </c>
      <c r="R1691">
        <v>91657.098400984003</v>
      </c>
      <c r="S1691" s="238" t="s">
        <v>137</v>
      </c>
      <c r="T1691" s="238" t="s">
        <v>3390</v>
      </c>
      <c r="U1691">
        <v>150000</v>
      </c>
      <c r="V1691" t="s">
        <v>4091</v>
      </c>
      <c r="W1691" s="24">
        <v>44948</v>
      </c>
      <c r="X1691" s="238" t="s">
        <v>3997</v>
      </c>
      <c r="Y1691" s="238" t="s">
        <v>39</v>
      </c>
      <c r="Z1691" s="238" t="s">
        <v>1340</v>
      </c>
      <c r="AA1691" t="s">
        <v>3113</v>
      </c>
      <c r="AB1691" s="238" t="s">
        <v>3246</v>
      </c>
      <c r="AC1691" t="s">
        <v>3079</v>
      </c>
      <c r="AD1691" s="24"/>
      <c r="AE1691" s="238" t="s">
        <v>3998</v>
      </c>
      <c r="AF1691">
        <v>79379837580</v>
      </c>
      <c r="AG1691" s="238" t="s">
        <v>3999</v>
      </c>
      <c r="AH1691" s="238" t="s">
        <v>1171</v>
      </c>
      <c r="AI1691" s="238" t="s">
        <v>3074</v>
      </c>
      <c r="AJ1691" s="238" t="s">
        <v>130</v>
      </c>
      <c r="AK1691" s="238" t="s">
        <v>141</v>
      </c>
      <c r="AL1691" t="s">
        <v>8715</v>
      </c>
      <c r="AM1691" t="s">
        <v>1167</v>
      </c>
    </row>
    <row r="1692" spans="1:39" hidden="1" x14ac:dyDescent="0.25">
      <c r="A1692">
        <v>1688</v>
      </c>
      <c r="B1692">
        <v>12</v>
      </c>
      <c r="C1692" s="24">
        <v>44953</v>
      </c>
      <c r="D1692" s="238" t="s">
        <v>91</v>
      </c>
      <c r="E1692" s="238" t="s">
        <v>5</v>
      </c>
      <c r="F1692">
        <v>3</v>
      </c>
      <c r="G1692">
        <v>13</v>
      </c>
      <c r="H1692">
        <v>211</v>
      </c>
      <c r="I1692" s="238" t="s">
        <v>42</v>
      </c>
      <c r="J1692">
        <v>35.380000000000003</v>
      </c>
      <c r="K1692" s="238" t="s">
        <v>37</v>
      </c>
      <c r="L1692">
        <v>3213000.38</v>
      </c>
      <c r="M1692">
        <v>0</v>
      </c>
      <c r="N1692">
        <v>3213000.38</v>
      </c>
      <c r="O1692">
        <v>90814.029960429616</v>
      </c>
      <c r="P1692">
        <v>141520.00000000047</v>
      </c>
      <c r="Q1692">
        <v>3071480.3799999994</v>
      </c>
      <c r="R1692">
        <v>86814.029960429601</v>
      </c>
      <c r="S1692" s="238" t="s">
        <v>137</v>
      </c>
      <c r="T1692" s="238" t="s">
        <v>1167</v>
      </c>
      <c r="V1692" t="s">
        <v>4092</v>
      </c>
      <c r="W1692" s="24">
        <v>44944</v>
      </c>
      <c r="X1692" s="238" t="s">
        <v>4000</v>
      </c>
      <c r="Y1692" s="238" t="s">
        <v>39</v>
      </c>
      <c r="Z1692" s="238" t="s">
        <v>1340</v>
      </c>
      <c r="AA1692" t="s">
        <v>3113</v>
      </c>
      <c r="AB1692" s="238" t="s">
        <v>3246</v>
      </c>
      <c r="AC1692" t="s">
        <v>3079</v>
      </c>
      <c r="AD1692" s="24"/>
      <c r="AE1692" s="238" t="s">
        <v>4001</v>
      </c>
      <c r="AF1692">
        <v>79171076962</v>
      </c>
      <c r="AG1692" s="238" t="s">
        <v>4002</v>
      </c>
      <c r="AH1692" s="238" t="s">
        <v>1212</v>
      </c>
      <c r="AI1692" s="238" t="s">
        <v>3102</v>
      </c>
      <c r="AJ1692" s="238" t="s">
        <v>3901</v>
      </c>
      <c r="AK1692" s="238" t="s">
        <v>141</v>
      </c>
      <c r="AL1692" t="s">
        <v>8715</v>
      </c>
      <c r="AM1692" t="s">
        <v>3663</v>
      </c>
    </row>
    <row r="1693" spans="1:39" hidden="1" x14ac:dyDescent="0.25">
      <c r="A1693">
        <v>1689</v>
      </c>
      <c r="B1693">
        <v>13</v>
      </c>
      <c r="C1693" s="24">
        <v>44953</v>
      </c>
      <c r="D1693" s="238" t="s">
        <v>91</v>
      </c>
      <c r="E1693" s="238" t="s">
        <v>6</v>
      </c>
      <c r="F1693">
        <v>2</v>
      </c>
      <c r="G1693">
        <v>13</v>
      </c>
      <c r="H1693">
        <v>90</v>
      </c>
      <c r="I1693" s="238" t="s">
        <v>43</v>
      </c>
      <c r="J1693">
        <v>61.76</v>
      </c>
      <c r="K1693" s="238" t="s">
        <v>37</v>
      </c>
      <c r="L1693">
        <v>4687573.41</v>
      </c>
      <c r="M1693">
        <v>0</v>
      </c>
      <c r="N1693">
        <v>4687573.41</v>
      </c>
      <c r="O1693">
        <v>75899.82852979275</v>
      </c>
      <c r="P1693">
        <v>247040</v>
      </c>
      <c r="Q1693">
        <v>4440533.41</v>
      </c>
      <c r="R1693">
        <v>71899.82852979275</v>
      </c>
      <c r="S1693" s="238" t="s">
        <v>137</v>
      </c>
      <c r="T1693" s="238" t="s">
        <v>3540</v>
      </c>
      <c r="U1693">
        <v>233712.28</v>
      </c>
      <c r="V1693" t="s">
        <v>4091</v>
      </c>
      <c r="W1693" s="24">
        <v>44946</v>
      </c>
      <c r="X1693" s="238" t="s">
        <v>4003</v>
      </c>
      <c r="Y1693" s="238" t="s">
        <v>39</v>
      </c>
      <c r="Z1693" s="238" t="s">
        <v>1340</v>
      </c>
      <c r="AA1693" t="s">
        <v>3113</v>
      </c>
      <c r="AB1693" s="238" t="s">
        <v>3246</v>
      </c>
      <c r="AC1693" t="s">
        <v>3079</v>
      </c>
      <c r="AD1693" s="24"/>
      <c r="AE1693" s="238" t="s">
        <v>4004</v>
      </c>
      <c r="AF1693">
        <v>79376561560</v>
      </c>
      <c r="AG1693" s="238" t="s">
        <v>4005</v>
      </c>
      <c r="AH1693" s="238" t="s">
        <v>135</v>
      </c>
      <c r="AI1693" s="238" t="s">
        <v>3099</v>
      </c>
      <c r="AJ1693" s="238" t="s">
        <v>3901</v>
      </c>
      <c r="AK1693" s="238" t="s">
        <v>3345</v>
      </c>
      <c r="AL1693" t="s">
        <v>8715</v>
      </c>
      <c r="AM1693" t="s">
        <v>3663</v>
      </c>
    </row>
    <row r="1694" spans="1:39" hidden="1" x14ac:dyDescent="0.25">
      <c r="A1694">
        <v>1690</v>
      </c>
      <c r="B1694">
        <v>14</v>
      </c>
      <c r="C1694" s="24">
        <v>44953</v>
      </c>
      <c r="D1694" s="238" t="s">
        <v>27</v>
      </c>
      <c r="E1694" s="238" t="s">
        <v>6</v>
      </c>
      <c r="F1694">
        <v>4</v>
      </c>
      <c r="G1694">
        <v>22</v>
      </c>
      <c r="H1694">
        <v>184</v>
      </c>
      <c r="I1694" s="238" t="s">
        <v>4052</v>
      </c>
      <c r="J1694">
        <v>24.39</v>
      </c>
      <c r="K1694" s="238" t="s">
        <v>37</v>
      </c>
      <c r="L1694">
        <v>2332340.2999999998</v>
      </c>
      <c r="M1694">
        <v>0</v>
      </c>
      <c r="N1694">
        <v>2332340.2999999998</v>
      </c>
      <c r="O1694">
        <v>95626.908569085688</v>
      </c>
      <c r="P1694">
        <v>97560</v>
      </c>
      <c r="Q1694">
        <v>2234780.2999999998</v>
      </c>
      <c r="R1694">
        <v>91626.908569085688</v>
      </c>
      <c r="S1694" s="238" t="s">
        <v>137</v>
      </c>
      <c r="T1694" s="238" t="s">
        <v>3390</v>
      </c>
      <c r="U1694">
        <v>150000</v>
      </c>
      <c r="V1694" t="s">
        <v>4091</v>
      </c>
      <c r="W1694" s="24">
        <v>44949</v>
      </c>
      <c r="X1694" s="238" t="s">
        <v>4006</v>
      </c>
      <c r="Y1694" s="238" t="s">
        <v>39</v>
      </c>
      <c r="Z1694" s="238" t="s">
        <v>1340</v>
      </c>
      <c r="AA1694" t="s">
        <v>3113</v>
      </c>
      <c r="AB1694" s="238" t="s">
        <v>3246</v>
      </c>
      <c r="AC1694" t="s">
        <v>3079</v>
      </c>
      <c r="AD1694" s="24"/>
      <c r="AE1694" s="238" t="s">
        <v>4007</v>
      </c>
      <c r="AF1694">
        <v>79967204889</v>
      </c>
      <c r="AG1694" s="238" t="s">
        <v>4008</v>
      </c>
      <c r="AH1694" s="238" t="s">
        <v>1171</v>
      </c>
      <c r="AI1694" s="238" t="s">
        <v>135</v>
      </c>
      <c r="AJ1694" s="238" t="s">
        <v>130</v>
      </c>
      <c r="AK1694" s="238" t="s">
        <v>141</v>
      </c>
      <c r="AL1694" t="s">
        <v>8715</v>
      </c>
      <c r="AM1694" t="s">
        <v>1167</v>
      </c>
    </row>
    <row r="1695" spans="1:39" hidden="1" x14ac:dyDescent="0.25">
      <c r="A1695">
        <v>1691</v>
      </c>
      <c r="B1695">
        <v>15</v>
      </c>
      <c r="C1695" s="24">
        <v>44953</v>
      </c>
      <c r="D1695" s="238" t="s">
        <v>91</v>
      </c>
      <c r="E1695" s="238" t="s">
        <v>5</v>
      </c>
      <c r="F1695">
        <v>1</v>
      </c>
      <c r="G1695">
        <v>2</v>
      </c>
      <c r="H1695">
        <v>121</v>
      </c>
      <c r="I1695" s="238" t="s">
        <v>4052</v>
      </c>
      <c r="J1695">
        <v>28.97</v>
      </c>
      <c r="K1695" s="238" t="s">
        <v>38</v>
      </c>
      <c r="L1695">
        <v>2849467.47</v>
      </c>
      <c r="M1695">
        <v>0</v>
      </c>
      <c r="N1695">
        <v>2849467.47</v>
      </c>
      <c r="O1695">
        <v>98359.249913703839</v>
      </c>
      <c r="P1695">
        <v>434550</v>
      </c>
      <c r="Q1695">
        <v>2414917.4700000002</v>
      </c>
      <c r="R1695">
        <v>83359.249913703839</v>
      </c>
      <c r="S1695" s="238" t="s">
        <v>137</v>
      </c>
      <c r="T1695" s="238" t="s">
        <v>1167</v>
      </c>
      <c r="V1695" t="s">
        <v>4091</v>
      </c>
      <c r="W1695" s="24">
        <v>44953</v>
      </c>
      <c r="X1695" s="238" t="s">
        <v>4009</v>
      </c>
      <c r="Y1695" s="238" t="s">
        <v>39</v>
      </c>
      <c r="Z1695" s="238" t="s">
        <v>1340</v>
      </c>
      <c r="AA1695" t="s">
        <v>3113</v>
      </c>
      <c r="AB1695" s="238" t="s">
        <v>3246</v>
      </c>
      <c r="AC1695" t="s">
        <v>3079</v>
      </c>
      <c r="AD1695" s="24"/>
      <c r="AE1695" s="238" t="s">
        <v>4010</v>
      </c>
      <c r="AF1695">
        <v>79376535081</v>
      </c>
      <c r="AG1695" s="238" t="s">
        <v>4011</v>
      </c>
      <c r="AH1695" s="238" t="s">
        <v>1212</v>
      </c>
      <c r="AI1695" s="238" t="s">
        <v>3084</v>
      </c>
      <c r="AJ1695" s="238" t="s">
        <v>130</v>
      </c>
      <c r="AK1695" s="238" t="s">
        <v>141</v>
      </c>
      <c r="AL1695" t="s">
        <v>8715</v>
      </c>
      <c r="AM1695" t="s">
        <v>3663</v>
      </c>
    </row>
    <row r="1696" spans="1:39" hidden="1" x14ac:dyDescent="0.25">
      <c r="A1696">
        <v>1692</v>
      </c>
      <c r="B1696">
        <v>16</v>
      </c>
      <c r="C1696" s="24">
        <v>44956</v>
      </c>
      <c r="D1696" s="238" t="s">
        <v>91</v>
      </c>
      <c r="E1696" s="238" t="s">
        <v>5</v>
      </c>
      <c r="F1696">
        <v>7</v>
      </c>
      <c r="G1696">
        <v>5</v>
      </c>
      <c r="H1696">
        <v>151</v>
      </c>
      <c r="I1696" s="238" t="s">
        <v>44</v>
      </c>
      <c r="J1696">
        <v>78.73</v>
      </c>
      <c r="K1696" s="238" t="s">
        <v>37</v>
      </c>
      <c r="L1696">
        <v>5684485.2300000004</v>
      </c>
      <c r="M1696">
        <v>0</v>
      </c>
      <c r="N1696">
        <v>5684485.2300000004</v>
      </c>
      <c r="O1696">
        <v>72202.27651467039</v>
      </c>
      <c r="P1696">
        <v>314920</v>
      </c>
      <c r="Q1696">
        <v>5369565.2300000004</v>
      </c>
      <c r="R1696">
        <v>68202.27651467039</v>
      </c>
      <c r="S1696" s="238" t="s">
        <v>137</v>
      </c>
      <c r="T1696" s="238" t="s">
        <v>3540</v>
      </c>
      <c r="U1696">
        <v>282608.7</v>
      </c>
      <c r="V1696" t="s">
        <v>4091</v>
      </c>
      <c r="W1696" s="24">
        <v>44950</v>
      </c>
      <c r="X1696" s="238" t="s">
        <v>4012</v>
      </c>
      <c r="Y1696" s="238" t="s">
        <v>39</v>
      </c>
      <c r="Z1696" s="238" t="s">
        <v>1340</v>
      </c>
      <c r="AA1696" t="s">
        <v>3113</v>
      </c>
      <c r="AB1696" s="238" t="s">
        <v>3246</v>
      </c>
      <c r="AC1696" t="s">
        <v>3079</v>
      </c>
      <c r="AD1696" s="24"/>
      <c r="AE1696" s="238" t="s">
        <v>4013</v>
      </c>
      <c r="AF1696">
        <v>79372397725</v>
      </c>
      <c r="AG1696" s="238" t="s">
        <v>4014</v>
      </c>
      <c r="AH1696" s="238" t="s">
        <v>1212</v>
      </c>
      <c r="AI1696" s="238" t="s">
        <v>3097</v>
      </c>
      <c r="AJ1696" s="238" t="s">
        <v>399</v>
      </c>
      <c r="AK1696" s="238" t="s">
        <v>3345</v>
      </c>
      <c r="AL1696" t="s">
        <v>8715</v>
      </c>
      <c r="AM1696" t="s">
        <v>3663</v>
      </c>
    </row>
    <row r="1697" spans="1:39" hidden="1" x14ac:dyDescent="0.25">
      <c r="A1697">
        <v>1693</v>
      </c>
      <c r="B1697">
        <v>17</v>
      </c>
      <c r="C1697" s="24">
        <v>44956</v>
      </c>
      <c r="D1697" s="238" t="s">
        <v>27</v>
      </c>
      <c r="E1697" s="238" t="s">
        <v>13</v>
      </c>
      <c r="F1697">
        <v>3</v>
      </c>
      <c r="G1697">
        <v>1</v>
      </c>
      <c r="H1697">
        <v>22</v>
      </c>
      <c r="I1697" s="238" t="s">
        <v>3946</v>
      </c>
      <c r="J1697">
        <v>186.76</v>
      </c>
      <c r="K1697" s="238" t="s">
        <v>36</v>
      </c>
      <c r="L1697">
        <v>16808400</v>
      </c>
      <c r="M1697">
        <v>0</v>
      </c>
      <c r="N1697">
        <v>16808400</v>
      </c>
      <c r="O1697">
        <v>90000</v>
      </c>
      <c r="P1697">
        <v>0</v>
      </c>
      <c r="Q1697">
        <v>16808400</v>
      </c>
      <c r="R1697">
        <v>90000</v>
      </c>
      <c r="S1697" s="238" t="s">
        <v>124</v>
      </c>
      <c r="T1697" s="238" t="s">
        <v>1167</v>
      </c>
      <c r="V1697" t="s">
        <v>1167</v>
      </c>
      <c r="W1697" s="24">
        <v>44952</v>
      </c>
      <c r="X1697" s="238" t="s">
        <v>4015</v>
      </c>
      <c r="Y1697" s="238" t="s">
        <v>3946</v>
      </c>
      <c r="Z1697" s="238" t="s">
        <v>1340</v>
      </c>
      <c r="AA1697" t="s">
        <v>3113</v>
      </c>
      <c r="AB1697" s="238" t="s">
        <v>3246</v>
      </c>
      <c r="AC1697" t="s">
        <v>1167</v>
      </c>
      <c r="AD1697" s="24"/>
      <c r="AE1697" s="238" t="s">
        <v>4016</v>
      </c>
      <c r="AF1697">
        <v>79372500480</v>
      </c>
      <c r="AG1697" s="238" t="s">
        <v>4017</v>
      </c>
      <c r="AH1697" s="238" t="s">
        <v>1212</v>
      </c>
      <c r="AI1697" s="238" t="s">
        <v>3074</v>
      </c>
      <c r="AJ1697" s="238" t="s">
        <v>3901</v>
      </c>
      <c r="AK1697" s="238" t="s">
        <v>1167</v>
      </c>
      <c r="AL1697" t="s">
        <v>8715</v>
      </c>
      <c r="AM1697" t="s">
        <v>1167</v>
      </c>
    </row>
    <row r="1698" spans="1:39" hidden="1" x14ac:dyDescent="0.25">
      <c r="A1698">
        <v>1694</v>
      </c>
      <c r="B1698">
        <v>18</v>
      </c>
      <c r="C1698" s="24">
        <v>44956</v>
      </c>
      <c r="D1698" s="238" t="s">
        <v>27</v>
      </c>
      <c r="E1698" s="238" t="s">
        <v>15</v>
      </c>
      <c r="F1698">
        <v>1</v>
      </c>
      <c r="G1698">
        <v>1</v>
      </c>
      <c r="H1698">
        <v>11</v>
      </c>
      <c r="I1698" s="238" t="s">
        <v>3946</v>
      </c>
      <c r="J1698">
        <v>76.14</v>
      </c>
      <c r="K1698" s="238" t="s">
        <v>36</v>
      </c>
      <c r="L1698">
        <v>7033300</v>
      </c>
      <c r="M1698">
        <v>0</v>
      </c>
      <c r="N1698">
        <v>7033300</v>
      </c>
      <c r="O1698">
        <v>92373.259784607304</v>
      </c>
      <c r="P1698">
        <v>0</v>
      </c>
      <c r="Q1698">
        <v>7033300</v>
      </c>
      <c r="R1698">
        <v>92373.259784607304</v>
      </c>
      <c r="S1698" s="238" t="s">
        <v>124</v>
      </c>
      <c r="T1698" s="238" t="s">
        <v>321</v>
      </c>
      <c r="U1698">
        <v>200000</v>
      </c>
      <c r="V1698" t="s">
        <v>1167</v>
      </c>
      <c r="W1698" s="24">
        <v>44952</v>
      </c>
      <c r="X1698" s="238" t="s">
        <v>4018</v>
      </c>
      <c r="Y1698" s="238" t="s">
        <v>3946</v>
      </c>
      <c r="Z1698" s="238" t="s">
        <v>1340</v>
      </c>
      <c r="AA1698" t="s">
        <v>3113</v>
      </c>
      <c r="AB1698" s="238" t="s">
        <v>3246</v>
      </c>
      <c r="AC1698" t="s">
        <v>1167</v>
      </c>
      <c r="AD1698" s="24"/>
      <c r="AE1698" s="238" t="s">
        <v>4016</v>
      </c>
      <c r="AF1698">
        <v>79272780150</v>
      </c>
      <c r="AG1698" s="238" t="s">
        <v>4017</v>
      </c>
      <c r="AH1698" s="238" t="s">
        <v>1197</v>
      </c>
      <c r="AI1698" s="238" t="s">
        <v>3074</v>
      </c>
      <c r="AJ1698" s="238" t="s">
        <v>3901</v>
      </c>
      <c r="AK1698" s="238" t="s">
        <v>1167</v>
      </c>
      <c r="AL1698" t="s">
        <v>8715</v>
      </c>
      <c r="AM1698" t="s">
        <v>1167</v>
      </c>
    </row>
    <row r="1699" spans="1:39" hidden="1" x14ac:dyDescent="0.25">
      <c r="A1699">
        <v>1695</v>
      </c>
      <c r="B1699">
        <v>19</v>
      </c>
      <c r="C1699" s="24">
        <v>44956</v>
      </c>
      <c r="D1699" s="238" t="s">
        <v>91</v>
      </c>
      <c r="E1699" s="238" t="s">
        <v>16</v>
      </c>
      <c r="F1699">
        <v>4</v>
      </c>
      <c r="G1699">
        <v>5</v>
      </c>
      <c r="H1699">
        <v>265</v>
      </c>
      <c r="I1699" s="238" t="s">
        <v>43</v>
      </c>
      <c r="J1699">
        <v>58.55</v>
      </c>
      <c r="K1699" s="238" t="s">
        <v>38</v>
      </c>
      <c r="L1699">
        <v>5047113.55</v>
      </c>
      <c r="M1699">
        <v>0</v>
      </c>
      <c r="N1699">
        <v>5047113.55</v>
      </c>
      <c r="O1699">
        <v>86201.768573868496</v>
      </c>
      <c r="P1699">
        <v>878250</v>
      </c>
      <c r="Q1699">
        <v>4168863.55</v>
      </c>
      <c r="R1699">
        <v>71201.768573868496</v>
      </c>
      <c r="S1699" s="238" t="s">
        <v>137</v>
      </c>
      <c r="T1699" s="238" t="s">
        <v>3540</v>
      </c>
      <c r="U1699">
        <v>219413.87</v>
      </c>
      <c r="V1699" t="s">
        <v>4091</v>
      </c>
      <c r="W1699" s="24">
        <v>44952</v>
      </c>
      <c r="X1699" s="238" t="s">
        <v>4019</v>
      </c>
      <c r="Y1699" s="238" t="s">
        <v>39</v>
      </c>
      <c r="Z1699" s="238" t="s">
        <v>1340</v>
      </c>
      <c r="AA1699" t="s">
        <v>3113</v>
      </c>
      <c r="AB1699" s="238" t="s">
        <v>3246</v>
      </c>
      <c r="AC1699" t="s">
        <v>3079</v>
      </c>
      <c r="AD1699" s="24"/>
      <c r="AE1699" s="238" t="s">
        <v>4020</v>
      </c>
      <c r="AF1699">
        <v>79376570012</v>
      </c>
      <c r="AG1699" s="238" t="s">
        <v>4021</v>
      </c>
      <c r="AH1699" s="238" t="s">
        <v>1171</v>
      </c>
      <c r="AI1699" s="238" t="s">
        <v>3090</v>
      </c>
      <c r="AJ1699" s="238" t="s">
        <v>130</v>
      </c>
      <c r="AK1699" s="238" t="s">
        <v>141</v>
      </c>
      <c r="AL1699" t="s">
        <v>8715</v>
      </c>
      <c r="AM1699" t="s">
        <v>3663</v>
      </c>
    </row>
    <row r="1700" spans="1:39" hidden="1" x14ac:dyDescent="0.25">
      <c r="A1700">
        <v>1696</v>
      </c>
      <c r="B1700">
        <v>20</v>
      </c>
      <c r="C1700" s="24">
        <v>44957</v>
      </c>
      <c r="D1700" s="238" t="s">
        <v>91</v>
      </c>
      <c r="E1700" s="238" t="s">
        <v>5</v>
      </c>
      <c r="F1700">
        <v>7</v>
      </c>
      <c r="G1700">
        <v>9</v>
      </c>
      <c r="H1700">
        <v>183</v>
      </c>
      <c r="I1700" s="238" t="s">
        <v>44</v>
      </c>
      <c r="J1700">
        <v>78.73</v>
      </c>
      <c r="K1700" s="238" t="s">
        <v>36</v>
      </c>
      <c r="L1700">
        <v>5418827.2199999997</v>
      </c>
      <c r="M1700">
        <v>0</v>
      </c>
      <c r="N1700">
        <v>5418827.2199999997</v>
      </c>
      <c r="O1700">
        <v>68827.984504001011</v>
      </c>
      <c r="P1700">
        <v>0</v>
      </c>
      <c r="Q1700">
        <v>5418827.2199999997</v>
      </c>
      <c r="R1700">
        <v>68827.984504001011</v>
      </c>
      <c r="S1700" s="238" t="s">
        <v>137</v>
      </c>
      <c r="T1700" s="238" t="s">
        <v>3540</v>
      </c>
      <c r="U1700">
        <v>285201.43</v>
      </c>
      <c r="V1700" t="s">
        <v>4092</v>
      </c>
      <c r="W1700" s="24">
        <v>44945</v>
      </c>
      <c r="X1700" s="238" t="s">
        <v>4022</v>
      </c>
      <c r="Y1700" s="238" t="s">
        <v>39</v>
      </c>
      <c r="Z1700" s="238" t="s">
        <v>1340</v>
      </c>
      <c r="AA1700" t="s">
        <v>3113</v>
      </c>
      <c r="AB1700" s="238" t="s">
        <v>3246</v>
      </c>
      <c r="AC1700" t="s">
        <v>3079</v>
      </c>
      <c r="AD1700" s="24"/>
      <c r="AE1700" s="238" t="s">
        <v>4023</v>
      </c>
      <c r="AF1700">
        <v>79879176495</v>
      </c>
      <c r="AG1700" s="238" t="s">
        <v>4024</v>
      </c>
      <c r="AH1700" s="238" t="s">
        <v>1212</v>
      </c>
      <c r="AI1700" s="238" t="s">
        <v>135</v>
      </c>
      <c r="AJ1700" s="238" t="s">
        <v>130</v>
      </c>
      <c r="AK1700" s="238" t="s">
        <v>141</v>
      </c>
      <c r="AL1700" t="s">
        <v>8715</v>
      </c>
      <c r="AM1700" t="s">
        <v>3663</v>
      </c>
    </row>
    <row r="1701" spans="1:39" hidden="1" x14ac:dyDescent="0.25">
      <c r="A1701">
        <v>1697</v>
      </c>
      <c r="B1701">
        <v>21</v>
      </c>
      <c r="C1701" s="24">
        <v>44957</v>
      </c>
      <c r="D1701" s="238" t="s">
        <v>91</v>
      </c>
      <c r="E1701" s="238" t="s">
        <v>15</v>
      </c>
      <c r="F1701">
        <v>3</v>
      </c>
      <c r="G1701">
        <v>6</v>
      </c>
      <c r="H1701">
        <v>440</v>
      </c>
      <c r="I1701" s="238" t="s">
        <v>44</v>
      </c>
      <c r="J1701">
        <v>74.28</v>
      </c>
      <c r="K1701" s="238" t="s">
        <v>38</v>
      </c>
      <c r="L1701">
        <v>6397976.3200000003</v>
      </c>
      <c r="M1701">
        <v>0</v>
      </c>
      <c r="N1701">
        <v>6397976.3200000003</v>
      </c>
      <c r="O1701">
        <v>86133.229940764679</v>
      </c>
      <c r="P1701">
        <v>1114200</v>
      </c>
      <c r="Q1701">
        <v>5283776.32</v>
      </c>
      <c r="R1701">
        <v>71133.229940764679</v>
      </c>
      <c r="S1701" s="238" t="s">
        <v>137</v>
      </c>
      <c r="T1701" s="238" t="s">
        <v>1167</v>
      </c>
      <c r="V1701" t="s">
        <v>4092</v>
      </c>
      <c r="W1701" s="24">
        <v>44946</v>
      </c>
      <c r="X1701" s="238" t="s">
        <v>4025</v>
      </c>
      <c r="Y1701" s="238" t="s">
        <v>39</v>
      </c>
      <c r="Z1701" s="238" t="s">
        <v>1340</v>
      </c>
      <c r="AA1701" t="s">
        <v>3113</v>
      </c>
      <c r="AB1701" s="238" t="s">
        <v>3246</v>
      </c>
      <c r="AC1701" t="s">
        <v>3079</v>
      </c>
      <c r="AD1701" s="24"/>
      <c r="AE1701" s="238" t="s">
        <v>4026</v>
      </c>
      <c r="AF1701">
        <v>79277022378</v>
      </c>
      <c r="AG1701" s="238" t="s">
        <v>4027</v>
      </c>
      <c r="AH1701" s="238" t="s">
        <v>1212</v>
      </c>
      <c r="AI1701" s="238" t="s">
        <v>3074</v>
      </c>
      <c r="AJ1701" s="238" t="s">
        <v>3901</v>
      </c>
      <c r="AK1701" s="238" t="s">
        <v>141</v>
      </c>
      <c r="AL1701" t="s">
        <v>8715</v>
      </c>
      <c r="AM1701" t="s">
        <v>3663</v>
      </c>
    </row>
    <row r="1702" spans="1:39" hidden="1" x14ac:dyDescent="0.25">
      <c r="A1702">
        <v>1698</v>
      </c>
      <c r="B1702">
        <v>22</v>
      </c>
      <c r="C1702" s="24">
        <v>44957</v>
      </c>
      <c r="D1702" s="238" t="s">
        <v>91</v>
      </c>
      <c r="E1702" s="238" t="s">
        <v>6</v>
      </c>
      <c r="F1702">
        <v>3</v>
      </c>
      <c r="G1702">
        <v>8</v>
      </c>
      <c r="H1702">
        <v>51</v>
      </c>
      <c r="I1702" s="238" t="s">
        <v>42</v>
      </c>
      <c r="J1702">
        <v>35.54</v>
      </c>
      <c r="K1702" s="238" t="s">
        <v>38</v>
      </c>
      <c r="L1702">
        <v>3588515.74</v>
      </c>
      <c r="M1702">
        <v>0</v>
      </c>
      <c r="N1702">
        <v>3588515.74</v>
      </c>
      <c r="O1702">
        <v>100971.18007878448</v>
      </c>
      <c r="P1702">
        <v>533100</v>
      </c>
      <c r="Q1702">
        <v>3055415.74</v>
      </c>
      <c r="R1702">
        <v>85971.18007878447</v>
      </c>
      <c r="S1702" s="238" t="s">
        <v>137</v>
      </c>
      <c r="T1702" s="238" t="s">
        <v>1167</v>
      </c>
      <c r="V1702" t="s">
        <v>4091</v>
      </c>
      <c r="W1702" s="24">
        <v>44952</v>
      </c>
      <c r="X1702" s="238" t="s">
        <v>4028</v>
      </c>
      <c r="Y1702" s="238" t="s">
        <v>39</v>
      </c>
      <c r="Z1702" s="238" t="s">
        <v>1340</v>
      </c>
      <c r="AA1702" t="s">
        <v>3113</v>
      </c>
      <c r="AB1702" s="238" t="s">
        <v>3246</v>
      </c>
      <c r="AC1702" t="s">
        <v>3079</v>
      </c>
      <c r="AD1702" s="24"/>
      <c r="AE1702" s="238" t="s">
        <v>4029</v>
      </c>
      <c r="AF1702">
        <v>79272967159</v>
      </c>
      <c r="AG1702" s="238" t="s">
        <v>4030</v>
      </c>
      <c r="AH1702" s="238" t="s">
        <v>1212</v>
      </c>
      <c r="AI1702" s="238" t="s">
        <v>3084</v>
      </c>
      <c r="AJ1702" s="238" t="s">
        <v>130</v>
      </c>
      <c r="AK1702" s="238" t="s">
        <v>3345</v>
      </c>
      <c r="AL1702" t="s">
        <v>8715</v>
      </c>
      <c r="AM1702" t="s">
        <v>3663</v>
      </c>
    </row>
    <row r="1703" spans="1:39" hidden="1" x14ac:dyDescent="0.25">
      <c r="A1703">
        <v>1699</v>
      </c>
      <c r="B1703">
        <v>23</v>
      </c>
      <c r="C1703" s="24">
        <v>44957</v>
      </c>
      <c r="D1703" s="238" t="s">
        <v>91</v>
      </c>
      <c r="E1703" s="238" t="s">
        <v>5</v>
      </c>
      <c r="F1703">
        <v>1</v>
      </c>
      <c r="G1703">
        <v>11</v>
      </c>
      <c r="H1703">
        <v>193</v>
      </c>
      <c r="I1703" s="238" t="s">
        <v>4052</v>
      </c>
      <c r="J1703">
        <v>28.97</v>
      </c>
      <c r="K1703" s="238" t="s">
        <v>36</v>
      </c>
      <c r="L1703">
        <v>2294171.6</v>
      </c>
      <c r="M1703">
        <v>0</v>
      </c>
      <c r="N1703">
        <v>2294171.6</v>
      </c>
      <c r="O1703">
        <v>79191.287538833276</v>
      </c>
      <c r="P1703">
        <v>0</v>
      </c>
      <c r="Q1703">
        <v>2294171.6</v>
      </c>
      <c r="R1703">
        <v>79191.287538833276</v>
      </c>
      <c r="S1703" s="238" t="s">
        <v>137</v>
      </c>
      <c r="T1703" s="238" t="s">
        <v>3540</v>
      </c>
      <c r="U1703">
        <v>120745.87</v>
      </c>
      <c r="V1703" t="s">
        <v>4092</v>
      </c>
      <c r="W1703" s="24">
        <v>44952</v>
      </c>
      <c r="X1703" s="238" t="s">
        <v>4031</v>
      </c>
      <c r="Y1703" s="238" t="s">
        <v>39</v>
      </c>
      <c r="Z1703" s="238" t="s">
        <v>1340</v>
      </c>
      <c r="AA1703" t="s">
        <v>3113</v>
      </c>
      <c r="AB1703" s="238" t="s">
        <v>3246</v>
      </c>
      <c r="AC1703" t="s">
        <v>3079</v>
      </c>
      <c r="AD1703" s="24"/>
      <c r="AE1703" s="238" t="s">
        <v>4032</v>
      </c>
      <c r="AF1703">
        <v>79271073325</v>
      </c>
      <c r="AG1703" s="238" t="s">
        <v>4033</v>
      </c>
      <c r="AH1703" s="238" t="s">
        <v>1212</v>
      </c>
      <c r="AI1703" s="238" t="s">
        <v>3074</v>
      </c>
      <c r="AJ1703" s="238" t="s">
        <v>130</v>
      </c>
      <c r="AK1703" s="238" t="s">
        <v>141</v>
      </c>
      <c r="AL1703" t="s">
        <v>8715</v>
      </c>
      <c r="AM1703" t="s">
        <v>3663</v>
      </c>
    </row>
    <row r="1704" spans="1:39" hidden="1" x14ac:dyDescent="0.25">
      <c r="A1704">
        <v>1700</v>
      </c>
      <c r="B1704">
        <v>24</v>
      </c>
      <c r="C1704" s="24">
        <v>44957</v>
      </c>
      <c r="D1704" s="238" t="s">
        <v>27</v>
      </c>
      <c r="E1704" s="238" t="s">
        <v>15</v>
      </c>
      <c r="F1704">
        <v>3</v>
      </c>
      <c r="G1704">
        <v>1</v>
      </c>
      <c r="H1704">
        <v>13</v>
      </c>
      <c r="I1704" s="238" t="s">
        <v>3946</v>
      </c>
      <c r="J1704">
        <v>62.02</v>
      </c>
      <c r="K1704" s="238" t="s">
        <v>36</v>
      </c>
      <c r="L1704">
        <v>6964133</v>
      </c>
      <c r="M1704">
        <v>0</v>
      </c>
      <c r="N1704">
        <v>6964133</v>
      </c>
      <c r="O1704">
        <v>112288.50370848113</v>
      </c>
      <c r="P1704">
        <v>0</v>
      </c>
      <c r="Q1704">
        <v>6964133</v>
      </c>
      <c r="R1704">
        <v>112288.50370848113</v>
      </c>
      <c r="S1704" s="238" t="s">
        <v>121</v>
      </c>
      <c r="T1704" s="238" t="s">
        <v>1167</v>
      </c>
      <c r="V1704" t="s">
        <v>1167</v>
      </c>
      <c r="W1704" s="24">
        <v>44953</v>
      </c>
      <c r="X1704" s="238" t="s">
        <v>4034</v>
      </c>
      <c r="Y1704" s="238" t="s">
        <v>3946</v>
      </c>
      <c r="Z1704" s="238" t="s">
        <v>1340</v>
      </c>
      <c r="AA1704" t="s">
        <v>3113</v>
      </c>
      <c r="AB1704" s="238" t="s">
        <v>3246</v>
      </c>
      <c r="AC1704" t="s">
        <v>1167</v>
      </c>
      <c r="AD1704" s="24"/>
      <c r="AE1704" s="238" t="s">
        <v>4035</v>
      </c>
      <c r="AF1704">
        <v>79270097272</v>
      </c>
      <c r="AG1704" s="238" t="s">
        <v>4036</v>
      </c>
      <c r="AH1704" s="238" t="s">
        <v>1197</v>
      </c>
      <c r="AI1704" s="238" t="s">
        <v>3082</v>
      </c>
      <c r="AJ1704" s="238" t="s">
        <v>982</v>
      </c>
      <c r="AK1704" s="238" t="s">
        <v>1167</v>
      </c>
      <c r="AL1704" t="s">
        <v>8715</v>
      </c>
      <c r="AM1704" t="s">
        <v>1167</v>
      </c>
    </row>
    <row r="1705" spans="1:39" hidden="1" x14ac:dyDescent="0.25">
      <c r="A1705">
        <v>1701</v>
      </c>
      <c r="B1705">
        <v>25</v>
      </c>
      <c r="C1705" s="24">
        <v>44957</v>
      </c>
      <c r="D1705" s="238" t="s">
        <v>27</v>
      </c>
      <c r="E1705" s="238" t="s">
        <v>15</v>
      </c>
      <c r="F1705">
        <v>4</v>
      </c>
      <c r="G1705">
        <v>1</v>
      </c>
      <c r="H1705">
        <v>14</v>
      </c>
      <c r="I1705" s="238" t="s">
        <v>3946</v>
      </c>
      <c r="J1705">
        <v>67.06</v>
      </c>
      <c r="K1705" s="238" t="s">
        <v>36</v>
      </c>
      <c r="L1705">
        <v>7530067</v>
      </c>
      <c r="M1705">
        <v>0</v>
      </c>
      <c r="N1705">
        <v>7530067</v>
      </c>
      <c r="O1705">
        <v>112288.50283328362</v>
      </c>
      <c r="P1705">
        <v>0</v>
      </c>
      <c r="Q1705">
        <v>7530067</v>
      </c>
      <c r="R1705">
        <v>112288.50283328362</v>
      </c>
      <c r="S1705" s="238" t="s">
        <v>121</v>
      </c>
      <c r="T1705" s="238" t="s">
        <v>1167</v>
      </c>
      <c r="V1705" t="s">
        <v>1167</v>
      </c>
      <c r="W1705" s="24">
        <v>44953</v>
      </c>
      <c r="X1705" s="238" t="s">
        <v>4037</v>
      </c>
      <c r="Y1705" s="238" t="s">
        <v>3946</v>
      </c>
      <c r="Z1705" s="238" t="s">
        <v>1340</v>
      </c>
      <c r="AA1705" t="s">
        <v>3113</v>
      </c>
      <c r="AB1705" s="238" t="s">
        <v>3246</v>
      </c>
      <c r="AC1705" t="s">
        <v>1167</v>
      </c>
      <c r="AD1705" s="24"/>
      <c r="AE1705" s="238" t="s">
        <v>4035</v>
      </c>
      <c r="AF1705">
        <v>79270097272</v>
      </c>
      <c r="AG1705" s="238" t="s">
        <v>4036</v>
      </c>
      <c r="AH1705" s="238" t="s">
        <v>1197</v>
      </c>
      <c r="AI1705" s="238" t="s">
        <v>3082</v>
      </c>
      <c r="AJ1705" s="238" t="s">
        <v>982</v>
      </c>
      <c r="AK1705" s="238" t="s">
        <v>1167</v>
      </c>
      <c r="AL1705" t="s">
        <v>8715</v>
      </c>
      <c r="AM1705" t="s">
        <v>1167</v>
      </c>
    </row>
    <row r="1706" spans="1:39" hidden="1" x14ac:dyDescent="0.25">
      <c r="A1706">
        <v>1702</v>
      </c>
      <c r="B1706">
        <v>26</v>
      </c>
      <c r="C1706" s="24">
        <v>44957</v>
      </c>
      <c r="D1706" s="238" t="s">
        <v>91</v>
      </c>
      <c r="E1706" s="238" t="s">
        <v>16</v>
      </c>
      <c r="F1706">
        <v>1</v>
      </c>
      <c r="G1706">
        <v>5</v>
      </c>
      <c r="H1706">
        <v>262</v>
      </c>
      <c r="I1706" s="238" t="s">
        <v>4052</v>
      </c>
      <c r="J1706">
        <v>29.35</v>
      </c>
      <c r="K1706" s="238" t="s">
        <v>36</v>
      </c>
      <c r="L1706">
        <v>2446593.9900000002</v>
      </c>
      <c r="M1706">
        <v>0</v>
      </c>
      <c r="N1706">
        <v>2446593.9900000002</v>
      </c>
      <c r="O1706">
        <v>83359.250085178879</v>
      </c>
      <c r="P1706">
        <v>0</v>
      </c>
      <c r="Q1706">
        <v>2446593.9900000002</v>
      </c>
      <c r="R1706">
        <v>83359.250085178879</v>
      </c>
      <c r="S1706" s="238" t="s">
        <v>124</v>
      </c>
      <c r="T1706" s="238" t="s">
        <v>1167</v>
      </c>
      <c r="V1706" t="s">
        <v>1167</v>
      </c>
      <c r="W1706" s="24">
        <v>44956</v>
      </c>
      <c r="X1706" s="238" t="s">
        <v>4038</v>
      </c>
      <c r="Y1706" s="238" t="s">
        <v>39</v>
      </c>
      <c r="Z1706" s="238" t="s">
        <v>1340</v>
      </c>
      <c r="AA1706" t="s">
        <v>3113</v>
      </c>
      <c r="AB1706" s="238" t="s">
        <v>3246</v>
      </c>
      <c r="AC1706" t="s">
        <v>1167</v>
      </c>
      <c r="AD1706" s="24"/>
      <c r="AE1706" s="238" t="s">
        <v>4039</v>
      </c>
      <c r="AF1706">
        <v>79276049178</v>
      </c>
      <c r="AG1706" s="238" t="s">
        <v>4040</v>
      </c>
      <c r="AH1706" s="238" t="s">
        <v>1212</v>
      </c>
      <c r="AI1706" s="238" t="s">
        <v>135</v>
      </c>
      <c r="AJ1706" s="238" t="s">
        <v>3901</v>
      </c>
      <c r="AK1706" s="238" t="s">
        <v>1167</v>
      </c>
      <c r="AL1706" t="s">
        <v>8715</v>
      </c>
      <c r="AM1706" t="s">
        <v>1167</v>
      </c>
    </row>
    <row r="1707" spans="1:39" hidden="1" x14ac:dyDescent="0.25">
      <c r="A1707">
        <v>1703</v>
      </c>
      <c r="B1707">
        <v>1</v>
      </c>
      <c r="C1707" s="24">
        <v>44959</v>
      </c>
      <c r="D1707" s="238" t="s">
        <v>91</v>
      </c>
      <c r="E1707" s="238" t="s">
        <v>15</v>
      </c>
      <c r="F1707">
        <v>3</v>
      </c>
      <c r="G1707">
        <v>9</v>
      </c>
      <c r="H1707">
        <v>467</v>
      </c>
      <c r="I1707" s="238" t="s">
        <v>44</v>
      </c>
      <c r="J1707">
        <v>74.28</v>
      </c>
      <c r="K1707" s="238" t="s">
        <v>37</v>
      </c>
      <c r="L1707">
        <v>5316707.5</v>
      </c>
      <c r="M1707">
        <v>0</v>
      </c>
      <c r="N1707">
        <v>5316707.5</v>
      </c>
      <c r="O1707">
        <v>71576.568389876149</v>
      </c>
      <c r="P1707">
        <v>297120</v>
      </c>
      <c r="Q1707">
        <v>5019587.5</v>
      </c>
      <c r="R1707">
        <v>67576.568389876149</v>
      </c>
      <c r="S1707" s="238" t="s">
        <v>137</v>
      </c>
      <c r="T1707" s="238" t="s">
        <v>3540</v>
      </c>
      <c r="U1707">
        <v>264188.82</v>
      </c>
      <c r="V1707" t="s">
        <v>4092</v>
      </c>
      <c r="W1707" s="24">
        <v>44957</v>
      </c>
      <c r="X1707" s="238" t="s">
        <v>4042</v>
      </c>
      <c r="Y1707" s="238" t="s">
        <v>39</v>
      </c>
      <c r="Z1707" s="238" t="s">
        <v>1340</v>
      </c>
      <c r="AA1707" t="s">
        <v>3113</v>
      </c>
      <c r="AB1707" s="238" t="s">
        <v>3246</v>
      </c>
      <c r="AC1707" t="s">
        <v>3079</v>
      </c>
      <c r="AD1707" s="24"/>
      <c r="AE1707" s="238" t="s">
        <v>4043</v>
      </c>
      <c r="AF1707">
        <v>79371814420</v>
      </c>
      <c r="AG1707" s="238" t="s">
        <v>4044</v>
      </c>
      <c r="AH1707" s="238" t="s">
        <v>135</v>
      </c>
      <c r="AI1707" s="238" t="s">
        <v>3075</v>
      </c>
      <c r="AJ1707" s="238" t="s">
        <v>399</v>
      </c>
      <c r="AK1707" s="238" t="s">
        <v>3345</v>
      </c>
      <c r="AL1707" t="s">
        <v>8715</v>
      </c>
      <c r="AM1707" t="s">
        <v>3663</v>
      </c>
    </row>
    <row r="1708" spans="1:39" hidden="1" x14ac:dyDescent="0.25">
      <c r="A1708">
        <v>1704</v>
      </c>
      <c r="B1708">
        <v>2</v>
      </c>
      <c r="C1708" s="24">
        <v>44963</v>
      </c>
      <c r="D1708" s="238" t="s">
        <v>91</v>
      </c>
      <c r="E1708" s="238" t="s">
        <v>15</v>
      </c>
      <c r="F1708">
        <v>7</v>
      </c>
      <c r="G1708">
        <v>8</v>
      </c>
      <c r="H1708">
        <v>462</v>
      </c>
      <c r="I1708" s="238" t="s">
        <v>43</v>
      </c>
      <c r="J1708">
        <v>67.489999999999995</v>
      </c>
      <c r="K1708" s="238" t="s">
        <v>37</v>
      </c>
      <c r="L1708">
        <v>5310926.42</v>
      </c>
      <c r="M1708">
        <v>0</v>
      </c>
      <c r="N1708">
        <v>5310926.42</v>
      </c>
      <c r="O1708">
        <v>78692.049488813165</v>
      </c>
      <c r="P1708">
        <v>269960</v>
      </c>
      <c r="Q1708">
        <v>5040966.42</v>
      </c>
      <c r="R1708">
        <v>74692.049488813165</v>
      </c>
      <c r="S1708" s="238" t="s">
        <v>137</v>
      </c>
      <c r="T1708" s="238" t="s">
        <v>3540</v>
      </c>
      <c r="U1708">
        <v>265314.02</v>
      </c>
      <c r="V1708" t="s">
        <v>4092</v>
      </c>
      <c r="W1708" s="24">
        <v>44960</v>
      </c>
      <c r="X1708" s="238" t="s">
        <v>4045</v>
      </c>
      <c r="Y1708" s="238" t="s">
        <v>39</v>
      </c>
      <c r="Z1708" s="238" t="s">
        <v>1340</v>
      </c>
      <c r="AA1708" t="s">
        <v>3113</v>
      </c>
      <c r="AB1708" s="238" t="s">
        <v>3246</v>
      </c>
      <c r="AC1708" t="s">
        <v>3079</v>
      </c>
      <c r="AD1708" s="24"/>
      <c r="AE1708" s="238" t="s">
        <v>4046</v>
      </c>
      <c r="AF1708">
        <v>79379849442</v>
      </c>
      <c r="AG1708" s="238" t="s">
        <v>4047</v>
      </c>
      <c r="AH1708" s="238" t="s">
        <v>1212</v>
      </c>
      <c r="AI1708" s="238" t="s">
        <v>135</v>
      </c>
      <c r="AJ1708" s="238" t="s">
        <v>130</v>
      </c>
      <c r="AK1708" s="238" t="s">
        <v>141</v>
      </c>
      <c r="AL1708" t="s">
        <v>8715</v>
      </c>
      <c r="AM1708" t="s">
        <v>3663</v>
      </c>
    </row>
    <row r="1709" spans="1:39" hidden="1" x14ac:dyDescent="0.25">
      <c r="A1709">
        <v>1705</v>
      </c>
      <c r="B1709">
        <v>3</v>
      </c>
      <c r="C1709" s="24">
        <v>44963</v>
      </c>
      <c r="D1709" s="238" t="s">
        <v>27</v>
      </c>
      <c r="E1709" s="238" t="s">
        <v>6</v>
      </c>
      <c r="F1709">
        <v>5</v>
      </c>
      <c r="G1709">
        <v>18</v>
      </c>
      <c r="H1709">
        <v>149</v>
      </c>
      <c r="I1709" s="238" t="s">
        <v>4052</v>
      </c>
      <c r="J1709">
        <v>24.47</v>
      </c>
      <c r="K1709" s="238" t="s">
        <v>36</v>
      </c>
      <c r="L1709">
        <v>2243307.9300000002</v>
      </c>
      <c r="M1709">
        <v>0</v>
      </c>
      <c r="N1709">
        <v>2243307.9300000002</v>
      </c>
      <c r="O1709">
        <v>91675.845116469151</v>
      </c>
      <c r="P1709">
        <v>0</v>
      </c>
      <c r="Q1709">
        <v>2243307.9300000002</v>
      </c>
      <c r="R1709">
        <v>91675.845116469151</v>
      </c>
      <c r="S1709" s="238" t="s">
        <v>137</v>
      </c>
      <c r="T1709" s="238" t="s">
        <v>3390</v>
      </c>
      <c r="U1709">
        <v>150000</v>
      </c>
      <c r="V1709" t="s">
        <v>4092</v>
      </c>
      <c r="W1709" s="24">
        <v>44961</v>
      </c>
      <c r="X1709" s="238" t="s">
        <v>4048</v>
      </c>
      <c r="Y1709" s="238" t="s">
        <v>39</v>
      </c>
      <c r="Z1709" s="238" t="s">
        <v>1340</v>
      </c>
      <c r="AA1709" t="s">
        <v>3113</v>
      </c>
      <c r="AB1709" s="238" t="s">
        <v>3246</v>
      </c>
      <c r="AC1709" t="s">
        <v>3079</v>
      </c>
      <c r="AD1709" s="24"/>
      <c r="AE1709" s="238" t="s">
        <v>4049</v>
      </c>
      <c r="AF1709">
        <v>79998082266</v>
      </c>
      <c r="AG1709" s="238" t="s">
        <v>4050</v>
      </c>
      <c r="AH1709" s="238" t="s">
        <v>1212</v>
      </c>
      <c r="AI1709" s="238" t="s">
        <v>135</v>
      </c>
      <c r="AJ1709" s="238" t="s">
        <v>130</v>
      </c>
      <c r="AK1709" s="238" t="s">
        <v>141</v>
      </c>
      <c r="AL1709" t="s">
        <v>8715</v>
      </c>
      <c r="AM1709" t="s">
        <v>1167</v>
      </c>
    </row>
    <row r="1710" spans="1:39" hidden="1" x14ac:dyDescent="0.25">
      <c r="A1710">
        <v>1706</v>
      </c>
      <c r="B1710">
        <v>4</v>
      </c>
      <c r="C1710" s="24">
        <v>44964</v>
      </c>
      <c r="D1710" s="238" t="s">
        <v>91</v>
      </c>
      <c r="E1710" s="238" t="s">
        <v>16</v>
      </c>
      <c r="F1710">
        <v>5</v>
      </c>
      <c r="G1710">
        <v>7</v>
      </c>
      <c r="H1710">
        <v>280</v>
      </c>
      <c r="I1710" s="238" t="s">
        <v>43</v>
      </c>
      <c r="J1710">
        <v>56.7</v>
      </c>
      <c r="K1710" s="238" t="s">
        <v>37</v>
      </c>
      <c r="L1710">
        <v>4263940.2699999996</v>
      </c>
      <c r="M1710">
        <v>0</v>
      </c>
      <c r="N1710">
        <v>4263940.2699999996</v>
      </c>
      <c r="O1710">
        <v>75201.768430335083</v>
      </c>
      <c r="P1710">
        <v>226800</v>
      </c>
      <c r="Q1710">
        <v>4037140.2699999996</v>
      </c>
      <c r="R1710">
        <v>71201.768430335083</v>
      </c>
      <c r="S1710" s="238" t="s">
        <v>137</v>
      </c>
      <c r="T1710" s="238" t="s">
        <v>3540</v>
      </c>
      <c r="U1710">
        <v>212481.07</v>
      </c>
      <c r="V1710" t="s">
        <v>4092</v>
      </c>
      <c r="W1710" s="24">
        <v>44958</v>
      </c>
      <c r="X1710" s="238" t="s">
        <v>4054</v>
      </c>
      <c r="Y1710" s="238" t="s">
        <v>39</v>
      </c>
      <c r="Z1710" s="238" t="s">
        <v>1340</v>
      </c>
      <c r="AA1710" t="s">
        <v>3113</v>
      </c>
      <c r="AB1710" s="238" t="s">
        <v>3246</v>
      </c>
      <c r="AC1710" t="s">
        <v>3079</v>
      </c>
      <c r="AD1710" s="24"/>
      <c r="AE1710" s="238" t="s">
        <v>4055</v>
      </c>
      <c r="AF1710">
        <v>79206667932</v>
      </c>
      <c r="AG1710" s="238" t="s">
        <v>4056</v>
      </c>
      <c r="AH1710" s="238" t="s">
        <v>146</v>
      </c>
      <c r="AI1710" s="238" t="s">
        <v>135</v>
      </c>
      <c r="AJ1710" s="238" t="s">
        <v>130</v>
      </c>
      <c r="AK1710" s="238" t="s">
        <v>141</v>
      </c>
      <c r="AL1710" t="s">
        <v>8715</v>
      </c>
      <c r="AM1710" t="s">
        <v>3663</v>
      </c>
    </row>
    <row r="1711" spans="1:39" hidden="1" x14ac:dyDescent="0.25">
      <c r="A1711">
        <v>1707</v>
      </c>
      <c r="B1711">
        <v>5</v>
      </c>
      <c r="C1711" s="24">
        <v>44965</v>
      </c>
      <c r="D1711" s="238" t="s">
        <v>27</v>
      </c>
      <c r="E1711" s="238" t="s">
        <v>15</v>
      </c>
      <c r="F1711">
        <v>2</v>
      </c>
      <c r="G1711">
        <v>1</v>
      </c>
      <c r="H1711">
        <v>12</v>
      </c>
      <c r="I1711" s="238" t="s">
        <v>3946</v>
      </c>
      <c r="J1711">
        <v>136.02000000000001</v>
      </c>
      <c r="K1711" s="238" t="s">
        <v>36</v>
      </c>
      <c r="L1711">
        <v>12921900</v>
      </c>
      <c r="M1711">
        <v>0</v>
      </c>
      <c r="N1711">
        <v>12921900</v>
      </c>
      <c r="O1711">
        <v>95000</v>
      </c>
      <c r="P1711">
        <v>0</v>
      </c>
      <c r="Q1711">
        <v>12921900</v>
      </c>
      <c r="R1711">
        <v>95000</v>
      </c>
      <c r="S1711" s="238" t="s">
        <v>121</v>
      </c>
      <c r="T1711" s="238" t="s">
        <v>1167</v>
      </c>
      <c r="V1711" t="s">
        <v>1167</v>
      </c>
      <c r="W1711" s="24">
        <v>44958</v>
      </c>
      <c r="X1711" s="238" t="s">
        <v>4057</v>
      </c>
      <c r="Y1711" s="238" t="s">
        <v>3946</v>
      </c>
      <c r="Z1711" s="238" t="s">
        <v>1340</v>
      </c>
      <c r="AA1711" t="s">
        <v>3113</v>
      </c>
      <c r="AB1711" s="238" t="s">
        <v>3246</v>
      </c>
      <c r="AC1711" t="s">
        <v>1167</v>
      </c>
      <c r="AD1711" s="24"/>
      <c r="AE1711" s="238" t="s">
        <v>4058</v>
      </c>
      <c r="AF1711">
        <v>79270078464</v>
      </c>
      <c r="AG1711" s="238" t="s">
        <v>4059</v>
      </c>
      <c r="AH1711" s="238" t="s">
        <v>1212</v>
      </c>
      <c r="AI1711" s="238" t="s">
        <v>135</v>
      </c>
      <c r="AJ1711" s="238" t="s">
        <v>130</v>
      </c>
      <c r="AK1711" s="238" t="s">
        <v>1167</v>
      </c>
      <c r="AL1711" t="s">
        <v>8715</v>
      </c>
      <c r="AM1711" t="s">
        <v>1167</v>
      </c>
    </row>
    <row r="1712" spans="1:39" hidden="1" x14ac:dyDescent="0.25">
      <c r="A1712">
        <v>1708</v>
      </c>
      <c r="B1712">
        <v>6</v>
      </c>
      <c r="C1712" s="24">
        <v>44965</v>
      </c>
      <c r="D1712" s="238" t="s">
        <v>27</v>
      </c>
      <c r="E1712" s="238" t="s">
        <v>6</v>
      </c>
      <c r="F1712">
        <v>1</v>
      </c>
      <c r="G1712">
        <v>1</v>
      </c>
      <c r="H1712">
        <v>1</v>
      </c>
      <c r="I1712" s="238" t="s">
        <v>3946</v>
      </c>
      <c r="J1712">
        <v>36.89</v>
      </c>
      <c r="K1712" s="238" t="s">
        <v>36</v>
      </c>
      <c r="L1712">
        <v>4057900</v>
      </c>
      <c r="M1712">
        <v>0</v>
      </c>
      <c r="N1712">
        <v>4057900</v>
      </c>
      <c r="O1712">
        <v>110000</v>
      </c>
      <c r="P1712">
        <v>0</v>
      </c>
      <c r="Q1712">
        <v>4057900</v>
      </c>
      <c r="R1712">
        <v>110000</v>
      </c>
      <c r="S1712" s="238" t="s">
        <v>121</v>
      </c>
      <c r="T1712" s="238" t="s">
        <v>1167</v>
      </c>
      <c r="V1712" t="s">
        <v>1167</v>
      </c>
      <c r="W1712" s="24">
        <v>44958</v>
      </c>
      <c r="X1712" s="238" t="s">
        <v>4060</v>
      </c>
      <c r="Y1712" s="238" t="s">
        <v>3946</v>
      </c>
      <c r="Z1712" s="238" t="s">
        <v>1340</v>
      </c>
      <c r="AA1712" t="s">
        <v>3113</v>
      </c>
      <c r="AB1712" s="238" t="s">
        <v>3246</v>
      </c>
      <c r="AC1712" t="s">
        <v>1167</v>
      </c>
      <c r="AD1712" s="24"/>
      <c r="AE1712" s="238" t="s">
        <v>4061</v>
      </c>
      <c r="AF1712">
        <v>79270122532</v>
      </c>
      <c r="AG1712" s="238" t="s">
        <v>4062</v>
      </c>
      <c r="AH1712" s="238" t="s">
        <v>1212</v>
      </c>
      <c r="AI1712" s="238" t="s">
        <v>3094</v>
      </c>
      <c r="AJ1712" s="238" t="s">
        <v>399</v>
      </c>
      <c r="AK1712" s="238" t="s">
        <v>1167</v>
      </c>
      <c r="AL1712" t="s">
        <v>8715</v>
      </c>
      <c r="AM1712" t="s">
        <v>1167</v>
      </c>
    </row>
    <row r="1713" spans="1:39" hidden="1" x14ac:dyDescent="0.25">
      <c r="A1713">
        <v>1709</v>
      </c>
      <c r="B1713">
        <v>7</v>
      </c>
      <c r="C1713" s="24">
        <v>44965</v>
      </c>
      <c r="D1713" s="238" t="s">
        <v>91</v>
      </c>
      <c r="E1713" s="238" t="s">
        <v>5</v>
      </c>
      <c r="F1713">
        <v>4</v>
      </c>
      <c r="G1713">
        <v>2</v>
      </c>
      <c r="H1713">
        <v>124</v>
      </c>
      <c r="I1713" s="238" t="s">
        <v>42</v>
      </c>
      <c r="J1713">
        <v>37.81</v>
      </c>
      <c r="K1713" s="238" t="s">
        <v>37</v>
      </c>
      <c r="L1713">
        <v>3269556.55</v>
      </c>
      <c r="M1713">
        <v>0</v>
      </c>
      <c r="N1713">
        <v>3269556.55</v>
      </c>
      <c r="O1713">
        <v>86473.328484527898</v>
      </c>
      <c r="P1713">
        <v>151240</v>
      </c>
      <c r="Q1713">
        <v>3118316.55</v>
      </c>
      <c r="R1713">
        <v>82473.328484527898</v>
      </c>
      <c r="S1713" s="238" t="s">
        <v>124</v>
      </c>
      <c r="T1713" s="238" t="s">
        <v>3540</v>
      </c>
      <c r="U1713">
        <v>164121.92368421098</v>
      </c>
      <c r="V1713" t="s">
        <v>1167</v>
      </c>
      <c r="W1713" s="24">
        <v>44959</v>
      </c>
      <c r="X1713" s="238" t="s">
        <v>4063</v>
      </c>
      <c r="Y1713" s="238" t="s">
        <v>39</v>
      </c>
      <c r="Z1713" s="238" t="s">
        <v>1340</v>
      </c>
      <c r="AA1713" t="s">
        <v>3113</v>
      </c>
      <c r="AB1713" s="238" t="s">
        <v>3246</v>
      </c>
      <c r="AC1713" t="s">
        <v>1167</v>
      </c>
      <c r="AD1713" s="24"/>
      <c r="AE1713" s="238" t="s">
        <v>4064</v>
      </c>
      <c r="AF1713">
        <v>79141682601</v>
      </c>
      <c r="AG1713" s="238" t="s">
        <v>4065</v>
      </c>
      <c r="AH1713" s="238" t="s">
        <v>1171</v>
      </c>
      <c r="AI1713" s="238" t="s">
        <v>3074</v>
      </c>
      <c r="AJ1713" s="238" t="s">
        <v>399</v>
      </c>
      <c r="AK1713" s="238" t="s">
        <v>1167</v>
      </c>
      <c r="AL1713" t="s">
        <v>8715</v>
      </c>
      <c r="AM1713" t="s">
        <v>1167</v>
      </c>
    </row>
    <row r="1714" spans="1:39" hidden="1" x14ac:dyDescent="0.25">
      <c r="A1714">
        <v>1710</v>
      </c>
      <c r="B1714">
        <v>8</v>
      </c>
      <c r="C1714" s="24">
        <v>44965</v>
      </c>
      <c r="D1714" s="238" t="s">
        <v>27</v>
      </c>
      <c r="E1714" s="238" t="s">
        <v>6</v>
      </c>
      <c r="F1714">
        <v>4</v>
      </c>
      <c r="G1714">
        <v>13</v>
      </c>
      <c r="H1714">
        <v>103</v>
      </c>
      <c r="I1714" s="238" t="s">
        <v>4052</v>
      </c>
      <c r="J1714">
        <v>24.39</v>
      </c>
      <c r="K1714" s="238" t="s">
        <v>37</v>
      </c>
      <c r="L1714">
        <v>2313304.65</v>
      </c>
      <c r="M1714">
        <v>0</v>
      </c>
      <c r="N1714">
        <v>2313304.65</v>
      </c>
      <c r="O1714">
        <v>94846.439114391134</v>
      </c>
      <c r="P1714">
        <v>97560</v>
      </c>
      <c r="Q1714">
        <v>2215744.65</v>
      </c>
      <c r="R1714">
        <v>90846.439114391134</v>
      </c>
      <c r="S1714" s="238" t="s">
        <v>137</v>
      </c>
      <c r="T1714" s="238" t="s">
        <v>3390</v>
      </c>
      <c r="U1714">
        <v>100000</v>
      </c>
      <c r="V1714" t="s">
        <v>4091</v>
      </c>
      <c r="W1714" s="24">
        <v>44960</v>
      </c>
      <c r="X1714" s="238" t="s">
        <v>4066</v>
      </c>
      <c r="Y1714" s="238" t="s">
        <v>39</v>
      </c>
      <c r="Z1714" s="238" t="s">
        <v>1340</v>
      </c>
      <c r="AA1714" t="s">
        <v>3113</v>
      </c>
      <c r="AB1714" s="238" t="s">
        <v>3246</v>
      </c>
      <c r="AC1714" t="s">
        <v>3079</v>
      </c>
      <c r="AD1714" s="24"/>
      <c r="AE1714" s="238" t="s">
        <v>4067</v>
      </c>
      <c r="AF1714">
        <v>79277065573</v>
      </c>
      <c r="AG1714" s="238" t="s">
        <v>4068</v>
      </c>
      <c r="AH1714" s="238" t="s">
        <v>1171</v>
      </c>
      <c r="AI1714" s="238" t="s">
        <v>3074</v>
      </c>
      <c r="AJ1714" s="238" t="s">
        <v>130</v>
      </c>
      <c r="AK1714" s="238" t="s">
        <v>141</v>
      </c>
      <c r="AL1714" t="s">
        <v>8715</v>
      </c>
      <c r="AM1714" t="s">
        <v>1167</v>
      </c>
    </row>
    <row r="1715" spans="1:39" hidden="1" x14ac:dyDescent="0.25">
      <c r="A1715">
        <v>1711</v>
      </c>
      <c r="B1715">
        <v>9</v>
      </c>
      <c r="C1715" s="24">
        <v>44966</v>
      </c>
      <c r="D1715" s="238" t="s">
        <v>91</v>
      </c>
      <c r="E1715" s="238" t="s">
        <v>5</v>
      </c>
      <c r="F1715">
        <v>3</v>
      </c>
      <c r="G1715">
        <v>10</v>
      </c>
      <c r="H1715">
        <v>187</v>
      </c>
      <c r="I1715" s="238" t="s">
        <v>42</v>
      </c>
      <c r="J1715">
        <v>35.380000000000003</v>
      </c>
      <c r="K1715" s="238" t="s">
        <v>37</v>
      </c>
      <c r="L1715">
        <v>3213000.38</v>
      </c>
      <c r="M1715">
        <v>0</v>
      </c>
      <c r="N1715">
        <v>3213000.38</v>
      </c>
      <c r="O1715">
        <v>90814.029960429616</v>
      </c>
      <c r="P1715">
        <v>141520</v>
      </c>
      <c r="Q1715">
        <v>3071480.38</v>
      </c>
      <c r="R1715">
        <v>86814.029960429616</v>
      </c>
      <c r="S1715" s="238" t="s">
        <v>124</v>
      </c>
      <c r="T1715" s="238" t="s">
        <v>1167</v>
      </c>
      <c r="V1715" t="s">
        <v>1167</v>
      </c>
      <c r="W1715" s="24">
        <v>44962</v>
      </c>
      <c r="X1715" s="238" t="s">
        <v>4069</v>
      </c>
      <c r="Y1715" s="238" t="s">
        <v>39</v>
      </c>
      <c r="Z1715" s="238" t="s">
        <v>1340</v>
      </c>
      <c r="AA1715" t="s">
        <v>3113</v>
      </c>
      <c r="AB1715" s="238" t="s">
        <v>3246</v>
      </c>
      <c r="AC1715" t="s">
        <v>1167</v>
      </c>
      <c r="AD1715" s="24"/>
      <c r="AE1715" s="238" t="s">
        <v>4070</v>
      </c>
      <c r="AF1715">
        <v>79370691950</v>
      </c>
      <c r="AG1715" s="238" t="s">
        <v>4071</v>
      </c>
      <c r="AH1715" s="238" t="s">
        <v>4072</v>
      </c>
      <c r="AI1715" s="238" t="s">
        <v>6406</v>
      </c>
      <c r="AJ1715" s="238" t="s">
        <v>399</v>
      </c>
      <c r="AK1715" s="238" t="s">
        <v>1167</v>
      </c>
      <c r="AL1715" t="s">
        <v>57</v>
      </c>
      <c r="AM1715" t="s">
        <v>1167</v>
      </c>
    </row>
    <row r="1716" spans="1:39" hidden="1" x14ac:dyDescent="0.25">
      <c r="A1716">
        <v>1712</v>
      </c>
      <c r="B1716">
        <v>10</v>
      </c>
      <c r="C1716" s="24">
        <v>44966</v>
      </c>
      <c r="D1716" s="238" t="s">
        <v>91</v>
      </c>
      <c r="E1716" s="238" t="s">
        <v>15</v>
      </c>
      <c r="F1716">
        <v>4</v>
      </c>
      <c r="G1716">
        <v>7</v>
      </c>
      <c r="H1716">
        <v>450</v>
      </c>
      <c r="I1716" s="238" t="s">
        <v>42</v>
      </c>
      <c r="J1716">
        <v>36.5</v>
      </c>
      <c r="K1716" s="238" t="s">
        <v>38</v>
      </c>
      <c r="L1716">
        <v>3621150.74</v>
      </c>
      <c r="M1716">
        <v>0</v>
      </c>
      <c r="N1716">
        <v>3621150.74</v>
      </c>
      <c r="O1716">
        <v>99209.609315068505</v>
      </c>
      <c r="P1716">
        <v>547500</v>
      </c>
      <c r="Q1716">
        <v>3073650.74</v>
      </c>
      <c r="R1716">
        <v>84209.609315068505</v>
      </c>
      <c r="S1716" s="238" t="s">
        <v>137</v>
      </c>
      <c r="T1716" s="238" t="s">
        <v>3540</v>
      </c>
      <c r="U1716">
        <v>95061.36</v>
      </c>
      <c r="V1716" t="s">
        <v>4092</v>
      </c>
      <c r="W1716" s="24">
        <v>44964</v>
      </c>
      <c r="X1716" s="238" t="s">
        <v>4073</v>
      </c>
      <c r="Y1716" s="238" t="s">
        <v>39</v>
      </c>
      <c r="Z1716" s="238" t="s">
        <v>1340</v>
      </c>
      <c r="AA1716" t="s">
        <v>3113</v>
      </c>
      <c r="AB1716" s="238" t="s">
        <v>3246</v>
      </c>
      <c r="AC1716" t="s">
        <v>3079</v>
      </c>
      <c r="AD1716" s="24"/>
      <c r="AE1716" s="238" t="s">
        <v>4074</v>
      </c>
      <c r="AF1716">
        <v>79276866397</v>
      </c>
      <c r="AG1716" s="238" t="s">
        <v>1167</v>
      </c>
      <c r="AH1716" s="238" t="s">
        <v>4072</v>
      </c>
      <c r="AI1716" s="238" t="s">
        <v>6406</v>
      </c>
      <c r="AJ1716" s="238" t="s">
        <v>399</v>
      </c>
      <c r="AK1716" s="238" t="s">
        <v>141</v>
      </c>
      <c r="AL1716" t="s">
        <v>57</v>
      </c>
      <c r="AM1716" t="s">
        <v>3663</v>
      </c>
    </row>
    <row r="1717" spans="1:39" hidden="1" x14ac:dyDescent="0.25">
      <c r="A1717">
        <v>1713</v>
      </c>
      <c r="B1717">
        <v>11</v>
      </c>
      <c r="C1717" s="24">
        <v>44966</v>
      </c>
      <c r="D1717" s="238" t="s">
        <v>91</v>
      </c>
      <c r="E1717" s="238" t="s">
        <v>16</v>
      </c>
      <c r="F1717">
        <v>7</v>
      </c>
      <c r="G1717">
        <v>24</v>
      </c>
      <c r="H1717">
        <v>401</v>
      </c>
      <c r="I1717" s="238" t="s">
        <v>42</v>
      </c>
      <c r="J1717">
        <v>33.840000000000003</v>
      </c>
      <c r="K1717" s="238" t="s">
        <v>36</v>
      </c>
      <c r="L1717">
        <v>3137442.1</v>
      </c>
      <c r="M1717">
        <v>0</v>
      </c>
      <c r="N1717">
        <v>3137442.1</v>
      </c>
      <c r="O1717">
        <v>92714.010047281321</v>
      </c>
      <c r="P1717">
        <v>0</v>
      </c>
      <c r="Q1717">
        <v>3137442.1</v>
      </c>
      <c r="R1717">
        <v>92714.010047281321</v>
      </c>
      <c r="S1717" s="238" t="s">
        <v>137</v>
      </c>
      <c r="T1717" s="238" t="s">
        <v>1167</v>
      </c>
      <c r="V1717" t="s">
        <v>4091</v>
      </c>
      <c r="W1717" s="24">
        <v>44964</v>
      </c>
      <c r="X1717" s="238" t="s">
        <v>4075</v>
      </c>
      <c r="Y1717" s="238" t="s">
        <v>39</v>
      </c>
      <c r="Z1717" s="238" t="s">
        <v>1340</v>
      </c>
      <c r="AA1717" t="s">
        <v>3113</v>
      </c>
      <c r="AB1717" s="238" t="s">
        <v>3246</v>
      </c>
      <c r="AC1717" t="s">
        <v>3079</v>
      </c>
      <c r="AD1717" s="24"/>
      <c r="AE1717" s="238" t="s">
        <v>4076</v>
      </c>
      <c r="AF1717">
        <v>79608130003</v>
      </c>
      <c r="AG1717" s="238" t="s">
        <v>1167</v>
      </c>
      <c r="AH1717" s="238" t="s">
        <v>1212</v>
      </c>
      <c r="AI1717" s="238" t="s">
        <v>135</v>
      </c>
      <c r="AJ1717" s="238" t="s">
        <v>3901</v>
      </c>
      <c r="AK1717" s="238" t="s">
        <v>141</v>
      </c>
      <c r="AL1717" t="s">
        <v>8715</v>
      </c>
      <c r="AM1717" t="s">
        <v>3663</v>
      </c>
    </row>
    <row r="1718" spans="1:39" hidden="1" x14ac:dyDescent="0.25">
      <c r="A1718">
        <v>1714</v>
      </c>
      <c r="B1718">
        <v>12</v>
      </c>
      <c r="C1718" s="24">
        <v>44966</v>
      </c>
      <c r="D1718" s="238" t="s">
        <v>91</v>
      </c>
      <c r="E1718" s="238" t="s">
        <v>16</v>
      </c>
      <c r="F1718">
        <v>7</v>
      </c>
      <c r="G1718">
        <v>2</v>
      </c>
      <c r="H1718">
        <v>247</v>
      </c>
      <c r="I1718" s="238" t="s">
        <v>42</v>
      </c>
      <c r="J1718">
        <v>33.840000000000003</v>
      </c>
      <c r="K1718" s="238" t="s">
        <v>36</v>
      </c>
      <c r="L1718">
        <v>2880742.35</v>
      </c>
      <c r="M1718">
        <v>0</v>
      </c>
      <c r="N1718">
        <v>2880742.35</v>
      </c>
      <c r="O1718">
        <v>85128.320035460987</v>
      </c>
      <c r="P1718">
        <v>0</v>
      </c>
      <c r="Q1718">
        <v>2880742.35</v>
      </c>
      <c r="R1718">
        <v>85128.320035460987</v>
      </c>
      <c r="S1718" s="238" t="s">
        <v>137</v>
      </c>
      <c r="T1718" s="238" t="s">
        <v>1167</v>
      </c>
      <c r="V1718" t="s">
        <v>4091</v>
      </c>
      <c r="W1718" s="24">
        <v>44966</v>
      </c>
      <c r="X1718" s="238" t="s">
        <v>4077</v>
      </c>
      <c r="Y1718" s="238" t="s">
        <v>39</v>
      </c>
      <c r="Z1718" s="238" t="s">
        <v>1340</v>
      </c>
      <c r="AA1718" t="s">
        <v>3113</v>
      </c>
      <c r="AB1718" s="238" t="s">
        <v>3246</v>
      </c>
      <c r="AC1718" t="s">
        <v>3079</v>
      </c>
      <c r="AD1718" s="24"/>
      <c r="AE1718" s="238" t="s">
        <v>4078</v>
      </c>
      <c r="AF1718">
        <v>79874580008</v>
      </c>
      <c r="AG1718" s="238" t="s">
        <v>4079</v>
      </c>
      <c r="AH1718" s="238" t="s">
        <v>1171</v>
      </c>
      <c r="AI1718" s="238" t="s">
        <v>3086</v>
      </c>
      <c r="AJ1718" s="238" t="s">
        <v>399</v>
      </c>
      <c r="AK1718" s="238" t="s">
        <v>141</v>
      </c>
      <c r="AL1718" t="s">
        <v>8715</v>
      </c>
      <c r="AM1718" t="s">
        <v>1167</v>
      </c>
    </row>
    <row r="1719" spans="1:39" hidden="1" x14ac:dyDescent="0.25">
      <c r="A1719">
        <v>1715</v>
      </c>
      <c r="B1719">
        <v>13</v>
      </c>
      <c r="C1719" s="24">
        <v>44967</v>
      </c>
      <c r="D1719" s="238" t="s">
        <v>27</v>
      </c>
      <c r="E1719" s="238" t="s">
        <v>13</v>
      </c>
      <c r="F1719">
        <v>9</v>
      </c>
      <c r="G1719">
        <v>6</v>
      </c>
      <c r="H1719">
        <v>875</v>
      </c>
      <c r="I1719" s="238" t="s">
        <v>4052</v>
      </c>
      <c r="J1719">
        <v>23.09</v>
      </c>
      <c r="K1719" s="238" t="s">
        <v>36</v>
      </c>
      <c r="L1719">
        <v>2171735.5099999998</v>
      </c>
      <c r="M1719">
        <v>0</v>
      </c>
      <c r="N1719">
        <v>2171735.5099999998</v>
      </c>
      <c r="O1719">
        <v>94055.240796881757</v>
      </c>
      <c r="P1719">
        <v>0</v>
      </c>
      <c r="Q1719">
        <v>2171735.5099999998</v>
      </c>
      <c r="R1719">
        <v>94055.240796881757</v>
      </c>
      <c r="S1719" s="238" t="s">
        <v>137</v>
      </c>
      <c r="T1719" s="238" t="s">
        <v>3390</v>
      </c>
      <c r="U1719">
        <v>100000</v>
      </c>
      <c r="V1719" t="s">
        <v>4091</v>
      </c>
      <c r="W1719" s="24">
        <v>44965</v>
      </c>
      <c r="X1719" s="238" t="s">
        <v>4081</v>
      </c>
      <c r="Y1719" s="238" t="s">
        <v>39</v>
      </c>
      <c r="Z1719" s="238" t="s">
        <v>1340</v>
      </c>
      <c r="AA1719" t="s">
        <v>3113</v>
      </c>
      <c r="AB1719" s="238" t="s">
        <v>3246</v>
      </c>
      <c r="AC1719" t="s">
        <v>3079</v>
      </c>
      <c r="AD1719" s="24"/>
      <c r="AE1719" s="238" t="s">
        <v>4082</v>
      </c>
      <c r="AF1719">
        <v>79874261309</v>
      </c>
      <c r="AG1719" s="238" t="s">
        <v>4083</v>
      </c>
      <c r="AH1719" s="238" t="s">
        <v>1171</v>
      </c>
      <c r="AI1719" s="238" t="s">
        <v>3074</v>
      </c>
      <c r="AJ1719" s="238" t="s">
        <v>130</v>
      </c>
      <c r="AK1719" s="238" t="s">
        <v>141</v>
      </c>
      <c r="AL1719" t="s">
        <v>8715</v>
      </c>
      <c r="AM1719" t="s">
        <v>3663</v>
      </c>
    </row>
    <row r="1720" spans="1:39" hidden="1" x14ac:dyDescent="0.25">
      <c r="A1720">
        <v>1716</v>
      </c>
      <c r="B1720">
        <v>14</v>
      </c>
      <c r="C1720" s="24">
        <v>44970</v>
      </c>
      <c r="D1720" s="238" t="s">
        <v>91</v>
      </c>
      <c r="E1720" s="238" t="s">
        <v>16</v>
      </c>
      <c r="F1720">
        <v>5</v>
      </c>
      <c r="G1720">
        <v>18</v>
      </c>
      <c r="H1720">
        <v>357</v>
      </c>
      <c r="I1720" s="238" t="s">
        <v>43</v>
      </c>
      <c r="J1720">
        <v>56.7</v>
      </c>
      <c r="K1720" s="238" t="s">
        <v>37</v>
      </c>
      <c r="L1720">
        <v>4518084.5</v>
      </c>
      <c r="M1720">
        <v>0</v>
      </c>
      <c r="N1720">
        <v>4518084.5</v>
      </c>
      <c r="O1720">
        <v>79684.02998236331</v>
      </c>
      <c r="P1720">
        <v>226800</v>
      </c>
      <c r="Q1720">
        <v>4291284.5</v>
      </c>
      <c r="R1720">
        <v>75684.02998236331</v>
      </c>
      <c r="S1720" s="238" t="s">
        <v>137</v>
      </c>
      <c r="T1720" s="238" t="s">
        <v>1167</v>
      </c>
      <c r="V1720" t="s">
        <v>4091</v>
      </c>
      <c r="W1720" s="24">
        <v>44960</v>
      </c>
      <c r="X1720" s="238" t="s">
        <v>4084</v>
      </c>
      <c r="Y1720" s="238" t="s">
        <v>39</v>
      </c>
      <c r="Z1720" s="238" t="s">
        <v>1340</v>
      </c>
      <c r="AA1720" t="s">
        <v>3113</v>
      </c>
      <c r="AB1720" s="238" t="s">
        <v>3246</v>
      </c>
      <c r="AC1720" t="s">
        <v>3079</v>
      </c>
      <c r="AD1720" s="24"/>
      <c r="AE1720" s="238" t="s">
        <v>4085</v>
      </c>
      <c r="AF1720">
        <v>79171218501</v>
      </c>
      <c r="AG1720" s="238" t="s">
        <v>4086</v>
      </c>
      <c r="AH1720" s="238" t="s">
        <v>1212</v>
      </c>
      <c r="AI1720" s="238" t="s">
        <v>3074</v>
      </c>
      <c r="AJ1720" s="238" t="s">
        <v>3901</v>
      </c>
      <c r="AK1720" s="238" t="s">
        <v>141</v>
      </c>
      <c r="AL1720" t="s">
        <v>8715</v>
      </c>
      <c r="AM1720" t="s">
        <v>1167</v>
      </c>
    </row>
    <row r="1721" spans="1:39" hidden="1" x14ac:dyDescent="0.25">
      <c r="A1721">
        <v>1717</v>
      </c>
      <c r="B1721">
        <v>15</v>
      </c>
      <c r="C1721" s="24">
        <v>44970</v>
      </c>
      <c r="D1721" s="238" t="s">
        <v>91</v>
      </c>
      <c r="E1721" s="238" t="s">
        <v>16</v>
      </c>
      <c r="F1721">
        <v>3</v>
      </c>
      <c r="G1721">
        <v>9</v>
      </c>
      <c r="H1721">
        <v>292</v>
      </c>
      <c r="I1721" s="238" t="s">
        <v>4052</v>
      </c>
      <c r="J1721">
        <v>36.450000000000003</v>
      </c>
      <c r="K1721" s="238" t="s">
        <v>38</v>
      </c>
      <c r="L1721">
        <v>3615579.02</v>
      </c>
      <c r="M1721">
        <v>0</v>
      </c>
      <c r="N1721">
        <v>3615579.02</v>
      </c>
      <c r="O1721">
        <v>99192.840054869681</v>
      </c>
      <c r="P1721">
        <v>546749.99999999953</v>
      </c>
      <c r="Q1721">
        <v>3068829.0200000005</v>
      </c>
      <c r="R1721">
        <v>84192.840054869695</v>
      </c>
      <c r="S1721" s="238" t="s">
        <v>137</v>
      </c>
      <c r="T1721" s="238" t="s">
        <v>1167</v>
      </c>
      <c r="V1721" t="s">
        <v>4092</v>
      </c>
      <c r="W1721" s="24">
        <v>44965</v>
      </c>
      <c r="X1721" s="238" t="s">
        <v>4087</v>
      </c>
      <c r="Y1721" s="238" t="s">
        <v>39</v>
      </c>
      <c r="Z1721" s="238" t="s">
        <v>1340</v>
      </c>
      <c r="AA1721" t="s">
        <v>3113</v>
      </c>
      <c r="AB1721" s="238" t="s">
        <v>3246</v>
      </c>
      <c r="AC1721" t="s">
        <v>3079</v>
      </c>
      <c r="AD1721" s="24"/>
      <c r="AE1721" s="238" t="s">
        <v>4088</v>
      </c>
      <c r="AF1721">
        <v>79272014497</v>
      </c>
      <c r="AG1721" s="238" t="s">
        <v>4089</v>
      </c>
      <c r="AH1721" s="238" t="s">
        <v>1171</v>
      </c>
      <c r="AI1721" s="238" t="s">
        <v>135</v>
      </c>
      <c r="AJ1721" s="238" t="s">
        <v>130</v>
      </c>
      <c r="AK1721" s="238" t="s">
        <v>3345</v>
      </c>
      <c r="AL1721" t="s">
        <v>8715</v>
      </c>
      <c r="AM1721" t="s">
        <v>3663</v>
      </c>
    </row>
    <row r="1722" spans="1:39" hidden="1" x14ac:dyDescent="0.25">
      <c r="A1722">
        <v>1718</v>
      </c>
      <c r="B1722">
        <v>16</v>
      </c>
      <c r="C1722" s="24">
        <v>44971</v>
      </c>
      <c r="D1722" s="238" t="s">
        <v>91</v>
      </c>
      <c r="E1722" s="238" t="s">
        <v>5</v>
      </c>
      <c r="F1722">
        <v>4</v>
      </c>
      <c r="G1722">
        <v>4</v>
      </c>
      <c r="H1722">
        <v>140</v>
      </c>
      <c r="I1722" s="238" t="s">
        <v>42</v>
      </c>
      <c r="J1722">
        <v>37.81</v>
      </c>
      <c r="K1722" s="238" t="s">
        <v>37</v>
      </c>
      <c r="L1722">
        <v>3299831.3</v>
      </c>
      <c r="M1722">
        <v>0</v>
      </c>
      <c r="N1722">
        <v>3299831.3</v>
      </c>
      <c r="O1722">
        <v>87274.035969320277</v>
      </c>
      <c r="P1722">
        <v>151240</v>
      </c>
      <c r="Q1722">
        <v>3148591.3</v>
      </c>
      <c r="R1722">
        <v>83274.035969320277</v>
      </c>
      <c r="S1722" s="238" t="s">
        <v>137</v>
      </c>
      <c r="T1722" s="238" t="s">
        <v>3540</v>
      </c>
      <c r="U1722">
        <v>165715.32999999999</v>
      </c>
      <c r="V1722" t="s">
        <v>4092</v>
      </c>
      <c r="W1722" s="24">
        <v>44960</v>
      </c>
      <c r="X1722" s="238" t="s">
        <v>4095</v>
      </c>
      <c r="Y1722" s="238" t="s">
        <v>39</v>
      </c>
      <c r="Z1722" s="238" t="s">
        <v>1340</v>
      </c>
      <c r="AA1722" t="s">
        <v>3474</v>
      </c>
      <c r="AB1722" s="238" t="s">
        <v>3246</v>
      </c>
      <c r="AC1722" t="s">
        <v>3077</v>
      </c>
      <c r="AD1722" s="24"/>
      <c r="AE1722" s="238" t="s">
        <v>4096</v>
      </c>
      <c r="AF1722">
        <v>79379861084</v>
      </c>
      <c r="AG1722" s="238" t="s">
        <v>4097</v>
      </c>
      <c r="AH1722" s="238" t="s">
        <v>135</v>
      </c>
      <c r="AI1722" s="238" t="s">
        <v>3081</v>
      </c>
      <c r="AJ1722" s="238" t="s">
        <v>3901</v>
      </c>
      <c r="AK1722" s="238" t="s">
        <v>3345</v>
      </c>
      <c r="AL1722" t="s">
        <v>8715</v>
      </c>
      <c r="AM1722" t="s">
        <v>1167</v>
      </c>
    </row>
    <row r="1723" spans="1:39" hidden="1" x14ac:dyDescent="0.25">
      <c r="A1723">
        <v>1719</v>
      </c>
      <c r="B1723">
        <v>17</v>
      </c>
      <c r="C1723" s="24">
        <v>44972</v>
      </c>
      <c r="D1723" s="238" t="s">
        <v>27</v>
      </c>
      <c r="E1723" s="238" t="s">
        <v>6</v>
      </c>
      <c r="F1723">
        <v>5</v>
      </c>
      <c r="G1723">
        <v>16</v>
      </c>
      <c r="H1723">
        <v>131</v>
      </c>
      <c r="I1723" s="238" t="s">
        <v>4052</v>
      </c>
      <c r="J1723">
        <v>24.47</v>
      </c>
      <c r="K1723" s="238" t="s">
        <v>37</v>
      </c>
      <c r="L1723">
        <v>2321187.09</v>
      </c>
      <c r="M1723">
        <v>0</v>
      </c>
      <c r="N1723">
        <v>2321187.09</v>
      </c>
      <c r="O1723">
        <v>94858.48344912137</v>
      </c>
      <c r="P1723">
        <v>97880</v>
      </c>
      <c r="Q1723">
        <v>2223307.09</v>
      </c>
      <c r="R1723">
        <v>90858.48344912137</v>
      </c>
      <c r="S1723" s="238" t="s">
        <v>137</v>
      </c>
      <c r="T1723" s="238" t="s">
        <v>3390</v>
      </c>
      <c r="U1723">
        <v>100000</v>
      </c>
      <c r="V1723" t="s">
        <v>4091</v>
      </c>
      <c r="W1723" s="24">
        <v>44965</v>
      </c>
      <c r="X1723" s="238" t="s">
        <v>4098</v>
      </c>
      <c r="Y1723" s="238" t="s">
        <v>39</v>
      </c>
      <c r="Z1723" s="238" t="s">
        <v>1340</v>
      </c>
      <c r="AA1723" t="s">
        <v>3113</v>
      </c>
      <c r="AB1723" s="238" t="s">
        <v>3246</v>
      </c>
      <c r="AC1723" t="s">
        <v>3079</v>
      </c>
      <c r="AD1723" s="24"/>
      <c r="AE1723" s="238" t="s">
        <v>4099</v>
      </c>
      <c r="AF1723">
        <v>79869041428</v>
      </c>
      <c r="AG1723" s="238" t="s">
        <v>4100</v>
      </c>
      <c r="AH1723" s="238" t="s">
        <v>1212</v>
      </c>
      <c r="AI1723" s="238" t="s">
        <v>3097</v>
      </c>
      <c r="AJ1723" s="238" t="s">
        <v>130</v>
      </c>
      <c r="AK1723" s="238" t="s">
        <v>141</v>
      </c>
      <c r="AL1723" t="s">
        <v>8715</v>
      </c>
      <c r="AM1723" t="s">
        <v>3663</v>
      </c>
    </row>
    <row r="1724" spans="1:39" hidden="1" x14ac:dyDescent="0.25">
      <c r="A1724">
        <v>1720</v>
      </c>
      <c r="B1724">
        <v>18</v>
      </c>
      <c r="C1724" s="24">
        <v>44973</v>
      </c>
      <c r="D1724" s="238" t="s">
        <v>91</v>
      </c>
      <c r="E1724" s="238" t="s">
        <v>6</v>
      </c>
      <c r="F1724">
        <v>5</v>
      </c>
      <c r="G1724">
        <v>6</v>
      </c>
      <c r="H1724">
        <v>37</v>
      </c>
      <c r="I1724" s="238" t="s">
        <v>43</v>
      </c>
      <c r="J1724">
        <v>54.66</v>
      </c>
      <c r="K1724" s="238" t="s">
        <v>37</v>
      </c>
      <c r="L1724">
        <v>4110528.66</v>
      </c>
      <c r="M1724">
        <v>0</v>
      </c>
      <c r="N1724">
        <v>4110528.66</v>
      </c>
      <c r="O1724">
        <v>75201.76838638859</v>
      </c>
      <c r="P1724">
        <v>218640</v>
      </c>
      <c r="Q1724">
        <v>3891888.66</v>
      </c>
      <c r="R1724">
        <v>71201.76838638859</v>
      </c>
      <c r="S1724" s="238" t="s">
        <v>137</v>
      </c>
      <c r="T1724" s="238" t="s">
        <v>3540</v>
      </c>
      <c r="U1724">
        <v>204836.25</v>
      </c>
      <c r="V1724" t="s">
        <v>4092</v>
      </c>
      <c r="W1724" s="24">
        <v>44967</v>
      </c>
      <c r="X1724" s="238" t="s">
        <v>4101</v>
      </c>
      <c r="Y1724" s="238" t="s">
        <v>39</v>
      </c>
      <c r="Z1724" s="238" t="s">
        <v>1340</v>
      </c>
      <c r="AA1724" t="s">
        <v>3113</v>
      </c>
      <c r="AB1724" s="238" t="s">
        <v>3246</v>
      </c>
      <c r="AC1724" t="s">
        <v>3079</v>
      </c>
      <c r="AD1724" s="24"/>
      <c r="AE1724" s="238" t="s">
        <v>4102</v>
      </c>
      <c r="AF1724">
        <v>79370669733</v>
      </c>
      <c r="AG1724" s="238" t="s">
        <v>4103</v>
      </c>
      <c r="AH1724" s="238" t="s">
        <v>1212</v>
      </c>
      <c r="AI1724" s="238" t="s">
        <v>3084</v>
      </c>
      <c r="AJ1724" s="238" t="s">
        <v>399</v>
      </c>
      <c r="AK1724" s="238" t="s">
        <v>3345</v>
      </c>
      <c r="AL1724" t="s">
        <v>8715</v>
      </c>
      <c r="AM1724" t="s">
        <v>3663</v>
      </c>
    </row>
    <row r="1725" spans="1:39" hidden="1" x14ac:dyDescent="0.25">
      <c r="A1725">
        <v>1721</v>
      </c>
      <c r="B1725">
        <v>19</v>
      </c>
      <c r="C1725" s="24">
        <v>44974</v>
      </c>
      <c r="D1725" s="238" t="s">
        <v>91</v>
      </c>
      <c r="E1725" s="238" t="s">
        <v>5</v>
      </c>
      <c r="F1725">
        <v>3</v>
      </c>
      <c r="G1725">
        <v>3</v>
      </c>
      <c r="H1725">
        <v>131</v>
      </c>
      <c r="I1725" s="238" t="s">
        <v>42</v>
      </c>
      <c r="J1725">
        <v>35.380000000000003</v>
      </c>
      <c r="K1725" s="238" t="s">
        <v>36</v>
      </c>
      <c r="L1725">
        <v>3071480.38</v>
      </c>
      <c r="M1725">
        <v>0</v>
      </c>
      <c r="N1725">
        <v>3071480.38</v>
      </c>
      <c r="O1725">
        <v>86814.029960429616</v>
      </c>
      <c r="P1725">
        <v>0</v>
      </c>
      <c r="Q1725">
        <v>3071480.38</v>
      </c>
      <c r="R1725">
        <v>86814.029960429616</v>
      </c>
      <c r="S1725" s="238" t="s">
        <v>137</v>
      </c>
      <c r="T1725" s="238" t="s">
        <v>1167</v>
      </c>
      <c r="V1725" t="s">
        <v>4092</v>
      </c>
      <c r="W1725" s="24">
        <v>44966</v>
      </c>
      <c r="X1725" s="238" t="s">
        <v>4104</v>
      </c>
      <c r="Y1725" s="238" t="s">
        <v>39</v>
      </c>
      <c r="Z1725" s="238" t="s">
        <v>1340</v>
      </c>
      <c r="AA1725" t="s">
        <v>3113</v>
      </c>
      <c r="AB1725" s="238" t="s">
        <v>3246</v>
      </c>
      <c r="AC1725" t="s">
        <v>3079</v>
      </c>
      <c r="AD1725" s="24"/>
      <c r="AE1725" s="238" t="s">
        <v>4105</v>
      </c>
      <c r="AF1725">
        <v>79277328001</v>
      </c>
      <c r="AG1725" s="238" t="s">
        <v>4106</v>
      </c>
      <c r="AH1725" s="238" t="s">
        <v>1212</v>
      </c>
      <c r="AI1725" s="238" t="s">
        <v>3102</v>
      </c>
      <c r="AJ1725" s="238" t="s">
        <v>399</v>
      </c>
      <c r="AK1725" s="238" t="s">
        <v>141</v>
      </c>
      <c r="AL1725" t="s">
        <v>8715</v>
      </c>
      <c r="AM1725" t="s">
        <v>1167</v>
      </c>
    </row>
    <row r="1726" spans="1:39" hidden="1" x14ac:dyDescent="0.25">
      <c r="A1726">
        <v>1722</v>
      </c>
      <c r="B1726">
        <v>20</v>
      </c>
      <c r="C1726" s="24">
        <v>44974</v>
      </c>
      <c r="D1726" s="238" t="s">
        <v>91</v>
      </c>
      <c r="E1726" s="238" t="s">
        <v>6</v>
      </c>
      <c r="F1726">
        <v>4</v>
      </c>
      <c r="G1726">
        <v>7</v>
      </c>
      <c r="H1726">
        <v>44</v>
      </c>
      <c r="I1726" s="238" t="s">
        <v>43</v>
      </c>
      <c r="J1726">
        <v>56.03</v>
      </c>
      <c r="K1726" s="238" t="s">
        <v>38</v>
      </c>
      <c r="L1726">
        <v>5039855.3600000003</v>
      </c>
      <c r="M1726">
        <v>0</v>
      </c>
      <c r="N1726">
        <v>5039855.3600000003</v>
      </c>
      <c r="O1726">
        <v>89949.230055327513</v>
      </c>
      <c r="P1726">
        <v>840450</v>
      </c>
      <c r="Q1726">
        <v>4199405.3600000003</v>
      </c>
      <c r="R1726">
        <v>74949.230055327513</v>
      </c>
      <c r="S1726" s="238" t="s">
        <v>121</v>
      </c>
      <c r="T1726" s="238" t="s">
        <v>1167</v>
      </c>
      <c r="V1726" t="s">
        <v>1167</v>
      </c>
      <c r="W1726" s="24">
        <v>44971</v>
      </c>
      <c r="X1726" s="238" t="s">
        <v>4107</v>
      </c>
      <c r="Y1726" s="238" t="s">
        <v>39</v>
      </c>
      <c r="Z1726" s="238" t="s">
        <v>1340</v>
      </c>
      <c r="AA1726" t="s">
        <v>3113</v>
      </c>
      <c r="AB1726" s="238" t="s">
        <v>3246</v>
      </c>
      <c r="AC1726" t="s">
        <v>1167</v>
      </c>
      <c r="AD1726" s="24"/>
      <c r="AE1726" s="238" t="s">
        <v>4108</v>
      </c>
      <c r="AF1726">
        <v>79276560405</v>
      </c>
      <c r="AG1726" s="238" t="s">
        <v>4109</v>
      </c>
      <c r="AH1726" s="238" t="s">
        <v>1212</v>
      </c>
      <c r="AI1726" s="238" t="s">
        <v>135</v>
      </c>
      <c r="AJ1726" s="238" t="s">
        <v>3901</v>
      </c>
      <c r="AK1726" s="238" t="s">
        <v>1167</v>
      </c>
      <c r="AL1726" t="s">
        <v>8715</v>
      </c>
      <c r="AM1726" t="s">
        <v>1167</v>
      </c>
    </row>
    <row r="1727" spans="1:39" hidden="1" x14ac:dyDescent="0.25">
      <c r="A1727">
        <v>1723</v>
      </c>
      <c r="B1727">
        <v>21</v>
      </c>
      <c r="C1727" s="24">
        <v>44977</v>
      </c>
      <c r="D1727" s="238" t="s">
        <v>91</v>
      </c>
      <c r="E1727" s="238" t="s">
        <v>16</v>
      </c>
      <c r="F1727">
        <v>1</v>
      </c>
      <c r="G1727">
        <v>17</v>
      </c>
      <c r="H1727">
        <v>346</v>
      </c>
      <c r="I1727" s="238" t="s">
        <v>4052</v>
      </c>
      <c r="J1727">
        <v>29.35</v>
      </c>
      <c r="K1727" s="238" t="s">
        <v>37</v>
      </c>
      <c r="L1727">
        <v>2563993.9900000002</v>
      </c>
      <c r="M1727">
        <v>0</v>
      </c>
      <c r="N1727">
        <v>2563993.9900000002</v>
      </c>
      <c r="O1727">
        <v>87359.250085178879</v>
      </c>
      <c r="P1727">
        <v>117399.99999999953</v>
      </c>
      <c r="Q1727">
        <v>2446593.9900000007</v>
      </c>
      <c r="R1727">
        <v>83359.250085178894</v>
      </c>
      <c r="S1727" s="238" t="s">
        <v>137</v>
      </c>
      <c r="T1727" s="238" t="s">
        <v>1167</v>
      </c>
      <c r="V1727" t="s">
        <v>4091</v>
      </c>
      <c r="W1727" s="24">
        <v>44974</v>
      </c>
      <c r="X1727" s="238" t="s">
        <v>4110</v>
      </c>
      <c r="Y1727" s="238" t="s">
        <v>39</v>
      </c>
      <c r="Z1727" s="238" t="s">
        <v>1340</v>
      </c>
      <c r="AA1727" t="s">
        <v>3113</v>
      </c>
      <c r="AB1727" s="238" t="s">
        <v>3246</v>
      </c>
      <c r="AC1727" t="s">
        <v>3079</v>
      </c>
      <c r="AD1727" s="24"/>
      <c r="AE1727" s="238" t="s">
        <v>4111</v>
      </c>
      <c r="AF1727">
        <v>79377937369</v>
      </c>
      <c r="AG1727" s="238" t="s">
        <v>4112</v>
      </c>
      <c r="AH1727" s="238" t="s">
        <v>1212</v>
      </c>
      <c r="AI1727" s="238" t="s">
        <v>135</v>
      </c>
      <c r="AJ1727" s="238" t="s">
        <v>399</v>
      </c>
      <c r="AK1727" s="238" t="s">
        <v>141</v>
      </c>
      <c r="AL1727" t="s">
        <v>8715</v>
      </c>
      <c r="AM1727" t="s">
        <v>1167</v>
      </c>
    </row>
    <row r="1728" spans="1:39" hidden="1" x14ac:dyDescent="0.25">
      <c r="A1728">
        <v>1724</v>
      </c>
      <c r="B1728">
        <v>22</v>
      </c>
      <c r="C1728" s="24">
        <v>44978</v>
      </c>
      <c r="D1728" s="238" t="s">
        <v>91</v>
      </c>
      <c r="E1728" s="238" t="s">
        <v>16</v>
      </c>
      <c r="F1728">
        <v>5</v>
      </c>
      <c r="G1728">
        <v>4</v>
      </c>
      <c r="H1728">
        <v>259</v>
      </c>
      <c r="I1728" s="238" t="s">
        <v>43</v>
      </c>
      <c r="J1728">
        <v>56.7</v>
      </c>
      <c r="K1728" s="238" t="s">
        <v>36</v>
      </c>
      <c r="L1728">
        <v>4291284.5</v>
      </c>
      <c r="M1728">
        <v>0</v>
      </c>
      <c r="N1728">
        <v>4291284.5</v>
      </c>
      <c r="O1728">
        <v>75684.02998236331</v>
      </c>
      <c r="P1728">
        <v>0</v>
      </c>
      <c r="Q1728">
        <v>4291284.5</v>
      </c>
      <c r="R1728">
        <v>75684.02998236331</v>
      </c>
      <c r="S1728" s="238" t="s">
        <v>137</v>
      </c>
      <c r="T1728" s="238" t="s">
        <v>1167</v>
      </c>
      <c r="V1728" t="s">
        <v>4092</v>
      </c>
      <c r="W1728" s="24">
        <v>44973</v>
      </c>
      <c r="X1728" s="238" t="s">
        <v>4113</v>
      </c>
      <c r="Y1728" s="238" t="s">
        <v>39</v>
      </c>
      <c r="Z1728" s="238" t="s">
        <v>1340</v>
      </c>
      <c r="AA1728" t="s">
        <v>3113</v>
      </c>
      <c r="AB1728" s="238" t="s">
        <v>3246</v>
      </c>
      <c r="AC1728" t="s">
        <v>3079</v>
      </c>
      <c r="AD1728" s="24"/>
      <c r="AE1728" s="238" t="s">
        <v>4114</v>
      </c>
      <c r="AF1728">
        <v>79276161309</v>
      </c>
      <c r="AG1728" s="238" t="s">
        <v>4115</v>
      </c>
      <c r="AH1728" s="238" t="s">
        <v>3071</v>
      </c>
      <c r="AI1728" s="238" t="s">
        <v>3114</v>
      </c>
      <c r="AJ1728" s="238" t="s">
        <v>130</v>
      </c>
      <c r="AK1728" s="238" t="s">
        <v>141</v>
      </c>
      <c r="AL1728" t="s">
        <v>8715</v>
      </c>
      <c r="AM1728" t="s">
        <v>3663</v>
      </c>
    </row>
    <row r="1729" spans="1:39" hidden="1" x14ac:dyDescent="0.25">
      <c r="A1729">
        <v>1725</v>
      </c>
      <c r="B1729">
        <v>23</v>
      </c>
      <c r="C1729" s="24">
        <v>44978</v>
      </c>
      <c r="D1729" s="238" t="s">
        <v>91</v>
      </c>
      <c r="E1729" s="238" t="s">
        <v>15</v>
      </c>
      <c r="F1729">
        <v>5</v>
      </c>
      <c r="G1729">
        <v>15</v>
      </c>
      <c r="H1729">
        <v>523</v>
      </c>
      <c r="I1729" s="238" t="s">
        <v>43</v>
      </c>
      <c r="J1729">
        <v>56.04</v>
      </c>
      <c r="K1729" s="238" t="s">
        <v>37</v>
      </c>
      <c r="L1729">
        <v>4424314.8499999996</v>
      </c>
      <c r="M1729">
        <v>0</v>
      </c>
      <c r="N1729">
        <v>4424314.8499999996</v>
      </c>
      <c r="O1729">
        <v>78949.230014275512</v>
      </c>
      <c r="P1729">
        <v>224160</v>
      </c>
      <c r="Q1729">
        <v>4200154.8499999996</v>
      </c>
      <c r="R1729">
        <v>74949.230014275512</v>
      </c>
      <c r="S1729" s="238" t="s">
        <v>124</v>
      </c>
      <c r="T1729" s="238" t="s">
        <v>1167</v>
      </c>
      <c r="V1729" t="s">
        <v>1167</v>
      </c>
      <c r="W1729" s="24">
        <v>44974</v>
      </c>
      <c r="X1729" s="238" t="s">
        <v>4116</v>
      </c>
      <c r="Y1729" s="238" t="s">
        <v>39</v>
      </c>
      <c r="Z1729" s="238" t="s">
        <v>1340</v>
      </c>
      <c r="AA1729" t="s">
        <v>3113</v>
      </c>
      <c r="AB1729" s="238" t="s">
        <v>3246</v>
      </c>
      <c r="AC1729" t="s">
        <v>1167</v>
      </c>
      <c r="AD1729" s="24">
        <v>45376</v>
      </c>
      <c r="AE1729" s="238" t="s">
        <v>7728</v>
      </c>
      <c r="AF1729">
        <v>79053037058</v>
      </c>
      <c r="AG1729" s="238" t="s">
        <v>7947</v>
      </c>
      <c r="AH1729" s="238" t="s">
        <v>4072</v>
      </c>
      <c r="AI1729" s="238" t="s">
        <v>6406</v>
      </c>
      <c r="AJ1729" s="238" t="s">
        <v>399</v>
      </c>
      <c r="AK1729" s="238" t="s">
        <v>1167</v>
      </c>
      <c r="AL1729" t="s">
        <v>57</v>
      </c>
      <c r="AM1729" t="s">
        <v>1167</v>
      </c>
    </row>
    <row r="1730" spans="1:39" hidden="1" x14ac:dyDescent="0.25">
      <c r="A1730">
        <v>1726</v>
      </c>
      <c r="B1730">
        <v>24</v>
      </c>
      <c r="C1730" s="24">
        <v>44978</v>
      </c>
      <c r="D1730" s="238" t="s">
        <v>91</v>
      </c>
      <c r="E1730" s="238" t="s">
        <v>6</v>
      </c>
      <c r="F1730">
        <v>3</v>
      </c>
      <c r="G1730">
        <v>13</v>
      </c>
      <c r="H1730">
        <v>91</v>
      </c>
      <c r="I1730" s="238" t="s">
        <v>42</v>
      </c>
      <c r="J1730">
        <v>35.54</v>
      </c>
      <c r="K1730" s="238" t="s">
        <v>37</v>
      </c>
      <c r="L1730">
        <v>3197575.74</v>
      </c>
      <c r="M1730">
        <v>0</v>
      </c>
      <c r="N1730">
        <v>3197575.74</v>
      </c>
      <c r="O1730">
        <v>89971.18007878447</v>
      </c>
      <c r="P1730">
        <v>142160</v>
      </c>
      <c r="Q1730">
        <v>3055415.74</v>
      </c>
      <c r="R1730">
        <v>85971.18007878447</v>
      </c>
      <c r="S1730" s="238" t="s">
        <v>124</v>
      </c>
      <c r="T1730" s="238" t="s">
        <v>1167</v>
      </c>
      <c r="V1730" t="s">
        <v>1167</v>
      </c>
      <c r="W1730" s="24">
        <v>44975</v>
      </c>
      <c r="X1730" s="238" t="s">
        <v>4117</v>
      </c>
      <c r="Y1730" s="238" t="s">
        <v>39</v>
      </c>
      <c r="Z1730" s="238" t="s">
        <v>1340</v>
      </c>
      <c r="AA1730" t="s">
        <v>3113</v>
      </c>
      <c r="AB1730" s="238" t="s">
        <v>3246</v>
      </c>
      <c r="AC1730" t="s">
        <v>1167</v>
      </c>
      <c r="AD1730" s="24"/>
      <c r="AE1730" s="238" t="s">
        <v>4118</v>
      </c>
      <c r="AF1730">
        <v>79376624226</v>
      </c>
      <c r="AG1730" s="238" t="s">
        <v>4119</v>
      </c>
      <c r="AH1730" s="238" t="s">
        <v>4072</v>
      </c>
      <c r="AI1730" s="238" t="s">
        <v>6406</v>
      </c>
      <c r="AJ1730" s="238" t="s">
        <v>399</v>
      </c>
      <c r="AK1730" s="238" t="s">
        <v>1167</v>
      </c>
      <c r="AL1730" t="s">
        <v>57</v>
      </c>
      <c r="AM1730" t="s">
        <v>1167</v>
      </c>
    </row>
    <row r="1731" spans="1:39" hidden="1" x14ac:dyDescent="0.25">
      <c r="A1731">
        <v>1727</v>
      </c>
      <c r="B1731">
        <v>25</v>
      </c>
      <c r="C1731" s="24">
        <v>44978</v>
      </c>
      <c r="D1731" s="238" t="s">
        <v>91</v>
      </c>
      <c r="E1731" s="238" t="s">
        <v>15</v>
      </c>
      <c r="F1731">
        <v>6</v>
      </c>
      <c r="G1731">
        <v>9</v>
      </c>
      <c r="H1731">
        <v>470</v>
      </c>
      <c r="I1731" s="238" t="s">
        <v>43</v>
      </c>
      <c r="J1731">
        <v>58.62</v>
      </c>
      <c r="K1731" s="238" t="s">
        <v>37</v>
      </c>
      <c r="L1731">
        <v>4671077.84</v>
      </c>
      <c r="M1731">
        <v>0</v>
      </c>
      <c r="N1731">
        <v>4671077.84</v>
      </c>
      <c r="O1731">
        <v>79684.030023882631</v>
      </c>
      <c r="P1731">
        <v>234480</v>
      </c>
      <c r="Q1731">
        <v>4436597.84</v>
      </c>
      <c r="R1731">
        <v>75684.030023882631</v>
      </c>
      <c r="S1731" s="238" t="s">
        <v>124</v>
      </c>
      <c r="T1731" s="238" t="s">
        <v>1167</v>
      </c>
      <c r="V1731" t="s">
        <v>1167</v>
      </c>
      <c r="W1731" s="24">
        <v>44976</v>
      </c>
      <c r="X1731" s="238" t="s">
        <v>4120</v>
      </c>
      <c r="Y1731" s="238" t="s">
        <v>1172</v>
      </c>
      <c r="Z1731" s="238" t="s">
        <v>1340</v>
      </c>
      <c r="AA1731" t="s">
        <v>3113</v>
      </c>
      <c r="AB1731" s="238" t="s">
        <v>3246</v>
      </c>
      <c r="AC1731" t="s">
        <v>1167</v>
      </c>
      <c r="AD1731" s="24">
        <v>45512</v>
      </c>
      <c r="AE1731" s="238" t="s">
        <v>4121</v>
      </c>
      <c r="AF1731">
        <v>79277055528</v>
      </c>
      <c r="AG1731" s="238" t="s">
        <v>4122</v>
      </c>
      <c r="AH1731" s="238" t="s">
        <v>4072</v>
      </c>
      <c r="AI1731" s="238" t="s">
        <v>6406</v>
      </c>
      <c r="AJ1731" s="238" t="s">
        <v>130</v>
      </c>
      <c r="AK1731" s="238" t="s">
        <v>1167</v>
      </c>
      <c r="AL1731" t="s">
        <v>57</v>
      </c>
      <c r="AM1731" t="s">
        <v>1167</v>
      </c>
    </row>
    <row r="1732" spans="1:39" hidden="1" x14ac:dyDescent="0.25">
      <c r="A1732">
        <v>1728</v>
      </c>
      <c r="B1732">
        <v>26</v>
      </c>
      <c r="C1732" s="24">
        <v>44978</v>
      </c>
      <c r="D1732" s="238" t="s">
        <v>91</v>
      </c>
      <c r="E1732" s="238" t="s">
        <v>15</v>
      </c>
      <c r="F1732">
        <v>4</v>
      </c>
      <c r="G1732">
        <v>15</v>
      </c>
      <c r="H1732">
        <v>522</v>
      </c>
      <c r="I1732" s="238" t="s">
        <v>42</v>
      </c>
      <c r="J1732">
        <v>36.5</v>
      </c>
      <c r="K1732" s="238" t="s">
        <v>37</v>
      </c>
      <c r="L1732">
        <v>3473147.65</v>
      </c>
      <c r="M1732">
        <v>0</v>
      </c>
      <c r="N1732">
        <v>3473147.65</v>
      </c>
      <c r="O1732">
        <v>95154.730136986298</v>
      </c>
      <c r="P1732">
        <v>146000</v>
      </c>
      <c r="Q1732">
        <v>3327147.65</v>
      </c>
      <c r="R1732">
        <v>91154.730136986298</v>
      </c>
      <c r="S1732" s="238" t="s">
        <v>124</v>
      </c>
      <c r="T1732" s="238" t="s">
        <v>1167</v>
      </c>
      <c r="V1732" t="s">
        <v>1167</v>
      </c>
      <c r="W1732" s="24">
        <v>44976</v>
      </c>
      <c r="X1732" s="238" t="s">
        <v>4123</v>
      </c>
      <c r="Y1732" s="238" t="s">
        <v>1172</v>
      </c>
      <c r="Z1732" s="238" t="s">
        <v>1340</v>
      </c>
      <c r="AA1732" t="s">
        <v>3113</v>
      </c>
      <c r="AB1732" s="238" t="s">
        <v>3246</v>
      </c>
      <c r="AC1732" t="s">
        <v>1167</v>
      </c>
      <c r="AD1732" s="24">
        <v>45512</v>
      </c>
      <c r="AE1732" s="238" t="s">
        <v>4121</v>
      </c>
      <c r="AF1732">
        <v>79277055528</v>
      </c>
      <c r="AG1732" s="238" t="s">
        <v>4122</v>
      </c>
      <c r="AH1732" s="238" t="s">
        <v>1197</v>
      </c>
      <c r="AI1732" s="238" t="s">
        <v>6406</v>
      </c>
      <c r="AJ1732" s="238" t="s">
        <v>130</v>
      </c>
      <c r="AK1732" s="238" t="s">
        <v>1167</v>
      </c>
      <c r="AL1732" t="s">
        <v>57</v>
      </c>
      <c r="AM1732" t="s">
        <v>1167</v>
      </c>
    </row>
    <row r="1733" spans="1:39" hidden="1" x14ac:dyDescent="0.25">
      <c r="A1733">
        <v>1729</v>
      </c>
      <c r="B1733">
        <v>27</v>
      </c>
      <c r="C1733" s="24">
        <v>44978</v>
      </c>
      <c r="D1733" s="238" t="s">
        <v>27</v>
      </c>
      <c r="E1733" s="238" t="s">
        <v>6</v>
      </c>
      <c r="F1733">
        <v>4</v>
      </c>
      <c r="G1733">
        <v>23</v>
      </c>
      <c r="H1733">
        <v>193</v>
      </c>
      <c r="I1733" s="238" t="s">
        <v>4052</v>
      </c>
      <c r="J1733">
        <v>24.39</v>
      </c>
      <c r="K1733" s="238" t="s">
        <v>36</v>
      </c>
      <c r="L1733">
        <v>2349356.81</v>
      </c>
      <c r="M1733">
        <v>15000</v>
      </c>
      <c r="N1733">
        <v>2364356.81</v>
      </c>
      <c r="O1733">
        <v>96939.598605986059</v>
      </c>
      <c r="P1733">
        <v>0</v>
      </c>
      <c r="Q1733">
        <v>2364356.81</v>
      </c>
      <c r="R1733">
        <v>96939.598605986059</v>
      </c>
      <c r="S1733" s="238" t="s">
        <v>137</v>
      </c>
      <c r="T1733" s="238" t="s">
        <v>3390</v>
      </c>
      <c r="U1733">
        <v>150000</v>
      </c>
      <c r="V1733" t="s">
        <v>4091</v>
      </c>
      <c r="W1733" s="24">
        <v>44978</v>
      </c>
      <c r="X1733" s="238" t="s">
        <v>4124</v>
      </c>
      <c r="Y1733" s="238" t="s">
        <v>1172</v>
      </c>
      <c r="Z1733" s="238" t="s">
        <v>1340</v>
      </c>
      <c r="AA1733" t="s">
        <v>3113</v>
      </c>
      <c r="AB1733" s="238" t="s">
        <v>3246</v>
      </c>
      <c r="AC1733" t="s">
        <v>3079</v>
      </c>
      <c r="AD1733" s="24">
        <v>45187</v>
      </c>
      <c r="AE1733" s="238" t="s">
        <v>4125</v>
      </c>
      <c r="AF1733">
        <v>79276563563</v>
      </c>
      <c r="AG1733" s="238" t="s">
        <v>4126</v>
      </c>
      <c r="AH1733" s="238" t="s">
        <v>1171</v>
      </c>
      <c r="AI1733" s="238" t="s">
        <v>3074</v>
      </c>
      <c r="AJ1733" s="238" t="s">
        <v>399</v>
      </c>
      <c r="AK1733" s="238" t="s">
        <v>3345</v>
      </c>
      <c r="AL1733" t="s">
        <v>8715</v>
      </c>
      <c r="AM1733" t="s">
        <v>8598</v>
      </c>
    </row>
    <row r="1734" spans="1:39" hidden="1" x14ac:dyDescent="0.25">
      <c r="A1734">
        <v>1730</v>
      </c>
      <c r="B1734">
        <v>28</v>
      </c>
      <c r="C1734" s="24">
        <v>44982</v>
      </c>
      <c r="D1734" s="238" t="s">
        <v>91</v>
      </c>
      <c r="E1734" s="238" t="s">
        <v>6</v>
      </c>
      <c r="F1734">
        <v>3</v>
      </c>
      <c r="G1734">
        <v>4</v>
      </c>
      <c r="H1734">
        <v>19</v>
      </c>
      <c r="I1734" s="238" t="s">
        <v>42</v>
      </c>
      <c r="J1734">
        <v>35.54</v>
      </c>
      <c r="K1734" s="238" t="s">
        <v>38</v>
      </c>
      <c r="L1734">
        <v>3588515.74</v>
      </c>
      <c r="M1734">
        <v>0</v>
      </c>
      <c r="N1734">
        <v>3588515.74</v>
      </c>
      <c r="O1734">
        <v>100971.18007878448</v>
      </c>
      <c r="P1734">
        <v>533100</v>
      </c>
      <c r="Q1734">
        <v>3055415.74</v>
      </c>
      <c r="R1734">
        <v>85971.18007878447</v>
      </c>
      <c r="S1734" s="238" t="s">
        <v>137</v>
      </c>
      <c r="T1734" s="238" t="s">
        <v>1167</v>
      </c>
      <c r="V1734" t="s">
        <v>4091</v>
      </c>
      <c r="W1734" s="24">
        <v>44972</v>
      </c>
      <c r="X1734" s="238" t="s">
        <v>4127</v>
      </c>
      <c r="Y1734" s="238" t="s">
        <v>39</v>
      </c>
      <c r="Z1734" s="238" t="s">
        <v>1340</v>
      </c>
      <c r="AA1734" t="s">
        <v>3113</v>
      </c>
      <c r="AB1734" s="238" t="s">
        <v>3246</v>
      </c>
      <c r="AC1734" t="s">
        <v>3079</v>
      </c>
      <c r="AD1734" s="24"/>
      <c r="AE1734" s="238" t="s">
        <v>4128</v>
      </c>
      <c r="AF1734">
        <v>79879557435</v>
      </c>
      <c r="AG1734" s="238" t="s">
        <v>4129</v>
      </c>
      <c r="AH1734" s="238" t="s">
        <v>1171</v>
      </c>
      <c r="AI1734" s="238" t="s">
        <v>3084</v>
      </c>
      <c r="AJ1734" s="238" t="s">
        <v>130</v>
      </c>
      <c r="AK1734" s="238" t="s">
        <v>3345</v>
      </c>
      <c r="AL1734" t="s">
        <v>8715</v>
      </c>
      <c r="AM1734" t="s">
        <v>1167</v>
      </c>
    </row>
    <row r="1735" spans="1:39" hidden="1" x14ac:dyDescent="0.25">
      <c r="A1735">
        <v>1731</v>
      </c>
      <c r="B1735">
        <v>29</v>
      </c>
      <c r="C1735" s="24">
        <v>44982</v>
      </c>
      <c r="D1735" s="238" t="s">
        <v>91</v>
      </c>
      <c r="E1735" s="238" t="s">
        <v>5</v>
      </c>
      <c r="F1735">
        <v>1</v>
      </c>
      <c r="G1735">
        <v>6</v>
      </c>
      <c r="H1735">
        <v>153</v>
      </c>
      <c r="I1735" s="238" t="s">
        <v>4052</v>
      </c>
      <c r="J1735">
        <v>28.97</v>
      </c>
      <c r="K1735" s="238" t="s">
        <v>36</v>
      </c>
      <c r="L1735">
        <v>2414917.4700000002</v>
      </c>
      <c r="M1735">
        <v>0</v>
      </c>
      <c r="N1735">
        <v>2414917.4700000002</v>
      </c>
      <c r="O1735">
        <v>83359.249913703839</v>
      </c>
      <c r="P1735">
        <v>0</v>
      </c>
      <c r="Q1735">
        <v>2414917.4700000002</v>
      </c>
      <c r="R1735">
        <v>83359.249913703839</v>
      </c>
      <c r="S1735" s="238" t="s">
        <v>124</v>
      </c>
      <c r="T1735" s="238" t="s">
        <v>1167</v>
      </c>
      <c r="V1735" t="s">
        <v>1167</v>
      </c>
      <c r="W1735" s="24">
        <v>44978</v>
      </c>
      <c r="X1735" s="238" t="s">
        <v>4130</v>
      </c>
      <c r="Y1735" s="238" t="s">
        <v>39</v>
      </c>
      <c r="Z1735" s="238" t="s">
        <v>1340</v>
      </c>
      <c r="AA1735" t="s">
        <v>3113</v>
      </c>
      <c r="AB1735" s="238" t="s">
        <v>3246</v>
      </c>
      <c r="AC1735" t="s">
        <v>1167</v>
      </c>
      <c r="AD1735" s="24"/>
      <c r="AE1735" s="238" t="s">
        <v>4131</v>
      </c>
      <c r="AF1735">
        <v>71111152336</v>
      </c>
      <c r="AG1735" s="238" t="s">
        <v>4132</v>
      </c>
      <c r="AH1735" s="238" t="s">
        <v>1212</v>
      </c>
      <c r="AI1735" s="238" t="s">
        <v>3074</v>
      </c>
      <c r="AJ1735" s="238" t="s">
        <v>130</v>
      </c>
      <c r="AK1735" s="238" t="s">
        <v>1167</v>
      </c>
      <c r="AL1735" t="s">
        <v>8715</v>
      </c>
      <c r="AM1735" t="s">
        <v>1167</v>
      </c>
    </row>
    <row r="1736" spans="1:39" hidden="1" x14ac:dyDescent="0.25">
      <c r="A1736">
        <v>1732</v>
      </c>
      <c r="B1736">
        <v>30</v>
      </c>
      <c r="C1736" s="24">
        <v>44979</v>
      </c>
      <c r="D1736" s="238" t="s">
        <v>91</v>
      </c>
      <c r="E1736" s="238" t="s">
        <v>15</v>
      </c>
      <c r="F1736">
        <v>6</v>
      </c>
      <c r="G1736">
        <v>15</v>
      </c>
      <c r="H1736">
        <v>524</v>
      </c>
      <c r="I1736" s="238" t="s">
        <v>43</v>
      </c>
      <c r="J1736">
        <v>58.62</v>
      </c>
      <c r="K1736" s="238" t="s">
        <v>37</v>
      </c>
      <c r="L1736">
        <v>4671077.84</v>
      </c>
      <c r="M1736">
        <v>0</v>
      </c>
      <c r="N1736">
        <v>4671077.84</v>
      </c>
      <c r="O1736">
        <v>79684.030023882631</v>
      </c>
      <c r="P1736">
        <v>234480</v>
      </c>
      <c r="Q1736">
        <v>4436597.84</v>
      </c>
      <c r="R1736">
        <v>75684.030023882631</v>
      </c>
      <c r="S1736" s="238" t="s">
        <v>137</v>
      </c>
      <c r="T1736" s="238" t="s">
        <v>1167</v>
      </c>
      <c r="V1736" t="s">
        <v>4092</v>
      </c>
      <c r="W1736" s="24">
        <v>44973</v>
      </c>
      <c r="X1736" s="238" t="s">
        <v>4133</v>
      </c>
      <c r="Y1736" s="238" t="s">
        <v>39</v>
      </c>
      <c r="Z1736" s="238" t="s">
        <v>1340</v>
      </c>
      <c r="AA1736" t="s">
        <v>3113</v>
      </c>
      <c r="AB1736" s="238" t="s">
        <v>3246</v>
      </c>
      <c r="AC1736" t="s">
        <v>3079</v>
      </c>
      <c r="AD1736" s="24"/>
      <c r="AE1736" s="238" t="s">
        <v>4134</v>
      </c>
      <c r="AF1736">
        <v>79879440622</v>
      </c>
      <c r="AG1736" s="238" t="s">
        <v>4135</v>
      </c>
      <c r="AH1736" s="238" t="s">
        <v>1212</v>
      </c>
      <c r="AI1736" s="238" t="s">
        <v>135</v>
      </c>
      <c r="AJ1736" s="238" t="s">
        <v>130</v>
      </c>
      <c r="AK1736" s="238" t="s">
        <v>3345</v>
      </c>
      <c r="AL1736" t="s">
        <v>8715</v>
      </c>
      <c r="AM1736" t="s">
        <v>3663</v>
      </c>
    </row>
    <row r="1737" spans="1:39" hidden="1" x14ac:dyDescent="0.25">
      <c r="A1737">
        <v>1733</v>
      </c>
      <c r="B1737">
        <v>31</v>
      </c>
      <c r="C1737" s="24">
        <v>44979</v>
      </c>
      <c r="D1737" s="238" t="s">
        <v>91</v>
      </c>
      <c r="E1737" s="238" t="s">
        <v>6</v>
      </c>
      <c r="F1737">
        <v>3</v>
      </c>
      <c r="G1737">
        <v>15</v>
      </c>
      <c r="H1737">
        <v>107</v>
      </c>
      <c r="I1737" s="238" t="s">
        <v>42</v>
      </c>
      <c r="J1737">
        <v>35.54</v>
      </c>
      <c r="K1737" s="238" t="s">
        <v>38</v>
      </c>
      <c r="L1737">
        <v>3618470.63</v>
      </c>
      <c r="M1737">
        <v>0</v>
      </c>
      <c r="N1737">
        <v>3618470.63</v>
      </c>
      <c r="O1737">
        <v>101814.03010692178</v>
      </c>
      <c r="P1737">
        <v>533099.99999999953</v>
      </c>
      <c r="Q1737">
        <v>3085370.6300000004</v>
      </c>
      <c r="R1737">
        <v>86814.030106921797</v>
      </c>
      <c r="S1737" s="238" t="s">
        <v>137</v>
      </c>
      <c r="T1737" s="238" t="s">
        <v>1167</v>
      </c>
      <c r="V1737" t="s">
        <v>4092</v>
      </c>
      <c r="W1737" s="24">
        <v>44974</v>
      </c>
      <c r="X1737" s="238" t="s">
        <v>4136</v>
      </c>
      <c r="Y1737" s="238" t="s">
        <v>39</v>
      </c>
      <c r="Z1737" s="238" t="s">
        <v>1340</v>
      </c>
      <c r="AA1737" t="s">
        <v>3113</v>
      </c>
      <c r="AB1737" s="238" t="s">
        <v>3246</v>
      </c>
      <c r="AC1737" t="s">
        <v>3079</v>
      </c>
      <c r="AD1737" s="24"/>
      <c r="AE1737" s="238" t="s">
        <v>4137</v>
      </c>
      <c r="AF1737">
        <v>79171616388</v>
      </c>
      <c r="AG1737" s="238" t="s">
        <v>4138</v>
      </c>
      <c r="AH1737" s="238" t="s">
        <v>1212</v>
      </c>
      <c r="AI1737" s="238" t="s">
        <v>135</v>
      </c>
      <c r="AJ1737" s="238" t="s">
        <v>399</v>
      </c>
      <c r="AK1737" s="238" t="s">
        <v>141</v>
      </c>
      <c r="AL1737" t="s">
        <v>8715</v>
      </c>
      <c r="AM1737" t="s">
        <v>1167</v>
      </c>
    </row>
    <row r="1738" spans="1:39" hidden="1" x14ac:dyDescent="0.25">
      <c r="A1738">
        <v>1734</v>
      </c>
      <c r="B1738">
        <v>32</v>
      </c>
      <c r="C1738" s="24">
        <v>44979</v>
      </c>
      <c r="D1738" s="238" t="s">
        <v>91</v>
      </c>
      <c r="E1738" s="238" t="s">
        <v>6</v>
      </c>
      <c r="F1738">
        <v>5</v>
      </c>
      <c r="G1738">
        <v>12</v>
      </c>
      <c r="H1738">
        <v>85</v>
      </c>
      <c r="I1738" s="238" t="s">
        <v>43</v>
      </c>
      <c r="J1738">
        <v>54.66</v>
      </c>
      <c r="K1738" s="238" t="s">
        <v>37</v>
      </c>
      <c r="L1738">
        <v>4165364.91</v>
      </c>
      <c r="M1738">
        <v>0</v>
      </c>
      <c r="N1738">
        <v>4165364.91</v>
      </c>
      <c r="O1738">
        <v>76204.992864983549</v>
      </c>
      <c r="P1738">
        <v>218640</v>
      </c>
      <c r="Q1738">
        <v>3946724.91</v>
      </c>
      <c r="R1738">
        <v>72204.992864983535</v>
      </c>
      <c r="S1738" s="238" t="s">
        <v>121</v>
      </c>
      <c r="T1738" s="238" t="s">
        <v>321</v>
      </c>
      <c r="U1738">
        <v>150000</v>
      </c>
      <c r="V1738" t="s">
        <v>1167</v>
      </c>
      <c r="W1738" s="24">
        <v>44977</v>
      </c>
      <c r="X1738" s="238" t="s">
        <v>4139</v>
      </c>
      <c r="Y1738" s="238" t="s">
        <v>39</v>
      </c>
      <c r="Z1738" s="238" t="s">
        <v>1340</v>
      </c>
      <c r="AA1738" t="s">
        <v>3113</v>
      </c>
      <c r="AB1738" s="238" t="s">
        <v>3246</v>
      </c>
      <c r="AC1738" t="s">
        <v>1167</v>
      </c>
      <c r="AD1738" s="24"/>
      <c r="AE1738" s="238" t="s">
        <v>4140</v>
      </c>
      <c r="AF1738">
        <v>79379970799</v>
      </c>
      <c r="AG1738" s="238" t="s">
        <v>4141</v>
      </c>
      <c r="AH1738" s="238" t="s">
        <v>1212</v>
      </c>
      <c r="AI1738" s="238" t="s">
        <v>3074</v>
      </c>
      <c r="AJ1738" s="238" t="s">
        <v>3901</v>
      </c>
      <c r="AK1738" s="238" t="s">
        <v>1167</v>
      </c>
      <c r="AL1738" t="s">
        <v>8715</v>
      </c>
      <c r="AM1738" t="s">
        <v>1167</v>
      </c>
    </row>
    <row r="1739" spans="1:39" hidden="1" x14ac:dyDescent="0.25">
      <c r="A1739">
        <v>1735</v>
      </c>
      <c r="B1739">
        <v>33</v>
      </c>
      <c r="C1739" s="24">
        <v>44979</v>
      </c>
      <c r="D1739" s="238" t="s">
        <v>91</v>
      </c>
      <c r="E1739" s="238" t="s">
        <v>6</v>
      </c>
      <c r="F1739">
        <v>5</v>
      </c>
      <c r="G1739">
        <v>10</v>
      </c>
      <c r="H1739">
        <v>69</v>
      </c>
      <c r="I1739" s="238" t="s">
        <v>43</v>
      </c>
      <c r="J1739">
        <v>54.66</v>
      </c>
      <c r="K1739" s="238" t="s">
        <v>37</v>
      </c>
      <c r="L1739">
        <v>4110528.66</v>
      </c>
      <c r="M1739">
        <v>0</v>
      </c>
      <c r="N1739">
        <v>4110528.66</v>
      </c>
      <c r="O1739">
        <v>75201.76838638859</v>
      </c>
      <c r="P1739">
        <v>218639.99999999907</v>
      </c>
      <c r="Q1739">
        <v>3891888.6600000011</v>
      </c>
      <c r="R1739">
        <v>71201.768386388605</v>
      </c>
      <c r="S1739" s="238" t="s">
        <v>137</v>
      </c>
      <c r="T1739" s="238" t="s">
        <v>3540</v>
      </c>
      <c r="U1739">
        <v>204836.25</v>
      </c>
      <c r="V1739" t="s">
        <v>4091</v>
      </c>
      <c r="W1739" s="24">
        <v>44978</v>
      </c>
      <c r="X1739" s="238" t="s">
        <v>4142</v>
      </c>
      <c r="Y1739" s="238" t="s">
        <v>39</v>
      </c>
      <c r="Z1739" s="238" t="s">
        <v>1340</v>
      </c>
      <c r="AA1739" t="s">
        <v>3113</v>
      </c>
      <c r="AB1739" s="238" t="s">
        <v>3246</v>
      </c>
      <c r="AC1739" t="s">
        <v>3079</v>
      </c>
      <c r="AD1739" s="24"/>
      <c r="AE1739" s="238" t="s">
        <v>4143</v>
      </c>
      <c r="AF1739">
        <v>79376461434</v>
      </c>
      <c r="AG1739" s="238" t="s">
        <v>4144</v>
      </c>
      <c r="AH1739" s="238" t="s">
        <v>1212</v>
      </c>
      <c r="AI1739" s="238" t="s">
        <v>135</v>
      </c>
      <c r="AJ1739" s="238" t="s">
        <v>130</v>
      </c>
      <c r="AK1739" s="238" t="s">
        <v>141</v>
      </c>
      <c r="AL1739" t="s">
        <v>8715</v>
      </c>
      <c r="AM1739" t="s">
        <v>3663</v>
      </c>
    </row>
    <row r="1740" spans="1:39" hidden="1" x14ac:dyDescent="0.25">
      <c r="A1740">
        <v>1736</v>
      </c>
      <c r="B1740">
        <v>34</v>
      </c>
      <c r="C1740" s="24">
        <v>44984</v>
      </c>
      <c r="D1740" s="238" t="s">
        <v>91</v>
      </c>
      <c r="E1740" s="238" t="s">
        <v>16</v>
      </c>
      <c r="F1740">
        <v>7</v>
      </c>
      <c r="G1740">
        <v>4</v>
      </c>
      <c r="H1740">
        <v>261</v>
      </c>
      <c r="I1740" s="238" t="s">
        <v>42</v>
      </c>
      <c r="J1740">
        <v>33.840000000000003</v>
      </c>
      <c r="K1740" s="238" t="s">
        <v>36</v>
      </c>
      <c r="L1740">
        <v>2805742.35</v>
      </c>
      <c r="M1740">
        <v>15000</v>
      </c>
      <c r="N1740">
        <v>2820742.35</v>
      </c>
      <c r="O1740">
        <v>83355.270390070917</v>
      </c>
      <c r="P1740">
        <v>0</v>
      </c>
      <c r="Q1740">
        <v>2820742.35</v>
      </c>
      <c r="R1740">
        <v>83355.270390070917</v>
      </c>
      <c r="S1740" s="238" t="s">
        <v>137</v>
      </c>
      <c r="T1740" s="238" t="s">
        <v>3515</v>
      </c>
      <c r="U1740">
        <v>60000</v>
      </c>
      <c r="V1740" t="s">
        <v>4091</v>
      </c>
      <c r="W1740" s="24">
        <v>44963</v>
      </c>
      <c r="X1740" s="238" t="s">
        <v>4146</v>
      </c>
      <c r="Y1740" s="238" t="s">
        <v>39</v>
      </c>
      <c r="Z1740" s="238" t="s">
        <v>1340</v>
      </c>
      <c r="AA1740" t="s">
        <v>3113</v>
      </c>
      <c r="AB1740" s="238" t="s">
        <v>3246</v>
      </c>
      <c r="AC1740" t="s">
        <v>3079</v>
      </c>
      <c r="AD1740" s="24"/>
      <c r="AE1740" s="238" t="s">
        <v>4147</v>
      </c>
      <c r="AF1740">
        <v>79879278138</v>
      </c>
      <c r="AG1740" s="238" t="s">
        <v>4148</v>
      </c>
      <c r="AH1740" s="238" t="s">
        <v>1171</v>
      </c>
      <c r="AI1740" s="238" t="s">
        <v>3084</v>
      </c>
      <c r="AJ1740" s="238" t="s">
        <v>399</v>
      </c>
      <c r="AK1740" s="238" t="s">
        <v>3345</v>
      </c>
      <c r="AL1740" t="s">
        <v>8715</v>
      </c>
      <c r="AM1740" t="s">
        <v>1167</v>
      </c>
    </row>
    <row r="1741" spans="1:39" hidden="1" x14ac:dyDescent="0.25">
      <c r="A1741">
        <v>1737</v>
      </c>
      <c r="B1741">
        <v>35</v>
      </c>
      <c r="C1741" s="24">
        <v>44984</v>
      </c>
      <c r="D1741" s="238" t="s">
        <v>91</v>
      </c>
      <c r="E1741" s="238" t="s">
        <v>16</v>
      </c>
      <c r="F1741">
        <v>5</v>
      </c>
      <c r="G1741">
        <v>15</v>
      </c>
      <c r="H1741">
        <v>336</v>
      </c>
      <c r="I1741" s="238" t="s">
        <v>43</v>
      </c>
      <c r="J1741">
        <v>56.7</v>
      </c>
      <c r="K1741" s="238" t="s">
        <v>38</v>
      </c>
      <c r="L1741">
        <v>4927220.28</v>
      </c>
      <c r="M1741">
        <v>0</v>
      </c>
      <c r="N1741">
        <v>4927220.28</v>
      </c>
      <c r="O1741">
        <v>86899.828571428574</v>
      </c>
      <c r="P1741">
        <v>850500</v>
      </c>
      <c r="Q1741">
        <v>4076720.2800000003</v>
      </c>
      <c r="R1741">
        <v>71899.828571428574</v>
      </c>
      <c r="S1741" s="238" t="s">
        <v>137</v>
      </c>
      <c r="T1741" s="238" t="s">
        <v>3540</v>
      </c>
      <c r="U1741">
        <v>214564.23</v>
      </c>
      <c r="V1741" t="s">
        <v>4092</v>
      </c>
      <c r="W1741" s="24">
        <v>44977</v>
      </c>
      <c r="X1741" s="238" t="s">
        <v>4149</v>
      </c>
      <c r="Y1741" s="238" t="s">
        <v>39</v>
      </c>
      <c r="Z1741" s="238" t="s">
        <v>1340</v>
      </c>
      <c r="AA1741" t="s">
        <v>3113</v>
      </c>
      <c r="AB1741" s="238" t="s">
        <v>3246</v>
      </c>
      <c r="AC1741" t="s">
        <v>3079</v>
      </c>
      <c r="AD1741" s="24"/>
      <c r="AE1741" s="238" t="s">
        <v>4150</v>
      </c>
      <c r="AF1741">
        <v>79277034930</v>
      </c>
      <c r="AG1741" s="238" t="s">
        <v>4151</v>
      </c>
      <c r="AH1741" s="238" t="s">
        <v>135</v>
      </c>
      <c r="AI1741" s="238" t="s">
        <v>3075</v>
      </c>
      <c r="AJ1741" s="238" t="s">
        <v>3901</v>
      </c>
      <c r="AK1741" s="238" t="s">
        <v>141</v>
      </c>
      <c r="AL1741" t="s">
        <v>8715</v>
      </c>
      <c r="AM1741" t="s">
        <v>3663</v>
      </c>
    </row>
    <row r="1742" spans="1:39" hidden="1" x14ac:dyDescent="0.25">
      <c r="A1742">
        <v>1738</v>
      </c>
      <c r="B1742">
        <v>36</v>
      </c>
      <c r="C1742" s="24">
        <v>44984</v>
      </c>
      <c r="D1742" s="238" t="s">
        <v>91</v>
      </c>
      <c r="E1742" s="238" t="s">
        <v>16</v>
      </c>
      <c r="F1742">
        <v>6</v>
      </c>
      <c r="G1742">
        <v>3</v>
      </c>
      <c r="H1742">
        <v>253</v>
      </c>
      <c r="I1742" s="238" t="s">
        <v>44</v>
      </c>
      <c r="J1742">
        <v>72.510000000000005</v>
      </c>
      <c r="K1742" s="238" t="s">
        <v>36</v>
      </c>
      <c r="L1742">
        <v>4945347.32</v>
      </c>
      <c r="M1742">
        <v>0</v>
      </c>
      <c r="N1742">
        <v>4945347.32</v>
      </c>
      <c r="O1742">
        <v>68202.279961384629</v>
      </c>
      <c r="P1742">
        <v>0</v>
      </c>
      <c r="Q1742">
        <v>4945347.32</v>
      </c>
      <c r="R1742">
        <v>68202.279961384629</v>
      </c>
      <c r="S1742" s="238" t="s">
        <v>137</v>
      </c>
      <c r="T1742" s="238" t="s">
        <v>3540</v>
      </c>
      <c r="U1742">
        <v>260281.44</v>
      </c>
      <c r="V1742" t="s">
        <v>4092</v>
      </c>
      <c r="W1742" s="24">
        <v>44978</v>
      </c>
      <c r="X1742" s="238" t="s">
        <v>4152</v>
      </c>
      <c r="Y1742" s="238" t="s">
        <v>39</v>
      </c>
      <c r="Z1742" s="238" t="s">
        <v>1340</v>
      </c>
      <c r="AA1742" t="s">
        <v>3113</v>
      </c>
      <c r="AB1742" s="238" t="s">
        <v>3246</v>
      </c>
      <c r="AC1742" t="s">
        <v>3079</v>
      </c>
      <c r="AD1742" s="24"/>
      <c r="AE1742" s="238" t="s">
        <v>4153</v>
      </c>
      <c r="AF1742">
        <v>79371813333</v>
      </c>
      <c r="AG1742" s="238" t="s">
        <v>4154</v>
      </c>
      <c r="AH1742" s="238" t="s">
        <v>1212</v>
      </c>
      <c r="AI1742" s="238" t="s">
        <v>135</v>
      </c>
      <c r="AJ1742" s="238" t="s">
        <v>399</v>
      </c>
      <c r="AK1742" s="238" t="s">
        <v>3345</v>
      </c>
      <c r="AL1742" t="s">
        <v>8715</v>
      </c>
      <c r="AM1742" t="s">
        <v>3663</v>
      </c>
    </row>
    <row r="1743" spans="1:39" hidden="1" x14ac:dyDescent="0.25">
      <c r="A1743">
        <v>1739</v>
      </c>
      <c r="B1743">
        <v>37</v>
      </c>
      <c r="C1743" s="24">
        <v>44984</v>
      </c>
      <c r="D1743" s="238" t="s">
        <v>27</v>
      </c>
      <c r="E1743" s="238" t="s">
        <v>5</v>
      </c>
      <c r="F1743">
        <v>5</v>
      </c>
      <c r="G1743">
        <v>19</v>
      </c>
      <c r="H1743">
        <v>348</v>
      </c>
      <c r="I1743" s="238" t="s">
        <v>4052</v>
      </c>
      <c r="J1743">
        <v>23.63</v>
      </c>
      <c r="K1743" s="238" t="s">
        <v>37</v>
      </c>
      <c r="L1743">
        <v>2418412.8199999998</v>
      </c>
      <c r="M1743">
        <v>0</v>
      </c>
      <c r="N1743">
        <v>2418412.8199999998</v>
      </c>
      <c r="O1743">
        <v>102345.01988997037</v>
      </c>
      <c r="P1743">
        <v>94520</v>
      </c>
      <c r="Q1743">
        <v>2323892.8199999998</v>
      </c>
      <c r="R1743">
        <v>98345.019889970368</v>
      </c>
      <c r="S1743" s="238" t="s">
        <v>137</v>
      </c>
      <c r="T1743" s="238" t="s">
        <v>1167</v>
      </c>
      <c r="V1743" t="s">
        <v>4091</v>
      </c>
      <c r="W1743" s="24">
        <v>44978</v>
      </c>
      <c r="X1743" s="238" t="s">
        <v>4155</v>
      </c>
      <c r="Y1743" s="238" t="s">
        <v>39</v>
      </c>
      <c r="Z1743" s="238" t="s">
        <v>1340</v>
      </c>
      <c r="AA1743" t="s">
        <v>3113</v>
      </c>
      <c r="AB1743" s="238" t="s">
        <v>3246</v>
      </c>
      <c r="AC1743" t="s">
        <v>3079</v>
      </c>
      <c r="AD1743" s="24"/>
      <c r="AE1743" s="238" t="s">
        <v>4156</v>
      </c>
      <c r="AF1743">
        <v>79871397848</v>
      </c>
      <c r="AG1743" s="238" t="s">
        <v>4157</v>
      </c>
      <c r="AH1743" s="238" t="s">
        <v>1212</v>
      </c>
      <c r="AI1743" s="238" t="s">
        <v>3103</v>
      </c>
      <c r="AJ1743" s="238" t="s">
        <v>130</v>
      </c>
      <c r="AK1743" s="238" t="s">
        <v>3345</v>
      </c>
      <c r="AL1743" t="s">
        <v>8715</v>
      </c>
      <c r="AM1743" t="s">
        <v>3663</v>
      </c>
    </row>
    <row r="1744" spans="1:39" hidden="1" x14ac:dyDescent="0.25">
      <c r="A1744">
        <v>1740</v>
      </c>
      <c r="B1744">
        <v>38</v>
      </c>
      <c r="C1744" s="24">
        <v>44984</v>
      </c>
      <c r="D1744" s="238" t="s">
        <v>91</v>
      </c>
      <c r="E1744" s="238" t="s">
        <v>16</v>
      </c>
      <c r="F1744">
        <v>5</v>
      </c>
      <c r="G1744">
        <v>10</v>
      </c>
      <c r="H1744">
        <v>301</v>
      </c>
      <c r="I1744" s="238" t="s">
        <v>43</v>
      </c>
      <c r="J1744">
        <v>56.7</v>
      </c>
      <c r="K1744" s="238" t="s">
        <v>38</v>
      </c>
      <c r="L1744">
        <v>5021784.5</v>
      </c>
      <c r="M1744">
        <v>0</v>
      </c>
      <c r="N1744">
        <v>5021784.5</v>
      </c>
      <c r="O1744">
        <v>88567.6278659612</v>
      </c>
      <c r="P1744">
        <v>850499.99999999953</v>
      </c>
      <c r="Q1744">
        <v>4171284.5000000005</v>
      </c>
      <c r="R1744">
        <v>73567.6278659612</v>
      </c>
      <c r="S1744" s="238" t="s">
        <v>137</v>
      </c>
      <c r="T1744" s="238" t="s">
        <v>3515</v>
      </c>
      <c r="U1744">
        <v>120000</v>
      </c>
      <c r="V1744" t="s">
        <v>4092</v>
      </c>
      <c r="W1744" s="24">
        <v>44980</v>
      </c>
      <c r="X1744" s="238" t="s">
        <v>4158</v>
      </c>
      <c r="Y1744" s="238" t="s">
        <v>39</v>
      </c>
      <c r="Z1744" s="238" t="s">
        <v>1340</v>
      </c>
      <c r="AA1744" t="s">
        <v>3113</v>
      </c>
      <c r="AB1744" s="238" t="s">
        <v>3246</v>
      </c>
      <c r="AC1744" t="s">
        <v>3079</v>
      </c>
      <c r="AD1744" s="24"/>
      <c r="AE1744" s="238" t="s">
        <v>4159</v>
      </c>
      <c r="AF1744">
        <v>79063470168</v>
      </c>
      <c r="AG1744" s="238" t="s">
        <v>4160</v>
      </c>
      <c r="AH1744" s="238" t="s">
        <v>1212</v>
      </c>
      <c r="AI1744" s="238" t="s">
        <v>135</v>
      </c>
      <c r="AJ1744" s="238" t="s">
        <v>130</v>
      </c>
      <c r="AK1744" s="238" t="s">
        <v>141</v>
      </c>
      <c r="AL1744" t="s">
        <v>8715</v>
      </c>
      <c r="AM1744" t="s">
        <v>3663</v>
      </c>
    </row>
    <row r="1745" spans="1:39" hidden="1" x14ac:dyDescent="0.25">
      <c r="A1745">
        <v>1741</v>
      </c>
      <c r="B1745">
        <v>39</v>
      </c>
      <c r="C1745" s="24">
        <v>44984</v>
      </c>
      <c r="D1745" s="238" t="s">
        <v>27</v>
      </c>
      <c r="E1745" s="238" t="s">
        <v>6</v>
      </c>
      <c r="F1745">
        <v>4</v>
      </c>
      <c r="G1745">
        <v>15</v>
      </c>
      <c r="H1745">
        <v>121</v>
      </c>
      <c r="I1745" s="238" t="s">
        <v>4052</v>
      </c>
      <c r="J1745">
        <v>24.39</v>
      </c>
      <c r="K1745" s="238" t="s">
        <v>38</v>
      </c>
      <c r="L1745">
        <v>2608235.63</v>
      </c>
      <c r="M1745">
        <v>0</v>
      </c>
      <c r="N1745">
        <v>2608235.63</v>
      </c>
      <c r="O1745">
        <v>106938.73021730216</v>
      </c>
      <c r="P1745">
        <v>365850</v>
      </c>
      <c r="Q1745">
        <v>2242385.63</v>
      </c>
      <c r="R1745">
        <v>91938.73021730216</v>
      </c>
      <c r="S1745" s="238" t="s">
        <v>137</v>
      </c>
      <c r="T1745" s="238" t="s">
        <v>978</v>
      </c>
      <c r="U1745">
        <v>143131</v>
      </c>
      <c r="V1745" t="s">
        <v>4092</v>
      </c>
      <c r="W1745" s="24">
        <v>44980</v>
      </c>
      <c r="X1745" s="238" t="s">
        <v>4161</v>
      </c>
      <c r="Y1745" s="238" t="s">
        <v>39</v>
      </c>
      <c r="Z1745" s="238" t="s">
        <v>1340</v>
      </c>
      <c r="AA1745" t="s">
        <v>3113</v>
      </c>
      <c r="AB1745" s="238" t="s">
        <v>3246</v>
      </c>
      <c r="AC1745" t="s">
        <v>3079</v>
      </c>
      <c r="AD1745" s="24"/>
      <c r="AE1745" s="238" t="s">
        <v>4162</v>
      </c>
      <c r="AF1745">
        <v>79874385219</v>
      </c>
      <c r="AG1745" s="238" t="s">
        <v>4163</v>
      </c>
      <c r="AH1745" s="238" t="s">
        <v>1171</v>
      </c>
      <c r="AI1745" s="238" t="s">
        <v>3074</v>
      </c>
      <c r="AJ1745" s="238" t="s">
        <v>399</v>
      </c>
      <c r="AK1745" s="238" t="s">
        <v>141</v>
      </c>
      <c r="AL1745" t="s">
        <v>8715</v>
      </c>
      <c r="AM1745" t="s">
        <v>3663</v>
      </c>
    </row>
    <row r="1746" spans="1:39" hidden="1" x14ac:dyDescent="0.25">
      <c r="A1746">
        <v>1742</v>
      </c>
      <c r="B1746">
        <v>40</v>
      </c>
      <c r="C1746" s="24">
        <v>44984</v>
      </c>
      <c r="D1746" s="238" t="s">
        <v>91</v>
      </c>
      <c r="E1746" s="238" t="s">
        <v>5</v>
      </c>
      <c r="F1746">
        <v>7</v>
      </c>
      <c r="G1746">
        <v>7</v>
      </c>
      <c r="H1746">
        <v>167</v>
      </c>
      <c r="I1746" s="238" t="s">
        <v>44</v>
      </c>
      <c r="J1746">
        <v>78.73</v>
      </c>
      <c r="K1746" s="238" t="s">
        <v>37</v>
      </c>
      <c r="L1746">
        <v>6018948.6500000004</v>
      </c>
      <c r="M1746">
        <v>0</v>
      </c>
      <c r="N1746">
        <v>6018948.6500000004</v>
      </c>
      <c r="O1746">
        <v>76450.509970786239</v>
      </c>
      <c r="P1746">
        <v>314920</v>
      </c>
      <c r="Q1746">
        <v>5704028.6500000004</v>
      </c>
      <c r="R1746">
        <v>72450.509970786239</v>
      </c>
      <c r="S1746" s="238" t="s">
        <v>137</v>
      </c>
      <c r="T1746" s="238" t="s">
        <v>1167</v>
      </c>
      <c r="V1746" t="s">
        <v>4092</v>
      </c>
      <c r="W1746" s="24">
        <v>44980</v>
      </c>
      <c r="X1746" s="238" t="s">
        <v>4164</v>
      </c>
      <c r="Y1746" s="238" t="s">
        <v>39</v>
      </c>
      <c r="Z1746" s="238" t="s">
        <v>1340</v>
      </c>
      <c r="AA1746" t="s">
        <v>3113</v>
      </c>
      <c r="AB1746" s="238" t="s">
        <v>3246</v>
      </c>
      <c r="AC1746" t="s">
        <v>3079</v>
      </c>
      <c r="AD1746" s="24"/>
      <c r="AE1746" s="238" t="s">
        <v>4165</v>
      </c>
      <c r="AF1746">
        <v>79121032762</v>
      </c>
      <c r="AG1746" s="238" t="s">
        <v>4166</v>
      </c>
      <c r="AH1746" s="238" t="s">
        <v>146</v>
      </c>
      <c r="AI1746" s="238" t="s">
        <v>135</v>
      </c>
      <c r="AJ1746" s="238" t="s">
        <v>3901</v>
      </c>
      <c r="AK1746" s="238" t="s">
        <v>141</v>
      </c>
      <c r="AL1746" t="s">
        <v>8715</v>
      </c>
      <c r="AM1746" t="s">
        <v>3663</v>
      </c>
    </row>
    <row r="1747" spans="1:39" hidden="1" x14ac:dyDescent="0.25">
      <c r="A1747">
        <v>1743</v>
      </c>
      <c r="B1747">
        <v>41</v>
      </c>
      <c r="C1747" s="24">
        <v>44985</v>
      </c>
      <c r="D1747" s="238" t="s">
        <v>27</v>
      </c>
      <c r="E1747" s="238" t="s">
        <v>5</v>
      </c>
      <c r="F1747">
        <v>1</v>
      </c>
      <c r="G1747">
        <v>1</v>
      </c>
      <c r="H1747">
        <v>5</v>
      </c>
      <c r="I1747" s="238" t="s">
        <v>3946</v>
      </c>
      <c r="J1747">
        <v>78.95</v>
      </c>
      <c r="K1747" s="238" t="s">
        <v>36</v>
      </c>
      <c r="L1747">
        <v>7450250</v>
      </c>
      <c r="M1747">
        <v>50000</v>
      </c>
      <c r="N1747">
        <v>7500250</v>
      </c>
      <c r="O1747">
        <v>95000</v>
      </c>
      <c r="P1747">
        <v>0</v>
      </c>
      <c r="Q1747">
        <v>7500250</v>
      </c>
      <c r="R1747">
        <v>95000</v>
      </c>
      <c r="S1747" s="238" t="s">
        <v>121</v>
      </c>
      <c r="T1747" s="238" t="s">
        <v>1167</v>
      </c>
      <c r="V1747" t="s">
        <v>1167</v>
      </c>
      <c r="W1747" s="24">
        <v>44971</v>
      </c>
      <c r="X1747" s="238" t="s">
        <v>4167</v>
      </c>
      <c r="Y1747" s="238" t="s">
        <v>3946</v>
      </c>
      <c r="Z1747" s="238" t="s">
        <v>1168</v>
      </c>
      <c r="AA1747" t="s">
        <v>1167</v>
      </c>
      <c r="AB1747" s="238" t="s">
        <v>3246</v>
      </c>
      <c r="AC1747" t="s">
        <v>1167</v>
      </c>
      <c r="AD1747" s="24"/>
      <c r="AE1747" s="238" t="s">
        <v>4168</v>
      </c>
      <c r="AF1747">
        <v>79276977603</v>
      </c>
      <c r="AG1747" s="238" t="s">
        <v>1167</v>
      </c>
      <c r="AH1747" s="238" t="s">
        <v>1212</v>
      </c>
      <c r="AI1747" s="238" t="s">
        <v>3097</v>
      </c>
      <c r="AJ1747" s="238" t="s">
        <v>399</v>
      </c>
      <c r="AK1747" s="238" t="s">
        <v>1167</v>
      </c>
      <c r="AL1747" t="s">
        <v>8715</v>
      </c>
      <c r="AM1747" t="s">
        <v>4169</v>
      </c>
    </row>
    <row r="1748" spans="1:39" hidden="1" x14ac:dyDescent="0.25">
      <c r="A1748">
        <v>1744</v>
      </c>
      <c r="B1748">
        <v>42</v>
      </c>
      <c r="C1748" s="24">
        <v>44985</v>
      </c>
      <c r="D1748" s="238" t="s">
        <v>27</v>
      </c>
      <c r="E1748" s="238" t="s">
        <v>15</v>
      </c>
      <c r="F1748">
        <v>5</v>
      </c>
      <c r="G1748">
        <v>1</v>
      </c>
      <c r="H1748">
        <v>15</v>
      </c>
      <c r="I1748" s="238" t="s">
        <v>3946</v>
      </c>
      <c r="J1748">
        <v>115.46</v>
      </c>
      <c r="K1748" s="238" t="s">
        <v>36</v>
      </c>
      <c r="L1748">
        <v>13277900</v>
      </c>
      <c r="M1748">
        <v>0</v>
      </c>
      <c r="N1748">
        <v>13277900</v>
      </c>
      <c r="O1748">
        <v>115000</v>
      </c>
      <c r="P1748">
        <v>0</v>
      </c>
      <c r="Q1748">
        <v>13277900</v>
      </c>
      <c r="R1748">
        <v>115000</v>
      </c>
      <c r="S1748" s="238" t="s">
        <v>124</v>
      </c>
      <c r="T1748" s="238" t="s">
        <v>1167</v>
      </c>
      <c r="V1748" t="s">
        <v>1167</v>
      </c>
      <c r="W1748" s="24">
        <v>44977</v>
      </c>
      <c r="X1748" s="238" t="s">
        <v>4170</v>
      </c>
      <c r="Y1748" s="238" t="s">
        <v>3946</v>
      </c>
      <c r="Z1748" s="238" t="s">
        <v>1340</v>
      </c>
      <c r="AA1748" t="s">
        <v>3113</v>
      </c>
      <c r="AB1748" s="238" t="s">
        <v>3246</v>
      </c>
      <c r="AC1748" t="s">
        <v>1167</v>
      </c>
      <c r="AD1748" s="24"/>
      <c r="AE1748" s="238" t="s">
        <v>4171</v>
      </c>
      <c r="AF1748">
        <v>79276901506</v>
      </c>
      <c r="AG1748" s="238" t="s">
        <v>4172</v>
      </c>
      <c r="AH1748" s="238" t="s">
        <v>1212</v>
      </c>
      <c r="AI1748" s="238" t="s">
        <v>3097</v>
      </c>
      <c r="AJ1748" s="238" t="s">
        <v>130</v>
      </c>
      <c r="AK1748" s="238" t="s">
        <v>1167</v>
      </c>
      <c r="AL1748" t="s">
        <v>8715</v>
      </c>
      <c r="AM1748" t="s">
        <v>1167</v>
      </c>
    </row>
    <row r="1749" spans="1:39" hidden="1" x14ac:dyDescent="0.25">
      <c r="A1749">
        <v>1745</v>
      </c>
      <c r="B1749">
        <v>43</v>
      </c>
      <c r="C1749" s="24">
        <v>44985</v>
      </c>
      <c r="D1749" s="238" t="s">
        <v>91</v>
      </c>
      <c r="E1749" s="238" t="s">
        <v>6</v>
      </c>
      <c r="F1749">
        <v>2</v>
      </c>
      <c r="G1749">
        <v>6</v>
      </c>
      <c r="H1749">
        <v>34</v>
      </c>
      <c r="I1749" s="238" t="s">
        <v>43</v>
      </c>
      <c r="J1749">
        <v>61.76</v>
      </c>
      <c r="K1749" s="238" t="s">
        <v>38</v>
      </c>
      <c r="L1749">
        <v>5460418.3200000003</v>
      </c>
      <c r="M1749">
        <v>0</v>
      </c>
      <c r="N1749">
        <v>5460418.3200000003</v>
      </c>
      <c r="O1749">
        <v>88413.509067357518</v>
      </c>
      <c r="P1749">
        <v>926400.00000000093</v>
      </c>
      <c r="Q1749">
        <v>4534018.3199999994</v>
      </c>
      <c r="R1749">
        <v>73413.509067357503</v>
      </c>
      <c r="S1749" s="238" t="s">
        <v>137</v>
      </c>
      <c r="T1749" s="238" t="s">
        <v>3540</v>
      </c>
      <c r="U1749">
        <v>140227.37</v>
      </c>
      <c r="V1749" t="s">
        <v>4091</v>
      </c>
      <c r="W1749" s="24">
        <v>44979</v>
      </c>
      <c r="X1749" s="238" t="s">
        <v>4173</v>
      </c>
      <c r="Y1749" s="238" t="s">
        <v>39</v>
      </c>
      <c r="Z1749" s="238" t="s">
        <v>1340</v>
      </c>
      <c r="AA1749" t="s">
        <v>3113</v>
      </c>
      <c r="AB1749" s="238" t="s">
        <v>3246</v>
      </c>
      <c r="AC1749" t="s">
        <v>3079</v>
      </c>
      <c r="AD1749" s="24"/>
      <c r="AE1749" s="238" t="s">
        <v>4174</v>
      </c>
      <c r="AF1749">
        <v>79170338786</v>
      </c>
      <c r="AG1749" s="238" t="s">
        <v>4175</v>
      </c>
      <c r="AH1749" s="238" t="s">
        <v>135</v>
      </c>
      <c r="AI1749" s="238" t="s">
        <v>3099</v>
      </c>
      <c r="AJ1749" s="238" t="s">
        <v>399</v>
      </c>
      <c r="AK1749" s="238" t="s">
        <v>3345</v>
      </c>
      <c r="AL1749" t="s">
        <v>8715</v>
      </c>
      <c r="AM1749" t="s">
        <v>3663</v>
      </c>
    </row>
    <row r="1750" spans="1:39" hidden="1" x14ac:dyDescent="0.25">
      <c r="A1750">
        <v>1746</v>
      </c>
      <c r="B1750">
        <v>44</v>
      </c>
      <c r="C1750" s="24">
        <v>44985</v>
      </c>
      <c r="D1750" s="238" t="s">
        <v>91</v>
      </c>
      <c r="E1750" s="238" t="s">
        <v>15</v>
      </c>
      <c r="F1750">
        <v>5</v>
      </c>
      <c r="G1750">
        <v>9</v>
      </c>
      <c r="H1750">
        <v>469</v>
      </c>
      <c r="I1750" s="238" t="s">
        <v>43</v>
      </c>
      <c r="J1750">
        <v>56.04</v>
      </c>
      <c r="K1750" s="238" t="s">
        <v>37</v>
      </c>
      <c r="L1750">
        <v>4384314.8499999996</v>
      </c>
      <c r="M1750">
        <v>0</v>
      </c>
      <c r="N1750">
        <v>4384314.8499999996</v>
      </c>
      <c r="O1750">
        <v>78235.454139900059</v>
      </c>
      <c r="P1750">
        <v>224160</v>
      </c>
      <c r="Q1750">
        <v>4160154.8499999996</v>
      </c>
      <c r="R1750">
        <v>74235.454139900059</v>
      </c>
      <c r="S1750" s="238" t="s">
        <v>124</v>
      </c>
      <c r="T1750" s="238" t="s">
        <v>3566</v>
      </c>
      <c r="U1750">
        <v>40000</v>
      </c>
      <c r="V1750" t="s">
        <v>1167</v>
      </c>
      <c r="W1750" s="24">
        <v>44981</v>
      </c>
      <c r="X1750" s="238" t="s">
        <v>4176</v>
      </c>
      <c r="Y1750" s="238" t="s">
        <v>39</v>
      </c>
      <c r="Z1750" s="238" t="s">
        <v>1340</v>
      </c>
      <c r="AA1750" t="s">
        <v>3113</v>
      </c>
      <c r="AB1750" s="238" t="s">
        <v>3246</v>
      </c>
      <c r="AC1750" t="s">
        <v>1167</v>
      </c>
      <c r="AD1750" s="24">
        <v>45470</v>
      </c>
      <c r="AE1750" s="238" t="s">
        <v>7710</v>
      </c>
      <c r="AF1750">
        <v>79198102806</v>
      </c>
      <c r="AG1750" s="238" t="s">
        <v>7711</v>
      </c>
      <c r="AH1750" s="238" t="s">
        <v>135</v>
      </c>
      <c r="AI1750" s="238" t="s">
        <v>3099</v>
      </c>
      <c r="AJ1750" s="238" t="s">
        <v>4177</v>
      </c>
      <c r="AK1750" s="238" t="s">
        <v>1167</v>
      </c>
      <c r="AL1750" t="s">
        <v>8715</v>
      </c>
      <c r="AM1750" t="s">
        <v>1167</v>
      </c>
    </row>
    <row r="1751" spans="1:39" hidden="1" x14ac:dyDescent="0.25">
      <c r="A1751">
        <v>1747</v>
      </c>
      <c r="B1751">
        <v>45</v>
      </c>
      <c r="C1751" s="24">
        <v>44985</v>
      </c>
      <c r="D1751" s="238" t="s">
        <v>91</v>
      </c>
      <c r="E1751" s="238" t="s">
        <v>6</v>
      </c>
      <c r="F1751">
        <v>5</v>
      </c>
      <c r="G1751">
        <v>4</v>
      </c>
      <c r="H1751">
        <v>21</v>
      </c>
      <c r="I1751" s="238" t="s">
        <v>43</v>
      </c>
      <c r="J1751">
        <v>54.66</v>
      </c>
      <c r="K1751" s="238" t="s">
        <v>37</v>
      </c>
      <c r="L1751">
        <v>4150364.91</v>
      </c>
      <c r="M1751">
        <v>0</v>
      </c>
      <c r="N1751">
        <v>4150364.91</v>
      </c>
      <c r="O1751">
        <v>75930.569154774974</v>
      </c>
      <c r="P1751">
        <v>218640</v>
      </c>
      <c r="Q1751">
        <v>3931724.91</v>
      </c>
      <c r="R1751">
        <v>71930.569154774974</v>
      </c>
      <c r="S1751" s="238" t="s">
        <v>137</v>
      </c>
      <c r="T1751" s="238" t="s">
        <v>324</v>
      </c>
      <c r="U1751">
        <v>165000</v>
      </c>
      <c r="V1751" t="s">
        <v>4092</v>
      </c>
      <c r="W1751" s="24">
        <v>44982</v>
      </c>
      <c r="X1751" s="238" t="s">
        <v>4178</v>
      </c>
      <c r="Y1751" s="238" t="s">
        <v>39</v>
      </c>
      <c r="Z1751" s="238" t="s">
        <v>1340</v>
      </c>
      <c r="AA1751" t="s">
        <v>3113</v>
      </c>
      <c r="AB1751" s="238" t="s">
        <v>3246</v>
      </c>
      <c r="AC1751" t="s">
        <v>3079</v>
      </c>
      <c r="AD1751" s="24"/>
      <c r="AE1751" s="238" t="s">
        <v>4179</v>
      </c>
      <c r="AF1751">
        <v>79277635817</v>
      </c>
      <c r="AG1751" s="238" t="s">
        <v>4180</v>
      </c>
      <c r="AH1751" s="238" t="s">
        <v>1212</v>
      </c>
      <c r="AI1751" s="238" t="s">
        <v>135</v>
      </c>
      <c r="AJ1751" s="238" t="s">
        <v>3901</v>
      </c>
      <c r="AK1751" s="238" t="s">
        <v>3345</v>
      </c>
      <c r="AL1751" t="s">
        <v>8715</v>
      </c>
      <c r="AM1751" t="s">
        <v>3663</v>
      </c>
    </row>
    <row r="1752" spans="1:39" hidden="1" x14ac:dyDescent="0.25">
      <c r="A1752">
        <v>1748</v>
      </c>
      <c r="B1752">
        <v>46</v>
      </c>
      <c r="C1752" s="24">
        <v>44985</v>
      </c>
      <c r="D1752" s="238" t="s">
        <v>27</v>
      </c>
      <c r="E1752" s="238" t="s">
        <v>6</v>
      </c>
      <c r="F1752">
        <v>5</v>
      </c>
      <c r="G1752">
        <v>17</v>
      </c>
      <c r="H1752">
        <v>140</v>
      </c>
      <c r="I1752" s="238" t="s">
        <v>4052</v>
      </c>
      <c r="J1752">
        <v>24.47</v>
      </c>
      <c r="K1752" s="238" t="s">
        <v>36</v>
      </c>
      <c r="L1752">
        <v>2293307.9300000002</v>
      </c>
      <c r="M1752">
        <v>0</v>
      </c>
      <c r="N1752">
        <v>2293307.9300000002</v>
      </c>
      <c r="O1752">
        <v>93719.163465467936</v>
      </c>
      <c r="P1752">
        <v>0</v>
      </c>
      <c r="Q1752">
        <v>2293307.9300000002</v>
      </c>
      <c r="R1752">
        <v>93719.163465467936</v>
      </c>
      <c r="S1752" s="238" t="s">
        <v>137</v>
      </c>
      <c r="T1752" s="238" t="s">
        <v>3390</v>
      </c>
      <c r="U1752">
        <v>100000</v>
      </c>
      <c r="V1752" t="s">
        <v>4092</v>
      </c>
      <c r="W1752" s="24">
        <v>44983</v>
      </c>
      <c r="X1752" s="238" t="s">
        <v>4181</v>
      </c>
      <c r="Y1752" s="238" t="s">
        <v>39</v>
      </c>
      <c r="Z1752" s="238" t="s">
        <v>1340</v>
      </c>
      <c r="AA1752" t="s">
        <v>3113</v>
      </c>
      <c r="AB1752" s="238" t="s">
        <v>3246</v>
      </c>
      <c r="AC1752" t="s">
        <v>3079</v>
      </c>
      <c r="AD1752" s="24"/>
      <c r="AE1752" s="238" t="s">
        <v>4182</v>
      </c>
      <c r="AF1752">
        <v>79270107062</v>
      </c>
      <c r="AG1752" s="238" t="s">
        <v>4183</v>
      </c>
      <c r="AH1752" s="238" t="s">
        <v>1171</v>
      </c>
      <c r="AI1752" s="238" t="s">
        <v>135</v>
      </c>
      <c r="AJ1752" s="238" t="s">
        <v>3901</v>
      </c>
      <c r="AK1752" s="238" t="s">
        <v>3345</v>
      </c>
      <c r="AL1752" t="s">
        <v>8715</v>
      </c>
      <c r="AM1752" t="s">
        <v>3663</v>
      </c>
    </row>
    <row r="1753" spans="1:39" hidden="1" x14ac:dyDescent="0.25">
      <c r="A1753">
        <v>1749</v>
      </c>
      <c r="B1753">
        <v>1</v>
      </c>
      <c r="C1753" s="24">
        <v>44986</v>
      </c>
      <c r="D1753" s="238" t="s">
        <v>91</v>
      </c>
      <c r="E1753" s="238" t="s">
        <v>16</v>
      </c>
      <c r="F1753">
        <v>5</v>
      </c>
      <c r="G1753">
        <v>12</v>
      </c>
      <c r="H1753">
        <v>315</v>
      </c>
      <c r="I1753" s="238" t="s">
        <v>43</v>
      </c>
      <c r="J1753">
        <v>56.7</v>
      </c>
      <c r="K1753" s="238" t="s">
        <v>37</v>
      </c>
      <c r="L1753">
        <v>4398084.5</v>
      </c>
      <c r="M1753">
        <v>0</v>
      </c>
      <c r="N1753">
        <v>4398084.5</v>
      </c>
      <c r="O1753">
        <v>77567.6278659612</v>
      </c>
      <c r="P1753">
        <v>226799.99999999953</v>
      </c>
      <c r="Q1753">
        <v>4171284.5000000005</v>
      </c>
      <c r="R1753">
        <v>73567.6278659612</v>
      </c>
      <c r="S1753" s="238" t="s">
        <v>137</v>
      </c>
      <c r="T1753" s="238" t="s">
        <v>3515</v>
      </c>
      <c r="U1753">
        <v>120000</v>
      </c>
      <c r="V1753" t="s">
        <v>4091</v>
      </c>
      <c r="W1753" s="24">
        <v>44971</v>
      </c>
      <c r="X1753" s="238" t="s">
        <v>4186</v>
      </c>
      <c r="Y1753" s="238" t="s">
        <v>39</v>
      </c>
      <c r="Z1753" s="238" t="s">
        <v>1340</v>
      </c>
      <c r="AA1753" t="s">
        <v>3113</v>
      </c>
      <c r="AB1753" s="238" t="s">
        <v>3246</v>
      </c>
      <c r="AC1753" t="s">
        <v>3079</v>
      </c>
      <c r="AD1753" s="24"/>
      <c r="AE1753" s="238" t="s">
        <v>4187</v>
      </c>
      <c r="AF1753">
        <v>79270192236</v>
      </c>
      <c r="AG1753" s="238" t="s">
        <v>4188</v>
      </c>
      <c r="AH1753" s="238" t="s">
        <v>1212</v>
      </c>
      <c r="AI1753" s="238" t="s">
        <v>3074</v>
      </c>
      <c r="AJ1753" s="238" t="s">
        <v>399</v>
      </c>
      <c r="AK1753" s="238" t="s">
        <v>3345</v>
      </c>
      <c r="AL1753" t="s">
        <v>8715</v>
      </c>
      <c r="AM1753" t="s">
        <v>3663</v>
      </c>
    </row>
    <row r="1754" spans="1:39" hidden="1" x14ac:dyDescent="0.25">
      <c r="A1754">
        <v>1750</v>
      </c>
      <c r="B1754">
        <v>2</v>
      </c>
      <c r="C1754" s="24">
        <v>44986</v>
      </c>
      <c r="D1754" s="238" t="s">
        <v>91</v>
      </c>
      <c r="E1754" s="238" t="s">
        <v>15</v>
      </c>
      <c r="F1754">
        <v>3</v>
      </c>
      <c r="G1754">
        <v>13</v>
      </c>
      <c r="H1754">
        <v>503</v>
      </c>
      <c r="I1754" s="238" t="s">
        <v>44</v>
      </c>
      <c r="J1754">
        <v>74.28</v>
      </c>
      <c r="K1754" s="238" t="s">
        <v>37</v>
      </c>
      <c r="L1754">
        <v>5580896.3200000003</v>
      </c>
      <c r="M1754">
        <v>0</v>
      </c>
      <c r="N1754">
        <v>5580896.3200000003</v>
      </c>
      <c r="O1754">
        <v>75133.229940764679</v>
      </c>
      <c r="P1754">
        <v>297120</v>
      </c>
      <c r="Q1754">
        <v>5283776.32</v>
      </c>
      <c r="R1754">
        <v>71133.229940764679</v>
      </c>
      <c r="S1754" s="238" t="s">
        <v>137</v>
      </c>
      <c r="T1754" s="238" t="s">
        <v>1167</v>
      </c>
      <c r="V1754" t="s">
        <v>4092</v>
      </c>
      <c r="W1754" s="24">
        <v>44974</v>
      </c>
      <c r="X1754" s="238" t="s">
        <v>4189</v>
      </c>
      <c r="Y1754" s="238" t="s">
        <v>39</v>
      </c>
      <c r="Z1754" s="238" t="s">
        <v>1340</v>
      </c>
      <c r="AA1754" t="s">
        <v>3113</v>
      </c>
      <c r="AB1754" s="238" t="s">
        <v>3246</v>
      </c>
      <c r="AC1754" t="s">
        <v>3079</v>
      </c>
      <c r="AD1754" s="24"/>
      <c r="AE1754" s="238" t="s">
        <v>4190</v>
      </c>
      <c r="AF1754">
        <v>79279090363</v>
      </c>
      <c r="AG1754" s="238" t="s">
        <v>4191</v>
      </c>
      <c r="AH1754" s="238" t="s">
        <v>3071</v>
      </c>
      <c r="AI1754" s="238" t="s">
        <v>3114</v>
      </c>
      <c r="AJ1754" s="238" t="s">
        <v>399</v>
      </c>
      <c r="AK1754" s="238" t="s">
        <v>141</v>
      </c>
      <c r="AL1754" t="s">
        <v>8715</v>
      </c>
      <c r="AM1754" t="s">
        <v>3663</v>
      </c>
    </row>
    <row r="1755" spans="1:39" hidden="1" x14ac:dyDescent="0.25">
      <c r="A1755">
        <v>1751</v>
      </c>
      <c r="B1755">
        <v>3</v>
      </c>
      <c r="C1755" s="24">
        <v>44986</v>
      </c>
      <c r="D1755" s="238" t="s">
        <v>91</v>
      </c>
      <c r="E1755" s="238" t="s">
        <v>5</v>
      </c>
      <c r="F1755">
        <v>1</v>
      </c>
      <c r="G1755">
        <v>8</v>
      </c>
      <c r="H1755">
        <v>169</v>
      </c>
      <c r="I1755" s="238" t="s">
        <v>4052</v>
      </c>
      <c r="J1755">
        <v>28.97</v>
      </c>
      <c r="K1755" s="238" t="s">
        <v>36</v>
      </c>
      <c r="L1755">
        <v>2414917.4700000002</v>
      </c>
      <c r="M1755">
        <v>0</v>
      </c>
      <c r="N1755">
        <v>2414917.4700000002</v>
      </c>
      <c r="O1755">
        <v>83359.249913703839</v>
      </c>
      <c r="P1755">
        <v>0</v>
      </c>
      <c r="Q1755">
        <v>2414917.4700000002</v>
      </c>
      <c r="R1755">
        <v>83359.249913703839</v>
      </c>
      <c r="S1755" s="238" t="s">
        <v>137</v>
      </c>
      <c r="T1755" s="238" t="s">
        <v>1167</v>
      </c>
      <c r="V1755" t="s">
        <v>4091</v>
      </c>
      <c r="W1755" s="24">
        <v>44977</v>
      </c>
      <c r="X1755" s="238" t="s">
        <v>4192</v>
      </c>
      <c r="Y1755" s="238" t="s">
        <v>39</v>
      </c>
      <c r="Z1755" s="238" t="s">
        <v>1340</v>
      </c>
      <c r="AA1755" t="s">
        <v>3113</v>
      </c>
      <c r="AB1755" s="238" t="s">
        <v>3246</v>
      </c>
      <c r="AC1755" t="s">
        <v>3079</v>
      </c>
      <c r="AD1755" s="24"/>
      <c r="AE1755" s="238" t="s">
        <v>4193</v>
      </c>
      <c r="AF1755">
        <v>79371891066</v>
      </c>
      <c r="AG1755" s="238" t="s">
        <v>4194</v>
      </c>
      <c r="AH1755" s="238" t="s">
        <v>1171</v>
      </c>
      <c r="AI1755" s="238" t="s">
        <v>3514</v>
      </c>
      <c r="AJ1755" s="238" t="s">
        <v>130</v>
      </c>
      <c r="AK1755" s="238" t="s">
        <v>3345</v>
      </c>
      <c r="AL1755" t="s">
        <v>8715</v>
      </c>
      <c r="AM1755" t="s">
        <v>1167</v>
      </c>
    </row>
    <row r="1756" spans="1:39" hidden="1" x14ac:dyDescent="0.25">
      <c r="A1756">
        <v>1752</v>
      </c>
      <c r="B1756">
        <v>4</v>
      </c>
      <c r="C1756" s="24">
        <v>44986</v>
      </c>
      <c r="D1756" s="238" t="s">
        <v>91</v>
      </c>
      <c r="E1756" s="238" t="s">
        <v>15</v>
      </c>
      <c r="F1756">
        <v>3</v>
      </c>
      <c r="G1756">
        <v>4</v>
      </c>
      <c r="H1756">
        <v>422</v>
      </c>
      <c r="I1756" s="238" t="s">
        <v>44</v>
      </c>
      <c r="J1756">
        <v>74.28</v>
      </c>
      <c r="K1756" s="238" t="s">
        <v>37</v>
      </c>
      <c r="L1756">
        <v>5316707.5</v>
      </c>
      <c r="M1756">
        <v>0</v>
      </c>
      <c r="N1756">
        <v>5316707.5</v>
      </c>
      <c r="O1756">
        <v>71576.568389876149</v>
      </c>
      <c r="P1756">
        <v>297120.00000000279</v>
      </c>
      <c r="Q1756">
        <v>5019587.4999999972</v>
      </c>
      <c r="R1756">
        <v>67576.568389876105</v>
      </c>
      <c r="S1756" s="238" t="s">
        <v>137</v>
      </c>
      <c r="T1756" s="238" t="s">
        <v>3540</v>
      </c>
      <c r="U1756">
        <v>264188.82</v>
      </c>
      <c r="V1756" t="s">
        <v>4092</v>
      </c>
      <c r="W1756" s="24">
        <v>44978</v>
      </c>
      <c r="X1756" s="238" t="s">
        <v>4195</v>
      </c>
      <c r="Y1756" s="238" t="s">
        <v>39</v>
      </c>
      <c r="Z1756" s="238" t="s">
        <v>1340</v>
      </c>
      <c r="AA1756" t="s">
        <v>3113</v>
      </c>
      <c r="AB1756" s="238" t="s">
        <v>3246</v>
      </c>
      <c r="AC1756" t="s">
        <v>3079</v>
      </c>
      <c r="AD1756" s="24"/>
      <c r="AE1756" s="238" t="s">
        <v>4196</v>
      </c>
      <c r="AF1756">
        <v>79774858687</v>
      </c>
      <c r="AG1756" s="238" t="s">
        <v>4197</v>
      </c>
      <c r="AH1756" s="238" t="s">
        <v>1171</v>
      </c>
      <c r="AI1756" s="238" t="s">
        <v>3084</v>
      </c>
      <c r="AJ1756" s="238" t="s">
        <v>130</v>
      </c>
      <c r="AK1756" s="238" t="s">
        <v>141</v>
      </c>
      <c r="AL1756" t="s">
        <v>8715</v>
      </c>
      <c r="AM1756" t="s">
        <v>3663</v>
      </c>
    </row>
    <row r="1757" spans="1:39" hidden="1" x14ac:dyDescent="0.25">
      <c r="A1757">
        <v>1753</v>
      </c>
      <c r="B1757">
        <v>5</v>
      </c>
      <c r="C1757" s="24">
        <v>44986</v>
      </c>
      <c r="D1757" s="238" t="s">
        <v>91</v>
      </c>
      <c r="E1757" s="238" t="s">
        <v>15</v>
      </c>
      <c r="F1757">
        <v>5</v>
      </c>
      <c r="G1757">
        <v>12</v>
      </c>
      <c r="H1757">
        <v>496</v>
      </c>
      <c r="I1757" s="238" t="s">
        <v>43</v>
      </c>
      <c r="J1757">
        <v>56.04</v>
      </c>
      <c r="K1757" s="238" t="s">
        <v>37</v>
      </c>
      <c r="L1757">
        <v>4424314.8499999996</v>
      </c>
      <c r="M1757">
        <v>0</v>
      </c>
      <c r="N1757">
        <v>4424314.8499999996</v>
      </c>
      <c r="O1757">
        <v>78949.230014275512</v>
      </c>
      <c r="P1757">
        <v>224160</v>
      </c>
      <c r="Q1757">
        <v>4200154.8499999996</v>
      </c>
      <c r="R1757">
        <v>74949.230014275512</v>
      </c>
      <c r="S1757" s="238" t="s">
        <v>137</v>
      </c>
      <c r="T1757" s="238" t="s">
        <v>1167</v>
      </c>
      <c r="V1757" t="s">
        <v>4091</v>
      </c>
      <c r="W1757" s="24">
        <v>44978</v>
      </c>
      <c r="X1757" s="238" t="s">
        <v>4198</v>
      </c>
      <c r="Y1757" s="238" t="s">
        <v>39</v>
      </c>
      <c r="Z1757" s="238" t="s">
        <v>1340</v>
      </c>
      <c r="AA1757" t="s">
        <v>3113</v>
      </c>
      <c r="AB1757" s="238" t="s">
        <v>3246</v>
      </c>
      <c r="AC1757" t="s">
        <v>3079</v>
      </c>
      <c r="AD1757" s="24"/>
      <c r="AE1757" s="238" t="s">
        <v>4199</v>
      </c>
      <c r="AF1757">
        <v>79171424400</v>
      </c>
      <c r="AG1757" s="238" t="s">
        <v>4200</v>
      </c>
      <c r="AH1757" s="238" t="s">
        <v>1171</v>
      </c>
      <c r="AI1757" s="238" t="s">
        <v>135</v>
      </c>
      <c r="AJ1757" s="238" t="s">
        <v>130</v>
      </c>
      <c r="AK1757" s="238" t="s">
        <v>141</v>
      </c>
      <c r="AL1757" t="s">
        <v>8715</v>
      </c>
      <c r="AM1757" t="s">
        <v>3663</v>
      </c>
    </row>
    <row r="1758" spans="1:39" hidden="1" x14ac:dyDescent="0.25">
      <c r="A1758">
        <v>1754</v>
      </c>
      <c r="B1758">
        <v>6</v>
      </c>
      <c r="C1758" s="24">
        <v>44986</v>
      </c>
      <c r="D1758" s="238" t="s">
        <v>91</v>
      </c>
      <c r="E1758" s="238" t="s">
        <v>5</v>
      </c>
      <c r="F1758">
        <v>6</v>
      </c>
      <c r="G1758">
        <v>11</v>
      </c>
      <c r="H1758">
        <v>198</v>
      </c>
      <c r="I1758" s="238" t="s">
        <v>42</v>
      </c>
      <c r="J1758">
        <v>36.659999999999997</v>
      </c>
      <c r="K1758" s="238" t="s">
        <v>36</v>
      </c>
      <c r="L1758">
        <v>3182602.34</v>
      </c>
      <c r="M1758">
        <v>0</v>
      </c>
      <c r="N1758">
        <v>3182602.34</v>
      </c>
      <c r="O1758">
        <v>86814.030005455541</v>
      </c>
      <c r="P1758">
        <v>0</v>
      </c>
      <c r="Q1758">
        <v>3182602.34</v>
      </c>
      <c r="R1758">
        <v>86814.030005455541</v>
      </c>
      <c r="S1758" s="238" t="s">
        <v>137</v>
      </c>
      <c r="T1758" s="238" t="s">
        <v>1167</v>
      </c>
      <c r="V1758" t="s">
        <v>4091</v>
      </c>
      <c r="W1758" s="24">
        <v>44978</v>
      </c>
      <c r="X1758" s="238" t="s">
        <v>4201</v>
      </c>
      <c r="Y1758" s="238" t="s">
        <v>39</v>
      </c>
      <c r="Z1758" s="238" t="s">
        <v>1340</v>
      </c>
      <c r="AA1758" t="s">
        <v>3113</v>
      </c>
      <c r="AB1758" s="238" t="s">
        <v>3246</v>
      </c>
      <c r="AC1758" t="s">
        <v>3079</v>
      </c>
      <c r="AD1758" s="24"/>
      <c r="AE1758" s="238" t="s">
        <v>4202</v>
      </c>
      <c r="AF1758">
        <v>79372058198</v>
      </c>
      <c r="AG1758" s="238" t="s">
        <v>4203</v>
      </c>
      <c r="AH1758" s="238" t="s">
        <v>1212</v>
      </c>
      <c r="AI1758" s="238" t="s">
        <v>3086</v>
      </c>
      <c r="AJ1758" s="238" t="s">
        <v>130</v>
      </c>
      <c r="AK1758" s="238" t="s">
        <v>141</v>
      </c>
      <c r="AL1758" t="s">
        <v>8715</v>
      </c>
      <c r="AM1758" t="s">
        <v>1167</v>
      </c>
    </row>
    <row r="1759" spans="1:39" hidden="1" x14ac:dyDescent="0.25">
      <c r="A1759">
        <v>1755</v>
      </c>
      <c r="B1759">
        <v>7</v>
      </c>
      <c r="C1759" s="24">
        <v>44986</v>
      </c>
      <c r="D1759" s="238" t="s">
        <v>91</v>
      </c>
      <c r="E1759" s="238" t="s">
        <v>5</v>
      </c>
      <c r="F1759">
        <v>5</v>
      </c>
      <c r="G1759">
        <v>16</v>
      </c>
      <c r="H1759">
        <v>237</v>
      </c>
      <c r="I1759" s="238" t="s">
        <v>42</v>
      </c>
      <c r="J1759">
        <v>36.700000000000003</v>
      </c>
      <c r="K1759" s="238" t="s">
        <v>36</v>
      </c>
      <c r="L1759">
        <v>3217007.5</v>
      </c>
      <c r="M1759">
        <v>0</v>
      </c>
      <c r="N1759">
        <v>3217007.5</v>
      </c>
      <c r="O1759">
        <v>87656.880108991812</v>
      </c>
      <c r="P1759">
        <v>0</v>
      </c>
      <c r="Q1759">
        <v>3217007.5</v>
      </c>
      <c r="R1759">
        <v>87656.880108991812</v>
      </c>
      <c r="S1759" s="238" t="s">
        <v>124</v>
      </c>
      <c r="T1759" s="238" t="s">
        <v>1167</v>
      </c>
      <c r="V1759" t="s">
        <v>1167</v>
      </c>
      <c r="W1759" s="24">
        <v>44980</v>
      </c>
      <c r="X1759" s="238" t="s">
        <v>4204</v>
      </c>
      <c r="Y1759" s="238" t="s">
        <v>39</v>
      </c>
      <c r="Z1759" s="238" t="s">
        <v>1340</v>
      </c>
      <c r="AA1759" t="s">
        <v>3113</v>
      </c>
      <c r="AB1759" s="238" t="s">
        <v>3246</v>
      </c>
      <c r="AC1759" t="s">
        <v>1167</v>
      </c>
      <c r="AD1759" s="24"/>
      <c r="AE1759" s="238" t="s">
        <v>4205</v>
      </c>
      <c r="AF1759">
        <v>79874348566</v>
      </c>
      <c r="AG1759" s="238" t="s">
        <v>2024</v>
      </c>
      <c r="AH1759" s="238" t="s">
        <v>1212</v>
      </c>
      <c r="AI1759" s="238" t="s">
        <v>3082</v>
      </c>
      <c r="AJ1759" s="238" t="s">
        <v>399</v>
      </c>
      <c r="AK1759" s="238" t="s">
        <v>1167</v>
      </c>
      <c r="AL1759" t="s">
        <v>8715</v>
      </c>
      <c r="AM1759" t="s">
        <v>1167</v>
      </c>
    </row>
    <row r="1760" spans="1:39" hidden="1" x14ac:dyDescent="0.25">
      <c r="A1760">
        <v>1756</v>
      </c>
      <c r="B1760">
        <v>8</v>
      </c>
      <c r="C1760" s="24">
        <v>44986</v>
      </c>
      <c r="D1760" s="238" t="s">
        <v>91</v>
      </c>
      <c r="E1760" s="238" t="s">
        <v>6</v>
      </c>
      <c r="F1760">
        <v>5</v>
      </c>
      <c r="G1760">
        <v>8</v>
      </c>
      <c r="H1760">
        <v>53</v>
      </c>
      <c r="I1760" s="238" t="s">
        <v>43</v>
      </c>
      <c r="J1760">
        <v>54.66</v>
      </c>
      <c r="K1760" s="238" t="s">
        <v>37</v>
      </c>
      <c r="L1760">
        <v>4192463.16</v>
      </c>
      <c r="M1760">
        <v>0</v>
      </c>
      <c r="N1760">
        <v>4192463.16</v>
      </c>
      <c r="O1760">
        <v>76700.75301866082</v>
      </c>
      <c r="P1760">
        <v>218640.00000000093</v>
      </c>
      <c r="Q1760">
        <v>3973823.1599999992</v>
      </c>
      <c r="R1760">
        <v>72700.753018660806</v>
      </c>
      <c r="S1760" s="238" t="s">
        <v>137</v>
      </c>
      <c r="T1760" s="238" t="s">
        <v>3540</v>
      </c>
      <c r="U1760">
        <v>122901.75</v>
      </c>
      <c r="V1760" t="s">
        <v>4091</v>
      </c>
      <c r="W1760" s="24">
        <v>44980</v>
      </c>
      <c r="X1760" s="238" t="s">
        <v>4206</v>
      </c>
      <c r="Y1760" s="238" t="s">
        <v>39</v>
      </c>
      <c r="Z1760" s="238" t="s">
        <v>1340</v>
      </c>
      <c r="AA1760" t="s">
        <v>3113</v>
      </c>
      <c r="AB1760" s="238" t="s">
        <v>3246</v>
      </c>
      <c r="AC1760" t="s">
        <v>3079</v>
      </c>
      <c r="AD1760" s="24"/>
      <c r="AE1760" s="238" t="s">
        <v>4207</v>
      </c>
      <c r="AF1760">
        <v>79276583765</v>
      </c>
      <c r="AG1760" s="238" t="s">
        <v>4208</v>
      </c>
      <c r="AH1760" s="238" t="s">
        <v>1171</v>
      </c>
      <c r="AI1760" s="238" t="s">
        <v>3074</v>
      </c>
      <c r="AJ1760" s="238" t="s">
        <v>130</v>
      </c>
      <c r="AK1760" s="238" t="s">
        <v>3345</v>
      </c>
      <c r="AL1760" t="s">
        <v>8715</v>
      </c>
      <c r="AM1760" t="s">
        <v>3663</v>
      </c>
    </row>
    <row r="1761" spans="1:39" hidden="1" x14ac:dyDescent="0.25">
      <c r="A1761">
        <v>1757</v>
      </c>
      <c r="B1761">
        <v>9</v>
      </c>
      <c r="C1761" s="24">
        <v>44986</v>
      </c>
      <c r="D1761" s="238" t="s">
        <v>91</v>
      </c>
      <c r="E1761" s="238" t="s">
        <v>16</v>
      </c>
      <c r="F1761">
        <v>4</v>
      </c>
      <c r="G1761">
        <v>18</v>
      </c>
      <c r="H1761">
        <v>356</v>
      </c>
      <c r="I1761" s="238" t="s">
        <v>43</v>
      </c>
      <c r="J1761">
        <v>58.55</v>
      </c>
      <c r="K1761" s="238" t="s">
        <v>36</v>
      </c>
      <c r="L1761">
        <v>4431299.96</v>
      </c>
      <c r="M1761">
        <v>0</v>
      </c>
      <c r="N1761">
        <v>4431299.96</v>
      </c>
      <c r="O1761">
        <v>75684.030059777971</v>
      </c>
      <c r="P1761">
        <v>0</v>
      </c>
      <c r="Q1761">
        <v>4431299.96</v>
      </c>
      <c r="R1761">
        <v>75684.030059777971</v>
      </c>
      <c r="S1761" s="238" t="s">
        <v>137</v>
      </c>
      <c r="T1761" s="238" t="s">
        <v>1167</v>
      </c>
      <c r="V1761" t="s">
        <v>4091</v>
      </c>
      <c r="W1761" s="24">
        <v>44981</v>
      </c>
      <c r="X1761" s="238" t="s">
        <v>4209</v>
      </c>
      <c r="Y1761" s="238" t="s">
        <v>39</v>
      </c>
      <c r="Z1761" s="238" t="s">
        <v>1340</v>
      </c>
      <c r="AA1761" t="s">
        <v>3113</v>
      </c>
      <c r="AB1761" s="238" t="s">
        <v>3246</v>
      </c>
      <c r="AC1761" t="s">
        <v>3079</v>
      </c>
      <c r="AD1761" s="24"/>
      <c r="AE1761" s="238" t="s">
        <v>4210</v>
      </c>
      <c r="AF1761">
        <v>79225368435</v>
      </c>
      <c r="AG1761" s="238" t="s">
        <v>4211</v>
      </c>
      <c r="AH1761" s="238" t="s">
        <v>1212</v>
      </c>
      <c r="AI1761" s="238" t="s">
        <v>135</v>
      </c>
      <c r="AJ1761" s="238" t="s">
        <v>399</v>
      </c>
      <c r="AK1761" s="238" t="s">
        <v>141</v>
      </c>
      <c r="AL1761" t="s">
        <v>8715</v>
      </c>
      <c r="AM1761" t="s">
        <v>3663</v>
      </c>
    </row>
    <row r="1762" spans="1:39" hidden="1" x14ac:dyDescent="0.25">
      <c r="A1762">
        <v>1758</v>
      </c>
      <c r="B1762">
        <v>10</v>
      </c>
      <c r="C1762" s="24">
        <v>44986</v>
      </c>
      <c r="D1762" s="238" t="s">
        <v>91</v>
      </c>
      <c r="E1762" s="238" t="s">
        <v>16</v>
      </c>
      <c r="F1762">
        <v>4</v>
      </c>
      <c r="G1762">
        <v>14</v>
      </c>
      <c r="H1762">
        <v>328</v>
      </c>
      <c r="I1762" s="238" t="s">
        <v>43</v>
      </c>
      <c r="J1762">
        <v>58.55</v>
      </c>
      <c r="K1762" s="238" t="s">
        <v>36</v>
      </c>
      <c r="L1762">
        <v>4431299.96</v>
      </c>
      <c r="M1762">
        <v>0</v>
      </c>
      <c r="N1762">
        <v>4431299.96</v>
      </c>
      <c r="O1762">
        <v>75684.030059777971</v>
      </c>
      <c r="P1762">
        <v>0</v>
      </c>
      <c r="Q1762">
        <v>4431299.96</v>
      </c>
      <c r="R1762">
        <v>75684.030059777971</v>
      </c>
      <c r="S1762" s="238" t="s">
        <v>137</v>
      </c>
      <c r="T1762" s="238" t="s">
        <v>1167</v>
      </c>
      <c r="V1762" t="s">
        <v>4092</v>
      </c>
      <c r="W1762" s="24">
        <v>44982</v>
      </c>
      <c r="X1762" s="238" t="s">
        <v>4212</v>
      </c>
      <c r="Y1762" s="238" t="s">
        <v>39</v>
      </c>
      <c r="Z1762" s="238" t="s">
        <v>1340</v>
      </c>
      <c r="AA1762" t="s">
        <v>3113</v>
      </c>
      <c r="AB1762" s="238" t="s">
        <v>3246</v>
      </c>
      <c r="AC1762" t="s">
        <v>3079</v>
      </c>
      <c r="AD1762" s="24"/>
      <c r="AE1762" s="238" t="s">
        <v>4213</v>
      </c>
      <c r="AF1762">
        <v>79228289333</v>
      </c>
      <c r="AG1762" s="238" t="s">
        <v>4214</v>
      </c>
      <c r="AH1762" s="238" t="s">
        <v>1212</v>
      </c>
      <c r="AI1762" s="238" t="s">
        <v>3084</v>
      </c>
      <c r="AJ1762" s="238" t="s">
        <v>399</v>
      </c>
      <c r="AK1762" s="238" t="s">
        <v>3345</v>
      </c>
      <c r="AL1762" t="s">
        <v>8715</v>
      </c>
      <c r="AM1762" t="s">
        <v>3663</v>
      </c>
    </row>
    <row r="1763" spans="1:39" hidden="1" x14ac:dyDescent="0.25">
      <c r="A1763">
        <v>1759</v>
      </c>
      <c r="B1763">
        <v>11</v>
      </c>
      <c r="C1763" s="24">
        <v>44986</v>
      </c>
      <c r="D1763" s="238" t="s">
        <v>91</v>
      </c>
      <c r="E1763" s="238" t="s">
        <v>6</v>
      </c>
      <c r="F1763">
        <v>3</v>
      </c>
      <c r="G1763">
        <v>10</v>
      </c>
      <c r="H1763">
        <v>67</v>
      </c>
      <c r="I1763" s="238" t="s">
        <v>42</v>
      </c>
      <c r="J1763">
        <v>35.54</v>
      </c>
      <c r="K1763" s="238" t="s">
        <v>37</v>
      </c>
      <c r="L1763">
        <v>3229238.02</v>
      </c>
      <c r="M1763">
        <v>0</v>
      </c>
      <c r="N1763">
        <v>3229238.02</v>
      </c>
      <c r="O1763">
        <v>90862.071468767594</v>
      </c>
      <c r="P1763">
        <v>142160</v>
      </c>
      <c r="Q1763">
        <v>3087078.02</v>
      </c>
      <c r="R1763">
        <v>86862.071468767594</v>
      </c>
      <c r="S1763" s="238" t="s">
        <v>137</v>
      </c>
      <c r="T1763" s="238" t="s">
        <v>3515</v>
      </c>
      <c r="U1763">
        <v>60000</v>
      </c>
      <c r="V1763" t="s">
        <v>4091</v>
      </c>
      <c r="W1763" s="24">
        <v>44982</v>
      </c>
      <c r="X1763" s="238" t="s">
        <v>4215</v>
      </c>
      <c r="Y1763" s="238" t="s">
        <v>39</v>
      </c>
      <c r="Z1763" s="238" t="s">
        <v>1340</v>
      </c>
      <c r="AA1763" t="s">
        <v>3113</v>
      </c>
      <c r="AB1763" s="238" t="s">
        <v>3246</v>
      </c>
      <c r="AC1763" t="s">
        <v>3079</v>
      </c>
      <c r="AD1763" s="24"/>
      <c r="AE1763" s="238" t="s">
        <v>4216</v>
      </c>
      <c r="AF1763">
        <v>79372373997</v>
      </c>
      <c r="AG1763" s="238" t="s">
        <v>4217</v>
      </c>
      <c r="AH1763" s="238" t="s">
        <v>1212</v>
      </c>
      <c r="AI1763" s="238" t="s">
        <v>3089</v>
      </c>
      <c r="AJ1763" s="238" t="s">
        <v>130</v>
      </c>
      <c r="AK1763" s="238" t="s">
        <v>3345</v>
      </c>
      <c r="AL1763" t="s">
        <v>8715</v>
      </c>
      <c r="AM1763" t="s">
        <v>1167</v>
      </c>
    </row>
    <row r="1764" spans="1:39" hidden="1" x14ac:dyDescent="0.25">
      <c r="A1764">
        <v>1760</v>
      </c>
      <c r="B1764">
        <v>12</v>
      </c>
      <c r="C1764" s="24">
        <v>44991</v>
      </c>
      <c r="D1764" s="238" t="s">
        <v>91</v>
      </c>
      <c r="E1764" s="238" t="s">
        <v>6</v>
      </c>
      <c r="F1764">
        <v>5</v>
      </c>
      <c r="G1764">
        <v>2</v>
      </c>
      <c r="H1764">
        <v>5</v>
      </c>
      <c r="I1764" s="238" t="s">
        <v>43</v>
      </c>
      <c r="J1764">
        <v>54.66</v>
      </c>
      <c r="K1764" s="238" t="s">
        <v>37</v>
      </c>
      <c r="L1764">
        <v>4271939.3899999997</v>
      </c>
      <c r="M1764">
        <v>0</v>
      </c>
      <c r="N1764">
        <v>4271939.3899999997</v>
      </c>
      <c r="O1764">
        <v>78154.76381266008</v>
      </c>
      <c r="P1764">
        <v>218640</v>
      </c>
      <c r="Q1764">
        <v>4053299.3899999997</v>
      </c>
      <c r="R1764">
        <v>74154.76381266008</v>
      </c>
      <c r="S1764" s="238" t="s">
        <v>137</v>
      </c>
      <c r="T1764" s="238" t="s">
        <v>3538</v>
      </c>
      <c r="U1764">
        <v>125359.77</v>
      </c>
      <c r="V1764" t="s">
        <v>4092</v>
      </c>
      <c r="W1764" s="24">
        <v>44985</v>
      </c>
      <c r="X1764" s="238" t="s">
        <v>4218</v>
      </c>
      <c r="Y1764" s="238" t="s">
        <v>39</v>
      </c>
      <c r="Z1764" s="238" t="s">
        <v>1340</v>
      </c>
      <c r="AA1764" t="s">
        <v>3113</v>
      </c>
      <c r="AB1764" s="238" t="s">
        <v>3246</v>
      </c>
      <c r="AC1764" t="s">
        <v>3079</v>
      </c>
      <c r="AD1764" s="24"/>
      <c r="AE1764" s="238" t="s">
        <v>4219</v>
      </c>
      <c r="AF1764">
        <v>79295884542</v>
      </c>
      <c r="AG1764" s="238" t="s">
        <v>4220</v>
      </c>
      <c r="AH1764" s="238" t="s">
        <v>135</v>
      </c>
      <c r="AI1764" s="238" t="s">
        <v>4221</v>
      </c>
      <c r="AJ1764" s="238" t="s">
        <v>130</v>
      </c>
      <c r="AK1764" s="238" t="s">
        <v>141</v>
      </c>
      <c r="AL1764" t="s">
        <v>8715</v>
      </c>
      <c r="AM1764" t="s">
        <v>3663</v>
      </c>
    </row>
    <row r="1765" spans="1:39" hidden="1" x14ac:dyDescent="0.25">
      <c r="A1765">
        <v>1761</v>
      </c>
      <c r="B1765">
        <v>13</v>
      </c>
      <c r="C1765" s="24">
        <v>44992</v>
      </c>
      <c r="D1765" s="238" t="s">
        <v>91</v>
      </c>
      <c r="E1765" s="238" t="s">
        <v>15</v>
      </c>
      <c r="F1765">
        <v>3</v>
      </c>
      <c r="G1765">
        <v>7</v>
      </c>
      <c r="H1765">
        <v>449</v>
      </c>
      <c r="I1765" s="238" t="s">
        <v>44</v>
      </c>
      <c r="J1765">
        <v>74.28</v>
      </c>
      <c r="K1765" s="238" t="s">
        <v>37</v>
      </c>
      <c r="L1765">
        <v>5422383.0300000003</v>
      </c>
      <c r="M1765">
        <v>0</v>
      </c>
      <c r="N1765">
        <v>5422383.0300000003</v>
      </c>
      <c r="O1765">
        <v>72999.233037156708</v>
      </c>
      <c r="P1765">
        <v>297120</v>
      </c>
      <c r="Q1765">
        <v>5125263.03</v>
      </c>
      <c r="R1765">
        <v>68999.233037156708</v>
      </c>
      <c r="S1765" s="238" t="s">
        <v>137</v>
      </c>
      <c r="T1765" s="238" t="s">
        <v>3538</v>
      </c>
      <c r="U1765">
        <v>158513.29</v>
      </c>
      <c r="V1765" t="s">
        <v>4092</v>
      </c>
      <c r="W1765" s="24">
        <v>44978</v>
      </c>
      <c r="X1765" s="238" t="s">
        <v>4222</v>
      </c>
      <c r="Y1765" s="238" t="s">
        <v>39</v>
      </c>
      <c r="Z1765" s="238" t="s">
        <v>1340</v>
      </c>
      <c r="AA1765" t="s">
        <v>3113</v>
      </c>
      <c r="AB1765" s="238" t="s">
        <v>3246</v>
      </c>
      <c r="AC1765" t="s">
        <v>3079</v>
      </c>
      <c r="AD1765" s="24"/>
      <c r="AE1765" s="238" t="s">
        <v>4223</v>
      </c>
      <c r="AF1765">
        <v>79111111111</v>
      </c>
      <c r="AG1765" s="238" t="s">
        <v>4224</v>
      </c>
      <c r="AH1765" s="238" t="s">
        <v>1212</v>
      </c>
      <c r="AI1765" s="238" t="s">
        <v>135</v>
      </c>
      <c r="AJ1765" s="238" t="s">
        <v>130</v>
      </c>
      <c r="AK1765" s="238" t="s">
        <v>3345</v>
      </c>
      <c r="AL1765" t="s">
        <v>8715</v>
      </c>
      <c r="AM1765" t="s">
        <v>3663</v>
      </c>
    </row>
    <row r="1766" spans="1:39" hidden="1" x14ac:dyDescent="0.25">
      <c r="A1766">
        <v>1762</v>
      </c>
      <c r="B1766">
        <v>14</v>
      </c>
      <c r="C1766" s="24">
        <v>44992</v>
      </c>
      <c r="D1766" s="238" t="s">
        <v>91</v>
      </c>
      <c r="E1766" s="238" t="s">
        <v>16</v>
      </c>
      <c r="F1766">
        <v>1</v>
      </c>
      <c r="G1766">
        <v>8</v>
      </c>
      <c r="H1766">
        <v>283</v>
      </c>
      <c r="I1766" s="238" t="s">
        <v>4052</v>
      </c>
      <c r="J1766">
        <v>29.35</v>
      </c>
      <c r="K1766" s="238" t="s">
        <v>37</v>
      </c>
      <c r="L1766">
        <v>2563993.9900000002</v>
      </c>
      <c r="M1766">
        <v>0</v>
      </c>
      <c r="N1766">
        <v>2563993.9900000002</v>
      </c>
      <c r="O1766">
        <v>87359.250085178879</v>
      </c>
      <c r="P1766">
        <v>117399.99999999953</v>
      </c>
      <c r="Q1766">
        <v>2446593.9900000007</v>
      </c>
      <c r="R1766">
        <v>83359.250085178894</v>
      </c>
      <c r="S1766" s="238" t="s">
        <v>137</v>
      </c>
      <c r="T1766" s="238" t="s">
        <v>1167</v>
      </c>
      <c r="V1766" t="s">
        <v>4091</v>
      </c>
      <c r="W1766" s="24">
        <v>44987</v>
      </c>
      <c r="X1766" s="238" t="s">
        <v>4225</v>
      </c>
      <c r="Y1766" s="238" t="s">
        <v>39</v>
      </c>
      <c r="Z1766" s="238" t="s">
        <v>1340</v>
      </c>
      <c r="AA1766" t="s">
        <v>3113</v>
      </c>
      <c r="AB1766" s="238" t="s">
        <v>3246</v>
      </c>
      <c r="AC1766" t="s">
        <v>3079</v>
      </c>
      <c r="AD1766" s="24"/>
      <c r="AE1766" s="238" t="s">
        <v>4226</v>
      </c>
      <c r="AF1766">
        <v>79885820992</v>
      </c>
      <c r="AG1766" s="238" t="s">
        <v>4227</v>
      </c>
      <c r="AH1766" s="238" t="s">
        <v>1212</v>
      </c>
      <c r="AI1766" s="238" t="s">
        <v>3097</v>
      </c>
      <c r="AJ1766" s="238" t="s">
        <v>3901</v>
      </c>
      <c r="AK1766" s="238" t="s">
        <v>3345</v>
      </c>
      <c r="AL1766" t="s">
        <v>8715</v>
      </c>
      <c r="AM1766" t="s">
        <v>1167</v>
      </c>
    </row>
    <row r="1767" spans="1:39" hidden="1" x14ac:dyDescent="0.25">
      <c r="A1767">
        <v>1763</v>
      </c>
      <c r="B1767">
        <v>15</v>
      </c>
      <c r="C1767" s="24">
        <v>44995</v>
      </c>
      <c r="D1767" s="238" t="s">
        <v>91</v>
      </c>
      <c r="E1767" s="238" t="s">
        <v>16</v>
      </c>
      <c r="F1767">
        <v>7</v>
      </c>
      <c r="G1767">
        <v>20</v>
      </c>
      <c r="H1767">
        <v>373</v>
      </c>
      <c r="I1767" s="238" t="s">
        <v>42</v>
      </c>
      <c r="J1767">
        <v>33.840000000000003</v>
      </c>
      <c r="K1767" s="238" t="s">
        <v>37</v>
      </c>
      <c r="L1767">
        <v>3317547.49</v>
      </c>
      <c r="M1767">
        <v>0</v>
      </c>
      <c r="N1767">
        <v>3317547.49</v>
      </c>
      <c r="O1767">
        <v>98036.273345153662</v>
      </c>
      <c r="P1767">
        <v>135360</v>
      </c>
      <c r="Q1767">
        <v>3182187.49</v>
      </c>
      <c r="R1767">
        <v>94036.273345153662</v>
      </c>
      <c r="S1767" s="238" t="s">
        <v>137</v>
      </c>
      <c r="T1767" s="238" t="s">
        <v>324</v>
      </c>
      <c r="U1767">
        <v>20000</v>
      </c>
      <c r="V1767" t="s">
        <v>4091</v>
      </c>
      <c r="W1767" s="24">
        <v>44989</v>
      </c>
      <c r="X1767" s="238" t="s">
        <v>4228</v>
      </c>
      <c r="Y1767" s="238" t="s">
        <v>39</v>
      </c>
      <c r="Z1767" s="238" t="s">
        <v>1340</v>
      </c>
      <c r="AA1767" t="s">
        <v>3113</v>
      </c>
      <c r="AB1767" s="238" t="s">
        <v>3246</v>
      </c>
      <c r="AC1767" t="s">
        <v>3079</v>
      </c>
      <c r="AD1767" s="24"/>
      <c r="AE1767" s="238" t="s">
        <v>4229</v>
      </c>
      <c r="AF1767">
        <v>79179411171</v>
      </c>
      <c r="AG1767" s="238" t="s">
        <v>4230</v>
      </c>
      <c r="AH1767" s="238" t="s">
        <v>1212</v>
      </c>
      <c r="AI1767" s="238" t="s">
        <v>3084</v>
      </c>
      <c r="AJ1767" s="238" t="s">
        <v>130</v>
      </c>
      <c r="AK1767" s="238" t="s">
        <v>141</v>
      </c>
      <c r="AL1767" t="s">
        <v>8715</v>
      </c>
      <c r="AM1767" t="s">
        <v>1167</v>
      </c>
    </row>
    <row r="1768" spans="1:39" hidden="1" x14ac:dyDescent="0.25">
      <c r="A1768">
        <v>1764</v>
      </c>
      <c r="B1768">
        <v>16</v>
      </c>
      <c r="C1768" s="24">
        <v>44995</v>
      </c>
      <c r="D1768" s="238" t="s">
        <v>27</v>
      </c>
      <c r="E1768" s="238" t="s">
        <v>6</v>
      </c>
      <c r="F1768">
        <v>4</v>
      </c>
      <c r="G1768">
        <v>18</v>
      </c>
      <c r="H1768">
        <v>148</v>
      </c>
      <c r="I1768" s="238" t="s">
        <v>4052</v>
      </c>
      <c r="J1768">
        <v>24.39</v>
      </c>
      <c r="K1768" s="238" t="s">
        <v>36</v>
      </c>
      <c r="L1768">
        <v>2238568.96</v>
      </c>
      <c r="M1768">
        <v>0</v>
      </c>
      <c r="N1768">
        <v>2238568.96</v>
      </c>
      <c r="O1768">
        <v>91782.245182451821</v>
      </c>
      <c r="P1768">
        <v>0</v>
      </c>
      <c r="Q1768">
        <v>2238568.96</v>
      </c>
      <c r="R1768">
        <v>91782.245182451821</v>
      </c>
      <c r="S1768" s="238" t="s">
        <v>137</v>
      </c>
      <c r="T1768" s="238" t="s">
        <v>4185</v>
      </c>
      <c r="U1768">
        <v>194658.17</v>
      </c>
      <c r="V1768" t="s">
        <v>4092</v>
      </c>
      <c r="W1768" s="24">
        <v>44989</v>
      </c>
      <c r="X1768" s="238" t="s">
        <v>4231</v>
      </c>
      <c r="Y1768" s="238" t="s">
        <v>39</v>
      </c>
      <c r="Z1768" s="238" t="s">
        <v>1340</v>
      </c>
      <c r="AA1768" t="s">
        <v>3113</v>
      </c>
      <c r="AB1768" s="238" t="s">
        <v>3246</v>
      </c>
      <c r="AC1768" t="s">
        <v>3079</v>
      </c>
      <c r="AD1768" s="24"/>
      <c r="AE1768" s="238" t="s">
        <v>4232</v>
      </c>
      <c r="AF1768">
        <v>79277198944</v>
      </c>
      <c r="AG1768" s="238" t="s">
        <v>4233</v>
      </c>
      <c r="AH1768" s="238" t="s">
        <v>1212</v>
      </c>
      <c r="AI1768" s="238" t="s">
        <v>3101</v>
      </c>
      <c r="AJ1768" s="238" t="s">
        <v>399</v>
      </c>
      <c r="AK1768" s="238" t="s">
        <v>141</v>
      </c>
      <c r="AL1768" t="s">
        <v>8715</v>
      </c>
      <c r="AM1768" t="s">
        <v>1167</v>
      </c>
    </row>
    <row r="1769" spans="1:39" hidden="1" x14ac:dyDescent="0.25">
      <c r="A1769">
        <v>1765</v>
      </c>
      <c r="B1769">
        <v>17</v>
      </c>
      <c r="C1769" s="24">
        <v>44995</v>
      </c>
      <c r="D1769" s="238" t="s">
        <v>27</v>
      </c>
      <c r="E1769" s="238" t="s">
        <v>5</v>
      </c>
      <c r="F1769">
        <v>3</v>
      </c>
      <c r="G1769">
        <v>21</v>
      </c>
      <c r="H1769">
        <v>362</v>
      </c>
      <c r="I1769" s="238" t="s">
        <v>4052</v>
      </c>
      <c r="J1769">
        <v>23.54</v>
      </c>
      <c r="K1769" s="238" t="s">
        <v>36</v>
      </c>
      <c r="L1769">
        <v>2293213.65</v>
      </c>
      <c r="M1769">
        <v>0</v>
      </c>
      <c r="N1769">
        <v>2293213.65</v>
      </c>
      <c r="O1769">
        <v>97417.742141036535</v>
      </c>
      <c r="P1769">
        <v>0</v>
      </c>
      <c r="Q1769">
        <v>2293213.65</v>
      </c>
      <c r="R1769">
        <v>97417.742141036535</v>
      </c>
      <c r="S1769" s="238" t="s">
        <v>137</v>
      </c>
      <c r="T1769" s="238" t="s">
        <v>4185</v>
      </c>
      <c r="U1769">
        <v>199409.88</v>
      </c>
      <c r="V1769" t="s">
        <v>4092</v>
      </c>
      <c r="W1769" s="24">
        <v>44989</v>
      </c>
      <c r="X1769" s="238" t="s">
        <v>4234</v>
      </c>
      <c r="Y1769" s="238" t="s">
        <v>39</v>
      </c>
      <c r="Z1769" s="238" t="s">
        <v>1340</v>
      </c>
      <c r="AA1769" t="s">
        <v>3113</v>
      </c>
      <c r="AB1769" s="238" t="s">
        <v>3246</v>
      </c>
      <c r="AC1769" t="s">
        <v>3079</v>
      </c>
      <c r="AD1769" s="24"/>
      <c r="AE1769" s="238" t="s">
        <v>4235</v>
      </c>
      <c r="AF1769">
        <v>79272006519</v>
      </c>
      <c r="AG1769" s="238" t="s">
        <v>4236</v>
      </c>
      <c r="AH1769" s="238" t="s">
        <v>1212</v>
      </c>
      <c r="AI1769" s="238" t="s">
        <v>3084</v>
      </c>
      <c r="AJ1769" s="238" t="s">
        <v>399</v>
      </c>
      <c r="AK1769" s="238" t="s">
        <v>141</v>
      </c>
      <c r="AL1769" t="s">
        <v>8715</v>
      </c>
      <c r="AM1769" t="s">
        <v>1167</v>
      </c>
    </row>
    <row r="1770" spans="1:39" hidden="1" x14ac:dyDescent="0.25">
      <c r="A1770">
        <v>1766</v>
      </c>
      <c r="B1770">
        <v>18</v>
      </c>
      <c r="C1770" s="24">
        <v>44995</v>
      </c>
      <c r="D1770" s="238" t="s">
        <v>91</v>
      </c>
      <c r="E1770" s="238" t="s">
        <v>15</v>
      </c>
      <c r="F1770">
        <v>3</v>
      </c>
      <c r="G1770">
        <v>3</v>
      </c>
      <c r="H1770">
        <v>413</v>
      </c>
      <c r="I1770" s="238" t="s">
        <v>44</v>
      </c>
      <c r="J1770">
        <v>74.28</v>
      </c>
      <c r="K1770" s="238" t="s">
        <v>38</v>
      </c>
      <c r="L1770">
        <v>6397976.3200000003</v>
      </c>
      <c r="M1770">
        <v>0</v>
      </c>
      <c r="N1770">
        <v>6397976.3200000003</v>
      </c>
      <c r="O1770">
        <v>86133.229940764679</v>
      </c>
      <c r="P1770">
        <v>1114199.9999999991</v>
      </c>
      <c r="Q1770">
        <v>5283776.3200000012</v>
      </c>
      <c r="R1770">
        <v>71133.229940764693</v>
      </c>
      <c r="S1770" s="238" t="s">
        <v>137</v>
      </c>
      <c r="T1770" s="238" t="s">
        <v>1167</v>
      </c>
      <c r="V1770" t="s">
        <v>4092</v>
      </c>
      <c r="W1770" s="24">
        <v>44992</v>
      </c>
      <c r="X1770" s="238" t="s">
        <v>4237</v>
      </c>
      <c r="Y1770" s="238" t="s">
        <v>39</v>
      </c>
      <c r="Z1770" s="238" t="s">
        <v>1340</v>
      </c>
      <c r="AA1770" t="s">
        <v>3113</v>
      </c>
      <c r="AB1770" s="238" t="s">
        <v>3246</v>
      </c>
      <c r="AC1770" t="s">
        <v>3079</v>
      </c>
      <c r="AD1770" s="24"/>
      <c r="AE1770" s="238" t="s">
        <v>4238</v>
      </c>
      <c r="AF1770">
        <v>79649822299</v>
      </c>
      <c r="AG1770" s="238" t="s">
        <v>4239</v>
      </c>
      <c r="AH1770" s="238" t="s">
        <v>1212</v>
      </c>
      <c r="AI1770" s="238" t="s">
        <v>3097</v>
      </c>
      <c r="AJ1770" s="238" t="s">
        <v>399</v>
      </c>
      <c r="AK1770" s="238" t="s">
        <v>3345</v>
      </c>
      <c r="AL1770" t="s">
        <v>8715</v>
      </c>
      <c r="AM1770" t="s">
        <v>1167</v>
      </c>
    </row>
    <row r="1771" spans="1:39" hidden="1" x14ac:dyDescent="0.25">
      <c r="A1771">
        <v>1767</v>
      </c>
      <c r="B1771">
        <v>19</v>
      </c>
      <c r="C1771" s="24">
        <v>44998</v>
      </c>
      <c r="D1771" s="238" t="s">
        <v>91</v>
      </c>
      <c r="E1771" s="238" t="s">
        <v>5</v>
      </c>
      <c r="F1771">
        <v>5</v>
      </c>
      <c r="G1771">
        <v>3</v>
      </c>
      <c r="H1771">
        <v>133</v>
      </c>
      <c r="I1771" s="238" t="s">
        <v>42</v>
      </c>
      <c r="J1771">
        <v>36.700000000000003</v>
      </c>
      <c r="K1771" s="238" t="s">
        <v>37</v>
      </c>
      <c r="L1771">
        <v>3460317.85</v>
      </c>
      <c r="M1771">
        <v>0</v>
      </c>
      <c r="N1771">
        <v>3460317.85</v>
      </c>
      <c r="O1771">
        <v>94286.589918256126</v>
      </c>
      <c r="P1771">
        <v>146800.00000000093</v>
      </c>
      <c r="Q1771">
        <v>3313517.8499999992</v>
      </c>
      <c r="R1771">
        <v>90286.589918256097</v>
      </c>
      <c r="S1771" s="238" t="s">
        <v>137</v>
      </c>
      <c r="T1771" s="238" t="s">
        <v>1167</v>
      </c>
      <c r="V1771" t="s">
        <v>4091</v>
      </c>
      <c r="W1771" s="24">
        <v>44990</v>
      </c>
      <c r="X1771" s="238" t="s">
        <v>4240</v>
      </c>
      <c r="Y1771" s="238" t="s">
        <v>39</v>
      </c>
      <c r="Z1771" s="238" t="s">
        <v>1340</v>
      </c>
      <c r="AA1771" t="s">
        <v>3113</v>
      </c>
      <c r="AB1771" s="238" t="s">
        <v>3246</v>
      </c>
      <c r="AC1771" t="s">
        <v>3079</v>
      </c>
      <c r="AD1771" s="24"/>
      <c r="AE1771" s="238" t="s">
        <v>4241</v>
      </c>
      <c r="AF1771">
        <v>79270047325</v>
      </c>
      <c r="AG1771" s="238" t="s">
        <v>4242</v>
      </c>
      <c r="AH1771" s="238" t="s">
        <v>1212</v>
      </c>
      <c r="AI1771" s="238" t="s">
        <v>135</v>
      </c>
      <c r="AJ1771" s="238" t="s">
        <v>4177</v>
      </c>
      <c r="AK1771" s="238" t="s">
        <v>141</v>
      </c>
      <c r="AL1771" t="s">
        <v>8715</v>
      </c>
      <c r="AM1771" t="s">
        <v>1167</v>
      </c>
    </row>
    <row r="1772" spans="1:39" hidden="1" x14ac:dyDescent="0.25">
      <c r="A1772">
        <v>1768</v>
      </c>
      <c r="B1772">
        <v>20</v>
      </c>
      <c r="C1772" s="24">
        <v>44998</v>
      </c>
      <c r="D1772" s="238" t="s">
        <v>27</v>
      </c>
      <c r="E1772" s="238" t="s">
        <v>6</v>
      </c>
      <c r="F1772">
        <v>5</v>
      </c>
      <c r="G1772">
        <v>20</v>
      </c>
      <c r="H1772">
        <v>167</v>
      </c>
      <c r="I1772" s="238" t="s">
        <v>4052</v>
      </c>
      <c r="J1772">
        <v>24.47</v>
      </c>
      <c r="K1772" s="238" t="s">
        <v>36</v>
      </c>
      <c r="L1772">
        <v>2367180.4300000002</v>
      </c>
      <c r="M1772">
        <v>0</v>
      </c>
      <c r="N1772">
        <v>2367180.4300000002</v>
      </c>
      <c r="O1772">
        <v>96738.064160196169</v>
      </c>
      <c r="P1772">
        <v>0</v>
      </c>
      <c r="Q1772">
        <v>2367180.4300000002</v>
      </c>
      <c r="R1772">
        <v>96738.064160196169</v>
      </c>
      <c r="S1772" s="238" t="s">
        <v>137</v>
      </c>
      <c r="T1772" s="238" t="s">
        <v>4185</v>
      </c>
      <c r="U1772">
        <v>205841.78</v>
      </c>
      <c r="V1772" t="s">
        <v>4092</v>
      </c>
      <c r="W1772" s="24">
        <v>44990</v>
      </c>
      <c r="X1772" s="238" t="s">
        <v>4243</v>
      </c>
      <c r="Y1772" s="238" t="s">
        <v>39</v>
      </c>
      <c r="Z1772" s="238" t="s">
        <v>1340</v>
      </c>
      <c r="AA1772" t="s">
        <v>3113</v>
      </c>
      <c r="AB1772" s="238" t="s">
        <v>3246</v>
      </c>
      <c r="AC1772" t="s">
        <v>3079</v>
      </c>
      <c r="AD1772" s="24"/>
      <c r="AE1772" s="238" t="s">
        <v>4244</v>
      </c>
      <c r="AF1772">
        <v>79879543771</v>
      </c>
      <c r="AG1772" s="238" t="s">
        <v>4245</v>
      </c>
      <c r="AH1772" s="238" t="s">
        <v>1212</v>
      </c>
      <c r="AI1772" s="238" t="s">
        <v>3084</v>
      </c>
      <c r="AJ1772" s="238" t="s">
        <v>399</v>
      </c>
      <c r="AK1772" s="238" t="s">
        <v>141</v>
      </c>
      <c r="AL1772" t="s">
        <v>8715</v>
      </c>
      <c r="AM1772" t="s">
        <v>1167</v>
      </c>
    </row>
    <row r="1773" spans="1:39" hidden="1" x14ac:dyDescent="0.25">
      <c r="A1773">
        <v>1769</v>
      </c>
      <c r="B1773">
        <v>21</v>
      </c>
      <c r="C1773" s="24">
        <v>45000</v>
      </c>
      <c r="D1773" s="238" t="s">
        <v>27</v>
      </c>
      <c r="E1773" s="238" t="s">
        <v>6</v>
      </c>
      <c r="F1773">
        <v>8</v>
      </c>
      <c r="G1773">
        <v>23</v>
      </c>
      <c r="H1773">
        <v>197</v>
      </c>
      <c r="I1773" s="238" t="s">
        <v>42</v>
      </c>
      <c r="J1773">
        <v>37.69</v>
      </c>
      <c r="K1773" s="238" t="s">
        <v>38</v>
      </c>
      <c r="L1773">
        <v>4398585.82</v>
      </c>
      <c r="M1773">
        <v>0</v>
      </c>
      <c r="N1773">
        <v>4398585.82</v>
      </c>
      <c r="O1773">
        <v>116704.31997877422</v>
      </c>
      <c r="P1773">
        <v>565350</v>
      </c>
      <c r="Q1773">
        <v>3833235.8200000003</v>
      </c>
      <c r="R1773">
        <v>101704.31997877422</v>
      </c>
      <c r="S1773" s="238" t="s">
        <v>137</v>
      </c>
      <c r="T1773" s="238" t="s">
        <v>1167</v>
      </c>
      <c r="V1773" t="s">
        <v>4091</v>
      </c>
      <c r="W1773" s="24">
        <v>44991</v>
      </c>
      <c r="X1773" s="238" t="s">
        <v>4247</v>
      </c>
      <c r="Y1773" s="238" t="s">
        <v>39</v>
      </c>
      <c r="Z1773" s="238" t="s">
        <v>1340</v>
      </c>
      <c r="AA1773" t="s">
        <v>3113</v>
      </c>
      <c r="AB1773" s="238" t="s">
        <v>3246</v>
      </c>
      <c r="AC1773" t="s">
        <v>3079</v>
      </c>
      <c r="AD1773" s="24"/>
      <c r="AE1773" s="238" t="s">
        <v>4248</v>
      </c>
      <c r="AF1773">
        <v>79093293292</v>
      </c>
      <c r="AG1773" s="238" t="s">
        <v>4249</v>
      </c>
      <c r="AH1773" s="238" t="s">
        <v>1212</v>
      </c>
      <c r="AI1773" s="238" t="s">
        <v>3514</v>
      </c>
      <c r="AJ1773" s="238" t="s">
        <v>3901</v>
      </c>
      <c r="AK1773" s="238" t="s">
        <v>141</v>
      </c>
      <c r="AL1773" t="s">
        <v>8715</v>
      </c>
      <c r="AM1773" t="s">
        <v>1167</v>
      </c>
    </row>
    <row r="1774" spans="1:39" hidden="1" x14ac:dyDescent="0.25">
      <c r="A1774">
        <v>1770</v>
      </c>
      <c r="B1774">
        <v>22</v>
      </c>
      <c r="C1774" s="24">
        <v>45000</v>
      </c>
      <c r="D1774" s="238" t="s">
        <v>91</v>
      </c>
      <c r="E1774" s="238" t="s">
        <v>6</v>
      </c>
      <c r="F1774">
        <v>4</v>
      </c>
      <c r="G1774">
        <v>13</v>
      </c>
      <c r="H1774">
        <v>92</v>
      </c>
      <c r="I1774" s="238" t="s">
        <v>43</v>
      </c>
      <c r="J1774">
        <v>56.03</v>
      </c>
      <c r="K1774" s="238" t="s">
        <v>38</v>
      </c>
      <c r="L1774">
        <v>5123843.21</v>
      </c>
      <c r="M1774">
        <v>0</v>
      </c>
      <c r="N1774">
        <v>5123843.21</v>
      </c>
      <c r="O1774">
        <v>91448.210066036045</v>
      </c>
      <c r="P1774">
        <v>840450</v>
      </c>
      <c r="Q1774">
        <v>4283393.21</v>
      </c>
      <c r="R1774">
        <v>76448.210066036045</v>
      </c>
      <c r="S1774" s="238" t="s">
        <v>137</v>
      </c>
      <c r="T1774" s="238" t="s">
        <v>1167</v>
      </c>
      <c r="V1774" t="s">
        <v>4092</v>
      </c>
      <c r="W1774" s="24">
        <v>44991</v>
      </c>
      <c r="X1774" s="238" t="s">
        <v>4250</v>
      </c>
      <c r="Y1774" s="238" t="s">
        <v>39</v>
      </c>
      <c r="Z1774" s="238" t="s">
        <v>1340</v>
      </c>
      <c r="AA1774" t="s">
        <v>3113</v>
      </c>
      <c r="AB1774" s="238" t="s">
        <v>3246</v>
      </c>
      <c r="AC1774" t="s">
        <v>3079</v>
      </c>
      <c r="AD1774" s="24"/>
      <c r="AE1774" s="238" t="s">
        <v>4251</v>
      </c>
      <c r="AF1774">
        <v>79674832302</v>
      </c>
      <c r="AG1774" s="238" t="s">
        <v>4252</v>
      </c>
      <c r="AH1774" s="238" t="s">
        <v>1212</v>
      </c>
      <c r="AI1774" s="238" t="s">
        <v>135</v>
      </c>
      <c r="AJ1774" s="238" t="s">
        <v>130</v>
      </c>
      <c r="AK1774" s="238" t="s">
        <v>141</v>
      </c>
      <c r="AL1774" t="s">
        <v>8715</v>
      </c>
      <c r="AM1774" t="s">
        <v>1167</v>
      </c>
    </row>
    <row r="1775" spans="1:39" hidden="1" x14ac:dyDescent="0.25">
      <c r="A1775">
        <v>1771</v>
      </c>
      <c r="B1775">
        <v>23</v>
      </c>
      <c r="C1775" s="24">
        <v>45000</v>
      </c>
      <c r="D1775" s="238" t="s">
        <v>27</v>
      </c>
      <c r="E1775" s="238" t="s">
        <v>5</v>
      </c>
      <c r="F1775">
        <v>5</v>
      </c>
      <c r="G1775">
        <v>24</v>
      </c>
      <c r="H1775">
        <v>388</v>
      </c>
      <c r="I1775" s="238" t="s">
        <v>4052</v>
      </c>
      <c r="J1775">
        <v>23.63</v>
      </c>
      <c r="K1775" s="238" t="s">
        <v>36</v>
      </c>
      <c r="L1775">
        <v>2242070.38</v>
      </c>
      <c r="M1775">
        <v>0</v>
      </c>
      <c r="N1775">
        <v>2242070.38</v>
      </c>
      <c r="O1775">
        <v>94882.36902242912</v>
      </c>
      <c r="P1775">
        <v>0</v>
      </c>
      <c r="Q1775">
        <v>2242070.38</v>
      </c>
      <c r="R1775">
        <v>94882.36902242912</v>
      </c>
      <c r="S1775" s="238" t="s">
        <v>137</v>
      </c>
      <c r="T1775" s="238" t="s">
        <v>4185</v>
      </c>
      <c r="U1775">
        <v>194962.64</v>
      </c>
      <c r="V1775" t="s">
        <v>4091</v>
      </c>
      <c r="W1775" s="24">
        <v>44992</v>
      </c>
      <c r="X1775" s="238" t="s">
        <v>4253</v>
      </c>
      <c r="Y1775" s="238" t="s">
        <v>39</v>
      </c>
      <c r="Z1775" s="238" t="s">
        <v>1340</v>
      </c>
      <c r="AA1775" t="s">
        <v>3113</v>
      </c>
      <c r="AB1775" s="238" t="s">
        <v>3246</v>
      </c>
      <c r="AC1775" t="s">
        <v>3079</v>
      </c>
      <c r="AD1775" s="24"/>
      <c r="AE1775" s="238" t="s">
        <v>4254</v>
      </c>
      <c r="AF1775">
        <v>79276935720</v>
      </c>
      <c r="AG1775" s="238" t="s">
        <v>4255</v>
      </c>
      <c r="AH1775" s="238" t="s">
        <v>1212</v>
      </c>
      <c r="AI1775" s="238" t="s">
        <v>3074</v>
      </c>
      <c r="AJ1775" s="238" t="s">
        <v>130</v>
      </c>
      <c r="AK1775" s="238" t="s">
        <v>141</v>
      </c>
      <c r="AL1775" t="s">
        <v>8715</v>
      </c>
      <c r="AM1775" t="s">
        <v>1167</v>
      </c>
    </row>
    <row r="1776" spans="1:39" hidden="1" x14ac:dyDescent="0.25">
      <c r="A1776">
        <v>1772</v>
      </c>
      <c r="B1776">
        <v>24</v>
      </c>
      <c r="C1776" s="24">
        <v>45001</v>
      </c>
      <c r="D1776" s="238" t="s">
        <v>91</v>
      </c>
      <c r="E1776" s="238" t="s">
        <v>6</v>
      </c>
      <c r="F1776">
        <v>4</v>
      </c>
      <c r="G1776">
        <v>8</v>
      </c>
      <c r="H1776">
        <v>52</v>
      </c>
      <c r="I1776" s="238" t="s">
        <v>43</v>
      </c>
      <c r="J1776">
        <v>56.03</v>
      </c>
      <c r="K1776" s="238" t="s">
        <v>37</v>
      </c>
      <c r="L1776">
        <v>4507513.21</v>
      </c>
      <c r="M1776">
        <v>0</v>
      </c>
      <c r="N1776">
        <v>4507513.21</v>
      </c>
      <c r="O1776">
        <v>80448.210066036045</v>
      </c>
      <c r="P1776">
        <v>224120</v>
      </c>
      <c r="Q1776">
        <v>4283393.21</v>
      </c>
      <c r="R1776">
        <v>76448.210066036045</v>
      </c>
      <c r="S1776" s="238" t="s">
        <v>137</v>
      </c>
      <c r="T1776" s="238" t="s">
        <v>1167</v>
      </c>
      <c r="V1776" t="s">
        <v>4091</v>
      </c>
      <c r="W1776" s="24">
        <v>44995</v>
      </c>
      <c r="X1776" s="238" t="s">
        <v>4256</v>
      </c>
      <c r="Y1776" s="238" t="s">
        <v>39</v>
      </c>
      <c r="Z1776" s="238" t="s">
        <v>1340</v>
      </c>
      <c r="AA1776" t="s">
        <v>3113</v>
      </c>
      <c r="AB1776" s="238" t="s">
        <v>3246</v>
      </c>
      <c r="AC1776" t="s">
        <v>3079</v>
      </c>
      <c r="AD1776" s="24"/>
      <c r="AE1776" s="238" t="s">
        <v>4257</v>
      </c>
      <c r="AF1776">
        <v>79277347088</v>
      </c>
      <c r="AG1776" s="238" t="s">
        <v>4258</v>
      </c>
      <c r="AH1776" s="238" t="s">
        <v>1171</v>
      </c>
      <c r="AI1776" s="238" t="s">
        <v>3103</v>
      </c>
      <c r="AJ1776" s="238" t="s">
        <v>4177</v>
      </c>
      <c r="AK1776" s="238" t="s">
        <v>3345</v>
      </c>
      <c r="AL1776" t="s">
        <v>8715</v>
      </c>
      <c r="AM1776" t="s">
        <v>1167</v>
      </c>
    </row>
    <row r="1777" spans="1:39" hidden="1" x14ac:dyDescent="0.25">
      <c r="A1777">
        <v>1773</v>
      </c>
      <c r="B1777">
        <v>25</v>
      </c>
      <c r="C1777" s="24">
        <v>45002</v>
      </c>
      <c r="D1777" s="238" t="s">
        <v>91</v>
      </c>
      <c r="E1777" s="238" t="s">
        <v>15</v>
      </c>
      <c r="F1777">
        <v>2</v>
      </c>
      <c r="G1777">
        <v>4</v>
      </c>
      <c r="H1777">
        <v>421</v>
      </c>
      <c r="I1777" s="238" t="s">
        <v>42</v>
      </c>
      <c r="J1777">
        <v>38.6</v>
      </c>
      <c r="K1777" s="238" t="s">
        <v>37</v>
      </c>
      <c r="L1777">
        <v>3572441.97</v>
      </c>
      <c r="M1777">
        <v>0</v>
      </c>
      <c r="N1777">
        <v>3572441.97</v>
      </c>
      <c r="O1777">
        <v>92550.310103626951</v>
      </c>
      <c r="P1777">
        <v>154400</v>
      </c>
      <c r="Q1777">
        <v>3418041.97</v>
      </c>
      <c r="R1777">
        <v>88550.310103626951</v>
      </c>
      <c r="S1777" s="238" t="s">
        <v>137</v>
      </c>
      <c r="T1777" s="238" t="s">
        <v>1167</v>
      </c>
      <c r="V1777" t="s">
        <v>4091</v>
      </c>
      <c r="W1777" s="24">
        <v>44989</v>
      </c>
      <c r="X1777" s="238" t="s">
        <v>4259</v>
      </c>
      <c r="Y1777" s="238" t="s">
        <v>39</v>
      </c>
      <c r="Z1777" s="238" t="s">
        <v>1340</v>
      </c>
      <c r="AA1777" t="s">
        <v>3113</v>
      </c>
      <c r="AB1777" s="238" t="s">
        <v>3246</v>
      </c>
      <c r="AC1777" t="s">
        <v>3079</v>
      </c>
      <c r="AD1777" s="24"/>
      <c r="AE1777" s="238" t="s">
        <v>4260</v>
      </c>
      <c r="AF1777">
        <v>79879156406</v>
      </c>
      <c r="AG1777" s="238" t="s">
        <v>4261</v>
      </c>
      <c r="AH1777" s="238" t="s">
        <v>3071</v>
      </c>
      <c r="AI1777" s="238" t="s">
        <v>3114</v>
      </c>
      <c r="AJ1777" s="238" t="s">
        <v>130</v>
      </c>
      <c r="AK1777" s="238" t="s">
        <v>3345</v>
      </c>
      <c r="AL1777" t="s">
        <v>8715</v>
      </c>
      <c r="AM1777" t="s">
        <v>1167</v>
      </c>
    </row>
    <row r="1778" spans="1:39" hidden="1" x14ac:dyDescent="0.25">
      <c r="A1778">
        <v>1774</v>
      </c>
      <c r="B1778">
        <v>26</v>
      </c>
      <c r="C1778" s="24">
        <v>45002</v>
      </c>
      <c r="D1778" s="238" t="s">
        <v>91</v>
      </c>
      <c r="E1778" s="238" t="s">
        <v>16</v>
      </c>
      <c r="F1778">
        <v>4</v>
      </c>
      <c r="G1778">
        <v>4</v>
      </c>
      <c r="H1778">
        <v>258</v>
      </c>
      <c r="I1778" s="238" t="s">
        <v>43</v>
      </c>
      <c r="J1778">
        <v>58.55</v>
      </c>
      <c r="K1778" s="238" t="s">
        <v>38</v>
      </c>
      <c r="L1778">
        <v>5262578.1399999997</v>
      </c>
      <c r="M1778">
        <v>0</v>
      </c>
      <c r="N1778">
        <v>5262578.1399999997</v>
      </c>
      <c r="O1778">
        <v>89881.778650725872</v>
      </c>
      <c r="P1778">
        <v>878250</v>
      </c>
      <c r="Q1778">
        <v>4384328.1399999997</v>
      </c>
      <c r="R1778">
        <v>74881.778650725872</v>
      </c>
      <c r="S1778" s="238" t="s">
        <v>124</v>
      </c>
      <c r="T1778" s="238" t="s">
        <v>3540</v>
      </c>
      <c r="U1778">
        <v>135597.78</v>
      </c>
      <c r="V1778" t="s">
        <v>1167</v>
      </c>
      <c r="W1778" s="24">
        <v>44998</v>
      </c>
      <c r="X1778" s="238" t="s">
        <v>4262</v>
      </c>
      <c r="Y1778" s="238" t="s">
        <v>39</v>
      </c>
      <c r="Z1778" s="238" t="s">
        <v>1340</v>
      </c>
      <c r="AA1778" t="s">
        <v>3113</v>
      </c>
      <c r="AB1778" s="238" t="s">
        <v>3246</v>
      </c>
      <c r="AC1778" t="s">
        <v>1167</v>
      </c>
      <c r="AD1778" s="24"/>
      <c r="AE1778" s="238" t="s">
        <v>4263</v>
      </c>
      <c r="AF1778">
        <v>79145726532</v>
      </c>
      <c r="AG1778" s="238" t="s">
        <v>4264</v>
      </c>
      <c r="AH1778" s="238" t="s">
        <v>1212</v>
      </c>
      <c r="AI1778" s="238" t="s">
        <v>3074</v>
      </c>
      <c r="AJ1778" s="238" t="s">
        <v>3901</v>
      </c>
      <c r="AK1778" s="238" t="s">
        <v>1167</v>
      </c>
      <c r="AL1778" t="s">
        <v>8715</v>
      </c>
      <c r="AM1778" t="s">
        <v>1167</v>
      </c>
    </row>
    <row r="1779" spans="1:39" hidden="1" x14ac:dyDescent="0.25">
      <c r="A1779">
        <v>1775</v>
      </c>
      <c r="B1779">
        <v>27</v>
      </c>
      <c r="C1779" s="24">
        <v>45005</v>
      </c>
      <c r="D1779" s="238" t="s">
        <v>91</v>
      </c>
      <c r="E1779" s="238" t="s">
        <v>15</v>
      </c>
      <c r="F1779">
        <v>7</v>
      </c>
      <c r="G1779">
        <v>4</v>
      </c>
      <c r="H1779">
        <v>426</v>
      </c>
      <c r="I1779" s="238" t="s">
        <v>43</v>
      </c>
      <c r="J1779">
        <v>67.489999999999995</v>
      </c>
      <c r="K1779" s="238" t="s">
        <v>37</v>
      </c>
      <c r="L1779">
        <v>5581199.6100000003</v>
      </c>
      <c r="M1779">
        <v>0</v>
      </c>
      <c r="N1779">
        <v>5581199.6100000003</v>
      </c>
      <c r="O1779">
        <v>82696.690028152327</v>
      </c>
      <c r="P1779">
        <v>269960.00000000186</v>
      </c>
      <c r="Q1779">
        <v>5311239.6099999985</v>
      </c>
      <c r="R1779">
        <v>78696.690028152298</v>
      </c>
      <c r="S1779" s="238" t="s">
        <v>137</v>
      </c>
      <c r="T1779" s="238" t="s">
        <v>1167</v>
      </c>
      <c r="V1779" t="s">
        <v>4092</v>
      </c>
      <c r="W1779" s="24">
        <v>44998</v>
      </c>
      <c r="X1779" s="238" t="s">
        <v>4266</v>
      </c>
      <c r="Y1779" s="238" t="s">
        <v>39</v>
      </c>
      <c r="Z1779" s="238" t="s">
        <v>1340</v>
      </c>
      <c r="AA1779" t="s">
        <v>3113</v>
      </c>
      <c r="AB1779" s="238" t="s">
        <v>3246</v>
      </c>
      <c r="AC1779" t="s">
        <v>3079</v>
      </c>
      <c r="AD1779" s="24"/>
      <c r="AE1779" s="238" t="s">
        <v>4267</v>
      </c>
      <c r="AF1779">
        <v>79371769503</v>
      </c>
      <c r="AG1779" s="238" t="s">
        <v>4268</v>
      </c>
      <c r="AH1779" s="238" t="s">
        <v>1212</v>
      </c>
      <c r="AI1779" s="238" t="s">
        <v>135</v>
      </c>
      <c r="AJ1779" s="238" t="s">
        <v>3901</v>
      </c>
      <c r="AK1779" s="238" t="s">
        <v>141</v>
      </c>
      <c r="AL1779" t="s">
        <v>8715</v>
      </c>
      <c r="AM1779" t="s">
        <v>1167</v>
      </c>
    </row>
    <row r="1780" spans="1:39" hidden="1" x14ac:dyDescent="0.25">
      <c r="A1780">
        <v>1776</v>
      </c>
      <c r="B1780">
        <v>28</v>
      </c>
      <c r="C1780" s="24">
        <v>45005</v>
      </c>
      <c r="D1780" s="238" t="s">
        <v>91</v>
      </c>
      <c r="E1780" s="238" t="s">
        <v>15</v>
      </c>
      <c r="F1780">
        <v>3</v>
      </c>
      <c r="G1780">
        <v>5</v>
      </c>
      <c r="H1780">
        <v>431</v>
      </c>
      <c r="I1780" s="238" t="s">
        <v>44</v>
      </c>
      <c r="J1780">
        <v>74.28</v>
      </c>
      <c r="K1780" s="238" t="s">
        <v>38</v>
      </c>
      <c r="L1780">
        <v>6344340.6200000001</v>
      </c>
      <c r="M1780">
        <v>0</v>
      </c>
      <c r="N1780">
        <v>6344340.6200000001</v>
      </c>
      <c r="O1780">
        <v>85411.155358104472</v>
      </c>
      <c r="P1780">
        <v>1114199.9999999981</v>
      </c>
      <c r="Q1780">
        <v>5230140.620000002</v>
      </c>
      <c r="R1780">
        <v>70411.155358104501</v>
      </c>
      <c r="S1780" s="238" t="s">
        <v>137</v>
      </c>
      <c r="T1780" s="238" t="s">
        <v>3540</v>
      </c>
      <c r="U1780">
        <v>161756.92639175337</v>
      </c>
      <c r="V1780" t="s">
        <v>4092</v>
      </c>
      <c r="W1780" s="24">
        <v>45000</v>
      </c>
      <c r="X1780" s="238" t="s">
        <v>4269</v>
      </c>
      <c r="Y1780" s="238" t="s">
        <v>39</v>
      </c>
      <c r="Z1780" s="238" t="s">
        <v>1340</v>
      </c>
      <c r="AA1780" t="s">
        <v>3113</v>
      </c>
      <c r="AB1780" s="238" t="s">
        <v>3246</v>
      </c>
      <c r="AC1780" t="s">
        <v>3079</v>
      </c>
      <c r="AD1780" s="24"/>
      <c r="AE1780" s="238" t="s">
        <v>4270</v>
      </c>
      <c r="AF1780">
        <v>79995812805</v>
      </c>
      <c r="AG1780" s="238" t="s">
        <v>4271</v>
      </c>
      <c r="AH1780" s="238" t="s">
        <v>146</v>
      </c>
      <c r="AI1780" s="238" t="s">
        <v>135</v>
      </c>
      <c r="AJ1780" s="238" t="s">
        <v>3901</v>
      </c>
      <c r="AK1780" s="238" t="s">
        <v>3345</v>
      </c>
      <c r="AL1780" t="s">
        <v>8715</v>
      </c>
      <c r="AM1780" t="s">
        <v>1167</v>
      </c>
    </row>
    <row r="1781" spans="1:39" hidden="1" x14ac:dyDescent="0.25">
      <c r="A1781">
        <v>1777</v>
      </c>
      <c r="B1781">
        <v>29</v>
      </c>
      <c r="C1781" s="24">
        <v>45005</v>
      </c>
      <c r="D1781" s="238" t="s">
        <v>91</v>
      </c>
      <c r="E1781" s="238" t="s">
        <v>5</v>
      </c>
      <c r="F1781">
        <v>3</v>
      </c>
      <c r="G1781">
        <v>16</v>
      </c>
      <c r="H1781">
        <v>235</v>
      </c>
      <c r="I1781" s="238" t="s">
        <v>42</v>
      </c>
      <c r="J1781">
        <v>35.380000000000003</v>
      </c>
      <c r="K1781" s="238" t="s">
        <v>37</v>
      </c>
      <c r="L1781">
        <v>3305144.76</v>
      </c>
      <c r="M1781">
        <v>0</v>
      </c>
      <c r="N1781">
        <v>3305144.76</v>
      </c>
      <c r="O1781">
        <v>93418.449971735434</v>
      </c>
      <c r="P1781">
        <v>141520.00000000093</v>
      </c>
      <c r="Q1781">
        <v>3163624.7599999988</v>
      </c>
      <c r="R1781">
        <v>89418.449971735405</v>
      </c>
      <c r="S1781" s="238" t="s">
        <v>137</v>
      </c>
      <c r="T1781" s="238" t="s">
        <v>1167</v>
      </c>
      <c r="V1781" t="s">
        <v>4091</v>
      </c>
      <c r="W1781" s="24">
        <v>45000</v>
      </c>
      <c r="X1781" s="238" t="s">
        <v>4272</v>
      </c>
      <c r="Y1781" s="238" t="s">
        <v>39</v>
      </c>
      <c r="Z1781" s="238" t="s">
        <v>1340</v>
      </c>
      <c r="AA1781" t="s">
        <v>3113</v>
      </c>
      <c r="AB1781" s="238" t="s">
        <v>3246</v>
      </c>
      <c r="AC1781" t="s">
        <v>3079</v>
      </c>
      <c r="AD1781" s="24"/>
      <c r="AE1781" s="238" t="s">
        <v>4273</v>
      </c>
      <c r="AF1781">
        <v>79370651640</v>
      </c>
      <c r="AG1781" s="238" t="s">
        <v>4274</v>
      </c>
      <c r="AH1781" s="238" t="s">
        <v>1171</v>
      </c>
      <c r="AI1781" s="238" t="s">
        <v>135</v>
      </c>
      <c r="AJ1781" s="238" t="s">
        <v>4177</v>
      </c>
      <c r="AK1781" s="238" t="s">
        <v>3345</v>
      </c>
      <c r="AL1781" t="s">
        <v>8715</v>
      </c>
      <c r="AM1781" t="s">
        <v>1167</v>
      </c>
    </row>
    <row r="1782" spans="1:39" hidden="1" x14ac:dyDescent="0.25">
      <c r="A1782">
        <v>1778</v>
      </c>
      <c r="B1782">
        <v>30</v>
      </c>
      <c r="C1782" s="24">
        <v>45005</v>
      </c>
      <c r="D1782" s="238" t="s">
        <v>27</v>
      </c>
      <c r="E1782" s="238" t="s">
        <v>5</v>
      </c>
      <c r="F1782">
        <v>3</v>
      </c>
      <c r="G1782">
        <v>1</v>
      </c>
      <c r="H1782">
        <v>7</v>
      </c>
      <c r="I1782" s="238" t="s">
        <v>3946</v>
      </c>
      <c r="J1782">
        <v>134.52000000000001</v>
      </c>
      <c r="K1782" s="238" t="s">
        <v>36</v>
      </c>
      <c r="L1782">
        <v>12729400</v>
      </c>
      <c r="M1782">
        <v>50000</v>
      </c>
      <c r="N1782">
        <v>12779400</v>
      </c>
      <c r="O1782">
        <v>95000</v>
      </c>
      <c r="P1782">
        <v>0</v>
      </c>
      <c r="Q1782">
        <v>12779400</v>
      </c>
      <c r="R1782">
        <v>95000</v>
      </c>
      <c r="S1782" s="238" t="s">
        <v>124</v>
      </c>
      <c r="T1782" s="238" t="s">
        <v>1167</v>
      </c>
      <c r="V1782" t="s">
        <v>1167</v>
      </c>
      <c r="W1782" s="24">
        <v>45005</v>
      </c>
      <c r="X1782" s="238" t="s">
        <v>4275</v>
      </c>
      <c r="Y1782" s="238" t="s">
        <v>3946</v>
      </c>
      <c r="Z1782" s="238" t="s">
        <v>1168</v>
      </c>
      <c r="AA1782" t="s">
        <v>1167</v>
      </c>
      <c r="AB1782" s="238" t="s">
        <v>3246</v>
      </c>
      <c r="AC1782" t="s">
        <v>1167</v>
      </c>
      <c r="AD1782" s="24"/>
      <c r="AE1782" s="238" t="s">
        <v>4276</v>
      </c>
      <c r="AF1782">
        <v>79967205000</v>
      </c>
      <c r="AG1782" s="238" t="s">
        <v>4059</v>
      </c>
      <c r="AH1782" s="238" t="s">
        <v>1171</v>
      </c>
      <c r="AI1782" s="238" t="s">
        <v>3082</v>
      </c>
      <c r="AJ1782" s="238" t="s">
        <v>130</v>
      </c>
      <c r="AK1782" s="238" t="s">
        <v>1167</v>
      </c>
      <c r="AL1782" t="s">
        <v>8715</v>
      </c>
      <c r="AM1782" t="s">
        <v>1167</v>
      </c>
    </row>
    <row r="1783" spans="1:39" hidden="1" x14ac:dyDescent="0.25">
      <c r="A1783">
        <v>1779</v>
      </c>
      <c r="B1783">
        <v>31</v>
      </c>
      <c r="C1783" s="24">
        <v>45006</v>
      </c>
      <c r="D1783" s="238" t="s">
        <v>91</v>
      </c>
      <c r="E1783" s="238" t="s">
        <v>16</v>
      </c>
      <c r="F1783">
        <v>1</v>
      </c>
      <c r="G1783">
        <v>4</v>
      </c>
      <c r="H1783">
        <v>255</v>
      </c>
      <c r="I1783" s="238" t="s">
        <v>4052</v>
      </c>
      <c r="J1783">
        <v>29.35</v>
      </c>
      <c r="K1783" s="238" t="s">
        <v>36</v>
      </c>
      <c r="L1783">
        <v>2446593.9900000002</v>
      </c>
      <c r="M1783">
        <v>0</v>
      </c>
      <c r="N1783">
        <v>2446593.9900000002</v>
      </c>
      <c r="O1783">
        <v>83359.250085178879</v>
      </c>
      <c r="P1783">
        <v>0</v>
      </c>
      <c r="Q1783">
        <v>2446593.9900000002</v>
      </c>
      <c r="R1783">
        <v>83359.250085178879</v>
      </c>
      <c r="S1783" s="238" t="s">
        <v>137</v>
      </c>
      <c r="T1783" s="238" t="s">
        <v>1167</v>
      </c>
      <c r="V1783" t="s">
        <v>4092</v>
      </c>
      <c r="W1783" s="24">
        <v>44998</v>
      </c>
      <c r="X1783" s="238" t="s">
        <v>4277</v>
      </c>
      <c r="Y1783" s="238" t="s">
        <v>39</v>
      </c>
      <c r="Z1783" s="238" t="s">
        <v>1340</v>
      </c>
      <c r="AA1783" t="s">
        <v>3113</v>
      </c>
      <c r="AB1783" s="238" t="s">
        <v>3246</v>
      </c>
      <c r="AC1783" t="s">
        <v>3079</v>
      </c>
      <c r="AD1783" s="24"/>
      <c r="AE1783" s="238" t="s">
        <v>4278</v>
      </c>
      <c r="AF1783">
        <v>79879502197</v>
      </c>
      <c r="AG1783" s="238" t="s">
        <v>4279</v>
      </c>
      <c r="AH1783" s="238" t="s">
        <v>146</v>
      </c>
      <c r="AI1783" s="238" t="s">
        <v>135</v>
      </c>
      <c r="AJ1783" s="238" t="s">
        <v>3901</v>
      </c>
      <c r="AK1783" s="238" t="s">
        <v>3345</v>
      </c>
      <c r="AL1783" t="s">
        <v>8715</v>
      </c>
      <c r="AM1783" t="s">
        <v>1167</v>
      </c>
    </row>
    <row r="1784" spans="1:39" hidden="1" x14ac:dyDescent="0.25">
      <c r="A1784">
        <v>1780</v>
      </c>
      <c r="B1784">
        <v>32</v>
      </c>
      <c r="C1784" s="24">
        <v>45006</v>
      </c>
      <c r="D1784" s="238" t="s">
        <v>91</v>
      </c>
      <c r="E1784" s="238" t="s">
        <v>15</v>
      </c>
      <c r="F1784">
        <v>4</v>
      </c>
      <c r="G1784">
        <v>5</v>
      </c>
      <c r="H1784">
        <v>432</v>
      </c>
      <c r="I1784" s="238" t="s">
        <v>42</v>
      </c>
      <c r="J1784">
        <v>36.5</v>
      </c>
      <c r="K1784" s="238" t="s">
        <v>37</v>
      </c>
      <c r="L1784">
        <v>3336069.35</v>
      </c>
      <c r="M1784">
        <v>0</v>
      </c>
      <c r="N1784">
        <v>3336069.35</v>
      </c>
      <c r="O1784">
        <v>91399.160273972608</v>
      </c>
      <c r="P1784">
        <v>146000.00000000047</v>
      </c>
      <c r="Q1784">
        <v>3190069.3499999996</v>
      </c>
      <c r="R1784">
        <v>87399.160273972593</v>
      </c>
      <c r="S1784" s="238" t="s">
        <v>137</v>
      </c>
      <c r="T1784" s="238" t="s">
        <v>978</v>
      </c>
      <c r="U1784">
        <v>203621.45</v>
      </c>
      <c r="V1784" t="s">
        <v>4091</v>
      </c>
      <c r="W1784" s="24">
        <v>45001</v>
      </c>
      <c r="X1784" s="238" t="s">
        <v>4280</v>
      </c>
      <c r="Y1784" s="238" t="s">
        <v>39</v>
      </c>
      <c r="Z1784" s="238" t="s">
        <v>1340</v>
      </c>
      <c r="AA1784" t="s">
        <v>3113</v>
      </c>
      <c r="AB1784" s="238" t="s">
        <v>3246</v>
      </c>
      <c r="AC1784" t="s">
        <v>3079</v>
      </c>
      <c r="AD1784" s="24"/>
      <c r="AE1784" s="238" t="s">
        <v>4281</v>
      </c>
      <c r="AF1784">
        <v>79879178227</v>
      </c>
      <c r="AG1784" s="238" t="s">
        <v>4282</v>
      </c>
      <c r="AH1784" s="238" t="s">
        <v>1212</v>
      </c>
      <c r="AI1784" s="238" t="s">
        <v>3089</v>
      </c>
      <c r="AJ1784" s="238" t="s">
        <v>399</v>
      </c>
      <c r="AK1784" s="238" t="s">
        <v>141</v>
      </c>
      <c r="AL1784" t="s">
        <v>8715</v>
      </c>
      <c r="AM1784" t="s">
        <v>1167</v>
      </c>
    </row>
    <row r="1785" spans="1:39" hidden="1" x14ac:dyDescent="0.25">
      <c r="A1785">
        <v>1781</v>
      </c>
      <c r="B1785">
        <v>33</v>
      </c>
      <c r="C1785" s="24">
        <v>45006</v>
      </c>
      <c r="D1785" s="238" t="s">
        <v>91</v>
      </c>
      <c r="E1785" s="238" t="s">
        <v>6</v>
      </c>
      <c r="F1785">
        <v>1</v>
      </c>
      <c r="G1785">
        <v>15</v>
      </c>
      <c r="H1785">
        <v>105</v>
      </c>
      <c r="I1785" s="238" t="s">
        <v>42</v>
      </c>
      <c r="J1785">
        <v>33.53</v>
      </c>
      <c r="K1785" s="238" t="s">
        <v>38</v>
      </c>
      <c r="L1785">
        <v>3442933.16</v>
      </c>
      <c r="M1785">
        <v>0</v>
      </c>
      <c r="N1785">
        <v>3442933.16</v>
      </c>
      <c r="O1785">
        <v>102682.1699970176</v>
      </c>
      <c r="P1785">
        <v>502950</v>
      </c>
      <c r="Q1785">
        <v>2939983.16</v>
      </c>
      <c r="R1785">
        <v>87682.169997017598</v>
      </c>
      <c r="S1785" s="238" t="s">
        <v>137</v>
      </c>
      <c r="T1785" s="238" t="s">
        <v>1167</v>
      </c>
      <c r="V1785" t="s">
        <v>4092</v>
      </c>
      <c r="W1785" s="24">
        <v>45005</v>
      </c>
      <c r="X1785" s="238" t="s">
        <v>4283</v>
      </c>
      <c r="Y1785" s="238" t="s">
        <v>39</v>
      </c>
      <c r="Z1785" s="238" t="s">
        <v>1340</v>
      </c>
      <c r="AA1785" t="s">
        <v>3113</v>
      </c>
      <c r="AB1785" s="238" t="s">
        <v>3246</v>
      </c>
      <c r="AC1785" t="s">
        <v>3079</v>
      </c>
      <c r="AD1785" s="24"/>
      <c r="AE1785" s="238" t="s">
        <v>4284</v>
      </c>
      <c r="AF1785">
        <v>79372451626</v>
      </c>
      <c r="AG1785" s="238" t="s">
        <v>4285</v>
      </c>
      <c r="AH1785" s="238" t="s">
        <v>1212</v>
      </c>
      <c r="AI1785" s="238" t="s">
        <v>135</v>
      </c>
      <c r="AJ1785" s="238" t="s">
        <v>3901</v>
      </c>
      <c r="AK1785" s="238" t="s">
        <v>141</v>
      </c>
      <c r="AL1785" t="s">
        <v>8715</v>
      </c>
      <c r="AM1785" t="s">
        <v>1167</v>
      </c>
    </row>
    <row r="1786" spans="1:39" hidden="1" x14ac:dyDescent="0.25">
      <c r="A1786">
        <v>1782</v>
      </c>
      <c r="B1786">
        <v>34</v>
      </c>
      <c r="C1786" s="24">
        <v>45007</v>
      </c>
      <c r="D1786" s="238" t="s">
        <v>91</v>
      </c>
      <c r="E1786" s="238" t="s">
        <v>5</v>
      </c>
      <c r="F1786">
        <v>2</v>
      </c>
      <c r="G1786">
        <v>10</v>
      </c>
      <c r="H1786">
        <v>186</v>
      </c>
      <c r="I1786" s="238" t="s">
        <v>43</v>
      </c>
      <c r="J1786">
        <v>68.75</v>
      </c>
      <c r="K1786" s="238" t="s">
        <v>37</v>
      </c>
      <c r="L1786">
        <v>5824980.4400000004</v>
      </c>
      <c r="M1786">
        <v>15000</v>
      </c>
      <c r="N1786">
        <v>5839980.4400000004</v>
      </c>
      <c r="O1786">
        <v>84945.170036363648</v>
      </c>
      <c r="P1786">
        <v>275000</v>
      </c>
      <c r="Q1786">
        <v>5564980.4400000004</v>
      </c>
      <c r="R1786">
        <v>80945.170036363648</v>
      </c>
      <c r="S1786" s="238" t="s">
        <v>137</v>
      </c>
      <c r="T1786" s="238" t="s">
        <v>1167</v>
      </c>
      <c r="V1786" t="s">
        <v>4093</v>
      </c>
      <c r="W1786" s="24">
        <v>44991</v>
      </c>
      <c r="X1786" s="238" t="s">
        <v>4288</v>
      </c>
      <c r="Y1786" s="238" t="s">
        <v>39</v>
      </c>
      <c r="Z1786" s="238" t="s">
        <v>1340</v>
      </c>
      <c r="AA1786" t="s">
        <v>3113</v>
      </c>
      <c r="AB1786" s="238" t="s">
        <v>3246</v>
      </c>
      <c r="AC1786" t="s">
        <v>3079</v>
      </c>
      <c r="AD1786" s="24"/>
      <c r="AE1786" s="238" t="s">
        <v>4289</v>
      </c>
      <c r="AF1786">
        <v>79125154208</v>
      </c>
      <c r="AG1786" s="238" t="s">
        <v>4290</v>
      </c>
      <c r="AH1786" s="238" t="s">
        <v>1212</v>
      </c>
      <c r="AI1786" s="238" t="s">
        <v>135</v>
      </c>
      <c r="AJ1786" s="238" t="s">
        <v>3901</v>
      </c>
      <c r="AK1786" s="238" t="s">
        <v>141</v>
      </c>
      <c r="AL1786" t="s">
        <v>8715</v>
      </c>
      <c r="AM1786" t="s">
        <v>1167</v>
      </c>
    </row>
    <row r="1787" spans="1:39" hidden="1" x14ac:dyDescent="0.25">
      <c r="A1787">
        <v>1783</v>
      </c>
      <c r="B1787">
        <v>35</v>
      </c>
      <c r="C1787" s="24">
        <v>45007</v>
      </c>
      <c r="D1787" s="238" t="s">
        <v>91</v>
      </c>
      <c r="E1787" s="238" t="s">
        <v>5</v>
      </c>
      <c r="F1787">
        <v>5</v>
      </c>
      <c r="G1787">
        <v>9</v>
      </c>
      <c r="H1787">
        <v>181</v>
      </c>
      <c r="I1787" s="238" t="s">
        <v>42</v>
      </c>
      <c r="J1787">
        <v>36.700000000000003</v>
      </c>
      <c r="K1787" s="238" t="s">
        <v>37</v>
      </c>
      <c r="L1787">
        <v>3460317.85</v>
      </c>
      <c r="M1787">
        <v>0</v>
      </c>
      <c r="N1787">
        <v>3460317.85</v>
      </c>
      <c r="O1787">
        <v>94286.589918256126</v>
      </c>
      <c r="P1787">
        <v>146800</v>
      </c>
      <c r="Q1787">
        <v>3313517.85</v>
      </c>
      <c r="R1787">
        <v>90286.589918256126</v>
      </c>
      <c r="S1787" s="238" t="s">
        <v>137</v>
      </c>
      <c r="T1787" s="238" t="s">
        <v>1167</v>
      </c>
      <c r="V1787" t="s">
        <v>4091</v>
      </c>
      <c r="W1787" s="24">
        <v>45000</v>
      </c>
      <c r="X1787" s="238" t="s">
        <v>4291</v>
      </c>
      <c r="Y1787" s="238" t="s">
        <v>39</v>
      </c>
      <c r="Z1787" s="238" t="s">
        <v>1340</v>
      </c>
      <c r="AA1787" t="s">
        <v>3113</v>
      </c>
      <c r="AB1787" s="238" t="s">
        <v>3246</v>
      </c>
      <c r="AC1787" t="s">
        <v>3079</v>
      </c>
      <c r="AD1787" s="24"/>
      <c r="AE1787" s="238" t="s">
        <v>4292</v>
      </c>
      <c r="AF1787">
        <v>79377949089</v>
      </c>
      <c r="AG1787" s="238" t="s">
        <v>4293</v>
      </c>
      <c r="AH1787" s="238" t="s">
        <v>1212</v>
      </c>
      <c r="AI1787" s="238" t="s">
        <v>3074</v>
      </c>
      <c r="AJ1787" s="238" t="s">
        <v>4177</v>
      </c>
      <c r="AK1787" s="238" t="s">
        <v>3345</v>
      </c>
      <c r="AL1787" t="s">
        <v>8715</v>
      </c>
      <c r="AM1787" t="s">
        <v>1167</v>
      </c>
    </row>
    <row r="1788" spans="1:39" hidden="1" x14ac:dyDescent="0.25">
      <c r="A1788">
        <v>1784</v>
      </c>
      <c r="B1788">
        <v>36</v>
      </c>
      <c r="C1788" s="24">
        <v>45007</v>
      </c>
      <c r="D1788" s="238" t="s">
        <v>27</v>
      </c>
      <c r="E1788" s="238" t="s">
        <v>6</v>
      </c>
      <c r="F1788">
        <v>5</v>
      </c>
      <c r="G1788">
        <v>21</v>
      </c>
      <c r="H1788">
        <v>176</v>
      </c>
      <c r="I1788" s="238" t="s">
        <v>4052</v>
      </c>
      <c r="J1788">
        <v>24.47</v>
      </c>
      <c r="K1788" s="238" t="s">
        <v>36</v>
      </c>
      <c r="L1788">
        <v>2367180.44</v>
      </c>
      <c r="M1788">
        <v>0</v>
      </c>
      <c r="N1788">
        <v>2367180.44</v>
      </c>
      <c r="O1788">
        <v>96738.064568859831</v>
      </c>
      <c r="P1788">
        <v>0</v>
      </c>
      <c r="Q1788">
        <v>2367180.44</v>
      </c>
      <c r="R1788">
        <v>96738.064568859831</v>
      </c>
      <c r="S1788" s="238" t="s">
        <v>137</v>
      </c>
      <c r="T1788" s="238" t="s">
        <v>4185</v>
      </c>
      <c r="U1788">
        <v>205841.78</v>
      </c>
      <c r="V1788" t="s">
        <v>4092</v>
      </c>
      <c r="W1788" s="24">
        <v>45002</v>
      </c>
      <c r="X1788" s="238" t="s">
        <v>4294</v>
      </c>
      <c r="Y1788" s="238" t="s">
        <v>39</v>
      </c>
      <c r="Z1788" s="238" t="s">
        <v>1340</v>
      </c>
      <c r="AA1788" t="s">
        <v>3474</v>
      </c>
      <c r="AB1788" s="238" t="s">
        <v>3246</v>
      </c>
      <c r="AC1788" t="s">
        <v>3115</v>
      </c>
      <c r="AD1788" s="24"/>
      <c r="AE1788" s="238" t="s">
        <v>4295</v>
      </c>
      <c r="AF1788">
        <v>79277240092</v>
      </c>
      <c r="AG1788" s="238" t="s">
        <v>4296</v>
      </c>
      <c r="AH1788" s="238" t="s">
        <v>1212</v>
      </c>
      <c r="AI1788" s="238" t="s">
        <v>3084</v>
      </c>
      <c r="AJ1788" s="238" t="s">
        <v>399</v>
      </c>
      <c r="AK1788" s="238" t="s">
        <v>141</v>
      </c>
      <c r="AL1788" t="s">
        <v>8715</v>
      </c>
      <c r="AM1788" t="s">
        <v>1167</v>
      </c>
    </row>
    <row r="1789" spans="1:39" hidden="1" x14ac:dyDescent="0.25">
      <c r="A1789">
        <v>1785</v>
      </c>
      <c r="B1789">
        <v>37</v>
      </c>
      <c r="C1789" s="24">
        <v>45007</v>
      </c>
      <c r="D1789" s="238" t="s">
        <v>91</v>
      </c>
      <c r="E1789" s="238" t="s">
        <v>15</v>
      </c>
      <c r="F1789">
        <v>6</v>
      </c>
      <c r="G1789">
        <v>5</v>
      </c>
      <c r="H1789">
        <v>434</v>
      </c>
      <c r="I1789" s="238" t="s">
        <v>43</v>
      </c>
      <c r="J1789">
        <v>58.62</v>
      </c>
      <c r="K1789" s="238" t="s">
        <v>37</v>
      </c>
      <c r="L1789">
        <v>4581432.25</v>
      </c>
      <c r="M1789">
        <v>0</v>
      </c>
      <c r="N1789">
        <v>4581432.25</v>
      </c>
      <c r="O1789">
        <v>78154.763732514504</v>
      </c>
      <c r="P1789">
        <v>234480</v>
      </c>
      <c r="Q1789">
        <v>4346952.25</v>
      </c>
      <c r="R1789">
        <v>74154.763732514504</v>
      </c>
      <c r="S1789" s="238" t="s">
        <v>137</v>
      </c>
      <c r="T1789" s="238" t="s">
        <v>3538</v>
      </c>
      <c r="U1789">
        <v>134441.82</v>
      </c>
      <c r="V1789" t="s">
        <v>4092</v>
      </c>
      <c r="W1789" s="24">
        <v>45002</v>
      </c>
      <c r="X1789" s="238" t="s">
        <v>4297</v>
      </c>
      <c r="Y1789" s="238" t="s">
        <v>39</v>
      </c>
      <c r="Z1789" s="238" t="s">
        <v>1340</v>
      </c>
      <c r="AA1789" t="s">
        <v>3113</v>
      </c>
      <c r="AB1789" s="238" t="s">
        <v>3246</v>
      </c>
      <c r="AC1789" t="s">
        <v>3079</v>
      </c>
      <c r="AD1789" s="24"/>
      <c r="AE1789" s="238" t="s">
        <v>4298</v>
      </c>
      <c r="AF1789">
        <v>79370780075</v>
      </c>
      <c r="AG1789" s="238" t="s">
        <v>4299</v>
      </c>
      <c r="AH1789" s="238" t="s">
        <v>1197</v>
      </c>
      <c r="AI1789" s="238" t="s">
        <v>3096</v>
      </c>
      <c r="AJ1789" s="238" t="s">
        <v>3901</v>
      </c>
      <c r="AK1789" s="238" t="s">
        <v>141</v>
      </c>
      <c r="AL1789" t="s">
        <v>8715</v>
      </c>
      <c r="AM1789" t="s">
        <v>1167</v>
      </c>
    </row>
    <row r="1790" spans="1:39" hidden="1" x14ac:dyDescent="0.25">
      <c r="A1790">
        <v>1786</v>
      </c>
      <c r="B1790">
        <v>38</v>
      </c>
      <c r="C1790" s="24">
        <v>45007</v>
      </c>
      <c r="D1790" s="238" t="s">
        <v>91</v>
      </c>
      <c r="E1790" s="238" t="s">
        <v>15</v>
      </c>
      <c r="F1790">
        <v>6</v>
      </c>
      <c r="G1790">
        <v>7</v>
      </c>
      <c r="H1790">
        <v>452</v>
      </c>
      <c r="I1790" s="238" t="s">
        <v>43</v>
      </c>
      <c r="J1790">
        <v>58.62</v>
      </c>
      <c r="K1790" s="238" t="s">
        <v>37</v>
      </c>
      <c r="L1790">
        <v>4624049.87</v>
      </c>
      <c r="M1790">
        <v>0</v>
      </c>
      <c r="N1790">
        <v>4624049.87</v>
      </c>
      <c r="O1790">
        <v>78881.77874445582</v>
      </c>
      <c r="P1790">
        <v>234480.00000000093</v>
      </c>
      <c r="Q1790">
        <v>4389569.8699999992</v>
      </c>
      <c r="R1790">
        <v>74881.778744455805</v>
      </c>
      <c r="S1790" s="238" t="s">
        <v>137</v>
      </c>
      <c r="T1790" s="238" t="s">
        <v>3538</v>
      </c>
      <c r="U1790">
        <v>135759.89000000001</v>
      </c>
      <c r="V1790" t="s">
        <v>4092</v>
      </c>
      <c r="W1790" s="24">
        <v>45002</v>
      </c>
      <c r="X1790" s="238" t="s">
        <v>4300</v>
      </c>
      <c r="Y1790" s="238" t="s">
        <v>39</v>
      </c>
      <c r="Z1790" s="238" t="s">
        <v>1340</v>
      </c>
      <c r="AA1790" t="s">
        <v>3113</v>
      </c>
      <c r="AB1790" s="238" t="s">
        <v>3246</v>
      </c>
      <c r="AC1790" t="s">
        <v>3079</v>
      </c>
      <c r="AD1790" s="24"/>
      <c r="AE1790" s="238" t="s">
        <v>4301</v>
      </c>
      <c r="AF1790">
        <v>79370780073</v>
      </c>
      <c r="AG1790" s="238" t="s">
        <v>4302</v>
      </c>
      <c r="AH1790" s="238" t="s">
        <v>1197</v>
      </c>
      <c r="AI1790" s="238" t="s">
        <v>3096</v>
      </c>
      <c r="AJ1790" s="238" t="s">
        <v>3901</v>
      </c>
      <c r="AK1790" s="238" t="s">
        <v>141</v>
      </c>
      <c r="AL1790" t="s">
        <v>8715</v>
      </c>
      <c r="AM1790" t="s">
        <v>1167</v>
      </c>
    </row>
    <row r="1791" spans="1:39" hidden="1" x14ac:dyDescent="0.25">
      <c r="A1791">
        <v>1787</v>
      </c>
      <c r="B1791">
        <v>39</v>
      </c>
      <c r="C1791" s="24">
        <v>45008</v>
      </c>
      <c r="D1791" s="238" t="s">
        <v>27</v>
      </c>
      <c r="E1791" s="238" t="s">
        <v>6</v>
      </c>
      <c r="F1791">
        <v>5</v>
      </c>
      <c r="G1791">
        <v>24</v>
      </c>
      <c r="H1791">
        <v>203</v>
      </c>
      <c r="I1791" s="238" t="s">
        <v>4052</v>
      </c>
      <c r="J1791">
        <v>24.47</v>
      </c>
      <c r="K1791" s="238" t="s">
        <v>36</v>
      </c>
      <c r="L1791">
        <v>2513022.21</v>
      </c>
      <c r="M1791">
        <v>0</v>
      </c>
      <c r="N1791">
        <v>2513022.21</v>
      </c>
      <c r="O1791">
        <v>102698.087862689</v>
      </c>
      <c r="P1791">
        <v>0</v>
      </c>
      <c r="Q1791">
        <v>2513022.21</v>
      </c>
      <c r="R1791">
        <v>102698.087862689</v>
      </c>
      <c r="S1791" s="238" t="s">
        <v>137</v>
      </c>
      <c r="T1791" s="238" t="s">
        <v>3515</v>
      </c>
      <c r="U1791">
        <v>60000</v>
      </c>
      <c r="V1791" t="s">
        <v>4091</v>
      </c>
      <c r="W1791" s="24">
        <v>45002</v>
      </c>
      <c r="X1791" s="238" t="s">
        <v>4324</v>
      </c>
      <c r="Y1791" s="238" t="s">
        <v>39</v>
      </c>
      <c r="Z1791" s="238" t="s">
        <v>1340</v>
      </c>
      <c r="AA1791" t="s">
        <v>3113</v>
      </c>
      <c r="AB1791" s="238" t="s">
        <v>3246</v>
      </c>
      <c r="AC1791" t="s">
        <v>3079</v>
      </c>
      <c r="AD1791" s="24"/>
      <c r="AE1791" s="238" t="s">
        <v>4325</v>
      </c>
      <c r="AF1791">
        <v>79276535256</v>
      </c>
      <c r="AG1791" s="238" t="s">
        <v>4326</v>
      </c>
      <c r="AH1791" s="238" t="s">
        <v>1171</v>
      </c>
      <c r="AI1791" s="238" t="s">
        <v>3074</v>
      </c>
      <c r="AJ1791" s="238" t="s">
        <v>130</v>
      </c>
      <c r="AK1791" s="238" t="s">
        <v>3345</v>
      </c>
      <c r="AL1791" t="s">
        <v>8715</v>
      </c>
      <c r="AM1791" t="s">
        <v>1167</v>
      </c>
    </row>
    <row r="1792" spans="1:39" hidden="1" x14ac:dyDescent="0.25">
      <c r="A1792">
        <v>1788</v>
      </c>
      <c r="B1792">
        <v>40</v>
      </c>
      <c r="C1792" s="24">
        <v>45009</v>
      </c>
      <c r="D1792" s="238" t="s">
        <v>91</v>
      </c>
      <c r="E1792" s="238" t="s">
        <v>5</v>
      </c>
      <c r="F1792">
        <v>4</v>
      </c>
      <c r="G1792">
        <v>10</v>
      </c>
      <c r="H1792">
        <v>188</v>
      </c>
      <c r="I1792" s="238" t="s">
        <v>42</v>
      </c>
      <c r="J1792">
        <v>37.81</v>
      </c>
      <c r="K1792" s="238" t="s">
        <v>37</v>
      </c>
      <c r="L1792">
        <v>3564975.97</v>
      </c>
      <c r="M1792">
        <v>0</v>
      </c>
      <c r="N1792">
        <v>3564975.97</v>
      </c>
      <c r="O1792">
        <v>94286.590055540859</v>
      </c>
      <c r="P1792">
        <v>151240</v>
      </c>
      <c r="Q1792">
        <v>3413735.97</v>
      </c>
      <c r="R1792">
        <v>90286.590055540859</v>
      </c>
      <c r="S1792" s="238" t="s">
        <v>137</v>
      </c>
      <c r="T1792" s="238" t="s">
        <v>1167</v>
      </c>
      <c r="V1792" t="s">
        <v>4091</v>
      </c>
      <c r="W1792" s="24">
        <v>45006</v>
      </c>
      <c r="X1792" s="238" t="s">
        <v>4327</v>
      </c>
      <c r="Y1792" s="238" t="s">
        <v>39</v>
      </c>
      <c r="Z1792" s="238" t="s">
        <v>1340</v>
      </c>
      <c r="AA1792" t="s">
        <v>3113</v>
      </c>
      <c r="AB1792" s="238" t="s">
        <v>3246</v>
      </c>
      <c r="AC1792" t="s">
        <v>3079</v>
      </c>
      <c r="AD1792" s="24"/>
      <c r="AE1792" s="238" t="s">
        <v>6733</v>
      </c>
      <c r="AF1792">
        <v>79871553394</v>
      </c>
      <c r="AG1792" s="238" t="s">
        <v>6734</v>
      </c>
      <c r="AH1792" s="238" t="s">
        <v>1171</v>
      </c>
      <c r="AI1792" s="238" t="s">
        <v>3074</v>
      </c>
      <c r="AJ1792" s="238" t="s">
        <v>4177</v>
      </c>
      <c r="AK1792" s="238" t="s">
        <v>3345</v>
      </c>
      <c r="AL1792" t="s">
        <v>8715</v>
      </c>
      <c r="AM1792" t="s">
        <v>1167</v>
      </c>
    </row>
    <row r="1793" spans="1:39" hidden="1" x14ac:dyDescent="0.25">
      <c r="A1793">
        <v>1790</v>
      </c>
      <c r="B1793">
        <v>42</v>
      </c>
      <c r="C1793" s="24">
        <v>45015</v>
      </c>
      <c r="D1793" s="238" t="s">
        <v>27</v>
      </c>
      <c r="E1793" s="238" t="s">
        <v>6</v>
      </c>
      <c r="F1793">
        <v>5</v>
      </c>
      <c r="G1793">
        <v>23</v>
      </c>
      <c r="H1793">
        <v>194</v>
      </c>
      <c r="I1793" s="238" t="s">
        <v>4052</v>
      </c>
      <c r="J1793">
        <v>24.47</v>
      </c>
      <c r="K1793" s="238" t="s">
        <v>36</v>
      </c>
      <c r="L1793">
        <v>2573022.21</v>
      </c>
      <c r="M1793">
        <v>0</v>
      </c>
      <c r="N1793">
        <v>2573022.21</v>
      </c>
      <c r="O1793">
        <v>105150.06988148754</v>
      </c>
      <c r="P1793">
        <v>0</v>
      </c>
      <c r="Q1793">
        <v>2573022.21</v>
      </c>
      <c r="R1793">
        <v>105150.06988148754</v>
      </c>
      <c r="S1793" s="238" t="s">
        <v>137</v>
      </c>
      <c r="T1793" s="238" t="s">
        <v>1167</v>
      </c>
      <c r="V1793" t="s">
        <v>4092</v>
      </c>
      <c r="W1793" s="24">
        <v>45005</v>
      </c>
      <c r="X1793" s="238" t="s">
        <v>4331</v>
      </c>
      <c r="Y1793" s="238" t="s">
        <v>39</v>
      </c>
      <c r="Z1793" s="238" t="s">
        <v>1340</v>
      </c>
      <c r="AA1793" t="s">
        <v>3113</v>
      </c>
      <c r="AB1793" s="238" t="s">
        <v>3246</v>
      </c>
      <c r="AC1793" t="s">
        <v>3079</v>
      </c>
      <c r="AD1793" s="24"/>
      <c r="AE1793" s="238" t="s">
        <v>4332</v>
      </c>
      <c r="AF1793">
        <v>79272634063</v>
      </c>
      <c r="AG1793" s="238" t="s">
        <v>4333</v>
      </c>
      <c r="AH1793" s="238" t="s">
        <v>1171</v>
      </c>
      <c r="AI1793" s="238" t="s">
        <v>135</v>
      </c>
      <c r="AJ1793" s="238" t="s">
        <v>130</v>
      </c>
      <c r="AK1793" s="238" t="s">
        <v>3345</v>
      </c>
      <c r="AL1793" t="s">
        <v>8715</v>
      </c>
      <c r="AM1793" t="s">
        <v>1167</v>
      </c>
    </row>
    <row r="1794" spans="1:39" hidden="1" x14ac:dyDescent="0.25">
      <c r="A1794">
        <v>1791</v>
      </c>
      <c r="B1794">
        <v>43</v>
      </c>
      <c r="C1794" s="24">
        <v>45015</v>
      </c>
      <c r="D1794" s="238" t="s">
        <v>27</v>
      </c>
      <c r="E1794" s="238" t="s">
        <v>13</v>
      </c>
      <c r="F1794">
        <v>8</v>
      </c>
      <c r="G1794">
        <v>10</v>
      </c>
      <c r="H1794">
        <v>910</v>
      </c>
      <c r="I1794" s="238" t="s">
        <v>4052</v>
      </c>
      <c r="J1794">
        <v>23.09</v>
      </c>
      <c r="K1794" s="238" t="s">
        <v>36</v>
      </c>
      <c r="L1794">
        <v>2317170.17</v>
      </c>
      <c r="M1794">
        <v>0</v>
      </c>
      <c r="N1794">
        <v>2317170.17</v>
      </c>
      <c r="O1794">
        <v>100353.84019055868</v>
      </c>
      <c r="P1794">
        <v>0</v>
      </c>
      <c r="Q1794">
        <v>2317170.17</v>
      </c>
      <c r="R1794">
        <v>100353.84019055868</v>
      </c>
      <c r="S1794" s="238" t="s">
        <v>137</v>
      </c>
      <c r="T1794" s="238" t="s">
        <v>1167</v>
      </c>
      <c r="V1794" t="s">
        <v>4092</v>
      </c>
      <c r="W1794" s="24">
        <v>45010</v>
      </c>
      <c r="X1794" s="238" t="s">
        <v>4334</v>
      </c>
      <c r="Y1794" s="238" t="s">
        <v>39</v>
      </c>
      <c r="Z1794" s="238" t="s">
        <v>1340</v>
      </c>
      <c r="AA1794" t="s">
        <v>3113</v>
      </c>
      <c r="AB1794" s="238" t="s">
        <v>3246</v>
      </c>
      <c r="AC1794" t="s">
        <v>3079</v>
      </c>
      <c r="AD1794" s="24"/>
      <c r="AE1794" s="238" t="s">
        <v>4335</v>
      </c>
      <c r="AF1794">
        <v>79171465209</v>
      </c>
      <c r="AG1794" s="238" t="s">
        <v>4336</v>
      </c>
      <c r="AH1794" s="238" t="s">
        <v>1197</v>
      </c>
      <c r="AI1794" s="238" t="s">
        <v>3084</v>
      </c>
      <c r="AJ1794" s="238" t="s">
        <v>399</v>
      </c>
      <c r="AK1794" s="238" t="s">
        <v>3345</v>
      </c>
      <c r="AL1794" t="s">
        <v>8715</v>
      </c>
      <c r="AM1794" t="s">
        <v>1167</v>
      </c>
    </row>
    <row r="1795" spans="1:39" hidden="1" x14ac:dyDescent="0.25">
      <c r="A1795">
        <v>1792</v>
      </c>
      <c r="B1795">
        <v>44</v>
      </c>
      <c r="C1795" s="24">
        <v>45016</v>
      </c>
      <c r="D1795" s="238" t="s">
        <v>27</v>
      </c>
      <c r="E1795" s="238" t="s">
        <v>5</v>
      </c>
      <c r="F1795">
        <v>3</v>
      </c>
      <c r="G1795">
        <v>20</v>
      </c>
      <c r="H1795">
        <v>354</v>
      </c>
      <c r="I1795" s="238" t="s">
        <v>4052</v>
      </c>
      <c r="J1795">
        <v>23.54</v>
      </c>
      <c r="K1795" s="238" t="s">
        <v>37</v>
      </c>
      <c r="L1795">
        <v>2586783.5299999998</v>
      </c>
      <c r="M1795">
        <v>0</v>
      </c>
      <c r="N1795">
        <v>2586783.5299999998</v>
      </c>
      <c r="O1795">
        <v>109888.85004248087</v>
      </c>
      <c r="P1795">
        <v>94160</v>
      </c>
      <c r="Q1795">
        <v>2492623.5299999998</v>
      </c>
      <c r="R1795">
        <v>105888.85004248087</v>
      </c>
      <c r="S1795" s="238" t="s">
        <v>137</v>
      </c>
      <c r="T1795" s="238" t="s">
        <v>1167</v>
      </c>
      <c r="V1795" t="s">
        <v>4091</v>
      </c>
      <c r="W1795" s="24">
        <v>45005</v>
      </c>
      <c r="X1795" s="238" t="s">
        <v>4337</v>
      </c>
      <c r="Y1795" s="238" t="s">
        <v>39</v>
      </c>
      <c r="Z1795" s="238" t="s">
        <v>1340</v>
      </c>
      <c r="AA1795" t="s">
        <v>3113</v>
      </c>
      <c r="AB1795" s="238" t="s">
        <v>3246</v>
      </c>
      <c r="AC1795" t="s">
        <v>3079</v>
      </c>
      <c r="AD1795" s="24"/>
      <c r="AE1795" s="238" t="s">
        <v>4338</v>
      </c>
      <c r="AF1795">
        <v>79277476122</v>
      </c>
      <c r="AG1795" s="238" t="s">
        <v>4339</v>
      </c>
      <c r="AH1795" s="238" t="s">
        <v>1212</v>
      </c>
      <c r="AI1795" s="238" t="s">
        <v>3114</v>
      </c>
      <c r="AJ1795" s="238" t="s">
        <v>4177</v>
      </c>
      <c r="AK1795" s="238" t="s">
        <v>141</v>
      </c>
      <c r="AL1795" t="s">
        <v>8715</v>
      </c>
      <c r="AM1795" t="s">
        <v>1167</v>
      </c>
    </row>
    <row r="1796" spans="1:39" hidden="1" x14ac:dyDescent="0.25">
      <c r="A1796">
        <v>1793</v>
      </c>
      <c r="B1796">
        <v>45</v>
      </c>
      <c r="C1796" s="24">
        <v>45016</v>
      </c>
      <c r="D1796" s="238" t="s">
        <v>91</v>
      </c>
      <c r="E1796" s="238" t="s">
        <v>5</v>
      </c>
      <c r="F1796">
        <v>7</v>
      </c>
      <c r="G1796">
        <v>6</v>
      </c>
      <c r="H1796">
        <v>159</v>
      </c>
      <c r="I1796" s="238" t="s">
        <v>44</v>
      </c>
      <c r="J1796">
        <v>78.73</v>
      </c>
      <c r="K1796" s="238" t="s">
        <v>38</v>
      </c>
      <c r="L1796">
        <v>6758817.2800000003</v>
      </c>
      <c r="M1796">
        <v>0</v>
      </c>
      <c r="N1796">
        <v>6758817.2800000003</v>
      </c>
      <c r="O1796">
        <v>85848.053854947284</v>
      </c>
      <c r="P1796">
        <v>1180949.9999999991</v>
      </c>
      <c r="Q1796">
        <v>5577867.2800000012</v>
      </c>
      <c r="R1796">
        <v>70848.053854947299</v>
      </c>
      <c r="S1796" s="238" t="s">
        <v>137</v>
      </c>
      <c r="T1796" s="238" t="s">
        <v>978</v>
      </c>
      <c r="U1796">
        <v>356034.08</v>
      </c>
      <c r="V1796" t="s">
        <v>4092</v>
      </c>
      <c r="W1796" s="24">
        <v>45012</v>
      </c>
      <c r="X1796" s="238" t="s">
        <v>4340</v>
      </c>
      <c r="Y1796" s="238" t="s">
        <v>39</v>
      </c>
      <c r="Z1796" s="238" t="s">
        <v>1340</v>
      </c>
      <c r="AA1796" t="s">
        <v>3113</v>
      </c>
      <c r="AB1796" s="238" t="s">
        <v>3246</v>
      </c>
      <c r="AC1796" t="s">
        <v>3079</v>
      </c>
      <c r="AD1796" s="24"/>
      <c r="AE1796" s="238" t="s">
        <v>4341</v>
      </c>
      <c r="AF1796">
        <v>79874319562</v>
      </c>
      <c r="AG1796" s="238" t="s">
        <v>4342</v>
      </c>
      <c r="AH1796" s="238" t="s">
        <v>1171</v>
      </c>
      <c r="AI1796" s="238" t="s">
        <v>4343</v>
      </c>
      <c r="AJ1796" s="238" t="s">
        <v>4177</v>
      </c>
      <c r="AK1796" s="238" t="s">
        <v>3345</v>
      </c>
      <c r="AL1796" t="s">
        <v>8715</v>
      </c>
      <c r="AM1796" t="s">
        <v>1167</v>
      </c>
    </row>
    <row r="1797" spans="1:39" hidden="1" x14ac:dyDescent="0.25">
      <c r="A1797">
        <v>1794</v>
      </c>
      <c r="B1797">
        <v>46</v>
      </c>
      <c r="C1797" s="24">
        <v>45016</v>
      </c>
      <c r="D1797" s="238" t="s">
        <v>91</v>
      </c>
      <c r="E1797" s="238" t="s">
        <v>5</v>
      </c>
      <c r="F1797">
        <v>8</v>
      </c>
      <c r="G1797">
        <v>4</v>
      </c>
      <c r="H1797">
        <v>144</v>
      </c>
      <c r="I1797" s="238" t="s">
        <v>42</v>
      </c>
      <c r="J1797">
        <v>33.79</v>
      </c>
      <c r="K1797" s="238" t="s">
        <v>37</v>
      </c>
      <c r="L1797">
        <v>2920173.69</v>
      </c>
      <c r="M1797">
        <v>0</v>
      </c>
      <c r="N1797">
        <v>2920173.69</v>
      </c>
      <c r="O1797">
        <v>86421.239715892283</v>
      </c>
      <c r="P1797">
        <v>135160</v>
      </c>
      <c r="Q1797">
        <v>2785013.69</v>
      </c>
      <c r="R1797">
        <v>82421.239715892283</v>
      </c>
      <c r="S1797" s="238" t="s">
        <v>121</v>
      </c>
      <c r="T1797" s="238" t="s">
        <v>978</v>
      </c>
      <c r="U1797">
        <v>177766.83</v>
      </c>
      <c r="V1797" t="s">
        <v>1167</v>
      </c>
      <c r="W1797" s="24">
        <v>45013</v>
      </c>
      <c r="X1797" s="238" t="s">
        <v>4344</v>
      </c>
      <c r="Y1797" s="238" t="s">
        <v>39</v>
      </c>
      <c r="Z1797" s="238" t="s">
        <v>1340</v>
      </c>
      <c r="AA1797" t="s">
        <v>3113</v>
      </c>
      <c r="AB1797" s="238" t="s">
        <v>3246</v>
      </c>
      <c r="AC1797" t="s">
        <v>1167</v>
      </c>
      <c r="AD1797" s="24"/>
      <c r="AE1797" s="238" t="s">
        <v>4345</v>
      </c>
      <c r="AF1797">
        <v>79871532388</v>
      </c>
      <c r="AG1797" s="238" t="s">
        <v>4346</v>
      </c>
      <c r="AH1797" s="238" t="s">
        <v>1212</v>
      </c>
      <c r="AI1797" s="238" t="s">
        <v>3085</v>
      </c>
      <c r="AJ1797" s="238" t="s">
        <v>4177</v>
      </c>
      <c r="AK1797" s="238" t="s">
        <v>1167</v>
      </c>
      <c r="AL1797" t="s">
        <v>8715</v>
      </c>
      <c r="AM1797" t="s">
        <v>1167</v>
      </c>
    </row>
    <row r="1798" spans="1:39" hidden="1" x14ac:dyDescent="0.25">
      <c r="A1798">
        <v>1795</v>
      </c>
      <c r="B1798">
        <v>1</v>
      </c>
      <c r="C1798" s="24">
        <v>45017</v>
      </c>
      <c r="D1798" s="238" t="s">
        <v>91</v>
      </c>
      <c r="E1798" s="238" t="s">
        <v>15</v>
      </c>
      <c r="F1798">
        <v>5</v>
      </c>
      <c r="G1798">
        <v>6</v>
      </c>
      <c r="H1798">
        <v>442</v>
      </c>
      <c r="I1798" s="238" t="s">
        <v>43</v>
      </c>
      <c r="J1798">
        <v>56.04</v>
      </c>
      <c r="K1798" s="238" t="s">
        <v>37</v>
      </c>
      <c r="L1798">
        <v>4508317.6900000004</v>
      </c>
      <c r="M1798">
        <v>0</v>
      </c>
      <c r="N1798">
        <v>4508317.6900000004</v>
      </c>
      <c r="O1798">
        <v>80448.210028551039</v>
      </c>
      <c r="P1798">
        <v>224160</v>
      </c>
      <c r="Q1798">
        <v>4284157.6900000004</v>
      </c>
      <c r="R1798">
        <v>76448.210028551039</v>
      </c>
      <c r="S1798" s="238" t="s">
        <v>137</v>
      </c>
      <c r="T1798" s="238" t="s">
        <v>1167</v>
      </c>
      <c r="V1798" t="s">
        <v>4091</v>
      </c>
      <c r="W1798" s="24">
        <v>45006</v>
      </c>
      <c r="X1798" s="238" t="s">
        <v>4328</v>
      </c>
      <c r="Y1798" s="238" t="s">
        <v>39</v>
      </c>
      <c r="Z1798" s="238" t="s">
        <v>1340</v>
      </c>
      <c r="AA1798" t="s">
        <v>3113</v>
      </c>
      <c r="AB1798" s="238" t="s">
        <v>3246</v>
      </c>
      <c r="AC1798" t="s">
        <v>3079</v>
      </c>
      <c r="AD1798" s="24"/>
      <c r="AE1798" s="238" t="s">
        <v>4329</v>
      </c>
      <c r="AF1798">
        <v>79372152321</v>
      </c>
      <c r="AG1798" s="238" t="s">
        <v>4330</v>
      </c>
      <c r="AH1798" s="238" t="s">
        <v>1212</v>
      </c>
      <c r="AI1798" s="238" t="s">
        <v>3097</v>
      </c>
      <c r="AJ1798" s="238" t="s">
        <v>3901</v>
      </c>
      <c r="AK1798" s="238" t="s">
        <v>3345</v>
      </c>
      <c r="AL1798" t="s">
        <v>8715</v>
      </c>
      <c r="AM1798" t="s">
        <v>1167</v>
      </c>
    </row>
    <row r="1799" spans="1:39" hidden="1" x14ac:dyDescent="0.25">
      <c r="A1799">
        <v>1796</v>
      </c>
      <c r="B1799">
        <v>2</v>
      </c>
      <c r="C1799" s="24">
        <v>45019</v>
      </c>
      <c r="D1799" s="238" t="s">
        <v>91</v>
      </c>
      <c r="E1799" s="238" t="s">
        <v>5</v>
      </c>
      <c r="F1799">
        <v>5</v>
      </c>
      <c r="G1799">
        <v>12</v>
      </c>
      <c r="H1799">
        <v>205</v>
      </c>
      <c r="I1799" s="238" t="s">
        <v>42</v>
      </c>
      <c r="J1799">
        <v>36.700000000000003</v>
      </c>
      <c r="K1799" s="238" t="s">
        <v>37</v>
      </c>
      <c r="L1799">
        <v>3460317.85</v>
      </c>
      <c r="M1799">
        <v>0</v>
      </c>
      <c r="N1799">
        <v>3460317.85</v>
      </c>
      <c r="O1799">
        <v>94286.589918256126</v>
      </c>
      <c r="P1799">
        <v>146800</v>
      </c>
      <c r="Q1799">
        <v>3313517.85</v>
      </c>
      <c r="R1799">
        <v>90286.589918256126</v>
      </c>
      <c r="S1799" s="238" t="s">
        <v>137</v>
      </c>
      <c r="T1799" s="238" t="s">
        <v>1167</v>
      </c>
      <c r="V1799" t="s">
        <v>4091</v>
      </c>
      <c r="W1799" s="24">
        <v>45007</v>
      </c>
      <c r="X1799" s="238" t="s">
        <v>4347</v>
      </c>
      <c r="Y1799" s="238" t="s">
        <v>39</v>
      </c>
      <c r="Z1799" s="238" t="s">
        <v>1340</v>
      </c>
      <c r="AA1799" t="s">
        <v>3113</v>
      </c>
      <c r="AB1799" s="238" t="s">
        <v>3246</v>
      </c>
      <c r="AC1799" t="s">
        <v>3079</v>
      </c>
      <c r="AD1799" s="24"/>
      <c r="AE1799" s="238" t="s">
        <v>4348</v>
      </c>
      <c r="AF1799">
        <v>79879614575</v>
      </c>
      <c r="AG1799" s="238" t="s">
        <v>4349</v>
      </c>
      <c r="AH1799" s="238" t="s">
        <v>146</v>
      </c>
      <c r="AI1799" s="238" t="s">
        <v>135</v>
      </c>
      <c r="AJ1799" s="238" t="s">
        <v>3901</v>
      </c>
      <c r="AK1799" s="238" t="s">
        <v>141</v>
      </c>
      <c r="AL1799" t="s">
        <v>8715</v>
      </c>
      <c r="AM1799" t="s">
        <v>1167</v>
      </c>
    </row>
    <row r="1800" spans="1:39" hidden="1" x14ac:dyDescent="0.25">
      <c r="A1800">
        <v>1797</v>
      </c>
      <c r="B1800">
        <v>3</v>
      </c>
      <c r="C1800" s="24">
        <v>45019</v>
      </c>
      <c r="D1800" s="238" t="s">
        <v>91</v>
      </c>
      <c r="E1800" s="238" t="s">
        <v>5</v>
      </c>
      <c r="F1800">
        <v>7</v>
      </c>
      <c r="G1800">
        <v>12</v>
      </c>
      <c r="H1800">
        <v>207</v>
      </c>
      <c r="I1800" s="238" t="s">
        <v>44</v>
      </c>
      <c r="J1800">
        <v>78.73</v>
      </c>
      <c r="K1800" s="238" t="s">
        <v>37</v>
      </c>
      <c r="L1800">
        <v>6003948.6500000004</v>
      </c>
      <c r="M1800">
        <v>15000</v>
      </c>
      <c r="N1800">
        <v>6018948.6500000004</v>
      </c>
      <c r="O1800">
        <v>76450.509970786239</v>
      </c>
      <c r="P1800">
        <v>314920.00000000279</v>
      </c>
      <c r="Q1800">
        <v>5704028.6499999976</v>
      </c>
      <c r="R1800">
        <v>72450.509970786195</v>
      </c>
      <c r="S1800" s="238" t="s">
        <v>137</v>
      </c>
      <c r="T1800" s="238" t="s">
        <v>1167</v>
      </c>
      <c r="V1800" t="s">
        <v>4092</v>
      </c>
      <c r="W1800" s="24">
        <v>45014</v>
      </c>
      <c r="X1800" s="238" t="s">
        <v>4350</v>
      </c>
      <c r="Y1800" s="238" t="s">
        <v>39</v>
      </c>
      <c r="Z1800" s="238" t="s">
        <v>1340</v>
      </c>
      <c r="AA1800" t="s">
        <v>3113</v>
      </c>
      <c r="AB1800" s="238" t="s">
        <v>3246</v>
      </c>
      <c r="AC1800" t="s">
        <v>3079</v>
      </c>
      <c r="AD1800" s="24"/>
      <c r="AE1800" s="238" t="s">
        <v>4351</v>
      </c>
      <c r="AF1800">
        <v>79397585856</v>
      </c>
      <c r="AG1800" s="238" t="s">
        <v>4352</v>
      </c>
      <c r="AH1800" s="238" t="s">
        <v>135</v>
      </c>
      <c r="AI1800" s="238" t="s">
        <v>3099</v>
      </c>
      <c r="AJ1800" s="238" t="s">
        <v>3901</v>
      </c>
      <c r="AK1800" s="238" t="s">
        <v>141</v>
      </c>
      <c r="AL1800" t="s">
        <v>8715</v>
      </c>
      <c r="AM1800" t="s">
        <v>3663</v>
      </c>
    </row>
    <row r="1801" spans="1:39" hidden="1" x14ac:dyDescent="0.25">
      <c r="A1801">
        <v>1798</v>
      </c>
      <c r="B1801">
        <v>4</v>
      </c>
      <c r="C1801" s="24">
        <v>45020</v>
      </c>
      <c r="D1801" s="238" t="s">
        <v>27</v>
      </c>
      <c r="E1801" s="238" t="s">
        <v>16</v>
      </c>
      <c r="F1801">
        <v>1</v>
      </c>
      <c r="G1801">
        <v>1</v>
      </c>
      <c r="H1801">
        <v>8</v>
      </c>
      <c r="I1801" s="238" t="s">
        <v>3946</v>
      </c>
      <c r="J1801">
        <v>78.95</v>
      </c>
      <c r="K1801" s="238" t="s">
        <v>36</v>
      </c>
      <c r="L1801">
        <v>7795000</v>
      </c>
      <c r="M1801">
        <v>100000</v>
      </c>
      <c r="N1801">
        <v>7895000</v>
      </c>
      <c r="O1801">
        <v>100000</v>
      </c>
      <c r="P1801">
        <v>0</v>
      </c>
      <c r="Q1801">
        <v>7895000</v>
      </c>
      <c r="R1801">
        <v>100000</v>
      </c>
      <c r="S1801" s="238" t="s">
        <v>124</v>
      </c>
      <c r="T1801" s="238" t="s">
        <v>1167</v>
      </c>
      <c r="V1801" t="s">
        <v>1167</v>
      </c>
      <c r="W1801" s="24">
        <v>44988</v>
      </c>
      <c r="X1801" s="238" t="s">
        <v>4353</v>
      </c>
      <c r="Y1801" s="238" t="s">
        <v>1172</v>
      </c>
      <c r="Z1801" s="238" t="s">
        <v>1168</v>
      </c>
      <c r="AA1801" t="s">
        <v>1167</v>
      </c>
      <c r="AB1801" s="238" t="s">
        <v>3246</v>
      </c>
      <c r="AC1801" t="s">
        <v>1167</v>
      </c>
      <c r="AD1801" s="24">
        <v>45093</v>
      </c>
      <c r="AE1801" s="238" t="s">
        <v>4168</v>
      </c>
      <c r="AF1801">
        <v>79277493499</v>
      </c>
      <c r="AG1801" s="238" t="s">
        <v>1167</v>
      </c>
      <c r="AH1801" s="238" t="s">
        <v>1197</v>
      </c>
      <c r="AI1801" s="238" t="s">
        <v>3097</v>
      </c>
      <c r="AJ1801" s="238" t="s">
        <v>399</v>
      </c>
      <c r="AK1801" s="238" t="s">
        <v>1167</v>
      </c>
      <c r="AL1801" t="s">
        <v>8715</v>
      </c>
      <c r="AM1801" t="s">
        <v>1167</v>
      </c>
    </row>
    <row r="1802" spans="1:39" hidden="1" x14ac:dyDescent="0.25">
      <c r="A1802">
        <v>1799</v>
      </c>
      <c r="B1802">
        <v>5</v>
      </c>
      <c r="C1802" s="24">
        <v>45020</v>
      </c>
      <c r="D1802" s="238" t="s">
        <v>91</v>
      </c>
      <c r="E1802" s="238" t="s">
        <v>6</v>
      </c>
      <c r="F1802">
        <v>7</v>
      </c>
      <c r="G1802">
        <v>5</v>
      </c>
      <c r="H1802">
        <v>31</v>
      </c>
      <c r="I1802" s="238" t="s">
        <v>4052</v>
      </c>
      <c r="J1802">
        <v>21.75</v>
      </c>
      <c r="K1802" s="238" t="s">
        <v>38</v>
      </c>
      <c r="L1802">
        <v>2320620.17</v>
      </c>
      <c r="M1802">
        <v>0</v>
      </c>
      <c r="N1802">
        <v>2320620.17</v>
      </c>
      <c r="O1802">
        <v>106695.18022988505</v>
      </c>
      <c r="P1802">
        <v>326250</v>
      </c>
      <c r="Q1802">
        <v>1994370.17</v>
      </c>
      <c r="R1802">
        <v>91695.180229885053</v>
      </c>
      <c r="S1802" s="238" t="s">
        <v>124</v>
      </c>
      <c r="T1802" s="238" t="s">
        <v>1167</v>
      </c>
      <c r="V1802" t="s">
        <v>1167</v>
      </c>
      <c r="W1802" s="24">
        <v>45006</v>
      </c>
      <c r="X1802" s="238" t="s">
        <v>4354</v>
      </c>
      <c r="Y1802" s="238" t="s">
        <v>39</v>
      </c>
      <c r="Z1802" s="238" t="s">
        <v>1340</v>
      </c>
      <c r="AA1802" t="s">
        <v>3113</v>
      </c>
      <c r="AB1802" s="238" t="s">
        <v>3246</v>
      </c>
      <c r="AC1802" t="s">
        <v>1167</v>
      </c>
      <c r="AD1802" s="24"/>
      <c r="AE1802" s="238" t="s">
        <v>4355</v>
      </c>
      <c r="AF1802">
        <v>79272092064</v>
      </c>
      <c r="AG1802" s="238" t="s">
        <v>4356</v>
      </c>
      <c r="AH1802" s="238" t="s">
        <v>1212</v>
      </c>
      <c r="AI1802" s="238" t="s">
        <v>135</v>
      </c>
      <c r="AJ1802" s="238" t="s">
        <v>3901</v>
      </c>
      <c r="AK1802" s="238" t="s">
        <v>1167</v>
      </c>
      <c r="AL1802" t="s">
        <v>8715</v>
      </c>
      <c r="AM1802" t="s">
        <v>1167</v>
      </c>
    </row>
    <row r="1803" spans="1:39" hidden="1" x14ac:dyDescent="0.25">
      <c r="A1803">
        <v>1800</v>
      </c>
      <c r="B1803">
        <v>6</v>
      </c>
      <c r="C1803" s="24">
        <v>45020</v>
      </c>
      <c r="D1803" s="238" t="s">
        <v>91</v>
      </c>
      <c r="E1803" s="238" t="s">
        <v>15</v>
      </c>
      <c r="F1803">
        <v>5</v>
      </c>
      <c r="G1803">
        <v>2</v>
      </c>
      <c r="H1803">
        <v>406</v>
      </c>
      <c r="I1803" s="238" t="s">
        <v>43</v>
      </c>
      <c r="J1803">
        <v>56.04</v>
      </c>
      <c r="K1803" s="238" t="s">
        <v>37</v>
      </c>
      <c r="L1803">
        <v>4251663.3099999996</v>
      </c>
      <c r="M1803">
        <v>0</v>
      </c>
      <c r="N1803">
        <v>4251663.3099999996</v>
      </c>
      <c r="O1803">
        <v>75868.367416131325</v>
      </c>
      <c r="P1803">
        <v>224160</v>
      </c>
      <c r="Q1803">
        <v>4027503.3099999996</v>
      </c>
      <c r="R1803">
        <v>71868.367416131325</v>
      </c>
      <c r="S1803" s="238" t="s">
        <v>137</v>
      </c>
      <c r="T1803" s="238" t="s">
        <v>978</v>
      </c>
      <c r="U1803">
        <v>257074.68</v>
      </c>
      <c r="V1803" t="s">
        <v>4091</v>
      </c>
      <c r="W1803" s="24">
        <v>45012</v>
      </c>
      <c r="X1803" s="238" t="s">
        <v>4357</v>
      </c>
      <c r="Y1803" s="238" t="s">
        <v>39</v>
      </c>
      <c r="Z1803" s="238" t="s">
        <v>1340</v>
      </c>
      <c r="AA1803" t="s">
        <v>3113</v>
      </c>
      <c r="AB1803" s="238" t="s">
        <v>3246</v>
      </c>
      <c r="AC1803" t="s">
        <v>3079</v>
      </c>
      <c r="AD1803" s="24"/>
      <c r="AE1803" s="238" t="s">
        <v>4358</v>
      </c>
      <c r="AF1803">
        <v>79995389624</v>
      </c>
      <c r="AG1803" s="238" t="s">
        <v>4359</v>
      </c>
      <c r="AH1803" s="238" t="s">
        <v>1212</v>
      </c>
      <c r="AI1803" s="238" t="s">
        <v>3102</v>
      </c>
      <c r="AJ1803" s="238" t="s">
        <v>399</v>
      </c>
      <c r="AK1803" s="238" t="s">
        <v>3345</v>
      </c>
      <c r="AL1803" t="s">
        <v>8715</v>
      </c>
      <c r="AM1803" t="s">
        <v>1167</v>
      </c>
    </row>
    <row r="1804" spans="1:39" hidden="1" x14ac:dyDescent="0.25">
      <c r="A1804">
        <v>1801</v>
      </c>
      <c r="B1804">
        <v>7</v>
      </c>
      <c r="C1804" s="24">
        <v>45020</v>
      </c>
      <c r="D1804" s="238" t="s">
        <v>91</v>
      </c>
      <c r="E1804" s="238" t="s">
        <v>16</v>
      </c>
      <c r="F1804">
        <v>5</v>
      </c>
      <c r="G1804">
        <v>21</v>
      </c>
      <c r="H1804">
        <v>378</v>
      </c>
      <c r="I1804" s="238" t="s">
        <v>43</v>
      </c>
      <c r="J1804">
        <v>56.7</v>
      </c>
      <c r="K1804" s="238" t="s">
        <v>38</v>
      </c>
      <c r="L1804">
        <v>5473237.7999999998</v>
      </c>
      <c r="M1804">
        <v>0</v>
      </c>
      <c r="N1804">
        <v>5473237.7999999998</v>
      </c>
      <c r="O1804">
        <v>96529.767195767185</v>
      </c>
      <c r="P1804">
        <v>850500</v>
      </c>
      <c r="Q1804">
        <v>4622737.8</v>
      </c>
      <c r="R1804">
        <v>81529.767195767185</v>
      </c>
      <c r="S1804" s="238" t="s">
        <v>124</v>
      </c>
      <c r="T1804" s="238" t="s">
        <v>4360</v>
      </c>
      <c r="U1804">
        <v>94341.59</v>
      </c>
      <c r="V1804" t="s">
        <v>1167</v>
      </c>
      <c r="W1804" s="24">
        <v>45014</v>
      </c>
      <c r="X1804" s="238" t="s">
        <v>4361</v>
      </c>
      <c r="Y1804" s="238" t="s">
        <v>39</v>
      </c>
      <c r="Z1804" s="238" t="s">
        <v>1340</v>
      </c>
      <c r="AA1804" t="s">
        <v>3113</v>
      </c>
      <c r="AB1804" s="238" t="s">
        <v>3246</v>
      </c>
      <c r="AC1804" t="s">
        <v>1167</v>
      </c>
      <c r="AD1804" s="24"/>
      <c r="AE1804" s="238" t="s">
        <v>4355</v>
      </c>
      <c r="AF1804">
        <v>79272092064</v>
      </c>
      <c r="AG1804" s="238" t="s">
        <v>4356</v>
      </c>
      <c r="AH1804" s="238" t="s">
        <v>1197</v>
      </c>
      <c r="AI1804" s="238" t="s">
        <v>135</v>
      </c>
      <c r="AJ1804" s="238" t="s">
        <v>3901</v>
      </c>
      <c r="AK1804" s="238" t="s">
        <v>1167</v>
      </c>
      <c r="AL1804" t="s">
        <v>8715</v>
      </c>
      <c r="AM1804" t="s">
        <v>1167</v>
      </c>
    </row>
    <row r="1805" spans="1:39" hidden="1" x14ac:dyDescent="0.25">
      <c r="A1805">
        <v>1802</v>
      </c>
      <c r="B1805">
        <v>8</v>
      </c>
      <c r="C1805" s="24">
        <v>45021</v>
      </c>
      <c r="D1805" s="238" t="s">
        <v>91</v>
      </c>
      <c r="E1805" s="238" t="s">
        <v>16</v>
      </c>
      <c r="F1805">
        <v>3</v>
      </c>
      <c r="G1805">
        <v>5</v>
      </c>
      <c r="H1805">
        <v>264</v>
      </c>
      <c r="I1805" s="238" t="s">
        <v>4052</v>
      </c>
      <c r="J1805">
        <v>36.450000000000003</v>
      </c>
      <c r="K1805" s="238" t="s">
        <v>37</v>
      </c>
      <c r="L1805">
        <v>3245317.37</v>
      </c>
      <c r="M1805">
        <v>0</v>
      </c>
      <c r="N1805">
        <v>3245317.37</v>
      </c>
      <c r="O1805">
        <v>89034.770096021937</v>
      </c>
      <c r="P1805">
        <v>145800</v>
      </c>
      <c r="Q1805">
        <v>3099517.37</v>
      </c>
      <c r="R1805">
        <v>85034.770096021937</v>
      </c>
      <c r="S1805" s="238" t="s">
        <v>137</v>
      </c>
      <c r="T1805" s="238" t="s">
        <v>1167</v>
      </c>
      <c r="V1805" t="s">
        <v>4092</v>
      </c>
      <c r="W1805" s="24">
        <v>45014</v>
      </c>
      <c r="X1805" s="238" t="s">
        <v>4362</v>
      </c>
      <c r="Y1805" s="238" t="s">
        <v>39</v>
      </c>
      <c r="Z1805" s="238" t="s">
        <v>1340</v>
      </c>
      <c r="AA1805" t="s">
        <v>3113</v>
      </c>
      <c r="AB1805" s="238" t="s">
        <v>3246</v>
      </c>
      <c r="AC1805" t="s">
        <v>3079</v>
      </c>
      <c r="AD1805" s="24"/>
      <c r="AE1805" s="238" t="s">
        <v>4363</v>
      </c>
      <c r="AF1805">
        <v>79851410391</v>
      </c>
      <c r="AG1805" s="238" t="s">
        <v>4364</v>
      </c>
      <c r="AH1805" s="238" t="s">
        <v>1171</v>
      </c>
      <c r="AI1805" s="238" t="s">
        <v>3074</v>
      </c>
      <c r="AJ1805" s="238" t="s">
        <v>130</v>
      </c>
      <c r="AK1805" s="238" t="s">
        <v>141</v>
      </c>
      <c r="AL1805" t="s">
        <v>8715</v>
      </c>
      <c r="AM1805" t="s">
        <v>1167</v>
      </c>
    </row>
    <row r="1806" spans="1:39" hidden="1" x14ac:dyDescent="0.25">
      <c r="A1806">
        <v>1803</v>
      </c>
      <c r="B1806">
        <v>9</v>
      </c>
      <c r="C1806" s="24">
        <v>45021</v>
      </c>
      <c r="D1806" s="238" t="s">
        <v>91</v>
      </c>
      <c r="E1806" s="238" t="s">
        <v>16</v>
      </c>
      <c r="F1806">
        <v>1</v>
      </c>
      <c r="G1806">
        <v>20</v>
      </c>
      <c r="H1806">
        <v>367</v>
      </c>
      <c r="I1806" s="238" t="s">
        <v>4052</v>
      </c>
      <c r="J1806">
        <v>29.35</v>
      </c>
      <c r="K1806" s="238" t="s">
        <v>37</v>
      </c>
      <c r="L1806">
        <v>2786144.72</v>
      </c>
      <c r="M1806">
        <v>0</v>
      </c>
      <c r="N1806">
        <v>2786144.72</v>
      </c>
      <c r="O1806">
        <v>94928.269846678028</v>
      </c>
      <c r="P1806">
        <v>117400</v>
      </c>
      <c r="Q1806">
        <v>2668744.7200000002</v>
      </c>
      <c r="R1806">
        <v>90928.269846678028</v>
      </c>
      <c r="S1806" s="238" t="s">
        <v>137</v>
      </c>
      <c r="T1806" s="238" t="s">
        <v>1167</v>
      </c>
      <c r="V1806" t="s">
        <v>4091</v>
      </c>
      <c r="W1806" s="24">
        <v>45015</v>
      </c>
      <c r="X1806" s="238" t="s">
        <v>4365</v>
      </c>
      <c r="Y1806" s="238" t="s">
        <v>39</v>
      </c>
      <c r="Z1806" s="238" t="s">
        <v>1340</v>
      </c>
      <c r="AA1806" t="s">
        <v>3113</v>
      </c>
      <c r="AB1806" s="238" t="s">
        <v>3246</v>
      </c>
      <c r="AC1806" t="s">
        <v>3079</v>
      </c>
      <c r="AD1806" s="24"/>
      <c r="AE1806" s="238" t="s">
        <v>4366</v>
      </c>
      <c r="AF1806">
        <v>79277514523</v>
      </c>
      <c r="AG1806" s="238" t="s">
        <v>4367</v>
      </c>
      <c r="AH1806" s="238" t="s">
        <v>1171</v>
      </c>
      <c r="AI1806" s="238" t="s">
        <v>3074</v>
      </c>
      <c r="AJ1806" s="238" t="s">
        <v>399</v>
      </c>
      <c r="AK1806" s="238" t="s">
        <v>3345</v>
      </c>
      <c r="AL1806" t="s">
        <v>8715</v>
      </c>
      <c r="AM1806" t="s">
        <v>1167</v>
      </c>
    </row>
    <row r="1807" spans="1:39" hidden="1" x14ac:dyDescent="0.25">
      <c r="A1807">
        <v>1804</v>
      </c>
      <c r="B1807">
        <v>10</v>
      </c>
      <c r="C1807" s="24">
        <v>45021</v>
      </c>
      <c r="D1807" s="238" t="s">
        <v>91</v>
      </c>
      <c r="E1807" s="238" t="s">
        <v>15</v>
      </c>
      <c r="F1807">
        <v>1</v>
      </c>
      <c r="G1807">
        <v>10</v>
      </c>
      <c r="H1807">
        <v>474</v>
      </c>
      <c r="I1807" s="238" t="s">
        <v>42</v>
      </c>
      <c r="J1807">
        <v>39.74</v>
      </c>
      <c r="K1807" s="238" t="s">
        <v>37</v>
      </c>
      <c r="L1807">
        <v>3683139.09</v>
      </c>
      <c r="M1807">
        <v>0</v>
      </c>
      <c r="N1807">
        <v>3683139.09</v>
      </c>
      <c r="O1807">
        <v>92680.90312028183</v>
      </c>
      <c r="P1807">
        <v>158960</v>
      </c>
      <c r="Q1807">
        <v>3524179.09</v>
      </c>
      <c r="R1807">
        <v>88680.90312028183</v>
      </c>
      <c r="S1807" s="238" t="s">
        <v>124</v>
      </c>
      <c r="T1807" s="238" t="s">
        <v>3566</v>
      </c>
      <c r="U1807">
        <v>30000</v>
      </c>
      <c r="V1807" t="s">
        <v>1167</v>
      </c>
      <c r="W1807" s="24">
        <v>45020</v>
      </c>
      <c r="X1807" s="238" t="s">
        <v>4368</v>
      </c>
      <c r="Y1807" s="238" t="s">
        <v>39</v>
      </c>
      <c r="Z1807" s="238" t="s">
        <v>1340</v>
      </c>
      <c r="AA1807" t="s">
        <v>3113</v>
      </c>
      <c r="AB1807" s="238" t="s">
        <v>3246</v>
      </c>
      <c r="AC1807" t="s">
        <v>1167</v>
      </c>
      <c r="AD1807" s="24"/>
      <c r="AE1807" s="238" t="s">
        <v>4369</v>
      </c>
      <c r="AF1807">
        <v>79377911845</v>
      </c>
      <c r="AG1807" s="238" t="s">
        <v>4370</v>
      </c>
      <c r="AH1807" s="238" t="s">
        <v>1171</v>
      </c>
      <c r="AI1807" s="238" t="s">
        <v>3074</v>
      </c>
      <c r="AJ1807" s="238" t="s">
        <v>399</v>
      </c>
      <c r="AK1807" s="238" t="s">
        <v>1167</v>
      </c>
      <c r="AL1807" t="s">
        <v>8715</v>
      </c>
      <c r="AM1807" t="s">
        <v>1167</v>
      </c>
    </row>
    <row r="1808" spans="1:39" hidden="1" x14ac:dyDescent="0.25">
      <c r="A1808">
        <v>1805</v>
      </c>
      <c r="B1808">
        <v>11</v>
      </c>
      <c r="C1808" s="24">
        <v>45022</v>
      </c>
      <c r="D1808" s="238" t="s">
        <v>91</v>
      </c>
      <c r="E1808" s="238" t="s">
        <v>5</v>
      </c>
      <c r="F1808">
        <v>3</v>
      </c>
      <c r="G1808">
        <v>7</v>
      </c>
      <c r="H1808">
        <v>163</v>
      </c>
      <c r="I1808" s="238" t="s">
        <v>42</v>
      </c>
      <c r="J1808">
        <v>35.380000000000003</v>
      </c>
      <c r="K1808" s="238" t="s">
        <v>37</v>
      </c>
      <c r="L1808">
        <v>3336781.2</v>
      </c>
      <c r="M1808">
        <v>0</v>
      </c>
      <c r="N1808">
        <v>3336781.2</v>
      </c>
      <c r="O1808">
        <v>94312.639909553414</v>
      </c>
      <c r="P1808">
        <v>141520.00000000047</v>
      </c>
      <c r="Q1808">
        <v>3195261.1999999997</v>
      </c>
      <c r="R1808">
        <v>90312.6399095534</v>
      </c>
      <c r="S1808" s="238" t="s">
        <v>137</v>
      </c>
      <c r="T1808" s="238" t="s">
        <v>1167</v>
      </c>
      <c r="V1808" t="s">
        <v>4091</v>
      </c>
      <c r="W1808" s="24">
        <v>45016</v>
      </c>
      <c r="X1808" s="238" t="s">
        <v>4371</v>
      </c>
      <c r="Y1808" s="238" t="s">
        <v>39</v>
      </c>
      <c r="Z1808" s="238" t="s">
        <v>1340</v>
      </c>
      <c r="AA1808" t="s">
        <v>3113</v>
      </c>
      <c r="AB1808" s="238" t="s">
        <v>3246</v>
      </c>
      <c r="AC1808" t="s">
        <v>3079</v>
      </c>
      <c r="AD1808" s="24"/>
      <c r="AE1808" s="238" t="s">
        <v>4372</v>
      </c>
      <c r="AF1808">
        <v>79379965400</v>
      </c>
      <c r="AG1808" s="238" t="s">
        <v>4373</v>
      </c>
      <c r="AH1808" s="238" t="s">
        <v>1171</v>
      </c>
      <c r="AI1808" s="238" t="s">
        <v>3074</v>
      </c>
      <c r="AJ1808" s="238" t="s">
        <v>399</v>
      </c>
      <c r="AK1808" s="238" t="s">
        <v>3345</v>
      </c>
      <c r="AL1808" t="s">
        <v>8715</v>
      </c>
      <c r="AM1808" t="s">
        <v>1167</v>
      </c>
    </row>
    <row r="1809" spans="1:39" hidden="1" x14ac:dyDescent="0.25">
      <c r="A1809">
        <v>1806</v>
      </c>
      <c r="B1809">
        <v>12</v>
      </c>
      <c r="C1809" s="24">
        <v>45022</v>
      </c>
      <c r="D1809" s="238" t="s">
        <v>91</v>
      </c>
      <c r="E1809" s="238" t="s">
        <v>5</v>
      </c>
      <c r="F1809">
        <v>1</v>
      </c>
      <c r="G1809">
        <v>14</v>
      </c>
      <c r="H1809">
        <v>217</v>
      </c>
      <c r="I1809" s="238" t="s">
        <v>4052</v>
      </c>
      <c r="J1809">
        <v>28.97</v>
      </c>
      <c r="K1809" s="238" t="s">
        <v>36</v>
      </c>
      <c r="L1809">
        <v>2419066.5699999998</v>
      </c>
      <c r="M1809">
        <v>0</v>
      </c>
      <c r="N1809">
        <v>2419066.5699999998</v>
      </c>
      <c r="O1809">
        <v>83502.470486710386</v>
      </c>
      <c r="P1809">
        <v>0</v>
      </c>
      <c r="Q1809">
        <v>2419066.5699999998</v>
      </c>
      <c r="R1809">
        <v>83502.470486710386</v>
      </c>
      <c r="S1809" s="238" t="s">
        <v>124</v>
      </c>
      <c r="T1809" s="238" t="s">
        <v>324</v>
      </c>
      <c r="U1809">
        <v>20000</v>
      </c>
      <c r="V1809" t="s">
        <v>1167</v>
      </c>
      <c r="W1809" s="24">
        <v>45019</v>
      </c>
      <c r="X1809" s="238" t="s">
        <v>4374</v>
      </c>
      <c r="Y1809" s="238" t="s">
        <v>39</v>
      </c>
      <c r="Z1809" s="238" t="s">
        <v>1340</v>
      </c>
      <c r="AA1809" t="s">
        <v>3113</v>
      </c>
      <c r="AB1809" s="238" t="s">
        <v>3246</v>
      </c>
      <c r="AC1809" t="s">
        <v>1167</v>
      </c>
      <c r="AD1809" s="24"/>
      <c r="AE1809" s="238" t="s">
        <v>4375</v>
      </c>
      <c r="AF1809">
        <v>79270156747</v>
      </c>
      <c r="AG1809" s="238" t="s">
        <v>4376</v>
      </c>
      <c r="AH1809" s="238" t="s">
        <v>1212</v>
      </c>
      <c r="AI1809" s="238" t="s">
        <v>3097</v>
      </c>
      <c r="AJ1809" s="238" t="s">
        <v>399</v>
      </c>
      <c r="AK1809" s="238" t="s">
        <v>1167</v>
      </c>
      <c r="AL1809" t="s">
        <v>8715</v>
      </c>
      <c r="AM1809" t="s">
        <v>1167</v>
      </c>
    </row>
    <row r="1810" spans="1:39" hidden="1" x14ac:dyDescent="0.25">
      <c r="A1810">
        <v>1807</v>
      </c>
      <c r="B1810">
        <v>13</v>
      </c>
      <c r="C1810" s="24">
        <v>45022</v>
      </c>
      <c r="D1810" s="238" t="s">
        <v>91</v>
      </c>
      <c r="E1810" s="238" t="s">
        <v>6</v>
      </c>
      <c r="F1810">
        <v>6</v>
      </c>
      <c r="G1810">
        <v>11</v>
      </c>
      <c r="H1810">
        <v>78</v>
      </c>
      <c r="I1810" s="238" t="s">
        <v>43</v>
      </c>
      <c r="J1810">
        <v>59.87</v>
      </c>
      <c r="K1810" s="238" t="s">
        <v>37</v>
      </c>
      <c r="L1810">
        <v>5084009.53</v>
      </c>
      <c r="M1810">
        <v>0</v>
      </c>
      <c r="N1810">
        <v>5084009.53</v>
      </c>
      <c r="O1810">
        <v>84917.48004008687</v>
      </c>
      <c r="P1810">
        <v>239480</v>
      </c>
      <c r="Q1810">
        <v>4844529.53</v>
      </c>
      <c r="R1810">
        <v>80917.48004008687</v>
      </c>
      <c r="S1810" s="238" t="s">
        <v>137</v>
      </c>
      <c r="T1810" s="238" t="s">
        <v>60</v>
      </c>
      <c r="U1810">
        <v>239480</v>
      </c>
      <c r="V1810" t="s">
        <v>4092</v>
      </c>
      <c r="W1810" s="24">
        <v>45019</v>
      </c>
      <c r="X1810" s="238" t="s">
        <v>4377</v>
      </c>
      <c r="Y1810" s="238" t="s">
        <v>39</v>
      </c>
      <c r="Z1810" s="238" t="s">
        <v>1340</v>
      </c>
      <c r="AA1810" t="s">
        <v>3113</v>
      </c>
      <c r="AB1810" s="238" t="s">
        <v>3246</v>
      </c>
      <c r="AC1810" t="s">
        <v>3079</v>
      </c>
      <c r="AD1810" s="24"/>
      <c r="AE1810" s="238" t="s">
        <v>4378</v>
      </c>
      <c r="AF1810">
        <v>79825199869</v>
      </c>
      <c r="AG1810" s="238" t="s">
        <v>4379</v>
      </c>
      <c r="AH1810" s="238" t="s">
        <v>1171</v>
      </c>
      <c r="AI1810" s="238" t="s">
        <v>3514</v>
      </c>
      <c r="AJ1810" s="238" t="s">
        <v>4177</v>
      </c>
      <c r="AK1810" s="238" t="s">
        <v>141</v>
      </c>
      <c r="AL1810" t="s">
        <v>8715</v>
      </c>
      <c r="AM1810" t="s">
        <v>1167</v>
      </c>
    </row>
    <row r="1811" spans="1:39" hidden="1" x14ac:dyDescent="0.25">
      <c r="A1811">
        <v>1808</v>
      </c>
      <c r="B1811">
        <v>14</v>
      </c>
      <c r="C1811" s="24">
        <v>45023</v>
      </c>
      <c r="D1811" s="238" t="s">
        <v>91</v>
      </c>
      <c r="E1811" s="238" t="s">
        <v>15</v>
      </c>
      <c r="F1811">
        <v>3</v>
      </c>
      <c r="G1811">
        <v>10</v>
      </c>
      <c r="H1811">
        <v>476</v>
      </c>
      <c r="I1811" s="238" t="s">
        <v>44</v>
      </c>
      <c r="J1811">
        <v>74.28</v>
      </c>
      <c r="K1811" s="238" t="s">
        <v>37</v>
      </c>
      <c r="L1811">
        <v>5902678.0300000003</v>
      </c>
      <c r="M1811">
        <v>0</v>
      </c>
      <c r="N1811">
        <v>5902678.0300000003</v>
      </c>
      <c r="O1811">
        <v>79465.240037695214</v>
      </c>
      <c r="P1811">
        <v>297120</v>
      </c>
      <c r="Q1811">
        <v>5605558.0300000003</v>
      </c>
      <c r="R1811">
        <v>75465.240037695214</v>
      </c>
      <c r="S1811" s="238" t="s">
        <v>137</v>
      </c>
      <c r="T1811" s="238" t="s">
        <v>1167</v>
      </c>
      <c r="V1811" t="s">
        <v>4092</v>
      </c>
      <c r="W1811" s="24">
        <v>45014</v>
      </c>
      <c r="X1811" s="238" t="s">
        <v>4380</v>
      </c>
      <c r="Y1811" s="238" t="s">
        <v>39</v>
      </c>
      <c r="Z1811" s="238" t="s">
        <v>1340</v>
      </c>
      <c r="AA1811" t="s">
        <v>3113</v>
      </c>
      <c r="AB1811" s="238" t="s">
        <v>3246</v>
      </c>
      <c r="AC1811" t="s">
        <v>3079</v>
      </c>
      <c r="AD1811" s="24"/>
      <c r="AE1811" s="238" t="s">
        <v>4381</v>
      </c>
      <c r="AF1811">
        <v>79279117808</v>
      </c>
      <c r="AG1811" s="238" t="s">
        <v>4382</v>
      </c>
      <c r="AH1811" s="238" t="s">
        <v>1171</v>
      </c>
      <c r="AI1811" s="238" t="s">
        <v>3072</v>
      </c>
      <c r="AJ1811" s="238" t="s">
        <v>130</v>
      </c>
      <c r="AK1811" s="238" t="s">
        <v>141</v>
      </c>
      <c r="AL1811" t="s">
        <v>8715</v>
      </c>
      <c r="AM1811" t="s">
        <v>1167</v>
      </c>
    </row>
    <row r="1812" spans="1:39" hidden="1" x14ac:dyDescent="0.25">
      <c r="A1812">
        <v>1809</v>
      </c>
      <c r="B1812">
        <v>15</v>
      </c>
      <c r="C1812" s="24">
        <v>45023</v>
      </c>
      <c r="D1812" s="238" t="s">
        <v>91</v>
      </c>
      <c r="E1812" s="238" t="s">
        <v>16</v>
      </c>
      <c r="F1812">
        <v>1</v>
      </c>
      <c r="G1812">
        <v>11</v>
      </c>
      <c r="H1812">
        <v>304</v>
      </c>
      <c r="I1812" s="238" t="s">
        <v>4052</v>
      </c>
      <c r="J1812">
        <v>29.35</v>
      </c>
      <c r="K1812" s="238" t="s">
        <v>37</v>
      </c>
      <c r="L1812">
        <v>2588459.85</v>
      </c>
      <c r="M1812">
        <v>0</v>
      </c>
      <c r="N1812">
        <v>2588459.85</v>
      </c>
      <c r="O1812">
        <v>88192.839863713802</v>
      </c>
      <c r="P1812">
        <v>117400</v>
      </c>
      <c r="Q1812">
        <v>2471059.85</v>
      </c>
      <c r="R1812">
        <v>84192.839863713802</v>
      </c>
      <c r="S1812" s="238" t="s">
        <v>137</v>
      </c>
      <c r="T1812" s="238" t="s">
        <v>1167</v>
      </c>
      <c r="V1812" t="s">
        <v>4091</v>
      </c>
      <c r="W1812" s="24">
        <v>45016</v>
      </c>
      <c r="X1812" s="238" t="s">
        <v>4383</v>
      </c>
      <c r="Y1812" s="238" t="s">
        <v>39</v>
      </c>
      <c r="Z1812" s="238" t="s">
        <v>1340</v>
      </c>
      <c r="AA1812" t="s">
        <v>3474</v>
      </c>
      <c r="AB1812" s="238" t="s">
        <v>3246</v>
      </c>
      <c r="AC1812" t="s">
        <v>3104</v>
      </c>
      <c r="AD1812" s="24"/>
      <c r="AE1812" s="238" t="s">
        <v>4384</v>
      </c>
      <c r="AF1812">
        <v>79370703798</v>
      </c>
      <c r="AG1812" s="238" t="s">
        <v>4385</v>
      </c>
      <c r="AH1812" s="238" t="s">
        <v>1212</v>
      </c>
      <c r="AI1812" s="238" t="s">
        <v>135</v>
      </c>
      <c r="AJ1812" s="238" t="s">
        <v>130</v>
      </c>
      <c r="AK1812" s="238" t="s">
        <v>141</v>
      </c>
      <c r="AL1812" t="s">
        <v>8715</v>
      </c>
      <c r="AM1812" t="s">
        <v>1167</v>
      </c>
    </row>
    <row r="1813" spans="1:39" hidden="1" x14ac:dyDescent="0.25">
      <c r="A1813">
        <v>1810</v>
      </c>
      <c r="B1813">
        <v>16</v>
      </c>
      <c r="C1813" s="24">
        <v>45026</v>
      </c>
      <c r="D1813" s="238" t="s">
        <v>91</v>
      </c>
      <c r="E1813" s="238" t="s">
        <v>6</v>
      </c>
      <c r="F1813">
        <v>4</v>
      </c>
      <c r="G1813">
        <v>3</v>
      </c>
      <c r="H1813">
        <v>12</v>
      </c>
      <c r="I1813" s="238" t="s">
        <v>43</v>
      </c>
      <c r="J1813">
        <v>56.03</v>
      </c>
      <c r="K1813" s="238" t="s">
        <v>37</v>
      </c>
      <c r="L1813">
        <v>4550347.58</v>
      </c>
      <c r="M1813">
        <v>0</v>
      </c>
      <c r="N1813">
        <v>4550347.58</v>
      </c>
      <c r="O1813">
        <v>81212.699982152422</v>
      </c>
      <c r="P1813">
        <v>224120</v>
      </c>
      <c r="Q1813">
        <v>4326227.58</v>
      </c>
      <c r="R1813">
        <v>77212.699982152422</v>
      </c>
      <c r="S1813" s="238" t="s">
        <v>124</v>
      </c>
      <c r="T1813" s="238" t="s">
        <v>1167</v>
      </c>
      <c r="V1813" t="s">
        <v>1167</v>
      </c>
      <c r="W1813" s="24">
        <v>45020</v>
      </c>
      <c r="X1813" s="238" t="s">
        <v>4387</v>
      </c>
      <c r="Y1813" s="238" t="s">
        <v>39</v>
      </c>
      <c r="Z1813" s="238" t="s">
        <v>1340</v>
      </c>
      <c r="AA1813" t="s">
        <v>3113</v>
      </c>
      <c r="AB1813" s="238" t="s">
        <v>3246</v>
      </c>
      <c r="AC1813" t="s">
        <v>1167</v>
      </c>
      <c r="AD1813" s="24"/>
      <c r="AE1813" s="238" t="s">
        <v>4388</v>
      </c>
      <c r="AF1813">
        <v>79198005781</v>
      </c>
      <c r="AG1813" s="238" t="s">
        <v>4389</v>
      </c>
      <c r="AH1813" s="238" t="s">
        <v>1212</v>
      </c>
      <c r="AI1813" s="238" t="s">
        <v>135</v>
      </c>
      <c r="AJ1813" s="238" t="s">
        <v>399</v>
      </c>
      <c r="AK1813" s="238" t="s">
        <v>1167</v>
      </c>
      <c r="AL1813" t="s">
        <v>8715</v>
      </c>
      <c r="AM1813" t="s">
        <v>1167</v>
      </c>
    </row>
    <row r="1814" spans="1:39" hidden="1" x14ac:dyDescent="0.25">
      <c r="A1814">
        <v>1811</v>
      </c>
      <c r="B1814">
        <v>17</v>
      </c>
      <c r="C1814" s="24">
        <v>45027</v>
      </c>
      <c r="D1814" s="238" t="s">
        <v>91</v>
      </c>
      <c r="E1814" s="238" t="s">
        <v>5</v>
      </c>
      <c r="F1814">
        <v>6</v>
      </c>
      <c r="G1814">
        <v>10</v>
      </c>
      <c r="H1814">
        <v>190</v>
      </c>
      <c r="I1814" s="238" t="s">
        <v>42</v>
      </c>
      <c r="J1814">
        <v>36.659999999999997</v>
      </c>
      <c r="K1814" s="238" t="s">
        <v>37</v>
      </c>
      <c r="L1814">
        <v>3489645.6</v>
      </c>
      <c r="M1814">
        <v>0</v>
      </c>
      <c r="N1814">
        <v>3489645.6</v>
      </c>
      <c r="O1814">
        <v>95189.459901800336</v>
      </c>
      <c r="P1814">
        <v>146640</v>
      </c>
      <c r="Q1814">
        <v>3343005.6</v>
      </c>
      <c r="R1814">
        <v>91189.459901800336</v>
      </c>
      <c r="S1814" s="238" t="s">
        <v>137</v>
      </c>
      <c r="T1814" s="238" t="s">
        <v>1167</v>
      </c>
      <c r="V1814" t="s">
        <v>4092</v>
      </c>
      <c r="W1814" s="24">
        <v>45019</v>
      </c>
      <c r="X1814" s="238" t="s">
        <v>4390</v>
      </c>
      <c r="Y1814" s="238" t="s">
        <v>39</v>
      </c>
      <c r="Z1814" s="238" t="s">
        <v>1340</v>
      </c>
      <c r="AA1814" t="s">
        <v>3113</v>
      </c>
      <c r="AB1814" s="238" t="s">
        <v>3246</v>
      </c>
      <c r="AC1814" t="s">
        <v>3079</v>
      </c>
      <c r="AD1814" s="24"/>
      <c r="AE1814" s="238" t="s">
        <v>4391</v>
      </c>
      <c r="AF1814">
        <v>79277231030</v>
      </c>
      <c r="AG1814" s="238" t="s">
        <v>4392</v>
      </c>
      <c r="AH1814" s="238" t="s">
        <v>1171</v>
      </c>
      <c r="AI1814" s="238" t="s">
        <v>3074</v>
      </c>
      <c r="AJ1814" s="238" t="s">
        <v>3901</v>
      </c>
      <c r="AK1814" s="238" t="s">
        <v>3345</v>
      </c>
      <c r="AL1814" t="s">
        <v>8715</v>
      </c>
      <c r="AM1814" t="s">
        <v>1167</v>
      </c>
    </row>
    <row r="1815" spans="1:39" hidden="1" x14ac:dyDescent="0.25">
      <c r="A1815">
        <v>1812</v>
      </c>
      <c r="B1815">
        <v>18</v>
      </c>
      <c r="C1815" s="24">
        <v>45027</v>
      </c>
      <c r="D1815" s="238" t="s">
        <v>91</v>
      </c>
      <c r="E1815" s="238" t="s">
        <v>15</v>
      </c>
      <c r="F1815">
        <v>5</v>
      </c>
      <c r="G1815">
        <v>10</v>
      </c>
      <c r="H1815">
        <v>478</v>
      </c>
      <c r="I1815" s="238" t="s">
        <v>43</v>
      </c>
      <c r="J1815">
        <v>56.04</v>
      </c>
      <c r="K1815" s="238" t="s">
        <v>37</v>
      </c>
      <c r="L1815">
        <v>4551159.71</v>
      </c>
      <c r="M1815">
        <v>0</v>
      </c>
      <c r="N1815">
        <v>4551159.71</v>
      </c>
      <c r="O1815">
        <v>81212.700035688787</v>
      </c>
      <c r="P1815">
        <v>224160</v>
      </c>
      <c r="Q1815">
        <v>4326999.71</v>
      </c>
      <c r="R1815">
        <v>77212.700035688787</v>
      </c>
      <c r="S1815" s="238" t="s">
        <v>137</v>
      </c>
      <c r="T1815" s="238" t="s">
        <v>1167</v>
      </c>
      <c r="V1815" t="s">
        <v>4092</v>
      </c>
      <c r="W1815" s="24">
        <v>45019</v>
      </c>
      <c r="X1815" s="238" t="s">
        <v>4393</v>
      </c>
      <c r="Y1815" s="238" t="s">
        <v>39</v>
      </c>
      <c r="Z1815" s="238" t="s">
        <v>1340</v>
      </c>
      <c r="AA1815" t="s">
        <v>3113</v>
      </c>
      <c r="AB1815" s="238" t="s">
        <v>3246</v>
      </c>
      <c r="AC1815" t="s">
        <v>3079</v>
      </c>
      <c r="AD1815" s="24"/>
      <c r="AE1815" s="238" t="s">
        <v>4394</v>
      </c>
      <c r="AF1815">
        <v>79277011709</v>
      </c>
      <c r="AG1815" s="238" t="s">
        <v>4395</v>
      </c>
      <c r="AH1815" s="238" t="s">
        <v>1171</v>
      </c>
      <c r="AI1815" s="238" t="s">
        <v>3074</v>
      </c>
      <c r="AJ1815" s="238" t="s">
        <v>399</v>
      </c>
      <c r="AK1815" s="238" t="s">
        <v>3345</v>
      </c>
      <c r="AL1815" t="s">
        <v>8715</v>
      </c>
      <c r="AM1815" t="s">
        <v>1167</v>
      </c>
    </row>
    <row r="1816" spans="1:39" hidden="1" x14ac:dyDescent="0.25">
      <c r="A1816">
        <v>1813</v>
      </c>
      <c r="B1816">
        <v>19</v>
      </c>
      <c r="C1816" s="24">
        <v>45028</v>
      </c>
      <c r="D1816" s="238" t="s">
        <v>91</v>
      </c>
      <c r="E1816" s="238" t="s">
        <v>16</v>
      </c>
      <c r="F1816">
        <v>4</v>
      </c>
      <c r="G1816">
        <v>7</v>
      </c>
      <c r="H1816">
        <v>279</v>
      </c>
      <c r="I1816" s="238" t="s">
        <v>43</v>
      </c>
      <c r="J1816">
        <v>58.55</v>
      </c>
      <c r="K1816" s="238" t="s">
        <v>37</v>
      </c>
      <c r="L1816">
        <v>4664587.5199999996</v>
      </c>
      <c r="M1816">
        <v>0</v>
      </c>
      <c r="N1816">
        <v>4664587.5199999996</v>
      </c>
      <c r="O1816">
        <v>79668.44611443211</v>
      </c>
      <c r="P1816">
        <v>234200</v>
      </c>
      <c r="Q1816">
        <v>4430387.5199999996</v>
      </c>
      <c r="R1816">
        <v>75668.44611443211</v>
      </c>
      <c r="S1816" s="238" t="s">
        <v>137</v>
      </c>
      <c r="T1816" s="238" t="s">
        <v>321</v>
      </c>
      <c r="U1816">
        <v>90416.07</v>
      </c>
      <c r="V1816" t="s">
        <v>4092</v>
      </c>
      <c r="W1816" s="24">
        <v>45019</v>
      </c>
      <c r="X1816" s="238" t="s">
        <v>4402</v>
      </c>
      <c r="Y1816" s="238" t="s">
        <v>39</v>
      </c>
      <c r="Z1816" s="238" t="s">
        <v>1340</v>
      </c>
      <c r="AA1816" t="s">
        <v>3113</v>
      </c>
      <c r="AB1816" s="238" t="s">
        <v>3246</v>
      </c>
      <c r="AC1816" t="s">
        <v>3079</v>
      </c>
      <c r="AD1816" s="24"/>
      <c r="AE1816" s="238" t="s">
        <v>4403</v>
      </c>
      <c r="AF1816">
        <v>79370780074</v>
      </c>
      <c r="AG1816" s="238" t="s">
        <v>4404</v>
      </c>
      <c r="AH1816" s="238" t="s">
        <v>1212</v>
      </c>
      <c r="AI1816" s="238" t="s">
        <v>3084</v>
      </c>
      <c r="AJ1816" s="238" t="s">
        <v>399</v>
      </c>
      <c r="AK1816" s="238" t="s">
        <v>141</v>
      </c>
      <c r="AL1816" t="s">
        <v>8715</v>
      </c>
      <c r="AM1816" t="s">
        <v>1167</v>
      </c>
    </row>
    <row r="1817" spans="1:39" hidden="1" x14ac:dyDescent="0.25">
      <c r="A1817">
        <v>1814</v>
      </c>
      <c r="B1817">
        <v>20</v>
      </c>
      <c r="C1817" s="24">
        <v>45028</v>
      </c>
      <c r="D1817" s="238" t="s">
        <v>91</v>
      </c>
      <c r="E1817" s="238" t="s">
        <v>6</v>
      </c>
      <c r="F1817">
        <v>3</v>
      </c>
      <c r="G1817">
        <v>7</v>
      </c>
      <c r="H1817">
        <v>43</v>
      </c>
      <c r="I1817" s="238" t="s">
        <v>42</v>
      </c>
      <c r="J1817">
        <v>35.54</v>
      </c>
      <c r="K1817" s="238" t="s">
        <v>38</v>
      </c>
      <c r="L1817">
        <v>3616292.23</v>
      </c>
      <c r="M1817">
        <v>0</v>
      </c>
      <c r="N1817">
        <v>3616292.23</v>
      </c>
      <c r="O1817">
        <v>101752.73579065842</v>
      </c>
      <c r="P1817">
        <v>533100</v>
      </c>
      <c r="Q1817">
        <v>3083192.23</v>
      </c>
      <c r="R1817">
        <v>86752.735790658407</v>
      </c>
      <c r="S1817" s="238" t="s">
        <v>124</v>
      </c>
      <c r="T1817" s="238" t="s">
        <v>3540</v>
      </c>
      <c r="U1817">
        <v>95356.46</v>
      </c>
      <c r="V1817" t="s">
        <v>1167</v>
      </c>
      <c r="W1817" s="24">
        <v>45022</v>
      </c>
      <c r="X1817" s="238" t="s">
        <v>4405</v>
      </c>
      <c r="Y1817" s="238" t="s">
        <v>39</v>
      </c>
      <c r="Z1817" s="238" t="s">
        <v>1168</v>
      </c>
      <c r="AA1817" t="s">
        <v>1167</v>
      </c>
      <c r="AB1817" s="238" t="s">
        <v>3246</v>
      </c>
      <c r="AC1817" t="s">
        <v>1167</v>
      </c>
      <c r="AD1817" s="24"/>
      <c r="AE1817" s="238" t="s">
        <v>4406</v>
      </c>
      <c r="AF1817">
        <v>77775634617</v>
      </c>
      <c r="AG1817" s="238" t="s">
        <v>4407</v>
      </c>
      <c r="AH1817" s="238" t="s">
        <v>1212</v>
      </c>
      <c r="AI1817" s="238" t="s">
        <v>3097</v>
      </c>
      <c r="AJ1817" s="238" t="s">
        <v>399</v>
      </c>
      <c r="AK1817" s="238" t="s">
        <v>1167</v>
      </c>
      <c r="AL1817" t="s">
        <v>8715</v>
      </c>
      <c r="AM1817" t="s">
        <v>1167</v>
      </c>
    </row>
    <row r="1818" spans="1:39" hidden="1" x14ac:dyDescent="0.25">
      <c r="A1818">
        <v>1815</v>
      </c>
      <c r="B1818">
        <v>21</v>
      </c>
      <c r="C1818" s="24">
        <v>45029</v>
      </c>
      <c r="D1818" s="238" t="s">
        <v>91</v>
      </c>
      <c r="E1818" s="238" t="s">
        <v>16</v>
      </c>
      <c r="F1818">
        <v>4</v>
      </c>
      <c r="G1818">
        <v>8</v>
      </c>
      <c r="H1818">
        <v>286</v>
      </c>
      <c r="I1818" s="238" t="s">
        <v>43</v>
      </c>
      <c r="J1818">
        <v>58.55</v>
      </c>
      <c r="K1818" s="238" t="s">
        <v>37</v>
      </c>
      <c r="L1818">
        <v>4525417.2699999996</v>
      </c>
      <c r="M1818">
        <v>0</v>
      </c>
      <c r="N1818">
        <v>4525417.2699999996</v>
      </c>
      <c r="O1818">
        <v>77291.499060631933</v>
      </c>
      <c r="P1818">
        <v>234200</v>
      </c>
      <c r="Q1818">
        <v>4291217.2699999996</v>
      </c>
      <c r="R1818">
        <v>73291.499060631933</v>
      </c>
      <c r="S1818" s="238" t="s">
        <v>124</v>
      </c>
      <c r="T1818" s="238" t="s">
        <v>978</v>
      </c>
      <c r="U1818">
        <v>273907.49</v>
      </c>
      <c r="V1818" t="s">
        <v>1167</v>
      </c>
      <c r="W1818" s="24">
        <v>45027</v>
      </c>
      <c r="X1818" s="238" t="s">
        <v>4410</v>
      </c>
      <c r="Y1818" s="238" t="s">
        <v>39</v>
      </c>
      <c r="Z1818" s="238" t="s">
        <v>1340</v>
      </c>
      <c r="AA1818" t="s">
        <v>3113</v>
      </c>
      <c r="AB1818" s="238" t="s">
        <v>3246</v>
      </c>
      <c r="AC1818" t="s">
        <v>1167</v>
      </c>
      <c r="AD1818" s="24"/>
      <c r="AE1818" s="238" t="s">
        <v>4411</v>
      </c>
      <c r="AF1818">
        <v>79225550172</v>
      </c>
      <c r="AG1818" s="238" t="s">
        <v>4412</v>
      </c>
      <c r="AH1818" s="238" t="s">
        <v>1171</v>
      </c>
      <c r="AI1818" s="238" t="s">
        <v>3103</v>
      </c>
      <c r="AJ1818" s="238" t="s">
        <v>4177</v>
      </c>
      <c r="AK1818" s="238" t="s">
        <v>1167</v>
      </c>
      <c r="AL1818" t="s">
        <v>8715</v>
      </c>
      <c r="AM1818" t="s">
        <v>1167</v>
      </c>
    </row>
    <row r="1819" spans="1:39" hidden="1" x14ac:dyDescent="0.25">
      <c r="A1819">
        <v>1816</v>
      </c>
      <c r="B1819">
        <v>22</v>
      </c>
      <c r="C1819" s="24">
        <v>45030</v>
      </c>
      <c r="D1819" s="238" t="s">
        <v>91</v>
      </c>
      <c r="E1819" s="238" t="s">
        <v>16</v>
      </c>
      <c r="F1819">
        <v>1</v>
      </c>
      <c r="G1819">
        <v>23</v>
      </c>
      <c r="H1819">
        <v>388</v>
      </c>
      <c r="I1819" s="238" t="s">
        <v>4052</v>
      </c>
      <c r="J1819">
        <v>29.35</v>
      </c>
      <c r="K1819" s="238" t="s">
        <v>38</v>
      </c>
      <c r="L1819">
        <v>3158416.02</v>
      </c>
      <c r="M1819">
        <v>0</v>
      </c>
      <c r="N1819">
        <v>3158416.02</v>
      </c>
      <c r="O1819">
        <v>107612.13015332197</v>
      </c>
      <c r="P1819">
        <v>440249.99999999953</v>
      </c>
      <c r="Q1819">
        <v>2718166.0200000005</v>
      </c>
      <c r="R1819">
        <v>92612.130153321981</v>
      </c>
      <c r="S1819" s="238" t="s">
        <v>137</v>
      </c>
      <c r="T1819" s="238" t="s">
        <v>1167</v>
      </c>
      <c r="V1819" t="s">
        <v>4091</v>
      </c>
      <c r="W1819" s="24">
        <v>45027</v>
      </c>
      <c r="X1819" s="238" t="s">
        <v>4413</v>
      </c>
      <c r="Y1819" s="238" t="s">
        <v>39</v>
      </c>
      <c r="Z1819" s="238" t="s">
        <v>1340</v>
      </c>
      <c r="AA1819" t="s">
        <v>3113</v>
      </c>
      <c r="AB1819" s="238" t="s">
        <v>3246</v>
      </c>
      <c r="AC1819" t="s">
        <v>3079</v>
      </c>
      <c r="AD1819" s="24"/>
      <c r="AE1819" s="238" t="s">
        <v>4414</v>
      </c>
      <c r="AF1819">
        <v>79170191797</v>
      </c>
      <c r="AG1819" s="238" t="s">
        <v>4415</v>
      </c>
      <c r="AH1819" s="238" t="s">
        <v>1212</v>
      </c>
      <c r="AI1819" s="238" t="s">
        <v>3514</v>
      </c>
      <c r="AJ1819" s="238" t="s">
        <v>4177</v>
      </c>
      <c r="AK1819" s="238" t="s">
        <v>3345</v>
      </c>
      <c r="AL1819" t="s">
        <v>8715</v>
      </c>
      <c r="AM1819" t="s">
        <v>1167</v>
      </c>
    </row>
    <row r="1820" spans="1:39" hidden="1" x14ac:dyDescent="0.25">
      <c r="A1820">
        <v>1817</v>
      </c>
      <c r="B1820">
        <v>23</v>
      </c>
      <c r="C1820" s="24">
        <v>45033</v>
      </c>
      <c r="D1820" s="238" t="s">
        <v>91</v>
      </c>
      <c r="E1820" s="238" t="s">
        <v>5</v>
      </c>
      <c r="F1820">
        <v>5</v>
      </c>
      <c r="G1820">
        <v>7</v>
      </c>
      <c r="H1820">
        <v>165</v>
      </c>
      <c r="I1820" s="238" t="s">
        <v>42</v>
      </c>
      <c r="J1820">
        <v>36.700000000000003</v>
      </c>
      <c r="K1820" s="238" t="s">
        <v>38</v>
      </c>
      <c r="L1820">
        <v>3696353.99</v>
      </c>
      <c r="M1820">
        <v>0</v>
      </c>
      <c r="N1820">
        <v>3696353.99</v>
      </c>
      <c r="O1820">
        <v>100718.09237057221</v>
      </c>
      <c r="P1820">
        <v>550500.00000000047</v>
      </c>
      <c r="Q1820">
        <v>3145853.9899999998</v>
      </c>
      <c r="R1820">
        <v>85718.092370572194</v>
      </c>
      <c r="S1820" s="238" t="s">
        <v>137</v>
      </c>
      <c r="T1820" s="238" t="s">
        <v>978</v>
      </c>
      <c r="U1820">
        <v>200799.19</v>
      </c>
      <c r="V1820" t="s">
        <v>4092</v>
      </c>
      <c r="W1820" s="24">
        <v>45028</v>
      </c>
      <c r="X1820" s="238" t="s">
        <v>4416</v>
      </c>
      <c r="Y1820" s="238" t="s">
        <v>39</v>
      </c>
      <c r="Z1820" s="238" t="s">
        <v>1340</v>
      </c>
      <c r="AA1820" t="s">
        <v>3113</v>
      </c>
      <c r="AB1820" s="238" t="s">
        <v>3246</v>
      </c>
      <c r="AC1820" t="s">
        <v>3079</v>
      </c>
      <c r="AD1820" s="24"/>
      <c r="AE1820" s="238" t="s">
        <v>4417</v>
      </c>
      <c r="AF1820">
        <v>79276506459</v>
      </c>
      <c r="AG1820" s="238" t="s">
        <v>4418</v>
      </c>
      <c r="AH1820" s="238" t="s">
        <v>1212</v>
      </c>
      <c r="AI1820" s="238" t="s">
        <v>135</v>
      </c>
      <c r="AJ1820" s="238" t="s">
        <v>399</v>
      </c>
      <c r="AK1820" s="238" t="s">
        <v>3345</v>
      </c>
      <c r="AL1820" t="s">
        <v>8715</v>
      </c>
      <c r="AM1820" t="s">
        <v>1167</v>
      </c>
    </row>
    <row r="1821" spans="1:39" hidden="1" x14ac:dyDescent="0.25">
      <c r="A1821">
        <v>1818</v>
      </c>
      <c r="B1821">
        <v>24</v>
      </c>
      <c r="C1821" s="24">
        <v>45033</v>
      </c>
      <c r="D1821" s="238" t="s">
        <v>91</v>
      </c>
      <c r="E1821" s="238" t="s">
        <v>15</v>
      </c>
      <c r="F1821">
        <v>9</v>
      </c>
      <c r="G1821">
        <v>15</v>
      </c>
      <c r="H1821">
        <v>527</v>
      </c>
      <c r="I1821" s="238" t="s">
        <v>42</v>
      </c>
      <c r="J1821">
        <v>44.37</v>
      </c>
      <c r="K1821" s="238" t="s">
        <v>37</v>
      </c>
      <c r="L1821">
        <v>3890457.88</v>
      </c>
      <c r="M1821">
        <v>0</v>
      </c>
      <c r="N1821">
        <v>3890457.88</v>
      </c>
      <c r="O1821">
        <v>87682.169934640522</v>
      </c>
      <c r="P1821">
        <v>177480</v>
      </c>
      <c r="Q1821">
        <v>3712977.88</v>
      </c>
      <c r="R1821">
        <v>83682.169934640522</v>
      </c>
      <c r="S1821" s="238" t="s">
        <v>137</v>
      </c>
      <c r="T1821" s="238" t="s">
        <v>60</v>
      </c>
      <c r="U1821">
        <v>177480</v>
      </c>
      <c r="V1821" t="s">
        <v>4091</v>
      </c>
      <c r="W1821" s="24">
        <v>45028</v>
      </c>
      <c r="X1821" s="238" t="s">
        <v>4419</v>
      </c>
      <c r="Y1821" s="238" t="s">
        <v>39</v>
      </c>
      <c r="Z1821" s="238" t="s">
        <v>1340</v>
      </c>
      <c r="AA1821" t="s">
        <v>3113</v>
      </c>
      <c r="AB1821" s="238" t="s">
        <v>3246</v>
      </c>
      <c r="AC1821" t="s">
        <v>3079</v>
      </c>
      <c r="AD1821" s="24"/>
      <c r="AE1821" s="238" t="s">
        <v>4420</v>
      </c>
      <c r="AF1821">
        <v>79276154364</v>
      </c>
      <c r="AG1821" s="238" t="s">
        <v>4421</v>
      </c>
      <c r="AH1821" s="238" t="s">
        <v>1171</v>
      </c>
      <c r="AI1821" s="238" t="s">
        <v>3514</v>
      </c>
      <c r="AJ1821" s="238" t="s">
        <v>4177</v>
      </c>
      <c r="AK1821" s="238" t="s">
        <v>3345</v>
      </c>
      <c r="AL1821" t="s">
        <v>8715</v>
      </c>
      <c r="AM1821" t="s">
        <v>1167</v>
      </c>
    </row>
    <row r="1822" spans="1:39" hidden="1" x14ac:dyDescent="0.25">
      <c r="A1822">
        <v>1819</v>
      </c>
      <c r="B1822">
        <v>25</v>
      </c>
      <c r="C1822" s="24">
        <v>45034</v>
      </c>
      <c r="D1822" s="238" t="s">
        <v>27</v>
      </c>
      <c r="E1822" s="238" t="s">
        <v>6</v>
      </c>
      <c r="F1822">
        <v>4</v>
      </c>
      <c r="G1822">
        <v>21</v>
      </c>
      <c r="H1822">
        <v>175</v>
      </c>
      <c r="I1822" s="238" t="s">
        <v>4052</v>
      </c>
      <c r="J1822">
        <v>24.39</v>
      </c>
      <c r="K1822" s="238" t="s">
        <v>38</v>
      </c>
      <c r="L1822">
        <v>2930493.87</v>
      </c>
      <c r="M1822">
        <v>0</v>
      </c>
      <c r="N1822">
        <v>2930493.87</v>
      </c>
      <c r="O1822">
        <v>120151.45018450185</v>
      </c>
      <c r="P1822">
        <v>365850</v>
      </c>
      <c r="Q1822">
        <v>2564643.87</v>
      </c>
      <c r="R1822">
        <v>105151.45018450185</v>
      </c>
      <c r="S1822" s="238" t="s">
        <v>137</v>
      </c>
      <c r="T1822" s="238" t="s">
        <v>1167</v>
      </c>
      <c r="V1822" t="s">
        <v>4092</v>
      </c>
      <c r="W1822" s="24">
        <v>45022</v>
      </c>
      <c r="X1822" s="238" t="s">
        <v>4422</v>
      </c>
      <c r="Y1822" s="238" t="s">
        <v>39</v>
      </c>
      <c r="Z1822" s="238" t="s">
        <v>1340</v>
      </c>
      <c r="AA1822" t="s">
        <v>3113</v>
      </c>
      <c r="AB1822" s="238" t="s">
        <v>3246</v>
      </c>
      <c r="AC1822" t="s">
        <v>3079</v>
      </c>
      <c r="AD1822" s="24"/>
      <c r="AE1822" s="238" t="s">
        <v>4423</v>
      </c>
      <c r="AF1822">
        <v>79277671712</v>
      </c>
      <c r="AG1822" s="238" t="s">
        <v>4424</v>
      </c>
      <c r="AH1822" s="238" t="s">
        <v>1212</v>
      </c>
      <c r="AI1822" s="238" t="s">
        <v>135</v>
      </c>
      <c r="AJ1822" s="238" t="s">
        <v>399</v>
      </c>
      <c r="AK1822" s="238" t="s">
        <v>141</v>
      </c>
      <c r="AL1822" t="s">
        <v>8715</v>
      </c>
      <c r="AM1822" t="s">
        <v>1167</v>
      </c>
    </row>
    <row r="1823" spans="1:39" hidden="1" x14ac:dyDescent="0.25">
      <c r="A1823">
        <v>1820</v>
      </c>
      <c r="B1823">
        <v>26</v>
      </c>
      <c r="C1823" s="24">
        <v>45034</v>
      </c>
      <c r="D1823" s="238" t="s">
        <v>91</v>
      </c>
      <c r="E1823" s="238" t="s">
        <v>15</v>
      </c>
      <c r="F1823">
        <v>5</v>
      </c>
      <c r="G1823">
        <v>16</v>
      </c>
      <c r="H1823">
        <v>532</v>
      </c>
      <c r="I1823" s="238" t="s">
        <v>43</v>
      </c>
      <c r="J1823">
        <v>56.04</v>
      </c>
      <c r="K1823" s="238" t="s">
        <v>38</v>
      </c>
      <c r="L1823">
        <v>5167599.71</v>
      </c>
      <c r="M1823">
        <v>0</v>
      </c>
      <c r="N1823">
        <v>5167599.71</v>
      </c>
      <c r="O1823">
        <v>92212.700035688787</v>
      </c>
      <c r="P1823">
        <v>840600</v>
      </c>
      <c r="Q1823">
        <v>4326999.71</v>
      </c>
      <c r="R1823">
        <v>77212.700035688787</v>
      </c>
      <c r="S1823" s="238" t="s">
        <v>137</v>
      </c>
      <c r="T1823" s="238" t="s">
        <v>1167</v>
      </c>
      <c r="V1823" t="s">
        <v>4091</v>
      </c>
      <c r="W1823" s="24">
        <v>45030</v>
      </c>
      <c r="X1823" s="238" t="s">
        <v>4425</v>
      </c>
      <c r="Y1823" s="238" t="s">
        <v>39</v>
      </c>
      <c r="Z1823" s="238" t="s">
        <v>1340</v>
      </c>
      <c r="AA1823" t="s">
        <v>3113</v>
      </c>
      <c r="AB1823" s="238" t="s">
        <v>3246</v>
      </c>
      <c r="AC1823" t="s">
        <v>3079</v>
      </c>
      <c r="AD1823" s="24"/>
      <c r="AE1823" s="238" t="s">
        <v>4426</v>
      </c>
      <c r="AF1823">
        <v>79372193510</v>
      </c>
      <c r="AG1823" s="238" t="s">
        <v>4427</v>
      </c>
      <c r="AH1823" s="238" t="s">
        <v>1212</v>
      </c>
      <c r="AI1823" s="238" t="s">
        <v>135</v>
      </c>
      <c r="AJ1823" s="238" t="s">
        <v>3901</v>
      </c>
      <c r="AK1823" s="238" t="s">
        <v>141</v>
      </c>
      <c r="AL1823" t="s">
        <v>8715</v>
      </c>
      <c r="AM1823" t="s">
        <v>1167</v>
      </c>
    </row>
    <row r="1824" spans="1:39" hidden="1" x14ac:dyDescent="0.25">
      <c r="A1824">
        <v>1821</v>
      </c>
      <c r="B1824">
        <v>27</v>
      </c>
      <c r="C1824" s="24">
        <v>45035</v>
      </c>
      <c r="D1824" s="238" t="s">
        <v>91</v>
      </c>
      <c r="E1824" s="238" t="s">
        <v>15</v>
      </c>
      <c r="F1824">
        <v>9</v>
      </c>
      <c r="G1824">
        <v>9</v>
      </c>
      <c r="H1824">
        <v>473</v>
      </c>
      <c r="I1824" s="238" t="s">
        <v>42</v>
      </c>
      <c r="J1824">
        <v>44.37</v>
      </c>
      <c r="K1824" s="238" t="s">
        <v>37</v>
      </c>
      <c r="L1824">
        <v>3853049.54</v>
      </c>
      <c r="M1824">
        <v>0</v>
      </c>
      <c r="N1824">
        <v>3853049.54</v>
      </c>
      <c r="O1824">
        <v>86839.070092404785</v>
      </c>
      <c r="P1824">
        <v>177480</v>
      </c>
      <c r="Q1824">
        <v>3675569.54</v>
      </c>
      <c r="R1824">
        <v>82839.070092404785</v>
      </c>
      <c r="S1824" s="238" t="s">
        <v>137</v>
      </c>
      <c r="T1824" s="238" t="s">
        <v>60</v>
      </c>
      <c r="U1824">
        <v>177480</v>
      </c>
      <c r="V1824" t="s">
        <v>4091</v>
      </c>
      <c r="W1824" s="24">
        <v>45021</v>
      </c>
      <c r="X1824" s="238" t="s">
        <v>4428</v>
      </c>
      <c r="Y1824" s="238" t="s">
        <v>39</v>
      </c>
      <c r="Z1824" s="238" t="s">
        <v>1340</v>
      </c>
      <c r="AA1824" t="s">
        <v>3113</v>
      </c>
      <c r="AB1824" s="238" t="s">
        <v>3246</v>
      </c>
      <c r="AC1824" t="s">
        <v>3079</v>
      </c>
      <c r="AD1824" s="24"/>
      <c r="AE1824" s="238" t="s">
        <v>4429</v>
      </c>
      <c r="AF1824">
        <v>79272056477</v>
      </c>
      <c r="AG1824" s="238" t="s">
        <v>4430</v>
      </c>
      <c r="AH1824" s="238" t="s">
        <v>1212</v>
      </c>
      <c r="AI1824" s="238" t="s">
        <v>3089</v>
      </c>
      <c r="AJ1824" s="238" t="s">
        <v>3901</v>
      </c>
      <c r="AK1824" s="238" t="s">
        <v>3345</v>
      </c>
      <c r="AL1824" t="s">
        <v>8715</v>
      </c>
      <c r="AM1824" t="s">
        <v>1167</v>
      </c>
    </row>
    <row r="1825" spans="1:39" hidden="1" x14ac:dyDescent="0.25">
      <c r="A1825">
        <v>1822</v>
      </c>
      <c r="B1825">
        <v>28</v>
      </c>
      <c r="C1825" s="24">
        <v>45035</v>
      </c>
      <c r="D1825" s="238" t="s">
        <v>27</v>
      </c>
      <c r="E1825" s="238" t="s">
        <v>16</v>
      </c>
      <c r="F1825">
        <v>5</v>
      </c>
      <c r="G1825">
        <v>16</v>
      </c>
      <c r="H1825">
        <v>508</v>
      </c>
      <c r="I1825" s="238" t="s">
        <v>4052</v>
      </c>
      <c r="J1825">
        <v>23.63</v>
      </c>
      <c r="K1825" s="238" t="s">
        <v>38</v>
      </c>
      <c r="L1825">
        <v>2725569.03</v>
      </c>
      <c r="M1825">
        <v>0</v>
      </c>
      <c r="N1825">
        <v>2725569.03</v>
      </c>
      <c r="O1825">
        <v>115343.58992805755</v>
      </c>
      <c r="P1825">
        <v>354450</v>
      </c>
      <c r="Q1825">
        <v>2371119.0299999998</v>
      </c>
      <c r="R1825">
        <v>100343.58992805755</v>
      </c>
      <c r="S1825" s="238" t="s">
        <v>137</v>
      </c>
      <c r="T1825" s="238" t="s">
        <v>1167</v>
      </c>
      <c r="V1825" t="s">
        <v>4091</v>
      </c>
      <c r="W1825" s="24">
        <v>45028</v>
      </c>
      <c r="X1825" s="238" t="s">
        <v>4431</v>
      </c>
      <c r="Y1825" s="238" t="s">
        <v>39</v>
      </c>
      <c r="Z1825" s="238" t="s">
        <v>1340</v>
      </c>
      <c r="AA1825" t="s">
        <v>3113</v>
      </c>
      <c r="AB1825" s="238" t="s">
        <v>3246</v>
      </c>
      <c r="AC1825" t="s">
        <v>3079</v>
      </c>
      <c r="AD1825" s="24"/>
      <c r="AE1825" s="238" t="s">
        <v>4432</v>
      </c>
      <c r="AF1825">
        <v>79272639110</v>
      </c>
      <c r="AG1825" s="238" t="s">
        <v>4433</v>
      </c>
      <c r="AH1825" s="238" t="s">
        <v>1212</v>
      </c>
      <c r="AI1825" s="238" t="s">
        <v>3093</v>
      </c>
      <c r="AJ1825" s="238" t="s">
        <v>3901</v>
      </c>
      <c r="AK1825" s="238" t="s">
        <v>3345</v>
      </c>
      <c r="AL1825" t="s">
        <v>8715</v>
      </c>
      <c r="AM1825" t="s">
        <v>1167</v>
      </c>
    </row>
    <row r="1826" spans="1:39" hidden="1" x14ac:dyDescent="0.25">
      <c r="A1826">
        <v>1823</v>
      </c>
      <c r="B1826">
        <v>29</v>
      </c>
      <c r="C1826" s="24">
        <v>45035</v>
      </c>
      <c r="D1826" s="238" t="s">
        <v>91</v>
      </c>
      <c r="E1826" s="238" t="s">
        <v>15</v>
      </c>
      <c r="F1826">
        <v>5</v>
      </c>
      <c r="G1826">
        <v>5</v>
      </c>
      <c r="H1826">
        <v>433</v>
      </c>
      <c r="I1826" s="238" t="s">
        <v>43</v>
      </c>
      <c r="J1826">
        <v>56.04</v>
      </c>
      <c r="K1826" s="238" t="s">
        <v>38</v>
      </c>
      <c r="L1826">
        <v>4868103.3099999996</v>
      </c>
      <c r="M1826">
        <v>0</v>
      </c>
      <c r="N1826">
        <v>4868103.3099999996</v>
      </c>
      <c r="O1826">
        <v>86868.367416131325</v>
      </c>
      <c r="P1826">
        <v>840600</v>
      </c>
      <c r="Q1826">
        <v>4027503.3099999996</v>
      </c>
      <c r="R1826">
        <v>71868.367416131325</v>
      </c>
      <c r="S1826" s="238" t="s">
        <v>137</v>
      </c>
      <c r="T1826" s="238" t="s">
        <v>978</v>
      </c>
      <c r="U1826">
        <v>257074.68</v>
      </c>
      <c r="V1826" t="s">
        <v>4092</v>
      </c>
      <c r="W1826" s="24">
        <v>45028</v>
      </c>
      <c r="X1826" s="238" t="s">
        <v>4434</v>
      </c>
      <c r="Y1826" s="238" t="s">
        <v>39</v>
      </c>
      <c r="Z1826" s="238" t="s">
        <v>1340</v>
      </c>
      <c r="AA1826" t="s">
        <v>3113</v>
      </c>
      <c r="AB1826" s="238" t="s">
        <v>3246</v>
      </c>
      <c r="AC1826" t="s">
        <v>3079</v>
      </c>
      <c r="AD1826" s="24"/>
      <c r="AE1826" s="238" t="s">
        <v>4435</v>
      </c>
      <c r="AF1826">
        <v>79171030186</v>
      </c>
      <c r="AG1826" s="238" t="s">
        <v>4436</v>
      </c>
      <c r="AH1826" s="238" t="s">
        <v>1212</v>
      </c>
      <c r="AI1826" s="238" t="s">
        <v>3097</v>
      </c>
      <c r="AJ1826" s="238" t="s">
        <v>4177</v>
      </c>
      <c r="AK1826" s="238" t="s">
        <v>141</v>
      </c>
      <c r="AL1826" t="s">
        <v>8715</v>
      </c>
      <c r="AM1826" t="s">
        <v>1167</v>
      </c>
    </row>
    <row r="1827" spans="1:39" hidden="1" x14ac:dyDescent="0.25">
      <c r="A1827">
        <v>1824</v>
      </c>
      <c r="B1827">
        <v>30</v>
      </c>
      <c r="C1827" s="24">
        <v>45036</v>
      </c>
      <c r="D1827" s="238" t="s">
        <v>91</v>
      </c>
      <c r="E1827" s="238" t="s">
        <v>16</v>
      </c>
      <c r="F1827">
        <v>1</v>
      </c>
      <c r="G1827">
        <v>13</v>
      </c>
      <c r="H1827">
        <v>318</v>
      </c>
      <c r="I1827" s="238" t="s">
        <v>4052</v>
      </c>
      <c r="J1827">
        <v>29.35</v>
      </c>
      <c r="K1827" s="238" t="s">
        <v>38</v>
      </c>
      <c r="L1827">
        <v>2813446.17</v>
      </c>
      <c r="M1827">
        <v>0</v>
      </c>
      <c r="N1827">
        <v>2813446.17</v>
      </c>
      <c r="O1827">
        <v>95858.472572402039</v>
      </c>
      <c r="P1827">
        <v>440250</v>
      </c>
      <c r="Q1827">
        <v>2373196.17</v>
      </c>
      <c r="R1827">
        <v>80858.472572402039</v>
      </c>
      <c r="S1827" s="238" t="s">
        <v>124</v>
      </c>
      <c r="T1827" s="238" t="s">
        <v>978</v>
      </c>
      <c r="U1827">
        <v>73397.820000000007</v>
      </c>
      <c r="V1827" t="s">
        <v>1167</v>
      </c>
      <c r="W1827" s="24">
        <v>45009</v>
      </c>
      <c r="X1827" s="238" t="s">
        <v>4437</v>
      </c>
      <c r="Y1827" s="238" t="s">
        <v>39</v>
      </c>
      <c r="Z1827" s="238" t="s">
        <v>1168</v>
      </c>
      <c r="AA1827" t="s">
        <v>1167</v>
      </c>
      <c r="AB1827" s="238" t="s">
        <v>3246</v>
      </c>
      <c r="AC1827" t="s">
        <v>1167</v>
      </c>
      <c r="AD1827" s="24"/>
      <c r="AE1827" s="238" t="s">
        <v>4438</v>
      </c>
      <c r="AF1827">
        <v>79370709773</v>
      </c>
      <c r="AG1827" s="238" t="s">
        <v>4439</v>
      </c>
      <c r="AH1827" s="238" t="s">
        <v>1212</v>
      </c>
      <c r="AI1827" s="238" t="s">
        <v>135</v>
      </c>
      <c r="AJ1827" s="238" t="s">
        <v>130</v>
      </c>
      <c r="AK1827" s="238" t="s">
        <v>1167</v>
      </c>
      <c r="AL1827" t="s">
        <v>8715</v>
      </c>
      <c r="AM1827" t="s">
        <v>1167</v>
      </c>
    </row>
    <row r="1828" spans="1:39" hidden="1" x14ac:dyDescent="0.25">
      <c r="A1828">
        <v>1825</v>
      </c>
      <c r="B1828">
        <v>31</v>
      </c>
      <c r="C1828" s="24">
        <v>45037</v>
      </c>
      <c r="D1828" s="238" t="s">
        <v>91</v>
      </c>
      <c r="E1828" s="238" t="s">
        <v>16</v>
      </c>
      <c r="F1828">
        <v>5</v>
      </c>
      <c r="G1828">
        <v>2</v>
      </c>
      <c r="H1828">
        <v>245</v>
      </c>
      <c r="I1828" s="238" t="s">
        <v>43</v>
      </c>
      <c r="J1828">
        <v>56.7</v>
      </c>
      <c r="K1828" s="238" t="s">
        <v>37</v>
      </c>
      <c r="L1828">
        <v>4604760.09</v>
      </c>
      <c r="M1828">
        <v>0</v>
      </c>
      <c r="N1828">
        <v>4604760.09</v>
      </c>
      <c r="O1828">
        <v>81212.7</v>
      </c>
      <c r="P1828">
        <v>226800</v>
      </c>
      <c r="Q1828">
        <v>4377960.09</v>
      </c>
      <c r="R1828">
        <v>77212.7</v>
      </c>
      <c r="S1828" s="238" t="s">
        <v>137</v>
      </c>
      <c r="T1828" s="238" t="s">
        <v>1167</v>
      </c>
      <c r="V1828" t="s">
        <v>4092</v>
      </c>
      <c r="W1828" s="24">
        <v>45033</v>
      </c>
      <c r="X1828" s="238" t="s">
        <v>4440</v>
      </c>
      <c r="Y1828" s="238" t="s">
        <v>39</v>
      </c>
      <c r="Z1828" s="238" t="s">
        <v>1340</v>
      </c>
      <c r="AA1828" t="s">
        <v>3113</v>
      </c>
      <c r="AB1828" s="238" t="s">
        <v>3246</v>
      </c>
      <c r="AC1828" t="s">
        <v>3079</v>
      </c>
      <c r="AD1828" s="24"/>
      <c r="AE1828" s="238" t="s">
        <v>4441</v>
      </c>
      <c r="AF1828">
        <v>79371810722</v>
      </c>
      <c r="AG1828" s="238" t="s">
        <v>4442</v>
      </c>
      <c r="AH1828" s="238" t="s">
        <v>1171</v>
      </c>
      <c r="AI1828" s="238" t="s">
        <v>3514</v>
      </c>
      <c r="AJ1828" s="238" t="s">
        <v>130</v>
      </c>
      <c r="AK1828" s="238" t="s">
        <v>3345</v>
      </c>
      <c r="AL1828" t="s">
        <v>8715</v>
      </c>
      <c r="AM1828" t="s">
        <v>1167</v>
      </c>
    </row>
    <row r="1829" spans="1:39" hidden="1" x14ac:dyDescent="0.25">
      <c r="A1829">
        <v>1826</v>
      </c>
      <c r="B1829">
        <v>32</v>
      </c>
      <c r="C1829" s="24">
        <v>45037</v>
      </c>
      <c r="D1829" s="238" t="s">
        <v>91</v>
      </c>
      <c r="E1829" s="238" t="s">
        <v>15</v>
      </c>
      <c r="F1829">
        <v>3</v>
      </c>
      <c r="G1829">
        <v>15</v>
      </c>
      <c r="H1829">
        <v>521</v>
      </c>
      <c r="I1829" s="238" t="s">
        <v>44</v>
      </c>
      <c r="J1829">
        <v>74.28</v>
      </c>
      <c r="K1829" s="238" t="s">
        <v>38</v>
      </c>
      <c r="L1829">
        <v>6382976.3200000003</v>
      </c>
      <c r="M1829">
        <v>15000</v>
      </c>
      <c r="N1829">
        <v>6397976.3200000003</v>
      </c>
      <c r="O1829">
        <v>86133.229940764679</v>
      </c>
      <c r="P1829">
        <v>1114199.9999999991</v>
      </c>
      <c r="Q1829">
        <v>5283776.3200000012</v>
      </c>
      <c r="R1829">
        <v>71133.229940764693</v>
      </c>
      <c r="S1829" s="238" t="s">
        <v>137</v>
      </c>
      <c r="T1829" s="238" t="s">
        <v>1167</v>
      </c>
      <c r="V1829" t="s">
        <v>3661</v>
      </c>
      <c r="W1829" s="24">
        <v>45037</v>
      </c>
      <c r="X1829" s="238" t="s">
        <v>4443</v>
      </c>
      <c r="Y1829" s="238" t="s">
        <v>39</v>
      </c>
      <c r="Z1829" s="238" t="s">
        <v>1168</v>
      </c>
      <c r="AA1829" t="s">
        <v>1167</v>
      </c>
      <c r="AB1829" s="238" t="s">
        <v>3246</v>
      </c>
      <c r="AC1829" t="s">
        <v>3076</v>
      </c>
      <c r="AD1829" s="24"/>
      <c r="AE1829" s="238" t="s">
        <v>4444</v>
      </c>
      <c r="AF1829">
        <v>79967437023</v>
      </c>
      <c r="AG1829" s="238" t="s">
        <v>4445</v>
      </c>
      <c r="AH1829" s="238" t="s">
        <v>1212</v>
      </c>
      <c r="AI1829" s="238" t="s">
        <v>135</v>
      </c>
      <c r="AJ1829" s="238" t="s">
        <v>399</v>
      </c>
      <c r="AK1829" s="238" t="s">
        <v>3345</v>
      </c>
      <c r="AL1829" t="s">
        <v>8715</v>
      </c>
      <c r="AM1829" t="s">
        <v>1167</v>
      </c>
    </row>
    <row r="1830" spans="1:39" hidden="1" x14ac:dyDescent="0.25">
      <c r="A1830">
        <v>1827</v>
      </c>
      <c r="B1830">
        <v>33</v>
      </c>
      <c r="C1830" s="24">
        <v>45038</v>
      </c>
      <c r="D1830" s="238" t="s">
        <v>27</v>
      </c>
      <c r="E1830" s="238" t="s">
        <v>6</v>
      </c>
      <c r="F1830">
        <v>4</v>
      </c>
      <c r="G1830">
        <v>24</v>
      </c>
      <c r="H1830">
        <v>202</v>
      </c>
      <c r="I1830" s="238" t="s">
        <v>4052</v>
      </c>
      <c r="J1830">
        <v>24.39</v>
      </c>
      <c r="K1830" s="238" t="s">
        <v>37</v>
      </c>
      <c r="L1830">
        <v>2662203.87</v>
      </c>
      <c r="M1830">
        <v>0</v>
      </c>
      <c r="N1830">
        <v>2662203.87</v>
      </c>
      <c r="O1830">
        <v>109151.45018450185</v>
      </c>
      <c r="P1830">
        <v>97559.999999996275</v>
      </c>
      <c r="Q1830">
        <v>2564643.8700000038</v>
      </c>
      <c r="R1830">
        <v>105151.450184502</v>
      </c>
      <c r="S1830" s="238" t="s">
        <v>137</v>
      </c>
      <c r="T1830" s="238" t="s">
        <v>1167</v>
      </c>
      <c r="V1830" t="s">
        <v>4091</v>
      </c>
      <c r="W1830" s="24">
        <v>45033</v>
      </c>
      <c r="X1830" s="238" t="s">
        <v>4446</v>
      </c>
      <c r="Y1830" s="238" t="s">
        <v>39</v>
      </c>
      <c r="Z1830" s="238" t="s">
        <v>1340</v>
      </c>
      <c r="AA1830" t="s">
        <v>3113</v>
      </c>
      <c r="AB1830" s="238" t="s">
        <v>3246</v>
      </c>
      <c r="AC1830" t="s">
        <v>3079</v>
      </c>
      <c r="AD1830" s="24"/>
      <c r="AE1830" s="238" t="s">
        <v>4447</v>
      </c>
      <c r="AF1830">
        <v>79277703148</v>
      </c>
      <c r="AG1830" s="238" t="s">
        <v>4448</v>
      </c>
      <c r="AH1830" s="238" t="s">
        <v>1212</v>
      </c>
      <c r="AI1830" s="238" t="s">
        <v>3102</v>
      </c>
      <c r="AJ1830" s="238" t="s">
        <v>4177</v>
      </c>
      <c r="AK1830" s="238" t="s">
        <v>141</v>
      </c>
      <c r="AL1830" t="s">
        <v>8715</v>
      </c>
      <c r="AM1830" t="s">
        <v>1167</v>
      </c>
    </row>
    <row r="1831" spans="1:39" hidden="1" x14ac:dyDescent="0.25">
      <c r="A1831">
        <v>1828</v>
      </c>
      <c r="B1831">
        <v>34</v>
      </c>
      <c r="C1831" s="24">
        <v>45040</v>
      </c>
      <c r="D1831" s="238" t="s">
        <v>91</v>
      </c>
      <c r="E1831" s="238" t="s">
        <v>5</v>
      </c>
      <c r="F1831">
        <v>3</v>
      </c>
      <c r="G1831">
        <v>2</v>
      </c>
      <c r="H1831">
        <v>123</v>
      </c>
      <c r="I1831" s="238" t="s">
        <v>42</v>
      </c>
      <c r="J1831">
        <v>35.380000000000003</v>
      </c>
      <c r="K1831" s="238" t="s">
        <v>37</v>
      </c>
      <c r="L1831">
        <v>3071455.37</v>
      </c>
      <c r="M1831">
        <v>15000</v>
      </c>
      <c r="N1831">
        <v>3086455.37</v>
      </c>
      <c r="O1831">
        <v>87237.291407574899</v>
      </c>
      <c r="P1831">
        <v>141520</v>
      </c>
      <c r="Q1831">
        <v>2944935.37</v>
      </c>
      <c r="R1831">
        <v>83237.291407574899</v>
      </c>
      <c r="S1831" s="238" t="s">
        <v>137</v>
      </c>
      <c r="T1831" s="238" t="s">
        <v>978</v>
      </c>
      <c r="U1831">
        <v>187974.6</v>
      </c>
      <c r="V1831" t="s">
        <v>4092</v>
      </c>
      <c r="W1831" s="24">
        <v>45012</v>
      </c>
      <c r="X1831" s="238" t="s">
        <v>4449</v>
      </c>
      <c r="Y1831" s="238" t="s">
        <v>39</v>
      </c>
      <c r="Z1831" s="238" t="s">
        <v>1340</v>
      </c>
      <c r="AA1831" t="s">
        <v>3113</v>
      </c>
      <c r="AB1831" s="238" t="s">
        <v>3246</v>
      </c>
      <c r="AC1831" t="s">
        <v>3079</v>
      </c>
      <c r="AD1831" s="24"/>
      <c r="AE1831" s="238" t="s">
        <v>4450</v>
      </c>
      <c r="AF1831">
        <v>79879101775</v>
      </c>
      <c r="AG1831" s="238" t="s">
        <v>4451</v>
      </c>
      <c r="AH1831" s="238" t="s">
        <v>1171</v>
      </c>
      <c r="AI1831" s="238" t="s">
        <v>135</v>
      </c>
      <c r="AJ1831" s="238" t="s">
        <v>3901</v>
      </c>
      <c r="AK1831" s="238" t="s">
        <v>141</v>
      </c>
      <c r="AL1831" t="s">
        <v>8715</v>
      </c>
      <c r="AM1831" t="s">
        <v>1167</v>
      </c>
    </row>
    <row r="1832" spans="1:39" hidden="1" x14ac:dyDescent="0.25">
      <c r="A1832">
        <v>1829</v>
      </c>
      <c r="B1832">
        <v>35</v>
      </c>
      <c r="C1832" s="24">
        <v>45040</v>
      </c>
      <c r="D1832" s="238" t="s">
        <v>91</v>
      </c>
      <c r="E1832" s="238" t="s">
        <v>15</v>
      </c>
      <c r="F1832">
        <v>4</v>
      </c>
      <c r="G1832">
        <v>16</v>
      </c>
      <c r="H1832">
        <v>531</v>
      </c>
      <c r="I1832" s="238" t="s">
        <v>42</v>
      </c>
      <c r="J1832">
        <v>36.5</v>
      </c>
      <c r="K1832" s="238" t="s">
        <v>38</v>
      </c>
      <c r="L1832">
        <v>4008731.86</v>
      </c>
      <c r="M1832">
        <v>0</v>
      </c>
      <c r="N1832">
        <v>4008731.86</v>
      </c>
      <c r="O1832">
        <v>109828.27013698629</v>
      </c>
      <c r="P1832">
        <v>547499.99999999953</v>
      </c>
      <c r="Q1832">
        <v>3461231.8600000003</v>
      </c>
      <c r="R1832">
        <v>94828.270136986306</v>
      </c>
      <c r="S1832" s="238" t="s">
        <v>137</v>
      </c>
      <c r="T1832" s="238" t="s">
        <v>1167</v>
      </c>
      <c r="V1832" t="s">
        <v>4091</v>
      </c>
      <c r="W1832" s="24">
        <v>45033</v>
      </c>
      <c r="X1832" s="238" t="s">
        <v>4452</v>
      </c>
      <c r="Y1832" s="238" t="s">
        <v>39</v>
      </c>
      <c r="Z1832" s="238" t="s">
        <v>1340</v>
      </c>
      <c r="AA1832" t="s">
        <v>3113</v>
      </c>
      <c r="AB1832" s="238" t="s">
        <v>3246</v>
      </c>
      <c r="AC1832" t="s">
        <v>3079</v>
      </c>
      <c r="AD1832" s="24"/>
      <c r="AE1832" s="238" t="s">
        <v>4453</v>
      </c>
      <c r="AF1832">
        <v>79277335659</v>
      </c>
      <c r="AG1832" s="238" t="s">
        <v>4454</v>
      </c>
      <c r="AH1832" s="238" t="s">
        <v>1212</v>
      </c>
      <c r="AI1832" s="238" t="s">
        <v>3097</v>
      </c>
      <c r="AJ1832" s="238" t="s">
        <v>399</v>
      </c>
      <c r="AK1832" s="238" t="s">
        <v>141</v>
      </c>
      <c r="AL1832" t="s">
        <v>8715</v>
      </c>
      <c r="AM1832" t="s">
        <v>1167</v>
      </c>
    </row>
    <row r="1833" spans="1:39" hidden="1" x14ac:dyDescent="0.25">
      <c r="A1833">
        <v>1830</v>
      </c>
      <c r="B1833">
        <v>36</v>
      </c>
      <c r="C1833" s="24">
        <v>45040</v>
      </c>
      <c r="D1833" s="238" t="s">
        <v>91</v>
      </c>
      <c r="E1833" s="238" t="s">
        <v>16</v>
      </c>
      <c r="F1833">
        <v>6</v>
      </c>
      <c r="G1833">
        <v>17</v>
      </c>
      <c r="H1833">
        <v>351</v>
      </c>
      <c r="I1833" s="238" t="s">
        <v>44</v>
      </c>
      <c r="J1833">
        <v>72.510000000000005</v>
      </c>
      <c r="K1833" s="238" t="s">
        <v>37</v>
      </c>
      <c r="L1833">
        <v>5590138.2800000003</v>
      </c>
      <c r="M1833">
        <v>0</v>
      </c>
      <c r="N1833">
        <v>5590138.2800000003</v>
      </c>
      <c r="O1833">
        <v>77094.721831471514</v>
      </c>
      <c r="P1833">
        <v>290040</v>
      </c>
      <c r="Q1833">
        <v>5300098.28</v>
      </c>
      <c r="R1833">
        <v>73094.721831471514</v>
      </c>
      <c r="S1833" s="238" t="s">
        <v>137</v>
      </c>
      <c r="T1833" s="238" t="s">
        <v>324</v>
      </c>
      <c r="U1833">
        <v>165000</v>
      </c>
      <c r="V1833" t="s">
        <v>4092</v>
      </c>
      <c r="W1833" s="24">
        <v>45034</v>
      </c>
      <c r="X1833" s="238" t="s">
        <v>4455</v>
      </c>
      <c r="Y1833" s="238" t="s">
        <v>39</v>
      </c>
      <c r="Z1833" s="238" t="s">
        <v>1340</v>
      </c>
      <c r="AA1833" t="s">
        <v>3113</v>
      </c>
      <c r="AB1833" s="238" t="s">
        <v>3246</v>
      </c>
      <c r="AC1833" t="s">
        <v>3079</v>
      </c>
      <c r="AD1833" s="24"/>
      <c r="AE1833" s="238" t="s">
        <v>4456</v>
      </c>
      <c r="AF1833">
        <v>79083911845</v>
      </c>
      <c r="AG1833" s="238" t="s">
        <v>4457</v>
      </c>
      <c r="AH1833" s="238" t="s">
        <v>1212</v>
      </c>
      <c r="AI1833" s="238" t="s">
        <v>3097</v>
      </c>
      <c r="AJ1833" s="238" t="s">
        <v>399</v>
      </c>
      <c r="AK1833" s="238" t="s">
        <v>141</v>
      </c>
      <c r="AL1833" t="s">
        <v>8715</v>
      </c>
      <c r="AM1833" t="s">
        <v>1167</v>
      </c>
    </row>
    <row r="1834" spans="1:39" hidden="1" x14ac:dyDescent="0.25">
      <c r="A1834">
        <v>1831</v>
      </c>
      <c r="B1834">
        <v>37</v>
      </c>
      <c r="C1834" s="24">
        <v>45040</v>
      </c>
      <c r="D1834" s="238" t="s">
        <v>91</v>
      </c>
      <c r="E1834" s="238" t="s">
        <v>6</v>
      </c>
      <c r="F1834">
        <v>4</v>
      </c>
      <c r="G1834">
        <v>11</v>
      </c>
      <c r="H1834">
        <v>76</v>
      </c>
      <c r="I1834" s="238" t="s">
        <v>43</v>
      </c>
      <c r="J1834">
        <v>56.03</v>
      </c>
      <c r="K1834" s="238" t="s">
        <v>37</v>
      </c>
      <c r="L1834">
        <v>4290773.93</v>
      </c>
      <c r="M1834">
        <v>0</v>
      </c>
      <c r="N1834">
        <v>4290773.93</v>
      </c>
      <c r="O1834">
        <v>76579.938068891657</v>
      </c>
      <c r="P1834">
        <v>224120</v>
      </c>
      <c r="Q1834">
        <v>4066653.9299999997</v>
      </c>
      <c r="R1834">
        <v>72579.938068891657</v>
      </c>
      <c r="S1834" s="238" t="s">
        <v>137</v>
      </c>
      <c r="T1834" s="238" t="s">
        <v>978</v>
      </c>
      <c r="U1834">
        <v>259573.65</v>
      </c>
      <c r="V1834" t="s">
        <v>4092</v>
      </c>
      <c r="W1834" s="24">
        <v>45035</v>
      </c>
      <c r="X1834" s="238" t="s">
        <v>4458</v>
      </c>
      <c r="Y1834" s="238" t="s">
        <v>39</v>
      </c>
      <c r="Z1834" s="238" t="s">
        <v>1340</v>
      </c>
      <c r="AA1834" t="s">
        <v>3113</v>
      </c>
      <c r="AB1834" s="238" t="s">
        <v>3246</v>
      </c>
      <c r="AC1834" t="s">
        <v>3079</v>
      </c>
      <c r="AD1834" s="24"/>
      <c r="AE1834" s="238" t="s">
        <v>4459</v>
      </c>
      <c r="AF1834">
        <v>79171576066</v>
      </c>
      <c r="AG1834" s="238" t="s">
        <v>4460</v>
      </c>
      <c r="AH1834" s="238" t="s">
        <v>1171</v>
      </c>
      <c r="AI1834" s="238" t="s">
        <v>135</v>
      </c>
      <c r="AJ1834" s="238" t="s">
        <v>399</v>
      </c>
      <c r="AK1834" s="238" t="s">
        <v>3345</v>
      </c>
      <c r="AL1834" t="s">
        <v>8715</v>
      </c>
      <c r="AM1834" t="s">
        <v>1167</v>
      </c>
    </row>
    <row r="1835" spans="1:39" hidden="1" x14ac:dyDescent="0.25">
      <c r="A1835">
        <v>1832</v>
      </c>
      <c r="B1835">
        <v>38</v>
      </c>
      <c r="C1835" s="24">
        <v>45040</v>
      </c>
      <c r="D1835" s="238" t="s">
        <v>91</v>
      </c>
      <c r="E1835" s="238" t="s">
        <v>5</v>
      </c>
      <c r="F1835">
        <v>6</v>
      </c>
      <c r="G1835">
        <v>15</v>
      </c>
      <c r="H1835">
        <v>230</v>
      </c>
      <c r="I1835" s="238" t="s">
        <v>42</v>
      </c>
      <c r="J1835">
        <v>36.659999999999997</v>
      </c>
      <c r="K1835" s="238" t="s">
        <v>37</v>
      </c>
      <c r="L1835">
        <v>3489645.6</v>
      </c>
      <c r="M1835">
        <v>0</v>
      </c>
      <c r="N1835">
        <v>3489645.6</v>
      </c>
      <c r="O1835">
        <v>95189.459901800336</v>
      </c>
      <c r="P1835">
        <v>146640</v>
      </c>
      <c r="Q1835">
        <v>3343005.6</v>
      </c>
      <c r="R1835">
        <v>91189.459901800336</v>
      </c>
      <c r="S1835" s="238" t="s">
        <v>137</v>
      </c>
      <c r="T1835" s="238" t="s">
        <v>1167</v>
      </c>
      <c r="V1835" t="s">
        <v>4092</v>
      </c>
      <c r="W1835" s="24">
        <v>45036</v>
      </c>
      <c r="X1835" s="238" t="s">
        <v>4461</v>
      </c>
      <c r="Y1835" s="238" t="s">
        <v>39</v>
      </c>
      <c r="Z1835" s="238" t="s">
        <v>1340</v>
      </c>
      <c r="AA1835" t="s">
        <v>3113</v>
      </c>
      <c r="AB1835" s="238" t="s">
        <v>3246</v>
      </c>
      <c r="AC1835" t="s">
        <v>3079</v>
      </c>
      <c r="AD1835" s="24"/>
      <c r="AE1835" s="238" t="s">
        <v>4462</v>
      </c>
      <c r="AF1835">
        <v>79376576777</v>
      </c>
      <c r="AG1835" s="238" t="s">
        <v>4463</v>
      </c>
      <c r="AH1835" s="238" t="s">
        <v>1171</v>
      </c>
      <c r="AI1835" s="238" t="s">
        <v>3074</v>
      </c>
      <c r="AJ1835" s="238" t="s">
        <v>399</v>
      </c>
      <c r="AK1835" s="238" t="s">
        <v>141</v>
      </c>
      <c r="AL1835" t="s">
        <v>8715</v>
      </c>
      <c r="AM1835" t="s">
        <v>1167</v>
      </c>
    </row>
    <row r="1836" spans="1:39" hidden="1" x14ac:dyDescent="0.25">
      <c r="A1836">
        <v>1833</v>
      </c>
      <c r="B1836">
        <v>39</v>
      </c>
      <c r="C1836" s="24">
        <v>45041</v>
      </c>
      <c r="D1836" s="238" t="s">
        <v>91</v>
      </c>
      <c r="E1836" s="238" t="s">
        <v>5</v>
      </c>
      <c r="F1836">
        <v>2</v>
      </c>
      <c r="G1836">
        <v>3</v>
      </c>
      <c r="H1836">
        <v>130</v>
      </c>
      <c r="I1836" s="238" t="s">
        <v>43</v>
      </c>
      <c r="J1836">
        <v>68.75</v>
      </c>
      <c r="K1836" s="238" t="s">
        <v>37</v>
      </c>
      <c r="L1836">
        <v>5620630.1299999999</v>
      </c>
      <c r="M1836">
        <v>0</v>
      </c>
      <c r="N1836">
        <v>5620630.1299999999</v>
      </c>
      <c r="O1836">
        <v>81754.620072727266</v>
      </c>
      <c r="P1836">
        <v>275000</v>
      </c>
      <c r="Q1836">
        <v>5345630.13</v>
      </c>
      <c r="R1836">
        <v>77754.620072727266</v>
      </c>
      <c r="S1836" s="238" t="s">
        <v>137</v>
      </c>
      <c r="T1836" s="238" t="s">
        <v>60</v>
      </c>
      <c r="U1836">
        <v>275000</v>
      </c>
      <c r="V1836" t="s">
        <v>4092</v>
      </c>
      <c r="W1836" s="24">
        <v>45029</v>
      </c>
      <c r="X1836" s="238" t="s">
        <v>4464</v>
      </c>
      <c r="Y1836" s="238" t="s">
        <v>39</v>
      </c>
      <c r="Z1836" s="238" t="s">
        <v>1340</v>
      </c>
      <c r="AA1836" t="s">
        <v>3113</v>
      </c>
      <c r="AB1836" s="238" t="s">
        <v>3246</v>
      </c>
      <c r="AC1836" t="s">
        <v>3079</v>
      </c>
      <c r="AD1836" s="24"/>
      <c r="AE1836" s="238" t="s">
        <v>4465</v>
      </c>
      <c r="AF1836">
        <v>79373338933</v>
      </c>
      <c r="AG1836" s="238" t="s">
        <v>4466</v>
      </c>
      <c r="AH1836" s="238" t="s">
        <v>1212</v>
      </c>
      <c r="AI1836" s="238" t="s">
        <v>3097</v>
      </c>
      <c r="AJ1836" s="238" t="s">
        <v>130</v>
      </c>
      <c r="AK1836" s="238" t="s">
        <v>3345</v>
      </c>
      <c r="AL1836" t="s">
        <v>8715</v>
      </c>
      <c r="AM1836" t="s">
        <v>1167</v>
      </c>
    </row>
    <row r="1837" spans="1:39" hidden="1" x14ac:dyDescent="0.25">
      <c r="A1837">
        <v>1834</v>
      </c>
      <c r="B1837">
        <v>40</v>
      </c>
      <c r="C1837" s="24">
        <v>45041</v>
      </c>
      <c r="D1837" s="238" t="s">
        <v>91</v>
      </c>
      <c r="E1837" s="238" t="s">
        <v>5</v>
      </c>
      <c r="F1837">
        <v>7</v>
      </c>
      <c r="G1837">
        <v>10</v>
      </c>
      <c r="H1837">
        <v>191</v>
      </c>
      <c r="I1837" s="238" t="s">
        <v>44</v>
      </c>
      <c r="J1837">
        <v>78.73</v>
      </c>
      <c r="K1837" s="238" t="s">
        <v>37</v>
      </c>
      <c r="L1837">
        <v>6248821.3600000003</v>
      </c>
      <c r="M1837">
        <v>0</v>
      </c>
      <c r="N1837">
        <v>6248821.3600000003</v>
      </c>
      <c r="O1837">
        <v>79370.270036834758</v>
      </c>
      <c r="P1837">
        <v>314920</v>
      </c>
      <c r="Q1837">
        <v>5933901.3600000003</v>
      </c>
      <c r="R1837">
        <v>75370.270036834758</v>
      </c>
      <c r="S1837" s="238" t="s">
        <v>124</v>
      </c>
      <c r="T1837" s="238" t="s">
        <v>1167</v>
      </c>
      <c r="V1837" t="s">
        <v>1167</v>
      </c>
      <c r="W1837" s="24">
        <v>45037</v>
      </c>
      <c r="X1837" s="238" t="s">
        <v>4467</v>
      </c>
      <c r="Y1837" s="238" t="s">
        <v>39</v>
      </c>
      <c r="Z1837" s="238" t="s">
        <v>1340</v>
      </c>
      <c r="AA1837" t="s">
        <v>3113</v>
      </c>
      <c r="AB1837" s="238" t="s">
        <v>3246</v>
      </c>
      <c r="AC1837" t="s">
        <v>1167</v>
      </c>
      <c r="AD1837" s="24"/>
      <c r="AE1837" s="238" t="s">
        <v>4468</v>
      </c>
      <c r="AF1837">
        <v>79171536502</v>
      </c>
      <c r="AG1837" s="238" t="s">
        <v>4469</v>
      </c>
      <c r="AH1837" s="238" t="s">
        <v>4072</v>
      </c>
      <c r="AI1837" s="238" t="s">
        <v>6406</v>
      </c>
      <c r="AJ1837" s="238" t="s">
        <v>3901</v>
      </c>
      <c r="AK1837" s="238" t="s">
        <v>1167</v>
      </c>
      <c r="AL1837" t="s">
        <v>57</v>
      </c>
      <c r="AM1837" t="s">
        <v>1167</v>
      </c>
    </row>
    <row r="1838" spans="1:39" hidden="1" x14ac:dyDescent="0.25">
      <c r="A1838">
        <v>1835</v>
      </c>
      <c r="B1838">
        <v>41</v>
      </c>
      <c r="C1838" s="24">
        <v>45042</v>
      </c>
      <c r="D1838" s="238" t="s">
        <v>19</v>
      </c>
      <c r="E1838" s="238" t="s">
        <v>6</v>
      </c>
      <c r="F1838">
        <v>3</v>
      </c>
      <c r="G1838">
        <v>5</v>
      </c>
      <c r="H1838">
        <v>24</v>
      </c>
      <c r="I1838" s="238" t="s">
        <v>44</v>
      </c>
      <c r="J1838">
        <v>78.599999999999994</v>
      </c>
      <c r="K1838" s="238" t="s">
        <v>37</v>
      </c>
      <c r="L1838">
        <v>4600000</v>
      </c>
      <c r="M1838">
        <v>0</v>
      </c>
      <c r="N1838">
        <v>4600000</v>
      </c>
      <c r="O1838">
        <v>58524.173027989826</v>
      </c>
      <c r="P1838">
        <v>432299.99999999994</v>
      </c>
      <c r="Q1838">
        <v>4167700</v>
      </c>
      <c r="R1838">
        <v>53024.173027989826</v>
      </c>
      <c r="S1838" s="238" t="s">
        <v>137</v>
      </c>
      <c r="T1838" s="238" t="s">
        <v>321</v>
      </c>
      <c r="U1838">
        <v>1803200.09</v>
      </c>
      <c r="V1838" t="s">
        <v>4092</v>
      </c>
      <c r="W1838" s="24">
        <v>45034</v>
      </c>
      <c r="X1838" s="238" t="s">
        <v>4470</v>
      </c>
      <c r="Y1838" s="238" t="s">
        <v>39</v>
      </c>
      <c r="Z1838" s="238" t="s">
        <v>1340</v>
      </c>
      <c r="AA1838" t="s">
        <v>3113</v>
      </c>
      <c r="AB1838" s="238" t="s">
        <v>3124</v>
      </c>
      <c r="AC1838" t="s">
        <v>3079</v>
      </c>
      <c r="AD1838" s="24"/>
      <c r="AE1838" s="238" t="s">
        <v>4471</v>
      </c>
      <c r="AF1838">
        <v>79198034045</v>
      </c>
      <c r="AG1838" s="238" t="s">
        <v>4472</v>
      </c>
      <c r="AH1838" s="238" t="s">
        <v>1171</v>
      </c>
      <c r="AI1838" s="238" t="s">
        <v>3084</v>
      </c>
      <c r="AJ1838" s="238" t="s">
        <v>130</v>
      </c>
      <c r="AK1838" s="238" t="s">
        <v>3345</v>
      </c>
      <c r="AL1838" t="s">
        <v>8715</v>
      </c>
      <c r="AM1838" t="s">
        <v>1167</v>
      </c>
    </row>
    <row r="1839" spans="1:39" hidden="1" x14ac:dyDescent="0.25">
      <c r="A1839">
        <v>1836</v>
      </c>
      <c r="B1839">
        <v>42</v>
      </c>
      <c r="C1839" s="24">
        <v>45042</v>
      </c>
      <c r="D1839" s="238" t="s">
        <v>91</v>
      </c>
      <c r="E1839" s="238" t="s">
        <v>6</v>
      </c>
      <c r="F1839">
        <v>2</v>
      </c>
      <c r="G1839">
        <v>15</v>
      </c>
      <c r="H1839">
        <v>106</v>
      </c>
      <c r="I1839" s="238" t="s">
        <v>43</v>
      </c>
      <c r="J1839">
        <v>61.76</v>
      </c>
      <c r="K1839" s="238" t="s">
        <v>37</v>
      </c>
      <c r="L1839">
        <v>5205479.2699999996</v>
      </c>
      <c r="M1839">
        <v>0</v>
      </c>
      <c r="N1839">
        <v>5205479.2699999996</v>
      </c>
      <c r="O1839">
        <v>84285.609941709845</v>
      </c>
      <c r="P1839">
        <v>247040</v>
      </c>
      <c r="Q1839">
        <v>4958439.2699999996</v>
      </c>
      <c r="R1839">
        <v>80285.609941709845</v>
      </c>
      <c r="S1839" s="238" t="s">
        <v>137</v>
      </c>
      <c r="T1839" s="238" t="s">
        <v>1167</v>
      </c>
      <c r="V1839" t="s">
        <v>4091</v>
      </c>
      <c r="W1839" s="24">
        <v>45040</v>
      </c>
      <c r="X1839" s="238" t="s">
        <v>4473</v>
      </c>
      <c r="Y1839" s="238" t="s">
        <v>39</v>
      </c>
      <c r="Z1839" s="238" t="s">
        <v>1340</v>
      </c>
      <c r="AA1839" t="s">
        <v>3113</v>
      </c>
      <c r="AB1839" s="238" t="s">
        <v>3246</v>
      </c>
      <c r="AC1839" t="s">
        <v>3079</v>
      </c>
      <c r="AD1839" s="24"/>
      <c r="AE1839" s="238" t="s">
        <v>4474</v>
      </c>
      <c r="AF1839">
        <v>79033028019</v>
      </c>
      <c r="AG1839" s="238" t="s">
        <v>4475</v>
      </c>
      <c r="AH1839" s="238" t="s">
        <v>1212</v>
      </c>
      <c r="AI1839" s="238" t="s">
        <v>3086</v>
      </c>
      <c r="AJ1839" s="238" t="s">
        <v>4177</v>
      </c>
      <c r="AK1839" s="238" t="s">
        <v>141</v>
      </c>
      <c r="AL1839" t="s">
        <v>8715</v>
      </c>
      <c r="AM1839" t="s">
        <v>1167</v>
      </c>
    </row>
    <row r="1840" spans="1:39" hidden="1" x14ac:dyDescent="0.25">
      <c r="A1840">
        <v>1837</v>
      </c>
      <c r="B1840">
        <v>43</v>
      </c>
      <c r="C1840" s="24">
        <v>45042</v>
      </c>
      <c r="D1840" s="238" t="s">
        <v>91</v>
      </c>
      <c r="E1840" s="238" t="s">
        <v>15</v>
      </c>
      <c r="F1840">
        <v>1</v>
      </c>
      <c r="G1840">
        <v>3</v>
      </c>
      <c r="H1840">
        <v>411</v>
      </c>
      <c r="I1840" s="238" t="s">
        <v>42</v>
      </c>
      <c r="J1840">
        <v>39.74</v>
      </c>
      <c r="K1840" s="238" t="s">
        <v>38</v>
      </c>
      <c r="L1840">
        <v>3937028.34</v>
      </c>
      <c r="M1840">
        <v>0</v>
      </c>
      <c r="N1840">
        <v>3937028.34</v>
      </c>
      <c r="O1840">
        <v>99069.661298439853</v>
      </c>
      <c r="P1840">
        <v>596100</v>
      </c>
      <c r="Q1840">
        <v>3340928.34</v>
      </c>
      <c r="R1840">
        <v>84069.661298439853</v>
      </c>
      <c r="S1840" s="238" t="s">
        <v>124</v>
      </c>
      <c r="T1840" s="238" t="s">
        <v>978</v>
      </c>
      <c r="U1840">
        <v>213250.75</v>
      </c>
      <c r="V1840" t="s">
        <v>1167</v>
      </c>
      <c r="W1840" s="24">
        <v>45041</v>
      </c>
      <c r="X1840" s="238" t="s">
        <v>4476</v>
      </c>
      <c r="Y1840" s="238" t="s">
        <v>39</v>
      </c>
      <c r="Z1840" s="238" t="s">
        <v>1340</v>
      </c>
      <c r="AA1840" t="s">
        <v>3113</v>
      </c>
      <c r="AB1840" s="238" t="s">
        <v>3246</v>
      </c>
      <c r="AC1840" t="s">
        <v>1167</v>
      </c>
      <c r="AD1840" s="24"/>
      <c r="AE1840" s="238" t="s">
        <v>4477</v>
      </c>
      <c r="AF1840">
        <v>79094624182</v>
      </c>
      <c r="AG1840" s="238" t="s">
        <v>4478</v>
      </c>
      <c r="AH1840" s="238" t="s">
        <v>1171</v>
      </c>
      <c r="AI1840" s="238" t="s">
        <v>3514</v>
      </c>
      <c r="AJ1840" s="238" t="s">
        <v>4177</v>
      </c>
      <c r="AK1840" s="238" t="s">
        <v>1167</v>
      </c>
      <c r="AL1840" t="s">
        <v>8715</v>
      </c>
      <c r="AM1840" t="s">
        <v>1167</v>
      </c>
    </row>
    <row r="1841" spans="1:39" hidden="1" x14ac:dyDescent="0.25">
      <c r="A1841">
        <v>1838</v>
      </c>
      <c r="B1841">
        <v>44</v>
      </c>
      <c r="C1841" s="24">
        <v>45043</v>
      </c>
      <c r="D1841" s="238" t="s">
        <v>91</v>
      </c>
      <c r="E1841" s="238" t="s">
        <v>15</v>
      </c>
      <c r="F1841">
        <v>9</v>
      </c>
      <c r="G1841">
        <v>2</v>
      </c>
      <c r="H1841">
        <v>410</v>
      </c>
      <c r="I1841" s="238" t="s">
        <v>42</v>
      </c>
      <c r="J1841">
        <v>44.64</v>
      </c>
      <c r="K1841" s="238" t="s">
        <v>37</v>
      </c>
      <c r="L1841">
        <v>3876496.08</v>
      </c>
      <c r="M1841">
        <v>0</v>
      </c>
      <c r="N1841">
        <v>3876496.08</v>
      </c>
      <c r="O1841">
        <v>86839.069892473126</v>
      </c>
      <c r="P1841">
        <v>178560</v>
      </c>
      <c r="Q1841">
        <v>3697936.08</v>
      </c>
      <c r="R1841">
        <v>82839.069892473126</v>
      </c>
      <c r="S1841" s="238" t="s">
        <v>137</v>
      </c>
      <c r="T1841" s="238" t="s">
        <v>60</v>
      </c>
      <c r="U1841">
        <v>178560</v>
      </c>
      <c r="V1841" t="s">
        <v>4091</v>
      </c>
      <c r="W1841" s="24">
        <v>45035</v>
      </c>
      <c r="X1841" s="238" t="s">
        <v>4479</v>
      </c>
      <c r="Y1841" s="238" t="s">
        <v>39</v>
      </c>
      <c r="Z1841" s="238" t="s">
        <v>1340</v>
      </c>
      <c r="AA1841" t="s">
        <v>3113</v>
      </c>
      <c r="AB1841" s="238" t="s">
        <v>3246</v>
      </c>
      <c r="AC1841" t="s">
        <v>3079</v>
      </c>
      <c r="AD1841" s="24"/>
      <c r="AE1841" s="238" t="s">
        <v>4480</v>
      </c>
      <c r="AF1841">
        <v>79370757414</v>
      </c>
      <c r="AG1841" s="238" t="s">
        <v>4481</v>
      </c>
      <c r="AH1841" s="238" t="s">
        <v>1171</v>
      </c>
      <c r="AI1841" s="238" t="s">
        <v>135</v>
      </c>
      <c r="AJ1841" s="238" t="s">
        <v>130</v>
      </c>
      <c r="AK1841" s="238" t="s">
        <v>141</v>
      </c>
      <c r="AL1841" t="s">
        <v>8715</v>
      </c>
      <c r="AM1841" t="s">
        <v>1167</v>
      </c>
    </row>
    <row r="1842" spans="1:39" hidden="1" x14ac:dyDescent="0.25">
      <c r="A1842">
        <v>1839</v>
      </c>
      <c r="B1842">
        <v>45</v>
      </c>
      <c r="C1842" s="24">
        <v>45043</v>
      </c>
      <c r="D1842" s="238" t="s">
        <v>91</v>
      </c>
      <c r="E1842" s="238" t="s">
        <v>16</v>
      </c>
      <c r="F1842">
        <v>3</v>
      </c>
      <c r="G1842">
        <v>11</v>
      </c>
      <c r="H1842">
        <v>306</v>
      </c>
      <c r="I1842" s="238" t="s">
        <v>4052</v>
      </c>
      <c r="J1842">
        <v>36.450000000000003</v>
      </c>
      <c r="K1842" s="238" t="s">
        <v>38</v>
      </c>
      <c r="L1842">
        <v>3646267.37</v>
      </c>
      <c r="M1842">
        <v>0</v>
      </c>
      <c r="N1842">
        <v>3646267.37</v>
      </c>
      <c r="O1842">
        <v>100034.77009602194</v>
      </c>
      <c r="P1842">
        <v>546750</v>
      </c>
      <c r="Q1842">
        <v>3099517.37</v>
      </c>
      <c r="R1842">
        <v>85034.770096021937</v>
      </c>
      <c r="S1842" s="238" t="s">
        <v>137</v>
      </c>
      <c r="T1842" s="238" t="s">
        <v>1167</v>
      </c>
      <c r="V1842" t="s">
        <v>4091</v>
      </c>
      <c r="W1842" s="24">
        <v>45038</v>
      </c>
      <c r="X1842" s="238" t="s">
        <v>4482</v>
      </c>
      <c r="Y1842" s="238" t="s">
        <v>39</v>
      </c>
      <c r="Z1842" s="238" t="s">
        <v>1340</v>
      </c>
      <c r="AA1842" t="s">
        <v>3113</v>
      </c>
      <c r="AB1842" s="238" t="s">
        <v>3246</v>
      </c>
      <c r="AC1842" t="s">
        <v>3079</v>
      </c>
      <c r="AD1842" s="24"/>
      <c r="AE1842" s="238" t="s">
        <v>4483</v>
      </c>
      <c r="AF1842">
        <v>79874412331</v>
      </c>
      <c r="AG1842" s="238" t="s">
        <v>4484</v>
      </c>
      <c r="AH1842" s="238" t="s">
        <v>1171</v>
      </c>
      <c r="AI1842" s="238" t="s">
        <v>3514</v>
      </c>
      <c r="AJ1842" s="238" t="s">
        <v>130</v>
      </c>
      <c r="AK1842" s="238" t="s">
        <v>3345</v>
      </c>
      <c r="AL1842" t="s">
        <v>8715</v>
      </c>
      <c r="AM1842" t="s">
        <v>1167</v>
      </c>
    </row>
    <row r="1843" spans="1:39" hidden="1" x14ac:dyDescent="0.25">
      <c r="A1843">
        <v>1840</v>
      </c>
      <c r="B1843">
        <v>46</v>
      </c>
      <c r="C1843" s="24">
        <v>45043</v>
      </c>
      <c r="D1843" s="238" t="s">
        <v>91</v>
      </c>
      <c r="E1843" s="238" t="s">
        <v>15</v>
      </c>
      <c r="F1843">
        <v>5</v>
      </c>
      <c r="G1843">
        <v>13</v>
      </c>
      <c r="H1843">
        <v>505</v>
      </c>
      <c r="I1843" s="238" t="s">
        <v>43</v>
      </c>
      <c r="J1843">
        <v>56.04</v>
      </c>
      <c r="K1843" s="238" t="s">
        <v>37</v>
      </c>
      <c r="L1843">
        <v>4291539.7300000004</v>
      </c>
      <c r="M1843">
        <v>0</v>
      </c>
      <c r="N1843">
        <v>4291539.7300000004</v>
      </c>
      <c r="O1843">
        <v>76579.938079942905</v>
      </c>
      <c r="P1843">
        <v>224160</v>
      </c>
      <c r="Q1843">
        <v>4067379.7300000004</v>
      </c>
      <c r="R1843">
        <v>72579.938079942905</v>
      </c>
      <c r="S1843" s="238" t="s">
        <v>124</v>
      </c>
      <c r="T1843" s="238" t="s">
        <v>978</v>
      </c>
      <c r="U1843">
        <v>259619.98</v>
      </c>
      <c r="V1843" t="s">
        <v>1167</v>
      </c>
      <c r="W1843" s="24">
        <v>45040</v>
      </c>
      <c r="X1843" s="238" t="s">
        <v>4485</v>
      </c>
      <c r="Y1843" s="238" t="s">
        <v>39</v>
      </c>
      <c r="Z1843" s="238" t="s">
        <v>1340</v>
      </c>
      <c r="AA1843" t="s">
        <v>3113</v>
      </c>
      <c r="AB1843" s="238" t="s">
        <v>3246</v>
      </c>
      <c r="AC1843" t="s">
        <v>1167</v>
      </c>
      <c r="AD1843" s="24"/>
      <c r="AE1843" s="238" t="s">
        <v>4486</v>
      </c>
      <c r="AF1843">
        <v>79171143333</v>
      </c>
      <c r="AG1843" s="238" t="s">
        <v>4487</v>
      </c>
      <c r="AH1843" s="238" t="s">
        <v>135</v>
      </c>
      <c r="AI1843" s="238" t="s">
        <v>3099</v>
      </c>
      <c r="AJ1843" s="238" t="s">
        <v>3901</v>
      </c>
      <c r="AK1843" s="238" t="s">
        <v>1167</v>
      </c>
      <c r="AL1843" t="s">
        <v>8715</v>
      </c>
      <c r="AM1843" t="s">
        <v>1167</v>
      </c>
    </row>
    <row r="1844" spans="1:39" hidden="1" x14ac:dyDescent="0.25">
      <c r="A1844">
        <v>1841</v>
      </c>
      <c r="B1844">
        <v>47</v>
      </c>
      <c r="C1844" s="24">
        <v>45043</v>
      </c>
      <c r="D1844" s="238" t="s">
        <v>91</v>
      </c>
      <c r="E1844" s="238" t="s">
        <v>16</v>
      </c>
      <c r="F1844">
        <v>3</v>
      </c>
      <c r="G1844">
        <v>20</v>
      </c>
      <c r="H1844">
        <v>369</v>
      </c>
      <c r="I1844" s="238" t="s">
        <v>4052</v>
      </c>
      <c r="J1844">
        <v>36.450000000000003</v>
      </c>
      <c r="K1844" s="238" t="s">
        <v>37</v>
      </c>
      <c r="L1844">
        <v>3490823.79</v>
      </c>
      <c r="M1844">
        <v>0</v>
      </c>
      <c r="N1844">
        <v>3490823.79</v>
      </c>
      <c r="O1844">
        <v>95770.2</v>
      </c>
      <c r="P1844">
        <v>145800</v>
      </c>
      <c r="Q1844">
        <v>3345023.79</v>
      </c>
      <c r="R1844">
        <v>91770.2</v>
      </c>
      <c r="S1844" s="238" t="s">
        <v>124</v>
      </c>
      <c r="T1844" s="238" t="s">
        <v>1167</v>
      </c>
      <c r="V1844" t="s">
        <v>1167</v>
      </c>
      <c r="W1844" s="24">
        <v>45042</v>
      </c>
      <c r="X1844" s="238" t="s">
        <v>4488</v>
      </c>
      <c r="Y1844" s="238" t="s">
        <v>39</v>
      </c>
      <c r="Z1844" s="238" t="s">
        <v>1340</v>
      </c>
      <c r="AA1844" t="s">
        <v>3113</v>
      </c>
      <c r="AB1844" s="238" t="s">
        <v>3246</v>
      </c>
      <c r="AC1844" t="s">
        <v>1167</v>
      </c>
      <c r="AD1844" s="24"/>
      <c r="AE1844" s="238" t="s">
        <v>4489</v>
      </c>
      <c r="AF1844">
        <v>79272059491</v>
      </c>
      <c r="AG1844" s="238" t="s">
        <v>4490</v>
      </c>
      <c r="AH1844" s="238" t="s">
        <v>1212</v>
      </c>
      <c r="AI1844" s="238" t="s">
        <v>135</v>
      </c>
      <c r="AJ1844" s="238" t="s">
        <v>4177</v>
      </c>
      <c r="AK1844" s="238" t="s">
        <v>1167</v>
      </c>
      <c r="AL1844" t="s">
        <v>8715</v>
      </c>
      <c r="AM1844" t="s">
        <v>1167</v>
      </c>
    </row>
    <row r="1845" spans="1:39" hidden="1" x14ac:dyDescent="0.25">
      <c r="A1845">
        <v>1842</v>
      </c>
      <c r="B1845">
        <v>48</v>
      </c>
      <c r="C1845" s="24">
        <v>45045</v>
      </c>
      <c r="D1845" s="238" t="s">
        <v>91</v>
      </c>
      <c r="E1845" s="238" t="s">
        <v>16</v>
      </c>
      <c r="F1845">
        <v>6</v>
      </c>
      <c r="G1845">
        <v>4</v>
      </c>
      <c r="H1845">
        <v>260</v>
      </c>
      <c r="I1845" s="238" t="s">
        <v>44</v>
      </c>
      <c r="J1845">
        <v>72.510000000000005</v>
      </c>
      <c r="K1845" s="238" t="s">
        <v>36</v>
      </c>
      <c r="L1845">
        <v>5465098.2800000003</v>
      </c>
      <c r="M1845">
        <v>0</v>
      </c>
      <c r="N1845">
        <v>5465098.2800000003</v>
      </c>
      <c r="O1845">
        <v>75370.27003171976</v>
      </c>
      <c r="P1845">
        <v>0</v>
      </c>
      <c r="Q1845">
        <v>5465098.2800000003</v>
      </c>
      <c r="R1845">
        <v>75370.27003171976</v>
      </c>
      <c r="S1845" s="238" t="s">
        <v>137</v>
      </c>
      <c r="T1845" s="238" t="s">
        <v>1167</v>
      </c>
      <c r="V1845" t="s">
        <v>4091</v>
      </c>
      <c r="W1845" s="24">
        <v>45043</v>
      </c>
      <c r="X1845" s="238" t="s">
        <v>4496</v>
      </c>
      <c r="Y1845" s="238" t="s">
        <v>39</v>
      </c>
      <c r="Z1845" s="238" t="s">
        <v>1340</v>
      </c>
      <c r="AA1845" t="s">
        <v>3113</v>
      </c>
      <c r="AB1845" s="238" t="s">
        <v>3246</v>
      </c>
      <c r="AC1845" t="s">
        <v>3079</v>
      </c>
      <c r="AD1845" s="24"/>
      <c r="AE1845" s="238" t="s">
        <v>4497</v>
      </c>
      <c r="AF1845">
        <v>79272052070</v>
      </c>
      <c r="AG1845" s="238" t="s">
        <v>4498</v>
      </c>
      <c r="AH1845" s="238" t="s">
        <v>135</v>
      </c>
      <c r="AI1845" s="238" t="s">
        <v>3075</v>
      </c>
      <c r="AJ1845" s="238" t="s">
        <v>3901</v>
      </c>
      <c r="AK1845" s="238" t="s">
        <v>3345</v>
      </c>
      <c r="AL1845" t="s">
        <v>8715</v>
      </c>
      <c r="AM1845" t="s">
        <v>1167</v>
      </c>
    </row>
    <row r="1846" spans="1:39" hidden="1" x14ac:dyDescent="0.25">
      <c r="A1846">
        <v>1843</v>
      </c>
      <c r="B1846">
        <v>49</v>
      </c>
      <c r="C1846" s="24">
        <v>45044</v>
      </c>
      <c r="D1846" s="238" t="s">
        <v>91</v>
      </c>
      <c r="E1846" s="238" t="s">
        <v>5</v>
      </c>
      <c r="F1846">
        <v>4</v>
      </c>
      <c r="G1846">
        <v>15</v>
      </c>
      <c r="H1846">
        <v>228</v>
      </c>
      <c r="I1846" s="238" t="s">
        <v>42</v>
      </c>
      <c r="J1846">
        <v>37.81</v>
      </c>
      <c r="K1846" s="238" t="s">
        <v>38</v>
      </c>
      <c r="L1846">
        <v>4015023.48</v>
      </c>
      <c r="M1846">
        <v>0</v>
      </c>
      <c r="N1846">
        <v>4015023.48</v>
      </c>
      <c r="O1846">
        <v>106189.45993123512</v>
      </c>
      <c r="P1846">
        <v>567150.00000000047</v>
      </c>
      <c r="Q1846">
        <v>3447873.4799999995</v>
      </c>
      <c r="R1846">
        <v>91189.459931235106</v>
      </c>
      <c r="S1846" s="238" t="s">
        <v>137</v>
      </c>
      <c r="T1846" s="238" t="s">
        <v>1167</v>
      </c>
      <c r="V1846" t="s">
        <v>4091</v>
      </c>
      <c r="W1846" s="24">
        <v>45035</v>
      </c>
      <c r="X1846" s="238" t="s">
        <v>4499</v>
      </c>
      <c r="Y1846" s="238" t="s">
        <v>39</v>
      </c>
      <c r="Z1846" s="238" t="s">
        <v>1340</v>
      </c>
      <c r="AA1846" t="s">
        <v>3113</v>
      </c>
      <c r="AB1846" s="238" t="s">
        <v>3246</v>
      </c>
      <c r="AC1846" t="s">
        <v>3079</v>
      </c>
      <c r="AD1846" s="24"/>
      <c r="AE1846" s="238" t="s">
        <v>4500</v>
      </c>
      <c r="AF1846">
        <v>79276014774</v>
      </c>
      <c r="AG1846" s="238" t="s">
        <v>4501</v>
      </c>
      <c r="AH1846" s="238" t="s">
        <v>135</v>
      </c>
      <c r="AI1846" s="238" t="s">
        <v>135</v>
      </c>
      <c r="AJ1846" s="238" t="s">
        <v>4177</v>
      </c>
      <c r="AK1846" s="238" t="s">
        <v>141</v>
      </c>
      <c r="AL1846" t="s">
        <v>8715</v>
      </c>
      <c r="AM1846" t="s">
        <v>1167</v>
      </c>
    </row>
    <row r="1847" spans="1:39" hidden="1" x14ac:dyDescent="0.25">
      <c r="A1847">
        <v>1844</v>
      </c>
      <c r="B1847">
        <v>50</v>
      </c>
      <c r="C1847" s="24">
        <v>45044</v>
      </c>
      <c r="D1847" s="238" t="s">
        <v>91</v>
      </c>
      <c r="E1847" s="238" t="s">
        <v>16</v>
      </c>
      <c r="F1847">
        <v>7</v>
      </c>
      <c r="G1847">
        <v>3</v>
      </c>
      <c r="H1847">
        <v>254</v>
      </c>
      <c r="I1847" s="238" t="s">
        <v>42</v>
      </c>
      <c r="J1847">
        <v>33.840000000000003</v>
      </c>
      <c r="K1847" s="238" t="s">
        <v>37</v>
      </c>
      <c r="L1847">
        <v>3191539.74</v>
      </c>
      <c r="M1847">
        <v>0</v>
      </c>
      <c r="N1847">
        <v>3191539.74</v>
      </c>
      <c r="O1847">
        <v>94312.640070921989</v>
      </c>
      <c r="P1847">
        <v>135359.99999999953</v>
      </c>
      <c r="Q1847">
        <v>3056179.7400000007</v>
      </c>
      <c r="R1847">
        <v>90312.640070922003</v>
      </c>
      <c r="S1847" s="238" t="s">
        <v>137</v>
      </c>
      <c r="T1847" s="238" t="s">
        <v>1167</v>
      </c>
      <c r="V1847" t="s">
        <v>4091</v>
      </c>
      <c r="W1847" s="24">
        <v>45037</v>
      </c>
      <c r="X1847" s="238" t="s">
        <v>4502</v>
      </c>
      <c r="Y1847" s="238" t="s">
        <v>39</v>
      </c>
      <c r="Z1847" s="238" t="s">
        <v>1340</v>
      </c>
      <c r="AA1847" t="s">
        <v>3113</v>
      </c>
      <c r="AB1847" s="238" t="s">
        <v>3246</v>
      </c>
      <c r="AC1847" t="s">
        <v>3079</v>
      </c>
      <c r="AD1847" s="24"/>
      <c r="AE1847" s="238" t="s">
        <v>4503</v>
      </c>
      <c r="AF1847">
        <v>79277244244</v>
      </c>
      <c r="AG1847" s="238" t="s">
        <v>4504</v>
      </c>
      <c r="AH1847" s="238" t="s">
        <v>1171</v>
      </c>
      <c r="AI1847" s="238" t="s">
        <v>3109</v>
      </c>
      <c r="AJ1847" s="238" t="s">
        <v>3901</v>
      </c>
      <c r="AK1847" s="238" t="s">
        <v>3345</v>
      </c>
      <c r="AL1847" t="s">
        <v>8715</v>
      </c>
      <c r="AM1847" t="s">
        <v>1167</v>
      </c>
    </row>
    <row r="1848" spans="1:39" hidden="1" x14ac:dyDescent="0.25">
      <c r="A1848">
        <v>1845</v>
      </c>
      <c r="B1848">
        <v>51</v>
      </c>
      <c r="C1848" s="24">
        <v>45044</v>
      </c>
      <c r="D1848" s="238" t="s">
        <v>91</v>
      </c>
      <c r="E1848" s="238" t="s">
        <v>5</v>
      </c>
      <c r="F1848">
        <v>7</v>
      </c>
      <c r="G1848">
        <v>8</v>
      </c>
      <c r="H1848">
        <v>175</v>
      </c>
      <c r="I1848" s="238" t="s">
        <v>44</v>
      </c>
      <c r="J1848">
        <v>78.73</v>
      </c>
      <c r="K1848" s="238" t="s">
        <v>38</v>
      </c>
      <c r="L1848">
        <v>7060906.3499999996</v>
      </c>
      <c r="M1848">
        <v>0</v>
      </c>
      <c r="N1848">
        <v>7060906.3499999996</v>
      </c>
      <c r="O1848">
        <v>89685.08002032261</v>
      </c>
      <c r="P1848">
        <v>1180950.0000000009</v>
      </c>
      <c r="Q1848">
        <v>5879956.3499999987</v>
      </c>
      <c r="R1848">
        <v>74685.080020322595</v>
      </c>
      <c r="S1848" s="238" t="s">
        <v>137</v>
      </c>
      <c r="T1848" s="238" t="s">
        <v>1167</v>
      </c>
      <c r="V1848" t="s">
        <v>4092</v>
      </c>
      <c r="W1848" s="24">
        <v>45040</v>
      </c>
      <c r="X1848" s="238" t="s">
        <v>4505</v>
      </c>
      <c r="Y1848" s="238" t="s">
        <v>39</v>
      </c>
      <c r="Z1848" s="238" t="s">
        <v>1340</v>
      </c>
      <c r="AA1848" t="s">
        <v>3113</v>
      </c>
      <c r="AB1848" s="238" t="s">
        <v>3246</v>
      </c>
      <c r="AC1848" t="s">
        <v>3079</v>
      </c>
      <c r="AD1848" s="24"/>
      <c r="AE1848" s="238" t="s">
        <v>4506</v>
      </c>
      <c r="AF1848">
        <v>79050185672</v>
      </c>
      <c r="AG1848" s="238" t="s">
        <v>4507</v>
      </c>
      <c r="AH1848" s="238" t="s">
        <v>1212</v>
      </c>
      <c r="AI1848" s="238" t="s">
        <v>135</v>
      </c>
      <c r="AJ1848" s="238" t="s">
        <v>4177</v>
      </c>
      <c r="AK1848" s="238" t="s">
        <v>141</v>
      </c>
      <c r="AL1848" t="s">
        <v>8715</v>
      </c>
      <c r="AM1848" t="s">
        <v>1167</v>
      </c>
    </row>
    <row r="1849" spans="1:39" hidden="1" x14ac:dyDescent="0.25">
      <c r="A1849">
        <v>1846</v>
      </c>
      <c r="B1849">
        <v>52</v>
      </c>
      <c r="C1849" s="24">
        <v>45044</v>
      </c>
      <c r="D1849" s="238" t="s">
        <v>91</v>
      </c>
      <c r="E1849" s="238" t="s">
        <v>16</v>
      </c>
      <c r="F1849">
        <v>4</v>
      </c>
      <c r="G1849">
        <v>12</v>
      </c>
      <c r="H1849">
        <v>314</v>
      </c>
      <c r="I1849" s="238" t="s">
        <v>43</v>
      </c>
      <c r="J1849">
        <v>58.55</v>
      </c>
      <c r="K1849" s="238" t="s">
        <v>36</v>
      </c>
      <c r="L1849">
        <v>4550124.76</v>
      </c>
      <c r="M1849">
        <v>15000</v>
      </c>
      <c r="N1849">
        <v>4565124.76</v>
      </c>
      <c r="O1849">
        <v>77969.679931682316</v>
      </c>
      <c r="P1849">
        <v>0</v>
      </c>
      <c r="Q1849">
        <v>4565124.76</v>
      </c>
      <c r="R1849">
        <v>77969.679931682316</v>
      </c>
      <c r="S1849" s="238" t="s">
        <v>137</v>
      </c>
      <c r="T1849" s="238" t="s">
        <v>1167</v>
      </c>
      <c r="V1849" t="s">
        <v>4092</v>
      </c>
      <c r="W1849" s="24">
        <v>45044</v>
      </c>
      <c r="X1849" s="238" t="s">
        <v>4508</v>
      </c>
      <c r="Y1849" s="238" t="s">
        <v>39</v>
      </c>
      <c r="Z1849" s="238" t="s">
        <v>1340</v>
      </c>
      <c r="AA1849" t="s">
        <v>3113</v>
      </c>
      <c r="AB1849" s="238" t="s">
        <v>3246</v>
      </c>
      <c r="AC1849" t="s">
        <v>3079</v>
      </c>
      <c r="AD1849" s="24"/>
      <c r="AE1849" s="238" t="s">
        <v>4509</v>
      </c>
      <c r="AF1849">
        <v>79370635053</v>
      </c>
      <c r="AG1849" s="238" t="s">
        <v>4510</v>
      </c>
      <c r="AH1849" s="238" t="s">
        <v>1171</v>
      </c>
      <c r="AI1849" s="238" t="s">
        <v>135</v>
      </c>
      <c r="AJ1849" s="238" t="s">
        <v>4177</v>
      </c>
      <c r="AK1849" s="238" t="s">
        <v>141</v>
      </c>
      <c r="AL1849" t="s">
        <v>8715</v>
      </c>
      <c r="AM1849" t="s">
        <v>1167</v>
      </c>
    </row>
    <row r="1850" spans="1:39" hidden="1" x14ac:dyDescent="0.25">
      <c r="A1850">
        <v>1847</v>
      </c>
      <c r="B1850">
        <v>1</v>
      </c>
      <c r="C1850" s="24">
        <v>45048</v>
      </c>
      <c r="D1850" s="238" t="s">
        <v>91</v>
      </c>
      <c r="E1850" s="238" t="s">
        <v>6</v>
      </c>
      <c r="F1850">
        <v>4</v>
      </c>
      <c r="G1850">
        <v>14</v>
      </c>
      <c r="H1850">
        <v>100</v>
      </c>
      <c r="I1850" s="238" t="s">
        <v>43</v>
      </c>
      <c r="J1850">
        <v>56.03</v>
      </c>
      <c r="K1850" s="238" t="s">
        <v>37</v>
      </c>
      <c r="L1850">
        <v>4550347.58</v>
      </c>
      <c r="M1850">
        <v>0</v>
      </c>
      <c r="N1850">
        <v>4550347.58</v>
      </c>
      <c r="O1850">
        <v>81212.699982152422</v>
      </c>
      <c r="P1850">
        <v>224120</v>
      </c>
      <c r="Q1850">
        <v>4326227.58</v>
      </c>
      <c r="R1850">
        <v>77212.699982152422</v>
      </c>
      <c r="S1850" s="238" t="s">
        <v>137</v>
      </c>
      <c r="T1850" s="238" t="s">
        <v>1167</v>
      </c>
      <c r="V1850" t="s">
        <v>4091</v>
      </c>
      <c r="W1850" s="24">
        <v>45042</v>
      </c>
      <c r="X1850" s="238" t="s">
        <v>4513</v>
      </c>
      <c r="Y1850" s="238" t="s">
        <v>39</v>
      </c>
      <c r="Z1850" s="238" t="s">
        <v>1340</v>
      </c>
      <c r="AA1850" t="s">
        <v>3474</v>
      </c>
      <c r="AB1850" s="238" t="s">
        <v>3246</v>
      </c>
      <c r="AC1850" t="s">
        <v>3076</v>
      </c>
      <c r="AD1850" s="24"/>
      <c r="AE1850" s="238" t="s">
        <v>4514</v>
      </c>
      <c r="AF1850">
        <v>79272975098</v>
      </c>
      <c r="AG1850" s="238" t="s">
        <v>4515</v>
      </c>
      <c r="AH1850" s="238" t="s">
        <v>1212</v>
      </c>
      <c r="AI1850" s="238" t="s">
        <v>3074</v>
      </c>
      <c r="AJ1850" s="238" t="s">
        <v>130</v>
      </c>
      <c r="AK1850" s="238" t="s">
        <v>3345</v>
      </c>
      <c r="AL1850" t="s">
        <v>8715</v>
      </c>
      <c r="AM1850" t="s">
        <v>1167</v>
      </c>
    </row>
    <row r="1851" spans="1:39" hidden="1" x14ac:dyDescent="0.25">
      <c r="A1851">
        <v>1848</v>
      </c>
      <c r="B1851">
        <v>2</v>
      </c>
      <c r="C1851" s="24">
        <v>45056</v>
      </c>
      <c r="D1851" s="238" t="s">
        <v>91</v>
      </c>
      <c r="E1851" s="238" t="s">
        <v>5</v>
      </c>
      <c r="F1851">
        <v>4</v>
      </c>
      <c r="G1851">
        <v>3</v>
      </c>
      <c r="H1851">
        <v>132</v>
      </c>
      <c r="I1851" s="238" t="s">
        <v>42</v>
      </c>
      <c r="J1851">
        <v>37.81</v>
      </c>
      <c r="K1851" s="238" t="s">
        <v>37</v>
      </c>
      <c r="L1851">
        <v>3599113.48</v>
      </c>
      <c r="M1851">
        <v>0</v>
      </c>
      <c r="N1851">
        <v>3599113.48</v>
      </c>
      <c r="O1851">
        <v>95189.45993123512</v>
      </c>
      <c r="P1851">
        <v>151240.00000000047</v>
      </c>
      <c r="Q1851">
        <v>3447873.4799999995</v>
      </c>
      <c r="R1851">
        <v>91189.459931235106</v>
      </c>
      <c r="S1851" s="238" t="s">
        <v>137</v>
      </c>
      <c r="T1851" s="238" t="s">
        <v>1167</v>
      </c>
      <c r="V1851" t="s">
        <v>4092</v>
      </c>
      <c r="W1851" s="24">
        <v>45048</v>
      </c>
      <c r="X1851" s="238" t="s">
        <v>4519</v>
      </c>
      <c r="Y1851" s="238" t="s">
        <v>39</v>
      </c>
      <c r="Z1851" s="238" t="s">
        <v>1340</v>
      </c>
      <c r="AA1851" t="s">
        <v>3113</v>
      </c>
      <c r="AB1851" s="238" t="s">
        <v>3246</v>
      </c>
      <c r="AC1851" t="s">
        <v>3079</v>
      </c>
      <c r="AD1851" s="24"/>
      <c r="AE1851" s="238" t="s">
        <v>4520</v>
      </c>
      <c r="AF1851">
        <v>79084106963</v>
      </c>
      <c r="AG1851" s="238" t="s">
        <v>4521</v>
      </c>
      <c r="AH1851" s="238" t="s">
        <v>1171</v>
      </c>
      <c r="AI1851" s="238" t="s">
        <v>3074</v>
      </c>
      <c r="AJ1851" s="238" t="s">
        <v>4177</v>
      </c>
      <c r="AK1851" s="238" t="s">
        <v>141</v>
      </c>
      <c r="AL1851" t="s">
        <v>8715</v>
      </c>
      <c r="AM1851" t="s">
        <v>1167</v>
      </c>
    </row>
    <row r="1852" spans="1:39" hidden="1" x14ac:dyDescent="0.25">
      <c r="A1852">
        <v>1849</v>
      </c>
      <c r="B1852">
        <v>3</v>
      </c>
      <c r="C1852" s="24">
        <v>45056</v>
      </c>
      <c r="D1852" s="238" t="s">
        <v>91</v>
      </c>
      <c r="E1852" s="238" t="s">
        <v>5</v>
      </c>
      <c r="F1852">
        <v>5</v>
      </c>
      <c r="G1852">
        <v>15</v>
      </c>
      <c r="H1852">
        <v>229</v>
      </c>
      <c r="I1852" s="238" t="s">
        <v>42</v>
      </c>
      <c r="J1852">
        <v>36.700000000000003</v>
      </c>
      <c r="K1852" s="238" t="s">
        <v>37</v>
      </c>
      <c r="L1852">
        <v>3493453.18</v>
      </c>
      <c r="M1852">
        <v>0</v>
      </c>
      <c r="N1852">
        <v>3493453.18</v>
      </c>
      <c r="O1852">
        <v>95189.459945504088</v>
      </c>
      <c r="P1852">
        <v>146799.99999999953</v>
      </c>
      <c r="Q1852">
        <v>3346653.1800000006</v>
      </c>
      <c r="R1852">
        <v>91189.459945504103</v>
      </c>
      <c r="S1852" s="238" t="s">
        <v>137</v>
      </c>
      <c r="T1852" s="238" t="s">
        <v>1167</v>
      </c>
      <c r="V1852" t="s">
        <v>4092</v>
      </c>
      <c r="W1852" s="24">
        <v>45049</v>
      </c>
      <c r="X1852" s="238" t="s">
        <v>4522</v>
      </c>
      <c r="Y1852" s="238" t="s">
        <v>39</v>
      </c>
      <c r="Z1852" s="238" t="s">
        <v>1340</v>
      </c>
      <c r="AA1852" t="s">
        <v>3113</v>
      </c>
      <c r="AB1852" s="238" t="s">
        <v>3246</v>
      </c>
      <c r="AC1852" t="s">
        <v>3079</v>
      </c>
      <c r="AD1852" s="24"/>
      <c r="AE1852" s="238" t="s">
        <v>4523</v>
      </c>
      <c r="AF1852">
        <v>79025802060</v>
      </c>
      <c r="AG1852" s="238" t="s">
        <v>4524</v>
      </c>
      <c r="AH1852" s="238" t="s">
        <v>1212</v>
      </c>
      <c r="AI1852" s="238" t="s">
        <v>3514</v>
      </c>
      <c r="AJ1852" s="238" t="s">
        <v>4177</v>
      </c>
      <c r="AK1852" s="238" t="s">
        <v>141</v>
      </c>
      <c r="AL1852" t="s">
        <v>8715</v>
      </c>
      <c r="AM1852" t="s">
        <v>1167</v>
      </c>
    </row>
    <row r="1853" spans="1:39" hidden="1" x14ac:dyDescent="0.25">
      <c r="A1853">
        <v>1850</v>
      </c>
      <c r="B1853">
        <v>4</v>
      </c>
      <c r="C1853" s="24">
        <v>45057</v>
      </c>
      <c r="D1853" s="238" t="s">
        <v>91</v>
      </c>
      <c r="E1853" s="238" t="s">
        <v>16</v>
      </c>
      <c r="F1853">
        <v>6</v>
      </c>
      <c r="G1853">
        <v>8</v>
      </c>
      <c r="H1853">
        <v>288</v>
      </c>
      <c r="I1853" s="238" t="s">
        <v>44</v>
      </c>
      <c r="J1853">
        <v>72.510000000000005</v>
      </c>
      <c r="K1853" s="238" t="s">
        <v>37</v>
      </c>
      <c r="L1853">
        <v>5755138.2800000003</v>
      </c>
      <c r="M1853">
        <v>0</v>
      </c>
      <c r="N1853">
        <v>5755138.2800000003</v>
      </c>
      <c r="O1853">
        <v>79370.27003171976</v>
      </c>
      <c r="P1853">
        <v>290040</v>
      </c>
      <c r="Q1853">
        <v>5465098.2800000003</v>
      </c>
      <c r="R1853">
        <v>75370.27003171976</v>
      </c>
      <c r="S1853" s="238" t="s">
        <v>137</v>
      </c>
      <c r="T1853" s="238" t="s">
        <v>1167</v>
      </c>
      <c r="V1853" t="s">
        <v>4092</v>
      </c>
      <c r="W1853" s="24">
        <v>45049</v>
      </c>
      <c r="X1853" s="238" t="s">
        <v>4525</v>
      </c>
      <c r="Y1853" s="238" t="s">
        <v>39</v>
      </c>
      <c r="Z1853" s="238" t="s">
        <v>1340</v>
      </c>
      <c r="AA1853" t="s">
        <v>3113</v>
      </c>
      <c r="AB1853" s="238" t="s">
        <v>3246</v>
      </c>
      <c r="AC1853" t="s">
        <v>3079</v>
      </c>
      <c r="AD1853" s="24"/>
      <c r="AE1853" s="238" t="s">
        <v>4526</v>
      </c>
      <c r="AF1853">
        <v>79874338197</v>
      </c>
      <c r="AG1853" s="238" t="s">
        <v>4527</v>
      </c>
      <c r="AH1853" s="238" t="s">
        <v>1212</v>
      </c>
      <c r="AI1853" s="238" t="s">
        <v>135</v>
      </c>
      <c r="AJ1853" s="238" t="s">
        <v>3901</v>
      </c>
      <c r="AK1853" s="238" t="s">
        <v>3345</v>
      </c>
      <c r="AL1853" t="s">
        <v>8715</v>
      </c>
      <c r="AM1853" t="s">
        <v>1167</v>
      </c>
    </row>
    <row r="1854" spans="1:39" hidden="1" x14ac:dyDescent="0.25">
      <c r="A1854">
        <v>1851</v>
      </c>
      <c r="B1854">
        <v>5</v>
      </c>
      <c r="C1854" s="24">
        <v>45058</v>
      </c>
      <c r="D1854" s="238" t="s">
        <v>91</v>
      </c>
      <c r="E1854" s="238" t="s">
        <v>16</v>
      </c>
      <c r="F1854">
        <v>6</v>
      </c>
      <c r="G1854">
        <v>9</v>
      </c>
      <c r="H1854">
        <v>295</v>
      </c>
      <c r="I1854" s="238" t="s">
        <v>44</v>
      </c>
      <c r="J1854">
        <v>72.510000000000005</v>
      </c>
      <c r="K1854" s="238" t="s">
        <v>38</v>
      </c>
      <c r="L1854">
        <v>6611373.3399999999</v>
      </c>
      <c r="M1854">
        <v>0</v>
      </c>
      <c r="N1854">
        <v>6611373.3399999999</v>
      </c>
      <c r="O1854">
        <v>91178.78003034064</v>
      </c>
      <c r="P1854">
        <v>1087650.0000000028</v>
      </c>
      <c r="Q1854">
        <v>5523723.3399999971</v>
      </c>
      <c r="R1854">
        <v>76178.780030340597</v>
      </c>
      <c r="S1854" s="238" t="s">
        <v>137</v>
      </c>
      <c r="T1854" s="238" t="s">
        <v>1167</v>
      </c>
      <c r="V1854" t="s">
        <v>4092</v>
      </c>
      <c r="W1854" s="24">
        <v>45057</v>
      </c>
      <c r="X1854" s="238" t="s">
        <v>4528</v>
      </c>
      <c r="Y1854" s="238" t="s">
        <v>39</v>
      </c>
      <c r="Z1854" s="238" t="s">
        <v>1340</v>
      </c>
      <c r="AA1854" t="s">
        <v>3113</v>
      </c>
      <c r="AB1854" s="238" t="s">
        <v>3246</v>
      </c>
      <c r="AC1854" t="s">
        <v>3079</v>
      </c>
      <c r="AD1854" s="24"/>
      <c r="AE1854" s="238" t="s">
        <v>4529</v>
      </c>
      <c r="AF1854">
        <v>79613848888</v>
      </c>
      <c r="AG1854" s="238" t="s">
        <v>4530</v>
      </c>
      <c r="AH1854" s="238" t="s">
        <v>4072</v>
      </c>
      <c r="AI1854" s="238" t="s">
        <v>6406</v>
      </c>
      <c r="AJ1854" s="238" t="s">
        <v>130</v>
      </c>
      <c r="AK1854" s="238" t="s">
        <v>3345</v>
      </c>
      <c r="AL1854" t="s">
        <v>57</v>
      </c>
      <c r="AM1854" t="s">
        <v>1167</v>
      </c>
    </row>
    <row r="1855" spans="1:39" hidden="1" x14ac:dyDescent="0.25">
      <c r="A1855">
        <v>1852</v>
      </c>
      <c r="B1855">
        <v>6</v>
      </c>
      <c r="C1855" s="24">
        <v>45058</v>
      </c>
      <c r="D1855" s="238" t="s">
        <v>91</v>
      </c>
      <c r="E1855" s="238" t="s">
        <v>15</v>
      </c>
      <c r="F1855">
        <v>5</v>
      </c>
      <c r="G1855">
        <v>4</v>
      </c>
      <c r="H1855">
        <v>424</v>
      </c>
      <c r="I1855" s="238" t="s">
        <v>43</v>
      </c>
      <c r="J1855">
        <v>56.04</v>
      </c>
      <c r="K1855" s="238" t="s">
        <v>37</v>
      </c>
      <c r="L1855">
        <v>4637699.4800000004</v>
      </c>
      <c r="M1855">
        <v>0</v>
      </c>
      <c r="N1855">
        <v>4637699.4800000004</v>
      </c>
      <c r="O1855">
        <v>82756.950035688802</v>
      </c>
      <c r="P1855">
        <v>224160</v>
      </c>
      <c r="Q1855">
        <v>4413539.4800000004</v>
      </c>
      <c r="R1855">
        <v>78756.950035688802</v>
      </c>
      <c r="S1855" s="238" t="s">
        <v>137</v>
      </c>
      <c r="T1855" s="238" t="s">
        <v>1167</v>
      </c>
      <c r="V1855" t="s">
        <v>4091</v>
      </c>
      <c r="W1855" s="24">
        <v>45057</v>
      </c>
      <c r="X1855" s="238" t="s">
        <v>4531</v>
      </c>
      <c r="Y1855" s="238" t="s">
        <v>39</v>
      </c>
      <c r="Z1855" s="238" t="s">
        <v>1340</v>
      </c>
      <c r="AA1855" t="s">
        <v>3113</v>
      </c>
      <c r="AB1855" s="238" t="s">
        <v>3246</v>
      </c>
      <c r="AC1855" t="s">
        <v>3079</v>
      </c>
      <c r="AD1855" s="24"/>
      <c r="AE1855" s="238" t="s">
        <v>4532</v>
      </c>
      <c r="AF1855">
        <v>79677257544</v>
      </c>
      <c r="AG1855" s="238" t="s">
        <v>4533</v>
      </c>
      <c r="AH1855" s="238" t="s">
        <v>1212</v>
      </c>
      <c r="AI1855" s="238" t="s">
        <v>3097</v>
      </c>
      <c r="AJ1855" s="238" t="s">
        <v>130</v>
      </c>
      <c r="AK1855" s="238" t="s">
        <v>141</v>
      </c>
      <c r="AL1855" t="s">
        <v>8715</v>
      </c>
      <c r="AM1855" t="s">
        <v>1167</v>
      </c>
    </row>
    <row r="1856" spans="1:39" hidden="1" x14ac:dyDescent="0.25">
      <c r="A1856">
        <v>1853</v>
      </c>
      <c r="B1856">
        <v>7</v>
      </c>
      <c r="C1856" s="24">
        <v>45062</v>
      </c>
      <c r="D1856" s="238" t="s">
        <v>91</v>
      </c>
      <c r="E1856" s="238" t="s">
        <v>15</v>
      </c>
      <c r="F1856">
        <v>9</v>
      </c>
      <c r="G1856">
        <v>14</v>
      </c>
      <c r="H1856">
        <v>518</v>
      </c>
      <c r="I1856" s="238" t="s">
        <v>42</v>
      </c>
      <c r="J1856">
        <v>44.37</v>
      </c>
      <c r="K1856" s="238" t="s">
        <v>38</v>
      </c>
      <c r="L1856">
        <v>4595660.46</v>
      </c>
      <c r="M1856">
        <v>0</v>
      </c>
      <c r="N1856">
        <v>4595660.46</v>
      </c>
      <c r="O1856">
        <v>103575.84989858013</v>
      </c>
      <c r="P1856">
        <v>665550</v>
      </c>
      <c r="Q1856">
        <v>3930110.46</v>
      </c>
      <c r="R1856">
        <v>88575.849898580127</v>
      </c>
      <c r="S1856" s="238" t="s">
        <v>137</v>
      </c>
      <c r="T1856" s="238" t="s">
        <v>1167</v>
      </c>
      <c r="V1856" t="s">
        <v>4092</v>
      </c>
      <c r="W1856" s="24">
        <v>45056</v>
      </c>
      <c r="X1856" s="238" t="s">
        <v>4534</v>
      </c>
      <c r="Y1856" s="238" t="s">
        <v>39</v>
      </c>
      <c r="Z1856" s="238" t="s">
        <v>1340</v>
      </c>
      <c r="AA1856" t="s">
        <v>3113</v>
      </c>
      <c r="AB1856" s="238" t="s">
        <v>3246</v>
      </c>
      <c r="AC1856" t="s">
        <v>3079</v>
      </c>
      <c r="AD1856" s="24"/>
      <c r="AE1856" s="238" t="s">
        <v>4535</v>
      </c>
      <c r="AF1856">
        <v>79226061950</v>
      </c>
      <c r="AG1856" s="238" t="s">
        <v>4536</v>
      </c>
      <c r="AH1856" s="238" t="s">
        <v>1212</v>
      </c>
      <c r="AI1856" s="238" t="s">
        <v>135</v>
      </c>
      <c r="AJ1856" s="238" t="s">
        <v>4177</v>
      </c>
      <c r="AK1856" s="238" t="s">
        <v>3345</v>
      </c>
      <c r="AL1856" t="s">
        <v>8715</v>
      </c>
      <c r="AM1856" t="s">
        <v>1167</v>
      </c>
    </row>
    <row r="1857" spans="1:39" hidden="1" x14ac:dyDescent="0.25">
      <c r="A1857">
        <v>1854</v>
      </c>
      <c r="B1857">
        <v>8</v>
      </c>
      <c r="C1857" s="24">
        <v>45062</v>
      </c>
      <c r="D1857" s="238" t="s">
        <v>91</v>
      </c>
      <c r="E1857" s="238" t="s">
        <v>6</v>
      </c>
      <c r="F1857">
        <v>4</v>
      </c>
      <c r="G1857">
        <v>9</v>
      </c>
      <c r="H1857">
        <v>60</v>
      </c>
      <c r="I1857" s="238" t="s">
        <v>43</v>
      </c>
      <c r="J1857">
        <v>56.03</v>
      </c>
      <c r="K1857" s="238" t="s">
        <v>38</v>
      </c>
      <c r="L1857">
        <v>5166677.58</v>
      </c>
      <c r="M1857">
        <v>0</v>
      </c>
      <c r="N1857">
        <v>5166677.58</v>
      </c>
      <c r="O1857">
        <v>92212.699982152422</v>
      </c>
      <c r="P1857">
        <v>840450</v>
      </c>
      <c r="Q1857">
        <v>4326227.58</v>
      </c>
      <c r="R1857">
        <v>77212.699982152422</v>
      </c>
      <c r="S1857" s="238" t="s">
        <v>137</v>
      </c>
      <c r="T1857" s="238" t="s">
        <v>1167</v>
      </c>
      <c r="V1857" t="s">
        <v>4092</v>
      </c>
      <c r="W1857" s="24">
        <v>45062</v>
      </c>
      <c r="X1857" s="238" t="s">
        <v>4537</v>
      </c>
      <c r="Y1857" s="238" t="s">
        <v>39</v>
      </c>
      <c r="Z1857" s="238" t="s">
        <v>1340</v>
      </c>
      <c r="AA1857" t="s">
        <v>3113</v>
      </c>
      <c r="AB1857" s="238" t="s">
        <v>3246</v>
      </c>
      <c r="AC1857" t="s">
        <v>3079</v>
      </c>
      <c r="AD1857" s="24"/>
      <c r="AE1857" s="238" t="s">
        <v>4538</v>
      </c>
      <c r="AF1857">
        <v>79878919691</v>
      </c>
      <c r="AG1857" s="238" t="s">
        <v>4539</v>
      </c>
      <c r="AH1857" s="238" t="s">
        <v>1171</v>
      </c>
      <c r="AI1857" s="238" t="s">
        <v>3074</v>
      </c>
      <c r="AJ1857" s="238" t="s">
        <v>130</v>
      </c>
      <c r="AK1857" s="238" t="s">
        <v>3345</v>
      </c>
      <c r="AL1857" t="s">
        <v>8715</v>
      </c>
      <c r="AM1857" t="s">
        <v>1167</v>
      </c>
    </row>
    <row r="1858" spans="1:39" hidden="1" x14ac:dyDescent="0.25">
      <c r="A1858">
        <v>1855</v>
      </c>
      <c r="B1858">
        <v>9</v>
      </c>
      <c r="C1858" s="24">
        <v>45063</v>
      </c>
      <c r="D1858" s="238" t="s">
        <v>91</v>
      </c>
      <c r="E1858" s="238" t="s">
        <v>15</v>
      </c>
      <c r="F1858">
        <v>9</v>
      </c>
      <c r="G1858">
        <v>16</v>
      </c>
      <c r="H1858">
        <v>536</v>
      </c>
      <c r="I1858" s="238" t="s">
        <v>42</v>
      </c>
      <c r="J1858">
        <v>44.37</v>
      </c>
      <c r="K1858" s="238" t="s">
        <v>37</v>
      </c>
      <c r="L1858">
        <v>4145746.89</v>
      </c>
      <c r="M1858">
        <v>0</v>
      </c>
      <c r="N1858">
        <v>4145746.89</v>
      </c>
      <c r="O1858">
        <v>93435.810006761327</v>
      </c>
      <c r="P1858">
        <v>177480</v>
      </c>
      <c r="Q1858">
        <v>3968266.89</v>
      </c>
      <c r="R1858">
        <v>89435.810006761327</v>
      </c>
      <c r="S1858" s="238" t="s">
        <v>137</v>
      </c>
      <c r="T1858" s="238" t="s">
        <v>1167</v>
      </c>
      <c r="V1858" t="s">
        <v>4091</v>
      </c>
      <c r="W1858" s="24">
        <v>45056</v>
      </c>
      <c r="X1858" s="238" t="s">
        <v>4540</v>
      </c>
      <c r="Y1858" s="238" t="s">
        <v>39</v>
      </c>
      <c r="Z1858" s="238" t="s">
        <v>1340</v>
      </c>
      <c r="AA1858" t="s">
        <v>3113</v>
      </c>
      <c r="AB1858" s="238" t="s">
        <v>3246</v>
      </c>
      <c r="AC1858" t="s">
        <v>3079</v>
      </c>
      <c r="AD1858" s="24"/>
      <c r="AE1858" s="238" t="s">
        <v>4541</v>
      </c>
      <c r="AF1858">
        <v>79626125241</v>
      </c>
      <c r="AG1858" s="238" t="s">
        <v>4542</v>
      </c>
      <c r="AH1858" s="238" t="s">
        <v>146</v>
      </c>
      <c r="AI1858" s="238" t="s">
        <v>135</v>
      </c>
      <c r="AJ1858" s="238" t="s">
        <v>4177</v>
      </c>
      <c r="AK1858" s="238" t="s">
        <v>3345</v>
      </c>
      <c r="AL1858" t="s">
        <v>8715</v>
      </c>
      <c r="AM1858" t="s">
        <v>1167</v>
      </c>
    </row>
    <row r="1859" spans="1:39" hidden="1" x14ac:dyDescent="0.25">
      <c r="A1859">
        <v>1856</v>
      </c>
      <c r="B1859">
        <v>10</v>
      </c>
      <c r="C1859" s="24">
        <v>45064</v>
      </c>
      <c r="D1859" s="238" t="s">
        <v>91</v>
      </c>
      <c r="E1859" s="238" t="s">
        <v>15</v>
      </c>
      <c r="F1859">
        <v>8</v>
      </c>
      <c r="G1859">
        <v>11</v>
      </c>
      <c r="H1859">
        <v>490</v>
      </c>
      <c r="I1859" s="238" t="s">
        <v>43</v>
      </c>
      <c r="J1859">
        <v>63.74</v>
      </c>
      <c r="K1859" s="238" t="s">
        <v>37</v>
      </c>
      <c r="L1859">
        <v>5069183.5599999996</v>
      </c>
      <c r="M1859">
        <v>0</v>
      </c>
      <c r="N1859">
        <v>5069183.5599999996</v>
      </c>
      <c r="O1859">
        <v>79529.080012550985</v>
      </c>
      <c r="P1859">
        <v>254960</v>
      </c>
      <c r="Q1859">
        <v>4814223.5599999996</v>
      </c>
      <c r="R1859">
        <v>75529.080012550985</v>
      </c>
      <c r="S1859" s="238" t="s">
        <v>124</v>
      </c>
      <c r="T1859" s="238" t="s">
        <v>60</v>
      </c>
      <c r="U1859">
        <v>254960</v>
      </c>
      <c r="V1859" t="s">
        <v>1167</v>
      </c>
      <c r="W1859" s="24">
        <v>45062</v>
      </c>
      <c r="X1859" s="238" t="s">
        <v>4547</v>
      </c>
      <c r="Y1859" s="238" t="s">
        <v>39</v>
      </c>
      <c r="Z1859" s="238" t="s">
        <v>1340</v>
      </c>
      <c r="AA1859" t="s">
        <v>3474</v>
      </c>
      <c r="AB1859" s="238" t="s">
        <v>3246</v>
      </c>
      <c r="AC1859" t="s">
        <v>1167</v>
      </c>
      <c r="AD1859" s="24"/>
      <c r="AE1859" s="238" t="s">
        <v>4548</v>
      </c>
      <c r="AF1859">
        <v>79272199005</v>
      </c>
      <c r="AG1859" s="238" t="s">
        <v>4549</v>
      </c>
      <c r="AH1859" s="238" t="s">
        <v>1171</v>
      </c>
      <c r="AI1859" s="238" t="s">
        <v>3074</v>
      </c>
      <c r="AJ1859" s="238" t="s">
        <v>3901</v>
      </c>
      <c r="AK1859" s="238" t="s">
        <v>1167</v>
      </c>
      <c r="AL1859" t="s">
        <v>8715</v>
      </c>
      <c r="AM1859" t="s">
        <v>1167</v>
      </c>
    </row>
    <row r="1860" spans="1:39" hidden="1" x14ac:dyDescent="0.25">
      <c r="A1860">
        <v>1857</v>
      </c>
      <c r="B1860">
        <v>11</v>
      </c>
      <c r="C1860" s="24">
        <v>45064</v>
      </c>
      <c r="D1860" s="238" t="s">
        <v>91</v>
      </c>
      <c r="E1860" s="238" t="s">
        <v>6</v>
      </c>
      <c r="F1860">
        <v>2</v>
      </c>
      <c r="G1860">
        <v>16</v>
      </c>
      <c r="H1860">
        <v>114</v>
      </c>
      <c r="I1860" s="238" t="s">
        <v>43</v>
      </c>
      <c r="J1860">
        <v>61.76</v>
      </c>
      <c r="K1860" s="238" t="s">
        <v>37</v>
      </c>
      <c r="L1860">
        <v>5403817.1900000004</v>
      </c>
      <c r="M1860">
        <v>0</v>
      </c>
      <c r="N1860">
        <v>5403817.1900000004</v>
      </c>
      <c r="O1860">
        <v>87497.039993523329</v>
      </c>
      <c r="P1860">
        <v>247040</v>
      </c>
      <c r="Q1860">
        <v>5156777.1900000004</v>
      </c>
      <c r="R1860">
        <v>83497.039993523329</v>
      </c>
      <c r="S1860" s="238" t="s">
        <v>137</v>
      </c>
      <c r="T1860" s="238" t="s">
        <v>1167</v>
      </c>
      <c r="V1860" t="s">
        <v>4092</v>
      </c>
      <c r="W1860" s="24">
        <v>45062</v>
      </c>
      <c r="X1860" s="238" t="s">
        <v>4550</v>
      </c>
      <c r="Y1860" s="238" t="s">
        <v>39</v>
      </c>
      <c r="Z1860" s="238" t="s">
        <v>1340</v>
      </c>
      <c r="AA1860" t="s">
        <v>3113</v>
      </c>
      <c r="AB1860" s="238" t="s">
        <v>3246</v>
      </c>
      <c r="AC1860" t="s">
        <v>3079</v>
      </c>
      <c r="AD1860" s="24"/>
      <c r="AE1860" s="238" t="s">
        <v>4551</v>
      </c>
      <c r="AF1860">
        <v>79371703000</v>
      </c>
      <c r="AG1860" s="238" t="s">
        <v>4552</v>
      </c>
      <c r="AH1860" s="238" t="s">
        <v>4072</v>
      </c>
      <c r="AI1860" s="238" t="s">
        <v>6406</v>
      </c>
      <c r="AJ1860" s="238" t="s">
        <v>130</v>
      </c>
      <c r="AK1860" s="238" t="s">
        <v>141</v>
      </c>
      <c r="AL1860" t="s">
        <v>57</v>
      </c>
      <c r="AM1860" t="s">
        <v>1167</v>
      </c>
    </row>
    <row r="1861" spans="1:39" hidden="1" x14ac:dyDescent="0.25">
      <c r="A1861">
        <v>1858</v>
      </c>
      <c r="B1861">
        <v>12</v>
      </c>
      <c r="C1861" s="24">
        <v>45065</v>
      </c>
      <c r="D1861" s="238" t="s">
        <v>91</v>
      </c>
      <c r="E1861" s="238" t="s">
        <v>15</v>
      </c>
      <c r="F1861">
        <v>5</v>
      </c>
      <c r="G1861">
        <v>7</v>
      </c>
      <c r="H1861">
        <v>451</v>
      </c>
      <c r="I1861" s="238" t="s">
        <v>43</v>
      </c>
      <c r="J1861">
        <v>56.04</v>
      </c>
      <c r="K1861" s="238" t="s">
        <v>37</v>
      </c>
      <c r="L1861">
        <v>4637699.4800000004</v>
      </c>
      <c r="M1861">
        <v>0</v>
      </c>
      <c r="N1861">
        <v>4637699.4800000004</v>
      </c>
      <c r="O1861">
        <v>82756.950035688802</v>
      </c>
      <c r="P1861">
        <v>224160</v>
      </c>
      <c r="Q1861">
        <v>4413539.4800000004</v>
      </c>
      <c r="R1861">
        <v>78756.950035688802</v>
      </c>
      <c r="S1861" s="238" t="s">
        <v>137</v>
      </c>
      <c r="T1861" s="238" t="s">
        <v>1167</v>
      </c>
      <c r="V1861" t="s">
        <v>4623</v>
      </c>
      <c r="W1861" s="24">
        <v>45057</v>
      </c>
      <c r="X1861" s="238" t="s">
        <v>4554</v>
      </c>
      <c r="Y1861" s="238" t="s">
        <v>39</v>
      </c>
      <c r="Z1861" s="238" t="s">
        <v>1168</v>
      </c>
      <c r="AA1861" t="s">
        <v>1167</v>
      </c>
      <c r="AB1861" s="238" t="s">
        <v>3246</v>
      </c>
      <c r="AC1861" t="s">
        <v>4555</v>
      </c>
      <c r="AD1861" s="24"/>
      <c r="AE1861" s="238" t="s">
        <v>4556</v>
      </c>
      <c r="AF1861">
        <v>79879113138</v>
      </c>
      <c r="AG1861" s="238" t="s">
        <v>4557</v>
      </c>
      <c r="AH1861" s="238" t="s">
        <v>1171</v>
      </c>
      <c r="AI1861" s="238" t="s">
        <v>3090</v>
      </c>
      <c r="AJ1861" s="238" t="s">
        <v>130</v>
      </c>
      <c r="AK1861" s="238" t="s">
        <v>141</v>
      </c>
      <c r="AL1861" t="s">
        <v>8715</v>
      </c>
      <c r="AM1861" t="s">
        <v>1167</v>
      </c>
    </row>
    <row r="1862" spans="1:39" hidden="1" x14ac:dyDescent="0.25">
      <c r="A1862">
        <v>1859</v>
      </c>
      <c r="B1862">
        <v>13</v>
      </c>
      <c r="C1862" s="24">
        <v>45065</v>
      </c>
      <c r="D1862" s="238" t="s">
        <v>91</v>
      </c>
      <c r="E1862" s="238" t="s">
        <v>16</v>
      </c>
      <c r="F1862">
        <v>3</v>
      </c>
      <c r="G1862">
        <v>15</v>
      </c>
      <c r="H1862">
        <v>334</v>
      </c>
      <c r="I1862" s="238" t="s">
        <v>4052</v>
      </c>
      <c r="J1862">
        <v>36.450000000000003</v>
      </c>
      <c r="K1862" s="238" t="s">
        <v>36</v>
      </c>
      <c r="L1862">
        <v>2971817.41</v>
      </c>
      <c r="M1862">
        <v>0</v>
      </c>
      <c r="N1862">
        <v>2971817.41</v>
      </c>
      <c r="O1862">
        <v>81531.341838134424</v>
      </c>
      <c r="P1862">
        <v>0</v>
      </c>
      <c r="Q1862">
        <v>2971817.41</v>
      </c>
      <c r="R1862">
        <v>81531.341838134424</v>
      </c>
      <c r="S1862" s="238" t="s">
        <v>124</v>
      </c>
      <c r="T1862" s="238" t="s">
        <v>978</v>
      </c>
      <c r="U1862">
        <v>189690.47</v>
      </c>
      <c r="V1862" t="s">
        <v>1167</v>
      </c>
      <c r="W1862" s="24">
        <v>45064</v>
      </c>
      <c r="X1862" s="238" t="s">
        <v>4558</v>
      </c>
      <c r="Y1862" s="238" t="s">
        <v>39</v>
      </c>
      <c r="Z1862" s="238" t="s">
        <v>1340</v>
      </c>
      <c r="AA1862" t="s">
        <v>3474</v>
      </c>
      <c r="AB1862" s="238" t="s">
        <v>3246</v>
      </c>
      <c r="AC1862" t="s">
        <v>1167</v>
      </c>
      <c r="AD1862" s="24"/>
      <c r="AE1862" s="238" t="s">
        <v>4559</v>
      </c>
      <c r="AF1862">
        <v>79170561558</v>
      </c>
      <c r="AG1862" s="238" t="s">
        <v>4560</v>
      </c>
      <c r="AH1862" s="238" t="s">
        <v>1171</v>
      </c>
      <c r="AI1862" s="238" t="s">
        <v>3074</v>
      </c>
      <c r="AJ1862" s="238" t="s">
        <v>130</v>
      </c>
      <c r="AK1862" s="238" t="s">
        <v>1167</v>
      </c>
      <c r="AL1862" t="s">
        <v>8715</v>
      </c>
      <c r="AM1862" t="s">
        <v>1167</v>
      </c>
    </row>
    <row r="1863" spans="1:39" hidden="1" x14ac:dyDescent="0.25">
      <c r="A1863">
        <v>1860</v>
      </c>
      <c r="B1863">
        <v>14</v>
      </c>
      <c r="C1863" s="24">
        <v>45069</v>
      </c>
      <c r="D1863" s="238" t="s">
        <v>91</v>
      </c>
      <c r="E1863" s="238" t="s">
        <v>15</v>
      </c>
      <c r="F1863">
        <v>6</v>
      </c>
      <c r="G1863">
        <v>3</v>
      </c>
      <c r="H1863">
        <v>416</v>
      </c>
      <c r="I1863" s="238" t="s">
        <v>43</v>
      </c>
      <c r="J1863">
        <v>58.62</v>
      </c>
      <c r="K1863" s="238" t="s">
        <v>37</v>
      </c>
      <c r="L1863">
        <v>4896474.67</v>
      </c>
      <c r="M1863">
        <v>0</v>
      </c>
      <c r="N1863">
        <v>4896474.67</v>
      </c>
      <c r="O1863">
        <v>83529.080006823613</v>
      </c>
      <c r="P1863">
        <v>234480</v>
      </c>
      <c r="Q1863">
        <v>4661994.67</v>
      </c>
      <c r="R1863">
        <v>79529.080006823613</v>
      </c>
      <c r="S1863" s="238" t="s">
        <v>137</v>
      </c>
      <c r="T1863" s="238" t="s">
        <v>1167</v>
      </c>
      <c r="V1863" t="s">
        <v>4092</v>
      </c>
      <c r="W1863" s="24">
        <v>45051</v>
      </c>
      <c r="X1863" s="238" t="s">
        <v>4569</v>
      </c>
      <c r="Y1863" s="238" t="s">
        <v>39</v>
      </c>
      <c r="Z1863" s="238" t="s">
        <v>1340</v>
      </c>
      <c r="AA1863" t="s">
        <v>3474</v>
      </c>
      <c r="AB1863" s="238" t="s">
        <v>3246</v>
      </c>
      <c r="AC1863" t="s">
        <v>3077</v>
      </c>
      <c r="AD1863" s="24"/>
      <c r="AE1863" s="238" t="s">
        <v>4570</v>
      </c>
      <c r="AF1863">
        <v>79613934202</v>
      </c>
      <c r="AG1863" s="238" t="s">
        <v>4571</v>
      </c>
      <c r="AH1863" s="238" t="s">
        <v>146</v>
      </c>
      <c r="AI1863" s="238" t="s">
        <v>135</v>
      </c>
      <c r="AJ1863" s="238" t="s">
        <v>4177</v>
      </c>
      <c r="AK1863" s="238" t="s">
        <v>141</v>
      </c>
      <c r="AL1863" t="s">
        <v>8715</v>
      </c>
      <c r="AM1863" t="s">
        <v>1167</v>
      </c>
    </row>
    <row r="1864" spans="1:39" hidden="1" x14ac:dyDescent="0.25">
      <c r="A1864">
        <v>1861</v>
      </c>
      <c r="B1864">
        <v>15</v>
      </c>
      <c r="C1864" s="24">
        <v>45069</v>
      </c>
      <c r="D1864" s="238" t="s">
        <v>91</v>
      </c>
      <c r="E1864" s="238" t="s">
        <v>5</v>
      </c>
      <c r="F1864">
        <v>1</v>
      </c>
      <c r="G1864">
        <v>10</v>
      </c>
      <c r="H1864">
        <v>185</v>
      </c>
      <c r="I1864" s="238" t="s">
        <v>4052</v>
      </c>
      <c r="J1864">
        <v>28.97</v>
      </c>
      <c r="K1864" s="238" t="s">
        <v>37</v>
      </c>
      <c r="L1864">
        <v>2603728</v>
      </c>
      <c r="M1864">
        <v>0</v>
      </c>
      <c r="N1864">
        <v>2603728</v>
      </c>
      <c r="O1864">
        <v>89876.700034518464</v>
      </c>
      <c r="P1864">
        <v>115879.99999999953</v>
      </c>
      <c r="Q1864">
        <v>2487848.0000000005</v>
      </c>
      <c r="R1864">
        <v>85876.700034518493</v>
      </c>
      <c r="S1864" s="238" t="s">
        <v>137</v>
      </c>
      <c r="T1864" s="238" t="s">
        <v>1167</v>
      </c>
      <c r="V1864" t="s">
        <v>4091</v>
      </c>
      <c r="W1864" s="24">
        <v>45064</v>
      </c>
      <c r="X1864" s="238" t="s">
        <v>4572</v>
      </c>
      <c r="Y1864" s="238" t="s">
        <v>39</v>
      </c>
      <c r="Z1864" s="238" t="s">
        <v>1340</v>
      </c>
      <c r="AA1864" t="s">
        <v>3113</v>
      </c>
      <c r="AB1864" s="238" t="s">
        <v>3246</v>
      </c>
      <c r="AC1864" t="s">
        <v>3079</v>
      </c>
      <c r="AD1864" s="24"/>
      <c r="AE1864" s="238" t="s">
        <v>4573</v>
      </c>
      <c r="AF1864">
        <v>79277359287</v>
      </c>
      <c r="AG1864" s="238" t="s">
        <v>4574</v>
      </c>
      <c r="AH1864" s="238" t="s">
        <v>1212</v>
      </c>
      <c r="AI1864" s="238" t="s">
        <v>3514</v>
      </c>
      <c r="AJ1864" s="238" t="s">
        <v>4177</v>
      </c>
      <c r="AK1864" s="238" t="s">
        <v>141</v>
      </c>
      <c r="AL1864" t="s">
        <v>8715</v>
      </c>
      <c r="AM1864" t="s">
        <v>1167</v>
      </c>
    </row>
    <row r="1865" spans="1:39" hidden="1" x14ac:dyDescent="0.25">
      <c r="A1865">
        <v>1862</v>
      </c>
      <c r="B1865">
        <v>16</v>
      </c>
      <c r="C1865" s="24">
        <v>45070</v>
      </c>
      <c r="D1865" s="238" t="s">
        <v>91</v>
      </c>
      <c r="E1865" s="238" t="s">
        <v>5</v>
      </c>
      <c r="F1865">
        <v>5</v>
      </c>
      <c r="G1865">
        <v>11</v>
      </c>
      <c r="H1865">
        <v>197</v>
      </c>
      <c r="I1865" s="238" t="s">
        <v>42</v>
      </c>
      <c r="J1865">
        <v>36.700000000000003</v>
      </c>
      <c r="K1865" s="238" t="s">
        <v>36</v>
      </c>
      <c r="L1865">
        <v>3380763.26</v>
      </c>
      <c r="M1865">
        <v>0</v>
      </c>
      <c r="N1865">
        <v>3380763.26</v>
      </c>
      <c r="O1865">
        <v>92118.889918256114</v>
      </c>
      <c r="P1865">
        <v>0</v>
      </c>
      <c r="Q1865">
        <v>3380763.26</v>
      </c>
      <c r="R1865">
        <v>92118.889918256114</v>
      </c>
      <c r="S1865" s="238" t="s">
        <v>137</v>
      </c>
      <c r="T1865" s="238" t="s">
        <v>1167</v>
      </c>
      <c r="V1865" t="s">
        <v>4091</v>
      </c>
      <c r="W1865" s="24">
        <v>45064</v>
      </c>
      <c r="X1865" s="238" t="s">
        <v>4575</v>
      </c>
      <c r="Y1865" s="238" t="s">
        <v>39</v>
      </c>
      <c r="Z1865" s="238" t="s">
        <v>1340</v>
      </c>
      <c r="AA1865" t="s">
        <v>3113</v>
      </c>
      <c r="AB1865" s="238" t="s">
        <v>3246</v>
      </c>
      <c r="AC1865" t="s">
        <v>3079</v>
      </c>
      <c r="AD1865" s="24"/>
      <c r="AE1865" s="238" t="s">
        <v>4576</v>
      </c>
      <c r="AF1865">
        <v>79376551677</v>
      </c>
      <c r="AG1865" s="238" t="s">
        <v>4577</v>
      </c>
      <c r="AH1865" s="238" t="s">
        <v>1212</v>
      </c>
      <c r="AI1865" s="238" t="s">
        <v>3074</v>
      </c>
      <c r="AJ1865" s="238" t="s">
        <v>130</v>
      </c>
      <c r="AK1865" s="238" t="s">
        <v>141</v>
      </c>
      <c r="AL1865" t="s">
        <v>8715</v>
      </c>
      <c r="AM1865" t="s">
        <v>1167</v>
      </c>
    </row>
    <row r="1866" spans="1:39" hidden="1" x14ac:dyDescent="0.25">
      <c r="A1866">
        <v>1863</v>
      </c>
      <c r="B1866">
        <v>17</v>
      </c>
      <c r="C1866" s="24">
        <v>45070</v>
      </c>
      <c r="D1866" s="238" t="s">
        <v>91</v>
      </c>
      <c r="E1866" s="238" t="s">
        <v>5</v>
      </c>
      <c r="F1866">
        <v>7</v>
      </c>
      <c r="G1866">
        <v>14</v>
      </c>
      <c r="H1866">
        <v>223</v>
      </c>
      <c r="I1866" s="238" t="s">
        <v>44</v>
      </c>
      <c r="J1866">
        <v>78.73</v>
      </c>
      <c r="K1866" s="238" t="s">
        <v>36</v>
      </c>
      <c r="L1866">
        <v>5817628.6900000004</v>
      </c>
      <c r="M1866">
        <v>0</v>
      </c>
      <c r="N1866">
        <v>5817628.6900000004</v>
      </c>
      <c r="O1866">
        <v>73893.416613743175</v>
      </c>
      <c r="P1866">
        <v>0</v>
      </c>
      <c r="Q1866">
        <v>5817628.6900000004</v>
      </c>
      <c r="R1866">
        <v>73893.416613743175</v>
      </c>
      <c r="S1866" s="238" t="s">
        <v>137</v>
      </c>
      <c r="T1866" s="238" t="s">
        <v>3540</v>
      </c>
      <c r="U1866">
        <v>179926.66</v>
      </c>
      <c r="V1866" t="s">
        <v>4092</v>
      </c>
      <c r="W1866" s="24">
        <v>45068</v>
      </c>
      <c r="X1866" s="238" t="s">
        <v>4578</v>
      </c>
      <c r="Y1866" s="238" t="s">
        <v>39</v>
      </c>
      <c r="Z1866" s="238" t="s">
        <v>1340</v>
      </c>
      <c r="AA1866" t="s">
        <v>3113</v>
      </c>
      <c r="AB1866" s="238" t="s">
        <v>3246</v>
      </c>
      <c r="AC1866" t="s">
        <v>3079</v>
      </c>
      <c r="AD1866" s="24"/>
      <c r="AE1866" s="238" t="s">
        <v>4579</v>
      </c>
      <c r="AF1866">
        <v>79619298123</v>
      </c>
      <c r="AG1866" s="238" t="s">
        <v>4580</v>
      </c>
      <c r="AH1866" s="238" t="s">
        <v>1212</v>
      </c>
      <c r="AI1866" s="238" t="s">
        <v>3084</v>
      </c>
      <c r="AJ1866" s="238" t="s">
        <v>4177</v>
      </c>
      <c r="AK1866" s="238" t="s">
        <v>141</v>
      </c>
      <c r="AL1866" t="s">
        <v>8715</v>
      </c>
      <c r="AM1866" t="s">
        <v>1167</v>
      </c>
    </row>
    <row r="1867" spans="1:39" hidden="1" x14ac:dyDescent="0.25">
      <c r="A1867">
        <v>1864</v>
      </c>
      <c r="B1867">
        <v>18</v>
      </c>
      <c r="C1867" s="24">
        <v>45070</v>
      </c>
      <c r="D1867" s="238" t="s">
        <v>20</v>
      </c>
      <c r="E1867" s="238" t="s">
        <v>6</v>
      </c>
      <c r="F1867">
        <v>5</v>
      </c>
      <c r="G1867">
        <v>1</v>
      </c>
      <c r="H1867">
        <v>5</v>
      </c>
      <c r="I1867" s="238" t="s">
        <v>3946</v>
      </c>
      <c r="J1867">
        <v>79.2</v>
      </c>
      <c r="K1867" s="238" t="s">
        <v>36</v>
      </c>
      <c r="L1867">
        <v>9108000</v>
      </c>
      <c r="M1867">
        <v>0</v>
      </c>
      <c r="N1867">
        <v>9108000</v>
      </c>
      <c r="O1867">
        <v>115000</v>
      </c>
      <c r="P1867">
        <v>0</v>
      </c>
      <c r="Q1867">
        <v>9108000</v>
      </c>
      <c r="R1867">
        <v>115000</v>
      </c>
      <c r="S1867" s="238" t="s">
        <v>121</v>
      </c>
      <c r="T1867" s="238" t="s">
        <v>1167</v>
      </c>
      <c r="V1867" t="s">
        <v>1167</v>
      </c>
      <c r="W1867" s="24">
        <v>45070</v>
      </c>
      <c r="X1867" s="238" t="s">
        <v>4581</v>
      </c>
      <c r="Y1867" s="238" t="s">
        <v>3946</v>
      </c>
      <c r="Z1867" s="238" t="s">
        <v>1340</v>
      </c>
      <c r="AA1867" t="s">
        <v>3113</v>
      </c>
      <c r="AB1867" s="238" t="s">
        <v>3124</v>
      </c>
      <c r="AC1867" t="s">
        <v>1167</v>
      </c>
      <c r="AD1867" s="24"/>
      <c r="AE1867" s="238" t="s">
        <v>4035</v>
      </c>
      <c r="AF1867">
        <v>79270097272</v>
      </c>
      <c r="AG1867" s="238" t="s">
        <v>4036</v>
      </c>
      <c r="AH1867" s="238" t="s">
        <v>1212</v>
      </c>
      <c r="AI1867" s="238" t="s">
        <v>3073</v>
      </c>
      <c r="AJ1867" s="238" t="s">
        <v>982</v>
      </c>
      <c r="AK1867" s="238" t="s">
        <v>1167</v>
      </c>
      <c r="AL1867" t="s">
        <v>8715</v>
      </c>
      <c r="AM1867" t="s">
        <v>1167</v>
      </c>
    </row>
    <row r="1868" spans="1:39" hidden="1" x14ac:dyDescent="0.25">
      <c r="A1868">
        <v>1865</v>
      </c>
      <c r="B1868">
        <v>19</v>
      </c>
      <c r="C1868" s="24">
        <v>45071</v>
      </c>
      <c r="D1868" s="238" t="s">
        <v>91</v>
      </c>
      <c r="E1868" s="238" t="s">
        <v>6</v>
      </c>
      <c r="F1868">
        <v>7</v>
      </c>
      <c r="G1868">
        <v>10</v>
      </c>
      <c r="H1868">
        <v>71</v>
      </c>
      <c r="I1868" s="238" t="s">
        <v>4052</v>
      </c>
      <c r="J1868">
        <v>21.75</v>
      </c>
      <c r="K1868" s="238" t="s">
        <v>38</v>
      </c>
      <c r="L1868">
        <v>2462619.17</v>
      </c>
      <c r="M1868">
        <v>0</v>
      </c>
      <c r="N1868">
        <v>2462619.17</v>
      </c>
      <c r="O1868">
        <v>113223.86988505747</v>
      </c>
      <c r="P1868">
        <v>326250</v>
      </c>
      <c r="Q1868">
        <v>2136369.17</v>
      </c>
      <c r="R1868">
        <v>98223.869885057473</v>
      </c>
      <c r="S1868" s="238" t="s">
        <v>137</v>
      </c>
      <c r="T1868" s="238" t="s">
        <v>1167</v>
      </c>
      <c r="V1868" t="s">
        <v>4091</v>
      </c>
      <c r="W1868" s="24">
        <v>45068</v>
      </c>
      <c r="X1868" s="238" t="s">
        <v>4584</v>
      </c>
      <c r="Y1868" s="238" t="s">
        <v>39</v>
      </c>
      <c r="Z1868" s="238" t="s">
        <v>1340</v>
      </c>
      <c r="AA1868" t="s">
        <v>3113</v>
      </c>
      <c r="AB1868" s="238" t="s">
        <v>3246</v>
      </c>
      <c r="AC1868" t="s">
        <v>3079</v>
      </c>
      <c r="AD1868" s="24"/>
      <c r="AE1868" s="238" t="s">
        <v>4585</v>
      </c>
      <c r="AF1868">
        <v>79372312009</v>
      </c>
      <c r="AG1868" s="238" t="s">
        <v>4586</v>
      </c>
      <c r="AH1868" s="238" t="s">
        <v>146</v>
      </c>
      <c r="AI1868" s="238" t="s">
        <v>135</v>
      </c>
      <c r="AJ1868" s="238" t="s">
        <v>130</v>
      </c>
      <c r="AK1868" s="238" t="s">
        <v>141</v>
      </c>
      <c r="AL1868" t="s">
        <v>8715</v>
      </c>
      <c r="AM1868" t="s">
        <v>1167</v>
      </c>
    </row>
    <row r="1869" spans="1:39" hidden="1" x14ac:dyDescent="0.25">
      <c r="A1869">
        <v>1866</v>
      </c>
      <c r="B1869">
        <v>20</v>
      </c>
      <c r="C1869" s="24">
        <v>45071</v>
      </c>
      <c r="D1869" s="238" t="s">
        <v>91</v>
      </c>
      <c r="E1869" s="238" t="s">
        <v>15</v>
      </c>
      <c r="F1869">
        <v>8</v>
      </c>
      <c r="G1869">
        <v>3</v>
      </c>
      <c r="H1869">
        <v>418</v>
      </c>
      <c r="I1869" s="238" t="s">
        <v>43</v>
      </c>
      <c r="J1869">
        <v>63.74</v>
      </c>
      <c r="K1869" s="238" t="s">
        <v>37</v>
      </c>
      <c r="L1869">
        <v>5069183.5599999996</v>
      </c>
      <c r="M1869">
        <v>0</v>
      </c>
      <c r="N1869">
        <v>5069183.5599999996</v>
      </c>
      <c r="O1869">
        <v>79529.080012550985</v>
      </c>
      <c r="P1869">
        <v>254960</v>
      </c>
      <c r="Q1869">
        <v>4814223.5599999996</v>
      </c>
      <c r="R1869">
        <v>75529.080012550985</v>
      </c>
      <c r="S1869" s="238" t="s">
        <v>137</v>
      </c>
      <c r="T1869" s="238" t="s">
        <v>60</v>
      </c>
      <c r="U1869">
        <v>254960</v>
      </c>
      <c r="V1869" t="s">
        <v>4092</v>
      </c>
      <c r="W1869" s="24">
        <v>45068</v>
      </c>
      <c r="X1869" s="238" t="s">
        <v>4587</v>
      </c>
      <c r="Y1869" s="238" t="s">
        <v>39</v>
      </c>
      <c r="Z1869" s="238" t="s">
        <v>1340</v>
      </c>
      <c r="AA1869" t="s">
        <v>3113</v>
      </c>
      <c r="AB1869" s="238" t="s">
        <v>3246</v>
      </c>
      <c r="AC1869" t="s">
        <v>3079</v>
      </c>
      <c r="AD1869" s="24"/>
      <c r="AE1869" s="238" t="s">
        <v>4588</v>
      </c>
      <c r="AF1869">
        <v>79524249009</v>
      </c>
      <c r="AG1869" s="238" t="s">
        <v>4589</v>
      </c>
      <c r="AH1869" s="238" t="s">
        <v>1212</v>
      </c>
      <c r="AI1869" s="238" t="s">
        <v>135</v>
      </c>
      <c r="AJ1869" s="238" t="s">
        <v>4177</v>
      </c>
      <c r="AK1869" s="238" t="s">
        <v>141</v>
      </c>
      <c r="AL1869" t="s">
        <v>8715</v>
      </c>
      <c r="AM1869" t="s">
        <v>1167</v>
      </c>
    </row>
    <row r="1870" spans="1:39" hidden="1" x14ac:dyDescent="0.25">
      <c r="A1870">
        <v>1867</v>
      </c>
      <c r="B1870">
        <v>21</v>
      </c>
      <c r="C1870" s="24">
        <v>45072</v>
      </c>
      <c r="D1870" s="238" t="s">
        <v>91</v>
      </c>
      <c r="E1870" s="238" t="s">
        <v>6</v>
      </c>
      <c r="F1870">
        <v>5</v>
      </c>
      <c r="G1870">
        <v>16</v>
      </c>
      <c r="H1870">
        <v>117</v>
      </c>
      <c r="I1870" s="238" t="s">
        <v>43</v>
      </c>
      <c r="J1870">
        <v>54.66</v>
      </c>
      <c r="K1870" s="238" t="s">
        <v>38</v>
      </c>
      <c r="L1870">
        <v>4801013.3499999996</v>
      </c>
      <c r="M1870">
        <v>25000</v>
      </c>
      <c r="N1870">
        <v>4826013.3499999996</v>
      </c>
      <c r="O1870">
        <v>88291.499268203435</v>
      </c>
      <c r="P1870">
        <v>819900</v>
      </c>
      <c r="Q1870">
        <v>4006113.3499999996</v>
      </c>
      <c r="R1870">
        <v>73291.499268203435</v>
      </c>
      <c r="S1870" s="238" t="s">
        <v>137</v>
      </c>
      <c r="T1870" s="238" t="s">
        <v>978</v>
      </c>
      <c r="U1870">
        <v>255709.36</v>
      </c>
      <c r="V1870" t="s">
        <v>3661</v>
      </c>
      <c r="W1870" s="24">
        <v>45040</v>
      </c>
      <c r="X1870" s="238" t="s">
        <v>4590</v>
      </c>
      <c r="Y1870" s="238" t="s">
        <v>39</v>
      </c>
      <c r="Z1870" s="238" t="s">
        <v>1168</v>
      </c>
      <c r="AA1870" t="s">
        <v>1167</v>
      </c>
      <c r="AB1870" s="238" t="s">
        <v>3246</v>
      </c>
      <c r="AC1870" t="s">
        <v>3115</v>
      </c>
      <c r="AD1870" s="24"/>
      <c r="AE1870" s="238" t="s">
        <v>4591</v>
      </c>
      <c r="AF1870">
        <v>79879879388</v>
      </c>
      <c r="AG1870" s="238" t="s">
        <v>4592</v>
      </c>
      <c r="AH1870" s="238" t="s">
        <v>1171</v>
      </c>
      <c r="AI1870" s="238" t="s">
        <v>3074</v>
      </c>
      <c r="AJ1870" s="238" t="s">
        <v>3901</v>
      </c>
      <c r="AK1870" s="238" t="s">
        <v>141</v>
      </c>
      <c r="AL1870" t="s">
        <v>8715</v>
      </c>
      <c r="AM1870" t="s">
        <v>1167</v>
      </c>
    </row>
    <row r="1871" spans="1:39" hidden="1" x14ac:dyDescent="0.25">
      <c r="A1871">
        <v>1868</v>
      </c>
      <c r="B1871">
        <v>22</v>
      </c>
      <c r="C1871" s="24">
        <v>45072</v>
      </c>
      <c r="D1871" s="238" t="s">
        <v>91</v>
      </c>
      <c r="E1871" s="238" t="s">
        <v>15</v>
      </c>
      <c r="F1871">
        <v>1</v>
      </c>
      <c r="G1871">
        <v>16</v>
      </c>
      <c r="H1871">
        <v>528</v>
      </c>
      <c r="I1871" s="238" t="s">
        <v>42</v>
      </c>
      <c r="J1871">
        <v>39.74</v>
      </c>
      <c r="K1871" s="238" t="s">
        <v>37</v>
      </c>
      <c r="L1871">
        <v>3660804.69</v>
      </c>
      <c r="M1871">
        <v>0</v>
      </c>
      <c r="N1871">
        <v>3660804.69</v>
      </c>
      <c r="O1871">
        <v>92118.890035228978</v>
      </c>
      <c r="P1871">
        <v>158959.99999999953</v>
      </c>
      <c r="Q1871">
        <v>3501844.6900000004</v>
      </c>
      <c r="R1871">
        <v>88118.890035228993</v>
      </c>
      <c r="S1871" s="238" t="s">
        <v>137</v>
      </c>
      <c r="T1871" s="238" t="s">
        <v>60</v>
      </c>
      <c r="U1871">
        <v>158960</v>
      </c>
      <c r="V1871" t="s">
        <v>4092</v>
      </c>
      <c r="W1871" s="24">
        <v>45068</v>
      </c>
      <c r="X1871" s="238" t="s">
        <v>4593</v>
      </c>
      <c r="Y1871" s="238" t="s">
        <v>39</v>
      </c>
      <c r="Z1871" s="238" t="s">
        <v>1340</v>
      </c>
      <c r="AA1871" t="s">
        <v>3113</v>
      </c>
      <c r="AB1871" s="238" t="s">
        <v>3246</v>
      </c>
      <c r="AC1871" t="s">
        <v>3079</v>
      </c>
      <c r="AD1871" s="24"/>
      <c r="AE1871" s="238" t="s">
        <v>4594</v>
      </c>
      <c r="AF1871">
        <v>79225329793</v>
      </c>
      <c r="AG1871" s="238" t="s">
        <v>4595</v>
      </c>
      <c r="AH1871" s="238" t="s">
        <v>1212</v>
      </c>
      <c r="AI1871" s="238" t="s">
        <v>135</v>
      </c>
      <c r="AJ1871" s="238" t="s">
        <v>4177</v>
      </c>
      <c r="AK1871" s="238" t="s">
        <v>141</v>
      </c>
      <c r="AL1871" t="s">
        <v>8715</v>
      </c>
      <c r="AM1871" t="s">
        <v>1167</v>
      </c>
    </row>
    <row r="1872" spans="1:39" hidden="1" x14ac:dyDescent="0.25">
      <c r="A1872">
        <v>1869</v>
      </c>
      <c r="B1872">
        <v>23</v>
      </c>
      <c r="C1872" s="24">
        <v>45076</v>
      </c>
      <c r="D1872" s="238" t="s">
        <v>91</v>
      </c>
      <c r="E1872" s="238" t="s">
        <v>16</v>
      </c>
      <c r="F1872">
        <v>6</v>
      </c>
      <c r="G1872">
        <v>24</v>
      </c>
      <c r="H1872">
        <v>400</v>
      </c>
      <c r="I1872" s="238" t="s">
        <v>44</v>
      </c>
      <c r="J1872">
        <v>72.510000000000005</v>
      </c>
      <c r="K1872" s="238" t="s">
        <v>37</v>
      </c>
      <c r="L1872">
        <v>5911061.8799999999</v>
      </c>
      <c r="M1872">
        <v>0</v>
      </c>
      <c r="N1872">
        <v>5911061.8799999999</v>
      </c>
      <c r="O1872">
        <v>81520.643773272648</v>
      </c>
      <c r="P1872">
        <v>290040</v>
      </c>
      <c r="Q1872">
        <v>5621021.8799999999</v>
      </c>
      <c r="R1872">
        <v>77520.643773272648</v>
      </c>
      <c r="S1872" s="238" t="s">
        <v>137</v>
      </c>
      <c r="T1872" s="238" t="s">
        <v>978</v>
      </c>
      <c r="U1872">
        <v>358788.63</v>
      </c>
      <c r="V1872" t="s">
        <v>4092</v>
      </c>
      <c r="W1872" s="24">
        <v>45065</v>
      </c>
      <c r="X1872" s="238" t="s">
        <v>4596</v>
      </c>
      <c r="Y1872" s="238" t="s">
        <v>39</v>
      </c>
      <c r="Z1872" s="238" t="s">
        <v>1168</v>
      </c>
      <c r="AA1872" t="s">
        <v>1167</v>
      </c>
      <c r="AB1872" s="238" t="s">
        <v>3246</v>
      </c>
      <c r="AC1872" t="s">
        <v>3079</v>
      </c>
      <c r="AD1872" s="24"/>
      <c r="AE1872" s="238" t="s">
        <v>4597</v>
      </c>
      <c r="AF1872">
        <v>79271035571</v>
      </c>
      <c r="AG1872" s="238" t="s">
        <v>4598</v>
      </c>
      <c r="AH1872" s="238" t="s">
        <v>1212</v>
      </c>
      <c r="AI1872" s="238" t="s">
        <v>135</v>
      </c>
      <c r="AJ1872" s="238" t="s">
        <v>3901</v>
      </c>
      <c r="AK1872" s="238" t="s">
        <v>141</v>
      </c>
      <c r="AL1872" t="s">
        <v>8715</v>
      </c>
      <c r="AM1872" t="s">
        <v>1167</v>
      </c>
    </row>
    <row r="1873" spans="1:39" hidden="1" x14ac:dyDescent="0.25">
      <c r="A1873">
        <v>1870</v>
      </c>
      <c r="B1873">
        <v>24</v>
      </c>
      <c r="C1873" s="24">
        <v>45076</v>
      </c>
      <c r="D1873" s="238" t="s">
        <v>91</v>
      </c>
      <c r="E1873" s="238" t="s">
        <v>6</v>
      </c>
      <c r="F1873">
        <v>3</v>
      </c>
      <c r="G1873">
        <v>11</v>
      </c>
      <c r="H1873">
        <v>75</v>
      </c>
      <c r="I1873" s="238" t="s">
        <v>42</v>
      </c>
      <c r="J1873">
        <v>35.54</v>
      </c>
      <c r="K1873" s="238" t="s">
        <v>37</v>
      </c>
      <c r="L1873">
        <v>3349913.3</v>
      </c>
      <c r="M1873">
        <v>0</v>
      </c>
      <c r="N1873">
        <v>3349913.3</v>
      </c>
      <c r="O1873">
        <v>94257.549240292632</v>
      </c>
      <c r="P1873">
        <v>142160</v>
      </c>
      <c r="Q1873">
        <v>3207753.3</v>
      </c>
      <c r="R1873">
        <v>90257.549240292632</v>
      </c>
      <c r="S1873" s="238" t="s">
        <v>121</v>
      </c>
      <c r="T1873" s="238" t="s">
        <v>3540</v>
      </c>
      <c r="U1873">
        <v>99208.87</v>
      </c>
      <c r="V1873" t="s">
        <v>1167</v>
      </c>
      <c r="W1873" s="24">
        <v>45076</v>
      </c>
      <c r="X1873" s="238" t="s">
        <v>4599</v>
      </c>
      <c r="Y1873" s="238" t="s">
        <v>39</v>
      </c>
      <c r="Z1873" s="238" t="s">
        <v>1340</v>
      </c>
      <c r="AA1873" t="s">
        <v>3474</v>
      </c>
      <c r="AB1873" s="238" t="s">
        <v>3246</v>
      </c>
      <c r="AC1873" t="s">
        <v>1167</v>
      </c>
      <c r="AD1873" s="24"/>
      <c r="AE1873" s="238" t="s">
        <v>4600</v>
      </c>
      <c r="AF1873">
        <v>79279043909</v>
      </c>
      <c r="AG1873" s="238" t="s">
        <v>4601</v>
      </c>
      <c r="AH1873" s="238" t="s">
        <v>1212</v>
      </c>
      <c r="AI1873" s="238" t="s">
        <v>135</v>
      </c>
      <c r="AJ1873" s="238" t="s">
        <v>3901</v>
      </c>
      <c r="AK1873" s="238" t="s">
        <v>1167</v>
      </c>
      <c r="AL1873" t="s">
        <v>8715</v>
      </c>
      <c r="AM1873" t="s">
        <v>1167</v>
      </c>
    </row>
    <row r="1874" spans="1:39" hidden="1" x14ac:dyDescent="0.25">
      <c r="A1874">
        <v>1871</v>
      </c>
      <c r="B1874">
        <v>25</v>
      </c>
      <c r="C1874" s="24">
        <v>45077</v>
      </c>
      <c r="D1874" s="238" t="s">
        <v>91</v>
      </c>
      <c r="E1874" s="238" t="s">
        <v>6</v>
      </c>
      <c r="F1874">
        <v>5</v>
      </c>
      <c r="G1874">
        <v>13</v>
      </c>
      <c r="H1874">
        <v>93</v>
      </c>
      <c r="I1874" s="238" t="s">
        <v>43</v>
      </c>
      <c r="J1874">
        <v>54.66</v>
      </c>
      <c r="K1874" s="238" t="s">
        <v>37</v>
      </c>
      <c r="L1874">
        <v>4523494.8899999997</v>
      </c>
      <c r="M1874">
        <v>0</v>
      </c>
      <c r="N1874">
        <v>4523494.8899999997</v>
      </c>
      <c r="O1874">
        <v>82756.950054884743</v>
      </c>
      <c r="P1874">
        <v>218640</v>
      </c>
      <c r="Q1874">
        <v>4304854.8899999997</v>
      </c>
      <c r="R1874">
        <v>78756.950054884743</v>
      </c>
      <c r="S1874" s="238" t="s">
        <v>137</v>
      </c>
      <c r="T1874" s="238" t="s">
        <v>1167</v>
      </c>
      <c r="V1874" t="s">
        <v>4092</v>
      </c>
      <c r="W1874" s="24">
        <v>45064</v>
      </c>
      <c r="X1874" s="238" t="s">
        <v>4602</v>
      </c>
      <c r="Y1874" s="238" t="s">
        <v>39</v>
      </c>
      <c r="Z1874" s="238" t="s">
        <v>1340</v>
      </c>
      <c r="AA1874" t="s">
        <v>3474</v>
      </c>
      <c r="AB1874" s="238" t="s">
        <v>3246</v>
      </c>
      <c r="AC1874" t="s">
        <v>3076</v>
      </c>
      <c r="AD1874" s="24"/>
      <c r="AE1874" s="238" t="s">
        <v>4603</v>
      </c>
      <c r="AF1874">
        <v>79371841840</v>
      </c>
      <c r="AG1874" s="238" t="s">
        <v>4604</v>
      </c>
      <c r="AH1874" s="238" t="s">
        <v>1171</v>
      </c>
      <c r="AI1874" s="238" t="s">
        <v>3074</v>
      </c>
      <c r="AJ1874" s="238" t="s">
        <v>4177</v>
      </c>
      <c r="AK1874" s="238" t="s">
        <v>141</v>
      </c>
      <c r="AL1874" t="s">
        <v>8715</v>
      </c>
      <c r="AM1874" t="s">
        <v>1167</v>
      </c>
    </row>
    <row r="1875" spans="1:39" hidden="1" x14ac:dyDescent="0.25">
      <c r="A1875">
        <v>1872</v>
      </c>
      <c r="B1875">
        <v>26</v>
      </c>
      <c r="C1875" s="24">
        <v>45077</v>
      </c>
      <c r="D1875" s="238" t="s">
        <v>91</v>
      </c>
      <c r="E1875" s="238" t="s">
        <v>15</v>
      </c>
      <c r="F1875">
        <v>1</v>
      </c>
      <c r="G1875">
        <v>12</v>
      </c>
      <c r="H1875">
        <v>492</v>
      </c>
      <c r="I1875" s="238" t="s">
        <v>42</v>
      </c>
      <c r="J1875">
        <v>39.74</v>
      </c>
      <c r="K1875" s="238" t="s">
        <v>37</v>
      </c>
      <c r="L1875">
        <v>3660804.69</v>
      </c>
      <c r="M1875">
        <v>0</v>
      </c>
      <c r="N1875">
        <v>3660804.69</v>
      </c>
      <c r="O1875">
        <v>92118.890035228978</v>
      </c>
      <c r="P1875">
        <v>158959.99999999953</v>
      </c>
      <c r="Q1875">
        <v>3501844.6900000004</v>
      </c>
      <c r="R1875">
        <v>88118.890035228993</v>
      </c>
      <c r="S1875" s="238" t="s">
        <v>137</v>
      </c>
      <c r="T1875" s="238" t="s">
        <v>60</v>
      </c>
      <c r="U1875">
        <v>158959.99999999953</v>
      </c>
      <c r="V1875" t="s">
        <v>4092</v>
      </c>
      <c r="W1875" s="24">
        <v>45064</v>
      </c>
      <c r="X1875" s="238" t="s">
        <v>4605</v>
      </c>
      <c r="Y1875" s="238" t="s">
        <v>39</v>
      </c>
      <c r="Z1875" s="238" t="s">
        <v>1340</v>
      </c>
      <c r="AA1875" t="s">
        <v>3113</v>
      </c>
      <c r="AB1875" s="238" t="s">
        <v>3246</v>
      </c>
      <c r="AC1875" t="s">
        <v>3079</v>
      </c>
      <c r="AD1875" s="24"/>
      <c r="AE1875" s="238" t="s">
        <v>4606</v>
      </c>
      <c r="AF1875">
        <v>79871557576</v>
      </c>
      <c r="AG1875" s="238" t="s">
        <v>4607</v>
      </c>
      <c r="AH1875" s="238" t="s">
        <v>1212</v>
      </c>
      <c r="AI1875" s="238" t="s">
        <v>135</v>
      </c>
      <c r="AJ1875" s="238" t="s">
        <v>4177</v>
      </c>
      <c r="AK1875" s="238" t="s">
        <v>141</v>
      </c>
      <c r="AL1875" t="s">
        <v>8715</v>
      </c>
      <c r="AM1875" t="s">
        <v>1167</v>
      </c>
    </row>
    <row r="1876" spans="1:39" hidden="1" x14ac:dyDescent="0.25">
      <c r="A1876">
        <v>1873</v>
      </c>
      <c r="B1876">
        <v>27</v>
      </c>
      <c r="C1876" s="24">
        <v>45077</v>
      </c>
      <c r="D1876" s="238" t="s">
        <v>91</v>
      </c>
      <c r="E1876" s="238" t="s">
        <v>15</v>
      </c>
      <c r="F1876">
        <v>5</v>
      </c>
      <c r="G1876">
        <v>8</v>
      </c>
      <c r="H1876">
        <v>460</v>
      </c>
      <c r="I1876" s="238" t="s">
        <v>43</v>
      </c>
      <c r="J1876">
        <v>56.04</v>
      </c>
      <c r="K1876" s="238" t="s">
        <v>38</v>
      </c>
      <c r="L1876">
        <v>5341977.6900000004</v>
      </c>
      <c r="M1876">
        <v>0</v>
      </c>
      <c r="N1876">
        <v>5341977.6900000004</v>
      </c>
      <c r="O1876">
        <v>95324.369914346898</v>
      </c>
      <c r="P1876">
        <v>840600</v>
      </c>
      <c r="Q1876">
        <v>4501377.6900000004</v>
      </c>
      <c r="R1876">
        <v>80324.369914346898</v>
      </c>
      <c r="S1876" s="238" t="s">
        <v>137</v>
      </c>
      <c r="T1876" s="238" t="s">
        <v>1167</v>
      </c>
      <c r="V1876" t="s">
        <v>4092</v>
      </c>
      <c r="W1876" s="24">
        <v>45075</v>
      </c>
      <c r="X1876" s="238" t="s">
        <v>4608</v>
      </c>
      <c r="Y1876" s="238" t="s">
        <v>39</v>
      </c>
      <c r="Z1876" s="238" t="s">
        <v>1340</v>
      </c>
      <c r="AA1876" t="s">
        <v>3113</v>
      </c>
      <c r="AB1876" s="238" t="s">
        <v>3246</v>
      </c>
      <c r="AC1876" t="s">
        <v>3079</v>
      </c>
      <c r="AD1876" s="24"/>
      <c r="AE1876" s="238" t="s">
        <v>4609</v>
      </c>
      <c r="AF1876">
        <v>79171647003</v>
      </c>
      <c r="AG1876" s="238" t="s">
        <v>4610</v>
      </c>
      <c r="AH1876" s="238" t="s">
        <v>1171</v>
      </c>
      <c r="AI1876" s="238" t="s">
        <v>3074</v>
      </c>
      <c r="AJ1876" s="238" t="s">
        <v>130</v>
      </c>
      <c r="AK1876" s="238" t="s">
        <v>141</v>
      </c>
      <c r="AL1876" t="s">
        <v>8715</v>
      </c>
      <c r="AM1876" t="s">
        <v>1167</v>
      </c>
    </row>
    <row r="1877" spans="1:39" hidden="1" x14ac:dyDescent="0.25">
      <c r="A1877">
        <v>1874</v>
      </c>
      <c r="B1877">
        <v>28</v>
      </c>
      <c r="C1877" s="24">
        <v>45077</v>
      </c>
      <c r="D1877" s="238" t="s">
        <v>91</v>
      </c>
      <c r="E1877" s="238" t="s">
        <v>6</v>
      </c>
      <c r="F1877">
        <v>1</v>
      </c>
      <c r="G1877">
        <v>5</v>
      </c>
      <c r="H1877">
        <v>25</v>
      </c>
      <c r="I1877" s="238" t="s">
        <v>42</v>
      </c>
      <c r="J1877">
        <v>33.53</v>
      </c>
      <c r="K1877" s="238" t="s">
        <v>37</v>
      </c>
      <c r="L1877">
        <v>3346416.05</v>
      </c>
      <c r="M1877">
        <v>0</v>
      </c>
      <c r="N1877">
        <v>3346416.05</v>
      </c>
      <c r="O1877">
        <v>99803.640023859218</v>
      </c>
      <c r="P1877">
        <v>134120.00000000047</v>
      </c>
      <c r="Q1877">
        <v>3212296.0499999993</v>
      </c>
      <c r="R1877">
        <v>95803.640023859203</v>
      </c>
      <c r="S1877" s="238" t="s">
        <v>137</v>
      </c>
      <c r="T1877" s="238" t="s">
        <v>1167</v>
      </c>
      <c r="V1877" t="s">
        <v>4092</v>
      </c>
      <c r="W1877" s="24">
        <v>45075</v>
      </c>
      <c r="X1877" s="238" t="s">
        <v>4611</v>
      </c>
      <c r="Y1877" s="238" t="s">
        <v>39</v>
      </c>
      <c r="Z1877" s="238" t="s">
        <v>1340</v>
      </c>
      <c r="AA1877" t="s">
        <v>3113</v>
      </c>
      <c r="AB1877" s="238" t="s">
        <v>3246</v>
      </c>
      <c r="AC1877" t="s">
        <v>3079</v>
      </c>
      <c r="AD1877" s="24"/>
      <c r="AE1877" s="238" t="s">
        <v>4612</v>
      </c>
      <c r="AF1877">
        <v>79225300201</v>
      </c>
      <c r="AG1877" s="238" t="s">
        <v>4613</v>
      </c>
      <c r="AH1877" s="238" t="s">
        <v>1212</v>
      </c>
      <c r="AI1877" s="238" t="s">
        <v>3102</v>
      </c>
      <c r="AJ1877" s="238" t="s">
        <v>130</v>
      </c>
      <c r="AK1877" s="238" t="s">
        <v>141</v>
      </c>
      <c r="AL1877" t="s">
        <v>8715</v>
      </c>
      <c r="AM1877" t="s">
        <v>1167</v>
      </c>
    </row>
    <row r="1878" spans="1:39" hidden="1" x14ac:dyDescent="0.25">
      <c r="A1878">
        <v>1875</v>
      </c>
      <c r="B1878">
        <v>29</v>
      </c>
      <c r="C1878" s="24">
        <v>45077</v>
      </c>
      <c r="D1878" s="238" t="s">
        <v>91</v>
      </c>
      <c r="E1878" s="238" t="s">
        <v>16</v>
      </c>
      <c r="F1878">
        <v>2</v>
      </c>
      <c r="G1878">
        <v>10</v>
      </c>
      <c r="H1878">
        <v>298</v>
      </c>
      <c r="I1878" s="238" t="s">
        <v>43</v>
      </c>
      <c r="J1878">
        <v>67.95</v>
      </c>
      <c r="K1878" s="238" t="s">
        <v>37</v>
      </c>
      <c r="L1878">
        <v>5613865.2400000002</v>
      </c>
      <c r="M1878">
        <v>0</v>
      </c>
      <c r="N1878">
        <v>5613865.2400000002</v>
      </c>
      <c r="O1878">
        <v>82617.589992641646</v>
      </c>
      <c r="P1878">
        <v>271800.00000000279</v>
      </c>
      <c r="Q1878">
        <v>5342065.2399999974</v>
      </c>
      <c r="R1878">
        <v>78617.589992641602</v>
      </c>
      <c r="S1878" s="238" t="s">
        <v>124</v>
      </c>
      <c r="T1878" s="238" t="s">
        <v>60</v>
      </c>
      <c r="U1878">
        <v>271800</v>
      </c>
      <c r="V1878" t="s">
        <v>1167</v>
      </c>
      <c r="W1878" s="24">
        <v>45075</v>
      </c>
      <c r="X1878" s="238" t="s">
        <v>4614</v>
      </c>
      <c r="Y1878" s="238" t="s">
        <v>39</v>
      </c>
      <c r="Z1878" s="238" t="s">
        <v>1340</v>
      </c>
      <c r="AA1878" t="s">
        <v>3113</v>
      </c>
      <c r="AB1878" s="238" t="s">
        <v>3246</v>
      </c>
      <c r="AC1878" t="s">
        <v>1167</v>
      </c>
      <c r="AD1878" s="24"/>
      <c r="AE1878" s="238" t="s">
        <v>4615</v>
      </c>
      <c r="AF1878">
        <v>79276897574</v>
      </c>
      <c r="AG1878" s="238" t="s">
        <v>4616</v>
      </c>
      <c r="AH1878" s="238" t="s">
        <v>1171</v>
      </c>
      <c r="AI1878" s="238" t="s">
        <v>3074</v>
      </c>
      <c r="AJ1878" s="238" t="s">
        <v>3901</v>
      </c>
      <c r="AK1878" s="238" t="s">
        <v>1167</v>
      </c>
      <c r="AL1878" t="s">
        <v>8715</v>
      </c>
      <c r="AM1878" t="s">
        <v>1167</v>
      </c>
    </row>
    <row r="1879" spans="1:39" hidden="1" x14ac:dyDescent="0.25">
      <c r="A1879">
        <v>1876</v>
      </c>
      <c r="B1879">
        <v>30</v>
      </c>
      <c r="C1879" s="24">
        <v>45077</v>
      </c>
      <c r="D1879" s="238" t="s">
        <v>91</v>
      </c>
      <c r="E1879" s="238" t="s">
        <v>5</v>
      </c>
      <c r="F1879">
        <v>1</v>
      </c>
      <c r="G1879">
        <v>12</v>
      </c>
      <c r="H1879">
        <v>201</v>
      </c>
      <c r="I1879" s="238" t="s">
        <v>4052</v>
      </c>
      <c r="J1879">
        <v>28.97</v>
      </c>
      <c r="K1879" s="238" t="s">
        <v>37</v>
      </c>
      <c r="L1879">
        <v>2728120.54</v>
      </c>
      <c r="M1879">
        <v>0</v>
      </c>
      <c r="N1879">
        <v>2728120.54</v>
      </c>
      <c r="O1879">
        <v>94170.53986882983</v>
      </c>
      <c r="P1879">
        <v>115880.00000000093</v>
      </c>
      <c r="Q1879">
        <v>2612240.5399999991</v>
      </c>
      <c r="R1879">
        <v>90170.539868829801</v>
      </c>
      <c r="S1879" s="238" t="s">
        <v>124</v>
      </c>
      <c r="T1879" s="238" t="s">
        <v>1167</v>
      </c>
      <c r="V1879" t="s">
        <v>1167</v>
      </c>
      <c r="W1879" s="24">
        <v>45076</v>
      </c>
      <c r="X1879" s="238" t="s">
        <v>4617</v>
      </c>
      <c r="Y1879" s="238" t="s">
        <v>39</v>
      </c>
      <c r="Z1879" s="238" t="s">
        <v>1340</v>
      </c>
      <c r="AA1879" t="s">
        <v>3474</v>
      </c>
      <c r="AB1879" s="238" t="s">
        <v>3246</v>
      </c>
      <c r="AC1879" t="s">
        <v>1167</v>
      </c>
      <c r="AD1879" s="24"/>
      <c r="AE1879" s="238" t="s">
        <v>4618</v>
      </c>
      <c r="AF1879">
        <v>79278288462</v>
      </c>
      <c r="AG1879" s="238" t="s">
        <v>4619</v>
      </c>
      <c r="AH1879" s="238" t="s">
        <v>1212</v>
      </c>
      <c r="AI1879" s="238" t="s">
        <v>3084</v>
      </c>
      <c r="AJ1879" s="238" t="s">
        <v>4177</v>
      </c>
      <c r="AK1879" s="238" t="s">
        <v>1167</v>
      </c>
      <c r="AL1879" t="s">
        <v>8715</v>
      </c>
      <c r="AM1879" t="s">
        <v>1167</v>
      </c>
    </row>
    <row r="1880" spans="1:39" hidden="1" x14ac:dyDescent="0.25">
      <c r="A1880">
        <v>1877</v>
      </c>
      <c r="B1880">
        <v>1</v>
      </c>
      <c r="C1880" s="24">
        <v>45078</v>
      </c>
      <c r="D1880" s="238" t="s">
        <v>91</v>
      </c>
      <c r="E1880" s="238" t="s">
        <v>16</v>
      </c>
      <c r="F1880">
        <v>3</v>
      </c>
      <c r="G1880">
        <v>8</v>
      </c>
      <c r="H1880">
        <v>285</v>
      </c>
      <c r="I1880" s="238" t="s">
        <v>4052</v>
      </c>
      <c r="J1880">
        <v>36.450000000000003</v>
      </c>
      <c r="K1880" s="238" t="s">
        <v>37</v>
      </c>
      <c r="L1880">
        <v>3465383.15</v>
      </c>
      <c r="M1880">
        <v>0</v>
      </c>
      <c r="N1880">
        <v>3465383.15</v>
      </c>
      <c r="O1880">
        <v>95072.240054869675</v>
      </c>
      <c r="P1880">
        <v>145800</v>
      </c>
      <c r="Q1880">
        <v>3319583.15</v>
      </c>
      <c r="R1880">
        <v>91072.240054869675</v>
      </c>
      <c r="S1880" s="238" t="s">
        <v>124</v>
      </c>
      <c r="T1880" s="238" t="s">
        <v>1167</v>
      </c>
      <c r="V1880" t="s">
        <v>1167</v>
      </c>
      <c r="W1880" s="24">
        <v>45076</v>
      </c>
      <c r="X1880" s="238" t="s">
        <v>4624</v>
      </c>
      <c r="Y1880" s="238" t="s">
        <v>39</v>
      </c>
      <c r="Z1880" s="238" t="s">
        <v>1340</v>
      </c>
      <c r="AA1880" t="s">
        <v>3474</v>
      </c>
      <c r="AB1880" s="238" t="s">
        <v>3246</v>
      </c>
      <c r="AC1880" t="s">
        <v>1167</v>
      </c>
      <c r="AD1880" s="24"/>
      <c r="AE1880" s="238" t="s">
        <v>4625</v>
      </c>
      <c r="AF1880">
        <v>79053482502</v>
      </c>
      <c r="AG1880" s="238" t="s">
        <v>4626</v>
      </c>
      <c r="AH1880" s="238" t="s">
        <v>1171</v>
      </c>
      <c r="AI1880" s="238" t="s">
        <v>3074</v>
      </c>
      <c r="AJ1880" s="238" t="s">
        <v>130</v>
      </c>
      <c r="AK1880" s="238" t="s">
        <v>1167</v>
      </c>
      <c r="AL1880" t="s">
        <v>8715</v>
      </c>
      <c r="AM1880" t="s">
        <v>1167</v>
      </c>
    </row>
    <row r="1881" spans="1:39" hidden="1" x14ac:dyDescent="0.25">
      <c r="A1881">
        <v>1878</v>
      </c>
      <c r="B1881">
        <v>2</v>
      </c>
      <c r="C1881" s="24">
        <v>45078</v>
      </c>
      <c r="D1881" s="238" t="s">
        <v>91</v>
      </c>
      <c r="E1881" s="238" t="s">
        <v>6</v>
      </c>
      <c r="F1881">
        <v>1</v>
      </c>
      <c r="G1881">
        <v>11</v>
      </c>
      <c r="H1881">
        <v>73</v>
      </c>
      <c r="I1881" s="238" t="s">
        <v>42</v>
      </c>
      <c r="J1881">
        <v>33.53</v>
      </c>
      <c r="K1881" s="238" t="s">
        <v>38</v>
      </c>
      <c r="L1881">
        <v>3522508.29</v>
      </c>
      <c r="M1881">
        <v>0</v>
      </c>
      <c r="N1881">
        <v>3522508.29</v>
      </c>
      <c r="O1881">
        <v>105055.42171189979</v>
      </c>
      <c r="P1881">
        <v>502949.99999999953</v>
      </c>
      <c r="Q1881">
        <v>3019558.2900000005</v>
      </c>
      <c r="R1881">
        <v>90055.421711899806</v>
      </c>
      <c r="S1881" s="238" t="s">
        <v>137</v>
      </c>
      <c r="T1881" s="238" t="s">
        <v>978</v>
      </c>
      <c r="U1881">
        <v>192737.76</v>
      </c>
      <c r="V1881" t="s">
        <v>4092</v>
      </c>
      <c r="W1881" s="24">
        <v>45076</v>
      </c>
      <c r="X1881" s="238" t="s">
        <v>4627</v>
      </c>
      <c r="Y1881" s="238" t="s">
        <v>39</v>
      </c>
      <c r="Z1881" s="238" t="s">
        <v>1340</v>
      </c>
      <c r="AA1881" t="s">
        <v>3113</v>
      </c>
      <c r="AB1881" s="238" t="s">
        <v>3246</v>
      </c>
      <c r="AC1881" t="s">
        <v>3079</v>
      </c>
      <c r="AD1881" s="24"/>
      <c r="AE1881" s="238" t="s">
        <v>4628</v>
      </c>
      <c r="AF1881">
        <v>79179584385</v>
      </c>
      <c r="AG1881" s="238" t="s">
        <v>4629</v>
      </c>
      <c r="AH1881" s="238" t="s">
        <v>135</v>
      </c>
      <c r="AI1881" s="238" t="s">
        <v>3099</v>
      </c>
      <c r="AJ1881" s="238" t="s">
        <v>130</v>
      </c>
      <c r="AK1881" s="238" t="s">
        <v>141</v>
      </c>
      <c r="AL1881" t="s">
        <v>8715</v>
      </c>
      <c r="AM1881" t="s">
        <v>1167</v>
      </c>
    </row>
    <row r="1882" spans="1:39" hidden="1" x14ac:dyDescent="0.25">
      <c r="A1882">
        <v>1879</v>
      </c>
      <c r="B1882">
        <v>3</v>
      </c>
      <c r="C1882" s="24">
        <v>45079</v>
      </c>
      <c r="D1882" s="238" t="s">
        <v>91</v>
      </c>
      <c r="E1882" s="238" t="s">
        <v>6</v>
      </c>
      <c r="F1882">
        <v>4</v>
      </c>
      <c r="G1882">
        <v>15</v>
      </c>
      <c r="H1882">
        <v>108</v>
      </c>
      <c r="I1882" s="238" t="s">
        <v>43</v>
      </c>
      <c r="J1882">
        <v>56.03</v>
      </c>
      <c r="K1882" s="238" t="s">
        <v>37</v>
      </c>
      <c r="L1882">
        <v>4693814.6500000004</v>
      </c>
      <c r="M1882">
        <v>0</v>
      </c>
      <c r="N1882">
        <v>4693814.6500000004</v>
      </c>
      <c r="O1882">
        <v>83773.240228449053</v>
      </c>
      <c r="P1882">
        <v>224120</v>
      </c>
      <c r="Q1882">
        <v>4469694.6500000004</v>
      </c>
      <c r="R1882">
        <v>79773.240228449053</v>
      </c>
      <c r="S1882" s="238" t="s">
        <v>137</v>
      </c>
      <c r="T1882" s="238" t="s">
        <v>3515</v>
      </c>
      <c r="U1882">
        <v>120000</v>
      </c>
      <c r="V1882" t="s">
        <v>4091</v>
      </c>
      <c r="W1882" s="24">
        <v>45076</v>
      </c>
      <c r="X1882" s="238" t="s">
        <v>4630</v>
      </c>
      <c r="Y1882" s="238" t="s">
        <v>39</v>
      </c>
      <c r="Z1882" s="238" t="s">
        <v>1340</v>
      </c>
      <c r="AA1882" t="s">
        <v>3113</v>
      </c>
      <c r="AB1882" s="238" t="s">
        <v>3246</v>
      </c>
      <c r="AC1882" t="s">
        <v>3079</v>
      </c>
      <c r="AD1882" s="24"/>
      <c r="AE1882" s="238" t="s">
        <v>4631</v>
      </c>
      <c r="AF1882">
        <v>79171114094</v>
      </c>
      <c r="AG1882" s="238" t="s">
        <v>4632</v>
      </c>
      <c r="AH1882" s="238" t="s">
        <v>1171</v>
      </c>
      <c r="AI1882" s="238" t="s">
        <v>3084</v>
      </c>
      <c r="AJ1882" s="238" t="s">
        <v>130</v>
      </c>
      <c r="AK1882" s="238" t="s">
        <v>141</v>
      </c>
      <c r="AL1882" t="s">
        <v>8715</v>
      </c>
      <c r="AM1882" t="s">
        <v>1167</v>
      </c>
    </row>
    <row r="1883" spans="1:39" hidden="1" x14ac:dyDescent="0.25">
      <c r="A1883">
        <v>1880</v>
      </c>
      <c r="B1883">
        <v>4</v>
      </c>
      <c r="C1883" s="24">
        <v>45083</v>
      </c>
      <c r="D1883" s="238" t="s">
        <v>91</v>
      </c>
      <c r="E1883" s="238" t="s">
        <v>16</v>
      </c>
      <c r="F1883">
        <v>4</v>
      </c>
      <c r="G1883">
        <v>11</v>
      </c>
      <c r="H1883">
        <v>307</v>
      </c>
      <c r="I1883" s="238" t="s">
        <v>43</v>
      </c>
      <c r="J1883">
        <v>58.55</v>
      </c>
      <c r="K1883" s="238" t="s">
        <v>36</v>
      </c>
      <c r="L1883">
        <v>4796120.32</v>
      </c>
      <c r="M1883">
        <v>0</v>
      </c>
      <c r="N1883">
        <v>4796120.32</v>
      </c>
      <c r="O1883">
        <v>81914.949957301462</v>
      </c>
      <c r="P1883">
        <v>0</v>
      </c>
      <c r="Q1883">
        <v>4796120.32</v>
      </c>
      <c r="R1883">
        <v>81914.949957301462</v>
      </c>
      <c r="S1883" s="238" t="s">
        <v>137</v>
      </c>
      <c r="T1883" s="238" t="s">
        <v>1167</v>
      </c>
      <c r="V1883" t="s">
        <v>4092</v>
      </c>
      <c r="W1883" s="24">
        <v>45063</v>
      </c>
      <c r="X1883" s="238" t="s">
        <v>4637</v>
      </c>
      <c r="Y1883" s="238" t="s">
        <v>39</v>
      </c>
      <c r="Z1883" s="238" t="s">
        <v>1168</v>
      </c>
      <c r="AA1883" t="s">
        <v>1167</v>
      </c>
      <c r="AB1883" s="238" t="s">
        <v>3246</v>
      </c>
      <c r="AC1883" t="s">
        <v>3079</v>
      </c>
      <c r="AD1883" s="24"/>
      <c r="AE1883" s="238" t="s">
        <v>4638</v>
      </c>
      <c r="AF1883">
        <v>79608418603</v>
      </c>
      <c r="AG1883" s="238" t="s">
        <v>4639</v>
      </c>
      <c r="AH1883" s="238" t="s">
        <v>1212</v>
      </c>
      <c r="AI1883" s="238" t="s">
        <v>3097</v>
      </c>
      <c r="AJ1883" s="238" t="s">
        <v>4177</v>
      </c>
      <c r="AK1883" s="238" t="s">
        <v>3345</v>
      </c>
      <c r="AL1883" t="s">
        <v>8715</v>
      </c>
      <c r="AM1883" t="s">
        <v>1167</v>
      </c>
    </row>
    <row r="1884" spans="1:39" hidden="1" x14ac:dyDescent="0.25">
      <c r="A1884">
        <v>1881</v>
      </c>
      <c r="B1884">
        <v>5</v>
      </c>
      <c r="C1884" s="24">
        <v>45084</v>
      </c>
      <c r="D1884" s="238" t="s">
        <v>91</v>
      </c>
      <c r="E1884" s="238" t="s">
        <v>16</v>
      </c>
      <c r="F1884">
        <v>6</v>
      </c>
      <c r="G1884">
        <v>23</v>
      </c>
      <c r="H1884">
        <v>393</v>
      </c>
      <c r="I1884" s="238" t="s">
        <v>44</v>
      </c>
      <c r="J1884">
        <v>72.510000000000005</v>
      </c>
      <c r="K1884" s="238" t="s">
        <v>36</v>
      </c>
      <c r="L1884">
        <v>5979810.5099999998</v>
      </c>
      <c r="M1884">
        <v>0</v>
      </c>
      <c r="N1884">
        <v>5979810.5099999998</v>
      </c>
      <c r="O1884">
        <v>82468.769962763748</v>
      </c>
      <c r="P1884">
        <v>0</v>
      </c>
      <c r="Q1884">
        <v>5979810.5099999998</v>
      </c>
      <c r="R1884">
        <v>82468.769962763748</v>
      </c>
      <c r="S1884" s="238" t="s">
        <v>124</v>
      </c>
      <c r="T1884" s="238" t="s">
        <v>1167</v>
      </c>
      <c r="V1884" t="s">
        <v>1167</v>
      </c>
      <c r="W1884" s="24">
        <v>45082</v>
      </c>
      <c r="X1884" s="238" t="s">
        <v>4640</v>
      </c>
      <c r="Y1884" s="238" t="s">
        <v>39</v>
      </c>
      <c r="Z1884" s="238" t="s">
        <v>1340</v>
      </c>
      <c r="AA1884" t="s">
        <v>3474</v>
      </c>
      <c r="AB1884" s="238" t="s">
        <v>3246</v>
      </c>
      <c r="AC1884" t="s">
        <v>1167</v>
      </c>
      <c r="AD1884" s="24"/>
      <c r="AE1884" s="238" t="s">
        <v>4641</v>
      </c>
      <c r="AF1884">
        <v>79272478082</v>
      </c>
      <c r="AG1884" s="238" t="s">
        <v>4642</v>
      </c>
      <c r="AH1884" s="238" t="s">
        <v>146</v>
      </c>
      <c r="AI1884" s="238" t="s">
        <v>135</v>
      </c>
      <c r="AJ1884" s="238" t="s">
        <v>130</v>
      </c>
      <c r="AK1884" s="238" t="s">
        <v>1167</v>
      </c>
      <c r="AL1884" t="s">
        <v>8715</v>
      </c>
      <c r="AM1884" t="s">
        <v>1167</v>
      </c>
    </row>
    <row r="1885" spans="1:39" hidden="1" x14ac:dyDescent="0.25">
      <c r="A1885">
        <v>1882</v>
      </c>
      <c r="B1885">
        <v>6</v>
      </c>
      <c r="C1885" s="24">
        <v>45084</v>
      </c>
      <c r="D1885" s="238" t="s">
        <v>91</v>
      </c>
      <c r="E1885" s="238" t="s">
        <v>16</v>
      </c>
      <c r="F1885">
        <v>7</v>
      </c>
      <c r="G1885">
        <v>23</v>
      </c>
      <c r="H1885">
        <v>394</v>
      </c>
      <c r="I1885" s="238" t="s">
        <v>42</v>
      </c>
      <c r="J1885">
        <v>33.840000000000003</v>
      </c>
      <c r="K1885" s="238" t="s">
        <v>36</v>
      </c>
      <c r="L1885">
        <v>3460268.18</v>
      </c>
      <c r="M1885">
        <v>0</v>
      </c>
      <c r="N1885">
        <v>3460268.18</v>
      </c>
      <c r="O1885">
        <v>102253.7878250591</v>
      </c>
      <c r="P1885">
        <v>0</v>
      </c>
      <c r="Q1885">
        <v>3460268.18</v>
      </c>
      <c r="R1885">
        <v>102253.7878250591</v>
      </c>
      <c r="S1885" s="238" t="s">
        <v>124</v>
      </c>
      <c r="T1885" s="238" t="s">
        <v>4360</v>
      </c>
      <c r="U1885">
        <v>70617.72</v>
      </c>
      <c r="V1885" t="s">
        <v>1167</v>
      </c>
      <c r="W1885" s="24">
        <v>45082</v>
      </c>
      <c r="X1885" s="238" t="s">
        <v>4643</v>
      </c>
      <c r="Y1885" s="238" t="s">
        <v>39</v>
      </c>
      <c r="Z1885" s="238" t="s">
        <v>1340</v>
      </c>
      <c r="AA1885" t="s">
        <v>3474</v>
      </c>
      <c r="AB1885" s="238" t="s">
        <v>3246</v>
      </c>
      <c r="AC1885" t="s">
        <v>1167</v>
      </c>
      <c r="AD1885" s="24"/>
      <c r="AE1885" s="238" t="s">
        <v>4641</v>
      </c>
      <c r="AF1885">
        <v>79272478082</v>
      </c>
      <c r="AG1885" s="238" t="s">
        <v>4642</v>
      </c>
      <c r="AH1885" s="238" t="s">
        <v>1197</v>
      </c>
      <c r="AI1885" s="238" t="s">
        <v>135</v>
      </c>
      <c r="AJ1885" s="238" t="s">
        <v>130</v>
      </c>
      <c r="AK1885" s="238" t="s">
        <v>1167</v>
      </c>
      <c r="AL1885" t="s">
        <v>8715</v>
      </c>
      <c r="AM1885" t="s">
        <v>1167</v>
      </c>
    </row>
    <row r="1886" spans="1:39" hidden="1" x14ac:dyDescent="0.25">
      <c r="A1886">
        <v>1883</v>
      </c>
      <c r="B1886">
        <v>7</v>
      </c>
      <c r="C1886" s="24">
        <v>45085</v>
      </c>
      <c r="D1886" s="238" t="s">
        <v>91</v>
      </c>
      <c r="E1886" s="238" t="s">
        <v>5</v>
      </c>
      <c r="F1886">
        <v>5</v>
      </c>
      <c r="G1886">
        <v>2</v>
      </c>
      <c r="H1886">
        <v>125</v>
      </c>
      <c r="I1886" s="238" t="s">
        <v>42</v>
      </c>
      <c r="J1886">
        <v>36.700000000000003</v>
      </c>
      <c r="K1886" s="238" t="s">
        <v>38</v>
      </c>
      <c r="L1886">
        <v>3651105.46</v>
      </c>
      <c r="M1886">
        <v>15000</v>
      </c>
      <c r="N1886">
        <v>3666105.46</v>
      </c>
      <c r="O1886">
        <v>99893.881743869206</v>
      </c>
      <c r="P1886">
        <v>550500</v>
      </c>
      <c r="Q1886">
        <v>3115605.46</v>
      </c>
      <c r="R1886">
        <v>84893.881743869206</v>
      </c>
      <c r="S1886" s="238" t="s">
        <v>137</v>
      </c>
      <c r="T1886" s="238" t="s">
        <v>978</v>
      </c>
      <c r="U1886">
        <v>198868.43</v>
      </c>
      <c r="V1886" t="s">
        <v>4092</v>
      </c>
      <c r="W1886" s="24">
        <v>45056</v>
      </c>
      <c r="X1886" s="238" t="s">
        <v>4644</v>
      </c>
      <c r="Y1886" s="238" t="s">
        <v>39</v>
      </c>
      <c r="Z1886" s="238" t="s">
        <v>1340</v>
      </c>
      <c r="AA1886" t="s">
        <v>3113</v>
      </c>
      <c r="AB1886" s="238" t="s">
        <v>3246</v>
      </c>
      <c r="AC1886" t="s">
        <v>3079</v>
      </c>
      <c r="AD1886" s="24"/>
      <c r="AE1886" s="238" t="s">
        <v>4645</v>
      </c>
      <c r="AF1886">
        <v>79170147274</v>
      </c>
      <c r="AG1886" s="238" t="s">
        <v>4646</v>
      </c>
      <c r="AH1886" s="238" t="s">
        <v>135</v>
      </c>
      <c r="AI1886" s="238" t="s">
        <v>3099</v>
      </c>
      <c r="AJ1886" s="238" t="s">
        <v>130</v>
      </c>
      <c r="AK1886" s="238" t="s">
        <v>141</v>
      </c>
      <c r="AL1886" t="s">
        <v>8715</v>
      </c>
      <c r="AM1886" t="s">
        <v>1167</v>
      </c>
    </row>
    <row r="1887" spans="1:39" hidden="1" x14ac:dyDescent="0.25">
      <c r="A1887">
        <v>1884</v>
      </c>
      <c r="B1887">
        <v>8</v>
      </c>
      <c r="C1887" s="24">
        <v>45085</v>
      </c>
      <c r="D1887" s="238" t="s">
        <v>91</v>
      </c>
      <c r="E1887" s="238" t="s">
        <v>6</v>
      </c>
      <c r="F1887">
        <v>4</v>
      </c>
      <c r="G1887">
        <v>4</v>
      </c>
      <c r="H1887">
        <v>20</v>
      </c>
      <c r="I1887" s="238" t="s">
        <v>43</v>
      </c>
      <c r="J1887">
        <v>56.03</v>
      </c>
      <c r="K1887" s="238" t="s">
        <v>38</v>
      </c>
      <c r="L1887">
        <v>5385584.5499999998</v>
      </c>
      <c r="M1887">
        <v>0</v>
      </c>
      <c r="N1887">
        <v>5385584.5499999998</v>
      </c>
      <c r="O1887">
        <v>96119.660003569516</v>
      </c>
      <c r="P1887">
        <v>840450</v>
      </c>
      <c r="Q1887">
        <v>4545134.55</v>
      </c>
      <c r="R1887">
        <v>81119.660003569516</v>
      </c>
      <c r="S1887" s="238" t="s">
        <v>137</v>
      </c>
      <c r="T1887" s="238" t="s">
        <v>1167</v>
      </c>
      <c r="V1887" t="s">
        <v>4092</v>
      </c>
      <c r="W1887" s="24">
        <v>45076</v>
      </c>
      <c r="X1887" s="238" t="s">
        <v>4647</v>
      </c>
      <c r="Y1887" s="238" t="s">
        <v>39</v>
      </c>
      <c r="Z1887" s="238" t="s">
        <v>1340</v>
      </c>
      <c r="AA1887" t="s">
        <v>3113</v>
      </c>
      <c r="AB1887" s="238" t="s">
        <v>3246</v>
      </c>
      <c r="AC1887" t="s">
        <v>3079</v>
      </c>
      <c r="AD1887" s="24"/>
      <c r="AE1887" s="238" t="s">
        <v>4648</v>
      </c>
      <c r="AF1887">
        <v>79277730030</v>
      </c>
      <c r="AG1887" s="238" t="s">
        <v>4649</v>
      </c>
      <c r="AH1887" s="238" t="s">
        <v>135</v>
      </c>
      <c r="AI1887" s="238" t="s">
        <v>3099</v>
      </c>
      <c r="AJ1887" s="238" t="s">
        <v>130</v>
      </c>
      <c r="AK1887" s="238" t="s">
        <v>3345</v>
      </c>
      <c r="AL1887" t="s">
        <v>8715</v>
      </c>
      <c r="AM1887" t="s">
        <v>1167</v>
      </c>
    </row>
    <row r="1888" spans="1:39" hidden="1" x14ac:dyDescent="0.25">
      <c r="A1888">
        <v>1885</v>
      </c>
      <c r="B1888">
        <v>9</v>
      </c>
      <c r="C1888" s="24">
        <v>45090</v>
      </c>
      <c r="D1888" s="238" t="s">
        <v>91</v>
      </c>
      <c r="E1888" s="238" t="s">
        <v>15</v>
      </c>
      <c r="F1888">
        <v>6</v>
      </c>
      <c r="G1888">
        <v>11</v>
      </c>
      <c r="H1888">
        <v>488</v>
      </c>
      <c r="I1888" s="238" t="s">
        <v>43</v>
      </c>
      <c r="J1888">
        <v>58.62</v>
      </c>
      <c r="K1888" s="238" t="s">
        <v>37</v>
      </c>
      <c r="L1888">
        <v>4851212.41</v>
      </c>
      <c r="M1888">
        <v>0</v>
      </c>
      <c r="N1888">
        <v>4851212.41</v>
      </c>
      <c r="O1888">
        <v>82756.950017059033</v>
      </c>
      <c r="P1888">
        <v>234480</v>
      </c>
      <c r="Q1888">
        <v>4616732.41</v>
      </c>
      <c r="R1888">
        <v>78756.950017059033</v>
      </c>
      <c r="S1888" s="238" t="s">
        <v>137</v>
      </c>
      <c r="T1888" s="238" t="s">
        <v>1167</v>
      </c>
      <c r="V1888" t="s">
        <v>3661</v>
      </c>
      <c r="W1888" s="24">
        <v>45051</v>
      </c>
      <c r="X1888" s="238" t="s">
        <v>4650</v>
      </c>
      <c r="Y1888" s="238" t="s">
        <v>39</v>
      </c>
      <c r="Z1888" s="238" t="s">
        <v>1168</v>
      </c>
      <c r="AA1888" t="s">
        <v>1167</v>
      </c>
      <c r="AB1888" s="238" t="s">
        <v>3246</v>
      </c>
      <c r="AC1888" t="s">
        <v>3115</v>
      </c>
      <c r="AD1888" s="24"/>
      <c r="AE1888" s="238" t="s">
        <v>4651</v>
      </c>
      <c r="AF1888">
        <v>79277073288</v>
      </c>
      <c r="AG1888" s="238" t="s">
        <v>4652</v>
      </c>
      <c r="AH1888" s="238" t="s">
        <v>1171</v>
      </c>
      <c r="AI1888" s="238" t="s">
        <v>3074</v>
      </c>
      <c r="AJ1888" s="238" t="s">
        <v>3901</v>
      </c>
      <c r="AK1888" s="238" t="s">
        <v>3345</v>
      </c>
      <c r="AL1888" t="s">
        <v>8715</v>
      </c>
      <c r="AM1888" t="s">
        <v>1167</v>
      </c>
    </row>
    <row r="1889" spans="1:39" hidden="1" x14ac:dyDescent="0.25">
      <c r="A1889">
        <v>1886</v>
      </c>
      <c r="B1889">
        <v>10</v>
      </c>
      <c r="C1889" s="24">
        <v>45090</v>
      </c>
      <c r="D1889" s="238" t="s">
        <v>91</v>
      </c>
      <c r="E1889" s="238" t="s">
        <v>16</v>
      </c>
      <c r="F1889">
        <v>7</v>
      </c>
      <c r="G1889">
        <v>22</v>
      </c>
      <c r="H1889">
        <v>387</v>
      </c>
      <c r="I1889" s="238" t="s">
        <v>42</v>
      </c>
      <c r="J1889">
        <v>33.840000000000003</v>
      </c>
      <c r="K1889" s="238" t="s">
        <v>36</v>
      </c>
      <c r="L1889">
        <v>3460268.18</v>
      </c>
      <c r="M1889">
        <v>0</v>
      </c>
      <c r="N1889">
        <v>3460268.18</v>
      </c>
      <c r="O1889">
        <v>102253.7878250591</v>
      </c>
      <c r="P1889">
        <v>0</v>
      </c>
      <c r="Q1889">
        <v>3460268.18</v>
      </c>
      <c r="R1889">
        <v>102253.7878250591</v>
      </c>
      <c r="S1889" s="238" t="s">
        <v>137</v>
      </c>
      <c r="T1889" s="238" t="s">
        <v>321</v>
      </c>
      <c r="U1889">
        <v>70617.72</v>
      </c>
      <c r="V1889" t="s">
        <v>4091</v>
      </c>
      <c r="W1889" s="24">
        <v>45083</v>
      </c>
      <c r="X1889" s="238" t="s">
        <v>4653</v>
      </c>
      <c r="Y1889" s="238" t="s">
        <v>39</v>
      </c>
      <c r="Z1889" s="238" t="s">
        <v>1340</v>
      </c>
      <c r="AA1889" t="s">
        <v>3113</v>
      </c>
      <c r="AB1889" s="238" t="s">
        <v>3246</v>
      </c>
      <c r="AC1889" t="s">
        <v>3079</v>
      </c>
      <c r="AD1889" s="24"/>
      <c r="AE1889" s="238" t="s">
        <v>4654</v>
      </c>
      <c r="AF1889">
        <v>79171478663</v>
      </c>
      <c r="AG1889" s="238" t="s">
        <v>4655</v>
      </c>
      <c r="AH1889" s="238" t="s">
        <v>1171</v>
      </c>
      <c r="AI1889" s="238" t="s">
        <v>3082</v>
      </c>
      <c r="AJ1889" s="238" t="s">
        <v>130</v>
      </c>
      <c r="AK1889" s="238" t="s">
        <v>141</v>
      </c>
      <c r="AL1889" t="s">
        <v>8715</v>
      </c>
      <c r="AM1889" t="s">
        <v>1167</v>
      </c>
    </row>
    <row r="1890" spans="1:39" hidden="1" x14ac:dyDescent="0.25">
      <c r="A1890">
        <v>1887</v>
      </c>
      <c r="B1890">
        <v>11</v>
      </c>
      <c r="C1890" s="24">
        <v>45092</v>
      </c>
      <c r="D1890" s="238" t="s">
        <v>91</v>
      </c>
      <c r="E1890" s="238" t="s">
        <v>5</v>
      </c>
      <c r="F1890">
        <v>6</v>
      </c>
      <c r="G1890">
        <v>4</v>
      </c>
      <c r="H1890">
        <v>142</v>
      </c>
      <c r="I1890" s="238" t="s">
        <v>42</v>
      </c>
      <c r="J1890">
        <v>36.659999999999997</v>
      </c>
      <c r="K1890" s="238" t="s">
        <v>36</v>
      </c>
      <c r="L1890">
        <v>3478062.88</v>
      </c>
      <c r="M1890">
        <v>0</v>
      </c>
      <c r="N1890">
        <v>3478062.88</v>
      </c>
      <c r="O1890">
        <v>94873.510092744138</v>
      </c>
      <c r="P1890">
        <v>0</v>
      </c>
      <c r="Q1890">
        <v>3478062.88</v>
      </c>
      <c r="R1890">
        <v>94873.510092744138</v>
      </c>
      <c r="S1890" s="238" t="s">
        <v>137</v>
      </c>
      <c r="T1890" s="238" t="s">
        <v>1167</v>
      </c>
      <c r="V1890" t="s">
        <v>4091</v>
      </c>
      <c r="W1890" s="24">
        <v>45085</v>
      </c>
      <c r="X1890" s="238" t="s">
        <v>4656</v>
      </c>
      <c r="Y1890" s="238" t="s">
        <v>39</v>
      </c>
      <c r="Z1890" s="238" t="s">
        <v>1340</v>
      </c>
      <c r="AA1890" t="s">
        <v>3113</v>
      </c>
      <c r="AB1890" s="238" t="s">
        <v>3246</v>
      </c>
      <c r="AC1890" t="s">
        <v>3079</v>
      </c>
      <c r="AD1890" s="24"/>
      <c r="AE1890" s="238" t="s">
        <v>4657</v>
      </c>
      <c r="AF1890">
        <v>79022910402</v>
      </c>
      <c r="AG1890" s="238" t="s">
        <v>4658</v>
      </c>
      <c r="AH1890" s="238" t="s">
        <v>1171</v>
      </c>
      <c r="AI1890" s="238" t="s">
        <v>3074</v>
      </c>
      <c r="AJ1890" s="238" t="s">
        <v>3901</v>
      </c>
      <c r="AK1890" s="238" t="s">
        <v>3345</v>
      </c>
      <c r="AL1890" t="s">
        <v>8715</v>
      </c>
      <c r="AM1890" t="s">
        <v>1167</v>
      </c>
    </row>
    <row r="1891" spans="1:39" hidden="1" x14ac:dyDescent="0.25">
      <c r="A1891">
        <v>1888</v>
      </c>
      <c r="B1891">
        <v>12</v>
      </c>
      <c r="C1891" s="24">
        <v>45096</v>
      </c>
      <c r="D1891" s="238" t="s">
        <v>91</v>
      </c>
      <c r="E1891" s="238" t="s">
        <v>5</v>
      </c>
      <c r="F1891">
        <v>5</v>
      </c>
      <c r="G1891">
        <v>14</v>
      </c>
      <c r="H1891">
        <v>221</v>
      </c>
      <c r="I1891" s="238" t="s">
        <v>42</v>
      </c>
      <c r="J1891">
        <v>36.700000000000003</v>
      </c>
      <c r="K1891" s="238" t="s">
        <v>38</v>
      </c>
      <c r="L1891">
        <v>3998878.61</v>
      </c>
      <c r="M1891">
        <v>0</v>
      </c>
      <c r="N1891">
        <v>3998878.61</v>
      </c>
      <c r="O1891">
        <v>108961.27002724794</v>
      </c>
      <c r="P1891">
        <v>550500</v>
      </c>
      <c r="Q1891">
        <v>3448378.61</v>
      </c>
      <c r="R1891">
        <v>93961.270027247941</v>
      </c>
      <c r="S1891" s="238" t="s">
        <v>137</v>
      </c>
      <c r="T1891" s="238" t="s">
        <v>1167</v>
      </c>
      <c r="V1891" t="s">
        <v>4092</v>
      </c>
      <c r="W1891" s="24">
        <v>45091</v>
      </c>
      <c r="X1891" s="238" t="s">
        <v>4659</v>
      </c>
      <c r="Y1891" s="238" t="s">
        <v>39</v>
      </c>
      <c r="Z1891" s="238" t="s">
        <v>1340</v>
      </c>
      <c r="AA1891" t="s">
        <v>3113</v>
      </c>
      <c r="AB1891" s="238" t="s">
        <v>3246</v>
      </c>
      <c r="AC1891" t="s">
        <v>3079</v>
      </c>
      <c r="AD1891" s="24"/>
      <c r="AE1891" s="238" t="s">
        <v>4660</v>
      </c>
      <c r="AF1891">
        <v>79272673777</v>
      </c>
      <c r="AG1891" s="238" t="s">
        <v>4661</v>
      </c>
      <c r="AH1891" s="238" t="s">
        <v>1212</v>
      </c>
      <c r="AI1891" s="238" t="s">
        <v>135</v>
      </c>
      <c r="AJ1891" s="238" t="s">
        <v>130</v>
      </c>
      <c r="AK1891" s="238" t="s">
        <v>3345</v>
      </c>
      <c r="AL1891" t="s">
        <v>8715</v>
      </c>
      <c r="AM1891" t="s">
        <v>1167</v>
      </c>
    </row>
    <row r="1892" spans="1:39" hidden="1" x14ac:dyDescent="0.25">
      <c r="A1892">
        <v>1889</v>
      </c>
      <c r="B1892">
        <v>13</v>
      </c>
      <c r="C1892" s="24">
        <v>45097</v>
      </c>
      <c r="D1892" s="238" t="s">
        <v>91</v>
      </c>
      <c r="E1892" s="238" t="s">
        <v>16</v>
      </c>
      <c r="F1892">
        <v>5</v>
      </c>
      <c r="G1892">
        <v>17</v>
      </c>
      <c r="H1892">
        <v>350</v>
      </c>
      <c r="I1892" s="238" t="s">
        <v>43</v>
      </c>
      <c r="J1892">
        <v>56.7</v>
      </c>
      <c r="K1892" s="238" t="s">
        <v>38</v>
      </c>
      <c r="L1892">
        <v>5344798.84</v>
      </c>
      <c r="M1892">
        <v>15000</v>
      </c>
      <c r="N1892">
        <v>5359798.84</v>
      </c>
      <c r="O1892">
        <v>94529.080070546726</v>
      </c>
      <c r="P1892">
        <v>850500</v>
      </c>
      <c r="Q1892">
        <v>4509298.84</v>
      </c>
      <c r="R1892">
        <v>79529.080070546726</v>
      </c>
      <c r="S1892" s="238" t="s">
        <v>137</v>
      </c>
      <c r="T1892" s="238" t="s">
        <v>1167</v>
      </c>
      <c r="V1892" t="s">
        <v>4091</v>
      </c>
      <c r="W1892" s="24">
        <v>45074</v>
      </c>
      <c r="X1892" s="238" t="s">
        <v>4662</v>
      </c>
      <c r="Y1892" s="238" t="s">
        <v>39</v>
      </c>
      <c r="Z1892" s="238" t="s">
        <v>1340</v>
      </c>
      <c r="AA1892" t="s">
        <v>3113</v>
      </c>
      <c r="AB1892" s="238" t="s">
        <v>3246</v>
      </c>
      <c r="AC1892" t="s">
        <v>3079</v>
      </c>
      <c r="AD1892" s="24"/>
      <c r="AE1892" s="238" t="s">
        <v>4663</v>
      </c>
      <c r="AF1892">
        <v>79869546865</v>
      </c>
      <c r="AG1892" s="238" t="s">
        <v>4664</v>
      </c>
      <c r="AH1892" s="238" t="s">
        <v>1212</v>
      </c>
      <c r="AI1892" s="238" t="s">
        <v>3514</v>
      </c>
      <c r="AJ1892" s="238" t="s">
        <v>4177</v>
      </c>
      <c r="AK1892" s="238" t="s">
        <v>3345</v>
      </c>
      <c r="AL1892" t="s">
        <v>8715</v>
      </c>
      <c r="AM1892" t="s">
        <v>1167</v>
      </c>
    </row>
    <row r="1893" spans="1:39" hidden="1" x14ac:dyDescent="0.25">
      <c r="A1893">
        <v>1890</v>
      </c>
      <c r="B1893">
        <v>14</v>
      </c>
      <c r="C1893" s="24">
        <v>45097</v>
      </c>
      <c r="D1893" s="238" t="s">
        <v>91</v>
      </c>
      <c r="E1893" s="238" t="s">
        <v>6</v>
      </c>
      <c r="F1893">
        <v>7</v>
      </c>
      <c r="G1893">
        <v>12</v>
      </c>
      <c r="H1893">
        <v>87</v>
      </c>
      <c r="I1893" s="238" t="s">
        <v>4052</v>
      </c>
      <c r="J1893">
        <v>21.75</v>
      </c>
      <c r="K1893" s="238" t="s">
        <v>37</v>
      </c>
      <c r="L1893">
        <v>2330187.77</v>
      </c>
      <c r="M1893">
        <v>0</v>
      </c>
      <c r="N1893">
        <v>2330187.77</v>
      </c>
      <c r="O1893">
        <v>107135.06988505747</v>
      </c>
      <c r="P1893">
        <v>87000</v>
      </c>
      <c r="Q1893">
        <v>2243187.77</v>
      </c>
      <c r="R1893">
        <v>103135.06988505747</v>
      </c>
      <c r="S1893" s="238" t="s">
        <v>137</v>
      </c>
      <c r="T1893" s="238" t="s">
        <v>1167</v>
      </c>
      <c r="V1893" t="s">
        <v>4092</v>
      </c>
      <c r="W1893" s="24">
        <v>45086</v>
      </c>
      <c r="X1893" s="238" t="s">
        <v>4665</v>
      </c>
      <c r="Y1893" s="238" t="s">
        <v>39</v>
      </c>
      <c r="Z1893" s="238" t="s">
        <v>1340</v>
      </c>
      <c r="AA1893" t="s">
        <v>3113</v>
      </c>
      <c r="AB1893" s="238" t="s">
        <v>3246</v>
      </c>
      <c r="AC1893" t="s">
        <v>3079</v>
      </c>
      <c r="AD1893" s="24"/>
      <c r="AE1893" s="238" t="s">
        <v>4666</v>
      </c>
      <c r="AF1893">
        <v>79083673712</v>
      </c>
      <c r="AG1893" s="238" t="s">
        <v>4667</v>
      </c>
      <c r="AH1893" s="238" t="s">
        <v>1212</v>
      </c>
      <c r="AI1893" s="238" t="s">
        <v>135</v>
      </c>
      <c r="AJ1893" s="238" t="s">
        <v>4177</v>
      </c>
      <c r="AK1893" s="238" t="s">
        <v>3345</v>
      </c>
      <c r="AL1893" t="s">
        <v>8715</v>
      </c>
      <c r="AM1893" t="s">
        <v>1167</v>
      </c>
    </row>
    <row r="1894" spans="1:39" hidden="1" x14ac:dyDescent="0.25">
      <c r="A1894">
        <v>1891</v>
      </c>
      <c r="B1894">
        <v>15</v>
      </c>
      <c r="C1894" s="24">
        <v>45097</v>
      </c>
      <c r="D1894" s="238" t="s">
        <v>91</v>
      </c>
      <c r="E1894" s="238" t="s">
        <v>16</v>
      </c>
      <c r="F1894">
        <v>4</v>
      </c>
      <c r="G1894">
        <v>3</v>
      </c>
      <c r="H1894">
        <v>251</v>
      </c>
      <c r="I1894" s="238" t="s">
        <v>43</v>
      </c>
      <c r="J1894">
        <v>58.55</v>
      </c>
      <c r="K1894" s="238" t="s">
        <v>37</v>
      </c>
      <c r="L1894">
        <v>4943756.09</v>
      </c>
      <c r="M1894">
        <v>0</v>
      </c>
      <c r="N1894">
        <v>4943756.09</v>
      </c>
      <c r="O1894">
        <v>84436.483176771988</v>
      </c>
      <c r="P1894">
        <v>234200</v>
      </c>
      <c r="Q1894">
        <v>4709556.09</v>
      </c>
      <c r="R1894">
        <v>80436.483176771988</v>
      </c>
      <c r="S1894" s="238" t="s">
        <v>124</v>
      </c>
      <c r="T1894" s="238" t="s">
        <v>3566</v>
      </c>
      <c r="U1894">
        <v>40000</v>
      </c>
      <c r="V1894" t="s">
        <v>1167</v>
      </c>
      <c r="W1894" s="24">
        <v>45093</v>
      </c>
      <c r="X1894" s="238" t="s">
        <v>4668</v>
      </c>
      <c r="Y1894" s="238" t="s">
        <v>39</v>
      </c>
      <c r="Z1894" s="238" t="s">
        <v>1340</v>
      </c>
      <c r="AA1894" t="s">
        <v>3474</v>
      </c>
      <c r="AB1894" s="238" t="s">
        <v>3246</v>
      </c>
      <c r="AC1894" t="s">
        <v>1167</v>
      </c>
      <c r="AD1894" s="24"/>
      <c r="AE1894" s="238" t="s">
        <v>4669</v>
      </c>
      <c r="AF1894">
        <v>79198086941</v>
      </c>
      <c r="AG1894" s="238" t="s">
        <v>4469</v>
      </c>
      <c r="AH1894" s="238" t="s">
        <v>1212</v>
      </c>
      <c r="AI1894" s="238" t="s">
        <v>3082</v>
      </c>
      <c r="AJ1894" s="238" t="s">
        <v>4177</v>
      </c>
      <c r="AK1894" s="238" t="s">
        <v>1167</v>
      </c>
      <c r="AL1894" t="s">
        <v>8715</v>
      </c>
      <c r="AM1894" t="s">
        <v>1167</v>
      </c>
    </row>
    <row r="1895" spans="1:39" hidden="1" x14ac:dyDescent="0.25">
      <c r="A1895">
        <v>1892</v>
      </c>
      <c r="B1895">
        <v>16</v>
      </c>
      <c r="C1895" s="24">
        <v>45098</v>
      </c>
      <c r="D1895" s="238" t="s">
        <v>91</v>
      </c>
      <c r="E1895" s="238" t="s">
        <v>6</v>
      </c>
      <c r="F1895">
        <v>3</v>
      </c>
      <c r="G1895">
        <v>9</v>
      </c>
      <c r="H1895">
        <v>59</v>
      </c>
      <c r="I1895" s="238" t="s">
        <v>42</v>
      </c>
      <c r="J1895">
        <v>35.54</v>
      </c>
      <c r="K1895" s="238" t="s">
        <v>37</v>
      </c>
      <c r="L1895">
        <v>3369279.8</v>
      </c>
      <c r="M1895">
        <v>15000</v>
      </c>
      <c r="N1895">
        <v>3384279.8</v>
      </c>
      <c r="O1895">
        <v>95224.530106921782</v>
      </c>
      <c r="P1895">
        <v>142160</v>
      </c>
      <c r="Q1895">
        <v>3242119.8</v>
      </c>
      <c r="R1895">
        <v>91224.530106921782</v>
      </c>
      <c r="S1895" s="238" t="s">
        <v>137</v>
      </c>
      <c r="T1895" s="238" t="s">
        <v>1167</v>
      </c>
      <c r="V1895" t="s">
        <v>4092</v>
      </c>
      <c r="W1895" s="24">
        <v>45072</v>
      </c>
      <c r="X1895" s="238" t="s">
        <v>4670</v>
      </c>
      <c r="Y1895" s="238" t="s">
        <v>39</v>
      </c>
      <c r="Z1895" s="238" t="s">
        <v>1340</v>
      </c>
      <c r="AA1895" t="s">
        <v>3113</v>
      </c>
      <c r="AB1895" s="238" t="s">
        <v>3246</v>
      </c>
      <c r="AC1895" t="s">
        <v>3079</v>
      </c>
      <c r="AD1895" s="24"/>
      <c r="AE1895" s="238" t="s">
        <v>4671</v>
      </c>
      <c r="AF1895">
        <v>79272626012</v>
      </c>
      <c r="AG1895" s="238" t="s">
        <v>4672</v>
      </c>
      <c r="AH1895" s="238" t="s">
        <v>4072</v>
      </c>
      <c r="AI1895" s="238" t="s">
        <v>6406</v>
      </c>
      <c r="AJ1895" s="238" t="s">
        <v>130</v>
      </c>
      <c r="AK1895" s="238" t="s">
        <v>141</v>
      </c>
      <c r="AL1895" t="s">
        <v>57</v>
      </c>
      <c r="AM1895" t="s">
        <v>1167</v>
      </c>
    </row>
    <row r="1896" spans="1:39" hidden="1" x14ac:dyDescent="0.25">
      <c r="A1896">
        <v>1893</v>
      </c>
      <c r="B1896">
        <v>17</v>
      </c>
      <c r="C1896" s="24">
        <v>45098</v>
      </c>
      <c r="D1896" s="238" t="s">
        <v>91</v>
      </c>
      <c r="E1896" s="238" t="s">
        <v>6</v>
      </c>
      <c r="F1896">
        <v>8</v>
      </c>
      <c r="G1896">
        <v>5</v>
      </c>
      <c r="H1896">
        <v>32</v>
      </c>
      <c r="I1896" s="238" t="s">
        <v>4052</v>
      </c>
      <c r="J1896">
        <v>21.73</v>
      </c>
      <c r="K1896" s="238" t="s">
        <v>38</v>
      </c>
      <c r="L1896">
        <v>2567075.0699999998</v>
      </c>
      <c r="M1896">
        <v>0</v>
      </c>
      <c r="N1896">
        <v>2567075.0699999998</v>
      </c>
      <c r="O1896">
        <v>118135.06994937873</v>
      </c>
      <c r="P1896">
        <v>325950</v>
      </c>
      <c r="Q1896">
        <v>2241125.0699999998</v>
      </c>
      <c r="R1896">
        <v>103135.06994937873</v>
      </c>
      <c r="S1896" s="238" t="s">
        <v>137</v>
      </c>
      <c r="T1896" s="238" t="s">
        <v>1167</v>
      </c>
      <c r="V1896" t="s">
        <v>4092</v>
      </c>
      <c r="W1896" s="24">
        <v>45091</v>
      </c>
      <c r="X1896" s="238" t="s">
        <v>4673</v>
      </c>
      <c r="Y1896" s="238" t="s">
        <v>39</v>
      </c>
      <c r="Z1896" s="238" t="s">
        <v>1340</v>
      </c>
      <c r="AA1896" t="s">
        <v>3113</v>
      </c>
      <c r="AB1896" s="238" t="s">
        <v>3246</v>
      </c>
      <c r="AC1896" t="s">
        <v>3079</v>
      </c>
      <c r="AD1896" s="24"/>
      <c r="AE1896" s="238" t="s">
        <v>4674</v>
      </c>
      <c r="AF1896">
        <v>79179530658</v>
      </c>
      <c r="AG1896" s="238" t="s">
        <v>4675</v>
      </c>
      <c r="AH1896" s="238" t="s">
        <v>1212</v>
      </c>
      <c r="AI1896" s="238" t="s">
        <v>3084</v>
      </c>
      <c r="AJ1896" s="238" t="s">
        <v>3901</v>
      </c>
      <c r="AK1896" s="238" t="s">
        <v>141</v>
      </c>
      <c r="AL1896" t="s">
        <v>8715</v>
      </c>
      <c r="AM1896" t="s">
        <v>1167</v>
      </c>
    </row>
    <row r="1897" spans="1:39" hidden="1" x14ac:dyDescent="0.25">
      <c r="A1897">
        <v>1894</v>
      </c>
      <c r="B1897">
        <v>18</v>
      </c>
      <c r="C1897" s="24">
        <v>45098</v>
      </c>
      <c r="D1897" s="238" t="s">
        <v>91</v>
      </c>
      <c r="E1897" s="238" t="s">
        <v>15</v>
      </c>
      <c r="F1897">
        <v>8</v>
      </c>
      <c r="G1897">
        <v>9</v>
      </c>
      <c r="H1897">
        <v>472</v>
      </c>
      <c r="I1897" s="238" t="s">
        <v>43</v>
      </c>
      <c r="J1897">
        <v>63.74</v>
      </c>
      <c r="K1897" s="238" t="s">
        <v>37</v>
      </c>
      <c r="L1897">
        <v>5069183.5599999996</v>
      </c>
      <c r="M1897">
        <v>0</v>
      </c>
      <c r="N1897">
        <v>5069183.5599999996</v>
      </c>
      <c r="O1897">
        <v>79529.080012550985</v>
      </c>
      <c r="P1897">
        <v>254960</v>
      </c>
      <c r="Q1897">
        <v>4814223.5599999996</v>
      </c>
      <c r="R1897">
        <v>75529.080012550985</v>
      </c>
      <c r="S1897" s="238" t="s">
        <v>137</v>
      </c>
      <c r="T1897" s="238" t="s">
        <v>60</v>
      </c>
      <c r="U1897">
        <v>254960</v>
      </c>
      <c r="V1897" t="s">
        <v>4092</v>
      </c>
      <c r="W1897" s="24">
        <v>45093</v>
      </c>
      <c r="X1897" s="238" t="s">
        <v>4676</v>
      </c>
      <c r="Y1897" s="238" t="s">
        <v>39</v>
      </c>
      <c r="Z1897" s="238" t="s">
        <v>1340</v>
      </c>
      <c r="AA1897" t="s">
        <v>3113</v>
      </c>
      <c r="AB1897" s="238" t="s">
        <v>3246</v>
      </c>
      <c r="AC1897" t="s">
        <v>3079</v>
      </c>
      <c r="AD1897" s="24"/>
      <c r="AE1897" s="238" t="s">
        <v>4677</v>
      </c>
      <c r="AF1897">
        <v>79379994425</v>
      </c>
      <c r="AG1897" s="238" t="s">
        <v>4678</v>
      </c>
      <c r="AH1897" s="238" t="s">
        <v>1171</v>
      </c>
      <c r="AI1897" s="238" t="s">
        <v>3074</v>
      </c>
      <c r="AJ1897" s="238" t="s">
        <v>3901</v>
      </c>
      <c r="AK1897" s="238" t="s">
        <v>141</v>
      </c>
      <c r="AL1897" t="s">
        <v>8715</v>
      </c>
      <c r="AM1897" t="s">
        <v>1167</v>
      </c>
    </row>
    <row r="1898" spans="1:39" hidden="1" x14ac:dyDescent="0.25">
      <c r="A1898">
        <v>1895</v>
      </c>
      <c r="B1898">
        <v>19</v>
      </c>
      <c r="C1898" s="24">
        <v>45098</v>
      </c>
      <c r="D1898" s="238" t="s">
        <v>91</v>
      </c>
      <c r="E1898" s="238" t="s">
        <v>6</v>
      </c>
      <c r="F1898">
        <v>8</v>
      </c>
      <c r="G1898">
        <v>8</v>
      </c>
      <c r="H1898">
        <v>56</v>
      </c>
      <c r="I1898" s="238" t="s">
        <v>4052</v>
      </c>
      <c r="J1898">
        <v>21.73</v>
      </c>
      <c r="K1898" s="238" t="s">
        <v>38</v>
      </c>
      <c r="L1898">
        <v>2567075.0699999998</v>
      </c>
      <c r="M1898">
        <v>0</v>
      </c>
      <c r="N1898">
        <v>2567075.0699999998</v>
      </c>
      <c r="O1898">
        <v>118135.06994937873</v>
      </c>
      <c r="P1898">
        <v>325950</v>
      </c>
      <c r="Q1898">
        <v>2241125.0699999998</v>
      </c>
      <c r="R1898">
        <v>103135.06994937873</v>
      </c>
      <c r="S1898" s="238" t="s">
        <v>137</v>
      </c>
      <c r="T1898" s="238" t="s">
        <v>1167</v>
      </c>
      <c r="V1898" t="s">
        <v>4091</v>
      </c>
      <c r="W1898" s="24">
        <v>45093</v>
      </c>
      <c r="X1898" s="238" t="s">
        <v>4679</v>
      </c>
      <c r="Y1898" s="238" t="s">
        <v>39</v>
      </c>
      <c r="Z1898" s="238" t="s">
        <v>1340</v>
      </c>
      <c r="AA1898" t="s">
        <v>3113</v>
      </c>
      <c r="AB1898" s="238" t="s">
        <v>3246</v>
      </c>
      <c r="AC1898" t="s">
        <v>3079</v>
      </c>
      <c r="AD1898" s="24"/>
      <c r="AE1898" s="238" t="s">
        <v>4680</v>
      </c>
      <c r="AF1898">
        <v>79058492054</v>
      </c>
      <c r="AG1898" s="238" t="s">
        <v>4681</v>
      </c>
      <c r="AH1898" s="238" t="s">
        <v>1171</v>
      </c>
      <c r="AI1898" s="238" t="s">
        <v>3098</v>
      </c>
      <c r="AJ1898" s="238" t="s">
        <v>4177</v>
      </c>
      <c r="AK1898" s="238" t="s">
        <v>141</v>
      </c>
      <c r="AL1898" t="s">
        <v>8715</v>
      </c>
      <c r="AM1898" t="s">
        <v>1167</v>
      </c>
    </row>
    <row r="1899" spans="1:39" hidden="1" x14ac:dyDescent="0.25">
      <c r="A1899">
        <v>1896</v>
      </c>
      <c r="B1899">
        <v>20</v>
      </c>
      <c r="C1899" s="24">
        <v>45099</v>
      </c>
      <c r="D1899" s="238" t="s">
        <v>91</v>
      </c>
      <c r="E1899" s="238" t="s">
        <v>15</v>
      </c>
      <c r="F1899">
        <v>2</v>
      </c>
      <c r="G1899">
        <v>7</v>
      </c>
      <c r="H1899">
        <v>448</v>
      </c>
      <c r="I1899" s="238" t="s">
        <v>42</v>
      </c>
      <c r="J1899">
        <v>38.6</v>
      </c>
      <c r="K1899" s="238" t="s">
        <v>37</v>
      </c>
      <c r="L1899">
        <v>3746092.17</v>
      </c>
      <c r="M1899">
        <v>0</v>
      </c>
      <c r="N1899">
        <v>3746092.17</v>
      </c>
      <c r="O1899">
        <v>97049.019948186527</v>
      </c>
      <c r="P1899">
        <v>154400</v>
      </c>
      <c r="Q1899">
        <v>3591692.17</v>
      </c>
      <c r="R1899">
        <v>93049.019948186527</v>
      </c>
      <c r="S1899" s="238" t="s">
        <v>137</v>
      </c>
      <c r="T1899" s="238" t="s">
        <v>1167</v>
      </c>
      <c r="V1899" t="s">
        <v>4091</v>
      </c>
      <c r="W1899" s="24">
        <v>45098</v>
      </c>
      <c r="X1899" s="238" t="s">
        <v>4682</v>
      </c>
      <c r="Y1899" s="238" t="s">
        <v>39</v>
      </c>
      <c r="Z1899" s="238" t="s">
        <v>1340</v>
      </c>
      <c r="AA1899" t="s">
        <v>3113</v>
      </c>
      <c r="AB1899" s="238" t="s">
        <v>3246</v>
      </c>
      <c r="AC1899" t="s">
        <v>3079</v>
      </c>
      <c r="AD1899" s="24"/>
      <c r="AE1899" s="238" t="s">
        <v>4683</v>
      </c>
      <c r="AF1899">
        <v>79171033222</v>
      </c>
      <c r="AG1899" s="238" t="s">
        <v>4684</v>
      </c>
      <c r="AH1899" s="238" t="s">
        <v>1212</v>
      </c>
      <c r="AI1899" s="238" t="s">
        <v>135</v>
      </c>
      <c r="AJ1899" s="238" t="s">
        <v>130</v>
      </c>
      <c r="AK1899" s="238" t="s">
        <v>141</v>
      </c>
      <c r="AL1899" t="s">
        <v>8715</v>
      </c>
      <c r="AM1899" t="s">
        <v>1167</v>
      </c>
    </row>
    <row r="1900" spans="1:39" hidden="1" x14ac:dyDescent="0.25">
      <c r="A1900">
        <v>1897</v>
      </c>
      <c r="B1900">
        <v>21</v>
      </c>
      <c r="C1900" s="24">
        <v>45101</v>
      </c>
      <c r="D1900" s="238" t="s">
        <v>91</v>
      </c>
      <c r="E1900" s="238" t="s">
        <v>16</v>
      </c>
      <c r="F1900">
        <v>6</v>
      </c>
      <c r="G1900">
        <v>21</v>
      </c>
      <c r="H1900">
        <v>379</v>
      </c>
      <c r="I1900" s="238" t="s">
        <v>44</v>
      </c>
      <c r="J1900">
        <v>72.510000000000005</v>
      </c>
      <c r="K1900" s="238" t="s">
        <v>37</v>
      </c>
      <c r="L1900">
        <v>6269850.5099999998</v>
      </c>
      <c r="M1900">
        <v>0</v>
      </c>
      <c r="N1900">
        <v>6269850.5099999998</v>
      </c>
      <c r="O1900">
        <v>86468.769962763748</v>
      </c>
      <c r="P1900">
        <v>290040</v>
      </c>
      <c r="Q1900">
        <v>5979810.5099999998</v>
      </c>
      <c r="R1900">
        <v>82468.769962763748</v>
      </c>
      <c r="S1900" s="238" t="s">
        <v>137</v>
      </c>
      <c r="T1900" s="238" t="s">
        <v>1167</v>
      </c>
      <c r="V1900" t="s">
        <v>4092</v>
      </c>
      <c r="W1900" s="24">
        <v>45090</v>
      </c>
      <c r="X1900" s="238" t="s">
        <v>4685</v>
      </c>
      <c r="Y1900" s="238" t="s">
        <v>39</v>
      </c>
      <c r="Z1900" s="238" t="s">
        <v>1340</v>
      </c>
      <c r="AA1900" t="s">
        <v>3113</v>
      </c>
      <c r="AB1900" s="238" t="s">
        <v>3246</v>
      </c>
      <c r="AC1900" t="s">
        <v>3079</v>
      </c>
      <c r="AD1900" s="24"/>
      <c r="AE1900" s="238" t="s">
        <v>4686</v>
      </c>
      <c r="AF1900">
        <v>79179437417</v>
      </c>
      <c r="AG1900" s="238" t="s">
        <v>4687</v>
      </c>
      <c r="AH1900" s="238" t="s">
        <v>1212</v>
      </c>
      <c r="AI1900" s="238" t="s">
        <v>3090</v>
      </c>
      <c r="AJ1900" s="238" t="s">
        <v>3901</v>
      </c>
      <c r="AK1900" s="238" t="s">
        <v>3345</v>
      </c>
      <c r="AL1900" t="s">
        <v>8715</v>
      </c>
      <c r="AM1900" t="s">
        <v>1167</v>
      </c>
    </row>
    <row r="1901" spans="1:39" hidden="1" x14ac:dyDescent="0.25">
      <c r="A1901">
        <v>1898</v>
      </c>
      <c r="B1901">
        <v>22</v>
      </c>
      <c r="C1901" s="24">
        <v>45103</v>
      </c>
      <c r="D1901" s="238" t="s">
        <v>91</v>
      </c>
      <c r="E1901" s="238" t="s">
        <v>15</v>
      </c>
      <c r="F1901">
        <v>4</v>
      </c>
      <c r="G1901">
        <v>3</v>
      </c>
      <c r="H1901">
        <v>414</v>
      </c>
      <c r="I1901" s="238" t="s">
        <v>42</v>
      </c>
      <c r="J1901">
        <v>36.5</v>
      </c>
      <c r="K1901" s="238" t="s">
        <v>37</v>
      </c>
      <c r="L1901">
        <v>3531001.62</v>
      </c>
      <c r="M1901">
        <v>0</v>
      </c>
      <c r="N1901">
        <v>3531001.62</v>
      </c>
      <c r="O1901">
        <v>96739.77041095891</v>
      </c>
      <c r="P1901">
        <v>146000.00000000047</v>
      </c>
      <c r="Q1901">
        <v>3385001.6199999996</v>
      </c>
      <c r="R1901">
        <v>92739.770410958896</v>
      </c>
      <c r="S1901" s="238" t="s">
        <v>124</v>
      </c>
      <c r="T1901" s="238" t="s">
        <v>978</v>
      </c>
      <c r="U1901">
        <v>216063.93</v>
      </c>
      <c r="V1901" t="s">
        <v>1167</v>
      </c>
      <c r="W1901" s="24">
        <v>45096</v>
      </c>
      <c r="X1901" s="238" t="s">
        <v>4693</v>
      </c>
      <c r="Y1901" s="238" t="s">
        <v>39</v>
      </c>
      <c r="Z1901" s="238" t="s">
        <v>1340</v>
      </c>
      <c r="AA1901" t="s">
        <v>3474</v>
      </c>
      <c r="AB1901" s="238" t="s">
        <v>3246</v>
      </c>
      <c r="AC1901" t="s">
        <v>1167</v>
      </c>
      <c r="AD1901" s="24"/>
      <c r="AE1901" s="238" t="s">
        <v>4694</v>
      </c>
      <c r="AF1901">
        <v>79270501308</v>
      </c>
      <c r="AG1901" s="238" t="s">
        <v>4695</v>
      </c>
      <c r="AH1901" s="238" t="s">
        <v>1171</v>
      </c>
      <c r="AI1901" s="238" t="s">
        <v>3074</v>
      </c>
      <c r="AJ1901" s="238" t="s">
        <v>4177</v>
      </c>
      <c r="AK1901" s="238" t="s">
        <v>1167</v>
      </c>
      <c r="AL1901" t="s">
        <v>8715</v>
      </c>
      <c r="AM1901" t="s">
        <v>1167</v>
      </c>
    </row>
    <row r="1902" spans="1:39" hidden="1" x14ac:dyDescent="0.25">
      <c r="A1902">
        <v>1899</v>
      </c>
      <c r="B1902">
        <v>23</v>
      </c>
      <c r="C1902" s="24">
        <v>45103</v>
      </c>
      <c r="D1902" s="238" t="s">
        <v>91</v>
      </c>
      <c r="E1902" s="238" t="s">
        <v>16</v>
      </c>
      <c r="F1902">
        <v>6</v>
      </c>
      <c r="G1902">
        <v>11</v>
      </c>
      <c r="H1902">
        <v>309</v>
      </c>
      <c r="I1902" s="238" t="s">
        <v>44</v>
      </c>
      <c r="J1902">
        <v>72.510000000000005</v>
      </c>
      <c r="K1902" s="238" t="s">
        <v>37</v>
      </c>
      <c r="L1902">
        <v>5864439.8499999996</v>
      </c>
      <c r="M1902">
        <v>0</v>
      </c>
      <c r="N1902">
        <v>5864439.8499999996</v>
      </c>
      <c r="O1902">
        <v>80877.669976554942</v>
      </c>
      <c r="P1902">
        <v>290040</v>
      </c>
      <c r="Q1902">
        <v>5574399.8499999996</v>
      </c>
      <c r="R1902">
        <v>76877.669976554942</v>
      </c>
      <c r="S1902" s="238" t="s">
        <v>137</v>
      </c>
      <c r="T1902" s="238" t="s">
        <v>1167</v>
      </c>
      <c r="V1902" t="s">
        <v>4092</v>
      </c>
      <c r="W1902" s="24">
        <v>45099</v>
      </c>
      <c r="X1902" s="238" t="s">
        <v>4696</v>
      </c>
      <c r="Y1902" s="238" t="s">
        <v>39</v>
      </c>
      <c r="Z1902" s="238" t="s">
        <v>1340</v>
      </c>
      <c r="AA1902" t="s">
        <v>3113</v>
      </c>
      <c r="AB1902" s="238" t="s">
        <v>3246</v>
      </c>
      <c r="AC1902" t="s">
        <v>3079</v>
      </c>
      <c r="AD1902" s="24"/>
      <c r="AE1902" s="238" t="s">
        <v>4697</v>
      </c>
      <c r="AF1902">
        <v>79688233876</v>
      </c>
      <c r="AG1902" s="238" t="s">
        <v>4698</v>
      </c>
      <c r="AH1902" s="238" t="s">
        <v>1171</v>
      </c>
      <c r="AI1902" s="238" t="s">
        <v>3074</v>
      </c>
      <c r="AJ1902" s="238" t="s">
        <v>4177</v>
      </c>
      <c r="AK1902" s="238" t="s">
        <v>3345</v>
      </c>
      <c r="AL1902" t="s">
        <v>8715</v>
      </c>
      <c r="AM1902" t="s">
        <v>1167</v>
      </c>
    </row>
    <row r="1903" spans="1:39" hidden="1" x14ac:dyDescent="0.25">
      <c r="A1903">
        <v>1900</v>
      </c>
      <c r="B1903">
        <v>24</v>
      </c>
      <c r="C1903" s="24">
        <v>45103</v>
      </c>
      <c r="D1903" s="238" t="s">
        <v>27</v>
      </c>
      <c r="E1903" s="238" t="s">
        <v>13</v>
      </c>
      <c r="F1903">
        <v>1</v>
      </c>
      <c r="G1903">
        <v>1</v>
      </c>
      <c r="H1903">
        <v>20</v>
      </c>
      <c r="I1903" s="238" t="s">
        <v>3946</v>
      </c>
      <c r="J1903">
        <v>121.3</v>
      </c>
      <c r="K1903" s="238" t="s">
        <v>36</v>
      </c>
      <c r="L1903">
        <v>14556000</v>
      </c>
      <c r="M1903">
        <v>0</v>
      </c>
      <c r="N1903">
        <v>14556000</v>
      </c>
      <c r="O1903">
        <v>120000</v>
      </c>
      <c r="P1903">
        <v>0</v>
      </c>
      <c r="Q1903">
        <v>14556000</v>
      </c>
      <c r="R1903">
        <v>120000</v>
      </c>
      <c r="S1903" s="238" t="s">
        <v>121</v>
      </c>
      <c r="T1903" s="238" t="s">
        <v>1167</v>
      </c>
      <c r="V1903" t="s">
        <v>1167</v>
      </c>
      <c r="W1903" s="24">
        <v>45099</v>
      </c>
      <c r="X1903" s="238" t="s">
        <v>4699</v>
      </c>
      <c r="Y1903" s="238" t="s">
        <v>3946</v>
      </c>
      <c r="Z1903" s="238" t="s">
        <v>1340</v>
      </c>
      <c r="AA1903" t="s">
        <v>3474</v>
      </c>
      <c r="AB1903" s="238" t="s">
        <v>3124</v>
      </c>
      <c r="AC1903" t="s">
        <v>1167</v>
      </c>
      <c r="AD1903" s="24"/>
      <c r="AE1903" s="238" t="s">
        <v>4700</v>
      </c>
      <c r="AF1903">
        <v>79272604169</v>
      </c>
      <c r="AG1903" s="238" t="s">
        <v>4701</v>
      </c>
      <c r="AH1903" s="238" t="s">
        <v>1212</v>
      </c>
      <c r="AI1903" s="238" t="s">
        <v>3088</v>
      </c>
      <c r="AJ1903" s="238" t="s">
        <v>3901</v>
      </c>
      <c r="AK1903" s="238" t="s">
        <v>1167</v>
      </c>
      <c r="AL1903" t="s">
        <v>8715</v>
      </c>
      <c r="AM1903" t="s">
        <v>1167</v>
      </c>
    </row>
    <row r="1904" spans="1:39" hidden="1" x14ac:dyDescent="0.25">
      <c r="A1904">
        <v>1901</v>
      </c>
      <c r="B1904">
        <v>25</v>
      </c>
      <c r="C1904" s="24">
        <v>45104</v>
      </c>
      <c r="D1904" s="238" t="s">
        <v>91</v>
      </c>
      <c r="E1904" s="238" t="s">
        <v>16</v>
      </c>
      <c r="F1904">
        <v>1</v>
      </c>
      <c r="G1904">
        <v>7</v>
      </c>
      <c r="H1904">
        <v>276</v>
      </c>
      <c r="I1904" s="238" t="s">
        <v>4052</v>
      </c>
      <c r="J1904">
        <v>29.35</v>
      </c>
      <c r="K1904" s="238" t="s">
        <v>38</v>
      </c>
      <c r="L1904">
        <v>3086755.35</v>
      </c>
      <c r="M1904">
        <v>0</v>
      </c>
      <c r="N1904">
        <v>3086755.35</v>
      </c>
      <c r="O1904">
        <v>105170.54003407154</v>
      </c>
      <c r="P1904">
        <v>440250.0000000014</v>
      </c>
      <c r="Q1904">
        <v>2646505.3499999987</v>
      </c>
      <c r="R1904">
        <v>90170.540034071499</v>
      </c>
      <c r="S1904" s="238" t="s">
        <v>124</v>
      </c>
      <c r="T1904" s="238" t="s">
        <v>1167</v>
      </c>
      <c r="V1904" t="s">
        <v>1167</v>
      </c>
      <c r="W1904" s="24">
        <v>45093</v>
      </c>
      <c r="X1904" s="238" t="s">
        <v>4702</v>
      </c>
      <c r="Y1904" s="238" t="s">
        <v>39</v>
      </c>
      <c r="Z1904" s="238" t="s">
        <v>1340</v>
      </c>
      <c r="AA1904" t="s">
        <v>3474</v>
      </c>
      <c r="AB1904" s="238" t="s">
        <v>3246</v>
      </c>
      <c r="AC1904" t="s">
        <v>4246</v>
      </c>
      <c r="AD1904" s="24"/>
      <c r="AE1904" s="238" t="s">
        <v>4703</v>
      </c>
      <c r="AF1904">
        <v>79023768807</v>
      </c>
      <c r="AG1904" s="238" t="s">
        <v>4704</v>
      </c>
      <c r="AH1904" s="238" t="s">
        <v>1212</v>
      </c>
      <c r="AI1904" s="238" t="s">
        <v>4705</v>
      </c>
      <c r="AJ1904" s="238" t="s">
        <v>4177</v>
      </c>
      <c r="AK1904" s="238" t="s">
        <v>1167</v>
      </c>
      <c r="AL1904" t="s">
        <v>8715</v>
      </c>
      <c r="AM1904" t="s">
        <v>1167</v>
      </c>
    </row>
    <row r="1905" spans="1:39" hidden="1" x14ac:dyDescent="0.25">
      <c r="A1905">
        <v>1902</v>
      </c>
      <c r="B1905">
        <v>26</v>
      </c>
      <c r="C1905" s="24">
        <v>45105</v>
      </c>
      <c r="D1905" s="238" t="s">
        <v>91</v>
      </c>
      <c r="E1905" s="238" t="s">
        <v>16</v>
      </c>
      <c r="F1905">
        <v>2</v>
      </c>
      <c r="G1905">
        <v>16</v>
      </c>
      <c r="H1905">
        <v>340</v>
      </c>
      <c r="I1905" s="238" t="s">
        <v>43</v>
      </c>
      <c r="J1905">
        <v>67.95</v>
      </c>
      <c r="K1905" s="238" t="s">
        <v>37</v>
      </c>
      <c r="L1905">
        <v>5613865.2400000002</v>
      </c>
      <c r="M1905">
        <v>0</v>
      </c>
      <c r="N1905">
        <v>5613865.2400000002</v>
      </c>
      <c r="O1905">
        <v>82617.589992641646</v>
      </c>
      <c r="P1905">
        <v>271800</v>
      </c>
      <c r="Q1905">
        <v>5342065.24</v>
      </c>
      <c r="R1905">
        <v>78617.589992641646</v>
      </c>
      <c r="S1905" s="238" t="s">
        <v>137</v>
      </c>
      <c r="T1905" s="238" t="s">
        <v>60</v>
      </c>
      <c r="U1905">
        <v>271800</v>
      </c>
      <c r="V1905" t="s">
        <v>4091</v>
      </c>
      <c r="W1905" s="24">
        <v>45095</v>
      </c>
      <c r="X1905" s="238" t="s">
        <v>4706</v>
      </c>
      <c r="Y1905" s="238" t="s">
        <v>39</v>
      </c>
      <c r="Z1905" s="238" t="s">
        <v>1340</v>
      </c>
      <c r="AA1905" t="s">
        <v>3113</v>
      </c>
      <c r="AB1905" s="238" t="s">
        <v>3246</v>
      </c>
      <c r="AC1905" t="s">
        <v>3079</v>
      </c>
      <c r="AD1905" s="24"/>
      <c r="AE1905" s="238" t="s">
        <v>4707</v>
      </c>
      <c r="AF1905">
        <v>79174633820</v>
      </c>
      <c r="AG1905" s="238" t="s">
        <v>4708</v>
      </c>
      <c r="AH1905" s="238" t="s">
        <v>1212</v>
      </c>
      <c r="AI1905" s="238" t="s">
        <v>3097</v>
      </c>
      <c r="AJ1905" s="238" t="s">
        <v>4177</v>
      </c>
      <c r="AK1905" s="238" t="s">
        <v>3345</v>
      </c>
      <c r="AL1905" t="s">
        <v>8715</v>
      </c>
      <c r="AM1905" t="s">
        <v>1167</v>
      </c>
    </row>
    <row r="1906" spans="1:39" hidden="1" x14ac:dyDescent="0.25">
      <c r="A1906">
        <v>1903</v>
      </c>
      <c r="B1906">
        <v>27</v>
      </c>
      <c r="C1906" s="24">
        <v>45105</v>
      </c>
      <c r="D1906" s="238" t="s">
        <v>91</v>
      </c>
      <c r="E1906" s="238" t="s">
        <v>6</v>
      </c>
      <c r="F1906">
        <v>5</v>
      </c>
      <c r="G1906">
        <v>5</v>
      </c>
      <c r="H1906">
        <v>29</v>
      </c>
      <c r="I1906" s="238" t="s">
        <v>43</v>
      </c>
      <c r="J1906">
        <v>54.66</v>
      </c>
      <c r="K1906" s="238" t="s">
        <v>38</v>
      </c>
      <c r="L1906">
        <v>5253900.62</v>
      </c>
      <c r="M1906">
        <v>0</v>
      </c>
      <c r="N1906">
        <v>5253900.62</v>
      </c>
      <c r="O1906">
        <v>96119.660080497633</v>
      </c>
      <c r="P1906">
        <v>819900</v>
      </c>
      <c r="Q1906">
        <v>4434000.62</v>
      </c>
      <c r="R1906">
        <v>81119.660080497633</v>
      </c>
      <c r="S1906" s="238" t="s">
        <v>137</v>
      </c>
      <c r="T1906" s="238" t="s">
        <v>1167</v>
      </c>
      <c r="V1906" t="s">
        <v>4091</v>
      </c>
      <c r="W1906" s="24">
        <v>45096</v>
      </c>
      <c r="X1906" s="238" t="s">
        <v>4709</v>
      </c>
      <c r="Y1906" s="238" t="s">
        <v>39</v>
      </c>
      <c r="Z1906" s="238" t="s">
        <v>1340</v>
      </c>
      <c r="AA1906" t="s">
        <v>3113</v>
      </c>
      <c r="AB1906" s="238" t="s">
        <v>3246</v>
      </c>
      <c r="AC1906" t="s">
        <v>3079</v>
      </c>
      <c r="AD1906" s="24"/>
      <c r="AE1906" s="238" t="s">
        <v>4710</v>
      </c>
      <c r="AF1906">
        <v>79328616078</v>
      </c>
      <c r="AG1906" s="238" t="s">
        <v>4711</v>
      </c>
      <c r="AH1906" s="238" t="s">
        <v>1212</v>
      </c>
      <c r="AI1906" s="238" t="s">
        <v>3514</v>
      </c>
      <c r="AJ1906" s="238" t="s">
        <v>130</v>
      </c>
      <c r="AK1906" s="238" t="s">
        <v>3345</v>
      </c>
      <c r="AL1906" t="s">
        <v>8715</v>
      </c>
      <c r="AM1906" t="s">
        <v>1167</v>
      </c>
    </row>
    <row r="1907" spans="1:39" hidden="1" x14ac:dyDescent="0.25">
      <c r="A1907">
        <v>1904</v>
      </c>
      <c r="B1907">
        <v>28</v>
      </c>
      <c r="C1907" s="24">
        <v>45106</v>
      </c>
      <c r="D1907" s="238" t="s">
        <v>91</v>
      </c>
      <c r="E1907" s="238" t="s">
        <v>16</v>
      </c>
      <c r="F1907">
        <v>3</v>
      </c>
      <c r="G1907">
        <v>22</v>
      </c>
      <c r="H1907">
        <v>383</v>
      </c>
      <c r="I1907" s="238" t="s">
        <v>4052</v>
      </c>
      <c r="J1907">
        <v>36.450000000000003</v>
      </c>
      <c r="K1907" s="238" t="s">
        <v>36</v>
      </c>
      <c r="L1907">
        <v>3356369.12</v>
      </c>
      <c r="M1907">
        <v>0</v>
      </c>
      <c r="N1907">
        <v>3356369.12</v>
      </c>
      <c r="O1907">
        <v>92081.457338820299</v>
      </c>
      <c r="P1907">
        <v>0</v>
      </c>
      <c r="Q1907">
        <v>3356369.12</v>
      </c>
      <c r="R1907">
        <v>92081.457338820299</v>
      </c>
      <c r="S1907" s="238" t="s">
        <v>137</v>
      </c>
      <c r="T1907" s="238" t="s">
        <v>324</v>
      </c>
      <c r="U1907">
        <v>55555</v>
      </c>
      <c r="V1907" t="s">
        <v>4091</v>
      </c>
      <c r="W1907" s="24">
        <v>45093</v>
      </c>
      <c r="X1907" s="238" t="s">
        <v>4718</v>
      </c>
      <c r="Y1907" s="238" t="s">
        <v>39</v>
      </c>
      <c r="Z1907" s="238" t="s">
        <v>1340</v>
      </c>
      <c r="AA1907" t="s">
        <v>3113</v>
      </c>
      <c r="AB1907" s="238" t="s">
        <v>3246</v>
      </c>
      <c r="AC1907" t="s">
        <v>3079</v>
      </c>
      <c r="AD1907" s="24"/>
      <c r="AE1907" s="238" t="s">
        <v>4719</v>
      </c>
      <c r="AF1907">
        <v>79171438403</v>
      </c>
      <c r="AG1907" s="238" t="s">
        <v>4720</v>
      </c>
      <c r="AH1907" s="238" t="s">
        <v>1212</v>
      </c>
      <c r="AI1907" s="238" t="s">
        <v>135</v>
      </c>
      <c r="AJ1907" s="238" t="s">
        <v>3901</v>
      </c>
      <c r="AK1907" s="238" t="s">
        <v>3345</v>
      </c>
      <c r="AL1907" t="s">
        <v>8715</v>
      </c>
      <c r="AM1907" t="s">
        <v>1167</v>
      </c>
    </row>
    <row r="1908" spans="1:39" hidden="1" x14ac:dyDescent="0.25">
      <c r="A1908">
        <v>1905</v>
      </c>
      <c r="B1908">
        <v>29</v>
      </c>
      <c r="C1908" s="24">
        <v>45106</v>
      </c>
      <c r="D1908" s="238" t="s">
        <v>91</v>
      </c>
      <c r="E1908" s="238" t="s">
        <v>16</v>
      </c>
      <c r="F1908">
        <v>1</v>
      </c>
      <c r="G1908">
        <v>16</v>
      </c>
      <c r="H1908">
        <v>339</v>
      </c>
      <c r="I1908" s="238" t="s">
        <v>4052</v>
      </c>
      <c r="J1908">
        <v>29.35</v>
      </c>
      <c r="K1908" s="238" t="s">
        <v>38</v>
      </c>
      <c r="L1908">
        <v>3086755.35</v>
      </c>
      <c r="M1908">
        <v>0</v>
      </c>
      <c r="N1908">
        <v>3086755.35</v>
      </c>
      <c r="O1908">
        <v>105170.54003407154</v>
      </c>
      <c r="P1908">
        <v>440250</v>
      </c>
      <c r="Q1908">
        <v>2646505.35</v>
      </c>
      <c r="R1908">
        <v>90170.540034071542</v>
      </c>
      <c r="S1908" s="238" t="s">
        <v>137</v>
      </c>
      <c r="T1908" s="238" t="s">
        <v>1167</v>
      </c>
      <c r="V1908" t="s">
        <v>4091</v>
      </c>
      <c r="W1908" s="24">
        <v>45102</v>
      </c>
      <c r="X1908" s="238" t="s">
        <v>4721</v>
      </c>
      <c r="Y1908" s="238" t="s">
        <v>39</v>
      </c>
      <c r="Z1908" s="238" t="s">
        <v>1340</v>
      </c>
      <c r="AA1908" t="s">
        <v>3113</v>
      </c>
      <c r="AB1908" s="238" t="s">
        <v>3246</v>
      </c>
      <c r="AC1908" t="s">
        <v>3079</v>
      </c>
      <c r="AD1908" s="24"/>
      <c r="AE1908" s="238" t="s">
        <v>4722</v>
      </c>
      <c r="AF1908">
        <v>79376557747</v>
      </c>
      <c r="AG1908" s="238" t="s">
        <v>4723</v>
      </c>
      <c r="AH1908" s="238" t="s">
        <v>1212</v>
      </c>
      <c r="AI1908" s="238" t="s">
        <v>135</v>
      </c>
      <c r="AJ1908" s="238" t="s">
        <v>4177</v>
      </c>
      <c r="AK1908" s="238" t="s">
        <v>3345</v>
      </c>
      <c r="AL1908" t="s">
        <v>8715</v>
      </c>
      <c r="AM1908" t="s">
        <v>1167</v>
      </c>
    </row>
    <row r="1909" spans="1:39" hidden="1" x14ac:dyDescent="0.25">
      <c r="A1909">
        <v>1906</v>
      </c>
      <c r="B1909">
        <v>30</v>
      </c>
      <c r="C1909" s="24">
        <v>45106</v>
      </c>
      <c r="D1909" s="238" t="s">
        <v>91</v>
      </c>
      <c r="E1909" s="238" t="s">
        <v>16</v>
      </c>
      <c r="F1909">
        <v>1</v>
      </c>
      <c r="G1909">
        <v>2</v>
      </c>
      <c r="H1909">
        <v>241</v>
      </c>
      <c r="I1909" s="238" t="s">
        <v>4052</v>
      </c>
      <c r="J1909">
        <v>29.35</v>
      </c>
      <c r="K1909" s="238" t="s">
        <v>38</v>
      </c>
      <c r="L1909">
        <v>3086755.35</v>
      </c>
      <c r="M1909">
        <v>0</v>
      </c>
      <c r="N1909">
        <v>3086755.35</v>
      </c>
      <c r="O1909">
        <v>105170.54003407154</v>
      </c>
      <c r="P1909">
        <v>440250.0000000014</v>
      </c>
      <c r="Q1909">
        <v>2646505.3499999987</v>
      </c>
      <c r="R1909">
        <v>90170.540034071499</v>
      </c>
      <c r="S1909" s="238" t="s">
        <v>137</v>
      </c>
      <c r="T1909" s="238" t="s">
        <v>1167</v>
      </c>
      <c r="V1909" t="s">
        <v>4092</v>
      </c>
      <c r="W1909" s="24">
        <v>45102</v>
      </c>
      <c r="X1909" s="238" t="s">
        <v>4724</v>
      </c>
      <c r="Y1909" s="238" t="s">
        <v>39</v>
      </c>
      <c r="Z1909" s="238" t="s">
        <v>1340</v>
      </c>
      <c r="AA1909" t="s">
        <v>3113</v>
      </c>
      <c r="AB1909" s="238" t="s">
        <v>3246</v>
      </c>
      <c r="AC1909" t="s">
        <v>3079</v>
      </c>
      <c r="AD1909" s="24"/>
      <c r="AE1909" s="238" t="s">
        <v>4725</v>
      </c>
      <c r="AF1909">
        <v>79911941526</v>
      </c>
      <c r="AG1909" s="238" t="s">
        <v>4726</v>
      </c>
      <c r="AH1909" s="238" t="s">
        <v>1212</v>
      </c>
      <c r="AI1909" s="238" t="s">
        <v>135</v>
      </c>
      <c r="AJ1909" s="238" t="s">
        <v>3901</v>
      </c>
      <c r="AK1909" s="238" t="s">
        <v>141</v>
      </c>
      <c r="AL1909" t="s">
        <v>8715</v>
      </c>
      <c r="AM1909" t="s">
        <v>1167</v>
      </c>
    </row>
    <row r="1910" spans="1:39" hidden="1" x14ac:dyDescent="0.25">
      <c r="A1910">
        <v>1907</v>
      </c>
      <c r="B1910">
        <v>31</v>
      </c>
      <c r="C1910" s="24">
        <v>45106</v>
      </c>
      <c r="D1910" s="238" t="s">
        <v>91</v>
      </c>
      <c r="E1910" s="238" t="s">
        <v>16</v>
      </c>
      <c r="F1910">
        <v>2</v>
      </c>
      <c r="G1910">
        <v>21</v>
      </c>
      <c r="H1910">
        <v>375</v>
      </c>
      <c r="I1910" s="238" t="s">
        <v>43</v>
      </c>
      <c r="J1910">
        <v>67.95</v>
      </c>
      <c r="K1910" s="238" t="s">
        <v>37</v>
      </c>
      <c r="L1910">
        <v>6033593.0700000003</v>
      </c>
      <c r="M1910">
        <v>0</v>
      </c>
      <c r="N1910">
        <v>6033593.0700000003</v>
      </c>
      <c r="O1910">
        <v>88794.6</v>
      </c>
      <c r="P1910">
        <v>271800</v>
      </c>
      <c r="Q1910">
        <v>5761793.0700000003</v>
      </c>
      <c r="R1910">
        <v>84794.6</v>
      </c>
      <c r="S1910" s="238" t="s">
        <v>124</v>
      </c>
      <c r="T1910" s="238" t="s">
        <v>60</v>
      </c>
      <c r="U1910">
        <v>271800</v>
      </c>
      <c r="V1910" t="s">
        <v>1167</v>
      </c>
      <c r="W1910" s="24">
        <v>45104</v>
      </c>
      <c r="X1910" s="238" t="s">
        <v>4727</v>
      </c>
      <c r="Y1910" s="238" t="s">
        <v>39</v>
      </c>
      <c r="Z1910" s="238" t="s">
        <v>1340</v>
      </c>
      <c r="AA1910" t="s">
        <v>3113</v>
      </c>
      <c r="AB1910" s="238" t="s">
        <v>3246</v>
      </c>
      <c r="AC1910" t="s">
        <v>1167</v>
      </c>
      <c r="AD1910" s="24"/>
      <c r="AE1910" s="238" t="s">
        <v>2403</v>
      </c>
      <c r="AF1910">
        <v>79125318309</v>
      </c>
      <c r="AG1910" s="238" t="s">
        <v>2404</v>
      </c>
      <c r="AH1910" s="238" t="s">
        <v>1171</v>
      </c>
      <c r="AI1910" s="238" t="s">
        <v>3082</v>
      </c>
      <c r="AJ1910" s="238" t="s">
        <v>4177</v>
      </c>
      <c r="AK1910" s="238" t="s">
        <v>1167</v>
      </c>
      <c r="AL1910" t="s">
        <v>8715</v>
      </c>
      <c r="AM1910" t="s">
        <v>1167</v>
      </c>
    </row>
    <row r="1911" spans="1:39" hidden="1" x14ac:dyDescent="0.25">
      <c r="A1911">
        <v>1908</v>
      </c>
      <c r="B1911">
        <v>32</v>
      </c>
      <c r="C1911" s="24">
        <v>45106</v>
      </c>
      <c r="D1911" s="238" t="s">
        <v>91</v>
      </c>
      <c r="E1911" s="238" t="s">
        <v>15</v>
      </c>
      <c r="F1911">
        <v>6</v>
      </c>
      <c r="G1911">
        <v>1</v>
      </c>
      <c r="H1911">
        <v>18</v>
      </c>
      <c r="I1911" s="238" t="s">
        <v>3946</v>
      </c>
      <c r="J1911">
        <v>96.35</v>
      </c>
      <c r="K1911" s="238" t="s">
        <v>36</v>
      </c>
      <c r="L1911">
        <v>11080250</v>
      </c>
      <c r="M1911">
        <v>0</v>
      </c>
      <c r="N1911">
        <v>11080250</v>
      </c>
      <c r="O1911">
        <v>115000</v>
      </c>
      <c r="P1911">
        <v>0</v>
      </c>
      <c r="Q1911">
        <v>11080250</v>
      </c>
      <c r="R1911">
        <v>115000</v>
      </c>
      <c r="S1911" s="238" t="s">
        <v>124</v>
      </c>
      <c r="T1911" s="238" t="s">
        <v>1167</v>
      </c>
      <c r="V1911" t="s">
        <v>1167</v>
      </c>
      <c r="W1911" s="24">
        <v>45104</v>
      </c>
      <c r="X1911" s="238" t="s">
        <v>4728</v>
      </c>
      <c r="Y1911" s="238" t="s">
        <v>3946</v>
      </c>
      <c r="Z1911" s="238" t="s">
        <v>1340</v>
      </c>
      <c r="AA1911" t="s">
        <v>3113</v>
      </c>
      <c r="AB1911" s="238" t="s">
        <v>3246</v>
      </c>
      <c r="AC1911" t="s">
        <v>1167</v>
      </c>
      <c r="AD1911" s="24"/>
      <c r="AE1911" s="238" t="s">
        <v>4035</v>
      </c>
      <c r="AF1911">
        <v>79270097272</v>
      </c>
      <c r="AG1911" s="238" t="s">
        <v>4036</v>
      </c>
      <c r="AH1911" s="238" t="s">
        <v>1197</v>
      </c>
      <c r="AI1911" s="238" t="s">
        <v>3082</v>
      </c>
      <c r="AJ1911" s="238" t="s">
        <v>982</v>
      </c>
      <c r="AK1911" s="238" t="s">
        <v>1167</v>
      </c>
      <c r="AL1911" t="s">
        <v>8715</v>
      </c>
      <c r="AM1911" t="s">
        <v>1167</v>
      </c>
    </row>
    <row r="1912" spans="1:39" hidden="1" x14ac:dyDescent="0.25">
      <c r="A1912">
        <v>1909</v>
      </c>
      <c r="B1912">
        <v>33</v>
      </c>
      <c r="C1912" s="24">
        <v>45106</v>
      </c>
      <c r="D1912" s="238" t="s">
        <v>91</v>
      </c>
      <c r="E1912" s="238" t="s">
        <v>5</v>
      </c>
      <c r="F1912">
        <v>6</v>
      </c>
      <c r="G1912">
        <v>8</v>
      </c>
      <c r="H1912">
        <v>174</v>
      </c>
      <c r="I1912" s="238" t="s">
        <v>42</v>
      </c>
      <c r="J1912">
        <v>36.659999999999997</v>
      </c>
      <c r="K1912" s="238" t="s">
        <v>37</v>
      </c>
      <c r="L1912">
        <v>3591260.1600000001</v>
      </c>
      <c r="M1912">
        <v>0</v>
      </c>
      <c r="N1912">
        <v>3591260.1600000001</v>
      </c>
      <c r="O1912">
        <v>97961.270049099854</v>
      </c>
      <c r="P1912">
        <v>146640</v>
      </c>
      <c r="Q1912">
        <v>3444620.16</v>
      </c>
      <c r="R1912">
        <v>93961.270049099854</v>
      </c>
      <c r="S1912" s="238" t="s">
        <v>121</v>
      </c>
      <c r="T1912" s="238" t="s">
        <v>1167</v>
      </c>
      <c r="V1912" t="s">
        <v>1167</v>
      </c>
      <c r="W1912" s="24">
        <v>45105</v>
      </c>
      <c r="X1912" s="238" t="s">
        <v>4729</v>
      </c>
      <c r="Y1912" s="238" t="s">
        <v>39</v>
      </c>
      <c r="Z1912" s="238" t="s">
        <v>1340</v>
      </c>
      <c r="AA1912" t="s">
        <v>3474</v>
      </c>
      <c r="AB1912" s="238" t="s">
        <v>3246</v>
      </c>
      <c r="AC1912" t="s">
        <v>1167</v>
      </c>
      <c r="AD1912" s="24"/>
      <c r="AE1912" s="238" t="s">
        <v>4730</v>
      </c>
      <c r="AF1912">
        <v>79674852821</v>
      </c>
      <c r="AG1912" s="238" t="s">
        <v>4731</v>
      </c>
      <c r="AH1912" s="238" t="s">
        <v>146</v>
      </c>
      <c r="AI1912" s="238" t="s">
        <v>135</v>
      </c>
      <c r="AJ1912" s="238" t="s">
        <v>4177</v>
      </c>
      <c r="AK1912" s="238" t="s">
        <v>1167</v>
      </c>
      <c r="AL1912" t="s">
        <v>8715</v>
      </c>
      <c r="AM1912" t="s">
        <v>1167</v>
      </c>
    </row>
    <row r="1913" spans="1:39" hidden="1" x14ac:dyDescent="0.25">
      <c r="A1913">
        <v>1910</v>
      </c>
      <c r="B1913">
        <v>34</v>
      </c>
      <c r="C1913" s="24">
        <v>45107</v>
      </c>
      <c r="D1913" s="238" t="s">
        <v>91</v>
      </c>
      <c r="E1913" s="238" t="s">
        <v>15</v>
      </c>
      <c r="F1913">
        <v>1</v>
      </c>
      <c r="G1913">
        <v>7</v>
      </c>
      <c r="H1913">
        <v>447</v>
      </c>
      <c r="I1913" s="238" t="s">
        <v>42</v>
      </c>
      <c r="J1913">
        <v>39.74</v>
      </c>
      <c r="K1913" s="238" t="s">
        <v>37</v>
      </c>
      <c r="L1913">
        <v>3625262.82</v>
      </c>
      <c r="M1913">
        <v>0</v>
      </c>
      <c r="N1913">
        <v>3625262.82</v>
      </c>
      <c r="O1913">
        <v>91224.529944640148</v>
      </c>
      <c r="P1913">
        <v>158960</v>
      </c>
      <c r="Q1913">
        <v>3466302.82</v>
      </c>
      <c r="R1913">
        <v>87224.529944640148</v>
      </c>
      <c r="S1913" s="238" t="s">
        <v>137</v>
      </c>
      <c r="T1913" s="238" t="s">
        <v>60</v>
      </c>
      <c r="U1913">
        <v>158960</v>
      </c>
      <c r="V1913" t="s">
        <v>4092</v>
      </c>
      <c r="W1913" s="24">
        <v>45093</v>
      </c>
      <c r="X1913" s="238" t="s">
        <v>4735</v>
      </c>
      <c r="Y1913" s="238" t="s">
        <v>39</v>
      </c>
      <c r="Z1913" s="238" t="s">
        <v>1340</v>
      </c>
      <c r="AA1913" t="s">
        <v>3113</v>
      </c>
      <c r="AB1913" s="238" t="s">
        <v>3246</v>
      </c>
      <c r="AC1913" t="s">
        <v>3079</v>
      </c>
      <c r="AD1913" s="24"/>
      <c r="AE1913" s="238" t="s">
        <v>4736</v>
      </c>
      <c r="AF1913">
        <v>79179538830</v>
      </c>
      <c r="AG1913" s="238" t="s">
        <v>4737</v>
      </c>
      <c r="AH1913" s="238" t="s">
        <v>135</v>
      </c>
      <c r="AI1913" s="238" t="s">
        <v>3099</v>
      </c>
      <c r="AJ1913" s="238" t="s">
        <v>3901</v>
      </c>
      <c r="AK1913" s="238" t="s">
        <v>3345</v>
      </c>
      <c r="AL1913" t="s">
        <v>8715</v>
      </c>
      <c r="AM1913" t="s">
        <v>1167</v>
      </c>
    </row>
    <row r="1914" spans="1:39" hidden="1" x14ac:dyDescent="0.25">
      <c r="A1914">
        <v>1911</v>
      </c>
      <c r="B1914">
        <v>35</v>
      </c>
      <c r="C1914" s="24">
        <v>45107</v>
      </c>
      <c r="D1914" s="238" t="s">
        <v>91</v>
      </c>
      <c r="E1914" s="238" t="s">
        <v>15</v>
      </c>
      <c r="F1914">
        <v>2</v>
      </c>
      <c r="G1914">
        <v>1</v>
      </c>
      <c r="H1914">
        <v>14</v>
      </c>
      <c r="I1914" s="238" t="s">
        <v>3946</v>
      </c>
      <c r="J1914">
        <v>91.41</v>
      </c>
      <c r="K1914" s="238" t="s">
        <v>36</v>
      </c>
      <c r="L1914">
        <v>10301907</v>
      </c>
      <c r="M1914">
        <v>0</v>
      </c>
      <c r="N1914">
        <v>10301907</v>
      </c>
      <c r="O1914">
        <v>112700</v>
      </c>
      <c r="P1914">
        <v>0</v>
      </c>
      <c r="Q1914">
        <v>10301907</v>
      </c>
      <c r="R1914">
        <v>112700</v>
      </c>
      <c r="S1914" s="238" t="s">
        <v>124</v>
      </c>
      <c r="T1914" s="238" t="s">
        <v>4360</v>
      </c>
      <c r="U1914">
        <v>210243</v>
      </c>
      <c r="V1914" t="s">
        <v>1167</v>
      </c>
      <c r="W1914" s="24">
        <v>45096</v>
      </c>
      <c r="X1914" s="238" t="s">
        <v>4738</v>
      </c>
      <c r="Y1914" s="238" t="s">
        <v>3946</v>
      </c>
      <c r="Z1914" s="238" t="s">
        <v>1340</v>
      </c>
      <c r="AA1914" t="s">
        <v>3474</v>
      </c>
      <c r="AB1914" s="238" t="s">
        <v>3246</v>
      </c>
      <c r="AC1914" t="s">
        <v>1167</v>
      </c>
      <c r="AD1914" s="24"/>
      <c r="AE1914" s="238" t="s">
        <v>4171</v>
      </c>
      <c r="AF1914">
        <v>79276901506</v>
      </c>
      <c r="AG1914" s="238" t="s">
        <v>4172</v>
      </c>
      <c r="AH1914" s="238" t="s">
        <v>1197</v>
      </c>
      <c r="AI1914" s="238" t="s">
        <v>3082</v>
      </c>
      <c r="AJ1914" s="238" t="s">
        <v>130</v>
      </c>
      <c r="AK1914" s="238" t="s">
        <v>1167</v>
      </c>
      <c r="AL1914" t="s">
        <v>8715</v>
      </c>
      <c r="AM1914" t="s">
        <v>1167</v>
      </c>
    </row>
    <row r="1915" spans="1:39" hidden="1" x14ac:dyDescent="0.25">
      <c r="A1915">
        <v>1912</v>
      </c>
      <c r="B1915">
        <v>36</v>
      </c>
      <c r="C1915" s="24">
        <v>45107</v>
      </c>
      <c r="D1915" s="238" t="s">
        <v>91</v>
      </c>
      <c r="E1915" s="238" t="s">
        <v>6</v>
      </c>
      <c r="F1915">
        <v>1</v>
      </c>
      <c r="G1915">
        <v>6</v>
      </c>
      <c r="H1915">
        <v>33</v>
      </c>
      <c r="I1915" s="238" t="s">
        <v>42</v>
      </c>
      <c r="J1915">
        <v>33.53</v>
      </c>
      <c r="K1915" s="238" t="s">
        <v>38</v>
      </c>
      <c r="L1915">
        <v>3715246.05</v>
      </c>
      <c r="M1915">
        <v>0</v>
      </c>
      <c r="N1915">
        <v>3715246.05</v>
      </c>
      <c r="O1915">
        <v>110803.64002385922</v>
      </c>
      <c r="P1915">
        <v>502950.00000000047</v>
      </c>
      <c r="Q1915">
        <v>3212296.0499999993</v>
      </c>
      <c r="R1915">
        <v>95803.640023859203</v>
      </c>
      <c r="S1915" s="238" t="s">
        <v>137</v>
      </c>
      <c r="T1915" s="238" t="s">
        <v>1167</v>
      </c>
      <c r="V1915" t="s">
        <v>4091</v>
      </c>
      <c r="W1915" s="24">
        <v>45100</v>
      </c>
      <c r="X1915" s="238" t="s">
        <v>4739</v>
      </c>
      <c r="Y1915" s="238" t="s">
        <v>39</v>
      </c>
      <c r="Z1915" s="238" t="s">
        <v>1340</v>
      </c>
      <c r="AA1915" t="s">
        <v>3113</v>
      </c>
      <c r="AB1915" s="238" t="s">
        <v>3246</v>
      </c>
      <c r="AC1915" t="s">
        <v>3079</v>
      </c>
      <c r="AD1915" s="24"/>
      <c r="AE1915" s="238" t="s">
        <v>2110</v>
      </c>
      <c r="AF1915">
        <v>79874465582</v>
      </c>
      <c r="AG1915" s="238" t="s">
        <v>2111</v>
      </c>
      <c r="AH1915" s="238" t="s">
        <v>1212</v>
      </c>
      <c r="AI1915" s="238" t="s">
        <v>3082</v>
      </c>
      <c r="AJ1915" s="238" t="s">
        <v>130</v>
      </c>
      <c r="AK1915" s="238" t="s">
        <v>141</v>
      </c>
      <c r="AL1915" t="s">
        <v>8715</v>
      </c>
      <c r="AM1915" t="s">
        <v>1167</v>
      </c>
    </row>
    <row r="1916" spans="1:39" hidden="1" x14ac:dyDescent="0.25">
      <c r="A1916">
        <v>1913</v>
      </c>
      <c r="B1916">
        <v>37</v>
      </c>
      <c r="C1916" s="24">
        <v>45107</v>
      </c>
      <c r="D1916" s="238" t="s">
        <v>91</v>
      </c>
      <c r="E1916" s="238" t="s">
        <v>16</v>
      </c>
      <c r="F1916">
        <v>1</v>
      </c>
      <c r="G1916">
        <v>9</v>
      </c>
      <c r="H1916">
        <v>290</v>
      </c>
      <c r="I1916" s="238" t="s">
        <v>4052</v>
      </c>
      <c r="J1916">
        <v>29.35</v>
      </c>
      <c r="K1916" s="238" t="s">
        <v>38</v>
      </c>
      <c r="L1916">
        <v>3086755.35</v>
      </c>
      <c r="M1916">
        <v>0</v>
      </c>
      <c r="N1916">
        <v>3086755.35</v>
      </c>
      <c r="O1916">
        <v>105170.54003407154</v>
      </c>
      <c r="P1916">
        <v>440250</v>
      </c>
      <c r="Q1916">
        <v>2646505.35</v>
      </c>
      <c r="R1916">
        <v>90170.540034071542</v>
      </c>
      <c r="S1916" s="238" t="s">
        <v>137</v>
      </c>
      <c r="T1916" s="238" t="s">
        <v>1167</v>
      </c>
      <c r="V1916" t="s">
        <v>4092</v>
      </c>
      <c r="W1916" s="24">
        <v>45102</v>
      </c>
      <c r="X1916" s="238" t="s">
        <v>4740</v>
      </c>
      <c r="Y1916" s="238" t="s">
        <v>39</v>
      </c>
      <c r="Z1916" s="238" t="s">
        <v>1340</v>
      </c>
      <c r="AA1916" t="s">
        <v>3113</v>
      </c>
      <c r="AB1916" s="238" t="s">
        <v>3246</v>
      </c>
      <c r="AC1916" t="s">
        <v>3079</v>
      </c>
      <c r="AD1916" s="24"/>
      <c r="AE1916" s="238" t="s">
        <v>4741</v>
      </c>
      <c r="AF1916">
        <v>79228999828</v>
      </c>
      <c r="AG1916" s="238" t="s">
        <v>4742</v>
      </c>
      <c r="AH1916" s="238" t="s">
        <v>1212</v>
      </c>
      <c r="AI1916" s="238" t="s">
        <v>3074</v>
      </c>
      <c r="AJ1916" s="238" t="s">
        <v>4177</v>
      </c>
      <c r="AK1916" s="238" t="s">
        <v>3345</v>
      </c>
      <c r="AL1916" t="s">
        <v>8715</v>
      </c>
      <c r="AM1916" t="s">
        <v>1167</v>
      </c>
    </row>
    <row r="1917" spans="1:39" hidden="1" x14ac:dyDescent="0.25">
      <c r="A1917">
        <v>1914</v>
      </c>
      <c r="B1917">
        <v>38</v>
      </c>
      <c r="C1917" s="24">
        <v>45107</v>
      </c>
      <c r="D1917" s="238" t="s">
        <v>91</v>
      </c>
      <c r="E1917" s="238" t="s">
        <v>15</v>
      </c>
      <c r="F1917">
        <v>2</v>
      </c>
      <c r="G1917">
        <v>14</v>
      </c>
      <c r="H1917">
        <v>511</v>
      </c>
      <c r="I1917" s="238" t="s">
        <v>42</v>
      </c>
      <c r="J1917">
        <v>38.6</v>
      </c>
      <c r="K1917" s="238" t="s">
        <v>37</v>
      </c>
      <c r="L1917">
        <v>3591692.17</v>
      </c>
      <c r="M1917">
        <v>0</v>
      </c>
      <c r="N1917">
        <v>3591692.17</v>
      </c>
      <c r="O1917">
        <v>93049.019948186527</v>
      </c>
      <c r="P1917">
        <v>154400</v>
      </c>
      <c r="Q1917">
        <v>3437292.17</v>
      </c>
      <c r="R1917">
        <v>89049.019948186527</v>
      </c>
      <c r="S1917" s="238" t="s">
        <v>137</v>
      </c>
      <c r="T1917" s="238" t="s">
        <v>60</v>
      </c>
      <c r="U1917">
        <v>154400</v>
      </c>
      <c r="V1917" t="s">
        <v>4091</v>
      </c>
      <c r="W1917" s="24">
        <v>45103</v>
      </c>
      <c r="X1917" s="238" t="s">
        <v>4743</v>
      </c>
      <c r="Y1917" s="238" t="s">
        <v>39</v>
      </c>
      <c r="Z1917" s="238" t="s">
        <v>1340</v>
      </c>
      <c r="AA1917" t="s">
        <v>3113</v>
      </c>
      <c r="AB1917" s="238" t="s">
        <v>3246</v>
      </c>
      <c r="AC1917" t="s">
        <v>3079</v>
      </c>
      <c r="AD1917" s="24"/>
      <c r="AE1917" s="238" t="s">
        <v>4744</v>
      </c>
      <c r="AF1917">
        <v>79277866678</v>
      </c>
      <c r="AG1917" s="238" t="s">
        <v>4745</v>
      </c>
      <c r="AH1917" s="238" t="s">
        <v>146</v>
      </c>
      <c r="AI1917" s="238" t="s">
        <v>135</v>
      </c>
      <c r="AJ1917" s="238" t="s">
        <v>130</v>
      </c>
      <c r="AK1917" s="238" t="s">
        <v>141</v>
      </c>
      <c r="AL1917" t="s">
        <v>8715</v>
      </c>
      <c r="AM1917" t="s">
        <v>1167</v>
      </c>
    </row>
    <row r="1918" spans="1:39" hidden="1" x14ac:dyDescent="0.25">
      <c r="A1918">
        <v>1915</v>
      </c>
      <c r="B1918">
        <v>39</v>
      </c>
      <c r="C1918" s="24">
        <v>45107</v>
      </c>
      <c r="D1918" s="238" t="s">
        <v>91</v>
      </c>
      <c r="E1918" s="238" t="s">
        <v>6</v>
      </c>
      <c r="F1918">
        <v>6</v>
      </c>
      <c r="G1918">
        <v>5</v>
      </c>
      <c r="H1918">
        <v>30</v>
      </c>
      <c r="I1918" s="238" t="s">
        <v>43</v>
      </c>
      <c r="J1918">
        <v>59.87</v>
      </c>
      <c r="K1918" s="238" t="s">
        <v>38</v>
      </c>
      <c r="L1918">
        <v>6185419.96</v>
      </c>
      <c r="M1918">
        <v>0</v>
      </c>
      <c r="N1918">
        <v>6185419.96</v>
      </c>
      <c r="O1918">
        <v>103314.18005678972</v>
      </c>
      <c r="P1918">
        <v>898050</v>
      </c>
      <c r="Q1918">
        <v>5287369.96</v>
      </c>
      <c r="R1918">
        <v>88314.180056789715</v>
      </c>
      <c r="S1918" s="238" t="s">
        <v>137</v>
      </c>
      <c r="T1918" s="238" t="s">
        <v>1167</v>
      </c>
      <c r="V1918" t="s">
        <v>4091</v>
      </c>
      <c r="W1918" s="24">
        <v>45104</v>
      </c>
      <c r="X1918" s="238" t="s">
        <v>4746</v>
      </c>
      <c r="Y1918" s="238" t="s">
        <v>39</v>
      </c>
      <c r="Z1918" s="238" t="s">
        <v>1340</v>
      </c>
      <c r="AA1918" t="s">
        <v>3113</v>
      </c>
      <c r="AB1918" s="238" t="s">
        <v>3246</v>
      </c>
      <c r="AC1918" t="s">
        <v>3079</v>
      </c>
      <c r="AD1918" s="24"/>
      <c r="AE1918" s="238" t="s">
        <v>4747</v>
      </c>
      <c r="AF1918">
        <v>79991706596</v>
      </c>
      <c r="AG1918" s="238" t="s">
        <v>4748</v>
      </c>
      <c r="AH1918" s="238" t="s">
        <v>1171</v>
      </c>
      <c r="AI1918" s="238" t="s">
        <v>3074</v>
      </c>
      <c r="AJ1918" s="238" t="s">
        <v>130</v>
      </c>
      <c r="AK1918" s="238" t="s">
        <v>3345</v>
      </c>
      <c r="AL1918" t="s">
        <v>8715</v>
      </c>
      <c r="AM1918" t="s">
        <v>1167</v>
      </c>
    </row>
    <row r="1919" spans="1:39" hidden="1" x14ac:dyDescent="0.25">
      <c r="A1919">
        <v>1916</v>
      </c>
      <c r="B1919">
        <v>40</v>
      </c>
      <c r="C1919" s="24">
        <v>45107</v>
      </c>
      <c r="D1919" s="238" t="s">
        <v>91</v>
      </c>
      <c r="E1919" s="238" t="s">
        <v>15</v>
      </c>
      <c r="F1919">
        <v>1</v>
      </c>
      <c r="G1919">
        <v>1</v>
      </c>
      <c r="H1919">
        <v>13</v>
      </c>
      <c r="I1919" s="238" t="s">
        <v>3946</v>
      </c>
      <c r="J1919">
        <v>77.55</v>
      </c>
      <c r="K1919" s="238" t="s">
        <v>36</v>
      </c>
      <c r="L1919">
        <v>8739885</v>
      </c>
      <c r="M1919">
        <v>0</v>
      </c>
      <c r="N1919">
        <v>8739885</v>
      </c>
      <c r="O1919">
        <v>112700</v>
      </c>
      <c r="P1919">
        <v>0</v>
      </c>
      <c r="Q1919">
        <v>8739885</v>
      </c>
      <c r="R1919">
        <v>112700</v>
      </c>
      <c r="S1919" s="238" t="s">
        <v>124</v>
      </c>
      <c r="T1919" s="238" t="s">
        <v>4360</v>
      </c>
      <c r="U1919">
        <v>178365</v>
      </c>
      <c r="V1919" t="s">
        <v>1167</v>
      </c>
      <c r="W1919" s="24">
        <v>45104</v>
      </c>
      <c r="X1919" s="238" t="s">
        <v>4749</v>
      </c>
      <c r="Y1919" s="238" t="s">
        <v>3946</v>
      </c>
      <c r="Z1919" s="238" t="s">
        <v>1340</v>
      </c>
      <c r="AA1919" t="s">
        <v>3474</v>
      </c>
      <c r="AB1919" s="238" t="s">
        <v>3246</v>
      </c>
      <c r="AC1919" t="s">
        <v>1167</v>
      </c>
      <c r="AD1919" s="24"/>
      <c r="AE1919" s="238" t="s">
        <v>4171</v>
      </c>
      <c r="AF1919">
        <v>79276901506</v>
      </c>
      <c r="AG1919" s="238" t="s">
        <v>4172</v>
      </c>
      <c r="AH1919" s="238" t="s">
        <v>1212</v>
      </c>
      <c r="AI1919" s="238" t="s">
        <v>3082</v>
      </c>
      <c r="AJ1919" s="238" t="s">
        <v>130</v>
      </c>
      <c r="AK1919" s="238" t="s">
        <v>1167</v>
      </c>
      <c r="AL1919" t="s">
        <v>8715</v>
      </c>
      <c r="AM1919" t="s">
        <v>1167</v>
      </c>
    </row>
    <row r="1920" spans="1:39" hidden="1" x14ac:dyDescent="0.25">
      <c r="A1920">
        <v>1917</v>
      </c>
      <c r="B1920">
        <v>41</v>
      </c>
      <c r="C1920" s="24">
        <v>45107</v>
      </c>
      <c r="D1920" s="238" t="s">
        <v>91</v>
      </c>
      <c r="E1920" s="238" t="s">
        <v>15</v>
      </c>
      <c r="F1920">
        <v>4</v>
      </c>
      <c r="G1920">
        <v>1</v>
      </c>
      <c r="H1920">
        <v>16</v>
      </c>
      <c r="I1920" s="238" t="s">
        <v>3946</v>
      </c>
      <c r="J1920">
        <v>75.98</v>
      </c>
      <c r="K1920" s="238" t="s">
        <v>36</v>
      </c>
      <c r="L1920">
        <v>8737700</v>
      </c>
      <c r="M1920">
        <v>0</v>
      </c>
      <c r="N1920">
        <v>8737700</v>
      </c>
      <c r="O1920">
        <v>115000</v>
      </c>
      <c r="P1920">
        <v>0</v>
      </c>
      <c r="Q1920">
        <v>8737700</v>
      </c>
      <c r="R1920">
        <v>115000</v>
      </c>
      <c r="S1920" s="238" t="s">
        <v>124</v>
      </c>
      <c r="T1920" s="238" t="s">
        <v>1167</v>
      </c>
      <c r="V1920" t="s">
        <v>1167</v>
      </c>
      <c r="W1920" s="24">
        <v>45105</v>
      </c>
      <c r="X1920" s="238" t="s">
        <v>4750</v>
      </c>
      <c r="Y1920" s="238" t="s">
        <v>3946</v>
      </c>
      <c r="Z1920" s="238" t="s">
        <v>1340</v>
      </c>
      <c r="AA1920" t="s">
        <v>3474</v>
      </c>
      <c r="AB1920" s="238" t="s">
        <v>3246</v>
      </c>
      <c r="AC1920" t="s">
        <v>1167</v>
      </c>
      <c r="AD1920" s="24"/>
      <c r="AE1920" s="238" t="s">
        <v>4751</v>
      </c>
      <c r="AF1920">
        <v>79277984593</v>
      </c>
      <c r="AG1920" s="238" t="s">
        <v>4752</v>
      </c>
      <c r="AH1920" s="238" t="s">
        <v>1171</v>
      </c>
      <c r="AI1920" s="238" t="s">
        <v>135</v>
      </c>
      <c r="AJ1920" s="238" t="s">
        <v>4177</v>
      </c>
      <c r="AK1920" s="238" t="s">
        <v>1167</v>
      </c>
      <c r="AL1920" t="s">
        <v>8715</v>
      </c>
      <c r="AM1920" t="s">
        <v>1167</v>
      </c>
    </row>
    <row r="1921" spans="1:39" hidden="1" x14ac:dyDescent="0.25">
      <c r="A1921">
        <v>1918</v>
      </c>
      <c r="B1921">
        <v>42</v>
      </c>
      <c r="C1921" s="24">
        <v>45107</v>
      </c>
      <c r="D1921" s="238" t="s">
        <v>91</v>
      </c>
      <c r="E1921" s="238" t="s">
        <v>6</v>
      </c>
      <c r="F1921">
        <v>6</v>
      </c>
      <c r="G1921">
        <v>14</v>
      </c>
      <c r="H1921">
        <v>102</v>
      </c>
      <c r="I1921" s="238" t="s">
        <v>43</v>
      </c>
      <c r="J1921">
        <v>59.87</v>
      </c>
      <c r="K1921" s="238" t="s">
        <v>37</v>
      </c>
      <c r="L1921">
        <v>5287369.96</v>
      </c>
      <c r="M1921">
        <v>0</v>
      </c>
      <c r="N1921">
        <v>5287369.96</v>
      </c>
      <c r="O1921">
        <v>88314.180056789715</v>
      </c>
      <c r="P1921">
        <v>239480.00000000093</v>
      </c>
      <c r="Q1921">
        <v>5047889.959999999</v>
      </c>
      <c r="R1921">
        <v>84314.180056789701</v>
      </c>
      <c r="S1921" s="238" t="s">
        <v>137</v>
      </c>
      <c r="T1921" s="238" t="s">
        <v>60</v>
      </c>
      <c r="U1921">
        <v>239480</v>
      </c>
      <c r="V1921" t="s">
        <v>4093</v>
      </c>
      <c r="W1921" s="24">
        <v>45105</v>
      </c>
      <c r="X1921" s="238" t="s">
        <v>4753</v>
      </c>
      <c r="Y1921" s="238" t="s">
        <v>39</v>
      </c>
      <c r="Z1921" s="238" t="s">
        <v>1340</v>
      </c>
      <c r="AA1921" t="s">
        <v>3113</v>
      </c>
      <c r="AB1921" s="238" t="s">
        <v>3246</v>
      </c>
      <c r="AC1921" t="s">
        <v>3079</v>
      </c>
      <c r="AD1921" s="24"/>
      <c r="AE1921" s="238" t="s">
        <v>4754</v>
      </c>
      <c r="AF1921">
        <v>79228466052</v>
      </c>
      <c r="AG1921" s="238" t="s">
        <v>4755</v>
      </c>
      <c r="AH1921" s="238" t="s">
        <v>1171</v>
      </c>
      <c r="AI1921" s="238" t="s">
        <v>135</v>
      </c>
      <c r="AJ1921" s="238" t="s">
        <v>4177</v>
      </c>
      <c r="AK1921" s="238" t="s">
        <v>3345</v>
      </c>
      <c r="AL1921" t="s">
        <v>8715</v>
      </c>
      <c r="AM1921" t="s">
        <v>1167</v>
      </c>
    </row>
    <row r="1922" spans="1:39" hidden="1" x14ac:dyDescent="0.25">
      <c r="A1922">
        <v>1919</v>
      </c>
      <c r="B1922">
        <v>43</v>
      </c>
      <c r="C1922" s="24">
        <v>45107</v>
      </c>
      <c r="D1922" s="238" t="s">
        <v>91</v>
      </c>
      <c r="E1922" s="238" t="s">
        <v>15</v>
      </c>
      <c r="F1922">
        <v>3</v>
      </c>
      <c r="G1922">
        <v>1</v>
      </c>
      <c r="H1922">
        <v>15</v>
      </c>
      <c r="I1922" s="238" t="s">
        <v>3946</v>
      </c>
      <c r="J1922">
        <v>91.9</v>
      </c>
      <c r="K1922" s="238" t="s">
        <v>36</v>
      </c>
      <c r="L1922">
        <v>10568500</v>
      </c>
      <c r="M1922">
        <v>0</v>
      </c>
      <c r="N1922">
        <v>10568500</v>
      </c>
      <c r="O1922">
        <v>115000</v>
      </c>
      <c r="P1922">
        <v>0</v>
      </c>
      <c r="Q1922">
        <v>10568500</v>
      </c>
      <c r="R1922">
        <v>115000</v>
      </c>
      <c r="S1922" s="238" t="s">
        <v>124</v>
      </c>
      <c r="T1922" s="238" t="s">
        <v>1167</v>
      </c>
      <c r="V1922" t="s">
        <v>1167</v>
      </c>
      <c r="W1922" s="24">
        <v>45106</v>
      </c>
      <c r="X1922" s="238" t="s">
        <v>4756</v>
      </c>
      <c r="Y1922" s="238" t="s">
        <v>3946</v>
      </c>
      <c r="Z1922" s="238" t="s">
        <v>1340</v>
      </c>
      <c r="AA1922" t="s">
        <v>3474</v>
      </c>
      <c r="AB1922" s="238" t="s">
        <v>3246</v>
      </c>
      <c r="AC1922" t="s">
        <v>1167</v>
      </c>
      <c r="AD1922" s="24"/>
      <c r="AE1922" s="238" t="s">
        <v>4757</v>
      </c>
      <c r="AF1922">
        <v>79277550707</v>
      </c>
      <c r="AG1922" s="238" t="s">
        <v>4758</v>
      </c>
      <c r="AH1922" s="238" t="s">
        <v>1212</v>
      </c>
      <c r="AI1922" s="238" t="s">
        <v>135</v>
      </c>
      <c r="AJ1922" s="238" t="s">
        <v>3901</v>
      </c>
      <c r="AK1922" s="238" t="s">
        <v>1167</v>
      </c>
      <c r="AL1922" t="s">
        <v>8715</v>
      </c>
      <c r="AM1922" t="s">
        <v>1167</v>
      </c>
    </row>
    <row r="1923" spans="1:39" hidden="1" x14ac:dyDescent="0.25">
      <c r="A1923">
        <v>1920</v>
      </c>
      <c r="B1923">
        <v>1</v>
      </c>
      <c r="C1923" s="24">
        <v>45108</v>
      </c>
      <c r="D1923" s="238" t="s">
        <v>27</v>
      </c>
      <c r="E1923" s="238" t="s">
        <v>14</v>
      </c>
      <c r="F1923">
        <v>2</v>
      </c>
      <c r="G1923">
        <v>1</v>
      </c>
      <c r="H1923">
        <v>17</v>
      </c>
      <c r="I1923" s="238" t="s">
        <v>3946</v>
      </c>
      <c r="J1923">
        <v>101.7</v>
      </c>
      <c r="K1923" s="238" t="s">
        <v>36</v>
      </c>
      <c r="L1923">
        <v>12712500</v>
      </c>
      <c r="M1923">
        <v>0</v>
      </c>
      <c r="N1923">
        <v>12712500</v>
      </c>
      <c r="O1923">
        <v>125000</v>
      </c>
      <c r="P1923">
        <v>0</v>
      </c>
      <c r="Q1923">
        <v>12712500</v>
      </c>
      <c r="R1923">
        <v>125000</v>
      </c>
      <c r="S1923" s="238" t="s">
        <v>121</v>
      </c>
      <c r="T1923" s="238" t="s">
        <v>1167</v>
      </c>
      <c r="V1923" t="s">
        <v>1167</v>
      </c>
      <c r="W1923" s="24">
        <v>45108</v>
      </c>
      <c r="X1923" s="238" t="s">
        <v>4759</v>
      </c>
      <c r="Y1923" s="238" t="s">
        <v>3946</v>
      </c>
      <c r="Z1923" s="238" t="s">
        <v>1340</v>
      </c>
      <c r="AA1923" t="s">
        <v>3474</v>
      </c>
      <c r="AB1923" s="238" t="s">
        <v>3124</v>
      </c>
      <c r="AC1923" t="s">
        <v>1167</v>
      </c>
      <c r="AD1923" s="24"/>
      <c r="AE1923" s="238" t="s">
        <v>4760</v>
      </c>
      <c r="AF1923">
        <v>79379995431</v>
      </c>
      <c r="AG1923" s="238" t="s">
        <v>4761</v>
      </c>
      <c r="AH1923" s="238" t="s">
        <v>1212</v>
      </c>
      <c r="AI1923" s="238" t="s">
        <v>135</v>
      </c>
      <c r="AJ1923" s="238" t="s">
        <v>4177</v>
      </c>
      <c r="AK1923" s="238" t="s">
        <v>1167</v>
      </c>
      <c r="AL1923" t="s">
        <v>8715</v>
      </c>
      <c r="AM1923" t="s">
        <v>1167</v>
      </c>
    </row>
    <row r="1924" spans="1:39" hidden="1" x14ac:dyDescent="0.25">
      <c r="A1924">
        <v>1921</v>
      </c>
      <c r="B1924">
        <v>2</v>
      </c>
      <c r="C1924" s="24">
        <v>45111</v>
      </c>
      <c r="D1924" s="238" t="s">
        <v>91</v>
      </c>
      <c r="E1924" s="238" t="s">
        <v>5</v>
      </c>
      <c r="F1924">
        <v>6</v>
      </c>
      <c r="G1924">
        <v>2</v>
      </c>
      <c r="H1924">
        <v>126</v>
      </c>
      <c r="I1924" s="238" t="s">
        <v>42</v>
      </c>
      <c r="J1924">
        <v>36.659999999999997</v>
      </c>
      <c r="K1924" s="238" t="s">
        <v>38</v>
      </c>
      <c r="L1924">
        <v>3925627.76</v>
      </c>
      <c r="M1924">
        <v>0</v>
      </c>
      <c r="N1924">
        <v>3925627.76</v>
      </c>
      <c r="O1924">
        <v>107082.04473540644</v>
      </c>
      <c r="P1924">
        <v>549900</v>
      </c>
      <c r="Q1924">
        <v>3375727.76</v>
      </c>
      <c r="R1924">
        <v>92082.044735406438</v>
      </c>
      <c r="S1924" s="238" t="s">
        <v>124</v>
      </c>
      <c r="T1924" s="238" t="s">
        <v>4360</v>
      </c>
      <c r="U1924">
        <v>68892.399999999994</v>
      </c>
      <c r="V1924" t="s">
        <v>1167</v>
      </c>
      <c r="W1924" s="24">
        <v>45104</v>
      </c>
      <c r="X1924" s="238" t="s">
        <v>4764</v>
      </c>
      <c r="Y1924" s="238" t="s">
        <v>39</v>
      </c>
      <c r="Z1924" s="238" t="s">
        <v>1340</v>
      </c>
      <c r="AA1924" t="s">
        <v>3474</v>
      </c>
      <c r="AB1924" s="238" t="s">
        <v>3246</v>
      </c>
      <c r="AC1924" t="s">
        <v>1167</v>
      </c>
      <c r="AD1924" s="24"/>
      <c r="AE1924" s="238" t="s">
        <v>4765</v>
      </c>
      <c r="AF1924">
        <v>79297032388</v>
      </c>
      <c r="AG1924" s="238" t="s">
        <v>2521</v>
      </c>
      <c r="AH1924" s="238" t="s">
        <v>1171</v>
      </c>
      <c r="AI1924" s="238" t="s">
        <v>3082</v>
      </c>
      <c r="AJ1924" s="238" t="s">
        <v>130</v>
      </c>
      <c r="AK1924" s="238" t="s">
        <v>1167</v>
      </c>
      <c r="AL1924" t="s">
        <v>8715</v>
      </c>
      <c r="AM1924" t="s">
        <v>1167</v>
      </c>
    </row>
    <row r="1925" spans="1:39" hidden="1" x14ac:dyDescent="0.25">
      <c r="A1925">
        <v>1922</v>
      </c>
      <c r="B1925">
        <v>3</v>
      </c>
      <c r="C1925" s="24">
        <v>45112</v>
      </c>
      <c r="D1925" s="238" t="s">
        <v>91</v>
      </c>
      <c r="E1925" s="238" t="s">
        <v>6</v>
      </c>
      <c r="F1925">
        <v>8</v>
      </c>
      <c r="G1925">
        <v>14</v>
      </c>
      <c r="H1925">
        <v>104</v>
      </c>
      <c r="I1925" s="238" t="s">
        <v>4052</v>
      </c>
      <c r="J1925">
        <v>21.73</v>
      </c>
      <c r="K1925" s="238" t="s">
        <v>38</v>
      </c>
      <c r="L1925">
        <v>2567075.0699999998</v>
      </c>
      <c r="M1925">
        <v>0</v>
      </c>
      <c r="N1925">
        <v>2567075.0699999998</v>
      </c>
      <c r="O1925">
        <v>118135.06994937873</v>
      </c>
      <c r="P1925">
        <v>325950</v>
      </c>
      <c r="Q1925">
        <v>2241125.0699999998</v>
      </c>
      <c r="R1925">
        <v>103135.06994937873</v>
      </c>
      <c r="S1925" s="238" t="s">
        <v>124</v>
      </c>
      <c r="T1925" s="238" t="s">
        <v>1167</v>
      </c>
      <c r="V1925" t="s">
        <v>1167</v>
      </c>
      <c r="W1925" s="24">
        <v>45109</v>
      </c>
      <c r="X1925" s="238" t="s">
        <v>4766</v>
      </c>
      <c r="Y1925" s="238" t="s">
        <v>39</v>
      </c>
      <c r="Z1925" s="238" t="s">
        <v>1340</v>
      </c>
      <c r="AA1925" t="s">
        <v>3474</v>
      </c>
      <c r="AB1925" s="238" t="s">
        <v>3246</v>
      </c>
      <c r="AC1925" t="s">
        <v>1167</v>
      </c>
      <c r="AD1925" s="24"/>
      <c r="AE1925" s="238" t="s">
        <v>4767</v>
      </c>
      <c r="AF1925">
        <v>79047116662</v>
      </c>
      <c r="AG1925" s="238" t="s">
        <v>4768</v>
      </c>
      <c r="AH1925" s="238" t="s">
        <v>1212</v>
      </c>
      <c r="AI1925" s="238" t="s">
        <v>135</v>
      </c>
      <c r="AJ1925" s="238" t="s">
        <v>3901</v>
      </c>
      <c r="AK1925" s="238" t="s">
        <v>1167</v>
      </c>
      <c r="AL1925" t="s">
        <v>8715</v>
      </c>
      <c r="AM1925" t="s">
        <v>1167</v>
      </c>
    </row>
    <row r="1926" spans="1:39" hidden="1" x14ac:dyDescent="0.25">
      <c r="A1926">
        <v>1923</v>
      </c>
      <c r="B1926">
        <v>4</v>
      </c>
      <c r="C1926" s="24">
        <v>45113</v>
      </c>
      <c r="D1926" s="238" t="s">
        <v>91</v>
      </c>
      <c r="E1926" s="238" t="s">
        <v>15</v>
      </c>
      <c r="F1926">
        <v>9</v>
      </c>
      <c r="G1926">
        <v>12</v>
      </c>
      <c r="H1926">
        <v>500</v>
      </c>
      <c r="I1926" s="238" t="s">
        <v>42</v>
      </c>
      <c r="J1926">
        <v>44.37</v>
      </c>
      <c r="K1926" s="238" t="s">
        <v>37</v>
      </c>
      <c r="L1926">
        <v>4225112.4000000004</v>
      </c>
      <c r="M1926">
        <v>0</v>
      </c>
      <c r="N1926">
        <v>4225112.4000000004</v>
      </c>
      <c r="O1926">
        <v>95224.530087897248</v>
      </c>
      <c r="P1926">
        <v>177480</v>
      </c>
      <c r="Q1926">
        <v>4047632.4000000004</v>
      </c>
      <c r="R1926">
        <v>91224.530087897248</v>
      </c>
      <c r="S1926" s="238" t="s">
        <v>137</v>
      </c>
      <c r="T1926" s="238" t="s">
        <v>1167</v>
      </c>
      <c r="V1926" t="s">
        <v>4091</v>
      </c>
      <c r="W1926" s="24">
        <v>45109</v>
      </c>
      <c r="X1926" s="238" t="s">
        <v>4769</v>
      </c>
      <c r="Y1926" s="238" t="s">
        <v>39</v>
      </c>
      <c r="Z1926" s="238" t="s">
        <v>1340</v>
      </c>
      <c r="AA1926" t="s">
        <v>3113</v>
      </c>
      <c r="AB1926" s="238" t="s">
        <v>3246</v>
      </c>
      <c r="AC1926" t="s">
        <v>3079</v>
      </c>
      <c r="AD1926" s="24"/>
      <c r="AE1926" s="238" t="s">
        <v>4770</v>
      </c>
      <c r="AF1926">
        <v>79372062250</v>
      </c>
      <c r="AG1926" s="238" t="s">
        <v>4771</v>
      </c>
      <c r="AH1926" s="238" t="s">
        <v>146</v>
      </c>
      <c r="AI1926" s="238" t="s">
        <v>135</v>
      </c>
      <c r="AJ1926" s="238" t="s">
        <v>3901</v>
      </c>
      <c r="AK1926" s="238" t="s">
        <v>141</v>
      </c>
      <c r="AL1926" t="s">
        <v>8715</v>
      </c>
      <c r="AM1926" t="s">
        <v>1167</v>
      </c>
    </row>
    <row r="1927" spans="1:39" hidden="1" x14ac:dyDescent="0.25">
      <c r="A1927">
        <v>1924</v>
      </c>
      <c r="B1927">
        <v>5</v>
      </c>
      <c r="C1927" s="24">
        <v>45113</v>
      </c>
      <c r="D1927" s="238" t="s">
        <v>91</v>
      </c>
      <c r="E1927" s="238" t="s">
        <v>5</v>
      </c>
      <c r="F1927">
        <v>8</v>
      </c>
      <c r="G1927">
        <v>10</v>
      </c>
      <c r="H1927">
        <v>192</v>
      </c>
      <c r="I1927" s="238" t="s">
        <v>42</v>
      </c>
      <c r="J1927">
        <v>33.79</v>
      </c>
      <c r="K1927" s="238" t="s">
        <v>37</v>
      </c>
      <c r="L1927">
        <v>3469481.17</v>
      </c>
      <c r="M1927">
        <v>0</v>
      </c>
      <c r="N1927">
        <v>3469481.17</v>
      </c>
      <c r="O1927">
        <v>102677.74992601361</v>
      </c>
      <c r="P1927">
        <v>135160.00000000047</v>
      </c>
      <c r="Q1927">
        <v>3334321.1699999995</v>
      </c>
      <c r="R1927">
        <v>98677.749926013596</v>
      </c>
      <c r="S1927" s="238" t="s">
        <v>137</v>
      </c>
      <c r="T1927" s="238" t="s">
        <v>1167</v>
      </c>
      <c r="V1927" t="s">
        <v>4091</v>
      </c>
      <c r="W1927" s="24">
        <v>45110</v>
      </c>
      <c r="X1927" s="238" t="s">
        <v>4772</v>
      </c>
      <c r="Y1927" s="238" t="s">
        <v>39</v>
      </c>
      <c r="Z1927" s="238" t="s">
        <v>1340</v>
      </c>
      <c r="AA1927" t="s">
        <v>3113</v>
      </c>
      <c r="AB1927" s="238" t="s">
        <v>3246</v>
      </c>
      <c r="AC1927" t="s">
        <v>3079</v>
      </c>
      <c r="AD1927" s="24"/>
      <c r="AE1927" s="238" t="s">
        <v>4773</v>
      </c>
      <c r="AF1927">
        <v>79272626704</v>
      </c>
      <c r="AG1927" s="238" t="s">
        <v>4774</v>
      </c>
      <c r="AH1927" s="238" t="s">
        <v>1171</v>
      </c>
      <c r="AI1927" s="238" t="s">
        <v>3085</v>
      </c>
      <c r="AJ1927" s="238" t="s">
        <v>3901</v>
      </c>
      <c r="AK1927" s="238" t="s">
        <v>3345</v>
      </c>
      <c r="AL1927" t="s">
        <v>8715</v>
      </c>
      <c r="AM1927" t="s">
        <v>1167</v>
      </c>
    </row>
    <row r="1928" spans="1:39" hidden="1" x14ac:dyDescent="0.25">
      <c r="A1928">
        <v>1925</v>
      </c>
      <c r="B1928">
        <v>6</v>
      </c>
      <c r="C1928" s="24">
        <v>45114</v>
      </c>
      <c r="D1928" s="238" t="s">
        <v>91</v>
      </c>
      <c r="E1928" s="238" t="s">
        <v>5</v>
      </c>
      <c r="F1928">
        <v>7</v>
      </c>
      <c r="G1928">
        <v>3</v>
      </c>
      <c r="H1928">
        <v>135</v>
      </c>
      <c r="I1928" s="238" t="s">
        <v>44</v>
      </c>
      <c r="J1928">
        <v>78.73</v>
      </c>
      <c r="K1928" s="238" t="s">
        <v>36</v>
      </c>
      <c r="L1928">
        <v>5689424.2199999997</v>
      </c>
      <c r="M1928">
        <v>0</v>
      </c>
      <c r="N1928">
        <v>5689424.2199999997</v>
      </c>
      <c r="O1928">
        <v>72265.009780261651</v>
      </c>
      <c r="P1928">
        <v>0</v>
      </c>
      <c r="Q1928">
        <v>5689424.2199999997</v>
      </c>
      <c r="R1928">
        <v>72265.009780261651</v>
      </c>
      <c r="S1928" s="238" t="s">
        <v>137</v>
      </c>
      <c r="T1928" s="238" t="s">
        <v>978</v>
      </c>
      <c r="U1928">
        <v>363154.74</v>
      </c>
      <c r="V1928" t="s">
        <v>3661</v>
      </c>
      <c r="W1928" s="24">
        <v>45061</v>
      </c>
      <c r="X1928" s="238" t="s">
        <v>4778</v>
      </c>
      <c r="Y1928" s="238" t="s">
        <v>39</v>
      </c>
      <c r="Z1928" s="238" t="s">
        <v>1168</v>
      </c>
      <c r="AA1928" t="s">
        <v>1167</v>
      </c>
      <c r="AB1928" s="238" t="s">
        <v>3246</v>
      </c>
      <c r="AC1928" t="s">
        <v>3115</v>
      </c>
      <c r="AD1928" s="24"/>
      <c r="AE1928" s="238" t="s">
        <v>4779</v>
      </c>
      <c r="AF1928">
        <v>79997018182</v>
      </c>
      <c r="AG1928" s="238" t="s">
        <v>4780</v>
      </c>
      <c r="AH1928" s="238" t="s">
        <v>1212</v>
      </c>
      <c r="AI1928" s="238" t="s">
        <v>3088</v>
      </c>
      <c r="AJ1928" s="238" t="s">
        <v>130</v>
      </c>
      <c r="AK1928" s="238" t="s">
        <v>141</v>
      </c>
      <c r="AL1928" t="s">
        <v>8715</v>
      </c>
      <c r="AM1928" t="s">
        <v>1167</v>
      </c>
    </row>
    <row r="1929" spans="1:39" hidden="1" x14ac:dyDescent="0.25">
      <c r="A1929">
        <v>1926</v>
      </c>
      <c r="B1929">
        <v>7</v>
      </c>
      <c r="C1929" s="24">
        <v>45117</v>
      </c>
      <c r="D1929" s="238" t="s">
        <v>91</v>
      </c>
      <c r="E1929" s="238" t="s">
        <v>16</v>
      </c>
      <c r="F1929">
        <v>4</v>
      </c>
      <c r="G1929">
        <v>22</v>
      </c>
      <c r="H1929">
        <v>384</v>
      </c>
      <c r="I1929" s="238" t="s">
        <v>43</v>
      </c>
      <c r="J1929">
        <v>58.55</v>
      </c>
      <c r="K1929" s="238" t="s">
        <v>37</v>
      </c>
      <c r="L1929">
        <v>5402834.7400000002</v>
      </c>
      <c r="M1929">
        <v>0</v>
      </c>
      <c r="N1929">
        <v>5402834.7400000002</v>
      </c>
      <c r="O1929">
        <v>92277.279931682337</v>
      </c>
      <c r="P1929">
        <v>234200</v>
      </c>
      <c r="Q1929">
        <v>5168634.74</v>
      </c>
      <c r="R1929">
        <v>88277.279931682337</v>
      </c>
      <c r="S1929" s="238" t="s">
        <v>137</v>
      </c>
      <c r="T1929" s="238" t="s">
        <v>1167</v>
      </c>
      <c r="V1929" t="s">
        <v>4091</v>
      </c>
      <c r="W1929" s="24">
        <v>45105</v>
      </c>
      <c r="X1929" s="238" t="s">
        <v>4781</v>
      </c>
      <c r="Y1929" s="238" t="s">
        <v>39</v>
      </c>
      <c r="Z1929" s="238" t="s">
        <v>1340</v>
      </c>
      <c r="AA1929" t="s">
        <v>3113</v>
      </c>
      <c r="AB1929" s="238" t="s">
        <v>3246</v>
      </c>
      <c r="AC1929" t="s">
        <v>3079</v>
      </c>
      <c r="AD1929" s="24"/>
      <c r="AE1929" s="238" t="s">
        <v>4782</v>
      </c>
      <c r="AF1929">
        <v>79270021552</v>
      </c>
      <c r="AG1929" s="238" t="s">
        <v>4783</v>
      </c>
      <c r="AH1929" s="238" t="s">
        <v>1171</v>
      </c>
      <c r="AI1929" s="238" t="s">
        <v>3074</v>
      </c>
      <c r="AJ1929" s="238" t="s">
        <v>130</v>
      </c>
      <c r="AK1929" s="238" t="s">
        <v>3345</v>
      </c>
      <c r="AL1929" t="s">
        <v>8715</v>
      </c>
      <c r="AM1929" t="s">
        <v>1167</v>
      </c>
    </row>
    <row r="1930" spans="1:39" hidden="1" x14ac:dyDescent="0.25">
      <c r="A1930">
        <v>1927</v>
      </c>
      <c r="B1930">
        <v>8</v>
      </c>
      <c r="C1930" s="24">
        <v>45118</v>
      </c>
      <c r="D1930" s="238" t="s">
        <v>91</v>
      </c>
      <c r="E1930" s="238" t="s">
        <v>6</v>
      </c>
      <c r="F1930">
        <v>6</v>
      </c>
      <c r="G1930">
        <v>7</v>
      </c>
      <c r="H1930">
        <v>46</v>
      </c>
      <c r="I1930" s="238" t="s">
        <v>43</v>
      </c>
      <c r="J1930">
        <v>59.87</v>
      </c>
      <c r="K1930" s="238" t="s">
        <v>37</v>
      </c>
      <c r="L1930">
        <v>5445990.7300000004</v>
      </c>
      <c r="M1930">
        <v>0</v>
      </c>
      <c r="N1930">
        <v>5445990.7300000004</v>
      </c>
      <c r="O1930">
        <v>90963.599966594295</v>
      </c>
      <c r="P1930">
        <v>239480</v>
      </c>
      <c r="Q1930">
        <v>5206510.7300000004</v>
      </c>
      <c r="R1930">
        <v>86963.599966594295</v>
      </c>
      <c r="S1930" s="238" t="s">
        <v>137</v>
      </c>
      <c r="T1930" s="238" t="s">
        <v>60</v>
      </c>
      <c r="U1930">
        <v>239480</v>
      </c>
      <c r="V1930" t="s">
        <v>4092</v>
      </c>
      <c r="W1930" s="24">
        <v>45110</v>
      </c>
      <c r="X1930" s="238" t="s">
        <v>4785</v>
      </c>
      <c r="Y1930" s="238" t="s">
        <v>39</v>
      </c>
      <c r="Z1930" s="238" t="s">
        <v>1340</v>
      </c>
      <c r="AA1930" t="s">
        <v>3113</v>
      </c>
      <c r="AB1930" s="238" t="s">
        <v>3246</v>
      </c>
      <c r="AC1930" t="s">
        <v>3079</v>
      </c>
      <c r="AD1930" s="24"/>
      <c r="AE1930" s="238" t="s">
        <v>4786</v>
      </c>
      <c r="AF1930">
        <v>79277008449</v>
      </c>
      <c r="AG1930" s="238" t="s">
        <v>4787</v>
      </c>
      <c r="AH1930" s="238" t="s">
        <v>1171</v>
      </c>
      <c r="AI1930" s="238" t="s">
        <v>3082</v>
      </c>
      <c r="AJ1930" s="238" t="s">
        <v>4177</v>
      </c>
      <c r="AK1930" s="238" t="s">
        <v>3345</v>
      </c>
      <c r="AL1930" t="s">
        <v>8715</v>
      </c>
      <c r="AM1930" t="s">
        <v>1167</v>
      </c>
    </row>
    <row r="1931" spans="1:39" hidden="1" x14ac:dyDescent="0.25">
      <c r="A1931">
        <v>1928</v>
      </c>
      <c r="B1931">
        <v>9</v>
      </c>
      <c r="C1931" s="24">
        <v>45118</v>
      </c>
      <c r="D1931" s="238" t="s">
        <v>91</v>
      </c>
      <c r="E1931" s="238" t="s">
        <v>15</v>
      </c>
      <c r="F1931">
        <v>7</v>
      </c>
      <c r="G1931">
        <v>15</v>
      </c>
      <c r="H1931">
        <v>525</v>
      </c>
      <c r="I1931" s="238" t="s">
        <v>43</v>
      </c>
      <c r="J1931">
        <v>67.489999999999995</v>
      </c>
      <c r="K1931" s="238" t="s">
        <v>37</v>
      </c>
      <c r="L1931">
        <v>6027513</v>
      </c>
      <c r="M1931">
        <v>0</v>
      </c>
      <c r="N1931">
        <v>6027513</v>
      </c>
      <c r="O1931">
        <v>89309.719958512374</v>
      </c>
      <c r="P1931">
        <v>269960</v>
      </c>
      <c r="Q1931">
        <v>5757553</v>
      </c>
      <c r="R1931">
        <v>85309.719958512374</v>
      </c>
      <c r="S1931" s="238" t="s">
        <v>137</v>
      </c>
      <c r="T1931" s="238" t="s">
        <v>60</v>
      </c>
      <c r="U1931">
        <v>269960</v>
      </c>
      <c r="V1931" t="s">
        <v>4091</v>
      </c>
      <c r="W1931" s="24">
        <v>45110</v>
      </c>
      <c r="X1931" s="238" t="s">
        <v>4788</v>
      </c>
      <c r="Y1931" s="238" t="s">
        <v>39</v>
      </c>
      <c r="Z1931" s="238" t="s">
        <v>1340</v>
      </c>
      <c r="AA1931" t="s">
        <v>3113</v>
      </c>
      <c r="AB1931" s="238" t="s">
        <v>3246</v>
      </c>
      <c r="AC1931" t="s">
        <v>3079</v>
      </c>
      <c r="AD1931" s="24"/>
      <c r="AE1931" s="238" t="s">
        <v>4789</v>
      </c>
      <c r="AF1931">
        <v>79277358548</v>
      </c>
      <c r="AG1931" s="238" t="s">
        <v>4790</v>
      </c>
      <c r="AH1931" s="238" t="s">
        <v>146</v>
      </c>
      <c r="AI1931" s="238" t="s">
        <v>135</v>
      </c>
      <c r="AJ1931" s="238" t="s">
        <v>130</v>
      </c>
      <c r="AK1931" s="238" t="s">
        <v>141</v>
      </c>
      <c r="AL1931" t="s">
        <v>8715</v>
      </c>
      <c r="AM1931" t="s">
        <v>1167</v>
      </c>
    </row>
    <row r="1932" spans="1:39" hidden="1" x14ac:dyDescent="0.25">
      <c r="A1932">
        <v>1929</v>
      </c>
      <c r="B1932">
        <v>10</v>
      </c>
      <c r="C1932" s="24">
        <v>45119</v>
      </c>
      <c r="D1932" s="238" t="s">
        <v>91</v>
      </c>
      <c r="E1932" s="238" t="s">
        <v>15</v>
      </c>
      <c r="F1932">
        <v>3</v>
      </c>
      <c r="G1932">
        <v>12</v>
      </c>
      <c r="H1932">
        <v>494</v>
      </c>
      <c r="I1932" s="238" t="s">
        <v>44</v>
      </c>
      <c r="J1932">
        <v>74.28</v>
      </c>
      <c r="K1932" s="238" t="s">
        <v>37</v>
      </c>
      <c r="L1932">
        <v>6301794.1200000001</v>
      </c>
      <c r="M1932">
        <v>0</v>
      </c>
      <c r="N1932">
        <v>6301794.1200000001</v>
      </c>
      <c r="O1932">
        <v>84838.36995153474</v>
      </c>
      <c r="P1932">
        <v>297120</v>
      </c>
      <c r="Q1932">
        <v>6004674.1200000001</v>
      </c>
      <c r="R1932">
        <v>80838.36995153474</v>
      </c>
      <c r="S1932" s="238" t="s">
        <v>137</v>
      </c>
      <c r="T1932" s="238" t="s">
        <v>1167</v>
      </c>
      <c r="V1932" t="s">
        <v>4093</v>
      </c>
      <c r="W1932" s="24">
        <v>45113</v>
      </c>
      <c r="X1932" s="238" t="s">
        <v>4791</v>
      </c>
      <c r="Y1932" s="238" t="s">
        <v>39</v>
      </c>
      <c r="Z1932" s="238" t="s">
        <v>1340</v>
      </c>
      <c r="AA1932" t="s">
        <v>3113</v>
      </c>
      <c r="AB1932" s="238" t="s">
        <v>3246</v>
      </c>
      <c r="AC1932" t="s">
        <v>3079</v>
      </c>
      <c r="AD1932" s="24"/>
      <c r="AE1932" s="238" t="s">
        <v>4792</v>
      </c>
      <c r="AF1932">
        <v>79272098731</v>
      </c>
      <c r="AG1932" s="238" t="s">
        <v>4793</v>
      </c>
      <c r="AH1932" s="238" t="s">
        <v>1171</v>
      </c>
      <c r="AI1932" s="238" t="s">
        <v>3074</v>
      </c>
      <c r="AJ1932" s="238" t="s">
        <v>130</v>
      </c>
      <c r="AK1932" s="238" t="s">
        <v>3345</v>
      </c>
      <c r="AL1932" t="s">
        <v>8715</v>
      </c>
      <c r="AM1932" t="s">
        <v>1167</v>
      </c>
    </row>
    <row r="1933" spans="1:39" hidden="1" x14ac:dyDescent="0.25">
      <c r="A1933">
        <v>1930</v>
      </c>
      <c r="B1933">
        <v>11</v>
      </c>
      <c r="C1933" s="24">
        <v>45119</v>
      </c>
      <c r="D1933" s="238" t="s">
        <v>91</v>
      </c>
      <c r="E1933" s="238" t="s">
        <v>16</v>
      </c>
      <c r="F1933">
        <v>7</v>
      </c>
      <c r="G1933">
        <v>17</v>
      </c>
      <c r="H1933">
        <v>352</v>
      </c>
      <c r="I1933" s="238" t="s">
        <v>42</v>
      </c>
      <c r="J1933">
        <v>33.840000000000003</v>
      </c>
      <c r="K1933" s="238" t="s">
        <v>37</v>
      </c>
      <c r="L1933">
        <v>3377355.18</v>
      </c>
      <c r="M1933">
        <v>0</v>
      </c>
      <c r="N1933">
        <v>3377355.18</v>
      </c>
      <c r="O1933">
        <v>99803.640070921974</v>
      </c>
      <c r="P1933">
        <v>135360</v>
      </c>
      <c r="Q1933">
        <v>3241995.18</v>
      </c>
      <c r="R1933">
        <v>95803.640070921974</v>
      </c>
      <c r="S1933" s="238" t="s">
        <v>137</v>
      </c>
      <c r="T1933" s="238" t="s">
        <v>1167</v>
      </c>
      <c r="V1933" t="s">
        <v>4091</v>
      </c>
      <c r="W1933" s="24">
        <v>45113</v>
      </c>
      <c r="X1933" s="238" t="s">
        <v>4794</v>
      </c>
      <c r="Y1933" s="238" t="s">
        <v>39</v>
      </c>
      <c r="Z1933" s="238" t="s">
        <v>1340</v>
      </c>
      <c r="AA1933" t="s">
        <v>3113</v>
      </c>
      <c r="AB1933" s="238" t="s">
        <v>3246</v>
      </c>
      <c r="AC1933" t="s">
        <v>3079</v>
      </c>
      <c r="AD1933" s="24"/>
      <c r="AE1933" s="238" t="s">
        <v>4795</v>
      </c>
      <c r="AF1933">
        <v>79277928133</v>
      </c>
      <c r="AG1933" s="238" t="s">
        <v>4796</v>
      </c>
      <c r="AH1933" s="238" t="s">
        <v>146</v>
      </c>
      <c r="AI1933" s="238" t="s">
        <v>135</v>
      </c>
      <c r="AJ1933" s="238" t="s">
        <v>130</v>
      </c>
      <c r="AK1933" s="238" t="s">
        <v>3345</v>
      </c>
      <c r="AL1933" t="s">
        <v>8715</v>
      </c>
      <c r="AM1933" t="s">
        <v>1167</v>
      </c>
    </row>
    <row r="1934" spans="1:39" hidden="1" x14ac:dyDescent="0.25">
      <c r="A1934">
        <v>1931</v>
      </c>
      <c r="B1934">
        <v>12</v>
      </c>
      <c r="C1934" s="24">
        <v>45120</v>
      </c>
      <c r="D1934" s="238" t="s">
        <v>91</v>
      </c>
      <c r="E1934" s="238" t="s">
        <v>16</v>
      </c>
      <c r="F1934">
        <v>1</v>
      </c>
      <c r="G1934">
        <v>22</v>
      </c>
      <c r="H1934">
        <v>381</v>
      </c>
      <c r="I1934" s="238" t="s">
        <v>4052</v>
      </c>
      <c r="J1934">
        <v>29.35</v>
      </c>
      <c r="K1934" s="238" t="s">
        <v>38</v>
      </c>
      <c r="L1934">
        <v>3438740.51</v>
      </c>
      <c r="M1934">
        <v>0</v>
      </c>
      <c r="N1934">
        <v>3438740.51</v>
      </c>
      <c r="O1934">
        <v>117163.22010221463</v>
      </c>
      <c r="P1934">
        <v>440250</v>
      </c>
      <c r="Q1934">
        <v>2998490.51</v>
      </c>
      <c r="R1934">
        <v>102163.22010221463</v>
      </c>
      <c r="S1934" s="238" t="s">
        <v>137</v>
      </c>
      <c r="T1934" s="238" t="s">
        <v>1167</v>
      </c>
      <c r="V1934" t="s">
        <v>4091</v>
      </c>
      <c r="W1934" s="24">
        <v>45118</v>
      </c>
      <c r="X1934" s="238" t="s">
        <v>4797</v>
      </c>
      <c r="Y1934" s="238" t="s">
        <v>39</v>
      </c>
      <c r="Z1934" s="238" t="s">
        <v>1340</v>
      </c>
      <c r="AA1934" t="s">
        <v>3113</v>
      </c>
      <c r="AB1934" s="238" t="s">
        <v>3246</v>
      </c>
      <c r="AC1934" t="s">
        <v>3079</v>
      </c>
      <c r="AD1934" s="24"/>
      <c r="AE1934" s="238" t="s">
        <v>4798</v>
      </c>
      <c r="AF1934">
        <v>79397599101</v>
      </c>
      <c r="AG1934" s="238" t="s">
        <v>4799</v>
      </c>
      <c r="AH1934" s="238" t="s">
        <v>1212</v>
      </c>
      <c r="AI1934" s="238" t="s">
        <v>3514</v>
      </c>
      <c r="AJ1934" s="238" t="s">
        <v>4177</v>
      </c>
      <c r="AK1934" s="238" t="s">
        <v>141</v>
      </c>
      <c r="AL1934" t="s">
        <v>8715</v>
      </c>
      <c r="AM1934" t="s">
        <v>1167</v>
      </c>
    </row>
    <row r="1935" spans="1:39" hidden="1" x14ac:dyDescent="0.25">
      <c r="A1935">
        <v>1932</v>
      </c>
      <c r="B1935">
        <v>13</v>
      </c>
      <c r="C1935" s="24">
        <v>45121</v>
      </c>
      <c r="D1935" s="238" t="s">
        <v>91</v>
      </c>
      <c r="E1935" s="238" t="s">
        <v>15</v>
      </c>
      <c r="F1935">
        <v>6</v>
      </c>
      <c r="G1935">
        <v>6</v>
      </c>
      <c r="H1935">
        <v>443</v>
      </c>
      <c r="I1935" s="238" t="s">
        <v>43</v>
      </c>
      <c r="J1935">
        <v>58.62</v>
      </c>
      <c r="K1935" s="238" t="s">
        <v>37</v>
      </c>
      <c r="L1935">
        <v>4733223.1100000003</v>
      </c>
      <c r="M1935">
        <v>15000</v>
      </c>
      <c r="N1935">
        <v>4748223.1100000003</v>
      </c>
      <c r="O1935">
        <v>81000.053053565352</v>
      </c>
      <c r="P1935">
        <v>234480</v>
      </c>
      <c r="Q1935">
        <v>4513743.1100000003</v>
      </c>
      <c r="R1935">
        <v>77000.053053565338</v>
      </c>
      <c r="S1935" s="238" t="s">
        <v>137</v>
      </c>
      <c r="T1935" s="238" t="s">
        <v>978</v>
      </c>
      <c r="U1935">
        <v>288111.2622</v>
      </c>
      <c r="V1935" t="s">
        <v>3661</v>
      </c>
      <c r="W1935" s="24">
        <v>45090</v>
      </c>
      <c r="X1935" s="238" t="s">
        <v>4800</v>
      </c>
      <c r="Y1935" s="238" t="s">
        <v>39</v>
      </c>
      <c r="Z1935" s="238" t="s">
        <v>1168</v>
      </c>
      <c r="AA1935" t="s">
        <v>1167</v>
      </c>
      <c r="AB1935" s="238" t="s">
        <v>3246</v>
      </c>
      <c r="AC1935" t="s">
        <v>3115</v>
      </c>
      <c r="AD1935" s="24"/>
      <c r="AE1935" s="238" t="s">
        <v>4801</v>
      </c>
      <c r="AF1935">
        <v>79276988072</v>
      </c>
      <c r="AG1935" s="238" t="s">
        <v>4802</v>
      </c>
      <c r="AH1935" s="238" t="s">
        <v>1171</v>
      </c>
      <c r="AI1935" s="238" t="s">
        <v>135</v>
      </c>
      <c r="AJ1935" s="238" t="s">
        <v>3901</v>
      </c>
      <c r="AK1935" s="238" t="s">
        <v>3345</v>
      </c>
      <c r="AL1935" t="s">
        <v>8715</v>
      </c>
      <c r="AM1935" t="s">
        <v>1167</v>
      </c>
    </row>
    <row r="1936" spans="1:39" hidden="1" x14ac:dyDescent="0.25">
      <c r="A1936">
        <v>1933</v>
      </c>
      <c r="B1936">
        <v>14</v>
      </c>
      <c r="C1936" s="24">
        <v>45125</v>
      </c>
      <c r="D1936" s="238" t="s">
        <v>27</v>
      </c>
      <c r="E1936" s="238" t="s">
        <v>13</v>
      </c>
      <c r="F1936">
        <v>2</v>
      </c>
      <c r="G1936">
        <v>1</v>
      </c>
      <c r="H1936">
        <v>21</v>
      </c>
      <c r="I1936" s="238" t="s">
        <v>3946</v>
      </c>
      <c r="J1936">
        <v>96.4</v>
      </c>
      <c r="K1936" s="238" t="s">
        <v>36</v>
      </c>
      <c r="L1936">
        <v>11568000</v>
      </c>
      <c r="M1936">
        <v>0</v>
      </c>
      <c r="N1936">
        <v>11568000</v>
      </c>
      <c r="O1936">
        <v>120000</v>
      </c>
      <c r="P1936">
        <v>0</v>
      </c>
      <c r="Q1936">
        <v>11568000</v>
      </c>
      <c r="R1936">
        <v>120000</v>
      </c>
      <c r="S1936" s="238" t="s">
        <v>121</v>
      </c>
      <c r="T1936" s="238" t="s">
        <v>1167</v>
      </c>
      <c r="V1936" t="s">
        <v>1167</v>
      </c>
      <c r="W1936" s="24">
        <v>45121</v>
      </c>
      <c r="X1936" s="238" t="s">
        <v>4803</v>
      </c>
      <c r="Y1936" s="238" t="s">
        <v>3946</v>
      </c>
      <c r="Z1936" s="238" t="s">
        <v>1340</v>
      </c>
      <c r="AA1936" t="s">
        <v>3474</v>
      </c>
      <c r="AB1936" s="238" t="s">
        <v>3124</v>
      </c>
      <c r="AC1936" t="s">
        <v>1167</v>
      </c>
      <c r="AD1936" s="24"/>
      <c r="AE1936" s="238" t="s">
        <v>4804</v>
      </c>
      <c r="AF1936">
        <v>79278991897</v>
      </c>
      <c r="AG1936" s="238" t="s">
        <v>4805</v>
      </c>
      <c r="AH1936" s="238" t="s">
        <v>1212</v>
      </c>
      <c r="AI1936" s="238" t="s">
        <v>3103</v>
      </c>
      <c r="AJ1936" s="238" t="s">
        <v>130</v>
      </c>
      <c r="AK1936" s="238" t="s">
        <v>1167</v>
      </c>
      <c r="AL1936" t="s">
        <v>8715</v>
      </c>
      <c r="AM1936" t="s">
        <v>1167</v>
      </c>
    </row>
    <row r="1937" spans="1:39" hidden="1" x14ac:dyDescent="0.25">
      <c r="A1937">
        <v>1934</v>
      </c>
      <c r="B1937">
        <v>15</v>
      </c>
      <c r="C1937" s="24">
        <v>45127</v>
      </c>
      <c r="D1937" s="238" t="s">
        <v>91</v>
      </c>
      <c r="E1937" s="238" t="s">
        <v>15</v>
      </c>
      <c r="F1937">
        <v>1</v>
      </c>
      <c r="G1937">
        <v>2</v>
      </c>
      <c r="H1937">
        <v>402</v>
      </c>
      <c r="I1937" s="238" t="s">
        <v>42</v>
      </c>
      <c r="J1937">
        <v>39.74</v>
      </c>
      <c r="K1937" s="238" t="s">
        <v>37</v>
      </c>
      <c r="L1937">
        <v>3610262.82</v>
      </c>
      <c r="M1937">
        <v>15000</v>
      </c>
      <c r="N1937">
        <v>3625262.82</v>
      </c>
      <c r="O1937">
        <v>91224.529944640148</v>
      </c>
      <c r="P1937">
        <v>158960</v>
      </c>
      <c r="Q1937">
        <v>3466302.82</v>
      </c>
      <c r="R1937">
        <v>87224.529944640148</v>
      </c>
      <c r="S1937" s="238" t="s">
        <v>137</v>
      </c>
      <c r="T1937" s="238" t="s">
        <v>60</v>
      </c>
      <c r="U1937">
        <v>158960</v>
      </c>
      <c r="V1937" t="s">
        <v>4092</v>
      </c>
      <c r="W1937" s="24">
        <v>45107</v>
      </c>
      <c r="X1937" s="238" t="s">
        <v>4807</v>
      </c>
      <c r="Y1937" s="238" t="s">
        <v>39</v>
      </c>
      <c r="Z1937" s="238" t="s">
        <v>1340</v>
      </c>
      <c r="AA1937" t="s">
        <v>3113</v>
      </c>
      <c r="AB1937" s="238" t="s">
        <v>3246</v>
      </c>
      <c r="AC1937" t="s">
        <v>3079</v>
      </c>
      <c r="AD1937" s="24"/>
      <c r="AE1937" s="238" t="s">
        <v>4808</v>
      </c>
      <c r="AF1937">
        <v>79053503841</v>
      </c>
      <c r="AG1937" s="238" t="s">
        <v>4809</v>
      </c>
      <c r="AH1937" s="238" t="s">
        <v>146</v>
      </c>
      <c r="AI1937" s="238" t="s">
        <v>135</v>
      </c>
      <c r="AJ1937" s="238" t="s">
        <v>3901</v>
      </c>
      <c r="AK1937" s="238" t="s">
        <v>141</v>
      </c>
      <c r="AL1937" t="s">
        <v>8715</v>
      </c>
      <c r="AM1937" t="s">
        <v>1167</v>
      </c>
    </row>
    <row r="1938" spans="1:39" hidden="1" x14ac:dyDescent="0.25">
      <c r="A1938">
        <v>1935</v>
      </c>
      <c r="B1938">
        <v>16</v>
      </c>
      <c r="C1938" s="24">
        <v>45127</v>
      </c>
      <c r="D1938" s="238" t="s">
        <v>91</v>
      </c>
      <c r="E1938" s="238" t="s">
        <v>6</v>
      </c>
      <c r="F1938">
        <v>1</v>
      </c>
      <c r="G1938">
        <v>10</v>
      </c>
      <c r="H1938">
        <v>65</v>
      </c>
      <c r="I1938" s="238" t="s">
        <v>42</v>
      </c>
      <c r="J1938">
        <v>33.53</v>
      </c>
      <c r="K1938" s="238" t="s">
        <v>37</v>
      </c>
      <c r="L1938">
        <v>3442784.96</v>
      </c>
      <c r="M1938">
        <v>0</v>
      </c>
      <c r="N1938">
        <v>3442784.96</v>
      </c>
      <c r="O1938">
        <v>102677.75007456008</v>
      </c>
      <c r="P1938">
        <v>134119.99999999953</v>
      </c>
      <c r="Q1938">
        <v>3308664.9600000004</v>
      </c>
      <c r="R1938">
        <v>98677.750074560099</v>
      </c>
      <c r="S1938" s="238" t="s">
        <v>124</v>
      </c>
      <c r="T1938" s="238" t="s">
        <v>1167</v>
      </c>
      <c r="V1938" t="s">
        <v>1167</v>
      </c>
      <c r="W1938" s="24">
        <v>45125</v>
      </c>
      <c r="X1938" s="238" t="s">
        <v>4810</v>
      </c>
      <c r="Y1938" s="238" t="s">
        <v>39</v>
      </c>
      <c r="Z1938" s="238" t="s">
        <v>1340</v>
      </c>
      <c r="AA1938" t="s">
        <v>3474</v>
      </c>
      <c r="AB1938" s="238" t="s">
        <v>3246</v>
      </c>
      <c r="AC1938" t="s">
        <v>1167</v>
      </c>
      <c r="AD1938" s="24"/>
      <c r="AE1938" s="238" t="s">
        <v>4811</v>
      </c>
      <c r="AF1938">
        <v>79874318984</v>
      </c>
      <c r="AG1938" s="238" t="s">
        <v>4812</v>
      </c>
      <c r="AH1938" s="238" t="s">
        <v>1171</v>
      </c>
      <c r="AI1938" s="238" t="s">
        <v>3074</v>
      </c>
      <c r="AJ1938" s="238" t="s">
        <v>4177</v>
      </c>
      <c r="AK1938" s="238" t="s">
        <v>1167</v>
      </c>
      <c r="AL1938" t="s">
        <v>8715</v>
      </c>
      <c r="AM1938" t="s">
        <v>1167</v>
      </c>
    </row>
    <row r="1939" spans="1:39" hidden="1" x14ac:dyDescent="0.25">
      <c r="A1939">
        <v>1936</v>
      </c>
      <c r="B1939">
        <v>17</v>
      </c>
      <c r="C1939" s="24">
        <v>45128</v>
      </c>
      <c r="D1939" s="238" t="s">
        <v>91</v>
      </c>
      <c r="E1939" s="238" t="s">
        <v>5</v>
      </c>
      <c r="F1939">
        <v>2</v>
      </c>
      <c r="G1939">
        <v>8</v>
      </c>
      <c r="H1939">
        <v>170</v>
      </c>
      <c r="I1939" s="238" t="s">
        <v>43</v>
      </c>
      <c r="J1939">
        <v>68.75</v>
      </c>
      <c r="K1939" s="238" t="s">
        <v>37</v>
      </c>
      <c r="L1939">
        <v>5850357.5599999996</v>
      </c>
      <c r="M1939">
        <v>0</v>
      </c>
      <c r="N1939">
        <v>5850357.5599999996</v>
      </c>
      <c r="O1939">
        <v>85096.109963636351</v>
      </c>
      <c r="P1939">
        <v>275000</v>
      </c>
      <c r="Q1939">
        <v>5575357.5599999996</v>
      </c>
      <c r="R1939">
        <v>81096.109963636351</v>
      </c>
      <c r="S1939" s="238" t="s">
        <v>137</v>
      </c>
      <c r="T1939" s="238" t="s">
        <v>60</v>
      </c>
      <c r="U1939">
        <v>275000</v>
      </c>
      <c r="V1939" t="s">
        <v>4091</v>
      </c>
      <c r="W1939" s="24">
        <v>45109</v>
      </c>
      <c r="X1939" s="238" t="s">
        <v>4816</v>
      </c>
      <c r="Y1939" s="238" t="s">
        <v>39</v>
      </c>
      <c r="Z1939" s="238" t="s">
        <v>1340</v>
      </c>
      <c r="AA1939" t="s">
        <v>3113</v>
      </c>
      <c r="AB1939" s="238" t="s">
        <v>3246</v>
      </c>
      <c r="AC1939" t="s">
        <v>3079</v>
      </c>
      <c r="AD1939" s="24"/>
      <c r="AE1939" s="238" t="s">
        <v>4817</v>
      </c>
      <c r="AF1939">
        <v>79376526418</v>
      </c>
      <c r="AG1939" s="238" t="s">
        <v>4818</v>
      </c>
      <c r="AH1939" s="238" t="s">
        <v>1171</v>
      </c>
      <c r="AI1939" s="238" t="s">
        <v>135</v>
      </c>
      <c r="AJ1939" s="238" t="s">
        <v>4177</v>
      </c>
      <c r="AK1939" s="238" t="s">
        <v>141</v>
      </c>
      <c r="AL1939" t="s">
        <v>8715</v>
      </c>
      <c r="AM1939" t="s">
        <v>1167</v>
      </c>
    </row>
    <row r="1940" spans="1:39" hidden="1" x14ac:dyDescent="0.25">
      <c r="A1940">
        <v>1937</v>
      </c>
      <c r="B1940">
        <v>18</v>
      </c>
      <c r="C1940" s="24">
        <v>45128</v>
      </c>
      <c r="D1940" s="238" t="s">
        <v>91</v>
      </c>
      <c r="E1940" s="238" t="s">
        <v>16</v>
      </c>
      <c r="F1940">
        <v>2</v>
      </c>
      <c r="G1940">
        <v>12</v>
      </c>
      <c r="H1940">
        <v>312</v>
      </c>
      <c r="I1940" s="238" t="s">
        <v>43</v>
      </c>
      <c r="J1940">
        <v>67.95</v>
      </c>
      <c r="K1940" s="238" t="s">
        <v>37</v>
      </c>
      <c r="L1940">
        <v>6054080.6699999999</v>
      </c>
      <c r="M1940">
        <v>0</v>
      </c>
      <c r="N1940">
        <v>6054080.6699999999</v>
      </c>
      <c r="O1940">
        <v>89096.109933774831</v>
      </c>
      <c r="P1940">
        <v>271800.00000000186</v>
      </c>
      <c r="Q1940">
        <v>5782280.6699999981</v>
      </c>
      <c r="R1940">
        <v>85096.109933774802</v>
      </c>
      <c r="S1940" s="238" t="s">
        <v>137</v>
      </c>
      <c r="T1940" s="238" t="s">
        <v>1167</v>
      </c>
      <c r="V1940" t="s">
        <v>4091</v>
      </c>
      <c r="W1940" s="24">
        <v>45125</v>
      </c>
      <c r="X1940" s="238" t="s">
        <v>4819</v>
      </c>
      <c r="Y1940" s="238" t="s">
        <v>39</v>
      </c>
      <c r="Z1940" s="238" t="s">
        <v>1340</v>
      </c>
      <c r="AA1940" t="s">
        <v>3113</v>
      </c>
      <c r="AB1940" s="238" t="s">
        <v>3246</v>
      </c>
      <c r="AC1940" t="s">
        <v>3079</v>
      </c>
      <c r="AD1940" s="24"/>
      <c r="AE1940" s="238" t="s">
        <v>4820</v>
      </c>
      <c r="AF1940">
        <v>79271942572</v>
      </c>
      <c r="AG1940" s="238" t="s">
        <v>4821</v>
      </c>
      <c r="AH1940" s="238" t="s">
        <v>1212</v>
      </c>
      <c r="AI1940" s="238" t="s">
        <v>135</v>
      </c>
      <c r="AJ1940" s="238" t="s">
        <v>130</v>
      </c>
      <c r="AK1940" s="238" t="s">
        <v>141</v>
      </c>
      <c r="AL1940" t="s">
        <v>8715</v>
      </c>
      <c r="AM1940" t="s">
        <v>1167</v>
      </c>
    </row>
    <row r="1941" spans="1:39" hidden="1" x14ac:dyDescent="0.25">
      <c r="A1941">
        <v>1938</v>
      </c>
      <c r="B1941">
        <v>19</v>
      </c>
      <c r="C1941" s="24">
        <v>45132</v>
      </c>
      <c r="D1941" s="238" t="s">
        <v>91</v>
      </c>
      <c r="E1941" s="238" t="s">
        <v>16</v>
      </c>
      <c r="F1941">
        <v>3</v>
      </c>
      <c r="G1941">
        <v>4</v>
      </c>
      <c r="H1941">
        <v>257</v>
      </c>
      <c r="I1941" s="238" t="s">
        <v>4052</v>
      </c>
      <c r="J1941">
        <v>36.450000000000003</v>
      </c>
      <c r="K1941" s="238" t="s">
        <v>36</v>
      </c>
      <c r="L1941">
        <v>3419170.74</v>
      </c>
      <c r="M1941">
        <v>0</v>
      </c>
      <c r="N1941">
        <v>3419170.74</v>
      </c>
      <c r="O1941">
        <v>93804.409876543214</v>
      </c>
      <c r="P1941">
        <v>0</v>
      </c>
      <c r="Q1941">
        <v>3419170.74</v>
      </c>
      <c r="R1941">
        <v>93804.409876543214</v>
      </c>
      <c r="S1941" s="238" t="s">
        <v>137</v>
      </c>
      <c r="T1941" s="238" t="s">
        <v>1167</v>
      </c>
      <c r="V1941" t="s">
        <v>4091</v>
      </c>
      <c r="W1941" s="24">
        <v>45124</v>
      </c>
      <c r="X1941" s="238" t="s">
        <v>4822</v>
      </c>
      <c r="Y1941" s="238" t="s">
        <v>39</v>
      </c>
      <c r="Z1941" s="238" t="s">
        <v>1340</v>
      </c>
      <c r="AA1941" t="s">
        <v>3113</v>
      </c>
      <c r="AB1941" s="238" t="s">
        <v>3246</v>
      </c>
      <c r="AC1941" t="s">
        <v>3079</v>
      </c>
      <c r="AD1941" s="24"/>
      <c r="AE1941" s="238" t="s">
        <v>4823</v>
      </c>
      <c r="AF1941">
        <v>79272071635</v>
      </c>
      <c r="AG1941" s="238" t="s">
        <v>4824</v>
      </c>
      <c r="AH1941" s="238" t="s">
        <v>1212</v>
      </c>
      <c r="AI1941" s="238" t="s">
        <v>135</v>
      </c>
      <c r="AJ1941" s="238" t="s">
        <v>3901</v>
      </c>
      <c r="AK1941" s="238" t="s">
        <v>141</v>
      </c>
      <c r="AL1941" t="s">
        <v>8715</v>
      </c>
      <c r="AM1941" t="s">
        <v>1167</v>
      </c>
    </row>
    <row r="1942" spans="1:39" hidden="1" x14ac:dyDescent="0.25">
      <c r="A1942">
        <v>1939</v>
      </c>
      <c r="B1942">
        <v>20</v>
      </c>
      <c r="C1942" s="24">
        <v>45132</v>
      </c>
      <c r="D1942" s="238" t="s">
        <v>91</v>
      </c>
      <c r="E1942" s="238" t="s">
        <v>5</v>
      </c>
      <c r="F1942">
        <v>5</v>
      </c>
      <c r="G1942">
        <v>8</v>
      </c>
      <c r="H1942">
        <v>173</v>
      </c>
      <c r="I1942" s="238" t="s">
        <v>42</v>
      </c>
      <c r="J1942">
        <v>36.700000000000003</v>
      </c>
      <c r="K1942" s="238" t="s">
        <v>36</v>
      </c>
      <c r="L1942">
        <v>3551829.67</v>
      </c>
      <c r="M1942">
        <v>0</v>
      </c>
      <c r="N1942">
        <v>3551829.67</v>
      </c>
      <c r="O1942">
        <v>96780.099999999991</v>
      </c>
      <c r="P1942">
        <v>0</v>
      </c>
      <c r="Q1942">
        <v>3551829.67</v>
      </c>
      <c r="R1942">
        <v>96780.099999999991</v>
      </c>
      <c r="S1942" s="238" t="s">
        <v>137</v>
      </c>
      <c r="T1942" s="238" t="s">
        <v>1167</v>
      </c>
      <c r="V1942" t="s">
        <v>4092</v>
      </c>
      <c r="W1942" s="24">
        <v>45126</v>
      </c>
      <c r="X1942" s="238" t="s">
        <v>4825</v>
      </c>
      <c r="Y1942" s="238" t="s">
        <v>39</v>
      </c>
      <c r="Z1942" s="238" t="s">
        <v>1340</v>
      </c>
      <c r="AA1942" t="s">
        <v>3113</v>
      </c>
      <c r="AB1942" s="238" t="s">
        <v>3246</v>
      </c>
      <c r="AC1942" t="s">
        <v>3079</v>
      </c>
      <c r="AD1942" s="24"/>
      <c r="AE1942" s="238" t="s">
        <v>4826</v>
      </c>
      <c r="AF1942">
        <v>79677204552</v>
      </c>
      <c r="AG1942" s="238" t="s">
        <v>4827</v>
      </c>
      <c r="AH1942" s="238" t="s">
        <v>1212</v>
      </c>
      <c r="AI1942" s="238" t="s">
        <v>3074</v>
      </c>
      <c r="AJ1942" s="238" t="s">
        <v>130</v>
      </c>
      <c r="AK1942" s="238" t="s">
        <v>141</v>
      </c>
      <c r="AL1942" t="s">
        <v>8715</v>
      </c>
      <c r="AM1942" t="s">
        <v>1167</v>
      </c>
    </row>
    <row r="1943" spans="1:39" hidden="1" x14ac:dyDescent="0.25">
      <c r="A1943">
        <v>1940</v>
      </c>
      <c r="B1943">
        <v>21</v>
      </c>
      <c r="C1943" s="24">
        <v>45134</v>
      </c>
      <c r="D1943" s="238" t="s">
        <v>91</v>
      </c>
      <c r="E1943" s="238" t="s">
        <v>15</v>
      </c>
      <c r="F1943">
        <v>8</v>
      </c>
      <c r="G1943">
        <v>13</v>
      </c>
      <c r="H1943">
        <v>508</v>
      </c>
      <c r="I1943" s="238" t="s">
        <v>43</v>
      </c>
      <c r="J1943">
        <v>63.74</v>
      </c>
      <c r="K1943" s="238" t="s">
        <v>37</v>
      </c>
      <c r="L1943">
        <v>5271950.7</v>
      </c>
      <c r="M1943">
        <v>0</v>
      </c>
      <c r="N1943">
        <v>5271950.7</v>
      </c>
      <c r="O1943">
        <v>82710.240037652969</v>
      </c>
      <c r="P1943">
        <v>254960</v>
      </c>
      <c r="Q1943">
        <v>5016990.7</v>
      </c>
      <c r="R1943">
        <v>78710.240037652969</v>
      </c>
      <c r="S1943" s="238" t="s">
        <v>137</v>
      </c>
      <c r="T1943" s="238" t="s">
        <v>60</v>
      </c>
      <c r="U1943">
        <v>254960</v>
      </c>
      <c r="V1943" t="s">
        <v>4092</v>
      </c>
      <c r="W1943" s="24">
        <v>45125</v>
      </c>
      <c r="X1943" s="238" t="s">
        <v>4828</v>
      </c>
      <c r="Y1943" s="238" t="s">
        <v>39</v>
      </c>
      <c r="Z1943" s="238" t="s">
        <v>1340</v>
      </c>
      <c r="AA1943" t="s">
        <v>3113</v>
      </c>
      <c r="AB1943" s="238" t="s">
        <v>3246</v>
      </c>
      <c r="AC1943" t="s">
        <v>3079</v>
      </c>
      <c r="AD1943" s="24"/>
      <c r="AE1943" s="238" t="s">
        <v>4829</v>
      </c>
      <c r="AF1943">
        <v>79270140646</v>
      </c>
      <c r="AG1943" s="238" t="s">
        <v>4830</v>
      </c>
      <c r="AH1943" s="238" t="s">
        <v>1171</v>
      </c>
      <c r="AI1943" s="238" t="s">
        <v>135</v>
      </c>
      <c r="AJ1943" s="238" t="s">
        <v>130</v>
      </c>
      <c r="AK1943" s="238" t="s">
        <v>141</v>
      </c>
      <c r="AL1943" t="s">
        <v>8715</v>
      </c>
      <c r="AM1943" t="s">
        <v>1167</v>
      </c>
    </row>
    <row r="1944" spans="1:39" hidden="1" x14ac:dyDescent="0.25">
      <c r="A1944">
        <v>1941</v>
      </c>
      <c r="B1944">
        <v>22</v>
      </c>
      <c r="C1944" s="24">
        <v>45134</v>
      </c>
      <c r="D1944" s="238" t="s">
        <v>91</v>
      </c>
      <c r="E1944" s="238" t="s">
        <v>6</v>
      </c>
      <c r="F1944">
        <v>3</v>
      </c>
      <c r="G1944">
        <v>14</v>
      </c>
      <c r="H1944">
        <v>99</v>
      </c>
      <c r="I1944" s="238" t="s">
        <v>42</v>
      </c>
      <c r="J1944">
        <v>35.54</v>
      </c>
      <c r="K1944" s="238" t="s">
        <v>37</v>
      </c>
      <c r="L1944">
        <v>3566101.01</v>
      </c>
      <c r="M1944">
        <v>0</v>
      </c>
      <c r="N1944">
        <v>3566101.01</v>
      </c>
      <c r="O1944">
        <v>100340.48987056837</v>
      </c>
      <c r="P1944">
        <v>159930</v>
      </c>
      <c r="Q1944">
        <v>3406171.01</v>
      </c>
      <c r="R1944">
        <v>95840.489870568374</v>
      </c>
      <c r="S1944" s="238" t="s">
        <v>137</v>
      </c>
      <c r="T1944" s="238" t="s">
        <v>1167</v>
      </c>
      <c r="V1944" t="s">
        <v>4091</v>
      </c>
      <c r="W1944" s="24">
        <v>45129</v>
      </c>
      <c r="X1944" s="238" t="s">
        <v>4831</v>
      </c>
      <c r="Y1944" s="238" t="s">
        <v>39</v>
      </c>
      <c r="Z1944" s="238" t="s">
        <v>1340</v>
      </c>
      <c r="AA1944" t="s">
        <v>3113</v>
      </c>
      <c r="AB1944" s="238" t="s">
        <v>3246</v>
      </c>
      <c r="AC1944" t="s">
        <v>3079</v>
      </c>
      <c r="AD1944" s="24"/>
      <c r="AE1944" s="238" t="s">
        <v>4832</v>
      </c>
      <c r="AF1944">
        <v>79171057811</v>
      </c>
      <c r="AG1944" s="238" t="s">
        <v>4833</v>
      </c>
      <c r="AH1944" s="238" t="s">
        <v>1212</v>
      </c>
      <c r="AI1944" s="238" t="s">
        <v>3103</v>
      </c>
      <c r="AJ1944" s="238" t="s">
        <v>130</v>
      </c>
      <c r="AK1944" s="238" t="s">
        <v>3345</v>
      </c>
      <c r="AL1944" t="s">
        <v>8715</v>
      </c>
      <c r="AM1944" t="s">
        <v>1167</v>
      </c>
    </row>
    <row r="1945" spans="1:39" hidden="1" x14ac:dyDescent="0.25">
      <c r="A1945">
        <v>1942</v>
      </c>
      <c r="B1945">
        <v>23</v>
      </c>
      <c r="C1945" s="24">
        <v>45135</v>
      </c>
      <c r="D1945" s="238" t="s">
        <v>91</v>
      </c>
      <c r="E1945" s="238" t="s">
        <v>15</v>
      </c>
      <c r="F1945">
        <v>1</v>
      </c>
      <c r="G1945">
        <v>5</v>
      </c>
      <c r="H1945">
        <v>429</v>
      </c>
      <c r="I1945" s="238" t="s">
        <v>42</v>
      </c>
      <c r="J1945">
        <v>39.74</v>
      </c>
      <c r="K1945" s="238" t="s">
        <v>37</v>
      </c>
      <c r="L1945">
        <v>3808701.07</v>
      </c>
      <c r="M1945">
        <v>0</v>
      </c>
      <c r="N1945">
        <v>3808701.07</v>
      </c>
      <c r="O1945">
        <v>95840.489934574725</v>
      </c>
      <c r="P1945">
        <v>178830</v>
      </c>
      <c r="Q1945">
        <v>3629871.07</v>
      </c>
      <c r="R1945">
        <v>91340.489934574725</v>
      </c>
      <c r="S1945" s="238" t="s">
        <v>124</v>
      </c>
      <c r="T1945" s="238" t="s">
        <v>60</v>
      </c>
      <c r="U1945">
        <v>178830</v>
      </c>
      <c r="V1945" t="s">
        <v>1167</v>
      </c>
      <c r="W1945" s="24">
        <v>45133</v>
      </c>
      <c r="X1945" s="238" t="s">
        <v>4834</v>
      </c>
      <c r="Y1945" s="238" t="s">
        <v>39</v>
      </c>
      <c r="Z1945" s="238" t="s">
        <v>1340</v>
      </c>
      <c r="AA1945" t="s">
        <v>3474</v>
      </c>
      <c r="AB1945" s="238" t="s">
        <v>3246</v>
      </c>
      <c r="AC1945" t="s">
        <v>1167</v>
      </c>
      <c r="AD1945" s="24"/>
      <c r="AE1945" s="238" t="s">
        <v>4835</v>
      </c>
      <c r="AF1945">
        <v>79276879440</v>
      </c>
      <c r="AG1945" s="238" t="s">
        <v>4836</v>
      </c>
      <c r="AH1945" s="238" t="s">
        <v>1171</v>
      </c>
      <c r="AI1945" s="238" t="s">
        <v>3074</v>
      </c>
      <c r="AJ1945" s="238" t="s">
        <v>130</v>
      </c>
      <c r="AK1945" s="238" t="s">
        <v>1167</v>
      </c>
      <c r="AL1945" t="s">
        <v>8715</v>
      </c>
      <c r="AM1945" t="s">
        <v>1167</v>
      </c>
    </row>
    <row r="1946" spans="1:39" hidden="1" x14ac:dyDescent="0.25">
      <c r="A1946">
        <v>1943</v>
      </c>
      <c r="B1946">
        <v>24</v>
      </c>
      <c r="C1946" s="24">
        <v>45138</v>
      </c>
      <c r="D1946" s="238" t="s">
        <v>91</v>
      </c>
      <c r="E1946" s="238" t="s">
        <v>15</v>
      </c>
      <c r="F1946">
        <v>1</v>
      </c>
      <c r="G1946">
        <v>8</v>
      </c>
      <c r="H1946">
        <v>456</v>
      </c>
      <c r="I1946" s="238" t="s">
        <v>42</v>
      </c>
      <c r="J1946">
        <v>39.74</v>
      </c>
      <c r="K1946" s="238" t="s">
        <v>38</v>
      </c>
      <c r="L1946">
        <v>4330120.87</v>
      </c>
      <c r="M1946">
        <v>0</v>
      </c>
      <c r="N1946">
        <v>4330120.87</v>
      </c>
      <c r="O1946">
        <v>108961.27000503271</v>
      </c>
      <c r="P1946">
        <v>596100</v>
      </c>
      <c r="Q1946">
        <v>3734020.87</v>
      </c>
      <c r="R1946">
        <v>93961.270005032711</v>
      </c>
      <c r="S1946" s="238" t="s">
        <v>137</v>
      </c>
      <c r="T1946" s="238" t="s">
        <v>1167</v>
      </c>
      <c r="V1946" t="s">
        <v>4092</v>
      </c>
      <c r="W1946" s="24">
        <v>45127</v>
      </c>
      <c r="X1946" s="238" t="s">
        <v>4841</v>
      </c>
      <c r="Y1946" s="238" t="s">
        <v>39</v>
      </c>
      <c r="Z1946" s="238" t="s">
        <v>1340</v>
      </c>
      <c r="AA1946" t="s">
        <v>3113</v>
      </c>
      <c r="AB1946" s="238" t="s">
        <v>3246</v>
      </c>
      <c r="AC1946" t="s">
        <v>3079</v>
      </c>
      <c r="AD1946" s="24"/>
      <c r="AE1946" s="238" t="s">
        <v>4842</v>
      </c>
      <c r="AF1946">
        <v>79088554790</v>
      </c>
      <c r="AG1946" s="238" t="s">
        <v>4843</v>
      </c>
      <c r="AH1946" s="238" t="s">
        <v>1212</v>
      </c>
      <c r="AI1946" s="238" t="s">
        <v>3514</v>
      </c>
      <c r="AJ1946" s="238" t="s">
        <v>130</v>
      </c>
      <c r="AK1946" s="238" t="s">
        <v>3345</v>
      </c>
      <c r="AL1946" t="s">
        <v>8715</v>
      </c>
      <c r="AM1946" t="s">
        <v>1167</v>
      </c>
    </row>
    <row r="1947" spans="1:39" hidden="1" x14ac:dyDescent="0.25">
      <c r="A1947">
        <v>1944</v>
      </c>
      <c r="B1947">
        <v>25</v>
      </c>
      <c r="C1947" s="24">
        <v>45138</v>
      </c>
      <c r="D1947" s="238" t="s">
        <v>91</v>
      </c>
      <c r="E1947" s="238" t="s">
        <v>16</v>
      </c>
      <c r="F1947">
        <v>6</v>
      </c>
      <c r="G1947">
        <v>22</v>
      </c>
      <c r="H1947">
        <v>386</v>
      </c>
      <c r="I1947" s="238" t="s">
        <v>44</v>
      </c>
      <c r="J1947">
        <v>72.510000000000005</v>
      </c>
      <c r="K1947" s="238" t="s">
        <v>38</v>
      </c>
      <c r="L1947">
        <v>7467886.1100000003</v>
      </c>
      <c r="M1947">
        <v>0</v>
      </c>
      <c r="N1947">
        <v>7467886.1100000003</v>
      </c>
      <c r="O1947">
        <v>102991.11998345055</v>
      </c>
      <c r="P1947">
        <v>1123905</v>
      </c>
      <c r="Q1947">
        <v>6343981.1100000003</v>
      </c>
      <c r="R1947">
        <v>87491.119983450553</v>
      </c>
      <c r="S1947" s="238" t="s">
        <v>137</v>
      </c>
      <c r="T1947" s="238" t="s">
        <v>1167</v>
      </c>
      <c r="V1947" t="s">
        <v>4092</v>
      </c>
      <c r="W1947" s="24">
        <v>45128</v>
      </c>
      <c r="X1947" s="238" t="s">
        <v>4844</v>
      </c>
      <c r="Y1947" s="238" t="s">
        <v>39</v>
      </c>
      <c r="Z1947" s="238" t="s">
        <v>1340</v>
      </c>
      <c r="AA1947" t="s">
        <v>3113</v>
      </c>
      <c r="AB1947" s="238" t="s">
        <v>3246</v>
      </c>
      <c r="AC1947" t="s">
        <v>3079</v>
      </c>
      <c r="AD1947" s="24"/>
      <c r="AE1947" s="238" t="s">
        <v>4845</v>
      </c>
      <c r="AF1947">
        <v>79118323061</v>
      </c>
      <c r="AG1947" s="238" t="s">
        <v>4846</v>
      </c>
      <c r="AH1947" s="238" t="s">
        <v>1212</v>
      </c>
      <c r="AI1947" s="238" t="s">
        <v>3103</v>
      </c>
      <c r="AJ1947" s="238" t="s">
        <v>4177</v>
      </c>
      <c r="AK1947" s="238" t="s">
        <v>141</v>
      </c>
      <c r="AL1947" t="s">
        <v>8715</v>
      </c>
      <c r="AM1947" t="s">
        <v>1167</v>
      </c>
    </row>
    <row r="1948" spans="1:39" hidden="1" x14ac:dyDescent="0.25">
      <c r="A1948">
        <v>1945</v>
      </c>
      <c r="B1948">
        <v>26</v>
      </c>
      <c r="C1948" s="24">
        <v>45138</v>
      </c>
      <c r="D1948" s="238" t="s">
        <v>91</v>
      </c>
      <c r="E1948" s="238" t="s">
        <v>15</v>
      </c>
      <c r="F1948">
        <v>7</v>
      </c>
      <c r="G1948">
        <v>10</v>
      </c>
      <c r="H1948">
        <v>480</v>
      </c>
      <c r="I1948" s="238" t="s">
        <v>43</v>
      </c>
      <c r="J1948">
        <v>67.489999999999995</v>
      </c>
      <c r="K1948" s="238" t="s">
        <v>37</v>
      </c>
      <c r="L1948">
        <v>6027513</v>
      </c>
      <c r="M1948">
        <v>0</v>
      </c>
      <c r="N1948">
        <v>6027513</v>
      </c>
      <c r="O1948">
        <v>89309.719958512374</v>
      </c>
      <c r="P1948">
        <v>269960</v>
      </c>
      <c r="Q1948">
        <v>5757553</v>
      </c>
      <c r="R1948">
        <v>85309.719958512374</v>
      </c>
      <c r="S1948" s="238" t="s">
        <v>137</v>
      </c>
      <c r="T1948" s="238" t="s">
        <v>60</v>
      </c>
      <c r="U1948">
        <v>269960</v>
      </c>
      <c r="V1948" t="s">
        <v>4092</v>
      </c>
      <c r="W1948" s="24">
        <v>45129</v>
      </c>
      <c r="X1948" s="238" t="s">
        <v>4847</v>
      </c>
      <c r="Y1948" s="238" t="s">
        <v>39</v>
      </c>
      <c r="Z1948" s="238" t="s">
        <v>1340</v>
      </c>
      <c r="AA1948" t="s">
        <v>3113</v>
      </c>
      <c r="AB1948" s="238" t="s">
        <v>3246</v>
      </c>
      <c r="AC1948" t="s">
        <v>3079</v>
      </c>
      <c r="AD1948" s="24"/>
      <c r="AE1948" s="238" t="s">
        <v>4848</v>
      </c>
      <c r="AF1948">
        <v>79262140200</v>
      </c>
      <c r="AG1948" s="238" t="s">
        <v>4849</v>
      </c>
      <c r="AH1948" s="238" t="s">
        <v>1212</v>
      </c>
      <c r="AI1948" s="238" t="s">
        <v>135</v>
      </c>
      <c r="AJ1948" s="238" t="s">
        <v>130</v>
      </c>
      <c r="AK1948" s="238" t="s">
        <v>3345</v>
      </c>
      <c r="AL1948" t="s">
        <v>8715</v>
      </c>
      <c r="AM1948" t="s">
        <v>1167</v>
      </c>
    </row>
    <row r="1949" spans="1:39" hidden="1" x14ac:dyDescent="0.25">
      <c r="A1949">
        <v>1946</v>
      </c>
      <c r="B1949">
        <v>27</v>
      </c>
      <c r="C1949" s="24">
        <v>45138</v>
      </c>
      <c r="D1949" s="238" t="s">
        <v>91</v>
      </c>
      <c r="E1949" s="238" t="s">
        <v>16</v>
      </c>
      <c r="F1949">
        <v>6</v>
      </c>
      <c r="G1949">
        <v>18</v>
      </c>
      <c r="H1949">
        <v>358</v>
      </c>
      <c r="I1949" s="238" t="s">
        <v>44</v>
      </c>
      <c r="J1949">
        <v>72.510000000000005</v>
      </c>
      <c r="K1949" s="238" t="s">
        <v>36</v>
      </c>
      <c r="L1949">
        <v>5741631.8399999999</v>
      </c>
      <c r="M1949">
        <v>0</v>
      </c>
      <c r="N1949">
        <v>5741631.8399999999</v>
      </c>
      <c r="O1949">
        <v>79183.999999999985</v>
      </c>
      <c r="P1949">
        <v>0</v>
      </c>
      <c r="Q1949">
        <v>5741631.8399999999</v>
      </c>
      <c r="R1949">
        <v>79183.999999999985</v>
      </c>
      <c r="S1949" s="238" t="s">
        <v>137</v>
      </c>
      <c r="T1949" s="238" t="s">
        <v>1167</v>
      </c>
      <c r="V1949" t="s">
        <v>4092</v>
      </c>
      <c r="W1949" s="24">
        <v>45131</v>
      </c>
      <c r="X1949" s="238" t="s">
        <v>4850</v>
      </c>
      <c r="Y1949" s="238" t="s">
        <v>39</v>
      </c>
      <c r="Z1949" s="238" t="s">
        <v>1340</v>
      </c>
      <c r="AA1949" t="s">
        <v>3113</v>
      </c>
      <c r="AB1949" s="238" t="s">
        <v>3246</v>
      </c>
      <c r="AC1949" t="s">
        <v>3079</v>
      </c>
      <c r="AD1949" s="24"/>
      <c r="AE1949" s="238" t="s">
        <v>4851</v>
      </c>
      <c r="AF1949">
        <v>79179471301</v>
      </c>
      <c r="AG1949" s="238" t="s">
        <v>4852</v>
      </c>
      <c r="AH1949" s="238" t="s">
        <v>1212</v>
      </c>
      <c r="AI1949" s="238" t="s">
        <v>135</v>
      </c>
      <c r="AJ1949" s="238" t="s">
        <v>4177</v>
      </c>
      <c r="AK1949" s="238" t="s">
        <v>3345</v>
      </c>
      <c r="AL1949" t="s">
        <v>8715</v>
      </c>
      <c r="AM1949" t="s">
        <v>1167</v>
      </c>
    </row>
    <row r="1950" spans="1:39" hidden="1" x14ac:dyDescent="0.25">
      <c r="A1950">
        <v>1947</v>
      </c>
      <c r="B1950">
        <v>28</v>
      </c>
      <c r="C1950" s="24">
        <v>45138</v>
      </c>
      <c r="D1950" s="238" t="s">
        <v>91</v>
      </c>
      <c r="E1950" s="238" t="s">
        <v>5</v>
      </c>
      <c r="F1950">
        <v>5</v>
      </c>
      <c r="G1950">
        <v>6</v>
      </c>
      <c r="H1950">
        <v>157</v>
      </c>
      <c r="I1950" s="238" t="s">
        <v>42</v>
      </c>
      <c r="J1950">
        <v>36.700000000000003</v>
      </c>
      <c r="K1950" s="238" t="s">
        <v>37</v>
      </c>
      <c r="L1950">
        <v>3751463.72</v>
      </c>
      <c r="M1950">
        <v>0</v>
      </c>
      <c r="N1950">
        <v>3751463.72</v>
      </c>
      <c r="O1950">
        <v>102219.71989100818</v>
      </c>
      <c r="P1950">
        <v>165150</v>
      </c>
      <c r="Q1950">
        <v>3586313.72</v>
      </c>
      <c r="R1950">
        <v>97719.719891008179</v>
      </c>
      <c r="S1950" s="238" t="s">
        <v>137</v>
      </c>
      <c r="T1950" s="238" t="s">
        <v>1167</v>
      </c>
      <c r="V1950" t="s">
        <v>4091</v>
      </c>
      <c r="W1950" s="24">
        <v>45132</v>
      </c>
      <c r="X1950" s="238" t="s">
        <v>4853</v>
      </c>
      <c r="Y1950" s="238" t="s">
        <v>39</v>
      </c>
      <c r="Z1950" s="238" t="s">
        <v>1340</v>
      </c>
      <c r="AA1950" t="s">
        <v>3113</v>
      </c>
      <c r="AB1950" s="238" t="s">
        <v>3246</v>
      </c>
      <c r="AC1950" t="s">
        <v>3079</v>
      </c>
      <c r="AD1950" s="24"/>
      <c r="AE1950" s="238" t="s">
        <v>4854</v>
      </c>
      <c r="AF1950">
        <v>79871591939</v>
      </c>
      <c r="AG1950" s="238" t="s">
        <v>4855</v>
      </c>
      <c r="AH1950" s="238" t="s">
        <v>1212</v>
      </c>
      <c r="AI1950" s="238" t="s">
        <v>135</v>
      </c>
      <c r="AJ1950" s="238" t="s">
        <v>3901</v>
      </c>
      <c r="AK1950" s="238" t="s">
        <v>141</v>
      </c>
      <c r="AL1950" t="s">
        <v>8715</v>
      </c>
      <c r="AM1950" t="s">
        <v>1167</v>
      </c>
    </row>
    <row r="1951" spans="1:39" hidden="1" x14ac:dyDescent="0.25">
      <c r="A1951">
        <v>1948</v>
      </c>
      <c r="B1951">
        <v>29</v>
      </c>
      <c r="C1951" s="24">
        <v>45138</v>
      </c>
      <c r="D1951" s="238" t="s">
        <v>91</v>
      </c>
      <c r="E1951" s="238" t="s">
        <v>5</v>
      </c>
      <c r="F1951">
        <v>5</v>
      </c>
      <c r="G1951">
        <v>1</v>
      </c>
      <c r="H1951">
        <v>9</v>
      </c>
      <c r="I1951" s="238" t="s">
        <v>3946</v>
      </c>
      <c r="J1951">
        <v>86.5</v>
      </c>
      <c r="K1951" s="238" t="s">
        <v>36</v>
      </c>
      <c r="L1951">
        <v>10350291</v>
      </c>
      <c r="M1951">
        <v>0</v>
      </c>
      <c r="N1951">
        <v>10350291</v>
      </c>
      <c r="O1951">
        <v>119656.54335260116</v>
      </c>
      <c r="P1951">
        <v>0</v>
      </c>
      <c r="Q1951">
        <v>10350291</v>
      </c>
      <c r="R1951">
        <v>119656.54335260116</v>
      </c>
      <c r="S1951" s="238" t="s">
        <v>124</v>
      </c>
      <c r="T1951" s="238" t="s">
        <v>321</v>
      </c>
      <c r="U1951">
        <v>94584.1</v>
      </c>
      <c r="V1951" t="s">
        <v>1167</v>
      </c>
      <c r="W1951" s="24">
        <v>45133</v>
      </c>
      <c r="X1951" s="238" t="s">
        <v>4856</v>
      </c>
      <c r="Y1951" s="238" t="s">
        <v>3946</v>
      </c>
      <c r="Z1951" s="238" t="s">
        <v>1340</v>
      </c>
      <c r="AA1951" t="s">
        <v>3474</v>
      </c>
      <c r="AB1951" s="238" t="s">
        <v>3246</v>
      </c>
      <c r="AC1951" t="s">
        <v>1167</v>
      </c>
      <c r="AD1951" s="24"/>
      <c r="AE1951" s="238" t="s">
        <v>4857</v>
      </c>
      <c r="AF1951">
        <v>79371705902</v>
      </c>
      <c r="AG1951" s="238" t="s">
        <v>4858</v>
      </c>
      <c r="AH1951" s="238" t="s">
        <v>1212</v>
      </c>
      <c r="AI1951" s="238" t="s">
        <v>135</v>
      </c>
      <c r="AJ1951" s="238" t="s">
        <v>3901</v>
      </c>
      <c r="AK1951" s="238" t="s">
        <v>1167</v>
      </c>
      <c r="AL1951" t="s">
        <v>8715</v>
      </c>
      <c r="AM1951" t="s">
        <v>1167</v>
      </c>
    </row>
    <row r="1952" spans="1:39" hidden="1" x14ac:dyDescent="0.25">
      <c r="A1952">
        <v>1949</v>
      </c>
      <c r="B1952">
        <v>30</v>
      </c>
      <c r="C1952" s="24">
        <v>45138</v>
      </c>
      <c r="D1952" s="238" t="s">
        <v>91</v>
      </c>
      <c r="E1952" s="238" t="s">
        <v>6</v>
      </c>
      <c r="F1952">
        <v>1</v>
      </c>
      <c r="G1952">
        <v>8</v>
      </c>
      <c r="H1952">
        <v>49</v>
      </c>
      <c r="I1952" s="238" t="s">
        <v>42</v>
      </c>
      <c r="J1952">
        <v>33.53</v>
      </c>
      <c r="K1952" s="238" t="s">
        <v>37</v>
      </c>
      <c r="L1952">
        <v>3459549.96</v>
      </c>
      <c r="M1952">
        <v>0</v>
      </c>
      <c r="N1952">
        <v>3459549.96</v>
      </c>
      <c r="O1952">
        <v>103177.75007456008</v>
      </c>
      <c r="P1952">
        <v>150885</v>
      </c>
      <c r="Q1952">
        <v>3308664.96</v>
      </c>
      <c r="R1952">
        <v>98677.750074560085</v>
      </c>
      <c r="S1952" s="238" t="s">
        <v>137</v>
      </c>
      <c r="T1952" s="238" t="s">
        <v>1167</v>
      </c>
      <c r="V1952" t="s">
        <v>4091</v>
      </c>
      <c r="W1952" s="24">
        <v>45133</v>
      </c>
      <c r="X1952" s="238" t="s">
        <v>4859</v>
      </c>
      <c r="Y1952" s="238" t="s">
        <v>39</v>
      </c>
      <c r="Z1952" s="238" t="s">
        <v>1340</v>
      </c>
      <c r="AA1952" t="s">
        <v>3113</v>
      </c>
      <c r="AB1952" s="238" t="s">
        <v>3246</v>
      </c>
      <c r="AC1952" t="s">
        <v>3079</v>
      </c>
      <c r="AD1952" s="24"/>
      <c r="AE1952" s="238" t="s">
        <v>7768</v>
      </c>
      <c r="AF1952">
        <v>79379804925</v>
      </c>
      <c r="AG1952" s="238" t="s">
        <v>7769</v>
      </c>
      <c r="AH1952" s="238" t="s">
        <v>1171</v>
      </c>
      <c r="AI1952" s="238" t="s">
        <v>135</v>
      </c>
      <c r="AJ1952" s="238" t="s">
        <v>130</v>
      </c>
      <c r="AK1952" s="238" t="s">
        <v>141</v>
      </c>
      <c r="AL1952" t="s">
        <v>8715</v>
      </c>
      <c r="AM1952" t="s">
        <v>1167</v>
      </c>
    </row>
    <row r="1953" spans="1:39" hidden="1" x14ac:dyDescent="0.25">
      <c r="A1953">
        <v>1950</v>
      </c>
      <c r="B1953">
        <v>31</v>
      </c>
      <c r="C1953" s="24">
        <v>45138</v>
      </c>
      <c r="D1953" s="238" t="s">
        <v>91</v>
      </c>
      <c r="E1953" s="238" t="s">
        <v>5</v>
      </c>
      <c r="F1953">
        <v>8</v>
      </c>
      <c r="G1953">
        <v>11</v>
      </c>
      <c r="H1953">
        <v>200</v>
      </c>
      <c r="I1953" s="238" t="s">
        <v>42</v>
      </c>
      <c r="J1953">
        <v>33.79</v>
      </c>
      <c r="K1953" s="238" t="s">
        <v>38</v>
      </c>
      <c r="L1953">
        <v>3858066.17</v>
      </c>
      <c r="M1953">
        <v>0</v>
      </c>
      <c r="N1953">
        <v>3858066.17</v>
      </c>
      <c r="O1953">
        <v>114177.74992601361</v>
      </c>
      <c r="P1953">
        <v>523745</v>
      </c>
      <c r="Q1953">
        <v>3334321.17</v>
      </c>
      <c r="R1953">
        <v>98677.74992601361</v>
      </c>
      <c r="S1953" s="238" t="s">
        <v>124</v>
      </c>
      <c r="T1953" s="238" t="s">
        <v>1167</v>
      </c>
      <c r="V1953" t="s">
        <v>1167</v>
      </c>
      <c r="W1953" s="24">
        <v>45133</v>
      </c>
      <c r="X1953" s="238" t="s">
        <v>4860</v>
      </c>
      <c r="Y1953" s="238" t="s">
        <v>39</v>
      </c>
      <c r="Z1953" s="238" t="s">
        <v>1340</v>
      </c>
      <c r="AA1953" t="s">
        <v>3474</v>
      </c>
      <c r="AB1953" s="238" t="s">
        <v>3246</v>
      </c>
      <c r="AC1953" t="s">
        <v>1167</v>
      </c>
      <c r="AD1953" s="24"/>
      <c r="AE1953" s="238" t="s">
        <v>4861</v>
      </c>
      <c r="AF1953">
        <v>79967473853</v>
      </c>
      <c r="AG1953" s="238" t="s">
        <v>4862</v>
      </c>
      <c r="AH1953" s="238" t="s">
        <v>4072</v>
      </c>
      <c r="AI1953" s="238" t="s">
        <v>6406</v>
      </c>
      <c r="AJ1953" s="238" t="s">
        <v>130</v>
      </c>
      <c r="AK1953" s="238" t="s">
        <v>1167</v>
      </c>
      <c r="AL1953" t="s">
        <v>57</v>
      </c>
      <c r="AM1953" t="s">
        <v>1167</v>
      </c>
    </row>
    <row r="1954" spans="1:39" hidden="1" x14ac:dyDescent="0.25">
      <c r="A1954">
        <v>1951</v>
      </c>
      <c r="B1954">
        <v>32</v>
      </c>
      <c r="C1954" s="24">
        <v>45138</v>
      </c>
      <c r="D1954" s="238" t="s">
        <v>91</v>
      </c>
      <c r="E1954" s="238" t="s">
        <v>6</v>
      </c>
      <c r="F1954">
        <v>7</v>
      </c>
      <c r="G1954">
        <v>16</v>
      </c>
      <c r="H1954">
        <v>119</v>
      </c>
      <c r="I1954" s="238" t="s">
        <v>4052</v>
      </c>
      <c r="J1954">
        <v>21.75</v>
      </c>
      <c r="K1954" s="238" t="s">
        <v>38</v>
      </c>
      <c r="L1954">
        <v>2647608.36</v>
      </c>
      <c r="M1954">
        <v>0</v>
      </c>
      <c r="N1954">
        <v>2647608.36</v>
      </c>
      <c r="O1954">
        <v>121729.12</v>
      </c>
      <c r="P1954">
        <v>337125</v>
      </c>
      <c r="Q1954">
        <v>2310483.36</v>
      </c>
      <c r="R1954">
        <v>106229.12</v>
      </c>
      <c r="S1954" s="238" t="s">
        <v>137</v>
      </c>
      <c r="T1954" s="238" t="s">
        <v>1167</v>
      </c>
      <c r="V1954" t="s">
        <v>1167</v>
      </c>
      <c r="W1954" s="24">
        <v>45133</v>
      </c>
      <c r="X1954" s="238" t="s">
        <v>4863</v>
      </c>
      <c r="Y1954" s="238" t="s">
        <v>39</v>
      </c>
      <c r="Z1954" s="238" t="s">
        <v>1340</v>
      </c>
      <c r="AA1954" t="s">
        <v>3474</v>
      </c>
      <c r="AB1954" s="238" t="s">
        <v>3246</v>
      </c>
      <c r="AC1954" t="s">
        <v>3077</v>
      </c>
      <c r="AD1954" s="24"/>
      <c r="AE1954" s="238" t="s">
        <v>4864</v>
      </c>
      <c r="AF1954">
        <v>79613804633</v>
      </c>
      <c r="AG1954" s="238" t="s">
        <v>4865</v>
      </c>
      <c r="AH1954" s="238" t="s">
        <v>1171</v>
      </c>
      <c r="AI1954" s="238" t="s">
        <v>3514</v>
      </c>
      <c r="AJ1954" s="238" t="s">
        <v>4177</v>
      </c>
      <c r="AK1954" s="238" t="s">
        <v>141</v>
      </c>
      <c r="AL1954" t="s">
        <v>8715</v>
      </c>
      <c r="AM1954" t="s">
        <v>1167</v>
      </c>
    </row>
    <row r="1955" spans="1:39" hidden="1" x14ac:dyDescent="0.25">
      <c r="A1955">
        <v>1952</v>
      </c>
      <c r="B1955">
        <v>33</v>
      </c>
      <c r="C1955" s="24">
        <v>45138</v>
      </c>
      <c r="D1955" s="238" t="s">
        <v>91</v>
      </c>
      <c r="E1955" s="238" t="s">
        <v>16</v>
      </c>
      <c r="F1955">
        <v>3</v>
      </c>
      <c r="G1955">
        <v>3</v>
      </c>
      <c r="H1955">
        <v>250</v>
      </c>
      <c r="I1955" s="238" t="s">
        <v>4052</v>
      </c>
      <c r="J1955">
        <v>36.450000000000003</v>
      </c>
      <c r="K1955" s="238" t="s">
        <v>38</v>
      </c>
      <c r="L1955">
        <v>3984145.74</v>
      </c>
      <c r="M1955">
        <v>0</v>
      </c>
      <c r="N1955">
        <v>3984145.74</v>
      </c>
      <c r="O1955">
        <v>109304.40987654321</v>
      </c>
      <c r="P1955">
        <v>564975</v>
      </c>
      <c r="Q1955">
        <v>3419170.74</v>
      </c>
      <c r="R1955">
        <v>93804.409876543214</v>
      </c>
      <c r="S1955" s="238" t="s">
        <v>137</v>
      </c>
      <c r="T1955" s="238" t="s">
        <v>1167</v>
      </c>
      <c r="V1955" t="s">
        <v>4092</v>
      </c>
      <c r="W1955" s="24">
        <v>45134</v>
      </c>
      <c r="X1955" s="238" t="s">
        <v>4866</v>
      </c>
      <c r="Y1955" s="238" t="s">
        <v>39</v>
      </c>
      <c r="Z1955" s="238" t="s">
        <v>1340</v>
      </c>
      <c r="AA1955" t="s">
        <v>3113</v>
      </c>
      <c r="AB1955" s="238" t="s">
        <v>3246</v>
      </c>
      <c r="AC1955" t="s">
        <v>3079</v>
      </c>
      <c r="AD1955" s="24"/>
      <c r="AE1955" s="238" t="s">
        <v>4867</v>
      </c>
      <c r="AF1955">
        <v>79227642511</v>
      </c>
      <c r="AG1955" s="238" t="s">
        <v>4868</v>
      </c>
      <c r="AH1955" s="238" t="s">
        <v>1171</v>
      </c>
      <c r="AI1955" s="238" t="s">
        <v>3090</v>
      </c>
      <c r="AJ1955" s="238" t="s">
        <v>130</v>
      </c>
      <c r="AK1955" s="238" t="s">
        <v>3345</v>
      </c>
      <c r="AL1955" t="s">
        <v>8715</v>
      </c>
      <c r="AM1955" t="s">
        <v>1167</v>
      </c>
    </row>
    <row r="1956" spans="1:39" hidden="1" x14ac:dyDescent="0.25">
      <c r="A1956">
        <v>1953</v>
      </c>
      <c r="B1956">
        <v>34</v>
      </c>
      <c r="C1956" s="24">
        <v>45138</v>
      </c>
      <c r="D1956" s="238" t="s">
        <v>91</v>
      </c>
      <c r="E1956" s="238" t="s">
        <v>16</v>
      </c>
      <c r="F1956">
        <v>3</v>
      </c>
      <c r="G1956">
        <v>7</v>
      </c>
      <c r="H1956">
        <v>278</v>
      </c>
      <c r="I1956" s="238" t="s">
        <v>4052</v>
      </c>
      <c r="J1956">
        <v>36.450000000000003</v>
      </c>
      <c r="K1956" s="238" t="s">
        <v>37</v>
      </c>
      <c r="L1956">
        <v>3450383.15</v>
      </c>
      <c r="M1956">
        <v>15000</v>
      </c>
      <c r="N1956">
        <v>3465383.15</v>
      </c>
      <c r="O1956">
        <v>95072.240054869675</v>
      </c>
      <c r="P1956">
        <v>145800</v>
      </c>
      <c r="Q1956">
        <v>3319583.15</v>
      </c>
      <c r="R1956">
        <v>91072.240054869675</v>
      </c>
      <c r="S1956" s="238" t="s">
        <v>124</v>
      </c>
      <c r="T1956" s="238" t="s">
        <v>1167</v>
      </c>
      <c r="V1956" t="s">
        <v>1167</v>
      </c>
      <c r="W1956" s="24">
        <v>45135</v>
      </c>
      <c r="X1956" s="238" t="s">
        <v>4869</v>
      </c>
      <c r="Y1956" s="238" t="s">
        <v>39</v>
      </c>
      <c r="Z1956" s="238" t="s">
        <v>1340</v>
      </c>
      <c r="AA1956" t="s">
        <v>3474</v>
      </c>
      <c r="AB1956" s="238" t="s">
        <v>3246</v>
      </c>
      <c r="AC1956" t="s">
        <v>1167</v>
      </c>
      <c r="AD1956" s="24"/>
      <c r="AE1956" s="238" t="s">
        <v>4870</v>
      </c>
      <c r="AF1956">
        <v>79276068511</v>
      </c>
      <c r="AG1956" s="238" t="s">
        <v>4871</v>
      </c>
      <c r="AH1956" s="238" t="s">
        <v>4072</v>
      </c>
      <c r="AI1956" s="238" t="s">
        <v>6406</v>
      </c>
      <c r="AJ1956" s="238" t="s">
        <v>130</v>
      </c>
      <c r="AK1956" s="238" t="s">
        <v>1167</v>
      </c>
      <c r="AL1956" t="s">
        <v>57</v>
      </c>
      <c r="AM1956" t="s">
        <v>1167</v>
      </c>
    </row>
    <row r="1957" spans="1:39" hidden="1" x14ac:dyDescent="0.25">
      <c r="A1957">
        <v>1954</v>
      </c>
      <c r="B1957">
        <v>35</v>
      </c>
      <c r="C1957" s="24">
        <v>45138</v>
      </c>
      <c r="D1957" s="238" t="s">
        <v>91</v>
      </c>
      <c r="E1957" s="238" t="s">
        <v>6</v>
      </c>
      <c r="F1957">
        <v>7</v>
      </c>
      <c r="G1957">
        <v>9</v>
      </c>
      <c r="H1957">
        <v>63</v>
      </c>
      <c r="I1957" s="238" t="s">
        <v>4052</v>
      </c>
      <c r="J1957">
        <v>21.75</v>
      </c>
      <c r="K1957" s="238" t="s">
        <v>37</v>
      </c>
      <c r="L1957">
        <v>2408358.36</v>
      </c>
      <c r="M1957">
        <v>0</v>
      </c>
      <c r="N1957">
        <v>2408358.36</v>
      </c>
      <c r="O1957">
        <v>110729.12</v>
      </c>
      <c r="P1957">
        <v>97875</v>
      </c>
      <c r="Q1957">
        <v>2310483.36</v>
      </c>
      <c r="R1957">
        <v>106229.12</v>
      </c>
      <c r="S1957" s="238" t="s">
        <v>124</v>
      </c>
      <c r="T1957" s="238" t="s">
        <v>1167</v>
      </c>
      <c r="V1957" t="s">
        <v>1167</v>
      </c>
      <c r="W1957" s="24">
        <v>45136</v>
      </c>
      <c r="X1957" s="238" t="s">
        <v>4872</v>
      </c>
      <c r="Y1957" s="238" t="s">
        <v>39</v>
      </c>
      <c r="Z1957" s="238" t="s">
        <v>1340</v>
      </c>
      <c r="AA1957" t="s">
        <v>3474</v>
      </c>
      <c r="AB1957" s="238" t="s">
        <v>3246</v>
      </c>
      <c r="AC1957" t="s">
        <v>1167</v>
      </c>
      <c r="AD1957" s="24"/>
      <c r="AE1957" s="238" t="s">
        <v>4873</v>
      </c>
      <c r="AF1957">
        <v>79371798035</v>
      </c>
      <c r="AG1957" s="238" t="s">
        <v>4874</v>
      </c>
      <c r="AH1957" s="238" t="s">
        <v>1212</v>
      </c>
      <c r="AI1957" s="238" t="s">
        <v>3074</v>
      </c>
      <c r="AJ1957" s="238" t="s">
        <v>126</v>
      </c>
      <c r="AK1957" s="238" t="s">
        <v>1167</v>
      </c>
      <c r="AL1957" t="s">
        <v>8715</v>
      </c>
      <c r="AM1957" t="s">
        <v>1167</v>
      </c>
    </row>
    <row r="1958" spans="1:39" hidden="1" x14ac:dyDescent="0.25">
      <c r="A1958">
        <v>1955</v>
      </c>
      <c r="B1958">
        <v>36</v>
      </c>
      <c r="C1958" s="24">
        <v>45138</v>
      </c>
      <c r="D1958" s="238" t="s">
        <v>91</v>
      </c>
      <c r="E1958" s="238" t="s">
        <v>6</v>
      </c>
      <c r="F1958">
        <v>2</v>
      </c>
      <c r="G1958">
        <v>8</v>
      </c>
      <c r="H1958">
        <v>50</v>
      </c>
      <c r="I1958" s="238" t="s">
        <v>43</v>
      </c>
      <c r="J1958">
        <v>61.76</v>
      </c>
      <c r="K1958" s="238" t="s">
        <v>38</v>
      </c>
      <c r="L1958">
        <v>6255500.8600000003</v>
      </c>
      <c r="M1958">
        <v>0</v>
      </c>
      <c r="N1958">
        <v>6255500.8600000003</v>
      </c>
      <c r="O1958">
        <v>101287.25485751296</v>
      </c>
      <c r="P1958">
        <v>957280</v>
      </c>
      <c r="Q1958">
        <v>5298220.8600000003</v>
      </c>
      <c r="R1958">
        <v>85787.254857512962</v>
      </c>
      <c r="S1958" s="238" t="s">
        <v>137</v>
      </c>
      <c r="T1958" s="238" t="s">
        <v>3515</v>
      </c>
      <c r="U1958">
        <v>120000</v>
      </c>
      <c r="V1958" t="s">
        <v>4092</v>
      </c>
      <c r="W1958" s="24">
        <v>45137</v>
      </c>
      <c r="X1958" s="238" t="s">
        <v>4875</v>
      </c>
      <c r="Y1958" s="238" t="s">
        <v>39</v>
      </c>
      <c r="Z1958" s="238" t="s">
        <v>1340</v>
      </c>
      <c r="AA1958" t="s">
        <v>3113</v>
      </c>
      <c r="AB1958" s="238" t="s">
        <v>3246</v>
      </c>
      <c r="AC1958" t="s">
        <v>3079</v>
      </c>
      <c r="AD1958" s="24"/>
      <c r="AE1958" s="238" t="s">
        <v>4876</v>
      </c>
      <c r="AF1958">
        <v>79829926253</v>
      </c>
      <c r="AG1958" s="238" t="s">
        <v>4877</v>
      </c>
      <c r="AH1958" s="238" t="s">
        <v>1171</v>
      </c>
      <c r="AI1958" s="238" t="s">
        <v>3088</v>
      </c>
      <c r="AJ1958" s="238" t="s">
        <v>3901</v>
      </c>
      <c r="AK1958" s="238" t="s">
        <v>141</v>
      </c>
      <c r="AL1958" t="s">
        <v>8715</v>
      </c>
      <c r="AM1958" t="s">
        <v>1167</v>
      </c>
    </row>
    <row r="1959" spans="1:39" hidden="1" x14ac:dyDescent="0.25">
      <c r="A1959">
        <v>1956</v>
      </c>
      <c r="B1959">
        <v>1</v>
      </c>
      <c r="C1959" s="24">
        <v>45142</v>
      </c>
      <c r="D1959" s="238" t="s">
        <v>27</v>
      </c>
      <c r="E1959" s="238" t="s">
        <v>16</v>
      </c>
      <c r="F1959">
        <v>3</v>
      </c>
      <c r="G1959">
        <v>1</v>
      </c>
      <c r="H1959">
        <v>10</v>
      </c>
      <c r="I1959" s="238" t="s">
        <v>3946</v>
      </c>
      <c r="J1959">
        <v>137.30000000000001</v>
      </c>
      <c r="K1959" s="238" t="s">
        <v>36</v>
      </c>
      <c r="L1959">
        <v>17007084</v>
      </c>
      <c r="M1959">
        <v>0</v>
      </c>
      <c r="N1959">
        <v>17007084</v>
      </c>
      <c r="O1959">
        <v>123868.05535324107</v>
      </c>
      <c r="P1959">
        <v>0</v>
      </c>
      <c r="Q1959">
        <v>17007084</v>
      </c>
      <c r="R1959">
        <v>123868.05535324107</v>
      </c>
      <c r="S1959" s="238" t="s">
        <v>124</v>
      </c>
      <c r="T1959" s="238" t="s">
        <v>321</v>
      </c>
      <c r="U1959">
        <v>155415.9</v>
      </c>
      <c r="V1959" t="s">
        <v>1167</v>
      </c>
      <c r="W1959" s="24">
        <v>45134</v>
      </c>
      <c r="X1959" s="238" t="s">
        <v>4882</v>
      </c>
      <c r="Y1959" s="238" t="s">
        <v>3946</v>
      </c>
      <c r="Z1959" s="238" t="s">
        <v>1340</v>
      </c>
      <c r="AA1959" t="s">
        <v>3113</v>
      </c>
      <c r="AB1959" s="238" t="s">
        <v>3124</v>
      </c>
      <c r="AC1959" t="s">
        <v>1167</v>
      </c>
      <c r="AD1959" s="24"/>
      <c r="AE1959" s="238" t="s">
        <v>4857</v>
      </c>
      <c r="AF1959">
        <v>79371705902</v>
      </c>
      <c r="AG1959" s="238" t="s">
        <v>4858</v>
      </c>
      <c r="AH1959" s="238" t="s">
        <v>1197</v>
      </c>
      <c r="AI1959" s="238" t="s">
        <v>3103</v>
      </c>
      <c r="AJ1959" s="238" t="s">
        <v>3901</v>
      </c>
      <c r="AK1959" s="238" t="s">
        <v>1167</v>
      </c>
      <c r="AL1959" t="s">
        <v>8715</v>
      </c>
      <c r="AM1959" t="s">
        <v>1167</v>
      </c>
    </row>
    <row r="1960" spans="1:39" hidden="1" x14ac:dyDescent="0.25">
      <c r="A1960">
        <v>1957</v>
      </c>
      <c r="B1960">
        <v>2</v>
      </c>
      <c r="C1960" s="24">
        <v>45145</v>
      </c>
      <c r="D1960" s="238" t="s">
        <v>91</v>
      </c>
      <c r="E1960" s="238" t="s">
        <v>16</v>
      </c>
      <c r="F1960">
        <v>1</v>
      </c>
      <c r="G1960">
        <v>15</v>
      </c>
      <c r="H1960">
        <v>332</v>
      </c>
      <c r="I1960" s="238" t="s">
        <v>4052</v>
      </c>
      <c r="J1960">
        <v>29.35</v>
      </c>
      <c r="K1960" s="238" t="s">
        <v>36</v>
      </c>
      <c r="L1960">
        <v>2705900.33</v>
      </c>
      <c r="M1960">
        <v>0</v>
      </c>
      <c r="N1960">
        <v>2705900.33</v>
      </c>
      <c r="O1960">
        <v>92194.219080068142</v>
      </c>
      <c r="P1960">
        <v>0</v>
      </c>
      <c r="Q1960">
        <v>2705900.33</v>
      </c>
      <c r="R1960">
        <v>92194.219080068142</v>
      </c>
      <c r="S1960" s="238" t="s">
        <v>137</v>
      </c>
      <c r="T1960" s="238" t="s">
        <v>324</v>
      </c>
      <c r="U1960">
        <v>20000</v>
      </c>
      <c r="V1960" t="s">
        <v>4091</v>
      </c>
      <c r="W1960" s="24">
        <v>45141</v>
      </c>
      <c r="X1960" s="238" t="s">
        <v>4883</v>
      </c>
      <c r="Y1960" s="238" t="s">
        <v>39</v>
      </c>
      <c r="Z1960" s="238" t="s">
        <v>1340</v>
      </c>
      <c r="AA1960" t="s">
        <v>3113</v>
      </c>
      <c r="AB1960" s="238" t="s">
        <v>3246</v>
      </c>
      <c r="AC1960" t="s">
        <v>3079</v>
      </c>
      <c r="AD1960" s="24"/>
      <c r="AE1960" s="238" t="s">
        <v>4884</v>
      </c>
      <c r="AF1960">
        <v>79879714099</v>
      </c>
      <c r="AG1960" s="238" t="s">
        <v>4885</v>
      </c>
      <c r="AH1960" s="238" t="s">
        <v>1212</v>
      </c>
      <c r="AI1960" s="238" t="s">
        <v>3090</v>
      </c>
      <c r="AJ1960" s="238" t="s">
        <v>130</v>
      </c>
      <c r="AK1960" s="238" t="s">
        <v>3345</v>
      </c>
      <c r="AL1960" t="s">
        <v>8715</v>
      </c>
      <c r="AM1960" t="s">
        <v>1167</v>
      </c>
    </row>
    <row r="1961" spans="1:39" hidden="1" x14ac:dyDescent="0.25">
      <c r="A1961">
        <v>1958</v>
      </c>
      <c r="B1961">
        <v>3</v>
      </c>
      <c r="C1961" s="24">
        <v>45149</v>
      </c>
      <c r="D1961" s="238" t="s">
        <v>91</v>
      </c>
      <c r="E1961" s="238" t="s">
        <v>16</v>
      </c>
      <c r="F1961">
        <v>4</v>
      </c>
      <c r="G1961">
        <v>6</v>
      </c>
      <c r="H1961">
        <v>272</v>
      </c>
      <c r="I1961" s="238" t="s">
        <v>43</v>
      </c>
      <c r="J1961">
        <v>58.55</v>
      </c>
      <c r="K1961" s="238" t="s">
        <v>37</v>
      </c>
      <c r="L1961">
        <v>5203479.0199999996</v>
      </c>
      <c r="M1961">
        <v>0</v>
      </c>
      <c r="N1961">
        <v>5203479.0199999996</v>
      </c>
      <c r="O1961">
        <v>88872.4</v>
      </c>
      <c r="P1961">
        <v>263475</v>
      </c>
      <c r="Q1961">
        <v>4940004.0199999996</v>
      </c>
      <c r="R1961">
        <v>84372.4</v>
      </c>
      <c r="S1961" s="238" t="s">
        <v>137</v>
      </c>
      <c r="T1961" s="238" t="s">
        <v>1167</v>
      </c>
      <c r="V1961" t="s">
        <v>4092</v>
      </c>
      <c r="W1961" s="24">
        <v>45141</v>
      </c>
      <c r="X1961" s="238" t="s">
        <v>4907</v>
      </c>
      <c r="Y1961" s="238" t="s">
        <v>39</v>
      </c>
      <c r="Z1961" s="238" t="s">
        <v>1340</v>
      </c>
      <c r="AA1961" t="s">
        <v>3113</v>
      </c>
      <c r="AB1961" s="238" t="s">
        <v>3246</v>
      </c>
      <c r="AC1961" t="s">
        <v>3079</v>
      </c>
      <c r="AD1961" s="24"/>
      <c r="AE1961" s="238" t="s">
        <v>4908</v>
      </c>
      <c r="AF1961">
        <v>79277789115</v>
      </c>
      <c r="AG1961" s="238" t="s">
        <v>4909</v>
      </c>
      <c r="AH1961" s="238" t="s">
        <v>135</v>
      </c>
      <c r="AI1961" s="238" t="s">
        <v>3075</v>
      </c>
      <c r="AJ1961" s="238" t="s">
        <v>130</v>
      </c>
      <c r="AK1961" s="238" t="s">
        <v>3345</v>
      </c>
      <c r="AL1961" t="s">
        <v>8715</v>
      </c>
      <c r="AM1961" t="s">
        <v>1167</v>
      </c>
    </row>
    <row r="1962" spans="1:39" hidden="1" x14ac:dyDescent="0.25">
      <c r="A1962">
        <v>1959</v>
      </c>
      <c r="B1962">
        <v>4</v>
      </c>
      <c r="C1962" s="24">
        <v>45152</v>
      </c>
      <c r="D1962" s="238" t="s">
        <v>91</v>
      </c>
      <c r="E1962" s="238" t="s">
        <v>16</v>
      </c>
      <c r="F1962">
        <v>6</v>
      </c>
      <c r="G1962">
        <v>20</v>
      </c>
      <c r="H1962">
        <v>372</v>
      </c>
      <c r="I1962" s="238" t="s">
        <v>44</v>
      </c>
      <c r="J1962">
        <v>72.510000000000005</v>
      </c>
      <c r="K1962" s="238" t="s">
        <v>37</v>
      </c>
      <c r="L1962">
        <v>6064693.0099999998</v>
      </c>
      <c r="M1962">
        <v>15000</v>
      </c>
      <c r="N1962">
        <v>6079693.0099999998</v>
      </c>
      <c r="O1962">
        <v>83846.269617983722</v>
      </c>
      <c r="P1962">
        <v>290040</v>
      </c>
      <c r="Q1962">
        <v>5789653.0099999998</v>
      </c>
      <c r="R1962">
        <v>79846.269617983722</v>
      </c>
      <c r="S1962" s="238" t="s">
        <v>137</v>
      </c>
      <c r="T1962" s="238" t="s">
        <v>978</v>
      </c>
      <c r="U1962">
        <v>369552.32</v>
      </c>
      <c r="V1962" t="s">
        <v>3661</v>
      </c>
      <c r="W1962" s="24">
        <v>45125</v>
      </c>
      <c r="X1962" s="238" t="s">
        <v>4910</v>
      </c>
      <c r="Y1962" s="238" t="s">
        <v>39</v>
      </c>
      <c r="Z1962" s="238" t="s">
        <v>1168</v>
      </c>
      <c r="AA1962" t="s">
        <v>1167</v>
      </c>
      <c r="AB1962" s="238" t="s">
        <v>3246</v>
      </c>
      <c r="AC1962" t="s">
        <v>3115</v>
      </c>
      <c r="AD1962" s="24"/>
      <c r="AE1962" s="238" t="s">
        <v>4911</v>
      </c>
      <c r="AF1962">
        <v>79879235965</v>
      </c>
      <c r="AG1962" s="238" t="s">
        <v>4912</v>
      </c>
      <c r="AH1962" s="238" t="s">
        <v>1171</v>
      </c>
      <c r="AI1962" s="238" t="s">
        <v>3084</v>
      </c>
      <c r="AJ1962" s="238" t="s">
        <v>130</v>
      </c>
      <c r="AK1962" s="238" t="s">
        <v>141</v>
      </c>
      <c r="AL1962" t="s">
        <v>8715</v>
      </c>
      <c r="AM1962" t="s">
        <v>1167</v>
      </c>
    </row>
    <row r="1963" spans="1:39" hidden="1" x14ac:dyDescent="0.25">
      <c r="A1963">
        <v>1960</v>
      </c>
      <c r="B1963">
        <v>5</v>
      </c>
      <c r="C1963" s="24">
        <v>45153</v>
      </c>
      <c r="D1963" s="238" t="s">
        <v>91</v>
      </c>
      <c r="E1963" s="238" t="s">
        <v>5</v>
      </c>
      <c r="F1963">
        <v>2</v>
      </c>
      <c r="G1963">
        <v>4</v>
      </c>
      <c r="H1963">
        <v>138</v>
      </c>
      <c r="I1963" s="238" t="s">
        <v>43</v>
      </c>
      <c r="J1963">
        <v>68.75</v>
      </c>
      <c r="K1963" s="238" t="s">
        <v>37</v>
      </c>
      <c r="L1963">
        <v>6214408.75</v>
      </c>
      <c r="M1963">
        <v>0</v>
      </c>
      <c r="N1963">
        <v>6214408.75</v>
      </c>
      <c r="O1963">
        <v>90391.4</v>
      </c>
      <c r="P1963">
        <v>309375</v>
      </c>
      <c r="Q1963">
        <v>5905033.75</v>
      </c>
      <c r="R1963">
        <v>85891.4</v>
      </c>
      <c r="S1963" s="238" t="s">
        <v>137</v>
      </c>
      <c r="T1963" s="238" t="s">
        <v>1167</v>
      </c>
      <c r="V1963" t="s">
        <v>4092</v>
      </c>
      <c r="W1963" s="24">
        <v>45138</v>
      </c>
      <c r="X1963" s="238" t="s">
        <v>4913</v>
      </c>
      <c r="Y1963" s="238" t="s">
        <v>39</v>
      </c>
      <c r="Z1963" s="238" t="s">
        <v>1340</v>
      </c>
      <c r="AA1963" t="s">
        <v>3113</v>
      </c>
      <c r="AB1963" s="238" t="s">
        <v>3246</v>
      </c>
      <c r="AC1963" t="s">
        <v>3079</v>
      </c>
      <c r="AD1963" s="24"/>
      <c r="AE1963" s="238" t="s">
        <v>4914</v>
      </c>
      <c r="AF1963">
        <v>79277820265</v>
      </c>
      <c r="AG1963" s="238" t="s">
        <v>4915</v>
      </c>
      <c r="AH1963" s="238" t="s">
        <v>1171</v>
      </c>
      <c r="AI1963" s="238" t="s">
        <v>3097</v>
      </c>
      <c r="AJ1963" s="238" t="s">
        <v>4177</v>
      </c>
      <c r="AK1963" s="238" t="s">
        <v>3345</v>
      </c>
      <c r="AL1963" t="s">
        <v>8715</v>
      </c>
      <c r="AM1963" t="s">
        <v>1167</v>
      </c>
    </row>
    <row r="1964" spans="1:39" hidden="1" x14ac:dyDescent="0.25">
      <c r="A1964">
        <v>1961</v>
      </c>
      <c r="B1964">
        <v>6</v>
      </c>
      <c r="C1964" s="24">
        <v>45153</v>
      </c>
      <c r="D1964" s="238" t="s">
        <v>91</v>
      </c>
      <c r="E1964" s="238" t="s">
        <v>15</v>
      </c>
      <c r="F1964">
        <v>5</v>
      </c>
      <c r="G1964">
        <v>1</v>
      </c>
      <c r="H1964">
        <v>17</v>
      </c>
      <c r="I1964" s="238" t="s">
        <v>3946</v>
      </c>
      <c r="J1964">
        <v>49.57</v>
      </c>
      <c r="K1964" s="238" t="s">
        <v>36</v>
      </c>
      <c r="L1964">
        <v>7435500</v>
      </c>
      <c r="M1964">
        <v>0</v>
      </c>
      <c r="N1964">
        <v>7435500</v>
      </c>
      <c r="O1964">
        <v>150000</v>
      </c>
      <c r="P1964">
        <v>0</v>
      </c>
      <c r="Q1964">
        <v>7435500</v>
      </c>
      <c r="R1964">
        <v>150000</v>
      </c>
      <c r="S1964" s="238" t="s">
        <v>124</v>
      </c>
      <c r="T1964" s="238" t="s">
        <v>1167</v>
      </c>
      <c r="V1964" t="s">
        <v>1167</v>
      </c>
      <c r="W1964" s="24">
        <v>45147</v>
      </c>
      <c r="X1964" s="238" t="s">
        <v>4916</v>
      </c>
      <c r="Y1964" s="238" t="s">
        <v>3946</v>
      </c>
      <c r="Z1964" s="238" t="s">
        <v>1340</v>
      </c>
      <c r="AA1964" t="s">
        <v>3474</v>
      </c>
      <c r="AB1964" s="238" t="s">
        <v>3246</v>
      </c>
      <c r="AC1964" t="s">
        <v>1167</v>
      </c>
      <c r="AD1964" s="24"/>
      <c r="AE1964" s="238" t="s">
        <v>4917</v>
      </c>
      <c r="AF1964">
        <v>79081361571</v>
      </c>
      <c r="AG1964" s="238" t="s">
        <v>4918</v>
      </c>
      <c r="AH1964" s="238" t="s">
        <v>1212</v>
      </c>
      <c r="AI1964" s="238" t="s">
        <v>135</v>
      </c>
      <c r="AJ1964" s="238" t="s">
        <v>3901</v>
      </c>
      <c r="AK1964" s="238" t="s">
        <v>1167</v>
      </c>
      <c r="AL1964" t="s">
        <v>8715</v>
      </c>
      <c r="AM1964" t="s">
        <v>1167</v>
      </c>
    </row>
    <row r="1965" spans="1:39" hidden="1" x14ac:dyDescent="0.25">
      <c r="A1965">
        <v>1962</v>
      </c>
      <c r="B1965">
        <v>7</v>
      </c>
      <c r="C1965" s="24">
        <v>45155</v>
      </c>
      <c r="D1965" s="238" t="s">
        <v>91</v>
      </c>
      <c r="E1965" s="238" t="s">
        <v>6</v>
      </c>
      <c r="F1965">
        <v>3</v>
      </c>
      <c r="G1965">
        <v>2</v>
      </c>
      <c r="H1965">
        <v>3</v>
      </c>
      <c r="I1965" s="238" t="s">
        <v>42</v>
      </c>
      <c r="J1965">
        <v>35.54</v>
      </c>
      <c r="K1965" s="238" t="s">
        <v>38</v>
      </c>
      <c r="L1965">
        <v>3957041.01</v>
      </c>
      <c r="M1965">
        <v>0</v>
      </c>
      <c r="N1965">
        <v>3957041.01</v>
      </c>
      <c r="O1965">
        <v>111340.48987056837</v>
      </c>
      <c r="P1965">
        <v>550870</v>
      </c>
      <c r="Q1965">
        <v>3406171.01</v>
      </c>
      <c r="R1965">
        <v>95840.489870568374</v>
      </c>
      <c r="S1965" s="238" t="s">
        <v>137</v>
      </c>
      <c r="T1965" s="238" t="s">
        <v>1167</v>
      </c>
      <c r="V1965" t="s">
        <v>4092</v>
      </c>
      <c r="W1965" s="24">
        <v>45151</v>
      </c>
      <c r="X1965" s="238" t="s">
        <v>4919</v>
      </c>
      <c r="Y1965" s="238" t="s">
        <v>39</v>
      </c>
      <c r="Z1965" s="238" t="s">
        <v>1340</v>
      </c>
      <c r="AA1965" t="s">
        <v>3113</v>
      </c>
      <c r="AB1965" s="238" t="s">
        <v>3246</v>
      </c>
      <c r="AC1965" t="s">
        <v>3079</v>
      </c>
      <c r="AD1965" s="24"/>
      <c r="AE1965" s="238" t="s">
        <v>4920</v>
      </c>
      <c r="AF1965">
        <v>79228103807</v>
      </c>
      <c r="AG1965" s="238" t="s">
        <v>4921</v>
      </c>
      <c r="AH1965" s="238" t="s">
        <v>1212</v>
      </c>
      <c r="AI1965" s="238" t="s">
        <v>135</v>
      </c>
      <c r="AJ1965" s="238" t="s">
        <v>399</v>
      </c>
      <c r="AK1965" s="238" t="s">
        <v>3345</v>
      </c>
      <c r="AL1965" t="s">
        <v>8715</v>
      </c>
      <c r="AM1965" t="s">
        <v>1167</v>
      </c>
    </row>
    <row r="1966" spans="1:39" hidden="1" x14ac:dyDescent="0.25">
      <c r="A1966">
        <v>1963</v>
      </c>
      <c r="B1966">
        <v>8</v>
      </c>
      <c r="C1966" s="24">
        <v>45157</v>
      </c>
      <c r="D1966" s="238" t="s">
        <v>91</v>
      </c>
      <c r="E1966" s="238" t="s">
        <v>5</v>
      </c>
      <c r="F1966">
        <v>8</v>
      </c>
      <c r="G1966">
        <v>14</v>
      </c>
      <c r="H1966">
        <v>224</v>
      </c>
      <c r="I1966" s="238" t="s">
        <v>42</v>
      </c>
      <c r="J1966">
        <v>33.79</v>
      </c>
      <c r="K1966" s="238" t="s">
        <v>38</v>
      </c>
      <c r="L1966">
        <v>3791379.75</v>
      </c>
      <c r="M1966">
        <v>0</v>
      </c>
      <c r="N1966">
        <v>3791379.75</v>
      </c>
      <c r="O1966">
        <v>112204.19502811483</v>
      </c>
      <c r="P1966">
        <v>523745</v>
      </c>
      <c r="Q1966">
        <v>3267634.75</v>
      </c>
      <c r="R1966">
        <v>96704.195028114831</v>
      </c>
      <c r="S1966" s="238" t="s">
        <v>137</v>
      </c>
      <c r="T1966" s="238" t="s">
        <v>4360</v>
      </c>
      <c r="U1966">
        <v>66686.42</v>
      </c>
      <c r="V1966" t="s">
        <v>4091</v>
      </c>
      <c r="W1966" s="24">
        <v>45152</v>
      </c>
      <c r="X1966" s="238" t="s">
        <v>4922</v>
      </c>
      <c r="Y1966" s="238" t="s">
        <v>39</v>
      </c>
      <c r="Z1966" s="238" t="s">
        <v>1340</v>
      </c>
      <c r="AA1966" t="s">
        <v>3113</v>
      </c>
      <c r="AB1966" s="238" t="s">
        <v>3246</v>
      </c>
      <c r="AC1966" t="s">
        <v>3079</v>
      </c>
      <c r="AD1966" s="24"/>
      <c r="AE1966" s="238" t="s">
        <v>1231</v>
      </c>
      <c r="AF1966">
        <v>79272019224</v>
      </c>
      <c r="AG1966" s="238" t="s">
        <v>1232</v>
      </c>
      <c r="AH1966" s="238" t="s">
        <v>1171</v>
      </c>
      <c r="AI1966" s="238" t="s">
        <v>3082</v>
      </c>
      <c r="AJ1966" s="238" t="s">
        <v>399</v>
      </c>
      <c r="AK1966" s="238" t="s">
        <v>141</v>
      </c>
      <c r="AL1966" t="s">
        <v>8715</v>
      </c>
      <c r="AM1966" t="s">
        <v>1167</v>
      </c>
    </row>
    <row r="1967" spans="1:39" hidden="1" x14ac:dyDescent="0.25">
      <c r="A1967">
        <v>1964</v>
      </c>
      <c r="B1967">
        <v>9</v>
      </c>
      <c r="C1967" s="24">
        <v>45156</v>
      </c>
      <c r="D1967" s="238" t="s">
        <v>91</v>
      </c>
      <c r="E1967" s="238" t="s">
        <v>16</v>
      </c>
      <c r="F1967">
        <v>4</v>
      </c>
      <c r="G1967">
        <v>10</v>
      </c>
      <c r="H1967">
        <v>300</v>
      </c>
      <c r="I1967" s="238" t="s">
        <v>43</v>
      </c>
      <c r="J1967">
        <v>58.55</v>
      </c>
      <c r="K1967" s="238" t="s">
        <v>37</v>
      </c>
      <c r="L1967">
        <v>5203479.0199999996</v>
      </c>
      <c r="M1967">
        <v>0</v>
      </c>
      <c r="N1967">
        <v>5203479.0199999996</v>
      </c>
      <c r="O1967">
        <v>88872.4</v>
      </c>
      <c r="P1967">
        <v>263475</v>
      </c>
      <c r="Q1967">
        <v>4940004.0199999996</v>
      </c>
      <c r="R1967">
        <v>84372.4</v>
      </c>
      <c r="S1967" s="238" t="s">
        <v>137</v>
      </c>
      <c r="T1967" s="238" t="s">
        <v>1167</v>
      </c>
      <c r="V1967" t="s">
        <v>4091</v>
      </c>
      <c r="W1967" s="24">
        <v>45150</v>
      </c>
      <c r="X1967" s="238" t="s">
        <v>4923</v>
      </c>
      <c r="Y1967" s="238" t="s">
        <v>39</v>
      </c>
      <c r="Z1967" s="238" t="s">
        <v>1340</v>
      </c>
      <c r="AA1967" t="s">
        <v>3113</v>
      </c>
      <c r="AB1967" s="238" t="s">
        <v>3246</v>
      </c>
      <c r="AC1967" t="s">
        <v>3079</v>
      </c>
      <c r="AD1967" s="24"/>
      <c r="AE1967" s="238" t="s">
        <v>4924</v>
      </c>
      <c r="AF1967">
        <v>79171468575</v>
      </c>
      <c r="AG1967" s="238" t="s">
        <v>4925</v>
      </c>
      <c r="AH1967" s="238" t="s">
        <v>1212</v>
      </c>
      <c r="AI1967" s="238" t="s">
        <v>3074</v>
      </c>
      <c r="AJ1967" s="238" t="s">
        <v>126</v>
      </c>
      <c r="AK1967" s="238" t="s">
        <v>141</v>
      </c>
      <c r="AL1967" t="s">
        <v>8715</v>
      </c>
      <c r="AM1967" t="s">
        <v>1167</v>
      </c>
    </row>
    <row r="1968" spans="1:39" hidden="1" x14ac:dyDescent="0.25">
      <c r="A1968">
        <v>1965</v>
      </c>
      <c r="B1968">
        <v>10</v>
      </c>
      <c r="C1968" s="24">
        <v>45156</v>
      </c>
      <c r="D1968" s="238" t="s">
        <v>91</v>
      </c>
      <c r="E1968" s="238" t="s">
        <v>16</v>
      </c>
      <c r="F1968">
        <v>3</v>
      </c>
      <c r="G1968">
        <v>21</v>
      </c>
      <c r="H1968">
        <v>376</v>
      </c>
      <c r="I1968" s="238" t="s">
        <v>4052</v>
      </c>
      <c r="J1968">
        <v>36.450000000000003</v>
      </c>
      <c r="K1968" s="238" t="s">
        <v>37</v>
      </c>
      <c r="L1968">
        <v>3326878.73</v>
      </c>
      <c r="M1968">
        <v>0</v>
      </c>
      <c r="N1968">
        <v>3326878.73</v>
      </c>
      <c r="O1968">
        <v>91272.393141289431</v>
      </c>
      <c r="P1968">
        <v>164025</v>
      </c>
      <c r="Q1968">
        <v>3162853.73</v>
      </c>
      <c r="R1968">
        <v>86772.393141289431</v>
      </c>
      <c r="S1968" s="238" t="s">
        <v>137</v>
      </c>
      <c r="T1968" s="238" t="s">
        <v>350</v>
      </c>
      <c r="U1968">
        <v>351428.19</v>
      </c>
      <c r="V1968" t="s">
        <v>4092</v>
      </c>
      <c r="W1968" s="24">
        <v>45155</v>
      </c>
      <c r="X1968" s="238" t="s">
        <v>4926</v>
      </c>
      <c r="Y1968" s="238" t="s">
        <v>39</v>
      </c>
      <c r="Z1968" s="238" t="s">
        <v>1340</v>
      </c>
      <c r="AA1968" t="s">
        <v>3113</v>
      </c>
      <c r="AB1968" s="238" t="s">
        <v>3246</v>
      </c>
      <c r="AC1968" t="s">
        <v>3079</v>
      </c>
      <c r="AD1968" s="24"/>
      <c r="AE1968" s="238" t="s">
        <v>4927</v>
      </c>
      <c r="AF1968">
        <v>79991712344</v>
      </c>
      <c r="AG1968" s="238" t="s">
        <v>4928</v>
      </c>
      <c r="AH1968" s="238" t="s">
        <v>3071</v>
      </c>
      <c r="AI1968" s="238" t="s">
        <v>3114</v>
      </c>
      <c r="AJ1968" s="238" t="s">
        <v>399</v>
      </c>
      <c r="AK1968" s="238" t="s">
        <v>141</v>
      </c>
      <c r="AL1968" t="s">
        <v>8715</v>
      </c>
      <c r="AM1968" t="s">
        <v>1167</v>
      </c>
    </row>
    <row r="1969" spans="1:39" hidden="1" x14ac:dyDescent="0.25">
      <c r="A1969">
        <v>1966</v>
      </c>
      <c r="B1969">
        <v>11</v>
      </c>
      <c r="C1969" s="24">
        <v>45159</v>
      </c>
      <c r="D1969" s="238" t="s">
        <v>91</v>
      </c>
      <c r="E1969" s="238" t="s">
        <v>15</v>
      </c>
      <c r="F1969">
        <v>1</v>
      </c>
      <c r="G1969">
        <v>15</v>
      </c>
      <c r="H1969">
        <v>519</v>
      </c>
      <c r="I1969" s="238" t="s">
        <v>42</v>
      </c>
      <c r="J1969">
        <v>39.74</v>
      </c>
      <c r="K1969" s="238" t="s">
        <v>38</v>
      </c>
      <c r="L1969">
        <v>4386598.5599999996</v>
      </c>
      <c r="M1969">
        <v>0</v>
      </c>
      <c r="N1969">
        <v>4386598.5599999996</v>
      </c>
      <c r="O1969">
        <v>110382.44992450929</v>
      </c>
      <c r="P1969">
        <v>615970</v>
      </c>
      <c r="Q1969">
        <v>3770628.5599999996</v>
      </c>
      <c r="R1969">
        <v>94882.449924509288</v>
      </c>
      <c r="S1969" s="238" t="s">
        <v>137</v>
      </c>
      <c r="T1969" s="238" t="s">
        <v>1167</v>
      </c>
      <c r="V1969" t="s">
        <v>4092</v>
      </c>
      <c r="W1969" s="24">
        <v>45150</v>
      </c>
      <c r="X1969" s="238" t="s">
        <v>4929</v>
      </c>
      <c r="Y1969" s="238" t="s">
        <v>39</v>
      </c>
      <c r="Z1969" s="238" t="s">
        <v>1340</v>
      </c>
      <c r="AA1969" t="s">
        <v>3113</v>
      </c>
      <c r="AB1969" s="238" t="s">
        <v>3246</v>
      </c>
      <c r="AC1969" t="s">
        <v>3079</v>
      </c>
      <c r="AD1969" s="24"/>
      <c r="AE1969" s="238" t="s">
        <v>4930</v>
      </c>
      <c r="AF1969">
        <v>79033349532</v>
      </c>
      <c r="AG1969" s="238" t="s">
        <v>4931</v>
      </c>
      <c r="AH1969" s="238" t="s">
        <v>1212</v>
      </c>
      <c r="AI1969" s="238" t="s">
        <v>135</v>
      </c>
      <c r="AJ1969" s="238" t="s">
        <v>4177</v>
      </c>
      <c r="AK1969" s="238" t="s">
        <v>141</v>
      </c>
      <c r="AL1969" t="s">
        <v>8715</v>
      </c>
      <c r="AM1969" t="s">
        <v>1167</v>
      </c>
    </row>
    <row r="1970" spans="1:39" hidden="1" x14ac:dyDescent="0.25">
      <c r="A1970">
        <v>1967</v>
      </c>
      <c r="B1970">
        <v>12</v>
      </c>
      <c r="C1970" s="24">
        <v>45161</v>
      </c>
      <c r="D1970" s="238" t="s">
        <v>91</v>
      </c>
      <c r="E1970" s="238" t="s">
        <v>16</v>
      </c>
      <c r="F1970">
        <v>5</v>
      </c>
      <c r="G1970">
        <v>24</v>
      </c>
      <c r="H1970">
        <v>399</v>
      </c>
      <c r="I1970" s="238" t="s">
        <v>43</v>
      </c>
      <c r="J1970">
        <v>56.7</v>
      </c>
      <c r="K1970" s="238" t="s">
        <v>38</v>
      </c>
      <c r="L1970">
        <v>6034330.9500000002</v>
      </c>
      <c r="M1970">
        <v>0</v>
      </c>
      <c r="N1970">
        <v>6034330.9500000002</v>
      </c>
      <c r="O1970">
        <v>106425.58994708995</v>
      </c>
      <c r="P1970">
        <v>878850</v>
      </c>
      <c r="Q1970">
        <v>5155480.95</v>
      </c>
      <c r="R1970">
        <v>90925.589947089946</v>
      </c>
      <c r="S1970" s="238" t="s">
        <v>137</v>
      </c>
      <c r="T1970" s="238" t="s">
        <v>1167</v>
      </c>
      <c r="V1970" t="s">
        <v>4092</v>
      </c>
      <c r="W1970" s="24">
        <v>45147</v>
      </c>
      <c r="X1970" s="238" t="s">
        <v>4932</v>
      </c>
      <c r="Y1970" s="238" t="s">
        <v>39</v>
      </c>
      <c r="Z1970" s="238" t="s">
        <v>1340</v>
      </c>
      <c r="AA1970" t="s">
        <v>3113</v>
      </c>
      <c r="AB1970" s="238" t="s">
        <v>3246</v>
      </c>
      <c r="AC1970" t="s">
        <v>3079</v>
      </c>
      <c r="AD1970" s="24"/>
      <c r="AE1970" s="238" t="s">
        <v>4933</v>
      </c>
      <c r="AF1970">
        <v>79272101156</v>
      </c>
      <c r="AG1970" s="238" t="s">
        <v>4934</v>
      </c>
      <c r="AH1970" s="238" t="s">
        <v>1212</v>
      </c>
      <c r="AI1970" s="238" t="s">
        <v>135</v>
      </c>
      <c r="AJ1970" s="238" t="s">
        <v>3901</v>
      </c>
      <c r="AK1970" s="238" t="s">
        <v>141</v>
      </c>
      <c r="AL1970" t="s">
        <v>8715</v>
      </c>
      <c r="AM1970" t="s">
        <v>1167</v>
      </c>
    </row>
    <row r="1971" spans="1:39" hidden="1" x14ac:dyDescent="0.25">
      <c r="A1971">
        <v>1968</v>
      </c>
      <c r="B1971">
        <v>13</v>
      </c>
      <c r="C1971" s="24">
        <v>45161</v>
      </c>
      <c r="D1971" s="238" t="s">
        <v>91</v>
      </c>
      <c r="E1971" s="238" t="s">
        <v>16</v>
      </c>
      <c r="F1971">
        <v>1</v>
      </c>
      <c r="G1971">
        <v>19</v>
      </c>
      <c r="H1971">
        <v>360</v>
      </c>
      <c r="I1971" s="238" t="s">
        <v>4052</v>
      </c>
      <c r="J1971">
        <v>29.35</v>
      </c>
      <c r="K1971" s="238" t="s">
        <v>38</v>
      </c>
      <c r="L1971">
        <v>3273506.08</v>
      </c>
      <c r="M1971">
        <v>0</v>
      </c>
      <c r="N1971">
        <v>3273506.08</v>
      </c>
      <c r="O1971">
        <v>111533.4269165247</v>
      </c>
      <c r="P1971">
        <v>454925</v>
      </c>
      <c r="Q1971">
        <v>2818581.08</v>
      </c>
      <c r="R1971">
        <v>96033.426916524695</v>
      </c>
      <c r="S1971" s="238" t="s">
        <v>137</v>
      </c>
      <c r="T1971" s="238" t="s">
        <v>978</v>
      </c>
      <c r="U1971">
        <v>179909.43063829793</v>
      </c>
      <c r="V1971" t="s">
        <v>4092</v>
      </c>
      <c r="W1971" s="24">
        <v>45149</v>
      </c>
      <c r="X1971" s="238" t="s">
        <v>4935</v>
      </c>
      <c r="Y1971" s="238" t="s">
        <v>39</v>
      </c>
      <c r="Z1971" s="238" t="s">
        <v>1340</v>
      </c>
      <c r="AA1971" t="s">
        <v>3113</v>
      </c>
      <c r="AB1971" s="238" t="s">
        <v>3246</v>
      </c>
      <c r="AC1971" t="s">
        <v>3079</v>
      </c>
      <c r="AD1971" s="24"/>
      <c r="AE1971" s="238" t="s">
        <v>4936</v>
      </c>
      <c r="AF1971">
        <v>79170172496</v>
      </c>
      <c r="AG1971" s="238" t="s">
        <v>4937</v>
      </c>
      <c r="AH1971" s="238" t="s">
        <v>1171</v>
      </c>
      <c r="AI1971" s="238" t="s">
        <v>3074</v>
      </c>
      <c r="AJ1971" s="238" t="s">
        <v>126</v>
      </c>
      <c r="AK1971" s="238" t="s">
        <v>141</v>
      </c>
      <c r="AL1971" t="s">
        <v>8715</v>
      </c>
      <c r="AM1971" t="s">
        <v>1167</v>
      </c>
    </row>
    <row r="1972" spans="1:39" hidden="1" x14ac:dyDescent="0.25">
      <c r="A1972">
        <v>1969</v>
      </c>
      <c r="B1972">
        <v>14</v>
      </c>
      <c r="C1972" s="24">
        <v>45162</v>
      </c>
      <c r="D1972" s="238" t="s">
        <v>91</v>
      </c>
      <c r="E1972" s="238" t="s">
        <v>5</v>
      </c>
      <c r="F1972">
        <v>6</v>
      </c>
      <c r="G1972">
        <v>5</v>
      </c>
      <c r="H1972">
        <v>150</v>
      </c>
      <c r="I1972" s="238" t="s">
        <v>42</v>
      </c>
      <c r="J1972">
        <v>36.659999999999997</v>
      </c>
      <c r="K1972" s="238" t="s">
        <v>36</v>
      </c>
      <c r="L1972">
        <v>3547958.47</v>
      </c>
      <c r="M1972">
        <v>0</v>
      </c>
      <c r="N1972">
        <v>3547958.47</v>
      </c>
      <c r="O1972">
        <v>96780.100109110761</v>
      </c>
      <c r="P1972">
        <v>0</v>
      </c>
      <c r="Q1972">
        <v>3547958.47</v>
      </c>
      <c r="R1972">
        <v>96780.100109110761</v>
      </c>
      <c r="S1972" s="238" t="s">
        <v>137</v>
      </c>
      <c r="T1972" s="238" t="s">
        <v>1167</v>
      </c>
      <c r="V1972" t="s">
        <v>4091</v>
      </c>
      <c r="W1972" s="24">
        <v>45144</v>
      </c>
      <c r="X1972" s="238" t="s">
        <v>4938</v>
      </c>
      <c r="Y1972" s="238" t="s">
        <v>39</v>
      </c>
      <c r="Z1972" s="238" t="s">
        <v>1340</v>
      </c>
      <c r="AA1972" t="s">
        <v>3113</v>
      </c>
      <c r="AB1972" s="238" t="s">
        <v>3246</v>
      </c>
      <c r="AC1972" t="s">
        <v>3079</v>
      </c>
      <c r="AD1972" s="24"/>
      <c r="AE1972" s="238" t="s">
        <v>4939</v>
      </c>
      <c r="AF1972">
        <v>79966207801</v>
      </c>
      <c r="AG1972" s="238" t="s">
        <v>4940</v>
      </c>
      <c r="AH1972" s="238" t="s">
        <v>1171</v>
      </c>
      <c r="AI1972" s="238" t="s">
        <v>3094</v>
      </c>
      <c r="AJ1972" s="238" t="s">
        <v>4177</v>
      </c>
      <c r="AK1972" s="238" t="s">
        <v>141</v>
      </c>
      <c r="AL1972" t="s">
        <v>8715</v>
      </c>
      <c r="AM1972" t="s">
        <v>1167</v>
      </c>
    </row>
    <row r="1973" spans="1:39" hidden="1" x14ac:dyDescent="0.25">
      <c r="A1973">
        <v>1970</v>
      </c>
      <c r="B1973">
        <v>15</v>
      </c>
      <c r="C1973" s="24">
        <v>45162</v>
      </c>
      <c r="D1973" s="238" t="s">
        <v>27</v>
      </c>
      <c r="E1973" s="238" t="s">
        <v>16</v>
      </c>
      <c r="F1973">
        <v>1</v>
      </c>
      <c r="G1973">
        <v>1</v>
      </c>
      <c r="H1973">
        <v>8</v>
      </c>
      <c r="I1973" s="238" t="s">
        <v>3946</v>
      </c>
      <c r="J1973">
        <v>84.7</v>
      </c>
      <c r="K1973" s="238" t="s">
        <v>36</v>
      </c>
      <c r="L1973">
        <v>11011000</v>
      </c>
      <c r="M1973">
        <v>0</v>
      </c>
      <c r="N1973">
        <v>11011000</v>
      </c>
      <c r="O1973">
        <v>130000</v>
      </c>
      <c r="P1973">
        <v>0</v>
      </c>
      <c r="Q1973">
        <v>11011000</v>
      </c>
      <c r="R1973">
        <v>130000</v>
      </c>
      <c r="S1973" s="238" t="s">
        <v>121</v>
      </c>
      <c r="T1973" s="238" t="s">
        <v>1167</v>
      </c>
      <c r="V1973" t="s">
        <v>1167</v>
      </c>
      <c r="W1973" s="24">
        <v>45148</v>
      </c>
      <c r="X1973" s="238" t="s">
        <v>4353</v>
      </c>
      <c r="Y1973" s="238" t="s">
        <v>3946</v>
      </c>
      <c r="Z1973" s="238" t="s">
        <v>1340</v>
      </c>
      <c r="AA1973" t="s">
        <v>3474</v>
      </c>
      <c r="AB1973" s="238" t="s">
        <v>3124</v>
      </c>
      <c r="AC1973" t="s">
        <v>1167</v>
      </c>
      <c r="AD1973" s="24"/>
      <c r="AE1973" s="238" t="s">
        <v>4917</v>
      </c>
      <c r="AF1973">
        <v>79081361571</v>
      </c>
      <c r="AG1973" s="238" t="s">
        <v>4918</v>
      </c>
      <c r="AH1973" s="238" t="s">
        <v>1197</v>
      </c>
      <c r="AI1973" s="238" t="s">
        <v>135</v>
      </c>
      <c r="AJ1973" s="238" t="s">
        <v>3901</v>
      </c>
      <c r="AK1973" s="238" t="s">
        <v>1167</v>
      </c>
      <c r="AL1973" t="s">
        <v>8715</v>
      </c>
      <c r="AM1973" t="s">
        <v>1167</v>
      </c>
    </row>
    <row r="1974" spans="1:39" hidden="1" x14ac:dyDescent="0.25">
      <c r="A1974">
        <v>1971</v>
      </c>
      <c r="B1974">
        <v>16</v>
      </c>
      <c r="C1974" s="24">
        <v>45162</v>
      </c>
      <c r="D1974" s="238" t="s">
        <v>91</v>
      </c>
      <c r="E1974" s="238" t="s">
        <v>15</v>
      </c>
      <c r="F1974">
        <v>1</v>
      </c>
      <c r="G1974">
        <v>4</v>
      </c>
      <c r="H1974">
        <v>420</v>
      </c>
      <c r="I1974" s="238" t="s">
        <v>42</v>
      </c>
      <c r="J1974">
        <v>39.74</v>
      </c>
      <c r="K1974" s="238" t="s">
        <v>38</v>
      </c>
      <c r="L1974">
        <v>4349990.87</v>
      </c>
      <c r="M1974">
        <v>0</v>
      </c>
      <c r="N1974">
        <v>4349990.87</v>
      </c>
      <c r="O1974">
        <v>109461.27000503271</v>
      </c>
      <c r="P1974">
        <v>615970</v>
      </c>
      <c r="Q1974">
        <v>3734020.87</v>
      </c>
      <c r="R1974">
        <v>93961.270005032711</v>
      </c>
      <c r="S1974" s="238" t="s">
        <v>137</v>
      </c>
      <c r="T1974" s="238" t="s">
        <v>1167</v>
      </c>
      <c r="V1974" t="s">
        <v>4092</v>
      </c>
      <c r="W1974" s="24">
        <v>45155</v>
      </c>
      <c r="X1974" s="238" t="s">
        <v>4941</v>
      </c>
      <c r="Y1974" s="238" t="s">
        <v>39</v>
      </c>
      <c r="Z1974" s="238" t="s">
        <v>1340</v>
      </c>
      <c r="AA1974" t="s">
        <v>3113</v>
      </c>
      <c r="AB1974" s="238" t="s">
        <v>3246</v>
      </c>
      <c r="AC1974" t="s">
        <v>3079</v>
      </c>
      <c r="AD1974" s="24"/>
      <c r="AE1974" s="238" t="s">
        <v>4942</v>
      </c>
      <c r="AF1974">
        <v>79052665037</v>
      </c>
      <c r="AG1974" s="238" t="s">
        <v>4943</v>
      </c>
      <c r="AH1974" s="238" t="s">
        <v>1212</v>
      </c>
      <c r="AI1974" s="238" t="s">
        <v>135</v>
      </c>
      <c r="AJ1974" s="238" t="s">
        <v>126</v>
      </c>
      <c r="AK1974" s="238" t="s">
        <v>3345</v>
      </c>
      <c r="AL1974" t="s">
        <v>8715</v>
      </c>
      <c r="AM1974" t="s">
        <v>1167</v>
      </c>
    </row>
    <row r="1975" spans="1:39" hidden="1" x14ac:dyDescent="0.25">
      <c r="A1975">
        <v>1972</v>
      </c>
      <c r="B1975">
        <v>17</v>
      </c>
      <c r="C1975" s="24">
        <v>45162</v>
      </c>
      <c r="D1975" s="238" t="s">
        <v>91</v>
      </c>
      <c r="E1975" s="238" t="s">
        <v>15</v>
      </c>
      <c r="F1975">
        <v>6</v>
      </c>
      <c r="G1975">
        <v>4</v>
      </c>
      <c r="H1975">
        <v>425</v>
      </c>
      <c r="I1975" s="238" t="s">
        <v>43</v>
      </c>
      <c r="J1975">
        <v>58.62</v>
      </c>
      <c r="K1975" s="238" t="s">
        <v>38</v>
      </c>
      <c r="L1975">
        <v>5706142.79</v>
      </c>
      <c r="M1975">
        <v>0</v>
      </c>
      <c r="N1975">
        <v>5706142.79</v>
      </c>
      <c r="O1975">
        <v>97341.22807915388</v>
      </c>
      <c r="P1975">
        <v>908610</v>
      </c>
      <c r="Q1975">
        <v>4797532.79</v>
      </c>
      <c r="R1975">
        <v>81841.22807915388</v>
      </c>
      <c r="S1975" s="238" t="s">
        <v>137</v>
      </c>
      <c r="T1975" s="238" t="s">
        <v>3540</v>
      </c>
      <c r="U1975">
        <v>148377.29999999999</v>
      </c>
      <c r="V1975" t="s">
        <v>4091</v>
      </c>
      <c r="W1975" s="24">
        <v>45156</v>
      </c>
      <c r="X1975" s="238" t="s">
        <v>4944</v>
      </c>
      <c r="Y1975" s="238" t="s">
        <v>39</v>
      </c>
      <c r="Z1975" s="238" t="s">
        <v>1340</v>
      </c>
      <c r="AA1975" t="s">
        <v>3113</v>
      </c>
      <c r="AB1975" s="238" t="s">
        <v>3246</v>
      </c>
      <c r="AC1975" t="s">
        <v>3079</v>
      </c>
      <c r="AD1975" s="24"/>
      <c r="AE1975" s="238" t="s">
        <v>4945</v>
      </c>
      <c r="AF1975">
        <v>79139893857</v>
      </c>
      <c r="AG1975" s="238" t="s">
        <v>4946</v>
      </c>
      <c r="AH1975" s="238" t="s">
        <v>1171</v>
      </c>
      <c r="AI1975" s="238" t="s">
        <v>3090</v>
      </c>
      <c r="AJ1975" s="238" t="s">
        <v>4177</v>
      </c>
      <c r="AK1975" s="238" t="s">
        <v>141</v>
      </c>
      <c r="AL1975" t="s">
        <v>8715</v>
      </c>
      <c r="AM1975" t="s">
        <v>1167</v>
      </c>
    </row>
    <row r="1976" spans="1:39" hidden="1" x14ac:dyDescent="0.25">
      <c r="A1976">
        <v>1973</v>
      </c>
      <c r="B1976">
        <v>18</v>
      </c>
      <c r="C1976" s="24">
        <v>45162</v>
      </c>
      <c r="D1976" s="238" t="s">
        <v>91</v>
      </c>
      <c r="E1976" s="238" t="s">
        <v>16</v>
      </c>
      <c r="F1976">
        <v>1</v>
      </c>
      <c r="G1976">
        <v>12</v>
      </c>
      <c r="H1976">
        <v>311</v>
      </c>
      <c r="I1976" s="238" t="s">
        <v>4052</v>
      </c>
      <c r="J1976">
        <v>29.35</v>
      </c>
      <c r="K1976" s="238" t="s">
        <v>37</v>
      </c>
      <c r="L1976">
        <v>2822538.83</v>
      </c>
      <c r="M1976">
        <v>0</v>
      </c>
      <c r="N1976">
        <v>2822538.83</v>
      </c>
      <c r="O1976">
        <v>96168.273594548547</v>
      </c>
      <c r="P1976">
        <v>132075</v>
      </c>
      <c r="Q1976">
        <v>2690463.83</v>
      </c>
      <c r="R1976">
        <v>91668.273594548547</v>
      </c>
      <c r="S1976" s="238" t="s">
        <v>137</v>
      </c>
      <c r="T1976" s="238" t="s">
        <v>978</v>
      </c>
      <c r="U1976">
        <v>171731.73360000001</v>
      </c>
      <c r="V1976" t="s">
        <v>4092</v>
      </c>
      <c r="W1976" s="24">
        <v>45160</v>
      </c>
      <c r="X1976" s="238" t="s">
        <v>4947</v>
      </c>
      <c r="Y1976" s="238" t="s">
        <v>39</v>
      </c>
      <c r="Z1976" s="238" t="s">
        <v>1340</v>
      </c>
      <c r="AA1976" t="s">
        <v>3113</v>
      </c>
      <c r="AB1976" s="238" t="s">
        <v>3246</v>
      </c>
      <c r="AC1976" t="s">
        <v>3079</v>
      </c>
      <c r="AD1976" s="24"/>
      <c r="AE1976" s="238" t="s">
        <v>4948</v>
      </c>
      <c r="AF1976">
        <v>79277755659</v>
      </c>
      <c r="AG1976" s="238" t="s">
        <v>4949</v>
      </c>
      <c r="AH1976" s="238" t="s">
        <v>1171</v>
      </c>
      <c r="AI1976" s="238" t="s">
        <v>3074</v>
      </c>
      <c r="AJ1976" s="238" t="s">
        <v>399</v>
      </c>
      <c r="AK1976" s="238" t="s">
        <v>141</v>
      </c>
      <c r="AL1976" t="s">
        <v>8715</v>
      </c>
      <c r="AM1976" t="s">
        <v>1167</v>
      </c>
    </row>
    <row r="1977" spans="1:39" hidden="1" x14ac:dyDescent="0.25">
      <c r="A1977">
        <v>1974</v>
      </c>
      <c r="B1977">
        <v>19</v>
      </c>
      <c r="C1977" s="24">
        <v>45162</v>
      </c>
      <c r="D1977" s="238" t="s">
        <v>91</v>
      </c>
      <c r="E1977" s="238" t="s">
        <v>16</v>
      </c>
      <c r="F1977">
        <v>6</v>
      </c>
      <c r="G1977">
        <v>19</v>
      </c>
      <c r="H1977">
        <v>365</v>
      </c>
      <c r="I1977" s="238" t="s">
        <v>44</v>
      </c>
      <c r="J1977">
        <v>72.510000000000005</v>
      </c>
      <c r="K1977" s="238" t="s">
        <v>37</v>
      </c>
      <c r="L1977">
        <v>6115948.0099999998</v>
      </c>
      <c r="M1977">
        <v>0</v>
      </c>
      <c r="N1977">
        <v>6115948.0099999998</v>
      </c>
      <c r="O1977">
        <v>84346.269617983722</v>
      </c>
      <c r="P1977">
        <v>326295</v>
      </c>
      <c r="Q1977">
        <v>5789653.0099999998</v>
      </c>
      <c r="R1977">
        <v>79846.269617983722</v>
      </c>
      <c r="S1977" s="238" t="s">
        <v>137</v>
      </c>
      <c r="T1977" s="238" t="s">
        <v>978</v>
      </c>
      <c r="U1977">
        <v>369552.32</v>
      </c>
      <c r="V1977" t="s">
        <v>4092</v>
      </c>
      <c r="W1977" s="24">
        <v>45159</v>
      </c>
      <c r="X1977" s="238" t="s">
        <v>4950</v>
      </c>
      <c r="Y1977" s="238" t="s">
        <v>39</v>
      </c>
      <c r="Z1977" s="238" t="s">
        <v>1340</v>
      </c>
      <c r="AA1977" t="s">
        <v>3113</v>
      </c>
      <c r="AB1977" s="238" t="s">
        <v>3246</v>
      </c>
      <c r="AC1977" t="s">
        <v>3079</v>
      </c>
      <c r="AD1977" s="24"/>
      <c r="AE1977" s="238" t="s">
        <v>4951</v>
      </c>
      <c r="AF1977">
        <v>79171561384</v>
      </c>
      <c r="AG1977" s="238" t="s">
        <v>4952</v>
      </c>
      <c r="AH1977" s="238" t="s">
        <v>1212</v>
      </c>
      <c r="AI1977" s="238" t="s">
        <v>3097</v>
      </c>
      <c r="AJ1977" s="238" t="s">
        <v>130</v>
      </c>
      <c r="AK1977" s="238" t="s">
        <v>3345</v>
      </c>
      <c r="AL1977" t="s">
        <v>8715</v>
      </c>
      <c r="AM1977" t="s">
        <v>1167</v>
      </c>
    </row>
    <row r="1978" spans="1:39" hidden="1" x14ac:dyDescent="0.25">
      <c r="A1978">
        <v>1975</v>
      </c>
      <c r="B1978">
        <v>20</v>
      </c>
      <c r="C1978" s="24">
        <v>45163</v>
      </c>
      <c r="D1978" s="238" t="s">
        <v>91</v>
      </c>
      <c r="E1978" s="238" t="s">
        <v>15</v>
      </c>
      <c r="F1978">
        <v>2</v>
      </c>
      <c r="G1978">
        <v>6</v>
      </c>
      <c r="H1978">
        <v>439</v>
      </c>
      <c r="I1978" s="238" t="s">
        <v>42</v>
      </c>
      <c r="J1978">
        <v>38.6</v>
      </c>
      <c r="K1978" s="238" t="s">
        <v>38</v>
      </c>
      <c r="L1978">
        <v>4278442.91</v>
      </c>
      <c r="M1978">
        <v>0</v>
      </c>
      <c r="N1978">
        <v>4278442.91</v>
      </c>
      <c r="O1978">
        <v>110840.48989637305</v>
      </c>
      <c r="P1978">
        <v>579000</v>
      </c>
      <c r="Q1978">
        <v>3699442.91</v>
      </c>
      <c r="R1978">
        <v>95840.489896373052</v>
      </c>
      <c r="S1978" s="238" t="s">
        <v>137</v>
      </c>
      <c r="T1978" s="238" t="s">
        <v>1167</v>
      </c>
      <c r="V1978" t="s">
        <v>4092</v>
      </c>
      <c r="W1978" s="24">
        <v>45156</v>
      </c>
      <c r="X1978" s="238" t="s">
        <v>4953</v>
      </c>
      <c r="Y1978" s="238" t="s">
        <v>39</v>
      </c>
      <c r="Z1978" s="238" t="s">
        <v>1340</v>
      </c>
      <c r="AA1978" t="s">
        <v>3113</v>
      </c>
      <c r="AB1978" s="238" t="s">
        <v>3246</v>
      </c>
      <c r="AC1978" t="s">
        <v>3079</v>
      </c>
      <c r="AD1978" s="24"/>
      <c r="AE1978" s="238" t="s">
        <v>4954</v>
      </c>
      <c r="AF1978">
        <v>79216870981</v>
      </c>
      <c r="AG1978" s="238" t="s">
        <v>4955</v>
      </c>
      <c r="AH1978" s="238" t="s">
        <v>135</v>
      </c>
      <c r="AI1978" s="238" t="s">
        <v>3099</v>
      </c>
      <c r="AJ1978" s="238" t="s">
        <v>399</v>
      </c>
      <c r="AK1978" s="238" t="s">
        <v>3345</v>
      </c>
      <c r="AL1978" t="s">
        <v>8715</v>
      </c>
      <c r="AM1978" t="s">
        <v>1167</v>
      </c>
    </row>
    <row r="1979" spans="1:39" hidden="1" x14ac:dyDescent="0.25">
      <c r="A1979">
        <v>1976</v>
      </c>
      <c r="B1979">
        <v>21</v>
      </c>
      <c r="C1979" s="24">
        <v>45163</v>
      </c>
      <c r="D1979" s="238" t="s">
        <v>91</v>
      </c>
      <c r="E1979" s="238" t="s">
        <v>15</v>
      </c>
      <c r="F1979">
        <v>8</v>
      </c>
      <c r="G1979">
        <v>2</v>
      </c>
      <c r="H1979">
        <v>409</v>
      </c>
      <c r="I1979" s="238" t="s">
        <v>43</v>
      </c>
      <c r="J1979">
        <v>63.74</v>
      </c>
      <c r="K1979" s="238" t="s">
        <v>36</v>
      </c>
      <c r="L1979">
        <v>5221258.91</v>
      </c>
      <c r="M1979">
        <v>0</v>
      </c>
      <c r="N1979">
        <v>5221258.91</v>
      </c>
      <c r="O1979">
        <v>81914.949952933792</v>
      </c>
      <c r="P1979">
        <v>0</v>
      </c>
      <c r="Q1979">
        <v>5221258.91</v>
      </c>
      <c r="R1979">
        <v>81914.949952933792</v>
      </c>
      <c r="S1979" s="238" t="s">
        <v>137</v>
      </c>
      <c r="T1979" s="238" t="s">
        <v>1167</v>
      </c>
      <c r="V1979" t="s">
        <v>4092</v>
      </c>
      <c r="W1979" s="24">
        <v>45159</v>
      </c>
      <c r="X1979" s="238" t="s">
        <v>4956</v>
      </c>
      <c r="Y1979" s="238" t="s">
        <v>39</v>
      </c>
      <c r="Z1979" s="238" t="s">
        <v>1340</v>
      </c>
      <c r="AA1979" t="s">
        <v>3113</v>
      </c>
      <c r="AB1979" s="238" t="s">
        <v>3246</v>
      </c>
      <c r="AC1979" t="s">
        <v>3079</v>
      </c>
      <c r="AD1979" s="24"/>
      <c r="AE1979" s="238" t="s">
        <v>4957</v>
      </c>
      <c r="AF1979">
        <v>79178151855</v>
      </c>
      <c r="AG1979" s="238" t="s">
        <v>4958</v>
      </c>
      <c r="AH1979" s="238" t="s">
        <v>1171</v>
      </c>
      <c r="AI1979" s="238" t="s">
        <v>3074</v>
      </c>
      <c r="AJ1979" s="238" t="s">
        <v>399</v>
      </c>
      <c r="AK1979" s="238" t="s">
        <v>141</v>
      </c>
      <c r="AL1979" t="s">
        <v>8715</v>
      </c>
      <c r="AM1979" t="s">
        <v>1167</v>
      </c>
    </row>
    <row r="1980" spans="1:39" hidden="1" x14ac:dyDescent="0.25">
      <c r="A1980">
        <v>1977</v>
      </c>
      <c r="B1980">
        <v>22</v>
      </c>
      <c r="C1980" s="24">
        <v>45163</v>
      </c>
      <c r="D1980" s="238" t="s">
        <v>91</v>
      </c>
      <c r="E1980" s="238" t="s">
        <v>6</v>
      </c>
      <c r="F1980">
        <v>5</v>
      </c>
      <c r="G1980">
        <v>3</v>
      </c>
      <c r="H1980">
        <v>13</v>
      </c>
      <c r="I1980" s="238" t="s">
        <v>43</v>
      </c>
      <c r="J1980">
        <v>54.66</v>
      </c>
      <c r="K1980" s="238" t="s">
        <v>38</v>
      </c>
      <c r="L1980">
        <v>5642601.54</v>
      </c>
      <c r="M1980">
        <v>0</v>
      </c>
      <c r="N1980">
        <v>5642601.54</v>
      </c>
      <c r="O1980">
        <v>103230.90998902306</v>
      </c>
      <c r="P1980">
        <v>847230</v>
      </c>
      <c r="Q1980">
        <v>4795371.54</v>
      </c>
      <c r="R1980">
        <v>87730.909989023057</v>
      </c>
      <c r="S1980" s="238" t="s">
        <v>137</v>
      </c>
      <c r="T1980" s="238" t="s">
        <v>1167</v>
      </c>
      <c r="V1980" t="s">
        <v>4092</v>
      </c>
      <c r="W1980" s="24">
        <v>45161</v>
      </c>
      <c r="X1980" s="238" t="s">
        <v>4959</v>
      </c>
      <c r="Y1980" s="238" t="s">
        <v>39</v>
      </c>
      <c r="Z1980" s="238" t="s">
        <v>1340</v>
      </c>
      <c r="AA1980" t="s">
        <v>3113</v>
      </c>
      <c r="AB1980" s="238" t="s">
        <v>3246</v>
      </c>
      <c r="AC1980" t="s">
        <v>3079</v>
      </c>
      <c r="AD1980" s="24"/>
      <c r="AE1980" s="238" t="s">
        <v>4960</v>
      </c>
      <c r="AF1980">
        <v>79828839645</v>
      </c>
      <c r="AG1980" s="238" t="s">
        <v>4961</v>
      </c>
      <c r="AH1980" s="238" t="s">
        <v>1212</v>
      </c>
      <c r="AI1980" s="238" t="s">
        <v>3514</v>
      </c>
      <c r="AJ1980" s="238" t="s">
        <v>3901</v>
      </c>
      <c r="AK1980" s="238" t="s">
        <v>3345</v>
      </c>
      <c r="AL1980" t="s">
        <v>8715</v>
      </c>
      <c r="AM1980" t="s">
        <v>1167</v>
      </c>
    </row>
    <row r="1981" spans="1:39" hidden="1" x14ac:dyDescent="0.25">
      <c r="A1981">
        <v>1978</v>
      </c>
      <c r="B1981">
        <v>23</v>
      </c>
      <c r="C1981" s="24">
        <v>45166</v>
      </c>
      <c r="D1981" s="238" t="s">
        <v>91</v>
      </c>
      <c r="E1981" s="238" t="s">
        <v>15</v>
      </c>
      <c r="F1981">
        <v>6</v>
      </c>
      <c r="G1981">
        <v>2</v>
      </c>
      <c r="H1981">
        <v>407</v>
      </c>
      <c r="I1981" s="238" t="s">
        <v>43</v>
      </c>
      <c r="J1981">
        <v>58.62</v>
      </c>
      <c r="K1981" s="238" t="s">
        <v>38</v>
      </c>
      <c r="L1981">
        <v>5806501.5199999996</v>
      </c>
      <c r="M1981">
        <v>0</v>
      </c>
      <c r="N1981">
        <v>5806501.5199999996</v>
      </c>
      <c r="O1981">
        <v>99053.25008529512</v>
      </c>
      <c r="P1981">
        <v>908610</v>
      </c>
      <c r="Q1981">
        <v>4897891.5199999996</v>
      </c>
      <c r="R1981">
        <v>83553.25008529512</v>
      </c>
      <c r="S1981" s="238" t="s">
        <v>137</v>
      </c>
      <c r="T1981" s="238" t="s">
        <v>1167</v>
      </c>
      <c r="V1981" t="s">
        <v>4091</v>
      </c>
      <c r="W1981" s="24">
        <v>45157</v>
      </c>
      <c r="X1981" s="238" t="s">
        <v>4962</v>
      </c>
      <c r="Y1981" s="238" t="s">
        <v>39</v>
      </c>
      <c r="Z1981" s="238" t="s">
        <v>1340</v>
      </c>
      <c r="AA1981" t="s">
        <v>3113</v>
      </c>
      <c r="AB1981" s="238" t="s">
        <v>3246</v>
      </c>
      <c r="AC1981" t="s">
        <v>3079</v>
      </c>
      <c r="AD1981" s="24"/>
      <c r="AE1981" s="238" t="s">
        <v>4963</v>
      </c>
      <c r="AF1981">
        <v>79171494549</v>
      </c>
      <c r="AG1981" s="238" t="s">
        <v>4964</v>
      </c>
      <c r="AH1981" s="238" t="s">
        <v>146</v>
      </c>
      <c r="AI1981" s="238" t="s">
        <v>135</v>
      </c>
      <c r="AJ1981" s="238" t="s">
        <v>130</v>
      </c>
      <c r="AK1981" s="238" t="s">
        <v>141</v>
      </c>
      <c r="AL1981" t="s">
        <v>8715</v>
      </c>
      <c r="AM1981" t="s">
        <v>4965</v>
      </c>
    </row>
    <row r="1982" spans="1:39" hidden="1" x14ac:dyDescent="0.25">
      <c r="A1982">
        <v>1979</v>
      </c>
      <c r="B1982">
        <v>24</v>
      </c>
      <c r="C1982" s="24">
        <v>45166</v>
      </c>
      <c r="D1982" s="238" t="s">
        <v>91</v>
      </c>
      <c r="E1982" s="238" t="s">
        <v>5</v>
      </c>
      <c r="F1982">
        <v>6</v>
      </c>
      <c r="G1982">
        <v>13</v>
      </c>
      <c r="H1982">
        <v>214</v>
      </c>
      <c r="I1982" s="238" t="s">
        <v>42</v>
      </c>
      <c r="J1982">
        <v>36.659999999999997</v>
      </c>
      <c r="K1982" s="238" t="s">
        <v>37</v>
      </c>
      <c r="L1982">
        <v>3747374.94</v>
      </c>
      <c r="M1982">
        <v>0</v>
      </c>
      <c r="N1982">
        <v>3747374.94</v>
      </c>
      <c r="O1982">
        <v>102219.72013093291</v>
      </c>
      <c r="P1982">
        <v>164969.99999999997</v>
      </c>
      <c r="Q1982">
        <v>3582404.94</v>
      </c>
      <c r="R1982">
        <v>97719.72013093291</v>
      </c>
      <c r="S1982" s="238" t="s">
        <v>137</v>
      </c>
      <c r="T1982" s="238" t="s">
        <v>1167</v>
      </c>
      <c r="V1982" t="s">
        <v>4091</v>
      </c>
      <c r="W1982" s="24">
        <v>45158</v>
      </c>
      <c r="X1982" s="238" t="s">
        <v>4966</v>
      </c>
      <c r="Y1982" s="238" t="s">
        <v>39</v>
      </c>
      <c r="Z1982" s="238" t="s">
        <v>1340</v>
      </c>
      <c r="AA1982" t="s">
        <v>3113</v>
      </c>
      <c r="AB1982" s="238" t="s">
        <v>3246</v>
      </c>
      <c r="AC1982" t="s">
        <v>3079</v>
      </c>
      <c r="AD1982" s="24"/>
      <c r="AE1982" s="238" t="s">
        <v>4967</v>
      </c>
      <c r="AF1982">
        <v>79370666422</v>
      </c>
      <c r="AG1982" s="238" t="s">
        <v>4968</v>
      </c>
      <c r="AH1982" s="238" t="s">
        <v>1171</v>
      </c>
      <c r="AI1982" s="238" t="s">
        <v>135</v>
      </c>
      <c r="AJ1982" s="238" t="s">
        <v>4177</v>
      </c>
      <c r="AK1982" s="238" t="s">
        <v>3345</v>
      </c>
      <c r="AL1982" t="s">
        <v>8715</v>
      </c>
      <c r="AM1982" t="s">
        <v>1167</v>
      </c>
    </row>
    <row r="1983" spans="1:39" hidden="1" x14ac:dyDescent="0.25">
      <c r="A1983">
        <v>1980</v>
      </c>
      <c r="B1983">
        <v>25</v>
      </c>
      <c r="C1983" s="24">
        <v>45166</v>
      </c>
      <c r="D1983" s="238" t="s">
        <v>91</v>
      </c>
      <c r="E1983" s="238" t="s">
        <v>15</v>
      </c>
      <c r="F1983">
        <v>6</v>
      </c>
      <c r="G1983">
        <v>12</v>
      </c>
      <c r="H1983">
        <v>497</v>
      </c>
      <c r="I1983" s="238" t="s">
        <v>43</v>
      </c>
      <c r="J1983">
        <v>58.62</v>
      </c>
      <c r="K1983" s="238" t="s">
        <v>36</v>
      </c>
      <c r="L1983">
        <v>5193205.59</v>
      </c>
      <c r="M1983">
        <v>0</v>
      </c>
      <c r="N1983">
        <v>5193205.59</v>
      </c>
      <c r="O1983">
        <v>88591.019959058336</v>
      </c>
      <c r="P1983">
        <v>0</v>
      </c>
      <c r="Q1983">
        <v>5193205.59</v>
      </c>
      <c r="R1983">
        <v>88591.019959058336</v>
      </c>
      <c r="S1983" s="238" t="s">
        <v>137</v>
      </c>
      <c r="T1983" s="238" t="s">
        <v>1167</v>
      </c>
      <c r="V1983" t="s">
        <v>4091</v>
      </c>
      <c r="W1983" s="24">
        <v>45159</v>
      </c>
      <c r="X1983" s="238" t="s">
        <v>4969</v>
      </c>
      <c r="Y1983" s="238" t="s">
        <v>1172</v>
      </c>
      <c r="Z1983" s="238" t="s">
        <v>1340</v>
      </c>
      <c r="AA1983" t="s">
        <v>3113</v>
      </c>
      <c r="AB1983" s="238" t="s">
        <v>3246</v>
      </c>
      <c r="AC1983" t="s">
        <v>3079</v>
      </c>
      <c r="AD1983" s="24">
        <v>45260</v>
      </c>
      <c r="AE1983" s="238" t="s">
        <v>4970</v>
      </c>
      <c r="AF1983">
        <v>79270112793</v>
      </c>
      <c r="AG1983" s="238" t="s">
        <v>4971</v>
      </c>
      <c r="AH1983" s="238" t="s">
        <v>1171</v>
      </c>
      <c r="AI1983" s="238" t="s">
        <v>135</v>
      </c>
      <c r="AJ1983" s="238" t="s">
        <v>130</v>
      </c>
      <c r="AK1983" s="238" t="s">
        <v>3345</v>
      </c>
      <c r="AL1983" t="s">
        <v>8715</v>
      </c>
      <c r="AM1983" t="s">
        <v>1167</v>
      </c>
    </row>
    <row r="1984" spans="1:39" hidden="1" x14ac:dyDescent="0.25">
      <c r="A1984">
        <v>1981</v>
      </c>
      <c r="B1984">
        <v>26</v>
      </c>
      <c r="C1984" s="24">
        <v>45166</v>
      </c>
      <c r="D1984" s="238" t="s">
        <v>91</v>
      </c>
      <c r="E1984" s="238" t="s">
        <v>16</v>
      </c>
      <c r="F1984">
        <v>3</v>
      </c>
      <c r="G1984">
        <v>13</v>
      </c>
      <c r="H1984">
        <v>320</v>
      </c>
      <c r="I1984" s="238" t="s">
        <v>4052</v>
      </c>
      <c r="J1984">
        <v>36.450000000000003</v>
      </c>
      <c r="K1984" s="238" t="s">
        <v>37</v>
      </c>
      <c r="L1984">
        <v>3583195.74</v>
      </c>
      <c r="M1984">
        <v>0</v>
      </c>
      <c r="N1984">
        <v>3583195.74</v>
      </c>
      <c r="O1984">
        <v>98304.409876543214</v>
      </c>
      <c r="P1984">
        <v>164025</v>
      </c>
      <c r="Q1984">
        <v>3419170.74</v>
      </c>
      <c r="R1984">
        <v>93804.409876543214</v>
      </c>
      <c r="S1984" s="238" t="s">
        <v>137</v>
      </c>
      <c r="T1984" s="238" t="s">
        <v>1167</v>
      </c>
      <c r="V1984" t="s">
        <v>4091</v>
      </c>
      <c r="W1984" s="24">
        <v>45161</v>
      </c>
      <c r="X1984" s="238" t="s">
        <v>4972</v>
      </c>
      <c r="Y1984" s="238" t="s">
        <v>39</v>
      </c>
      <c r="Z1984" s="238" t="s">
        <v>1340</v>
      </c>
      <c r="AA1984" t="s">
        <v>3113</v>
      </c>
      <c r="AB1984" s="238" t="s">
        <v>3246</v>
      </c>
      <c r="AC1984" t="s">
        <v>3079</v>
      </c>
      <c r="AD1984" s="24"/>
      <c r="AE1984" s="238" t="s">
        <v>4973</v>
      </c>
      <c r="AF1984">
        <v>79319689910</v>
      </c>
      <c r="AG1984" s="238" t="s">
        <v>4974</v>
      </c>
      <c r="AH1984" s="238" t="s">
        <v>1171</v>
      </c>
      <c r="AI1984" s="238" t="s">
        <v>135</v>
      </c>
      <c r="AJ1984" s="238" t="s">
        <v>4177</v>
      </c>
      <c r="AK1984" s="238" t="s">
        <v>141</v>
      </c>
      <c r="AL1984" t="s">
        <v>8715</v>
      </c>
      <c r="AM1984" t="s">
        <v>1167</v>
      </c>
    </row>
    <row r="1985" spans="1:39" hidden="1" x14ac:dyDescent="0.25">
      <c r="A1985">
        <v>1982</v>
      </c>
      <c r="B1985">
        <v>27</v>
      </c>
      <c r="C1985" s="24">
        <v>45167</v>
      </c>
      <c r="D1985" s="238" t="s">
        <v>91</v>
      </c>
      <c r="E1985" s="238" t="s">
        <v>5</v>
      </c>
      <c r="F1985">
        <v>7</v>
      </c>
      <c r="G1985">
        <v>11</v>
      </c>
      <c r="H1985">
        <v>199</v>
      </c>
      <c r="I1985" s="238" t="s">
        <v>44</v>
      </c>
      <c r="J1985">
        <v>78.73</v>
      </c>
      <c r="K1985" s="238" t="s">
        <v>38</v>
      </c>
      <c r="L1985">
        <v>7583121.6500000004</v>
      </c>
      <c r="M1985">
        <v>0</v>
      </c>
      <c r="N1985">
        <v>7583121.6500000004</v>
      </c>
      <c r="O1985">
        <v>96318.069986028204</v>
      </c>
      <c r="P1985">
        <v>1220315</v>
      </c>
      <c r="Q1985">
        <v>6362806.6500000004</v>
      </c>
      <c r="R1985">
        <v>80818.069986028204</v>
      </c>
      <c r="S1985" s="238" t="s">
        <v>137</v>
      </c>
      <c r="T1985" s="238" t="s">
        <v>1167</v>
      </c>
      <c r="V1985" t="s">
        <v>4092</v>
      </c>
      <c r="W1985" s="24">
        <v>45158</v>
      </c>
      <c r="X1985" s="238" t="s">
        <v>4975</v>
      </c>
      <c r="Y1985" s="238" t="s">
        <v>39</v>
      </c>
      <c r="Z1985" s="238" t="s">
        <v>1340</v>
      </c>
      <c r="AA1985" t="s">
        <v>3113</v>
      </c>
      <c r="AB1985" s="238" t="s">
        <v>3246</v>
      </c>
      <c r="AC1985" t="s">
        <v>3079</v>
      </c>
      <c r="AD1985" s="24"/>
      <c r="AE1985" s="238" t="s">
        <v>4976</v>
      </c>
      <c r="AF1985">
        <v>79176331581</v>
      </c>
      <c r="AG1985" s="238" t="s">
        <v>4977</v>
      </c>
      <c r="AH1985" s="238" t="s">
        <v>1212</v>
      </c>
      <c r="AI1985" s="238" t="s">
        <v>135</v>
      </c>
      <c r="AJ1985" s="238" t="s">
        <v>4177</v>
      </c>
      <c r="AK1985" s="238" t="s">
        <v>3345</v>
      </c>
      <c r="AL1985" t="s">
        <v>8715</v>
      </c>
      <c r="AM1985" t="s">
        <v>1167</v>
      </c>
    </row>
    <row r="1986" spans="1:39" hidden="1" x14ac:dyDescent="0.25">
      <c r="A1986">
        <v>1983</v>
      </c>
      <c r="B1986">
        <v>28</v>
      </c>
      <c r="C1986" s="24">
        <v>45167</v>
      </c>
      <c r="D1986" s="238" t="s">
        <v>91</v>
      </c>
      <c r="E1986" s="238" t="s">
        <v>15</v>
      </c>
      <c r="F1986">
        <v>2</v>
      </c>
      <c r="G1986">
        <v>2</v>
      </c>
      <c r="H1986">
        <v>403</v>
      </c>
      <c r="I1986" s="238" t="s">
        <v>42</v>
      </c>
      <c r="J1986">
        <v>38.6</v>
      </c>
      <c r="K1986" s="238" t="s">
        <v>38</v>
      </c>
      <c r="L1986">
        <v>4297742.91</v>
      </c>
      <c r="M1986">
        <v>0</v>
      </c>
      <c r="N1986">
        <v>4297742.91</v>
      </c>
      <c r="O1986">
        <v>111340.48989637305</v>
      </c>
      <c r="P1986">
        <v>598300</v>
      </c>
      <c r="Q1986">
        <v>3699442.91</v>
      </c>
      <c r="R1986">
        <v>95840.489896373052</v>
      </c>
      <c r="S1986" s="238" t="s">
        <v>137</v>
      </c>
      <c r="T1986" s="238" t="s">
        <v>1167</v>
      </c>
      <c r="V1986" t="s">
        <v>4092</v>
      </c>
      <c r="W1986" s="24">
        <v>45160</v>
      </c>
      <c r="X1986" s="238" t="s">
        <v>4978</v>
      </c>
      <c r="Y1986" s="238" t="s">
        <v>39</v>
      </c>
      <c r="Z1986" s="238" t="s">
        <v>1340</v>
      </c>
      <c r="AA1986" t="s">
        <v>3113</v>
      </c>
      <c r="AB1986" s="238" t="s">
        <v>3246</v>
      </c>
      <c r="AC1986" t="s">
        <v>3079</v>
      </c>
      <c r="AD1986" s="24"/>
      <c r="AE1986" s="238" t="s">
        <v>4979</v>
      </c>
      <c r="AF1986">
        <v>79277049004</v>
      </c>
      <c r="AG1986" s="238" t="s">
        <v>4980</v>
      </c>
      <c r="AH1986" s="238" t="s">
        <v>1171</v>
      </c>
      <c r="AI1986" s="238" t="s">
        <v>135</v>
      </c>
      <c r="AJ1986" s="238" t="s">
        <v>126</v>
      </c>
      <c r="AK1986" s="238" t="s">
        <v>141</v>
      </c>
      <c r="AL1986" t="s">
        <v>8715</v>
      </c>
      <c r="AM1986" t="s">
        <v>1167</v>
      </c>
    </row>
    <row r="1987" spans="1:39" hidden="1" x14ac:dyDescent="0.25">
      <c r="A1987">
        <v>1984</v>
      </c>
      <c r="B1987">
        <v>29</v>
      </c>
      <c r="C1987" s="24">
        <v>45167</v>
      </c>
      <c r="D1987" s="238" t="s">
        <v>91</v>
      </c>
      <c r="E1987" s="238" t="s">
        <v>6</v>
      </c>
      <c r="F1987">
        <v>8</v>
      </c>
      <c r="G1987">
        <v>10</v>
      </c>
      <c r="H1987">
        <v>72</v>
      </c>
      <c r="I1987" s="238" t="s">
        <v>4052</v>
      </c>
      <c r="J1987">
        <v>21.73</v>
      </c>
      <c r="K1987" s="238" t="s">
        <v>38</v>
      </c>
      <c r="L1987">
        <v>2760591.8</v>
      </c>
      <c r="M1987">
        <v>0</v>
      </c>
      <c r="N1987">
        <v>2760591.8</v>
      </c>
      <c r="O1987">
        <v>127040.57984353427</v>
      </c>
      <c r="P1987">
        <v>336815</v>
      </c>
      <c r="Q1987">
        <v>2423776.7999999998</v>
      </c>
      <c r="R1987">
        <v>111540.57984353427</v>
      </c>
      <c r="S1987" s="238" t="s">
        <v>137</v>
      </c>
      <c r="T1987" s="238" t="s">
        <v>1167</v>
      </c>
      <c r="V1987" t="s">
        <v>4091</v>
      </c>
      <c r="W1987" s="24">
        <v>45160</v>
      </c>
      <c r="X1987" s="238" t="s">
        <v>4981</v>
      </c>
      <c r="Y1987" s="238" t="s">
        <v>39</v>
      </c>
      <c r="Z1987" s="238" t="s">
        <v>1340</v>
      </c>
      <c r="AA1987" t="s">
        <v>3113</v>
      </c>
      <c r="AB1987" s="238" t="s">
        <v>3246</v>
      </c>
      <c r="AC1987" t="s">
        <v>3079</v>
      </c>
      <c r="AD1987" s="24"/>
      <c r="AE1987" s="238" t="s">
        <v>4982</v>
      </c>
      <c r="AF1987">
        <v>79272071150</v>
      </c>
      <c r="AG1987" s="238" t="s">
        <v>4983</v>
      </c>
      <c r="AH1987" s="238" t="s">
        <v>1171</v>
      </c>
      <c r="AI1987" s="238" t="s">
        <v>135</v>
      </c>
      <c r="AJ1987" s="238" t="s">
        <v>126</v>
      </c>
      <c r="AK1987" s="238" t="s">
        <v>141</v>
      </c>
      <c r="AL1987" t="s">
        <v>8715</v>
      </c>
      <c r="AM1987" t="s">
        <v>1167</v>
      </c>
    </row>
    <row r="1988" spans="1:39" hidden="1" x14ac:dyDescent="0.25">
      <c r="A1988">
        <v>1985</v>
      </c>
      <c r="B1988">
        <v>30</v>
      </c>
      <c r="C1988" s="24">
        <v>45167</v>
      </c>
      <c r="D1988" s="238" t="s">
        <v>91</v>
      </c>
      <c r="E1988" s="238" t="s">
        <v>6</v>
      </c>
      <c r="F1988">
        <v>6</v>
      </c>
      <c r="G1988">
        <v>10</v>
      </c>
      <c r="H1988">
        <v>70</v>
      </c>
      <c r="I1988" s="238" t="s">
        <v>43</v>
      </c>
      <c r="J1988">
        <v>59.87</v>
      </c>
      <c r="K1988" s="238" t="s">
        <v>38</v>
      </c>
      <c r="L1988">
        <v>6373975.7300000004</v>
      </c>
      <c r="M1988">
        <v>0</v>
      </c>
      <c r="N1988">
        <v>6373975.7300000004</v>
      </c>
      <c r="O1988">
        <v>106463.59996659429</v>
      </c>
      <c r="P1988">
        <v>927985</v>
      </c>
      <c r="Q1988">
        <v>5445990.7300000004</v>
      </c>
      <c r="R1988">
        <v>90963.599966594295</v>
      </c>
      <c r="S1988" s="238" t="s">
        <v>137</v>
      </c>
      <c r="T1988" s="238" t="s">
        <v>1167</v>
      </c>
      <c r="V1988" t="s">
        <v>4092</v>
      </c>
      <c r="W1988" s="24">
        <v>45160</v>
      </c>
      <c r="X1988" s="238" t="s">
        <v>4984</v>
      </c>
      <c r="Y1988" s="238" t="s">
        <v>39</v>
      </c>
      <c r="Z1988" s="238" t="s">
        <v>1340</v>
      </c>
      <c r="AA1988" t="s">
        <v>3113</v>
      </c>
      <c r="AB1988" s="238" t="s">
        <v>3246</v>
      </c>
      <c r="AC1988" t="s">
        <v>3079</v>
      </c>
      <c r="AD1988" s="24"/>
      <c r="AE1988" s="238" t="s">
        <v>4985</v>
      </c>
      <c r="AF1988">
        <v>79991581391</v>
      </c>
      <c r="AG1988" s="238" t="s">
        <v>4986</v>
      </c>
      <c r="AH1988" s="238" t="s">
        <v>1212</v>
      </c>
      <c r="AI1988" s="238" t="s">
        <v>135</v>
      </c>
      <c r="AJ1988" s="238" t="s">
        <v>126</v>
      </c>
      <c r="AK1988" s="238" t="s">
        <v>3345</v>
      </c>
      <c r="AL1988" t="s">
        <v>8715</v>
      </c>
      <c r="AM1988" t="s">
        <v>1167</v>
      </c>
    </row>
    <row r="1989" spans="1:39" hidden="1" x14ac:dyDescent="0.25">
      <c r="A1989">
        <v>1986</v>
      </c>
      <c r="B1989">
        <v>31</v>
      </c>
      <c r="C1989" s="24">
        <v>45169</v>
      </c>
      <c r="D1989" s="238" t="s">
        <v>91</v>
      </c>
      <c r="E1989" s="238" t="s">
        <v>5</v>
      </c>
      <c r="F1989">
        <v>7</v>
      </c>
      <c r="G1989">
        <v>15</v>
      </c>
      <c r="H1989">
        <v>231</v>
      </c>
      <c r="I1989" s="238" t="s">
        <v>44</v>
      </c>
      <c r="J1989">
        <v>78.73</v>
      </c>
      <c r="K1989" s="238" t="s">
        <v>36</v>
      </c>
      <c r="L1989">
        <v>5674424.2199999997</v>
      </c>
      <c r="M1989">
        <v>15000</v>
      </c>
      <c r="N1989">
        <v>5689424.2199999997</v>
      </c>
      <c r="O1989">
        <v>72265.009780261651</v>
      </c>
      <c r="P1989">
        <v>0</v>
      </c>
      <c r="Q1989">
        <v>5689424.2199999997</v>
      </c>
      <c r="R1989">
        <v>72265.009780261651</v>
      </c>
      <c r="S1989" s="238" t="s">
        <v>137</v>
      </c>
      <c r="T1989" s="238" t="s">
        <v>978</v>
      </c>
      <c r="U1989">
        <v>363154.74</v>
      </c>
      <c r="V1989" t="s">
        <v>3661</v>
      </c>
      <c r="W1989" s="24">
        <v>45133</v>
      </c>
      <c r="X1989" s="238" t="s">
        <v>4987</v>
      </c>
      <c r="Y1989" s="238" t="s">
        <v>39</v>
      </c>
      <c r="Z1989" s="238" t="s">
        <v>1168</v>
      </c>
      <c r="AA1989" t="s">
        <v>1167</v>
      </c>
      <c r="AB1989" s="238" t="s">
        <v>3246</v>
      </c>
      <c r="AC1989" t="s">
        <v>3115</v>
      </c>
      <c r="AD1989" s="24"/>
      <c r="AE1989" s="238" t="s">
        <v>4988</v>
      </c>
      <c r="AF1989">
        <v>79198052171</v>
      </c>
      <c r="AG1989" s="238" t="s">
        <v>4989</v>
      </c>
      <c r="AH1989" s="238" t="s">
        <v>1212</v>
      </c>
      <c r="AI1989" s="238" t="s">
        <v>3084</v>
      </c>
      <c r="AJ1989" s="238" t="s">
        <v>130</v>
      </c>
      <c r="AK1989" s="238" t="s">
        <v>141</v>
      </c>
      <c r="AL1989" t="s">
        <v>8715</v>
      </c>
      <c r="AM1989" t="s">
        <v>1167</v>
      </c>
    </row>
    <row r="1990" spans="1:39" hidden="1" x14ac:dyDescent="0.25">
      <c r="A1990">
        <v>1987</v>
      </c>
      <c r="B1990">
        <v>32</v>
      </c>
      <c r="C1990" s="24">
        <v>45169</v>
      </c>
      <c r="D1990" s="238" t="s">
        <v>91</v>
      </c>
      <c r="E1990" s="238" t="s">
        <v>15</v>
      </c>
      <c r="F1990">
        <v>1</v>
      </c>
      <c r="G1990">
        <v>11</v>
      </c>
      <c r="H1990">
        <v>483</v>
      </c>
      <c r="I1990" s="238" t="s">
        <v>42</v>
      </c>
      <c r="J1990">
        <v>39.74</v>
      </c>
      <c r="K1990" s="238" t="s">
        <v>38</v>
      </c>
      <c r="L1990">
        <v>4349990.87</v>
      </c>
      <c r="M1990">
        <v>0</v>
      </c>
      <c r="N1990">
        <v>4349990.87</v>
      </c>
      <c r="O1990">
        <v>109461.27000503271</v>
      </c>
      <c r="P1990">
        <v>615970</v>
      </c>
      <c r="Q1990">
        <v>3734020.87</v>
      </c>
      <c r="R1990">
        <v>93961.270005032711</v>
      </c>
      <c r="S1990" s="238" t="s">
        <v>137</v>
      </c>
      <c r="T1990" s="238" t="s">
        <v>1167</v>
      </c>
      <c r="V1990" t="s">
        <v>4092</v>
      </c>
      <c r="W1990" s="24">
        <v>45153</v>
      </c>
      <c r="X1990" s="238" t="s">
        <v>4990</v>
      </c>
      <c r="Y1990" s="238" t="s">
        <v>39</v>
      </c>
      <c r="Z1990" s="238" t="s">
        <v>1340</v>
      </c>
      <c r="AA1990" t="s">
        <v>3113</v>
      </c>
      <c r="AB1990" s="238" t="s">
        <v>3246</v>
      </c>
      <c r="AC1990" t="s">
        <v>3079</v>
      </c>
      <c r="AD1990" s="24"/>
      <c r="AE1990" s="238" t="s">
        <v>4991</v>
      </c>
      <c r="AF1990">
        <v>79874466761</v>
      </c>
      <c r="AG1990" s="238" t="s">
        <v>4992</v>
      </c>
      <c r="AH1990" s="238" t="s">
        <v>146</v>
      </c>
      <c r="AI1990" s="238" t="s">
        <v>135</v>
      </c>
      <c r="AJ1990" s="238" t="s">
        <v>399</v>
      </c>
      <c r="AK1990" s="238" t="s">
        <v>3345</v>
      </c>
      <c r="AL1990" t="s">
        <v>8715</v>
      </c>
      <c r="AM1990" t="s">
        <v>1167</v>
      </c>
    </row>
    <row r="1991" spans="1:39" hidden="1" x14ac:dyDescent="0.25">
      <c r="A1991">
        <v>1988</v>
      </c>
      <c r="B1991">
        <v>33</v>
      </c>
      <c r="C1991" s="24">
        <v>45169</v>
      </c>
      <c r="D1991" s="238" t="s">
        <v>91</v>
      </c>
      <c r="E1991" s="238" t="s">
        <v>16</v>
      </c>
      <c r="F1991">
        <v>6</v>
      </c>
      <c r="G1991">
        <v>5</v>
      </c>
      <c r="H1991">
        <v>267</v>
      </c>
      <c r="I1991" s="238" t="s">
        <v>44</v>
      </c>
      <c r="J1991">
        <v>72.510000000000005</v>
      </c>
      <c r="K1991" s="238" t="s">
        <v>36</v>
      </c>
      <c r="L1991">
        <v>5348069.3899999997</v>
      </c>
      <c r="M1991">
        <v>0</v>
      </c>
      <c r="N1991">
        <v>5348069.3899999997</v>
      </c>
      <c r="O1991">
        <v>73756.301061922481</v>
      </c>
      <c r="P1991">
        <v>0</v>
      </c>
      <c r="Q1991">
        <v>5348069.3899999997</v>
      </c>
      <c r="R1991">
        <v>73756.301061922481</v>
      </c>
      <c r="S1991" s="238" t="s">
        <v>137</v>
      </c>
      <c r="T1991" s="238" t="s">
        <v>978</v>
      </c>
      <c r="U1991">
        <v>341366.13</v>
      </c>
      <c r="V1991" t="s">
        <v>4092</v>
      </c>
      <c r="W1991" s="24">
        <v>45156</v>
      </c>
      <c r="X1991" s="238" t="s">
        <v>4993</v>
      </c>
      <c r="Y1991" s="238" t="s">
        <v>39</v>
      </c>
      <c r="Z1991" s="238" t="s">
        <v>1340</v>
      </c>
      <c r="AA1991" t="s">
        <v>3113</v>
      </c>
      <c r="AB1991" s="238" t="s">
        <v>3246</v>
      </c>
      <c r="AC1991" t="s">
        <v>3079</v>
      </c>
      <c r="AD1991" s="24"/>
      <c r="AE1991" s="238" t="s">
        <v>4994</v>
      </c>
      <c r="AF1991">
        <v>79171062844</v>
      </c>
      <c r="AG1991" s="238" t="s">
        <v>4995</v>
      </c>
      <c r="AH1991" s="238" t="s">
        <v>1212</v>
      </c>
      <c r="AI1991" s="238" t="s">
        <v>3514</v>
      </c>
      <c r="AJ1991" s="238" t="s">
        <v>130</v>
      </c>
      <c r="AK1991" s="238" t="s">
        <v>141</v>
      </c>
      <c r="AL1991" t="s">
        <v>8715</v>
      </c>
      <c r="AM1991" t="s">
        <v>4996</v>
      </c>
    </row>
    <row r="1992" spans="1:39" hidden="1" x14ac:dyDescent="0.25">
      <c r="A1992">
        <v>1989</v>
      </c>
      <c r="B1992">
        <v>34</v>
      </c>
      <c r="C1992" s="24">
        <v>45169</v>
      </c>
      <c r="D1992" s="238" t="s">
        <v>91</v>
      </c>
      <c r="E1992" s="238" t="s">
        <v>15</v>
      </c>
      <c r="F1992">
        <v>4</v>
      </c>
      <c r="G1992">
        <v>14</v>
      </c>
      <c r="H1992">
        <v>513</v>
      </c>
      <c r="I1992" s="238" t="s">
        <v>42</v>
      </c>
      <c r="J1992">
        <v>36.5</v>
      </c>
      <c r="K1992" s="238" t="s">
        <v>36</v>
      </c>
      <c r="L1992">
        <v>3673086.98</v>
      </c>
      <c r="M1992">
        <v>0</v>
      </c>
      <c r="N1992">
        <v>3673086.98</v>
      </c>
      <c r="O1992">
        <v>100632.52</v>
      </c>
      <c r="P1992">
        <v>0</v>
      </c>
      <c r="Q1992">
        <v>3673086.98</v>
      </c>
      <c r="R1992">
        <v>100632.52</v>
      </c>
      <c r="S1992" s="238" t="s">
        <v>137</v>
      </c>
      <c r="T1992" s="238" t="s">
        <v>1167</v>
      </c>
      <c r="V1992" t="s">
        <v>4092</v>
      </c>
      <c r="W1992" s="24">
        <v>45157</v>
      </c>
      <c r="X1992" s="238" t="s">
        <v>4997</v>
      </c>
      <c r="Y1992" s="238" t="s">
        <v>39</v>
      </c>
      <c r="Z1992" s="238" t="s">
        <v>1340</v>
      </c>
      <c r="AA1992" t="s">
        <v>3113</v>
      </c>
      <c r="AB1992" s="238" t="s">
        <v>3246</v>
      </c>
      <c r="AC1992" t="s">
        <v>3079</v>
      </c>
      <c r="AD1992" s="24"/>
      <c r="AE1992" s="238" t="s">
        <v>4998</v>
      </c>
      <c r="AF1992">
        <v>79171077001</v>
      </c>
      <c r="AG1992" s="238" t="s">
        <v>4999</v>
      </c>
      <c r="AH1992" s="238" t="s">
        <v>1171</v>
      </c>
      <c r="AI1992" s="238" t="s">
        <v>135</v>
      </c>
      <c r="AJ1992" s="238" t="s">
        <v>3901</v>
      </c>
      <c r="AK1992" s="238" t="s">
        <v>3345</v>
      </c>
      <c r="AL1992" t="s">
        <v>8715</v>
      </c>
      <c r="AM1992" t="s">
        <v>1167</v>
      </c>
    </row>
    <row r="1993" spans="1:39" hidden="1" x14ac:dyDescent="0.25">
      <c r="A1993">
        <v>1990</v>
      </c>
      <c r="B1993">
        <v>35</v>
      </c>
      <c r="C1993" s="24">
        <v>45169</v>
      </c>
      <c r="D1993" s="238" t="s">
        <v>91</v>
      </c>
      <c r="E1993" s="238" t="s">
        <v>15</v>
      </c>
      <c r="F1993">
        <v>2</v>
      </c>
      <c r="G1993">
        <v>10</v>
      </c>
      <c r="H1993">
        <v>475</v>
      </c>
      <c r="I1993" s="238" t="s">
        <v>42</v>
      </c>
      <c r="J1993">
        <v>38.6</v>
      </c>
      <c r="K1993" s="238" t="s">
        <v>38</v>
      </c>
      <c r="L1993">
        <v>4297742.91</v>
      </c>
      <c r="M1993">
        <v>0</v>
      </c>
      <c r="N1993">
        <v>4297742.91</v>
      </c>
      <c r="O1993">
        <v>111340.48989637305</v>
      </c>
      <c r="P1993">
        <v>598300</v>
      </c>
      <c r="Q1993">
        <v>3699442.91</v>
      </c>
      <c r="R1993">
        <v>95840.489896373052</v>
      </c>
      <c r="S1993" s="238" t="s">
        <v>137</v>
      </c>
      <c r="T1993" s="238" t="s">
        <v>1167</v>
      </c>
      <c r="V1993" t="s">
        <v>4092</v>
      </c>
      <c r="W1993" s="24">
        <v>45159</v>
      </c>
      <c r="X1993" s="238" t="s">
        <v>5000</v>
      </c>
      <c r="Y1993" s="238" t="s">
        <v>39</v>
      </c>
      <c r="Z1993" s="238" t="s">
        <v>1340</v>
      </c>
      <c r="AA1993" t="s">
        <v>3113</v>
      </c>
      <c r="AB1993" s="238" t="s">
        <v>3246</v>
      </c>
      <c r="AC1993" t="s">
        <v>3079</v>
      </c>
      <c r="AD1993" s="24"/>
      <c r="AE1993" s="238" t="s">
        <v>5001</v>
      </c>
      <c r="AF1993">
        <v>79277505505</v>
      </c>
      <c r="AG1993" s="238" t="s">
        <v>5002</v>
      </c>
      <c r="AH1993" s="238" t="s">
        <v>1171</v>
      </c>
      <c r="AI1993" s="238" t="s">
        <v>3074</v>
      </c>
      <c r="AJ1993" s="238" t="s">
        <v>130</v>
      </c>
      <c r="AK1993" s="238" t="s">
        <v>141</v>
      </c>
      <c r="AL1993" t="s">
        <v>8715</v>
      </c>
      <c r="AM1993" t="s">
        <v>1167</v>
      </c>
    </row>
    <row r="1994" spans="1:39" hidden="1" x14ac:dyDescent="0.25">
      <c r="A1994">
        <v>1991</v>
      </c>
      <c r="B1994">
        <v>36</v>
      </c>
      <c r="C1994" s="24">
        <v>45169</v>
      </c>
      <c r="D1994" s="238" t="s">
        <v>91</v>
      </c>
      <c r="E1994" s="238" t="s">
        <v>15</v>
      </c>
      <c r="F1994">
        <v>2</v>
      </c>
      <c r="G1994">
        <v>8</v>
      </c>
      <c r="H1994">
        <v>457</v>
      </c>
      <c r="I1994" s="238" t="s">
        <v>42</v>
      </c>
      <c r="J1994">
        <v>38.6</v>
      </c>
      <c r="K1994" s="238" t="s">
        <v>36</v>
      </c>
      <c r="L1994">
        <v>3699442.91</v>
      </c>
      <c r="M1994">
        <v>0</v>
      </c>
      <c r="N1994">
        <v>3699442.91</v>
      </c>
      <c r="O1994">
        <v>95840.489896373052</v>
      </c>
      <c r="P1994">
        <v>0</v>
      </c>
      <c r="Q1994">
        <v>3699442.91</v>
      </c>
      <c r="R1994">
        <v>95840.489896373052</v>
      </c>
      <c r="S1994" s="238" t="s">
        <v>137</v>
      </c>
      <c r="T1994" s="238" t="s">
        <v>1167</v>
      </c>
      <c r="V1994" t="s">
        <v>4091</v>
      </c>
      <c r="W1994" s="24">
        <v>45160</v>
      </c>
      <c r="X1994" s="238" t="s">
        <v>5003</v>
      </c>
      <c r="Y1994" s="238" t="s">
        <v>39</v>
      </c>
      <c r="Z1994" s="238" t="s">
        <v>1340</v>
      </c>
      <c r="AA1994" t="s">
        <v>3113</v>
      </c>
      <c r="AB1994" s="238" t="s">
        <v>3246</v>
      </c>
      <c r="AC1994" t="s">
        <v>3079</v>
      </c>
      <c r="AD1994" s="24"/>
      <c r="AE1994" s="238" t="s">
        <v>5004</v>
      </c>
      <c r="AF1994">
        <v>79179556345</v>
      </c>
      <c r="AG1994" s="238" t="s">
        <v>5005</v>
      </c>
      <c r="AH1994" s="238" t="s">
        <v>4072</v>
      </c>
      <c r="AI1994" s="238" t="s">
        <v>6406</v>
      </c>
      <c r="AJ1994" s="238" t="s">
        <v>130</v>
      </c>
      <c r="AK1994" s="238" t="s">
        <v>141</v>
      </c>
      <c r="AL1994" t="s">
        <v>57</v>
      </c>
      <c r="AM1994" t="s">
        <v>1167</v>
      </c>
    </row>
    <row r="1995" spans="1:39" hidden="1" x14ac:dyDescent="0.25">
      <c r="A1995">
        <v>1992</v>
      </c>
      <c r="B1995">
        <v>37</v>
      </c>
      <c r="C1995" s="24">
        <v>45169</v>
      </c>
      <c r="D1995" s="238" t="s">
        <v>91</v>
      </c>
      <c r="E1995" s="238" t="s">
        <v>6</v>
      </c>
      <c r="F1995">
        <v>1</v>
      </c>
      <c r="G1995">
        <v>12</v>
      </c>
      <c r="H1995">
        <v>81</v>
      </c>
      <c r="I1995" s="238" t="s">
        <v>42</v>
      </c>
      <c r="J1995">
        <v>33.53</v>
      </c>
      <c r="K1995" s="238" t="s">
        <v>38</v>
      </c>
      <c r="L1995">
        <v>4098036.26</v>
      </c>
      <c r="M1995">
        <v>0</v>
      </c>
      <c r="N1995">
        <v>4098036.26</v>
      </c>
      <c r="O1995">
        <v>122219.98985982701</v>
      </c>
      <c r="P1995">
        <v>519715</v>
      </c>
      <c r="Q1995">
        <v>3578321.26</v>
      </c>
      <c r="R1995">
        <v>106719.98985982701</v>
      </c>
      <c r="S1995" s="238" t="s">
        <v>137</v>
      </c>
      <c r="T1995" s="238" t="s">
        <v>1167</v>
      </c>
      <c r="V1995" t="s">
        <v>4091</v>
      </c>
      <c r="W1995" s="24">
        <v>45161</v>
      </c>
      <c r="X1995" s="238" t="s">
        <v>5006</v>
      </c>
      <c r="Y1995" s="238" t="s">
        <v>39</v>
      </c>
      <c r="Z1995" s="238" t="s">
        <v>1340</v>
      </c>
      <c r="AA1995" t="s">
        <v>3113</v>
      </c>
      <c r="AB1995" s="238" t="s">
        <v>3246</v>
      </c>
      <c r="AC1995" t="s">
        <v>3079</v>
      </c>
      <c r="AD1995" s="24">
        <v>45376</v>
      </c>
      <c r="AE1995" s="238" t="s">
        <v>7712</v>
      </c>
      <c r="AF1995">
        <v>79228391983</v>
      </c>
      <c r="AG1995" s="238" t="s">
        <v>7713</v>
      </c>
      <c r="AH1995" s="238" t="s">
        <v>4072</v>
      </c>
      <c r="AI1995" s="238" t="s">
        <v>6406</v>
      </c>
      <c r="AJ1995" s="238" t="s">
        <v>130</v>
      </c>
      <c r="AK1995" s="238" t="s">
        <v>141</v>
      </c>
      <c r="AL1995" t="s">
        <v>57</v>
      </c>
      <c r="AM1995" t="s">
        <v>4996</v>
      </c>
    </row>
    <row r="1996" spans="1:39" hidden="1" x14ac:dyDescent="0.25">
      <c r="A1996">
        <v>1993</v>
      </c>
      <c r="B1996">
        <v>38</v>
      </c>
      <c r="C1996" s="24">
        <v>45169</v>
      </c>
      <c r="D1996" s="238" t="s">
        <v>91</v>
      </c>
      <c r="E1996" s="238" t="s">
        <v>5</v>
      </c>
      <c r="F1996">
        <v>4</v>
      </c>
      <c r="G1996">
        <v>13</v>
      </c>
      <c r="H1996">
        <v>212</v>
      </c>
      <c r="I1996" s="238" t="s">
        <v>42</v>
      </c>
      <c r="J1996">
        <v>37.81</v>
      </c>
      <c r="K1996" s="238" t="s">
        <v>37</v>
      </c>
      <c r="L1996">
        <v>3864927.61</v>
      </c>
      <c r="M1996">
        <v>0</v>
      </c>
      <c r="N1996">
        <v>3864927.61</v>
      </c>
      <c r="O1996">
        <v>102219.7199153663</v>
      </c>
      <c r="P1996">
        <v>170145</v>
      </c>
      <c r="Q1996">
        <v>3694782.61</v>
      </c>
      <c r="R1996">
        <v>97719.719915366295</v>
      </c>
      <c r="S1996" s="238" t="s">
        <v>137</v>
      </c>
      <c r="T1996" s="238" t="s">
        <v>1167</v>
      </c>
      <c r="V1996" t="s">
        <v>4091</v>
      </c>
      <c r="W1996" s="24">
        <v>45161</v>
      </c>
      <c r="X1996" s="238" t="s">
        <v>5007</v>
      </c>
      <c r="Y1996" s="238" t="s">
        <v>39</v>
      </c>
      <c r="Z1996" s="238" t="s">
        <v>1340</v>
      </c>
      <c r="AA1996" t="s">
        <v>3113</v>
      </c>
      <c r="AB1996" s="238" t="s">
        <v>3246</v>
      </c>
      <c r="AC1996" t="s">
        <v>3079</v>
      </c>
      <c r="AD1996" s="24"/>
      <c r="AE1996" s="238" t="s">
        <v>5008</v>
      </c>
      <c r="AF1996">
        <v>79879290966</v>
      </c>
      <c r="AG1996" s="238" t="s">
        <v>5009</v>
      </c>
      <c r="AH1996" s="238" t="s">
        <v>1171</v>
      </c>
      <c r="AI1996" s="238" t="s">
        <v>3097</v>
      </c>
      <c r="AJ1996" s="238" t="s">
        <v>130</v>
      </c>
      <c r="AK1996" s="238" t="s">
        <v>3345</v>
      </c>
      <c r="AL1996" t="s">
        <v>8715</v>
      </c>
      <c r="AM1996" t="s">
        <v>4996</v>
      </c>
    </row>
    <row r="1997" spans="1:39" hidden="1" x14ac:dyDescent="0.25">
      <c r="A1997">
        <v>1994</v>
      </c>
      <c r="B1997">
        <v>39</v>
      </c>
      <c r="C1997" s="24">
        <v>45169</v>
      </c>
      <c r="D1997" s="238" t="s">
        <v>91</v>
      </c>
      <c r="E1997" s="238" t="s">
        <v>15</v>
      </c>
      <c r="F1997">
        <v>1</v>
      </c>
      <c r="G1997">
        <v>13</v>
      </c>
      <c r="H1997">
        <v>501</v>
      </c>
      <c r="I1997" s="238" t="s">
        <v>42</v>
      </c>
      <c r="J1997">
        <v>39.74</v>
      </c>
      <c r="K1997" s="238" t="s">
        <v>37</v>
      </c>
      <c r="L1997">
        <v>3889458.56</v>
      </c>
      <c r="M1997">
        <v>0</v>
      </c>
      <c r="N1997">
        <v>3889458.56</v>
      </c>
      <c r="O1997">
        <v>97872.636134876695</v>
      </c>
      <c r="P1997">
        <v>178830</v>
      </c>
      <c r="Q1997">
        <v>3710628.56</v>
      </c>
      <c r="R1997">
        <v>93372.636134876695</v>
      </c>
      <c r="S1997" s="238" t="s">
        <v>137</v>
      </c>
      <c r="T1997" s="238" t="s">
        <v>3515</v>
      </c>
      <c r="U1997">
        <v>60000</v>
      </c>
      <c r="V1997" t="s">
        <v>4092</v>
      </c>
      <c r="W1997" s="24">
        <v>45162</v>
      </c>
      <c r="X1997" s="238" t="s">
        <v>5010</v>
      </c>
      <c r="Y1997" s="238" t="s">
        <v>39</v>
      </c>
      <c r="Z1997" s="238" t="s">
        <v>1340</v>
      </c>
      <c r="AA1997" t="s">
        <v>3113</v>
      </c>
      <c r="AB1997" s="238" t="s">
        <v>3246</v>
      </c>
      <c r="AC1997" t="s">
        <v>3079</v>
      </c>
      <c r="AD1997" s="24"/>
      <c r="AE1997" s="238" t="s">
        <v>5011</v>
      </c>
      <c r="AF1997">
        <v>79377940334</v>
      </c>
      <c r="AG1997" s="238" t="s">
        <v>5012</v>
      </c>
      <c r="AH1997" s="238" t="s">
        <v>4072</v>
      </c>
      <c r="AI1997" s="238" t="s">
        <v>6406</v>
      </c>
      <c r="AJ1997" s="238" t="s">
        <v>126</v>
      </c>
      <c r="AK1997" s="238" t="s">
        <v>3345</v>
      </c>
      <c r="AL1997" t="s">
        <v>57</v>
      </c>
      <c r="AM1997" t="s">
        <v>1167</v>
      </c>
    </row>
    <row r="1998" spans="1:39" hidden="1" x14ac:dyDescent="0.25">
      <c r="A1998">
        <v>1995</v>
      </c>
      <c r="B1998">
        <v>40</v>
      </c>
      <c r="C1998" s="24">
        <v>45169</v>
      </c>
      <c r="D1998" s="238" t="s">
        <v>91</v>
      </c>
      <c r="E1998" s="238" t="s">
        <v>5</v>
      </c>
      <c r="F1998">
        <v>4</v>
      </c>
      <c r="G1998">
        <v>6</v>
      </c>
      <c r="H1998">
        <v>156</v>
      </c>
      <c r="I1998" s="238" t="s">
        <v>42</v>
      </c>
      <c r="J1998">
        <v>37.81</v>
      </c>
      <c r="K1998" s="238" t="s">
        <v>37</v>
      </c>
      <c r="L1998">
        <v>3975771.03</v>
      </c>
      <c r="M1998">
        <v>0</v>
      </c>
      <c r="N1998">
        <v>3975771.03</v>
      </c>
      <c r="O1998">
        <v>105151.30997090715</v>
      </c>
      <c r="P1998">
        <v>170145</v>
      </c>
      <c r="Q1998">
        <v>3805626.03</v>
      </c>
      <c r="R1998">
        <v>100651.30997090715</v>
      </c>
      <c r="S1998" s="238" t="s">
        <v>137</v>
      </c>
      <c r="T1998" s="238" t="s">
        <v>1167</v>
      </c>
      <c r="V1998" t="s">
        <v>4092</v>
      </c>
      <c r="W1998" s="24">
        <v>45162</v>
      </c>
      <c r="X1998" s="238" t="s">
        <v>5013</v>
      </c>
      <c r="Y1998" s="238" t="s">
        <v>39</v>
      </c>
      <c r="Z1998" s="238" t="s">
        <v>1340</v>
      </c>
      <c r="AA1998" t="s">
        <v>3113</v>
      </c>
      <c r="AB1998" s="238" t="s">
        <v>3246</v>
      </c>
      <c r="AC1998" t="s">
        <v>3079</v>
      </c>
      <c r="AD1998" s="24"/>
      <c r="AE1998" s="238" t="s">
        <v>5014</v>
      </c>
      <c r="AF1998">
        <v>79879394113</v>
      </c>
      <c r="AG1998" s="238" t="s">
        <v>5015</v>
      </c>
      <c r="AH1998" s="238" t="s">
        <v>1212</v>
      </c>
      <c r="AI1998" s="238" t="s">
        <v>135</v>
      </c>
      <c r="AJ1998" s="238" t="s">
        <v>3901</v>
      </c>
      <c r="AK1998" s="238" t="s">
        <v>3345</v>
      </c>
      <c r="AL1998" t="s">
        <v>8715</v>
      </c>
      <c r="AM1998" t="s">
        <v>1167</v>
      </c>
    </row>
    <row r="1999" spans="1:39" hidden="1" x14ac:dyDescent="0.25">
      <c r="A1999">
        <v>1996</v>
      </c>
      <c r="B1999">
        <v>41</v>
      </c>
      <c r="C1999" s="24">
        <v>45169</v>
      </c>
      <c r="D1999" s="238" t="s">
        <v>91</v>
      </c>
      <c r="E1999" s="238" t="s">
        <v>15</v>
      </c>
      <c r="F1999">
        <v>8</v>
      </c>
      <c r="G1999">
        <v>7</v>
      </c>
      <c r="H1999">
        <v>454</v>
      </c>
      <c r="I1999" s="238" t="s">
        <v>43</v>
      </c>
      <c r="J1999">
        <v>63.74</v>
      </c>
      <c r="K1999" s="238" t="s">
        <v>37</v>
      </c>
      <c r="L1999">
        <v>5664726.7800000003</v>
      </c>
      <c r="M1999">
        <v>0</v>
      </c>
      <c r="N1999">
        <v>5664726.7800000003</v>
      </c>
      <c r="O1999">
        <v>88872.400062754939</v>
      </c>
      <c r="P1999">
        <v>286830</v>
      </c>
      <c r="Q1999">
        <v>5377896.7800000003</v>
      </c>
      <c r="R1999">
        <v>84372.400062754939</v>
      </c>
      <c r="S1999" s="238" t="s">
        <v>137</v>
      </c>
      <c r="T1999" s="238" t="s">
        <v>1167</v>
      </c>
      <c r="V1999" t="s">
        <v>4092</v>
      </c>
      <c r="W1999" s="24">
        <v>45166</v>
      </c>
      <c r="X1999" s="238" t="s">
        <v>5016</v>
      </c>
      <c r="Y1999" s="238" t="s">
        <v>39</v>
      </c>
      <c r="Z1999" s="238" t="s">
        <v>1340</v>
      </c>
      <c r="AA1999" t="s">
        <v>3113</v>
      </c>
      <c r="AB1999" s="238" t="s">
        <v>3246</v>
      </c>
      <c r="AC1999" t="s">
        <v>3079</v>
      </c>
      <c r="AD1999" s="24"/>
      <c r="AE1999" s="238" t="s">
        <v>5017</v>
      </c>
      <c r="AF1999">
        <v>79272942575</v>
      </c>
      <c r="AG1999" s="238" t="s">
        <v>5018</v>
      </c>
      <c r="AH1999" s="238" t="s">
        <v>146</v>
      </c>
      <c r="AI1999" s="238" t="s">
        <v>135</v>
      </c>
      <c r="AJ1999" s="238" t="s">
        <v>130</v>
      </c>
      <c r="AK1999" s="238" t="s">
        <v>141</v>
      </c>
      <c r="AL1999" t="s">
        <v>8715</v>
      </c>
      <c r="AM1999" t="s">
        <v>1167</v>
      </c>
    </row>
    <row r="2000" spans="1:39" hidden="1" x14ac:dyDescent="0.25">
      <c r="A2000">
        <v>1997</v>
      </c>
      <c r="B2000">
        <v>42</v>
      </c>
      <c r="C2000" s="24">
        <v>45169</v>
      </c>
      <c r="D2000" s="238" t="s">
        <v>91</v>
      </c>
      <c r="E2000" s="238" t="s">
        <v>16</v>
      </c>
      <c r="F2000">
        <v>1</v>
      </c>
      <c r="G2000">
        <v>24</v>
      </c>
      <c r="H2000">
        <v>395</v>
      </c>
      <c r="I2000" s="238" t="s">
        <v>4052</v>
      </c>
      <c r="J2000">
        <v>29.35</v>
      </c>
      <c r="K2000" s="238" t="s">
        <v>37</v>
      </c>
      <c r="L2000">
        <v>3130565.51</v>
      </c>
      <c r="M2000">
        <v>0</v>
      </c>
      <c r="N2000">
        <v>3130565.51</v>
      </c>
      <c r="O2000">
        <v>106663.22010221463</v>
      </c>
      <c r="P2000">
        <v>132075</v>
      </c>
      <c r="Q2000">
        <v>2998490.51</v>
      </c>
      <c r="R2000">
        <v>102163.22010221463</v>
      </c>
      <c r="S2000" s="238" t="s">
        <v>137</v>
      </c>
      <c r="T2000" s="238" t="s">
        <v>1167</v>
      </c>
      <c r="V2000" t="s">
        <v>4092</v>
      </c>
      <c r="W2000" s="24">
        <v>45166</v>
      </c>
      <c r="X2000" s="238" t="s">
        <v>5019</v>
      </c>
      <c r="Y2000" s="238" t="s">
        <v>39</v>
      </c>
      <c r="Z2000" s="238" t="s">
        <v>1340</v>
      </c>
      <c r="AA2000" t="s">
        <v>3113</v>
      </c>
      <c r="AB2000" s="238" t="s">
        <v>3246</v>
      </c>
      <c r="AC2000" t="s">
        <v>3079</v>
      </c>
      <c r="AD2000" s="24"/>
      <c r="AE2000" s="238" t="s">
        <v>5020</v>
      </c>
      <c r="AF2000">
        <v>79379886897</v>
      </c>
      <c r="AG2000" s="238" t="s">
        <v>5021</v>
      </c>
      <c r="AH2000" s="238" t="s">
        <v>1171</v>
      </c>
      <c r="AI2000" s="238" t="s">
        <v>135</v>
      </c>
      <c r="AJ2000" s="238" t="s">
        <v>130</v>
      </c>
      <c r="AK2000" s="238" t="s">
        <v>3345</v>
      </c>
      <c r="AL2000" t="s">
        <v>8715</v>
      </c>
      <c r="AM2000" t="s">
        <v>1167</v>
      </c>
    </row>
    <row r="2001" spans="1:39" hidden="1" x14ac:dyDescent="0.25">
      <c r="A2001">
        <v>1998</v>
      </c>
      <c r="B2001">
        <v>1</v>
      </c>
      <c r="C2001" s="24">
        <v>45170</v>
      </c>
      <c r="D2001" s="238" t="s">
        <v>91</v>
      </c>
      <c r="E2001" s="238" t="s">
        <v>15</v>
      </c>
      <c r="F2001">
        <v>2</v>
      </c>
      <c r="G2001">
        <v>16</v>
      </c>
      <c r="H2001">
        <v>529</v>
      </c>
      <c r="I2001" s="238" t="s">
        <v>42</v>
      </c>
      <c r="J2001">
        <v>38.6</v>
      </c>
      <c r="K2001" s="238" t="s">
        <v>37</v>
      </c>
      <c r="L2001">
        <v>4021483.49</v>
      </c>
      <c r="M2001">
        <v>0</v>
      </c>
      <c r="N2001">
        <v>4021483.49</v>
      </c>
      <c r="O2001">
        <v>104183.51010362695</v>
      </c>
      <c r="P2001">
        <v>173700</v>
      </c>
      <c r="Q2001">
        <v>3847783.49</v>
      </c>
      <c r="R2001">
        <v>99683.510103626948</v>
      </c>
      <c r="S2001" s="238" t="s">
        <v>137</v>
      </c>
      <c r="T2001" s="238" t="s">
        <v>1167</v>
      </c>
      <c r="V2001" t="s">
        <v>4091</v>
      </c>
      <c r="W2001" s="24">
        <v>45166</v>
      </c>
      <c r="X2001" s="238" t="s">
        <v>5022</v>
      </c>
      <c r="Y2001" s="238" t="s">
        <v>39</v>
      </c>
      <c r="Z2001" s="238" t="s">
        <v>1340</v>
      </c>
      <c r="AA2001" t="s">
        <v>3113</v>
      </c>
      <c r="AB2001" s="238" t="s">
        <v>3246</v>
      </c>
      <c r="AC2001" t="s">
        <v>3079</v>
      </c>
      <c r="AD2001" s="24"/>
      <c r="AE2001" s="238" t="s">
        <v>5023</v>
      </c>
      <c r="AF2001">
        <v>79272062168</v>
      </c>
      <c r="AG2001" s="238" t="s">
        <v>5024</v>
      </c>
      <c r="AH2001" s="238" t="s">
        <v>1171</v>
      </c>
      <c r="AI2001" s="238" t="s">
        <v>135</v>
      </c>
      <c r="AJ2001" s="238" t="s">
        <v>126</v>
      </c>
      <c r="AK2001" s="238" t="s">
        <v>141</v>
      </c>
      <c r="AL2001" t="s">
        <v>8715</v>
      </c>
      <c r="AM2001" t="s">
        <v>1167</v>
      </c>
    </row>
    <row r="2002" spans="1:39" hidden="1" x14ac:dyDescent="0.25">
      <c r="A2002">
        <v>1999</v>
      </c>
      <c r="B2002">
        <v>2</v>
      </c>
      <c r="C2002" s="24">
        <v>45173</v>
      </c>
      <c r="D2002" s="238" t="s">
        <v>91</v>
      </c>
      <c r="E2002" s="238" t="s">
        <v>16</v>
      </c>
      <c r="F2002">
        <v>6</v>
      </c>
      <c r="G2002">
        <v>14</v>
      </c>
      <c r="H2002">
        <v>330</v>
      </c>
      <c r="I2002" s="238" t="s">
        <v>44</v>
      </c>
      <c r="J2002">
        <v>72.510000000000005</v>
      </c>
      <c r="K2002" s="238" t="s">
        <v>36</v>
      </c>
      <c r="L2002">
        <v>5382133.9299999997</v>
      </c>
      <c r="M2002">
        <v>15000</v>
      </c>
      <c r="N2002">
        <v>5397133.9299999997</v>
      </c>
      <c r="O2002">
        <v>74432.960005516477</v>
      </c>
      <c r="P2002">
        <v>0</v>
      </c>
      <c r="Q2002">
        <v>5397133.9299999997</v>
      </c>
      <c r="R2002">
        <v>74432.960005516477</v>
      </c>
      <c r="S2002" s="238" t="s">
        <v>137</v>
      </c>
      <c r="T2002" s="238" t="s">
        <v>978</v>
      </c>
      <c r="U2002">
        <v>344497.91</v>
      </c>
      <c r="V2002" t="s">
        <v>3661</v>
      </c>
      <c r="W2002" s="24">
        <v>45146</v>
      </c>
      <c r="X2002" s="238" t="s">
        <v>5025</v>
      </c>
      <c r="Y2002" s="238" t="s">
        <v>39</v>
      </c>
      <c r="Z2002" s="238" t="s">
        <v>1168</v>
      </c>
      <c r="AA2002" t="s">
        <v>1167</v>
      </c>
      <c r="AB2002" s="238" t="s">
        <v>3246</v>
      </c>
      <c r="AC2002" t="s">
        <v>3115</v>
      </c>
      <c r="AD2002" s="24"/>
      <c r="AE2002" s="238" t="s">
        <v>5026</v>
      </c>
      <c r="AF2002">
        <v>79170399442</v>
      </c>
      <c r="AG2002" s="238" t="s">
        <v>5027</v>
      </c>
      <c r="AH2002" s="238" t="s">
        <v>1171</v>
      </c>
      <c r="AI2002" s="238" t="s">
        <v>3084</v>
      </c>
      <c r="AJ2002" s="238" t="s">
        <v>126</v>
      </c>
      <c r="AK2002" s="238" t="s">
        <v>3345</v>
      </c>
      <c r="AL2002" t="s">
        <v>8715</v>
      </c>
      <c r="AM2002" t="s">
        <v>1167</v>
      </c>
    </row>
    <row r="2003" spans="1:39" hidden="1" x14ac:dyDescent="0.25">
      <c r="A2003">
        <v>2000</v>
      </c>
      <c r="B2003">
        <v>3</v>
      </c>
      <c r="C2003" s="24">
        <v>45173</v>
      </c>
      <c r="D2003" s="238" t="s">
        <v>91</v>
      </c>
      <c r="E2003" s="238" t="s">
        <v>15</v>
      </c>
      <c r="F2003">
        <v>8</v>
      </c>
      <c r="G2003">
        <v>5</v>
      </c>
      <c r="H2003">
        <v>436</v>
      </c>
      <c r="I2003" s="238" t="s">
        <v>43</v>
      </c>
      <c r="J2003">
        <v>63.74</v>
      </c>
      <c r="K2003" s="238" t="s">
        <v>36</v>
      </c>
      <c r="L2003">
        <v>5377896.7800000003</v>
      </c>
      <c r="M2003">
        <v>0</v>
      </c>
      <c r="N2003">
        <v>5377896.7800000003</v>
      </c>
      <c r="O2003">
        <v>84372.400062754939</v>
      </c>
      <c r="P2003">
        <v>0</v>
      </c>
      <c r="Q2003">
        <v>5377896.7800000003</v>
      </c>
      <c r="R2003">
        <v>84372.400062754939</v>
      </c>
      <c r="S2003" s="238" t="s">
        <v>137</v>
      </c>
      <c r="T2003" s="238" t="s">
        <v>1167</v>
      </c>
      <c r="V2003" t="s">
        <v>4092</v>
      </c>
      <c r="W2003" s="24">
        <v>45167</v>
      </c>
      <c r="X2003" s="238" t="s">
        <v>5028</v>
      </c>
      <c r="Y2003" s="238" t="s">
        <v>39</v>
      </c>
      <c r="Z2003" s="238" t="s">
        <v>1340</v>
      </c>
      <c r="AA2003" t="s">
        <v>3113</v>
      </c>
      <c r="AB2003" s="238" t="s">
        <v>3246</v>
      </c>
      <c r="AC2003" t="s">
        <v>3079</v>
      </c>
      <c r="AD2003" s="24"/>
      <c r="AE2003" s="238" t="s">
        <v>5029</v>
      </c>
      <c r="AF2003">
        <v>79879289874</v>
      </c>
      <c r="AG2003" s="238" t="s">
        <v>5030</v>
      </c>
      <c r="AH2003" s="238" t="s">
        <v>1171</v>
      </c>
      <c r="AI2003" s="238" t="s">
        <v>3090</v>
      </c>
      <c r="AJ2003" s="238" t="s">
        <v>126</v>
      </c>
      <c r="AK2003" s="238" t="s">
        <v>141</v>
      </c>
      <c r="AL2003" t="s">
        <v>8715</v>
      </c>
      <c r="AM2003" t="s">
        <v>1167</v>
      </c>
    </row>
    <row r="2004" spans="1:39" hidden="1" x14ac:dyDescent="0.25">
      <c r="A2004">
        <v>2001</v>
      </c>
      <c r="B2004">
        <v>4</v>
      </c>
      <c r="C2004" s="24">
        <v>45174</v>
      </c>
      <c r="D2004" s="238" t="s">
        <v>91</v>
      </c>
      <c r="E2004" s="238" t="s">
        <v>5</v>
      </c>
      <c r="F2004">
        <v>7</v>
      </c>
      <c r="G2004">
        <v>2</v>
      </c>
      <c r="H2004">
        <v>127</v>
      </c>
      <c r="I2004" s="238" t="s">
        <v>44</v>
      </c>
      <c r="J2004">
        <v>78.73</v>
      </c>
      <c r="K2004" s="238" t="s">
        <v>36</v>
      </c>
      <c r="L2004">
        <v>7148372.9699999997</v>
      </c>
      <c r="M2004">
        <v>0</v>
      </c>
      <c r="N2004">
        <v>7148372.9699999997</v>
      </c>
      <c r="O2004">
        <v>90796.049409373794</v>
      </c>
      <c r="P2004">
        <v>0</v>
      </c>
      <c r="Q2004">
        <v>7148372.9699999997</v>
      </c>
      <c r="R2004">
        <v>90796.049409373794</v>
      </c>
      <c r="S2004" s="238" t="s">
        <v>124</v>
      </c>
      <c r="T2004" s="238" t="s">
        <v>3537</v>
      </c>
      <c r="U2004">
        <v>145885.16</v>
      </c>
      <c r="V2004" t="s">
        <v>1167</v>
      </c>
      <c r="W2004" s="24">
        <v>45169</v>
      </c>
      <c r="X2004" s="238" t="s">
        <v>5031</v>
      </c>
      <c r="Y2004" s="238" t="s">
        <v>39</v>
      </c>
      <c r="Z2004" s="238" t="s">
        <v>1340</v>
      </c>
      <c r="AA2004" t="s">
        <v>3474</v>
      </c>
      <c r="AB2004" s="238" t="s">
        <v>3246</v>
      </c>
      <c r="AC2004" t="s">
        <v>1167</v>
      </c>
      <c r="AD2004" s="24"/>
      <c r="AE2004" s="238" t="s">
        <v>5032</v>
      </c>
      <c r="AF2004">
        <v>79050170637</v>
      </c>
      <c r="AG2004" s="238" t="s">
        <v>5033</v>
      </c>
      <c r="AH2004" s="238" t="s">
        <v>1171</v>
      </c>
      <c r="AI2004" s="238" t="s">
        <v>3074</v>
      </c>
      <c r="AJ2004" s="238" t="s">
        <v>4177</v>
      </c>
      <c r="AK2004" s="238" t="s">
        <v>1167</v>
      </c>
      <c r="AL2004" t="s">
        <v>8715</v>
      </c>
      <c r="AM2004" t="s">
        <v>1167</v>
      </c>
    </row>
    <row r="2005" spans="1:39" hidden="1" x14ac:dyDescent="0.25">
      <c r="A2005">
        <v>2002</v>
      </c>
      <c r="B2005">
        <v>5</v>
      </c>
      <c r="C2005" s="24">
        <v>45176</v>
      </c>
      <c r="D2005" s="238" t="s">
        <v>91</v>
      </c>
      <c r="E2005" s="238" t="s">
        <v>16</v>
      </c>
      <c r="F2005">
        <v>2</v>
      </c>
      <c r="G2005">
        <v>6</v>
      </c>
      <c r="H2005">
        <v>270</v>
      </c>
      <c r="I2005" s="238" t="s">
        <v>43</v>
      </c>
      <c r="J2005">
        <v>67.95</v>
      </c>
      <c r="K2005" s="238" t="s">
        <v>37</v>
      </c>
      <c r="L2005">
        <v>6261524.5499999998</v>
      </c>
      <c r="M2005">
        <v>0</v>
      </c>
      <c r="N2005">
        <v>6261524.5499999998</v>
      </c>
      <c r="O2005">
        <v>92149</v>
      </c>
      <c r="P2005">
        <v>305775</v>
      </c>
      <c r="Q2005">
        <v>5955749.5499999998</v>
      </c>
      <c r="R2005">
        <v>87649</v>
      </c>
      <c r="S2005" s="238" t="s">
        <v>137</v>
      </c>
      <c r="T2005" s="238" t="s">
        <v>1167</v>
      </c>
      <c r="V2005" t="s">
        <v>4092</v>
      </c>
      <c r="W2005" s="24">
        <v>45170</v>
      </c>
      <c r="X2005" s="238" t="s">
        <v>5034</v>
      </c>
      <c r="Y2005" s="238" t="s">
        <v>39</v>
      </c>
      <c r="Z2005" s="238" t="s">
        <v>1340</v>
      </c>
      <c r="AA2005" t="s">
        <v>3113</v>
      </c>
      <c r="AB2005" s="238" t="s">
        <v>3246</v>
      </c>
      <c r="AC2005" t="s">
        <v>3079</v>
      </c>
      <c r="AD2005" s="24"/>
      <c r="AE2005" s="238" t="s">
        <v>5035</v>
      </c>
      <c r="AF2005">
        <v>79825890600</v>
      </c>
      <c r="AG2005" s="238" t="s">
        <v>5036</v>
      </c>
      <c r="AH2005" s="238" t="s">
        <v>4072</v>
      </c>
      <c r="AI2005" s="238" t="s">
        <v>6406</v>
      </c>
      <c r="AJ2005" s="238" t="s">
        <v>130</v>
      </c>
      <c r="AK2005" s="238" t="s">
        <v>141</v>
      </c>
      <c r="AL2005" t="s">
        <v>57</v>
      </c>
      <c r="AM2005" t="s">
        <v>1167</v>
      </c>
    </row>
    <row r="2006" spans="1:39" hidden="1" x14ac:dyDescent="0.25">
      <c r="A2006">
        <v>2003</v>
      </c>
      <c r="B2006">
        <v>6</v>
      </c>
      <c r="C2006" s="24">
        <v>45177</v>
      </c>
      <c r="D2006" s="238" t="s">
        <v>91</v>
      </c>
      <c r="E2006" s="238" t="s">
        <v>6</v>
      </c>
      <c r="F2006">
        <v>6</v>
      </c>
      <c r="G2006">
        <v>6</v>
      </c>
      <c r="H2006">
        <v>38</v>
      </c>
      <c r="I2006" s="238" t="s">
        <v>43</v>
      </c>
      <c r="J2006">
        <v>59.87</v>
      </c>
      <c r="K2006" s="238" t="s">
        <v>38</v>
      </c>
      <c r="L2006">
        <v>6537355.5700000003</v>
      </c>
      <c r="M2006">
        <v>0</v>
      </c>
      <c r="N2006">
        <v>6537355.5700000003</v>
      </c>
      <c r="O2006">
        <v>109192.50993819944</v>
      </c>
      <c r="P2006">
        <v>927985</v>
      </c>
      <c r="Q2006">
        <v>5609370.5700000003</v>
      </c>
      <c r="R2006">
        <v>93692.509938199437</v>
      </c>
      <c r="S2006" s="238" t="s">
        <v>137</v>
      </c>
      <c r="T2006" s="238" t="s">
        <v>1167</v>
      </c>
      <c r="V2006" t="s">
        <v>4091</v>
      </c>
      <c r="W2006" s="24">
        <v>45169</v>
      </c>
      <c r="X2006" s="238" t="s">
        <v>5037</v>
      </c>
      <c r="Y2006" s="238" t="s">
        <v>39</v>
      </c>
      <c r="Z2006" s="238" t="s">
        <v>1340</v>
      </c>
      <c r="AA2006" t="s">
        <v>3113</v>
      </c>
      <c r="AB2006" s="238" t="s">
        <v>3246</v>
      </c>
      <c r="AC2006" t="s">
        <v>3079</v>
      </c>
      <c r="AD2006" s="24"/>
      <c r="AE2006" s="238" t="s">
        <v>5038</v>
      </c>
      <c r="AF2006">
        <v>79279052066</v>
      </c>
      <c r="AG2006" s="238" t="s">
        <v>5039</v>
      </c>
      <c r="AH2006" s="238" t="s">
        <v>1171</v>
      </c>
      <c r="AI2006" s="238" t="s">
        <v>3074</v>
      </c>
      <c r="AJ2006" s="238" t="s">
        <v>399</v>
      </c>
      <c r="AK2006" s="238" t="s">
        <v>141</v>
      </c>
      <c r="AL2006" t="s">
        <v>8715</v>
      </c>
      <c r="AM2006" t="s">
        <v>1167</v>
      </c>
    </row>
    <row r="2007" spans="1:39" hidden="1" x14ac:dyDescent="0.25">
      <c r="A2007">
        <v>2004</v>
      </c>
      <c r="B2007">
        <v>7</v>
      </c>
      <c r="C2007" s="24">
        <v>45180</v>
      </c>
      <c r="D2007" s="238" t="s">
        <v>91</v>
      </c>
      <c r="E2007" s="238" t="s">
        <v>5</v>
      </c>
      <c r="F2007">
        <v>8</v>
      </c>
      <c r="G2007">
        <v>15</v>
      </c>
      <c r="H2007">
        <v>232</v>
      </c>
      <c r="I2007" s="238" t="s">
        <v>42</v>
      </c>
      <c r="J2007">
        <v>33.79</v>
      </c>
      <c r="K2007" s="238" t="s">
        <v>37</v>
      </c>
      <c r="L2007">
        <v>3792466.94</v>
      </c>
      <c r="M2007">
        <v>0</v>
      </c>
      <c r="N2007">
        <v>3792466.94</v>
      </c>
      <c r="O2007">
        <v>112236.36993193252</v>
      </c>
      <c r="P2007">
        <v>152055</v>
      </c>
      <c r="Q2007">
        <v>3640411.94</v>
      </c>
      <c r="R2007">
        <v>107736.36993193252</v>
      </c>
      <c r="S2007" s="238" t="s">
        <v>137</v>
      </c>
      <c r="T2007" s="238" t="s">
        <v>1167</v>
      </c>
      <c r="V2007" t="s">
        <v>4091</v>
      </c>
      <c r="W2007" s="24">
        <v>45167</v>
      </c>
      <c r="X2007" s="238" t="s">
        <v>5040</v>
      </c>
      <c r="Y2007" s="238" t="s">
        <v>39</v>
      </c>
      <c r="Z2007" s="238" t="s">
        <v>1340</v>
      </c>
      <c r="AA2007" t="s">
        <v>3113</v>
      </c>
      <c r="AB2007" s="238" t="s">
        <v>3246</v>
      </c>
      <c r="AC2007" t="s">
        <v>3079</v>
      </c>
      <c r="AD2007" s="24"/>
      <c r="AE2007" s="238" t="s">
        <v>5041</v>
      </c>
      <c r="AF2007">
        <v>79639143095</v>
      </c>
      <c r="AG2007" s="238" t="s">
        <v>5042</v>
      </c>
      <c r="AH2007" s="238" t="s">
        <v>1212</v>
      </c>
      <c r="AI2007" s="238" t="s">
        <v>135</v>
      </c>
      <c r="AJ2007" s="238" t="s">
        <v>399</v>
      </c>
      <c r="AK2007" s="238" t="s">
        <v>3345</v>
      </c>
      <c r="AL2007" t="s">
        <v>8715</v>
      </c>
      <c r="AM2007" t="s">
        <v>1167</v>
      </c>
    </row>
    <row r="2008" spans="1:39" hidden="1" x14ac:dyDescent="0.25">
      <c r="A2008">
        <v>2005</v>
      </c>
      <c r="B2008">
        <v>8</v>
      </c>
      <c r="C2008" s="24">
        <v>45181</v>
      </c>
      <c r="D2008" s="238" t="s">
        <v>91</v>
      </c>
      <c r="E2008" s="238" t="s">
        <v>16</v>
      </c>
      <c r="F2008">
        <v>3</v>
      </c>
      <c r="G2008">
        <v>18</v>
      </c>
      <c r="H2008">
        <v>355</v>
      </c>
      <c r="I2008" s="238" t="s">
        <v>4052</v>
      </c>
      <c r="J2008">
        <v>36.450000000000003</v>
      </c>
      <c r="K2008" s="238" t="s">
        <v>38</v>
      </c>
      <c r="L2008">
        <v>4086720.78</v>
      </c>
      <c r="M2008">
        <v>0</v>
      </c>
      <c r="N2008">
        <v>4086720.78</v>
      </c>
      <c r="O2008">
        <v>112118.53991769545</v>
      </c>
      <c r="P2008">
        <v>564975</v>
      </c>
      <c r="Q2008">
        <v>3521745.78</v>
      </c>
      <c r="R2008">
        <v>96618.539917695467</v>
      </c>
      <c r="S2008" s="238" t="s">
        <v>137</v>
      </c>
      <c r="T2008" s="238" t="s">
        <v>1167</v>
      </c>
      <c r="V2008" t="s">
        <v>4092</v>
      </c>
      <c r="W2008" s="24">
        <v>45167</v>
      </c>
      <c r="X2008" s="238" t="s">
        <v>5043</v>
      </c>
      <c r="Y2008" s="238" t="s">
        <v>39</v>
      </c>
      <c r="Z2008" s="238" t="s">
        <v>1340</v>
      </c>
      <c r="AA2008" t="s">
        <v>3113</v>
      </c>
      <c r="AB2008" s="238" t="s">
        <v>3246</v>
      </c>
      <c r="AC2008" t="s">
        <v>3079</v>
      </c>
      <c r="AD2008" s="24"/>
      <c r="AE2008" s="238" t="s">
        <v>5044</v>
      </c>
      <c r="AF2008">
        <v>79277559997</v>
      </c>
      <c r="AG2008" s="238" t="s">
        <v>5045</v>
      </c>
      <c r="AH2008" s="238" t="s">
        <v>1171</v>
      </c>
      <c r="AI2008" s="238" t="s">
        <v>3094</v>
      </c>
      <c r="AJ2008" s="238" t="s">
        <v>4177</v>
      </c>
      <c r="AK2008" s="238" t="s">
        <v>141</v>
      </c>
      <c r="AL2008" t="s">
        <v>8715</v>
      </c>
      <c r="AM2008" t="s">
        <v>1167</v>
      </c>
    </row>
    <row r="2009" spans="1:39" hidden="1" x14ac:dyDescent="0.25">
      <c r="A2009">
        <v>2006</v>
      </c>
      <c r="B2009">
        <v>9</v>
      </c>
      <c r="C2009" s="24">
        <v>45183</v>
      </c>
      <c r="D2009" s="238" t="s">
        <v>91</v>
      </c>
      <c r="E2009" s="238" t="s">
        <v>15</v>
      </c>
      <c r="F2009">
        <v>2</v>
      </c>
      <c r="G2009">
        <v>13</v>
      </c>
      <c r="H2009">
        <v>502</v>
      </c>
      <c r="I2009" s="238" t="s">
        <v>42</v>
      </c>
      <c r="J2009">
        <v>38.6</v>
      </c>
      <c r="K2009" s="238" t="s">
        <v>38</v>
      </c>
      <c r="L2009">
        <v>4369127.82</v>
      </c>
      <c r="M2009">
        <v>0</v>
      </c>
      <c r="N2009">
        <v>4369127.82</v>
      </c>
      <c r="O2009">
        <v>113189.83989637306</v>
      </c>
      <c r="P2009">
        <v>598300</v>
      </c>
      <c r="Q2009">
        <v>3770827.8200000003</v>
      </c>
      <c r="R2009">
        <v>97689.839896373058</v>
      </c>
      <c r="S2009" s="238" t="s">
        <v>137</v>
      </c>
      <c r="T2009" s="238" t="s">
        <v>4360</v>
      </c>
      <c r="U2009">
        <v>76955.67</v>
      </c>
      <c r="V2009" t="s">
        <v>4091</v>
      </c>
      <c r="W2009" s="24">
        <v>45180</v>
      </c>
      <c r="X2009" s="238" t="s">
        <v>5051</v>
      </c>
      <c r="Y2009" s="238" t="s">
        <v>39</v>
      </c>
      <c r="Z2009" s="238" t="s">
        <v>1340</v>
      </c>
      <c r="AA2009" t="s">
        <v>3113</v>
      </c>
      <c r="AB2009" s="238" t="s">
        <v>3246</v>
      </c>
      <c r="AC2009" t="s">
        <v>3079</v>
      </c>
      <c r="AD2009" s="24"/>
      <c r="AE2009" s="238" t="s">
        <v>2081</v>
      </c>
      <c r="AF2009">
        <v>79245055063</v>
      </c>
      <c r="AG2009" s="238" t="s">
        <v>5052</v>
      </c>
      <c r="AH2009" s="238" t="s">
        <v>1212</v>
      </c>
      <c r="AI2009" s="238" t="s">
        <v>135</v>
      </c>
      <c r="AJ2009" s="238" t="s">
        <v>126</v>
      </c>
      <c r="AK2009" s="238" t="s">
        <v>3345</v>
      </c>
      <c r="AL2009" t="s">
        <v>8715</v>
      </c>
      <c r="AM2009" t="s">
        <v>1167</v>
      </c>
    </row>
    <row r="2010" spans="1:39" hidden="1" x14ac:dyDescent="0.25">
      <c r="A2010">
        <v>2007</v>
      </c>
      <c r="C2010" s="24">
        <v>45065</v>
      </c>
      <c r="D2010" s="238" t="s">
        <v>27</v>
      </c>
      <c r="E2010" s="238" t="s">
        <v>6</v>
      </c>
      <c r="F2010">
        <v>6</v>
      </c>
      <c r="G2010">
        <v>23</v>
      </c>
      <c r="H2010">
        <v>195</v>
      </c>
      <c r="I2010" s="238" t="s">
        <v>43</v>
      </c>
      <c r="J2010">
        <v>55.9</v>
      </c>
      <c r="K2010" s="238" t="s">
        <v>38</v>
      </c>
      <c r="L2010">
        <v>4855921.2</v>
      </c>
      <c r="M2010">
        <v>0</v>
      </c>
      <c r="N2010">
        <v>4855921.2</v>
      </c>
      <c r="O2010">
        <v>86868</v>
      </c>
      <c r="P2010">
        <v>0</v>
      </c>
      <c r="Q2010">
        <v>4855921.2</v>
      </c>
      <c r="R2010">
        <v>86868</v>
      </c>
      <c r="S2010" s="238" t="s">
        <v>121</v>
      </c>
      <c r="T2010" s="238" t="s">
        <v>1167</v>
      </c>
      <c r="V2010" t="s">
        <v>1167</v>
      </c>
      <c r="W2010" s="24">
        <v>45065</v>
      </c>
      <c r="X2010" s="238" t="s">
        <v>5053</v>
      </c>
      <c r="Y2010" s="238" t="s">
        <v>3247</v>
      </c>
      <c r="Z2010" s="238" t="s">
        <v>1340</v>
      </c>
      <c r="AA2010" t="s">
        <v>1167</v>
      </c>
      <c r="AB2010" s="238" t="s">
        <v>3124</v>
      </c>
      <c r="AC2010" t="s">
        <v>4246</v>
      </c>
      <c r="AD2010" s="24"/>
      <c r="AE2010" s="238" t="s">
        <v>5054</v>
      </c>
      <c r="AG2010" s="238" t="s">
        <v>1167</v>
      </c>
      <c r="AH2010" s="238" t="s">
        <v>1167</v>
      </c>
      <c r="AI2010" s="238" t="s">
        <v>5050</v>
      </c>
      <c r="AJ2010" s="238" t="s">
        <v>982</v>
      </c>
      <c r="AK2010" s="238" t="s">
        <v>1167</v>
      </c>
      <c r="AL2010" t="s">
        <v>8715</v>
      </c>
      <c r="AM2010" t="s">
        <v>1167</v>
      </c>
    </row>
    <row r="2011" spans="1:39" hidden="1" x14ac:dyDescent="0.25">
      <c r="A2011">
        <v>2008</v>
      </c>
      <c r="C2011" s="24">
        <v>45134</v>
      </c>
      <c r="D2011" s="238" t="s">
        <v>27</v>
      </c>
      <c r="E2011" s="238" t="s">
        <v>6</v>
      </c>
      <c r="F2011">
        <v>8</v>
      </c>
      <c r="G2011">
        <v>20</v>
      </c>
      <c r="H2011">
        <v>170</v>
      </c>
      <c r="I2011" s="238" t="s">
        <v>42</v>
      </c>
      <c r="J2011">
        <v>36.4</v>
      </c>
      <c r="K2011" s="238" t="s">
        <v>38</v>
      </c>
      <c r="L2011">
        <v>3161995.2</v>
      </c>
      <c r="M2011">
        <v>0</v>
      </c>
      <c r="N2011">
        <v>3161995.2</v>
      </c>
      <c r="O2011">
        <v>86868.000000000015</v>
      </c>
      <c r="P2011">
        <v>0</v>
      </c>
      <c r="Q2011">
        <v>3161995.2</v>
      </c>
      <c r="R2011">
        <v>86868.000000000015</v>
      </c>
      <c r="S2011" s="238" t="s">
        <v>121</v>
      </c>
      <c r="T2011" s="238" t="s">
        <v>1167</v>
      </c>
      <c r="V2011" t="s">
        <v>1167</v>
      </c>
      <c r="W2011" s="24">
        <v>45134</v>
      </c>
      <c r="X2011" s="238" t="s">
        <v>5055</v>
      </c>
      <c r="Y2011" s="238" t="s">
        <v>3247</v>
      </c>
      <c r="Z2011" s="238" t="s">
        <v>1340</v>
      </c>
      <c r="AA2011" t="s">
        <v>1167</v>
      </c>
      <c r="AB2011" s="238" t="s">
        <v>3124</v>
      </c>
      <c r="AC2011" t="s">
        <v>4246</v>
      </c>
      <c r="AD2011" s="24"/>
      <c r="AE2011" s="238" t="s">
        <v>5054</v>
      </c>
      <c r="AG2011" s="238" t="s">
        <v>1167</v>
      </c>
      <c r="AH2011" s="238" t="s">
        <v>1167</v>
      </c>
      <c r="AI2011" s="238" t="s">
        <v>5050</v>
      </c>
      <c r="AJ2011" s="238" t="s">
        <v>982</v>
      </c>
      <c r="AK2011" s="238" t="s">
        <v>1167</v>
      </c>
      <c r="AL2011" t="s">
        <v>8715</v>
      </c>
      <c r="AM2011" t="s">
        <v>1167</v>
      </c>
    </row>
    <row r="2012" spans="1:39" x14ac:dyDescent="0.25">
      <c r="A2012">
        <v>2009</v>
      </c>
      <c r="B2012">
        <v>10</v>
      </c>
      <c r="C2012" s="24">
        <v>45185</v>
      </c>
      <c r="D2012" s="238" t="s">
        <v>3388</v>
      </c>
      <c r="E2012" s="238" t="s">
        <v>5</v>
      </c>
      <c r="F2012">
        <v>7</v>
      </c>
      <c r="G2012">
        <v>2</v>
      </c>
      <c r="H2012">
        <v>124</v>
      </c>
      <c r="I2012" s="238" t="s">
        <v>42</v>
      </c>
      <c r="J2012">
        <v>42.28</v>
      </c>
      <c r="K2012" s="238" t="s">
        <v>37</v>
      </c>
      <c r="L2012">
        <v>3759021.04</v>
      </c>
      <c r="M2012">
        <v>15000</v>
      </c>
      <c r="N2012">
        <v>3774021.04</v>
      </c>
      <c r="O2012">
        <v>89262.560075685906</v>
      </c>
      <c r="P2012">
        <v>190260</v>
      </c>
      <c r="Q2012">
        <v>3583761.04</v>
      </c>
      <c r="R2012">
        <v>84762.560075685906</v>
      </c>
      <c r="S2012" s="238" t="s">
        <v>137</v>
      </c>
      <c r="T2012" s="238" t="s">
        <v>1167</v>
      </c>
      <c r="V2012" t="s">
        <v>4092</v>
      </c>
      <c r="W2012" s="24">
        <v>45150</v>
      </c>
      <c r="X2012" s="238" t="s">
        <v>5056</v>
      </c>
      <c r="Y2012" s="238" t="s">
        <v>39</v>
      </c>
      <c r="Z2012" s="238" t="s">
        <v>1340</v>
      </c>
      <c r="AA2012" t="s">
        <v>3113</v>
      </c>
      <c r="AB2012" s="238" t="s">
        <v>3246</v>
      </c>
      <c r="AC2012" t="s">
        <v>3079</v>
      </c>
      <c r="AD2012" s="24"/>
      <c r="AE2012" s="238" t="s">
        <v>5057</v>
      </c>
      <c r="AF2012">
        <v>79277264634</v>
      </c>
      <c r="AG2012" s="238" t="s">
        <v>5058</v>
      </c>
      <c r="AH2012" s="238" t="s">
        <v>4072</v>
      </c>
      <c r="AI2012" s="238" t="s">
        <v>6406</v>
      </c>
      <c r="AJ2012" s="238" t="s">
        <v>126</v>
      </c>
      <c r="AK2012" s="238" t="s">
        <v>141</v>
      </c>
      <c r="AL2012" t="s">
        <v>57</v>
      </c>
      <c r="AM2012" t="s">
        <v>1167</v>
      </c>
    </row>
    <row r="2013" spans="1:39" x14ac:dyDescent="0.25">
      <c r="A2013">
        <v>2010</v>
      </c>
      <c r="B2013">
        <v>11</v>
      </c>
      <c r="C2013" s="24">
        <v>45185</v>
      </c>
      <c r="D2013" s="238" t="s">
        <v>3388</v>
      </c>
      <c r="E2013" s="238" t="s">
        <v>5</v>
      </c>
      <c r="F2013">
        <v>7</v>
      </c>
      <c r="G2013">
        <v>3</v>
      </c>
      <c r="H2013">
        <v>131</v>
      </c>
      <c r="I2013" s="238" t="s">
        <v>42</v>
      </c>
      <c r="J2013">
        <v>42.28</v>
      </c>
      <c r="K2013" s="238" t="s">
        <v>37</v>
      </c>
      <c r="L2013">
        <v>3759021.04</v>
      </c>
      <c r="M2013">
        <v>15000</v>
      </c>
      <c r="N2013">
        <v>3774021.04</v>
      </c>
      <c r="O2013">
        <v>89262.560075685906</v>
      </c>
      <c r="P2013">
        <v>190260</v>
      </c>
      <c r="Q2013">
        <v>3583761.04</v>
      </c>
      <c r="R2013">
        <v>84762.560075685906</v>
      </c>
      <c r="S2013" s="238" t="s">
        <v>137</v>
      </c>
      <c r="T2013" s="238" t="s">
        <v>1167</v>
      </c>
      <c r="V2013" t="s">
        <v>4092</v>
      </c>
      <c r="W2013" s="24">
        <v>45150</v>
      </c>
      <c r="X2013" s="238" t="s">
        <v>5059</v>
      </c>
      <c r="Y2013" s="238" t="s">
        <v>39</v>
      </c>
      <c r="Z2013" s="238" t="s">
        <v>1340</v>
      </c>
      <c r="AA2013" t="s">
        <v>3113</v>
      </c>
      <c r="AB2013" s="238" t="s">
        <v>3246</v>
      </c>
      <c r="AC2013" t="s">
        <v>3079</v>
      </c>
      <c r="AD2013" s="24"/>
      <c r="AE2013" s="238" t="s">
        <v>5060</v>
      </c>
      <c r="AF2013">
        <v>79377951535</v>
      </c>
      <c r="AG2013" s="238" t="s">
        <v>5061</v>
      </c>
      <c r="AH2013" s="238" t="s">
        <v>4072</v>
      </c>
      <c r="AI2013" s="238" t="s">
        <v>6406</v>
      </c>
      <c r="AJ2013" s="238" t="s">
        <v>126</v>
      </c>
      <c r="AK2013" s="238" t="s">
        <v>141</v>
      </c>
      <c r="AL2013" t="s">
        <v>57</v>
      </c>
      <c r="AM2013" t="s">
        <v>1167</v>
      </c>
    </row>
    <row r="2014" spans="1:39" x14ac:dyDescent="0.25">
      <c r="A2014">
        <v>2011</v>
      </c>
      <c r="B2014">
        <v>12</v>
      </c>
      <c r="C2014" s="24">
        <v>45185</v>
      </c>
      <c r="D2014" s="238" t="s">
        <v>3388</v>
      </c>
      <c r="E2014" s="238" t="s">
        <v>5</v>
      </c>
      <c r="F2014">
        <v>5</v>
      </c>
      <c r="G2014">
        <v>10</v>
      </c>
      <c r="H2014">
        <v>178</v>
      </c>
      <c r="I2014" s="238" t="s">
        <v>42</v>
      </c>
      <c r="J2014">
        <v>37.86</v>
      </c>
      <c r="K2014" s="238" t="s">
        <v>37</v>
      </c>
      <c r="L2014">
        <v>3533381.18</v>
      </c>
      <c r="M2014">
        <v>15000</v>
      </c>
      <c r="N2014">
        <v>3548381.18</v>
      </c>
      <c r="O2014">
        <v>93723.750132065514</v>
      </c>
      <c r="P2014">
        <v>170370</v>
      </c>
      <c r="Q2014">
        <v>3378011.18</v>
      </c>
      <c r="R2014">
        <v>89223.750132065514</v>
      </c>
      <c r="S2014" s="238" t="s">
        <v>137</v>
      </c>
      <c r="T2014" s="238" t="s">
        <v>1167</v>
      </c>
      <c r="V2014" t="s">
        <v>4091</v>
      </c>
      <c r="W2014" s="24">
        <v>45155</v>
      </c>
      <c r="X2014" s="238" t="s">
        <v>5062</v>
      </c>
      <c r="Y2014" s="238" t="s">
        <v>39</v>
      </c>
      <c r="Z2014" s="238" t="s">
        <v>1340</v>
      </c>
      <c r="AA2014" t="s">
        <v>3113</v>
      </c>
      <c r="AB2014" s="238" t="s">
        <v>3246</v>
      </c>
      <c r="AC2014" t="s">
        <v>3079</v>
      </c>
      <c r="AD2014" s="24"/>
      <c r="AE2014" s="238" t="s">
        <v>1177</v>
      </c>
      <c r="AF2014">
        <v>79270107370</v>
      </c>
      <c r="AG2014" s="238" t="s">
        <v>1178</v>
      </c>
      <c r="AH2014" s="238" t="s">
        <v>1171</v>
      </c>
      <c r="AI2014" s="238" t="s">
        <v>3090</v>
      </c>
      <c r="AJ2014" s="238" t="s">
        <v>126</v>
      </c>
      <c r="AK2014" s="238" t="s">
        <v>141</v>
      </c>
      <c r="AL2014" t="s">
        <v>8715</v>
      </c>
      <c r="AM2014" t="s">
        <v>1167</v>
      </c>
    </row>
    <row r="2015" spans="1:39" hidden="1" x14ac:dyDescent="0.25">
      <c r="A2015">
        <v>2012</v>
      </c>
      <c r="B2015">
        <v>13</v>
      </c>
      <c r="C2015" s="24">
        <v>45185</v>
      </c>
      <c r="D2015" s="238" t="s">
        <v>91</v>
      </c>
      <c r="E2015" s="238" t="s">
        <v>15</v>
      </c>
      <c r="F2015">
        <v>5</v>
      </c>
      <c r="G2015">
        <v>11</v>
      </c>
      <c r="H2015">
        <v>487</v>
      </c>
      <c r="I2015" s="238" t="s">
        <v>43</v>
      </c>
      <c r="J2015">
        <v>56.04</v>
      </c>
      <c r="K2015" s="238" t="s">
        <v>36</v>
      </c>
      <c r="L2015">
        <v>4868239.63</v>
      </c>
      <c r="M2015">
        <v>0</v>
      </c>
      <c r="N2015">
        <v>4868239.63</v>
      </c>
      <c r="O2015">
        <v>86870.799964311213</v>
      </c>
      <c r="P2015">
        <v>0</v>
      </c>
      <c r="Q2015">
        <v>4868239.63</v>
      </c>
      <c r="R2015">
        <v>86870.799964311213</v>
      </c>
      <c r="S2015" s="238" t="s">
        <v>137</v>
      </c>
      <c r="T2015" s="238" t="s">
        <v>1167</v>
      </c>
      <c r="V2015" t="s">
        <v>4092</v>
      </c>
      <c r="W2015" s="24">
        <v>45162</v>
      </c>
      <c r="X2015" s="238" t="s">
        <v>5063</v>
      </c>
      <c r="Y2015" s="238" t="s">
        <v>39</v>
      </c>
      <c r="Z2015" s="238" t="s">
        <v>1340</v>
      </c>
      <c r="AA2015" t="s">
        <v>3113</v>
      </c>
      <c r="AB2015" s="238" t="s">
        <v>3246</v>
      </c>
      <c r="AC2015" t="s">
        <v>3079</v>
      </c>
      <c r="AD2015" s="24"/>
      <c r="AE2015" s="238" t="s">
        <v>5064</v>
      </c>
      <c r="AF2015">
        <v>79179536363</v>
      </c>
      <c r="AG2015" s="238" t="s">
        <v>5065</v>
      </c>
      <c r="AH2015" s="238" t="s">
        <v>1212</v>
      </c>
      <c r="AI2015" s="238" t="s">
        <v>135</v>
      </c>
      <c r="AJ2015" s="238" t="s">
        <v>4177</v>
      </c>
      <c r="AK2015" s="238" t="s">
        <v>3345</v>
      </c>
      <c r="AL2015" t="s">
        <v>8715</v>
      </c>
      <c r="AM2015" t="s">
        <v>1167</v>
      </c>
    </row>
    <row r="2016" spans="1:39" x14ac:dyDescent="0.25">
      <c r="A2016">
        <v>2013</v>
      </c>
      <c r="B2016">
        <v>14</v>
      </c>
      <c r="C2016" s="24">
        <v>45184</v>
      </c>
      <c r="D2016" s="238" t="s">
        <v>3388</v>
      </c>
      <c r="E2016" s="238" t="s">
        <v>5</v>
      </c>
      <c r="F2016">
        <v>5</v>
      </c>
      <c r="G2016">
        <v>14</v>
      </c>
      <c r="H2016">
        <v>206</v>
      </c>
      <c r="I2016" s="238" t="s">
        <v>42</v>
      </c>
      <c r="J2016">
        <v>37.86</v>
      </c>
      <c r="K2016" s="238" t="s">
        <v>37</v>
      </c>
      <c r="L2016">
        <v>3533381.18</v>
      </c>
      <c r="M2016">
        <v>15000</v>
      </c>
      <c r="N2016">
        <v>3548381.18</v>
      </c>
      <c r="O2016">
        <v>93723.750132065514</v>
      </c>
      <c r="P2016">
        <v>170370</v>
      </c>
      <c r="Q2016">
        <v>3378011.18</v>
      </c>
      <c r="R2016">
        <v>89223.750132065514</v>
      </c>
      <c r="S2016" s="238" t="s">
        <v>137</v>
      </c>
      <c r="T2016" s="238" t="s">
        <v>1167</v>
      </c>
      <c r="V2016" t="s">
        <v>4092</v>
      </c>
      <c r="W2016" s="24">
        <v>45156</v>
      </c>
      <c r="X2016" s="238" t="s">
        <v>5066</v>
      </c>
      <c r="Y2016" s="238" t="s">
        <v>39</v>
      </c>
      <c r="Z2016" s="238" t="s">
        <v>1340</v>
      </c>
      <c r="AA2016" t="s">
        <v>3113</v>
      </c>
      <c r="AB2016" s="238" t="s">
        <v>3246</v>
      </c>
      <c r="AC2016" t="s">
        <v>3079</v>
      </c>
      <c r="AD2016" s="24"/>
      <c r="AE2016" s="238" t="s">
        <v>5067</v>
      </c>
      <c r="AF2016">
        <v>79110042883</v>
      </c>
      <c r="AG2016" s="238" t="s">
        <v>5068</v>
      </c>
      <c r="AH2016" s="238" t="s">
        <v>1171</v>
      </c>
      <c r="AI2016" s="238" t="s">
        <v>135</v>
      </c>
      <c r="AJ2016" s="238" t="s">
        <v>126</v>
      </c>
      <c r="AK2016" s="238" t="s">
        <v>3345</v>
      </c>
      <c r="AL2016" t="s">
        <v>8715</v>
      </c>
      <c r="AM2016" t="s">
        <v>1167</v>
      </c>
    </row>
    <row r="2017" spans="1:39" x14ac:dyDescent="0.25">
      <c r="A2017">
        <v>2014</v>
      </c>
      <c r="B2017">
        <v>15</v>
      </c>
      <c r="C2017" s="24">
        <v>45184</v>
      </c>
      <c r="D2017" s="238" t="s">
        <v>3388</v>
      </c>
      <c r="E2017" s="238" t="s">
        <v>15</v>
      </c>
      <c r="F2017">
        <v>5</v>
      </c>
      <c r="G2017">
        <v>8</v>
      </c>
      <c r="H2017">
        <v>449</v>
      </c>
      <c r="I2017" s="238" t="s">
        <v>43</v>
      </c>
      <c r="J2017">
        <v>57.8</v>
      </c>
      <c r="K2017" s="238" t="s">
        <v>38</v>
      </c>
      <c r="L2017">
        <v>5455745.7199999997</v>
      </c>
      <c r="M2017">
        <v>15000</v>
      </c>
      <c r="N2017">
        <v>5470745.7199999997</v>
      </c>
      <c r="O2017">
        <v>94649.579930795851</v>
      </c>
      <c r="P2017">
        <v>895900</v>
      </c>
      <c r="Q2017">
        <v>4574845.72</v>
      </c>
      <c r="R2017">
        <v>79149.579930795851</v>
      </c>
      <c r="S2017" s="238" t="s">
        <v>137</v>
      </c>
      <c r="T2017" s="238" t="s">
        <v>1167</v>
      </c>
      <c r="V2017" t="s">
        <v>4092</v>
      </c>
      <c r="W2017" s="24">
        <v>45156</v>
      </c>
      <c r="X2017" s="238" t="s">
        <v>5069</v>
      </c>
      <c r="Y2017" s="238" t="s">
        <v>39</v>
      </c>
      <c r="Z2017" s="238" t="s">
        <v>1340</v>
      </c>
      <c r="AA2017" t="s">
        <v>3113</v>
      </c>
      <c r="AB2017" s="238" t="s">
        <v>3246</v>
      </c>
      <c r="AC2017" t="s">
        <v>3079</v>
      </c>
      <c r="AD2017" s="24"/>
      <c r="AE2017" s="238" t="s">
        <v>5070</v>
      </c>
      <c r="AF2017">
        <v>79967376050</v>
      </c>
      <c r="AG2017" s="238" t="s">
        <v>5071</v>
      </c>
      <c r="AH2017" s="238" t="s">
        <v>1171</v>
      </c>
      <c r="AI2017" s="238" t="s">
        <v>135</v>
      </c>
      <c r="AJ2017" s="238" t="s">
        <v>126</v>
      </c>
      <c r="AK2017" s="238" t="s">
        <v>3345</v>
      </c>
      <c r="AL2017" t="s">
        <v>8715</v>
      </c>
      <c r="AM2017" t="s">
        <v>1167</v>
      </c>
    </row>
    <row r="2018" spans="1:39" x14ac:dyDescent="0.25">
      <c r="A2018">
        <v>2015</v>
      </c>
      <c r="B2018">
        <v>16</v>
      </c>
      <c r="C2018" s="24">
        <v>45184</v>
      </c>
      <c r="D2018" s="238" t="s">
        <v>3388</v>
      </c>
      <c r="E2018" s="238" t="s">
        <v>6</v>
      </c>
      <c r="F2018">
        <v>3</v>
      </c>
      <c r="G2018">
        <v>14</v>
      </c>
      <c r="H2018">
        <v>93</v>
      </c>
      <c r="I2018" s="238" t="s">
        <v>42</v>
      </c>
      <c r="J2018">
        <v>37.729999999999997</v>
      </c>
      <c r="K2018" s="238" t="s">
        <v>36</v>
      </c>
      <c r="L2018">
        <v>3290204.6</v>
      </c>
      <c r="M2018">
        <v>15000</v>
      </c>
      <c r="N2018">
        <v>3305204.6</v>
      </c>
      <c r="O2018">
        <v>87601.500132520552</v>
      </c>
      <c r="P2018">
        <v>0</v>
      </c>
      <c r="Q2018">
        <v>3305204.6</v>
      </c>
      <c r="R2018">
        <v>87601.500132520552</v>
      </c>
      <c r="S2018" s="238" t="s">
        <v>137</v>
      </c>
      <c r="T2018" s="238" t="s">
        <v>1167</v>
      </c>
      <c r="V2018" t="s">
        <v>4092</v>
      </c>
      <c r="W2018" s="24">
        <v>45156</v>
      </c>
      <c r="X2018" s="238" t="s">
        <v>5072</v>
      </c>
      <c r="Y2018" s="238" t="s">
        <v>39</v>
      </c>
      <c r="Z2018" s="238" t="s">
        <v>1340</v>
      </c>
      <c r="AA2018" t="s">
        <v>3113</v>
      </c>
      <c r="AB2018" s="238" t="s">
        <v>3246</v>
      </c>
      <c r="AC2018" t="s">
        <v>3079</v>
      </c>
      <c r="AD2018" s="24"/>
      <c r="AE2018" s="238" t="s">
        <v>5073</v>
      </c>
      <c r="AF2018">
        <v>79379892542</v>
      </c>
      <c r="AG2018" s="238" t="s">
        <v>5074</v>
      </c>
      <c r="AH2018" s="238" t="s">
        <v>1212</v>
      </c>
      <c r="AI2018" s="238" t="s">
        <v>3097</v>
      </c>
      <c r="AJ2018" s="238" t="s">
        <v>126</v>
      </c>
      <c r="AK2018" s="238" t="s">
        <v>3345</v>
      </c>
      <c r="AL2018" t="s">
        <v>8715</v>
      </c>
      <c r="AM2018" t="s">
        <v>1167</v>
      </c>
    </row>
    <row r="2019" spans="1:39" x14ac:dyDescent="0.25">
      <c r="A2019">
        <v>2016</v>
      </c>
      <c r="B2019">
        <v>17</v>
      </c>
      <c r="C2019" s="24">
        <v>45184</v>
      </c>
      <c r="D2019" s="238" t="s">
        <v>3388</v>
      </c>
      <c r="E2019" s="238" t="s">
        <v>6</v>
      </c>
      <c r="F2019">
        <v>5</v>
      </c>
      <c r="G2019">
        <v>4</v>
      </c>
      <c r="H2019">
        <v>25</v>
      </c>
      <c r="I2019" s="238" t="s">
        <v>43</v>
      </c>
      <c r="J2019">
        <v>62.17</v>
      </c>
      <c r="K2019" s="238" t="s">
        <v>38</v>
      </c>
      <c r="L2019">
        <v>5989382.3300000001</v>
      </c>
      <c r="M2019">
        <v>15000</v>
      </c>
      <c r="N2019">
        <v>6004382.3300000001</v>
      </c>
      <c r="O2019">
        <v>96580.059996783006</v>
      </c>
      <c r="P2019">
        <v>963635</v>
      </c>
      <c r="Q2019">
        <v>5040747.33</v>
      </c>
      <c r="R2019">
        <v>81080.05999678302</v>
      </c>
      <c r="S2019" s="238" t="s">
        <v>137</v>
      </c>
      <c r="T2019" s="238" t="s">
        <v>1167</v>
      </c>
      <c r="V2019" t="s">
        <v>4092</v>
      </c>
      <c r="W2019" s="24">
        <v>45157</v>
      </c>
      <c r="X2019" s="238" t="s">
        <v>5075</v>
      </c>
      <c r="Y2019" s="238" t="s">
        <v>39</v>
      </c>
      <c r="Z2019" s="238" t="s">
        <v>1340</v>
      </c>
      <c r="AA2019" t="s">
        <v>3113</v>
      </c>
      <c r="AB2019" s="238" t="s">
        <v>3246</v>
      </c>
      <c r="AC2019" t="s">
        <v>3079</v>
      </c>
      <c r="AD2019" s="24"/>
      <c r="AE2019" s="238" t="s">
        <v>5076</v>
      </c>
      <c r="AF2019">
        <v>79272975663</v>
      </c>
      <c r="AG2019" s="238" t="s">
        <v>5077</v>
      </c>
      <c r="AH2019" s="238" t="s">
        <v>1171</v>
      </c>
      <c r="AI2019" s="238" t="s">
        <v>3074</v>
      </c>
      <c r="AJ2019" s="238" t="s">
        <v>3901</v>
      </c>
      <c r="AK2019" s="238" t="s">
        <v>141</v>
      </c>
      <c r="AL2019" t="s">
        <v>8715</v>
      </c>
      <c r="AM2019" t="s">
        <v>1167</v>
      </c>
    </row>
    <row r="2020" spans="1:39" x14ac:dyDescent="0.25">
      <c r="A2020">
        <v>2017</v>
      </c>
      <c r="B2020">
        <v>18</v>
      </c>
      <c r="C2020" s="24">
        <v>45184</v>
      </c>
      <c r="D2020" s="238" t="s">
        <v>3388</v>
      </c>
      <c r="E2020" s="238" t="s">
        <v>5</v>
      </c>
      <c r="F2020">
        <v>3</v>
      </c>
      <c r="G2020">
        <v>14</v>
      </c>
      <c r="H2020">
        <v>204</v>
      </c>
      <c r="I2020" s="238" t="s">
        <v>43</v>
      </c>
      <c r="J2020">
        <v>57.6</v>
      </c>
      <c r="K2020" s="238" t="s">
        <v>38</v>
      </c>
      <c r="L2020">
        <v>5778619.7800000003</v>
      </c>
      <c r="M2020">
        <v>0</v>
      </c>
      <c r="N2020">
        <v>5778619.7800000003</v>
      </c>
      <c r="O2020">
        <v>100323.26006944444</v>
      </c>
      <c r="P2020">
        <v>921600</v>
      </c>
      <c r="Q2020">
        <v>4857019.78</v>
      </c>
      <c r="R2020">
        <v>84323.260069444441</v>
      </c>
      <c r="S2020" s="238" t="s">
        <v>137</v>
      </c>
      <c r="T2020" s="238" t="s">
        <v>1167</v>
      </c>
      <c r="V2020" t="s">
        <v>4092</v>
      </c>
      <c r="W2020" s="24">
        <v>45167</v>
      </c>
      <c r="X2020" s="238" t="s">
        <v>5078</v>
      </c>
      <c r="Y2020" s="238" t="s">
        <v>39</v>
      </c>
      <c r="Z2020" s="238" t="s">
        <v>1340</v>
      </c>
      <c r="AA2020" t="s">
        <v>3113</v>
      </c>
      <c r="AB2020" s="238" t="s">
        <v>3246</v>
      </c>
      <c r="AC2020" t="s">
        <v>3079</v>
      </c>
      <c r="AD2020" s="24"/>
      <c r="AE2020" s="238" t="s">
        <v>5079</v>
      </c>
      <c r="AF2020">
        <v>79276051723</v>
      </c>
      <c r="AG2020" s="238" t="s">
        <v>5080</v>
      </c>
      <c r="AH2020" s="238" t="s">
        <v>1171</v>
      </c>
      <c r="AI2020" s="238" t="s">
        <v>135</v>
      </c>
      <c r="AJ2020" s="238" t="s">
        <v>126</v>
      </c>
      <c r="AK2020" s="238" t="s">
        <v>3345</v>
      </c>
      <c r="AL2020" t="s">
        <v>8715</v>
      </c>
      <c r="AM2020" t="s">
        <v>1167</v>
      </c>
    </row>
    <row r="2021" spans="1:39" x14ac:dyDescent="0.25">
      <c r="A2021">
        <v>2018</v>
      </c>
      <c r="B2021">
        <v>19</v>
      </c>
      <c r="C2021" s="24">
        <v>45184</v>
      </c>
      <c r="D2021" s="238" t="s">
        <v>3388</v>
      </c>
      <c r="E2021" s="238" t="s">
        <v>16</v>
      </c>
      <c r="F2021">
        <v>7</v>
      </c>
      <c r="G2021">
        <v>13</v>
      </c>
      <c r="H2021">
        <v>312</v>
      </c>
      <c r="I2021" s="238" t="s">
        <v>42</v>
      </c>
      <c r="J2021">
        <v>34.81</v>
      </c>
      <c r="K2021" s="238" t="s">
        <v>36</v>
      </c>
      <c r="L2021">
        <v>3350610.44</v>
      </c>
      <c r="M2021">
        <v>0</v>
      </c>
      <c r="N2021">
        <v>3350610.44</v>
      </c>
      <c r="O2021">
        <v>96254.249928181554</v>
      </c>
      <c r="P2021">
        <v>0</v>
      </c>
      <c r="Q2021">
        <v>3350610.44</v>
      </c>
      <c r="R2021">
        <v>96254.249928181554</v>
      </c>
      <c r="S2021" s="238" t="s">
        <v>137</v>
      </c>
      <c r="T2021" s="238" t="s">
        <v>1167</v>
      </c>
      <c r="V2021" t="s">
        <v>4091</v>
      </c>
      <c r="W2021" s="24">
        <v>45176</v>
      </c>
      <c r="X2021" s="238" t="s">
        <v>5081</v>
      </c>
      <c r="Y2021" s="238" t="s">
        <v>39</v>
      </c>
      <c r="Z2021" s="238" t="s">
        <v>1340</v>
      </c>
      <c r="AA2021" t="s">
        <v>3113</v>
      </c>
      <c r="AB2021" s="238" t="s">
        <v>3246</v>
      </c>
      <c r="AC2021" t="s">
        <v>3079</v>
      </c>
      <c r="AD2021" s="24"/>
      <c r="AE2021" s="238" t="s">
        <v>5082</v>
      </c>
      <c r="AF2021">
        <v>79170323817</v>
      </c>
      <c r="AG2021" s="238" t="s">
        <v>5083</v>
      </c>
      <c r="AH2021" s="238" t="s">
        <v>4072</v>
      </c>
      <c r="AI2021" s="238" t="s">
        <v>6406</v>
      </c>
      <c r="AJ2021" s="238" t="s">
        <v>3901</v>
      </c>
      <c r="AK2021" s="238" t="s">
        <v>141</v>
      </c>
      <c r="AL2021" t="s">
        <v>57</v>
      </c>
      <c r="AM2021" t="s">
        <v>1167</v>
      </c>
    </row>
    <row r="2022" spans="1:39" x14ac:dyDescent="0.25">
      <c r="A2022">
        <v>2019</v>
      </c>
      <c r="B2022">
        <v>20</v>
      </c>
      <c r="C2022" s="24">
        <v>45184</v>
      </c>
      <c r="D2022" s="238" t="s">
        <v>3388</v>
      </c>
      <c r="E2022" s="238" t="s">
        <v>15</v>
      </c>
      <c r="F2022">
        <v>7</v>
      </c>
      <c r="G2022">
        <v>10</v>
      </c>
      <c r="H2022">
        <v>467</v>
      </c>
      <c r="I2022" s="238" t="s">
        <v>44</v>
      </c>
      <c r="J2022">
        <v>79.44</v>
      </c>
      <c r="K2022" s="238" t="s">
        <v>37</v>
      </c>
      <c r="L2022">
        <v>6958955.1200000001</v>
      </c>
      <c r="M2022">
        <v>0</v>
      </c>
      <c r="N2022">
        <v>6958955.1200000001</v>
      </c>
      <c r="O2022">
        <v>87600.139979859014</v>
      </c>
      <c r="P2022">
        <v>397200</v>
      </c>
      <c r="Q2022">
        <v>6561755.1200000001</v>
      </c>
      <c r="R2022">
        <v>82600.139979859014</v>
      </c>
      <c r="S2022" s="238" t="s">
        <v>137</v>
      </c>
      <c r="T2022" s="238" t="s">
        <v>1167</v>
      </c>
      <c r="V2022" t="s">
        <v>4093</v>
      </c>
      <c r="W2022" s="24">
        <v>45181</v>
      </c>
      <c r="X2022" s="238" t="s">
        <v>5084</v>
      </c>
      <c r="Y2022" s="238" t="s">
        <v>39</v>
      </c>
      <c r="Z2022" s="238" t="s">
        <v>1340</v>
      </c>
      <c r="AA2022" t="s">
        <v>3113</v>
      </c>
      <c r="AB2022" s="238" t="s">
        <v>3246</v>
      </c>
      <c r="AC2022" t="s">
        <v>3079</v>
      </c>
      <c r="AD2022" s="24"/>
      <c r="AE2022" s="238" t="s">
        <v>5085</v>
      </c>
      <c r="AF2022">
        <v>79173970433</v>
      </c>
      <c r="AG2022" s="238" t="s">
        <v>5086</v>
      </c>
      <c r="AH2022" s="238" t="s">
        <v>1171</v>
      </c>
      <c r="AI2022" s="238" t="s">
        <v>3090</v>
      </c>
      <c r="AJ2022" s="238" t="s">
        <v>3901</v>
      </c>
      <c r="AK2022" s="238" t="s">
        <v>141</v>
      </c>
      <c r="AL2022" t="s">
        <v>8715</v>
      </c>
      <c r="AM2022" t="s">
        <v>1167</v>
      </c>
    </row>
    <row r="2023" spans="1:39" hidden="1" x14ac:dyDescent="0.25">
      <c r="A2023">
        <v>2020</v>
      </c>
      <c r="B2023">
        <v>21</v>
      </c>
      <c r="C2023" s="24">
        <v>45184</v>
      </c>
      <c r="D2023" s="238" t="s">
        <v>91</v>
      </c>
      <c r="E2023" s="238" t="s">
        <v>6</v>
      </c>
      <c r="F2023">
        <v>1</v>
      </c>
      <c r="G2023">
        <v>14</v>
      </c>
      <c r="H2023">
        <v>97</v>
      </c>
      <c r="I2023" s="238" t="s">
        <v>42</v>
      </c>
      <c r="J2023">
        <v>33.53</v>
      </c>
      <c r="K2023" s="238" t="s">
        <v>38</v>
      </c>
      <c r="L2023">
        <v>4303099.33</v>
      </c>
      <c r="M2023">
        <v>0</v>
      </c>
      <c r="N2023">
        <v>4303099.33</v>
      </c>
      <c r="O2023">
        <v>128335.79868774232</v>
      </c>
      <c r="P2023">
        <v>737660</v>
      </c>
      <c r="Q2023">
        <v>3565439.33</v>
      </c>
      <c r="R2023">
        <v>106335.79868774232</v>
      </c>
      <c r="S2023" s="238" t="s">
        <v>124</v>
      </c>
      <c r="T2023" s="238" t="s">
        <v>978</v>
      </c>
      <c r="U2023">
        <v>227581.23</v>
      </c>
      <c r="V2023" t="s">
        <v>1167</v>
      </c>
      <c r="W2023" s="24">
        <v>45182</v>
      </c>
      <c r="X2023" s="238" t="s">
        <v>5087</v>
      </c>
      <c r="Y2023" s="238" t="s">
        <v>39</v>
      </c>
      <c r="Z2023" s="238" t="s">
        <v>1340</v>
      </c>
      <c r="AA2023" t="s">
        <v>3474</v>
      </c>
      <c r="AB2023" s="238" t="s">
        <v>3246</v>
      </c>
      <c r="AC2023" t="s">
        <v>1167</v>
      </c>
      <c r="AD2023" s="24"/>
      <c r="AE2023" s="238" t="s">
        <v>5088</v>
      </c>
      <c r="AF2023">
        <v>79277046938</v>
      </c>
      <c r="AG2023" s="238" t="s">
        <v>7856</v>
      </c>
      <c r="AH2023" s="238" t="s">
        <v>1212</v>
      </c>
      <c r="AI2023" s="238" t="s">
        <v>3102</v>
      </c>
      <c r="AJ2023" s="238" t="s">
        <v>130</v>
      </c>
      <c r="AK2023" s="238" t="s">
        <v>1167</v>
      </c>
      <c r="AL2023" t="s">
        <v>8715</v>
      </c>
      <c r="AM2023" t="s">
        <v>1167</v>
      </c>
    </row>
    <row r="2024" spans="1:39" x14ac:dyDescent="0.25">
      <c r="A2024">
        <v>2021</v>
      </c>
      <c r="B2024">
        <v>22</v>
      </c>
      <c r="C2024" s="24">
        <v>45184</v>
      </c>
      <c r="D2024" s="238" t="s">
        <v>3388</v>
      </c>
      <c r="E2024" s="238" t="s">
        <v>5</v>
      </c>
      <c r="F2024">
        <v>3</v>
      </c>
      <c r="G2024">
        <v>7</v>
      </c>
      <c r="H2024">
        <v>155</v>
      </c>
      <c r="I2024" s="238" t="s">
        <v>43</v>
      </c>
      <c r="J2024">
        <v>57.6</v>
      </c>
      <c r="K2024" s="238" t="s">
        <v>36</v>
      </c>
      <c r="L2024">
        <v>4786524.0999999996</v>
      </c>
      <c r="M2024">
        <v>0</v>
      </c>
      <c r="N2024">
        <v>4786524.0999999996</v>
      </c>
      <c r="O2024">
        <v>83099.376736111109</v>
      </c>
      <c r="P2024">
        <v>0</v>
      </c>
      <c r="Q2024">
        <v>4786524.0999999996</v>
      </c>
      <c r="R2024">
        <v>83099.376736111109</v>
      </c>
      <c r="S2024" s="238" t="s">
        <v>137</v>
      </c>
      <c r="T2024" s="238" t="s">
        <v>3515</v>
      </c>
      <c r="U2024">
        <v>120000</v>
      </c>
      <c r="V2024" t="s">
        <v>4091</v>
      </c>
      <c r="W2024" s="24">
        <v>45182</v>
      </c>
      <c r="X2024" s="238" t="s">
        <v>5090</v>
      </c>
      <c r="Y2024" s="238" t="s">
        <v>39</v>
      </c>
      <c r="Z2024" s="238" t="s">
        <v>1340</v>
      </c>
      <c r="AA2024" t="s">
        <v>3113</v>
      </c>
      <c r="AB2024" s="238" t="s">
        <v>3246</v>
      </c>
      <c r="AC2024" t="s">
        <v>3079</v>
      </c>
      <c r="AD2024" s="24"/>
      <c r="AE2024" s="238" t="s">
        <v>5091</v>
      </c>
      <c r="AF2024">
        <v>79063411094</v>
      </c>
      <c r="AG2024" s="238" t="s">
        <v>5092</v>
      </c>
      <c r="AH2024" s="238" t="s">
        <v>1212</v>
      </c>
      <c r="AI2024" s="238" t="s">
        <v>135</v>
      </c>
      <c r="AJ2024" s="238" t="s">
        <v>4177</v>
      </c>
      <c r="AK2024" s="238" t="s">
        <v>141</v>
      </c>
      <c r="AL2024" t="s">
        <v>8715</v>
      </c>
      <c r="AM2024" t="s">
        <v>1167</v>
      </c>
    </row>
    <row r="2025" spans="1:39" hidden="1" x14ac:dyDescent="0.25">
      <c r="A2025">
        <v>2022</v>
      </c>
      <c r="B2025">
        <v>23</v>
      </c>
      <c r="C2025" s="24">
        <v>45184</v>
      </c>
      <c r="D2025" s="238" t="s">
        <v>3388</v>
      </c>
      <c r="E2025" s="238" t="s">
        <v>5</v>
      </c>
      <c r="F2025">
        <v>2</v>
      </c>
      <c r="G2025">
        <v>5</v>
      </c>
      <c r="H2025">
        <v>140</v>
      </c>
      <c r="I2025" s="238" t="s">
        <v>4052</v>
      </c>
      <c r="J2025">
        <v>24.28</v>
      </c>
      <c r="K2025" s="238" t="s">
        <v>36</v>
      </c>
      <c r="L2025">
        <v>2190773.4700000002</v>
      </c>
      <c r="M2025">
        <v>0</v>
      </c>
      <c r="N2025">
        <v>2190773.4700000002</v>
      </c>
      <c r="O2025">
        <v>90229.549835255355</v>
      </c>
      <c r="P2025">
        <v>0</v>
      </c>
      <c r="Q2025">
        <v>2190773.4700000002</v>
      </c>
      <c r="R2025">
        <v>90229.549835255355</v>
      </c>
      <c r="S2025" s="238" t="s">
        <v>124</v>
      </c>
      <c r="T2025" s="238" t="s">
        <v>1167</v>
      </c>
      <c r="V2025" t="s">
        <v>1167</v>
      </c>
      <c r="W2025" s="24">
        <v>45187</v>
      </c>
      <c r="X2025" s="238" t="s">
        <v>5093</v>
      </c>
      <c r="Y2025" s="238" t="s">
        <v>1172</v>
      </c>
      <c r="Z2025" s="238" t="s">
        <v>1340</v>
      </c>
      <c r="AA2025" t="s">
        <v>3113</v>
      </c>
      <c r="AB2025" s="238" t="s">
        <v>3246</v>
      </c>
      <c r="AC2025" t="s">
        <v>1167</v>
      </c>
      <c r="AD2025" s="24">
        <v>45764</v>
      </c>
      <c r="AE2025" s="238" t="s">
        <v>1173</v>
      </c>
      <c r="AF2025">
        <v>79171682931</v>
      </c>
      <c r="AG2025" s="238" t="s">
        <v>1174</v>
      </c>
      <c r="AH2025" s="238" t="s">
        <v>1197</v>
      </c>
      <c r="AI2025" s="238" t="s">
        <v>3103</v>
      </c>
      <c r="AJ2025" s="238" t="s">
        <v>982</v>
      </c>
      <c r="AK2025" s="238" t="s">
        <v>1167</v>
      </c>
      <c r="AL2025" t="s">
        <v>8715</v>
      </c>
      <c r="AM2025" t="s">
        <v>5094</v>
      </c>
    </row>
    <row r="2026" spans="1:39" x14ac:dyDescent="0.25">
      <c r="A2026">
        <v>2023</v>
      </c>
      <c r="B2026">
        <v>24</v>
      </c>
      <c r="C2026" s="24">
        <v>45187</v>
      </c>
      <c r="D2026" s="238" t="s">
        <v>3388</v>
      </c>
      <c r="E2026" s="238" t="s">
        <v>15</v>
      </c>
      <c r="F2026">
        <v>1</v>
      </c>
      <c r="G2026">
        <v>6</v>
      </c>
      <c r="H2026">
        <v>429</v>
      </c>
      <c r="I2026" s="238" t="s">
        <v>4052</v>
      </c>
      <c r="J2026">
        <v>29.4</v>
      </c>
      <c r="K2026" s="238" t="s">
        <v>37</v>
      </c>
      <c r="L2026">
        <v>2744293.78</v>
      </c>
      <c r="M2026">
        <v>15000</v>
      </c>
      <c r="N2026">
        <v>2759293.78</v>
      </c>
      <c r="O2026">
        <v>93853.529931972793</v>
      </c>
      <c r="P2026">
        <v>132300</v>
      </c>
      <c r="Q2026">
        <v>2626993.7799999998</v>
      </c>
      <c r="R2026">
        <v>89353.529931972793</v>
      </c>
      <c r="S2026" s="238" t="s">
        <v>137</v>
      </c>
      <c r="T2026" s="238" t="s">
        <v>1167</v>
      </c>
      <c r="V2026" t="s">
        <v>4091</v>
      </c>
      <c r="W2026" s="24">
        <v>45129</v>
      </c>
      <c r="X2026" s="238" t="s">
        <v>5095</v>
      </c>
      <c r="Y2026" s="238" t="s">
        <v>39</v>
      </c>
      <c r="Z2026" s="238" t="s">
        <v>1340</v>
      </c>
      <c r="AA2026" t="s">
        <v>3113</v>
      </c>
      <c r="AB2026" s="238" t="s">
        <v>3246</v>
      </c>
      <c r="AC2026" t="s">
        <v>3079</v>
      </c>
      <c r="AD2026" s="24"/>
      <c r="AE2026" s="238" t="s">
        <v>3878</v>
      </c>
      <c r="AF2026">
        <v>79633434335</v>
      </c>
      <c r="AG2026" s="238" t="s">
        <v>3879</v>
      </c>
      <c r="AH2026" s="238" t="s">
        <v>1212</v>
      </c>
      <c r="AI2026" s="238" t="s">
        <v>3082</v>
      </c>
      <c r="AJ2026" s="238" t="s">
        <v>4177</v>
      </c>
      <c r="AK2026" s="238" t="s">
        <v>141</v>
      </c>
      <c r="AL2026" t="s">
        <v>8715</v>
      </c>
      <c r="AM2026" t="s">
        <v>1167</v>
      </c>
    </row>
    <row r="2027" spans="1:39" x14ac:dyDescent="0.25">
      <c r="A2027">
        <v>2024</v>
      </c>
      <c r="B2027">
        <v>25</v>
      </c>
      <c r="C2027" s="24">
        <v>45187</v>
      </c>
      <c r="D2027" s="238" t="s">
        <v>3388</v>
      </c>
      <c r="E2027" s="238" t="s">
        <v>15</v>
      </c>
      <c r="F2027">
        <v>3</v>
      </c>
      <c r="G2027">
        <v>11</v>
      </c>
      <c r="H2027">
        <v>471</v>
      </c>
      <c r="I2027" s="238" t="s">
        <v>4052</v>
      </c>
      <c r="J2027">
        <v>24.5</v>
      </c>
      <c r="K2027" s="238" t="s">
        <v>36</v>
      </c>
      <c r="L2027">
        <v>2217086.2200000002</v>
      </c>
      <c r="M2027">
        <v>15000</v>
      </c>
      <c r="N2027">
        <v>2232086.2200000002</v>
      </c>
      <c r="O2027">
        <v>91105.560000000012</v>
      </c>
      <c r="P2027">
        <v>0</v>
      </c>
      <c r="Q2027">
        <v>2232086.2200000002</v>
      </c>
      <c r="R2027">
        <v>91105.560000000012</v>
      </c>
      <c r="S2027" s="238" t="s">
        <v>137</v>
      </c>
      <c r="T2027" s="238" t="s">
        <v>1167</v>
      </c>
      <c r="V2027" t="s">
        <v>4092</v>
      </c>
      <c r="W2027" s="24">
        <v>45135</v>
      </c>
      <c r="X2027" s="238" t="s">
        <v>5096</v>
      </c>
      <c r="Y2027" s="238" t="s">
        <v>39</v>
      </c>
      <c r="Z2027" s="238" t="s">
        <v>1340</v>
      </c>
      <c r="AA2027" t="s">
        <v>3113</v>
      </c>
      <c r="AB2027" s="238" t="s">
        <v>3246</v>
      </c>
      <c r="AC2027" t="s">
        <v>3079</v>
      </c>
      <c r="AD2027" s="24"/>
      <c r="AE2027" s="238" t="s">
        <v>5097</v>
      </c>
      <c r="AF2027">
        <v>79171553439</v>
      </c>
      <c r="AG2027" s="238" t="s">
        <v>5098</v>
      </c>
      <c r="AH2027" s="238" t="s">
        <v>4072</v>
      </c>
      <c r="AI2027" s="238" t="s">
        <v>6406</v>
      </c>
      <c r="AJ2027" s="238" t="s">
        <v>130</v>
      </c>
      <c r="AK2027" s="238" t="s">
        <v>3345</v>
      </c>
      <c r="AL2027" t="s">
        <v>57</v>
      </c>
      <c r="AM2027" t="s">
        <v>1167</v>
      </c>
    </row>
    <row r="2028" spans="1:39" x14ac:dyDescent="0.25">
      <c r="A2028">
        <v>2025</v>
      </c>
      <c r="B2028">
        <v>26</v>
      </c>
      <c r="C2028" s="24">
        <v>45187</v>
      </c>
      <c r="D2028" s="238" t="s">
        <v>3388</v>
      </c>
      <c r="E2028" s="238" t="s">
        <v>15</v>
      </c>
      <c r="F2028">
        <v>5</v>
      </c>
      <c r="G2028">
        <v>4</v>
      </c>
      <c r="H2028">
        <v>417</v>
      </c>
      <c r="I2028" s="238" t="s">
        <v>43</v>
      </c>
      <c r="J2028">
        <v>57.8</v>
      </c>
      <c r="K2028" s="238" t="s">
        <v>36</v>
      </c>
      <c r="L2028">
        <v>4604478.3099999996</v>
      </c>
      <c r="M2028">
        <v>15000</v>
      </c>
      <c r="N2028">
        <v>4619478.3099999996</v>
      </c>
      <c r="O2028">
        <v>79921.770069204154</v>
      </c>
      <c r="P2028">
        <v>0</v>
      </c>
      <c r="Q2028">
        <v>4619478.3099999996</v>
      </c>
      <c r="R2028">
        <v>79921.770069204154</v>
      </c>
      <c r="S2028" s="238" t="s">
        <v>137</v>
      </c>
      <c r="T2028" s="238" t="s">
        <v>1167</v>
      </c>
      <c r="V2028" t="s">
        <v>4091</v>
      </c>
      <c r="W2028" s="24">
        <v>45150</v>
      </c>
      <c r="X2028" s="238" t="s">
        <v>5099</v>
      </c>
      <c r="Y2028" s="238" t="s">
        <v>39</v>
      </c>
      <c r="Z2028" s="238" t="s">
        <v>1340</v>
      </c>
      <c r="AA2028" t="s">
        <v>3113</v>
      </c>
      <c r="AB2028" s="238" t="s">
        <v>3246</v>
      </c>
      <c r="AC2028" t="s">
        <v>3079</v>
      </c>
      <c r="AD2028" s="24"/>
      <c r="AE2028" s="238" t="s">
        <v>5100</v>
      </c>
      <c r="AF2028">
        <v>79619331162</v>
      </c>
      <c r="AG2028" s="238" t="s">
        <v>5101</v>
      </c>
      <c r="AH2028" s="238" t="s">
        <v>1212</v>
      </c>
      <c r="AI2028" s="238" t="s">
        <v>3084</v>
      </c>
      <c r="AJ2028" s="238" t="s">
        <v>4177</v>
      </c>
      <c r="AK2028" s="238" t="s">
        <v>141</v>
      </c>
      <c r="AL2028" t="s">
        <v>8715</v>
      </c>
      <c r="AM2028" t="s">
        <v>1167</v>
      </c>
    </row>
    <row r="2029" spans="1:39" x14ac:dyDescent="0.25">
      <c r="A2029">
        <v>2026</v>
      </c>
      <c r="B2029">
        <v>27</v>
      </c>
      <c r="C2029" s="24">
        <v>45187</v>
      </c>
      <c r="D2029" s="238" t="s">
        <v>3388</v>
      </c>
      <c r="E2029" s="238" t="s">
        <v>6</v>
      </c>
      <c r="F2029">
        <v>4</v>
      </c>
      <c r="G2029">
        <v>5</v>
      </c>
      <c r="H2029">
        <v>31</v>
      </c>
      <c r="I2029" s="238" t="s">
        <v>43</v>
      </c>
      <c r="J2029">
        <v>59.09</v>
      </c>
      <c r="K2029" s="238" t="s">
        <v>37</v>
      </c>
      <c r="L2029">
        <v>4996296.45</v>
      </c>
      <c r="M2029">
        <v>15000</v>
      </c>
      <c r="N2029">
        <v>5011296.45</v>
      </c>
      <c r="O2029">
        <v>84807.86004400067</v>
      </c>
      <c r="P2029">
        <v>265905</v>
      </c>
      <c r="Q2029">
        <v>4745391.45</v>
      </c>
      <c r="R2029">
        <v>80307.86004400067</v>
      </c>
      <c r="S2029" s="238" t="s">
        <v>137</v>
      </c>
      <c r="T2029" s="238" t="s">
        <v>1167</v>
      </c>
      <c r="V2029" t="s">
        <v>4092</v>
      </c>
      <c r="W2029" s="24">
        <v>45152</v>
      </c>
      <c r="X2029" s="238" t="s">
        <v>5102</v>
      </c>
      <c r="Y2029" s="238" t="s">
        <v>39</v>
      </c>
      <c r="Z2029" s="238" t="s">
        <v>1340</v>
      </c>
      <c r="AA2029" t="s">
        <v>3113</v>
      </c>
      <c r="AB2029" s="238" t="s">
        <v>3246</v>
      </c>
      <c r="AC2029" t="s">
        <v>3079</v>
      </c>
      <c r="AD2029" s="24"/>
      <c r="AE2029" s="238" t="s">
        <v>5103</v>
      </c>
      <c r="AF2029">
        <v>79963428584</v>
      </c>
      <c r="AG2029" s="238" t="s">
        <v>5104</v>
      </c>
      <c r="AH2029" s="238" t="s">
        <v>146</v>
      </c>
      <c r="AI2029" s="238" t="s">
        <v>135</v>
      </c>
      <c r="AJ2029" s="238" t="s">
        <v>4177</v>
      </c>
      <c r="AK2029" s="238" t="s">
        <v>141</v>
      </c>
      <c r="AL2029" t="s">
        <v>8715</v>
      </c>
      <c r="AM2029" t="s">
        <v>1167</v>
      </c>
    </row>
    <row r="2030" spans="1:39" x14ac:dyDescent="0.25">
      <c r="A2030">
        <v>2027</v>
      </c>
      <c r="B2030">
        <v>28</v>
      </c>
      <c r="C2030" s="24">
        <v>45187</v>
      </c>
      <c r="D2030" s="238" t="s">
        <v>3388</v>
      </c>
      <c r="E2030" s="238" t="s">
        <v>15</v>
      </c>
      <c r="F2030">
        <v>3</v>
      </c>
      <c r="G2030">
        <v>2</v>
      </c>
      <c r="H2030">
        <v>399</v>
      </c>
      <c r="I2030" s="238" t="s">
        <v>4052</v>
      </c>
      <c r="J2030">
        <v>24.5</v>
      </c>
      <c r="K2030" s="238" t="s">
        <v>38</v>
      </c>
      <c r="L2030">
        <v>2618298.71</v>
      </c>
      <c r="M2030">
        <v>15000</v>
      </c>
      <c r="N2030">
        <v>2633298.71</v>
      </c>
      <c r="O2030">
        <v>107481.58</v>
      </c>
      <c r="P2030">
        <v>379750</v>
      </c>
      <c r="Q2030">
        <v>2253548.71</v>
      </c>
      <c r="R2030">
        <v>91981.58</v>
      </c>
      <c r="S2030" s="238" t="s">
        <v>137</v>
      </c>
      <c r="T2030" s="238" t="s">
        <v>1167</v>
      </c>
      <c r="V2030" t="s">
        <v>4091</v>
      </c>
      <c r="W2030" s="24">
        <v>45153</v>
      </c>
      <c r="X2030" s="238" t="s">
        <v>5105</v>
      </c>
      <c r="Y2030" s="238" t="s">
        <v>39</v>
      </c>
      <c r="Z2030" s="238" t="s">
        <v>1340</v>
      </c>
      <c r="AA2030" t="s">
        <v>3113</v>
      </c>
      <c r="AB2030" s="238" t="s">
        <v>3246</v>
      </c>
      <c r="AC2030" t="s">
        <v>3079</v>
      </c>
      <c r="AD2030" s="24"/>
      <c r="AE2030" s="238" t="s">
        <v>5106</v>
      </c>
      <c r="AF2030">
        <v>79279052323</v>
      </c>
      <c r="AG2030" s="238" t="s">
        <v>5107</v>
      </c>
      <c r="AH2030" s="238" t="s">
        <v>1212</v>
      </c>
      <c r="AI2030" s="238" t="s">
        <v>3074</v>
      </c>
      <c r="AJ2030" s="238" t="s">
        <v>4177</v>
      </c>
      <c r="AK2030" s="238" t="s">
        <v>3345</v>
      </c>
      <c r="AL2030" t="s">
        <v>8715</v>
      </c>
      <c r="AM2030" t="s">
        <v>1167</v>
      </c>
    </row>
    <row r="2031" spans="1:39" hidden="1" x14ac:dyDescent="0.25">
      <c r="A2031">
        <v>2028</v>
      </c>
      <c r="B2031">
        <v>29</v>
      </c>
      <c r="C2031" s="24">
        <v>45187</v>
      </c>
      <c r="D2031" s="238" t="s">
        <v>91</v>
      </c>
      <c r="E2031" s="238" t="s">
        <v>16</v>
      </c>
      <c r="F2031">
        <v>2</v>
      </c>
      <c r="G2031">
        <v>9</v>
      </c>
      <c r="H2031">
        <v>291</v>
      </c>
      <c r="I2031" s="238" t="s">
        <v>43</v>
      </c>
      <c r="J2031">
        <v>67.95</v>
      </c>
      <c r="K2031" s="238" t="s">
        <v>37</v>
      </c>
      <c r="L2031">
        <v>6261524.5499999998</v>
      </c>
      <c r="M2031">
        <v>0</v>
      </c>
      <c r="N2031">
        <v>6261524.5499999998</v>
      </c>
      <c r="O2031">
        <v>92149</v>
      </c>
      <c r="P2031">
        <v>305775</v>
      </c>
      <c r="Q2031">
        <v>5955749.5499999998</v>
      </c>
      <c r="R2031">
        <v>87649</v>
      </c>
      <c r="S2031" s="238" t="s">
        <v>137</v>
      </c>
      <c r="T2031" s="238" t="s">
        <v>1167</v>
      </c>
      <c r="V2031" t="s">
        <v>4091</v>
      </c>
      <c r="W2031" s="24">
        <v>45165</v>
      </c>
      <c r="X2031" s="238" t="s">
        <v>5108</v>
      </c>
      <c r="Y2031" s="238" t="s">
        <v>39</v>
      </c>
      <c r="Z2031" s="238" t="s">
        <v>1340</v>
      </c>
      <c r="AA2031" t="s">
        <v>3113</v>
      </c>
      <c r="AB2031" s="238" t="s">
        <v>3246</v>
      </c>
      <c r="AC2031" t="s">
        <v>3079</v>
      </c>
      <c r="AD2031" s="24"/>
      <c r="AE2031" s="238" t="s">
        <v>5109</v>
      </c>
      <c r="AF2031">
        <v>79084825886</v>
      </c>
      <c r="AG2031" s="238" t="s">
        <v>5110</v>
      </c>
      <c r="AH2031" s="238" t="s">
        <v>1171</v>
      </c>
      <c r="AI2031" s="238" t="s">
        <v>135</v>
      </c>
      <c r="AJ2031" s="238" t="s">
        <v>4177</v>
      </c>
      <c r="AK2031" s="238" t="s">
        <v>141</v>
      </c>
      <c r="AL2031" t="s">
        <v>8715</v>
      </c>
      <c r="AM2031" t="s">
        <v>1167</v>
      </c>
    </row>
    <row r="2032" spans="1:39" x14ac:dyDescent="0.25">
      <c r="A2032">
        <v>2029</v>
      </c>
      <c r="B2032">
        <v>30</v>
      </c>
      <c r="C2032" s="24">
        <v>45187</v>
      </c>
      <c r="D2032" s="238" t="s">
        <v>3388</v>
      </c>
      <c r="E2032" s="238" t="s">
        <v>15</v>
      </c>
      <c r="F2032">
        <v>6</v>
      </c>
      <c r="G2032">
        <v>6</v>
      </c>
      <c r="H2032">
        <v>434</v>
      </c>
      <c r="I2032" s="238" t="s">
        <v>42</v>
      </c>
      <c r="J2032">
        <v>38.299999999999997</v>
      </c>
      <c r="K2032" s="238" t="s">
        <v>36</v>
      </c>
      <c r="L2032">
        <v>3522894.51</v>
      </c>
      <c r="M2032">
        <v>0</v>
      </c>
      <c r="N2032">
        <v>3522894.51</v>
      </c>
      <c r="O2032">
        <v>91981.579895561357</v>
      </c>
      <c r="P2032">
        <v>0</v>
      </c>
      <c r="Q2032">
        <v>3522894.51</v>
      </c>
      <c r="R2032">
        <v>91981.579895561357</v>
      </c>
      <c r="S2032" s="238" t="s">
        <v>137</v>
      </c>
      <c r="T2032" s="238" t="s">
        <v>1167</v>
      </c>
      <c r="V2032" t="s">
        <v>4091</v>
      </c>
      <c r="W2032" s="24">
        <v>45166</v>
      </c>
      <c r="X2032" s="238" t="s">
        <v>5111</v>
      </c>
      <c r="Y2032" s="238" t="s">
        <v>39</v>
      </c>
      <c r="Z2032" s="238" t="s">
        <v>1340</v>
      </c>
      <c r="AA2032" t="s">
        <v>3113</v>
      </c>
      <c r="AB2032" s="238" t="s">
        <v>3246</v>
      </c>
      <c r="AC2032" t="s">
        <v>3079</v>
      </c>
      <c r="AD2032" s="24"/>
      <c r="AE2032" s="238" t="s">
        <v>5112</v>
      </c>
      <c r="AF2032">
        <v>79024138845</v>
      </c>
      <c r="AG2032" s="238" t="s">
        <v>5113</v>
      </c>
      <c r="AH2032" s="238" t="s">
        <v>1212</v>
      </c>
      <c r="AI2032" s="238" t="s">
        <v>3082</v>
      </c>
      <c r="AJ2032" s="238" t="s">
        <v>130</v>
      </c>
      <c r="AK2032" s="238" t="s">
        <v>141</v>
      </c>
      <c r="AL2032" t="s">
        <v>8715</v>
      </c>
      <c r="AM2032" t="s">
        <v>1167</v>
      </c>
    </row>
    <row r="2033" spans="1:39" x14ac:dyDescent="0.25">
      <c r="A2033">
        <v>2030</v>
      </c>
      <c r="B2033">
        <v>31</v>
      </c>
      <c r="C2033" s="24">
        <v>45187</v>
      </c>
      <c r="D2033" s="238" t="s">
        <v>3388</v>
      </c>
      <c r="E2033" s="238" t="s">
        <v>16</v>
      </c>
      <c r="F2033">
        <v>3</v>
      </c>
      <c r="G2033">
        <v>13</v>
      </c>
      <c r="H2033">
        <v>308</v>
      </c>
      <c r="I2033" s="238" t="s">
        <v>43</v>
      </c>
      <c r="J2033">
        <v>56.58</v>
      </c>
      <c r="K2033" s="238" t="s">
        <v>36</v>
      </c>
      <c r="L2033">
        <v>4771010.05</v>
      </c>
      <c r="M2033">
        <v>0</v>
      </c>
      <c r="N2033">
        <v>4771010.05</v>
      </c>
      <c r="O2033">
        <v>84323.259985860728</v>
      </c>
      <c r="P2033">
        <v>0</v>
      </c>
      <c r="Q2033">
        <v>4771010.05</v>
      </c>
      <c r="R2033">
        <v>84323.259985860728</v>
      </c>
      <c r="S2033" s="238" t="s">
        <v>137</v>
      </c>
      <c r="T2033" s="238" t="s">
        <v>1167</v>
      </c>
      <c r="V2033" t="s">
        <v>4092</v>
      </c>
      <c r="W2033" s="24">
        <v>45167</v>
      </c>
      <c r="X2033" s="238" t="s">
        <v>5114</v>
      </c>
      <c r="Y2033" s="238" t="s">
        <v>39</v>
      </c>
      <c r="Z2033" s="238" t="s">
        <v>1340</v>
      </c>
      <c r="AA2033" t="s">
        <v>3113</v>
      </c>
      <c r="AB2033" s="238" t="s">
        <v>3246</v>
      </c>
      <c r="AC2033" t="s">
        <v>3079</v>
      </c>
      <c r="AD2033" s="24"/>
      <c r="AE2033" s="238" t="s">
        <v>5115</v>
      </c>
      <c r="AF2033">
        <v>79277024862</v>
      </c>
      <c r="AG2033" s="238" t="s">
        <v>5116</v>
      </c>
      <c r="AH2033" s="238" t="s">
        <v>1171</v>
      </c>
      <c r="AI2033" s="238" t="s">
        <v>135</v>
      </c>
      <c r="AJ2033" s="238" t="s">
        <v>130</v>
      </c>
      <c r="AK2033" s="238" t="s">
        <v>141</v>
      </c>
      <c r="AL2033" t="s">
        <v>8715</v>
      </c>
      <c r="AM2033" t="s">
        <v>1167</v>
      </c>
    </row>
    <row r="2034" spans="1:39" x14ac:dyDescent="0.25">
      <c r="A2034">
        <v>2031</v>
      </c>
      <c r="B2034">
        <v>32</v>
      </c>
      <c r="C2034" s="24">
        <v>45187</v>
      </c>
      <c r="D2034" s="238" t="s">
        <v>3388</v>
      </c>
      <c r="E2034" s="238" t="s">
        <v>6</v>
      </c>
      <c r="F2034">
        <v>1</v>
      </c>
      <c r="G2034">
        <v>1</v>
      </c>
      <c r="H2034">
        <v>1</v>
      </c>
      <c r="I2034" s="238" t="s">
        <v>42</v>
      </c>
      <c r="J2034">
        <v>34.39</v>
      </c>
      <c r="K2034" s="238" t="s">
        <v>37</v>
      </c>
      <c r="L2034">
        <v>3305906.92</v>
      </c>
      <c r="M2034">
        <v>0</v>
      </c>
      <c r="N2034">
        <v>3305906.92</v>
      </c>
      <c r="O2034">
        <v>96129.890084326835</v>
      </c>
      <c r="P2034">
        <v>171950</v>
      </c>
      <c r="Q2034">
        <v>3133956.92</v>
      </c>
      <c r="R2034">
        <v>91129.890084326835</v>
      </c>
      <c r="S2034" s="238" t="s">
        <v>137</v>
      </c>
      <c r="T2034" s="238" t="s">
        <v>1167</v>
      </c>
      <c r="V2034" t="s">
        <v>4091</v>
      </c>
      <c r="W2034" s="24">
        <v>45169</v>
      </c>
      <c r="X2034" s="238" t="s">
        <v>5117</v>
      </c>
      <c r="Y2034" s="238" t="s">
        <v>39</v>
      </c>
      <c r="Z2034" s="238" t="s">
        <v>1340</v>
      </c>
      <c r="AA2034" t="s">
        <v>3113</v>
      </c>
      <c r="AB2034" s="238" t="s">
        <v>3246</v>
      </c>
      <c r="AC2034" t="s">
        <v>3079</v>
      </c>
      <c r="AD2034" s="24"/>
      <c r="AE2034" s="238" t="s">
        <v>5118</v>
      </c>
      <c r="AF2034">
        <v>79225563332</v>
      </c>
      <c r="AG2034" s="238" t="s">
        <v>5119</v>
      </c>
      <c r="AH2034" s="238" t="s">
        <v>1212</v>
      </c>
      <c r="AI2034" s="238" t="s">
        <v>3095</v>
      </c>
      <c r="AJ2034" s="238" t="s">
        <v>126</v>
      </c>
      <c r="AK2034" s="238" t="s">
        <v>3345</v>
      </c>
      <c r="AL2034" t="s">
        <v>8715</v>
      </c>
      <c r="AM2034" t="s">
        <v>1167</v>
      </c>
    </row>
    <row r="2035" spans="1:39" hidden="1" x14ac:dyDescent="0.25">
      <c r="A2035">
        <v>2032</v>
      </c>
      <c r="B2035">
        <v>33</v>
      </c>
      <c r="C2035" s="24">
        <v>45187</v>
      </c>
      <c r="D2035" s="238" t="s">
        <v>91</v>
      </c>
      <c r="E2035" s="238" t="s">
        <v>16</v>
      </c>
      <c r="F2035">
        <v>1</v>
      </c>
      <c r="G2035">
        <v>21</v>
      </c>
      <c r="H2035">
        <v>374</v>
      </c>
      <c r="I2035" s="238" t="s">
        <v>4052</v>
      </c>
      <c r="J2035">
        <v>29.35</v>
      </c>
      <c r="K2035" s="238" t="s">
        <v>37</v>
      </c>
      <c r="L2035">
        <v>3405826.83</v>
      </c>
      <c r="M2035">
        <v>0</v>
      </c>
      <c r="N2035">
        <v>3405826.83</v>
      </c>
      <c r="O2035">
        <v>116041.8</v>
      </c>
      <c r="P2035">
        <v>132075</v>
      </c>
      <c r="Q2035">
        <v>3273751.83</v>
      </c>
      <c r="R2035">
        <v>111541.8</v>
      </c>
      <c r="S2035" s="238" t="s">
        <v>137</v>
      </c>
      <c r="T2035" s="238" t="s">
        <v>1167</v>
      </c>
      <c r="V2035" t="s">
        <v>4091</v>
      </c>
      <c r="W2035" s="24">
        <v>45174</v>
      </c>
      <c r="X2035" s="238" t="s">
        <v>5120</v>
      </c>
      <c r="Y2035" s="238" t="s">
        <v>39</v>
      </c>
      <c r="Z2035" s="238" t="s">
        <v>1340</v>
      </c>
      <c r="AA2035" t="s">
        <v>3113</v>
      </c>
      <c r="AB2035" s="238" t="s">
        <v>3246</v>
      </c>
      <c r="AC2035" t="s">
        <v>3079</v>
      </c>
      <c r="AD2035" s="24"/>
      <c r="AE2035" s="238" t="s">
        <v>5121</v>
      </c>
      <c r="AF2035">
        <v>79372460876</v>
      </c>
      <c r="AG2035" s="238" t="s">
        <v>5122</v>
      </c>
      <c r="AH2035" s="238" t="s">
        <v>1171</v>
      </c>
      <c r="AI2035" s="238" t="s">
        <v>135</v>
      </c>
      <c r="AJ2035" s="238" t="s">
        <v>399</v>
      </c>
      <c r="AK2035" s="238" t="s">
        <v>141</v>
      </c>
      <c r="AL2035" t="s">
        <v>8715</v>
      </c>
      <c r="AM2035" t="s">
        <v>1167</v>
      </c>
    </row>
    <row r="2036" spans="1:39" hidden="1" x14ac:dyDescent="0.25">
      <c r="A2036">
        <v>2033</v>
      </c>
      <c r="B2036">
        <v>34</v>
      </c>
      <c r="C2036" s="24">
        <v>45187</v>
      </c>
      <c r="D2036" s="238" t="s">
        <v>91</v>
      </c>
      <c r="E2036" s="238" t="s">
        <v>15</v>
      </c>
      <c r="F2036">
        <v>9</v>
      </c>
      <c r="G2036">
        <v>11</v>
      </c>
      <c r="H2036">
        <v>491</v>
      </c>
      <c r="I2036" s="238" t="s">
        <v>42</v>
      </c>
      <c r="J2036">
        <v>44.37</v>
      </c>
      <c r="K2036" s="238" t="s">
        <v>36</v>
      </c>
      <c r="L2036">
        <v>4192843.65</v>
      </c>
      <c r="M2036">
        <v>0</v>
      </c>
      <c r="N2036">
        <v>4192843.65</v>
      </c>
      <c r="O2036">
        <v>94497.265043948617</v>
      </c>
      <c r="P2036">
        <v>0</v>
      </c>
      <c r="Q2036">
        <v>4192843.65</v>
      </c>
      <c r="R2036">
        <v>94497.265043948617</v>
      </c>
      <c r="S2036" s="238" t="s">
        <v>137</v>
      </c>
      <c r="T2036" s="238" t="s">
        <v>3515</v>
      </c>
      <c r="U2036">
        <v>60000</v>
      </c>
      <c r="V2036" t="s">
        <v>4091</v>
      </c>
      <c r="W2036" s="24">
        <v>45179</v>
      </c>
      <c r="X2036" s="238" t="s">
        <v>5123</v>
      </c>
      <c r="Y2036" s="238" t="s">
        <v>39</v>
      </c>
      <c r="Z2036" s="238" t="s">
        <v>1340</v>
      </c>
      <c r="AA2036" t="s">
        <v>3474</v>
      </c>
      <c r="AB2036" s="238" t="s">
        <v>3246</v>
      </c>
      <c r="AC2036" t="s">
        <v>3104</v>
      </c>
      <c r="AD2036" s="24"/>
      <c r="AE2036" s="238" t="s">
        <v>5124</v>
      </c>
      <c r="AF2036">
        <v>79279091110</v>
      </c>
      <c r="AG2036" s="238" t="s">
        <v>5125</v>
      </c>
      <c r="AH2036" s="238" t="s">
        <v>4072</v>
      </c>
      <c r="AI2036" s="238" t="s">
        <v>6406</v>
      </c>
      <c r="AJ2036" s="238" t="s">
        <v>3901</v>
      </c>
      <c r="AK2036" s="238" t="s">
        <v>141</v>
      </c>
      <c r="AL2036" t="s">
        <v>57</v>
      </c>
      <c r="AM2036" t="s">
        <v>1167</v>
      </c>
    </row>
    <row r="2037" spans="1:39" hidden="1" x14ac:dyDescent="0.25">
      <c r="A2037">
        <v>2034</v>
      </c>
      <c r="B2037">
        <v>35</v>
      </c>
      <c r="C2037" s="24">
        <v>45187</v>
      </c>
      <c r="D2037" s="238" t="s">
        <v>91</v>
      </c>
      <c r="E2037" s="238" t="s">
        <v>15</v>
      </c>
      <c r="F2037">
        <v>8</v>
      </c>
      <c r="G2037">
        <v>10</v>
      </c>
      <c r="H2037">
        <v>481</v>
      </c>
      <c r="I2037" s="238" t="s">
        <v>43</v>
      </c>
      <c r="J2037">
        <v>63.74</v>
      </c>
      <c r="K2037" s="238" t="s">
        <v>36</v>
      </c>
      <c r="L2037">
        <v>5377896.7800000003</v>
      </c>
      <c r="M2037">
        <v>0</v>
      </c>
      <c r="N2037">
        <v>5377896.7800000003</v>
      </c>
      <c r="O2037">
        <v>84372.400062754939</v>
      </c>
      <c r="P2037">
        <v>0</v>
      </c>
      <c r="Q2037">
        <v>5377896.7800000003</v>
      </c>
      <c r="R2037">
        <v>84372.400062754939</v>
      </c>
      <c r="S2037" s="238" t="s">
        <v>137</v>
      </c>
      <c r="T2037" s="238" t="s">
        <v>1167</v>
      </c>
      <c r="V2037" t="s">
        <v>4091</v>
      </c>
      <c r="W2037" s="24">
        <v>45183</v>
      </c>
      <c r="X2037" s="238" t="s">
        <v>5126</v>
      </c>
      <c r="Y2037" s="238" t="s">
        <v>39</v>
      </c>
      <c r="Z2037" s="238" t="s">
        <v>1340</v>
      </c>
      <c r="AA2037" t="s">
        <v>3113</v>
      </c>
      <c r="AB2037" s="238" t="s">
        <v>3246</v>
      </c>
      <c r="AC2037" t="s">
        <v>3079</v>
      </c>
      <c r="AD2037" s="24"/>
      <c r="AE2037" s="238" t="s">
        <v>5127</v>
      </c>
      <c r="AF2037">
        <v>79272248338</v>
      </c>
      <c r="AG2037" s="238" t="s">
        <v>5128</v>
      </c>
      <c r="AH2037" s="238" t="s">
        <v>1171</v>
      </c>
      <c r="AI2037" s="238" t="s">
        <v>3072</v>
      </c>
      <c r="AJ2037" s="238" t="s">
        <v>3901</v>
      </c>
      <c r="AK2037" s="238" t="s">
        <v>141</v>
      </c>
      <c r="AL2037" t="s">
        <v>8715</v>
      </c>
      <c r="AM2037" t="s">
        <v>1167</v>
      </c>
    </row>
    <row r="2038" spans="1:39" x14ac:dyDescent="0.25">
      <c r="A2038">
        <v>2035</v>
      </c>
      <c r="B2038">
        <v>36</v>
      </c>
      <c r="C2038" s="24">
        <v>45187</v>
      </c>
      <c r="D2038" s="238" t="s">
        <v>3388</v>
      </c>
      <c r="E2038" s="238" t="s">
        <v>5</v>
      </c>
      <c r="F2038">
        <v>2</v>
      </c>
      <c r="G2038">
        <v>6</v>
      </c>
      <c r="H2038">
        <v>147</v>
      </c>
      <c r="I2038" s="238" t="s">
        <v>4052</v>
      </c>
      <c r="J2038">
        <v>24.28</v>
      </c>
      <c r="K2038" s="238" t="s">
        <v>37</v>
      </c>
      <c r="L2038">
        <v>2312572.7599999998</v>
      </c>
      <c r="M2038">
        <v>30000</v>
      </c>
      <c r="N2038">
        <v>2342572.7599999998</v>
      </c>
      <c r="O2038">
        <v>96481.579901153193</v>
      </c>
      <c r="P2038">
        <v>109260</v>
      </c>
      <c r="Q2038">
        <v>2233312.7599999998</v>
      </c>
      <c r="R2038">
        <v>91981.579901153193</v>
      </c>
      <c r="S2038" s="238" t="s">
        <v>124</v>
      </c>
      <c r="T2038" s="238" t="s">
        <v>1167</v>
      </c>
      <c r="V2038" t="s">
        <v>1167</v>
      </c>
      <c r="W2038" s="24">
        <v>45183</v>
      </c>
      <c r="X2038" s="238" t="s">
        <v>5129</v>
      </c>
      <c r="Y2038" s="238" t="s">
        <v>39</v>
      </c>
      <c r="Z2038" s="238" t="s">
        <v>1340</v>
      </c>
      <c r="AA2038" t="s">
        <v>3474</v>
      </c>
      <c r="AB2038" s="238" t="s">
        <v>3246</v>
      </c>
      <c r="AC2038" t="s">
        <v>1167</v>
      </c>
      <c r="AD2038" s="24"/>
      <c r="AE2038" s="238" t="s">
        <v>5130</v>
      </c>
      <c r="AF2038">
        <v>79371850387</v>
      </c>
      <c r="AG2038" s="238" t="s">
        <v>5131</v>
      </c>
      <c r="AH2038" s="238" t="s">
        <v>146</v>
      </c>
      <c r="AI2038" s="238" t="s">
        <v>135</v>
      </c>
      <c r="AJ2038" s="238" t="s">
        <v>4177</v>
      </c>
      <c r="AK2038" s="238" t="s">
        <v>1167</v>
      </c>
      <c r="AL2038" t="s">
        <v>8715</v>
      </c>
      <c r="AM2038" t="s">
        <v>1167</v>
      </c>
    </row>
    <row r="2039" spans="1:39" hidden="1" x14ac:dyDescent="0.25">
      <c r="A2039">
        <v>2036</v>
      </c>
      <c r="B2039">
        <v>37</v>
      </c>
      <c r="C2039" s="24">
        <v>45187</v>
      </c>
      <c r="D2039" s="238" t="s">
        <v>91</v>
      </c>
      <c r="E2039" s="238" t="s">
        <v>6</v>
      </c>
      <c r="F2039">
        <v>4</v>
      </c>
      <c r="G2039">
        <v>10</v>
      </c>
      <c r="H2039">
        <v>68</v>
      </c>
      <c r="I2039" s="238" t="s">
        <v>43</v>
      </c>
      <c r="J2039">
        <v>56.03</v>
      </c>
      <c r="K2039" s="238" t="s">
        <v>37</v>
      </c>
      <c r="L2039">
        <v>5483254.9299999997</v>
      </c>
      <c r="M2039">
        <v>0</v>
      </c>
      <c r="N2039">
        <v>5483254.9299999997</v>
      </c>
      <c r="O2039">
        <v>97862.840085668387</v>
      </c>
      <c r="P2039">
        <v>420225</v>
      </c>
      <c r="Q2039">
        <v>5063029.93</v>
      </c>
      <c r="R2039">
        <v>90362.840085668387</v>
      </c>
      <c r="S2039" s="238" t="s">
        <v>137</v>
      </c>
      <c r="T2039" s="238" t="s">
        <v>1167</v>
      </c>
      <c r="V2039" t="s">
        <v>4092</v>
      </c>
      <c r="W2039" s="24">
        <v>45183</v>
      </c>
      <c r="X2039" s="238" t="s">
        <v>5132</v>
      </c>
      <c r="Y2039" s="238" t="s">
        <v>39</v>
      </c>
      <c r="Z2039" s="238" t="s">
        <v>1340</v>
      </c>
      <c r="AA2039" t="s">
        <v>3113</v>
      </c>
      <c r="AB2039" s="238" t="s">
        <v>3246</v>
      </c>
      <c r="AC2039" t="s">
        <v>3079</v>
      </c>
      <c r="AD2039" s="24"/>
      <c r="AE2039" s="238" t="s">
        <v>5133</v>
      </c>
      <c r="AF2039">
        <v>79090622034</v>
      </c>
      <c r="AG2039" s="238" t="s">
        <v>5134</v>
      </c>
      <c r="AH2039" s="238" t="s">
        <v>1212</v>
      </c>
      <c r="AI2039" s="238" t="s">
        <v>3074</v>
      </c>
      <c r="AJ2039" s="238" t="s">
        <v>4177</v>
      </c>
      <c r="AK2039" s="238" t="s">
        <v>141</v>
      </c>
      <c r="AL2039" t="s">
        <v>8715</v>
      </c>
      <c r="AM2039" t="s">
        <v>1167</v>
      </c>
    </row>
    <row r="2040" spans="1:39" x14ac:dyDescent="0.25">
      <c r="A2040">
        <v>2037</v>
      </c>
      <c r="B2040">
        <v>38</v>
      </c>
      <c r="C2040" s="24">
        <v>45188</v>
      </c>
      <c r="D2040" s="238" t="s">
        <v>3388</v>
      </c>
      <c r="E2040" s="238" t="s">
        <v>6</v>
      </c>
      <c r="F2040">
        <v>3</v>
      </c>
      <c r="G2040">
        <v>6</v>
      </c>
      <c r="H2040">
        <v>37</v>
      </c>
      <c r="I2040" s="238" t="s">
        <v>42</v>
      </c>
      <c r="J2040">
        <v>37.729999999999997</v>
      </c>
      <c r="K2040" s="238" t="s">
        <v>38</v>
      </c>
      <c r="L2040">
        <v>3841154.6</v>
      </c>
      <c r="M2040">
        <v>30000</v>
      </c>
      <c r="N2040">
        <v>3871154.6</v>
      </c>
      <c r="O2040">
        <v>102601.50013252055</v>
      </c>
      <c r="P2040">
        <v>565950</v>
      </c>
      <c r="Q2040">
        <v>3305204.6</v>
      </c>
      <c r="R2040">
        <v>87601.500132520552</v>
      </c>
      <c r="S2040" s="238" t="s">
        <v>137</v>
      </c>
      <c r="T2040" s="238" t="s">
        <v>1167</v>
      </c>
      <c r="V2040" t="s">
        <v>4091</v>
      </c>
      <c r="W2040" s="24">
        <v>45131</v>
      </c>
      <c r="X2040" s="238" t="s">
        <v>5135</v>
      </c>
      <c r="Y2040" s="238" t="s">
        <v>39</v>
      </c>
      <c r="Z2040" s="238" t="s">
        <v>1340</v>
      </c>
      <c r="AA2040" t="s">
        <v>3113</v>
      </c>
      <c r="AB2040" s="238" t="s">
        <v>3246</v>
      </c>
      <c r="AC2040" t="s">
        <v>3079</v>
      </c>
      <c r="AD2040" s="24"/>
      <c r="AE2040" s="238" t="s">
        <v>5136</v>
      </c>
      <c r="AF2040">
        <v>79277187525</v>
      </c>
      <c r="AG2040" s="238" t="s">
        <v>5137</v>
      </c>
      <c r="AH2040" s="238" t="s">
        <v>1212</v>
      </c>
      <c r="AI2040" s="238" t="s">
        <v>3074</v>
      </c>
      <c r="AJ2040" s="238" t="s">
        <v>130</v>
      </c>
      <c r="AK2040" s="238" t="s">
        <v>141</v>
      </c>
      <c r="AL2040" t="s">
        <v>8715</v>
      </c>
      <c r="AM2040" t="s">
        <v>1167</v>
      </c>
    </row>
    <row r="2041" spans="1:39" x14ac:dyDescent="0.25">
      <c r="A2041">
        <v>2038</v>
      </c>
      <c r="B2041">
        <v>39</v>
      </c>
      <c r="C2041" s="24">
        <v>45188</v>
      </c>
      <c r="D2041" s="238" t="s">
        <v>3388</v>
      </c>
      <c r="E2041" s="238" t="s">
        <v>15</v>
      </c>
      <c r="F2041">
        <v>3</v>
      </c>
      <c r="G2041">
        <v>3</v>
      </c>
      <c r="H2041">
        <v>407</v>
      </c>
      <c r="I2041" s="238" t="s">
        <v>4052</v>
      </c>
      <c r="J2041">
        <v>24.5</v>
      </c>
      <c r="K2041" s="238" t="s">
        <v>36</v>
      </c>
      <c r="L2041">
        <v>2223548.71</v>
      </c>
      <c r="M2041">
        <v>30000</v>
      </c>
      <c r="N2041">
        <v>2253548.71</v>
      </c>
      <c r="O2041">
        <v>91981.58</v>
      </c>
      <c r="P2041">
        <v>0</v>
      </c>
      <c r="Q2041">
        <v>2253548.71</v>
      </c>
      <c r="R2041">
        <v>91981.58</v>
      </c>
      <c r="S2041" s="238" t="s">
        <v>137</v>
      </c>
      <c r="T2041" s="238" t="s">
        <v>1167</v>
      </c>
      <c r="V2041" t="s">
        <v>4091</v>
      </c>
      <c r="W2041" s="24">
        <v>45134</v>
      </c>
      <c r="X2041" s="238" t="s">
        <v>5138</v>
      </c>
      <c r="Y2041" s="238" t="s">
        <v>39</v>
      </c>
      <c r="Z2041" s="238" t="s">
        <v>1340</v>
      </c>
      <c r="AA2041" t="s">
        <v>3113</v>
      </c>
      <c r="AB2041" s="238" t="s">
        <v>3246</v>
      </c>
      <c r="AC2041" t="s">
        <v>3079</v>
      </c>
      <c r="AD2041" s="24"/>
      <c r="AE2041" s="238" t="s">
        <v>5139</v>
      </c>
      <c r="AF2041">
        <v>79397076877</v>
      </c>
      <c r="AG2041" s="238" t="s">
        <v>5140</v>
      </c>
      <c r="AH2041" s="238" t="s">
        <v>1212</v>
      </c>
      <c r="AI2041" s="238" t="s">
        <v>135</v>
      </c>
      <c r="AJ2041" s="238" t="s">
        <v>130</v>
      </c>
      <c r="AK2041" s="238" t="s">
        <v>141</v>
      </c>
      <c r="AL2041" t="s">
        <v>8715</v>
      </c>
      <c r="AM2041" t="s">
        <v>1167</v>
      </c>
    </row>
    <row r="2042" spans="1:39" x14ac:dyDescent="0.25">
      <c r="A2042">
        <v>2039</v>
      </c>
      <c r="B2042">
        <v>40</v>
      </c>
      <c r="C2042" s="24">
        <v>45188</v>
      </c>
      <c r="D2042" s="238" t="s">
        <v>3388</v>
      </c>
      <c r="E2042" s="238" t="s">
        <v>5</v>
      </c>
      <c r="F2042">
        <v>5</v>
      </c>
      <c r="G2042">
        <v>7</v>
      </c>
      <c r="H2042">
        <v>157</v>
      </c>
      <c r="I2042" s="238" t="s">
        <v>42</v>
      </c>
      <c r="J2042">
        <v>37.86</v>
      </c>
      <c r="K2042" s="238" t="s">
        <v>36</v>
      </c>
      <c r="L2042">
        <v>3102597.22</v>
      </c>
      <c r="M2042">
        <v>15000</v>
      </c>
      <c r="N2042">
        <v>3117597.22</v>
      </c>
      <c r="O2042">
        <v>82345.40993132595</v>
      </c>
      <c r="P2042">
        <v>0</v>
      </c>
      <c r="Q2042">
        <v>3117597.22</v>
      </c>
      <c r="R2042">
        <v>82345.40993132595</v>
      </c>
      <c r="S2042" s="238" t="s">
        <v>124</v>
      </c>
      <c r="T2042" s="238" t="s">
        <v>978</v>
      </c>
      <c r="U2042">
        <v>198995.57</v>
      </c>
      <c r="V2042" t="s">
        <v>1167</v>
      </c>
      <c r="W2042" s="24">
        <v>45148</v>
      </c>
      <c r="X2042" s="238" t="s">
        <v>5141</v>
      </c>
      <c r="Y2042" s="238" t="s">
        <v>39</v>
      </c>
      <c r="Z2042" s="238" t="s">
        <v>1340</v>
      </c>
      <c r="AA2042" t="s">
        <v>3474</v>
      </c>
      <c r="AB2042" s="238" t="s">
        <v>3246</v>
      </c>
      <c r="AC2042" t="s">
        <v>1167</v>
      </c>
      <c r="AD2042" s="24"/>
      <c r="AE2042" s="238" t="s">
        <v>5142</v>
      </c>
      <c r="AF2042">
        <v>79187060946</v>
      </c>
      <c r="AG2042" s="238" t="s">
        <v>5143</v>
      </c>
      <c r="AH2042" s="238" t="s">
        <v>1171</v>
      </c>
      <c r="AI2042" s="238" t="s">
        <v>3074</v>
      </c>
      <c r="AJ2042" s="238" t="s">
        <v>399</v>
      </c>
      <c r="AK2042" s="238" t="s">
        <v>1167</v>
      </c>
      <c r="AL2042" t="s">
        <v>8715</v>
      </c>
      <c r="AM2042" t="s">
        <v>1167</v>
      </c>
    </row>
    <row r="2043" spans="1:39" x14ac:dyDescent="0.25">
      <c r="A2043">
        <v>2040</v>
      </c>
      <c r="B2043">
        <v>41</v>
      </c>
      <c r="C2043" s="24">
        <v>45188</v>
      </c>
      <c r="D2043" s="238" t="s">
        <v>3388</v>
      </c>
      <c r="E2043" s="238" t="s">
        <v>5</v>
      </c>
      <c r="F2043">
        <v>5</v>
      </c>
      <c r="G2043">
        <v>3</v>
      </c>
      <c r="H2043">
        <v>129</v>
      </c>
      <c r="I2043" s="238" t="s">
        <v>42</v>
      </c>
      <c r="J2043">
        <v>37.86</v>
      </c>
      <c r="K2043" s="238" t="s">
        <v>36</v>
      </c>
      <c r="L2043">
        <v>3131464.04</v>
      </c>
      <c r="M2043">
        <v>15000</v>
      </c>
      <c r="N2043">
        <v>3146464.04</v>
      </c>
      <c r="O2043">
        <v>83107.872160591651</v>
      </c>
      <c r="P2043">
        <v>0</v>
      </c>
      <c r="Q2043">
        <v>3146464.04</v>
      </c>
      <c r="R2043">
        <v>83107.872160591651</v>
      </c>
      <c r="S2043" s="238" t="s">
        <v>121</v>
      </c>
      <c r="T2043" s="238" t="s">
        <v>978</v>
      </c>
      <c r="U2043">
        <v>200838.13</v>
      </c>
      <c r="V2043" t="s">
        <v>1167</v>
      </c>
      <c r="W2043" s="24">
        <v>45148</v>
      </c>
      <c r="X2043" s="238" t="s">
        <v>5144</v>
      </c>
      <c r="Y2043" s="238" t="s">
        <v>39</v>
      </c>
      <c r="Z2043" s="238" t="s">
        <v>1340</v>
      </c>
      <c r="AA2043" t="s">
        <v>3474</v>
      </c>
      <c r="AB2043" s="238" t="s">
        <v>3246</v>
      </c>
      <c r="AC2043" t="s">
        <v>1167</v>
      </c>
      <c r="AD2043" s="24"/>
      <c r="AE2043" s="238" t="s">
        <v>5142</v>
      </c>
      <c r="AF2043">
        <v>79187060946</v>
      </c>
      <c r="AG2043" s="238" t="s">
        <v>5143</v>
      </c>
      <c r="AH2043" s="238" t="s">
        <v>1197</v>
      </c>
      <c r="AI2043" s="238" t="s">
        <v>3074</v>
      </c>
      <c r="AJ2043" s="238" t="s">
        <v>399</v>
      </c>
      <c r="AK2043" s="238" t="s">
        <v>1167</v>
      </c>
      <c r="AL2043" t="s">
        <v>8715</v>
      </c>
      <c r="AM2043" t="s">
        <v>1167</v>
      </c>
    </row>
    <row r="2044" spans="1:39" x14ac:dyDescent="0.25">
      <c r="A2044">
        <v>2041</v>
      </c>
      <c r="B2044">
        <v>42</v>
      </c>
      <c r="C2044" s="24">
        <v>45188</v>
      </c>
      <c r="D2044" s="238" t="s">
        <v>3388</v>
      </c>
      <c r="E2044" s="238" t="s">
        <v>15</v>
      </c>
      <c r="F2044">
        <v>2</v>
      </c>
      <c r="G2044">
        <v>3</v>
      </c>
      <c r="H2044">
        <v>406</v>
      </c>
      <c r="I2044" s="238" t="s">
        <v>42</v>
      </c>
      <c r="J2044">
        <v>43.21</v>
      </c>
      <c r="K2044" s="238" t="s">
        <v>38</v>
      </c>
      <c r="L2044">
        <v>4147008.59</v>
      </c>
      <c r="M2044">
        <v>15000</v>
      </c>
      <c r="N2044">
        <v>4162008.59</v>
      </c>
      <c r="O2044">
        <v>96320.495024299918</v>
      </c>
      <c r="P2044">
        <v>669755</v>
      </c>
      <c r="Q2044">
        <v>3492253.59</v>
      </c>
      <c r="R2044">
        <v>80820.495024299918</v>
      </c>
      <c r="S2044" s="238" t="s">
        <v>137</v>
      </c>
      <c r="T2044" s="238" t="s">
        <v>978</v>
      </c>
      <c r="U2044">
        <v>222909.8</v>
      </c>
      <c r="V2044" t="s">
        <v>4092</v>
      </c>
      <c r="W2044" s="24">
        <v>45149</v>
      </c>
      <c r="X2044" s="238" t="s">
        <v>5145</v>
      </c>
      <c r="Y2044" s="238" t="s">
        <v>39</v>
      </c>
      <c r="Z2044" s="238" t="s">
        <v>1340</v>
      </c>
      <c r="AA2044" t="s">
        <v>3113</v>
      </c>
      <c r="AB2044" s="238" t="s">
        <v>3246</v>
      </c>
      <c r="AC2044" t="s">
        <v>3079</v>
      </c>
      <c r="AD2044" s="24"/>
      <c r="AE2044" s="238" t="s">
        <v>5146</v>
      </c>
      <c r="AF2044">
        <v>79274157339</v>
      </c>
      <c r="AG2044" s="238" t="s">
        <v>5147</v>
      </c>
      <c r="AH2044" s="238" t="s">
        <v>135</v>
      </c>
      <c r="AI2044" s="238" t="s">
        <v>3099</v>
      </c>
      <c r="AJ2044" s="238" t="s">
        <v>399</v>
      </c>
      <c r="AK2044" s="238" t="s">
        <v>141</v>
      </c>
      <c r="AL2044" t="s">
        <v>8715</v>
      </c>
      <c r="AM2044" t="s">
        <v>1167</v>
      </c>
    </row>
    <row r="2045" spans="1:39" x14ac:dyDescent="0.25">
      <c r="A2045">
        <v>2042</v>
      </c>
      <c r="B2045">
        <v>43</v>
      </c>
      <c r="C2045" s="24">
        <v>45188</v>
      </c>
      <c r="D2045" s="238" t="s">
        <v>3388</v>
      </c>
      <c r="E2045" s="238" t="s">
        <v>5</v>
      </c>
      <c r="F2045">
        <v>3</v>
      </c>
      <c r="G2045">
        <v>10</v>
      </c>
      <c r="H2045">
        <v>176</v>
      </c>
      <c r="I2045" s="238" t="s">
        <v>43</v>
      </c>
      <c r="J2045">
        <v>57.6</v>
      </c>
      <c r="K2045" s="238" t="s">
        <v>38</v>
      </c>
      <c r="L2045">
        <v>5503532.7400000002</v>
      </c>
      <c r="M2045">
        <v>15000</v>
      </c>
      <c r="N2045">
        <v>5518532.7400000002</v>
      </c>
      <c r="O2045">
        <v>95807.860069444447</v>
      </c>
      <c r="P2045">
        <v>892800</v>
      </c>
      <c r="Q2045">
        <v>4625732.74</v>
      </c>
      <c r="R2045">
        <v>80307.860069444447</v>
      </c>
      <c r="S2045" s="238" t="s">
        <v>137</v>
      </c>
      <c r="T2045" s="238" t="s">
        <v>1167</v>
      </c>
      <c r="V2045" t="s">
        <v>4092</v>
      </c>
      <c r="W2045" s="24">
        <v>45150</v>
      </c>
      <c r="X2045" s="238" t="s">
        <v>5148</v>
      </c>
      <c r="Y2045" s="238" t="s">
        <v>39</v>
      </c>
      <c r="Z2045" s="238" t="s">
        <v>1340</v>
      </c>
      <c r="AA2045" t="s">
        <v>3113</v>
      </c>
      <c r="AB2045" s="238" t="s">
        <v>3246</v>
      </c>
      <c r="AC2045" t="s">
        <v>3079</v>
      </c>
      <c r="AD2045" s="24"/>
      <c r="AE2045" s="238" t="s">
        <v>4099</v>
      </c>
      <c r="AF2045">
        <v>79869041428</v>
      </c>
      <c r="AG2045" s="238" t="s">
        <v>4100</v>
      </c>
      <c r="AH2045" s="238" t="s">
        <v>1212</v>
      </c>
      <c r="AI2045" s="238" t="s">
        <v>3082</v>
      </c>
      <c r="AJ2045" s="238" t="s">
        <v>4177</v>
      </c>
      <c r="AK2045" s="238" t="s">
        <v>141</v>
      </c>
      <c r="AL2045" t="s">
        <v>8715</v>
      </c>
      <c r="AM2045" t="s">
        <v>1167</v>
      </c>
    </row>
    <row r="2046" spans="1:39" x14ac:dyDescent="0.25">
      <c r="A2046">
        <v>2043</v>
      </c>
      <c r="B2046">
        <v>44</v>
      </c>
      <c r="C2046" s="24">
        <v>45188</v>
      </c>
      <c r="D2046" s="238" t="s">
        <v>3388</v>
      </c>
      <c r="E2046" s="238" t="s">
        <v>16</v>
      </c>
      <c r="F2046">
        <v>5</v>
      </c>
      <c r="G2046">
        <v>8</v>
      </c>
      <c r="H2046">
        <v>275</v>
      </c>
      <c r="I2046" s="238" t="s">
        <v>42</v>
      </c>
      <c r="J2046">
        <v>37.81</v>
      </c>
      <c r="K2046" s="238" t="s">
        <v>38</v>
      </c>
      <c r="L2046">
        <v>3975273.81</v>
      </c>
      <c r="M2046">
        <v>15000</v>
      </c>
      <c r="N2046">
        <v>3990273.81</v>
      </c>
      <c r="O2046">
        <v>105534.87992594551</v>
      </c>
      <c r="P2046">
        <v>586055</v>
      </c>
      <c r="Q2046">
        <v>3404218.81</v>
      </c>
      <c r="R2046">
        <v>90034.879925945512</v>
      </c>
      <c r="S2046" s="238" t="s">
        <v>137</v>
      </c>
      <c r="T2046" s="238" t="s">
        <v>1167</v>
      </c>
      <c r="V2046" t="s">
        <v>4092</v>
      </c>
      <c r="W2046" s="24">
        <v>45151</v>
      </c>
      <c r="X2046" s="238" t="s">
        <v>5149</v>
      </c>
      <c r="Y2046" s="238" t="s">
        <v>39</v>
      </c>
      <c r="Z2046" s="238" t="s">
        <v>1340</v>
      </c>
      <c r="AA2046" t="s">
        <v>3113</v>
      </c>
      <c r="AB2046" s="238" t="s">
        <v>3246</v>
      </c>
      <c r="AC2046" t="s">
        <v>3079</v>
      </c>
      <c r="AD2046" s="24"/>
      <c r="AE2046" s="238" t="s">
        <v>5150</v>
      </c>
      <c r="AF2046">
        <v>79124284288</v>
      </c>
      <c r="AG2046" s="238" t="s">
        <v>1504</v>
      </c>
      <c r="AH2046" s="238" t="s">
        <v>1171</v>
      </c>
      <c r="AI2046" s="238" t="s">
        <v>3082</v>
      </c>
      <c r="AJ2046" s="238" t="s">
        <v>4177</v>
      </c>
      <c r="AK2046" s="238" t="s">
        <v>141</v>
      </c>
      <c r="AL2046" t="s">
        <v>8715</v>
      </c>
      <c r="AM2046" t="s">
        <v>1167</v>
      </c>
    </row>
    <row r="2047" spans="1:39" x14ac:dyDescent="0.25">
      <c r="A2047">
        <v>2044</v>
      </c>
      <c r="B2047">
        <v>45</v>
      </c>
      <c r="C2047" s="24">
        <v>45188</v>
      </c>
      <c r="D2047" s="238" t="s">
        <v>3388</v>
      </c>
      <c r="E2047" s="238" t="s">
        <v>15</v>
      </c>
      <c r="F2047">
        <v>1</v>
      </c>
      <c r="G2047">
        <v>2</v>
      </c>
      <c r="H2047">
        <v>397</v>
      </c>
      <c r="I2047" s="238" t="s">
        <v>4052</v>
      </c>
      <c r="J2047">
        <v>29.4</v>
      </c>
      <c r="K2047" s="238" t="s">
        <v>37</v>
      </c>
      <c r="L2047">
        <v>2770048.77</v>
      </c>
      <c r="M2047">
        <v>15000</v>
      </c>
      <c r="N2047">
        <v>2785048.77</v>
      </c>
      <c r="O2047">
        <v>94729.55</v>
      </c>
      <c r="P2047">
        <v>132300</v>
      </c>
      <c r="Q2047">
        <v>2652748.77</v>
      </c>
      <c r="R2047">
        <v>90229.55</v>
      </c>
      <c r="S2047" s="238" t="s">
        <v>137</v>
      </c>
      <c r="T2047" s="238" t="s">
        <v>1167</v>
      </c>
      <c r="V2047" t="s">
        <v>4092</v>
      </c>
      <c r="W2047" s="24">
        <v>45152</v>
      </c>
      <c r="X2047" s="238" t="s">
        <v>5151</v>
      </c>
      <c r="Y2047" s="238" t="s">
        <v>39</v>
      </c>
      <c r="Z2047" s="238" t="s">
        <v>1340</v>
      </c>
      <c r="AA2047" t="s">
        <v>3113</v>
      </c>
      <c r="AB2047" s="238" t="s">
        <v>3246</v>
      </c>
      <c r="AC2047" t="s">
        <v>3079</v>
      </c>
      <c r="AD2047" s="24"/>
      <c r="AE2047" s="238" t="s">
        <v>5152</v>
      </c>
      <c r="AF2047">
        <v>79276099802</v>
      </c>
      <c r="AG2047" s="238" t="s">
        <v>5153</v>
      </c>
      <c r="AH2047" s="238" t="s">
        <v>1212</v>
      </c>
      <c r="AI2047" s="238" t="s">
        <v>3095</v>
      </c>
      <c r="AJ2047" s="238" t="s">
        <v>4177</v>
      </c>
      <c r="AK2047" s="238" t="s">
        <v>3345</v>
      </c>
      <c r="AL2047" t="s">
        <v>8715</v>
      </c>
      <c r="AM2047" t="s">
        <v>1167</v>
      </c>
    </row>
    <row r="2048" spans="1:39" x14ac:dyDescent="0.25">
      <c r="A2048">
        <v>2045</v>
      </c>
      <c r="B2048">
        <v>46</v>
      </c>
      <c r="C2048" s="24">
        <v>45188</v>
      </c>
      <c r="D2048" s="238" t="s">
        <v>3388</v>
      </c>
      <c r="E2048" s="238" t="s">
        <v>5</v>
      </c>
      <c r="F2048">
        <v>2</v>
      </c>
      <c r="G2048">
        <v>12</v>
      </c>
      <c r="H2048">
        <v>189</v>
      </c>
      <c r="I2048" s="238" t="s">
        <v>4052</v>
      </c>
      <c r="J2048">
        <v>24.28</v>
      </c>
      <c r="K2048" s="238" t="s">
        <v>36</v>
      </c>
      <c r="L2048">
        <v>2218312.7599999998</v>
      </c>
      <c r="M2048">
        <v>15000</v>
      </c>
      <c r="N2048">
        <v>2233312.7599999998</v>
      </c>
      <c r="O2048">
        <v>91981.579901153193</v>
      </c>
      <c r="P2048">
        <v>0</v>
      </c>
      <c r="Q2048">
        <v>2233312.7599999998</v>
      </c>
      <c r="R2048">
        <v>91981.579901153193</v>
      </c>
      <c r="S2048" s="238" t="s">
        <v>137</v>
      </c>
      <c r="T2048" s="238" t="s">
        <v>1167</v>
      </c>
      <c r="V2048" t="s">
        <v>4091</v>
      </c>
      <c r="W2048" s="24">
        <v>45153</v>
      </c>
      <c r="X2048" s="238" t="s">
        <v>5154</v>
      </c>
      <c r="Y2048" s="238" t="s">
        <v>39</v>
      </c>
      <c r="Z2048" s="238" t="s">
        <v>1340</v>
      </c>
      <c r="AA2048" t="s">
        <v>3113</v>
      </c>
      <c r="AB2048" s="238" t="s">
        <v>3246</v>
      </c>
      <c r="AC2048" t="s">
        <v>3079</v>
      </c>
      <c r="AD2048" s="24"/>
      <c r="AE2048" s="238" t="s">
        <v>5155</v>
      </c>
      <c r="AF2048">
        <v>79279090163</v>
      </c>
      <c r="AG2048" s="238" t="s">
        <v>5156</v>
      </c>
      <c r="AH2048" s="238" t="s">
        <v>1171</v>
      </c>
      <c r="AI2048" s="238" t="s">
        <v>135</v>
      </c>
      <c r="AJ2048" s="238" t="s">
        <v>3901</v>
      </c>
      <c r="AK2048" s="238" t="s">
        <v>3345</v>
      </c>
      <c r="AL2048" t="s">
        <v>8715</v>
      </c>
      <c r="AM2048" t="s">
        <v>1167</v>
      </c>
    </row>
    <row r="2049" spans="1:39" x14ac:dyDescent="0.25">
      <c r="A2049">
        <v>2046</v>
      </c>
      <c r="B2049">
        <v>47</v>
      </c>
      <c r="C2049" s="24">
        <v>45188</v>
      </c>
      <c r="D2049" s="238" t="s">
        <v>3388</v>
      </c>
      <c r="E2049" s="238" t="s">
        <v>15</v>
      </c>
      <c r="F2049">
        <v>1</v>
      </c>
      <c r="G2049">
        <v>4</v>
      </c>
      <c r="H2049">
        <v>413</v>
      </c>
      <c r="I2049" s="238" t="s">
        <v>4052</v>
      </c>
      <c r="J2049">
        <v>29.4</v>
      </c>
      <c r="K2049" s="238" t="s">
        <v>37</v>
      </c>
      <c r="L2049">
        <v>2770048.77</v>
      </c>
      <c r="M2049">
        <v>15000</v>
      </c>
      <c r="N2049">
        <v>2785048.77</v>
      </c>
      <c r="O2049">
        <v>94729.55</v>
      </c>
      <c r="P2049">
        <v>132300</v>
      </c>
      <c r="Q2049">
        <v>2652748.77</v>
      </c>
      <c r="R2049">
        <v>90229.55</v>
      </c>
      <c r="S2049" s="238" t="s">
        <v>137</v>
      </c>
      <c r="T2049" s="238" t="s">
        <v>1167</v>
      </c>
      <c r="V2049" t="s">
        <v>4091</v>
      </c>
      <c r="W2049" s="24">
        <v>45155</v>
      </c>
      <c r="X2049" s="238" t="s">
        <v>5157</v>
      </c>
      <c r="Y2049" s="238" t="s">
        <v>39</v>
      </c>
      <c r="Z2049" s="238" t="s">
        <v>1340</v>
      </c>
      <c r="AA2049" t="s">
        <v>3113</v>
      </c>
      <c r="AB2049" s="238" t="s">
        <v>3246</v>
      </c>
      <c r="AC2049" t="s">
        <v>3079</v>
      </c>
      <c r="AD2049" s="24"/>
      <c r="AE2049" s="238" t="s">
        <v>5158</v>
      </c>
      <c r="AF2049">
        <v>79129123003</v>
      </c>
      <c r="AG2049" s="238" t="s">
        <v>5159</v>
      </c>
      <c r="AH2049" s="238" t="s">
        <v>4072</v>
      </c>
      <c r="AI2049" s="238" t="s">
        <v>6406</v>
      </c>
      <c r="AJ2049" s="238" t="s">
        <v>399</v>
      </c>
      <c r="AK2049" s="238" t="s">
        <v>3345</v>
      </c>
      <c r="AL2049" t="s">
        <v>57</v>
      </c>
      <c r="AM2049" t="s">
        <v>1167</v>
      </c>
    </row>
    <row r="2050" spans="1:39" x14ac:dyDescent="0.25">
      <c r="A2050">
        <v>2047</v>
      </c>
      <c r="B2050">
        <v>48</v>
      </c>
      <c r="C2050" s="24">
        <v>45188</v>
      </c>
      <c r="D2050" s="238" t="s">
        <v>3388</v>
      </c>
      <c r="E2050" s="238" t="s">
        <v>6</v>
      </c>
      <c r="F2050">
        <v>3</v>
      </c>
      <c r="G2050">
        <v>3</v>
      </c>
      <c r="H2050">
        <v>16</v>
      </c>
      <c r="I2050" s="238" t="s">
        <v>42</v>
      </c>
      <c r="J2050">
        <v>37.729999999999997</v>
      </c>
      <c r="K2050" s="238" t="s">
        <v>37</v>
      </c>
      <c r="L2050">
        <v>3490593.53</v>
      </c>
      <c r="M2050">
        <v>15000</v>
      </c>
      <c r="N2050">
        <v>3505593.53</v>
      </c>
      <c r="O2050">
        <v>92912.630002650418</v>
      </c>
      <c r="P2050">
        <v>169785</v>
      </c>
      <c r="Q2050">
        <v>3335808.53</v>
      </c>
      <c r="R2050">
        <v>88412.630002650418</v>
      </c>
      <c r="S2050" s="238" t="s">
        <v>137</v>
      </c>
      <c r="T2050" s="238" t="s">
        <v>1167</v>
      </c>
      <c r="V2050" t="s">
        <v>4091</v>
      </c>
      <c r="W2050" s="24">
        <v>45155</v>
      </c>
      <c r="X2050" s="238" t="s">
        <v>5160</v>
      </c>
      <c r="Y2050" s="238" t="s">
        <v>39</v>
      </c>
      <c r="Z2050" s="238" t="s">
        <v>1340</v>
      </c>
      <c r="AA2050" t="s">
        <v>3113</v>
      </c>
      <c r="AB2050" s="238" t="s">
        <v>3246</v>
      </c>
      <c r="AC2050" t="s">
        <v>3079</v>
      </c>
      <c r="AD2050" s="24"/>
      <c r="AE2050" s="238" t="s">
        <v>5161</v>
      </c>
      <c r="AF2050">
        <v>79068482568</v>
      </c>
      <c r="AG2050" s="238" t="s">
        <v>5162</v>
      </c>
      <c r="AH2050" s="238" t="s">
        <v>146</v>
      </c>
      <c r="AI2050" s="238" t="s">
        <v>135</v>
      </c>
      <c r="AJ2050" s="238" t="s">
        <v>4177</v>
      </c>
      <c r="AK2050" s="238" t="s">
        <v>141</v>
      </c>
      <c r="AL2050" t="s">
        <v>8715</v>
      </c>
      <c r="AM2050" t="s">
        <v>1167</v>
      </c>
    </row>
    <row r="2051" spans="1:39" x14ac:dyDescent="0.25">
      <c r="A2051">
        <v>2048</v>
      </c>
      <c r="B2051">
        <v>49</v>
      </c>
      <c r="C2051" s="24">
        <v>45188</v>
      </c>
      <c r="D2051" s="238" t="s">
        <v>3388</v>
      </c>
      <c r="E2051" s="238" t="s">
        <v>6</v>
      </c>
      <c r="F2051">
        <v>5</v>
      </c>
      <c r="G2051">
        <v>1</v>
      </c>
      <c r="H2051">
        <v>5</v>
      </c>
      <c r="I2051" s="238" t="s">
        <v>43</v>
      </c>
      <c r="J2051">
        <v>58.27</v>
      </c>
      <c r="K2051" s="238" t="s">
        <v>37</v>
      </c>
      <c r="L2051">
        <v>4904256.54</v>
      </c>
      <c r="M2051">
        <v>15000</v>
      </c>
      <c r="N2051">
        <v>4919256.54</v>
      </c>
      <c r="O2051">
        <v>84421.770036039117</v>
      </c>
      <c r="P2051">
        <v>262215</v>
      </c>
      <c r="Q2051">
        <v>4657041.54</v>
      </c>
      <c r="R2051">
        <v>79921.770036039132</v>
      </c>
      <c r="S2051" s="238" t="s">
        <v>137</v>
      </c>
      <c r="T2051" s="238" t="s">
        <v>1167</v>
      </c>
      <c r="V2051" t="s">
        <v>4092</v>
      </c>
      <c r="W2051" s="24">
        <v>45157</v>
      </c>
      <c r="X2051" s="238" t="s">
        <v>5163</v>
      </c>
      <c r="Y2051" s="238" t="s">
        <v>39</v>
      </c>
      <c r="Z2051" s="238" t="s">
        <v>1340</v>
      </c>
      <c r="AA2051" t="s">
        <v>3113</v>
      </c>
      <c r="AB2051" s="238" t="s">
        <v>3246</v>
      </c>
      <c r="AC2051" t="s">
        <v>3079</v>
      </c>
      <c r="AD2051" s="24"/>
      <c r="AE2051" s="238" t="s">
        <v>5164</v>
      </c>
      <c r="AF2051">
        <v>79371748015</v>
      </c>
      <c r="AG2051" s="238" t="s">
        <v>5165</v>
      </c>
      <c r="AH2051" s="238" t="s">
        <v>1171</v>
      </c>
      <c r="AI2051" s="238" t="s">
        <v>3101</v>
      </c>
      <c r="AJ2051" s="238" t="s">
        <v>126</v>
      </c>
      <c r="AK2051" s="238" t="s">
        <v>141</v>
      </c>
      <c r="AL2051" t="s">
        <v>8715</v>
      </c>
      <c r="AM2051" t="s">
        <v>1167</v>
      </c>
    </row>
    <row r="2052" spans="1:39" x14ac:dyDescent="0.25">
      <c r="A2052">
        <v>2049</v>
      </c>
      <c r="B2052">
        <v>50</v>
      </c>
      <c r="C2052" s="24">
        <v>45188</v>
      </c>
      <c r="D2052" s="238" t="s">
        <v>3388</v>
      </c>
      <c r="E2052" s="238" t="s">
        <v>15</v>
      </c>
      <c r="F2052">
        <v>1</v>
      </c>
      <c r="G2052">
        <v>13</v>
      </c>
      <c r="H2052">
        <v>485</v>
      </c>
      <c r="I2052" s="238" t="s">
        <v>4052</v>
      </c>
      <c r="J2052">
        <v>29.4</v>
      </c>
      <c r="K2052" s="238" t="s">
        <v>36</v>
      </c>
      <c r="L2052">
        <v>2611993.7799999998</v>
      </c>
      <c r="M2052">
        <v>15000</v>
      </c>
      <c r="N2052">
        <v>2626993.7799999998</v>
      </c>
      <c r="O2052">
        <v>89353.529931972793</v>
      </c>
      <c r="P2052">
        <v>0</v>
      </c>
      <c r="Q2052">
        <v>2626993.7799999998</v>
      </c>
      <c r="R2052">
        <v>89353.529931972793</v>
      </c>
      <c r="S2052" s="238" t="s">
        <v>137</v>
      </c>
      <c r="T2052" s="238" t="s">
        <v>1167</v>
      </c>
      <c r="V2052" t="s">
        <v>4092</v>
      </c>
      <c r="W2052" s="24">
        <v>45157</v>
      </c>
      <c r="X2052" s="238" t="s">
        <v>5166</v>
      </c>
      <c r="Y2052" s="238" t="s">
        <v>39</v>
      </c>
      <c r="Z2052" s="238" t="s">
        <v>1340</v>
      </c>
      <c r="AA2052" t="s">
        <v>3113</v>
      </c>
      <c r="AB2052" s="238" t="s">
        <v>3246</v>
      </c>
      <c r="AC2052" t="s">
        <v>3079</v>
      </c>
      <c r="AD2052" s="24"/>
      <c r="AE2052" s="238" t="s">
        <v>5167</v>
      </c>
      <c r="AF2052">
        <v>79058929431</v>
      </c>
      <c r="AG2052" s="238" t="s">
        <v>5168</v>
      </c>
      <c r="AH2052" s="238" t="s">
        <v>1171</v>
      </c>
      <c r="AI2052" s="238" t="s">
        <v>135</v>
      </c>
      <c r="AJ2052" s="238" t="s">
        <v>3901</v>
      </c>
      <c r="AK2052" s="238" t="s">
        <v>141</v>
      </c>
      <c r="AL2052" t="s">
        <v>8715</v>
      </c>
      <c r="AM2052" t="s">
        <v>1167</v>
      </c>
    </row>
    <row r="2053" spans="1:39" x14ac:dyDescent="0.25">
      <c r="A2053">
        <v>2050</v>
      </c>
      <c r="B2053">
        <v>51</v>
      </c>
      <c r="C2053" s="24">
        <v>45188</v>
      </c>
      <c r="D2053" s="238" t="s">
        <v>3388</v>
      </c>
      <c r="E2053" s="238" t="s">
        <v>5</v>
      </c>
      <c r="F2053">
        <v>2</v>
      </c>
      <c r="G2053">
        <v>4</v>
      </c>
      <c r="H2053">
        <v>133</v>
      </c>
      <c r="I2053" s="238" t="s">
        <v>4052</v>
      </c>
      <c r="J2053">
        <v>24.28</v>
      </c>
      <c r="K2053" s="238" t="s">
        <v>37</v>
      </c>
      <c r="L2053">
        <v>2348842.29</v>
      </c>
      <c r="M2053">
        <v>15000</v>
      </c>
      <c r="N2053">
        <v>2363842.29</v>
      </c>
      <c r="O2053">
        <v>97357.590197693571</v>
      </c>
      <c r="P2053">
        <v>109260</v>
      </c>
      <c r="Q2053">
        <v>2254582.29</v>
      </c>
      <c r="R2053">
        <v>92857.590197693571</v>
      </c>
      <c r="S2053" s="238" t="s">
        <v>137</v>
      </c>
      <c r="T2053" s="238" t="s">
        <v>1167</v>
      </c>
      <c r="V2053" t="s">
        <v>4091</v>
      </c>
      <c r="W2053" s="24">
        <v>45157</v>
      </c>
      <c r="X2053" s="238" t="s">
        <v>5169</v>
      </c>
      <c r="Y2053" s="238" t="s">
        <v>39</v>
      </c>
      <c r="Z2053" s="238" t="s">
        <v>1340</v>
      </c>
      <c r="AA2053" t="s">
        <v>3113</v>
      </c>
      <c r="AB2053" s="238" t="s">
        <v>3246</v>
      </c>
      <c r="AC2053" t="s">
        <v>3079</v>
      </c>
      <c r="AD2053" s="24"/>
      <c r="AE2053" s="238" t="s">
        <v>5170</v>
      </c>
      <c r="AF2053">
        <v>79171458842</v>
      </c>
      <c r="AG2053" s="238" t="s">
        <v>5171</v>
      </c>
      <c r="AH2053" s="238" t="s">
        <v>146</v>
      </c>
      <c r="AI2053" s="238" t="s">
        <v>135</v>
      </c>
      <c r="AJ2053" s="238" t="s">
        <v>3901</v>
      </c>
      <c r="AK2053" s="238" t="s">
        <v>141</v>
      </c>
      <c r="AL2053" t="s">
        <v>8715</v>
      </c>
      <c r="AM2053" t="s">
        <v>1167</v>
      </c>
    </row>
    <row r="2054" spans="1:39" x14ac:dyDescent="0.25">
      <c r="A2054">
        <v>2051</v>
      </c>
      <c r="B2054">
        <v>52</v>
      </c>
      <c r="C2054" s="24">
        <v>45188</v>
      </c>
      <c r="D2054" s="238" t="s">
        <v>3388</v>
      </c>
      <c r="E2054" s="238" t="s">
        <v>16</v>
      </c>
      <c r="F2054">
        <v>2</v>
      </c>
      <c r="G2054">
        <v>1</v>
      </c>
      <c r="H2054">
        <v>224</v>
      </c>
      <c r="I2054" s="238" t="s">
        <v>4052</v>
      </c>
      <c r="J2054">
        <v>24.53</v>
      </c>
      <c r="K2054" s="238" t="s">
        <v>36</v>
      </c>
      <c r="L2054">
        <v>2557191.27</v>
      </c>
      <c r="M2054">
        <v>15000</v>
      </c>
      <c r="N2054">
        <v>2572191.27</v>
      </c>
      <c r="O2054">
        <v>104859</v>
      </c>
      <c r="P2054">
        <v>0</v>
      </c>
      <c r="Q2054">
        <v>2572191.27</v>
      </c>
      <c r="R2054">
        <v>104859</v>
      </c>
      <c r="S2054" s="238" t="s">
        <v>137</v>
      </c>
      <c r="T2054" s="238" t="s">
        <v>1167</v>
      </c>
      <c r="V2054" t="s">
        <v>4092</v>
      </c>
      <c r="W2054" s="24">
        <v>45158</v>
      </c>
      <c r="X2054" s="238" t="s">
        <v>5172</v>
      </c>
      <c r="Y2054" s="238" t="s">
        <v>39</v>
      </c>
      <c r="Z2054" s="238" t="s">
        <v>1340</v>
      </c>
      <c r="AA2054" t="s">
        <v>3113</v>
      </c>
      <c r="AB2054" s="238" t="s">
        <v>3246</v>
      </c>
      <c r="AC2054" t="s">
        <v>3079</v>
      </c>
      <c r="AD2054" s="24"/>
      <c r="AE2054" s="238" t="s">
        <v>4741</v>
      </c>
      <c r="AF2054">
        <v>79228999828</v>
      </c>
      <c r="AG2054" s="238" t="s">
        <v>4742</v>
      </c>
      <c r="AH2054" s="238" t="s">
        <v>1212</v>
      </c>
      <c r="AI2054" s="238" t="s">
        <v>3082</v>
      </c>
      <c r="AJ2054" s="238" t="s">
        <v>4177</v>
      </c>
      <c r="AK2054" s="238" t="s">
        <v>141</v>
      </c>
      <c r="AL2054" t="s">
        <v>8715</v>
      </c>
      <c r="AM2054" t="s">
        <v>1167</v>
      </c>
    </row>
    <row r="2055" spans="1:39" x14ac:dyDescent="0.25">
      <c r="A2055">
        <v>2052</v>
      </c>
      <c r="B2055">
        <v>53</v>
      </c>
      <c r="C2055" s="24">
        <v>45188</v>
      </c>
      <c r="D2055" s="238" t="s">
        <v>3388</v>
      </c>
      <c r="E2055" s="238" t="s">
        <v>16</v>
      </c>
      <c r="F2055">
        <v>2</v>
      </c>
      <c r="G2055">
        <v>2</v>
      </c>
      <c r="H2055">
        <v>230</v>
      </c>
      <c r="I2055" s="238" t="s">
        <v>4052</v>
      </c>
      <c r="J2055">
        <v>24.53</v>
      </c>
      <c r="K2055" s="238" t="s">
        <v>38</v>
      </c>
      <c r="L2055">
        <v>2621523.16</v>
      </c>
      <c r="M2055">
        <v>15000</v>
      </c>
      <c r="N2055">
        <v>2636523.16</v>
      </c>
      <c r="O2055">
        <v>107481.58010599266</v>
      </c>
      <c r="P2055">
        <v>380215</v>
      </c>
      <c r="Q2055">
        <v>2256308.16</v>
      </c>
      <c r="R2055">
        <v>91981.58010599266</v>
      </c>
      <c r="S2055" s="238" t="s">
        <v>137</v>
      </c>
      <c r="T2055" s="238" t="s">
        <v>1167</v>
      </c>
      <c r="V2055" t="s">
        <v>4092</v>
      </c>
      <c r="W2055" s="24">
        <v>45159</v>
      </c>
      <c r="X2055" s="238" t="s">
        <v>5173</v>
      </c>
      <c r="Y2055" s="238" t="s">
        <v>39</v>
      </c>
      <c r="Z2055" s="238" t="s">
        <v>1340</v>
      </c>
      <c r="AA2055" t="s">
        <v>3113</v>
      </c>
      <c r="AB2055" s="238" t="s">
        <v>3246</v>
      </c>
      <c r="AC2055" t="s">
        <v>3079</v>
      </c>
      <c r="AD2055" s="24"/>
      <c r="AE2055" s="238" t="s">
        <v>5174</v>
      </c>
      <c r="AF2055">
        <v>79272968641</v>
      </c>
      <c r="AG2055" s="238" t="s">
        <v>5175</v>
      </c>
      <c r="AH2055" s="238" t="s">
        <v>1212</v>
      </c>
      <c r="AI2055" s="238" t="s">
        <v>3093</v>
      </c>
      <c r="AJ2055" s="238" t="s">
        <v>130</v>
      </c>
      <c r="AK2055" s="238" t="s">
        <v>3345</v>
      </c>
      <c r="AL2055" t="s">
        <v>8715</v>
      </c>
      <c r="AM2055" t="s">
        <v>1167</v>
      </c>
    </row>
    <row r="2056" spans="1:39" x14ac:dyDescent="0.25">
      <c r="A2056">
        <v>2053</v>
      </c>
      <c r="B2056">
        <v>54</v>
      </c>
      <c r="C2056" s="24">
        <v>45188</v>
      </c>
      <c r="D2056" s="238" t="s">
        <v>3388</v>
      </c>
      <c r="E2056" s="238" t="s">
        <v>5</v>
      </c>
      <c r="F2056">
        <v>2</v>
      </c>
      <c r="G2056">
        <v>1</v>
      </c>
      <c r="H2056">
        <v>113</v>
      </c>
      <c r="I2056" s="238" t="s">
        <v>4052</v>
      </c>
      <c r="J2056">
        <v>24.28</v>
      </c>
      <c r="K2056" s="238" t="s">
        <v>36</v>
      </c>
      <c r="L2056">
        <v>2508643.29</v>
      </c>
      <c r="M2056">
        <v>15000</v>
      </c>
      <c r="N2056">
        <v>2523643.29</v>
      </c>
      <c r="O2056">
        <v>103939.17998352554</v>
      </c>
      <c r="P2056">
        <v>0</v>
      </c>
      <c r="Q2056">
        <v>2523643.29</v>
      </c>
      <c r="R2056">
        <v>103939.17998352554</v>
      </c>
      <c r="S2056" s="238" t="s">
        <v>137</v>
      </c>
      <c r="T2056" s="238" t="s">
        <v>1167</v>
      </c>
      <c r="V2056" t="s">
        <v>4091</v>
      </c>
      <c r="W2056" s="24">
        <v>45160</v>
      </c>
      <c r="X2056" s="238" t="s">
        <v>5176</v>
      </c>
      <c r="Y2056" s="238" t="s">
        <v>39</v>
      </c>
      <c r="Z2056" s="238" t="s">
        <v>1340</v>
      </c>
      <c r="AA2056" t="s">
        <v>3113</v>
      </c>
      <c r="AB2056" s="238" t="s">
        <v>3246</v>
      </c>
      <c r="AC2056" t="s">
        <v>3079</v>
      </c>
      <c r="AD2056" s="24"/>
      <c r="AE2056" s="238" t="s">
        <v>5177</v>
      </c>
      <c r="AF2056">
        <v>79867768580</v>
      </c>
      <c r="AG2056" s="238" t="s">
        <v>5178</v>
      </c>
      <c r="AH2056" s="238" t="s">
        <v>135</v>
      </c>
      <c r="AI2056" s="238" t="s">
        <v>3084</v>
      </c>
      <c r="AJ2056" s="238" t="s">
        <v>4177</v>
      </c>
      <c r="AK2056" s="238" t="s">
        <v>141</v>
      </c>
      <c r="AL2056" t="s">
        <v>8715</v>
      </c>
      <c r="AM2056" t="s">
        <v>1167</v>
      </c>
    </row>
    <row r="2057" spans="1:39" x14ac:dyDescent="0.25">
      <c r="A2057">
        <v>2054</v>
      </c>
      <c r="B2057">
        <v>55</v>
      </c>
      <c r="C2057" s="24">
        <v>45188</v>
      </c>
      <c r="D2057" s="238" t="s">
        <v>3388</v>
      </c>
      <c r="E2057" s="238" t="s">
        <v>15</v>
      </c>
      <c r="F2057">
        <v>4</v>
      </c>
      <c r="G2057">
        <v>8</v>
      </c>
      <c r="H2057">
        <v>448</v>
      </c>
      <c r="I2057" s="238" t="s">
        <v>43</v>
      </c>
      <c r="J2057">
        <v>58.24</v>
      </c>
      <c r="K2057" s="238" t="s">
        <v>37</v>
      </c>
      <c r="L2057">
        <v>4879237.42</v>
      </c>
      <c r="M2057">
        <v>15000</v>
      </c>
      <c r="N2057">
        <v>4894237.42</v>
      </c>
      <c r="O2057">
        <v>84035.669986263732</v>
      </c>
      <c r="P2057">
        <v>262080</v>
      </c>
      <c r="Q2057">
        <v>4632157.42</v>
      </c>
      <c r="R2057">
        <v>79535.669986263732</v>
      </c>
      <c r="S2057" s="238" t="s">
        <v>137</v>
      </c>
      <c r="T2057" s="238" t="s">
        <v>1167</v>
      </c>
      <c r="V2057" t="s">
        <v>4091</v>
      </c>
      <c r="W2057" s="24">
        <v>45160</v>
      </c>
      <c r="X2057" s="238" t="s">
        <v>5179</v>
      </c>
      <c r="Y2057" s="238" t="s">
        <v>39</v>
      </c>
      <c r="Z2057" s="238" t="s">
        <v>1340</v>
      </c>
      <c r="AA2057" t="s">
        <v>3113</v>
      </c>
      <c r="AB2057" s="238" t="s">
        <v>3246</v>
      </c>
      <c r="AC2057" t="s">
        <v>3079</v>
      </c>
      <c r="AD2057" s="24"/>
      <c r="AE2057" s="238" t="s">
        <v>5180</v>
      </c>
      <c r="AF2057">
        <v>79277499450</v>
      </c>
      <c r="AG2057" s="238" t="s">
        <v>5181</v>
      </c>
      <c r="AH2057" s="238" t="s">
        <v>4072</v>
      </c>
      <c r="AI2057" s="238" t="s">
        <v>6406</v>
      </c>
      <c r="AJ2057" s="238" t="s">
        <v>126</v>
      </c>
      <c r="AK2057" s="238" t="s">
        <v>3345</v>
      </c>
      <c r="AL2057" t="s">
        <v>57</v>
      </c>
      <c r="AM2057" t="s">
        <v>1167</v>
      </c>
    </row>
    <row r="2058" spans="1:39" x14ac:dyDescent="0.25">
      <c r="A2058">
        <v>2055</v>
      </c>
      <c r="B2058">
        <v>56</v>
      </c>
      <c r="C2058" s="24">
        <v>45188</v>
      </c>
      <c r="D2058" s="238" t="s">
        <v>3388</v>
      </c>
      <c r="E2058" s="238" t="s">
        <v>16</v>
      </c>
      <c r="F2058">
        <v>2</v>
      </c>
      <c r="G2058">
        <v>3</v>
      </c>
      <c r="H2058">
        <v>237</v>
      </c>
      <c r="I2058" s="238" t="s">
        <v>4052</v>
      </c>
      <c r="J2058">
        <v>24.53</v>
      </c>
      <c r="K2058" s="238" t="s">
        <v>36</v>
      </c>
      <c r="L2058">
        <v>2369123.34</v>
      </c>
      <c r="M2058">
        <v>0</v>
      </c>
      <c r="N2058">
        <v>2369123.34</v>
      </c>
      <c r="O2058">
        <v>96580.649816551158</v>
      </c>
      <c r="P2058">
        <v>0</v>
      </c>
      <c r="Q2058">
        <v>2369123.34</v>
      </c>
      <c r="R2058">
        <v>96580.649816551158</v>
      </c>
      <c r="S2058" s="238" t="s">
        <v>137</v>
      </c>
      <c r="T2058" s="238" t="s">
        <v>1167</v>
      </c>
      <c r="V2058" t="s">
        <v>4091</v>
      </c>
      <c r="W2058" s="24">
        <v>45161</v>
      </c>
      <c r="X2058" s="238" t="s">
        <v>5182</v>
      </c>
      <c r="Y2058" s="238" t="s">
        <v>39</v>
      </c>
      <c r="Z2058" s="238" t="s">
        <v>1340</v>
      </c>
      <c r="AA2058" t="s">
        <v>3113</v>
      </c>
      <c r="AB2058" s="238" t="s">
        <v>3246</v>
      </c>
      <c r="AC2058" t="s">
        <v>3079</v>
      </c>
      <c r="AD2058" s="24"/>
      <c r="AE2058" s="238" t="s">
        <v>5183</v>
      </c>
      <c r="AF2058">
        <v>79111111111</v>
      </c>
      <c r="AG2058" s="238" t="s">
        <v>5184</v>
      </c>
      <c r="AH2058" s="238" t="s">
        <v>135</v>
      </c>
      <c r="AI2058" s="238" t="s">
        <v>3075</v>
      </c>
      <c r="AJ2058" s="238" t="s">
        <v>399</v>
      </c>
      <c r="AK2058" s="238" t="s">
        <v>141</v>
      </c>
      <c r="AL2058" t="s">
        <v>8715</v>
      </c>
      <c r="AM2058" t="s">
        <v>1167</v>
      </c>
    </row>
    <row r="2059" spans="1:39" x14ac:dyDescent="0.25">
      <c r="A2059">
        <v>2056</v>
      </c>
      <c r="B2059">
        <v>57</v>
      </c>
      <c r="C2059" s="24">
        <v>45188</v>
      </c>
      <c r="D2059" s="238" t="s">
        <v>3388</v>
      </c>
      <c r="E2059" s="238" t="s">
        <v>6</v>
      </c>
      <c r="F2059">
        <v>1</v>
      </c>
      <c r="G2059">
        <v>3</v>
      </c>
      <c r="H2059">
        <v>14</v>
      </c>
      <c r="I2059" s="238" t="s">
        <v>42</v>
      </c>
      <c r="J2059">
        <v>34.39</v>
      </c>
      <c r="K2059" s="238" t="s">
        <v>36</v>
      </c>
      <c r="L2059">
        <v>3016799.82</v>
      </c>
      <c r="M2059">
        <v>0</v>
      </c>
      <c r="N2059">
        <v>3016799.82</v>
      </c>
      <c r="O2059">
        <v>87723.170107589409</v>
      </c>
      <c r="P2059">
        <v>0</v>
      </c>
      <c r="Q2059">
        <v>3016799.82</v>
      </c>
      <c r="R2059">
        <v>87723.170107589409</v>
      </c>
      <c r="S2059" s="238" t="s">
        <v>137</v>
      </c>
      <c r="T2059" s="238" t="s">
        <v>1167</v>
      </c>
      <c r="V2059" t="s">
        <v>4092</v>
      </c>
      <c r="W2059" s="24">
        <v>45162</v>
      </c>
      <c r="X2059" s="238" t="s">
        <v>5185</v>
      </c>
      <c r="Y2059" s="238" t="s">
        <v>39</v>
      </c>
      <c r="Z2059" s="238" t="s">
        <v>1340</v>
      </c>
      <c r="AA2059" t="s">
        <v>3113</v>
      </c>
      <c r="AB2059" s="238" t="s">
        <v>3246</v>
      </c>
      <c r="AC2059" t="s">
        <v>3079</v>
      </c>
      <c r="AD2059" s="24"/>
      <c r="AE2059" s="238" t="s">
        <v>5186</v>
      </c>
      <c r="AF2059">
        <v>79879553555</v>
      </c>
      <c r="AG2059" s="238" t="s">
        <v>5187</v>
      </c>
      <c r="AH2059" s="238" t="s">
        <v>1212</v>
      </c>
      <c r="AI2059" s="238" t="s">
        <v>3097</v>
      </c>
      <c r="AJ2059" s="238" t="s">
        <v>130</v>
      </c>
      <c r="AK2059" s="238" t="s">
        <v>3345</v>
      </c>
      <c r="AL2059" t="s">
        <v>8715</v>
      </c>
      <c r="AM2059" t="s">
        <v>1167</v>
      </c>
    </row>
    <row r="2060" spans="1:39" x14ac:dyDescent="0.25">
      <c r="A2060">
        <v>2057</v>
      </c>
      <c r="B2060">
        <v>58</v>
      </c>
      <c r="C2060" s="24">
        <v>45188</v>
      </c>
      <c r="D2060" s="238" t="s">
        <v>3388</v>
      </c>
      <c r="E2060" s="238" t="s">
        <v>15</v>
      </c>
      <c r="F2060">
        <v>3</v>
      </c>
      <c r="G2060">
        <v>10</v>
      </c>
      <c r="H2060">
        <v>463</v>
      </c>
      <c r="I2060" s="238" t="s">
        <v>4052</v>
      </c>
      <c r="J2060">
        <v>24.5</v>
      </c>
      <c r="K2060" s="238" t="s">
        <v>36</v>
      </c>
      <c r="L2060">
        <v>2343690.58</v>
      </c>
      <c r="M2060">
        <v>0</v>
      </c>
      <c r="N2060">
        <v>2343690.58</v>
      </c>
      <c r="O2060">
        <v>95660.84</v>
      </c>
      <c r="P2060">
        <v>0</v>
      </c>
      <c r="Q2060">
        <v>2343690.58</v>
      </c>
      <c r="R2060">
        <v>95660.84</v>
      </c>
      <c r="S2060" s="238" t="s">
        <v>137</v>
      </c>
      <c r="T2060" s="238" t="s">
        <v>1167</v>
      </c>
      <c r="V2060" t="s">
        <v>4092</v>
      </c>
      <c r="W2060" s="24">
        <v>45163</v>
      </c>
      <c r="X2060" s="238" t="s">
        <v>5188</v>
      </c>
      <c r="Y2060" s="238" t="s">
        <v>39</v>
      </c>
      <c r="Z2060" s="238" t="s">
        <v>1340</v>
      </c>
      <c r="AA2060" t="s">
        <v>3113</v>
      </c>
      <c r="AB2060" s="238" t="s">
        <v>3246</v>
      </c>
      <c r="AC2060" t="s">
        <v>3079</v>
      </c>
      <c r="AD2060" s="24"/>
      <c r="AE2060" s="238" t="s">
        <v>5189</v>
      </c>
      <c r="AF2060">
        <v>79874595046</v>
      </c>
      <c r="AG2060" s="238" t="s">
        <v>5190</v>
      </c>
      <c r="AH2060" s="238" t="s">
        <v>1212</v>
      </c>
      <c r="AI2060" s="238" t="s">
        <v>135</v>
      </c>
      <c r="AJ2060" s="238" t="s">
        <v>399</v>
      </c>
      <c r="AK2060" s="238" t="s">
        <v>141</v>
      </c>
      <c r="AL2060" t="s">
        <v>8715</v>
      </c>
      <c r="AM2060" t="s">
        <v>1167</v>
      </c>
    </row>
    <row r="2061" spans="1:39" x14ac:dyDescent="0.25">
      <c r="A2061">
        <v>2058</v>
      </c>
      <c r="B2061">
        <v>59</v>
      </c>
      <c r="C2061" s="24">
        <v>45188</v>
      </c>
      <c r="D2061" s="238" t="s">
        <v>3388</v>
      </c>
      <c r="E2061" s="238" t="s">
        <v>15</v>
      </c>
      <c r="F2061">
        <v>6</v>
      </c>
      <c r="G2061">
        <v>10</v>
      </c>
      <c r="H2061">
        <v>466</v>
      </c>
      <c r="I2061" s="238" t="s">
        <v>42</v>
      </c>
      <c r="J2061">
        <v>38.299999999999997</v>
      </c>
      <c r="K2061" s="238" t="s">
        <v>36</v>
      </c>
      <c r="L2061">
        <v>3522894.51</v>
      </c>
      <c r="M2061">
        <v>0</v>
      </c>
      <c r="N2061">
        <v>3522894.51</v>
      </c>
      <c r="O2061">
        <v>91981.579895561357</v>
      </c>
      <c r="P2061">
        <v>0</v>
      </c>
      <c r="Q2061">
        <v>3522894.51</v>
      </c>
      <c r="R2061">
        <v>91981.579895561357</v>
      </c>
      <c r="S2061" s="238" t="s">
        <v>137</v>
      </c>
      <c r="T2061" s="238" t="s">
        <v>1167</v>
      </c>
      <c r="V2061" t="s">
        <v>4092</v>
      </c>
      <c r="W2061" s="24">
        <v>45163</v>
      </c>
      <c r="X2061" s="238" t="s">
        <v>5191</v>
      </c>
      <c r="Y2061" s="238" t="s">
        <v>39</v>
      </c>
      <c r="Z2061" s="238" t="s">
        <v>1340</v>
      </c>
      <c r="AA2061" t="s">
        <v>3113</v>
      </c>
      <c r="AB2061" s="238" t="s">
        <v>3246</v>
      </c>
      <c r="AC2061" t="s">
        <v>3079</v>
      </c>
      <c r="AD2061" s="24"/>
      <c r="AE2061" s="238" t="s">
        <v>5192</v>
      </c>
      <c r="AF2061">
        <v>79277071157</v>
      </c>
      <c r="AG2061" s="238" t="s">
        <v>5193</v>
      </c>
      <c r="AH2061" s="238" t="s">
        <v>1171</v>
      </c>
      <c r="AI2061" s="238" t="s">
        <v>3090</v>
      </c>
      <c r="AJ2061" s="238" t="s">
        <v>130</v>
      </c>
      <c r="AK2061" s="238" t="s">
        <v>141</v>
      </c>
      <c r="AL2061" t="s">
        <v>8715</v>
      </c>
      <c r="AM2061" t="s">
        <v>1167</v>
      </c>
    </row>
    <row r="2062" spans="1:39" x14ac:dyDescent="0.25">
      <c r="A2062">
        <v>2059</v>
      </c>
      <c r="B2062">
        <v>60</v>
      </c>
      <c r="C2062" s="24">
        <v>45188</v>
      </c>
      <c r="D2062" s="238" t="s">
        <v>3388</v>
      </c>
      <c r="E2062" s="238" t="s">
        <v>5</v>
      </c>
      <c r="F2062">
        <v>5</v>
      </c>
      <c r="G2062">
        <v>4</v>
      </c>
      <c r="H2062">
        <v>136</v>
      </c>
      <c r="I2062" s="238" t="s">
        <v>42</v>
      </c>
      <c r="J2062">
        <v>37.86</v>
      </c>
      <c r="K2062" s="238" t="s">
        <v>36</v>
      </c>
      <c r="L2062">
        <v>3507573.3</v>
      </c>
      <c r="M2062">
        <v>0</v>
      </c>
      <c r="N2062">
        <v>3507573.3</v>
      </c>
      <c r="O2062">
        <v>92645.887480190169</v>
      </c>
      <c r="P2062">
        <v>0</v>
      </c>
      <c r="Q2062">
        <v>3507573.3</v>
      </c>
      <c r="R2062">
        <v>92645.887480190169</v>
      </c>
      <c r="S2062" s="238" t="s">
        <v>137</v>
      </c>
      <c r="T2062" s="238" t="s">
        <v>4360</v>
      </c>
      <c r="U2062">
        <v>71583.13</v>
      </c>
      <c r="V2062" t="s">
        <v>4092</v>
      </c>
      <c r="W2062" s="24">
        <v>45167</v>
      </c>
      <c r="X2062" s="238" t="s">
        <v>5194</v>
      </c>
      <c r="Y2062" s="238" t="s">
        <v>39</v>
      </c>
      <c r="Z2062" s="238" t="s">
        <v>1340</v>
      </c>
      <c r="AA2062" t="s">
        <v>3113</v>
      </c>
      <c r="AB2062" s="238" t="s">
        <v>3246</v>
      </c>
      <c r="AC2062" t="s">
        <v>3079</v>
      </c>
      <c r="AD2062" s="24"/>
      <c r="AE2062" s="238" t="s">
        <v>3166</v>
      </c>
      <c r="AF2062">
        <v>79228237994</v>
      </c>
      <c r="AG2062" s="238" t="s">
        <v>3167</v>
      </c>
      <c r="AH2062" s="238" t="s">
        <v>1171</v>
      </c>
      <c r="AI2062" s="238" t="s">
        <v>3082</v>
      </c>
      <c r="AJ2062" s="238" t="s">
        <v>130</v>
      </c>
      <c r="AK2062" s="238" t="s">
        <v>141</v>
      </c>
      <c r="AL2062" t="s">
        <v>8715</v>
      </c>
      <c r="AM2062" t="s">
        <v>1167</v>
      </c>
    </row>
    <row r="2063" spans="1:39" x14ac:dyDescent="0.25">
      <c r="A2063">
        <v>2060</v>
      </c>
      <c r="B2063">
        <v>61</v>
      </c>
      <c r="C2063" s="24">
        <v>45188</v>
      </c>
      <c r="D2063" s="238" t="s">
        <v>3388</v>
      </c>
      <c r="E2063" s="238" t="s">
        <v>15</v>
      </c>
      <c r="F2063">
        <v>8</v>
      </c>
      <c r="G2063">
        <v>3</v>
      </c>
      <c r="H2063">
        <v>412</v>
      </c>
      <c r="I2063" s="238" t="s">
        <v>42</v>
      </c>
      <c r="J2063">
        <v>39.69</v>
      </c>
      <c r="K2063" s="238" t="s">
        <v>36</v>
      </c>
      <c r="L2063">
        <v>3673227.74</v>
      </c>
      <c r="M2063">
        <v>0</v>
      </c>
      <c r="N2063">
        <v>3673227.74</v>
      </c>
      <c r="O2063">
        <v>92547.940035273379</v>
      </c>
      <c r="P2063">
        <v>0</v>
      </c>
      <c r="Q2063">
        <v>3673227.74</v>
      </c>
      <c r="R2063">
        <v>92547.940035273379</v>
      </c>
      <c r="S2063" s="238" t="s">
        <v>137</v>
      </c>
      <c r="T2063" s="238" t="s">
        <v>1167</v>
      </c>
      <c r="V2063" t="s">
        <v>4092</v>
      </c>
      <c r="W2063" s="24">
        <v>45175</v>
      </c>
      <c r="X2063" s="238" t="s">
        <v>5195</v>
      </c>
      <c r="Y2063" s="238" t="s">
        <v>39</v>
      </c>
      <c r="Z2063" s="238" t="s">
        <v>1340</v>
      </c>
      <c r="AA2063" t="s">
        <v>3113</v>
      </c>
      <c r="AB2063" s="238" t="s">
        <v>3246</v>
      </c>
      <c r="AC2063" t="s">
        <v>3079</v>
      </c>
      <c r="AD2063" s="24"/>
      <c r="AE2063" s="238" t="s">
        <v>5196</v>
      </c>
      <c r="AF2063">
        <v>79022390581</v>
      </c>
      <c r="AG2063" s="238" t="s">
        <v>5197</v>
      </c>
      <c r="AH2063" s="238" t="s">
        <v>1212</v>
      </c>
      <c r="AI2063" s="238" t="s">
        <v>3088</v>
      </c>
      <c r="AJ2063" s="238" t="s">
        <v>3901</v>
      </c>
      <c r="AK2063" s="238" t="s">
        <v>141</v>
      </c>
      <c r="AL2063" t="s">
        <v>8715</v>
      </c>
      <c r="AM2063" t="s">
        <v>1167</v>
      </c>
    </row>
    <row r="2064" spans="1:39" x14ac:dyDescent="0.25">
      <c r="A2064">
        <v>2061</v>
      </c>
      <c r="B2064">
        <v>62</v>
      </c>
      <c r="C2064" s="24">
        <v>45188</v>
      </c>
      <c r="D2064" s="238" t="s">
        <v>3388</v>
      </c>
      <c r="E2064" s="238" t="s">
        <v>15</v>
      </c>
      <c r="F2064">
        <v>3</v>
      </c>
      <c r="G2064">
        <v>1</v>
      </c>
      <c r="H2064">
        <v>392</v>
      </c>
      <c r="I2064" s="238" t="s">
        <v>4052</v>
      </c>
      <c r="J2064">
        <v>24.5</v>
      </c>
      <c r="K2064" s="238" t="s">
        <v>37</v>
      </c>
      <c r="L2064">
        <v>2768616.87</v>
      </c>
      <c r="M2064">
        <v>0</v>
      </c>
      <c r="N2064">
        <v>2768616.87</v>
      </c>
      <c r="O2064">
        <v>113004.77020408164</v>
      </c>
      <c r="P2064">
        <v>122500</v>
      </c>
      <c r="Q2064">
        <v>2646116.87</v>
      </c>
      <c r="R2064">
        <v>108004.77020408164</v>
      </c>
      <c r="S2064" s="238" t="s">
        <v>137</v>
      </c>
      <c r="T2064" s="238" t="s">
        <v>1167</v>
      </c>
      <c r="V2064" t="s">
        <v>4092</v>
      </c>
      <c r="W2064" s="24">
        <v>45176</v>
      </c>
      <c r="X2064" s="238" t="s">
        <v>5198</v>
      </c>
      <c r="Y2064" s="238" t="s">
        <v>39</v>
      </c>
      <c r="Z2064" s="238" t="s">
        <v>1340</v>
      </c>
      <c r="AA2064" t="s">
        <v>3113</v>
      </c>
      <c r="AB2064" s="238" t="s">
        <v>3246</v>
      </c>
      <c r="AC2064" t="s">
        <v>3079</v>
      </c>
      <c r="AD2064" s="24"/>
      <c r="AE2064" s="238" t="s">
        <v>5199</v>
      </c>
      <c r="AF2064">
        <v>79063409125</v>
      </c>
      <c r="AG2064" s="238" t="s">
        <v>5200</v>
      </c>
      <c r="AH2064" s="238" t="s">
        <v>4072</v>
      </c>
      <c r="AI2064" s="238" t="s">
        <v>6406</v>
      </c>
      <c r="AJ2064" s="238" t="s">
        <v>126</v>
      </c>
      <c r="AK2064" s="238" t="s">
        <v>141</v>
      </c>
      <c r="AL2064" t="s">
        <v>57</v>
      </c>
      <c r="AM2064" t="s">
        <v>1167</v>
      </c>
    </row>
    <row r="2065" spans="1:39" x14ac:dyDescent="0.25">
      <c r="A2065">
        <v>2062</v>
      </c>
      <c r="B2065">
        <v>63</v>
      </c>
      <c r="C2065" s="24">
        <v>45188</v>
      </c>
      <c r="D2065" s="238" t="s">
        <v>3388</v>
      </c>
      <c r="E2065" s="238" t="s">
        <v>15</v>
      </c>
      <c r="F2065">
        <v>6</v>
      </c>
      <c r="G2065">
        <v>4</v>
      </c>
      <c r="H2065">
        <v>418</v>
      </c>
      <c r="I2065" s="238" t="s">
        <v>42</v>
      </c>
      <c r="J2065">
        <v>38.299999999999997</v>
      </c>
      <c r="K2065" s="238" t="s">
        <v>36</v>
      </c>
      <c r="L2065">
        <v>3662178.98</v>
      </c>
      <c r="M2065">
        <v>0</v>
      </c>
      <c r="N2065">
        <v>3662178.98</v>
      </c>
      <c r="O2065">
        <v>95618.250130548317</v>
      </c>
      <c r="P2065">
        <v>0</v>
      </c>
      <c r="Q2065">
        <v>3662178.98</v>
      </c>
      <c r="R2065">
        <v>95618.250130548317</v>
      </c>
      <c r="S2065" s="238" t="s">
        <v>137</v>
      </c>
      <c r="T2065" s="238" t="s">
        <v>1167</v>
      </c>
      <c r="V2065" t="s">
        <v>4092</v>
      </c>
      <c r="W2065" s="24">
        <v>45181</v>
      </c>
      <c r="X2065" s="238" t="s">
        <v>5201</v>
      </c>
      <c r="Y2065" s="238" t="s">
        <v>39</v>
      </c>
      <c r="Z2065" s="238" t="s">
        <v>1340</v>
      </c>
      <c r="AA2065" t="s">
        <v>3113</v>
      </c>
      <c r="AB2065" s="238" t="s">
        <v>3246</v>
      </c>
      <c r="AC2065" t="s">
        <v>3079</v>
      </c>
      <c r="AD2065" s="24"/>
      <c r="AE2065" s="238" t="s">
        <v>5202</v>
      </c>
      <c r="AF2065">
        <v>79379988999</v>
      </c>
      <c r="AG2065" s="238" t="s">
        <v>5203</v>
      </c>
      <c r="AH2065" s="238" t="s">
        <v>1171</v>
      </c>
      <c r="AI2065" s="238" t="s">
        <v>3514</v>
      </c>
      <c r="AJ2065" s="238" t="s">
        <v>130</v>
      </c>
      <c r="AK2065" s="238" t="s">
        <v>141</v>
      </c>
      <c r="AL2065" t="s">
        <v>8715</v>
      </c>
      <c r="AM2065" t="s">
        <v>1167</v>
      </c>
    </row>
    <row r="2066" spans="1:39" x14ac:dyDescent="0.25">
      <c r="A2066">
        <v>2063</v>
      </c>
      <c r="B2066">
        <v>64</v>
      </c>
      <c r="C2066" s="24">
        <v>45188</v>
      </c>
      <c r="D2066" s="238" t="s">
        <v>3388</v>
      </c>
      <c r="E2066" s="238" t="s">
        <v>16</v>
      </c>
      <c r="F2066">
        <v>5</v>
      </c>
      <c r="G2066">
        <v>3</v>
      </c>
      <c r="H2066">
        <v>240</v>
      </c>
      <c r="I2066" s="238" t="s">
        <v>42</v>
      </c>
      <c r="J2066">
        <v>37.81</v>
      </c>
      <c r="K2066" s="238" t="s">
        <v>36</v>
      </c>
      <c r="L2066">
        <v>3471383.03</v>
      </c>
      <c r="M2066">
        <v>0</v>
      </c>
      <c r="N2066">
        <v>3471383.03</v>
      </c>
      <c r="O2066">
        <v>91811.241206030143</v>
      </c>
      <c r="P2066">
        <v>0</v>
      </c>
      <c r="Q2066">
        <v>3471383.03</v>
      </c>
      <c r="R2066">
        <v>91811.241206030143</v>
      </c>
      <c r="S2066" s="238" t="s">
        <v>124</v>
      </c>
      <c r="T2066" s="238" t="s">
        <v>4360</v>
      </c>
      <c r="U2066">
        <v>70844.55</v>
      </c>
      <c r="V2066" t="s">
        <v>1167</v>
      </c>
      <c r="W2066" s="24">
        <v>45181</v>
      </c>
      <c r="X2066" s="238" t="s">
        <v>5204</v>
      </c>
      <c r="Y2066" s="238" t="s">
        <v>39</v>
      </c>
      <c r="Z2066" s="238" t="s">
        <v>1340</v>
      </c>
      <c r="AA2066" t="s">
        <v>3474</v>
      </c>
      <c r="AB2066" s="238" t="s">
        <v>3246</v>
      </c>
      <c r="AC2066" t="s">
        <v>1167</v>
      </c>
      <c r="AD2066" s="24"/>
      <c r="AE2066" s="238" t="s">
        <v>5205</v>
      </c>
      <c r="AF2066">
        <v>79379988999</v>
      </c>
      <c r="AG2066" s="238" t="s">
        <v>5203</v>
      </c>
      <c r="AH2066" s="238" t="s">
        <v>1197</v>
      </c>
      <c r="AI2066" s="238" t="s">
        <v>3514</v>
      </c>
      <c r="AJ2066" s="238" t="s">
        <v>130</v>
      </c>
      <c r="AK2066" s="238" t="s">
        <v>1167</v>
      </c>
      <c r="AL2066" t="s">
        <v>8715</v>
      </c>
      <c r="AM2066" t="s">
        <v>1167</v>
      </c>
    </row>
    <row r="2067" spans="1:39" x14ac:dyDescent="0.25">
      <c r="A2067">
        <v>2064</v>
      </c>
      <c r="B2067">
        <v>65</v>
      </c>
      <c r="C2067" s="24">
        <v>45188</v>
      </c>
      <c r="D2067" s="238" t="s">
        <v>3388</v>
      </c>
      <c r="E2067" s="238" t="s">
        <v>15</v>
      </c>
      <c r="F2067">
        <v>8</v>
      </c>
      <c r="G2067">
        <v>15</v>
      </c>
      <c r="H2067">
        <v>508</v>
      </c>
      <c r="I2067" s="238" t="s">
        <v>42</v>
      </c>
      <c r="J2067">
        <v>39.69</v>
      </c>
      <c r="K2067" s="238" t="s">
        <v>38</v>
      </c>
      <c r="L2067">
        <v>4328085</v>
      </c>
      <c r="M2067">
        <v>15000</v>
      </c>
      <c r="N2067">
        <v>4343085</v>
      </c>
      <c r="O2067">
        <v>109425.17006802722</v>
      </c>
      <c r="P2067">
        <v>635040</v>
      </c>
      <c r="Q2067">
        <v>3708045</v>
      </c>
      <c r="R2067">
        <v>93425.170068027219</v>
      </c>
      <c r="S2067" s="238" t="s">
        <v>137</v>
      </c>
      <c r="T2067" s="238" t="s">
        <v>1167</v>
      </c>
      <c r="V2067" t="s">
        <v>4091</v>
      </c>
      <c r="W2067" s="24">
        <v>45182</v>
      </c>
      <c r="X2067" s="238" t="s">
        <v>5206</v>
      </c>
      <c r="Y2067" s="238" t="s">
        <v>39</v>
      </c>
      <c r="Z2067" s="238" t="s">
        <v>1340</v>
      </c>
      <c r="AA2067" t="s">
        <v>3113</v>
      </c>
      <c r="AB2067" s="238" t="s">
        <v>3246</v>
      </c>
      <c r="AC2067" t="s">
        <v>3079</v>
      </c>
      <c r="AD2067" s="24"/>
      <c r="AE2067" s="238" t="s">
        <v>5207</v>
      </c>
      <c r="AF2067">
        <v>79272019698</v>
      </c>
      <c r="AG2067" s="238" t="s">
        <v>5208</v>
      </c>
      <c r="AH2067" s="238" t="s">
        <v>1212</v>
      </c>
      <c r="AI2067" s="238" t="s">
        <v>135</v>
      </c>
      <c r="AJ2067" s="238" t="s">
        <v>3901</v>
      </c>
      <c r="AK2067" s="238" t="s">
        <v>3345</v>
      </c>
      <c r="AL2067" t="s">
        <v>8715</v>
      </c>
      <c r="AM2067" t="s">
        <v>1167</v>
      </c>
    </row>
    <row r="2068" spans="1:39" x14ac:dyDescent="0.25">
      <c r="A2068">
        <v>2065</v>
      </c>
      <c r="B2068">
        <v>66</v>
      </c>
      <c r="C2068" s="24">
        <v>45188</v>
      </c>
      <c r="D2068" s="238" t="s">
        <v>3388</v>
      </c>
      <c r="E2068" s="238" t="s">
        <v>5</v>
      </c>
      <c r="F2068">
        <v>6</v>
      </c>
      <c r="G2068">
        <v>4</v>
      </c>
      <c r="H2068">
        <v>137</v>
      </c>
      <c r="I2068" s="238" t="s">
        <v>44</v>
      </c>
      <c r="J2068">
        <v>84.99</v>
      </c>
      <c r="K2068" s="238" t="s">
        <v>37</v>
      </c>
      <c r="L2068">
        <v>7256081.8300000001</v>
      </c>
      <c r="M2068">
        <v>0</v>
      </c>
      <c r="N2068">
        <v>7256081.8300000001</v>
      </c>
      <c r="O2068">
        <v>85375.712789739977</v>
      </c>
      <c r="P2068">
        <v>637425</v>
      </c>
      <c r="Q2068">
        <v>6618656.8300000001</v>
      </c>
      <c r="R2068">
        <v>77875.712789739977</v>
      </c>
      <c r="S2068" s="238" t="s">
        <v>137</v>
      </c>
      <c r="T2068" s="238" t="s">
        <v>3539</v>
      </c>
      <c r="U2068">
        <v>204700.73</v>
      </c>
      <c r="V2068" t="s">
        <v>4092</v>
      </c>
      <c r="W2068" s="24">
        <v>45182</v>
      </c>
      <c r="X2068" s="238" t="s">
        <v>5209</v>
      </c>
      <c r="Y2068" s="238" t="s">
        <v>39</v>
      </c>
      <c r="Z2068" s="238" t="s">
        <v>1340</v>
      </c>
      <c r="AA2068" t="s">
        <v>3113</v>
      </c>
      <c r="AB2068" s="238" t="s">
        <v>3246</v>
      </c>
      <c r="AC2068" t="s">
        <v>3079</v>
      </c>
      <c r="AD2068" s="24"/>
      <c r="AE2068" s="238" t="s">
        <v>5210</v>
      </c>
      <c r="AF2068">
        <v>79379810172</v>
      </c>
      <c r="AG2068" s="238" t="s">
        <v>5211</v>
      </c>
      <c r="AH2068" s="238" t="s">
        <v>1171</v>
      </c>
      <c r="AI2068" s="238" t="s">
        <v>135</v>
      </c>
      <c r="AJ2068" s="238" t="s">
        <v>126</v>
      </c>
      <c r="AK2068" s="238" t="s">
        <v>141</v>
      </c>
      <c r="AL2068" t="s">
        <v>8715</v>
      </c>
      <c r="AM2068" t="s">
        <v>1167</v>
      </c>
    </row>
    <row r="2069" spans="1:39" x14ac:dyDescent="0.25">
      <c r="A2069">
        <v>2066</v>
      </c>
      <c r="B2069">
        <v>67</v>
      </c>
      <c r="C2069" s="24">
        <v>45188</v>
      </c>
      <c r="D2069" s="238" t="s">
        <v>3388</v>
      </c>
      <c r="E2069" s="238" t="s">
        <v>15</v>
      </c>
      <c r="F2069">
        <v>2</v>
      </c>
      <c r="G2069">
        <v>4</v>
      </c>
      <c r="H2069">
        <v>414</v>
      </c>
      <c r="I2069" s="238" t="s">
        <v>42</v>
      </c>
      <c r="J2069">
        <v>43.21</v>
      </c>
      <c r="K2069" s="238" t="s">
        <v>36</v>
      </c>
      <c r="L2069">
        <v>4058128.51</v>
      </c>
      <c r="M2069">
        <v>0</v>
      </c>
      <c r="N2069">
        <v>4058128.51</v>
      </c>
      <c r="O2069">
        <v>93916.420041657024</v>
      </c>
      <c r="P2069">
        <v>0</v>
      </c>
      <c r="Q2069">
        <v>4058128.51</v>
      </c>
      <c r="R2069">
        <v>93916.420041657024</v>
      </c>
      <c r="S2069" s="238" t="s">
        <v>137</v>
      </c>
      <c r="T2069" s="238" t="s">
        <v>1167</v>
      </c>
      <c r="V2069" t="s">
        <v>4092</v>
      </c>
      <c r="W2069" s="24">
        <v>45187</v>
      </c>
      <c r="X2069" s="238" t="s">
        <v>5212</v>
      </c>
      <c r="Y2069" s="238" t="s">
        <v>39</v>
      </c>
      <c r="Z2069" s="238" t="s">
        <v>1340</v>
      </c>
      <c r="AA2069" t="s">
        <v>3113</v>
      </c>
      <c r="AB2069" s="238" t="s">
        <v>3246</v>
      </c>
      <c r="AC2069" t="s">
        <v>3079</v>
      </c>
      <c r="AD2069" s="24"/>
      <c r="AE2069" s="238" t="s">
        <v>5213</v>
      </c>
      <c r="AF2069">
        <v>79228111049</v>
      </c>
      <c r="AG2069" s="238" t="s">
        <v>5214</v>
      </c>
      <c r="AH2069" s="238" t="s">
        <v>1212</v>
      </c>
      <c r="AI2069" s="238" t="s">
        <v>3514</v>
      </c>
      <c r="AJ2069" s="238" t="s">
        <v>5215</v>
      </c>
      <c r="AK2069" s="238" t="s">
        <v>141</v>
      </c>
      <c r="AL2069" t="s">
        <v>8715</v>
      </c>
      <c r="AM2069" t="s">
        <v>1167</v>
      </c>
    </row>
    <row r="2070" spans="1:39" x14ac:dyDescent="0.25">
      <c r="A2070">
        <v>2067</v>
      </c>
      <c r="B2070">
        <v>68</v>
      </c>
      <c r="C2070" s="24">
        <v>45188</v>
      </c>
      <c r="D2070" s="238" t="s">
        <v>3388</v>
      </c>
      <c r="E2070" s="238" t="s">
        <v>15</v>
      </c>
      <c r="F2070">
        <v>2</v>
      </c>
      <c r="G2070">
        <v>9</v>
      </c>
      <c r="H2070">
        <v>454</v>
      </c>
      <c r="I2070" s="238" t="s">
        <v>42</v>
      </c>
      <c r="J2070">
        <v>43.21</v>
      </c>
      <c r="K2070" s="238" t="s">
        <v>36</v>
      </c>
      <c r="L2070">
        <v>3665114.9</v>
      </c>
      <c r="M2070">
        <v>15000</v>
      </c>
      <c r="N2070">
        <v>3680114.9</v>
      </c>
      <c r="O2070">
        <v>85168.130062485536</v>
      </c>
      <c r="P2070">
        <v>0</v>
      </c>
      <c r="Q2070">
        <v>3680114.9</v>
      </c>
      <c r="R2070">
        <v>85168.130062485536</v>
      </c>
      <c r="S2070" s="238" t="s">
        <v>137</v>
      </c>
      <c r="T2070" s="238" t="s">
        <v>1167</v>
      </c>
      <c r="V2070" t="s">
        <v>4091</v>
      </c>
      <c r="W2070" s="24">
        <v>45188</v>
      </c>
      <c r="X2070" s="238" t="s">
        <v>5216</v>
      </c>
      <c r="Y2070" s="238" t="s">
        <v>39</v>
      </c>
      <c r="Z2070" s="238" t="s">
        <v>1340</v>
      </c>
      <c r="AA2070" t="s">
        <v>3113</v>
      </c>
      <c r="AB2070" s="238" t="s">
        <v>3246</v>
      </c>
      <c r="AC2070" t="s">
        <v>3079</v>
      </c>
      <c r="AD2070" s="24"/>
      <c r="AE2070" s="238" t="s">
        <v>3523</v>
      </c>
      <c r="AF2070">
        <v>79093234535</v>
      </c>
      <c r="AG2070" s="238" t="s">
        <v>3524</v>
      </c>
      <c r="AH2070" s="238" t="s">
        <v>1212</v>
      </c>
      <c r="AI2070" s="238" t="s">
        <v>3082</v>
      </c>
      <c r="AJ2070" s="238" t="s">
        <v>3901</v>
      </c>
      <c r="AK2070" s="238" t="s">
        <v>3345</v>
      </c>
      <c r="AL2070" t="s">
        <v>8715</v>
      </c>
      <c r="AM2070" t="s">
        <v>1167</v>
      </c>
    </row>
    <row r="2071" spans="1:39" x14ac:dyDescent="0.25">
      <c r="A2071">
        <v>2068</v>
      </c>
      <c r="B2071">
        <v>69</v>
      </c>
      <c r="C2071" s="24">
        <v>45189</v>
      </c>
      <c r="D2071" s="238" t="s">
        <v>3388</v>
      </c>
      <c r="E2071" s="238" t="s">
        <v>16</v>
      </c>
      <c r="F2071">
        <v>6</v>
      </c>
      <c r="G2071">
        <v>1</v>
      </c>
      <c r="H2071">
        <v>228</v>
      </c>
      <c r="I2071" s="238" t="s">
        <v>42</v>
      </c>
      <c r="J2071">
        <v>34.76</v>
      </c>
      <c r="K2071" s="238" t="s">
        <v>38</v>
      </c>
      <c r="L2071">
        <v>3521722.9</v>
      </c>
      <c r="M2071">
        <v>15000</v>
      </c>
      <c r="N2071">
        <v>3536722.9</v>
      </c>
      <c r="O2071">
        <v>101746.91887226698</v>
      </c>
      <c r="P2071">
        <v>538780</v>
      </c>
      <c r="Q2071">
        <v>2997942.9</v>
      </c>
      <c r="R2071">
        <v>86246.918872266979</v>
      </c>
      <c r="S2071" s="238" t="s">
        <v>137</v>
      </c>
      <c r="T2071" s="238" t="s">
        <v>3537</v>
      </c>
      <c r="U2071">
        <v>61182.51</v>
      </c>
      <c r="V2071" t="s">
        <v>4092</v>
      </c>
      <c r="W2071" s="24">
        <v>45148</v>
      </c>
      <c r="X2071" s="238" t="s">
        <v>5217</v>
      </c>
      <c r="Y2071" s="238" t="s">
        <v>39</v>
      </c>
      <c r="Z2071" s="238" t="s">
        <v>1340</v>
      </c>
      <c r="AA2071" t="s">
        <v>3113</v>
      </c>
      <c r="AB2071" s="238" t="s">
        <v>3246</v>
      </c>
      <c r="AC2071" t="s">
        <v>3079</v>
      </c>
      <c r="AD2071" s="24"/>
      <c r="AE2071" s="238" t="s">
        <v>5218</v>
      </c>
      <c r="AF2071">
        <v>79649910007</v>
      </c>
      <c r="AG2071" s="238" t="s">
        <v>5219</v>
      </c>
      <c r="AH2071" s="238" t="s">
        <v>1171</v>
      </c>
      <c r="AI2071" s="238" t="s">
        <v>3074</v>
      </c>
      <c r="AJ2071" s="238" t="s">
        <v>399</v>
      </c>
      <c r="AK2071" s="238" t="s">
        <v>3345</v>
      </c>
      <c r="AL2071" t="s">
        <v>8715</v>
      </c>
      <c r="AM2071" t="s">
        <v>1167</v>
      </c>
    </row>
    <row r="2072" spans="1:39" x14ac:dyDescent="0.25">
      <c r="A2072">
        <v>2069</v>
      </c>
      <c r="B2072">
        <v>70</v>
      </c>
      <c r="C2072" s="24">
        <v>45189</v>
      </c>
      <c r="D2072" s="238" t="s">
        <v>3388</v>
      </c>
      <c r="E2072" s="238" t="s">
        <v>15</v>
      </c>
      <c r="F2072">
        <v>1</v>
      </c>
      <c r="G2072">
        <v>23</v>
      </c>
      <c r="H2072">
        <v>565</v>
      </c>
      <c r="I2072" s="238" t="s">
        <v>4052</v>
      </c>
      <c r="J2072">
        <v>29.4</v>
      </c>
      <c r="K2072" s="238" t="s">
        <v>36</v>
      </c>
      <c r="L2072">
        <v>3063924.53</v>
      </c>
      <c r="M2072">
        <v>0</v>
      </c>
      <c r="N2072">
        <v>3063924.53</v>
      </c>
      <c r="O2072">
        <v>104215.12006802722</v>
      </c>
      <c r="P2072">
        <v>0</v>
      </c>
      <c r="Q2072">
        <v>3063924.53</v>
      </c>
      <c r="R2072">
        <v>104215.12006802722</v>
      </c>
      <c r="S2072" s="238" t="s">
        <v>137</v>
      </c>
      <c r="T2072" s="238" t="s">
        <v>1167</v>
      </c>
      <c r="V2072" t="s">
        <v>4091</v>
      </c>
      <c r="W2072" s="24">
        <v>45181</v>
      </c>
      <c r="X2072" s="238" t="s">
        <v>5220</v>
      </c>
      <c r="Y2072" s="238" t="s">
        <v>39</v>
      </c>
      <c r="Z2072" s="238" t="s">
        <v>1340</v>
      </c>
      <c r="AA2072" t="s">
        <v>3113</v>
      </c>
      <c r="AB2072" s="238" t="s">
        <v>3246</v>
      </c>
      <c r="AC2072" t="s">
        <v>3079</v>
      </c>
      <c r="AD2072" s="24"/>
      <c r="AE2072" s="238" t="s">
        <v>5221</v>
      </c>
      <c r="AF2072">
        <v>79370662805</v>
      </c>
      <c r="AG2072" s="238" t="s">
        <v>5222</v>
      </c>
      <c r="AH2072" s="238" t="s">
        <v>1212</v>
      </c>
      <c r="AI2072" s="238" t="s">
        <v>3103</v>
      </c>
      <c r="AJ2072" s="238" t="s">
        <v>399</v>
      </c>
      <c r="AK2072" s="238" t="s">
        <v>141</v>
      </c>
      <c r="AL2072" t="s">
        <v>8715</v>
      </c>
      <c r="AM2072" t="s">
        <v>1167</v>
      </c>
    </row>
    <row r="2073" spans="1:39" x14ac:dyDescent="0.25">
      <c r="A2073">
        <v>2070</v>
      </c>
      <c r="B2073">
        <v>71</v>
      </c>
      <c r="C2073" s="24">
        <v>45189</v>
      </c>
      <c r="D2073" s="238" t="s">
        <v>3388</v>
      </c>
      <c r="E2073" s="238" t="s">
        <v>6</v>
      </c>
      <c r="F2073">
        <v>3</v>
      </c>
      <c r="G2073">
        <v>16</v>
      </c>
      <c r="H2073">
        <v>107</v>
      </c>
      <c r="I2073" s="238" t="s">
        <v>42</v>
      </c>
      <c r="J2073">
        <v>37.729999999999997</v>
      </c>
      <c r="K2073" s="238" t="s">
        <v>37</v>
      </c>
      <c r="L2073">
        <v>3426124.6</v>
      </c>
      <c r="M2073">
        <v>30000</v>
      </c>
      <c r="N2073">
        <v>3456124.6</v>
      </c>
      <c r="O2073">
        <v>91601.500132520552</v>
      </c>
      <c r="P2073">
        <v>150920</v>
      </c>
      <c r="Q2073">
        <v>3305204.6</v>
      </c>
      <c r="R2073">
        <v>87601.500132520552</v>
      </c>
      <c r="S2073" s="238" t="s">
        <v>121</v>
      </c>
      <c r="T2073" s="238" t="s">
        <v>1167</v>
      </c>
      <c r="V2073" t="s">
        <v>1167</v>
      </c>
      <c r="W2073" s="24">
        <v>45135</v>
      </c>
      <c r="X2073" s="238" t="s">
        <v>5223</v>
      </c>
      <c r="Y2073" s="238" t="s">
        <v>39</v>
      </c>
      <c r="Z2073" s="238" t="s">
        <v>1340</v>
      </c>
      <c r="AA2073" t="s">
        <v>3474</v>
      </c>
      <c r="AB2073" s="238" t="s">
        <v>3246</v>
      </c>
      <c r="AC2073" t="s">
        <v>1167</v>
      </c>
      <c r="AD2073" s="24"/>
      <c r="AE2073" s="238" t="s">
        <v>1875</v>
      </c>
      <c r="AF2073">
        <v>79228015935</v>
      </c>
      <c r="AG2073" s="238" t="s">
        <v>1876</v>
      </c>
      <c r="AH2073" s="238" t="s">
        <v>1171</v>
      </c>
      <c r="AI2073" s="238" t="s">
        <v>3082</v>
      </c>
      <c r="AJ2073" s="238" t="s">
        <v>130</v>
      </c>
      <c r="AK2073" s="238" t="s">
        <v>1167</v>
      </c>
      <c r="AL2073" t="s">
        <v>8715</v>
      </c>
      <c r="AM2073" t="s">
        <v>1167</v>
      </c>
    </row>
    <row r="2074" spans="1:39" x14ac:dyDescent="0.25">
      <c r="A2074">
        <v>2071</v>
      </c>
      <c r="B2074">
        <v>72</v>
      </c>
      <c r="C2074" s="24">
        <v>45190</v>
      </c>
      <c r="D2074" s="238" t="s">
        <v>3388</v>
      </c>
      <c r="E2074" s="238" t="s">
        <v>16</v>
      </c>
      <c r="F2074">
        <v>6</v>
      </c>
      <c r="G2074">
        <v>16</v>
      </c>
      <c r="H2074">
        <v>332</v>
      </c>
      <c r="I2074" s="238" t="s">
        <v>44</v>
      </c>
      <c r="J2074">
        <v>80.97</v>
      </c>
      <c r="K2074" s="238" t="s">
        <v>36</v>
      </c>
      <c r="L2074">
        <v>6121938.7800000003</v>
      </c>
      <c r="M2074">
        <v>0</v>
      </c>
      <c r="N2074">
        <v>6121938.7800000003</v>
      </c>
      <c r="O2074">
        <v>75607.493886624681</v>
      </c>
      <c r="P2074">
        <v>0</v>
      </c>
      <c r="Q2074">
        <v>6121938.7800000003</v>
      </c>
      <c r="R2074">
        <v>75607.493886624681</v>
      </c>
      <c r="S2074" s="238" t="s">
        <v>137</v>
      </c>
      <c r="T2074" s="238" t="s">
        <v>3538</v>
      </c>
      <c r="U2074">
        <v>189338.31</v>
      </c>
      <c r="V2074" t="s">
        <v>4092</v>
      </c>
      <c r="W2074" s="24">
        <v>45167</v>
      </c>
      <c r="X2074" s="238" t="s">
        <v>5224</v>
      </c>
      <c r="Y2074" s="238" t="s">
        <v>39</v>
      </c>
      <c r="Z2074" s="238" t="s">
        <v>1340</v>
      </c>
      <c r="AA2074" t="s">
        <v>3113</v>
      </c>
      <c r="AB2074" s="238" t="s">
        <v>3246</v>
      </c>
      <c r="AC2074" t="s">
        <v>3079</v>
      </c>
      <c r="AD2074" s="24"/>
      <c r="AE2074" s="238" t="s">
        <v>5225</v>
      </c>
      <c r="AF2074">
        <v>79129576567</v>
      </c>
      <c r="AG2074" s="238" t="s">
        <v>5226</v>
      </c>
      <c r="AH2074" s="238" t="s">
        <v>1212</v>
      </c>
      <c r="AI2074" s="238" t="s">
        <v>135</v>
      </c>
      <c r="AJ2074" s="238" t="s">
        <v>3901</v>
      </c>
      <c r="AK2074" s="238" t="s">
        <v>141</v>
      </c>
      <c r="AL2074" t="s">
        <v>8715</v>
      </c>
      <c r="AM2074" t="s">
        <v>1167</v>
      </c>
    </row>
    <row r="2075" spans="1:39" hidden="1" x14ac:dyDescent="0.25">
      <c r="A2075">
        <v>2072</v>
      </c>
      <c r="B2075">
        <v>73</v>
      </c>
      <c r="C2075" s="24">
        <v>45190</v>
      </c>
      <c r="D2075" s="238" t="s">
        <v>91</v>
      </c>
      <c r="E2075" s="238" t="s">
        <v>6</v>
      </c>
      <c r="F2075">
        <v>6</v>
      </c>
      <c r="G2075">
        <v>12</v>
      </c>
      <c r="H2075">
        <v>86</v>
      </c>
      <c r="I2075" s="238" t="s">
        <v>43</v>
      </c>
      <c r="J2075">
        <v>59.87</v>
      </c>
      <c r="K2075" s="238" t="s">
        <v>37</v>
      </c>
      <c r="L2075">
        <v>6058395.5700000003</v>
      </c>
      <c r="M2075">
        <v>0</v>
      </c>
      <c r="N2075">
        <v>6058395.5700000003</v>
      </c>
      <c r="O2075">
        <v>101192.50993819944</v>
      </c>
      <c r="P2075">
        <v>449025</v>
      </c>
      <c r="Q2075">
        <v>5609370.5700000003</v>
      </c>
      <c r="R2075">
        <v>93692.509938199437</v>
      </c>
      <c r="S2075" s="238" t="s">
        <v>137</v>
      </c>
      <c r="T2075" s="238" t="s">
        <v>1167</v>
      </c>
      <c r="V2075" t="s">
        <v>4092</v>
      </c>
      <c r="W2075" s="24">
        <v>45184</v>
      </c>
      <c r="X2075" s="238" t="s">
        <v>5227</v>
      </c>
      <c r="Y2075" s="238" t="s">
        <v>39</v>
      </c>
      <c r="Z2075" s="238" t="s">
        <v>1340</v>
      </c>
      <c r="AA2075" t="s">
        <v>3113</v>
      </c>
      <c r="AB2075" s="238" t="s">
        <v>3246</v>
      </c>
      <c r="AC2075" t="s">
        <v>3079</v>
      </c>
      <c r="AD2075" s="24"/>
      <c r="AE2075" s="238" t="s">
        <v>5228</v>
      </c>
      <c r="AF2075">
        <v>79131613935</v>
      </c>
      <c r="AG2075" s="238" t="s">
        <v>5229</v>
      </c>
      <c r="AH2075" s="238" t="s">
        <v>1212</v>
      </c>
      <c r="AI2075" s="238" t="s">
        <v>3074</v>
      </c>
      <c r="AJ2075" s="238" t="s">
        <v>126</v>
      </c>
      <c r="AK2075" s="238" t="s">
        <v>141</v>
      </c>
      <c r="AL2075" t="s">
        <v>8715</v>
      </c>
      <c r="AM2075" t="s">
        <v>1167</v>
      </c>
    </row>
    <row r="2076" spans="1:39" x14ac:dyDescent="0.25">
      <c r="A2076">
        <v>2073</v>
      </c>
      <c r="B2076">
        <v>74</v>
      </c>
      <c r="C2076" s="24">
        <v>45191</v>
      </c>
      <c r="D2076" s="238" t="s">
        <v>3388</v>
      </c>
      <c r="E2076" s="238" t="s">
        <v>6</v>
      </c>
      <c r="F2076">
        <v>1</v>
      </c>
      <c r="G2076">
        <v>10</v>
      </c>
      <c r="H2076">
        <v>63</v>
      </c>
      <c r="I2076" s="238" t="s">
        <v>42</v>
      </c>
      <c r="J2076">
        <v>34.39</v>
      </c>
      <c r="K2076" s="238" t="s">
        <v>38</v>
      </c>
      <c r="L2076">
        <v>3192578.17</v>
      </c>
      <c r="M2076">
        <v>15000</v>
      </c>
      <c r="N2076">
        <v>3207578.17</v>
      </c>
      <c r="O2076">
        <v>93270.665018900836</v>
      </c>
      <c r="P2076">
        <v>533045</v>
      </c>
      <c r="Q2076">
        <v>2674533.17</v>
      </c>
      <c r="R2076">
        <v>77770.665018900836</v>
      </c>
      <c r="S2076" s="238" t="s">
        <v>137</v>
      </c>
      <c r="T2076" s="238" t="s">
        <v>978</v>
      </c>
      <c r="U2076">
        <v>170714.88</v>
      </c>
      <c r="V2076" t="s">
        <v>4092</v>
      </c>
      <c r="W2076" s="24">
        <v>45145</v>
      </c>
      <c r="X2076" s="238" t="s">
        <v>5230</v>
      </c>
      <c r="Y2076" s="238" t="s">
        <v>39</v>
      </c>
      <c r="Z2076" s="238" t="s">
        <v>1340</v>
      </c>
      <c r="AA2076" t="s">
        <v>3113</v>
      </c>
      <c r="AB2076" s="238" t="s">
        <v>3246</v>
      </c>
      <c r="AC2076" t="s">
        <v>3079</v>
      </c>
      <c r="AD2076" s="24"/>
      <c r="AE2076" s="238" t="s">
        <v>5231</v>
      </c>
      <c r="AF2076">
        <v>79879692465</v>
      </c>
      <c r="AG2076" s="238" t="s">
        <v>5232</v>
      </c>
      <c r="AH2076" s="238" t="s">
        <v>1171</v>
      </c>
      <c r="AI2076" s="238" t="s">
        <v>135</v>
      </c>
      <c r="AJ2076" s="238" t="s">
        <v>3901</v>
      </c>
      <c r="AK2076" s="238" t="s">
        <v>141</v>
      </c>
      <c r="AL2076" t="s">
        <v>8715</v>
      </c>
      <c r="AM2076" t="s">
        <v>1167</v>
      </c>
    </row>
    <row r="2077" spans="1:39" x14ac:dyDescent="0.25">
      <c r="A2077">
        <v>2074</v>
      </c>
      <c r="B2077">
        <v>75</v>
      </c>
      <c r="C2077" s="24">
        <v>45191</v>
      </c>
      <c r="D2077" s="238" t="s">
        <v>3388</v>
      </c>
      <c r="E2077" s="238" t="s">
        <v>16</v>
      </c>
      <c r="F2077">
        <v>2</v>
      </c>
      <c r="G2077">
        <v>5</v>
      </c>
      <c r="H2077">
        <v>251</v>
      </c>
      <c r="I2077" s="238" t="s">
        <v>4052</v>
      </c>
      <c r="J2077">
        <v>24.53</v>
      </c>
      <c r="K2077" s="238" t="s">
        <v>36</v>
      </c>
      <c r="L2077">
        <v>2199819.39</v>
      </c>
      <c r="M2077">
        <v>15000</v>
      </c>
      <c r="N2077">
        <v>2214819.39</v>
      </c>
      <c r="O2077">
        <v>90290.231960864243</v>
      </c>
      <c r="P2077">
        <v>0</v>
      </c>
      <c r="Q2077">
        <v>2214819.39</v>
      </c>
      <c r="R2077">
        <v>90290.231960864243</v>
      </c>
      <c r="S2077" s="238" t="s">
        <v>124</v>
      </c>
      <c r="T2077" s="238" t="s">
        <v>324</v>
      </c>
      <c r="U2077">
        <v>20000</v>
      </c>
      <c r="V2077" t="s">
        <v>1167</v>
      </c>
      <c r="W2077" s="24">
        <v>45169</v>
      </c>
      <c r="X2077" s="238" t="s">
        <v>5233</v>
      </c>
      <c r="Y2077" s="238" t="s">
        <v>39</v>
      </c>
      <c r="Z2077" s="238" t="s">
        <v>1340</v>
      </c>
      <c r="AA2077" t="s">
        <v>3474</v>
      </c>
      <c r="AB2077" s="238" t="s">
        <v>3246</v>
      </c>
      <c r="AC2077" t="s">
        <v>1167</v>
      </c>
      <c r="AD2077" s="24"/>
      <c r="AE2077" s="238" t="s">
        <v>5234</v>
      </c>
      <c r="AF2077">
        <v>79376507686</v>
      </c>
      <c r="AG2077" s="238" t="s">
        <v>5235</v>
      </c>
      <c r="AH2077" s="238" t="s">
        <v>1212</v>
      </c>
      <c r="AI2077" s="238" t="s">
        <v>135</v>
      </c>
      <c r="AJ2077" s="238" t="s">
        <v>126</v>
      </c>
      <c r="AK2077" s="238" t="s">
        <v>1167</v>
      </c>
      <c r="AL2077" t="s">
        <v>8715</v>
      </c>
      <c r="AM2077" t="s">
        <v>1167</v>
      </c>
    </row>
    <row r="2078" spans="1:39" x14ac:dyDescent="0.25">
      <c r="A2078">
        <v>2075</v>
      </c>
      <c r="B2078">
        <v>76</v>
      </c>
      <c r="C2078" s="24">
        <v>45191</v>
      </c>
      <c r="D2078" s="238" t="s">
        <v>3388</v>
      </c>
      <c r="E2078" s="238" t="s">
        <v>16</v>
      </c>
      <c r="F2078">
        <v>3</v>
      </c>
      <c r="G2078">
        <v>3</v>
      </c>
      <c r="H2078">
        <v>238</v>
      </c>
      <c r="I2078" s="238" t="s">
        <v>43</v>
      </c>
      <c r="J2078">
        <v>56.58</v>
      </c>
      <c r="K2078" s="238" t="s">
        <v>37</v>
      </c>
      <c r="L2078">
        <v>5338489.91</v>
      </c>
      <c r="M2078">
        <v>0</v>
      </c>
      <c r="N2078">
        <v>5338489.91</v>
      </c>
      <c r="O2078">
        <v>94352.94998232591</v>
      </c>
      <c r="P2078">
        <v>424350</v>
      </c>
      <c r="Q2078">
        <v>4914139.91</v>
      </c>
      <c r="R2078">
        <v>86852.94998232591</v>
      </c>
      <c r="S2078" s="238" t="s">
        <v>137</v>
      </c>
      <c r="T2078" s="238" t="s">
        <v>1167</v>
      </c>
      <c r="V2078" t="s">
        <v>4091</v>
      </c>
      <c r="W2078" s="24">
        <v>45187</v>
      </c>
      <c r="X2078" s="238" t="s">
        <v>5236</v>
      </c>
      <c r="Y2078" s="238" t="s">
        <v>39</v>
      </c>
      <c r="Z2078" s="238" t="s">
        <v>1340</v>
      </c>
      <c r="AA2078" t="s">
        <v>3113</v>
      </c>
      <c r="AB2078" s="238" t="s">
        <v>3246</v>
      </c>
      <c r="AC2078" t="s">
        <v>3079</v>
      </c>
      <c r="AD2078" s="24"/>
      <c r="AE2078" s="238" t="s">
        <v>5237</v>
      </c>
      <c r="AF2078">
        <v>79608334111</v>
      </c>
      <c r="AG2078" s="238" t="s">
        <v>5238</v>
      </c>
      <c r="AH2078" s="238" t="s">
        <v>1212</v>
      </c>
      <c r="AI2078" s="238" t="s">
        <v>3074</v>
      </c>
      <c r="AJ2078" s="238" t="s">
        <v>126</v>
      </c>
      <c r="AK2078" s="238" t="s">
        <v>3345</v>
      </c>
      <c r="AL2078" t="s">
        <v>8715</v>
      </c>
      <c r="AM2078" t="s">
        <v>1167</v>
      </c>
    </row>
    <row r="2079" spans="1:39" hidden="1" x14ac:dyDescent="0.25">
      <c r="A2079">
        <v>2076</v>
      </c>
      <c r="B2079">
        <v>77</v>
      </c>
      <c r="C2079" s="24">
        <v>45191</v>
      </c>
      <c r="D2079" s="238" t="s">
        <v>91</v>
      </c>
      <c r="E2079" s="238" t="s">
        <v>16</v>
      </c>
      <c r="F2079">
        <v>3</v>
      </c>
      <c r="G2079">
        <v>24</v>
      </c>
      <c r="H2079">
        <v>397</v>
      </c>
      <c r="I2079" s="238" t="s">
        <v>4052</v>
      </c>
      <c r="J2079">
        <v>36.450000000000003</v>
      </c>
      <c r="K2079" s="238" t="s">
        <v>36</v>
      </c>
      <c r="L2079">
        <v>3499281.92</v>
      </c>
      <c r="M2079">
        <v>15000</v>
      </c>
      <c r="N2079">
        <v>3514281.92</v>
      </c>
      <c r="O2079">
        <v>96413.770096021937</v>
      </c>
      <c r="P2079">
        <v>0</v>
      </c>
      <c r="Q2079">
        <v>3514281.92</v>
      </c>
      <c r="R2079">
        <v>96413.770096021937</v>
      </c>
      <c r="S2079" s="238" t="s">
        <v>124</v>
      </c>
      <c r="T2079" s="238" t="s">
        <v>1167</v>
      </c>
      <c r="V2079" t="s">
        <v>1167</v>
      </c>
      <c r="W2079" s="24">
        <v>45188</v>
      </c>
      <c r="X2079" s="238" t="s">
        <v>5239</v>
      </c>
      <c r="Y2079" s="238" t="s">
        <v>39</v>
      </c>
      <c r="Z2079" s="238" t="s">
        <v>1340</v>
      </c>
      <c r="AA2079" t="s">
        <v>3474</v>
      </c>
      <c r="AB2079" s="238" t="s">
        <v>3246</v>
      </c>
      <c r="AC2079" t="s">
        <v>1167</v>
      </c>
      <c r="AD2079" s="24"/>
      <c r="AE2079" s="238" t="s">
        <v>5240</v>
      </c>
      <c r="AF2079">
        <v>79279020361</v>
      </c>
      <c r="AG2079" s="238" t="s">
        <v>5241</v>
      </c>
      <c r="AH2079" s="238" t="s">
        <v>1171</v>
      </c>
      <c r="AI2079" s="238" t="s">
        <v>3074</v>
      </c>
      <c r="AJ2079" s="238" t="s">
        <v>3901</v>
      </c>
      <c r="AK2079" s="238" t="s">
        <v>1167</v>
      </c>
      <c r="AL2079" t="s">
        <v>8715</v>
      </c>
      <c r="AM2079" t="s">
        <v>1167</v>
      </c>
    </row>
    <row r="2080" spans="1:39" hidden="1" x14ac:dyDescent="0.25">
      <c r="A2080">
        <v>2077</v>
      </c>
      <c r="B2080">
        <v>78</v>
      </c>
      <c r="C2080" s="24">
        <v>45191</v>
      </c>
      <c r="D2080" s="238" t="s">
        <v>91</v>
      </c>
      <c r="E2080" s="238" t="s">
        <v>16</v>
      </c>
      <c r="F2080">
        <v>2</v>
      </c>
      <c r="G2080">
        <v>1</v>
      </c>
      <c r="H2080">
        <v>11</v>
      </c>
      <c r="I2080" s="238" t="s">
        <v>3946</v>
      </c>
      <c r="J2080">
        <v>52.8</v>
      </c>
      <c r="K2080" s="238" t="s">
        <v>36</v>
      </c>
      <c r="L2080">
        <v>6915000</v>
      </c>
      <c r="M2080">
        <v>15000</v>
      </c>
      <c r="N2080">
        <v>6930000</v>
      </c>
      <c r="O2080">
        <v>131250</v>
      </c>
      <c r="P2080">
        <v>0</v>
      </c>
      <c r="Q2080">
        <v>6930000</v>
      </c>
      <c r="R2080">
        <v>131250</v>
      </c>
      <c r="S2080" s="238" t="s">
        <v>121</v>
      </c>
      <c r="T2080" s="238" t="s">
        <v>1167</v>
      </c>
      <c r="V2080" t="s">
        <v>1167</v>
      </c>
      <c r="W2080" s="24">
        <v>45188</v>
      </c>
      <c r="X2080" s="238" t="s">
        <v>5242</v>
      </c>
      <c r="Y2080" s="238" t="s">
        <v>3946</v>
      </c>
      <c r="Z2080" s="238" t="s">
        <v>1340</v>
      </c>
      <c r="AA2080" t="s">
        <v>3474</v>
      </c>
      <c r="AB2080" s="238" t="s">
        <v>3246</v>
      </c>
      <c r="AC2080" t="s">
        <v>1167</v>
      </c>
      <c r="AD2080" s="24"/>
      <c r="AE2080" s="238" t="s">
        <v>5243</v>
      </c>
      <c r="AF2080">
        <v>79370630633</v>
      </c>
      <c r="AG2080" s="238" t="s">
        <v>5244</v>
      </c>
      <c r="AH2080" s="238" t="s">
        <v>1212</v>
      </c>
      <c r="AI2080" s="238" t="s">
        <v>3103</v>
      </c>
      <c r="AJ2080" s="238" t="s">
        <v>126</v>
      </c>
      <c r="AK2080" s="238" t="s">
        <v>1167</v>
      </c>
      <c r="AL2080" t="s">
        <v>8715</v>
      </c>
      <c r="AM2080" t="s">
        <v>1167</v>
      </c>
    </row>
    <row r="2081" spans="1:39" x14ac:dyDescent="0.25">
      <c r="A2081">
        <v>2078</v>
      </c>
      <c r="B2081">
        <v>79</v>
      </c>
      <c r="C2081" s="24">
        <v>45194</v>
      </c>
      <c r="D2081" s="238" t="s">
        <v>3388</v>
      </c>
      <c r="E2081" s="238" t="s">
        <v>16</v>
      </c>
      <c r="F2081">
        <v>2</v>
      </c>
      <c r="G2081">
        <v>12</v>
      </c>
      <c r="H2081">
        <v>300</v>
      </c>
      <c r="I2081" s="238" t="s">
        <v>4052</v>
      </c>
      <c r="J2081">
        <v>24.53</v>
      </c>
      <c r="K2081" s="238" t="s">
        <v>36</v>
      </c>
      <c r="L2081">
        <v>2247796.6800000002</v>
      </c>
      <c r="M2081">
        <v>30000</v>
      </c>
      <c r="N2081">
        <v>2277796.6800000002</v>
      </c>
      <c r="O2081">
        <v>92857.589889930707</v>
      </c>
      <c r="P2081">
        <v>0</v>
      </c>
      <c r="Q2081">
        <v>2277796.6800000002</v>
      </c>
      <c r="R2081">
        <v>92857.589889930707</v>
      </c>
      <c r="S2081" s="238" t="s">
        <v>124</v>
      </c>
      <c r="T2081" s="238" t="s">
        <v>1167</v>
      </c>
      <c r="V2081" t="s">
        <v>1167</v>
      </c>
      <c r="W2081" s="24">
        <v>45107</v>
      </c>
      <c r="X2081" s="238" t="s">
        <v>6408</v>
      </c>
      <c r="Y2081" s="238" t="s">
        <v>39</v>
      </c>
      <c r="Z2081" s="238" t="s">
        <v>1340</v>
      </c>
      <c r="AA2081" t="s">
        <v>3474</v>
      </c>
      <c r="AB2081" s="238" t="s">
        <v>3246</v>
      </c>
      <c r="AC2081" t="s">
        <v>1167</v>
      </c>
      <c r="AD2081" s="24"/>
      <c r="AE2081" s="238" t="s">
        <v>6409</v>
      </c>
      <c r="AF2081">
        <v>79608083310</v>
      </c>
      <c r="AG2081" s="238" t="s">
        <v>6410</v>
      </c>
      <c r="AH2081" s="238" t="s">
        <v>1212</v>
      </c>
      <c r="AI2081" s="238" t="s">
        <v>3082</v>
      </c>
      <c r="AJ2081" s="238" t="s">
        <v>130</v>
      </c>
      <c r="AK2081" s="238" t="s">
        <v>1167</v>
      </c>
      <c r="AL2081" t="s">
        <v>8715</v>
      </c>
      <c r="AM2081" t="s">
        <v>1167</v>
      </c>
    </row>
    <row r="2082" spans="1:39" x14ac:dyDescent="0.25">
      <c r="A2082">
        <v>2079</v>
      </c>
      <c r="B2082">
        <v>80</v>
      </c>
      <c r="C2082" s="24">
        <v>45194</v>
      </c>
      <c r="D2082" s="238" t="s">
        <v>3388</v>
      </c>
      <c r="E2082" s="238" t="s">
        <v>6</v>
      </c>
      <c r="F2082">
        <v>1</v>
      </c>
      <c r="G2082">
        <v>2</v>
      </c>
      <c r="H2082">
        <v>7</v>
      </c>
      <c r="I2082" s="238" t="s">
        <v>42</v>
      </c>
      <c r="J2082">
        <v>34.39</v>
      </c>
      <c r="K2082" s="238" t="s">
        <v>36</v>
      </c>
      <c r="L2082">
        <v>2823142.81</v>
      </c>
      <c r="M2082">
        <v>30000</v>
      </c>
      <c r="N2082">
        <v>2853142.81</v>
      </c>
      <c r="O2082">
        <v>82964.315498691474</v>
      </c>
      <c r="P2082">
        <v>0</v>
      </c>
      <c r="Q2082">
        <v>2853142.81</v>
      </c>
      <c r="R2082">
        <v>82964.315498691474</v>
      </c>
      <c r="S2082" s="238" t="s">
        <v>124</v>
      </c>
      <c r="T2082" s="238" t="s">
        <v>324</v>
      </c>
      <c r="U2082">
        <v>20000</v>
      </c>
      <c r="V2082" t="s">
        <v>1167</v>
      </c>
      <c r="W2082" s="24">
        <v>45139</v>
      </c>
      <c r="X2082" s="238" t="s">
        <v>6411</v>
      </c>
      <c r="Y2082" s="238" t="s">
        <v>39</v>
      </c>
      <c r="Z2082" s="238" t="s">
        <v>1340</v>
      </c>
      <c r="AA2082" t="s">
        <v>3474</v>
      </c>
      <c r="AB2082" s="238" t="s">
        <v>3246</v>
      </c>
      <c r="AC2082" t="s">
        <v>1167</v>
      </c>
      <c r="AD2082" s="24">
        <v>45742</v>
      </c>
      <c r="AE2082" s="238" t="s">
        <v>8976</v>
      </c>
      <c r="AF2082">
        <v>79874471718</v>
      </c>
      <c r="AG2082" s="238" t="s">
        <v>8977</v>
      </c>
      <c r="AH2082" s="238" t="s">
        <v>1212</v>
      </c>
      <c r="AI2082" s="238" t="s">
        <v>3082</v>
      </c>
      <c r="AJ2082" s="238" t="s">
        <v>4177</v>
      </c>
      <c r="AK2082" s="238" t="s">
        <v>1167</v>
      </c>
      <c r="AL2082" t="s">
        <v>8715</v>
      </c>
      <c r="AM2082" t="s">
        <v>1167</v>
      </c>
    </row>
    <row r="2083" spans="1:39" x14ac:dyDescent="0.25">
      <c r="A2083">
        <v>2080</v>
      </c>
      <c r="B2083">
        <v>81</v>
      </c>
      <c r="C2083" s="24">
        <v>45194</v>
      </c>
      <c r="D2083" s="238" t="s">
        <v>3388</v>
      </c>
      <c r="E2083" s="238" t="s">
        <v>15</v>
      </c>
      <c r="F2083">
        <v>3</v>
      </c>
      <c r="G2083">
        <v>6</v>
      </c>
      <c r="H2083">
        <v>431</v>
      </c>
      <c r="I2083" s="238" t="s">
        <v>4052</v>
      </c>
      <c r="J2083">
        <v>24.5</v>
      </c>
      <c r="K2083" s="238" t="s">
        <v>36</v>
      </c>
      <c r="L2083">
        <v>1867086.22</v>
      </c>
      <c r="M2083">
        <v>15000</v>
      </c>
      <c r="N2083">
        <v>1882086.22</v>
      </c>
      <c r="O2083">
        <v>76819.845714285708</v>
      </c>
      <c r="P2083">
        <v>0</v>
      </c>
      <c r="Q2083">
        <v>1882086.22</v>
      </c>
      <c r="R2083">
        <v>76819.845714285708</v>
      </c>
      <c r="S2083" s="238" t="s">
        <v>137</v>
      </c>
      <c r="T2083" s="238" t="s">
        <v>4881</v>
      </c>
      <c r="U2083">
        <v>350000</v>
      </c>
      <c r="V2083" t="s">
        <v>4091</v>
      </c>
      <c r="W2083" s="24">
        <v>45157</v>
      </c>
      <c r="X2083" s="238" t="s">
        <v>6412</v>
      </c>
      <c r="Y2083" s="238" t="s">
        <v>39</v>
      </c>
      <c r="Z2083" s="238" t="s">
        <v>1340</v>
      </c>
      <c r="AA2083" t="s">
        <v>3474</v>
      </c>
      <c r="AB2083" s="238" t="s">
        <v>3246</v>
      </c>
      <c r="AC2083" t="s">
        <v>3077</v>
      </c>
      <c r="AD2083" s="24"/>
      <c r="AE2083" s="238" t="s">
        <v>6413</v>
      </c>
      <c r="AF2083">
        <v>79277573211</v>
      </c>
      <c r="AG2083" s="238" t="s">
        <v>6414</v>
      </c>
      <c r="AH2083" s="238" t="s">
        <v>1212</v>
      </c>
      <c r="AI2083" s="238" t="s">
        <v>3097</v>
      </c>
      <c r="AJ2083" s="238" t="s">
        <v>3901</v>
      </c>
      <c r="AK2083" s="238" t="s">
        <v>141</v>
      </c>
      <c r="AL2083" t="s">
        <v>8715</v>
      </c>
      <c r="AM2083" t="s">
        <v>1167</v>
      </c>
    </row>
    <row r="2084" spans="1:39" hidden="1" x14ac:dyDescent="0.25">
      <c r="A2084">
        <v>2081</v>
      </c>
      <c r="B2084">
        <v>82</v>
      </c>
      <c r="C2084" s="24">
        <v>45194</v>
      </c>
      <c r="D2084" s="238" t="s">
        <v>91</v>
      </c>
      <c r="E2084" s="238" t="s">
        <v>5</v>
      </c>
      <c r="F2084">
        <v>6</v>
      </c>
      <c r="G2084">
        <v>7</v>
      </c>
      <c r="H2084">
        <v>166</v>
      </c>
      <c r="I2084" s="238" t="s">
        <v>42</v>
      </c>
      <c r="J2084">
        <v>36.659999999999997</v>
      </c>
      <c r="K2084" s="238" t="s">
        <v>37</v>
      </c>
      <c r="L2084">
        <v>3732374.94</v>
      </c>
      <c r="M2084">
        <v>15000</v>
      </c>
      <c r="N2084">
        <v>3747374.94</v>
      </c>
      <c r="O2084">
        <v>102219.72013093291</v>
      </c>
      <c r="P2084">
        <v>164969.99999999997</v>
      </c>
      <c r="Q2084">
        <v>3582404.94</v>
      </c>
      <c r="R2084">
        <v>97719.72013093291</v>
      </c>
      <c r="S2084" s="238" t="s">
        <v>137</v>
      </c>
      <c r="T2084" s="238" t="s">
        <v>1167</v>
      </c>
      <c r="V2084" t="s">
        <v>4091</v>
      </c>
      <c r="W2084" s="24">
        <v>45160</v>
      </c>
      <c r="X2084" s="238" t="s">
        <v>6415</v>
      </c>
      <c r="Y2084" s="238" t="s">
        <v>39</v>
      </c>
      <c r="Z2084" s="238" t="s">
        <v>1340</v>
      </c>
      <c r="AA2084" t="s">
        <v>3113</v>
      </c>
      <c r="AB2084" s="238" t="s">
        <v>3246</v>
      </c>
      <c r="AC2084" t="s">
        <v>3079</v>
      </c>
      <c r="AD2084" s="24"/>
      <c r="AE2084" s="238" t="s">
        <v>6416</v>
      </c>
      <c r="AF2084">
        <v>79377974881</v>
      </c>
      <c r="AG2084" s="238" t="s">
        <v>6417</v>
      </c>
      <c r="AH2084" s="238" t="s">
        <v>1212</v>
      </c>
      <c r="AI2084" s="238" t="s">
        <v>135</v>
      </c>
      <c r="AJ2084" s="238" t="s">
        <v>130</v>
      </c>
      <c r="AK2084" s="238" t="s">
        <v>141</v>
      </c>
      <c r="AL2084" t="s">
        <v>8715</v>
      </c>
      <c r="AM2084" t="s">
        <v>1167</v>
      </c>
    </row>
    <row r="2085" spans="1:39" x14ac:dyDescent="0.25">
      <c r="A2085">
        <v>2082</v>
      </c>
      <c r="B2085">
        <v>83</v>
      </c>
      <c r="C2085" s="24">
        <v>45194</v>
      </c>
      <c r="D2085" s="238" t="s">
        <v>3388</v>
      </c>
      <c r="E2085" s="238" t="s">
        <v>5</v>
      </c>
      <c r="F2085">
        <v>7</v>
      </c>
      <c r="G2085">
        <v>14</v>
      </c>
      <c r="H2085">
        <v>208</v>
      </c>
      <c r="I2085" s="238" t="s">
        <v>42</v>
      </c>
      <c r="J2085">
        <v>42.28</v>
      </c>
      <c r="K2085" s="238" t="s">
        <v>36</v>
      </c>
      <c r="L2085">
        <v>3788495.9</v>
      </c>
      <c r="M2085">
        <v>0</v>
      </c>
      <c r="N2085">
        <v>3788495.9</v>
      </c>
      <c r="O2085">
        <v>89604.917218543036</v>
      </c>
      <c r="P2085">
        <v>0</v>
      </c>
      <c r="Q2085">
        <v>3788495.9</v>
      </c>
      <c r="R2085">
        <v>89604.917218543036</v>
      </c>
      <c r="S2085" s="238" t="s">
        <v>137</v>
      </c>
      <c r="T2085" s="238" t="s">
        <v>978</v>
      </c>
      <c r="U2085">
        <v>241818.89</v>
      </c>
      <c r="V2085" t="s">
        <v>4091</v>
      </c>
      <c r="W2085" s="24">
        <v>45188</v>
      </c>
      <c r="X2085" s="238" t="s">
        <v>6418</v>
      </c>
      <c r="Y2085" s="238" t="s">
        <v>39</v>
      </c>
      <c r="Z2085" s="238" t="s">
        <v>1340</v>
      </c>
      <c r="AA2085" t="s">
        <v>3113</v>
      </c>
      <c r="AB2085" s="238" t="s">
        <v>3246</v>
      </c>
      <c r="AC2085" t="s">
        <v>3079</v>
      </c>
      <c r="AD2085" s="24"/>
      <c r="AE2085" s="238" t="s">
        <v>6419</v>
      </c>
      <c r="AF2085">
        <v>79871578824</v>
      </c>
      <c r="AG2085" s="238" t="s">
        <v>6420</v>
      </c>
      <c r="AH2085" s="238" t="s">
        <v>1171</v>
      </c>
      <c r="AI2085" s="238" t="s">
        <v>3094</v>
      </c>
      <c r="AJ2085" s="238" t="s">
        <v>4177</v>
      </c>
      <c r="AK2085" s="238" t="s">
        <v>141</v>
      </c>
      <c r="AL2085" t="s">
        <v>8715</v>
      </c>
      <c r="AM2085" t="s">
        <v>1167</v>
      </c>
    </row>
    <row r="2086" spans="1:39" x14ac:dyDescent="0.25">
      <c r="A2086">
        <v>2083</v>
      </c>
      <c r="B2086">
        <v>84</v>
      </c>
      <c r="C2086" s="24">
        <v>45195</v>
      </c>
      <c r="D2086" s="238" t="s">
        <v>3388</v>
      </c>
      <c r="E2086" s="238" t="s">
        <v>15</v>
      </c>
      <c r="F2086">
        <v>7</v>
      </c>
      <c r="G2086">
        <v>20</v>
      </c>
      <c r="H2086">
        <v>547</v>
      </c>
      <c r="I2086" s="238" t="s">
        <v>44</v>
      </c>
      <c r="J2086">
        <v>79.44</v>
      </c>
      <c r="K2086" s="238" t="s">
        <v>38</v>
      </c>
      <c r="L2086">
        <v>7850626.8799999999</v>
      </c>
      <c r="M2086">
        <v>15000</v>
      </c>
      <c r="N2086">
        <v>7865626.8799999999</v>
      </c>
      <c r="O2086">
        <v>99013.4300100705</v>
      </c>
      <c r="P2086">
        <v>1231320</v>
      </c>
      <c r="Q2086">
        <v>6634306.8799999999</v>
      </c>
      <c r="R2086">
        <v>83513.4300100705</v>
      </c>
      <c r="S2086" s="238" t="s">
        <v>137</v>
      </c>
      <c r="T2086" s="238" t="s">
        <v>1167</v>
      </c>
      <c r="V2086" t="s">
        <v>4091</v>
      </c>
      <c r="W2086" s="24">
        <v>45127</v>
      </c>
      <c r="X2086" s="238" t="s">
        <v>6421</v>
      </c>
      <c r="Y2086" s="238" t="s">
        <v>39</v>
      </c>
      <c r="Z2086" s="238" t="s">
        <v>1340</v>
      </c>
      <c r="AA2086" t="s">
        <v>3113</v>
      </c>
      <c r="AB2086" s="238" t="s">
        <v>3246</v>
      </c>
      <c r="AC2086" t="s">
        <v>3079</v>
      </c>
      <c r="AD2086" s="24"/>
      <c r="AE2086" s="238" t="s">
        <v>6422</v>
      </c>
      <c r="AF2086">
        <v>79270008736</v>
      </c>
      <c r="AG2086" s="238" t="s">
        <v>6423</v>
      </c>
      <c r="AH2086" s="238" t="s">
        <v>1171</v>
      </c>
      <c r="AI2086" s="238" t="s">
        <v>135</v>
      </c>
      <c r="AJ2086" s="238" t="s">
        <v>3901</v>
      </c>
      <c r="AK2086" s="238" t="s">
        <v>141</v>
      </c>
      <c r="AL2086" t="s">
        <v>8715</v>
      </c>
      <c r="AM2086" t="s">
        <v>1167</v>
      </c>
    </row>
    <row r="2087" spans="1:39" x14ac:dyDescent="0.25">
      <c r="A2087">
        <v>2084</v>
      </c>
      <c r="B2087">
        <v>85</v>
      </c>
      <c r="C2087" s="24">
        <v>45195</v>
      </c>
      <c r="D2087" s="238" t="s">
        <v>3388</v>
      </c>
      <c r="E2087" s="238" t="s">
        <v>16</v>
      </c>
      <c r="F2087">
        <v>7</v>
      </c>
      <c r="G2087">
        <v>7</v>
      </c>
      <c r="H2087">
        <v>270</v>
      </c>
      <c r="I2087" s="238" t="s">
        <v>42</v>
      </c>
      <c r="J2087">
        <v>34.81</v>
      </c>
      <c r="K2087" s="238" t="s">
        <v>37</v>
      </c>
      <c r="L2087">
        <v>3039824.71</v>
      </c>
      <c r="M2087">
        <v>30000</v>
      </c>
      <c r="N2087">
        <v>3069824.71</v>
      </c>
      <c r="O2087">
        <v>88188.012352772188</v>
      </c>
      <c r="P2087">
        <v>139240</v>
      </c>
      <c r="Q2087">
        <v>2930584.71</v>
      </c>
      <c r="R2087">
        <v>84188.012352772188</v>
      </c>
      <c r="S2087" s="238" t="s">
        <v>137</v>
      </c>
      <c r="T2087" s="238" t="s">
        <v>324</v>
      </c>
      <c r="U2087">
        <v>20000</v>
      </c>
      <c r="V2087" t="s">
        <v>4091</v>
      </c>
      <c r="W2087" s="24">
        <v>45139</v>
      </c>
      <c r="X2087" s="238" t="s">
        <v>6424</v>
      </c>
      <c r="Y2087" s="238" t="s">
        <v>39</v>
      </c>
      <c r="Z2087" s="238" t="s">
        <v>1340</v>
      </c>
      <c r="AA2087" t="s">
        <v>3113</v>
      </c>
      <c r="AB2087" s="238" t="s">
        <v>3246</v>
      </c>
      <c r="AC2087" t="s">
        <v>3079</v>
      </c>
      <c r="AD2087" s="24"/>
      <c r="AE2087" s="238" t="s">
        <v>6425</v>
      </c>
      <c r="AF2087">
        <v>79277915880</v>
      </c>
      <c r="AG2087" s="238" t="s">
        <v>6426</v>
      </c>
      <c r="AH2087" s="238" t="s">
        <v>1212</v>
      </c>
      <c r="AI2087" s="238" t="s">
        <v>3084</v>
      </c>
      <c r="AJ2087" s="238" t="s">
        <v>4177</v>
      </c>
      <c r="AK2087" s="238" t="s">
        <v>3345</v>
      </c>
      <c r="AL2087" t="s">
        <v>8715</v>
      </c>
      <c r="AM2087" t="s">
        <v>1167</v>
      </c>
    </row>
    <row r="2088" spans="1:39" x14ac:dyDescent="0.25">
      <c r="A2088">
        <v>2085</v>
      </c>
      <c r="B2088">
        <v>86</v>
      </c>
      <c r="C2088" s="24">
        <v>45195</v>
      </c>
      <c r="D2088" s="238" t="s">
        <v>3388</v>
      </c>
      <c r="E2088" s="238" t="s">
        <v>5</v>
      </c>
      <c r="F2088">
        <v>2</v>
      </c>
      <c r="G2088">
        <v>2</v>
      </c>
      <c r="H2088">
        <v>119</v>
      </c>
      <c r="I2088" s="238" t="s">
        <v>4052</v>
      </c>
      <c r="J2088">
        <v>24.28</v>
      </c>
      <c r="K2088" s="238" t="s">
        <v>38</v>
      </c>
      <c r="L2088">
        <v>2573383</v>
      </c>
      <c r="M2088">
        <v>15000</v>
      </c>
      <c r="N2088">
        <v>2588383</v>
      </c>
      <c r="O2088">
        <v>106605.56013179572</v>
      </c>
      <c r="P2088">
        <v>376340</v>
      </c>
      <c r="Q2088">
        <v>2212043</v>
      </c>
      <c r="R2088">
        <v>91105.560131795719</v>
      </c>
      <c r="S2088" s="238" t="s">
        <v>137</v>
      </c>
      <c r="T2088" s="238" t="s">
        <v>1167</v>
      </c>
      <c r="V2088" t="s">
        <v>4091</v>
      </c>
      <c r="W2088" s="24">
        <v>45152</v>
      </c>
      <c r="X2088" s="238" t="s">
        <v>6427</v>
      </c>
      <c r="Y2088" s="238" t="s">
        <v>39</v>
      </c>
      <c r="Z2088" s="238" t="s">
        <v>1340</v>
      </c>
      <c r="AA2088" t="s">
        <v>3113</v>
      </c>
      <c r="AB2088" s="238" t="s">
        <v>3246</v>
      </c>
      <c r="AC2088" t="s">
        <v>3079</v>
      </c>
      <c r="AD2088" s="24"/>
      <c r="AE2088" s="238" t="s">
        <v>6428</v>
      </c>
      <c r="AF2088">
        <v>79171321800</v>
      </c>
      <c r="AG2088" s="238" t="s">
        <v>6429</v>
      </c>
      <c r="AH2088" s="238" t="s">
        <v>135</v>
      </c>
      <c r="AI2088" s="238" t="s">
        <v>3075</v>
      </c>
      <c r="AJ2088" s="238" t="s">
        <v>130</v>
      </c>
      <c r="AK2088" s="238" t="s">
        <v>141</v>
      </c>
      <c r="AL2088" t="s">
        <v>8715</v>
      </c>
      <c r="AM2088" t="s">
        <v>1167</v>
      </c>
    </row>
    <row r="2089" spans="1:39" x14ac:dyDescent="0.25">
      <c r="A2089">
        <v>2086</v>
      </c>
      <c r="B2089">
        <v>87</v>
      </c>
      <c r="C2089" s="24">
        <v>45195</v>
      </c>
      <c r="D2089" s="238" t="s">
        <v>3388</v>
      </c>
      <c r="E2089" s="238" t="s">
        <v>16</v>
      </c>
      <c r="F2089">
        <v>2</v>
      </c>
      <c r="G2089">
        <v>24</v>
      </c>
      <c r="H2089">
        <v>384</v>
      </c>
      <c r="I2089" s="238" t="s">
        <v>4052</v>
      </c>
      <c r="J2089">
        <v>24.53</v>
      </c>
      <c r="K2089" s="238" t="s">
        <v>38</v>
      </c>
      <c r="L2089">
        <v>2814920.87</v>
      </c>
      <c r="M2089">
        <v>15000</v>
      </c>
      <c r="N2089">
        <v>2829920.87</v>
      </c>
      <c r="O2089">
        <v>115365.71015083572</v>
      </c>
      <c r="P2089">
        <v>380215</v>
      </c>
      <c r="Q2089">
        <v>2449705.87</v>
      </c>
      <c r="R2089">
        <v>99865.710150835715</v>
      </c>
      <c r="S2089" s="238" t="s">
        <v>137</v>
      </c>
      <c r="T2089" s="238" t="s">
        <v>1167</v>
      </c>
      <c r="V2089" t="s">
        <v>4092</v>
      </c>
      <c r="W2089" s="24">
        <v>45159</v>
      </c>
      <c r="X2089" s="238" t="s">
        <v>6430</v>
      </c>
      <c r="Y2089" s="238" t="s">
        <v>39</v>
      </c>
      <c r="Z2089" s="238" t="s">
        <v>1168</v>
      </c>
      <c r="AA2089" t="s">
        <v>1167</v>
      </c>
      <c r="AB2089" s="238" t="s">
        <v>3246</v>
      </c>
      <c r="AC2089" t="s">
        <v>3079</v>
      </c>
      <c r="AD2089" s="24"/>
      <c r="AE2089" s="238" t="s">
        <v>4597</v>
      </c>
      <c r="AF2089">
        <v>79271035571</v>
      </c>
      <c r="AG2089" s="238" t="s">
        <v>4598</v>
      </c>
      <c r="AH2089" s="238" t="s">
        <v>1212</v>
      </c>
      <c r="AI2089" s="238" t="s">
        <v>3082</v>
      </c>
      <c r="AJ2089" s="238" t="s">
        <v>3901</v>
      </c>
      <c r="AK2089" s="238" t="s">
        <v>141</v>
      </c>
      <c r="AL2089" t="s">
        <v>8715</v>
      </c>
      <c r="AM2089" t="s">
        <v>1167</v>
      </c>
    </row>
    <row r="2090" spans="1:39" x14ac:dyDescent="0.25">
      <c r="A2090">
        <v>2087</v>
      </c>
      <c r="B2090">
        <v>88</v>
      </c>
      <c r="C2090" s="24">
        <v>45195</v>
      </c>
      <c r="D2090" s="238" t="s">
        <v>3388</v>
      </c>
      <c r="E2090" s="238" t="s">
        <v>15</v>
      </c>
      <c r="F2090">
        <v>1</v>
      </c>
      <c r="G2090">
        <v>9</v>
      </c>
      <c r="H2090">
        <v>453</v>
      </c>
      <c r="I2090" s="238" t="s">
        <v>4052</v>
      </c>
      <c r="J2090">
        <v>29.4</v>
      </c>
      <c r="K2090" s="238" t="s">
        <v>36</v>
      </c>
      <c r="L2090">
        <v>2611993.7799999998</v>
      </c>
      <c r="M2090">
        <v>15000</v>
      </c>
      <c r="N2090">
        <v>2626993.7799999998</v>
      </c>
      <c r="O2090">
        <v>89353.529931972793</v>
      </c>
      <c r="P2090">
        <v>0</v>
      </c>
      <c r="Q2090">
        <v>2626993.7799999998</v>
      </c>
      <c r="R2090">
        <v>89353.529931972793</v>
      </c>
      <c r="S2090" s="238" t="s">
        <v>121</v>
      </c>
      <c r="T2090" s="238" t="s">
        <v>1167</v>
      </c>
      <c r="V2090" t="s">
        <v>1167</v>
      </c>
      <c r="W2090" s="24">
        <v>45180</v>
      </c>
      <c r="X2090" s="238" t="s">
        <v>6431</v>
      </c>
      <c r="Y2090" s="238" t="s">
        <v>39</v>
      </c>
      <c r="Z2090" s="238" t="s">
        <v>1340</v>
      </c>
      <c r="AA2090" t="s">
        <v>3113</v>
      </c>
      <c r="AB2090" s="238" t="s">
        <v>3246</v>
      </c>
      <c r="AC2090" t="s">
        <v>1167</v>
      </c>
      <c r="AD2090" s="24"/>
      <c r="AE2090" s="238" t="s">
        <v>6432</v>
      </c>
      <c r="AF2090">
        <v>79270214200</v>
      </c>
      <c r="AG2090" s="238" t="s">
        <v>6433</v>
      </c>
      <c r="AH2090" s="238" t="s">
        <v>1212</v>
      </c>
      <c r="AI2090" s="238" t="s">
        <v>3097</v>
      </c>
      <c r="AJ2090" s="238" t="s">
        <v>3901</v>
      </c>
      <c r="AK2090" s="238" t="s">
        <v>1167</v>
      </c>
      <c r="AL2090" t="s">
        <v>8715</v>
      </c>
      <c r="AM2090" t="s">
        <v>1167</v>
      </c>
    </row>
    <row r="2091" spans="1:39" x14ac:dyDescent="0.25">
      <c r="A2091">
        <v>2088</v>
      </c>
      <c r="B2091">
        <v>89</v>
      </c>
      <c r="C2091" s="24">
        <v>45197</v>
      </c>
      <c r="D2091" s="238" t="s">
        <v>3388</v>
      </c>
      <c r="E2091" s="238" t="s">
        <v>15</v>
      </c>
      <c r="F2091">
        <v>8</v>
      </c>
      <c r="G2091">
        <v>17</v>
      </c>
      <c r="H2091">
        <v>524</v>
      </c>
      <c r="I2091" s="238" t="s">
        <v>42</v>
      </c>
      <c r="J2091">
        <v>39.69</v>
      </c>
      <c r="K2091" s="238" t="s">
        <v>36</v>
      </c>
      <c r="L2091">
        <v>3797409.16</v>
      </c>
      <c r="M2091">
        <v>0</v>
      </c>
      <c r="N2091">
        <v>3797409.16</v>
      </c>
      <c r="O2091">
        <v>95676.723607961714</v>
      </c>
      <c r="P2091">
        <v>0</v>
      </c>
      <c r="Q2091">
        <v>3797409.16</v>
      </c>
      <c r="R2091">
        <v>95676.723607961714</v>
      </c>
      <c r="S2091" s="238" t="s">
        <v>124</v>
      </c>
      <c r="T2091" s="238" t="s">
        <v>3538</v>
      </c>
      <c r="U2091">
        <v>77498.149999999994</v>
      </c>
      <c r="V2091" t="s">
        <v>1167</v>
      </c>
      <c r="W2091" s="24">
        <v>45196</v>
      </c>
      <c r="X2091" s="238" t="s">
        <v>6434</v>
      </c>
      <c r="Y2091" s="238" t="s">
        <v>39</v>
      </c>
      <c r="Z2091" s="238" t="s">
        <v>1340</v>
      </c>
      <c r="AA2091" t="s">
        <v>3474</v>
      </c>
      <c r="AB2091" s="238" t="s">
        <v>3246</v>
      </c>
      <c r="AC2091" t="s">
        <v>1167</v>
      </c>
      <c r="AD2091" s="24"/>
      <c r="AE2091" s="238" t="s">
        <v>6435</v>
      </c>
      <c r="AF2091">
        <v>79277681441</v>
      </c>
      <c r="AG2091" s="238" t="s">
        <v>6436</v>
      </c>
      <c r="AH2091" s="238" t="s">
        <v>1171</v>
      </c>
      <c r="AI2091" s="238" t="s">
        <v>3514</v>
      </c>
      <c r="AJ2091" s="238" t="s">
        <v>4177</v>
      </c>
      <c r="AK2091" s="238" t="s">
        <v>1167</v>
      </c>
      <c r="AL2091" t="s">
        <v>8715</v>
      </c>
      <c r="AM2091" t="s">
        <v>1167</v>
      </c>
    </row>
    <row r="2092" spans="1:39" x14ac:dyDescent="0.25">
      <c r="A2092">
        <v>2089</v>
      </c>
      <c r="B2092">
        <v>90</v>
      </c>
      <c r="C2092" s="24">
        <v>45198</v>
      </c>
      <c r="D2092" s="238" t="s">
        <v>3388</v>
      </c>
      <c r="E2092" s="238" t="s">
        <v>16</v>
      </c>
      <c r="F2092">
        <v>7</v>
      </c>
      <c r="G2092">
        <v>3</v>
      </c>
      <c r="H2092">
        <v>242</v>
      </c>
      <c r="I2092" s="238" t="s">
        <v>42</v>
      </c>
      <c r="J2092">
        <v>34.81</v>
      </c>
      <c r="K2092" s="238" t="s">
        <v>36</v>
      </c>
      <c r="L2092">
        <v>2948820.15</v>
      </c>
      <c r="M2092">
        <v>30000</v>
      </c>
      <c r="N2092">
        <v>2978820.15</v>
      </c>
      <c r="O2092">
        <v>85573.690031600112</v>
      </c>
      <c r="P2092">
        <v>0</v>
      </c>
      <c r="Q2092">
        <v>2978820.15</v>
      </c>
      <c r="R2092">
        <v>85573.690031600112</v>
      </c>
      <c r="S2092" s="238" t="s">
        <v>124</v>
      </c>
      <c r="T2092" s="238" t="s">
        <v>1167</v>
      </c>
      <c r="V2092" t="s">
        <v>1167</v>
      </c>
      <c r="W2092" s="24">
        <v>45107</v>
      </c>
      <c r="X2092" s="238" t="s">
        <v>6437</v>
      </c>
      <c r="Y2092" s="238" t="s">
        <v>39</v>
      </c>
      <c r="Z2092" s="238" t="s">
        <v>1340</v>
      </c>
      <c r="AA2092" t="s">
        <v>3474</v>
      </c>
      <c r="AB2092" s="238" t="s">
        <v>3246</v>
      </c>
      <c r="AC2092" t="s">
        <v>1167</v>
      </c>
      <c r="AD2092" s="24"/>
      <c r="AE2092" s="238" t="s">
        <v>6438</v>
      </c>
      <c r="AF2092">
        <v>79277417133</v>
      </c>
      <c r="AG2092" s="238" t="s">
        <v>6439</v>
      </c>
      <c r="AH2092" s="238" t="s">
        <v>1212</v>
      </c>
      <c r="AI2092" s="238" t="s">
        <v>3074</v>
      </c>
      <c r="AJ2092" s="238" t="s">
        <v>130</v>
      </c>
      <c r="AK2092" s="238" t="s">
        <v>1167</v>
      </c>
      <c r="AL2092" t="s">
        <v>8715</v>
      </c>
      <c r="AM2092" t="s">
        <v>1167</v>
      </c>
    </row>
    <row r="2093" spans="1:39" x14ac:dyDescent="0.25">
      <c r="A2093">
        <v>2090</v>
      </c>
      <c r="B2093">
        <v>91</v>
      </c>
      <c r="C2093" s="24">
        <v>45199</v>
      </c>
      <c r="D2093" s="238" t="s">
        <v>3388</v>
      </c>
      <c r="E2093" s="238" t="s">
        <v>15</v>
      </c>
      <c r="F2093">
        <v>4</v>
      </c>
      <c r="G2093">
        <v>15</v>
      </c>
      <c r="H2093">
        <v>504</v>
      </c>
      <c r="I2093" s="238" t="s">
        <v>43</v>
      </c>
      <c r="J2093">
        <v>58.24</v>
      </c>
      <c r="K2093" s="238" t="s">
        <v>38</v>
      </c>
      <c r="L2093">
        <v>6290958.4199999999</v>
      </c>
      <c r="M2093">
        <v>0</v>
      </c>
      <c r="N2093">
        <v>6290958.4199999999</v>
      </c>
      <c r="O2093">
        <v>108017.83001373625</v>
      </c>
      <c r="P2093">
        <v>1281280</v>
      </c>
      <c r="Q2093">
        <v>5009678.42</v>
      </c>
      <c r="R2093">
        <v>86017.830013736253</v>
      </c>
      <c r="S2093" s="238" t="s">
        <v>137</v>
      </c>
      <c r="T2093" s="238" t="s">
        <v>1167</v>
      </c>
      <c r="V2093" t="s">
        <v>4092</v>
      </c>
      <c r="W2093" s="24">
        <v>45189</v>
      </c>
      <c r="X2093" s="238" t="s">
        <v>6440</v>
      </c>
      <c r="Y2093" s="238" t="s">
        <v>39</v>
      </c>
      <c r="Z2093" s="238" t="s">
        <v>1340</v>
      </c>
      <c r="AA2093" t="s">
        <v>3113</v>
      </c>
      <c r="AB2093" s="238" t="s">
        <v>3246</v>
      </c>
      <c r="AC2093" t="s">
        <v>3079</v>
      </c>
      <c r="AD2093" s="24"/>
      <c r="AE2093" s="238" t="s">
        <v>6441</v>
      </c>
      <c r="AF2093">
        <v>79277140071</v>
      </c>
      <c r="AG2093" s="238" t="s">
        <v>6442</v>
      </c>
      <c r="AH2093" s="238" t="s">
        <v>1212</v>
      </c>
      <c r="AI2093" s="238" t="s">
        <v>3074</v>
      </c>
      <c r="AJ2093" s="238" t="s">
        <v>126</v>
      </c>
      <c r="AK2093" s="238" t="s">
        <v>3345</v>
      </c>
      <c r="AL2093" t="s">
        <v>8715</v>
      </c>
      <c r="AM2093" t="s">
        <v>1167</v>
      </c>
    </row>
    <row r="2094" spans="1:39" x14ac:dyDescent="0.25">
      <c r="A2094">
        <v>2091</v>
      </c>
      <c r="B2094">
        <v>92</v>
      </c>
      <c r="C2094" s="24">
        <v>45199</v>
      </c>
      <c r="D2094" s="238" t="s">
        <v>3388</v>
      </c>
      <c r="E2094" s="238" t="s">
        <v>5</v>
      </c>
      <c r="F2094">
        <v>7</v>
      </c>
      <c r="G2094">
        <v>6</v>
      </c>
      <c r="H2094">
        <v>152</v>
      </c>
      <c r="I2094" s="238" t="s">
        <v>42</v>
      </c>
      <c r="J2094">
        <v>42.28</v>
      </c>
      <c r="K2094" s="238" t="s">
        <v>36</v>
      </c>
      <c r="L2094">
        <v>4030314.79</v>
      </c>
      <c r="M2094">
        <v>0</v>
      </c>
      <c r="N2094">
        <v>4030314.79</v>
      </c>
      <c r="O2094">
        <v>95324.380085146637</v>
      </c>
      <c r="P2094">
        <v>0</v>
      </c>
      <c r="Q2094">
        <v>4030314.79</v>
      </c>
      <c r="R2094">
        <v>95324.380085146637</v>
      </c>
      <c r="S2094" s="238" t="s">
        <v>137</v>
      </c>
      <c r="T2094" s="238" t="s">
        <v>1167</v>
      </c>
      <c r="V2094" t="s">
        <v>4092</v>
      </c>
      <c r="W2094" s="24">
        <v>45194</v>
      </c>
      <c r="X2094" s="238" t="s">
        <v>6443</v>
      </c>
      <c r="Y2094" s="238" t="s">
        <v>39</v>
      </c>
      <c r="Z2094" s="238" t="s">
        <v>1340</v>
      </c>
      <c r="AA2094" t="s">
        <v>3113</v>
      </c>
      <c r="AB2094" s="238" t="s">
        <v>3246</v>
      </c>
      <c r="AC2094" t="s">
        <v>3079</v>
      </c>
      <c r="AD2094" s="24"/>
      <c r="AE2094" s="238" t="s">
        <v>6444</v>
      </c>
      <c r="AF2094">
        <v>79276856802</v>
      </c>
      <c r="AG2094" s="238" t="s">
        <v>6445</v>
      </c>
      <c r="AH2094" s="238" t="s">
        <v>1212</v>
      </c>
      <c r="AI2094" s="238" t="s">
        <v>135</v>
      </c>
      <c r="AJ2094" s="238" t="s">
        <v>126</v>
      </c>
      <c r="AK2094" s="238" t="s">
        <v>141</v>
      </c>
      <c r="AL2094" t="s">
        <v>8715</v>
      </c>
      <c r="AM2094" t="s">
        <v>1167</v>
      </c>
    </row>
    <row r="2095" spans="1:39" hidden="1" x14ac:dyDescent="0.25">
      <c r="A2095">
        <v>2092</v>
      </c>
      <c r="B2095">
        <v>93</v>
      </c>
      <c r="C2095" s="24">
        <v>45199</v>
      </c>
      <c r="D2095" s="238" t="s">
        <v>91</v>
      </c>
      <c r="E2095" s="238" t="s">
        <v>16</v>
      </c>
      <c r="F2095">
        <v>7</v>
      </c>
      <c r="G2095">
        <v>21</v>
      </c>
      <c r="H2095">
        <v>380</v>
      </c>
      <c r="I2095" s="238" t="s">
        <v>42</v>
      </c>
      <c r="J2095">
        <v>33.840000000000003</v>
      </c>
      <c r="K2095" s="238" t="s">
        <v>37</v>
      </c>
      <c r="L2095">
        <v>4224471.9000000004</v>
      </c>
      <c r="M2095">
        <v>0</v>
      </c>
      <c r="N2095">
        <v>4224471.9000000004</v>
      </c>
      <c r="O2095">
        <v>124836.64007092199</v>
      </c>
      <c r="P2095">
        <v>253800.00000000003</v>
      </c>
      <c r="Q2095">
        <v>3970671.9000000004</v>
      </c>
      <c r="R2095">
        <v>117336.64007092199</v>
      </c>
      <c r="S2095" s="238" t="s">
        <v>137</v>
      </c>
      <c r="T2095" s="238" t="s">
        <v>1167</v>
      </c>
      <c r="V2095" t="s">
        <v>4091</v>
      </c>
      <c r="W2095" s="24">
        <v>45194</v>
      </c>
      <c r="X2095" s="238" t="s">
        <v>6446</v>
      </c>
      <c r="Y2095" s="238" t="s">
        <v>39</v>
      </c>
      <c r="Z2095" s="238" t="s">
        <v>1340</v>
      </c>
      <c r="AA2095" t="s">
        <v>3113</v>
      </c>
      <c r="AB2095" s="238" t="s">
        <v>3246</v>
      </c>
      <c r="AC2095" t="s">
        <v>3079</v>
      </c>
      <c r="AD2095" s="24"/>
      <c r="AE2095" s="238" t="s">
        <v>6447</v>
      </c>
      <c r="AF2095">
        <v>79277359528</v>
      </c>
      <c r="AG2095" s="238" t="s">
        <v>6448</v>
      </c>
      <c r="AH2095" s="238" t="s">
        <v>146</v>
      </c>
      <c r="AI2095" s="238" t="s">
        <v>135</v>
      </c>
      <c r="AJ2095" s="238" t="s">
        <v>399</v>
      </c>
      <c r="AK2095" s="238" t="s">
        <v>141</v>
      </c>
      <c r="AL2095" t="s">
        <v>8715</v>
      </c>
      <c r="AM2095" t="s">
        <v>1167</v>
      </c>
    </row>
    <row r="2096" spans="1:39" x14ac:dyDescent="0.25">
      <c r="A2096">
        <v>2093</v>
      </c>
      <c r="B2096">
        <v>1</v>
      </c>
      <c r="C2096" s="24">
        <v>45202</v>
      </c>
      <c r="D2096" s="238" t="s">
        <v>3388</v>
      </c>
      <c r="E2096" s="238" t="s">
        <v>15</v>
      </c>
      <c r="F2096">
        <v>6</v>
      </c>
      <c r="G2096">
        <v>8</v>
      </c>
      <c r="H2096">
        <v>450</v>
      </c>
      <c r="I2096" s="238" t="s">
        <v>42</v>
      </c>
      <c r="J2096">
        <v>38.299999999999997</v>
      </c>
      <c r="K2096" s="238" t="s">
        <v>36</v>
      </c>
      <c r="L2096">
        <v>3591569.53</v>
      </c>
      <c r="M2096">
        <v>0</v>
      </c>
      <c r="N2096">
        <v>3591569.53</v>
      </c>
      <c r="O2096">
        <v>93774.661357702353</v>
      </c>
      <c r="P2096">
        <v>0</v>
      </c>
      <c r="Q2096">
        <v>3591569.53</v>
      </c>
      <c r="R2096">
        <v>93774.661357702353</v>
      </c>
      <c r="S2096" s="238" t="s">
        <v>137</v>
      </c>
      <c r="T2096" s="238" t="s">
        <v>4360</v>
      </c>
      <c r="U2096">
        <v>73297.337346938904</v>
      </c>
      <c r="V2096" t="s">
        <v>4092</v>
      </c>
      <c r="W2096" s="24">
        <v>45197</v>
      </c>
      <c r="X2096" s="238" t="s">
        <v>6449</v>
      </c>
      <c r="Y2096" s="238" t="s">
        <v>39</v>
      </c>
      <c r="Z2096" s="238" t="s">
        <v>1340</v>
      </c>
      <c r="AA2096" t="s">
        <v>3113</v>
      </c>
      <c r="AB2096" s="238" t="s">
        <v>3246</v>
      </c>
      <c r="AC2096" t="s">
        <v>3079</v>
      </c>
      <c r="AD2096" s="24"/>
      <c r="AE2096" s="238" t="s">
        <v>3392</v>
      </c>
      <c r="AF2096">
        <v>79638891609</v>
      </c>
      <c r="AG2096" s="238" t="s">
        <v>3393</v>
      </c>
      <c r="AH2096" s="238" t="s">
        <v>1212</v>
      </c>
      <c r="AI2096" s="238" t="s">
        <v>3074</v>
      </c>
      <c r="AJ2096" s="238" t="s">
        <v>399</v>
      </c>
      <c r="AK2096" s="238" t="s">
        <v>141</v>
      </c>
      <c r="AL2096" t="s">
        <v>8715</v>
      </c>
      <c r="AM2096" t="s">
        <v>1167</v>
      </c>
    </row>
    <row r="2097" spans="1:39" x14ac:dyDescent="0.25">
      <c r="A2097">
        <v>2094</v>
      </c>
      <c r="B2097">
        <v>2</v>
      </c>
      <c r="C2097" s="24">
        <v>45211</v>
      </c>
      <c r="D2097" s="238" t="s">
        <v>3388</v>
      </c>
      <c r="E2097" s="238" t="s">
        <v>15</v>
      </c>
      <c r="F2097">
        <v>5</v>
      </c>
      <c r="G2097">
        <v>1</v>
      </c>
      <c r="H2097">
        <v>394</v>
      </c>
      <c r="I2097" s="238" t="s">
        <v>42</v>
      </c>
      <c r="J2097">
        <v>51.71</v>
      </c>
      <c r="K2097" s="238" t="s">
        <v>36</v>
      </c>
      <c r="L2097">
        <v>4810603.0199999996</v>
      </c>
      <c r="M2097">
        <v>0</v>
      </c>
      <c r="N2097">
        <v>4810603.0199999996</v>
      </c>
      <c r="O2097">
        <v>93030.420034809504</v>
      </c>
      <c r="P2097">
        <v>0</v>
      </c>
      <c r="Q2097">
        <v>4810603.0199999996</v>
      </c>
      <c r="R2097">
        <v>93030.420034809504</v>
      </c>
      <c r="S2097" s="238" t="s">
        <v>137</v>
      </c>
      <c r="T2097" s="238" t="s">
        <v>1167</v>
      </c>
      <c r="V2097" t="s">
        <v>4092</v>
      </c>
      <c r="W2097" s="24">
        <v>45204</v>
      </c>
      <c r="X2097" s="238" t="s">
        <v>6450</v>
      </c>
      <c r="Y2097" s="238" t="s">
        <v>39</v>
      </c>
      <c r="Z2097" s="238" t="s">
        <v>1340</v>
      </c>
      <c r="AA2097" t="s">
        <v>3113</v>
      </c>
      <c r="AB2097" s="238" t="s">
        <v>3246</v>
      </c>
      <c r="AC2097" t="s">
        <v>3079</v>
      </c>
      <c r="AD2097" s="24"/>
      <c r="AE2097" s="238" t="s">
        <v>6451</v>
      </c>
      <c r="AF2097">
        <v>79871529927</v>
      </c>
      <c r="AG2097" s="238" t="s">
        <v>6452</v>
      </c>
      <c r="AH2097" s="238" t="s">
        <v>135</v>
      </c>
      <c r="AI2097" s="238" t="s">
        <v>3099</v>
      </c>
      <c r="AJ2097" s="238" t="s">
        <v>126</v>
      </c>
      <c r="AK2097" s="238" t="s">
        <v>141</v>
      </c>
      <c r="AL2097" t="s">
        <v>8715</v>
      </c>
      <c r="AM2097" t="s">
        <v>1167</v>
      </c>
    </row>
    <row r="2098" spans="1:39" hidden="1" x14ac:dyDescent="0.25">
      <c r="A2098">
        <v>2095</v>
      </c>
      <c r="B2098">
        <v>3</v>
      </c>
      <c r="C2098" s="24">
        <v>45211</v>
      </c>
      <c r="D2098" s="238" t="s">
        <v>91</v>
      </c>
      <c r="E2098" s="238" t="s">
        <v>16</v>
      </c>
      <c r="F2098">
        <v>1</v>
      </c>
      <c r="G2098">
        <v>1</v>
      </c>
      <c r="H2098">
        <v>10</v>
      </c>
      <c r="I2098" s="238" t="s">
        <v>3946</v>
      </c>
      <c r="J2098">
        <v>96.31</v>
      </c>
      <c r="K2098" s="238" t="s">
        <v>36</v>
      </c>
      <c r="L2098">
        <v>11629433</v>
      </c>
      <c r="M2098">
        <v>0</v>
      </c>
      <c r="N2098">
        <v>11629433</v>
      </c>
      <c r="O2098">
        <v>120750.0051915689</v>
      </c>
      <c r="P2098">
        <v>0</v>
      </c>
      <c r="Q2098">
        <v>11629433</v>
      </c>
      <c r="R2098">
        <v>120750.0051915689</v>
      </c>
      <c r="S2098" s="238" t="s">
        <v>124</v>
      </c>
      <c r="T2098" s="238" t="s">
        <v>1167</v>
      </c>
      <c r="V2098" t="s">
        <v>1167</v>
      </c>
      <c r="W2098" s="24">
        <v>45210</v>
      </c>
      <c r="X2098" s="238" t="s">
        <v>6453</v>
      </c>
      <c r="Y2098" s="238" t="s">
        <v>3946</v>
      </c>
      <c r="Z2098" s="238" t="s">
        <v>1340</v>
      </c>
      <c r="AA2098" t="s">
        <v>3474</v>
      </c>
      <c r="AB2098" s="238" t="s">
        <v>3246</v>
      </c>
      <c r="AC2098" t="s">
        <v>1167</v>
      </c>
      <c r="AD2098" s="24"/>
      <c r="AE2098" s="238" t="s">
        <v>6454</v>
      </c>
      <c r="AF2098">
        <v>79023785868</v>
      </c>
      <c r="AG2098" s="238" t="s">
        <v>6455</v>
      </c>
      <c r="AH2098" s="238" t="s">
        <v>1171</v>
      </c>
      <c r="AI2098" s="238" t="s">
        <v>3074</v>
      </c>
      <c r="AJ2098" s="238" t="s">
        <v>3901</v>
      </c>
      <c r="AK2098" s="238" t="s">
        <v>1167</v>
      </c>
      <c r="AL2098" t="s">
        <v>8715</v>
      </c>
      <c r="AM2098" t="s">
        <v>1167</v>
      </c>
    </row>
    <row r="2099" spans="1:39" hidden="1" x14ac:dyDescent="0.25">
      <c r="A2099">
        <v>2096</v>
      </c>
      <c r="B2099">
        <v>4</v>
      </c>
      <c r="C2099" s="24">
        <v>45211</v>
      </c>
      <c r="D2099" s="238" t="s">
        <v>27</v>
      </c>
      <c r="E2099" s="238" t="s">
        <v>16</v>
      </c>
      <c r="F2099">
        <v>2</v>
      </c>
      <c r="G2099">
        <v>1</v>
      </c>
      <c r="H2099">
        <v>9</v>
      </c>
      <c r="I2099" s="238" t="s">
        <v>3946</v>
      </c>
      <c r="J2099">
        <v>149.19999999999999</v>
      </c>
      <c r="K2099" s="238" t="s">
        <v>36</v>
      </c>
      <c r="L2099">
        <v>17904000</v>
      </c>
      <c r="M2099">
        <v>0</v>
      </c>
      <c r="N2099">
        <v>17904000</v>
      </c>
      <c r="O2099">
        <v>120000.00000000001</v>
      </c>
      <c r="P2099">
        <v>0</v>
      </c>
      <c r="Q2099">
        <v>17904000</v>
      </c>
      <c r="R2099">
        <v>120000.00000000001</v>
      </c>
      <c r="S2099" s="238" t="s">
        <v>121</v>
      </c>
      <c r="T2099" s="238" t="s">
        <v>1167</v>
      </c>
      <c r="V2099" t="s">
        <v>1167</v>
      </c>
      <c r="W2099" s="24">
        <v>45210</v>
      </c>
      <c r="X2099" s="238" t="s">
        <v>6456</v>
      </c>
      <c r="Y2099" s="238" t="s">
        <v>3946</v>
      </c>
      <c r="Z2099" s="238" t="s">
        <v>1340</v>
      </c>
      <c r="AA2099" t="s">
        <v>3474</v>
      </c>
      <c r="AB2099" s="238" t="s">
        <v>3124</v>
      </c>
      <c r="AC2099" t="s">
        <v>1167</v>
      </c>
      <c r="AD2099" s="24"/>
      <c r="AE2099" s="238" t="s">
        <v>6457</v>
      </c>
      <c r="AF2099">
        <v>79270203232</v>
      </c>
      <c r="AG2099" s="238" t="s">
        <v>6458</v>
      </c>
      <c r="AH2099" s="238" t="s">
        <v>1212</v>
      </c>
      <c r="AI2099" s="238" t="s">
        <v>3082</v>
      </c>
      <c r="AJ2099" s="238" t="s">
        <v>3901</v>
      </c>
      <c r="AK2099" s="238" t="s">
        <v>1167</v>
      </c>
      <c r="AL2099" t="s">
        <v>8715</v>
      </c>
      <c r="AM2099" t="s">
        <v>1167</v>
      </c>
    </row>
    <row r="2100" spans="1:39" hidden="1" x14ac:dyDescent="0.25">
      <c r="A2100">
        <v>2097</v>
      </c>
      <c r="B2100">
        <v>5</v>
      </c>
      <c r="C2100" s="24">
        <v>45212</v>
      </c>
      <c r="D2100" s="238" t="s">
        <v>91</v>
      </c>
      <c r="E2100" s="238" t="s">
        <v>16</v>
      </c>
      <c r="F2100">
        <v>2</v>
      </c>
      <c r="G2100">
        <v>18</v>
      </c>
      <c r="H2100">
        <v>354</v>
      </c>
      <c r="I2100" s="238" t="s">
        <v>43</v>
      </c>
      <c r="J2100">
        <v>67.95</v>
      </c>
      <c r="K2100" s="238" t="s">
        <v>38</v>
      </c>
      <c r="L2100">
        <v>7150649.5499999998</v>
      </c>
      <c r="M2100">
        <v>0</v>
      </c>
      <c r="N2100">
        <v>7150649.5499999998</v>
      </c>
      <c r="O2100">
        <v>105233.9889624724</v>
      </c>
      <c r="P2100">
        <v>1494900</v>
      </c>
      <c r="Q2100">
        <v>5655749.5499999998</v>
      </c>
      <c r="R2100">
        <v>83233.988962472402</v>
      </c>
      <c r="S2100" s="238" t="s">
        <v>137</v>
      </c>
      <c r="T2100" s="238" t="s">
        <v>321</v>
      </c>
      <c r="U2100">
        <v>300000</v>
      </c>
      <c r="V2100" t="s">
        <v>4091</v>
      </c>
      <c r="W2100" s="24">
        <v>45205</v>
      </c>
      <c r="X2100" s="238" t="s">
        <v>6460</v>
      </c>
      <c r="Y2100" s="238" t="s">
        <v>39</v>
      </c>
      <c r="Z2100" s="238" t="s">
        <v>1340</v>
      </c>
      <c r="AA2100" t="s">
        <v>3113</v>
      </c>
      <c r="AB2100" s="238" t="s">
        <v>3246</v>
      </c>
      <c r="AC2100" t="s">
        <v>3079</v>
      </c>
      <c r="AD2100" s="24"/>
      <c r="AE2100" s="238" t="s">
        <v>6461</v>
      </c>
      <c r="AF2100">
        <v>79297067779</v>
      </c>
      <c r="AG2100" s="238" t="s">
        <v>6462</v>
      </c>
      <c r="AH2100" s="238" t="s">
        <v>1171</v>
      </c>
      <c r="AI2100" s="238" t="s">
        <v>135</v>
      </c>
      <c r="AJ2100" s="238" t="s">
        <v>126</v>
      </c>
      <c r="AK2100" s="238" t="s">
        <v>141</v>
      </c>
      <c r="AL2100" t="s">
        <v>8715</v>
      </c>
      <c r="AM2100" t="s">
        <v>1167</v>
      </c>
    </row>
    <row r="2101" spans="1:39" x14ac:dyDescent="0.25">
      <c r="A2101">
        <v>2098</v>
      </c>
      <c r="B2101">
        <v>6</v>
      </c>
      <c r="C2101" s="24">
        <v>45212</v>
      </c>
      <c r="D2101" s="238" t="s">
        <v>3388</v>
      </c>
      <c r="E2101" s="238" t="s">
        <v>16</v>
      </c>
      <c r="F2101">
        <v>3</v>
      </c>
      <c r="G2101">
        <v>24</v>
      </c>
      <c r="H2101">
        <v>385</v>
      </c>
      <c r="I2101" s="238" t="s">
        <v>43</v>
      </c>
      <c r="J2101">
        <v>56.58</v>
      </c>
      <c r="K2101" s="238" t="s">
        <v>37</v>
      </c>
      <c r="L2101">
        <v>5443388.4000000004</v>
      </c>
      <c r="M2101">
        <v>0</v>
      </c>
      <c r="N2101">
        <v>5443388.4000000004</v>
      </c>
      <c r="O2101">
        <v>96206.935312831396</v>
      </c>
      <c r="P2101">
        <v>424350</v>
      </c>
      <c r="Q2101">
        <v>5019038.4000000004</v>
      </c>
      <c r="R2101">
        <v>88706.935312831396</v>
      </c>
      <c r="S2101" s="238" t="s">
        <v>137</v>
      </c>
      <c r="T2101" s="238" t="s">
        <v>978</v>
      </c>
      <c r="U2101">
        <v>320364.15000000002</v>
      </c>
      <c r="V2101" t="s">
        <v>4091</v>
      </c>
      <c r="W2101" s="24">
        <v>45210</v>
      </c>
      <c r="X2101" s="238" t="s">
        <v>6463</v>
      </c>
      <c r="Y2101" s="238" t="s">
        <v>39</v>
      </c>
      <c r="Z2101" s="238" t="s">
        <v>1340</v>
      </c>
      <c r="AA2101" t="s">
        <v>3113</v>
      </c>
      <c r="AB2101" s="238" t="s">
        <v>3246</v>
      </c>
      <c r="AC2101" t="s">
        <v>3079</v>
      </c>
      <c r="AD2101" s="24"/>
      <c r="AE2101" s="238" t="s">
        <v>6464</v>
      </c>
      <c r="AF2101">
        <v>79276096056</v>
      </c>
      <c r="AG2101" s="238" t="s">
        <v>6465</v>
      </c>
      <c r="AH2101" s="238" t="s">
        <v>1212</v>
      </c>
      <c r="AI2101" s="238" t="s">
        <v>135</v>
      </c>
      <c r="AJ2101" s="238" t="s">
        <v>4177</v>
      </c>
      <c r="AK2101" s="238" t="s">
        <v>3345</v>
      </c>
      <c r="AL2101" t="s">
        <v>8715</v>
      </c>
      <c r="AM2101" t="s">
        <v>1167</v>
      </c>
    </row>
    <row r="2102" spans="1:39" x14ac:dyDescent="0.25">
      <c r="A2102">
        <v>2099</v>
      </c>
      <c r="B2102">
        <v>7</v>
      </c>
      <c r="C2102" s="24">
        <v>45216</v>
      </c>
      <c r="D2102" s="238" t="s">
        <v>3388</v>
      </c>
      <c r="E2102" s="238" t="s">
        <v>16</v>
      </c>
      <c r="F2102">
        <v>4</v>
      </c>
      <c r="G2102">
        <v>2</v>
      </c>
      <c r="H2102">
        <v>232</v>
      </c>
      <c r="I2102" s="238" t="s">
        <v>42</v>
      </c>
      <c r="J2102">
        <v>59.68</v>
      </c>
      <c r="K2102" s="238" t="s">
        <v>36</v>
      </c>
      <c r="L2102">
        <v>5076164.76</v>
      </c>
      <c r="M2102">
        <v>0</v>
      </c>
      <c r="N2102">
        <v>5076164.76</v>
      </c>
      <c r="O2102">
        <v>85056.380026809653</v>
      </c>
      <c r="P2102">
        <v>0</v>
      </c>
      <c r="Q2102">
        <v>5076164.76</v>
      </c>
      <c r="R2102">
        <v>85056.380026809653</v>
      </c>
      <c r="S2102" s="238" t="s">
        <v>137</v>
      </c>
      <c r="T2102" s="238" t="s">
        <v>1167</v>
      </c>
      <c r="V2102" t="s">
        <v>4092</v>
      </c>
      <c r="W2102" s="24">
        <v>45211</v>
      </c>
      <c r="X2102" s="238" t="s">
        <v>6476</v>
      </c>
      <c r="Y2102" s="238" t="s">
        <v>39</v>
      </c>
      <c r="Z2102" s="238" t="s">
        <v>1340</v>
      </c>
      <c r="AA2102" t="s">
        <v>3113</v>
      </c>
      <c r="AB2102" s="238" t="s">
        <v>3246</v>
      </c>
      <c r="AC2102" t="s">
        <v>3079</v>
      </c>
      <c r="AD2102" s="24"/>
      <c r="AE2102" s="238" t="s">
        <v>6477</v>
      </c>
      <c r="AF2102">
        <v>79370640505</v>
      </c>
      <c r="AG2102" s="238" t="s">
        <v>6478</v>
      </c>
      <c r="AH2102" s="238" t="s">
        <v>135</v>
      </c>
      <c r="AI2102" s="238" t="s">
        <v>3099</v>
      </c>
      <c r="AJ2102" s="238" t="s">
        <v>5215</v>
      </c>
      <c r="AK2102" s="238" t="s">
        <v>141</v>
      </c>
      <c r="AL2102" t="s">
        <v>8715</v>
      </c>
      <c r="AM2102" t="s">
        <v>1167</v>
      </c>
    </row>
    <row r="2103" spans="1:39" x14ac:dyDescent="0.25">
      <c r="A2103">
        <v>2100</v>
      </c>
      <c r="B2103">
        <v>8</v>
      </c>
      <c r="C2103" s="24">
        <v>45217</v>
      </c>
      <c r="D2103" s="238" t="s">
        <v>3388</v>
      </c>
      <c r="E2103" s="238" t="s">
        <v>16</v>
      </c>
      <c r="F2103">
        <v>6</v>
      </c>
      <c r="G2103">
        <v>12</v>
      </c>
      <c r="H2103">
        <v>304</v>
      </c>
      <c r="I2103" s="238" t="s">
        <v>44</v>
      </c>
      <c r="J2103">
        <v>80.97</v>
      </c>
      <c r="K2103" s="238" t="s">
        <v>36</v>
      </c>
      <c r="L2103">
        <v>6480614.9100000001</v>
      </c>
      <c r="M2103">
        <v>0</v>
      </c>
      <c r="N2103">
        <v>6480614.9100000001</v>
      </c>
      <c r="O2103">
        <v>80037.234901815493</v>
      </c>
      <c r="P2103">
        <v>0</v>
      </c>
      <c r="Q2103">
        <v>6480614.9100000001</v>
      </c>
      <c r="R2103">
        <v>80037.234901815493</v>
      </c>
      <c r="S2103" s="238" t="s">
        <v>137</v>
      </c>
      <c r="T2103" s="238" t="s">
        <v>324</v>
      </c>
      <c r="U2103">
        <v>20000</v>
      </c>
      <c r="V2103" t="s">
        <v>4092</v>
      </c>
      <c r="W2103" s="24">
        <v>45209</v>
      </c>
      <c r="X2103" s="238" t="s">
        <v>6479</v>
      </c>
      <c r="Y2103" s="238" t="s">
        <v>39</v>
      </c>
      <c r="Z2103" s="238" t="s">
        <v>1340</v>
      </c>
      <c r="AA2103" t="s">
        <v>3113</v>
      </c>
      <c r="AB2103" s="238" t="s">
        <v>3246</v>
      </c>
      <c r="AC2103" t="s">
        <v>3079</v>
      </c>
      <c r="AD2103" s="24"/>
      <c r="AE2103" s="238" t="s">
        <v>6480</v>
      </c>
      <c r="AF2103">
        <v>79370781728</v>
      </c>
      <c r="AG2103" s="238" t="s">
        <v>6481</v>
      </c>
      <c r="AH2103" s="238" t="s">
        <v>4072</v>
      </c>
      <c r="AI2103" s="238" t="s">
        <v>6406</v>
      </c>
      <c r="AJ2103" s="238" t="s">
        <v>126</v>
      </c>
      <c r="AK2103" s="238" t="s">
        <v>141</v>
      </c>
      <c r="AL2103" t="s">
        <v>57</v>
      </c>
      <c r="AM2103" t="s">
        <v>1167</v>
      </c>
    </row>
    <row r="2104" spans="1:39" hidden="1" x14ac:dyDescent="0.25">
      <c r="A2104">
        <v>2101</v>
      </c>
      <c r="B2104">
        <v>9</v>
      </c>
      <c r="C2104" s="24">
        <v>45217</v>
      </c>
      <c r="D2104" s="238" t="s">
        <v>91</v>
      </c>
      <c r="E2104" s="238" t="s">
        <v>6</v>
      </c>
      <c r="F2104">
        <v>4</v>
      </c>
      <c r="G2104">
        <v>1</v>
      </c>
      <c r="H2104">
        <v>4</v>
      </c>
      <c r="I2104" s="238" t="s">
        <v>3946</v>
      </c>
      <c r="J2104">
        <v>89.2</v>
      </c>
      <c r="K2104" s="238" t="s">
        <v>36</v>
      </c>
      <c r="L2104">
        <v>10720900</v>
      </c>
      <c r="M2104">
        <v>50000</v>
      </c>
      <c r="N2104">
        <v>10770900</v>
      </c>
      <c r="O2104">
        <v>120750</v>
      </c>
      <c r="P2104">
        <v>0</v>
      </c>
      <c r="Q2104">
        <v>10770900</v>
      </c>
      <c r="R2104">
        <v>120750</v>
      </c>
      <c r="S2104" s="238" t="s">
        <v>124</v>
      </c>
      <c r="T2104" s="238" t="s">
        <v>1167</v>
      </c>
      <c r="V2104" t="s">
        <v>1167</v>
      </c>
      <c r="W2104" s="24">
        <v>45212</v>
      </c>
      <c r="X2104" s="238" t="s">
        <v>6482</v>
      </c>
      <c r="Y2104" s="238" t="s">
        <v>3946</v>
      </c>
      <c r="Z2104" s="238" t="s">
        <v>1340</v>
      </c>
      <c r="AA2104" t="s">
        <v>3474</v>
      </c>
      <c r="AB2104" s="238" t="s">
        <v>3246</v>
      </c>
      <c r="AC2104" t="s">
        <v>1167</v>
      </c>
      <c r="AD2104" s="24"/>
      <c r="AE2104" s="238" t="s">
        <v>6483</v>
      </c>
      <c r="AF2104">
        <v>79879872027</v>
      </c>
      <c r="AG2104" s="238" t="s">
        <v>6484</v>
      </c>
      <c r="AH2104" s="238" t="s">
        <v>1212</v>
      </c>
      <c r="AI2104" s="238" t="s">
        <v>3103</v>
      </c>
      <c r="AJ2104" s="238" t="s">
        <v>399</v>
      </c>
      <c r="AK2104" s="238" t="s">
        <v>1167</v>
      </c>
      <c r="AL2104" t="s">
        <v>8715</v>
      </c>
      <c r="AM2104" t="s">
        <v>1167</v>
      </c>
    </row>
    <row r="2105" spans="1:39" x14ac:dyDescent="0.25">
      <c r="A2105">
        <v>2102</v>
      </c>
      <c r="B2105">
        <v>10</v>
      </c>
      <c r="C2105" s="24">
        <v>45217</v>
      </c>
      <c r="D2105" s="238" t="s">
        <v>3388</v>
      </c>
      <c r="E2105" s="238" t="s">
        <v>16</v>
      </c>
      <c r="F2105">
        <v>7</v>
      </c>
      <c r="G2105">
        <v>23</v>
      </c>
      <c r="H2105">
        <v>382</v>
      </c>
      <c r="I2105" s="238" t="s">
        <v>42</v>
      </c>
      <c r="J2105">
        <v>34.81</v>
      </c>
      <c r="K2105" s="238" t="s">
        <v>37</v>
      </c>
      <c r="L2105">
        <v>3494340.21</v>
      </c>
      <c r="M2105">
        <v>15000</v>
      </c>
      <c r="N2105">
        <v>3509340.21</v>
      </c>
      <c r="O2105">
        <v>100814.1399023269</v>
      </c>
      <c r="P2105">
        <v>174050</v>
      </c>
      <c r="Q2105">
        <v>3335290.21</v>
      </c>
      <c r="R2105">
        <v>95814.139902326904</v>
      </c>
      <c r="S2105" s="238" t="s">
        <v>137</v>
      </c>
      <c r="T2105" s="238" t="s">
        <v>1167</v>
      </c>
      <c r="V2105" t="s">
        <v>4091</v>
      </c>
      <c r="W2105" s="24">
        <v>45212</v>
      </c>
      <c r="X2105" s="238" t="s">
        <v>6485</v>
      </c>
      <c r="Y2105" s="238" t="s">
        <v>39</v>
      </c>
      <c r="Z2105" s="238" t="s">
        <v>1340</v>
      </c>
      <c r="AA2105" t="s">
        <v>3113</v>
      </c>
      <c r="AB2105" s="238" t="s">
        <v>3246</v>
      </c>
      <c r="AC2105" t="s">
        <v>3079</v>
      </c>
      <c r="AD2105" s="24"/>
      <c r="AE2105" s="238" t="s">
        <v>6486</v>
      </c>
      <c r="AF2105">
        <v>79170340514</v>
      </c>
      <c r="AG2105" s="238" t="s">
        <v>6487</v>
      </c>
      <c r="AH2105" s="238" t="s">
        <v>135</v>
      </c>
      <c r="AI2105" s="238" t="s">
        <v>3075</v>
      </c>
      <c r="AJ2105" s="238" t="s">
        <v>126</v>
      </c>
      <c r="AK2105" s="238" t="s">
        <v>141</v>
      </c>
      <c r="AL2105" t="s">
        <v>8715</v>
      </c>
      <c r="AM2105" t="s">
        <v>1167</v>
      </c>
    </row>
    <row r="2106" spans="1:39" hidden="1" x14ac:dyDescent="0.25">
      <c r="A2106">
        <v>2103</v>
      </c>
      <c r="B2106">
        <v>11</v>
      </c>
      <c r="C2106" s="24">
        <v>45217</v>
      </c>
      <c r="D2106" s="238" t="s">
        <v>91</v>
      </c>
      <c r="E2106" s="238" t="s">
        <v>6</v>
      </c>
      <c r="F2106">
        <v>1</v>
      </c>
      <c r="G2106">
        <v>1</v>
      </c>
      <c r="H2106">
        <v>1</v>
      </c>
      <c r="I2106" s="238" t="s">
        <v>3946</v>
      </c>
      <c r="J2106">
        <v>90.98</v>
      </c>
      <c r="K2106" s="238" t="s">
        <v>36</v>
      </c>
      <c r="L2106">
        <v>10985835</v>
      </c>
      <c r="M2106">
        <v>0</v>
      </c>
      <c r="N2106">
        <v>10985835</v>
      </c>
      <c r="O2106">
        <v>120750</v>
      </c>
      <c r="P2106">
        <v>0</v>
      </c>
      <c r="Q2106">
        <v>10985835</v>
      </c>
      <c r="R2106">
        <v>120750</v>
      </c>
      <c r="S2106" s="238" t="s">
        <v>124</v>
      </c>
      <c r="T2106" s="238" t="s">
        <v>1167</v>
      </c>
      <c r="V2106" t="s">
        <v>1167</v>
      </c>
      <c r="W2106" s="24">
        <v>45216</v>
      </c>
      <c r="X2106" s="238" t="s">
        <v>6488</v>
      </c>
      <c r="Y2106" s="238" t="s">
        <v>3946</v>
      </c>
      <c r="Z2106" s="238" t="s">
        <v>1340</v>
      </c>
      <c r="AA2106" t="s">
        <v>3474</v>
      </c>
      <c r="AB2106" s="238" t="s">
        <v>3246</v>
      </c>
      <c r="AC2106" t="s">
        <v>1167</v>
      </c>
      <c r="AD2106" s="24"/>
      <c r="AE2106" s="238" t="s">
        <v>6489</v>
      </c>
      <c r="AF2106">
        <v>79022914045</v>
      </c>
      <c r="AG2106" s="238" t="s">
        <v>6490</v>
      </c>
      <c r="AH2106" s="238" t="s">
        <v>1197</v>
      </c>
      <c r="AI2106" s="238" t="s">
        <v>3082</v>
      </c>
      <c r="AJ2106" s="238" t="s">
        <v>3901</v>
      </c>
      <c r="AK2106" s="238" t="s">
        <v>1167</v>
      </c>
      <c r="AL2106" t="s">
        <v>8715</v>
      </c>
      <c r="AM2106" t="s">
        <v>1167</v>
      </c>
    </row>
    <row r="2107" spans="1:39" hidden="1" x14ac:dyDescent="0.25">
      <c r="A2107">
        <v>2104</v>
      </c>
      <c r="B2107">
        <v>12</v>
      </c>
      <c r="C2107" s="24">
        <v>45217</v>
      </c>
      <c r="D2107" s="238" t="s">
        <v>91</v>
      </c>
      <c r="E2107" s="238" t="s">
        <v>6</v>
      </c>
      <c r="F2107">
        <v>2</v>
      </c>
      <c r="G2107">
        <v>1</v>
      </c>
      <c r="H2107">
        <v>2</v>
      </c>
      <c r="I2107" s="238" t="s">
        <v>3946</v>
      </c>
      <c r="J2107">
        <v>88.73</v>
      </c>
      <c r="K2107" s="238" t="s">
        <v>36</v>
      </c>
      <c r="L2107">
        <v>10714148</v>
      </c>
      <c r="M2107">
        <v>0</v>
      </c>
      <c r="N2107">
        <v>10714148</v>
      </c>
      <c r="O2107">
        <v>120750.00563507268</v>
      </c>
      <c r="P2107">
        <v>0</v>
      </c>
      <c r="Q2107">
        <v>10714148</v>
      </c>
      <c r="R2107">
        <v>120750.00563507268</v>
      </c>
      <c r="S2107" s="238" t="s">
        <v>124</v>
      </c>
      <c r="T2107" s="238" t="s">
        <v>1167</v>
      </c>
      <c r="V2107" t="s">
        <v>1167</v>
      </c>
      <c r="W2107" s="24">
        <v>45216</v>
      </c>
      <c r="X2107" s="238" t="s">
        <v>6491</v>
      </c>
      <c r="Y2107" s="238" t="s">
        <v>3946</v>
      </c>
      <c r="Z2107" s="238" t="s">
        <v>1340</v>
      </c>
      <c r="AA2107" t="s">
        <v>3474</v>
      </c>
      <c r="AB2107" s="238" t="s">
        <v>3246</v>
      </c>
      <c r="AC2107" t="s">
        <v>1167</v>
      </c>
      <c r="AD2107" s="24"/>
      <c r="AE2107" s="238" t="s">
        <v>6489</v>
      </c>
      <c r="AF2107">
        <v>79023785868</v>
      </c>
      <c r="AG2107" s="238" t="s">
        <v>6490</v>
      </c>
      <c r="AH2107" s="238" t="s">
        <v>1197</v>
      </c>
      <c r="AI2107" s="238" t="s">
        <v>3074</v>
      </c>
      <c r="AJ2107" s="238" t="s">
        <v>3901</v>
      </c>
      <c r="AK2107" s="238" t="s">
        <v>1167</v>
      </c>
      <c r="AL2107" t="s">
        <v>8715</v>
      </c>
      <c r="AM2107" t="s">
        <v>1167</v>
      </c>
    </row>
    <row r="2108" spans="1:39" hidden="1" x14ac:dyDescent="0.25">
      <c r="A2108">
        <v>2105</v>
      </c>
      <c r="B2108">
        <v>13</v>
      </c>
      <c r="C2108" s="24">
        <v>45219</v>
      </c>
      <c r="D2108" s="238" t="s">
        <v>91</v>
      </c>
      <c r="E2108" s="238" t="s">
        <v>6</v>
      </c>
      <c r="F2108">
        <v>3</v>
      </c>
      <c r="G2108">
        <v>1</v>
      </c>
      <c r="H2108">
        <v>3</v>
      </c>
      <c r="I2108" s="238" t="s">
        <v>3946</v>
      </c>
      <c r="J2108">
        <v>100.75</v>
      </c>
      <c r="K2108" s="238" t="s">
        <v>36</v>
      </c>
      <c r="L2108">
        <v>12165563</v>
      </c>
      <c r="M2108">
        <v>0</v>
      </c>
      <c r="N2108">
        <v>12165563</v>
      </c>
      <c r="O2108">
        <v>120750.00496277916</v>
      </c>
      <c r="P2108">
        <v>0</v>
      </c>
      <c r="Q2108">
        <v>12165563</v>
      </c>
      <c r="R2108">
        <v>120750.00496277916</v>
      </c>
      <c r="S2108" s="238" t="s">
        <v>124</v>
      </c>
      <c r="T2108" s="238" t="s">
        <v>1167</v>
      </c>
      <c r="V2108" t="s">
        <v>1167</v>
      </c>
      <c r="W2108" s="24">
        <v>45216</v>
      </c>
      <c r="X2108" s="238" t="s">
        <v>6493</v>
      </c>
      <c r="Y2108" s="238" t="s">
        <v>3946</v>
      </c>
      <c r="Z2108" s="238" t="s">
        <v>1340</v>
      </c>
      <c r="AA2108" t="s">
        <v>3474</v>
      </c>
      <c r="AB2108" s="238" t="s">
        <v>3246</v>
      </c>
      <c r="AC2108" t="s">
        <v>1167</v>
      </c>
      <c r="AD2108" s="24"/>
      <c r="AE2108" s="238" t="s">
        <v>6494</v>
      </c>
      <c r="AF2108">
        <v>79371778746</v>
      </c>
      <c r="AG2108" s="238" t="s">
        <v>6495</v>
      </c>
      <c r="AH2108" s="238" t="s">
        <v>1212</v>
      </c>
      <c r="AI2108" s="238" t="s">
        <v>135</v>
      </c>
      <c r="AJ2108" s="238" t="s">
        <v>399</v>
      </c>
      <c r="AK2108" s="238" t="s">
        <v>1167</v>
      </c>
      <c r="AL2108" t="s">
        <v>8715</v>
      </c>
      <c r="AM2108" t="s">
        <v>1167</v>
      </c>
    </row>
    <row r="2109" spans="1:39" hidden="1" x14ac:dyDescent="0.25">
      <c r="A2109">
        <v>2106</v>
      </c>
      <c r="B2109">
        <v>14</v>
      </c>
      <c r="C2109" s="24">
        <v>45222</v>
      </c>
      <c r="D2109" s="238" t="s">
        <v>91</v>
      </c>
      <c r="E2109" s="238" t="s">
        <v>15</v>
      </c>
      <c r="F2109">
        <v>4</v>
      </c>
      <c r="G2109">
        <v>9</v>
      </c>
      <c r="H2109">
        <v>468</v>
      </c>
      <c r="I2109" s="238" t="s">
        <v>42</v>
      </c>
      <c r="J2109">
        <v>36.5</v>
      </c>
      <c r="K2109" s="238" t="s">
        <v>38</v>
      </c>
      <c r="L2109">
        <v>4852592.51</v>
      </c>
      <c r="M2109">
        <v>0</v>
      </c>
      <c r="N2109">
        <v>4852592.51</v>
      </c>
      <c r="O2109">
        <v>132947.74</v>
      </c>
      <c r="P2109">
        <v>803000</v>
      </c>
      <c r="Q2109">
        <v>4049592.51</v>
      </c>
      <c r="R2109">
        <v>110947.73999999999</v>
      </c>
      <c r="S2109" s="238" t="s">
        <v>137</v>
      </c>
      <c r="T2109" s="238" t="s">
        <v>1167</v>
      </c>
      <c r="V2109" t="s">
        <v>4091</v>
      </c>
      <c r="W2109" s="24">
        <v>45216</v>
      </c>
      <c r="X2109" s="238" t="s">
        <v>6499</v>
      </c>
      <c r="Y2109" s="238" t="s">
        <v>39</v>
      </c>
      <c r="Z2109" s="238" t="s">
        <v>1340</v>
      </c>
      <c r="AA2109" t="s">
        <v>3113</v>
      </c>
      <c r="AB2109" s="238" t="s">
        <v>3246</v>
      </c>
      <c r="AC2109" t="s">
        <v>3079</v>
      </c>
      <c r="AD2109" s="24"/>
      <c r="AE2109" s="238" t="s">
        <v>6500</v>
      </c>
      <c r="AF2109">
        <v>79277514871</v>
      </c>
      <c r="AG2109" s="238" t="s">
        <v>6501</v>
      </c>
      <c r="AH2109" s="238" t="s">
        <v>1212</v>
      </c>
      <c r="AI2109" s="238" t="s">
        <v>135</v>
      </c>
      <c r="AJ2109" s="238" t="s">
        <v>3901</v>
      </c>
      <c r="AK2109" s="238" t="s">
        <v>141</v>
      </c>
      <c r="AL2109" t="s">
        <v>8715</v>
      </c>
      <c r="AM2109" t="s">
        <v>1167</v>
      </c>
    </row>
    <row r="2110" spans="1:39" x14ac:dyDescent="0.25">
      <c r="A2110">
        <v>2107</v>
      </c>
      <c r="B2110">
        <v>15</v>
      </c>
      <c r="C2110" s="24">
        <v>45222</v>
      </c>
      <c r="D2110" s="238" t="s">
        <v>3388</v>
      </c>
      <c r="E2110" s="238" t="s">
        <v>16</v>
      </c>
      <c r="F2110">
        <v>4</v>
      </c>
      <c r="G2110">
        <v>17</v>
      </c>
      <c r="H2110">
        <v>337</v>
      </c>
      <c r="I2110" s="238" t="s">
        <v>43</v>
      </c>
      <c r="J2110">
        <v>60.24</v>
      </c>
      <c r="K2110" s="238" t="s">
        <v>37</v>
      </c>
      <c r="L2110">
        <v>5541702.3799999999</v>
      </c>
      <c r="M2110">
        <v>0</v>
      </c>
      <c r="N2110">
        <v>5541702.3799999999</v>
      </c>
      <c r="O2110">
        <v>91993.731407702522</v>
      </c>
      <c r="P2110">
        <v>451800</v>
      </c>
      <c r="Q2110">
        <v>5089902.38</v>
      </c>
      <c r="R2110">
        <v>84493.731407702522</v>
      </c>
      <c r="S2110" s="238" t="s">
        <v>137</v>
      </c>
      <c r="T2110" s="238" t="s">
        <v>978</v>
      </c>
      <c r="U2110">
        <v>267889.59999999998</v>
      </c>
      <c r="V2110" t="s">
        <v>4092</v>
      </c>
      <c r="W2110" s="24">
        <v>45217</v>
      </c>
      <c r="X2110" s="238" t="s">
        <v>6502</v>
      </c>
      <c r="Y2110" s="238" t="s">
        <v>39</v>
      </c>
      <c r="Z2110" s="238" t="s">
        <v>1340</v>
      </c>
      <c r="AA2110" t="s">
        <v>3113</v>
      </c>
      <c r="AB2110" s="238" t="s">
        <v>3246</v>
      </c>
      <c r="AC2110" t="s">
        <v>3079</v>
      </c>
      <c r="AD2110" s="24"/>
      <c r="AE2110" s="238" t="s">
        <v>6503</v>
      </c>
      <c r="AF2110">
        <v>79604672471</v>
      </c>
      <c r="AG2110" s="238" t="s">
        <v>6504</v>
      </c>
      <c r="AH2110" s="238" t="s">
        <v>1212</v>
      </c>
      <c r="AI2110" s="238" t="s">
        <v>135</v>
      </c>
      <c r="AJ2110" s="238" t="s">
        <v>4177</v>
      </c>
      <c r="AK2110" s="238" t="s">
        <v>141</v>
      </c>
      <c r="AL2110" t="s">
        <v>8715</v>
      </c>
      <c r="AM2110" t="s">
        <v>1167</v>
      </c>
    </row>
    <row r="2111" spans="1:39" x14ac:dyDescent="0.25">
      <c r="A2111">
        <v>2108</v>
      </c>
      <c r="B2111">
        <v>16</v>
      </c>
      <c r="C2111" s="24">
        <v>45223</v>
      </c>
      <c r="D2111" s="238" t="s">
        <v>3388</v>
      </c>
      <c r="E2111" s="238" t="s">
        <v>6</v>
      </c>
      <c r="F2111">
        <v>6</v>
      </c>
      <c r="G2111">
        <v>1</v>
      </c>
      <c r="H2111">
        <v>6</v>
      </c>
      <c r="I2111" s="238" t="s">
        <v>42</v>
      </c>
      <c r="J2111">
        <v>42.75</v>
      </c>
      <c r="K2111" s="238" t="s">
        <v>38</v>
      </c>
      <c r="L2111">
        <v>4962178.16</v>
      </c>
      <c r="M2111">
        <v>15000</v>
      </c>
      <c r="N2111">
        <v>4977178.16</v>
      </c>
      <c r="O2111">
        <v>116425.22011695907</v>
      </c>
      <c r="P2111">
        <v>940500</v>
      </c>
      <c r="Q2111">
        <v>4036678.16</v>
      </c>
      <c r="R2111">
        <v>94425.22011695907</v>
      </c>
      <c r="S2111" s="238" t="s">
        <v>137</v>
      </c>
      <c r="T2111" s="238" t="s">
        <v>1167</v>
      </c>
      <c r="V2111" t="s">
        <v>3661</v>
      </c>
      <c r="W2111" s="24">
        <v>45190</v>
      </c>
      <c r="X2111" s="238" t="s">
        <v>6505</v>
      </c>
      <c r="Y2111" s="238" t="s">
        <v>39</v>
      </c>
      <c r="Z2111" s="238" t="s">
        <v>1168</v>
      </c>
      <c r="AA2111" t="s">
        <v>1167</v>
      </c>
      <c r="AB2111" s="238" t="s">
        <v>3246</v>
      </c>
      <c r="AC2111" t="s">
        <v>3115</v>
      </c>
      <c r="AD2111" s="24"/>
      <c r="AE2111" s="238" t="s">
        <v>6506</v>
      </c>
      <c r="AF2111">
        <v>79063400013</v>
      </c>
      <c r="AG2111" s="238" t="s">
        <v>6507</v>
      </c>
      <c r="AH2111" s="238" t="s">
        <v>1212</v>
      </c>
      <c r="AI2111" s="238" t="s">
        <v>135</v>
      </c>
      <c r="AJ2111" s="238" t="s">
        <v>130</v>
      </c>
      <c r="AK2111" s="238" t="s">
        <v>141</v>
      </c>
      <c r="AL2111" t="s">
        <v>8715</v>
      </c>
      <c r="AM2111" t="s">
        <v>1167</v>
      </c>
    </row>
    <row r="2112" spans="1:39" hidden="1" x14ac:dyDescent="0.25">
      <c r="A2112">
        <v>2109</v>
      </c>
      <c r="B2112">
        <v>17</v>
      </c>
      <c r="C2112" s="24">
        <v>45224</v>
      </c>
      <c r="D2112" s="238" t="s">
        <v>91</v>
      </c>
      <c r="E2112" s="238" t="s">
        <v>15</v>
      </c>
      <c r="F2112">
        <v>9</v>
      </c>
      <c r="G2112">
        <v>7</v>
      </c>
      <c r="H2112">
        <v>455</v>
      </c>
      <c r="I2112" s="238" t="s">
        <v>42</v>
      </c>
      <c r="J2112">
        <v>44.37</v>
      </c>
      <c r="K2112" s="238" t="s">
        <v>36</v>
      </c>
      <c r="L2112">
        <v>4237843.6500000004</v>
      </c>
      <c r="M2112">
        <v>15000</v>
      </c>
      <c r="N2112">
        <v>4252843.6500000004</v>
      </c>
      <c r="O2112">
        <v>95849.530087897248</v>
      </c>
      <c r="P2112">
        <v>0</v>
      </c>
      <c r="Q2112">
        <v>4252843.6500000004</v>
      </c>
      <c r="R2112">
        <v>95849.530087897248</v>
      </c>
      <c r="S2112" s="238" t="s">
        <v>137</v>
      </c>
      <c r="T2112" s="238" t="s">
        <v>1167</v>
      </c>
      <c r="V2112" t="s">
        <v>4092</v>
      </c>
      <c r="W2112" s="24">
        <v>45209</v>
      </c>
      <c r="X2112" s="238" t="s">
        <v>6508</v>
      </c>
      <c r="Y2112" s="238" t="s">
        <v>39</v>
      </c>
      <c r="Z2112" s="238" t="s">
        <v>1340</v>
      </c>
      <c r="AA2112" t="s">
        <v>3113</v>
      </c>
      <c r="AB2112" s="238" t="s">
        <v>3246</v>
      </c>
      <c r="AC2112" t="s">
        <v>3079</v>
      </c>
      <c r="AD2112" s="24"/>
      <c r="AE2112" s="238" t="s">
        <v>6509</v>
      </c>
      <c r="AF2112">
        <v>79270207257</v>
      </c>
      <c r="AG2112" s="238" t="s">
        <v>6510</v>
      </c>
      <c r="AH2112" s="238" t="s">
        <v>1171</v>
      </c>
      <c r="AI2112" s="238" t="s">
        <v>3074</v>
      </c>
      <c r="AJ2112" s="238" t="s">
        <v>399</v>
      </c>
      <c r="AK2112" s="238" t="s">
        <v>3345</v>
      </c>
      <c r="AL2112" t="s">
        <v>8715</v>
      </c>
      <c r="AM2112" t="s">
        <v>1167</v>
      </c>
    </row>
    <row r="2113" spans="1:39" x14ac:dyDescent="0.25">
      <c r="A2113">
        <v>2110</v>
      </c>
      <c r="B2113">
        <v>18</v>
      </c>
      <c r="C2113" s="24">
        <v>45224</v>
      </c>
      <c r="D2113" s="238" t="s">
        <v>3388</v>
      </c>
      <c r="E2113" s="238" t="s">
        <v>6</v>
      </c>
      <c r="F2113">
        <v>7</v>
      </c>
      <c r="G2113">
        <v>15</v>
      </c>
      <c r="H2113">
        <v>104</v>
      </c>
      <c r="I2113" s="238" t="s">
        <v>42</v>
      </c>
      <c r="J2113">
        <v>42.75</v>
      </c>
      <c r="K2113" s="238" t="s">
        <v>38</v>
      </c>
      <c r="L2113">
        <v>4977178.16</v>
      </c>
      <c r="M2113">
        <v>0</v>
      </c>
      <c r="N2113">
        <v>4977178.16</v>
      </c>
      <c r="O2113">
        <v>116425.22011695907</v>
      </c>
      <c r="P2113">
        <v>940500</v>
      </c>
      <c r="Q2113">
        <v>4036678.16</v>
      </c>
      <c r="R2113">
        <v>94425.22011695907</v>
      </c>
      <c r="S2113" s="238" t="s">
        <v>137</v>
      </c>
      <c r="T2113" s="238" t="s">
        <v>1167</v>
      </c>
      <c r="V2113" t="s">
        <v>4092</v>
      </c>
      <c r="W2113" s="24">
        <v>45222</v>
      </c>
      <c r="X2113" s="238" t="s">
        <v>6511</v>
      </c>
      <c r="Y2113" s="238" t="s">
        <v>39</v>
      </c>
      <c r="Z2113" s="238" t="s">
        <v>1340</v>
      </c>
      <c r="AA2113" t="s">
        <v>3113</v>
      </c>
      <c r="AB2113" s="238" t="s">
        <v>3246</v>
      </c>
      <c r="AC2113" t="s">
        <v>3079</v>
      </c>
      <c r="AD2113" s="24"/>
      <c r="AE2113" s="238" t="s">
        <v>6512</v>
      </c>
      <c r="AF2113">
        <v>79967219177</v>
      </c>
      <c r="AG2113" s="238" t="s">
        <v>6513</v>
      </c>
      <c r="AH2113" s="238" t="s">
        <v>1171</v>
      </c>
      <c r="AI2113" s="238" t="s">
        <v>3085</v>
      </c>
      <c r="AJ2113" s="238" t="s">
        <v>4177</v>
      </c>
      <c r="AK2113" s="238" t="s">
        <v>141</v>
      </c>
      <c r="AL2113" t="s">
        <v>8715</v>
      </c>
      <c r="AM2113" t="s">
        <v>1167</v>
      </c>
    </row>
    <row r="2114" spans="1:39" x14ac:dyDescent="0.25">
      <c r="A2114">
        <v>2111</v>
      </c>
      <c r="B2114">
        <v>19</v>
      </c>
      <c r="C2114" s="24">
        <v>45225</v>
      </c>
      <c r="D2114" s="238" t="s">
        <v>3388</v>
      </c>
      <c r="E2114" s="238" t="s">
        <v>6</v>
      </c>
      <c r="F2114">
        <v>5</v>
      </c>
      <c r="G2114">
        <v>14</v>
      </c>
      <c r="H2114">
        <v>95</v>
      </c>
      <c r="I2114" s="238" t="s">
        <v>43</v>
      </c>
      <c r="J2114">
        <v>62.17</v>
      </c>
      <c r="K2114" s="238" t="s">
        <v>37</v>
      </c>
      <c r="L2114">
        <v>5757929.9400000004</v>
      </c>
      <c r="M2114">
        <v>0</v>
      </c>
      <c r="N2114">
        <v>5757929.9400000004</v>
      </c>
      <c r="O2114">
        <v>92615.890944185303</v>
      </c>
      <c r="P2114">
        <v>466275</v>
      </c>
      <c r="Q2114">
        <v>5291654.9400000004</v>
      </c>
      <c r="R2114">
        <v>85115.890944185303</v>
      </c>
      <c r="S2114" s="238" t="s">
        <v>137</v>
      </c>
      <c r="T2114" s="238" t="s">
        <v>3540</v>
      </c>
      <c r="U2114">
        <v>107992.96000000001</v>
      </c>
      <c r="V2114" t="s">
        <v>4092</v>
      </c>
      <c r="W2114" s="24">
        <v>45224</v>
      </c>
      <c r="X2114" s="238" t="s">
        <v>6514</v>
      </c>
      <c r="Y2114" s="238" t="s">
        <v>39</v>
      </c>
      <c r="Z2114" s="238" t="s">
        <v>1340</v>
      </c>
      <c r="AA2114" t="s">
        <v>3474</v>
      </c>
      <c r="AB2114" s="238" t="s">
        <v>3246</v>
      </c>
      <c r="AC2114" t="s">
        <v>3115</v>
      </c>
      <c r="AD2114" s="24"/>
      <c r="AE2114" s="238" t="s">
        <v>6515</v>
      </c>
      <c r="AF2114">
        <v>79171621781</v>
      </c>
      <c r="AG2114" s="238" t="s">
        <v>6516</v>
      </c>
      <c r="AH2114" s="238" t="s">
        <v>1212</v>
      </c>
      <c r="AI2114" s="238" t="s">
        <v>135</v>
      </c>
      <c r="AJ2114" s="238" t="s">
        <v>126</v>
      </c>
      <c r="AK2114" s="238" t="s">
        <v>3345</v>
      </c>
      <c r="AL2114" t="s">
        <v>8715</v>
      </c>
      <c r="AM2114" t="s">
        <v>1167</v>
      </c>
    </row>
    <row r="2115" spans="1:39" hidden="1" x14ac:dyDescent="0.25">
      <c r="A2115">
        <v>2112</v>
      </c>
      <c r="B2115">
        <v>20</v>
      </c>
      <c r="C2115" s="24">
        <v>45226</v>
      </c>
      <c r="D2115" s="238" t="s">
        <v>91</v>
      </c>
      <c r="E2115" s="238" t="s">
        <v>5</v>
      </c>
      <c r="F2115">
        <v>4</v>
      </c>
      <c r="G2115">
        <v>5</v>
      </c>
      <c r="H2115">
        <v>148</v>
      </c>
      <c r="I2115" s="238" t="s">
        <v>42</v>
      </c>
      <c r="J2115">
        <v>37.81</v>
      </c>
      <c r="K2115" s="238" t="s">
        <v>36</v>
      </c>
      <c r="L2115">
        <v>3995175.5</v>
      </c>
      <c r="M2115">
        <v>0</v>
      </c>
      <c r="N2115">
        <v>3995175.5</v>
      </c>
      <c r="O2115">
        <v>105664.51996826236</v>
      </c>
      <c r="P2115">
        <v>0</v>
      </c>
      <c r="Q2115">
        <v>3995175.5</v>
      </c>
      <c r="R2115">
        <v>105664.51996826236</v>
      </c>
      <c r="S2115" s="238" t="s">
        <v>137</v>
      </c>
      <c r="T2115" s="238" t="s">
        <v>1167</v>
      </c>
      <c r="V2115" t="s">
        <v>4091</v>
      </c>
      <c r="W2115" s="24">
        <v>45216</v>
      </c>
      <c r="X2115" s="238" t="s">
        <v>6517</v>
      </c>
      <c r="Y2115" s="238" t="s">
        <v>39</v>
      </c>
      <c r="Z2115" s="238" t="s">
        <v>1340</v>
      </c>
      <c r="AA2115" t="s">
        <v>3113</v>
      </c>
      <c r="AB2115" s="238" t="s">
        <v>3246</v>
      </c>
      <c r="AC2115" t="s">
        <v>3079</v>
      </c>
      <c r="AD2115" s="24"/>
      <c r="AE2115" s="238" t="s">
        <v>6518</v>
      </c>
      <c r="AF2115">
        <v>79279827171</v>
      </c>
      <c r="AG2115" s="238" t="s">
        <v>6519</v>
      </c>
      <c r="AH2115" s="238" t="s">
        <v>1212</v>
      </c>
      <c r="AI2115" s="238" t="s">
        <v>3090</v>
      </c>
      <c r="AJ2115" s="238" t="s">
        <v>126</v>
      </c>
      <c r="AK2115" s="238" t="s">
        <v>3345</v>
      </c>
      <c r="AL2115" t="s">
        <v>8715</v>
      </c>
      <c r="AM2115" t="s">
        <v>1167</v>
      </c>
    </row>
    <row r="2116" spans="1:39" hidden="1" x14ac:dyDescent="0.25">
      <c r="A2116">
        <v>2113</v>
      </c>
      <c r="B2116">
        <v>21</v>
      </c>
      <c r="C2116" s="24">
        <v>45226</v>
      </c>
      <c r="D2116" s="238" t="s">
        <v>91</v>
      </c>
      <c r="E2116" s="238" t="s">
        <v>5</v>
      </c>
      <c r="F2116">
        <v>6</v>
      </c>
      <c r="G2116">
        <v>12</v>
      </c>
      <c r="H2116">
        <v>206</v>
      </c>
      <c r="I2116" s="238" t="s">
        <v>42</v>
      </c>
      <c r="J2116">
        <v>36.659999999999997</v>
      </c>
      <c r="K2116" s="238" t="s">
        <v>36</v>
      </c>
      <c r="L2116">
        <v>4106833.2</v>
      </c>
      <c r="M2116">
        <v>0</v>
      </c>
      <c r="N2116">
        <v>4106833.2</v>
      </c>
      <c r="O2116">
        <v>112024.90998363341</v>
      </c>
      <c r="P2116">
        <v>0</v>
      </c>
      <c r="Q2116">
        <v>4106833.2</v>
      </c>
      <c r="R2116">
        <v>112024.90998363341</v>
      </c>
      <c r="S2116" s="238" t="s">
        <v>137</v>
      </c>
      <c r="T2116" s="238" t="s">
        <v>1167</v>
      </c>
      <c r="V2116" t="s">
        <v>4092</v>
      </c>
      <c r="W2116" s="24">
        <v>45222</v>
      </c>
      <c r="X2116" s="238" t="s">
        <v>6520</v>
      </c>
      <c r="Y2116" s="238" t="s">
        <v>39</v>
      </c>
      <c r="Z2116" s="238" t="s">
        <v>1340</v>
      </c>
      <c r="AA2116" t="s">
        <v>3113</v>
      </c>
      <c r="AB2116" s="238" t="s">
        <v>3246</v>
      </c>
      <c r="AC2116" t="s">
        <v>3079</v>
      </c>
      <c r="AD2116" s="24"/>
      <c r="AE2116" s="238" t="s">
        <v>6521</v>
      </c>
      <c r="AF2116">
        <v>79372652669</v>
      </c>
      <c r="AG2116" s="238" t="s">
        <v>6522</v>
      </c>
      <c r="AH2116" s="238" t="s">
        <v>1212</v>
      </c>
      <c r="AI2116" s="238" t="s">
        <v>135</v>
      </c>
      <c r="AJ2116" s="238" t="s">
        <v>3901</v>
      </c>
      <c r="AK2116" s="238" t="s">
        <v>141</v>
      </c>
      <c r="AL2116" t="s">
        <v>8715</v>
      </c>
      <c r="AM2116" t="s">
        <v>1167</v>
      </c>
    </row>
    <row r="2117" spans="1:39" hidden="1" x14ac:dyDescent="0.25">
      <c r="A2117">
        <v>2114</v>
      </c>
      <c r="B2117">
        <v>22</v>
      </c>
      <c r="C2117" s="24">
        <v>45226</v>
      </c>
      <c r="D2117" s="238" t="s">
        <v>91</v>
      </c>
      <c r="E2117" s="238" t="s">
        <v>16</v>
      </c>
      <c r="F2117">
        <v>4</v>
      </c>
      <c r="G2117">
        <v>9</v>
      </c>
      <c r="H2117">
        <v>293</v>
      </c>
      <c r="I2117" s="238" t="s">
        <v>43</v>
      </c>
      <c r="J2117">
        <v>58.55</v>
      </c>
      <c r="K2117" s="238" t="s">
        <v>37</v>
      </c>
      <c r="L2117">
        <v>5624054.3899999997</v>
      </c>
      <c r="M2117">
        <v>0</v>
      </c>
      <c r="N2117">
        <v>5624054.3899999997</v>
      </c>
      <c r="O2117">
        <v>96055.583091374894</v>
      </c>
      <c r="P2117">
        <v>439125</v>
      </c>
      <c r="Q2117">
        <v>5184929.3899999997</v>
      </c>
      <c r="R2117">
        <v>88555.583091374894</v>
      </c>
      <c r="S2117" s="238" t="s">
        <v>137</v>
      </c>
      <c r="T2117" s="238" t="s">
        <v>3540</v>
      </c>
      <c r="U2117">
        <v>105814.89</v>
      </c>
      <c r="V2117" t="s">
        <v>4092</v>
      </c>
      <c r="W2117" s="24">
        <v>45223</v>
      </c>
      <c r="X2117" s="238" t="s">
        <v>6523</v>
      </c>
      <c r="Y2117" s="238" t="s">
        <v>39</v>
      </c>
      <c r="Z2117" s="238" t="s">
        <v>1340</v>
      </c>
      <c r="AA2117" t="s">
        <v>3113</v>
      </c>
      <c r="AB2117" s="238" t="s">
        <v>3246</v>
      </c>
      <c r="AC2117" t="s">
        <v>3079</v>
      </c>
      <c r="AD2117" s="24"/>
      <c r="AE2117" s="238" t="s">
        <v>6524</v>
      </c>
      <c r="AF2117">
        <v>79376508124</v>
      </c>
      <c r="AG2117" s="238" t="s">
        <v>6525</v>
      </c>
      <c r="AH2117" s="238" t="s">
        <v>1212</v>
      </c>
      <c r="AI2117" s="238" t="s">
        <v>135</v>
      </c>
      <c r="AJ2117" s="238" t="s">
        <v>4177</v>
      </c>
      <c r="AK2117" s="238" t="s">
        <v>141</v>
      </c>
      <c r="AL2117" t="s">
        <v>8715</v>
      </c>
      <c r="AM2117" t="s">
        <v>1167</v>
      </c>
    </row>
    <row r="2118" spans="1:39" hidden="1" x14ac:dyDescent="0.25">
      <c r="A2118">
        <v>2115</v>
      </c>
      <c r="B2118">
        <v>23</v>
      </c>
      <c r="C2118" s="24">
        <v>45229</v>
      </c>
      <c r="D2118" s="238" t="s">
        <v>91</v>
      </c>
      <c r="E2118" s="238" t="s">
        <v>15</v>
      </c>
      <c r="F2118">
        <v>7</v>
      </c>
      <c r="G2118">
        <v>3</v>
      </c>
      <c r="H2118">
        <v>417</v>
      </c>
      <c r="I2118" s="238" t="s">
        <v>43</v>
      </c>
      <c r="J2118">
        <v>67.489999999999995</v>
      </c>
      <c r="K2118" s="238" t="s">
        <v>37</v>
      </c>
      <c r="L2118">
        <v>5923471.0099999998</v>
      </c>
      <c r="M2118">
        <v>15000</v>
      </c>
      <c r="N2118">
        <v>5938471.0099999998</v>
      </c>
      <c r="O2118">
        <v>87990.383908727221</v>
      </c>
      <c r="P2118">
        <v>506174.99999999994</v>
      </c>
      <c r="Q2118">
        <v>5432296.0099999998</v>
      </c>
      <c r="R2118">
        <v>80490.383908727221</v>
      </c>
      <c r="S2118" s="238" t="s">
        <v>137</v>
      </c>
      <c r="T2118" s="238" t="s">
        <v>978</v>
      </c>
      <c r="U2118">
        <v>603588.44999999995</v>
      </c>
      <c r="V2118" t="s">
        <v>3661</v>
      </c>
      <c r="W2118" s="24">
        <v>45197</v>
      </c>
      <c r="X2118" s="238" t="s">
        <v>6526</v>
      </c>
      <c r="Y2118" s="238" t="s">
        <v>39</v>
      </c>
      <c r="Z2118" s="238" t="s">
        <v>1168</v>
      </c>
      <c r="AA2118" t="s">
        <v>1167</v>
      </c>
      <c r="AB2118" s="238" t="s">
        <v>3246</v>
      </c>
      <c r="AC2118" t="s">
        <v>3115</v>
      </c>
      <c r="AD2118" s="24"/>
      <c r="AE2118" s="238" t="s">
        <v>6527</v>
      </c>
      <c r="AF2118">
        <v>79228796470</v>
      </c>
      <c r="AG2118" s="238" t="s">
        <v>6528</v>
      </c>
      <c r="AH2118" s="238" t="s">
        <v>1171</v>
      </c>
      <c r="AI2118" s="238" t="s">
        <v>3090</v>
      </c>
      <c r="AJ2118" s="238" t="s">
        <v>4177</v>
      </c>
      <c r="AK2118" s="238" t="s">
        <v>141</v>
      </c>
      <c r="AL2118" t="s">
        <v>8715</v>
      </c>
      <c r="AM2118" t="s">
        <v>1167</v>
      </c>
    </row>
    <row r="2119" spans="1:39" x14ac:dyDescent="0.25">
      <c r="A2119">
        <v>2116</v>
      </c>
      <c r="B2119">
        <v>24</v>
      </c>
      <c r="C2119" s="24">
        <v>45229</v>
      </c>
      <c r="D2119" s="238" t="s">
        <v>3388</v>
      </c>
      <c r="E2119" s="238" t="s">
        <v>15</v>
      </c>
      <c r="F2119">
        <v>7</v>
      </c>
      <c r="G2119">
        <v>13</v>
      </c>
      <c r="H2119">
        <v>491</v>
      </c>
      <c r="I2119" s="238" t="s">
        <v>44</v>
      </c>
      <c r="J2119">
        <v>79.44</v>
      </c>
      <c r="K2119" s="238" t="s">
        <v>36</v>
      </c>
      <c r="L2119">
        <v>6561755.1200000001</v>
      </c>
      <c r="M2119">
        <v>0</v>
      </c>
      <c r="N2119">
        <v>6561755.1200000001</v>
      </c>
      <c r="O2119">
        <v>82600.139979859014</v>
      </c>
      <c r="P2119">
        <v>0</v>
      </c>
      <c r="Q2119">
        <v>6561755.1200000001</v>
      </c>
      <c r="R2119">
        <v>82600.139979859014</v>
      </c>
      <c r="S2119" s="238" t="s">
        <v>137</v>
      </c>
      <c r="T2119" s="238" t="s">
        <v>1167</v>
      </c>
      <c r="V2119" t="s">
        <v>4092</v>
      </c>
      <c r="W2119" s="24">
        <v>45215</v>
      </c>
      <c r="X2119" s="238" t="s">
        <v>6529</v>
      </c>
      <c r="Y2119" s="238" t="s">
        <v>39</v>
      </c>
      <c r="Z2119" s="238" t="s">
        <v>1340</v>
      </c>
      <c r="AA2119" t="s">
        <v>3113</v>
      </c>
      <c r="AB2119" s="238" t="s">
        <v>3246</v>
      </c>
      <c r="AC2119" t="s">
        <v>3079</v>
      </c>
      <c r="AD2119" s="24"/>
      <c r="AE2119" s="238" t="s">
        <v>6530</v>
      </c>
      <c r="AF2119">
        <v>79129028634</v>
      </c>
      <c r="AG2119" s="238" t="s">
        <v>6531</v>
      </c>
      <c r="AH2119" s="238" t="s">
        <v>1212</v>
      </c>
      <c r="AI2119" s="238" t="s">
        <v>135</v>
      </c>
      <c r="AJ2119" s="238" t="s">
        <v>5215</v>
      </c>
      <c r="AK2119" s="238" t="s">
        <v>141</v>
      </c>
      <c r="AL2119" t="s">
        <v>8715</v>
      </c>
      <c r="AM2119" t="s">
        <v>1167</v>
      </c>
    </row>
    <row r="2120" spans="1:39" hidden="1" x14ac:dyDescent="0.25">
      <c r="A2120">
        <v>2117</v>
      </c>
      <c r="B2120">
        <v>25</v>
      </c>
      <c r="C2120" s="24">
        <v>45229</v>
      </c>
      <c r="D2120" s="238" t="s">
        <v>91</v>
      </c>
      <c r="E2120" s="238" t="s">
        <v>15</v>
      </c>
      <c r="F2120">
        <v>8</v>
      </c>
      <c r="G2120">
        <v>12</v>
      </c>
      <c r="H2120">
        <v>499</v>
      </c>
      <c r="I2120" s="238" t="s">
        <v>43</v>
      </c>
      <c r="J2120">
        <v>63.74</v>
      </c>
      <c r="K2120" s="238" t="s">
        <v>38</v>
      </c>
      <c r="L2120">
        <v>6723787.21</v>
      </c>
      <c r="M2120">
        <v>0</v>
      </c>
      <c r="N2120">
        <v>6723787.21</v>
      </c>
      <c r="O2120">
        <v>105487.7190147474</v>
      </c>
      <c r="P2120">
        <v>1402280</v>
      </c>
      <c r="Q2120">
        <v>5321507.21</v>
      </c>
      <c r="R2120">
        <v>83487.719014747403</v>
      </c>
      <c r="S2120" s="238" t="s">
        <v>137</v>
      </c>
      <c r="T2120" s="238" t="s">
        <v>3540</v>
      </c>
      <c r="U2120">
        <v>108602.19</v>
      </c>
      <c r="V2120" t="s">
        <v>4091</v>
      </c>
      <c r="W2120" s="24">
        <v>45222</v>
      </c>
      <c r="X2120" s="238" t="s">
        <v>6532</v>
      </c>
      <c r="Y2120" s="238" t="s">
        <v>39</v>
      </c>
      <c r="Z2120" s="238" t="s">
        <v>1340</v>
      </c>
      <c r="AA2120" t="s">
        <v>3113</v>
      </c>
      <c r="AB2120" s="238" t="s">
        <v>3246</v>
      </c>
      <c r="AC2120" t="s">
        <v>3079</v>
      </c>
      <c r="AD2120" s="24"/>
      <c r="AE2120" s="238" t="s">
        <v>6533</v>
      </c>
      <c r="AF2120">
        <v>79277779389</v>
      </c>
      <c r="AG2120" s="238" t="s">
        <v>6534</v>
      </c>
      <c r="AH2120" s="238" t="s">
        <v>4072</v>
      </c>
      <c r="AI2120" s="238" t="s">
        <v>6406</v>
      </c>
      <c r="AJ2120" s="238" t="s">
        <v>3901</v>
      </c>
      <c r="AK2120" s="238" t="s">
        <v>3345</v>
      </c>
      <c r="AL2120" t="s">
        <v>57</v>
      </c>
      <c r="AM2120" t="s">
        <v>1167</v>
      </c>
    </row>
    <row r="2121" spans="1:39" hidden="1" x14ac:dyDescent="0.25">
      <c r="A2121">
        <v>2118</v>
      </c>
      <c r="B2121">
        <v>26</v>
      </c>
      <c r="C2121" s="24">
        <v>45229</v>
      </c>
      <c r="D2121" s="238" t="s">
        <v>91</v>
      </c>
      <c r="E2121" s="238" t="s">
        <v>15</v>
      </c>
      <c r="F2121">
        <v>8</v>
      </c>
      <c r="G2121">
        <v>6</v>
      </c>
      <c r="H2121">
        <v>445</v>
      </c>
      <c r="I2121" s="238" t="s">
        <v>43</v>
      </c>
      <c r="J2121">
        <v>63.74</v>
      </c>
      <c r="K2121" s="238" t="s">
        <v>37</v>
      </c>
      <c r="L2121">
        <v>5855946.7800000003</v>
      </c>
      <c r="M2121">
        <v>0</v>
      </c>
      <c r="N2121">
        <v>5855946.7800000003</v>
      </c>
      <c r="O2121">
        <v>91872.400062754939</v>
      </c>
      <c r="P2121">
        <v>478050</v>
      </c>
      <c r="Q2121">
        <v>5377896.7800000003</v>
      </c>
      <c r="R2121">
        <v>84372.400062754939</v>
      </c>
      <c r="S2121" s="238" t="s">
        <v>137</v>
      </c>
      <c r="T2121" s="238" t="s">
        <v>1167</v>
      </c>
      <c r="V2121" t="s">
        <v>4091</v>
      </c>
      <c r="W2121" s="24">
        <v>45226</v>
      </c>
      <c r="X2121" s="238" t="s">
        <v>6535</v>
      </c>
      <c r="Y2121" s="238" t="s">
        <v>39</v>
      </c>
      <c r="Z2121" s="238" t="s">
        <v>1340</v>
      </c>
      <c r="AA2121" t="s">
        <v>3113</v>
      </c>
      <c r="AB2121" s="238" t="s">
        <v>3246</v>
      </c>
      <c r="AC2121" t="s">
        <v>3079</v>
      </c>
      <c r="AD2121" s="24"/>
      <c r="AE2121" s="238" t="s">
        <v>6536</v>
      </c>
      <c r="AF2121">
        <v>79093230858</v>
      </c>
      <c r="AG2121" s="238" t="s">
        <v>6537</v>
      </c>
      <c r="AH2121" s="238" t="s">
        <v>1212</v>
      </c>
      <c r="AI2121" s="238" t="s">
        <v>3103</v>
      </c>
      <c r="AJ2121" s="238" t="s">
        <v>126</v>
      </c>
      <c r="AK2121" s="238" t="s">
        <v>3345</v>
      </c>
      <c r="AL2121" t="s">
        <v>8715</v>
      </c>
      <c r="AM2121" t="s">
        <v>1167</v>
      </c>
    </row>
    <row r="2122" spans="1:39" hidden="1" x14ac:dyDescent="0.25">
      <c r="A2122">
        <v>2119</v>
      </c>
      <c r="B2122">
        <v>27</v>
      </c>
      <c r="C2122" s="24">
        <v>45229</v>
      </c>
      <c r="D2122" s="238" t="s">
        <v>91</v>
      </c>
      <c r="E2122" s="238" t="s">
        <v>15</v>
      </c>
      <c r="F2122">
        <v>2</v>
      </c>
      <c r="G2122">
        <v>5</v>
      </c>
      <c r="H2122">
        <v>430</v>
      </c>
      <c r="I2122" s="238" t="s">
        <v>42</v>
      </c>
      <c r="J2122">
        <v>38.6</v>
      </c>
      <c r="K2122" s="238" t="s">
        <v>38</v>
      </c>
      <c r="L2122">
        <v>4416000.83</v>
      </c>
      <c r="M2122">
        <v>15000</v>
      </c>
      <c r="N2122">
        <v>4431000.83</v>
      </c>
      <c r="O2122">
        <v>114792.76761658031</v>
      </c>
      <c r="P2122">
        <v>849200</v>
      </c>
      <c r="Q2122">
        <v>3581800.83</v>
      </c>
      <c r="R2122">
        <v>92792.767616580313</v>
      </c>
      <c r="S2122" s="238" t="s">
        <v>137</v>
      </c>
      <c r="T2122" s="238" t="s">
        <v>978</v>
      </c>
      <c r="U2122">
        <v>228625.58</v>
      </c>
      <c r="V2122" t="s">
        <v>4092</v>
      </c>
      <c r="W2122" s="24">
        <v>45229</v>
      </c>
      <c r="X2122" s="238" t="s">
        <v>6538</v>
      </c>
      <c r="Y2122" s="238" t="s">
        <v>39</v>
      </c>
      <c r="Z2122" s="238" t="s">
        <v>1340</v>
      </c>
      <c r="AA2122" t="s">
        <v>3113</v>
      </c>
      <c r="AB2122" s="238" t="s">
        <v>3246</v>
      </c>
      <c r="AC2122" t="s">
        <v>3079</v>
      </c>
      <c r="AD2122" s="24"/>
      <c r="AE2122" s="238" t="s">
        <v>6539</v>
      </c>
      <c r="AF2122">
        <v>79272059905</v>
      </c>
      <c r="AG2122" s="238" t="s">
        <v>6540</v>
      </c>
      <c r="AH2122" s="238" t="s">
        <v>135</v>
      </c>
      <c r="AI2122" s="238" t="s">
        <v>3099</v>
      </c>
      <c r="AJ2122" s="238" t="s">
        <v>126</v>
      </c>
      <c r="AK2122" s="238" t="s">
        <v>141</v>
      </c>
      <c r="AL2122" t="s">
        <v>8715</v>
      </c>
      <c r="AM2122" t="s">
        <v>1167</v>
      </c>
    </row>
    <row r="2123" spans="1:39" x14ac:dyDescent="0.25">
      <c r="A2123">
        <v>2120</v>
      </c>
      <c r="B2123">
        <v>28</v>
      </c>
      <c r="C2123" s="24">
        <v>45230</v>
      </c>
      <c r="D2123" s="238" t="s">
        <v>3388</v>
      </c>
      <c r="E2123" s="238" t="s">
        <v>15</v>
      </c>
      <c r="F2123">
        <v>5</v>
      </c>
      <c r="G2123">
        <v>18</v>
      </c>
      <c r="H2123">
        <v>529</v>
      </c>
      <c r="I2123" s="238" t="s">
        <v>43</v>
      </c>
      <c r="J2123">
        <v>57.8</v>
      </c>
      <c r="K2123" s="238" t="s">
        <v>37</v>
      </c>
      <c r="L2123">
        <v>5232764.74</v>
      </c>
      <c r="M2123">
        <v>0</v>
      </c>
      <c r="N2123">
        <v>5232764.74</v>
      </c>
      <c r="O2123">
        <v>90532.261937716277</v>
      </c>
      <c r="P2123">
        <v>433500</v>
      </c>
      <c r="Q2123">
        <v>4799264.74</v>
      </c>
      <c r="R2123">
        <v>83032.261937716277</v>
      </c>
      <c r="S2123" s="238" t="s">
        <v>137</v>
      </c>
      <c r="T2123" s="238" t="s">
        <v>3538</v>
      </c>
      <c r="U2123">
        <v>148430.87</v>
      </c>
      <c r="V2123" t="s">
        <v>4092</v>
      </c>
      <c r="W2123" s="24">
        <v>45225</v>
      </c>
      <c r="X2123" s="238" t="s">
        <v>6541</v>
      </c>
      <c r="Y2123" s="238" t="s">
        <v>39</v>
      </c>
      <c r="Z2123" s="238" t="s">
        <v>1340</v>
      </c>
      <c r="AA2123" t="s">
        <v>3113</v>
      </c>
      <c r="AB2123" s="238" t="s">
        <v>3246</v>
      </c>
      <c r="AC2123" t="s">
        <v>3079</v>
      </c>
      <c r="AD2123" s="24">
        <v>45414</v>
      </c>
      <c r="AE2123" s="238" t="s">
        <v>6542</v>
      </c>
      <c r="AF2123">
        <v>79371818899</v>
      </c>
      <c r="AG2123" s="238" t="s">
        <v>6543</v>
      </c>
      <c r="AH2123" s="238" t="s">
        <v>1171</v>
      </c>
      <c r="AI2123" s="238" t="s">
        <v>135</v>
      </c>
      <c r="AJ2123" s="238" t="s">
        <v>3901</v>
      </c>
      <c r="AK2123" s="238" t="s">
        <v>3345</v>
      </c>
      <c r="AL2123" t="s">
        <v>8715</v>
      </c>
      <c r="AM2123" t="s">
        <v>8978</v>
      </c>
    </row>
    <row r="2124" spans="1:39" x14ac:dyDescent="0.25">
      <c r="A2124">
        <v>2121</v>
      </c>
      <c r="B2124">
        <v>29</v>
      </c>
      <c r="C2124" s="24">
        <v>45230</v>
      </c>
      <c r="D2124" s="238" t="s">
        <v>3388</v>
      </c>
      <c r="E2124" s="238" t="s">
        <v>15</v>
      </c>
      <c r="F2124">
        <v>5</v>
      </c>
      <c r="G2124">
        <v>13</v>
      </c>
      <c r="H2124">
        <v>489</v>
      </c>
      <c r="I2124" s="238" t="s">
        <v>43</v>
      </c>
      <c r="J2124">
        <v>57.8</v>
      </c>
      <c r="K2124" s="238" t="s">
        <v>38</v>
      </c>
      <c r="L2124">
        <v>6120341.7000000002</v>
      </c>
      <c r="M2124">
        <v>0</v>
      </c>
      <c r="N2124">
        <v>6120341.7000000002</v>
      </c>
      <c r="O2124">
        <v>105888.26470588236</v>
      </c>
      <c r="P2124">
        <v>1271600</v>
      </c>
      <c r="Q2124">
        <v>4848741.7</v>
      </c>
      <c r="R2124">
        <v>83888.264705882364</v>
      </c>
      <c r="S2124" s="238" t="s">
        <v>137</v>
      </c>
      <c r="T2124" s="238" t="s">
        <v>3540</v>
      </c>
      <c r="U2124">
        <v>98953.91</v>
      </c>
      <c r="V2124" t="s">
        <v>4092</v>
      </c>
      <c r="W2124" s="24">
        <v>45226</v>
      </c>
      <c r="X2124" s="238" t="s">
        <v>6544</v>
      </c>
      <c r="Y2124" s="238" t="s">
        <v>39</v>
      </c>
      <c r="Z2124" s="238" t="s">
        <v>1340</v>
      </c>
      <c r="AA2124" t="s">
        <v>3113</v>
      </c>
      <c r="AB2124" s="238" t="s">
        <v>3246</v>
      </c>
      <c r="AC2124" t="s">
        <v>3079</v>
      </c>
      <c r="AD2124" s="24"/>
      <c r="AE2124" s="238" t="s">
        <v>6545</v>
      </c>
      <c r="AF2124">
        <v>79603605225</v>
      </c>
      <c r="AG2124" s="238" t="s">
        <v>6546</v>
      </c>
      <c r="AH2124" s="238" t="s">
        <v>135</v>
      </c>
      <c r="AI2124" s="238" t="s">
        <v>135</v>
      </c>
      <c r="AJ2124" s="238" t="s">
        <v>4177</v>
      </c>
      <c r="AK2124" s="238" t="s">
        <v>141</v>
      </c>
      <c r="AL2124" t="s">
        <v>8715</v>
      </c>
      <c r="AM2124" t="s">
        <v>1167</v>
      </c>
    </row>
    <row r="2125" spans="1:39" x14ac:dyDescent="0.25">
      <c r="A2125">
        <v>2122</v>
      </c>
      <c r="B2125">
        <v>30</v>
      </c>
      <c r="C2125" s="24">
        <v>45230</v>
      </c>
      <c r="D2125" s="238" t="s">
        <v>3388</v>
      </c>
      <c r="E2125" s="238" t="s">
        <v>15</v>
      </c>
      <c r="F2125">
        <v>4</v>
      </c>
      <c r="G2125">
        <v>11</v>
      </c>
      <c r="H2125">
        <v>472</v>
      </c>
      <c r="I2125" s="238" t="s">
        <v>43</v>
      </c>
      <c r="J2125">
        <v>58.24</v>
      </c>
      <c r="K2125" s="238" t="s">
        <v>36</v>
      </c>
      <c r="L2125">
        <v>4759194.5</v>
      </c>
      <c r="M2125">
        <v>0</v>
      </c>
      <c r="N2125">
        <v>4759194.5</v>
      </c>
      <c r="O2125">
        <v>81716.938530219777</v>
      </c>
      <c r="P2125">
        <v>0</v>
      </c>
      <c r="Q2125">
        <v>4759194.5</v>
      </c>
      <c r="R2125">
        <v>81716.938530219777</v>
      </c>
      <c r="S2125" s="238" t="s">
        <v>137</v>
      </c>
      <c r="T2125" s="238" t="s">
        <v>978</v>
      </c>
      <c r="U2125">
        <v>250483.92</v>
      </c>
      <c r="V2125" t="s">
        <v>4091</v>
      </c>
      <c r="W2125" s="24">
        <v>45226</v>
      </c>
      <c r="X2125" s="238" t="s">
        <v>6547</v>
      </c>
      <c r="Y2125" s="238" t="s">
        <v>39</v>
      </c>
      <c r="Z2125" s="238" t="s">
        <v>1340</v>
      </c>
      <c r="AA2125" t="s">
        <v>3113</v>
      </c>
      <c r="AB2125" s="238" t="s">
        <v>3246</v>
      </c>
      <c r="AC2125" t="s">
        <v>3079</v>
      </c>
      <c r="AD2125" s="24"/>
      <c r="AE2125" s="238" t="s">
        <v>6548</v>
      </c>
      <c r="AF2125">
        <v>79370780901</v>
      </c>
      <c r="AG2125" s="238" t="s">
        <v>6549</v>
      </c>
      <c r="AH2125" s="238" t="s">
        <v>1171</v>
      </c>
      <c r="AI2125" s="238" t="s">
        <v>3514</v>
      </c>
      <c r="AJ2125" s="238" t="s">
        <v>4177</v>
      </c>
      <c r="AK2125" s="238" t="s">
        <v>3345</v>
      </c>
      <c r="AL2125" t="s">
        <v>8715</v>
      </c>
      <c r="AM2125" t="s">
        <v>1167</v>
      </c>
    </row>
    <row r="2126" spans="1:39" x14ac:dyDescent="0.25">
      <c r="A2126">
        <v>2123</v>
      </c>
      <c r="B2126">
        <v>31</v>
      </c>
      <c r="C2126" s="24">
        <v>45230</v>
      </c>
      <c r="D2126" s="238" t="s">
        <v>3388</v>
      </c>
      <c r="E2126" s="238" t="s">
        <v>6</v>
      </c>
      <c r="F2126">
        <v>7</v>
      </c>
      <c r="G2126">
        <v>4</v>
      </c>
      <c r="H2126">
        <v>27</v>
      </c>
      <c r="I2126" s="238" t="s">
        <v>42</v>
      </c>
      <c r="J2126">
        <v>42.75</v>
      </c>
      <c r="K2126" s="238" t="s">
        <v>36</v>
      </c>
      <c r="L2126">
        <v>4075679.84</v>
      </c>
      <c r="M2126">
        <v>0</v>
      </c>
      <c r="N2126">
        <v>4075679.84</v>
      </c>
      <c r="O2126">
        <v>95337.540116959062</v>
      </c>
      <c r="P2126">
        <v>0</v>
      </c>
      <c r="Q2126">
        <v>4075679.84</v>
      </c>
      <c r="R2126">
        <v>95337.540116959062</v>
      </c>
      <c r="S2126" s="238" t="s">
        <v>137</v>
      </c>
      <c r="T2126" s="238" t="s">
        <v>1167</v>
      </c>
      <c r="V2126" t="s">
        <v>4092</v>
      </c>
      <c r="W2126" s="24">
        <v>45226</v>
      </c>
      <c r="X2126" s="238" t="s">
        <v>6550</v>
      </c>
      <c r="Y2126" s="238" t="s">
        <v>39</v>
      </c>
      <c r="Z2126" s="238" t="s">
        <v>1340</v>
      </c>
      <c r="AA2126" t="s">
        <v>3113</v>
      </c>
      <c r="AB2126" s="238" t="s">
        <v>3246</v>
      </c>
      <c r="AC2126" t="s">
        <v>3079</v>
      </c>
      <c r="AD2126" s="24"/>
      <c r="AE2126" s="238" t="s">
        <v>6551</v>
      </c>
      <c r="AF2126">
        <v>79277582658</v>
      </c>
      <c r="AG2126" s="238" t="s">
        <v>6552</v>
      </c>
      <c r="AH2126" s="238" t="s">
        <v>1212</v>
      </c>
      <c r="AI2126" s="238" t="s">
        <v>3101</v>
      </c>
      <c r="AJ2126" s="238" t="s">
        <v>3901</v>
      </c>
      <c r="AK2126" s="238" t="s">
        <v>3345</v>
      </c>
      <c r="AL2126" t="s">
        <v>8715</v>
      </c>
      <c r="AM2126" t="s">
        <v>1167</v>
      </c>
    </row>
    <row r="2127" spans="1:39" x14ac:dyDescent="0.25">
      <c r="A2127">
        <v>2124</v>
      </c>
      <c r="B2127">
        <v>32</v>
      </c>
      <c r="C2127" s="24">
        <v>45230</v>
      </c>
      <c r="D2127" s="238" t="s">
        <v>3388</v>
      </c>
      <c r="E2127" s="238" t="s">
        <v>5</v>
      </c>
      <c r="F2127">
        <v>4</v>
      </c>
      <c r="G2127">
        <v>4</v>
      </c>
      <c r="H2127">
        <v>135</v>
      </c>
      <c r="I2127" s="238" t="s">
        <v>43</v>
      </c>
      <c r="J2127">
        <v>58.31</v>
      </c>
      <c r="K2127" s="238" t="s">
        <v>38</v>
      </c>
      <c r="L2127">
        <v>6365233.5700000003</v>
      </c>
      <c r="M2127">
        <v>0</v>
      </c>
      <c r="N2127">
        <v>6365233.5700000003</v>
      </c>
      <c r="O2127">
        <v>109161.95455324987</v>
      </c>
      <c r="P2127">
        <v>1282820</v>
      </c>
      <c r="Q2127">
        <v>5082413.57</v>
      </c>
      <c r="R2127">
        <v>87161.954553249874</v>
      </c>
      <c r="S2127" s="238" t="s">
        <v>137</v>
      </c>
      <c r="T2127" s="238" t="s">
        <v>3540</v>
      </c>
      <c r="U2127">
        <v>103722.73</v>
      </c>
      <c r="V2127" t="s">
        <v>4091</v>
      </c>
      <c r="W2127" s="24">
        <v>45227</v>
      </c>
      <c r="X2127" s="238" t="s">
        <v>6553</v>
      </c>
      <c r="Y2127" s="238" t="s">
        <v>39</v>
      </c>
      <c r="Z2127" s="238" t="s">
        <v>1340</v>
      </c>
      <c r="AA2127" t="s">
        <v>3113</v>
      </c>
      <c r="AB2127" s="238" t="s">
        <v>3246</v>
      </c>
      <c r="AC2127" t="s">
        <v>3079</v>
      </c>
      <c r="AD2127" s="24"/>
      <c r="AE2127" s="238" t="s">
        <v>6554</v>
      </c>
      <c r="AF2127">
        <v>79172370001</v>
      </c>
      <c r="AG2127" s="238" t="s">
        <v>6555</v>
      </c>
      <c r="AH2127" s="238" t="s">
        <v>1197</v>
      </c>
      <c r="AI2127" s="238" t="s">
        <v>135</v>
      </c>
      <c r="AJ2127" s="238" t="s">
        <v>3901</v>
      </c>
      <c r="AK2127" s="238" t="s">
        <v>141</v>
      </c>
      <c r="AL2127" t="s">
        <v>8715</v>
      </c>
      <c r="AM2127" t="s">
        <v>1167</v>
      </c>
    </row>
    <row r="2128" spans="1:39" hidden="1" x14ac:dyDescent="0.25">
      <c r="A2128">
        <v>2125</v>
      </c>
      <c r="B2128">
        <v>33</v>
      </c>
      <c r="C2128" s="24">
        <v>45230</v>
      </c>
      <c r="D2128" s="238" t="s">
        <v>91</v>
      </c>
      <c r="E2128" s="238" t="s">
        <v>16</v>
      </c>
      <c r="F2128">
        <v>5</v>
      </c>
      <c r="G2128">
        <v>20</v>
      </c>
      <c r="H2128">
        <v>371</v>
      </c>
      <c r="I2128" s="238" t="s">
        <v>43</v>
      </c>
      <c r="J2128">
        <v>56.7</v>
      </c>
      <c r="K2128" s="238" t="s">
        <v>36</v>
      </c>
      <c r="L2128">
        <v>5575652.9000000004</v>
      </c>
      <c r="M2128">
        <v>0</v>
      </c>
      <c r="N2128">
        <v>5575652.9000000004</v>
      </c>
      <c r="O2128">
        <v>98336.02998236331</v>
      </c>
      <c r="P2128">
        <v>0</v>
      </c>
      <c r="Q2128">
        <v>5575652.9000000004</v>
      </c>
      <c r="R2128">
        <v>98336.02998236331</v>
      </c>
      <c r="S2128" s="238" t="s">
        <v>137</v>
      </c>
      <c r="T2128" s="238" t="s">
        <v>1167</v>
      </c>
      <c r="V2128" t="s">
        <v>4091</v>
      </c>
      <c r="W2128" s="24">
        <v>45227</v>
      </c>
      <c r="X2128" s="238" t="s">
        <v>6556</v>
      </c>
      <c r="Y2128" s="238" t="s">
        <v>39</v>
      </c>
      <c r="Z2128" s="238" t="s">
        <v>1340</v>
      </c>
      <c r="AA2128" t="s">
        <v>3113</v>
      </c>
      <c r="AB2128" s="238" t="s">
        <v>3246</v>
      </c>
      <c r="AC2128" t="s">
        <v>3079</v>
      </c>
      <c r="AD2128" s="24"/>
      <c r="AE2128" s="238" t="s">
        <v>6557</v>
      </c>
      <c r="AF2128">
        <v>79608092070</v>
      </c>
      <c r="AG2128" s="238" t="s">
        <v>6558</v>
      </c>
      <c r="AH2128" s="238" t="s">
        <v>1171</v>
      </c>
      <c r="AI2128" s="238" t="s">
        <v>3085</v>
      </c>
      <c r="AJ2128" s="238" t="s">
        <v>3901</v>
      </c>
      <c r="AK2128" s="238" t="s">
        <v>141</v>
      </c>
      <c r="AL2128" t="s">
        <v>8715</v>
      </c>
      <c r="AM2128" t="s">
        <v>1167</v>
      </c>
    </row>
    <row r="2129" spans="1:39" x14ac:dyDescent="0.25">
      <c r="A2129">
        <v>2126</v>
      </c>
      <c r="B2129">
        <v>34</v>
      </c>
      <c r="C2129" s="24">
        <v>45230</v>
      </c>
      <c r="D2129" s="238" t="s">
        <v>3388</v>
      </c>
      <c r="E2129" s="238" t="s">
        <v>5</v>
      </c>
      <c r="F2129">
        <v>7</v>
      </c>
      <c r="G2129">
        <v>11</v>
      </c>
      <c r="H2129">
        <v>187</v>
      </c>
      <c r="I2129" s="238" t="s">
        <v>42</v>
      </c>
      <c r="J2129">
        <v>42.28</v>
      </c>
      <c r="K2129" s="238" t="s">
        <v>36</v>
      </c>
      <c r="L2129">
        <v>3953910.6</v>
      </c>
      <c r="M2129">
        <v>0</v>
      </c>
      <c r="N2129">
        <v>3953910.6</v>
      </c>
      <c r="O2129">
        <v>93517.280037842953</v>
      </c>
      <c r="P2129">
        <v>0</v>
      </c>
      <c r="Q2129">
        <v>3953910.6</v>
      </c>
      <c r="R2129">
        <v>93517.280037842953</v>
      </c>
      <c r="S2129" s="238" t="s">
        <v>137</v>
      </c>
      <c r="T2129" s="238" t="s">
        <v>1167</v>
      </c>
      <c r="V2129" t="s">
        <v>4091</v>
      </c>
      <c r="W2129" s="24">
        <v>45229</v>
      </c>
      <c r="X2129" s="238" t="s">
        <v>6559</v>
      </c>
      <c r="Y2129" s="238" t="s">
        <v>39</v>
      </c>
      <c r="Z2129" s="238" t="s">
        <v>1340</v>
      </c>
      <c r="AA2129" t="s">
        <v>3113</v>
      </c>
      <c r="AB2129" s="238" t="s">
        <v>3246</v>
      </c>
      <c r="AC2129" t="s">
        <v>3079</v>
      </c>
      <c r="AD2129" s="24"/>
      <c r="AE2129" s="238" t="s">
        <v>6560</v>
      </c>
      <c r="AF2129">
        <v>79198074299</v>
      </c>
      <c r="AG2129" s="238" t="s">
        <v>6561</v>
      </c>
      <c r="AH2129" s="238" t="s">
        <v>1171</v>
      </c>
      <c r="AI2129" s="238" t="s">
        <v>135</v>
      </c>
      <c r="AJ2129" s="238" t="s">
        <v>126</v>
      </c>
      <c r="AK2129" s="238" t="s">
        <v>3345</v>
      </c>
      <c r="AL2129" t="s">
        <v>8715</v>
      </c>
      <c r="AM2129" t="s">
        <v>1167</v>
      </c>
    </row>
    <row r="2130" spans="1:39" hidden="1" x14ac:dyDescent="0.25">
      <c r="A2130">
        <v>2127</v>
      </c>
      <c r="B2130">
        <v>35</v>
      </c>
      <c r="C2130" s="24">
        <v>45230</v>
      </c>
      <c r="D2130" s="238" t="s">
        <v>91</v>
      </c>
      <c r="E2130" s="238" t="s">
        <v>16</v>
      </c>
      <c r="F2130">
        <v>2</v>
      </c>
      <c r="G2130">
        <v>11</v>
      </c>
      <c r="H2130">
        <v>305</v>
      </c>
      <c r="I2130" s="238" t="s">
        <v>43</v>
      </c>
      <c r="J2130">
        <v>67.95</v>
      </c>
      <c r="K2130" s="238" t="s">
        <v>37</v>
      </c>
      <c r="L2130">
        <v>6335992.5999999996</v>
      </c>
      <c r="M2130">
        <v>15000</v>
      </c>
      <c r="N2130">
        <v>6350992.5999999996</v>
      </c>
      <c r="O2130">
        <v>93465.674760853566</v>
      </c>
      <c r="P2130">
        <v>509625</v>
      </c>
      <c r="Q2130">
        <v>5841367.5999999996</v>
      </c>
      <c r="R2130">
        <v>85965.674760853566</v>
      </c>
      <c r="S2130" s="238" t="s">
        <v>137</v>
      </c>
      <c r="T2130" s="238" t="s">
        <v>5046</v>
      </c>
      <c r="U2130">
        <v>114381.95</v>
      </c>
      <c r="V2130" t="s">
        <v>4091</v>
      </c>
      <c r="W2130" s="24">
        <v>45229</v>
      </c>
      <c r="X2130" s="238" t="s">
        <v>6562</v>
      </c>
      <c r="Y2130" s="238" t="s">
        <v>39</v>
      </c>
      <c r="Z2130" s="238" t="s">
        <v>1340</v>
      </c>
      <c r="AA2130" t="s">
        <v>3113</v>
      </c>
      <c r="AB2130" s="238" t="s">
        <v>3246</v>
      </c>
      <c r="AC2130" t="s">
        <v>3079</v>
      </c>
      <c r="AD2130" s="24"/>
      <c r="AE2130" s="238" t="s">
        <v>6563</v>
      </c>
      <c r="AF2130">
        <v>79171063608</v>
      </c>
      <c r="AG2130" s="238" t="s">
        <v>6564</v>
      </c>
      <c r="AH2130" s="238" t="s">
        <v>1171</v>
      </c>
      <c r="AI2130" s="238" t="s">
        <v>3074</v>
      </c>
      <c r="AJ2130" s="238" t="s">
        <v>399</v>
      </c>
      <c r="AK2130" s="238" t="s">
        <v>3345</v>
      </c>
      <c r="AL2130" t="s">
        <v>8715</v>
      </c>
      <c r="AM2130" t="s">
        <v>1167</v>
      </c>
    </row>
    <row r="2131" spans="1:39" x14ac:dyDescent="0.25">
      <c r="A2131">
        <v>2128</v>
      </c>
      <c r="B2131">
        <v>36</v>
      </c>
      <c r="C2131" s="24">
        <v>45230</v>
      </c>
      <c r="D2131" s="238" t="s">
        <v>3388</v>
      </c>
      <c r="E2131" s="238" t="s">
        <v>5</v>
      </c>
      <c r="F2131">
        <v>2</v>
      </c>
      <c r="G2131">
        <v>7</v>
      </c>
      <c r="H2131">
        <v>154</v>
      </c>
      <c r="I2131" s="238" t="s">
        <v>4052</v>
      </c>
      <c r="J2131">
        <v>24.28</v>
      </c>
      <c r="K2131" s="238" t="s">
        <v>36</v>
      </c>
      <c r="L2131">
        <v>2642977.98</v>
      </c>
      <c r="M2131">
        <v>0</v>
      </c>
      <c r="N2131">
        <v>2642977.98</v>
      </c>
      <c r="O2131">
        <v>108854.11779242173</v>
      </c>
      <c r="P2131">
        <v>0</v>
      </c>
      <c r="Q2131">
        <v>2642977.98</v>
      </c>
      <c r="R2131">
        <v>108854.11779242173</v>
      </c>
      <c r="S2131" s="238" t="s">
        <v>121</v>
      </c>
      <c r="T2131" s="238" t="s">
        <v>6904</v>
      </c>
      <c r="U2131">
        <v>81741.58709999999</v>
      </c>
      <c r="V2131" t="s">
        <v>1167</v>
      </c>
      <c r="W2131" s="24">
        <v>45230</v>
      </c>
      <c r="X2131" s="238" t="s">
        <v>6565</v>
      </c>
      <c r="Y2131" s="238" t="s">
        <v>39</v>
      </c>
      <c r="Z2131" s="238" t="s">
        <v>1340</v>
      </c>
      <c r="AA2131" t="s">
        <v>3113</v>
      </c>
      <c r="AB2131" s="238" t="s">
        <v>3246</v>
      </c>
      <c r="AC2131" t="s">
        <v>1167</v>
      </c>
      <c r="AD2131" s="24">
        <v>45841</v>
      </c>
      <c r="AE2131" s="238" t="s">
        <v>8922</v>
      </c>
      <c r="AF2131">
        <v>79171018060</v>
      </c>
      <c r="AG2131" s="238" t="s">
        <v>8923</v>
      </c>
      <c r="AH2131" s="238" t="s">
        <v>1764</v>
      </c>
      <c r="AI2131" s="238" t="s">
        <v>3073</v>
      </c>
      <c r="AJ2131" s="238" t="s">
        <v>982</v>
      </c>
      <c r="AK2131" s="238" t="s">
        <v>1167</v>
      </c>
      <c r="AL2131" t="s">
        <v>8715</v>
      </c>
      <c r="AM2131" t="s">
        <v>1167</v>
      </c>
    </row>
    <row r="2132" spans="1:39" x14ac:dyDescent="0.25">
      <c r="A2132">
        <v>2129</v>
      </c>
      <c r="B2132">
        <v>37</v>
      </c>
      <c r="C2132" s="24">
        <v>45230</v>
      </c>
      <c r="D2132" s="238" t="s">
        <v>3388</v>
      </c>
      <c r="E2132" s="238" t="s">
        <v>15</v>
      </c>
      <c r="F2132">
        <v>8</v>
      </c>
      <c r="G2132">
        <v>12</v>
      </c>
      <c r="H2132">
        <v>484</v>
      </c>
      <c r="I2132" s="238" t="s">
        <v>42</v>
      </c>
      <c r="J2132">
        <v>39.69</v>
      </c>
      <c r="K2132" s="238" t="s">
        <v>36</v>
      </c>
      <c r="L2132">
        <v>3874907.31</v>
      </c>
      <c r="M2132">
        <v>0</v>
      </c>
      <c r="N2132">
        <v>3874907.31</v>
      </c>
      <c r="O2132">
        <v>97629.309901738481</v>
      </c>
      <c r="P2132">
        <v>0</v>
      </c>
      <c r="Q2132">
        <v>3874907.31</v>
      </c>
      <c r="R2132">
        <v>97629.309901738481</v>
      </c>
      <c r="S2132" s="238" t="s">
        <v>137</v>
      </c>
      <c r="T2132" s="238" t="s">
        <v>1167</v>
      </c>
      <c r="V2132" t="s">
        <v>4092</v>
      </c>
      <c r="W2132" s="24">
        <v>45229</v>
      </c>
      <c r="X2132" s="238" t="s">
        <v>6567</v>
      </c>
      <c r="Y2132" s="238" t="s">
        <v>39</v>
      </c>
      <c r="Z2132" s="238" t="s">
        <v>1340</v>
      </c>
      <c r="AA2132" t="s">
        <v>3113</v>
      </c>
      <c r="AB2132" s="238" t="s">
        <v>3246</v>
      </c>
      <c r="AC2132" t="s">
        <v>3079</v>
      </c>
      <c r="AD2132" s="24"/>
      <c r="AE2132" s="238" t="s">
        <v>6568</v>
      </c>
      <c r="AF2132">
        <v>79033308908</v>
      </c>
      <c r="AG2132" s="238" t="s">
        <v>6569</v>
      </c>
      <c r="AH2132" s="238" t="s">
        <v>1212</v>
      </c>
      <c r="AI2132" s="238" t="s">
        <v>135</v>
      </c>
      <c r="AJ2132" s="238" t="s">
        <v>4177</v>
      </c>
      <c r="AK2132" s="238" t="s">
        <v>3345</v>
      </c>
      <c r="AL2132" t="s">
        <v>8715</v>
      </c>
      <c r="AM2132" t="s">
        <v>6570</v>
      </c>
    </row>
    <row r="2133" spans="1:39" hidden="1" x14ac:dyDescent="0.25">
      <c r="A2133">
        <v>2130</v>
      </c>
      <c r="B2133">
        <v>1</v>
      </c>
      <c r="C2133" s="24">
        <v>45236</v>
      </c>
      <c r="D2133" s="238" t="s">
        <v>91</v>
      </c>
      <c r="E2133" s="238" t="s">
        <v>16</v>
      </c>
      <c r="F2133">
        <v>5</v>
      </c>
      <c r="G2133">
        <v>22</v>
      </c>
      <c r="H2133">
        <v>385</v>
      </c>
      <c r="I2133" s="238" t="s">
        <v>43</v>
      </c>
      <c r="J2133">
        <v>56.7</v>
      </c>
      <c r="K2133" s="238" t="s">
        <v>37</v>
      </c>
      <c r="L2133">
        <v>5889389.8399999999</v>
      </c>
      <c r="M2133">
        <v>0</v>
      </c>
      <c r="N2133">
        <v>5889389.8399999999</v>
      </c>
      <c r="O2133">
        <v>103869.30934744267</v>
      </c>
      <c r="P2133">
        <v>425250</v>
      </c>
      <c r="Q2133">
        <v>5464139.8399999999</v>
      </c>
      <c r="R2133">
        <v>96369.309347442671</v>
      </c>
      <c r="S2133" s="238" t="s">
        <v>137</v>
      </c>
      <c r="T2133" s="238" t="s">
        <v>3540</v>
      </c>
      <c r="U2133">
        <v>111513.06</v>
      </c>
      <c r="V2133" t="s">
        <v>4091</v>
      </c>
      <c r="W2133" s="24">
        <v>45205</v>
      </c>
      <c r="X2133" s="238" t="s">
        <v>6571</v>
      </c>
      <c r="Y2133" s="238" t="s">
        <v>39</v>
      </c>
      <c r="Z2133" s="238" t="s">
        <v>1340</v>
      </c>
      <c r="AA2133" t="s">
        <v>3113</v>
      </c>
      <c r="AB2133" s="238" t="s">
        <v>3246</v>
      </c>
      <c r="AC2133" t="s">
        <v>3079</v>
      </c>
      <c r="AD2133" s="24"/>
      <c r="AE2133" s="238" t="s">
        <v>6572</v>
      </c>
      <c r="AF2133">
        <v>79128630490</v>
      </c>
      <c r="AG2133" s="238" t="s">
        <v>6573</v>
      </c>
      <c r="AH2133" s="238" t="s">
        <v>1212</v>
      </c>
      <c r="AI2133" s="238" t="s">
        <v>135</v>
      </c>
      <c r="AJ2133" s="238" t="s">
        <v>399</v>
      </c>
      <c r="AK2133" s="238" t="s">
        <v>3345</v>
      </c>
      <c r="AL2133" t="s">
        <v>8715</v>
      </c>
      <c r="AM2133" t="s">
        <v>1167</v>
      </c>
    </row>
    <row r="2134" spans="1:39" x14ac:dyDescent="0.25">
      <c r="A2134">
        <v>2131</v>
      </c>
      <c r="B2134">
        <v>2</v>
      </c>
      <c r="C2134" s="24">
        <v>45233</v>
      </c>
      <c r="D2134" s="238" t="s">
        <v>3388</v>
      </c>
      <c r="E2134" s="238" t="s">
        <v>15</v>
      </c>
      <c r="F2134">
        <v>5</v>
      </c>
      <c r="G2134">
        <v>14</v>
      </c>
      <c r="H2134">
        <v>497</v>
      </c>
      <c r="I2134" s="238" t="s">
        <v>43</v>
      </c>
      <c r="J2134">
        <v>57.8</v>
      </c>
      <c r="K2134" s="238" t="s">
        <v>36</v>
      </c>
      <c r="L2134">
        <v>4848741.7</v>
      </c>
      <c r="M2134">
        <v>0</v>
      </c>
      <c r="N2134">
        <v>4848741.7</v>
      </c>
      <c r="O2134">
        <v>83888.264705882364</v>
      </c>
      <c r="P2134">
        <v>0</v>
      </c>
      <c r="Q2134">
        <v>4848741.7</v>
      </c>
      <c r="R2134">
        <v>83888.264705882364</v>
      </c>
      <c r="S2134" s="238" t="s">
        <v>137</v>
      </c>
      <c r="T2134" s="238" t="s">
        <v>3540</v>
      </c>
      <c r="U2134">
        <v>98953.91</v>
      </c>
      <c r="V2134" t="s">
        <v>4092</v>
      </c>
      <c r="W2134" s="24">
        <v>45230</v>
      </c>
      <c r="X2134" s="238" t="s">
        <v>6574</v>
      </c>
      <c r="Y2134" s="238" t="s">
        <v>39</v>
      </c>
      <c r="Z2134" s="238" t="s">
        <v>1340</v>
      </c>
      <c r="AA2134" t="s">
        <v>3113</v>
      </c>
      <c r="AB2134" s="238" t="s">
        <v>3246</v>
      </c>
      <c r="AC2134" t="s">
        <v>3079</v>
      </c>
      <c r="AD2134" s="24"/>
      <c r="AE2134" s="238" t="s">
        <v>6575</v>
      </c>
      <c r="AF2134">
        <v>79825008666</v>
      </c>
      <c r="AG2134" s="238" t="s">
        <v>6576</v>
      </c>
      <c r="AH2134" s="238" t="s">
        <v>1212</v>
      </c>
      <c r="AI2134" s="238" t="s">
        <v>3074</v>
      </c>
      <c r="AJ2134" s="238" t="s">
        <v>4177</v>
      </c>
      <c r="AK2134" s="238" t="s">
        <v>141</v>
      </c>
      <c r="AL2134" t="s">
        <v>8715</v>
      </c>
      <c r="AM2134" t="s">
        <v>1167</v>
      </c>
    </row>
    <row r="2135" spans="1:39" x14ac:dyDescent="0.25">
      <c r="A2135">
        <v>2132</v>
      </c>
      <c r="B2135">
        <v>3</v>
      </c>
      <c r="C2135" s="24">
        <v>45233</v>
      </c>
      <c r="D2135" s="238" t="s">
        <v>3388</v>
      </c>
      <c r="E2135" s="238" t="s">
        <v>16</v>
      </c>
      <c r="F2135">
        <v>7</v>
      </c>
      <c r="G2135">
        <v>2</v>
      </c>
      <c r="H2135">
        <v>235</v>
      </c>
      <c r="I2135" s="238" t="s">
        <v>42</v>
      </c>
      <c r="J2135">
        <v>34.81</v>
      </c>
      <c r="K2135" s="238" t="s">
        <v>36</v>
      </c>
      <c r="L2135">
        <v>3637805.47</v>
      </c>
      <c r="M2135">
        <v>0</v>
      </c>
      <c r="N2135">
        <v>3637805.47</v>
      </c>
      <c r="O2135">
        <v>104504.60988221776</v>
      </c>
      <c r="P2135">
        <v>0</v>
      </c>
      <c r="Q2135">
        <v>3637805.47</v>
      </c>
      <c r="R2135">
        <v>104504.60988221776</v>
      </c>
      <c r="S2135" s="238" t="s">
        <v>137</v>
      </c>
      <c r="T2135" s="238" t="s">
        <v>1167</v>
      </c>
      <c r="V2135" t="s">
        <v>4093</v>
      </c>
      <c r="W2135" s="24">
        <v>45232</v>
      </c>
      <c r="X2135" s="238" t="s">
        <v>6577</v>
      </c>
      <c r="Y2135" s="238" t="s">
        <v>39</v>
      </c>
      <c r="Z2135" s="238" t="s">
        <v>1340</v>
      </c>
      <c r="AA2135" t="s">
        <v>3113</v>
      </c>
      <c r="AB2135" s="238" t="s">
        <v>3246</v>
      </c>
      <c r="AC2135" t="s">
        <v>3079</v>
      </c>
      <c r="AD2135" s="24"/>
      <c r="AE2135" s="238" t="s">
        <v>6578</v>
      </c>
      <c r="AF2135">
        <v>79371818028</v>
      </c>
      <c r="AG2135" s="238" t="s">
        <v>6579</v>
      </c>
      <c r="AH2135" s="238" t="s">
        <v>1212</v>
      </c>
      <c r="AI2135" s="238" t="s">
        <v>3097</v>
      </c>
      <c r="AJ2135" s="238" t="s">
        <v>4177</v>
      </c>
      <c r="AK2135" s="238" t="s">
        <v>3345</v>
      </c>
      <c r="AL2135" t="s">
        <v>8715</v>
      </c>
      <c r="AM2135" t="s">
        <v>4996</v>
      </c>
    </row>
    <row r="2136" spans="1:39" hidden="1" x14ac:dyDescent="0.25">
      <c r="A2136">
        <v>2133</v>
      </c>
      <c r="B2136">
        <v>4</v>
      </c>
      <c r="C2136" s="24">
        <v>45237</v>
      </c>
      <c r="D2136" s="238" t="s">
        <v>91</v>
      </c>
      <c r="E2136" s="238" t="s">
        <v>6</v>
      </c>
      <c r="F2136">
        <v>8</v>
      </c>
      <c r="G2136">
        <v>7</v>
      </c>
      <c r="H2136">
        <v>48</v>
      </c>
      <c r="I2136" s="238" t="s">
        <v>4052</v>
      </c>
      <c r="J2136">
        <v>21.73</v>
      </c>
      <c r="K2136" s="238" t="s">
        <v>37</v>
      </c>
      <c r="L2136">
        <v>2970412.77</v>
      </c>
      <c r="M2136">
        <v>0</v>
      </c>
      <c r="N2136">
        <v>2970412.77</v>
      </c>
      <c r="O2136">
        <v>136696.39990796134</v>
      </c>
      <c r="P2136">
        <v>162975</v>
      </c>
      <c r="Q2136">
        <v>2807437.77</v>
      </c>
      <c r="R2136">
        <v>129196.39990796134</v>
      </c>
      <c r="S2136" s="238" t="s">
        <v>137</v>
      </c>
      <c r="T2136" s="238" t="s">
        <v>1167</v>
      </c>
      <c r="V2136" t="s">
        <v>4091</v>
      </c>
      <c r="W2136" s="24">
        <v>45231</v>
      </c>
      <c r="X2136" s="238" t="s">
        <v>6580</v>
      </c>
      <c r="Y2136" s="238" t="s">
        <v>39</v>
      </c>
      <c r="Z2136" s="238" t="s">
        <v>1340</v>
      </c>
      <c r="AA2136" t="s">
        <v>3113</v>
      </c>
      <c r="AB2136" s="238" t="s">
        <v>3246</v>
      </c>
      <c r="AC2136" t="s">
        <v>3079</v>
      </c>
      <c r="AD2136" s="24"/>
      <c r="AE2136" s="238" t="s">
        <v>6581</v>
      </c>
      <c r="AF2136">
        <v>79376522890</v>
      </c>
      <c r="AG2136" s="238" t="s">
        <v>6582</v>
      </c>
      <c r="AH2136" s="238" t="s">
        <v>1171</v>
      </c>
      <c r="AI2136" s="238" t="s">
        <v>135</v>
      </c>
      <c r="AJ2136" s="238" t="s">
        <v>126</v>
      </c>
      <c r="AK2136" s="238" t="s">
        <v>3345</v>
      </c>
      <c r="AL2136" t="s">
        <v>8715</v>
      </c>
      <c r="AM2136" t="s">
        <v>1167</v>
      </c>
    </row>
    <row r="2137" spans="1:39" x14ac:dyDescent="0.25">
      <c r="A2137">
        <v>2134</v>
      </c>
      <c r="B2137">
        <v>5</v>
      </c>
      <c r="C2137" s="24">
        <v>45238</v>
      </c>
      <c r="D2137" s="238" t="s">
        <v>3388</v>
      </c>
      <c r="E2137" s="238" t="s">
        <v>15</v>
      </c>
      <c r="F2137">
        <v>7</v>
      </c>
      <c r="G2137">
        <v>8</v>
      </c>
      <c r="H2137">
        <v>451</v>
      </c>
      <c r="I2137" s="238" t="s">
        <v>44</v>
      </c>
      <c r="J2137">
        <v>79.44</v>
      </c>
      <c r="K2137" s="238" t="s">
        <v>36</v>
      </c>
      <c r="L2137">
        <v>6283339.8799999999</v>
      </c>
      <c r="M2137">
        <v>0</v>
      </c>
      <c r="N2137">
        <v>6283339.8799999999</v>
      </c>
      <c r="O2137">
        <v>79095.416414904335</v>
      </c>
      <c r="P2137">
        <v>0</v>
      </c>
      <c r="Q2137">
        <v>6283339.8799999999</v>
      </c>
      <c r="R2137">
        <v>79095.416414904335</v>
      </c>
      <c r="S2137" s="238" t="s">
        <v>137</v>
      </c>
      <c r="T2137" s="238" t="s">
        <v>978</v>
      </c>
      <c r="U2137">
        <v>401064.25</v>
      </c>
      <c r="V2137" t="s">
        <v>3661</v>
      </c>
      <c r="W2137" s="24">
        <v>45238</v>
      </c>
      <c r="X2137" s="238" t="s">
        <v>6587</v>
      </c>
      <c r="Y2137" s="238" t="s">
        <v>39</v>
      </c>
      <c r="Z2137" s="238" t="s">
        <v>1168</v>
      </c>
      <c r="AA2137" t="s">
        <v>1167</v>
      </c>
      <c r="AB2137" s="238" t="s">
        <v>3246</v>
      </c>
      <c r="AC2137" t="s">
        <v>3115</v>
      </c>
      <c r="AD2137" s="24"/>
      <c r="AE2137" s="238" t="s">
        <v>6588</v>
      </c>
      <c r="AF2137">
        <v>79991720658</v>
      </c>
      <c r="AG2137" s="238" t="s">
        <v>6589</v>
      </c>
      <c r="AH2137" s="238" t="s">
        <v>1171</v>
      </c>
      <c r="AI2137" s="238" t="s">
        <v>135</v>
      </c>
      <c r="AJ2137" s="238" t="s">
        <v>5215</v>
      </c>
      <c r="AK2137" s="238" t="s">
        <v>141</v>
      </c>
      <c r="AL2137" t="s">
        <v>8715</v>
      </c>
      <c r="AM2137" t="s">
        <v>1167</v>
      </c>
    </row>
    <row r="2138" spans="1:39" hidden="1" x14ac:dyDescent="0.25">
      <c r="A2138">
        <v>2135</v>
      </c>
      <c r="B2138">
        <v>6</v>
      </c>
      <c r="C2138" s="24">
        <v>45239</v>
      </c>
      <c r="D2138" s="238" t="s">
        <v>91</v>
      </c>
      <c r="E2138" s="238" t="s">
        <v>5</v>
      </c>
      <c r="F2138">
        <v>8</v>
      </c>
      <c r="G2138">
        <v>6</v>
      </c>
      <c r="H2138">
        <v>160</v>
      </c>
      <c r="I2138" s="238" t="s">
        <v>42</v>
      </c>
      <c r="J2138">
        <v>33.79</v>
      </c>
      <c r="K2138" s="238" t="s">
        <v>37</v>
      </c>
      <c r="L2138">
        <v>4075857.59</v>
      </c>
      <c r="M2138">
        <v>0</v>
      </c>
      <c r="N2138">
        <v>4075857.59</v>
      </c>
      <c r="O2138">
        <v>120623.18999704055</v>
      </c>
      <c r="P2138">
        <v>253425</v>
      </c>
      <c r="Q2138">
        <v>3822432.59</v>
      </c>
      <c r="R2138">
        <v>113123.18999704055</v>
      </c>
      <c r="S2138" s="238" t="s">
        <v>137</v>
      </c>
      <c r="T2138" s="238" t="s">
        <v>1167</v>
      </c>
      <c r="V2138" t="s">
        <v>4092</v>
      </c>
      <c r="W2138" s="24">
        <v>45238</v>
      </c>
      <c r="X2138" s="238" t="s">
        <v>6590</v>
      </c>
      <c r="Y2138" s="238" t="s">
        <v>39</v>
      </c>
      <c r="Z2138" s="238" t="s">
        <v>1340</v>
      </c>
      <c r="AA2138" t="s">
        <v>3113</v>
      </c>
      <c r="AB2138" s="238" t="s">
        <v>3246</v>
      </c>
      <c r="AC2138" t="s">
        <v>3079</v>
      </c>
      <c r="AD2138" s="24"/>
      <c r="AE2138" s="238" t="s">
        <v>6591</v>
      </c>
      <c r="AF2138">
        <v>79276023025</v>
      </c>
      <c r="AG2138" s="238" t="s">
        <v>6592</v>
      </c>
      <c r="AH2138" s="238" t="s">
        <v>135</v>
      </c>
      <c r="AI2138" s="238" t="s">
        <v>135</v>
      </c>
      <c r="AJ2138" s="238" t="s">
        <v>4177</v>
      </c>
      <c r="AK2138" s="238" t="s">
        <v>141</v>
      </c>
      <c r="AL2138" t="s">
        <v>8715</v>
      </c>
      <c r="AM2138" t="s">
        <v>1167</v>
      </c>
    </row>
    <row r="2139" spans="1:39" x14ac:dyDescent="0.25">
      <c r="A2139">
        <v>2136</v>
      </c>
      <c r="B2139">
        <v>7</v>
      </c>
      <c r="C2139" s="24">
        <v>45241</v>
      </c>
      <c r="D2139" s="238" t="s">
        <v>3388</v>
      </c>
      <c r="E2139" s="238" t="s">
        <v>6</v>
      </c>
      <c r="F2139">
        <v>6</v>
      </c>
      <c r="G2139">
        <v>12</v>
      </c>
      <c r="H2139">
        <v>82</v>
      </c>
      <c r="I2139" s="238" t="s">
        <v>43</v>
      </c>
      <c r="J2139">
        <v>58.16</v>
      </c>
      <c r="K2139" s="238" t="s">
        <v>38</v>
      </c>
      <c r="L2139">
        <v>6403744.0199999996</v>
      </c>
      <c r="M2139">
        <v>0</v>
      </c>
      <c r="N2139">
        <v>6403744.0199999996</v>
      </c>
      <c r="O2139">
        <v>110105.63995873452</v>
      </c>
      <c r="P2139">
        <v>1279520</v>
      </c>
      <c r="Q2139">
        <v>5124224.0199999996</v>
      </c>
      <c r="R2139">
        <v>88105.639958734522</v>
      </c>
      <c r="S2139" s="238" t="s">
        <v>137</v>
      </c>
      <c r="T2139" s="238" t="s">
        <v>1167</v>
      </c>
      <c r="V2139" t="s">
        <v>4093</v>
      </c>
      <c r="W2139" s="24">
        <v>45237</v>
      </c>
      <c r="X2139" s="238" t="s">
        <v>6594</v>
      </c>
      <c r="Y2139" s="238" t="s">
        <v>39</v>
      </c>
      <c r="Z2139" s="238" t="s">
        <v>1340</v>
      </c>
      <c r="AA2139" t="s">
        <v>3113</v>
      </c>
      <c r="AB2139" s="238" t="s">
        <v>3246</v>
      </c>
      <c r="AC2139" t="s">
        <v>3079</v>
      </c>
      <c r="AD2139" s="24"/>
      <c r="AE2139" s="238" t="s">
        <v>6595</v>
      </c>
      <c r="AF2139">
        <v>79967450356</v>
      </c>
      <c r="AG2139" s="238" t="s">
        <v>6596</v>
      </c>
      <c r="AH2139" s="238" t="s">
        <v>1171</v>
      </c>
      <c r="AI2139" s="238" t="s">
        <v>135</v>
      </c>
      <c r="AJ2139" s="238" t="s">
        <v>5215</v>
      </c>
      <c r="AK2139" s="238" t="s">
        <v>141</v>
      </c>
      <c r="AL2139" t="s">
        <v>8715</v>
      </c>
      <c r="AM2139" t="s">
        <v>1167</v>
      </c>
    </row>
    <row r="2140" spans="1:39" x14ac:dyDescent="0.25">
      <c r="A2140">
        <v>2137</v>
      </c>
      <c r="B2140">
        <v>8</v>
      </c>
      <c r="C2140" s="24">
        <v>45241</v>
      </c>
      <c r="D2140" s="238" t="s">
        <v>3388</v>
      </c>
      <c r="E2140" s="238" t="s">
        <v>16</v>
      </c>
      <c r="F2140">
        <v>6</v>
      </c>
      <c r="G2140">
        <v>5</v>
      </c>
      <c r="H2140">
        <v>255</v>
      </c>
      <c r="I2140" s="238" t="s">
        <v>44</v>
      </c>
      <c r="J2140">
        <v>80.97</v>
      </c>
      <c r="K2140" s="238" t="s">
        <v>38</v>
      </c>
      <c r="L2140">
        <v>6835802.7000000002</v>
      </c>
      <c r="M2140">
        <v>15000</v>
      </c>
      <c r="N2140">
        <v>6850802.7000000002</v>
      </c>
      <c r="O2140">
        <v>84609.147832530565</v>
      </c>
      <c r="P2140">
        <v>1255035</v>
      </c>
      <c r="Q2140">
        <v>5595767.7000000002</v>
      </c>
      <c r="R2140">
        <v>69109.147832530565</v>
      </c>
      <c r="S2140" s="238" t="s">
        <v>137</v>
      </c>
      <c r="T2140" s="238" t="s">
        <v>978</v>
      </c>
      <c r="U2140">
        <v>357176.66</v>
      </c>
      <c r="V2140" t="s">
        <v>3661</v>
      </c>
      <c r="W2140" s="24">
        <v>45145</v>
      </c>
      <c r="X2140" s="238" t="s">
        <v>6597</v>
      </c>
      <c r="Y2140" s="238" t="s">
        <v>39</v>
      </c>
      <c r="Z2140" s="238" t="s">
        <v>1168</v>
      </c>
      <c r="AA2140" t="s">
        <v>1167</v>
      </c>
      <c r="AB2140" s="238" t="s">
        <v>3246</v>
      </c>
      <c r="AC2140" t="s">
        <v>3115</v>
      </c>
      <c r="AD2140" s="24"/>
      <c r="AE2140" s="238" t="s">
        <v>6598</v>
      </c>
      <c r="AF2140">
        <v>79297013588</v>
      </c>
      <c r="AG2140" s="238" t="s">
        <v>6599</v>
      </c>
      <c r="AH2140" s="238" t="s">
        <v>1171</v>
      </c>
      <c r="AI2140" s="238" t="s">
        <v>3074</v>
      </c>
      <c r="AJ2140" s="238" t="s">
        <v>3901</v>
      </c>
      <c r="AK2140" s="238" t="s">
        <v>141</v>
      </c>
      <c r="AL2140" t="s">
        <v>8715</v>
      </c>
      <c r="AM2140" t="s">
        <v>1167</v>
      </c>
    </row>
    <row r="2141" spans="1:39" hidden="1" x14ac:dyDescent="0.25">
      <c r="A2141">
        <v>2138</v>
      </c>
      <c r="B2141">
        <v>9</v>
      </c>
      <c r="C2141" s="24">
        <v>45243</v>
      </c>
      <c r="D2141" s="238" t="s">
        <v>91</v>
      </c>
      <c r="E2141" s="238" t="s">
        <v>15</v>
      </c>
      <c r="F2141">
        <v>6</v>
      </c>
      <c r="G2141">
        <v>16</v>
      </c>
      <c r="H2141">
        <v>533</v>
      </c>
      <c r="I2141" s="238" t="s">
        <v>43</v>
      </c>
      <c r="J2141">
        <v>58.62</v>
      </c>
      <c r="K2141" s="238" t="s">
        <v>36</v>
      </c>
      <c r="L2141">
        <v>5349001.7300000004</v>
      </c>
      <c r="M2141">
        <v>0</v>
      </c>
      <c r="N2141">
        <v>5349001.7300000004</v>
      </c>
      <c r="O2141">
        <v>91248.750085295134</v>
      </c>
      <c r="P2141">
        <v>0</v>
      </c>
      <c r="Q2141">
        <v>5349001.7300000004</v>
      </c>
      <c r="R2141">
        <v>91248.750085295134</v>
      </c>
      <c r="S2141" s="238" t="s">
        <v>137</v>
      </c>
      <c r="T2141" s="238" t="s">
        <v>1167</v>
      </c>
      <c r="V2141" t="s">
        <v>4092</v>
      </c>
      <c r="W2141" s="24">
        <v>45232</v>
      </c>
      <c r="X2141" s="238" t="s">
        <v>6600</v>
      </c>
      <c r="Y2141" s="238" t="s">
        <v>39</v>
      </c>
      <c r="Z2141" s="238" t="s">
        <v>1340</v>
      </c>
      <c r="AA2141" t="s">
        <v>3113</v>
      </c>
      <c r="AB2141" s="238" t="s">
        <v>3246</v>
      </c>
      <c r="AC2141" t="s">
        <v>3079</v>
      </c>
      <c r="AD2141" s="24"/>
      <c r="AE2141" s="238" t="s">
        <v>6601</v>
      </c>
      <c r="AF2141">
        <v>79879266239</v>
      </c>
      <c r="AG2141" s="238" t="s">
        <v>6602</v>
      </c>
      <c r="AH2141" s="238" t="s">
        <v>1171</v>
      </c>
      <c r="AI2141" s="238" t="s">
        <v>3089</v>
      </c>
      <c r="AJ2141" s="238" t="s">
        <v>4177</v>
      </c>
      <c r="AK2141" s="238" t="s">
        <v>3345</v>
      </c>
      <c r="AL2141" t="s">
        <v>8715</v>
      </c>
      <c r="AM2141" t="s">
        <v>1167</v>
      </c>
    </row>
    <row r="2142" spans="1:39" hidden="1" x14ac:dyDescent="0.25">
      <c r="A2142">
        <v>2139</v>
      </c>
      <c r="B2142">
        <v>10</v>
      </c>
      <c r="C2142" s="24">
        <v>45243</v>
      </c>
      <c r="D2142" s="238" t="s">
        <v>91</v>
      </c>
      <c r="E2142" s="238" t="s">
        <v>15</v>
      </c>
      <c r="F2142">
        <v>2</v>
      </c>
      <c r="G2142">
        <v>12</v>
      </c>
      <c r="H2142">
        <v>493</v>
      </c>
      <c r="I2142" s="238" t="s">
        <v>42</v>
      </c>
      <c r="J2142">
        <v>38.6</v>
      </c>
      <c r="K2142" s="238" t="s">
        <v>37</v>
      </c>
      <c r="L2142">
        <v>4291194.8099999996</v>
      </c>
      <c r="M2142">
        <v>0</v>
      </c>
      <c r="N2142">
        <v>4291194.8099999996</v>
      </c>
      <c r="O2142">
        <v>111170.84999999999</v>
      </c>
      <c r="P2142">
        <v>289500</v>
      </c>
      <c r="Q2142">
        <v>4001694.8099999996</v>
      </c>
      <c r="R2142">
        <v>103670.84999999999</v>
      </c>
      <c r="S2142" s="238" t="s">
        <v>137</v>
      </c>
      <c r="T2142" s="238" t="s">
        <v>1167</v>
      </c>
      <c r="V2142" t="s">
        <v>4091</v>
      </c>
      <c r="W2142" s="24">
        <v>45237</v>
      </c>
      <c r="X2142" s="238" t="s">
        <v>3458</v>
      </c>
      <c r="Y2142" s="238" t="s">
        <v>39</v>
      </c>
      <c r="Z2142" s="238" t="s">
        <v>1340</v>
      </c>
      <c r="AA2142" t="s">
        <v>3113</v>
      </c>
      <c r="AB2142" s="238" t="s">
        <v>3246</v>
      </c>
      <c r="AC2142" t="s">
        <v>3079</v>
      </c>
      <c r="AD2142" s="24"/>
      <c r="AE2142" s="238" t="s">
        <v>6603</v>
      </c>
      <c r="AF2142">
        <v>79277066026</v>
      </c>
      <c r="AG2142" s="238" t="s">
        <v>6604</v>
      </c>
      <c r="AH2142" s="238" t="s">
        <v>1171</v>
      </c>
      <c r="AI2142" s="238" t="s">
        <v>135</v>
      </c>
      <c r="AJ2142" s="238" t="s">
        <v>126</v>
      </c>
      <c r="AK2142" s="238" t="s">
        <v>141</v>
      </c>
      <c r="AL2142" t="s">
        <v>8715</v>
      </c>
      <c r="AM2142" t="s">
        <v>1167</v>
      </c>
    </row>
    <row r="2143" spans="1:39" x14ac:dyDescent="0.25">
      <c r="A2143">
        <v>2140</v>
      </c>
      <c r="B2143">
        <v>11</v>
      </c>
      <c r="C2143" s="24">
        <v>45243</v>
      </c>
      <c r="D2143" s="238" t="s">
        <v>3388</v>
      </c>
      <c r="E2143" s="238" t="s">
        <v>6</v>
      </c>
      <c r="F2143">
        <v>3</v>
      </c>
      <c r="G2143">
        <v>13</v>
      </c>
      <c r="H2143">
        <v>86</v>
      </c>
      <c r="I2143" s="238" t="s">
        <v>42</v>
      </c>
      <c r="J2143">
        <v>37.729999999999997</v>
      </c>
      <c r="K2143" s="238" t="s">
        <v>36</v>
      </c>
      <c r="L2143">
        <v>3824799.14</v>
      </c>
      <c r="M2143">
        <v>0</v>
      </c>
      <c r="N2143">
        <v>3824799.14</v>
      </c>
      <c r="O2143">
        <v>101372.89000795124</v>
      </c>
      <c r="P2143">
        <v>0</v>
      </c>
      <c r="Q2143">
        <v>3824799.14</v>
      </c>
      <c r="R2143">
        <v>101372.89000795124</v>
      </c>
      <c r="S2143" s="238" t="s">
        <v>137</v>
      </c>
      <c r="T2143" s="238" t="s">
        <v>1167</v>
      </c>
      <c r="V2143" t="s">
        <v>4092</v>
      </c>
      <c r="W2143" s="24">
        <v>45237</v>
      </c>
      <c r="X2143" s="238" t="s">
        <v>6605</v>
      </c>
      <c r="Y2143" s="238" t="s">
        <v>39</v>
      </c>
      <c r="Z2143" s="238" t="s">
        <v>1340</v>
      </c>
      <c r="AA2143" t="s">
        <v>3113</v>
      </c>
      <c r="AB2143" s="238" t="s">
        <v>3246</v>
      </c>
      <c r="AC2143" t="s">
        <v>3079</v>
      </c>
      <c r="AD2143" s="24"/>
      <c r="AE2143" s="238" t="s">
        <v>6606</v>
      </c>
      <c r="AF2143">
        <v>79277450211</v>
      </c>
      <c r="AG2143" s="238" t="s">
        <v>6607</v>
      </c>
      <c r="AH2143" s="238" t="s">
        <v>1212</v>
      </c>
      <c r="AI2143" s="238" t="s">
        <v>3074</v>
      </c>
      <c r="AJ2143" s="238" t="s">
        <v>5215</v>
      </c>
      <c r="AK2143" s="238" t="s">
        <v>141</v>
      </c>
      <c r="AL2143" t="s">
        <v>8715</v>
      </c>
      <c r="AM2143" t="s">
        <v>1167</v>
      </c>
    </row>
    <row r="2144" spans="1:39" x14ac:dyDescent="0.25">
      <c r="A2144">
        <v>2141</v>
      </c>
      <c r="B2144">
        <v>12</v>
      </c>
      <c r="C2144" s="24">
        <v>45243</v>
      </c>
      <c r="D2144" s="238" t="s">
        <v>3388</v>
      </c>
      <c r="E2144" s="238" t="s">
        <v>16</v>
      </c>
      <c r="F2144">
        <v>5</v>
      </c>
      <c r="G2144">
        <v>5</v>
      </c>
      <c r="H2144">
        <v>254</v>
      </c>
      <c r="I2144" s="238" t="s">
        <v>42</v>
      </c>
      <c r="J2144">
        <v>37.81</v>
      </c>
      <c r="K2144" s="238" t="s">
        <v>38</v>
      </c>
      <c r="L2144">
        <v>4609836.03</v>
      </c>
      <c r="M2144">
        <v>0</v>
      </c>
      <c r="N2144">
        <v>4609836.03</v>
      </c>
      <c r="O2144">
        <v>121921.07987304946</v>
      </c>
      <c r="P2144">
        <v>831820</v>
      </c>
      <c r="Q2144">
        <v>3778016.0300000003</v>
      </c>
      <c r="R2144">
        <v>99921.079873049457</v>
      </c>
      <c r="S2144" s="238" t="s">
        <v>137</v>
      </c>
      <c r="T2144" s="238" t="s">
        <v>1167</v>
      </c>
      <c r="V2144" t="s">
        <v>4093</v>
      </c>
      <c r="W2144" s="24">
        <v>45237</v>
      </c>
      <c r="X2144" s="238" t="s">
        <v>6608</v>
      </c>
      <c r="Y2144" s="238" t="s">
        <v>39</v>
      </c>
      <c r="Z2144" s="238" t="s">
        <v>1340</v>
      </c>
      <c r="AA2144" t="s">
        <v>3113</v>
      </c>
      <c r="AB2144" s="238" t="s">
        <v>3246</v>
      </c>
      <c r="AC2144" t="s">
        <v>3079</v>
      </c>
      <c r="AD2144" s="24"/>
      <c r="AE2144" s="238" t="s">
        <v>6609</v>
      </c>
      <c r="AF2144">
        <v>79171619461</v>
      </c>
      <c r="AG2144" s="238" t="s">
        <v>6610</v>
      </c>
      <c r="AH2144" s="238" t="s">
        <v>1212</v>
      </c>
      <c r="AI2144" s="238" t="s">
        <v>3103</v>
      </c>
      <c r="AJ2144" s="238" t="s">
        <v>126</v>
      </c>
      <c r="AK2144" s="238" t="s">
        <v>141</v>
      </c>
      <c r="AL2144" t="s">
        <v>8715</v>
      </c>
      <c r="AM2144" t="s">
        <v>1167</v>
      </c>
    </row>
    <row r="2145" spans="1:39" hidden="1" x14ac:dyDescent="0.25">
      <c r="A2145">
        <v>2142</v>
      </c>
      <c r="B2145">
        <v>13</v>
      </c>
      <c r="C2145" s="24">
        <v>45243</v>
      </c>
      <c r="D2145" s="238" t="s">
        <v>91</v>
      </c>
      <c r="E2145" s="238" t="s">
        <v>15</v>
      </c>
      <c r="F2145">
        <v>9</v>
      </c>
      <c r="G2145">
        <v>13</v>
      </c>
      <c r="H2145">
        <v>509</v>
      </c>
      <c r="I2145" s="238" t="s">
        <v>42</v>
      </c>
      <c r="J2145">
        <v>44.37</v>
      </c>
      <c r="K2145" s="238" t="s">
        <v>37</v>
      </c>
      <c r="L2145">
        <v>4626908.04</v>
      </c>
      <c r="M2145">
        <v>0</v>
      </c>
      <c r="N2145">
        <v>4626908.04</v>
      </c>
      <c r="O2145">
        <v>104280.10006761325</v>
      </c>
      <c r="P2145">
        <v>332775</v>
      </c>
      <c r="Q2145">
        <v>4294133.04</v>
      </c>
      <c r="R2145">
        <v>96780.100067613253</v>
      </c>
      <c r="S2145" s="238" t="s">
        <v>137</v>
      </c>
      <c r="T2145" s="238" t="s">
        <v>1167</v>
      </c>
      <c r="V2145" t="s">
        <v>4091</v>
      </c>
      <c r="W2145" s="24">
        <v>45237</v>
      </c>
      <c r="X2145" s="238" t="s">
        <v>6611</v>
      </c>
      <c r="Y2145" s="238" t="s">
        <v>39</v>
      </c>
      <c r="Z2145" s="238" t="s">
        <v>1340</v>
      </c>
      <c r="AA2145" t="s">
        <v>3113</v>
      </c>
      <c r="AB2145" s="238" t="s">
        <v>3246</v>
      </c>
      <c r="AC2145" t="s">
        <v>3079</v>
      </c>
      <c r="AD2145" s="24"/>
      <c r="AE2145" s="238" t="s">
        <v>6612</v>
      </c>
      <c r="AF2145">
        <v>79179623675</v>
      </c>
      <c r="AG2145" s="238" t="s">
        <v>6613</v>
      </c>
      <c r="AH2145" s="238" t="s">
        <v>1212</v>
      </c>
      <c r="AI2145" s="238" t="s">
        <v>3103</v>
      </c>
      <c r="AJ2145" s="238" t="s">
        <v>4177</v>
      </c>
      <c r="AK2145" s="238" t="s">
        <v>3345</v>
      </c>
      <c r="AL2145" t="s">
        <v>8715</v>
      </c>
      <c r="AM2145" t="s">
        <v>1167</v>
      </c>
    </row>
    <row r="2146" spans="1:39" hidden="1" x14ac:dyDescent="0.25">
      <c r="A2146">
        <v>2143</v>
      </c>
      <c r="B2146">
        <v>14</v>
      </c>
      <c r="C2146" s="24">
        <v>45244</v>
      </c>
      <c r="D2146" s="238" t="s">
        <v>91</v>
      </c>
      <c r="E2146" s="238" t="s">
        <v>5</v>
      </c>
      <c r="F2146">
        <v>2</v>
      </c>
      <c r="G2146">
        <v>12</v>
      </c>
      <c r="H2146">
        <v>202</v>
      </c>
      <c r="I2146" s="238" t="s">
        <v>43</v>
      </c>
      <c r="J2146">
        <v>68.75</v>
      </c>
      <c r="K2146" s="238" t="s">
        <v>37</v>
      </c>
      <c r="L2146">
        <v>6278701.04</v>
      </c>
      <c r="M2146">
        <v>15000</v>
      </c>
      <c r="N2146">
        <v>6293701.04</v>
      </c>
      <c r="O2146">
        <v>91544.742400000003</v>
      </c>
      <c r="P2146">
        <v>515625</v>
      </c>
      <c r="Q2146">
        <v>5778076.04</v>
      </c>
      <c r="R2146">
        <v>84044.742400000003</v>
      </c>
      <c r="S2146" s="238" t="s">
        <v>137</v>
      </c>
      <c r="T2146" s="238" t="s">
        <v>978</v>
      </c>
      <c r="U2146">
        <v>304109.27</v>
      </c>
      <c r="V2146" t="s">
        <v>4091</v>
      </c>
      <c r="W2146" s="24">
        <v>45218</v>
      </c>
      <c r="X2146" s="238" t="s">
        <v>6614</v>
      </c>
      <c r="Y2146" s="238" t="s">
        <v>39</v>
      </c>
      <c r="Z2146" s="238" t="s">
        <v>1340</v>
      </c>
      <c r="AA2146" t="s">
        <v>3113</v>
      </c>
      <c r="AB2146" s="238" t="s">
        <v>3246</v>
      </c>
      <c r="AC2146" t="s">
        <v>3079</v>
      </c>
      <c r="AD2146" s="24"/>
      <c r="AE2146" s="238" t="s">
        <v>6615</v>
      </c>
      <c r="AF2146">
        <v>79279833524</v>
      </c>
      <c r="AG2146" s="238" t="s">
        <v>6616</v>
      </c>
      <c r="AH2146" s="238" t="s">
        <v>135</v>
      </c>
      <c r="AI2146" s="238" t="s">
        <v>3099</v>
      </c>
      <c r="AJ2146" s="238" t="s">
        <v>4177</v>
      </c>
      <c r="AK2146" s="238" t="s">
        <v>3345</v>
      </c>
      <c r="AL2146" t="s">
        <v>8715</v>
      </c>
      <c r="AM2146" t="s">
        <v>1167</v>
      </c>
    </row>
    <row r="2147" spans="1:39" hidden="1" x14ac:dyDescent="0.25">
      <c r="A2147">
        <v>2144</v>
      </c>
      <c r="B2147">
        <v>15</v>
      </c>
      <c r="C2147" s="24">
        <v>45244</v>
      </c>
      <c r="D2147" s="238" t="s">
        <v>91</v>
      </c>
      <c r="E2147" s="238" t="s">
        <v>16</v>
      </c>
      <c r="F2147">
        <v>2</v>
      </c>
      <c r="G2147">
        <v>4</v>
      </c>
      <c r="H2147">
        <v>256</v>
      </c>
      <c r="I2147" s="238" t="s">
        <v>43</v>
      </c>
      <c r="J2147">
        <v>67.95</v>
      </c>
      <c r="K2147" s="238" t="s">
        <v>37</v>
      </c>
      <c r="L2147">
        <v>6346259.5589999994</v>
      </c>
      <c r="M2147">
        <v>0</v>
      </c>
      <c r="N2147">
        <v>6346259.5589999994</v>
      </c>
      <c r="O2147">
        <v>93396.01999999999</v>
      </c>
      <c r="P2147">
        <v>509625</v>
      </c>
      <c r="Q2147">
        <v>5836634.5589999994</v>
      </c>
      <c r="R2147">
        <v>85896.01999999999</v>
      </c>
      <c r="S2147" s="238" t="s">
        <v>137</v>
      </c>
      <c r="T2147" s="238" t="s">
        <v>3540</v>
      </c>
      <c r="U2147">
        <v>119114.99</v>
      </c>
      <c r="V2147" t="s">
        <v>4092</v>
      </c>
      <c r="W2147" s="24">
        <v>45238</v>
      </c>
      <c r="X2147" s="238" t="s">
        <v>6617</v>
      </c>
      <c r="Y2147" s="238" t="s">
        <v>39</v>
      </c>
      <c r="Z2147" s="238" t="s">
        <v>1340</v>
      </c>
      <c r="AA2147" t="s">
        <v>3113</v>
      </c>
      <c r="AB2147" s="238" t="s">
        <v>3246</v>
      </c>
      <c r="AC2147" t="s">
        <v>3079</v>
      </c>
      <c r="AD2147" s="24"/>
      <c r="AE2147" s="238" t="s">
        <v>6618</v>
      </c>
      <c r="AF2147">
        <v>79171061504</v>
      </c>
      <c r="AG2147" s="238" t="s">
        <v>6619</v>
      </c>
      <c r="AH2147" s="238" t="s">
        <v>1171</v>
      </c>
      <c r="AI2147" s="238" t="s">
        <v>135</v>
      </c>
      <c r="AJ2147" s="238" t="s">
        <v>4177</v>
      </c>
      <c r="AK2147" s="238" t="s">
        <v>141</v>
      </c>
      <c r="AL2147" t="s">
        <v>8715</v>
      </c>
      <c r="AM2147" t="s">
        <v>1167</v>
      </c>
    </row>
    <row r="2148" spans="1:39" hidden="1" x14ac:dyDescent="0.25">
      <c r="A2148">
        <v>2145</v>
      </c>
      <c r="B2148">
        <v>16</v>
      </c>
      <c r="C2148" s="24">
        <v>45245</v>
      </c>
      <c r="D2148" s="238" t="s">
        <v>91</v>
      </c>
      <c r="E2148" s="238" t="s">
        <v>16</v>
      </c>
      <c r="F2148">
        <v>2</v>
      </c>
      <c r="G2148">
        <v>2</v>
      </c>
      <c r="H2148">
        <v>242</v>
      </c>
      <c r="I2148" s="238" t="s">
        <v>43</v>
      </c>
      <c r="J2148">
        <v>67.95</v>
      </c>
      <c r="K2148" s="238" t="s">
        <v>36</v>
      </c>
      <c r="L2148">
        <v>5836634.5599999996</v>
      </c>
      <c r="M2148">
        <v>0</v>
      </c>
      <c r="N2148">
        <v>5836634.5599999996</v>
      </c>
      <c r="O2148">
        <v>85896.020014716691</v>
      </c>
      <c r="P2148">
        <v>0</v>
      </c>
      <c r="Q2148">
        <v>5836634.5599999996</v>
      </c>
      <c r="R2148">
        <v>85896.020014716691</v>
      </c>
      <c r="S2148" s="238" t="s">
        <v>137</v>
      </c>
      <c r="T2148" s="238" t="s">
        <v>3540</v>
      </c>
      <c r="U2148">
        <v>119114.99102040846</v>
      </c>
      <c r="V2148" t="s">
        <v>4092</v>
      </c>
      <c r="W2148" s="24">
        <v>45238</v>
      </c>
      <c r="X2148" s="238" t="s">
        <v>6620</v>
      </c>
      <c r="Y2148" s="238" t="s">
        <v>39</v>
      </c>
      <c r="Z2148" s="238" t="s">
        <v>1340</v>
      </c>
      <c r="AA2148" t="s">
        <v>3113</v>
      </c>
      <c r="AB2148" s="238" t="s">
        <v>3246</v>
      </c>
      <c r="AC2148" t="s">
        <v>3079</v>
      </c>
      <c r="AD2148" s="24"/>
      <c r="AE2148" s="238" t="s">
        <v>6621</v>
      </c>
      <c r="AF2148">
        <v>79276040286</v>
      </c>
      <c r="AG2148" s="238" t="s">
        <v>6622</v>
      </c>
      <c r="AH2148" s="238" t="s">
        <v>1212</v>
      </c>
      <c r="AI2148" s="238" t="s">
        <v>3074</v>
      </c>
      <c r="AJ2148" s="238" t="s">
        <v>5215</v>
      </c>
      <c r="AK2148" s="238" t="s">
        <v>141</v>
      </c>
      <c r="AL2148" t="s">
        <v>8715</v>
      </c>
      <c r="AM2148" t="s">
        <v>1167</v>
      </c>
    </row>
    <row r="2149" spans="1:39" x14ac:dyDescent="0.25">
      <c r="A2149">
        <v>2146</v>
      </c>
      <c r="B2149">
        <v>17</v>
      </c>
      <c r="C2149" s="24">
        <v>45246</v>
      </c>
      <c r="D2149" s="238" t="s">
        <v>3388</v>
      </c>
      <c r="E2149" s="238" t="s">
        <v>16</v>
      </c>
      <c r="F2149">
        <v>4</v>
      </c>
      <c r="G2149">
        <v>11</v>
      </c>
      <c r="H2149">
        <v>295</v>
      </c>
      <c r="I2149" s="238" t="s">
        <v>43</v>
      </c>
      <c r="J2149">
        <v>60.24</v>
      </c>
      <c r="K2149" s="238" t="s">
        <v>36</v>
      </c>
      <c r="L2149">
        <v>5089902.38</v>
      </c>
      <c r="M2149">
        <v>0</v>
      </c>
      <c r="N2149">
        <v>5089902.38</v>
      </c>
      <c r="O2149">
        <v>84493.731407702522</v>
      </c>
      <c r="P2149">
        <v>0</v>
      </c>
      <c r="Q2149">
        <v>5089902.38</v>
      </c>
      <c r="R2149">
        <v>84493.731407702522</v>
      </c>
      <c r="S2149" s="238" t="s">
        <v>137</v>
      </c>
      <c r="T2149" s="238" t="s">
        <v>978</v>
      </c>
      <c r="U2149">
        <v>267889.59999999998</v>
      </c>
      <c r="V2149" t="s">
        <v>4091</v>
      </c>
      <c r="W2149" s="24">
        <v>45229</v>
      </c>
      <c r="X2149" s="238" t="s">
        <v>6623</v>
      </c>
      <c r="Y2149" s="238" t="s">
        <v>39</v>
      </c>
      <c r="Z2149" s="238" t="s">
        <v>1340</v>
      </c>
      <c r="AA2149" t="s">
        <v>3113</v>
      </c>
      <c r="AB2149" s="238" t="s">
        <v>3246</v>
      </c>
      <c r="AC2149" t="s">
        <v>3079</v>
      </c>
      <c r="AD2149" s="24"/>
      <c r="AE2149" s="238" t="s">
        <v>6624</v>
      </c>
      <c r="AF2149">
        <v>79290084756</v>
      </c>
      <c r="AG2149" s="238" t="s">
        <v>6625</v>
      </c>
      <c r="AH2149" s="238" t="s">
        <v>1171</v>
      </c>
      <c r="AI2149" s="238" t="s">
        <v>3090</v>
      </c>
      <c r="AJ2149" s="238" t="s">
        <v>126</v>
      </c>
      <c r="AK2149" s="238" t="s">
        <v>3345</v>
      </c>
      <c r="AL2149" t="s">
        <v>8715</v>
      </c>
      <c r="AM2149" t="s">
        <v>1167</v>
      </c>
    </row>
    <row r="2150" spans="1:39" x14ac:dyDescent="0.25">
      <c r="A2150">
        <v>2147</v>
      </c>
      <c r="B2150">
        <v>18</v>
      </c>
      <c r="C2150" s="24">
        <v>45246</v>
      </c>
      <c r="D2150" s="238" t="s">
        <v>3388</v>
      </c>
      <c r="E2150" s="238" t="s">
        <v>6</v>
      </c>
      <c r="F2150">
        <v>6</v>
      </c>
      <c r="G2150">
        <v>2</v>
      </c>
      <c r="H2150">
        <v>12</v>
      </c>
      <c r="I2150" s="238" t="s">
        <v>43</v>
      </c>
      <c r="J2150">
        <v>58.16</v>
      </c>
      <c r="K2150" s="238" t="s">
        <v>37</v>
      </c>
      <c r="L2150">
        <v>5608995.1799999997</v>
      </c>
      <c r="M2150">
        <v>0</v>
      </c>
      <c r="N2150">
        <v>5608995.1799999997</v>
      </c>
      <c r="O2150">
        <v>96440.769944979373</v>
      </c>
      <c r="P2150">
        <v>436200</v>
      </c>
      <c r="Q2150">
        <v>5172795.18</v>
      </c>
      <c r="R2150">
        <v>88940.769944979373</v>
      </c>
      <c r="S2150" s="238" t="s">
        <v>137</v>
      </c>
      <c r="T2150" s="238" t="s">
        <v>1167</v>
      </c>
      <c r="V2150" t="s">
        <v>4092</v>
      </c>
      <c r="W2150" s="24">
        <v>45243</v>
      </c>
      <c r="X2150" s="238" t="s">
        <v>6626</v>
      </c>
      <c r="Y2150" s="238" t="s">
        <v>39</v>
      </c>
      <c r="Z2150" s="238" t="s">
        <v>1340</v>
      </c>
      <c r="AA2150" t="s">
        <v>3113</v>
      </c>
      <c r="AB2150" s="238" t="s">
        <v>3246</v>
      </c>
      <c r="AC2150" t="s">
        <v>3079</v>
      </c>
      <c r="AD2150" s="24"/>
      <c r="AE2150" s="238" t="s">
        <v>6627</v>
      </c>
      <c r="AF2150">
        <v>79871532045</v>
      </c>
      <c r="AG2150" s="238" t="s">
        <v>6628</v>
      </c>
      <c r="AH2150" s="238" t="s">
        <v>4072</v>
      </c>
      <c r="AI2150" s="238" t="s">
        <v>6406</v>
      </c>
      <c r="AJ2150" s="238" t="s">
        <v>4177</v>
      </c>
      <c r="AK2150" s="238" t="s">
        <v>3345</v>
      </c>
      <c r="AL2150" t="s">
        <v>57</v>
      </c>
      <c r="AM2150" t="s">
        <v>1167</v>
      </c>
    </row>
    <row r="2151" spans="1:39" hidden="1" x14ac:dyDescent="0.25">
      <c r="A2151">
        <v>2148</v>
      </c>
      <c r="B2151">
        <v>19</v>
      </c>
      <c r="C2151" s="24">
        <v>45246</v>
      </c>
      <c r="D2151" s="238" t="s">
        <v>91</v>
      </c>
      <c r="E2151" s="238" t="s">
        <v>6</v>
      </c>
      <c r="F2151">
        <v>4</v>
      </c>
      <c r="G2151">
        <v>12</v>
      </c>
      <c r="H2151">
        <v>84</v>
      </c>
      <c r="I2151" s="238" t="s">
        <v>43</v>
      </c>
      <c r="J2151">
        <v>56.03</v>
      </c>
      <c r="K2151" s="238" t="s">
        <v>38</v>
      </c>
      <c r="L2151">
        <v>6194429.3300000001</v>
      </c>
      <c r="M2151">
        <v>0</v>
      </c>
      <c r="N2151">
        <v>6194429.3300000001</v>
      </c>
      <c r="O2151">
        <v>110555.58325896841</v>
      </c>
      <c r="P2151">
        <v>1232660</v>
      </c>
      <c r="Q2151">
        <v>4961769.33</v>
      </c>
      <c r="R2151">
        <v>88555.583258968414</v>
      </c>
      <c r="S2151" s="238" t="s">
        <v>137</v>
      </c>
      <c r="T2151" s="238" t="s">
        <v>3540</v>
      </c>
      <c r="U2151">
        <v>101260.6</v>
      </c>
      <c r="V2151" t="s">
        <v>4092</v>
      </c>
      <c r="W2151" s="24">
        <v>45243</v>
      </c>
      <c r="X2151" s="238" t="s">
        <v>6629</v>
      </c>
      <c r="Y2151" s="238" t="s">
        <v>39</v>
      </c>
      <c r="Z2151" s="238" t="s">
        <v>1340</v>
      </c>
      <c r="AA2151" t="s">
        <v>3113</v>
      </c>
      <c r="AB2151" s="238" t="s">
        <v>3246</v>
      </c>
      <c r="AC2151" t="s">
        <v>3079</v>
      </c>
      <c r="AD2151" s="24"/>
      <c r="AE2151" s="238" t="s">
        <v>6630</v>
      </c>
      <c r="AF2151">
        <v>79879536327</v>
      </c>
      <c r="AG2151" s="238" t="s">
        <v>6631</v>
      </c>
      <c r="AH2151" s="238" t="s">
        <v>4072</v>
      </c>
      <c r="AI2151" s="238" t="s">
        <v>6406</v>
      </c>
      <c r="AJ2151" s="238" t="s">
        <v>4177</v>
      </c>
      <c r="AK2151" s="238" t="s">
        <v>3345</v>
      </c>
      <c r="AL2151" t="s">
        <v>57</v>
      </c>
      <c r="AM2151" t="s">
        <v>1167</v>
      </c>
    </row>
    <row r="2152" spans="1:39" hidden="1" x14ac:dyDescent="0.25">
      <c r="A2152">
        <v>2149</v>
      </c>
      <c r="B2152">
        <v>20</v>
      </c>
      <c r="C2152" s="24">
        <v>45247</v>
      </c>
      <c r="D2152" s="238" t="s">
        <v>91</v>
      </c>
      <c r="E2152" s="238" t="s">
        <v>5</v>
      </c>
      <c r="F2152">
        <v>2</v>
      </c>
      <c r="G2152">
        <v>16</v>
      </c>
      <c r="H2152">
        <v>234</v>
      </c>
      <c r="I2152" s="238" t="s">
        <v>43</v>
      </c>
      <c r="J2152">
        <v>68.75</v>
      </c>
      <c r="K2152" s="238" t="s">
        <v>37</v>
      </c>
      <c r="L2152">
        <v>6476166.5999999996</v>
      </c>
      <c r="M2152">
        <v>0</v>
      </c>
      <c r="N2152">
        <v>6476166.5999999996</v>
      </c>
      <c r="O2152">
        <v>94198.786909090908</v>
      </c>
      <c r="P2152">
        <v>515625</v>
      </c>
      <c r="Q2152">
        <v>5960541.5999999996</v>
      </c>
      <c r="R2152">
        <v>86698.786909090908</v>
      </c>
      <c r="S2152" s="238" t="s">
        <v>137</v>
      </c>
      <c r="T2152" s="238" t="s">
        <v>3540</v>
      </c>
      <c r="U2152">
        <v>121643.71</v>
      </c>
      <c r="V2152" t="s">
        <v>4091</v>
      </c>
      <c r="W2152" s="24">
        <v>45242</v>
      </c>
      <c r="X2152" s="238" t="s">
        <v>6632</v>
      </c>
      <c r="Y2152" s="238" t="s">
        <v>39</v>
      </c>
      <c r="Z2152" s="238" t="s">
        <v>1340</v>
      </c>
      <c r="AA2152" t="s">
        <v>3113</v>
      </c>
      <c r="AB2152" s="238" t="s">
        <v>3246</v>
      </c>
      <c r="AC2152" t="s">
        <v>3079</v>
      </c>
      <c r="AD2152" s="24"/>
      <c r="AE2152" s="238" t="s">
        <v>6633</v>
      </c>
      <c r="AF2152">
        <v>79279025045</v>
      </c>
      <c r="AG2152" s="238" t="s">
        <v>6634</v>
      </c>
      <c r="AH2152" s="238" t="s">
        <v>1171</v>
      </c>
      <c r="AI2152" s="238" t="s">
        <v>3103</v>
      </c>
      <c r="AJ2152" s="238" t="s">
        <v>5215</v>
      </c>
      <c r="AK2152" s="238" t="s">
        <v>3345</v>
      </c>
      <c r="AL2152" t="s">
        <v>8715</v>
      </c>
      <c r="AM2152" t="s">
        <v>1167</v>
      </c>
    </row>
    <row r="2153" spans="1:39" x14ac:dyDescent="0.25">
      <c r="A2153">
        <v>2150</v>
      </c>
      <c r="B2153">
        <v>21</v>
      </c>
      <c r="C2153" s="24">
        <v>45247</v>
      </c>
      <c r="D2153" s="238" t="s">
        <v>3388</v>
      </c>
      <c r="E2153" s="238" t="s">
        <v>5</v>
      </c>
      <c r="F2153">
        <v>4</v>
      </c>
      <c r="G2153">
        <v>15</v>
      </c>
      <c r="H2153">
        <v>212</v>
      </c>
      <c r="I2153" s="238" t="s">
        <v>43</v>
      </c>
      <c r="J2153">
        <v>58.31</v>
      </c>
      <c r="K2153" s="238" t="s">
        <v>36</v>
      </c>
      <c r="L2153">
        <v>4920047.59</v>
      </c>
      <c r="M2153">
        <v>0</v>
      </c>
      <c r="N2153">
        <v>4920047.59</v>
      </c>
      <c r="O2153">
        <v>84377.423941004963</v>
      </c>
      <c r="P2153">
        <v>0</v>
      </c>
      <c r="Q2153">
        <v>4920047.59</v>
      </c>
      <c r="R2153">
        <v>84377.423941004963</v>
      </c>
      <c r="S2153" s="238" t="s">
        <v>137</v>
      </c>
      <c r="T2153" s="238" t="s">
        <v>3515</v>
      </c>
      <c r="U2153">
        <v>120000</v>
      </c>
      <c r="V2153" t="s">
        <v>4091</v>
      </c>
      <c r="W2153" s="24">
        <v>45243</v>
      </c>
      <c r="X2153" s="238" t="s">
        <v>6635</v>
      </c>
      <c r="Y2153" s="238" t="s">
        <v>39</v>
      </c>
      <c r="Z2153" s="238" t="s">
        <v>1340</v>
      </c>
      <c r="AA2153" t="s">
        <v>3113</v>
      </c>
      <c r="AB2153" s="238" t="s">
        <v>3246</v>
      </c>
      <c r="AC2153" t="s">
        <v>3079</v>
      </c>
      <c r="AD2153" s="24"/>
      <c r="AE2153" s="238" t="s">
        <v>6636</v>
      </c>
      <c r="AF2153">
        <v>79228341333</v>
      </c>
      <c r="AG2153" s="238" t="s">
        <v>6637</v>
      </c>
      <c r="AH2153" s="238" t="s">
        <v>1171</v>
      </c>
      <c r="AI2153" s="238" t="s">
        <v>135</v>
      </c>
      <c r="AJ2153" s="238" t="s">
        <v>126</v>
      </c>
      <c r="AK2153" s="238" t="s">
        <v>141</v>
      </c>
      <c r="AL2153" t="s">
        <v>8715</v>
      </c>
      <c r="AM2153" t="s">
        <v>1167</v>
      </c>
    </row>
    <row r="2154" spans="1:39" x14ac:dyDescent="0.25">
      <c r="A2154">
        <v>2151</v>
      </c>
      <c r="B2154">
        <v>22</v>
      </c>
      <c r="C2154" s="24">
        <v>45247</v>
      </c>
      <c r="D2154" s="238" t="s">
        <v>3388</v>
      </c>
      <c r="E2154" s="238" t="s">
        <v>5</v>
      </c>
      <c r="F2154">
        <v>4</v>
      </c>
      <c r="G2154">
        <v>9</v>
      </c>
      <c r="H2154">
        <v>170</v>
      </c>
      <c r="I2154" s="238" t="s">
        <v>43</v>
      </c>
      <c r="J2154">
        <v>58.31</v>
      </c>
      <c r="K2154" s="238" t="s">
        <v>37</v>
      </c>
      <c r="L2154">
        <v>5376571.6399999997</v>
      </c>
      <c r="M2154">
        <v>0</v>
      </c>
      <c r="N2154">
        <v>5376571.6399999997</v>
      </c>
      <c r="O2154">
        <v>92206.682215743436</v>
      </c>
      <c r="P2154">
        <v>437325</v>
      </c>
      <c r="Q2154">
        <v>4939246.6399999997</v>
      </c>
      <c r="R2154">
        <v>84706.682215743436</v>
      </c>
      <c r="S2154" s="238" t="s">
        <v>137</v>
      </c>
      <c r="T2154" s="238" t="s">
        <v>3540</v>
      </c>
      <c r="U2154">
        <v>100800.95</v>
      </c>
      <c r="V2154" t="s">
        <v>4092</v>
      </c>
      <c r="W2154" s="24">
        <v>45244</v>
      </c>
      <c r="X2154" s="238" t="s">
        <v>6638</v>
      </c>
      <c r="Y2154" s="238" t="s">
        <v>39</v>
      </c>
      <c r="Z2154" s="238" t="s">
        <v>1340</v>
      </c>
      <c r="AA2154" t="s">
        <v>3474</v>
      </c>
      <c r="AB2154" s="238" t="s">
        <v>3246</v>
      </c>
      <c r="AC2154" t="s">
        <v>3115</v>
      </c>
      <c r="AD2154" s="24"/>
      <c r="AE2154" s="238" t="s">
        <v>6639</v>
      </c>
      <c r="AF2154">
        <v>79818872256</v>
      </c>
      <c r="AG2154" s="238" t="s">
        <v>6516</v>
      </c>
      <c r="AH2154" s="238" t="s">
        <v>1197</v>
      </c>
      <c r="AI2154" s="238" t="s">
        <v>3082</v>
      </c>
      <c r="AJ2154" s="238" t="s">
        <v>126</v>
      </c>
      <c r="AK2154" s="238" t="s">
        <v>3345</v>
      </c>
      <c r="AL2154" t="s">
        <v>8715</v>
      </c>
      <c r="AM2154" t="s">
        <v>1167</v>
      </c>
    </row>
    <row r="2155" spans="1:39" x14ac:dyDescent="0.25">
      <c r="A2155">
        <v>2152</v>
      </c>
      <c r="B2155">
        <v>23</v>
      </c>
      <c r="C2155" s="24">
        <v>45248</v>
      </c>
      <c r="D2155" s="238" t="s">
        <v>3388</v>
      </c>
      <c r="E2155" s="238" t="s">
        <v>15</v>
      </c>
      <c r="F2155">
        <v>6</v>
      </c>
      <c r="G2155">
        <v>23</v>
      </c>
      <c r="H2155">
        <v>570</v>
      </c>
      <c r="I2155" s="238" t="s">
        <v>42</v>
      </c>
      <c r="J2155">
        <v>38.299999999999997</v>
      </c>
      <c r="K2155" s="238" t="s">
        <v>37</v>
      </c>
      <c r="L2155">
        <v>4144861.65</v>
      </c>
      <c r="M2155">
        <v>0</v>
      </c>
      <c r="N2155">
        <v>4144861.65</v>
      </c>
      <c r="O2155">
        <v>108220.93080939948</v>
      </c>
      <c r="P2155">
        <v>287250</v>
      </c>
      <c r="Q2155">
        <v>3857611.65</v>
      </c>
      <c r="R2155">
        <v>100720.93080939948</v>
      </c>
      <c r="S2155" s="238" t="s">
        <v>137</v>
      </c>
      <c r="T2155" s="238" t="s">
        <v>4360</v>
      </c>
      <c r="U2155">
        <v>78726.77</v>
      </c>
      <c r="V2155" t="s">
        <v>4092</v>
      </c>
      <c r="W2155" s="24">
        <v>45238</v>
      </c>
      <c r="X2155" s="238" t="s">
        <v>6640</v>
      </c>
      <c r="Y2155" s="238" t="s">
        <v>39</v>
      </c>
      <c r="Z2155" s="238" t="s">
        <v>1340</v>
      </c>
      <c r="AA2155" t="s">
        <v>3113</v>
      </c>
      <c r="AB2155" s="238" t="s">
        <v>3246</v>
      </c>
      <c r="AC2155" t="s">
        <v>3079</v>
      </c>
      <c r="AD2155" s="24"/>
      <c r="AE2155" s="238" t="s">
        <v>5067</v>
      </c>
      <c r="AF2155">
        <v>79110042883</v>
      </c>
      <c r="AG2155" s="238" t="s">
        <v>5068</v>
      </c>
      <c r="AH2155" s="238" t="s">
        <v>146</v>
      </c>
      <c r="AI2155" s="238" t="s">
        <v>3082</v>
      </c>
      <c r="AJ2155" s="238" t="s">
        <v>4177</v>
      </c>
      <c r="AK2155" s="238" t="s">
        <v>3345</v>
      </c>
      <c r="AL2155" t="s">
        <v>8715</v>
      </c>
      <c r="AM2155" t="s">
        <v>1167</v>
      </c>
    </row>
    <row r="2156" spans="1:39" hidden="1" x14ac:dyDescent="0.25">
      <c r="A2156">
        <v>2153</v>
      </c>
      <c r="B2156">
        <v>24</v>
      </c>
      <c r="C2156" s="24">
        <v>45250</v>
      </c>
      <c r="D2156" s="238" t="s">
        <v>91</v>
      </c>
      <c r="E2156" s="238" t="s">
        <v>6</v>
      </c>
      <c r="F2156">
        <v>2</v>
      </c>
      <c r="G2156">
        <v>11</v>
      </c>
      <c r="H2156">
        <v>74</v>
      </c>
      <c r="I2156" s="238" t="s">
        <v>43</v>
      </c>
      <c r="J2156">
        <v>61.76</v>
      </c>
      <c r="K2156" s="238" t="s">
        <v>38</v>
      </c>
      <c r="L2156">
        <v>6604641.5599999996</v>
      </c>
      <c r="M2156">
        <v>0</v>
      </c>
      <c r="N2156">
        <v>6604641.5599999996</v>
      </c>
      <c r="O2156">
        <v>106940.43976683938</v>
      </c>
      <c r="P2156">
        <v>1358720</v>
      </c>
      <c r="Q2156">
        <v>5245921.5599999996</v>
      </c>
      <c r="R2156">
        <v>84940.439766839379</v>
      </c>
      <c r="S2156" s="238" t="s">
        <v>137</v>
      </c>
      <c r="T2156" s="238" t="s">
        <v>978</v>
      </c>
      <c r="U2156">
        <v>334846.06</v>
      </c>
      <c r="V2156" t="s">
        <v>3661</v>
      </c>
      <c r="W2156" s="24">
        <v>45188</v>
      </c>
      <c r="X2156" s="238" t="s">
        <v>6641</v>
      </c>
      <c r="Y2156" s="238" t="s">
        <v>39</v>
      </c>
      <c r="Z2156" s="238" t="s">
        <v>1168</v>
      </c>
      <c r="AA2156" t="s">
        <v>1167</v>
      </c>
      <c r="AB2156" s="238" t="s">
        <v>3246</v>
      </c>
      <c r="AC2156" t="s">
        <v>3115</v>
      </c>
      <c r="AD2156" s="24"/>
      <c r="AE2156" s="238" t="s">
        <v>6642</v>
      </c>
      <c r="AF2156">
        <v>79277799281</v>
      </c>
      <c r="AG2156" s="238" t="s">
        <v>6643</v>
      </c>
      <c r="AH2156" s="238" t="s">
        <v>1171</v>
      </c>
      <c r="AI2156" s="238" t="s">
        <v>6644</v>
      </c>
      <c r="AJ2156" s="238" t="s">
        <v>4177</v>
      </c>
      <c r="AK2156" s="238" t="s">
        <v>141</v>
      </c>
      <c r="AL2156" t="s">
        <v>8715</v>
      </c>
      <c r="AM2156" t="s">
        <v>1167</v>
      </c>
    </row>
    <row r="2157" spans="1:39" x14ac:dyDescent="0.25">
      <c r="A2157">
        <v>2154</v>
      </c>
      <c r="B2157">
        <v>25</v>
      </c>
      <c r="C2157" s="24">
        <v>45251</v>
      </c>
      <c r="D2157" s="238" t="s">
        <v>3388</v>
      </c>
      <c r="E2157" s="238" t="s">
        <v>6</v>
      </c>
      <c r="F2157">
        <v>7</v>
      </c>
      <c r="G2157">
        <v>11</v>
      </c>
      <c r="H2157">
        <v>76</v>
      </c>
      <c r="I2157" s="238" t="s">
        <v>42</v>
      </c>
      <c r="J2157">
        <v>42.75</v>
      </c>
      <c r="K2157" s="238" t="s">
        <v>37</v>
      </c>
      <c r="L2157">
        <v>4276569.5999999996</v>
      </c>
      <c r="M2157">
        <v>0</v>
      </c>
      <c r="N2157">
        <v>4276569.5999999996</v>
      </c>
      <c r="O2157">
        <v>100036.71578947367</v>
      </c>
      <c r="P2157">
        <v>320625</v>
      </c>
      <c r="Q2157">
        <v>3955944.5999999996</v>
      </c>
      <c r="R2157">
        <v>92536.715789473674</v>
      </c>
      <c r="S2157" s="238" t="s">
        <v>121</v>
      </c>
      <c r="T2157" s="238" t="s">
        <v>321</v>
      </c>
      <c r="U2157">
        <v>80733.56</v>
      </c>
      <c r="V2157" t="s">
        <v>1167</v>
      </c>
      <c r="W2157" s="24">
        <v>45243</v>
      </c>
      <c r="X2157" s="238" t="s">
        <v>6645</v>
      </c>
      <c r="Y2157" s="238" t="s">
        <v>39</v>
      </c>
      <c r="Z2157" s="238" t="s">
        <v>1340</v>
      </c>
      <c r="AA2157" t="s">
        <v>3474</v>
      </c>
      <c r="AB2157" s="238" t="s">
        <v>3246</v>
      </c>
      <c r="AC2157" t="s">
        <v>1167</v>
      </c>
      <c r="AD2157" s="24"/>
      <c r="AE2157" s="238" t="s">
        <v>6646</v>
      </c>
      <c r="AF2157">
        <v>79277431853</v>
      </c>
      <c r="AG2157" s="238" t="s">
        <v>6647</v>
      </c>
      <c r="AH2157" s="238" t="s">
        <v>1171</v>
      </c>
      <c r="AI2157" s="238" t="s">
        <v>3074</v>
      </c>
      <c r="AJ2157" s="238" t="s">
        <v>5215</v>
      </c>
      <c r="AK2157" s="238" t="s">
        <v>1167</v>
      </c>
      <c r="AL2157" t="s">
        <v>8715</v>
      </c>
      <c r="AM2157" t="s">
        <v>1167</v>
      </c>
    </row>
    <row r="2158" spans="1:39" hidden="1" x14ac:dyDescent="0.25">
      <c r="A2158">
        <v>2155</v>
      </c>
      <c r="B2158">
        <v>26</v>
      </c>
      <c r="C2158" s="24">
        <v>45251</v>
      </c>
      <c r="D2158" s="238" t="s">
        <v>91</v>
      </c>
      <c r="E2158" s="238" t="s">
        <v>6</v>
      </c>
      <c r="F2158">
        <v>6</v>
      </c>
      <c r="G2158">
        <v>13</v>
      </c>
      <c r="H2158">
        <v>94</v>
      </c>
      <c r="I2158" s="238" t="s">
        <v>43</v>
      </c>
      <c r="J2158">
        <v>59.87</v>
      </c>
      <c r="K2158" s="238" t="s">
        <v>37</v>
      </c>
      <c r="L2158">
        <v>6058395.5700000003</v>
      </c>
      <c r="M2158">
        <v>0</v>
      </c>
      <c r="N2158">
        <v>6058395.5700000003</v>
      </c>
      <c r="O2158">
        <v>101192.50993819944</v>
      </c>
      <c r="P2158">
        <v>449025</v>
      </c>
      <c r="Q2158">
        <v>5609370.5700000003</v>
      </c>
      <c r="R2158">
        <v>93692.509938199437</v>
      </c>
      <c r="S2158" s="238" t="s">
        <v>137</v>
      </c>
      <c r="T2158" s="238" t="s">
        <v>1167</v>
      </c>
      <c r="V2158" t="s">
        <v>4092</v>
      </c>
      <c r="W2158" s="24">
        <v>45244</v>
      </c>
      <c r="X2158" s="238" t="s">
        <v>6648</v>
      </c>
      <c r="Y2158" s="238" t="s">
        <v>39</v>
      </c>
      <c r="Z2158" s="238" t="s">
        <v>1340</v>
      </c>
      <c r="AA2158" t="s">
        <v>3113</v>
      </c>
      <c r="AB2158" s="238" t="s">
        <v>3246</v>
      </c>
      <c r="AC2158" t="s">
        <v>3079</v>
      </c>
      <c r="AD2158" s="24"/>
      <c r="AE2158" s="238" t="s">
        <v>6649</v>
      </c>
      <c r="AF2158">
        <v>79276879336</v>
      </c>
      <c r="AG2158" s="238" t="s">
        <v>6650</v>
      </c>
      <c r="AH2158" s="238" t="s">
        <v>1171</v>
      </c>
      <c r="AI2158" s="238" t="s">
        <v>3085</v>
      </c>
      <c r="AJ2158" s="238" t="s">
        <v>4177</v>
      </c>
      <c r="AK2158" s="238" t="s">
        <v>141</v>
      </c>
      <c r="AL2158" t="s">
        <v>8715</v>
      </c>
      <c r="AM2158" t="s">
        <v>1167</v>
      </c>
    </row>
    <row r="2159" spans="1:39" hidden="1" x14ac:dyDescent="0.25">
      <c r="A2159">
        <v>2156</v>
      </c>
      <c r="B2159">
        <v>27</v>
      </c>
      <c r="C2159" s="24">
        <v>45252</v>
      </c>
      <c r="D2159" s="238" t="s">
        <v>91</v>
      </c>
      <c r="E2159" s="238" t="s">
        <v>15</v>
      </c>
      <c r="F2159">
        <v>2</v>
      </c>
      <c r="G2159">
        <v>15</v>
      </c>
      <c r="H2159">
        <v>520</v>
      </c>
      <c r="I2159" s="238" t="s">
        <v>42</v>
      </c>
      <c r="J2159">
        <v>38.6</v>
      </c>
      <c r="K2159" s="238" t="s">
        <v>37</v>
      </c>
      <c r="L2159">
        <v>4291194.8099999996</v>
      </c>
      <c r="M2159">
        <v>0</v>
      </c>
      <c r="N2159">
        <v>4291194.8099999996</v>
      </c>
      <c r="O2159">
        <v>111170.84999999999</v>
      </c>
      <c r="P2159">
        <v>289500</v>
      </c>
      <c r="Q2159">
        <v>4001694.8099999996</v>
      </c>
      <c r="R2159">
        <v>103670.84999999999</v>
      </c>
      <c r="S2159" s="238" t="s">
        <v>137</v>
      </c>
      <c r="T2159" s="238" t="s">
        <v>1167</v>
      </c>
      <c r="V2159" t="s">
        <v>4091</v>
      </c>
      <c r="W2159" s="24">
        <v>45243</v>
      </c>
      <c r="X2159" s="238" t="s">
        <v>6653</v>
      </c>
      <c r="Y2159" s="238" t="s">
        <v>39</v>
      </c>
      <c r="Z2159" s="238" t="s">
        <v>1340</v>
      </c>
      <c r="AA2159" t="s">
        <v>3113</v>
      </c>
      <c r="AB2159" s="238" t="s">
        <v>3246</v>
      </c>
      <c r="AC2159" t="s">
        <v>3079</v>
      </c>
      <c r="AD2159" s="24"/>
      <c r="AE2159" s="238" t="s">
        <v>6654</v>
      </c>
      <c r="AF2159">
        <v>79171164584</v>
      </c>
      <c r="AG2159" s="238" t="s">
        <v>6655</v>
      </c>
      <c r="AH2159" s="238" t="s">
        <v>135</v>
      </c>
      <c r="AI2159" s="238" t="s">
        <v>3099</v>
      </c>
      <c r="AJ2159" s="238" t="s">
        <v>5215</v>
      </c>
      <c r="AK2159" s="238" t="s">
        <v>141</v>
      </c>
      <c r="AL2159" t="s">
        <v>8715</v>
      </c>
      <c r="AM2159" t="s">
        <v>1167</v>
      </c>
    </row>
    <row r="2160" spans="1:39" hidden="1" x14ac:dyDescent="0.25">
      <c r="A2160">
        <v>2157</v>
      </c>
      <c r="B2160">
        <v>28</v>
      </c>
      <c r="C2160" s="24">
        <v>45252</v>
      </c>
      <c r="D2160" s="238" t="s">
        <v>91</v>
      </c>
      <c r="E2160" s="238" t="s">
        <v>16</v>
      </c>
      <c r="F2160">
        <v>3</v>
      </c>
      <c r="G2160">
        <v>12</v>
      </c>
      <c r="H2160">
        <v>313</v>
      </c>
      <c r="I2160" s="238" t="s">
        <v>4052</v>
      </c>
      <c r="J2160">
        <v>36.450000000000003</v>
      </c>
      <c r="K2160" s="238" t="s">
        <v>37</v>
      </c>
      <c r="L2160">
        <v>3971208.18</v>
      </c>
      <c r="M2160">
        <v>0</v>
      </c>
      <c r="N2160">
        <v>3971208.18</v>
      </c>
      <c r="O2160">
        <v>108949.46995884774</v>
      </c>
      <c r="P2160">
        <v>273375</v>
      </c>
      <c r="Q2160">
        <v>3697833.18</v>
      </c>
      <c r="R2160">
        <v>101449.46995884774</v>
      </c>
      <c r="S2160" s="238" t="s">
        <v>137</v>
      </c>
      <c r="T2160" s="238" t="s">
        <v>1167</v>
      </c>
      <c r="V2160" t="s">
        <v>4091</v>
      </c>
      <c r="W2160" s="24">
        <v>45246</v>
      </c>
      <c r="X2160" s="238" t="s">
        <v>6656</v>
      </c>
      <c r="Y2160" s="238" t="s">
        <v>39</v>
      </c>
      <c r="Z2160" s="238" t="s">
        <v>1340</v>
      </c>
      <c r="AA2160" t="s">
        <v>3113</v>
      </c>
      <c r="AB2160" s="238" t="s">
        <v>3246</v>
      </c>
      <c r="AC2160" t="s">
        <v>3079</v>
      </c>
      <c r="AD2160" s="24"/>
      <c r="AE2160" s="238" t="s">
        <v>6657</v>
      </c>
      <c r="AF2160">
        <v>79063131552</v>
      </c>
      <c r="AG2160" s="238" t="s">
        <v>6658</v>
      </c>
      <c r="AH2160" s="238" t="s">
        <v>146</v>
      </c>
      <c r="AI2160" s="238" t="s">
        <v>135</v>
      </c>
      <c r="AJ2160" s="238" t="s">
        <v>126</v>
      </c>
      <c r="AK2160" s="238" t="s">
        <v>3345</v>
      </c>
      <c r="AL2160" t="s">
        <v>8715</v>
      </c>
      <c r="AM2160" t="s">
        <v>1167</v>
      </c>
    </row>
    <row r="2161" spans="1:39" x14ac:dyDescent="0.25">
      <c r="A2161">
        <v>2158</v>
      </c>
      <c r="B2161">
        <v>29</v>
      </c>
      <c r="C2161" s="24">
        <v>45253</v>
      </c>
      <c r="D2161" s="238" t="s">
        <v>3388</v>
      </c>
      <c r="E2161" s="238" t="s">
        <v>15</v>
      </c>
      <c r="F2161">
        <v>5</v>
      </c>
      <c r="G2161">
        <v>15</v>
      </c>
      <c r="H2161">
        <v>505</v>
      </c>
      <c r="I2161" s="238" t="s">
        <v>43</v>
      </c>
      <c r="J2161">
        <v>57.8</v>
      </c>
      <c r="K2161" s="238" t="s">
        <v>36</v>
      </c>
      <c r="L2161">
        <v>4799264.74</v>
      </c>
      <c r="M2161">
        <v>0</v>
      </c>
      <c r="N2161">
        <v>4799264.74</v>
      </c>
      <c r="O2161">
        <v>83032.261937716277</v>
      </c>
      <c r="P2161">
        <v>0</v>
      </c>
      <c r="Q2161">
        <v>4799264.74</v>
      </c>
      <c r="R2161">
        <v>83032.261937716277</v>
      </c>
      <c r="S2161" s="238" t="s">
        <v>137</v>
      </c>
      <c r="T2161" s="238" t="s">
        <v>3538</v>
      </c>
      <c r="U2161">
        <v>148430.87</v>
      </c>
      <c r="V2161" t="s">
        <v>4092</v>
      </c>
      <c r="W2161" s="24">
        <v>45250</v>
      </c>
      <c r="X2161" s="238" t="s">
        <v>6659</v>
      </c>
      <c r="Y2161" s="238" t="s">
        <v>39</v>
      </c>
      <c r="Z2161" s="238" t="s">
        <v>1340</v>
      </c>
      <c r="AA2161" t="s">
        <v>3113</v>
      </c>
      <c r="AB2161" s="238" t="s">
        <v>3246</v>
      </c>
      <c r="AC2161" t="s">
        <v>3079</v>
      </c>
      <c r="AD2161" s="24"/>
      <c r="AE2161" s="238" t="s">
        <v>6660</v>
      </c>
      <c r="AF2161">
        <v>79879890855</v>
      </c>
      <c r="AG2161" s="238" t="s">
        <v>6661</v>
      </c>
      <c r="AH2161" s="238" t="s">
        <v>135</v>
      </c>
      <c r="AI2161" s="238" t="s">
        <v>135</v>
      </c>
      <c r="AJ2161" s="238" t="s">
        <v>4177</v>
      </c>
      <c r="AK2161" s="238" t="s">
        <v>3345</v>
      </c>
      <c r="AL2161" t="s">
        <v>8715</v>
      </c>
      <c r="AM2161" t="s">
        <v>1167</v>
      </c>
    </row>
    <row r="2162" spans="1:39" x14ac:dyDescent="0.25">
      <c r="A2162">
        <v>2159</v>
      </c>
      <c r="B2162">
        <v>30</v>
      </c>
      <c r="C2162" s="24">
        <v>45253</v>
      </c>
      <c r="D2162" s="238" t="s">
        <v>3388</v>
      </c>
      <c r="E2162" s="238" t="s">
        <v>15</v>
      </c>
      <c r="F2162">
        <v>1</v>
      </c>
      <c r="G2162">
        <v>12</v>
      </c>
      <c r="H2162">
        <v>477</v>
      </c>
      <c r="I2162" s="238" t="s">
        <v>4052</v>
      </c>
      <c r="J2162">
        <v>29.4</v>
      </c>
      <c r="K2162" s="238" t="s">
        <v>36</v>
      </c>
      <c r="L2162">
        <v>3096792.26</v>
      </c>
      <c r="M2162">
        <v>0</v>
      </c>
      <c r="N2162">
        <v>3096792.26</v>
      </c>
      <c r="O2162">
        <v>105333.07006802721</v>
      </c>
      <c r="P2162">
        <v>0</v>
      </c>
      <c r="Q2162">
        <v>3096792.26</v>
      </c>
      <c r="R2162">
        <v>105333.07006802721</v>
      </c>
      <c r="S2162" s="238" t="s">
        <v>137</v>
      </c>
      <c r="T2162" s="238" t="s">
        <v>1167</v>
      </c>
      <c r="V2162" t="s">
        <v>4092</v>
      </c>
      <c r="W2162" s="24">
        <v>45251</v>
      </c>
      <c r="X2162" s="238" t="s">
        <v>6662</v>
      </c>
      <c r="Y2162" s="238" t="s">
        <v>39</v>
      </c>
      <c r="Z2162" s="238" t="s">
        <v>1340</v>
      </c>
      <c r="AA2162" t="s">
        <v>3113</v>
      </c>
      <c r="AB2162" s="238" t="s">
        <v>3246</v>
      </c>
      <c r="AC2162" t="s">
        <v>3079</v>
      </c>
      <c r="AD2162" s="24"/>
      <c r="AE2162" s="238" t="s">
        <v>6663</v>
      </c>
      <c r="AF2162">
        <v>79170308827</v>
      </c>
      <c r="AG2162" s="238" t="s">
        <v>6664</v>
      </c>
      <c r="AH2162" s="238" t="s">
        <v>4072</v>
      </c>
      <c r="AI2162" s="238" t="s">
        <v>6407</v>
      </c>
      <c r="AJ2162" s="238" t="s">
        <v>126</v>
      </c>
      <c r="AK2162" s="238" t="s">
        <v>3345</v>
      </c>
      <c r="AL2162" t="s">
        <v>57</v>
      </c>
      <c r="AM2162" t="s">
        <v>1167</v>
      </c>
    </row>
    <row r="2163" spans="1:39" x14ac:dyDescent="0.25">
      <c r="A2163">
        <v>2160</v>
      </c>
      <c r="B2163">
        <v>31</v>
      </c>
      <c r="C2163" s="24">
        <v>45254</v>
      </c>
      <c r="D2163" s="238" t="s">
        <v>3388</v>
      </c>
      <c r="E2163" s="238" t="s">
        <v>16</v>
      </c>
      <c r="F2163">
        <v>3</v>
      </c>
      <c r="G2163">
        <v>4</v>
      </c>
      <c r="H2163">
        <v>245</v>
      </c>
      <c r="I2163" s="238" t="s">
        <v>43</v>
      </c>
      <c r="J2163">
        <v>56.58</v>
      </c>
      <c r="K2163" s="238" t="s">
        <v>38</v>
      </c>
      <c r="L2163">
        <v>6060617.1100000003</v>
      </c>
      <c r="M2163">
        <v>0</v>
      </c>
      <c r="N2163">
        <v>6060617.1100000003</v>
      </c>
      <c r="O2163">
        <v>107115.89095086604</v>
      </c>
      <c r="P2163">
        <v>1244760</v>
      </c>
      <c r="Q2163">
        <v>4815857.1100000003</v>
      </c>
      <c r="R2163">
        <v>85115.890950866044</v>
      </c>
      <c r="S2163" s="238" t="s">
        <v>137</v>
      </c>
      <c r="T2163" s="238" t="s">
        <v>3540</v>
      </c>
      <c r="U2163">
        <v>98282.8</v>
      </c>
      <c r="V2163" t="s">
        <v>4092</v>
      </c>
      <c r="W2163" s="24">
        <v>45243</v>
      </c>
      <c r="X2163" s="238" t="s">
        <v>6667</v>
      </c>
      <c r="Y2163" s="238" t="s">
        <v>39</v>
      </c>
      <c r="Z2163" s="238" t="s">
        <v>1340</v>
      </c>
      <c r="AA2163" t="s">
        <v>3113</v>
      </c>
      <c r="AB2163" s="238" t="s">
        <v>3246</v>
      </c>
      <c r="AC2163" t="s">
        <v>3079</v>
      </c>
      <c r="AD2163" s="24"/>
      <c r="AE2163" s="238" t="s">
        <v>1939</v>
      </c>
      <c r="AF2163">
        <v>79276558805</v>
      </c>
      <c r="AG2163" s="238" t="s">
        <v>1940</v>
      </c>
      <c r="AH2163" s="238" t="s">
        <v>1171</v>
      </c>
      <c r="AI2163" s="238" t="s">
        <v>3090</v>
      </c>
      <c r="AJ2163" s="238" t="s">
        <v>4177</v>
      </c>
      <c r="AK2163" s="238" t="s">
        <v>3345</v>
      </c>
      <c r="AL2163" t="s">
        <v>8715</v>
      </c>
      <c r="AM2163" t="s">
        <v>1167</v>
      </c>
    </row>
    <row r="2164" spans="1:39" x14ac:dyDescent="0.25">
      <c r="A2164">
        <v>2161</v>
      </c>
      <c r="B2164">
        <v>32</v>
      </c>
      <c r="C2164" s="24">
        <v>45254</v>
      </c>
      <c r="D2164" s="238" t="s">
        <v>3388</v>
      </c>
      <c r="E2164" s="238" t="s">
        <v>5</v>
      </c>
      <c r="F2164">
        <v>3</v>
      </c>
      <c r="G2164">
        <v>8</v>
      </c>
      <c r="H2164">
        <v>162</v>
      </c>
      <c r="I2164" s="238" t="s">
        <v>43</v>
      </c>
      <c r="J2164">
        <v>57.6</v>
      </c>
      <c r="K2164" s="238" t="s">
        <v>37</v>
      </c>
      <c r="L2164">
        <v>5334675.32</v>
      </c>
      <c r="M2164">
        <v>0</v>
      </c>
      <c r="N2164">
        <v>5334675.32</v>
      </c>
      <c r="O2164">
        <v>92615.890972222231</v>
      </c>
      <c r="P2164">
        <v>432000</v>
      </c>
      <c r="Q2164">
        <v>4902675.32</v>
      </c>
      <c r="R2164">
        <v>85115.890972222231</v>
      </c>
      <c r="S2164" s="238" t="s">
        <v>137</v>
      </c>
      <c r="T2164" s="238" t="s">
        <v>3540</v>
      </c>
      <c r="U2164">
        <v>100054.6</v>
      </c>
      <c r="V2164" t="s">
        <v>4092</v>
      </c>
      <c r="W2164" s="24">
        <v>45243</v>
      </c>
      <c r="X2164" s="238" t="s">
        <v>6668</v>
      </c>
      <c r="Y2164" s="238" t="s">
        <v>39</v>
      </c>
      <c r="Z2164" s="238" t="s">
        <v>1340</v>
      </c>
      <c r="AA2164" t="s">
        <v>3113</v>
      </c>
      <c r="AB2164" s="238" t="s">
        <v>3246</v>
      </c>
      <c r="AC2164" t="s">
        <v>3079</v>
      </c>
      <c r="AD2164" s="24"/>
      <c r="AE2164" s="238" t="s">
        <v>6669</v>
      </c>
      <c r="AF2164">
        <v>79378011098</v>
      </c>
      <c r="AG2164" s="238" t="s">
        <v>6670</v>
      </c>
      <c r="AH2164" s="238" t="s">
        <v>1171</v>
      </c>
      <c r="AI2164" s="238" t="s">
        <v>135</v>
      </c>
      <c r="AJ2164" s="238" t="s">
        <v>126</v>
      </c>
      <c r="AK2164" s="238" t="s">
        <v>3345</v>
      </c>
      <c r="AL2164" t="s">
        <v>8715</v>
      </c>
      <c r="AM2164" t="s">
        <v>1167</v>
      </c>
    </row>
    <row r="2165" spans="1:39" x14ac:dyDescent="0.25">
      <c r="A2165">
        <v>2162</v>
      </c>
      <c r="B2165">
        <v>33</v>
      </c>
      <c r="C2165" s="24">
        <v>45254</v>
      </c>
      <c r="D2165" s="238" t="s">
        <v>3388</v>
      </c>
      <c r="E2165" s="238" t="s">
        <v>16</v>
      </c>
      <c r="F2165">
        <v>3</v>
      </c>
      <c r="G2165">
        <v>9</v>
      </c>
      <c r="H2165">
        <v>280</v>
      </c>
      <c r="I2165" s="238" t="s">
        <v>43</v>
      </c>
      <c r="J2165">
        <v>56.58</v>
      </c>
      <c r="K2165" s="238" t="s">
        <v>38</v>
      </c>
      <c r="L2165">
        <v>6060617.1100000003</v>
      </c>
      <c r="M2165">
        <v>0</v>
      </c>
      <c r="N2165">
        <v>6060617.1100000003</v>
      </c>
      <c r="O2165">
        <v>107115.89095086604</v>
      </c>
      <c r="P2165">
        <v>1244760</v>
      </c>
      <c r="Q2165">
        <v>4815857.1100000003</v>
      </c>
      <c r="R2165">
        <v>85115.890950866044</v>
      </c>
      <c r="S2165" s="238" t="s">
        <v>137</v>
      </c>
      <c r="T2165" s="238" t="s">
        <v>3540</v>
      </c>
      <c r="U2165">
        <v>98282.8</v>
      </c>
      <c r="V2165" t="s">
        <v>4092</v>
      </c>
      <c r="W2165" s="24">
        <v>45246</v>
      </c>
      <c r="X2165" s="238" t="s">
        <v>6671</v>
      </c>
      <c r="Y2165" s="238" t="s">
        <v>39</v>
      </c>
      <c r="Z2165" s="238" t="s">
        <v>1340</v>
      </c>
      <c r="AA2165" t="s">
        <v>3113</v>
      </c>
      <c r="AB2165" s="238" t="s">
        <v>3246</v>
      </c>
      <c r="AC2165" t="s">
        <v>3079</v>
      </c>
      <c r="AD2165" s="24"/>
      <c r="AE2165" s="238" t="s">
        <v>6672</v>
      </c>
      <c r="AF2165">
        <v>79273620665</v>
      </c>
      <c r="AG2165" s="238" t="s">
        <v>6673</v>
      </c>
      <c r="AH2165" s="238" t="s">
        <v>4072</v>
      </c>
      <c r="AI2165" s="238" t="s">
        <v>6406</v>
      </c>
      <c r="AJ2165" s="238" t="s">
        <v>4177</v>
      </c>
      <c r="AK2165" s="238" t="s">
        <v>3345</v>
      </c>
      <c r="AL2165" t="s">
        <v>57</v>
      </c>
      <c r="AM2165" t="s">
        <v>1167</v>
      </c>
    </row>
    <row r="2166" spans="1:39" hidden="1" x14ac:dyDescent="0.25">
      <c r="A2166">
        <v>2163</v>
      </c>
      <c r="B2166">
        <v>34</v>
      </c>
      <c r="C2166" s="24">
        <v>45255</v>
      </c>
      <c r="D2166" s="238" t="s">
        <v>91</v>
      </c>
      <c r="E2166" s="238" t="s">
        <v>16</v>
      </c>
      <c r="F2166">
        <v>5</v>
      </c>
      <c r="G2166">
        <v>16</v>
      </c>
      <c r="H2166">
        <v>343</v>
      </c>
      <c r="I2166" s="238" t="s">
        <v>43</v>
      </c>
      <c r="J2166">
        <v>56.7</v>
      </c>
      <c r="K2166" s="238" t="s">
        <v>38</v>
      </c>
      <c r="L2166">
        <v>6162513.9199999999</v>
      </c>
      <c r="M2166">
        <v>0</v>
      </c>
      <c r="N2166">
        <v>6162513.9199999999</v>
      </c>
      <c r="O2166">
        <v>108686.31252204585</v>
      </c>
      <c r="P2166">
        <v>1247400</v>
      </c>
      <c r="Q2166">
        <v>4915113.92</v>
      </c>
      <c r="R2166">
        <v>86686.312522045846</v>
      </c>
      <c r="S2166" s="238" t="s">
        <v>137</v>
      </c>
      <c r="T2166" s="238" t="s">
        <v>978</v>
      </c>
      <c r="U2166">
        <v>258690.21</v>
      </c>
      <c r="V2166" t="s">
        <v>4091</v>
      </c>
      <c r="W2166" s="24">
        <v>45247</v>
      </c>
      <c r="X2166" s="238" t="s">
        <v>6674</v>
      </c>
      <c r="Y2166" s="238" t="s">
        <v>39</v>
      </c>
      <c r="Z2166" s="238" t="s">
        <v>1340</v>
      </c>
      <c r="AA2166" t="s">
        <v>3113</v>
      </c>
      <c r="AB2166" s="238" t="s">
        <v>3246</v>
      </c>
      <c r="AC2166" t="s">
        <v>3079</v>
      </c>
      <c r="AD2166" s="24"/>
      <c r="AE2166" s="238" t="s">
        <v>6675</v>
      </c>
      <c r="AF2166">
        <v>79093713456</v>
      </c>
      <c r="AG2166" s="238" t="s">
        <v>6676</v>
      </c>
      <c r="AH2166" s="238" t="s">
        <v>1171</v>
      </c>
      <c r="AI2166" s="238" t="s">
        <v>135</v>
      </c>
      <c r="AJ2166" s="238" t="s">
        <v>5215</v>
      </c>
      <c r="AK2166" s="238" t="s">
        <v>141</v>
      </c>
      <c r="AL2166" t="s">
        <v>8715</v>
      </c>
      <c r="AM2166" t="s">
        <v>1167</v>
      </c>
    </row>
    <row r="2167" spans="1:39" hidden="1" x14ac:dyDescent="0.25">
      <c r="A2167">
        <v>2164</v>
      </c>
      <c r="B2167">
        <v>35</v>
      </c>
      <c r="C2167" s="24">
        <v>45257</v>
      </c>
      <c r="D2167" s="238" t="s">
        <v>91</v>
      </c>
      <c r="E2167" s="238" t="s">
        <v>6</v>
      </c>
      <c r="F2167">
        <v>2</v>
      </c>
      <c r="G2167">
        <v>7</v>
      </c>
      <c r="H2167">
        <v>42</v>
      </c>
      <c r="I2167" s="238" t="s">
        <v>43</v>
      </c>
      <c r="J2167">
        <v>61.76</v>
      </c>
      <c r="K2167" s="238" t="s">
        <v>36</v>
      </c>
      <c r="L2167">
        <v>5454152.2699999996</v>
      </c>
      <c r="M2167">
        <v>15000</v>
      </c>
      <c r="N2167">
        <v>5469152.2699999996</v>
      </c>
      <c r="O2167">
        <v>88554.9266515544</v>
      </c>
      <c r="P2167">
        <v>0</v>
      </c>
      <c r="Q2167">
        <v>5469152.2699999996</v>
      </c>
      <c r="R2167">
        <v>88554.9266515544</v>
      </c>
      <c r="S2167" s="238" t="s">
        <v>137</v>
      </c>
      <c r="T2167" s="238" t="s">
        <v>3540</v>
      </c>
      <c r="U2167">
        <v>111615.35</v>
      </c>
      <c r="V2167" t="s">
        <v>4091</v>
      </c>
      <c r="W2167" s="24">
        <v>45233</v>
      </c>
      <c r="X2167" s="238" t="s">
        <v>6677</v>
      </c>
      <c r="Y2167" s="238" t="s">
        <v>39</v>
      </c>
      <c r="Z2167" s="238" t="s">
        <v>1340</v>
      </c>
      <c r="AA2167" t="s">
        <v>3474</v>
      </c>
      <c r="AB2167" s="238" t="s">
        <v>3246</v>
      </c>
      <c r="AC2167" t="s">
        <v>3076</v>
      </c>
      <c r="AD2167" s="24"/>
      <c r="AE2167" s="238" t="s">
        <v>6678</v>
      </c>
      <c r="AF2167">
        <v>79879281447</v>
      </c>
      <c r="AG2167" s="238" t="s">
        <v>6679</v>
      </c>
      <c r="AH2167" s="238" t="s">
        <v>4072</v>
      </c>
      <c r="AI2167" s="238" t="s">
        <v>6407</v>
      </c>
      <c r="AJ2167" s="238" t="s">
        <v>4177</v>
      </c>
      <c r="AK2167" s="238" t="s">
        <v>1167</v>
      </c>
      <c r="AL2167" t="s">
        <v>57</v>
      </c>
      <c r="AM2167" t="s">
        <v>1167</v>
      </c>
    </row>
    <row r="2168" spans="1:39" hidden="1" x14ac:dyDescent="0.25">
      <c r="A2168">
        <v>2165</v>
      </c>
      <c r="B2168">
        <v>36</v>
      </c>
      <c r="C2168" s="24">
        <v>45257</v>
      </c>
      <c r="D2168" s="238" t="s">
        <v>91</v>
      </c>
      <c r="E2168" s="238" t="s">
        <v>6</v>
      </c>
      <c r="F2168">
        <v>6</v>
      </c>
      <c r="G2168">
        <v>15</v>
      </c>
      <c r="H2168">
        <v>110</v>
      </c>
      <c r="I2168" s="238" t="s">
        <v>43</v>
      </c>
      <c r="J2168">
        <v>59.87</v>
      </c>
      <c r="K2168" s="238" t="s">
        <v>36</v>
      </c>
      <c r="L2168">
        <v>5482183.1600000001</v>
      </c>
      <c r="M2168">
        <v>15000</v>
      </c>
      <c r="N2168">
        <v>5497183.1600000001</v>
      </c>
      <c r="O2168">
        <v>91818.659762819443</v>
      </c>
      <c r="P2168">
        <v>0</v>
      </c>
      <c r="Q2168">
        <v>5497183.1600000001</v>
      </c>
      <c r="R2168">
        <v>91818.659762819443</v>
      </c>
      <c r="S2168" s="238" t="s">
        <v>137</v>
      </c>
      <c r="T2168" s="238" t="s">
        <v>3540</v>
      </c>
      <c r="U2168">
        <v>112187.41</v>
      </c>
      <c r="V2168" t="s">
        <v>4091</v>
      </c>
      <c r="W2168" s="24">
        <v>45245</v>
      </c>
      <c r="X2168" s="238" t="s">
        <v>6680</v>
      </c>
      <c r="Y2168" s="238" t="s">
        <v>39</v>
      </c>
      <c r="Z2168" s="238" t="s">
        <v>1340</v>
      </c>
      <c r="AA2168" t="s">
        <v>3113</v>
      </c>
      <c r="AB2168" s="238" t="s">
        <v>3246</v>
      </c>
      <c r="AC2168" t="s">
        <v>3079</v>
      </c>
      <c r="AD2168" s="24"/>
      <c r="AE2168" s="238" t="s">
        <v>6681</v>
      </c>
      <c r="AF2168">
        <v>79372090013</v>
      </c>
      <c r="AG2168" s="238" t="s">
        <v>6682</v>
      </c>
      <c r="AH2168" s="238" t="s">
        <v>1171</v>
      </c>
      <c r="AI2168" s="238" t="s">
        <v>3074</v>
      </c>
      <c r="AJ2168" s="238" t="s">
        <v>4177</v>
      </c>
      <c r="AK2168" s="238" t="s">
        <v>141</v>
      </c>
      <c r="AL2168" t="s">
        <v>8715</v>
      </c>
      <c r="AM2168" t="s">
        <v>1167</v>
      </c>
    </row>
    <row r="2169" spans="1:39" hidden="1" x14ac:dyDescent="0.25">
      <c r="A2169">
        <v>2166</v>
      </c>
      <c r="B2169">
        <v>37</v>
      </c>
      <c r="C2169" s="24">
        <v>45257</v>
      </c>
      <c r="D2169" s="238" t="s">
        <v>91</v>
      </c>
      <c r="E2169" s="238" t="s">
        <v>15</v>
      </c>
      <c r="F2169">
        <v>9</v>
      </c>
      <c r="G2169">
        <v>4</v>
      </c>
      <c r="H2169">
        <v>428</v>
      </c>
      <c r="I2169" s="238" t="s">
        <v>42</v>
      </c>
      <c r="J2169">
        <v>44.37</v>
      </c>
      <c r="K2169" s="238" t="s">
        <v>36</v>
      </c>
      <c r="L2169">
        <v>4252843.6500000004</v>
      </c>
      <c r="M2169">
        <v>0</v>
      </c>
      <c r="N2169">
        <v>4252843.6500000004</v>
      </c>
      <c r="O2169">
        <v>95849.530087897248</v>
      </c>
      <c r="P2169">
        <v>0</v>
      </c>
      <c r="Q2169">
        <v>4252843.6500000004</v>
      </c>
      <c r="R2169">
        <v>95849.530087897248</v>
      </c>
      <c r="S2169" s="238" t="s">
        <v>137</v>
      </c>
      <c r="T2169" s="238" t="s">
        <v>1167</v>
      </c>
      <c r="V2169" t="s">
        <v>4092</v>
      </c>
      <c r="W2169" s="24">
        <v>45250</v>
      </c>
      <c r="X2169" s="238" t="s">
        <v>6683</v>
      </c>
      <c r="Y2169" s="238" t="s">
        <v>39</v>
      </c>
      <c r="Z2169" s="238" t="s">
        <v>1340</v>
      </c>
      <c r="AA2169" t="s">
        <v>3113</v>
      </c>
      <c r="AB2169" s="238" t="s">
        <v>3246</v>
      </c>
      <c r="AC2169" t="s">
        <v>3079</v>
      </c>
      <c r="AD2169" s="24"/>
      <c r="AE2169" s="238" t="s">
        <v>6684</v>
      </c>
      <c r="AF2169">
        <v>79270103876</v>
      </c>
      <c r="AG2169" s="238" t="s">
        <v>6685</v>
      </c>
      <c r="AH2169" s="238" t="s">
        <v>1171</v>
      </c>
      <c r="AI2169" s="238" t="s">
        <v>3514</v>
      </c>
      <c r="AJ2169" s="238" t="s">
        <v>4177</v>
      </c>
      <c r="AK2169" s="238" t="s">
        <v>3345</v>
      </c>
      <c r="AL2169" t="s">
        <v>8715</v>
      </c>
      <c r="AM2169" t="s">
        <v>1167</v>
      </c>
    </row>
    <row r="2170" spans="1:39" hidden="1" x14ac:dyDescent="0.25">
      <c r="A2170">
        <v>2167</v>
      </c>
      <c r="B2170">
        <v>38</v>
      </c>
      <c r="C2170" s="24">
        <v>45257</v>
      </c>
      <c r="D2170" s="238" t="s">
        <v>91</v>
      </c>
      <c r="E2170" s="238" t="s">
        <v>15</v>
      </c>
      <c r="F2170">
        <v>9</v>
      </c>
      <c r="G2170">
        <v>6</v>
      </c>
      <c r="H2170">
        <v>446</v>
      </c>
      <c r="I2170" s="238" t="s">
        <v>42</v>
      </c>
      <c r="J2170">
        <v>44.37</v>
      </c>
      <c r="K2170" s="238" t="s">
        <v>36</v>
      </c>
      <c r="L2170">
        <v>4252843.6500000004</v>
      </c>
      <c r="M2170">
        <v>0</v>
      </c>
      <c r="N2170">
        <v>4252843.6500000004</v>
      </c>
      <c r="O2170">
        <v>95849.530087897248</v>
      </c>
      <c r="P2170">
        <v>0</v>
      </c>
      <c r="Q2170">
        <v>4252843.6500000004</v>
      </c>
      <c r="R2170">
        <v>95849.530087897248</v>
      </c>
      <c r="S2170" s="238" t="s">
        <v>137</v>
      </c>
      <c r="T2170" s="238" t="s">
        <v>1167</v>
      </c>
      <c r="V2170" t="s">
        <v>4091</v>
      </c>
      <c r="W2170" s="24">
        <v>45251</v>
      </c>
      <c r="X2170" s="238" t="s">
        <v>6686</v>
      </c>
      <c r="Y2170" s="238" t="s">
        <v>39</v>
      </c>
      <c r="Z2170" s="238" t="s">
        <v>1340</v>
      </c>
      <c r="AA2170" t="s">
        <v>3113</v>
      </c>
      <c r="AB2170" s="238" t="s">
        <v>3246</v>
      </c>
      <c r="AC2170" t="s">
        <v>3079</v>
      </c>
      <c r="AD2170" s="24"/>
      <c r="AE2170" s="238" t="s">
        <v>6687</v>
      </c>
      <c r="AF2170">
        <v>79170315666</v>
      </c>
      <c r="AG2170" s="238" t="s">
        <v>6688</v>
      </c>
      <c r="AH2170" s="238" t="s">
        <v>146</v>
      </c>
      <c r="AI2170" s="238" t="s">
        <v>135</v>
      </c>
      <c r="AJ2170" s="238" t="s">
        <v>126</v>
      </c>
      <c r="AK2170" s="238" t="s">
        <v>3345</v>
      </c>
      <c r="AL2170" t="s">
        <v>8715</v>
      </c>
      <c r="AM2170" t="s">
        <v>1167</v>
      </c>
    </row>
    <row r="2171" spans="1:39" hidden="1" x14ac:dyDescent="0.25">
      <c r="A2171">
        <v>2168</v>
      </c>
      <c r="B2171">
        <v>39</v>
      </c>
      <c r="C2171" s="24">
        <v>45257</v>
      </c>
      <c r="D2171" s="238" t="s">
        <v>91</v>
      </c>
      <c r="E2171" s="238" t="s">
        <v>16</v>
      </c>
      <c r="F2171">
        <v>3</v>
      </c>
      <c r="G2171">
        <v>2</v>
      </c>
      <c r="H2171">
        <v>243</v>
      </c>
      <c r="I2171" s="238" t="s">
        <v>4052</v>
      </c>
      <c r="J2171">
        <v>36.450000000000003</v>
      </c>
      <c r="K2171" s="238" t="s">
        <v>36</v>
      </c>
      <c r="L2171">
        <v>3697833.18</v>
      </c>
      <c r="M2171">
        <v>0</v>
      </c>
      <c r="N2171">
        <v>3697833.18</v>
      </c>
      <c r="O2171">
        <v>101449.46995884774</v>
      </c>
      <c r="P2171">
        <v>0</v>
      </c>
      <c r="Q2171">
        <v>3697833.18</v>
      </c>
      <c r="R2171">
        <v>101449.46995884774</v>
      </c>
      <c r="S2171" s="238" t="s">
        <v>137</v>
      </c>
      <c r="T2171" s="238" t="s">
        <v>1167</v>
      </c>
      <c r="V2171" t="s">
        <v>4093</v>
      </c>
      <c r="W2171" s="24">
        <v>45252</v>
      </c>
      <c r="X2171" s="238" t="s">
        <v>6689</v>
      </c>
      <c r="Y2171" s="238" t="s">
        <v>39</v>
      </c>
      <c r="Z2171" s="238" t="s">
        <v>1340</v>
      </c>
      <c r="AA2171" t="s">
        <v>3113</v>
      </c>
      <c r="AB2171" s="238" t="s">
        <v>3246</v>
      </c>
      <c r="AC2171" t="s">
        <v>3079</v>
      </c>
      <c r="AD2171" s="24"/>
      <c r="AE2171" s="238" t="s">
        <v>6690</v>
      </c>
      <c r="AF2171">
        <v>79272672637</v>
      </c>
      <c r="AG2171" s="238" t="s">
        <v>6691</v>
      </c>
      <c r="AH2171" s="238" t="s">
        <v>146</v>
      </c>
      <c r="AI2171" s="238" t="s">
        <v>135</v>
      </c>
      <c r="AJ2171" s="238" t="s">
        <v>4177</v>
      </c>
      <c r="AK2171" s="238" t="s">
        <v>3345</v>
      </c>
      <c r="AL2171" t="s">
        <v>8715</v>
      </c>
      <c r="AM2171" t="s">
        <v>1167</v>
      </c>
    </row>
    <row r="2172" spans="1:39" hidden="1" x14ac:dyDescent="0.25">
      <c r="A2172">
        <v>2169</v>
      </c>
      <c r="B2172">
        <v>40</v>
      </c>
      <c r="C2172" s="24">
        <v>45258</v>
      </c>
      <c r="D2172" s="238" t="s">
        <v>91</v>
      </c>
      <c r="E2172" s="238" t="s">
        <v>5</v>
      </c>
      <c r="F2172">
        <v>2</v>
      </c>
      <c r="G2172">
        <v>14</v>
      </c>
      <c r="H2172">
        <v>218</v>
      </c>
      <c r="I2172" s="238" t="s">
        <v>43</v>
      </c>
      <c r="J2172">
        <v>68.75</v>
      </c>
      <c r="K2172" s="238" t="s">
        <v>36</v>
      </c>
      <c r="L2172">
        <v>6010868.75</v>
      </c>
      <c r="M2172">
        <v>15000</v>
      </c>
      <c r="N2172">
        <v>6025868.75</v>
      </c>
      <c r="O2172">
        <v>87649</v>
      </c>
      <c r="P2172">
        <v>0</v>
      </c>
      <c r="Q2172">
        <v>6025868.75</v>
      </c>
      <c r="R2172">
        <v>87649</v>
      </c>
      <c r="S2172" s="238" t="s">
        <v>137</v>
      </c>
      <c r="T2172" s="238" t="s">
        <v>1167</v>
      </c>
      <c r="V2172" t="s">
        <v>4092</v>
      </c>
      <c r="W2172" s="24">
        <v>45237</v>
      </c>
      <c r="X2172" s="238" t="s">
        <v>6692</v>
      </c>
      <c r="Y2172" s="238" t="s">
        <v>39</v>
      </c>
      <c r="Z2172" s="238" t="s">
        <v>1340</v>
      </c>
      <c r="AA2172" t="s">
        <v>3113</v>
      </c>
      <c r="AB2172" s="238" t="s">
        <v>3246</v>
      </c>
      <c r="AC2172" t="s">
        <v>3079</v>
      </c>
      <c r="AD2172" s="24"/>
      <c r="AE2172" s="238" t="s">
        <v>6693</v>
      </c>
      <c r="AF2172">
        <v>79276545280</v>
      </c>
      <c r="AG2172" s="238" t="s">
        <v>6694</v>
      </c>
      <c r="AH2172" s="238" t="s">
        <v>1212</v>
      </c>
      <c r="AI2172" s="238" t="s">
        <v>3090</v>
      </c>
      <c r="AJ2172" s="238" t="s">
        <v>4177</v>
      </c>
      <c r="AK2172" s="238" t="s">
        <v>141</v>
      </c>
      <c r="AL2172" t="s">
        <v>8715</v>
      </c>
      <c r="AM2172" t="s">
        <v>1167</v>
      </c>
    </row>
    <row r="2173" spans="1:39" hidden="1" x14ac:dyDescent="0.25">
      <c r="A2173">
        <v>2170</v>
      </c>
      <c r="B2173">
        <v>41</v>
      </c>
      <c r="C2173" s="24">
        <v>45258</v>
      </c>
      <c r="D2173" s="238" t="s">
        <v>91</v>
      </c>
      <c r="E2173" s="238" t="s">
        <v>15</v>
      </c>
      <c r="F2173">
        <v>7</v>
      </c>
      <c r="G2173">
        <v>11</v>
      </c>
      <c r="H2173">
        <v>489</v>
      </c>
      <c r="I2173" s="238" t="s">
        <v>43</v>
      </c>
      <c r="J2173">
        <v>67.489999999999995</v>
      </c>
      <c r="K2173" s="238" t="s">
        <v>36</v>
      </c>
      <c r="L2173">
        <v>6027836.6100000003</v>
      </c>
      <c r="M2173">
        <v>0</v>
      </c>
      <c r="N2173">
        <v>6027836.6100000003</v>
      </c>
      <c r="O2173">
        <v>89314.514891094994</v>
      </c>
      <c r="P2173">
        <v>0</v>
      </c>
      <c r="Q2173">
        <v>6027836.6100000003</v>
      </c>
      <c r="R2173">
        <v>89314.514891094994</v>
      </c>
      <c r="S2173" s="238" t="s">
        <v>137</v>
      </c>
      <c r="T2173" s="238" t="s">
        <v>3540</v>
      </c>
      <c r="U2173">
        <v>123017.07</v>
      </c>
      <c r="V2173" t="s">
        <v>4092</v>
      </c>
      <c r="W2173" s="24">
        <v>45252</v>
      </c>
      <c r="X2173" s="238" t="s">
        <v>6695</v>
      </c>
      <c r="Y2173" s="238" t="s">
        <v>39</v>
      </c>
      <c r="Z2173" s="238" t="s">
        <v>1340</v>
      </c>
      <c r="AA2173" t="s">
        <v>3113</v>
      </c>
      <c r="AB2173" s="238" t="s">
        <v>3246</v>
      </c>
      <c r="AC2173" t="s">
        <v>3079</v>
      </c>
      <c r="AD2173" s="24"/>
      <c r="AE2173" s="238" t="s">
        <v>6696</v>
      </c>
      <c r="AF2173">
        <v>79277848826</v>
      </c>
      <c r="AG2173" s="238" t="s">
        <v>6697</v>
      </c>
      <c r="AH2173" s="238" t="s">
        <v>1171</v>
      </c>
      <c r="AI2173" s="238" t="s">
        <v>3074</v>
      </c>
      <c r="AJ2173" s="238" t="s">
        <v>5215</v>
      </c>
      <c r="AK2173" s="238" t="s">
        <v>3345</v>
      </c>
      <c r="AL2173" t="s">
        <v>8715</v>
      </c>
      <c r="AM2173" t="s">
        <v>1167</v>
      </c>
    </row>
    <row r="2174" spans="1:39" x14ac:dyDescent="0.25">
      <c r="A2174">
        <v>2171</v>
      </c>
      <c r="B2174">
        <v>42</v>
      </c>
      <c r="C2174" s="24">
        <v>45258</v>
      </c>
      <c r="D2174" s="238" t="s">
        <v>3388</v>
      </c>
      <c r="E2174" s="238" t="s">
        <v>5</v>
      </c>
      <c r="F2174">
        <v>5</v>
      </c>
      <c r="G2174">
        <v>1</v>
      </c>
      <c r="H2174">
        <v>116</v>
      </c>
      <c r="I2174" s="238" t="s">
        <v>43</v>
      </c>
      <c r="J2174">
        <v>65.05</v>
      </c>
      <c r="K2174" s="238" t="s">
        <v>36</v>
      </c>
      <c r="L2174">
        <v>5403692.9100000001</v>
      </c>
      <c r="M2174">
        <v>0</v>
      </c>
      <c r="N2174">
        <v>5403692.9100000001</v>
      </c>
      <c r="O2174">
        <v>83069.837202152194</v>
      </c>
      <c r="P2174">
        <v>0</v>
      </c>
      <c r="Q2174">
        <v>5403692.9100000001</v>
      </c>
      <c r="R2174">
        <v>83069.837202152194</v>
      </c>
      <c r="S2174" s="238" t="s">
        <v>137</v>
      </c>
      <c r="T2174" s="238" t="s">
        <v>3540</v>
      </c>
      <c r="U2174">
        <v>110279.45</v>
      </c>
      <c r="V2174" t="s">
        <v>4091</v>
      </c>
      <c r="W2174" s="24">
        <v>45252</v>
      </c>
      <c r="X2174" s="238" t="s">
        <v>6698</v>
      </c>
      <c r="Y2174" s="238" t="s">
        <v>39</v>
      </c>
      <c r="Z2174" s="238" t="s">
        <v>1340</v>
      </c>
      <c r="AA2174" t="s">
        <v>3113</v>
      </c>
      <c r="AB2174" s="238" t="s">
        <v>3246</v>
      </c>
      <c r="AC2174" t="s">
        <v>3079</v>
      </c>
      <c r="AD2174" s="24"/>
      <c r="AE2174" s="238" t="s">
        <v>6699</v>
      </c>
      <c r="AF2174">
        <v>79042690304</v>
      </c>
      <c r="AG2174" s="238" t="s">
        <v>6700</v>
      </c>
      <c r="AH2174" s="238" t="s">
        <v>1212</v>
      </c>
      <c r="AI2174" s="238" t="s">
        <v>6701</v>
      </c>
      <c r="AJ2174" s="238" t="s">
        <v>4177</v>
      </c>
      <c r="AK2174" s="238" t="s">
        <v>141</v>
      </c>
      <c r="AL2174" t="s">
        <v>8715</v>
      </c>
      <c r="AM2174" t="s">
        <v>1167</v>
      </c>
    </row>
    <row r="2175" spans="1:39" hidden="1" x14ac:dyDescent="0.25">
      <c r="A2175">
        <v>2172</v>
      </c>
      <c r="B2175">
        <v>43</v>
      </c>
      <c r="C2175" s="24">
        <v>45258</v>
      </c>
      <c r="D2175" s="238" t="s">
        <v>91</v>
      </c>
      <c r="E2175" s="238" t="s">
        <v>5</v>
      </c>
      <c r="F2175">
        <v>4</v>
      </c>
      <c r="G2175">
        <v>11</v>
      </c>
      <c r="H2175">
        <v>196</v>
      </c>
      <c r="I2175" s="238" t="s">
        <v>42</v>
      </c>
      <c r="J2175">
        <v>37.81</v>
      </c>
      <c r="K2175" s="238" t="s">
        <v>37</v>
      </c>
      <c r="L2175">
        <v>4278775</v>
      </c>
      <c r="M2175">
        <v>0</v>
      </c>
      <c r="N2175">
        <v>4278775</v>
      </c>
      <c r="O2175">
        <v>113165.16794498809</v>
      </c>
      <c r="P2175">
        <v>283575</v>
      </c>
      <c r="Q2175">
        <v>3995200</v>
      </c>
      <c r="R2175">
        <v>105665.16794498809</v>
      </c>
      <c r="S2175" s="238" t="s">
        <v>137</v>
      </c>
      <c r="T2175" s="238" t="s">
        <v>1167</v>
      </c>
      <c r="V2175" t="s">
        <v>4091</v>
      </c>
      <c r="W2175" s="24">
        <v>45257</v>
      </c>
      <c r="X2175" s="238" t="s">
        <v>6702</v>
      </c>
      <c r="Y2175" s="238" t="s">
        <v>39</v>
      </c>
      <c r="Z2175" s="238" t="s">
        <v>1340</v>
      </c>
      <c r="AA2175" t="s">
        <v>3113</v>
      </c>
      <c r="AB2175" s="238" t="s">
        <v>3246</v>
      </c>
      <c r="AC2175" t="s">
        <v>3079</v>
      </c>
      <c r="AD2175" s="24"/>
      <c r="AE2175" s="238" t="s">
        <v>6703</v>
      </c>
      <c r="AF2175">
        <v>79279021505</v>
      </c>
      <c r="AG2175" s="238" t="s">
        <v>6704</v>
      </c>
      <c r="AH2175" s="238" t="s">
        <v>4072</v>
      </c>
      <c r="AI2175" s="238" t="s">
        <v>6406</v>
      </c>
      <c r="AJ2175" s="238" t="s">
        <v>5215</v>
      </c>
      <c r="AK2175" s="238" t="s">
        <v>3345</v>
      </c>
      <c r="AL2175" t="s">
        <v>57</v>
      </c>
      <c r="AM2175" t="s">
        <v>1167</v>
      </c>
    </row>
    <row r="2176" spans="1:39" hidden="1" x14ac:dyDescent="0.25">
      <c r="A2176">
        <v>2173</v>
      </c>
      <c r="B2176">
        <v>44</v>
      </c>
      <c r="C2176" s="24">
        <v>45259</v>
      </c>
      <c r="D2176" s="238" t="s">
        <v>91</v>
      </c>
      <c r="E2176" s="238" t="s">
        <v>6</v>
      </c>
      <c r="F2176">
        <v>6</v>
      </c>
      <c r="G2176">
        <v>8</v>
      </c>
      <c r="H2176">
        <v>54</v>
      </c>
      <c r="I2176" s="238" t="s">
        <v>43</v>
      </c>
      <c r="J2176">
        <v>59.87</v>
      </c>
      <c r="K2176" s="238" t="s">
        <v>37</v>
      </c>
      <c r="L2176">
        <v>5946208.1600000001</v>
      </c>
      <c r="M2176">
        <v>0</v>
      </c>
      <c r="N2176">
        <v>5946208.1600000001</v>
      </c>
      <c r="O2176">
        <v>99318.659762819443</v>
      </c>
      <c r="P2176">
        <v>449025</v>
      </c>
      <c r="Q2176">
        <v>5497183.1600000001</v>
      </c>
      <c r="R2176">
        <v>91818.659762819443</v>
      </c>
      <c r="S2176" s="238" t="s">
        <v>137</v>
      </c>
      <c r="T2176" s="238" t="s">
        <v>3540</v>
      </c>
      <c r="U2176">
        <v>112187.41</v>
      </c>
      <c r="V2176" t="s">
        <v>4091</v>
      </c>
      <c r="W2176" s="24">
        <v>45252</v>
      </c>
      <c r="X2176" s="238" t="s">
        <v>6705</v>
      </c>
      <c r="Y2176" s="238" t="s">
        <v>39</v>
      </c>
      <c r="Z2176" s="238" t="s">
        <v>1340</v>
      </c>
      <c r="AA2176" t="s">
        <v>3113</v>
      </c>
      <c r="AB2176" s="238" t="s">
        <v>3246</v>
      </c>
      <c r="AC2176" t="s">
        <v>3079</v>
      </c>
      <c r="AD2176" s="24"/>
      <c r="AE2176" s="238" t="s">
        <v>6706</v>
      </c>
      <c r="AF2176">
        <v>79963413577</v>
      </c>
      <c r="AG2176" s="238" t="s">
        <v>6707</v>
      </c>
      <c r="AH2176" s="238" t="s">
        <v>135</v>
      </c>
      <c r="AI2176" s="238" t="s">
        <v>3099</v>
      </c>
      <c r="AJ2176" s="238" t="s">
        <v>5215</v>
      </c>
      <c r="AK2176" s="238" t="s">
        <v>141</v>
      </c>
      <c r="AL2176" t="s">
        <v>8715</v>
      </c>
      <c r="AM2176" t="s">
        <v>1167</v>
      </c>
    </row>
    <row r="2177" spans="1:39" x14ac:dyDescent="0.25">
      <c r="A2177">
        <v>2174</v>
      </c>
      <c r="B2177">
        <v>45</v>
      </c>
      <c r="C2177" s="24">
        <v>45259</v>
      </c>
      <c r="D2177" s="238" t="s">
        <v>3388</v>
      </c>
      <c r="E2177" s="238" t="s">
        <v>15</v>
      </c>
      <c r="F2177">
        <v>5</v>
      </c>
      <c r="G2177">
        <v>6</v>
      </c>
      <c r="H2177">
        <v>433</v>
      </c>
      <c r="I2177" s="238" t="s">
        <v>43</v>
      </c>
      <c r="J2177">
        <v>57.8</v>
      </c>
      <c r="K2177" s="238" t="s">
        <v>37</v>
      </c>
      <c r="L2177">
        <v>5282246</v>
      </c>
      <c r="M2177">
        <v>0</v>
      </c>
      <c r="N2177">
        <v>5282246</v>
      </c>
      <c r="O2177">
        <v>91388.339100346027</v>
      </c>
      <c r="P2177">
        <v>433500</v>
      </c>
      <c r="Q2177">
        <v>4848746</v>
      </c>
      <c r="R2177">
        <v>83888.339100346027</v>
      </c>
      <c r="S2177" s="238" t="s">
        <v>137</v>
      </c>
      <c r="T2177" s="238" t="s">
        <v>3540</v>
      </c>
      <c r="U2177">
        <v>98954</v>
      </c>
      <c r="V2177" t="s">
        <v>4091</v>
      </c>
      <c r="W2177" s="24">
        <v>45259</v>
      </c>
      <c r="X2177" s="238" t="s">
        <v>6708</v>
      </c>
      <c r="Y2177" s="238" t="s">
        <v>39</v>
      </c>
      <c r="Z2177" s="238" t="s">
        <v>1340</v>
      </c>
      <c r="AA2177" t="s">
        <v>3113</v>
      </c>
      <c r="AB2177" s="238" t="s">
        <v>3246</v>
      </c>
      <c r="AC2177" t="s">
        <v>3079</v>
      </c>
      <c r="AD2177" s="24"/>
      <c r="AE2177" s="238" t="s">
        <v>6709</v>
      </c>
      <c r="AF2177">
        <v>79370639444</v>
      </c>
      <c r="AG2177" s="238" t="s">
        <v>6710</v>
      </c>
      <c r="AH2177" s="238" t="s">
        <v>1171</v>
      </c>
      <c r="AI2177" s="238" t="s">
        <v>3074</v>
      </c>
      <c r="AJ2177" s="238" t="s">
        <v>4177</v>
      </c>
      <c r="AK2177" s="238" t="s">
        <v>3345</v>
      </c>
      <c r="AL2177" t="s">
        <v>8715</v>
      </c>
      <c r="AM2177" t="s">
        <v>1167</v>
      </c>
    </row>
    <row r="2178" spans="1:39" x14ac:dyDescent="0.25">
      <c r="A2178">
        <v>2175</v>
      </c>
      <c r="B2178">
        <v>46</v>
      </c>
      <c r="C2178" s="24">
        <v>45260</v>
      </c>
      <c r="D2178" s="238" t="s">
        <v>3388</v>
      </c>
      <c r="E2178" s="238" t="s">
        <v>6</v>
      </c>
      <c r="F2178">
        <v>4</v>
      </c>
      <c r="G2178">
        <v>1</v>
      </c>
      <c r="H2178">
        <v>4</v>
      </c>
      <c r="I2178" s="238" t="s">
        <v>43</v>
      </c>
      <c r="J2178">
        <v>73.02</v>
      </c>
      <c r="K2178" s="238" t="s">
        <v>37</v>
      </c>
      <c r="L2178">
        <v>6762812.3600000003</v>
      </c>
      <c r="M2178">
        <v>0</v>
      </c>
      <c r="N2178">
        <v>6762812.3600000003</v>
      </c>
      <c r="O2178">
        <v>92615.890988770203</v>
      </c>
      <c r="P2178">
        <v>547650</v>
      </c>
      <c r="Q2178">
        <v>6215162.3600000003</v>
      </c>
      <c r="R2178">
        <v>85115.890988770203</v>
      </c>
      <c r="S2178" s="238" t="s">
        <v>137</v>
      </c>
      <c r="T2178" s="238" t="s">
        <v>3540</v>
      </c>
      <c r="U2178">
        <v>126840.05</v>
      </c>
      <c r="V2178" t="s">
        <v>4091</v>
      </c>
      <c r="W2178" s="24">
        <v>45252</v>
      </c>
      <c r="X2178" s="238" t="s">
        <v>6711</v>
      </c>
      <c r="Y2178" s="238" t="s">
        <v>39</v>
      </c>
      <c r="Z2178" s="238" t="s">
        <v>1340</v>
      </c>
      <c r="AA2178" t="s">
        <v>3474</v>
      </c>
      <c r="AB2178" s="238" t="s">
        <v>3246</v>
      </c>
      <c r="AC2178" t="s">
        <v>3115</v>
      </c>
      <c r="AD2178" s="24"/>
      <c r="AE2178" s="238" t="s">
        <v>6712</v>
      </c>
      <c r="AF2178">
        <v>79900447908</v>
      </c>
      <c r="AG2178" s="238" t="s">
        <v>6713</v>
      </c>
      <c r="AH2178" s="238" t="s">
        <v>1197</v>
      </c>
      <c r="AI2178" s="238" t="s">
        <v>3090</v>
      </c>
      <c r="AJ2178" s="238" t="s">
        <v>126</v>
      </c>
      <c r="AK2178" s="238" t="s">
        <v>3345</v>
      </c>
      <c r="AL2178" t="s">
        <v>8715</v>
      </c>
      <c r="AM2178" t="s">
        <v>1167</v>
      </c>
    </row>
    <row r="2179" spans="1:39" x14ac:dyDescent="0.25">
      <c r="A2179">
        <v>2176</v>
      </c>
      <c r="B2179">
        <v>47</v>
      </c>
      <c r="C2179" s="24">
        <v>45260</v>
      </c>
      <c r="D2179" s="238" t="s">
        <v>3388</v>
      </c>
      <c r="E2179" s="238" t="s">
        <v>15</v>
      </c>
      <c r="F2179">
        <v>2</v>
      </c>
      <c r="G2179">
        <v>7</v>
      </c>
      <c r="H2179">
        <v>438</v>
      </c>
      <c r="I2179" s="238" t="s">
        <v>42</v>
      </c>
      <c r="J2179">
        <v>43.21</v>
      </c>
      <c r="K2179" s="238" t="s">
        <v>36</v>
      </c>
      <c r="L2179">
        <v>4220900</v>
      </c>
      <c r="M2179">
        <v>0</v>
      </c>
      <c r="N2179">
        <v>4220900</v>
      </c>
      <c r="O2179">
        <v>97683.406618838228</v>
      </c>
      <c r="P2179">
        <v>0</v>
      </c>
      <c r="Q2179">
        <v>4220900</v>
      </c>
      <c r="R2179">
        <v>97683.406618838228</v>
      </c>
      <c r="S2179" s="238" t="s">
        <v>137</v>
      </c>
      <c r="T2179" s="238" t="s">
        <v>1167</v>
      </c>
      <c r="V2179" t="s">
        <v>4091</v>
      </c>
      <c r="W2179" s="24">
        <v>45256</v>
      </c>
      <c r="X2179" s="238" t="s">
        <v>6714</v>
      </c>
      <c r="Y2179" s="238" t="s">
        <v>39</v>
      </c>
      <c r="Z2179" s="238" t="s">
        <v>1340</v>
      </c>
      <c r="AA2179" t="s">
        <v>3474</v>
      </c>
      <c r="AB2179" s="238" t="s">
        <v>3246</v>
      </c>
      <c r="AC2179" t="s">
        <v>3077</v>
      </c>
      <c r="AD2179" s="24"/>
      <c r="AE2179" s="238" t="s">
        <v>6715</v>
      </c>
      <c r="AF2179">
        <v>79277254603</v>
      </c>
      <c r="AG2179" s="238" t="s">
        <v>6716</v>
      </c>
      <c r="AH2179" s="238" t="s">
        <v>1171</v>
      </c>
      <c r="AI2179" s="238" t="s">
        <v>3084</v>
      </c>
      <c r="AJ2179" s="238" t="s">
        <v>4177</v>
      </c>
      <c r="AK2179" s="238" t="s">
        <v>3345</v>
      </c>
      <c r="AL2179" t="s">
        <v>8715</v>
      </c>
      <c r="AM2179" t="s">
        <v>1167</v>
      </c>
    </row>
    <row r="2180" spans="1:39" hidden="1" x14ac:dyDescent="0.25">
      <c r="A2180">
        <v>2177</v>
      </c>
      <c r="B2180">
        <v>48</v>
      </c>
      <c r="C2180" s="24">
        <v>45260</v>
      </c>
      <c r="D2180" s="238" t="s">
        <v>91</v>
      </c>
      <c r="E2180" s="238" t="s">
        <v>5</v>
      </c>
      <c r="F2180">
        <v>3</v>
      </c>
      <c r="G2180">
        <v>15</v>
      </c>
      <c r="H2180">
        <v>227</v>
      </c>
      <c r="I2180" s="238" t="s">
        <v>42</v>
      </c>
      <c r="J2180">
        <v>35.380000000000003</v>
      </c>
      <c r="K2180" s="238" t="s">
        <v>38</v>
      </c>
      <c r="L2180">
        <v>4683691.04</v>
      </c>
      <c r="M2180">
        <v>0</v>
      </c>
      <c r="N2180">
        <v>4683691.04</v>
      </c>
      <c r="O2180">
        <v>132382.44884115318</v>
      </c>
      <c r="P2180">
        <v>778360.00000000047</v>
      </c>
      <c r="Q2180">
        <v>3905331.0399999996</v>
      </c>
      <c r="R2180">
        <v>110382.44884115318</v>
      </c>
      <c r="S2180" s="238" t="s">
        <v>137</v>
      </c>
      <c r="T2180" s="238" t="s">
        <v>324</v>
      </c>
      <c r="U2180">
        <v>20000</v>
      </c>
      <c r="V2180" t="s">
        <v>4091</v>
      </c>
      <c r="W2180" s="24">
        <v>45257</v>
      </c>
      <c r="X2180" s="238" t="s">
        <v>6717</v>
      </c>
      <c r="Y2180" s="238" t="s">
        <v>39</v>
      </c>
      <c r="Z2180" s="238" t="s">
        <v>1340</v>
      </c>
      <c r="AA2180" t="s">
        <v>3113</v>
      </c>
      <c r="AB2180" s="238" t="s">
        <v>3246</v>
      </c>
      <c r="AC2180" t="s">
        <v>3079</v>
      </c>
      <c r="AD2180" s="24"/>
      <c r="AE2180" s="238" t="s">
        <v>6718</v>
      </c>
      <c r="AF2180">
        <v>79372506134</v>
      </c>
      <c r="AG2180" s="238" t="s">
        <v>6719</v>
      </c>
      <c r="AH2180" s="238" t="s">
        <v>135</v>
      </c>
      <c r="AI2180" s="238" t="s">
        <v>135</v>
      </c>
      <c r="AJ2180" s="238" t="s">
        <v>5215</v>
      </c>
      <c r="AK2180" s="238" t="s">
        <v>3345</v>
      </c>
      <c r="AL2180" t="s">
        <v>8715</v>
      </c>
      <c r="AM2180" t="s">
        <v>1167</v>
      </c>
    </row>
    <row r="2181" spans="1:39" x14ac:dyDescent="0.25">
      <c r="A2181">
        <v>2178</v>
      </c>
      <c r="B2181">
        <v>49</v>
      </c>
      <c r="C2181" s="24">
        <v>45260</v>
      </c>
      <c r="D2181" s="238" t="s">
        <v>3388</v>
      </c>
      <c r="E2181" s="238" t="s">
        <v>15</v>
      </c>
      <c r="F2181">
        <v>2</v>
      </c>
      <c r="G2181">
        <v>22</v>
      </c>
      <c r="H2181">
        <v>558</v>
      </c>
      <c r="I2181" s="238" t="s">
        <v>42</v>
      </c>
      <c r="J2181">
        <v>43.21</v>
      </c>
      <c r="K2181" s="238" t="s">
        <v>38</v>
      </c>
      <c r="L2181">
        <v>5175145</v>
      </c>
      <c r="M2181">
        <v>0</v>
      </c>
      <c r="N2181">
        <v>5175145</v>
      </c>
      <c r="O2181">
        <v>119767.29923628789</v>
      </c>
      <c r="P2181">
        <v>950620</v>
      </c>
      <c r="Q2181">
        <v>4224525</v>
      </c>
      <c r="R2181">
        <v>97767.299236287901</v>
      </c>
      <c r="S2181" s="238" t="s">
        <v>124</v>
      </c>
      <c r="T2181" s="238" t="s">
        <v>321</v>
      </c>
      <c r="U2181">
        <v>317975</v>
      </c>
      <c r="V2181" t="s">
        <v>1167</v>
      </c>
      <c r="W2181" s="24">
        <v>45260</v>
      </c>
      <c r="X2181" s="238" t="s">
        <v>6720</v>
      </c>
      <c r="Y2181" s="238" t="s">
        <v>39</v>
      </c>
      <c r="Z2181" s="238" t="s">
        <v>1340</v>
      </c>
      <c r="AA2181" t="s">
        <v>3113</v>
      </c>
      <c r="AB2181" s="238" t="s">
        <v>3246</v>
      </c>
      <c r="AC2181" t="s">
        <v>1167</v>
      </c>
      <c r="AD2181" s="24"/>
      <c r="AE2181" s="238" t="s">
        <v>6721</v>
      </c>
      <c r="AF2181">
        <v>79964630100</v>
      </c>
      <c r="AG2181" s="238" t="s">
        <v>6722</v>
      </c>
      <c r="AH2181" s="238" t="s">
        <v>1212</v>
      </c>
      <c r="AI2181" s="238" t="s">
        <v>3101</v>
      </c>
      <c r="AJ2181" s="238" t="s">
        <v>126</v>
      </c>
      <c r="AK2181" s="238" t="s">
        <v>1167</v>
      </c>
      <c r="AL2181" t="s">
        <v>8715</v>
      </c>
      <c r="AM2181" t="s">
        <v>1167</v>
      </c>
    </row>
    <row r="2182" spans="1:39" x14ac:dyDescent="0.25">
      <c r="A2182">
        <v>2179</v>
      </c>
      <c r="B2182">
        <v>1</v>
      </c>
      <c r="C2182" s="24">
        <v>45261</v>
      </c>
      <c r="D2182" s="238" t="s">
        <v>3388</v>
      </c>
      <c r="E2182" s="238" t="s">
        <v>15</v>
      </c>
      <c r="F2182">
        <v>4</v>
      </c>
      <c r="G2182">
        <v>5</v>
      </c>
      <c r="H2182">
        <v>424</v>
      </c>
      <c r="I2182" s="238" t="s">
        <v>43</v>
      </c>
      <c r="J2182">
        <v>58.24</v>
      </c>
      <c r="K2182" s="238" t="s">
        <v>37</v>
      </c>
      <c r="L2182">
        <v>5346284.8499999996</v>
      </c>
      <c r="M2182">
        <v>0</v>
      </c>
      <c r="N2182">
        <v>5346284.8499999996</v>
      </c>
      <c r="O2182">
        <v>91797.473385988997</v>
      </c>
      <c r="P2182">
        <v>436800</v>
      </c>
      <c r="Q2182">
        <v>4909484.8499999996</v>
      </c>
      <c r="R2182">
        <v>84297.473385988997</v>
      </c>
      <c r="S2182" s="238" t="s">
        <v>137</v>
      </c>
      <c r="T2182" s="238" t="s">
        <v>3540</v>
      </c>
      <c r="U2182">
        <v>100193.57</v>
      </c>
      <c r="V2182" t="s">
        <v>4092</v>
      </c>
      <c r="W2182" s="24">
        <v>45246</v>
      </c>
      <c r="X2182" s="238" t="s">
        <v>6725</v>
      </c>
      <c r="Y2182" s="238" t="s">
        <v>39</v>
      </c>
      <c r="Z2182" s="238" t="s">
        <v>1340</v>
      </c>
      <c r="AA2182" t="s">
        <v>3113</v>
      </c>
      <c r="AB2182" s="238" t="s">
        <v>3246</v>
      </c>
      <c r="AC2182" t="s">
        <v>3079</v>
      </c>
      <c r="AD2182" s="24"/>
      <c r="AE2182" s="238" t="s">
        <v>6726</v>
      </c>
      <c r="AF2182">
        <v>79674805559</v>
      </c>
      <c r="AG2182" s="238" t="s">
        <v>6727</v>
      </c>
      <c r="AH2182" s="238" t="s">
        <v>1171</v>
      </c>
      <c r="AI2182" s="238" t="s">
        <v>135</v>
      </c>
      <c r="AJ2182" s="238" t="s">
        <v>126</v>
      </c>
      <c r="AK2182" s="238" t="s">
        <v>141</v>
      </c>
      <c r="AL2182" t="s">
        <v>8715</v>
      </c>
      <c r="AM2182" t="s">
        <v>1167</v>
      </c>
    </row>
    <row r="2183" spans="1:39" hidden="1" x14ac:dyDescent="0.25">
      <c r="A2183">
        <v>2180</v>
      </c>
      <c r="B2183">
        <v>2</v>
      </c>
      <c r="C2183" s="24">
        <v>45265</v>
      </c>
      <c r="D2183" s="238" t="s">
        <v>91</v>
      </c>
      <c r="E2183" s="238" t="s">
        <v>16</v>
      </c>
      <c r="F2183">
        <v>3</v>
      </c>
      <c r="G2183">
        <v>17</v>
      </c>
      <c r="H2183">
        <v>348</v>
      </c>
      <c r="I2183" s="238" t="s">
        <v>4052</v>
      </c>
      <c r="J2183">
        <v>36.450000000000003</v>
      </c>
      <c r="K2183" s="238" t="s">
        <v>36</v>
      </c>
      <c r="L2183">
        <v>3627278.18</v>
      </c>
      <c r="M2183">
        <v>15000</v>
      </c>
      <c r="N2183">
        <v>3642278.18</v>
      </c>
      <c r="O2183">
        <v>99925.327297668031</v>
      </c>
      <c r="P2183">
        <v>0</v>
      </c>
      <c r="Q2183">
        <v>3642278.18</v>
      </c>
      <c r="R2183">
        <v>99925.327297668031</v>
      </c>
      <c r="S2183" s="238" t="s">
        <v>137</v>
      </c>
      <c r="T2183" s="238" t="s">
        <v>324</v>
      </c>
      <c r="U2183">
        <v>55555</v>
      </c>
      <c r="V2183" t="s">
        <v>4091</v>
      </c>
      <c r="W2183" s="24">
        <v>45251</v>
      </c>
      <c r="X2183" s="238" t="s">
        <v>6729</v>
      </c>
      <c r="Y2183" s="238" t="s">
        <v>39</v>
      </c>
      <c r="Z2183" s="238" t="s">
        <v>1340</v>
      </c>
      <c r="AA2183" t="s">
        <v>3113</v>
      </c>
      <c r="AB2183" s="238" t="s">
        <v>3246</v>
      </c>
      <c r="AC2183" t="s">
        <v>3079</v>
      </c>
      <c r="AD2183" s="24"/>
      <c r="AE2183" s="238" t="s">
        <v>6730</v>
      </c>
      <c r="AF2183">
        <v>79782361324</v>
      </c>
      <c r="AG2183" s="238" t="s">
        <v>6731</v>
      </c>
      <c r="AH2183" s="238" t="s">
        <v>1212</v>
      </c>
      <c r="AI2183" s="238" t="s">
        <v>135</v>
      </c>
      <c r="AJ2183" s="238" t="s">
        <v>126</v>
      </c>
      <c r="AK2183" s="238" t="s">
        <v>141</v>
      </c>
      <c r="AL2183" t="s">
        <v>8715</v>
      </c>
      <c r="AM2183" t="s">
        <v>1167</v>
      </c>
    </row>
    <row r="2184" spans="1:39" hidden="1" x14ac:dyDescent="0.25">
      <c r="A2184">
        <v>2181</v>
      </c>
      <c r="B2184">
        <v>3</v>
      </c>
      <c r="C2184" s="24">
        <v>45267</v>
      </c>
      <c r="D2184" s="238" t="s">
        <v>91</v>
      </c>
      <c r="E2184" s="238" t="s">
        <v>16</v>
      </c>
      <c r="F2184">
        <v>1</v>
      </c>
      <c r="G2184">
        <v>10</v>
      </c>
      <c r="H2184">
        <v>297</v>
      </c>
      <c r="I2184" s="238" t="s">
        <v>4052</v>
      </c>
      <c r="J2184">
        <v>29.35</v>
      </c>
      <c r="K2184" s="238" t="s">
        <v>37</v>
      </c>
      <c r="L2184">
        <v>3438825</v>
      </c>
      <c r="M2184">
        <v>0</v>
      </c>
      <c r="N2184">
        <v>3438825</v>
      </c>
      <c r="O2184">
        <v>117166.09880749574</v>
      </c>
      <c r="P2184">
        <v>220125</v>
      </c>
      <c r="Q2184">
        <v>3218700</v>
      </c>
      <c r="R2184">
        <v>109666.09880749574</v>
      </c>
      <c r="S2184" s="238" t="s">
        <v>137</v>
      </c>
      <c r="T2184" s="238" t="s">
        <v>1167</v>
      </c>
      <c r="V2184" t="s">
        <v>4091</v>
      </c>
      <c r="W2184" s="24">
        <v>45266</v>
      </c>
      <c r="X2184" s="238" t="s">
        <v>6735</v>
      </c>
      <c r="Y2184" s="238" t="s">
        <v>39</v>
      </c>
      <c r="Z2184" s="238" t="s">
        <v>1340</v>
      </c>
      <c r="AA2184" t="s">
        <v>3113</v>
      </c>
      <c r="AB2184" s="238" t="s">
        <v>3246</v>
      </c>
      <c r="AC2184" t="s">
        <v>3079</v>
      </c>
      <c r="AD2184" s="24"/>
      <c r="AE2184" s="238" t="s">
        <v>6736</v>
      </c>
      <c r="AF2184">
        <v>79277551658</v>
      </c>
      <c r="AG2184" s="238" t="s">
        <v>6737</v>
      </c>
      <c r="AH2184" s="238" t="s">
        <v>4072</v>
      </c>
      <c r="AI2184" s="238" t="s">
        <v>6406</v>
      </c>
      <c r="AJ2184" s="238" t="s">
        <v>5215</v>
      </c>
      <c r="AK2184" s="238" t="s">
        <v>141</v>
      </c>
      <c r="AL2184" t="s">
        <v>57</v>
      </c>
      <c r="AM2184" t="s">
        <v>1167</v>
      </c>
    </row>
    <row r="2185" spans="1:39" x14ac:dyDescent="0.25">
      <c r="A2185">
        <v>2182</v>
      </c>
      <c r="B2185">
        <v>4</v>
      </c>
      <c r="C2185" s="24">
        <v>45269</v>
      </c>
      <c r="D2185" s="238" t="s">
        <v>3388</v>
      </c>
      <c r="E2185" s="238" t="s">
        <v>16</v>
      </c>
      <c r="F2185">
        <v>1</v>
      </c>
      <c r="G2185">
        <v>12</v>
      </c>
      <c r="H2185">
        <v>299</v>
      </c>
      <c r="I2185" s="238" t="s">
        <v>43</v>
      </c>
      <c r="J2185">
        <v>73.7</v>
      </c>
      <c r="K2185" s="238" t="s">
        <v>36</v>
      </c>
      <c r="L2185">
        <v>6273078</v>
      </c>
      <c r="M2185">
        <v>0</v>
      </c>
      <c r="N2185">
        <v>6273078</v>
      </c>
      <c r="O2185">
        <v>85116.390773405699</v>
      </c>
      <c r="P2185">
        <v>0</v>
      </c>
      <c r="Q2185">
        <v>6273078</v>
      </c>
      <c r="R2185">
        <v>85116.390773405699</v>
      </c>
      <c r="S2185" s="238" t="s">
        <v>137</v>
      </c>
      <c r="T2185" s="238" t="s">
        <v>3540</v>
      </c>
      <c r="U2185">
        <v>128022</v>
      </c>
      <c r="V2185" t="s">
        <v>4093</v>
      </c>
      <c r="W2185" s="24">
        <v>45264</v>
      </c>
      <c r="X2185" s="238" t="s">
        <v>6739</v>
      </c>
      <c r="Y2185" s="238" t="s">
        <v>39</v>
      </c>
      <c r="Z2185" s="238" t="s">
        <v>1340</v>
      </c>
      <c r="AA2185" t="s">
        <v>3113</v>
      </c>
      <c r="AB2185" s="238" t="s">
        <v>3246</v>
      </c>
      <c r="AC2185" t="s">
        <v>3079</v>
      </c>
      <c r="AD2185" s="24"/>
      <c r="AE2185" s="238" t="s">
        <v>6740</v>
      </c>
      <c r="AF2185">
        <v>79608146339</v>
      </c>
      <c r="AG2185" s="238" t="s">
        <v>6741</v>
      </c>
      <c r="AH2185" s="238" t="s">
        <v>1212</v>
      </c>
      <c r="AI2185" s="238" t="s">
        <v>135</v>
      </c>
      <c r="AJ2185" s="238" t="s">
        <v>4177</v>
      </c>
      <c r="AK2185" s="238" t="s">
        <v>3345</v>
      </c>
      <c r="AL2185" t="s">
        <v>8715</v>
      </c>
      <c r="AM2185" t="s">
        <v>1167</v>
      </c>
    </row>
    <row r="2186" spans="1:39" x14ac:dyDescent="0.25">
      <c r="A2186">
        <v>2183</v>
      </c>
      <c r="B2186">
        <v>5</v>
      </c>
      <c r="C2186" s="24">
        <v>45268</v>
      </c>
      <c r="D2186" s="238" t="s">
        <v>3388</v>
      </c>
      <c r="E2186" s="238" t="s">
        <v>15</v>
      </c>
      <c r="F2186">
        <v>3</v>
      </c>
      <c r="G2186">
        <v>16</v>
      </c>
      <c r="H2186">
        <v>511</v>
      </c>
      <c r="I2186" s="238" t="s">
        <v>4052</v>
      </c>
      <c r="J2186">
        <v>24.5</v>
      </c>
      <c r="K2186" s="238" t="s">
        <v>37</v>
      </c>
      <c r="L2186">
        <v>2815050</v>
      </c>
      <c r="M2186">
        <v>0</v>
      </c>
      <c r="N2186">
        <v>2815050</v>
      </c>
      <c r="O2186">
        <v>114900</v>
      </c>
      <c r="P2186">
        <v>183750</v>
      </c>
      <c r="Q2186">
        <v>2631300</v>
      </c>
      <c r="R2186">
        <v>107400</v>
      </c>
      <c r="S2186" s="238" t="s">
        <v>137</v>
      </c>
      <c r="T2186" s="238" t="s">
        <v>1167</v>
      </c>
      <c r="V2186" t="s">
        <v>4092</v>
      </c>
      <c r="W2186" s="24">
        <v>45266</v>
      </c>
      <c r="X2186" s="238" t="s">
        <v>6742</v>
      </c>
      <c r="Y2186" s="238" t="s">
        <v>39</v>
      </c>
      <c r="Z2186" s="238" t="s">
        <v>1340</v>
      </c>
      <c r="AA2186" t="s">
        <v>3113</v>
      </c>
      <c r="AB2186" s="238" t="s">
        <v>3246</v>
      </c>
      <c r="AC2186" t="s">
        <v>3079</v>
      </c>
      <c r="AD2186" s="24"/>
      <c r="AE2186" s="238" t="s">
        <v>6743</v>
      </c>
      <c r="AF2186">
        <v>79171130501</v>
      </c>
      <c r="AG2186" s="238" t="s">
        <v>6744</v>
      </c>
      <c r="AH2186" s="238" t="s">
        <v>4072</v>
      </c>
      <c r="AI2186" s="238" t="s">
        <v>6406</v>
      </c>
      <c r="AJ2186" s="238" t="s">
        <v>126</v>
      </c>
      <c r="AK2186" s="238" t="s">
        <v>141</v>
      </c>
      <c r="AL2186" t="s">
        <v>57</v>
      </c>
      <c r="AM2186" t="s">
        <v>1167</v>
      </c>
    </row>
    <row r="2187" spans="1:39" hidden="1" x14ac:dyDescent="0.25">
      <c r="A2187">
        <v>2184</v>
      </c>
      <c r="B2187">
        <v>6</v>
      </c>
      <c r="C2187" s="24">
        <v>45268</v>
      </c>
      <c r="D2187" s="238" t="s">
        <v>91</v>
      </c>
      <c r="E2187" s="238" t="s">
        <v>15</v>
      </c>
      <c r="F2187">
        <v>9</v>
      </c>
      <c r="G2187">
        <v>3</v>
      </c>
      <c r="H2187">
        <v>419</v>
      </c>
      <c r="I2187" s="238" t="s">
        <v>42</v>
      </c>
      <c r="J2187">
        <v>44.37</v>
      </c>
      <c r="K2187" s="238" t="s">
        <v>37</v>
      </c>
      <c r="L2187">
        <v>4502775</v>
      </c>
      <c r="M2187">
        <v>0</v>
      </c>
      <c r="N2187">
        <v>4502775</v>
      </c>
      <c r="O2187">
        <v>101482.42055442867</v>
      </c>
      <c r="P2187">
        <v>332775.00000000047</v>
      </c>
      <c r="Q2187">
        <v>4169999.9999999995</v>
      </c>
      <c r="R2187">
        <v>93982.420554428667</v>
      </c>
      <c r="S2187" s="238" t="s">
        <v>137</v>
      </c>
      <c r="T2187" s="238" t="s">
        <v>3390</v>
      </c>
      <c r="U2187">
        <v>120000</v>
      </c>
      <c r="V2187" t="s">
        <v>4092</v>
      </c>
      <c r="W2187" s="24">
        <v>45265</v>
      </c>
      <c r="X2187" s="238" t="s">
        <v>6745</v>
      </c>
      <c r="Y2187" s="238" t="s">
        <v>39</v>
      </c>
      <c r="Z2187" s="238" t="s">
        <v>1340</v>
      </c>
      <c r="AA2187" t="s">
        <v>3113</v>
      </c>
      <c r="AB2187" s="238" t="s">
        <v>3246</v>
      </c>
      <c r="AC2187" t="s">
        <v>3079</v>
      </c>
      <c r="AD2187" s="24">
        <v>45376</v>
      </c>
      <c r="AE2187" s="238" t="s">
        <v>7714</v>
      </c>
      <c r="AF2187">
        <v>79198188608</v>
      </c>
      <c r="AG2187" s="238" t="s">
        <v>7715</v>
      </c>
      <c r="AH2187" s="238" t="s">
        <v>4072</v>
      </c>
      <c r="AI2187" s="238" t="s">
        <v>6738</v>
      </c>
      <c r="AJ2187" s="238" t="s">
        <v>4177</v>
      </c>
      <c r="AK2187" s="238" t="s">
        <v>141</v>
      </c>
      <c r="AL2187" t="s">
        <v>57</v>
      </c>
      <c r="AM2187" t="s">
        <v>1167</v>
      </c>
    </row>
    <row r="2188" spans="1:39" hidden="1" x14ac:dyDescent="0.25">
      <c r="A2188">
        <v>2185</v>
      </c>
      <c r="B2188">
        <v>7</v>
      </c>
      <c r="C2188" s="24">
        <v>45271</v>
      </c>
      <c r="D2188" s="238" t="s">
        <v>91</v>
      </c>
      <c r="E2188" s="238" t="s">
        <v>16</v>
      </c>
      <c r="F2188">
        <v>2</v>
      </c>
      <c r="G2188">
        <v>13</v>
      </c>
      <c r="H2188">
        <v>319</v>
      </c>
      <c r="I2188" s="238" t="s">
        <v>43</v>
      </c>
      <c r="J2188">
        <v>67.95</v>
      </c>
      <c r="K2188" s="238" t="s">
        <v>38</v>
      </c>
      <c r="L2188">
        <v>7450700</v>
      </c>
      <c r="M2188">
        <v>0</v>
      </c>
      <c r="N2188">
        <v>7450700</v>
      </c>
      <c r="O2188">
        <v>109649.74245768947</v>
      </c>
      <c r="P2188">
        <v>1494900</v>
      </c>
      <c r="Q2188">
        <v>5955800</v>
      </c>
      <c r="R2188">
        <v>87649.74245768947</v>
      </c>
      <c r="S2188" s="238" t="s">
        <v>137</v>
      </c>
      <c r="T2188" s="238" t="s">
        <v>1167</v>
      </c>
      <c r="V2188" t="s">
        <v>4092</v>
      </c>
      <c r="W2188" s="24">
        <v>45267</v>
      </c>
      <c r="X2188" s="238" t="s">
        <v>6748</v>
      </c>
      <c r="Y2188" s="238" t="s">
        <v>39</v>
      </c>
      <c r="Z2188" s="238" t="s">
        <v>1340</v>
      </c>
      <c r="AA2188" t="s">
        <v>3113</v>
      </c>
      <c r="AB2188" s="238" t="s">
        <v>3246</v>
      </c>
      <c r="AC2188" t="s">
        <v>3079</v>
      </c>
      <c r="AD2188" s="24"/>
      <c r="AE2188" s="238" t="s">
        <v>6749</v>
      </c>
      <c r="AF2188">
        <v>79171482956</v>
      </c>
      <c r="AG2188" s="238" t="s">
        <v>6750</v>
      </c>
      <c r="AH2188" s="238" t="s">
        <v>1171</v>
      </c>
      <c r="AI2188" s="238" t="s">
        <v>135</v>
      </c>
      <c r="AJ2188" s="238" t="s">
        <v>126</v>
      </c>
      <c r="AK2188" s="238" t="s">
        <v>3345</v>
      </c>
      <c r="AL2188" t="s">
        <v>8715</v>
      </c>
      <c r="AM2188" t="s">
        <v>1167</v>
      </c>
    </row>
    <row r="2189" spans="1:39" x14ac:dyDescent="0.25">
      <c r="A2189">
        <v>2186</v>
      </c>
      <c r="B2189">
        <v>8</v>
      </c>
      <c r="C2189" s="24">
        <v>45272</v>
      </c>
      <c r="D2189" s="238" t="s">
        <v>3388</v>
      </c>
      <c r="E2189" s="238" t="s">
        <v>6</v>
      </c>
      <c r="F2189">
        <v>5</v>
      </c>
      <c r="G2189">
        <v>7</v>
      </c>
      <c r="H2189">
        <v>46</v>
      </c>
      <c r="I2189" s="238" t="s">
        <v>43</v>
      </c>
      <c r="J2189">
        <v>62.17</v>
      </c>
      <c r="K2189" s="238" t="s">
        <v>38</v>
      </c>
      <c r="L2189">
        <v>6737440</v>
      </c>
      <c r="M2189">
        <v>0</v>
      </c>
      <c r="N2189">
        <v>6737440</v>
      </c>
      <c r="O2189">
        <v>108371.24014798134</v>
      </c>
      <c r="P2189">
        <v>1367740</v>
      </c>
      <c r="Q2189">
        <v>5369700</v>
      </c>
      <c r="R2189">
        <v>86371.240147981342</v>
      </c>
      <c r="S2189" s="238" t="s">
        <v>137</v>
      </c>
      <c r="T2189" s="238" t="s">
        <v>6732</v>
      </c>
      <c r="U2189">
        <v>30000</v>
      </c>
      <c r="V2189" t="s">
        <v>4092</v>
      </c>
      <c r="W2189" s="24">
        <v>45266</v>
      </c>
      <c r="X2189" s="238" t="s">
        <v>6751</v>
      </c>
      <c r="Y2189" s="238" t="s">
        <v>39</v>
      </c>
      <c r="Z2189" s="238" t="s">
        <v>1340</v>
      </c>
      <c r="AA2189" t="s">
        <v>3113</v>
      </c>
      <c r="AB2189" s="238" t="s">
        <v>3246</v>
      </c>
      <c r="AC2189" t="s">
        <v>3079</v>
      </c>
      <c r="AD2189" s="24"/>
      <c r="AE2189" s="238" t="s">
        <v>6752</v>
      </c>
      <c r="AF2189">
        <v>79376417383</v>
      </c>
      <c r="AG2189" s="238" t="s">
        <v>6753</v>
      </c>
      <c r="AH2189" s="238" t="s">
        <v>1171</v>
      </c>
      <c r="AI2189" s="238" t="s">
        <v>135</v>
      </c>
      <c r="AJ2189" s="238" t="s">
        <v>126</v>
      </c>
      <c r="AK2189" s="238" t="s">
        <v>141</v>
      </c>
      <c r="AL2189" t="s">
        <v>8715</v>
      </c>
      <c r="AM2189" t="s">
        <v>1167</v>
      </c>
    </row>
    <row r="2190" spans="1:39" hidden="1" x14ac:dyDescent="0.25">
      <c r="A2190">
        <v>2187</v>
      </c>
      <c r="B2190">
        <v>9</v>
      </c>
      <c r="C2190" s="24">
        <v>45272</v>
      </c>
      <c r="D2190" s="238" t="s">
        <v>91</v>
      </c>
      <c r="E2190" s="238" t="s">
        <v>5</v>
      </c>
      <c r="F2190">
        <v>2</v>
      </c>
      <c r="G2190">
        <v>11</v>
      </c>
      <c r="H2190">
        <v>194</v>
      </c>
      <c r="I2190" s="238" t="s">
        <v>43</v>
      </c>
      <c r="J2190">
        <v>68.75</v>
      </c>
      <c r="K2190" s="238" t="s">
        <v>36</v>
      </c>
      <c r="L2190">
        <v>5905382</v>
      </c>
      <c r="M2190">
        <v>0</v>
      </c>
      <c r="N2190">
        <v>5905382</v>
      </c>
      <c r="O2190">
        <v>85896.465454545454</v>
      </c>
      <c r="P2190">
        <v>0</v>
      </c>
      <c r="Q2190">
        <v>5905382</v>
      </c>
      <c r="R2190">
        <v>85896.465454545454</v>
      </c>
      <c r="S2190" s="238" t="s">
        <v>137</v>
      </c>
      <c r="T2190" s="238" t="s">
        <v>3540</v>
      </c>
      <c r="U2190">
        <v>120518</v>
      </c>
      <c r="V2190" t="s">
        <v>4091</v>
      </c>
      <c r="W2190" s="24">
        <v>45267</v>
      </c>
      <c r="X2190" s="238" t="s">
        <v>6754</v>
      </c>
      <c r="Y2190" s="238" t="s">
        <v>39</v>
      </c>
      <c r="Z2190" s="238" t="s">
        <v>1340</v>
      </c>
      <c r="AA2190" t="s">
        <v>3113</v>
      </c>
      <c r="AB2190" s="238" t="s">
        <v>3246</v>
      </c>
      <c r="AC2190" t="s">
        <v>3079</v>
      </c>
      <c r="AD2190" s="24"/>
      <c r="AE2190" s="238" t="s">
        <v>6755</v>
      </c>
      <c r="AF2190">
        <v>79277117462</v>
      </c>
      <c r="AG2190" s="238" t="s">
        <v>6756</v>
      </c>
      <c r="AH2190" s="238" t="s">
        <v>1171</v>
      </c>
      <c r="AI2190" s="238" t="s">
        <v>3090</v>
      </c>
      <c r="AJ2190" s="238" t="s">
        <v>126</v>
      </c>
      <c r="AK2190" s="238" t="s">
        <v>3345</v>
      </c>
      <c r="AL2190" t="s">
        <v>8715</v>
      </c>
      <c r="AM2190" t="s">
        <v>1167</v>
      </c>
    </row>
    <row r="2191" spans="1:39" hidden="1" x14ac:dyDescent="0.25">
      <c r="A2191">
        <v>2188</v>
      </c>
      <c r="B2191">
        <v>10</v>
      </c>
      <c r="C2191" s="24">
        <v>45273</v>
      </c>
      <c r="D2191" s="238" t="s">
        <v>91</v>
      </c>
      <c r="E2191" s="238" t="s">
        <v>16</v>
      </c>
      <c r="F2191">
        <v>2</v>
      </c>
      <c r="G2191">
        <v>14</v>
      </c>
      <c r="H2191">
        <v>326</v>
      </c>
      <c r="I2191" s="238" t="s">
        <v>43</v>
      </c>
      <c r="J2191">
        <v>67.95</v>
      </c>
      <c r="K2191" s="238" t="s">
        <v>37</v>
      </c>
      <c r="L2191">
        <v>6435374.5499999998</v>
      </c>
      <c r="M2191">
        <v>30000</v>
      </c>
      <c r="N2191">
        <v>6465374.5499999998</v>
      </c>
      <c r="O2191">
        <v>95149</v>
      </c>
      <c r="P2191">
        <v>509625</v>
      </c>
      <c r="Q2191">
        <v>5955749.5499999998</v>
      </c>
      <c r="R2191">
        <v>87649</v>
      </c>
      <c r="S2191" s="238" t="s">
        <v>137</v>
      </c>
      <c r="T2191" s="238" t="s">
        <v>1167</v>
      </c>
      <c r="V2191" t="s">
        <v>4092</v>
      </c>
      <c r="W2191" s="24">
        <v>45261</v>
      </c>
      <c r="X2191" s="238" t="s">
        <v>6757</v>
      </c>
      <c r="Y2191" s="238" t="s">
        <v>39</v>
      </c>
      <c r="Z2191" s="238" t="s">
        <v>1340</v>
      </c>
      <c r="AA2191" t="s">
        <v>3113</v>
      </c>
      <c r="AB2191" s="238" t="s">
        <v>3246</v>
      </c>
      <c r="AC2191" t="s">
        <v>3079</v>
      </c>
      <c r="AD2191" s="24"/>
      <c r="AE2191" s="238" t="s">
        <v>6758</v>
      </c>
      <c r="AF2191">
        <v>79171135993</v>
      </c>
      <c r="AG2191" s="238" t="s">
        <v>6759</v>
      </c>
      <c r="AH2191" s="238" t="s">
        <v>1171</v>
      </c>
      <c r="AI2191" s="238" t="s">
        <v>3074</v>
      </c>
      <c r="AJ2191" s="238" t="s">
        <v>5215</v>
      </c>
      <c r="AK2191" s="238" t="s">
        <v>141</v>
      </c>
      <c r="AL2191" t="s">
        <v>8715</v>
      </c>
      <c r="AM2191" t="s">
        <v>1167</v>
      </c>
    </row>
    <row r="2192" spans="1:39" x14ac:dyDescent="0.25">
      <c r="A2192">
        <v>2189</v>
      </c>
      <c r="B2192">
        <v>11</v>
      </c>
      <c r="C2192" s="24">
        <v>45273</v>
      </c>
      <c r="D2192" s="238" t="s">
        <v>3388</v>
      </c>
      <c r="E2192" s="238" t="s">
        <v>16</v>
      </c>
      <c r="F2192">
        <v>3</v>
      </c>
      <c r="G2192">
        <v>11</v>
      </c>
      <c r="H2192">
        <v>294</v>
      </c>
      <c r="I2192" s="238" t="s">
        <v>43</v>
      </c>
      <c r="J2192">
        <v>56.58</v>
      </c>
      <c r="K2192" s="238" t="s">
        <v>37</v>
      </c>
      <c r="L2192">
        <v>5240266</v>
      </c>
      <c r="M2192">
        <v>0</v>
      </c>
      <c r="N2192">
        <v>5240266</v>
      </c>
      <c r="O2192">
        <v>92616.93177801343</v>
      </c>
      <c r="P2192">
        <v>424350</v>
      </c>
      <c r="Q2192">
        <v>4815916</v>
      </c>
      <c r="R2192">
        <v>85116.93177801343</v>
      </c>
      <c r="S2192" s="238" t="s">
        <v>137</v>
      </c>
      <c r="T2192" s="238" t="s">
        <v>3540</v>
      </c>
      <c r="U2192">
        <v>98284</v>
      </c>
      <c r="V2192" t="s">
        <v>4092</v>
      </c>
      <c r="W2192" s="24">
        <v>45266</v>
      </c>
      <c r="X2192" s="238" t="s">
        <v>6760</v>
      </c>
      <c r="Y2192" s="238" t="s">
        <v>39</v>
      </c>
      <c r="Z2192" s="238" t="s">
        <v>1340</v>
      </c>
      <c r="AA2192" t="s">
        <v>3113</v>
      </c>
      <c r="AB2192" s="238" t="s">
        <v>3246</v>
      </c>
      <c r="AC2192" t="s">
        <v>3079</v>
      </c>
      <c r="AD2192" s="24"/>
      <c r="AE2192" s="238" t="s">
        <v>6761</v>
      </c>
      <c r="AF2192">
        <v>79370769970</v>
      </c>
      <c r="AG2192" s="238" t="s">
        <v>6762</v>
      </c>
      <c r="AH2192" s="238" t="s">
        <v>1171</v>
      </c>
      <c r="AI2192" s="238" t="s">
        <v>3074</v>
      </c>
      <c r="AJ2192" s="238" t="s">
        <v>5215</v>
      </c>
      <c r="AK2192" s="238" t="s">
        <v>141</v>
      </c>
      <c r="AL2192" t="s">
        <v>8715</v>
      </c>
      <c r="AM2192" t="s">
        <v>1167</v>
      </c>
    </row>
    <row r="2193" spans="1:39" x14ac:dyDescent="0.25">
      <c r="A2193">
        <v>2190</v>
      </c>
      <c r="B2193">
        <v>12</v>
      </c>
      <c r="C2193" s="24">
        <v>45273</v>
      </c>
      <c r="D2193" s="238" t="s">
        <v>3388</v>
      </c>
      <c r="E2193" s="238" t="s">
        <v>6</v>
      </c>
      <c r="F2193">
        <v>6</v>
      </c>
      <c r="G2193">
        <v>15</v>
      </c>
      <c r="H2193">
        <v>103</v>
      </c>
      <c r="I2193" s="238" t="s">
        <v>43</v>
      </c>
      <c r="J2193">
        <v>58.16</v>
      </c>
      <c r="K2193" s="238" t="s">
        <v>38</v>
      </c>
      <c r="L2193">
        <v>6301334</v>
      </c>
      <c r="M2193">
        <v>0</v>
      </c>
      <c r="N2193">
        <v>6301334</v>
      </c>
      <c r="O2193">
        <v>108344.80742778543</v>
      </c>
      <c r="P2193">
        <v>1279520</v>
      </c>
      <c r="Q2193">
        <v>5021814</v>
      </c>
      <c r="R2193">
        <v>86344.807427785418</v>
      </c>
      <c r="S2193" s="238" t="s">
        <v>137</v>
      </c>
      <c r="T2193" s="238" t="s">
        <v>3540</v>
      </c>
      <c r="U2193">
        <v>102486</v>
      </c>
      <c r="V2193" t="s">
        <v>4092</v>
      </c>
      <c r="W2193" s="24">
        <v>45271</v>
      </c>
      <c r="X2193" s="238" t="s">
        <v>6763</v>
      </c>
      <c r="Y2193" s="238" t="s">
        <v>39</v>
      </c>
      <c r="Z2193" s="238" t="s">
        <v>1340</v>
      </c>
      <c r="AA2193" t="s">
        <v>3113</v>
      </c>
      <c r="AB2193" s="238" t="s">
        <v>3246</v>
      </c>
      <c r="AC2193" t="s">
        <v>3079</v>
      </c>
      <c r="AD2193" s="24"/>
      <c r="AE2193" s="238" t="s">
        <v>6764</v>
      </c>
      <c r="AF2193">
        <v>79871693102</v>
      </c>
      <c r="AG2193" s="238" t="s">
        <v>6765</v>
      </c>
      <c r="AH2193" s="238" t="s">
        <v>135</v>
      </c>
      <c r="AI2193" s="238" t="s">
        <v>3099</v>
      </c>
      <c r="AJ2193" s="238" t="s">
        <v>4177</v>
      </c>
      <c r="AK2193" s="238" t="s">
        <v>141</v>
      </c>
      <c r="AL2193" t="s">
        <v>8715</v>
      </c>
      <c r="AM2193" t="s">
        <v>1167</v>
      </c>
    </row>
    <row r="2194" spans="1:39" x14ac:dyDescent="0.25">
      <c r="A2194">
        <v>2191</v>
      </c>
      <c r="B2194">
        <v>13</v>
      </c>
      <c r="C2194" s="24">
        <v>45273</v>
      </c>
      <c r="D2194" s="238" t="s">
        <v>3388</v>
      </c>
      <c r="E2194" s="238" t="s">
        <v>6</v>
      </c>
      <c r="F2194">
        <v>4</v>
      </c>
      <c r="G2194">
        <v>9</v>
      </c>
      <c r="H2194">
        <v>59</v>
      </c>
      <c r="I2194" s="238" t="s">
        <v>43</v>
      </c>
      <c r="J2194">
        <v>59.09</v>
      </c>
      <c r="K2194" s="238" t="s">
        <v>36</v>
      </c>
      <c r="L2194">
        <v>5132200</v>
      </c>
      <c r="M2194">
        <v>0</v>
      </c>
      <c r="N2194">
        <v>5132200</v>
      </c>
      <c r="O2194">
        <v>86853.951599255364</v>
      </c>
      <c r="P2194">
        <v>0</v>
      </c>
      <c r="Q2194">
        <v>5132200</v>
      </c>
      <c r="R2194">
        <v>86853.951599255364</v>
      </c>
      <c r="S2194" s="238" t="s">
        <v>137</v>
      </c>
      <c r="T2194" s="238" t="s">
        <v>1167</v>
      </c>
      <c r="V2194" t="s">
        <v>4092</v>
      </c>
      <c r="W2194" s="24">
        <v>45271</v>
      </c>
      <c r="X2194" s="238" t="s">
        <v>6766</v>
      </c>
      <c r="Y2194" s="238" t="s">
        <v>39</v>
      </c>
      <c r="Z2194" s="238" t="s">
        <v>1340</v>
      </c>
      <c r="AA2194" t="s">
        <v>3113</v>
      </c>
      <c r="AB2194" s="238" t="s">
        <v>3246</v>
      </c>
      <c r="AC2194" t="s">
        <v>3079</v>
      </c>
      <c r="AD2194" s="24"/>
      <c r="AE2194" s="238" t="s">
        <v>6767</v>
      </c>
      <c r="AF2194">
        <v>79277972164</v>
      </c>
      <c r="AG2194" s="238" t="s">
        <v>9111</v>
      </c>
      <c r="AH2194" s="238" t="s">
        <v>1171</v>
      </c>
      <c r="AI2194" s="238" t="s">
        <v>3514</v>
      </c>
      <c r="AJ2194" s="238" t="s">
        <v>5215</v>
      </c>
      <c r="AK2194" s="238" t="s">
        <v>3345</v>
      </c>
      <c r="AL2194" t="s">
        <v>8715</v>
      </c>
      <c r="AM2194" t="s">
        <v>1167</v>
      </c>
    </row>
    <row r="2195" spans="1:39" x14ac:dyDescent="0.25">
      <c r="A2195">
        <v>2192</v>
      </c>
      <c r="B2195">
        <v>14</v>
      </c>
      <c r="C2195" s="24">
        <v>45273</v>
      </c>
      <c r="D2195" s="238" t="s">
        <v>3388</v>
      </c>
      <c r="E2195" s="238" t="s">
        <v>16</v>
      </c>
      <c r="F2195">
        <v>6</v>
      </c>
      <c r="G2195">
        <v>10</v>
      </c>
      <c r="H2195">
        <v>290</v>
      </c>
      <c r="I2195" s="238" t="s">
        <v>44</v>
      </c>
      <c r="J2195">
        <v>80.97</v>
      </c>
      <c r="K2195" s="238" t="s">
        <v>37</v>
      </c>
      <c r="L2195">
        <v>7097975</v>
      </c>
      <c r="M2195">
        <v>0</v>
      </c>
      <c r="N2195">
        <v>7097975</v>
      </c>
      <c r="O2195">
        <v>87661.788316660488</v>
      </c>
      <c r="P2195">
        <v>607275</v>
      </c>
      <c r="Q2195">
        <v>6490700</v>
      </c>
      <c r="R2195">
        <v>80161.788316660488</v>
      </c>
      <c r="S2195" s="238" t="s">
        <v>137</v>
      </c>
      <c r="T2195" s="238" t="s">
        <v>6732</v>
      </c>
      <c r="U2195">
        <v>10000</v>
      </c>
      <c r="V2195" t="s">
        <v>4091</v>
      </c>
      <c r="W2195" s="24">
        <v>45272</v>
      </c>
      <c r="X2195" s="238" t="s">
        <v>6768</v>
      </c>
      <c r="Y2195" s="238" t="s">
        <v>39</v>
      </c>
      <c r="Z2195" s="238" t="s">
        <v>1340</v>
      </c>
      <c r="AA2195" t="s">
        <v>3113</v>
      </c>
      <c r="AB2195" s="238" t="s">
        <v>3246</v>
      </c>
      <c r="AC2195" t="s">
        <v>3079</v>
      </c>
      <c r="AD2195" s="24"/>
      <c r="AE2195" s="238" t="s">
        <v>6769</v>
      </c>
      <c r="AF2195">
        <v>79323151066</v>
      </c>
      <c r="AG2195" s="238" t="s">
        <v>6770</v>
      </c>
      <c r="AH2195" s="238" t="s">
        <v>1212</v>
      </c>
      <c r="AI2195" s="238" t="s">
        <v>3074</v>
      </c>
      <c r="AJ2195" s="238" t="s">
        <v>126</v>
      </c>
      <c r="AK2195" s="238" t="s">
        <v>141</v>
      </c>
      <c r="AL2195" t="s">
        <v>8715</v>
      </c>
      <c r="AM2195" t="s">
        <v>1167</v>
      </c>
    </row>
    <row r="2196" spans="1:39" x14ac:dyDescent="0.25">
      <c r="A2196">
        <v>2193</v>
      </c>
      <c r="B2196">
        <v>15</v>
      </c>
      <c r="C2196" s="24">
        <v>45274</v>
      </c>
      <c r="D2196" s="238" t="s">
        <v>3388</v>
      </c>
      <c r="E2196" s="238" t="s">
        <v>6</v>
      </c>
      <c r="F2196">
        <v>4</v>
      </c>
      <c r="G2196">
        <v>12</v>
      </c>
      <c r="H2196">
        <v>80</v>
      </c>
      <c r="I2196" s="238" t="s">
        <v>43</v>
      </c>
      <c r="J2196">
        <v>59.09</v>
      </c>
      <c r="K2196" s="238" t="s">
        <v>37</v>
      </c>
      <c r="L2196">
        <v>5475375</v>
      </c>
      <c r="M2196">
        <v>0</v>
      </c>
      <c r="N2196">
        <v>5475375</v>
      </c>
      <c r="O2196">
        <v>92661.61787104416</v>
      </c>
      <c r="P2196">
        <v>443175</v>
      </c>
      <c r="Q2196">
        <v>5032200</v>
      </c>
      <c r="R2196">
        <v>85161.61787104416</v>
      </c>
      <c r="S2196" s="238" t="s">
        <v>137</v>
      </c>
      <c r="T2196" s="238" t="s">
        <v>6732</v>
      </c>
      <c r="U2196">
        <v>100000</v>
      </c>
      <c r="V2196" t="s">
        <v>4091</v>
      </c>
      <c r="W2196" s="24">
        <v>45266</v>
      </c>
      <c r="X2196" s="238" t="s">
        <v>6771</v>
      </c>
      <c r="Y2196" s="238" t="s">
        <v>39</v>
      </c>
      <c r="Z2196" s="238" t="s">
        <v>1340</v>
      </c>
      <c r="AA2196" t="s">
        <v>3113</v>
      </c>
      <c r="AB2196" s="238" t="s">
        <v>3246</v>
      </c>
      <c r="AC2196" t="s">
        <v>3079</v>
      </c>
      <c r="AD2196" s="24"/>
      <c r="AE2196" s="238" t="s">
        <v>6772</v>
      </c>
      <c r="AF2196">
        <v>79277088232</v>
      </c>
      <c r="AG2196" s="238" t="s">
        <v>6773</v>
      </c>
      <c r="AH2196" s="238" t="s">
        <v>1171</v>
      </c>
      <c r="AI2196" s="238" t="s">
        <v>3090</v>
      </c>
      <c r="AJ2196" s="238" t="s">
        <v>5215</v>
      </c>
      <c r="AK2196" s="238" t="s">
        <v>3345</v>
      </c>
      <c r="AL2196" t="s">
        <v>8715</v>
      </c>
      <c r="AM2196" t="s">
        <v>1167</v>
      </c>
    </row>
    <row r="2197" spans="1:39" x14ac:dyDescent="0.25">
      <c r="A2197">
        <v>2194</v>
      </c>
      <c r="B2197">
        <v>16</v>
      </c>
      <c r="C2197" s="24">
        <v>45274</v>
      </c>
      <c r="D2197" s="238" t="s">
        <v>3388</v>
      </c>
      <c r="E2197" s="238" t="s">
        <v>15</v>
      </c>
      <c r="F2197">
        <v>6</v>
      </c>
      <c r="G2197">
        <v>17</v>
      </c>
      <c r="H2197">
        <v>522</v>
      </c>
      <c r="I2197" s="238" t="s">
        <v>42</v>
      </c>
      <c r="J2197">
        <v>38.299999999999997</v>
      </c>
      <c r="K2197" s="238" t="s">
        <v>37</v>
      </c>
      <c r="L2197">
        <v>4058486</v>
      </c>
      <c r="M2197">
        <v>0</v>
      </c>
      <c r="N2197">
        <v>4058486</v>
      </c>
      <c r="O2197">
        <v>105965.69190600523</v>
      </c>
      <c r="P2197">
        <v>287250</v>
      </c>
      <c r="Q2197">
        <v>3771236</v>
      </c>
      <c r="R2197">
        <v>98465.691906005231</v>
      </c>
      <c r="S2197" s="238" t="s">
        <v>137</v>
      </c>
      <c r="T2197" s="238" t="s">
        <v>4360</v>
      </c>
      <c r="U2197">
        <v>76964</v>
      </c>
      <c r="V2197" t="s">
        <v>4092</v>
      </c>
      <c r="W2197" s="24">
        <v>45268</v>
      </c>
      <c r="X2197" s="238" t="s">
        <v>6774</v>
      </c>
      <c r="Y2197" s="238" t="s">
        <v>39</v>
      </c>
      <c r="Z2197" s="238" t="s">
        <v>1340</v>
      </c>
      <c r="AA2197" t="s">
        <v>3113</v>
      </c>
      <c r="AB2197" s="238" t="s">
        <v>3246</v>
      </c>
      <c r="AC2197" t="s">
        <v>3079</v>
      </c>
      <c r="AD2197" s="24"/>
      <c r="AE2197" s="238" t="s">
        <v>6746</v>
      </c>
      <c r="AF2197">
        <v>79270028490</v>
      </c>
      <c r="AG2197" s="238" t="s">
        <v>6747</v>
      </c>
      <c r="AH2197" s="238" t="s">
        <v>135</v>
      </c>
      <c r="AI2197" s="238" t="s">
        <v>135</v>
      </c>
      <c r="AJ2197" s="238" t="s">
        <v>4177</v>
      </c>
      <c r="AK2197" s="238" t="s">
        <v>141</v>
      </c>
      <c r="AL2197" t="s">
        <v>8715</v>
      </c>
      <c r="AM2197" t="s">
        <v>1167</v>
      </c>
    </row>
    <row r="2198" spans="1:39" x14ac:dyDescent="0.25">
      <c r="A2198">
        <v>2195</v>
      </c>
      <c r="B2198">
        <v>17</v>
      </c>
      <c r="C2198" s="24">
        <v>45275</v>
      </c>
      <c r="D2198" s="238" t="s">
        <v>3388</v>
      </c>
      <c r="E2198" s="238" t="s">
        <v>6</v>
      </c>
      <c r="F2198">
        <v>7</v>
      </c>
      <c r="G2198">
        <v>2</v>
      </c>
      <c r="H2198">
        <v>13</v>
      </c>
      <c r="I2198" s="238" t="s">
        <v>42</v>
      </c>
      <c r="J2198">
        <v>42.75</v>
      </c>
      <c r="K2198" s="238" t="s">
        <v>37</v>
      </c>
      <c r="L2198">
        <v>4381304.84</v>
      </c>
      <c r="M2198">
        <v>15000</v>
      </c>
      <c r="N2198">
        <v>4396304.84</v>
      </c>
      <c r="O2198">
        <v>102837.54011695906</v>
      </c>
      <c r="P2198">
        <v>320625</v>
      </c>
      <c r="Q2198">
        <v>4075679.84</v>
      </c>
      <c r="R2198">
        <v>95337.540116959062</v>
      </c>
      <c r="S2198" s="238" t="s">
        <v>137</v>
      </c>
      <c r="T2198" s="238" t="s">
        <v>1167</v>
      </c>
      <c r="V2198" t="s">
        <v>4091</v>
      </c>
      <c r="W2198" s="24">
        <v>45240</v>
      </c>
      <c r="X2198" s="238" t="s">
        <v>6775</v>
      </c>
      <c r="Y2198" s="238" t="s">
        <v>39</v>
      </c>
      <c r="Z2198" s="238" t="s">
        <v>1340</v>
      </c>
      <c r="AA2198" t="s">
        <v>3113</v>
      </c>
      <c r="AB2198" s="238" t="s">
        <v>3246</v>
      </c>
      <c r="AC2198" t="s">
        <v>3079</v>
      </c>
      <c r="AD2198" s="24"/>
      <c r="AE2198" s="238" t="s">
        <v>6776</v>
      </c>
      <c r="AF2198">
        <v>79967450709</v>
      </c>
      <c r="AG2198" s="238" t="s">
        <v>6777</v>
      </c>
      <c r="AH2198" s="238" t="s">
        <v>146</v>
      </c>
      <c r="AI2198" s="238" t="s">
        <v>135</v>
      </c>
      <c r="AJ2198" s="238" t="s">
        <v>4177</v>
      </c>
      <c r="AK2198" s="238" t="s">
        <v>3345</v>
      </c>
      <c r="AL2198" t="s">
        <v>8715</v>
      </c>
      <c r="AM2198" t="s">
        <v>1167</v>
      </c>
    </row>
    <row r="2199" spans="1:39" x14ac:dyDescent="0.25">
      <c r="A2199">
        <v>2196</v>
      </c>
      <c r="B2199">
        <v>18</v>
      </c>
      <c r="C2199" s="24">
        <v>45275</v>
      </c>
      <c r="D2199" s="238" t="s">
        <v>3388</v>
      </c>
      <c r="E2199" s="238" t="s">
        <v>16</v>
      </c>
      <c r="F2199">
        <v>1</v>
      </c>
      <c r="G2199">
        <v>16</v>
      </c>
      <c r="H2199">
        <v>327</v>
      </c>
      <c r="I2199" s="238" t="s">
        <v>43</v>
      </c>
      <c r="J2199">
        <v>73.7</v>
      </c>
      <c r="K2199" s="238" t="s">
        <v>36</v>
      </c>
      <c r="L2199">
        <v>6273078</v>
      </c>
      <c r="M2199">
        <v>0</v>
      </c>
      <c r="N2199">
        <v>6273078</v>
      </c>
      <c r="O2199">
        <v>85116.390773405699</v>
      </c>
      <c r="P2199">
        <v>0</v>
      </c>
      <c r="Q2199">
        <v>6273078</v>
      </c>
      <c r="R2199">
        <v>85116.390773405699</v>
      </c>
      <c r="S2199" s="238" t="s">
        <v>137</v>
      </c>
      <c r="T2199" s="238" t="s">
        <v>3540</v>
      </c>
      <c r="U2199">
        <v>128022</v>
      </c>
      <c r="V2199" t="s">
        <v>4091</v>
      </c>
      <c r="W2199" s="24">
        <v>45271</v>
      </c>
      <c r="X2199" s="238" t="s">
        <v>6778</v>
      </c>
      <c r="Y2199" s="238" t="s">
        <v>39</v>
      </c>
      <c r="Z2199" s="238" t="s">
        <v>1340</v>
      </c>
      <c r="AA2199" t="s">
        <v>3113</v>
      </c>
      <c r="AB2199" s="238" t="s">
        <v>3246</v>
      </c>
      <c r="AC2199" t="s">
        <v>3079</v>
      </c>
      <c r="AD2199" s="24"/>
      <c r="AE2199" s="238" t="s">
        <v>6779</v>
      </c>
      <c r="AF2199">
        <v>79276927529</v>
      </c>
      <c r="AG2199" s="238" t="s">
        <v>6780</v>
      </c>
      <c r="AH2199" s="238" t="s">
        <v>1212</v>
      </c>
      <c r="AI2199" s="238" t="s">
        <v>135</v>
      </c>
      <c r="AJ2199" s="238" t="s">
        <v>5215</v>
      </c>
      <c r="AK2199" s="238" t="s">
        <v>3345</v>
      </c>
      <c r="AL2199" t="s">
        <v>8715</v>
      </c>
      <c r="AM2199" t="s">
        <v>1167</v>
      </c>
    </row>
    <row r="2200" spans="1:39" x14ac:dyDescent="0.25">
      <c r="A2200">
        <v>2197</v>
      </c>
      <c r="B2200">
        <v>19</v>
      </c>
      <c r="C2200" s="24">
        <v>45275</v>
      </c>
      <c r="D2200" s="238" t="s">
        <v>3388</v>
      </c>
      <c r="E2200" s="238" t="s">
        <v>5</v>
      </c>
      <c r="F2200">
        <v>4</v>
      </c>
      <c r="G2200">
        <v>14</v>
      </c>
      <c r="H2200">
        <v>205</v>
      </c>
      <c r="I2200" s="238" t="s">
        <v>43</v>
      </c>
      <c r="J2200">
        <v>58.31</v>
      </c>
      <c r="K2200" s="238" t="s">
        <v>38</v>
      </c>
      <c r="L2200">
        <v>5317950</v>
      </c>
      <c r="M2200">
        <v>0</v>
      </c>
      <c r="N2200">
        <v>5317950</v>
      </c>
      <c r="O2200">
        <v>91201.337677928313</v>
      </c>
      <c r="P2200">
        <v>437325</v>
      </c>
      <c r="Q2200">
        <v>4880625</v>
      </c>
      <c r="R2200">
        <v>83701.337677928313</v>
      </c>
      <c r="S2200" s="238" t="s">
        <v>137</v>
      </c>
      <c r="T2200" s="238" t="s">
        <v>978</v>
      </c>
      <c r="U2200">
        <v>256875</v>
      </c>
      <c r="V2200" t="s">
        <v>4091</v>
      </c>
      <c r="W2200" s="24">
        <v>45273</v>
      </c>
      <c r="X2200" s="238" t="s">
        <v>6781</v>
      </c>
      <c r="Y2200" s="238" t="s">
        <v>39</v>
      </c>
      <c r="Z2200" s="238" t="s">
        <v>1340</v>
      </c>
      <c r="AA2200" t="s">
        <v>3113</v>
      </c>
      <c r="AB2200" s="238" t="s">
        <v>3246</v>
      </c>
      <c r="AC2200" t="s">
        <v>3079</v>
      </c>
      <c r="AD2200" s="24"/>
      <c r="AE2200" s="238" t="s">
        <v>6782</v>
      </c>
      <c r="AF2200">
        <v>79171191415</v>
      </c>
      <c r="AG2200" s="238" t="s">
        <v>6783</v>
      </c>
      <c r="AH2200" s="238" t="s">
        <v>1171</v>
      </c>
      <c r="AI2200" s="238" t="s">
        <v>3514</v>
      </c>
      <c r="AJ2200" s="238" t="s">
        <v>4177</v>
      </c>
      <c r="AK2200" s="238" t="s">
        <v>141</v>
      </c>
      <c r="AL2200" t="s">
        <v>8715</v>
      </c>
      <c r="AM2200" t="s">
        <v>7677</v>
      </c>
    </row>
    <row r="2201" spans="1:39" hidden="1" x14ac:dyDescent="0.25">
      <c r="A2201">
        <v>2198</v>
      </c>
      <c r="B2201">
        <v>20</v>
      </c>
      <c r="C2201" s="24">
        <v>45275</v>
      </c>
      <c r="D2201" s="238" t="s">
        <v>91</v>
      </c>
      <c r="E2201" s="238" t="s">
        <v>15</v>
      </c>
      <c r="F2201">
        <v>9</v>
      </c>
      <c r="G2201">
        <v>10</v>
      </c>
      <c r="H2201">
        <v>482</v>
      </c>
      <c r="I2201" s="238" t="s">
        <v>42</v>
      </c>
      <c r="J2201">
        <v>44.37</v>
      </c>
      <c r="K2201" s="238" t="s">
        <v>38</v>
      </c>
      <c r="L2201">
        <v>5246140</v>
      </c>
      <c r="M2201">
        <v>0</v>
      </c>
      <c r="N2201">
        <v>5246140</v>
      </c>
      <c r="O2201">
        <v>118236.19562767637</v>
      </c>
      <c r="P2201">
        <v>976140</v>
      </c>
      <c r="Q2201">
        <v>4270000</v>
      </c>
      <c r="R2201">
        <v>96236.195627676367</v>
      </c>
      <c r="S2201" s="238" t="s">
        <v>137</v>
      </c>
      <c r="T2201" s="238" t="s">
        <v>6732</v>
      </c>
      <c r="U2201">
        <v>20000</v>
      </c>
      <c r="V2201" t="s">
        <v>4092</v>
      </c>
      <c r="W2201" s="24">
        <v>45274</v>
      </c>
      <c r="X2201" s="238" t="s">
        <v>6784</v>
      </c>
      <c r="Y2201" s="238" t="s">
        <v>39</v>
      </c>
      <c r="Z2201" s="238" t="s">
        <v>1340</v>
      </c>
      <c r="AA2201" t="s">
        <v>3113</v>
      </c>
      <c r="AB2201" s="238" t="s">
        <v>3246</v>
      </c>
      <c r="AC2201" t="s">
        <v>3079</v>
      </c>
      <c r="AD2201" s="24"/>
      <c r="AE2201" s="238" t="s">
        <v>6785</v>
      </c>
      <c r="AF2201">
        <v>79619276411</v>
      </c>
      <c r="AG2201" s="238" t="s">
        <v>6786</v>
      </c>
      <c r="AH2201" s="238" t="s">
        <v>1197</v>
      </c>
      <c r="AI2201" s="238" t="s">
        <v>6406</v>
      </c>
      <c r="AJ2201" s="238" t="s">
        <v>126</v>
      </c>
      <c r="AK2201" s="238" t="s">
        <v>141</v>
      </c>
      <c r="AL2201" t="s">
        <v>57</v>
      </c>
      <c r="AM2201" t="s">
        <v>1167</v>
      </c>
    </row>
    <row r="2202" spans="1:39" hidden="1" x14ac:dyDescent="0.25">
      <c r="A2202">
        <v>2199</v>
      </c>
      <c r="B2202">
        <v>21</v>
      </c>
      <c r="C2202" s="24">
        <v>45278</v>
      </c>
      <c r="D2202" s="238" t="s">
        <v>91</v>
      </c>
      <c r="E2202" s="238" t="s">
        <v>15</v>
      </c>
      <c r="F2202">
        <v>7</v>
      </c>
      <c r="G2202">
        <v>14</v>
      </c>
      <c r="H2202">
        <v>516</v>
      </c>
      <c r="I2202" s="238" t="s">
        <v>43</v>
      </c>
      <c r="J2202">
        <v>67.489999999999995</v>
      </c>
      <c r="K2202" s="238" t="s">
        <v>36</v>
      </c>
      <c r="L2202">
        <v>6000900</v>
      </c>
      <c r="M2202">
        <v>0</v>
      </c>
      <c r="N2202">
        <v>6000900</v>
      </c>
      <c r="O2202">
        <v>88915.394873314566</v>
      </c>
      <c r="P2202">
        <v>0</v>
      </c>
      <c r="Q2202">
        <v>6000900</v>
      </c>
      <c r="R2202">
        <v>88915.394873314566</v>
      </c>
      <c r="S2202" s="238" t="s">
        <v>137</v>
      </c>
      <c r="T2202" s="238" t="s">
        <v>3390</v>
      </c>
      <c r="U2202">
        <v>150000</v>
      </c>
      <c r="V2202" t="s">
        <v>4092</v>
      </c>
      <c r="W2202" s="24">
        <v>45271</v>
      </c>
      <c r="X2202" s="238" t="s">
        <v>6790</v>
      </c>
      <c r="Y2202" s="238" t="s">
        <v>39</v>
      </c>
      <c r="Z2202" s="238" t="s">
        <v>1340</v>
      </c>
      <c r="AA2202" t="s">
        <v>3113</v>
      </c>
      <c r="AB2202" s="238" t="s">
        <v>3246</v>
      </c>
      <c r="AC2202" t="s">
        <v>3079</v>
      </c>
      <c r="AD2202" s="24"/>
      <c r="AE2202" s="238" t="s">
        <v>6791</v>
      </c>
      <c r="AF2202">
        <v>79276263212</v>
      </c>
      <c r="AG2202" s="238" t="s">
        <v>6792</v>
      </c>
      <c r="AH2202" s="238" t="s">
        <v>146</v>
      </c>
      <c r="AI2202" s="238" t="s">
        <v>135</v>
      </c>
      <c r="AJ2202" s="238" t="s">
        <v>126</v>
      </c>
      <c r="AK2202" s="238" t="s">
        <v>3345</v>
      </c>
      <c r="AL2202" t="s">
        <v>8715</v>
      </c>
      <c r="AM2202" t="s">
        <v>1167</v>
      </c>
    </row>
    <row r="2203" spans="1:39" hidden="1" x14ac:dyDescent="0.25">
      <c r="A2203">
        <v>2200</v>
      </c>
      <c r="B2203">
        <v>22</v>
      </c>
      <c r="C2203" s="24">
        <v>45278</v>
      </c>
      <c r="D2203" s="238" t="s">
        <v>91</v>
      </c>
      <c r="E2203" s="238" t="s">
        <v>16</v>
      </c>
      <c r="F2203">
        <v>6</v>
      </c>
      <c r="G2203">
        <v>15</v>
      </c>
      <c r="H2203">
        <v>337</v>
      </c>
      <c r="I2203" s="238" t="s">
        <v>44</v>
      </c>
      <c r="J2203">
        <v>72.510000000000005</v>
      </c>
      <c r="K2203" s="238" t="s">
        <v>36</v>
      </c>
      <c r="L2203">
        <v>6480500</v>
      </c>
      <c r="M2203">
        <v>0</v>
      </c>
      <c r="N2203">
        <v>6480500</v>
      </c>
      <c r="O2203">
        <v>89373.879464901387</v>
      </c>
      <c r="P2203">
        <v>0</v>
      </c>
      <c r="Q2203">
        <v>6480500</v>
      </c>
      <c r="R2203">
        <v>89373.879464901387</v>
      </c>
      <c r="S2203" s="238" t="s">
        <v>137</v>
      </c>
      <c r="T2203" s="238" t="s">
        <v>3390</v>
      </c>
      <c r="U2203">
        <v>170000</v>
      </c>
      <c r="V2203" t="s">
        <v>4093</v>
      </c>
      <c r="W2203" s="24">
        <v>45273</v>
      </c>
      <c r="X2203" s="238" t="s">
        <v>6793</v>
      </c>
      <c r="Y2203" s="238" t="s">
        <v>39</v>
      </c>
      <c r="Z2203" s="238" t="s">
        <v>1340</v>
      </c>
      <c r="AA2203" t="s">
        <v>3113</v>
      </c>
      <c r="AB2203" s="238" t="s">
        <v>3246</v>
      </c>
      <c r="AC2203" t="s">
        <v>3079</v>
      </c>
      <c r="AD2203" s="24"/>
      <c r="AE2203" s="238" t="s">
        <v>6794</v>
      </c>
      <c r="AF2203">
        <v>79278999942</v>
      </c>
      <c r="AG2203" s="238" t="s">
        <v>6795</v>
      </c>
      <c r="AH2203" s="238" t="s">
        <v>1171</v>
      </c>
      <c r="AI2203" s="238" t="s">
        <v>135</v>
      </c>
      <c r="AJ2203" s="238" t="s">
        <v>5215</v>
      </c>
      <c r="AK2203" s="238" t="s">
        <v>141</v>
      </c>
      <c r="AL2203" t="s">
        <v>8715</v>
      </c>
      <c r="AM2203" t="s">
        <v>1167</v>
      </c>
    </row>
    <row r="2204" spans="1:39" hidden="1" x14ac:dyDescent="0.25">
      <c r="A2204">
        <v>2201</v>
      </c>
      <c r="B2204">
        <v>23</v>
      </c>
      <c r="C2204" s="24">
        <v>45278</v>
      </c>
      <c r="D2204" s="238" t="s">
        <v>91</v>
      </c>
      <c r="E2204" s="238" t="s">
        <v>16</v>
      </c>
      <c r="F2204">
        <v>2</v>
      </c>
      <c r="G2204">
        <v>19</v>
      </c>
      <c r="H2204">
        <v>361</v>
      </c>
      <c r="I2204" s="238" t="s">
        <v>43</v>
      </c>
      <c r="J2204">
        <v>67.95</v>
      </c>
      <c r="K2204" s="238" t="s">
        <v>37</v>
      </c>
      <c r="L2204">
        <v>6604950</v>
      </c>
      <c r="M2204">
        <v>0</v>
      </c>
      <c r="N2204">
        <v>6604950</v>
      </c>
      <c r="O2204">
        <v>97203.090507726272</v>
      </c>
      <c r="P2204">
        <v>509625</v>
      </c>
      <c r="Q2204">
        <v>6095325</v>
      </c>
      <c r="R2204">
        <v>89703.090507726272</v>
      </c>
      <c r="S2204" s="238" t="s">
        <v>137</v>
      </c>
      <c r="T2204" s="238" t="s">
        <v>60</v>
      </c>
      <c r="U2204">
        <v>305775</v>
      </c>
      <c r="V2204" t="s">
        <v>4092</v>
      </c>
      <c r="W2204" s="24">
        <v>45274</v>
      </c>
      <c r="X2204" s="238" t="s">
        <v>6796</v>
      </c>
      <c r="Y2204" s="238" t="s">
        <v>39</v>
      </c>
      <c r="Z2204" s="238" t="s">
        <v>1340</v>
      </c>
      <c r="AA2204" t="s">
        <v>3113</v>
      </c>
      <c r="AB2204" s="238" t="s">
        <v>3246</v>
      </c>
      <c r="AC2204" t="s">
        <v>3079</v>
      </c>
      <c r="AD2204" s="24"/>
      <c r="AE2204" s="238" t="s">
        <v>6797</v>
      </c>
      <c r="AF2204">
        <v>79879828807</v>
      </c>
      <c r="AG2204" s="238" t="s">
        <v>6798</v>
      </c>
      <c r="AH2204" s="238" t="s">
        <v>1171</v>
      </c>
      <c r="AI2204" s="238" t="s">
        <v>3074</v>
      </c>
      <c r="AJ2204" s="238" t="s">
        <v>5215</v>
      </c>
      <c r="AK2204" s="238" t="s">
        <v>3345</v>
      </c>
      <c r="AL2204" t="s">
        <v>8715</v>
      </c>
      <c r="AM2204" t="s">
        <v>1167</v>
      </c>
    </row>
    <row r="2205" spans="1:39" x14ac:dyDescent="0.25">
      <c r="A2205">
        <v>2202</v>
      </c>
      <c r="B2205">
        <v>24</v>
      </c>
      <c r="C2205" s="24">
        <v>45279</v>
      </c>
      <c r="D2205" s="238" t="s">
        <v>3388</v>
      </c>
      <c r="E2205" s="238" t="s">
        <v>5</v>
      </c>
      <c r="F2205">
        <v>7</v>
      </c>
      <c r="G2205">
        <v>7</v>
      </c>
      <c r="H2205">
        <v>159</v>
      </c>
      <c r="I2205" s="238" t="s">
        <v>42</v>
      </c>
      <c r="J2205">
        <v>42.28</v>
      </c>
      <c r="K2205" s="238" t="s">
        <v>37</v>
      </c>
      <c r="L2205">
        <v>4468800</v>
      </c>
      <c r="M2205">
        <v>0</v>
      </c>
      <c r="N2205">
        <v>4468800</v>
      </c>
      <c r="O2205">
        <v>105695.36423841059</v>
      </c>
      <c r="P2205">
        <v>317100</v>
      </c>
      <c r="Q2205">
        <v>4151700</v>
      </c>
      <c r="R2205">
        <v>98195.364238410591</v>
      </c>
      <c r="S2205" s="238" t="s">
        <v>137</v>
      </c>
      <c r="T2205" s="238" t="s">
        <v>1167</v>
      </c>
      <c r="V2205" t="s">
        <v>4091</v>
      </c>
      <c r="W2205" s="24">
        <v>45278</v>
      </c>
      <c r="X2205" s="238" t="s">
        <v>6799</v>
      </c>
      <c r="Y2205" s="238" t="s">
        <v>39</v>
      </c>
      <c r="Z2205" s="238" t="s">
        <v>1340</v>
      </c>
      <c r="AA2205" t="s">
        <v>3113</v>
      </c>
      <c r="AB2205" s="238" t="s">
        <v>3246</v>
      </c>
      <c r="AC2205" t="s">
        <v>3079</v>
      </c>
      <c r="AD2205" s="24"/>
      <c r="AE2205" s="238" t="s">
        <v>6800</v>
      </c>
      <c r="AF2205">
        <v>79277636554</v>
      </c>
      <c r="AG2205" s="238" t="s">
        <v>6801</v>
      </c>
      <c r="AH2205" s="238" t="s">
        <v>135</v>
      </c>
      <c r="AI2205" s="238" t="s">
        <v>3075</v>
      </c>
      <c r="AJ2205" s="238" t="s">
        <v>126</v>
      </c>
      <c r="AK2205" s="238" t="s">
        <v>3345</v>
      </c>
      <c r="AL2205" t="s">
        <v>8715</v>
      </c>
      <c r="AM2205" t="s">
        <v>1167</v>
      </c>
    </row>
    <row r="2206" spans="1:39" hidden="1" x14ac:dyDescent="0.25">
      <c r="A2206">
        <v>2203</v>
      </c>
      <c r="B2206">
        <v>25</v>
      </c>
      <c r="C2206" s="24">
        <v>45280</v>
      </c>
      <c r="D2206" s="238" t="s">
        <v>91</v>
      </c>
      <c r="E2206" s="238" t="s">
        <v>15</v>
      </c>
      <c r="F2206">
        <v>7</v>
      </c>
      <c r="G2206">
        <v>9</v>
      </c>
      <c r="H2206">
        <v>471</v>
      </c>
      <c r="I2206" s="238" t="s">
        <v>43</v>
      </c>
      <c r="J2206">
        <v>67.489999999999995</v>
      </c>
      <c r="K2206" s="238" t="s">
        <v>37</v>
      </c>
      <c r="L2206">
        <v>6410870</v>
      </c>
      <c r="M2206">
        <v>0</v>
      </c>
      <c r="N2206">
        <v>6410870</v>
      </c>
      <c r="O2206">
        <v>94989.924433249384</v>
      </c>
      <c r="P2206">
        <v>506174.99999999994</v>
      </c>
      <c r="Q2206">
        <v>5904695</v>
      </c>
      <c r="R2206">
        <v>87489.924433249384</v>
      </c>
      <c r="S2206" s="238" t="s">
        <v>137</v>
      </c>
      <c r="T2206" s="238" t="s">
        <v>60</v>
      </c>
      <c r="U2206">
        <v>303705</v>
      </c>
      <c r="V2206" t="s">
        <v>4091</v>
      </c>
      <c r="W2206" s="24">
        <v>45274</v>
      </c>
      <c r="X2206" s="238" t="s">
        <v>6802</v>
      </c>
      <c r="Y2206" s="238" t="s">
        <v>39</v>
      </c>
      <c r="Z2206" s="238" t="s">
        <v>1340</v>
      </c>
      <c r="AA2206" t="s">
        <v>3113</v>
      </c>
      <c r="AB2206" s="238" t="s">
        <v>3246</v>
      </c>
      <c r="AC2206" t="s">
        <v>3079</v>
      </c>
      <c r="AD2206" s="24"/>
      <c r="AE2206" s="238" t="s">
        <v>6803</v>
      </c>
      <c r="AF2206">
        <v>79228248461</v>
      </c>
      <c r="AG2206" s="238" t="s">
        <v>6804</v>
      </c>
      <c r="AH2206" s="238" t="s">
        <v>1212</v>
      </c>
      <c r="AI2206" s="238" t="s">
        <v>135</v>
      </c>
      <c r="AJ2206" s="238" t="s">
        <v>126</v>
      </c>
      <c r="AK2206" s="238" t="s">
        <v>3345</v>
      </c>
      <c r="AL2206" t="s">
        <v>8715</v>
      </c>
      <c r="AM2206" t="s">
        <v>1167</v>
      </c>
    </row>
    <row r="2207" spans="1:39" x14ac:dyDescent="0.25">
      <c r="A2207">
        <v>2204</v>
      </c>
      <c r="B2207">
        <v>26</v>
      </c>
      <c r="C2207" s="24">
        <v>45281</v>
      </c>
      <c r="D2207" s="238" t="s">
        <v>3388</v>
      </c>
      <c r="E2207" s="238" t="s">
        <v>5</v>
      </c>
      <c r="F2207">
        <v>3</v>
      </c>
      <c r="G2207">
        <v>5</v>
      </c>
      <c r="H2207">
        <v>141</v>
      </c>
      <c r="I2207" s="238" t="s">
        <v>43</v>
      </c>
      <c r="J2207">
        <v>57.6</v>
      </c>
      <c r="K2207" s="238" t="s">
        <v>36</v>
      </c>
      <c r="L2207">
        <v>4876600</v>
      </c>
      <c r="M2207">
        <v>0</v>
      </c>
      <c r="N2207">
        <v>4876600</v>
      </c>
      <c r="O2207">
        <v>84663.194444444438</v>
      </c>
      <c r="P2207">
        <v>0</v>
      </c>
      <c r="Q2207">
        <v>4876600</v>
      </c>
      <c r="R2207">
        <v>84663.194444444438</v>
      </c>
      <c r="S2207" s="238" t="s">
        <v>137</v>
      </c>
      <c r="T2207" s="238" t="s">
        <v>6732</v>
      </c>
      <c r="U2207">
        <v>30000</v>
      </c>
      <c r="V2207" t="s">
        <v>4091</v>
      </c>
      <c r="W2207" s="24">
        <v>45278</v>
      </c>
      <c r="X2207" s="238" t="s">
        <v>6805</v>
      </c>
      <c r="Y2207" s="238" t="s">
        <v>39</v>
      </c>
      <c r="Z2207" s="238" t="s">
        <v>1340</v>
      </c>
      <c r="AA2207" t="s">
        <v>3113</v>
      </c>
      <c r="AB2207" s="238" t="s">
        <v>3246</v>
      </c>
      <c r="AC2207" t="s">
        <v>3079</v>
      </c>
      <c r="AD2207" s="24"/>
      <c r="AE2207" s="238" t="s">
        <v>6806</v>
      </c>
      <c r="AF2207">
        <v>79264537075</v>
      </c>
      <c r="AG2207" s="238" t="s">
        <v>6807</v>
      </c>
      <c r="AH2207" s="238" t="s">
        <v>1212</v>
      </c>
      <c r="AI2207" s="238" t="s">
        <v>3514</v>
      </c>
      <c r="AJ2207" s="238" t="s">
        <v>5215</v>
      </c>
      <c r="AK2207" s="238" t="s">
        <v>141</v>
      </c>
      <c r="AL2207" t="s">
        <v>8715</v>
      </c>
      <c r="AM2207" t="s">
        <v>1167</v>
      </c>
    </row>
    <row r="2208" spans="1:39" x14ac:dyDescent="0.25">
      <c r="A2208">
        <v>2205</v>
      </c>
      <c r="B2208">
        <v>27</v>
      </c>
      <c r="C2208" s="24">
        <v>45281</v>
      </c>
      <c r="D2208" s="238" t="s">
        <v>3388</v>
      </c>
      <c r="E2208" s="238" t="s">
        <v>15</v>
      </c>
      <c r="F2208">
        <v>2</v>
      </c>
      <c r="G2208">
        <v>14</v>
      </c>
      <c r="H2208">
        <v>494</v>
      </c>
      <c r="I2208" s="238" t="s">
        <v>42</v>
      </c>
      <c r="J2208">
        <v>43.21</v>
      </c>
      <c r="K2208" s="238" t="s">
        <v>36</v>
      </c>
      <c r="L2208">
        <v>4136482</v>
      </c>
      <c r="M2208">
        <v>0</v>
      </c>
      <c r="N2208">
        <v>4136482</v>
      </c>
      <c r="O2208">
        <v>95729.738486461472</v>
      </c>
      <c r="P2208">
        <v>0</v>
      </c>
      <c r="Q2208">
        <v>4136482</v>
      </c>
      <c r="R2208">
        <v>95729.738486461472</v>
      </c>
      <c r="S2208" s="238" t="s">
        <v>121</v>
      </c>
      <c r="T2208" s="238" t="s">
        <v>6808</v>
      </c>
      <c r="U2208">
        <v>84418</v>
      </c>
      <c r="V2208" t="s">
        <v>1167</v>
      </c>
      <c r="W2208" s="24">
        <v>45278</v>
      </c>
      <c r="X2208" s="238" t="s">
        <v>6809</v>
      </c>
      <c r="Y2208" s="238" t="s">
        <v>39</v>
      </c>
      <c r="Z2208" s="238" t="s">
        <v>1340</v>
      </c>
      <c r="AA2208" t="s">
        <v>3113</v>
      </c>
      <c r="AB2208" s="238" t="s">
        <v>3246</v>
      </c>
      <c r="AC2208" t="s">
        <v>1167</v>
      </c>
      <c r="AD2208" s="24"/>
      <c r="AE2208" s="238" t="s">
        <v>6810</v>
      </c>
      <c r="AF2208">
        <v>79270522212</v>
      </c>
      <c r="AG2208" s="238" t="s">
        <v>6811</v>
      </c>
      <c r="AH2208" s="238" t="s">
        <v>1171</v>
      </c>
      <c r="AI2208" s="238" t="s">
        <v>3074</v>
      </c>
      <c r="AJ2208" s="238" t="s">
        <v>4177</v>
      </c>
      <c r="AK2208" s="238" t="s">
        <v>1167</v>
      </c>
      <c r="AL2208" t="s">
        <v>8715</v>
      </c>
      <c r="AM2208" t="s">
        <v>1167</v>
      </c>
    </row>
    <row r="2209" spans="1:39" x14ac:dyDescent="0.25">
      <c r="A2209">
        <v>2206</v>
      </c>
      <c r="B2209">
        <v>28</v>
      </c>
      <c r="C2209" s="24">
        <v>45281</v>
      </c>
      <c r="D2209" s="238" t="s">
        <v>3388</v>
      </c>
      <c r="E2209" s="238" t="s">
        <v>15</v>
      </c>
      <c r="F2209">
        <v>6</v>
      </c>
      <c r="G2209">
        <v>3</v>
      </c>
      <c r="H2209">
        <v>410</v>
      </c>
      <c r="I2209" s="238" t="s">
        <v>42</v>
      </c>
      <c r="J2209">
        <v>38.299999999999997</v>
      </c>
      <c r="K2209" s="238" t="s">
        <v>37</v>
      </c>
      <c r="L2209">
        <v>4121050</v>
      </c>
      <c r="M2209">
        <v>0</v>
      </c>
      <c r="N2209">
        <v>4121050</v>
      </c>
      <c r="O2209">
        <v>107599.21671018278</v>
      </c>
      <c r="P2209">
        <v>287250</v>
      </c>
      <c r="Q2209">
        <v>3833800</v>
      </c>
      <c r="R2209">
        <v>100099.21671018278</v>
      </c>
      <c r="S2209" s="238" t="s">
        <v>137</v>
      </c>
      <c r="T2209" s="238" t="s">
        <v>6732</v>
      </c>
      <c r="U2209">
        <v>50000</v>
      </c>
      <c r="V2209" t="s">
        <v>4092</v>
      </c>
      <c r="W2209" s="24">
        <v>45279</v>
      </c>
      <c r="X2209" s="238" t="s">
        <v>6812</v>
      </c>
      <c r="Y2209" s="238" t="s">
        <v>39</v>
      </c>
      <c r="Z2209" s="238" t="s">
        <v>1340</v>
      </c>
      <c r="AA2209" t="s">
        <v>3113</v>
      </c>
      <c r="AB2209" s="238" t="s">
        <v>3246</v>
      </c>
      <c r="AC2209" t="s">
        <v>3079</v>
      </c>
      <c r="AD2209" s="24"/>
      <c r="AE2209" s="238" t="s">
        <v>6813</v>
      </c>
      <c r="AF2209">
        <v>79379994288</v>
      </c>
      <c r="AG2209" s="238" t="s">
        <v>6814</v>
      </c>
      <c r="AH2209" s="238" t="s">
        <v>1171</v>
      </c>
      <c r="AI2209" s="238" t="s">
        <v>135</v>
      </c>
      <c r="AJ2209" s="238" t="s">
        <v>126</v>
      </c>
      <c r="AK2209" s="238" t="s">
        <v>141</v>
      </c>
      <c r="AL2209" t="s">
        <v>8715</v>
      </c>
      <c r="AM2209" t="s">
        <v>1167</v>
      </c>
    </row>
    <row r="2210" spans="1:39" x14ac:dyDescent="0.25">
      <c r="A2210">
        <v>2207</v>
      </c>
      <c r="B2210">
        <v>29</v>
      </c>
      <c r="C2210" s="24">
        <v>45282</v>
      </c>
      <c r="D2210" s="238" t="s">
        <v>3388</v>
      </c>
      <c r="E2210" s="238" t="s">
        <v>5</v>
      </c>
      <c r="F2210">
        <v>6</v>
      </c>
      <c r="G2210">
        <v>8</v>
      </c>
      <c r="H2210">
        <v>165</v>
      </c>
      <c r="I2210" s="238" t="s">
        <v>44</v>
      </c>
      <c r="J2210">
        <v>84.99</v>
      </c>
      <c r="K2210" s="238" t="s">
        <v>37</v>
      </c>
      <c r="L2210">
        <v>7365173.6799999997</v>
      </c>
      <c r="M2210">
        <v>30000</v>
      </c>
      <c r="N2210">
        <v>7395173.6799999997</v>
      </c>
      <c r="O2210">
        <v>87012.280032945055</v>
      </c>
      <c r="P2210">
        <v>637425</v>
      </c>
      <c r="Q2210">
        <v>6757748.6799999997</v>
      </c>
      <c r="R2210">
        <v>79512.280032945055</v>
      </c>
      <c r="S2210" s="238" t="s">
        <v>137</v>
      </c>
      <c r="T2210" s="238" t="s">
        <v>1167</v>
      </c>
      <c r="V2210" t="s">
        <v>4092</v>
      </c>
      <c r="W2210" s="24">
        <v>45238</v>
      </c>
      <c r="X2210" s="238" t="s">
        <v>6817</v>
      </c>
      <c r="Y2210" s="238" t="s">
        <v>39</v>
      </c>
      <c r="Z2210" s="238" t="s">
        <v>1340</v>
      </c>
      <c r="AA2210" t="s">
        <v>3113</v>
      </c>
      <c r="AB2210" s="238" t="s">
        <v>3246</v>
      </c>
      <c r="AC2210" t="s">
        <v>3079</v>
      </c>
      <c r="AD2210" s="24"/>
      <c r="AE2210" s="238" t="s">
        <v>6818</v>
      </c>
      <c r="AF2210">
        <v>79270951999</v>
      </c>
      <c r="AG2210" s="238" t="s">
        <v>6819</v>
      </c>
      <c r="AH2210" s="238" t="s">
        <v>4072</v>
      </c>
      <c r="AI2210" s="238" t="s">
        <v>6406</v>
      </c>
      <c r="AJ2210" s="238" t="s">
        <v>5215</v>
      </c>
      <c r="AK2210" s="238" t="s">
        <v>141</v>
      </c>
      <c r="AL2210" t="s">
        <v>57</v>
      </c>
      <c r="AM2210" t="s">
        <v>1167</v>
      </c>
    </row>
    <row r="2211" spans="1:39" x14ac:dyDescent="0.25">
      <c r="A2211">
        <v>2208</v>
      </c>
      <c r="B2211">
        <v>30</v>
      </c>
      <c r="C2211" s="24">
        <v>45282</v>
      </c>
      <c r="D2211" s="238" t="s">
        <v>3388</v>
      </c>
      <c r="E2211" s="238" t="s">
        <v>15</v>
      </c>
      <c r="F2211">
        <v>4</v>
      </c>
      <c r="G2211">
        <v>23</v>
      </c>
      <c r="H2211">
        <v>568</v>
      </c>
      <c r="I2211" s="238" t="s">
        <v>43</v>
      </c>
      <c r="J2211">
        <v>58.24</v>
      </c>
      <c r="K2211" s="238" t="s">
        <v>38</v>
      </c>
      <c r="L2211">
        <v>6572104</v>
      </c>
      <c r="M2211">
        <v>0</v>
      </c>
      <c r="N2211">
        <v>6572104</v>
      </c>
      <c r="O2211">
        <v>112845.1923076923</v>
      </c>
      <c r="P2211">
        <v>1281280</v>
      </c>
      <c r="Q2211">
        <v>5290824</v>
      </c>
      <c r="R2211">
        <v>90845.192307692298</v>
      </c>
      <c r="S2211" s="238" t="s">
        <v>137</v>
      </c>
      <c r="T2211" s="238" t="s">
        <v>3540</v>
      </c>
      <c r="U2211">
        <v>107976</v>
      </c>
      <c r="V2211" t="s">
        <v>4092</v>
      </c>
      <c r="W2211" s="24">
        <v>45280</v>
      </c>
      <c r="X2211" s="238" t="s">
        <v>6820</v>
      </c>
      <c r="Y2211" s="238" t="s">
        <v>39</v>
      </c>
      <c r="Z2211" s="238" t="s">
        <v>1340</v>
      </c>
      <c r="AA2211" t="s">
        <v>3113</v>
      </c>
      <c r="AB2211" s="238" t="s">
        <v>3246</v>
      </c>
      <c r="AC2211" t="s">
        <v>3079</v>
      </c>
      <c r="AD2211" s="24"/>
      <c r="AE2211" s="238" t="s">
        <v>6821</v>
      </c>
      <c r="AF2211">
        <v>79991726421</v>
      </c>
      <c r="AG2211" s="238" t="s">
        <v>6822</v>
      </c>
      <c r="AH2211" s="238" t="s">
        <v>4072</v>
      </c>
      <c r="AI2211" s="238" t="s">
        <v>6823</v>
      </c>
      <c r="AJ2211" s="238" t="s">
        <v>126</v>
      </c>
      <c r="AK2211" s="238" t="s">
        <v>141</v>
      </c>
      <c r="AL2211" t="s">
        <v>57</v>
      </c>
      <c r="AM2211" t="s">
        <v>1167</v>
      </c>
    </row>
    <row r="2212" spans="1:39" hidden="1" x14ac:dyDescent="0.25">
      <c r="A2212">
        <v>2209</v>
      </c>
      <c r="B2212">
        <v>31</v>
      </c>
      <c r="C2212" s="24">
        <v>45282</v>
      </c>
      <c r="D2212" s="238" t="s">
        <v>91</v>
      </c>
      <c r="E2212" s="238" t="s">
        <v>15</v>
      </c>
      <c r="F2212">
        <v>6</v>
      </c>
      <c r="G2212">
        <v>12</v>
      </c>
      <c r="H2212">
        <v>497</v>
      </c>
      <c r="I2212" s="238" t="s">
        <v>43</v>
      </c>
      <c r="J2212">
        <v>58.62</v>
      </c>
      <c r="K2212" s="238" t="s">
        <v>36</v>
      </c>
      <c r="L2212">
        <v>5329100</v>
      </c>
      <c r="M2212">
        <v>0</v>
      </c>
      <c r="N2212">
        <v>5329100</v>
      </c>
      <c r="O2212">
        <v>90909.245991129312</v>
      </c>
      <c r="P2212">
        <v>0</v>
      </c>
      <c r="Q2212">
        <v>5329100</v>
      </c>
      <c r="R2212">
        <v>90909.245991129312</v>
      </c>
      <c r="S2212" s="238" t="s">
        <v>137</v>
      </c>
      <c r="T2212" s="238" t="s">
        <v>324</v>
      </c>
      <c r="U2212">
        <v>20000</v>
      </c>
      <c r="V2212" t="s">
        <v>4091</v>
      </c>
      <c r="W2212" s="24">
        <v>45280</v>
      </c>
      <c r="X2212" s="238" t="s">
        <v>4969</v>
      </c>
      <c r="Y2212" s="238" t="s">
        <v>39</v>
      </c>
      <c r="Z2212" s="238" t="s">
        <v>1340</v>
      </c>
      <c r="AA2212" t="s">
        <v>3113</v>
      </c>
      <c r="AB2212" s="238" t="s">
        <v>3246</v>
      </c>
      <c r="AC2212" t="s">
        <v>3079</v>
      </c>
      <c r="AD2212" s="24"/>
      <c r="AE2212" s="238" t="s">
        <v>6824</v>
      </c>
      <c r="AF2212">
        <v>79279022629</v>
      </c>
      <c r="AG2212" s="238" t="s">
        <v>6825</v>
      </c>
      <c r="AH2212" s="238" t="s">
        <v>135</v>
      </c>
      <c r="AI2212" s="238" t="s">
        <v>135</v>
      </c>
      <c r="AJ2212" s="238" t="s">
        <v>4177</v>
      </c>
      <c r="AK2212" s="238" t="s">
        <v>141</v>
      </c>
      <c r="AL2212" t="s">
        <v>8715</v>
      </c>
      <c r="AM2212" t="s">
        <v>1167</v>
      </c>
    </row>
    <row r="2213" spans="1:39" x14ac:dyDescent="0.25">
      <c r="A2213">
        <v>2210</v>
      </c>
      <c r="B2213">
        <v>32</v>
      </c>
      <c r="C2213" s="24">
        <v>45282</v>
      </c>
      <c r="D2213" s="238" t="s">
        <v>3388</v>
      </c>
      <c r="E2213" s="238" t="s">
        <v>16</v>
      </c>
      <c r="F2213">
        <v>7</v>
      </c>
      <c r="G2213">
        <v>9</v>
      </c>
      <c r="H2213">
        <v>284</v>
      </c>
      <c r="I2213" s="238" t="s">
        <v>42</v>
      </c>
      <c r="J2213">
        <v>34.81</v>
      </c>
      <c r="K2213" s="238" t="s">
        <v>37</v>
      </c>
      <c r="L2213">
        <v>4030775</v>
      </c>
      <c r="M2213">
        <v>0</v>
      </c>
      <c r="N2213">
        <v>4030775</v>
      </c>
      <c r="O2213">
        <v>115793.59379488652</v>
      </c>
      <c r="P2213">
        <v>261075</v>
      </c>
      <c r="Q2213">
        <v>3769700</v>
      </c>
      <c r="R2213">
        <v>108293.59379488652</v>
      </c>
      <c r="S2213" s="238" t="s">
        <v>137</v>
      </c>
      <c r="T2213" s="238" t="s">
        <v>6732</v>
      </c>
      <c r="U2213">
        <v>50000</v>
      </c>
      <c r="V2213" t="s">
        <v>4091</v>
      </c>
      <c r="W2213" s="24">
        <v>45281</v>
      </c>
      <c r="X2213" s="238" t="s">
        <v>6826</v>
      </c>
      <c r="Y2213" s="238" t="s">
        <v>39</v>
      </c>
      <c r="Z2213" s="238" t="s">
        <v>1340</v>
      </c>
      <c r="AA2213" t="s">
        <v>3113</v>
      </c>
      <c r="AB2213" s="238" t="s">
        <v>3246</v>
      </c>
      <c r="AC2213" t="s">
        <v>3079</v>
      </c>
      <c r="AD2213" s="24"/>
      <c r="AE2213" s="238" t="s">
        <v>6827</v>
      </c>
      <c r="AF2213">
        <v>79277604024</v>
      </c>
      <c r="AG2213" s="238" t="s">
        <v>6747</v>
      </c>
      <c r="AH2213" s="238" t="s">
        <v>135</v>
      </c>
      <c r="AI2213" s="238" t="s">
        <v>135</v>
      </c>
      <c r="AJ2213" s="238" t="s">
        <v>4177</v>
      </c>
      <c r="AK2213" s="238" t="s">
        <v>141</v>
      </c>
      <c r="AL2213" t="s">
        <v>8715</v>
      </c>
      <c r="AM2213" t="s">
        <v>1167</v>
      </c>
    </row>
    <row r="2214" spans="1:39" x14ac:dyDescent="0.25">
      <c r="A2214">
        <v>2211</v>
      </c>
      <c r="B2214">
        <v>33</v>
      </c>
      <c r="C2214" s="24">
        <v>45285</v>
      </c>
      <c r="D2214" s="238" t="s">
        <v>3388</v>
      </c>
      <c r="E2214" s="238" t="s">
        <v>6</v>
      </c>
      <c r="F2214">
        <v>6</v>
      </c>
      <c r="G2214">
        <v>8</v>
      </c>
      <c r="H2214">
        <v>54</v>
      </c>
      <c r="I2214" s="238" t="s">
        <v>43</v>
      </c>
      <c r="J2214">
        <v>58.16</v>
      </c>
      <c r="K2214" s="238" t="s">
        <v>38</v>
      </c>
      <c r="L2214">
        <v>6301334</v>
      </c>
      <c r="M2214">
        <v>0</v>
      </c>
      <c r="N2214">
        <v>6301334</v>
      </c>
      <c r="O2214">
        <v>108344.80742778543</v>
      </c>
      <c r="P2214">
        <v>1279520</v>
      </c>
      <c r="Q2214">
        <v>5021814</v>
      </c>
      <c r="R2214">
        <v>86344.807427785418</v>
      </c>
      <c r="S2214" s="238" t="s">
        <v>137</v>
      </c>
      <c r="T2214" s="238" t="s">
        <v>3540</v>
      </c>
      <c r="U2214">
        <v>102486</v>
      </c>
      <c r="V2214" t="s">
        <v>4091</v>
      </c>
      <c r="W2214" s="24">
        <v>45275</v>
      </c>
      <c r="X2214" s="238" t="s">
        <v>6828</v>
      </c>
      <c r="Y2214" s="238" t="s">
        <v>39</v>
      </c>
      <c r="Z2214" s="238" t="s">
        <v>1340</v>
      </c>
      <c r="AA2214" t="s">
        <v>3113</v>
      </c>
      <c r="AB2214" s="238" t="s">
        <v>3246</v>
      </c>
      <c r="AC2214" t="s">
        <v>3079</v>
      </c>
      <c r="AD2214" s="24"/>
      <c r="AE2214" s="238" t="s">
        <v>6829</v>
      </c>
      <c r="AF2214">
        <v>79272472343</v>
      </c>
      <c r="AG2214" s="238" t="s">
        <v>6830</v>
      </c>
      <c r="AH2214" s="238" t="s">
        <v>1212</v>
      </c>
      <c r="AI2214" s="238" t="s">
        <v>3097</v>
      </c>
      <c r="AJ2214" s="238" t="s">
        <v>4177</v>
      </c>
      <c r="AK2214" s="238" t="s">
        <v>3345</v>
      </c>
      <c r="AL2214" t="s">
        <v>8715</v>
      </c>
      <c r="AM2214" t="s">
        <v>1167</v>
      </c>
    </row>
    <row r="2215" spans="1:39" x14ac:dyDescent="0.25">
      <c r="A2215">
        <v>2212</v>
      </c>
      <c r="B2215">
        <v>34</v>
      </c>
      <c r="C2215" s="24">
        <v>45285</v>
      </c>
      <c r="D2215" s="238" t="s">
        <v>3388</v>
      </c>
      <c r="E2215" s="238" t="s">
        <v>16</v>
      </c>
      <c r="F2215">
        <v>1</v>
      </c>
      <c r="G2215">
        <v>6</v>
      </c>
      <c r="H2215">
        <v>257</v>
      </c>
      <c r="I2215" s="238" t="s">
        <v>43</v>
      </c>
      <c r="J2215">
        <v>73.7</v>
      </c>
      <c r="K2215" s="238" t="s">
        <v>38</v>
      </c>
      <c r="L2215">
        <v>7894478</v>
      </c>
      <c r="M2215">
        <v>0</v>
      </c>
      <c r="N2215">
        <v>7894478</v>
      </c>
      <c r="O2215">
        <v>107116.3907734057</v>
      </c>
      <c r="P2215">
        <v>1621400</v>
      </c>
      <c r="Q2215">
        <v>6273078</v>
      </c>
      <c r="R2215">
        <v>85116.390773405699</v>
      </c>
      <c r="S2215" s="238" t="s">
        <v>121</v>
      </c>
      <c r="T2215" s="238" t="s">
        <v>3540</v>
      </c>
      <c r="U2215">
        <v>128022</v>
      </c>
      <c r="V2215" t="s">
        <v>1167</v>
      </c>
      <c r="W2215" s="24">
        <v>45275</v>
      </c>
      <c r="X2215" s="238" t="s">
        <v>6831</v>
      </c>
      <c r="Y2215" s="238" t="s">
        <v>39</v>
      </c>
      <c r="Z2215" s="238" t="s">
        <v>1340</v>
      </c>
      <c r="AA2215" t="s">
        <v>3113</v>
      </c>
      <c r="AB2215" s="238" t="s">
        <v>3246</v>
      </c>
      <c r="AC2215" t="s">
        <v>1167</v>
      </c>
      <c r="AD2215" s="24"/>
      <c r="AE2215" s="238" t="s">
        <v>6832</v>
      </c>
      <c r="AF2215">
        <v>79121244044</v>
      </c>
      <c r="AG2215" s="238" t="s">
        <v>6833</v>
      </c>
      <c r="AH2215" s="238" t="s">
        <v>1212</v>
      </c>
      <c r="AI2215" s="238" t="s">
        <v>135</v>
      </c>
      <c r="AJ2215" s="238" t="s">
        <v>4177</v>
      </c>
      <c r="AK2215" s="238" t="s">
        <v>1167</v>
      </c>
      <c r="AL2215" t="s">
        <v>8715</v>
      </c>
      <c r="AM2215" t="s">
        <v>1167</v>
      </c>
    </row>
    <row r="2216" spans="1:39" hidden="1" x14ac:dyDescent="0.25">
      <c r="A2216">
        <v>2213</v>
      </c>
      <c r="B2216">
        <v>35</v>
      </c>
      <c r="C2216" s="24">
        <v>45285</v>
      </c>
      <c r="D2216" s="238" t="s">
        <v>91</v>
      </c>
      <c r="E2216" s="238" t="s">
        <v>15</v>
      </c>
      <c r="F2216">
        <v>8</v>
      </c>
      <c r="G2216">
        <v>4</v>
      </c>
      <c r="H2216">
        <v>427</v>
      </c>
      <c r="I2216" s="238" t="s">
        <v>43</v>
      </c>
      <c r="J2216">
        <v>63.74</v>
      </c>
      <c r="K2216" s="238" t="s">
        <v>37</v>
      </c>
      <c r="L2216">
        <v>5825950</v>
      </c>
      <c r="M2216">
        <v>0</v>
      </c>
      <c r="N2216">
        <v>5825950</v>
      </c>
      <c r="O2216">
        <v>91401.788515845619</v>
      </c>
      <c r="P2216">
        <v>478050</v>
      </c>
      <c r="Q2216">
        <v>5347900</v>
      </c>
      <c r="R2216">
        <v>83901.788515845619</v>
      </c>
      <c r="S2216" s="238" t="s">
        <v>137</v>
      </c>
      <c r="T2216" s="238" t="s">
        <v>6732</v>
      </c>
      <c r="U2216">
        <v>30000</v>
      </c>
      <c r="V2216" t="s">
        <v>4091</v>
      </c>
      <c r="W2216" s="24">
        <v>45280</v>
      </c>
      <c r="X2216" s="238" t="s">
        <v>6834</v>
      </c>
      <c r="Y2216" s="238" t="s">
        <v>39</v>
      </c>
      <c r="Z2216" s="238" t="s">
        <v>1340</v>
      </c>
      <c r="AA2216" t="s">
        <v>3113</v>
      </c>
      <c r="AB2216" s="238" t="s">
        <v>3246</v>
      </c>
      <c r="AC2216" t="s">
        <v>3079</v>
      </c>
      <c r="AD2216" s="24"/>
      <c r="AE2216" s="238" t="s">
        <v>6835</v>
      </c>
      <c r="AF2216">
        <v>79874420063</v>
      </c>
      <c r="AG2216" s="238" t="s">
        <v>6836</v>
      </c>
      <c r="AH2216" s="238" t="s">
        <v>1171</v>
      </c>
      <c r="AI2216" s="238" t="s">
        <v>135</v>
      </c>
      <c r="AJ2216" s="238" t="s">
        <v>5215</v>
      </c>
      <c r="AK2216" s="238" t="s">
        <v>141</v>
      </c>
      <c r="AL2216" t="s">
        <v>8715</v>
      </c>
      <c r="AM2216" t="s">
        <v>1167</v>
      </c>
    </row>
    <row r="2217" spans="1:39" hidden="1" x14ac:dyDescent="0.25">
      <c r="A2217">
        <v>2214</v>
      </c>
      <c r="B2217">
        <v>36</v>
      </c>
      <c r="C2217" s="24">
        <v>45285</v>
      </c>
      <c r="D2217" s="238" t="s">
        <v>91</v>
      </c>
      <c r="E2217" s="238" t="s">
        <v>15</v>
      </c>
      <c r="F2217">
        <v>4</v>
      </c>
      <c r="G2217">
        <v>2</v>
      </c>
      <c r="H2217">
        <v>405</v>
      </c>
      <c r="I2217" s="238" t="s">
        <v>42</v>
      </c>
      <c r="J2217">
        <v>36.5</v>
      </c>
      <c r="K2217" s="238" t="s">
        <v>38</v>
      </c>
      <c r="L2217">
        <v>4813300</v>
      </c>
      <c r="M2217">
        <v>0</v>
      </c>
      <c r="N2217">
        <v>4813300</v>
      </c>
      <c r="O2217">
        <v>131871.23287671234</v>
      </c>
      <c r="P2217">
        <v>803000</v>
      </c>
      <c r="Q2217">
        <v>4010300</v>
      </c>
      <c r="R2217">
        <v>109871.23287671233</v>
      </c>
      <c r="S2217" s="238" t="s">
        <v>137</v>
      </c>
      <c r="T2217" s="238" t="s">
        <v>1167</v>
      </c>
      <c r="V2217" t="s">
        <v>4092</v>
      </c>
      <c r="W2217" s="24">
        <v>45282</v>
      </c>
      <c r="X2217" s="238" t="s">
        <v>6837</v>
      </c>
      <c r="Y2217" s="238" t="s">
        <v>39</v>
      </c>
      <c r="Z2217" s="238" t="s">
        <v>1340</v>
      </c>
      <c r="AA2217" t="s">
        <v>3113</v>
      </c>
      <c r="AB2217" s="238" t="s">
        <v>3246</v>
      </c>
      <c r="AC2217" t="s">
        <v>3079</v>
      </c>
      <c r="AD2217" s="24"/>
      <c r="AE2217" s="238" t="s">
        <v>6838</v>
      </c>
      <c r="AF2217">
        <v>79871507832</v>
      </c>
      <c r="AG2217" s="238" t="s">
        <v>6839</v>
      </c>
      <c r="AH2217" s="238" t="s">
        <v>1212</v>
      </c>
      <c r="AI2217" s="238" t="s">
        <v>3103</v>
      </c>
      <c r="AJ2217" s="238" t="s">
        <v>4177</v>
      </c>
      <c r="AK2217" s="238" t="s">
        <v>141</v>
      </c>
      <c r="AL2217" t="s">
        <v>8715</v>
      </c>
      <c r="AM2217" t="s">
        <v>1167</v>
      </c>
    </row>
    <row r="2218" spans="1:39" x14ac:dyDescent="0.25">
      <c r="A2218">
        <v>2215</v>
      </c>
      <c r="B2218">
        <v>37</v>
      </c>
      <c r="C2218" s="24">
        <v>45287</v>
      </c>
      <c r="D2218" s="238" t="s">
        <v>3388</v>
      </c>
      <c r="E2218" s="238" t="s">
        <v>16</v>
      </c>
      <c r="F2218">
        <v>7</v>
      </c>
      <c r="G2218">
        <v>22</v>
      </c>
      <c r="H2218">
        <v>375</v>
      </c>
      <c r="I2218" s="238" t="s">
        <v>42</v>
      </c>
      <c r="J2218">
        <v>34.81</v>
      </c>
      <c r="K2218" s="238" t="s">
        <v>38</v>
      </c>
      <c r="L2218">
        <v>4707085</v>
      </c>
      <c r="M2218">
        <v>0</v>
      </c>
      <c r="N2218">
        <v>4707085</v>
      </c>
      <c r="O2218">
        <v>135222.20626256822</v>
      </c>
      <c r="P2218">
        <v>765820</v>
      </c>
      <c r="Q2218">
        <v>3941265</v>
      </c>
      <c r="R2218">
        <v>113222.20626256822</v>
      </c>
      <c r="S2218" s="238" t="s">
        <v>124</v>
      </c>
      <c r="T2218" s="238" t="s">
        <v>978</v>
      </c>
      <c r="U2218">
        <v>207435</v>
      </c>
      <c r="V2218" t="s">
        <v>1167</v>
      </c>
      <c r="W2218" s="24">
        <v>45285</v>
      </c>
      <c r="X2218" s="238" t="s">
        <v>6841</v>
      </c>
      <c r="Y2218" s="238" t="s">
        <v>39</v>
      </c>
      <c r="Z2218" s="238" t="s">
        <v>1340</v>
      </c>
      <c r="AA2218" t="s">
        <v>3113</v>
      </c>
      <c r="AB2218" s="238" t="s">
        <v>3246</v>
      </c>
      <c r="AC2218" t="s">
        <v>1167</v>
      </c>
      <c r="AD2218" s="24"/>
      <c r="AE2218" s="238" t="s">
        <v>5088</v>
      </c>
      <c r="AF2218">
        <v>79277046938</v>
      </c>
      <c r="AG2218" s="238" t="s">
        <v>5089</v>
      </c>
      <c r="AH2218" s="238" t="s">
        <v>1171</v>
      </c>
      <c r="AI2218" s="238" t="s">
        <v>3082</v>
      </c>
      <c r="AJ2218" s="238" t="s">
        <v>5215</v>
      </c>
      <c r="AK2218" s="238" t="s">
        <v>1167</v>
      </c>
      <c r="AL2218" t="s">
        <v>8715</v>
      </c>
      <c r="AM2218" t="s">
        <v>1167</v>
      </c>
    </row>
    <row r="2219" spans="1:39" x14ac:dyDescent="0.25">
      <c r="A2219">
        <v>2216</v>
      </c>
      <c r="B2219">
        <v>38</v>
      </c>
      <c r="C2219" s="24">
        <v>45288</v>
      </c>
      <c r="D2219" s="238" t="s">
        <v>3388</v>
      </c>
      <c r="E2219" s="238" t="s">
        <v>16</v>
      </c>
      <c r="F2219">
        <v>2</v>
      </c>
      <c r="G2219">
        <v>13</v>
      </c>
      <c r="H2219">
        <v>307</v>
      </c>
      <c r="I2219" s="238" t="s">
        <v>4052</v>
      </c>
      <c r="J2219">
        <v>24.53</v>
      </c>
      <c r="K2219" s="238" t="s">
        <v>36</v>
      </c>
      <c r="L2219">
        <v>2768342.55</v>
      </c>
      <c r="M2219">
        <v>15000</v>
      </c>
      <c r="N2219">
        <v>2783342.55</v>
      </c>
      <c r="O2219">
        <v>113466.87933143089</v>
      </c>
      <c r="P2219">
        <v>0</v>
      </c>
      <c r="Q2219">
        <v>2783342.55</v>
      </c>
      <c r="R2219">
        <v>113466.87933143089</v>
      </c>
      <c r="S2219" s="238" t="s">
        <v>124</v>
      </c>
      <c r="T2219" s="238" t="s">
        <v>4360</v>
      </c>
      <c r="U2219">
        <v>56802.91</v>
      </c>
      <c r="V2219" t="s">
        <v>1167</v>
      </c>
      <c r="W2219" s="24">
        <v>45262</v>
      </c>
      <c r="X2219" s="238" t="s">
        <v>6842</v>
      </c>
      <c r="Y2219" s="238" t="s">
        <v>39</v>
      </c>
      <c r="Z2219" s="238" t="s">
        <v>1340</v>
      </c>
      <c r="AA2219" t="s">
        <v>3113</v>
      </c>
      <c r="AB2219" s="238" t="s">
        <v>3246</v>
      </c>
      <c r="AC2219" t="s">
        <v>1167</v>
      </c>
      <c r="AD2219" s="24"/>
      <c r="AE2219" s="238" t="s">
        <v>1933</v>
      </c>
      <c r="AF2219">
        <v>79272052428</v>
      </c>
      <c r="AG2219" s="238" t="s">
        <v>1934</v>
      </c>
      <c r="AH2219" s="238" t="s">
        <v>1212</v>
      </c>
      <c r="AI2219" s="238" t="s">
        <v>3082</v>
      </c>
      <c r="AJ2219" s="238" t="s">
        <v>5215</v>
      </c>
      <c r="AK2219" s="238" t="s">
        <v>1167</v>
      </c>
      <c r="AL2219" t="s">
        <v>8715</v>
      </c>
      <c r="AM2219" t="s">
        <v>1167</v>
      </c>
    </row>
    <row r="2220" spans="1:39" hidden="1" x14ac:dyDescent="0.25">
      <c r="A2220">
        <v>2217</v>
      </c>
      <c r="B2220">
        <v>39</v>
      </c>
      <c r="C2220" s="24">
        <v>45288</v>
      </c>
      <c r="D2220" s="238" t="s">
        <v>91</v>
      </c>
      <c r="E2220" s="238" t="s">
        <v>5</v>
      </c>
      <c r="F2220">
        <v>2</v>
      </c>
      <c r="G2220">
        <v>5</v>
      </c>
      <c r="H2220">
        <v>146</v>
      </c>
      <c r="I2220" s="238" t="s">
        <v>43</v>
      </c>
      <c r="J2220">
        <v>68.75</v>
      </c>
      <c r="K2220" s="238" t="s">
        <v>36</v>
      </c>
      <c r="L2220">
        <v>6010868.75</v>
      </c>
      <c r="M2220">
        <v>15000</v>
      </c>
      <c r="N2220">
        <v>6025868.75</v>
      </c>
      <c r="O2220">
        <v>87649</v>
      </c>
      <c r="P2220">
        <v>0</v>
      </c>
      <c r="Q2220">
        <v>6025868.75</v>
      </c>
      <c r="R2220">
        <v>87649</v>
      </c>
      <c r="S2220" s="238" t="s">
        <v>137</v>
      </c>
      <c r="T2220" s="238" t="s">
        <v>1167</v>
      </c>
      <c r="V2220" t="s">
        <v>4092</v>
      </c>
      <c r="W2220" s="24">
        <v>45275</v>
      </c>
      <c r="X2220" s="238" t="s">
        <v>6843</v>
      </c>
      <c r="Y2220" s="238" t="s">
        <v>39</v>
      </c>
      <c r="Z2220" s="238" t="s">
        <v>1340</v>
      </c>
      <c r="AA2220" t="s">
        <v>3113</v>
      </c>
      <c r="AB2220" s="238" t="s">
        <v>3246</v>
      </c>
      <c r="AC2220" t="s">
        <v>3079</v>
      </c>
      <c r="AD2220" s="24"/>
      <c r="AE2220" s="238" t="s">
        <v>6844</v>
      </c>
      <c r="AF2220">
        <v>79270148612</v>
      </c>
      <c r="AG2220" s="238" t="s">
        <v>6845</v>
      </c>
      <c r="AH2220" s="238" t="s">
        <v>4072</v>
      </c>
      <c r="AI2220" s="238" t="s">
        <v>6407</v>
      </c>
      <c r="AJ2220" s="238" t="s">
        <v>126</v>
      </c>
      <c r="AK2220" s="238" t="s">
        <v>141</v>
      </c>
      <c r="AL2220" t="s">
        <v>57</v>
      </c>
      <c r="AM2220" t="s">
        <v>1167</v>
      </c>
    </row>
    <row r="2221" spans="1:39" hidden="1" x14ac:dyDescent="0.25">
      <c r="A2221">
        <v>2218</v>
      </c>
      <c r="B2221">
        <v>40</v>
      </c>
      <c r="C2221" s="24">
        <v>45288</v>
      </c>
      <c r="D2221" s="238" t="s">
        <v>91</v>
      </c>
      <c r="E2221" s="238" t="s">
        <v>6</v>
      </c>
      <c r="F2221">
        <v>5</v>
      </c>
      <c r="G2221">
        <v>15</v>
      </c>
      <c r="H2221">
        <v>109</v>
      </c>
      <c r="I2221" s="238" t="s">
        <v>43</v>
      </c>
      <c r="J2221">
        <v>54.66</v>
      </c>
      <c r="K2221" s="238" t="s">
        <v>37</v>
      </c>
      <c r="L2221">
        <v>5176724</v>
      </c>
      <c r="M2221">
        <v>0</v>
      </c>
      <c r="N2221">
        <v>5176724</v>
      </c>
      <c r="O2221">
        <v>94707.720453713875</v>
      </c>
      <c r="P2221">
        <v>409950</v>
      </c>
      <c r="Q2221">
        <v>4766774</v>
      </c>
      <c r="R2221">
        <v>87207.720453713875</v>
      </c>
      <c r="S2221" s="238" t="s">
        <v>137</v>
      </c>
      <c r="T2221" s="238" t="s">
        <v>3539</v>
      </c>
      <c r="U2221">
        <v>147426</v>
      </c>
      <c r="V2221" t="s">
        <v>4092</v>
      </c>
      <c r="W2221" s="24">
        <v>45285</v>
      </c>
      <c r="X2221" s="238" t="s">
        <v>6846</v>
      </c>
      <c r="Y2221" s="238" t="s">
        <v>39</v>
      </c>
      <c r="Z2221" s="238" t="s">
        <v>1340</v>
      </c>
      <c r="AA2221" t="s">
        <v>3113</v>
      </c>
      <c r="AB2221" s="238" t="s">
        <v>3246</v>
      </c>
      <c r="AC2221" t="s">
        <v>3079</v>
      </c>
      <c r="AD2221" s="24"/>
      <c r="AE2221" s="238" t="s">
        <v>6847</v>
      </c>
      <c r="AF2221">
        <v>79874374340</v>
      </c>
      <c r="AG2221" s="238" t="s">
        <v>3396</v>
      </c>
      <c r="AH2221" s="238" t="s">
        <v>1171</v>
      </c>
      <c r="AI2221" s="238" t="s">
        <v>3082</v>
      </c>
      <c r="AJ2221" s="238" t="s">
        <v>5215</v>
      </c>
      <c r="AK2221" s="238" t="s">
        <v>3345</v>
      </c>
      <c r="AL2221" t="s">
        <v>8715</v>
      </c>
      <c r="AM2221" t="s">
        <v>1167</v>
      </c>
    </row>
    <row r="2222" spans="1:39" hidden="1" x14ac:dyDescent="0.25">
      <c r="A2222">
        <v>2219</v>
      </c>
      <c r="B2222">
        <v>41</v>
      </c>
      <c r="C2222" s="24">
        <v>45288</v>
      </c>
      <c r="D2222" s="238" t="s">
        <v>91</v>
      </c>
      <c r="E2222" s="238" t="s">
        <v>15</v>
      </c>
      <c r="F2222">
        <v>4</v>
      </c>
      <c r="G2222">
        <v>10</v>
      </c>
      <c r="H2222">
        <v>477</v>
      </c>
      <c r="I2222" s="238" t="s">
        <v>42</v>
      </c>
      <c r="J2222">
        <v>36.5</v>
      </c>
      <c r="K2222" s="238" t="s">
        <v>36</v>
      </c>
      <c r="L2222">
        <v>3847120</v>
      </c>
      <c r="M2222">
        <v>0</v>
      </c>
      <c r="N2222">
        <v>3847120</v>
      </c>
      <c r="O2222">
        <v>105400.54794520549</v>
      </c>
      <c r="P2222">
        <v>0</v>
      </c>
      <c r="Q2222">
        <v>3847120</v>
      </c>
      <c r="R2222">
        <v>105400.54794520549</v>
      </c>
      <c r="S2222" s="238" t="s">
        <v>137</v>
      </c>
      <c r="T2222" s="238" t="s">
        <v>978</v>
      </c>
      <c r="U2222">
        <v>202480.00000000047</v>
      </c>
      <c r="V2222" t="s">
        <v>4092</v>
      </c>
      <c r="W2222" s="24">
        <v>45286</v>
      </c>
      <c r="X2222" s="238" t="s">
        <v>6848</v>
      </c>
      <c r="Y2222" s="238" t="s">
        <v>39</v>
      </c>
      <c r="Z2222" s="238" t="s">
        <v>1340</v>
      </c>
      <c r="AA2222" t="s">
        <v>3113</v>
      </c>
      <c r="AB2222" s="238" t="s">
        <v>3246</v>
      </c>
      <c r="AC2222" t="s">
        <v>3079</v>
      </c>
      <c r="AD2222" s="24"/>
      <c r="AE2222" s="238" t="s">
        <v>6849</v>
      </c>
      <c r="AF2222">
        <v>79272169595</v>
      </c>
      <c r="AG2222" s="238" t="s">
        <v>6850</v>
      </c>
      <c r="AH2222" s="238" t="s">
        <v>1212</v>
      </c>
      <c r="AI2222" s="238" t="s">
        <v>3514</v>
      </c>
      <c r="AJ2222" s="238" t="s">
        <v>130</v>
      </c>
      <c r="AK2222" s="238" t="s">
        <v>141</v>
      </c>
      <c r="AL2222" t="s">
        <v>8715</v>
      </c>
      <c r="AM2222" t="s">
        <v>1167</v>
      </c>
    </row>
    <row r="2223" spans="1:39" x14ac:dyDescent="0.25">
      <c r="A2223">
        <v>2220</v>
      </c>
      <c r="B2223">
        <v>42</v>
      </c>
      <c r="C2223" s="24">
        <v>45288</v>
      </c>
      <c r="D2223" s="238" t="s">
        <v>3388</v>
      </c>
      <c r="E2223" s="238" t="s">
        <v>15</v>
      </c>
      <c r="F2223">
        <v>6</v>
      </c>
      <c r="G2223">
        <v>11</v>
      </c>
      <c r="H2223">
        <v>474</v>
      </c>
      <c r="I2223" s="238" t="s">
        <v>42</v>
      </c>
      <c r="J2223">
        <v>38.299999999999997</v>
      </c>
      <c r="K2223" s="238" t="s">
        <v>38</v>
      </c>
      <c r="L2223">
        <v>4498390</v>
      </c>
      <c r="M2223">
        <v>0</v>
      </c>
      <c r="N2223">
        <v>4498390</v>
      </c>
      <c r="O2223">
        <v>117451.4360313316</v>
      </c>
      <c r="P2223">
        <v>842599.99999999988</v>
      </c>
      <c r="Q2223">
        <v>3655790</v>
      </c>
      <c r="R2223">
        <v>95451.436031331599</v>
      </c>
      <c r="S2223" s="238" t="s">
        <v>121</v>
      </c>
      <c r="T2223" s="238" t="s">
        <v>978</v>
      </c>
      <c r="U2223">
        <v>192410</v>
      </c>
      <c r="V2223" t="s">
        <v>1167</v>
      </c>
      <c r="W2223" s="24">
        <v>45287</v>
      </c>
      <c r="X2223" s="238" t="s">
        <v>6851</v>
      </c>
      <c r="Y2223" s="238" t="s">
        <v>39</v>
      </c>
      <c r="Z2223" s="238" t="s">
        <v>1340</v>
      </c>
      <c r="AA2223" t="s">
        <v>3113</v>
      </c>
      <c r="AB2223" s="238" t="s">
        <v>3246</v>
      </c>
      <c r="AC2223" t="s">
        <v>1167</v>
      </c>
      <c r="AD2223" s="24"/>
      <c r="AE2223" s="238" t="s">
        <v>6852</v>
      </c>
      <c r="AF2223">
        <v>79171635049</v>
      </c>
      <c r="AG2223" s="238" t="s">
        <v>6853</v>
      </c>
      <c r="AH2223" s="238" t="s">
        <v>146</v>
      </c>
      <c r="AI2223" s="238" t="s">
        <v>135</v>
      </c>
      <c r="AJ2223" s="238" t="s">
        <v>5215</v>
      </c>
      <c r="AK2223" s="238" t="s">
        <v>1167</v>
      </c>
      <c r="AL2223" t="s">
        <v>8715</v>
      </c>
      <c r="AM2223" t="s">
        <v>1167</v>
      </c>
    </row>
    <row r="2224" spans="1:39" x14ac:dyDescent="0.25">
      <c r="A2224">
        <v>2221</v>
      </c>
      <c r="B2224">
        <v>43</v>
      </c>
      <c r="C2224" s="24">
        <v>45289</v>
      </c>
      <c r="D2224" s="238" t="s">
        <v>3388</v>
      </c>
      <c r="E2224" s="238" t="s">
        <v>5</v>
      </c>
      <c r="F2224">
        <v>5</v>
      </c>
      <c r="G2224">
        <v>11</v>
      </c>
      <c r="H2224">
        <v>185</v>
      </c>
      <c r="I2224" s="238" t="s">
        <v>42</v>
      </c>
      <c r="J2224">
        <v>37.86</v>
      </c>
      <c r="K2224" s="238" t="s">
        <v>38</v>
      </c>
      <c r="L2224">
        <v>4768720</v>
      </c>
      <c r="M2224">
        <v>0</v>
      </c>
      <c r="N2224">
        <v>4768720</v>
      </c>
      <c r="O2224">
        <v>125956.6825145272</v>
      </c>
      <c r="P2224">
        <v>832920</v>
      </c>
      <c r="Q2224">
        <v>3935800</v>
      </c>
      <c r="R2224">
        <v>103956.6825145272</v>
      </c>
      <c r="S2224" s="238" t="s">
        <v>137</v>
      </c>
      <c r="T2224" s="238" t="s">
        <v>1167</v>
      </c>
      <c r="V2224" t="s">
        <v>4092</v>
      </c>
      <c r="W2224" s="24">
        <v>45286</v>
      </c>
      <c r="X2224" s="238" t="s">
        <v>6854</v>
      </c>
      <c r="Y2224" s="238" t="s">
        <v>39</v>
      </c>
      <c r="Z2224" s="238" t="s">
        <v>1340</v>
      </c>
      <c r="AA2224" t="s">
        <v>3113</v>
      </c>
      <c r="AB2224" s="238" t="s">
        <v>3246</v>
      </c>
      <c r="AC2224" t="s">
        <v>3079</v>
      </c>
      <c r="AD2224" s="24"/>
      <c r="AE2224" s="238" t="s">
        <v>6855</v>
      </c>
      <c r="AF2224">
        <v>79033330944</v>
      </c>
      <c r="AG2224" s="238" t="s">
        <v>6856</v>
      </c>
      <c r="AH2224" s="238" t="s">
        <v>1212</v>
      </c>
      <c r="AI2224" s="238" t="s">
        <v>3074</v>
      </c>
      <c r="AJ2224" s="238" t="s">
        <v>126</v>
      </c>
      <c r="AK2224" s="238" t="s">
        <v>3345</v>
      </c>
      <c r="AL2224" t="s">
        <v>8715</v>
      </c>
      <c r="AM2224" t="s">
        <v>1167</v>
      </c>
    </row>
    <row r="2225" spans="1:39" x14ac:dyDescent="0.25">
      <c r="A2225">
        <v>2222</v>
      </c>
      <c r="B2225">
        <v>44</v>
      </c>
      <c r="C2225" s="24">
        <v>45289</v>
      </c>
      <c r="D2225" s="238" t="s">
        <v>3388</v>
      </c>
      <c r="E2225" s="238" t="s">
        <v>5</v>
      </c>
      <c r="F2225">
        <v>6</v>
      </c>
      <c r="G2225">
        <v>12</v>
      </c>
      <c r="H2225">
        <v>193</v>
      </c>
      <c r="I2225" s="238" t="s">
        <v>44</v>
      </c>
      <c r="J2225">
        <v>84.99</v>
      </c>
      <c r="K2225" s="238" t="s">
        <v>36</v>
      </c>
      <c r="L2225">
        <v>6419910</v>
      </c>
      <c r="M2225">
        <v>0</v>
      </c>
      <c r="N2225">
        <v>6419910</v>
      </c>
      <c r="O2225">
        <v>75537.239675255914</v>
      </c>
      <c r="P2225">
        <v>0</v>
      </c>
      <c r="Q2225">
        <v>6419910</v>
      </c>
      <c r="R2225">
        <v>75537.239675255914</v>
      </c>
      <c r="S2225" s="238" t="s">
        <v>137</v>
      </c>
      <c r="T2225" s="238" t="s">
        <v>978</v>
      </c>
      <c r="U2225">
        <v>337890</v>
      </c>
      <c r="V2225" t="s">
        <v>4092</v>
      </c>
      <c r="W2225" s="24">
        <v>45286</v>
      </c>
      <c r="X2225" s="238" t="s">
        <v>6857</v>
      </c>
      <c r="Y2225" s="238" t="s">
        <v>39</v>
      </c>
      <c r="Z2225" s="238" t="s">
        <v>1340</v>
      </c>
      <c r="AA2225" t="s">
        <v>3113</v>
      </c>
      <c r="AB2225" s="238" t="s">
        <v>3246</v>
      </c>
      <c r="AC2225" t="s">
        <v>3079</v>
      </c>
      <c r="AD2225" s="24"/>
      <c r="AE2225" s="238" t="s">
        <v>6858</v>
      </c>
      <c r="AF2225">
        <v>79378083435</v>
      </c>
      <c r="AG2225" s="238" t="s">
        <v>6859</v>
      </c>
      <c r="AH2225" s="238" t="s">
        <v>1171</v>
      </c>
      <c r="AI2225" s="238" t="s">
        <v>3074</v>
      </c>
      <c r="AJ2225" s="238" t="s">
        <v>4177</v>
      </c>
      <c r="AK2225" s="238" t="s">
        <v>141</v>
      </c>
      <c r="AL2225" t="s">
        <v>8715</v>
      </c>
      <c r="AM2225" t="s">
        <v>1167</v>
      </c>
    </row>
    <row r="2226" spans="1:39" x14ac:dyDescent="0.25">
      <c r="A2226">
        <v>2223</v>
      </c>
      <c r="B2226">
        <v>45</v>
      </c>
      <c r="C2226" s="24">
        <v>45289</v>
      </c>
      <c r="D2226" s="238" t="s">
        <v>3388</v>
      </c>
      <c r="E2226" s="238" t="s">
        <v>6</v>
      </c>
      <c r="F2226">
        <v>5</v>
      </c>
      <c r="G2226">
        <v>3</v>
      </c>
      <c r="H2226">
        <v>18</v>
      </c>
      <c r="I2226" s="238" t="s">
        <v>43</v>
      </c>
      <c r="J2226">
        <v>62.17</v>
      </c>
      <c r="K2226" s="238" t="s">
        <v>37</v>
      </c>
      <c r="L2226">
        <v>5887875</v>
      </c>
      <c r="M2226">
        <v>0</v>
      </c>
      <c r="N2226">
        <v>5887875</v>
      </c>
      <c r="O2226">
        <v>94706.047933086695</v>
      </c>
      <c r="P2226">
        <v>466275</v>
      </c>
      <c r="Q2226">
        <v>5421600</v>
      </c>
      <c r="R2226">
        <v>87206.047933086695</v>
      </c>
      <c r="S2226" s="238" t="s">
        <v>137</v>
      </c>
      <c r="T2226" s="238" t="s">
        <v>6732</v>
      </c>
      <c r="U2226">
        <v>30000</v>
      </c>
      <c r="V2226" t="s">
        <v>4092</v>
      </c>
      <c r="W2226" s="24">
        <v>45287</v>
      </c>
      <c r="X2226" s="238" t="s">
        <v>6860</v>
      </c>
      <c r="Y2226" s="238" t="s">
        <v>39</v>
      </c>
      <c r="Z2226" s="238" t="s">
        <v>1340</v>
      </c>
      <c r="AA2226" t="s">
        <v>3113</v>
      </c>
      <c r="AB2226" s="238" t="s">
        <v>3246</v>
      </c>
      <c r="AC2226" t="s">
        <v>3079</v>
      </c>
      <c r="AD2226" s="24"/>
      <c r="AE2226" s="238" t="s">
        <v>6861</v>
      </c>
      <c r="AF2226">
        <v>79966205972</v>
      </c>
      <c r="AG2226" s="238" t="s">
        <v>6862</v>
      </c>
      <c r="AH2226" s="238" t="s">
        <v>4072</v>
      </c>
      <c r="AI2226" s="238" t="s">
        <v>6407</v>
      </c>
      <c r="AJ2226" s="238" t="s">
        <v>4177</v>
      </c>
      <c r="AK2226" s="238" t="s">
        <v>141</v>
      </c>
      <c r="AL2226" t="s">
        <v>57</v>
      </c>
      <c r="AM2226" t="s">
        <v>1167</v>
      </c>
    </row>
    <row r="2227" spans="1:39" hidden="1" x14ac:dyDescent="0.25">
      <c r="A2227">
        <v>2224</v>
      </c>
      <c r="B2227">
        <v>46</v>
      </c>
      <c r="C2227" s="24">
        <v>45289</v>
      </c>
      <c r="D2227" s="238" t="s">
        <v>91</v>
      </c>
      <c r="E2227" s="238" t="s">
        <v>5</v>
      </c>
      <c r="F2227">
        <v>4</v>
      </c>
      <c r="G2227">
        <v>14</v>
      </c>
      <c r="H2227">
        <v>220</v>
      </c>
      <c r="I2227" s="238" t="s">
        <v>42</v>
      </c>
      <c r="J2227">
        <v>37.81</v>
      </c>
      <c r="K2227" s="238" t="s">
        <v>37</v>
      </c>
      <c r="L2227">
        <v>4344775</v>
      </c>
      <c r="M2227">
        <v>0</v>
      </c>
      <c r="N2227">
        <v>4344775</v>
      </c>
      <c r="O2227">
        <v>114910.73790002645</v>
      </c>
      <c r="P2227">
        <v>283575</v>
      </c>
      <c r="Q2227">
        <v>4061200</v>
      </c>
      <c r="R2227">
        <v>107410.73790002645</v>
      </c>
      <c r="S2227" s="238" t="s">
        <v>137</v>
      </c>
      <c r="T2227" s="238" t="s">
        <v>1167</v>
      </c>
      <c r="V2227" t="s">
        <v>4091</v>
      </c>
      <c r="W2227" s="24">
        <v>45287</v>
      </c>
      <c r="X2227" s="238" t="s">
        <v>6863</v>
      </c>
      <c r="Y2227" s="238" t="s">
        <v>39</v>
      </c>
      <c r="Z2227" s="238" t="s">
        <v>1340</v>
      </c>
      <c r="AA2227" t="s">
        <v>3113</v>
      </c>
      <c r="AB2227" s="238" t="s">
        <v>3246</v>
      </c>
      <c r="AC2227" t="s">
        <v>3079</v>
      </c>
      <c r="AD2227" s="24"/>
      <c r="AE2227" s="238" t="s">
        <v>6864</v>
      </c>
      <c r="AF2227">
        <v>79179552103</v>
      </c>
      <c r="AG2227" s="238" t="s">
        <v>6865</v>
      </c>
      <c r="AH2227" s="238" t="s">
        <v>135</v>
      </c>
      <c r="AI2227" s="238" t="s">
        <v>3075</v>
      </c>
      <c r="AJ2227" s="238" t="s">
        <v>4177</v>
      </c>
      <c r="AK2227" s="238" t="s">
        <v>141</v>
      </c>
      <c r="AL2227" t="s">
        <v>8715</v>
      </c>
      <c r="AM2227" t="s">
        <v>1167</v>
      </c>
    </row>
    <row r="2228" spans="1:39" hidden="1" x14ac:dyDescent="0.25">
      <c r="A2228">
        <v>2225</v>
      </c>
      <c r="B2228">
        <v>47</v>
      </c>
      <c r="C2228" s="24">
        <v>45289</v>
      </c>
      <c r="D2228" s="238" t="s">
        <v>91</v>
      </c>
      <c r="E2228" s="238" t="s">
        <v>15</v>
      </c>
      <c r="F2228">
        <v>1</v>
      </c>
      <c r="G2228">
        <v>14</v>
      </c>
      <c r="H2228">
        <v>510</v>
      </c>
      <c r="I2228" s="238" t="s">
        <v>42</v>
      </c>
      <c r="J2228">
        <v>39.74</v>
      </c>
      <c r="K2228" s="238" t="s">
        <v>36</v>
      </c>
      <c r="L2228">
        <v>4066665</v>
      </c>
      <c r="M2228">
        <v>0</v>
      </c>
      <c r="N2228">
        <v>4066665</v>
      </c>
      <c r="O2228">
        <v>102331.78158027177</v>
      </c>
      <c r="P2228">
        <v>0</v>
      </c>
      <c r="Q2228">
        <v>4066665</v>
      </c>
      <c r="R2228">
        <v>102331.78158027177</v>
      </c>
      <c r="S2228" s="238" t="s">
        <v>137</v>
      </c>
      <c r="T2228" s="238" t="s">
        <v>978</v>
      </c>
      <c r="U2228">
        <v>214035</v>
      </c>
      <c r="V2228" t="s">
        <v>4091</v>
      </c>
      <c r="W2228" s="24">
        <v>45287</v>
      </c>
      <c r="X2228" s="238" t="s">
        <v>6866</v>
      </c>
      <c r="Y2228" s="238" t="s">
        <v>39</v>
      </c>
      <c r="Z2228" s="238" t="s">
        <v>1340</v>
      </c>
      <c r="AA2228" t="s">
        <v>3113</v>
      </c>
      <c r="AB2228" s="238" t="s">
        <v>3246</v>
      </c>
      <c r="AC2228" t="s">
        <v>3079</v>
      </c>
      <c r="AD2228" s="24"/>
      <c r="AE2228" s="238" t="s">
        <v>6867</v>
      </c>
      <c r="AF2228">
        <v>79879147210</v>
      </c>
      <c r="AG2228" s="238" t="s">
        <v>6868</v>
      </c>
      <c r="AH2228" s="238" t="s">
        <v>1212</v>
      </c>
      <c r="AI2228" s="238" t="s">
        <v>3514</v>
      </c>
      <c r="AJ2228" s="238" t="s">
        <v>130</v>
      </c>
      <c r="AK2228" s="238" t="s">
        <v>141</v>
      </c>
      <c r="AL2228" t="s">
        <v>8715</v>
      </c>
      <c r="AM2228" t="s">
        <v>1167</v>
      </c>
    </row>
    <row r="2229" spans="1:39" hidden="1" x14ac:dyDescent="0.25">
      <c r="A2229">
        <v>2226</v>
      </c>
      <c r="B2229">
        <v>48</v>
      </c>
      <c r="C2229" s="24">
        <v>45290</v>
      </c>
      <c r="D2229" s="238" t="s">
        <v>91</v>
      </c>
      <c r="E2229" s="238" t="s">
        <v>15</v>
      </c>
      <c r="F2229">
        <v>7</v>
      </c>
      <c r="G2229">
        <v>12</v>
      </c>
      <c r="H2229">
        <v>498</v>
      </c>
      <c r="I2229" s="238" t="s">
        <v>43</v>
      </c>
      <c r="J2229">
        <v>67.489999999999995</v>
      </c>
      <c r="K2229" s="238" t="s">
        <v>38</v>
      </c>
      <c r="L2229">
        <v>7569012</v>
      </c>
      <c r="M2229">
        <v>0</v>
      </c>
      <c r="N2229">
        <v>7569012</v>
      </c>
      <c r="O2229">
        <v>112150.12594458439</v>
      </c>
      <c r="P2229">
        <v>1484780</v>
      </c>
      <c r="Q2229">
        <v>6084232</v>
      </c>
      <c r="R2229">
        <v>90150.12594458439</v>
      </c>
      <c r="S2229" s="238" t="s">
        <v>137</v>
      </c>
      <c r="T2229" s="238" t="s">
        <v>321</v>
      </c>
      <c r="U2229">
        <v>124168</v>
      </c>
      <c r="V2229" t="s">
        <v>4092</v>
      </c>
      <c r="W2229" s="24">
        <v>45286</v>
      </c>
      <c r="X2229" s="238" t="s">
        <v>6872</v>
      </c>
      <c r="Y2229" s="238" t="s">
        <v>39</v>
      </c>
      <c r="Z2229" s="238" t="s">
        <v>1340</v>
      </c>
      <c r="AA2229" t="s">
        <v>3113</v>
      </c>
      <c r="AB2229" s="238" t="s">
        <v>3246</v>
      </c>
      <c r="AC2229" t="s">
        <v>3079</v>
      </c>
      <c r="AD2229" s="24"/>
      <c r="AE2229" s="238" t="s">
        <v>6873</v>
      </c>
      <c r="AF2229">
        <v>79879476496</v>
      </c>
      <c r="AG2229" s="238" t="s">
        <v>6874</v>
      </c>
      <c r="AH2229" s="238" t="s">
        <v>1171</v>
      </c>
      <c r="AI2229" s="238" t="s">
        <v>135</v>
      </c>
      <c r="AJ2229" s="238" t="s">
        <v>126</v>
      </c>
      <c r="AK2229" s="238" t="s">
        <v>141</v>
      </c>
      <c r="AL2229" t="s">
        <v>8715</v>
      </c>
      <c r="AM2229" t="s">
        <v>1167</v>
      </c>
    </row>
    <row r="2230" spans="1:39" x14ac:dyDescent="0.25">
      <c r="A2230">
        <v>2227</v>
      </c>
      <c r="B2230">
        <v>49</v>
      </c>
      <c r="C2230" s="24">
        <v>45290</v>
      </c>
      <c r="D2230" s="238" t="s">
        <v>3388</v>
      </c>
      <c r="E2230" s="238" t="s">
        <v>15</v>
      </c>
      <c r="F2230">
        <v>8</v>
      </c>
      <c r="G2230">
        <v>9</v>
      </c>
      <c r="H2230">
        <v>460</v>
      </c>
      <c r="I2230" s="238" t="s">
        <v>42</v>
      </c>
      <c r="J2230">
        <v>39.69</v>
      </c>
      <c r="K2230" s="238" t="s">
        <v>38</v>
      </c>
      <c r="L2230">
        <v>4738445</v>
      </c>
      <c r="M2230">
        <v>0</v>
      </c>
      <c r="N2230">
        <v>4738445</v>
      </c>
      <c r="O2230">
        <v>119386.36936255984</v>
      </c>
      <c r="P2230">
        <v>873180</v>
      </c>
      <c r="Q2230">
        <v>3865265</v>
      </c>
      <c r="R2230">
        <v>97386.369362559839</v>
      </c>
      <c r="S2230" s="238" t="s">
        <v>137</v>
      </c>
      <c r="T2230" s="238" t="s">
        <v>978</v>
      </c>
      <c r="U2230">
        <v>203435</v>
      </c>
      <c r="V2230" t="s">
        <v>4091</v>
      </c>
      <c r="W2230" s="24">
        <v>45287</v>
      </c>
      <c r="X2230" s="238" t="s">
        <v>6875</v>
      </c>
      <c r="Y2230" s="238" t="s">
        <v>39</v>
      </c>
      <c r="Z2230" s="238" t="s">
        <v>1340</v>
      </c>
      <c r="AA2230" t="s">
        <v>3113</v>
      </c>
      <c r="AB2230" s="238" t="s">
        <v>3246</v>
      </c>
      <c r="AC2230" t="s">
        <v>3079</v>
      </c>
      <c r="AD2230" s="24"/>
      <c r="AE2230" s="238" t="s">
        <v>6876</v>
      </c>
      <c r="AF2230">
        <v>79879223624</v>
      </c>
      <c r="AG2230" s="238" t="s">
        <v>6877</v>
      </c>
      <c r="AH2230" s="238" t="s">
        <v>1171</v>
      </c>
      <c r="AI2230" s="238" t="s">
        <v>135</v>
      </c>
      <c r="AJ2230" s="238" t="s">
        <v>5215</v>
      </c>
      <c r="AK2230" s="238" t="s">
        <v>141</v>
      </c>
      <c r="AL2230" t="s">
        <v>8715</v>
      </c>
      <c r="AM2230" t="s">
        <v>1167</v>
      </c>
    </row>
    <row r="2231" spans="1:39" x14ac:dyDescent="0.25">
      <c r="A2231">
        <v>2228</v>
      </c>
      <c r="B2231">
        <v>1</v>
      </c>
      <c r="C2231" s="24">
        <v>45309</v>
      </c>
      <c r="D2231" s="238" t="s">
        <v>3388</v>
      </c>
      <c r="E2231" s="238" t="s">
        <v>16</v>
      </c>
      <c r="F2231">
        <v>5</v>
      </c>
      <c r="G2231">
        <v>19</v>
      </c>
      <c r="H2231">
        <v>352</v>
      </c>
      <c r="I2231" s="238" t="s">
        <v>42</v>
      </c>
      <c r="J2231">
        <v>37.81</v>
      </c>
      <c r="K2231" s="238" t="s">
        <v>38</v>
      </c>
      <c r="L2231">
        <v>5285700</v>
      </c>
      <c r="M2231">
        <v>0</v>
      </c>
      <c r="N2231">
        <v>5285700</v>
      </c>
      <c r="O2231">
        <v>139796.35017191217</v>
      </c>
      <c r="P2231">
        <v>756200</v>
      </c>
      <c r="Q2231">
        <v>4529500</v>
      </c>
      <c r="R2231">
        <v>119796.35017191219</v>
      </c>
      <c r="S2231" s="238" t="s">
        <v>137</v>
      </c>
      <c r="T2231" s="238" t="s">
        <v>1167</v>
      </c>
      <c r="V2231" t="s">
        <v>4091</v>
      </c>
      <c r="W2231" s="24">
        <v>45306</v>
      </c>
      <c r="X2231" s="238" t="s">
        <v>6883</v>
      </c>
      <c r="Y2231" s="238" t="s">
        <v>39</v>
      </c>
      <c r="Z2231" s="238" t="s">
        <v>1340</v>
      </c>
      <c r="AA2231" t="s">
        <v>3113</v>
      </c>
      <c r="AB2231" s="238" t="s">
        <v>3246</v>
      </c>
      <c r="AC2231" t="s">
        <v>3079</v>
      </c>
      <c r="AD2231" s="24"/>
      <c r="AE2231" s="238" t="s">
        <v>6884</v>
      </c>
      <c r="AF2231">
        <v>79397010028</v>
      </c>
      <c r="AG2231" s="238" t="s">
        <v>6885</v>
      </c>
      <c r="AH2231" s="238" t="s">
        <v>1212</v>
      </c>
      <c r="AI2231" s="238" t="s">
        <v>3074</v>
      </c>
      <c r="AJ2231" s="238" t="s">
        <v>5215</v>
      </c>
      <c r="AK2231" s="238" t="s">
        <v>141</v>
      </c>
      <c r="AL2231" t="s">
        <v>8715</v>
      </c>
      <c r="AM2231" t="s">
        <v>1167</v>
      </c>
    </row>
    <row r="2232" spans="1:39" x14ac:dyDescent="0.25">
      <c r="A2232">
        <v>2229</v>
      </c>
      <c r="B2232">
        <v>2</v>
      </c>
      <c r="C2232" s="24">
        <v>45309</v>
      </c>
      <c r="D2232" s="238" t="s">
        <v>3388</v>
      </c>
      <c r="E2232" s="238" t="s">
        <v>15</v>
      </c>
      <c r="F2232">
        <v>4</v>
      </c>
      <c r="G2232">
        <v>6</v>
      </c>
      <c r="H2232">
        <v>432</v>
      </c>
      <c r="I2232" s="238" t="s">
        <v>43</v>
      </c>
      <c r="J2232">
        <v>58.24</v>
      </c>
      <c r="K2232" s="238" t="s">
        <v>6871</v>
      </c>
      <c r="L2232">
        <v>5614224</v>
      </c>
      <c r="M2232">
        <v>0</v>
      </c>
      <c r="N2232">
        <v>5614224</v>
      </c>
      <c r="O2232">
        <v>96398.076923076922</v>
      </c>
      <c r="P2232">
        <v>407680</v>
      </c>
      <c r="Q2232">
        <v>5206544</v>
      </c>
      <c r="R2232">
        <v>89398.076923076922</v>
      </c>
      <c r="S2232" s="238" t="s">
        <v>137</v>
      </c>
      <c r="T2232" s="238" t="s">
        <v>3540</v>
      </c>
      <c r="U2232">
        <v>106256.00000000093</v>
      </c>
      <c r="V2232" t="s">
        <v>4092</v>
      </c>
      <c r="W2232" s="24">
        <v>45306</v>
      </c>
      <c r="X2232" s="238" t="s">
        <v>6886</v>
      </c>
      <c r="Y2232" s="238" t="s">
        <v>39</v>
      </c>
      <c r="Z2232" s="238" t="s">
        <v>1340</v>
      </c>
      <c r="AA2232" t="s">
        <v>3113</v>
      </c>
      <c r="AB2232" s="238" t="s">
        <v>3246</v>
      </c>
      <c r="AC2232" t="s">
        <v>3079</v>
      </c>
      <c r="AD2232" s="24"/>
      <c r="AE2232" s="238" t="s">
        <v>6887</v>
      </c>
      <c r="AF2232">
        <v>79270214133</v>
      </c>
      <c r="AG2232" s="238" t="s">
        <v>6888</v>
      </c>
      <c r="AH2232" s="238" t="s">
        <v>1212</v>
      </c>
      <c r="AI2232" s="238" t="s">
        <v>135</v>
      </c>
      <c r="AJ2232" s="238" t="s">
        <v>5215</v>
      </c>
      <c r="AK2232" s="238" t="s">
        <v>141</v>
      </c>
      <c r="AL2232" t="s">
        <v>8715</v>
      </c>
      <c r="AM2232" t="s">
        <v>1167</v>
      </c>
    </row>
    <row r="2233" spans="1:39" hidden="1" x14ac:dyDescent="0.25">
      <c r="A2233">
        <v>2230</v>
      </c>
      <c r="B2233">
        <v>3</v>
      </c>
      <c r="C2233" s="24">
        <v>45310</v>
      </c>
      <c r="D2233" s="238" t="s">
        <v>91</v>
      </c>
      <c r="E2233" s="238" t="s">
        <v>5</v>
      </c>
      <c r="F2233">
        <v>3</v>
      </c>
      <c r="G2233">
        <v>9</v>
      </c>
      <c r="H2233">
        <v>179</v>
      </c>
      <c r="I2233" s="238" t="s">
        <v>42</v>
      </c>
      <c r="J2233">
        <v>35.380000000000003</v>
      </c>
      <c r="K2233" s="238" t="s">
        <v>37</v>
      </c>
      <c r="L2233">
        <v>4386950</v>
      </c>
      <c r="M2233">
        <v>0</v>
      </c>
      <c r="N2233">
        <v>4386950</v>
      </c>
      <c r="O2233">
        <v>123995.19502543809</v>
      </c>
      <c r="P2233">
        <v>265350</v>
      </c>
      <c r="Q2233">
        <v>4121600</v>
      </c>
      <c r="R2233">
        <v>116495.19502543809</v>
      </c>
      <c r="S2233" s="238" t="s">
        <v>137</v>
      </c>
      <c r="T2233" s="238" t="s">
        <v>1167</v>
      </c>
      <c r="V2233" t="s">
        <v>4091</v>
      </c>
      <c r="W2233" s="24">
        <v>45306</v>
      </c>
      <c r="X2233" s="238" t="s">
        <v>6889</v>
      </c>
      <c r="Y2233" s="238" t="s">
        <v>39</v>
      </c>
      <c r="Z2233" s="238" t="s">
        <v>1340</v>
      </c>
      <c r="AA2233" t="s">
        <v>3113</v>
      </c>
      <c r="AB2233" s="238" t="s">
        <v>3246</v>
      </c>
      <c r="AC2233" t="s">
        <v>3079</v>
      </c>
      <c r="AD2233" s="24"/>
      <c r="AE2233" s="238" t="s">
        <v>6890</v>
      </c>
      <c r="AF2233">
        <v>79171454622</v>
      </c>
      <c r="AG2233" s="238" t="s">
        <v>6891</v>
      </c>
      <c r="AH2233" s="238" t="s">
        <v>4072</v>
      </c>
      <c r="AI2233" s="238" t="s">
        <v>6407</v>
      </c>
      <c r="AJ2233" s="238" t="s">
        <v>126</v>
      </c>
      <c r="AK2233" s="238" t="s">
        <v>141</v>
      </c>
      <c r="AL2233" t="s">
        <v>57</v>
      </c>
      <c r="AM2233" t="s">
        <v>1167</v>
      </c>
    </row>
    <row r="2234" spans="1:39" hidden="1" x14ac:dyDescent="0.25">
      <c r="A2234">
        <v>2231</v>
      </c>
      <c r="B2234">
        <v>4</v>
      </c>
      <c r="C2234" s="24">
        <v>45310</v>
      </c>
      <c r="D2234" s="238" t="s">
        <v>91</v>
      </c>
      <c r="E2234" s="238" t="s">
        <v>15</v>
      </c>
      <c r="F2234">
        <v>5</v>
      </c>
      <c r="G2234">
        <v>3</v>
      </c>
      <c r="H2234">
        <v>415</v>
      </c>
      <c r="I2234" s="238" t="s">
        <v>43</v>
      </c>
      <c r="J2234">
        <v>56.04</v>
      </c>
      <c r="K2234" s="238" t="s">
        <v>37</v>
      </c>
      <c r="L2234">
        <v>5503585</v>
      </c>
      <c r="M2234">
        <v>0</v>
      </c>
      <c r="N2234">
        <v>5503585</v>
      </c>
      <c r="O2234">
        <v>98208.154889364741</v>
      </c>
      <c r="P2234">
        <v>420300</v>
      </c>
      <c r="Q2234">
        <v>5083285</v>
      </c>
      <c r="R2234">
        <v>90708.154889364741</v>
      </c>
      <c r="S2234" s="238" t="s">
        <v>121</v>
      </c>
      <c r="T2234" s="238" t="s">
        <v>6593</v>
      </c>
      <c r="U2234">
        <v>157215</v>
      </c>
      <c r="V2234" t="s">
        <v>1167</v>
      </c>
      <c r="W2234" s="24">
        <v>45306</v>
      </c>
      <c r="X2234" s="238" t="s">
        <v>6892</v>
      </c>
      <c r="Y2234" s="238" t="s">
        <v>39</v>
      </c>
      <c r="Z2234" s="238" t="s">
        <v>1340</v>
      </c>
      <c r="AA2234" t="s">
        <v>3113</v>
      </c>
      <c r="AB2234" s="238" t="s">
        <v>3246</v>
      </c>
      <c r="AC2234" t="s">
        <v>1167</v>
      </c>
      <c r="AD2234" s="24"/>
      <c r="AE2234" s="238" t="s">
        <v>6893</v>
      </c>
      <c r="AF2234">
        <v>79047324131</v>
      </c>
      <c r="AG2234" s="238" t="s">
        <v>6894</v>
      </c>
      <c r="AH2234" s="238" t="s">
        <v>1171</v>
      </c>
      <c r="AI2234" s="238" t="s">
        <v>135</v>
      </c>
      <c r="AJ2234" s="238" t="s">
        <v>126</v>
      </c>
      <c r="AK2234" s="238" t="s">
        <v>1167</v>
      </c>
      <c r="AL2234" t="s">
        <v>8715</v>
      </c>
      <c r="AM2234" t="s">
        <v>1167</v>
      </c>
    </row>
    <row r="2235" spans="1:39" hidden="1" x14ac:dyDescent="0.25">
      <c r="A2235">
        <v>2232</v>
      </c>
      <c r="B2235">
        <v>5</v>
      </c>
      <c r="C2235" s="24">
        <v>45310</v>
      </c>
      <c r="D2235" s="238" t="s">
        <v>91</v>
      </c>
      <c r="E2235" s="238" t="s">
        <v>16</v>
      </c>
      <c r="F2235">
        <v>3</v>
      </c>
      <c r="G2235">
        <v>14</v>
      </c>
      <c r="H2235">
        <v>327</v>
      </c>
      <c r="I2235" s="238" t="s">
        <v>4052</v>
      </c>
      <c r="J2235">
        <v>36.450000000000003</v>
      </c>
      <c r="K2235" s="238" t="s">
        <v>36</v>
      </c>
      <c r="L2235">
        <v>3882800</v>
      </c>
      <c r="M2235">
        <v>0</v>
      </c>
      <c r="N2235">
        <v>3882800</v>
      </c>
      <c r="O2235">
        <v>106524.00548696844</v>
      </c>
      <c r="P2235">
        <v>0</v>
      </c>
      <c r="Q2235">
        <v>3882800</v>
      </c>
      <c r="R2235">
        <v>106524.00548696844</v>
      </c>
      <c r="S2235" s="238" t="s">
        <v>137</v>
      </c>
      <c r="T2235" s="238" t="s">
        <v>1167</v>
      </c>
      <c r="V2235" t="s">
        <v>4092</v>
      </c>
      <c r="W2235" s="24">
        <v>45306</v>
      </c>
      <c r="X2235" s="238" t="s">
        <v>6895</v>
      </c>
      <c r="Y2235" s="238" t="s">
        <v>39</v>
      </c>
      <c r="Z2235" s="238" t="s">
        <v>1340</v>
      </c>
      <c r="AA2235" t="s">
        <v>3113</v>
      </c>
      <c r="AB2235" s="238" t="s">
        <v>3246</v>
      </c>
      <c r="AC2235" t="s">
        <v>3079</v>
      </c>
      <c r="AD2235" s="24"/>
      <c r="AE2235" s="238" t="s">
        <v>6896</v>
      </c>
      <c r="AF2235">
        <v>79882823682</v>
      </c>
      <c r="AG2235" s="238" t="s">
        <v>6897</v>
      </c>
      <c r="AH2235" s="238" t="s">
        <v>1212</v>
      </c>
      <c r="AI2235" s="238" t="s">
        <v>3074</v>
      </c>
      <c r="AJ2235" s="238" t="s">
        <v>5215</v>
      </c>
      <c r="AK2235" s="238" t="s">
        <v>141</v>
      </c>
      <c r="AL2235" t="s">
        <v>8715</v>
      </c>
      <c r="AM2235" t="s">
        <v>1167</v>
      </c>
    </row>
    <row r="2236" spans="1:39" hidden="1" x14ac:dyDescent="0.25">
      <c r="A2236">
        <v>2233</v>
      </c>
      <c r="B2236">
        <v>6</v>
      </c>
      <c r="C2236" s="24">
        <v>45311</v>
      </c>
      <c r="D2236" s="238" t="s">
        <v>91</v>
      </c>
      <c r="E2236" s="238" t="s">
        <v>5</v>
      </c>
      <c r="F2236">
        <v>4</v>
      </c>
      <c r="G2236">
        <v>12</v>
      </c>
      <c r="H2236">
        <v>204</v>
      </c>
      <c r="I2236" s="238" t="s">
        <v>42</v>
      </c>
      <c r="J2236">
        <v>37.81</v>
      </c>
      <c r="K2236" s="238" t="s">
        <v>37</v>
      </c>
      <c r="L2236">
        <v>4588575</v>
      </c>
      <c r="M2236">
        <v>0</v>
      </c>
      <c r="N2236">
        <v>4588575</v>
      </c>
      <c r="O2236">
        <v>121358.76752181962</v>
      </c>
      <c r="P2236">
        <v>283575</v>
      </c>
      <c r="Q2236">
        <v>4305000</v>
      </c>
      <c r="R2236">
        <v>113858.76752181962</v>
      </c>
      <c r="S2236" s="238" t="s">
        <v>137</v>
      </c>
      <c r="T2236" s="238" t="s">
        <v>1167</v>
      </c>
      <c r="V2236" t="s">
        <v>4091</v>
      </c>
      <c r="W2236" s="24">
        <v>45306</v>
      </c>
      <c r="X2236" s="238" t="s">
        <v>6898</v>
      </c>
      <c r="Y2236" s="238" t="s">
        <v>39</v>
      </c>
      <c r="Z2236" s="238" t="s">
        <v>1340</v>
      </c>
      <c r="AA2236" t="s">
        <v>3113</v>
      </c>
      <c r="AB2236" s="238" t="s">
        <v>3246</v>
      </c>
      <c r="AC2236" t="s">
        <v>3079</v>
      </c>
      <c r="AD2236" s="24"/>
      <c r="AE2236" s="238" t="s">
        <v>6899</v>
      </c>
      <c r="AF2236">
        <v>79093443105</v>
      </c>
      <c r="AG2236" s="238" t="s">
        <v>6900</v>
      </c>
      <c r="AH2236" s="238" t="s">
        <v>1212</v>
      </c>
      <c r="AI2236" s="238" t="s">
        <v>3074</v>
      </c>
      <c r="AJ2236" s="238" t="s">
        <v>126</v>
      </c>
      <c r="AK2236" s="238" t="s">
        <v>141</v>
      </c>
      <c r="AL2236" t="s">
        <v>8715</v>
      </c>
      <c r="AM2236" t="s">
        <v>1167</v>
      </c>
    </row>
    <row r="2237" spans="1:39" hidden="1" x14ac:dyDescent="0.25">
      <c r="A2237">
        <v>2234</v>
      </c>
      <c r="B2237">
        <v>7</v>
      </c>
      <c r="C2237" s="24">
        <v>45311</v>
      </c>
      <c r="D2237" s="238" t="s">
        <v>91</v>
      </c>
      <c r="E2237" s="238" t="s">
        <v>5</v>
      </c>
      <c r="F2237">
        <v>7</v>
      </c>
      <c r="G2237">
        <v>16</v>
      </c>
      <c r="H2237">
        <v>239</v>
      </c>
      <c r="I2237" s="238" t="s">
        <v>44</v>
      </c>
      <c r="J2237">
        <v>78.73</v>
      </c>
      <c r="K2237" s="238" t="s">
        <v>36</v>
      </c>
      <c r="L2237">
        <v>7374061.5</v>
      </c>
      <c r="M2237">
        <v>0</v>
      </c>
      <c r="N2237">
        <v>7374061.5</v>
      </c>
      <c r="O2237">
        <v>93662.663533595827</v>
      </c>
      <c r="P2237">
        <v>0</v>
      </c>
      <c r="Q2237">
        <v>7374061.5</v>
      </c>
      <c r="R2237">
        <v>93662.663533595827</v>
      </c>
      <c r="S2237" s="238" t="s">
        <v>121</v>
      </c>
      <c r="T2237" s="238" t="s">
        <v>978</v>
      </c>
      <c r="U2237">
        <v>587138.5</v>
      </c>
      <c r="V2237" t="s">
        <v>1167</v>
      </c>
      <c r="W2237" s="24">
        <v>45309</v>
      </c>
      <c r="X2237" s="238" t="s">
        <v>6901</v>
      </c>
      <c r="Y2237" s="238" t="s">
        <v>39</v>
      </c>
      <c r="Z2237" s="238" t="s">
        <v>1340</v>
      </c>
      <c r="AA2237" t="s">
        <v>3113</v>
      </c>
      <c r="AB2237" s="238" t="s">
        <v>3246</v>
      </c>
      <c r="AC2237" t="s">
        <v>1167</v>
      </c>
      <c r="AD2237" s="24"/>
      <c r="AE2237" s="238" t="s">
        <v>6902</v>
      </c>
      <c r="AF2237">
        <v>79330164874</v>
      </c>
      <c r="AG2237" s="238" t="s">
        <v>6903</v>
      </c>
      <c r="AH2237" s="238" t="s">
        <v>1212</v>
      </c>
      <c r="AI2237" s="238" t="s">
        <v>3097</v>
      </c>
      <c r="AJ2237" s="238" t="s">
        <v>4177</v>
      </c>
      <c r="AK2237" s="238" t="s">
        <v>1167</v>
      </c>
      <c r="AL2237" t="s">
        <v>8715</v>
      </c>
      <c r="AM2237" t="s">
        <v>1167</v>
      </c>
    </row>
    <row r="2238" spans="1:39" x14ac:dyDescent="0.25">
      <c r="A2238">
        <v>2235</v>
      </c>
      <c r="B2238">
        <v>8</v>
      </c>
      <c r="C2238" s="24">
        <v>45315</v>
      </c>
      <c r="D2238" s="238" t="s">
        <v>3388</v>
      </c>
      <c r="E2238" s="238" t="s">
        <v>15</v>
      </c>
      <c r="F2238">
        <v>7</v>
      </c>
      <c r="G2238">
        <v>18</v>
      </c>
      <c r="H2238">
        <v>531</v>
      </c>
      <c r="I2238" s="238" t="s">
        <v>44</v>
      </c>
      <c r="J2238">
        <v>79.44</v>
      </c>
      <c r="K2238" s="238" t="s">
        <v>6871</v>
      </c>
      <c r="L2238">
        <v>7644980</v>
      </c>
      <c r="M2238">
        <v>0</v>
      </c>
      <c r="N2238">
        <v>7644980</v>
      </c>
      <c r="O2238">
        <v>96235.901309164154</v>
      </c>
      <c r="P2238">
        <v>556080</v>
      </c>
      <c r="Q2238">
        <v>7088900</v>
      </c>
      <c r="R2238">
        <v>89235.901309164154</v>
      </c>
      <c r="S2238" s="238" t="s">
        <v>137</v>
      </c>
      <c r="T2238" s="238" t="s">
        <v>1167</v>
      </c>
      <c r="V2238" t="s">
        <v>4092</v>
      </c>
      <c r="W2238" s="24">
        <v>45306</v>
      </c>
      <c r="X2238" s="238" t="s">
        <v>6905</v>
      </c>
      <c r="Y2238" s="238" t="s">
        <v>39</v>
      </c>
      <c r="Z2238" s="238" t="s">
        <v>1340</v>
      </c>
      <c r="AA2238" t="s">
        <v>3113</v>
      </c>
      <c r="AB2238" s="238" t="s">
        <v>3246</v>
      </c>
      <c r="AC2238" t="s">
        <v>3079</v>
      </c>
      <c r="AD2238" s="24"/>
      <c r="AE2238" s="238" t="s">
        <v>6906</v>
      </c>
      <c r="AF2238">
        <v>79871575647</v>
      </c>
      <c r="AG2238" s="238" t="s">
        <v>6907</v>
      </c>
      <c r="AH2238" s="238" t="s">
        <v>1212</v>
      </c>
      <c r="AI2238" s="238" t="s">
        <v>3097</v>
      </c>
      <c r="AJ2238" s="238" t="s">
        <v>6908</v>
      </c>
      <c r="AK2238" s="238" t="s">
        <v>141</v>
      </c>
      <c r="AL2238" t="s">
        <v>8715</v>
      </c>
      <c r="AM2238" t="s">
        <v>1167</v>
      </c>
    </row>
    <row r="2239" spans="1:39" x14ac:dyDescent="0.25">
      <c r="A2239">
        <v>2236</v>
      </c>
      <c r="B2239">
        <v>9</v>
      </c>
      <c r="C2239" s="24">
        <v>45315</v>
      </c>
      <c r="D2239" s="238" t="s">
        <v>3388</v>
      </c>
      <c r="E2239" s="238" t="s">
        <v>5</v>
      </c>
      <c r="F2239">
        <v>6</v>
      </c>
      <c r="G2239">
        <v>6</v>
      </c>
      <c r="H2239">
        <v>151</v>
      </c>
      <c r="I2239" s="238" t="s">
        <v>44</v>
      </c>
      <c r="J2239">
        <v>84.99</v>
      </c>
      <c r="K2239" s="238" t="s">
        <v>6871</v>
      </c>
      <c r="L2239">
        <v>7474866</v>
      </c>
      <c r="M2239">
        <v>0</v>
      </c>
      <c r="N2239">
        <v>7474866</v>
      </c>
      <c r="O2239">
        <v>87949.947052594434</v>
      </c>
      <c r="P2239">
        <v>594930</v>
      </c>
      <c r="Q2239">
        <v>6879936</v>
      </c>
      <c r="R2239">
        <v>80949.947052594434</v>
      </c>
      <c r="S2239" s="238" t="s">
        <v>137</v>
      </c>
      <c r="T2239" s="238" t="s">
        <v>978</v>
      </c>
      <c r="U2239">
        <v>286664</v>
      </c>
      <c r="V2239" t="s">
        <v>4092</v>
      </c>
      <c r="W2239" s="24">
        <v>45313</v>
      </c>
      <c r="X2239" s="238" t="s">
        <v>6909</v>
      </c>
      <c r="Y2239" s="238" t="s">
        <v>39</v>
      </c>
      <c r="Z2239" s="238" t="s">
        <v>1340</v>
      </c>
      <c r="AA2239" t="s">
        <v>3113</v>
      </c>
      <c r="AB2239" s="238" t="s">
        <v>3246</v>
      </c>
      <c r="AC2239" t="s">
        <v>3079</v>
      </c>
      <c r="AD2239" s="24"/>
      <c r="AE2239" s="238" t="s">
        <v>6910</v>
      </c>
      <c r="AF2239">
        <v>79879156329</v>
      </c>
      <c r="AG2239" s="238" t="s">
        <v>6911</v>
      </c>
      <c r="AH2239" s="238" t="s">
        <v>1171</v>
      </c>
      <c r="AI2239" s="238" t="s">
        <v>135</v>
      </c>
      <c r="AJ2239" s="238" t="s">
        <v>126</v>
      </c>
      <c r="AK2239" s="238" t="s">
        <v>3345</v>
      </c>
      <c r="AL2239" t="s">
        <v>8715</v>
      </c>
      <c r="AM2239" t="s">
        <v>1167</v>
      </c>
    </row>
    <row r="2240" spans="1:39" hidden="1" x14ac:dyDescent="0.25">
      <c r="A2240">
        <v>2237</v>
      </c>
      <c r="B2240">
        <v>10</v>
      </c>
      <c r="C2240" s="24">
        <v>45315</v>
      </c>
      <c r="D2240" s="238" t="s">
        <v>91</v>
      </c>
      <c r="E2240" s="238" t="s">
        <v>16</v>
      </c>
      <c r="F2240">
        <v>2</v>
      </c>
      <c r="G2240">
        <v>3</v>
      </c>
      <c r="H2240">
        <v>249</v>
      </c>
      <c r="I2240" s="238" t="s">
        <v>43</v>
      </c>
      <c r="J2240">
        <v>67.95</v>
      </c>
      <c r="K2240" s="238" t="s">
        <v>37</v>
      </c>
      <c r="L2240">
        <v>6563225</v>
      </c>
      <c r="M2240">
        <v>0</v>
      </c>
      <c r="N2240">
        <v>6563225</v>
      </c>
      <c r="O2240">
        <v>96589.036055923469</v>
      </c>
      <c r="P2240">
        <v>509625</v>
      </c>
      <c r="Q2240">
        <v>6053600</v>
      </c>
      <c r="R2240">
        <v>89089.036055923469</v>
      </c>
      <c r="S2240" s="238" t="s">
        <v>121</v>
      </c>
      <c r="T2240" s="238" t="s">
        <v>321</v>
      </c>
      <c r="U2240">
        <v>200000</v>
      </c>
      <c r="V2240" t="s">
        <v>1167</v>
      </c>
      <c r="W2240" s="24">
        <v>45313</v>
      </c>
      <c r="X2240" s="238" t="s">
        <v>6912</v>
      </c>
      <c r="Y2240" s="238" t="s">
        <v>39</v>
      </c>
      <c r="Z2240" s="238" t="s">
        <v>1340</v>
      </c>
      <c r="AA2240" t="s">
        <v>3113</v>
      </c>
      <c r="AB2240" s="238" t="s">
        <v>3246</v>
      </c>
      <c r="AC2240" t="s">
        <v>1167</v>
      </c>
      <c r="AD2240" s="24"/>
      <c r="AE2240" s="238" t="s">
        <v>6913</v>
      </c>
      <c r="AF2240">
        <v>79241604230</v>
      </c>
      <c r="AG2240" s="238" t="s">
        <v>6914</v>
      </c>
      <c r="AH2240" s="238" t="s">
        <v>1171</v>
      </c>
      <c r="AI2240" s="238" t="s">
        <v>3074</v>
      </c>
      <c r="AJ2240" s="238" t="s">
        <v>6908</v>
      </c>
      <c r="AK2240" s="238" t="s">
        <v>1167</v>
      </c>
      <c r="AL2240" t="s">
        <v>8715</v>
      </c>
      <c r="AM2240" t="s">
        <v>1167</v>
      </c>
    </row>
    <row r="2241" spans="1:39" hidden="1" x14ac:dyDescent="0.25">
      <c r="A2241">
        <v>2238</v>
      </c>
      <c r="B2241">
        <v>11</v>
      </c>
      <c r="C2241" s="24">
        <v>45316</v>
      </c>
      <c r="D2241" s="238" t="s">
        <v>91</v>
      </c>
      <c r="E2241" s="238" t="s">
        <v>5</v>
      </c>
      <c r="F2241">
        <v>2</v>
      </c>
      <c r="G2241">
        <v>2</v>
      </c>
      <c r="H2241">
        <v>122</v>
      </c>
      <c r="I2241" s="238" t="s">
        <v>43</v>
      </c>
      <c r="J2241">
        <v>68.75</v>
      </c>
      <c r="K2241" s="238" t="s">
        <v>37</v>
      </c>
      <c r="L2241">
        <v>6533450</v>
      </c>
      <c r="M2241">
        <v>0</v>
      </c>
      <c r="N2241">
        <v>6533450</v>
      </c>
      <c r="O2241">
        <v>95032</v>
      </c>
      <c r="P2241">
        <v>515625</v>
      </c>
      <c r="Q2241">
        <v>6017825</v>
      </c>
      <c r="R2241">
        <v>87532</v>
      </c>
      <c r="S2241" s="238" t="s">
        <v>137</v>
      </c>
      <c r="T2241" s="238" t="s">
        <v>60</v>
      </c>
      <c r="U2241">
        <v>309375</v>
      </c>
      <c r="V2241" t="s">
        <v>4092</v>
      </c>
      <c r="W2241" s="24">
        <v>45309</v>
      </c>
      <c r="X2241" s="238" t="s">
        <v>6915</v>
      </c>
      <c r="Y2241" s="238" t="s">
        <v>39</v>
      </c>
      <c r="Z2241" s="238" t="s">
        <v>1340</v>
      </c>
      <c r="AA2241" t="s">
        <v>3113</v>
      </c>
      <c r="AB2241" s="238" t="s">
        <v>3246</v>
      </c>
      <c r="AC2241" t="s">
        <v>3079</v>
      </c>
      <c r="AD2241" s="24"/>
      <c r="AE2241" s="238" t="s">
        <v>6916</v>
      </c>
      <c r="AF2241">
        <v>79018037400</v>
      </c>
      <c r="AG2241" s="238" t="s">
        <v>6917</v>
      </c>
      <c r="AH2241" s="238" t="s">
        <v>135</v>
      </c>
      <c r="AI2241" s="238" t="s">
        <v>3075</v>
      </c>
      <c r="AJ2241" s="238" t="s">
        <v>5215</v>
      </c>
      <c r="AK2241" s="238" t="s">
        <v>3345</v>
      </c>
      <c r="AL2241" t="s">
        <v>8715</v>
      </c>
      <c r="AM2241" t="s">
        <v>1167</v>
      </c>
    </row>
    <row r="2242" spans="1:39" hidden="1" x14ac:dyDescent="0.25">
      <c r="A2242">
        <v>2239</v>
      </c>
      <c r="B2242">
        <v>12</v>
      </c>
      <c r="C2242" s="24">
        <v>45316</v>
      </c>
      <c r="D2242" s="238" t="s">
        <v>91</v>
      </c>
      <c r="E2242" s="238" t="s">
        <v>5</v>
      </c>
      <c r="F2242">
        <v>6</v>
      </c>
      <c r="G2242">
        <v>9</v>
      </c>
      <c r="H2242">
        <v>182</v>
      </c>
      <c r="I2242" s="238" t="s">
        <v>42</v>
      </c>
      <c r="J2242">
        <v>36.659999999999997</v>
      </c>
      <c r="K2242" s="238" t="s">
        <v>38</v>
      </c>
      <c r="L2242">
        <v>5118720</v>
      </c>
      <c r="M2242">
        <v>0</v>
      </c>
      <c r="N2242">
        <v>5118720</v>
      </c>
      <c r="O2242">
        <v>139626.84124386252</v>
      </c>
      <c r="P2242">
        <v>806520</v>
      </c>
      <c r="Q2242">
        <v>4312200</v>
      </c>
      <c r="R2242">
        <v>117626.84124386254</v>
      </c>
      <c r="S2242" s="238" t="s">
        <v>137</v>
      </c>
      <c r="T2242" s="238" t="s">
        <v>1167</v>
      </c>
      <c r="V2242" t="s">
        <v>4092</v>
      </c>
      <c r="W2242" s="24">
        <v>45309</v>
      </c>
      <c r="X2242" s="238" t="s">
        <v>6918</v>
      </c>
      <c r="Y2242" s="238" t="s">
        <v>39</v>
      </c>
      <c r="Z2242" s="238" t="s">
        <v>1340</v>
      </c>
      <c r="AA2242" t="s">
        <v>3113</v>
      </c>
      <c r="AB2242" s="238" t="s">
        <v>3246</v>
      </c>
      <c r="AC2242" t="s">
        <v>3079</v>
      </c>
      <c r="AD2242" s="24"/>
      <c r="AE2242" s="238" t="s">
        <v>6919</v>
      </c>
      <c r="AF2242">
        <v>79370755705</v>
      </c>
      <c r="AG2242" s="238" t="s">
        <v>6920</v>
      </c>
      <c r="AH2242" s="238" t="s">
        <v>135</v>
      </c>
      <c r="AI2242" s="238" t="s">
        <v>3099</v>
      </c>
      <c r="AJ2242" s="238" t="s">
        <v>130</v>
      </c>
      <c r="AK2242" s="238" t="s">
        <v>141</v>
      </c>
      <c r="AL2242" t="s">
        <v>8715</v>
      </c>
      <c r="AM2242" t="s">
        <v>1167</v>
      </c>
    </row>
    <row r="2243" spans="1:39" hidden="1" x14ac:dyDescent="0.25">
      <c r="A2243">
        <v>2240</v>
      </c>
      <c r="B2243">
        <v>13</v>
      </c>
      <c r="C2243" s="24">
        <v>45320</v>
      </c>
      <c r="D2243" s="238" t="s">
        <v>91</v>
      </c>
      <c r="E2243" s="238" t="s">
        <v>15</v>
      </c>
      <c r="F2243">
        <v>7</v>
      </c>
      <c r="G2243">
        <v>5</v>
      </c>
      <c r="H2243">
        <v>435</v>
      </c>
      <c r="I2243" s="238" t="s">
        <v>43</v>
      </c>
      <c r="J2243">
        <v>67.489999999999995</v>
      </c>
      <c r="K2243" s="238" t="s">
        <v>36</v>
      </c>
      <c r="L2243">
        <v>6458400</v>
      </c>
      <c r="M2243">
        <v>0</v>
      </c>
      <c r="N2243">
        <v>6458400</v>
      </c>
      <c r="O2243">
        <v>95694.176915098535</v>
      </c>
      <c r="P2243">
        <v>0</v>
      </c>
      <c r="Q2243">
        <v>6458400</v>
      </c>
      <c r="R2243">
        <v>95694.176915098535</v>
      </c>
      <c r="S2243" s="238" t="s">
        <v>137</v>
      </c>
      <c r="T2243" s="238" t="s">
        <v>1167</v>
      </c>
      <c r="V2243" t="s">
        <v>4092</v>
      </c>
      <c r="W2243" s="24">
        <v>45309</v>
      </c>
      <c r="X2243" s="238" t="s">
        <v>6927</v>
      </c>
      <c r="Y2243" s="238" t="s">
        <v>39</v>
      </c>
      <c r="Z2243" s="238" t="s">
        <v>1340</v>
      </c>
      <c r="AA2243" t="s">
        <v>3113</v>
      </c>
      <c r="AB2243" s="238" t="s">
        <v>3246</v>
      </c>
      <c r="AC2243" t="s">
        <v>3079</v>
      </c>
      <c r="AD2243" s="24"/>
      <c r="AE2243" s="238" t="s">
        <v>6928</v>
      </c>
      <c r="AF2243">
        <v>79276950175</v>
      </c>
      <c r="AG2243" s="238" t="s">
        <v>6929</v>
      </c>
      <c r="AH2243" s="238" t="s">
        <v>1212</v>
      </c>
      <c r="AI2243" s="238" t="s">
        <v>3090</v>
      </c>
      <c r="AJ2243" s="238" t="s">
        <v>4177</v>
      </c>
      <c r="AK2243" s="238" t="s">
        <v>141</v>
      </c>
      <c r="AL2243" t="s">
        <v>8715</v>
      </c>
      <c r="AM2243" t="s">
        <v>1167</v>
      </c>
    </row>
    <row r="2244" spans="1:39" hidden="1" x14ac:dyDescent="0.25">
      <c r="A2244">
        <v>2241</v>
      </c>
      <c r="B2244">
        <v>14</v>
      </c>
      <c r="C2244" s="24">
        <v>45320</v>
      </c>
      <c r="D2244" s="238" t="s">
        <v>91</v>
      </c>
      <c r="E2244" s="238" t="s">
        <v>5</v>
      </c>
      <c r="F2244">
        <v>4</v>
      </c>
      <c r="G2244">
        <v>7</v>
      </c>
      <c r="H2244">
        <v>164</v>
      </c>
      <c r="I2244" s="238" t="s">
        <v>42</v>
      </c>
      <c r="J2244">
        <v>37.81</v>
      </c>
      <c r="K2244" s="238" t="s">
        <v>36</v>
      </c>
      <c r="L2244">
        <v>4304939.22</v>
      </c>
      <c r="M2244">
        <v>0</v>
      </c>
      <c r="N2244">
        <v>4304939.22</v>
      </c>
      <c r="O2244">
        <v>113857.1600105792</v>
      </c>
      <c r="P2244">
        <v>0</v>
      </c>
      <c r="Q2244">
        <v>4304939.22</v>
      </c>
      <c r="R2244">
        <v>113857.1600105792</v>
      </c>
      <c r="S2244" s="238" t="s">
        <v>137</v>
      </c>
      <c r="T2244" s="238" t="s">
        <v>1167</v>
      </c>
      <c r="V2244" t="s">
        <v>4091</v>
      </c>
      <c r="W2244" s="24">
        <v>45310</v>
      </c>
      <c r="X2244" s="238" t="s">
        <v>6930</v>
      </c>
      <c r="Y2244" s="238" t="s">
        <v>39</v>
      </c>
      <c r="Z2244" s="238" t="s">
        <v>1340</v>
      </c>
      <c r="AA2244" t="s">
        <v>3113</v>
      </c>
      <c r="AB2244" s="238" t="s">
        <v>3246</v>
      </c>
      <c r="AC2244" t="s">
        <v>3079</v>
      </c>
      <c r="AD2244" s="24"/>
      <c r="AE2244" s="238" t="s">
        <v>6931</v>
      </c>
      <c r="AF2244">
        <v>79991723665</v>
      </c>
      <c r="AG2244" s="238" t="s">
        <v>6932</v>
      </c>
      <c r="AH2244" s="238" t="s">
        <v>1212</v>
      </c>
      <c r="AI2244" s="238" t="s">
        <v>3103</v>
      </c>
      <c r="AJ2244" s="238" t="s">
        <v>4177</v>
      </c>
      <c r="AK2244" s="238" t="s">
        <v>141</v>
      </c>
      <c r="AL2244" t="s">
        <v>8715</v>
      </c>
      <c r="AM2244" t="s">
        <v>1167</v>
      </c>
    </row>
    <row r="2245" spans="1:39" x14ac:dyDescent="0.25">
      <c r="A2245">
        <v>2242</v>
      </c>
      <c r="B2245">
        <v>15</v>
      </c>
      <c r="C2245" s="24">
        <v>45321</v>
      </c>
      <c r="D2245" s="238" t="s">
        <v>3388</v>
      </c>
      <c r="E2245" s="238" t="s">
        <v>16</v>
      </c>
      <c r="F2245">
        <v>2</v>
      </c>
      <c r="G2245">
        <v>4</v>
      </c>
      <c r="H2245">
        <v>244</v>
      </c>
      <c r="I2245" s="238" t="s">
        <v>4052</v>
      </c>
      <c r="J2245">
        <v>24.53</v>
      </c>
      <c r="K2245" s="238" t="s">
        <v>38</v>
      </c>
      <c r="L2245">
        <v>3510360</v>
      </c>
      <c r="M2245">
        <v>0</v>
      </c>
      <c r="N2245">
        <v>3510360</v>
      </c>
      <c r="O2245">
        <v>143104.76966979209</v>
      </c>
      <c r="P2245">
        <v>588720</v>
      </c>
      <c r="Q2245">
        <v>2921640</v>
      </c>
      <c r="R2245">
        <v>119104.76966979209</v>
      </c>
      <c r="S2245" s="238" t="s">
        <v>137</v>
      </c>
      <c r="T2245" s="238" t="s">
        <v>3538</v>
      </c>
      <c r="U2245">
        <v>90360</v>
      </c>
      <c r="V2245" t="s">
        <v>4092</v>
      </c>
      <c r="W2245" s="24">
        <v>45315</v>
      </c>
      <c r="X2245" s="238" t="s">
        <v>6933</v>
      </c>
      <c r="Y2245" s="238" t="s">
        <v>39</v>
      </c>
      <c r="Z2245" s="238" t="s">
        <v>1340</v>
      </c>
      <c r="AA2245" t="s">
        <v>3113</v>
      </c>
      <c r="AB2245" s="238" t="s">
        <v>3246</v>
      </c>
      <c r="AC2245" t="s">
        <v>3079</v>
      </c>
      <c r="AD2245" s="24"/>
      <c r="AE2245" s="238" t="s">
        <v>6934</v>
      </c>
      <c r="AF2245">
        <v>79225592762</v>
      </c>
      <c r="AG2245" s="238" t="s">
        <v>6935</v>
      </c>
      <c r="AH2245" s="238" t="s">
        <v>4072</v>
      </c>
      <c r="AI2245" s="238" t="s">
        <v>6406</v>
      </c>
      <c r="AJ2245" s="238" t="s">
        <v>126</v>
      </c>
      <c r="AK2245" s="238" t="s">
        <v>141</v>
      </c>
      <c r="AL2245" t="s">
        <v>57</v>
      </c>
      <c r="AM2245" t="s">
        <v>7677</v>
      </c>
    </row>
    <row r="2246" spans="1:39" x14ac:dyDescent="0.25">
      <c r="A2246">
        <v>2243</v>
      </c>
      <c r="B2246">
        <v>16</v>
      </c>
      <c r="C2246" s="24">
        <v>45321</v>
      </c>
      <c r="D2246" s="238" t="s">
        <v>3388</v>
      </c>
      <c r="E2246" s="238" t="s">
        <v>16</v>
      </c>
      <c r="F2246">
        <v>2</v>
      </c>
      <c r="G2246">
        <v>16</v>
      </c>
      <c r="H2246">
        <v>328</v>
      </c>
      <c r="I2246" s="238" t="s">
        <v>4052</v>
      </c>
      <c r="J2246">
        <v>24.53</v>
      </c>
      <c r="K2246" s="238" t="s">
        <v>38</v>
      </c>
      <c r="L2246">
        <v>3409672</v>
      </c>
      <c r="M2246">
        <v>0</v>
      </c>
      <c r="N2246">
        <v>3409672</v>
      </c>
      <c r="O2246">
        <v>139000.08153281696</v>
      </c>
      <c r="P2246">
        <v>490600</v>
      </c>
      <c r="Q2246">
        <v>2919072</v>
      </c>
      <c r="R2246">
        <v>119000.08153281696</v>
      </c>
      <c r="S2246" s="238" t="s">
        <v>137</v>
      </c>
      <c r="T2246" s="238" t="s">
        <v>978</v>
      </c>
      <c r="U2246">
        <v>121628.00000000047</v>
      </c>
      <c r="V2246" t="s">
        <v>4092</v>
      </c>
      <c r="W2246" s="24">
        <v>45320</v>
      </c>
      <c r="X2246" s="238" t="s">
        <v>6936</v>
      </c>
      <c r="Y2246" s="238" t="s">
        <v>39</v>
      </c>
      <c r="Z2246" s="238" t="s">
        <v>1340</v>
      </c>
      <c r="AA2246" t="s">
        <v>3113</v>
      </c>
      <c r="AB2246" s="238" t="s">
        <v>3246</v>
      </c>
      <c r="AC2246" t="s">
        <v>3079</v>
      </c>
      <c r="AD2246" s="24"/>
      <c r="AE2246" s="238" t="s">
        <v>6937</v>
      </c>
      <c r="AF2246">
        <v>79297009984</v>
      </c>
      <c r="AG2246" s="238" t="s">
        <v>6938</v>
      </c>
      <c r="AH2246" s="238" t="s">
        <v>1171</v>
      </c>
      <c r="AI2246" s="238" t="s">
        <v>3085</v>
      </c>
      <c r="AJ2246" s="238" t="s">
        <v>5215</v>
      </c>
      <c r="AK2246" s="238" t="s">
        <v>141</v>
      </c>
      <c r="AL2246" t="s">
        <v>8715</v>
      </c>
      <c r="AM2246" t="s">
        <v>1167</v>
      </c>
    </row>
    <row r="2247" spans="1:39" x14ac:dyDescent="0.25">
      <c r="A2247">
        <v>2244</v>
      </c>
      <c r="B2247">
        <v>1</v>
      </c>
      <c r="C2247" s="24">
        <v>45328</v>
      </c>
      <c r="D2247" s="238" t="s">
        <v>3388</v>
      </c>
      <c r="E2247" s="238" t="s">
        <v>15</v>
      </c>
      <c r="F2247">
        <v>2</v>
      </c>
      <c r="G2247">
        <v>1</v>
      </c>
      <c r="H2247">
        <v>391</v>
      </c>
      <c r="I2247" s="238" t="s">
        <v>42</v>
      </c>
      <c r="J2247">
        <v>43.21</v>
      </c>
      <c r="K2247" s="238" t="s">
        <v>37</v>
      </c>
      <c r="L2247">
        <v>3638753.01</v>
      </c>
      <c r="M2247">
        <v>15000</v>
      </c>
      <c r="N2247">
        <v>3653753.01</v>
      </c>
      <c r="O2247">
        <v>84558.042351307566</v>
      </c>
      <c r="P2247">
        <v>194445</v>
      </c>
      <c r="Q2247">
        <v>3459308.01</v>
      </c>
      <c r="R2247">
        <v>80058.042351307566</v>
      </c>
      <c r="S2247" s="238" t="s">
        <v>137</v>
      </c>
      <c r="T2247" s="238" t="s">
        <v>978</v>
      </c>
      <c r="U2247">
        <v>220806.89425531961</v>
      </c>
      <c r="V2247" t="s">
        <v>3661</v>
      </c>
      <c r="W2247" s="24">
        <v>45230</v>
      </c>
      <c r="X2247" s="238" t="s">
        <v>6939</v>
      </c>
      <c r="Y2247" s="238" t="s">
        <v>39</v>
      </c>
      <c r="Z2247" s="238" t="s">
        <v>1340</v>
      </c>
      <c r="AA2247" t="s">
        <v>3474</v>
      </c>
      <c r="AB2247" s="238" t="s">
        <v>3246</v>
      </c>
      <c r="AC2247" t="s">
        <v>3076</v>
      </c>
      <c r="AD2247" s="24"/>
      <c r="AE2247" s="238" t="s">
        <v>6940</v>
      </c>
      <c r="AF2247">
        <v>79061292192</v>
      </c>
      <c r="AG2247" s="238" t="s">
        <v>6941</v>
      </c>
      <c r="AH2247" s="238" t="s">
        <v>1212</v>
      </c>
      <c r="AI2247" s="238" t="s">
        <v>135</v>
      </c>
      <c r="AJ2247" s="238" t="s">
        <v>126</v>
      </c>
      <c r="AK2247" s="238" t="s">
        <v>141</v>
      </c>
      <c r="AL2247" t="s">
        <v>8715</v>
      </c>
      <c r="AM2247" t="s">
        <v>1167</v>
      </c>
    </row>
    <row r="2248" spans="1:39" hidden="1" x14ac:dyDescent="0.25">
      <c r="A2248">
        <v>2245</v>
      </c>
      <c r="B2248">
        <v>2</v>
      </c>
      <c r="C2248" s="24">
        <v>45328</v>
      </c>
      <c r="D2248" s="238" t="s">
        <v>20</v>
      </c>
      <c r="E2248" s="238" t="s">
        <v>6</v>
      </c>
      <c r="F2248">
        <v>1</v>
      </c>
      <c r="G2248">
        <v>1</v>
      </c>
      <c r="H2248">
        <v>1</v>
      </c>
      <c r="I2248" s="238" t="s">
        <v>42</v>
      </c>
      <c r="J2248">
        <v>89.8</v>
      </c>
      <c r="K2248" s="238" t="s">
        <v>36</v>
      </c>
      <c r="L2248">
        <v>8531000</v>
      </c>
      <c r="M2248">
        <v>0</v>
      </c>
      <c r="N2248">
        <v>8531000</v>
      </c>
      <c r="O2248">
        <v>95000</v>
      </c>
      <c r="P2248">
        <v>0</v>
      </c>
      <c r="Q2248">
        <v>8531000</v>
      </c>
      <c r="R2248">
        <v>95000</v>
      </c>
      <c r="S2248" s="238" t="s">
        <v>121</v>
      </c>
      <c r="T2248" s="238" t="s">
        <v>321</v>
      </c>
      <c r="U2248">
        <v>449000</v>
      </c>
      <c r="V2248" t="s">
        <v>1167</v>
      </c>
      <c r="W2248" s="24">
        <v>45328</v>
      </c>
      <c r="X2248" s="238" t="s">
        <v>6942</v>
      </c>
      <c r="Y2248" s="238" t="s">
        <v>3946</v>
      </c>
      <c r="Z2248" s="238" t="s">
        <v>1340</v>
      </c>
      <c r="AA2248" t="s">
        <v>3113</v>
      </c>
      <c r="AB2248" s="238" t="s">
        <v>3124</v>
      </c>
      <c r="AC2248" t="s">
        <v>1167</v>
      </c>
      <c r="AD2248" s="24"/>
      <c r="AE2248" s="238" t="s">
        <v>6943</v>
      </c>
      <c r="AF2248">
        <v>79171624070</v>
      </c>
      <c r="AG2248" s="238" t="s">
        <v>6944</v>
      </c>
      <c r="AH2248" s="238" t="s">
        <v>1171</v>
      </c>
      <c r="AI2248" s="238" t="s">
        <v>3073</v>
      </c>
      <c r="AJ2248" s="238" t="s">
        <v>982</v>
      </c>
      <c r="AK2248" s="238" t="s">
        <v>1167</v>
      </c>
      <c r="AL2248" t="s">
        <v>8715</v>
      </c>
      <c r="AM2248" t="s">
        <v>1167</v>
      </c>
    </row>
    <row r="2249" spans="1:39" hidden="1" x14ac:dyDescent="0.25">
      <c r="A2249">
        <v>2246</v>
      </c>
      <c r="B2249">
        <v>3</v>
      </c>
      <c r="C2249" s="24">
        <v>45329</v>
      </c>
      <c r="D2249" s="238" t="s">
        <v>91</v>
      </c>
      <c r="E2249" s="238" t="s">
        <v>6</v>
      </c>
      <c r="F2249">
        <v>7</v>
      </c>
      <c r="G2249">
        <v>8</v>
      </c>
      <c r="H2249">
        <v>55</v>
      </c>
      <c r="I2249" s="238" t="s">
        <v>4052</v>
      </c>
      <c r="J2249">
        <v>21.75</v>
      </c>
      <c r="K2249" s="238" t="s">
        <v>37</v>
      </c>
      <c r="L2249">
        <v>3171025</v>
      </c>
      <c r="M2249">
        <v>0</v>
      </c>
      <c r="N2249">
        <v>3171025</v>
      </c>
      <c r="O2249">
        <v>145794.25287356321</v>
      </c>
      <c r="P2249">
        <v>163125</v>
      </c>
      <c r="Q2249">
        <v>3007900</v>
      </c>
      <c r="R2249">
        <v>138294.25287356321</v>
      </c>
      <c r="S2249" s="238" t="s">
        <v>137</v>
      </c>
      <c r="T2249" s="238" t="s">
        <v>1167</v>
      </c>
      <c r="V2249" t="s">
        <v>4092</v>
      </c>
      <c r="W2249" s="24">
        <v>45321</v>
      </c>
      <c r="X2249" s="238" t="s">
        <v>6945</v>
      </c>
      <c r="Y2249" s="238" t="s">
        <v>39</v>
      </c>
      <c r="Z2249" s="238" t="s">
        <v>1340</v>
      </c>
      <c r="AA2249" t="s">
        <v>3474</v>
      </c>
      <c r="AB2249" s="238" t="s">
        <v>3246</v>
      </c>
      <c r="AC2249" t="s">
        <v>3076</v>
      </c>
      <c r="AD2249" s="24"/>
      <c r="AE2249" s="238" t="s">
        <v>6946</v>
      </c>
      <c r="AF2249">
        <v>79033038653</v>
      </c>
      <c r="AG2249" s="238" t="s">
        <v>6947</v>
      </c>
      <c r="AH2249" s="238" t="s">
        <v>1212</v>
      </c>
      <c r="AI2249" s="238" t="s">
        <v>135</v>
      </c>
      <c r="AJ2249" s="238" t="s">
        <v>126</v>
      </c>
      <c r="AK2249" s="238" t="s">
        <v>141</v>
      </c>
      <c r="AL2249" t="s">
        <v>8715</v>
      </c>
      <c r="AM2249" t="s">
        <v>1167</v>
      </c>
    </row>
    <row r="2250" spans="1:39" hidden="1" x14ac:dyDescent="0.25">
      <c r="A2250">
        <v>2247</v>
      </c>
      <c r="B2250">
        <v>4</v>
      </c>
      <c r="C2250" s="24">
        <v>45332</v>
      </c>
      <c r="D2250" s="238" t="s">
        <v>91</v>
      </c>
      <c r="E2250" s="238" t="s">
        <v>15</v>
      </c>
      <c r="F2250">
        <v>2</v>
      </c>
      <c r="G2250">
        <v>9</v>
      </c>
      <c r="H2250">
        <v>466</v>
      </c>
      <c r="I2250" s="238" t="s">
        <v>42</v>
      </c>
      <c r="J2250">
        <v>38.6</v>
      </c>
      <c r="K2250" s="238" t="s">
        <v>36</v>
      </c>
      <c r="L2250">
        <v>4036170</v>
      </c>
      <c r="M2250">
        <v>0</v>
      </c>
      <c r="N2250">
        <v>4036170</v>
      </c>
      <c r="O2250">
        <v>104563.9896373057</v>
      </c>
      <c r="P2250">
        <v>0</v>
      </c>
      <c r="Q2250">
        <v>4036170</v>
      </c>
      <c r="R2250">
        <v>104563.9896373057</v>
      </c>
      <c r="S2250" s="238" t="s">
        <v>124</v>
      </c>
      <c r="T2250" s="238" t="s">
        <v>978</v>
      </c>
      <c r="U2250">
        <v>124830.00000000047</v>
      </c>
      <c r="V2250" t="s">
        <v>1167</v>
      </c>
      <c r="W2250" s="24">
        <v>45329</v>
      </c>
      <c r="X2250" s="238" t="s">
        <v>6949</v>
      </c>
      <c r="Y2250" s="238" t="s">
        <v>39</v>
      </c>
      <c r="Z2250" s="238" t="s">
        <v>1340</v>
      </c>
      <c r="AA2250" t="s">
        <v>3113</v>
      </c>
      <c r="AB2250" s="238" t="s">
        <v>3246</v>
      </c>
      <c r="AC2250" t="s">
        <v>1167</v>
      </c>
      <c r="AD2250" s="24"/>
      <c r="AE2250" s="238" t="s">
        <v>6950</v>
      </c>
      <c r="AF2250">
        <v>79171507143</v>
      </c>
      <c r="AG2250" s="238" t="s">
        <v>6951</v>
      </c>
      <c r="AH2250" s="238" t="s">
        <v>4072</v>
      </c>
      <c r="AI2250" s="238" t="s">
        <v>6406</v>
      </c>
      <c r="AJ2250" s="238" t="s">
        <v>4177</v>
      </c>
      <c r="AK2250" s="238" t="s">
        <v>1167</v>
      </c>
      <c r="AL2250" t="s">
        <v>57</v>
      </c>
      <c r="AM2250" t="s">
        <v>1167</v>
      </c>
    </row>
    <row r="2251" spans="1:39" x14ac:dyDescent="0.25">
      <c r="A2251">
        <v>2248</v>
      </c>
      <c r="B2251">
        <v>5</v>
      </c>
      <c r="C2251" s="24">
        <v>45336</v>
      </c>
      <c r="D2251" s="238" t="s">
        <v>3388</v>
      </c>
      <c r="E2251" s="238" t="s">
        <v>15</v>
      </c>
      <c r="F2251">
        <v>5</v>
      </c>
      <c r="G2251">
        <v>11</v>
      </c>
      <c r="H2251">
        <v>473</v>
      </c>
      <c r="I2251" s="238" t="s">
        <v>43</v>
      </c>
      <c r="J2251">
        <v>57.8</v>
      </c>
      <c r="K2251" s="238" t="s">
        <v>6871</v>
      </c>
      <c r="L2251">
        <v>5546758</v>
      </c>
      <c r="M2251">
        <v>0</v>
      </c>
      <c r="N2251">
        <v>5546758</v>
      </c>
      <c r="O2251">
        <v>95964.671280276816</v>
      </c>
      <c r="P2251">
        <v>404600</v>
      </c>
      <c r="Q2251">
        <v>5142158</v>
      </c>
      <c r="R2251">
        <v>88964.671280276816</v>
      </c>
      <c r="S2251" s="238" t="s">
        <v>137</v>
      </c>
      <c r="T2251" s="238" t="s">
        <v>3540</v>
      </c>
      <c r="U2251">
        <v>104942</v>
      </c>
      <c r="V2251" t="s">
        <v>4091</v>
      </c>
      <c r="W2251" s="24">
        <v>45329</v>
      </c>
      <c r="X2251" s="238" t="s">
        <v>6952</v>
      </c>
      <c r="Y2251" s="238" t="s">
        <v>39</v>
      </c>
      <c r="Z2251" s="238" t="s">
        <v>1340</v>
      </c>
      <c r="AA2251" t="s">
        <v>3113</v>
      </c>
      <c r="AB2251" s="238" t="s">
        <v>3246</v>
      </c>
      <c r="AC2251" t="s">
        <v>3079</v>
      </c>
      <c r="AD2251" s="24"/>
      <c r="AE2251" s="238" t="s">
        <v>6953</v>
      </c>
      <c r="AF2251">
        <v>79228754406</v>
      </c>
      <c r="AG2251" s="238" t="s">
        <v>6954</v>
      </c>
      <c r="AH2251" s="238" t="s">
        <v>1171</v>
      </c>
      <c r="AI2251" s="238" t="s">
        <v>3074</v>
      </c>
      <c r="AJ2251" s="238" t="s">
        <v>4177</v>
      </c>
      <c r="AK2251" s="238" t="s">
        <v>3345</v>
      </c>
      <c r="AL2251" t="s">
        <v>8715</v>
      </c>
      <c r="AM2251" t="s">
        <v>1167</v>
      </c>
    </row>
    <row r="2252" spans="1:39" hidden="1" x14ac:dyDescent="0.25">
      <c r="A2252">
        <v>2249</v>
      </c>
      <c r="B2252">
        <v>6</v>
      </c>
      <c r="C2252" s="24">
        <v>45341</v>
      </c>
      <c r="D2252" s="238" t="s">
        <v>91</v>
      </c>
      <c r="E2252" s="238" t="s">
        <v>15</v>
      </c>
      <c r="F2252">
        <v>9</v>
      </c>
      <c r="G2252">
        <v>8</v>
      </c>
      <c r="H2252">
        <v>464</v>
      </c>
      <c r="I2252" s="238" t="s">
        <v>42</v>
      </c>
      <c r="J2252">
        <v>44.37</v>
      </c>
      <c r="K2252" s="238" t="s">
        <v>38</v>
      </c>
      <c r="L2252">
        <v>5036640</v>
      </c>
      <c r="M2252">
        <v>15000</v>
      </c>
      <c r="N2252">
        <v>5051640</v>
      </c>
      <c r="O2252">
        <v>113852.6031102096</v>
      </c>
      <c r="P2252">
        <v>976140</v>
      </c>
      <c r="Q2252">
        <v>4075500</v>
      </c>
      <c r="R2252">
        <v>91852.603110209602</v>
      </c>
      <c r="S2252" s="238" t="s">
        <v>137</v>
      </c>
      <c r="T2252" s="238" t="s">
        <v>978</v>
      </c>
      <c r="U2252">
        <v>214500</v>
      </c>
      <c r="V2252" t="s">
        <v>3661</v>
      </c>
      <c r="W2252" s="24">
        <v>45287</v>
      </c>
      <c r="X2252" s="238" t="s">
        <v>6955</v>
      </c>
      <c r="Y2252" s="238" t="s">
        <v>39</v>
      </c>
      <c r="Z2252" s="238" t="s">
        <v>1340</v>
      </c>
      <c r="AA2252" t="s">
        <v>3474</v>
      </c>
      <c r="AB2252" s="238" t="s">
        <v>3246</v>
      </c>
      <c r="AC2252" t="s">
        <v>3115</v>
      </c>
      <c r="AD2252" s="24"/>
      <c r="AE2252" s="238" t="s">
        <v>4948</v>
      </c>
      <c r="AF2252">
        <v>79277755659</v>
      </c>
      <c r="AG2252" s="238" t="s">
        <v>4949</v>
      </c>
      <c r="AH2252" s="238" t="s">
        <v>1171</v>
      </c>
      <c r="AI2252" s="238" t="s">
        <v>3082</v>
      </c>
      <c r="AJ2252" s="238" t="s">
        <v>4177</v>
      </c>
      <c r="AK2252" s="238" t="s">
        <v>141</v>
      </c>
      <c r="AL2252" t="s">
        <v>8715</v>
      </c>
      <c r="AM2252" t="s">
        <v>1167</v>
      </c>
    </row>
    <row r="2253" spans="1:39" x14ac:dyDescent="0.25">
      <c r="A2253">
        <v>2250</v>
      </c>
      <c r="B2253">
        <v>7</v>
      </c>
      <c r="C2253" s="24">
        <v>45344</v>
      </c>
      <c r="D2253" s="238" t="s">
        <v>3388</v>
      </c>
      <c r="E2253" s="238" t="s">
        <v>5</v>
      </c>
      <c r="F2253">
        <v>1</v>
      </c>
      <c r="G2253">
        <v>4</v>
      </c>
      <c r="H2253">
        <v>132</v>
      </c>
      <c r="I2253" s="238" t="s">
        <v>43</v>
      </c>
      <c r="J2253">
        <v>60.22</v>
      </c>
      <c r="K2253" s="238" t="s">
        <v>38</v>
      </c>
      <c r="L2253">
        <v>6739995.9972999999</v>
      </c>
      <c r="M2253">
        <v>0</v>
      </c>
      <c r="N2253">
        <v>6739995.9972999999</v>
      </c>
      <c r="O2253">
        <v>111922.88271836599</v>
      </c>
      <c r="P2253">
        <v>1204400</v>
      </c>
      <c r="Q2253">
        <v>5535595.9972999999</v>
      </c>
      <c r="R2253">
        <v>91922.882718365989</v>
      </c>
      <c r="S2253" s="238" t="s">
        <v>137</v>
      </c>
      <c r="T2253" s="238" t="s">
        <v>978</v>
      </c>
      <c r="U2253">
        <v>171203.99991649482</v>
      </c>
      <c r="V2253" t="s">
        <v>4091</v>
      </c>
      <c r="W2253" s="24">
        <v>45341</v>
      </c>
      <c r="X2253" s="238" t="s">
        <v>6958</v>
      </c>
      <c r="Y2253" s="238" t="s">
        <v>39</v>
      </c>
      <c r="Z2253" s="238" t="s">
        <v>1340</v>
      </c>
      <c r="AA2253" t="s">
        <v>3113</v>
      </c>
      <c r="AB2253" s="238" t="s">
        <v>3246</v>
      </c>
      <c r="AC2253" t="s">
        <v>3079</v>
      </c>
      <c r="AD2253" s="24"/>
      <c r="AE2253" s="238" t="s">
        <v>6959</v>
      </c>
      <c r="AF2253">
        <v>79277755296</v>
      </c>
      <c r="AG2253" s="238" t="s">
        <v>6960</v>
      </c>
      <c r="AH2253" s="238" t="s">
        <v>1171</v>
      </c>
      <c r="AI2253" s="238" t="s">
        <v>3514</v>
      </c>
      <c r="AJ2253" s="238" t="s">
        <v>4177</v>
      </c>
      <c r="AK2253" s="238" t="s">
        <v>3345</v>
      </c>
      <c r="AL2253" t="s">
        <v>8715</v>
      </c>
      <c r="AM2253" t="s">
        <v>1167</v>
      </c>
    </row>
    <row r="2254" spans="1:39" x14ac:dyDescent="0.25">
      <c r="A2254">
        <v>2251</v>
      </c>
      <c r="B2254">
        <v>8</v>
      </c>
      <c r="C2254" s="24">
        <v>45344</v>
      </c>
      <c r="D2254" s="238" t="s">
        <v>3388</v>
      </c>
      <c r="E2254" s="238" t="s">
        <v>15</v>
      </c>
      <c r="F2254">
        <v>3</v>
      </c>
      <c r="G2254">
        <v>17</v>
      </c>
      <c r="H2254">
        <v>519</v>
      </c>
      <c r="I2254" s="238" t="s">
        <v>4052</v>
      </c>
      <c r="J2254">
        <v>24.5</v>
      </c>
      <c r="K2254" s="238" t="s">
        <v>38</v>
      </c>
      <c r="L2254">
        <v>3280500</v>
      </c>
      <c r="M2254">
        <v>0</v>
      </c>
      <c r="N2254">
        <v>3280500</v>
      </c>
      <c r="O2254">
        <v>133897.95918367346</v>
      </c>
      <c r="P2254">
        <v>490000.00000000047</v>
      </c>
      <c r="Q2254">
        <v>2790499.9999999995</v>
      </c>
      <c r="R2254">
        <v>113897.95918367345</v>
      </c>
      <c r="S2254" s="238" t="s">
        <v>137</v>
      </c>
      <c r="T2254" s="238" t="s">
        <v>1167</v>
      </c>
      <c r="V2254" t="s">
        <v>4092</v>
      </c>
      <c r="W2254" s="24">
        <v>45342</v>
      </c>
      <c r="X2254" s="238" t="s">
        <v>6961</v>
      </c>
      <c r="Y2254" s="238" t="s">
        <v>39</v>
      </c>
      <c r="Z2254" s="238" t="s">
        <v>1340</v>
      </c>
      <c r="AA2254" t="s">
        <v>3474</v>
      </c>
      <c r="AB2254" s="238" t="s">
        <v>3246</v>
      </c>
      <c r="AC2254" t="s">
        <v>3077</v>
      </c>
      <c r="AD2254" s="24"/>
      <c r="AE2254" s="238" t="s">
        <v>6962</v>
      </c>
      <c r="AF2254">
        <v>79277146203</v>
      </c>
      <c r="AG2254" s="238" t="s">
        <v>6963</v>
      </c>
      <c r="AH2254" s="238" t="s">
        <v>135</v>
      </c>
      <c r="AI2254" s="238" t="s">
        <v>135</v>
      </c>
      <c r="AJ2254" s="238" t="s">
        <v>4177</v>
      </c>
      <c r="AK2254" s="238" t="s">
        <v>141</v>
      </c>
      <c r="AL2254" t="s">
        <v>8715</v>
      </c>
      <c r="AM2254" t="s">
        <v>1167</v>
      </c>
    </row>
    <row r="2255" spans="1:39" hidden="1" x14ac:dyDescent="0.25">
      <c r="A2255">
        <v>2252</v>
      </c>
      <c r="B2255">
        <v>9</v>
      </c>
      <c r="C2255" s="24">
        <v>45348</v>
      </c>
      <c r="D2255" s="238" t="s">
        <v>91</v>
      </c>
      <c r="E2255" s="238" t="s">
        <v>6</v>
      </c>
      <c r="F2255">
        <v>2</v>
      </c>
      <c r="G2255">
        <v>14</v>
      </c>
      <c r="H2255">
        <v>98</v>
      </c>
      <c r="I2255" s="238" t="s">
        <v>43</v>
      </c>
      <c r="J2255">
        <v>61.76</v>
      </c>
      <c r="K2255" s="238" t="s">
        <v>36</v>
      </c>
      <c r="L2255">
        <v>5791206</v>
      </c>
      <c r="M2255">
        <v>15000</v>
      </c>
      <c r="N2255">
        <v>5806206</v>
      </c>
      <c r="O2255">
        <v>94012.402849740931</v>
      </c>
      <c r="P2255">
        <v>0</v>
      </c>
      <c r="Q2255">
        <v>5806206</v>
      </c>
      <c r="R2255">
        <v>94012.402849740931</v>
      </c>
      <c r="S2255" s="238" t="s">
        <v>137</v>
      </c>
      <c r="T2255" s="238" t="s">
        <v>3540</v>
      </c>
      <c r="U2255">
        <v>118494</v>
      </c>
      <c r="V2255" t="s">
        <v>4092</v>
      </c>
      <c r="W2255" s="24">
        <v>45317</v>
      </c>
      <c r="X2255" s="238" t="s">
        <v>6965</v>
      </c>
      <c r="Y2255" s="238" t="s">
        <v>39</v>
      </c>
      <c r="Z2255" s="238" t="s">
        <v>1340</v>
      </c>
      <c r="AA2255" t="s">
        <v>3113</v>
      </c>
      <c r="AB2255" s="238" t="s">
        <v>3246</v>
      </c>
      <c r="AC2255" t="s">
        <v>3079</v>
      </c>
      <c r="AD2255" s="24"/>
      <c r="AE2255" s="238" t="s">
        <v>6966</v>
      </c>
      <c r="AF2255">
        <v>79967339947</v>
      </c>
      <c r="AG2255" s="238" t="s">
        <v>6967</v>
      </c>
      <c r="AH2255" s="238" t="s">
        <v>1212</v>
      </c>
      <c r="AI2255" s="238" t="s">
        <v>3082</v>
      </c>
      <c r="AJ2255" s="238" t="s">
        <v>4177</v>
      </c>
      <c r="AK2255" s="238" t="s">
        <v>3345</v>
      </c>
      <c r="AL2255" t="s">
        <v>8715</v>
      </c>
      <c r="AM2255" t="s">
        <v>1167</v>
      </c>
    </row>
    <row r="2256" spans="1:39" hidden="1" x14ac:dyDescent="0.25">
      <c r="A2256">
        <v>2253</v>
      </c>
      <c r="B2256">
        <v>10</v>
      </c>
      <c r="C2256" s="24">
        <v>45348</v>
      </c>
      <c r="D2256" s="238" t="s">
        <v>91</v>
      </c>
      <c r="E2256" s="238" t="s">
        <v>15</v>
      </c>
      <c r="F2256">
        <v>8</v>
      </c>
      <c r="G2256">
        <v>15</v>
      </c>
      <c r="H2256">
        <v>526</v>
      </c>
      <c r="I2256" s="238" t="s">
        <v>43</v>
      </c>
      <c r="J2256">
        <v>63.74</v>
      </c>
      <c r="K2256" s="238" t="s">
        <v>36</v>
      </c>
      <c r="L2256">
        <v>5784352</v>
      </c>
      <c r="M2256">
        <v>0</v>
      </c>
      <c r="N2256">
        <v>5784352</v>
      </c>
      <c r="O2256">
        <v>90749.168497019142</v>
      </c>
      <c r="P2256">
        <v>0</v>
      </c>
      <c r="Q2256">
        <v>5784352</v>
      </c>
      <c r="R2256">
        <v>90749.168497019142</v>
      </c>
      <c r="S2256" s="238" t="s">
        <v>137</v>
      </c>
      <c r="T2256" s="238" t="s">
        <v>3540</v>
      </c>
      <c r="U2256">
        <v>118048</v>
      </c>
      <c r="V2256" t="s">
        <v>4092</v>
      </c>
      <c r="W2256" s="24">
        <v>45336</v>
      </c>
      <c r="X2256" s="238" t="s">
        <v>6968</v>
      </c>
      <c r="Y2256" s="238" t="s">
        <v>39</v>
      </c>
      <c r="Z2256" s="238" t="s">
        <v>1340</v>
      </c>
      <c r="AA2256" t="s">
        <v>3113</v>
      </c>
      <c r="AB2256" s="238" t="s">
        <v>3246</v>
      </c>
      <c r="AC2256" t="s">
        <v>3079</v>
      </c>
      <c r="AD2256" s="24"/>
      <c r="AE2256" s="238" t="s">
        <v>6969</v>
      </c>
      <c r="AF2256">
        <v>79270268740</v>
      </c>
      <c r="AG2256" s="238" t="s">
        <v>6970</v>
      </c>
      <c r="AH2256" s="238" t="s">
        <v>1212</v>
      </c>
      <c r="AI2256" s="238" t="s">
        <v>135</v>
      </c>
      <c r="AJ2256" s="238" t="s">
        <v>126</v>
      </c>
      <c r="AK2256" s="238" t="s">
        <v>141</v>
      </c>
      <c r="AL2256" t="s">
        <v>8715</v>
      </c>
      <c r="AM2256" t="s">
        <v>1167</v>
      </c>
    </row>
    <row r="2257" spans="1:39" hidden="1" x14ac:dyDescent="0.25">
      <c r="A2257">
        <v>2254</v>
      </c>
      <c r="B2257">
        <v>11</v>
      </c>
      <c r="C2257" s="24">
        <v>45348</v>
      </c>
      <c r="D2257" s="238" t="s">
        <v>91</v>
      </c>
      <c r="E2257" s="238" t="s">
        <v>5</v>
      </c>
      <c r="F2257">
        <v>4</v>
      </c>
      <c r="G2257">
        <v>9</v>
      </c>
      <c r="H2257">
        <v>180</v>
      </c>
      <c r="I2257" s="238" t="s">
        <v>42</v>
      </c>
      <c r="J2257">
        <v>37.81</v>
      </c>
      <c r="K2257" s="238" t="s">
        <v>38</v>
      </c>
      <c r="L2257">
        <v>5136820</v>
      </c>
      <c r="M2257">
        <v>0</v>
      </c>
      <c r="N2257">
        <v>5136820</v>
      </c>
      <c r="O2257">
        <v>135858.76752181962</v>
      </c>
      <c r="P2257">
        <v>831820</v>
      </c>
      <c r="Q2257">
        <v>4305000</v>
      </c>
      <c r="R2257">
        <v>113858.76752181962</v>
      </c>
      <c r="S2257" s="238" t="s">
        <v>137</v>
      </c>
      <c r="T2257" s="238" t="s">
        <v>1167</v>
      </c>
      <c r="V2257" t="s">
        <v>4091</v>
      </c>
      <c r="W2257" s="24">
        <v>45341</v>
      </c>
      <c r="X2257" s="238" t="s">
        <v>6971</v>
      </c>
      <c r="Y2257" s="238" t="s">
        <v>39</v>
      </c>
      <c r="Z2257" s="238" t="s">
        <v>1340</v>
      </c>
      <c r="AA2257" t="s">
        <v>3113</v>
      </c>
      <c r="AB2257" s="238" t="s">
        <v>3246</v>
      </c>
      <c r="AC2257" t="s">
        <v>3079</v>
      </c>
      <c r="AD2257" s="24"/>
      <c r="AE2257" s="238" t="s">
        <v>6972</v>
      </c>
      <c r="AF2257">
        <v>79228984493</v>
      </c>
      <c r="AG2257" s="238" t="s">
        <v>6973</v>
      </c>
      <c r="AH2257" s="238" t="s">
        <v>1212</v>
      </c>
      <c r="AI2257" s="238" t="s">
        <v>3514</v>
      </c>
      <c r="AJ2257" s="238" t="s">
        <v>126</v>
      </c>
      <c r="AK2257" s="238" t="s">
        <v>3345</v>
      </c>
      <c r="AL2257" t="s">
        <v>8715</v>
      </c>
      <c r="AM2257" t="s">
        <v>1167</v>
      </c>
    </row>
    <row r="2258" spans="1:39" x14ac:dyDescent="0.25">
      <c r="A2258">
        <v>2255</v>
      </c>
      <c r="B2258">
        <v>12</v>
      </c>
      <c r="C2258" s="24">
        <v>45348</v>
      </c>
      <c r="D2258" s="238" t="s">
        <v>3388</v>
      </c>
      <c r="E2258" s="238" t="s">
        <v>15</v>
      </c>
      <c r="F2258">
        <v>7</v>
      </c>
      <c r="G2258">
        <v>14</v>
      </c>
      <c r="H2258">
        <v>499</v>
      </c>
      <c r="I2258" s="238" t="s">
        <v>44</v>
      </c>
      <c r="J2258">
        <v>79.44</v>
      </c>
      <c r="K2258" s="238" t="s">
        <v>36</v>
      </c>
      <c r="L2258">
        <v>6876233</v>
      </c>
      <c r="M2258">
        <v>0</v>
      </c>
      <c r="N2258">
        <v>6876233</v>
      </c>
      <c r="O2258">
        <v>86558.824269889228</v>
      </c>
      <c r="P2258">
        <v>0</v>
      </c>
      <c r="Q2258">
        <v>6876233</v>
      </c>
      <c r="R2258">
        <v>86558.824269889228</v>
      </c>
      <c r="S2258" s="238" t="s">
        <v>137</v>
      </c>
      <c r="T2258" s="238" t="s">
        <v>3538</v>
      </c>
      <c r="U2258">
        <v>212667</v>
      </c>
      <c r="V2258" t="s">
        <v>4092</v>
      </c>
      <c r="W2258" s="24">
        <v>45341</v>
      </c>
      <c r="X2258" s="238" t="s">
        <v>6974</v>
      </c>
      <c r="Y2258" s="238" t="s">
        <v>39</v>
      </c>
      <c r="Z2258" s="238" t="s">
        <v>1340</v>
      </c>
      <c r="AA2258" t="s">
        <v>3113</v>
      </c>
      <c r="AB2258" s="238" t="s">
        <v>3246</v>
      </c>
      <c r="AC2258" t="s">
        <v>3079</v>
      </c>
      <c r="AD2258" s="24"/>
      <c r="AE2258" s="238" t="s">
        <v>6975</v>
      </c>
      <c r="AF2258">
        <v>79370647824</v>
      </c>
      <c r="AG2258" s="238" t="s">
        <v>6976</v>
      </c>
      <c r="AH2258" s="238" t="s">
        <v>1212</v>
      </c>
      <c r="AI2258" s="238" t="s">
        <v>3102</v>
      </c>
      <c r="AJ2258" s="238" t="s">
        <v>4177</v>
      </c>
      <c r="AK2258" s="238" t="s">
        <v>3345</v>
      </c>
      <c r="AL2258" t="s">
        <v>8715</v>
      </c>
      <c r="AM2258" t="s">
        <v>1167</v>
      </c>
    </row>
    <row r="2259" spans="1:39" x14ac:dyDescent="0.25">
      <c r="A2259">
        <v>2256</v>
      </c>
      <c r="B2259">
        <v>13</v>
      </c>
      <c r="C2259" s="24">
        <v>45349</v>
      </c>
      <c r="D2259" s="238" t="s">
        <v>3388</v>
      </c>
      <c r="E2259" s="238" t="s">
        <v>5</v>
      </c>
      <c r="F2259">
        <v>1</v>
      </c>
      <c r="G2259">
        <v>13</v>
      </c>
      <c r="H2259">
        <v>195</v>
      </c>
      <c r="I2259" s="238" t="s">
        <v>43</v>
      </c>
      <c r="J2259">
        <v>60.22</v>
      </c>
      <c r="K2259" s="238" t="s">
        <v>36</v>
      </c>
      <c r="L2259">
        <v>5546800</v>
      </c>
      <c r="M2259">
        <v>0</v>
      </c>
      <c r="N2259">
        <v>5546800</v>
      </c>
      <c r="O2259">
        <v>92108.933909000334</v>
      </c>
      <c r="P2259">
        <v>0</v>
      </c>
      <c r="Q2259">
        <v>5546800</v>
      </c>
      <c r="R2259">
        <v>92108.933909000334</v>
      </c>
      <c r="S2259" s="238" t="s">
        <v>137</v>
      </c>
      <c r="T2259" s="238" t="s">
        <v>1167</v>
      </c>
      <c r="V2259" t="s">
        <v>4092</v>
      </c>
      <c r="W2259" s="24">
        <v>45348</v>
      </c>
      <c r="X2259" s="238" t="s">
        <v>6981</v>
      </c>
      <c r="Y2259" s="238" t="s">
        <v>39</v>
      </c>
      <c r="Z2259" s="238" t="s">
        <v>1340</v>
      </c>
      <c r="AA2259" t="s">
        <v>3113</v>
      </c>
      <c r="AB2259" s="238" t="s">
        <v>3246</v>
      </c>
      <c r="AC2259" t="s">
        <v>3079</v>
      </c>
      <c r="AD2259" s="24"/>
      <c r="AE2259" s="238" t="s">
        <v>6982</v>
      </c>
      <c r="AF2259">
        <v>79061494376</v>
      </c>
      <c r="AG2259" s="238" t="s">
        <v>3417</v>
      </c>
      <c r="AH2259" s="238" t="s">
        <v>135</v>
      </c>
      <c r="AI2259" s="238" t="s">
        <v>135</v>
      </c>
      <c r="AJ2259" s="238" t="s">
        <v>5215</v>
      </c>
      <c r="AK2259" s="238" t="s">
        <v>141</v>
      </c>
      <c r="AL2259" t="s">
        <v>8715</v>
      </c>
      <c r="AM2259" t="s">
        <v>1167</v>
      </c>
    </row>
    <row r="2260" spans="1:39" x14ac:dyDescent="0.25">
      <c r="A2260">
        <v>2257</v>
      </c>
      <c r="B2260">
        <v>14</v>
      </c>
      <c r="C2260" s="24">
        <v>45349</v>
      </c>
      <c r="D2260" s="238" t="s">
        <v>3388</v>
      </c>
      <c r="E2260" s="238" t="s">
        <v>6</v>
      </c>
      <c r="F2260">
        <v>1</v>
      </c>
      <c r="G2260">
        <v>7</v>
      </c>
      <c r="H2260">
        <v>42</v>
      </c>
      <c r="I2260" s="238" t="s">
        <v>42</v>
      </c>
      <c r="J2260">
        <v>34.39</v>
      </c>
      <c r="K2260" s="238" t="s">
        <v>38</v>
      </c>
      <c r="L2260">
        <v>4476814</v>
      </c>
      <c r="M2260">
        <v>0</v>
      </c>
      <c r="N2260">
        <v>4476814</v>
      </c>
      <c r="O2260">
        <v>130177.78423960453</v>
      </c>
      <c r="P2260">
        <v>687800</v>
      </c>
      <c r="Q2260">
        <v>3789014</v>
      </c>
      <c r="R2260">
        <v>110177.78423960453</v>
      </c>
      <c r="S2260" s="238" t="s">
        <v>137</v>
      </c>
      <c r="T2260" s="238" t="s">
        <v>978</v>
      </c>
      <c r="U2260">
        <v>117186</v>
      </c>
      <c r="V2260" t="s">
        <v>4092</v>
      </c>
      <c r="W2260" s="24">
        <v>45349</v>
      </c>
      <c r="X2260" s="238" t="s">
        <v>6983</v>
      </c>
      <c r="Y2260" s="238" t="s">
        <v>39</v>
      </c>
      <c r="Z2260" s="238" t="s">
        <v>1340</v>
      </c>
      <c r="AA2260" t="s">
        <v>3113</v>
      </c>
      <c r="AB2260" s="238" t="s">
        <v>3246</v>
      </c>
      <c r="AC2260" t="s">
        <v>3079</v>
      </c>
      <c r="AD2260" s="24"/>
      <c r="AE2260" s="238" t="s">
        <v>6984</v>
      </c>
      <c r="AF2260">
        <v>79122010467</v>
      </c>
      <c r="AG2260" s="238" t="s">
        <v>6985</v>
      </c>
      <c r="AH2260" s="238" t="s">
        <v>1212</v>
      </c>
      <c r="AI2260" s="238" t="s">
        <v>3102</v>
      </c>
      <c r="AJ2260" s="238" t="s">
        <v>5215</v>
      </c>
      <c r="AK2260" s="238" t="s">
        <v>141</v>
      </c>
      <c r="AL2260" t="s">
        <v>8715</v>
      </c>
      <c r="AM2260" t="s">
        <v>1167</v>
      </c>
    </row>
    <row r="2261" spans="1:39" hidden="1" x14ac:dyDescent="0.25">
      <c r="A2261">
        <v>2258</v>
      </c>
      <c r="B2261">
        <v>15</v>
      </c>
      <c r="C2261" s="24">
        <v>45350</v>
      </c>
      <c r="D2261" s="238" t="s">
        <v>20</v>
      </c>
      <c r="E2261" s="238" t="s">
        <v>16</v>
      </c>
      <c r="F2261">
        <v>1</v>
      </c>
      <c r="G2261">
        <v>1</v>
      </c>
      <c r="H2261">
        <v>9</v>
      </c>
      <c r="I2261" s="238" t="s">
        <v>3946</v>
      </c>
      <c r="J2261">
        <v>242.4</v>
      </c>
      <c r="K2261" s="238" t="s">
        <v>36</v>
      </c>
      <c r="L2261">
        <v>30516640</v>
      </c>
      <c r="M2261">
        <v>50000</v>
      </c>
      <c r="N2261">
        <v>30566640</v>
      </c>
      <c r="O2261">
        <v>126100</v>
      </c>
      <c r="P2261">
        <v>0</v>
      </c>
      <c r="Q2261">
        <v>30566640</v>
      </c>
      <c r="R2261">
        <v>126100</v>
      </c>
      <c r="S2261" s="238" t="s">
        <v>137</v>
      </c>
      <c r="T2261" s="238" t="s">
        <v>321</v>
      </c>
      <c r="U2261">
        <v>945360</v>
      </c>
      <c r="V2261" t="s">
        <v>6986</v>
      </c>
      <c r="W2261" s="24">
        <v>45341</v>
      </c>
      <c r="X2261" s="238" t="s">
        <v>6987</v>
      </c>
      <c r="Y2261" s="238" t="s">
        <v>3946</v>
      </c>
      <c r="Z2261" s="238" t="s">
        <v>1340</v>
      </c>
      <c r="AA2261" t="s">
        <v>3474</v>
      </c>
      <c r="AB2261" s="238" t="s">
        <v>3124</v>
      </c>
      <c r="AC2261" t="s">
        <v>3077</v>
      </c>
      <c r="AD2261" s="24"/>
      <c r="AE2261" s="238" t="s">
        <v>6988</v>
      </c>
      <c r="AF2261">
        <v>79276901506</v>
      </c>
      <c r="AG2261" s="238" t="s">
        <v>4172</v>
      </c>
      <c r="AH2261" s="238" t="s">
        <v>1212</v>
      </c>
      <c r="AI2261" s="238" t="s">
        <v>3082</v>
      </c>
      <c r="AJ2261" s="238" t="s">
        <v>130</v>
      </c>
      <c r="AK2261" s="238" t="s">
        <v>141</v>
      </c>
      <c r="AL2261" t="s">
        <v>8715</v>
      </c>
      <c r="AM2261" t="s">
        <v>1167</v>
      </c>
    </row>
    <row r="2262" spans="1:39" hidden="1" x14ac:dyDescent="0.25">
      <c r="A2262">
        <v>2259</v>
      </c>
      <c r="B2262">
        <v>16</v>
      </c>
      <c r="C2262" s="24">
        <v>45350</v>
      </c>
      <c r="D2262" s="238" t="s">
        <v>20</v>
      </c>
      <c r="E2262" s="238" t="s">
        <v>16</v>
      </c>
      <c r="F2262">
        <v>2</v>
      </c>
      <c r="G2262">
        <v>1</v>
      </c>
      <c r="H2262">
        <v>10</v>
      </c>
      <c r="I2262" s="238" t="s">
        <v>3946</v>
      </c>
      <c r="J2262">
        <v>335.9</v>
      </c>
      <c r="K2262" s="238" t="s">
        <v>36</v>
      </c>
      <c r="L2262">
        <v>42306990</v>
      </c>
      <c r="M2262">
        <v>50000</v>
      </c>
      <c r="N2262">
        <v>42356990</v>
      </c>
      <c r="O2262">
        <v>126100.00000000001</v>
      </c>
      <c r="P2262">
        <v>0</v>
      </c>
      <c r="Q2262">
        <v>42356990</v>
      </c>
      <c r="R2262">
        <v>126100.00000000001</v>
      </c>
      <c r="S2262" s="238" t="s">
        <v>121</v>
      </c>
      <c r="T2262" s="238" t="s">
        <v>321</v>
      </c>
      <c r="U2262">
        <v>1310010</v>
      </c>
      <c r="V2262" t="s">
        <v>1167</v>
      </c>
      <c r="W2262" s="24">
        <v>45341</v>
      </c>
      <c r="X2262" s="238" t="s">
        <v>6989</v>
      </c>
      <c r="Y2262" s="238" t="s">
        <v>3946</v>
      </c>
      <c r="Z2262" s="238" t="s">
        <v>1340</v>
      </c>
      <c r="AA2262" t="s">
        <v>3474</v>
      </c>
      <c r="AB2262" s="238" t="s">
        <v>3124</v>
      </c>
      <c r="AC2262" t="s">
        <v>1167</v>
      </c>
      <c r="AD2262" s="24"/>
      <c r="AE2262" s="238" t="s">
        <v>6988</v>
      </c>
      <c r="AF2262">
        <v>79276901506</v>
      </c>
      <c r="AG2262" s="238" t="s">
        <v>4172</v>
      </c>
      <c r="AH2262" s="238" t="s">
        <v>1197</v>
      </c>
      <c r="AI2262" s="238" t="s">
        <v>3082</v>
      </c>
      <c r="AJ2262" s="238" t="s">
        <v>130</v>
      </c>
      <c r="AK2262" s="238" t="s">
        <v>1167</v>
      </c>
      <c r="AL2262" t="s">
        <v>8715</v>
      </c>
      <c r="AM2262" t="s">
        <v>1167</v>
      </c>
    </row>
    <row r="2263" spans="1:39" hidden="1" x14ac:dyDescent="0.25">
      <c r="A2263">
        <v>2260</v>
      </c>
      <c r="B2263">
        <v>17</v>
      </c>
      <c r="C2263" s="24">
        <v>45351</v>
      </c>
      <c r="D2263" s="238" t="s">
        <v>91</v>
      </c>
      <c r="E2263" s="238" t="s">
        <v>5</v>
      </c>
      <c r="F2263">
        <v>2</v>
      </c>
      <c r="G2263">
        <v>13</v>
      </c>
      <c r="H2263">
        <v>210</v>
      </c>
      <c r="I2263" s="238" t="s">
        <v>43</v>
      </c>
      <c r="J2263">
        <v>68.75</v>
      </c>
      <c r="K2263" s="238" t="s">
        <v>36</v>
      </c>
      <c r="L2263">
        <v>6261447</v>
      </c>
      <c r="M2263">
        <v>0</v>
      </c>
      <c r="N2263">
        <v>6261447</v>
      </c>
      <c r="O2263">
        <v>91075.592727272728</v>
      </c>
      <c r="P2263">
        <v>0</v>
      </c>
      <c r="Q2263">
        <v>6261447</v>
      </c>
      <c r="R2263">
        <v>91075.592727272728</v>
      </c>
      <c r="S2263" s="238" t="s">
        <v>137</v>
      </c>
      <c r="T2263" s="238" t="s">
        <v>978</v>
      </c>
      <c r="U2263">
        <v>193653</v>
      </c>
      <c r="V2263" t="s">
        <v>4092</v>
      </c>
      <c r="W2263" s="24">
        <v>45338</v>
      </c>
      <c r="X2263" s="238" t="s">
        <v>6992</v>
      </c>
      <c r="Y2263" s="238" t="s">
        <v>39</v>
      </c>
      <c r="Z2263" s="238" t="s">
        <v>1340</v>
      </c>
      <c r="AA2263" t="s">
        <v>3113</v>
      </c>
      <c r="AB2263" s="238" t="s">
        <v>3246</v>
      </c>
      <c r="AC2263" t="s">
        <v>3079</v>
      </c>
      <c r="AD2263" s="24"/>
      <c r="AE2263" s="238" t="s">
        <v>6993</v>
      </c>
      <c r="AF2263">
        <v>79874447696</v>
      </c>
      <c r="AG2263" s="238" t="s">
        <v>6994</v>
      </c>
      <c r="AH2263" s="238" t="s">
        <v>1212</v>
      </c>
      <c r="AI2263" s="238" t="s">
        <v>3514</v>
      </c>
      <c r="AJ2263" s="238" t="s">
        <v>4177</v>
      </c>
      <c r="AK2263" s="238" t="s">
        <v>141</v>
      </c>
      <c r="AL2263" t="s">
        <v>8715</v>
      </c>
      <c r="AM2263" t="s">
        <v>1167</v>
      </c>
    </row>
    <row r="2264" spans="1:39" x14ac:dyDescent="0.25">
      <c r="A2264">
        <v>2261</v>
      </c>
      <c r="B2264">
        <v>18</v>
      </c>
      <c r="C2264" s="24">
        <v>45351</v>
      </c>
      <c r="D2264" s="238" t="s">
        <v>3388</v>
      </c>
      <c r="E2264" s="238" t="s">
        <v>5</v>
      </c>
      <c r="F2264">
        <v>1</v>
      </c>
      <c r="G2264">
        <v>7</v>
      </c>
      <c r="H2264">
        <v>153</v>
      </c>
      <c r="I2264" s="238" t="s">
        <v>43</v>
      </c>
      <c r="J2264">
        <v>60.22</v>
      </c>
      <c r="K2264" s="238" t="s">
        <v>38</v>
      </c>
      <c r="L2264">
        <v>6584796</v>
      </c>
      <c r="M2264">
        <v>0</v>
      </c>
      <c r="N2264">
        <v>6584796</v>
      </c>
      <c r="O2264">
        <v>109345.66589173033</v>
      </c>
      <c r="P2264">
        <v>1204400</v>
      </c>
      <c r="Q2264">
        <v>5380396</v>
      </c>
      <c r="R2264">
        <v>89345.665891730328</v>
      </c>
      <c r="S2264" s="238" t="s">
        <v>137</v>
      </c>
      <c r="T2264" s="238" t="s">
        <v>978</v>
      </c>
      <c r="U2264">
        <v>166404</v>
      </c>
      <c r="V2264" t="s">
        <v>4091</v>
      </c>
      <c r="W2264" s="24">
        <v>45344</v>
      </c>
      <c r="X2264" s="238" t="s">
        <v>6995</v>
      </c>
      <c r="Y2264" s="238" t="s">
        <v>39</v>
      </c>
      <c r="Z2264" s="238" t="s">
        <v>1340</v>
      </c>
      <c r="AA2264" t="s">
        <v>3113</v>
      </c>
      <c r="AB2264" s="238" t="s">
        <v>3246</v>
      </c>
      <c r="AC2264" t="s">
        <v>3079</v>
      </c>
      <c r="AD2264" s="24"/>
      <c r="AE2264" s="238" t="s">
        <v>6996</v>
      </c>
      <c r="AF2264">
        <v>79277660549</v>
      </c>
      <c r="AG2264" s="238" t="s">
        <v>6997</v>
      </c>
      <c r="AH2264" s="238" t="s">
        <v>1212</v>
      </c>
      <c r="AI2264" s="238" t="s">
        <v>3514</v>
      </c>
      <c r="AJ2264" s="238" t="s">
        <v>4177</v>
      </c>
      <c r="AK2264" s="238" t="s">
        <v>141</v>
      </c>
      <c r="AL2264" t="s">
        <v>8715</v>
      </c>
      <c r="AM2264" t="s">
        <v>1167</v>
      </c>
    </row>
    <row r="2265" spans="1:39" x14ac:dyDescent="0.25">
      <c r="A2265">
        <v>2262</v>
      </c>
      <c r="B2265">
        <v>19</v>
      </c>
      <c r="C2265" s="24">
        <v>45351</v>
      </c>
      <c r="D2265" s="238" t="s">
        <v>3388</v>
      </c>
      <c r="E2265" s="238" t="s">
        <v>15</v>
      </c>
      <c r="F2265">
        <v>6</v>
      </c>
      <c r="G2265">
        <v>7</v>
      </c>
      <c r="H2265">
        <v>442</v>
      </c>
      <c r="I2265" s="238" t="s">
        <v>42</v>
      </c>
      <c r="J2265">
        <v>38.299999999999997</v>
      </c>
      <c r="K2265" s="238" t="s">
        <v>6871</v>
      </c>
      <c r="L2265">
        <v>4349100</v>
      </c>
      <c r="M2265">
        <v>0</v>
      </c>
      <c r="N2265">
        <v>4349100</v>
      </c>
      <c r="O2265">
        <v>113553.52480417755</v>
      </c>
      <c r="P2265">
        <v>268100</v>
      </c>
      <c r="Q2265">
        <v>4081000</v>
      </c>
      <c r="R2265">
        <v>106553.52480417755</v>
      </c>
      <c r="S2265" s="238" t="s">
        <v>137</v>
      </c>
      <c r="T2265" s="238" t="s">
        <v>1167</v>
      </c>
      <c r="V2265" t="s">
        <v>4092</v>
      </c>
      <c r="W2265" s="24">
        <v>45348</v>
      </c>
      <c r="X2265" s="238" t="s">
        <v>6998</v>
      </c>
      <c r="Y2265" s="238" t="s">
        <v>39</v>
      </c>
      <c r="Z2265" s="238" t="s">
        <v>1340</v>
      </c>
      <c r="AA2265" t="s">
        <v>3113</v>
      </c>
      <c r="AB2265" s="238" t="s">
        <v>3246</v>
      </c>
      <c r="AC2265" t="s">
        <v>3079</v>
      </c>
      <c r="AD2265" s="24"/>
      <c r="AE2265" s="238" t="s">
        <v>6999</v>
      </c>
      <c r="AF2265">
        <v>79879436750</v>
      </c>
      <c r="AG2265" s="238" t="s">
        <v>7000</v>
      </c>
      <c r="AH2265" s="238" t="s">
        <v>1171</v>
      </c>
      <c r="AI2265" s="238" t="s">
        <v>3074</v>
      </c>
      <c r="AJ2265" s="238" t="s">
        <v>5215</v>
      </c>
      <c r="AK2265" s="238" t="s">
        <v>3345</v>
      </c>
      <c r="AL2265" t="s">
        <v>8715</v>
      </c>
      <c r="AM2265" t="s">
        <v>1167</v>
      </c>
    </row>
    <row r="2266" spans="1:39" x14ac:dyDescent="0.25">
      <c r="A2266">
        <v>2263</v>
      </c>
      <c r="B2266">
        <v>20</v>
      </c>
      <c r="C2266" s="24">
        <v>45351</v>
      </c>
      <c r="D2266" s="238" t="s">
        <v>3388</v>
      </c>
      <c r="E2266" s="238" t="s">
        <v>5</v>
      </c>
      <c r="F2266">
        <v>1</v>
      </c>
      <c r="G2266">
        <v>16</v>
      </c>
      <c r="H2266">
        <v>216</v>
      </c>
      <c r="I2266" s="238" t="s">
        <v>43</v>
      </c>
      <c r="J2266">
        <v>60.22</v>
      </c>
      <c r="K2266" s="238" t="s">
        <v>36</v>
      </c>
      <c r="L2266">
        <v>5653400</v>
      </c>
      <c r="M2266">
        <v>0</v>
      </c>
      <c r="N2266">
        <v>5653400</v>
      </c>
      <c r="O2266">
        <v>93879.109930255727</v>
      </c>
      <c r="P2266">
        <v>0</v>
      </c>
      <c r="Q2266">
        <v>5653400</v>
      </c>
      <c r="R2266">
        <v>93879.109930255727</v>
      </c>
      <c r="S2266" s="238" t="s">
        <v>137</v>
      </c>
      <c r="T2266" s="238" t="s">
        <v>1167</v>
      </c>
      <c r="V2266" t="s">
        <v>4091</v>
      </c>
      <c r="W2266" s="24">
        <v>45348</v>
      </c>
      <c r="X2266" s="238" t="s">
        <v>7001</v>
      </c>
      <c r="Y2266" s="238" t="s">
        <v>39</v>
      </c>
      <c r="Z2266" s="238" t="s">
        <v>1340</v>
      </c>
      <c r="AA2266" t="s">
        <v>3113</v>
      </c>
      <c r="AB2266" s="238" t="s">
        <v>3246</v>
      </c>
      <c r="AC2266" t="s">
        <v>3079</v>
      </c>
      <c r="AD2266" s="24"/>
      <c r="AE2266" s="238" t="s">
        <v>7002</v>
      </c>
      <c r="AF2266">
        <v>79969132460</v>
      </c>
      <c r="AG2266" s="238" t="s">
        <v>7003</v>
      </c>
      <c r="AH2266" s="238" t="s">
        <v>135</v>
      </c>
      <c r="AI2266" s="238" t="s">
        <v>135</v>
      </c>
      <c r="AJ2266" s="238" t="s">
        <v>126</v>
      </c>
      <c r="AK2266" s="238" t="s">
        <v>141</v>
      </c>
      <c r="AL2266" t="s">
        <v>8715</v>
      </c>
      <c r="AM2266" t="s">
        <v>1167</v>
      </c>
    </row>
    <row r="2267" spans="1:39" x14ac:dyDescent="0.25">
      <c r="A2267">
        <v>2264</v>
      </c>
      <c r="B2267">
        <v>21</v>
      </c>
      <c r="C2267" s="24">
        <v>45351</v>
      </c>
      <c r="D2267" s="238" t="s">
        <v>3388</v>
      </c>
      <c r="E2267" s="238" t="s">
        <v>15</v>
      </c>
      <c r="F2267">
        <v>2</v>
      </c>
      <c r="G2267">
        <v>19</v>
      </c>
      <c r="H2267">
        <v>534</v>
      </c>
      <c r="I2267" s="238" t="s">
        <v>42</v>
      </c>
      <c r="J2267">
        <v>43.21</v>
      </c>
      <c r="K2267" s="238" t="s">
        <v>36</v>
      </c>
      <c r="L2267">
        <v>4817300</v>
      </c>
      <c r="M2267">
        <v>0</v>
      </c>
      <c r="N2267">
        <v>4817300</v>
      </c>
      <c r="O2267">
        <v>111485.76718352233</v>
      </c>
      <c r="P2267">
        <v>0</v>
      </c>
      <c r="Q2267">
        <v>4817300</v>
      </c>
      <c r="R2267">
        <v>111485.76718352233</v>
      </c>
      <c r="S2267" s="238" t="s">
        <v>137</v>
      </c>
      <c r="T2267" s="238" t="s">
        <v>1167</v>
      </c>
      <c r="V2267" t="s">
        <v>4092</v>
      </c>
      <c r="W2267" s="24">
        <v>45348</v>
      </c>
      <c r="X2267" s="238" t="s">
        <v>7004</v>
      </c>
      <c r="Y2267" s="238" t="s">
        <v>39</v>
      </c>
      <c r="Z2267" s="238" t="s">
        <v>1340</v>
      </c>
      <c r="AA2267" t="s">
        <v>3113</v>
      </c>
      <c r="AB2267" s="238" t="s">
        <v>3246</v>
      </c>
      <c r="AC2267" t="s">
        <v>3079</v>
      </c>
      <c r="AD2267" s="24"/>
      <c r="AE2267" s="238" t="s">
        <v>7005</v>
      </c>
      <c r="AF2267">
        <v>79277285444</v>
      </c>
      <c r="AG2267" s="238" t="s">
        <v>7006</v>
      </c>
      <c r="AH2267" s="238" t="s">
        <v>1212</v>
      </c>
      <c r="AI2267" s="238" t="s">
        <v>135</v>
      </c>
      <c r="AJ2267" s="238" t="s">
        <v>126</v>
      </c>
      <c r="AK2267" s="238" t="s">
        <v>141</v>
      </c>
      <c r="AL2267" t="s">
        <v>8715</v>
      </c>
      <c r="AM2267" t="s">
        <v>1167</v>
      </c>
    </row>
    <row r="2268" spans="1:39" x14ac:dyDescent="0.25">
      <c r="A2268">
        <v>2265</v>
      </c>
      <c r="B2268">
        <v>22</v>
      </c>
      <c r="C2268" s="24">
        <v>45351</v>
      </c>
      <c r="D2268" s="238" t="s">
        <v>3388</v>
      </c>
      <c r="E2268" s="238" t="s">
        <v>5</v>
      </c>
      <c r="F2268">
        <v>1</v>
      </c>
      <c r="G2268">
        <v>10</v>
      </c>
      <c r="H2268">
        <v>174</v>
      </c>
      <c r="I2268" s="238" t="s">
        <v>43</v>
      </c>
      <c r="J2268">
        <v>60.22</v>
      </c>
      <c r="K2268" s="238" t="s">
        <v>36</v>
      </c>
      <c r="L2268">
        <v>5653400</v>
      </c>
      <c r="M2268">
        <v>0</v>
      </c>
      <c r="N2268">
        <v>5653400</v>
      </c>
      <c r="O2268">
        <v>93879.109930255727</v>
      </c>
      <c r="P2268">
        <v>0</v>
      </c>
      <c r="Q2268">
        <v>5653400</v>
      </c>
      <c r="R2268">
        <v>93879.109930255727</v>
      </c>
      <c r="S2268" s="238" t="s">
        <v>137</v>
      </c>
      <c r="T2268" s="238" t="s">
        <v>1167</v>
      </c>
      <c r="V2268" t="s">
        <v>4092</v>
      </c>
      <c r="W2268" s="24">
        <v>45348</v>
      </c>
      <c r="X2268" s="238" t="s">
        <v>7007</v>
      </c>
      <c r="Y2268" s="238" t="s">
        <v>39</v>
      </c>
      <c r="Z2268" s="238" t="s">
        <v>1340</v>
      </c>
      <c r="AA2268" t="s">
        <v>3113</v>
      </c>
      <c r="AB2268" s="238" t="s">
        <v>3246</v>
      </c>
      <c r="AC2268" t="s">
        <v>3079</v>
      </c>
      <c r="AD2268" s="24"/>
      <c r="AE2268" s="238" t="s">
        <v>7008</v>
      </c>
      <c r="AF2268">
        <v>79371755575</v>
      </c>
      <c r="AG2268" s="238" t="s">
        <v>7009</v>
      </c>
      <c r="AH2268" s="238" t="s">
        <v>4072</v>
      </c>
      <c r="AI2268" s="238" t="s">
        <v>6406</v>
      </c>
      <c r="AJ2268" s="238" t="s">
        <v>5215</v>
      </c>
      <c r="AK2268" s="238" t="s">
        <v>141</v>
      </c>
      <c r="AL2268" t="s">
        <v>57</v>
      </c>
      <c r="AM2268" t="s">
        <v>1167</v>
      </c>
    </row>
    <row r="2269" spans="1:39" hidden="1" x14ac:dyDescent="0.25">
      <c r="A2269">
        <v>2266</v>
      </c>
      <c r="B2269">
        <v>23</v>
      </c>
      <c r="C2269" s="24">
        <v>45351</v>
      </c>
      <c r="D2269" s="238" t="s">
        <v>91</v>
      </c>
      <c r="E2269" s="238" t="s">
        <v>5</v>
      </c>
      <c r="F2269">
        <v>2</v>
      </c>
      <c r="G2269">
        <v>9</v>
      </c>
      <c r="H2269">
        <v>178</v>
      </c>
      <c r="I2269" s="238" t="s">
        <v>43</v>
      </c>
      <c r="J2269">
        <v>68.75</v>
      </c>
      <c r="K2269" s="238" t="s">
        <v>36</v>
      </c>
      <c r="L2269">
        <v>6258574</v>
      </c>
      <c r="M2269">
        <v>0</v>
      </c>
      <c r="N2269">
        <v>6258574</v>
      </c>
      <c r="O2269">
        <v>91033.803636363635</v>
      </c>
      <c r="P2269">
        <v>0</v>
      </c>
      <c r="Q2269">
        <v>6258574</v>
      </c>
      <c r="R2269">
        <v>91033.803636363635</v>
      </c>
      <c r="S2269" s="238" t="s">
        <v>121</v>
      </c>
      <c r="T2269" s="238" t="s">
        <v>3540</v>
      </c>
      <c r="U2269">
        <v>127726</v>
      </c>
      <c r="V2269" t="s">
        <v>1167</v>
      </c>
      <c r="W2269" s="24">
        <v>45348</v>
      </c>
      <c r="X2269" s="238" t="s">
        <v>7010</v>
      </c>
      <c r="Y2269" s="238" t="s">
        <v>39</v>
      </c>
      <c r="Z2269" s="238" t="s">
        <v>1340</v>
      </c>
      <c r="AA2269" t="s">
        <v>3113</v>
      </c>
      <c r="AB2269" s="238" t="s">
        <v>3246</v>
      </c>
      <c r="AC2269" t="s">
        <v>1167</v>
      </c>
      <c r="AD2269" s="24"/>
      <c r="AE2269" s="238" t="s">
        <v>7011</v>
      </c>
      <c r="AF2269">
        <v>79372063875</v>
      </c>
      <c r="AG2269" s="238" t="s">
        <v>7012</v>
      </c>
      <c r="AH2269" s="238" t="s">
        <v>1212</v>
      </c>
      <c r="AI2269" s="238" t="s">
        <v>3097</v>
      </c>
      <c r="AJ2269" s="238" t="s">
        <v>5215</v>
      </c>
      <c r="AK2269" s="238" t="s">
        <v>1167</v>
      </c>
      <c r="AL2269" t="s">
        <v>8715</v>
      </c>
      <c r="AM2269" t="s">
        <v>1167</v>
      </c>
    </row>
    <row r="2270" spans="1:39" hidden="1" x14ac:dyDescent="0.25">
      <c r="A2270">
        <v>2267</v>
      </c>
      <c r="B2270">
        <v>24</v>
      </c>
      <c r="C2270" s="24">
        <v>45351</v>
      </c>
      <c r="D2270" s="238" t="s">
        <v>91</v>
      </c>
      <c r="E2270" s="238" t="s">
        <v>16</v>
      </c>
      <c r="F2270">
        <v>3</v>
      </c>
      <c r="G2270">
        <v>16</v>
      </c>
      <c r="H2270">
        <v>341</v>
      </c>
      <c r="I2270" s="238" t="s">
        <v>4052</v>
      </c>
      <c r="J2270">
        <v>36.450000000000003</v>
      </c>
      <c r="K2270" s="238" t="s">
        <v>37</v>
      </c>
      <c r="L2270">
        <v>4290875</v>
      </c>
      <c r="M2270">
        <v>0</v>
      </c>
      <c r="N2270">
        <v>4290875</v>
      </c>
      <c r="O2270">
        <v>117719.47873799724</v>
      </c>
      <c r="P2270">
        <v>273375</v>
      </c>
      <c r="Q2270">
        <v>4017500</v>
      </c>
      <c r="R2270">
        <v>110219.47873799725</v>
      </c>
      <c r="S2270" s="238" t="s">
        <v>137</v>
      </c>
      <c r="T2270" s="238" t="s">
        <v>1167</v>
      </c>
      <c r="V2270" t="s">
        <v>4092</v>
      </c>
      <c r="W2270" s="24">
        <v>45350</v>
      </c>
      <c r="X2270" s="238" t="s">
        <v>7013</v>
      </c>
      <c r="Y2270" s="238" t="s">
        <v>39</v>
      </c>
      <c r="Z2270" s="238" t="s">
        <v>1340</v>
      </c>
      <c r="AA2270" t="s">
        <v>3113</v>
      </c>
      <c r="AB2270" s="238" t="s">
        <v>3246</v>
      </c>
      <c r="AC2270" t="s">
        <v>3079</v>
      </c>
      <c r="AD2270" s="24"/>
      <c r="AE2270" s="238" t="s">
        <v>3295</v>
      </c>
      <c r="AF2270">
        <v>79510619129</v>
      </c>
      <c r="AG2270" s="238" t="s">
        <v>3296</v>
      </c>
      <c r="AH2270" s="238" t="s">
        <v>1212</v>
      </c>
      <c r="AI2270" s="238" t="s">
        <v>3082</v>
      </c>
      <c r="AJ2270" s="238" t="s">
        <v>4177</v>
      </c>
      <c r="AK2270" s="238" t="s">
        <v>3345</v>
      </c>
      <c r="AL2270" t="s">
        <v>8715</v>
      </c>
      <c r="AM2270" t="s">
        <v>1167</v>
      </c>
    </row>
    <row r="2271" spans="1:39" x14ac:dyDescent="0.25">
      <c r="A2271">
        <v>2268</v>
      </c>
      <c r="B2271">
        <v>25</v>
      </c>
      <c r="C2271" s="24">
        <v>45351</v>
      </c>
      <c r="D2271" s="238" t="s">
        <v>3388</v>
      </c>
      <c r="E2271" s="238" t="s">
        <v>5</v>
      </c>
      <c r="F2271">
        <v>4</v>
      </c>
      <c r="G2271">
        <v>10</v>
      </c>
      <c r="H2271">
        <v>177</v>
      </c>
      <c r="I2271" s="238" t="s">
        <v>43</v>
      </c>
      <c r="J2271">
        <v>58.31</v>
      </c>
      <c r="K2271" s="238" t="s">
        <v>38</v>
      </c>
      <c r="L2271">
        <v>6614500</v>
      </c>
      <c r="M2271">
        <v>0</v>
      </c>
      <c r="N2271">
        <v>6614500</v>
      </c>
      <c r="O2271">
        <v>113436.80329274567</v>
      </c>
      <c r="P2271">
        <v>1166200</v>
      </c>
      <c r="Q2271">
        <v>5448300</v>
      </c>
      <c r="R2271">
        <v>93436.803292745666</v>
      </c>
      <c r="S2271" s="238" t="s">
        <v>137</v>
      </c>
      <c r="T2271" s="238" t="s">
        <v>1167</v>
      </c>
      <c r="V2271" t="s">
        <v>4092</v>
      </c>
      <c r="W2271" s="24">
        <v>45350</v>
      </c>
      <c r="X2271" s="238" t="s">
        <v>7014</v>
      </c>
      <c r="Y2271" s="238" t="s">
        <v>39</v>
      </c>
      <c r="Z2271" s="238" t="s">
        <v>1340</v>
      </c>
      <c r="AA2271" t="s">
        <v>3113</v>
      </c>
      <c r="AB2271" s="238" t="s">
        <v>3246</v>
      </c>
      <c r="AC2271" t="s">
        <v>3079</v>
      </c>
      <c r="AD2271" s="24"/>
      <c r="AE2271" s="238" t="s">
        <v>7015</v>
      </c>
      <c r="AF2271">
        <v>79991719345</v>
      </c>
      <c r="AG2271" s="238" t="s">
        <v>7016</v>
      </c>
      <c r="AH2271" s="238" t="s">
        <v>135</v>
      </c>
      <c r="AI2271" s="238" t="s">
        <v>3097</v>
      </c>
      <c r="AJ2271" s="238" t="s">
        <v>5215</v>
      </c>
      <c r="AK2271" s="238" t="s">
        <v>3345</v>
      </c>
      <c r="AL2271" t="s">
        <v>8715</v>
      </c>
      <c r="AM2271" t="s">
        <v>1167</v>
      </c>
    </row>
    <row r="2272" spans="1:39" hidden="1" x14ac:dyDescent="0.25">
      <c r="A2272">
        <v>2269</v>
      </c>
      <c r="B2272">
        <v>1</v>
      </c>
      <c r="C2272" s="24">
        <v>45353</v>
      </c>
      <c r="D2272" s="238" t="s">
        <v>91</v>
      </c>
      <c r="E2272" s="238" t="s">
        <v>16</v>
      </c>
      <c r="F2272">
        <v>4</v>
      </c>
      <c r="G2272">
        <v>21</v>
      </c>
      <c r="H2272">
        <v>377</v>
      </c>
      <c r="I2272" s="238" t="s">
        <v>43</v>
      </c>
      <c r="J2272">
        <v>58.55</v>
      </c>
      <c r="K2272" s="238" t="s">
        <v>36</v>
      </c>
      <c r="L2272">
        <v>5920977</v>
      </c>
      <c r="M2272">
        <v>0</v>
      </c>
      <c r="N2272">
        <v>5920977</v>
      </c>
      <c r="O2272">
        <v>101126.8488471392</v>
      </c>
      <c r="P2272">
        <v>0</v>
      </c>
      <c r="Q2272">
        <v>5920977</v>
      </c>
      <c r="R2272">
        <v>101126.8488471392</v>
      </c>
      <c r="S2272" s="238" t="s">
        <v>137</v>
      </c>
      <c r="T2272" s="238" t="s">
        <v>3539</v>
      </c>
      <c r="U2272">
        <v>183123</v>
      </c>
      <c r="V2272" t="s">
        <v>4092</v>
      </c>
      <c r="W2272" s="24">
        <v>45352</v>
      </c>
      <c r="X2272" s="238" t="s">
        <v>7017</v>
      </c>
      <c r="Y2272" s="238" t="s">
        <v>39</v>
      </c>
      <c r="Z2272" s="238" t="s">
        <v>1340</v>
      </c>
      <c r="AA2272" t="s">
        <v>3113</v>
      </c>
      <c r="AB2272" s="238" t="s">
        <v>3246</v>
      </c>
      <c r="AC2272" t="s">
        <v>3079</v>
      </c>
      <c r="AD2272" s="24"/>
      <c r="AE2272" s="238" t="s">
        <v>7018</v>
      </c>
      <c r="AF2272">
        <v>79171443555</v>
      </c>
      <c r="AG2272" s="238" t="s">
        <v>7019</v>
      </c>
      <c r="AH2272" s="238" t="s">
        <v>1212</v>
      </c>
      <c r="AI2272" s="238" t="s">
        <v>3103</v>
      </c>
      <c r="AJ2272" s="238" t="s">
        <v>4177</v>
      </c>
      <c r="AK2272" s="238" t="s">
        <v>3345</v>
      </c>
      <c r="AL2272" t="s">
        <v>8715</v>
      </c>
      <c r="AM2272" t="s">
        <v>1167</v>
      </c>
    </row>
    <row r="2273" spans="1:39" x14ac:dyDescent="0.25">
      <c r="A2273">
        <v>2270</v>
      </c>
      <c r="B2273">
        <v>2</v>
      </c>
      <c r="C2273" s="24">
        <v>45358</v>
      </c>
      <c r="D2273" s="238" t="s">
        <v>3388</v>
      </c>
      <c r="E2273" s="238" t="s">
        <v>16</v>
      </c>
      <c r="F2273">
        <v>4</v>
      </c>
      <c r="G2273">
        <v>8</v>
      </c>
      <c r="H2273">
        <v>274</v>
      </c>
      <c r="I2273" s="238" t="s">
        <v>43</v>
      </c>
      <c r="J2273">
        <v>60.24</v>
      </c>
      <c r="K2273" s="238" t="s">
        <v>38</v>
      </c>
      <c r="L2273">
        <v>6768041</v>
      </c>
      <c r="M2273">
        <v>0</v>
      </c>
      <c r="N2273">
        <v>6768041</v>
      </c>
      <c r="O2273">
        <v>112351.27822045152</v>
      </c>
      <c r="P2273">
        <v>1204800</v>
      </c>
      <c r="Q2273">
        <v>5563241</v>
      </c>
      <c r="R2273">
        <v>92351.278220451524</v>
      </c>
      <c r="S2273" s="238" t="s">
        <v>137</v>
      </c>
      <c r="T2273" s="238" t="s">
        <v>978</v>
      </c>
      <c r="U2273">
        <v>172059</v>
      </c>
      <c r="V2273" t="s">
        <v>4092</v>
      </c>
      <c r="W2273" s="24">
        <v>45355</v>
      </c>
      <c r="X2273" s="238" t="s">
        <v>7020</v>
      </c>
      <c r="Y2273" s="238" t="s">
        <v>39</v>
      </c>
      <c r="Z2273" s="238" t="s">
        <v>1340</v>
      </c>
      <c r="AA2273" t="s">
        <v>3113</v>
      </c>
      <c r="AB2273" s="238" t="s">
        <v>3246</v>
      </c>
      <c r="AC2273" t="s">
        <v>3079</v>
      </c>
      <c r="AD2273" s="24"/>
      <c r="AE2273" s="238" t="s">
        <v>7021</v>
      </c>
      <c r="AF2273">
        <v>79276973695</v>
      </c>
      <c r="AG2273" s="238" t="s">
        <v>7022</v>
      </c>
      <c r="AH2273" s="238" t="s">
        <v>4072</v>
      </c>
      <c r="AI2273" s="238" t="s">
        <v>6406</v>
      </c>
      <c r="AJ2273" s="238" t="s">
        <v>4177</v>
      </c>
      <c r="AK2273" s="238" t="s">
        <v>3345</v>
      </c>
      <c r="AL2273" t="s">
        <v>57</v>
      </c>
      <c r="AM2273" t="s">
        <v>1167</v>
      </c>
    </row>
    <row r="2274" spans="1:39" hidden="1" x14ac:dyDescent="0.25">
      <c r="A2274">
        <v>2271</v>
      </c>
      <c r="B2274">
        <v>3</v>
      </c>
      <c r="C2274" s="24">
        <v>45363</v>
      </c>
      <c r="D2274" s="238" t="s">
        <v>91</v>
      </c>
      <c r="E2274" s="238" t="s">
        <v>5</v>
      </c>
      <c r="F2274">
        <v>8</v>
      </c>
      <c r="G2274">
        <v>13</v>
      </c>
      <c r="H2274">
        <v>216</v>
      </c>
      <c r="I2274" s="238" t="s">
        <v>42</v>
      </c>
      <c r="J2274">
        <v>33.79</v>
      </c>
      <c r="K2274" s="238" t="s">
        <v>38</v>
      </c>
      <c r="L2274">
        <v>4684992</v>
      </c>
      <c r="M2274">
        <v>0</v>
      </c>
      <c r="N2274">
        <v>4684992</v>
      </c>
      <c r="O2274">
        <v>138650.25155371413</v>
      </c>
      <c r="P2274">
        <v>743379.99999999953</v>
      </c>
      <c r="Q2274">
        <v>3941612.0000000005</v>
      </c>
      <c r="R2274">
        <v>116650.25155371413</v>
      </c>
      <c r="S2274" s="238" t="s">
        <v>137</v>
      </c>
      <c r="T2274" s="238" t="s">
        <v>4185</v>
      </c>
      <c r="U2274">
        <v>88888</v>
      </c>
      <c r="V2274" t="s">
        <v>4091</v>
      </c>
      <c r="W2274" s="24">
        <v>45356</v>
      </c>
      <c r="X2274" s="238" t="s">
        <v>7026</v>
      </c>
      <c r="Y2274" s="238" t="s">
        <v>39</v>
      </c>
      <c r="Z2274" s="238" t="s">
        <v>1340</v>
      </c>
      <c r="AA2274" t="s">
        <v>3113</v>
      </c>
      <c r="AB2274" s="238" t="s">
        <v>3246</v>
      </c>
      <c r="AC2274" t="s">
        <v>3079</v>
      </c>
      <c r="AD2274" s="24"/>
      <c r="AE2274" s="238" t="s">
        <v>7027</v>
      </c>
      <c r="AF2274">
        <v>79376560123</v>
      </c>
      <c r="AG2274" s="238" t="s">
        <v>7028</v>
      </c>
      <c r="AH2274" s="238" t="s">
        <v>135</v>
      </c>
      <c r="AI2274" s="238" t="s">
        <v>3074</v>
      </c>
      <c r="AJ2274" s="238" t="s">
        <v>5215</v>
      </c>
      <c r="AK2274" s="238" t="s">
        <v>141</v>
      </c>
      <c r="AL2274" t="s">
        <v>8715</v>
      </c>
      <c r="AM2274" t="s">
        <v>1167</v>
      </c>
    </row>
    <row r="2275" spans="1:39" x14ac:dyDescent="0.25">
      <c r="A2275">
        <v>2272</v>
      </c>
      <c r="B2275">
        <v>4</v>
      </c>
      <c r="C2275" s="24">
        <v>45363</v>
      </c>
      <c r="D2275" s="238" t="s">
        <v>3388</v>
      </c>
      <c r="E2275" s="238" t="s">
        <v>16</v>
      </c>
      <c r="F2275">
        <v>5</v>
      </c>
      <c r="G2275">
        <v>7</v>
      </c>
      <c r="H2275">
        <v>268</v>
      </c>
      <c r="I2275" s="238" t="s">
        <v>42</v>
      </c>
      <c r="J2275">
        <v>37.81</v>
      </c>
      <c r="K2275" s="238" t="s">
        <v>38</v>
      </c>
      <c r="L2275">
        <v>4888012</v>
      </c>
      <c r="M2275">
        <v>0</v>
      </c>
      <c r="N2275">
        <v>4888012</v>
      </c>
      <c r="O2275">
        <v>129278.2861676805</v>
      </c>
      <c r="P2275">
        <v>756200</v>
      </c>
      <c r="Q2275">
        <v>4131812</v>
      </c>
      <c r="R2275">
        <v>109278.2861676805</v>
      </c>
      <c r="S2275" s="238" t="s">
        <v>137</v>
      </c>
      <c r="T2275" s="238" t="s">
        <v>4185</v>
      </c>
      <c r="U2275">
        <v>88888</v>
      </c>
      <c r="V2275" t="s">
        <v>4091</v>
      </c>
      <c r="W2275" s="24">
        <v>45362</v>
      </c>
      <c r="X2275" s="238" t="s">
        <v>7029</v>
      </c>
      <c r="Y2275" s="238" t="s">
        <v>39</v>
      </c>
      <c r="Z2275" s="238" t="s">
        <v>1340</v>
      </c>
      <c r="AA2275" t="s">
        <v>3113</v>
      </c>
      <c r="AB2275" s="238" t="s">
        <v>3246</v>
      </c>
      <c r="AC2275" t="s">
        <v>3079</v>
      </c>
      <c r="AD2275" s="24"/>
      <c r="AE2275" s="238" t="s">
        <v>7030</v>
      </c>
      <c r="AF2275">
        <v>79222840055</v>
      </c>
      <c r="AG2275" s="238" t="s">
        <v>7031</v>
      </c>
      <c r="AH2275" s="238" t="s">
        <v>1212</v>
      </c>
      <c r="AI2275" s="238" t="s">
        <v>3074</v>
      </c>
      <c r="AJ2275" s="238" t="s">
        <v>5215</v>
      </c>
      <c r="AK2275" s="238" t="s">
        <v>3345</v>
      </c>
      <c r="AL2275" t="s">
        <v>8715</v>
      </c>
      <c r="AM2275" t="s">
        <v>1167</v>
      </c>
    </row>
    <row r="2276" spans="1:39" hidden="1" x14ac:dyDescent="0.25">
      <c r="A2276">
        <v>2273</v>
      </c>
      <c r="B2276">
        <v>5</v>
      </c>
      <c r="C2276" s="24">
        <v>45364</v>
      </c>
      <c r="D2276" s="238" t="s">
        <v>91</v>
      </c>
      <c r="E2276" s="238" t="s">
        <v>6</v>
      </c>
      <c r="F2276">
        <v>2</v>
      </c>
      <c r="G2276">
        <v>9</v>
      </c>
      <c r="H2276">
        <v>58</v>
      </c>
      <c r="I2276" s="238" t="s">
        <v>43</v>
      </c>
      <c r="J2276">
        <v>61.76</v>
      </c>
      <c r="K2276" s="238" t="s">
        <v>36</v>
      </c>
      <c r="L2276">
        <v>5851770</v>
      </c>
      <c r="M2276">
        <v>15000</v>
      </c>
      <c r="N2276">
        <v>5866770</v>
      </c>
      <c r="O2276">
        <v>94993.037564766841</v>
      </c>
      <c r="P2276">
        <v>0</v>
      </c>
      <c r="Q2276">
        <v>5866770</v>
      </c>
      <c r="R2276">
        <v>94993.037564766841</v>
      </c>
      <c r="S2276" s="238" t="s">
        <v>137</v>
      </c>
      <c r="T2276" s="238" t="s">
        <v>3540</v>
      </c>
      <c r="U2276">
        <v>119730</v>
      </c>
      <c r="V2276" t="s">
        <v>4092</v>
      </c>
      <c r="W2276" s="24">
        <v>45348</v>
      </c>
      <c r="X2276" s="238" t="s">
        <v>7034</v>
      </c>
      <c r="Y2276" s="238" t="s">
        <v>39</v>
      </c>
      <c r="Z2276" s="238" t="s">
        <v>1340</v>
      </c>
      <c r="AA2276" t="s">
        <v>3113</v>
      </c>
      <c r="AB2276" s="238" t="s">
        <v>3246</v>
      </c>
      <c r="AC2276" t="s">
        <v>3079</v>
      </c>
      <c r="AD2276" s="24"/>
      <c r="AE2276" s="238" t="s">
        <v>7035</v>
      </c>
      <c r="AF2276">
        <v>79277880706</v>
      </c>
      <c r="AG2276" s="238" t="s">
        <v>7036</v>
      </c>
      <c r="AH2276" s="238" t="s">
        <v>135</v>
      </c>
      <c r="AI2276" s="238" t="s">
        <v>135</v>
      </c>
      <c r="AJ2276" s="238" t="s">
        <v>4177</v>
      </c>
      <c r="AK2276" s="238" t="s">
        <v>3345</v>
      </c>
      <c r="AL2276" t="s">
        <v>8715</v>
      </c>
      <c r="AM2276" t="s">
        <v>1167</v>
      </c>
    </row>
    <row r="2277" spans="1:39" hidden="1" x14ac:dyDescent="0.25">
      <c r="A2277">
        <v>2274</v>
      </c>
      <c r="B2277">
        <v>6</v>
      </c>
      <c r="C2277" s="24">
        <v>45364</v>
      </c>
      <c r="D2277" s="238" t="s">
        <v>91</v>
      </c>
      <c r="E2277" s="238" t="s">
        <v>15</v>
      </c>
      <c r="F2277">
        <v>8</v>
      </c>
      <c r="G2277">
        <v>8</v>
      </c>
      <c r="H2277">
        <v>463</v>
      </c>
      <c r="I2277" s="238" t="s">
        <v>43</v>
      </c>
      <c r="J2277">
        <v>63.74</v>
      </c>
      <c r="K2277" s="238" t="s">
        <v>36</v>
      </c>
      <c r="L2277">
        <v>5822512</v>
      </c>
      <c r="M2277">
        <v>0</v>
      </c>
      <c r="N2277">
        <v>5822512</v>
      </c>
      <c r="O2277">
        <v>91347.850643238155</v>
      </c>
      <c r="P2277">
        <v>0</v>
      </c>
      <c r="Q2277">
        <v>5822512</v>
      </c>
      <c r="R2277">
        <v>91347.850643238155</v>
      </c>
      <c r="S2277" s="238" t="s">
        <v>137</v>
      </c>
      <c r="T2277" s="238" t="s">
        <v>4185</v>
      </c>
      <c r="U2277">
        <v>88888</v>
      </c>
      <c r="V2277" t="s">
        <v>4091</v>
      </c>
      <c r="W2277" s="24">
        <v>45352</v>
      </c>
      <c r="X2277" s="238" t="s">
        <v>7037</v>
      </c>
      <c r="Y2277" s="238" t="s">
        <v>39</v>
      </c>
      <c r="Z2277" s="238" t="s">
        <v>1340</v>
      </c>
      <c r="AA2277" t="s">
        <v>3113</v>
      </c>
      <c r="AB2277" s="238" t="s">
        <v>3246</v>
      </c>
      <c r="AC2277" t="s">
        <v>3079</v>
      </c>
      <c r="AD2277" s="24"/>
      <c r="AE2277" s="238" t="s">
        <v>7038</v>
      </c>
      <c r="AF2277">
        <v>79277741200</v>
      </c>
      <c r="AG2277" s="238" t="s">
        <v>7039</v>
      </c>
      <c r="AH2277" s="238" t="s">
        <v>4072</v>
      </c>
      <c r="AI2277" s="238" t="s">
        <v>7040</v>
      </c>
      <c r="AJ2277" s="238" t="s">
        <v>5215</v>
      </c>
      <c r="AK2277" s="238" t="s">
        <v>141</v>
      </c>
      <c r="AL2277" t="s">
        <v>57</v>
      </c>
      <c r="AM2277" t="s">
        <v>1167</v>
      </c>
    </row>
    <row r="2278" spans="1:39" hidden="1" x14ac:dyDescent="0.25">
      <c r="A2278">
        <v>2275</v>
      </c>
      <c r="B2278">
        <v>7</v>
      </c>
      <c r="C2278" s="24">
        <v>45364</v>
      </c>
      <c r="D2278" s="238" t="s">
        <v>91</v>
      </c>
      <c r="E2278" s="238" t="s">
        <v>6</v>
      </c>
      <c r="F2278">
        <v>7</v>
      </c>
      <c r="G2278">
        <v>11</v>
      </c>
      <c r="H2278">
        <v>79</v>
      </c>
      <c r="I2278" s="238" t="s">
        <v>4052</v>
      </c>
      <c r="J2278">
        <v>21.75</v>
      </c>
      <c r="K2278" s="238" t="s">
        <v>37</v>
      </c>
      <c r="L2278">
        <v>3007825</v>
      </c>
      <c r="M2278">
        <v>0</v>
      </c>
      <c r="N2278">
        <v>3007825</v>
      </c>
      <c r="O2278">
        <v>138290.80459770115</v>
      </c>
      <c r="P2278">
        <v>163125</v>
      </c>
      <c r="Q2278">
        <v>2844700</v>
      </c>
      <c r="R2278">
        <v>130790.80459770115</v>
      </c>
      <c r="S2278" s="238" t="s">
        <v>137</v>
      </c>
      <c r="T2278" s="238" t="s">
        <v>1167</v>
      </c>
      <c r="V2278" t="s">
        <v>4091</v>
      </c>
      <c r="W2278" s="24">
        <v>45357</v>
      </c>
      <c r="X2278" s="238" t="s">
        <v>7041</v>
      </c>
      <c r="Y2278" s="238" t="s">
        <v>39</v>
      </c>
      <c r="Z2278" s="238" t="s">
        <v>1340</v>
      </c>
      <c r="AA2278" t="s">
        <v>3113</v>
      </c>
      <c r="AB2278" s="238" t="s">
        <v>3246</v>
      </c>
      <c r="AC2278" t="s">
        <v>3079</v>
      </c>
      <c r="AD2278" s="24"/>
      <c r="AE2278" s="238" t="s">
        <v>7042</v>
      </c>
      <c r="AF2278">
        <v>79022484522</v>
      </c>
      <c r="AG2278" s="238" t="s">
        <v>7043</v>
      </c>
      <c r="AH2278" s="238" t="s">
        <v>146</v>
      </c>
      <c r="AI2278" s="238" t="s">
        <v>135</v>
      </c>
      <c r="AJ2278" s="238" t="s">
        <v>126</v>
      </c>
      <c r="AK2278" s="238" t="s">
        <v>3345</v>
      </c>
      <c r="AL2278" t="s">
        <v>8715</v>
      </c>
      <c r="AM2278" t="s">
        <v>1167</v>
      </c>
    </row>
    <row r="2279" spans="1:39" hidden="1" x14ac:dyDescent="0.25">
      <c r="A2279">
        <v>2276</v>
      </c>
      <c r="B2279">
        <v>8</v>
      </c>
      <c r="C2279" s="24">
        <v>45364</v>
      </c>
      <c r="D2279" s="238" t="s">
        <v>91</v>
      </c>
      <c r="E2279" s="238" t="s">
        <v>6</v>
      </c>
      <c r="F2279">
        <v>2</v>
      </c>
      <c r="G2279">
        <v>12</v>
      </c>
      <c r="H2279">
        <v>82</v>
      </c>
      <c r="I2279" s="238" t="s">
        <v>43</v>
      </c>
      <c r="J2279">
        <v>61.76</v>
      </c>
      <c r="K2279" s="238" t="s">
        <v>38</v>
      </c>
      <c r="L2279">
        <v>7256332</v>
      </c>
      <c r="M2279">
        <v>0</v>
      </c>
      <c r="N2279">
        <v>7256332</v>
      </c>
      <c r="O2279">
        <v>117492.42227979275</v>
      </c>
      <c r="P2279">
        <v>1358720</v>
      </c>
      <c r="Q2279">
        <v>5897612</v>
      </c>
      <c r="R2279">
        <v>95492.42227979275</v>
      </c>
      <c r="S2279" s="238" t="s">
        <v>137</v>
      </c>
      <c r="T2279" s="238" t="s">
        <v>4185</v>
      </c>
      <c r="U2279">
        <v>88888</v>
      </c>
      <c r="V2279" t="s">
        <v>4092</v>
      </c>
      <c r="W2279" s="24">
        <v>45358</v>
      </c>
      <c r="X2279" s="238" t="s">
        <v>7044</v>
      </c>
      <c r="Y2279" s="238" t="s">
        <v>39</v>
      </c>
      <c r="Z2279" s="238" t="s">
        <v>1340</v>
      </c>
      <c r="AA2279" t="s">
        <v>3113</v>
      </c>
      <c r="AB2279" s="238" t="s">
        <v>3246</v>
      </c>
      <c r="AC2279" t="s">
        <v>3079</v>
      </c>
      <c r="AD2279" s="24"/>
      <c r="AE2279" s="238" t="s">
        <v>7045</v>
      </c>
      <c r="AF2279">
        <v>79022898896</v>
      </c>
      <c r="AG2279" s="238" t="s">
        <v>7046</v>
      </c>
      <c r="AH2279" s="238" t="s">
        <v>1171</v>
      </c>
      <c r="AI2279" s="238" t="s">
        <v>3074</v>
      </c>
      <c r="AJ2279" s="238" t="s">
        <v>4177</v>
      </c>
      <c r="AK2279" s="238" t="s">
        <v>3345</v>
      </c>
      <c r="AL2279" t="s">
        <v>8715</v>
      </c>
      <c r="AM2279" t="s">
        <v>1167</v>
      </c>
    </row>
    <row r="2280" spans="1:39" x14ac:dyDescent="0.25">
      <c r="A2280">
        <v>2277</v>
      </c>
      <c r="B2280">
        <v>9</v>
      </c>
      <c r="C2280" s="24">
        <v>45367</v>
      </c>
      <c r="D2280" s="238" t="s">
        <v>3388</v>
      </c>
      <c r="E2280" s="238" t="s">
        <v>6</v>
      </c>
      <c r="F2280">
        <v>3</v>
      </c>
      <c r="G2280">
        <v>7</v>
      </c>
      <c r="H2280">
        <v>44</v>
      </c>
      <c r="I2280" s="238" t="s">
        <v>42</v>
      </c>
      <c r="J2280">
        <v>37.729999999999997</v>
      </c>
      <c r="K2280" s="238" t="s">
        <v>36</v>
      </c>
      <c r="L2280">
        <v>4170212</v>
      </c>
      <c r="M2280">
        <v>0</v>
      </c>
      <c r="N2280">
        <v>4170212</v>
      </c>
      <c r="O2280">
        <v>110527.74980121919</v>
      </c>
      <c r="P2280">
        <v>0</v>
      </c>
      <c r="Q2280">
        <v>4170212</v>
      </c>
      <c r="R2280">
        <v>110527.74980121919</v>
      </c>
      <c r="S2280" s="238" t="s">
        <v>137</v>
      </c>
      <c r="T2280" s="238" t="s">
        <v>4185</v>
      </c>
      <c r="U2280">
        <v>88888</v>
      </c>
      <c r="V2280" t="s">
        <v>4091</v>
      </c>
      <c r="W2280" s="24">
        <v>45364</v>
      </c>
      <c r="X2280" s="238" t="s">
        <v>7047</v>
      </c>
      <c r="Y2280" s="238" t="s">
        <v>39</v>
      </c>
      <c r="Z2280" s="238" t="s">
        <v>1340</v>
      </c>
      <c r="AA2280" t="s">
        <v>3113</v>
      </c>
      <c r="AB2280" s="238" t="s">
        <v>3246</v>
      </c>
      <c r="AC2280" t="s">
        <v>3079</v>
      </c>
      <c r="AD2280" s="24"/>
      <c r="AE2280" s="238" t="s">
        <v>7048</v>
      </c>
      <c r="AF2280">
        <v>79272033329</v>
      </c>
      <c r="AG2280" s="238" t="s">
        <v>7049</v>
      </c>
      <c r="AH2280" s="238" t="s">
        <v>1212</v>
      </c>
      <c r="AI2280" s="238" t="s">
        <v>135</v>
      </c>
      <c r="AJ2280" s="238" t="s">
        <v>4177</v>
      </c>
      <c r="AK2280" s="238" t="s">
        <v>3345</v>
      </c>
      <c r="AL2280" t="s">
        <v>8715</v>
      </c>
      <c r="AM2280" t="s">
        <v>4996</v>
      </c>
    </row>
    <row r="2281" spans="1:39" hidden="1" x14ac:dyDescent="0.25">
      <c r="A2281">
        <v>2278</v>
      </c>
      <c r="B2281">
        <v>10</v>
      </c>
      <c r="C2281" s="24">
        <v>45366</v>
      </c>
      <c r="D2281" s="238" t="s">
        <v>91</v>
      </c>
      <c r="E2281" s="238" t="s">
        <v>15</v>
      </c>
      <c r="F2281">
        <v>7</v>
      </c>
      <c r="G2281">
        <v>7</v>
      </c>
      <c r="H2281">
        <v>453</v>
      </c>
      <c r="I2281" s="238" t="s">
        <v>43</v>
      </c>
      <c r="J2281">
        <v>67.489999999999995</v>
      </c>
      <c r="K2281" s="238" t="s">
        <v>37</v>
      </c>
      <c r="L2281">
        <v>7022635</v>
      </c>
      <c r="M2281">
        <v>0</v>
      </c>
      <c r="N2281">
        <v>7022635</v>
      </c>
      <c r="O2281">
        <v>104054.45251148319</v>
      </c>
      <c r="P2281">
        <v>506174.99999999994</v>
      </c>
      <c r="Q2281">
        <v>6516460</v>
      </c>
      <c r="R2281">
        <v>96554.452511483192</v>
      </c>
      <c r="S2281" s="238" t="s">
        <v>137</v>
      </c>
      <c r="T2281" s="238" t="s">
        <v>3538</v>
      </c>
      <c r="U2281">
        <v>201540</v>
      </c>
      <c r="V2281" t="s">
        <v>4092</v>
      </c>
      <c r="W2281" s="24">
        <v>45365</v>
      </c>
      <c r="X2281" s="238" t="s">
        <v>7050</v>
      </c>
      <c r="Y2281" s="238" t="s">
        <v>39</v>
      </c>
      <c r="Z2281" s="238" t="s">
        <v>1340</v>
      </c>
      <c r="AA2281" t="s">
        <v>3113</v>
      </c>
      <c r="AB2281" s="238" t="s">
        <v>3246</v>
      </c>
      <c r="AC2281" t="s">
        <v>3079</v>
      </c>
      <c r="AD2281" s="24"/>
      <c r="AE2281" s="238" t="s">
        <v>7051</v>
      </c>
      <c r="AF2281">
        <v>79171620706</v>
      </c>
      <c r="AG2281" s="238" t="s">
        <v>7052</v>
      </c>
      <c r="AH2281" s="238" t="s">
        <v>1212</v>
      </c>
      <c r="AI2281" s="238" t="s">
        <v>3088</v>
      </c>
      <c r="AJ2281" s="238" t="s">
        <v>5215</v>
      </c>
      <c r="AK2281" s="238" t="s">
        <v>141</v>
      </c>
      <c r="AL2281" t="s">
        <v>8715</v>
      </c>
      <c r="AM2281" t="s">
        <v>1167</v>
      </c>
    </row>
    <row r="2282" spans="1:39" hidden="1" x14ac:dyDescent="0.25">
      <c r="A2282">
        <v>2279</v>
      </c>
      <c r="B2282">
        <v>11</v>
      </c>
      <c r="C2282" s="24">
        <v>45369</v>
      </c>
      <c r="D2282" s="238" t="s">
        <v>91</v>
      </c>
      <c r="E2282" s="238" t="s">
        <v>6</v>
      </c>
      <c r="F2282">
        <v>2</v>
      </c>
      <c r="G2282">
        <v>3</v>
      </c>
      <c r="H2282">
        <v>10</v>
      </c>
      <c r="I2282" s="238" t="s">
        <v>43</v>
      </c>
      <c r="J2282">
        <v>61.76</v>
      </c>
      <c r="K2282" s="238" t="s">
        <v>37</v>
      </c>
      <c r="L2282">
        <v>6270105</v>
      </c>
      <c r="M2282">
        <v>0</v>
      </c>
      <c r="N2282">
        <v>6270105</v>
      </c>
      <c r="O2282">
        <v>101523.72085492229</v>
      </c>
      <c r="P2282">
        <v>463200</v>
      </c>
      <c r="Q2282">
        <v>5806905</v>
      </c>
      <c r="R2282">
        <v>94023.720854922285</v>
      </c>
      <c r="S2282" s="238" t="s">
        <v>137</v>
      </c>
      <c r="T2282" s="238" t="s">
        <v>3538</v>
      </c>
      <c r="U2282">
        <v>179595</v>
      </c>
      <c r="V2282" t="s">
        <v>4092</v>
      </c>
      <c r="W2282" s="24">
        <v>45363</v>
      </c>
      <c r="X2282" s="238" t="s">
        <v>7055</v>
      </c>
      <c r="Y2282" s="238" t="s">
        <v>39</v>
      </c>
      <c r="Z2282" s="238" t="s">
        <v>1340</v>
      </c>
      <c r="AA2282" t="s">
        <v>3113</v>
      </c>
      <c r="AB2282" s="238" t="s">
        <v>3246</v>
      </c>
      <c r="AC2282" t="s">
        <v>3079</v>
      </c>
      <c r="AD2282" s="24"/>
      <c r="AE2282" s="238" t="s">
        <v>7056</v>
      </c>
      <c r="AF2282">
        <v>79276003140</v>
      </c>
      <c r="AG2282" s="238" t="s">
        <v>7057</v>
      </c>
      <c r="AH2282" s="238" t="s">
        <v>1171</v>
      </c>
      <c r="AI2282" s="238" t="s">
        <v>3074</v>
      </c>
      <c r="AJ2282" s="238" t="s">
        <v>4177</v>
      </c>
      <c r="AK2282" s="238" t="s">
        <v>3345</v>
      </c>
      <c r="AL2282" t="s">
        <v>8715</v>
      </c>
      <c r="AM2282" t="s">
        <v>1167</v>
      </c>
    </row>
    <row r="2283" spans="1:39" hidden="1" x14ac:dyDescent="0.25">
      <c r="A2283">
        <v>2280</v>
      </c>
      <c r="B2283">
        <v>12</v>
      </c>
      <c r="C2283" s="24">
        <v>45370</v>
      </c>
      <c r="D2283" s="238" t="s">
        <v>91</v>
      </c>
      <c r="E2283" s="238" t="s">
        <v>15</v>
      </c>
      <c r="F2283">
        <v>7</v>
      </c>
      <c r="G2283">
        <v>6</v>
      </c>
      <c r="H2283">
        <v>444</v>
      </c>
      <c r="I2283" s="238" t="s">
        <v>43</v>
      </c>
      <c r="J2283">
        <v>67.489999999999995</v>
      </c>
      <c r="K2283" s="238" t="s">
        <v>37</v>
      </c>
      <c r="L2283">
        <v>6832005</v>
      </c>
      <c r="M2283">
        <v>30000</v>
      </c>
      <c r="N2283">
        <v>6862005</v>
      </c>
      <c r="O2283">
        <v>101674.39620684547</v>
      </c>
      <c r="P2283">
        <v>506174.99999999994</v>
      </c>
      <c r="Q2283">
        <v>6355830</v>
      </c>
      <c r="R2283">
        <v>94174.396206845471</v>
      </c>
      <c r="S2283" s="238" t="s">
        <v>137</v>
      </c>
      <c r="T2283" s="238" t="s">
        <v>321</v>
      </c>
      <c r="U2283">
        <v>162970</v>
      </c>
      <c r="V2283" t="s">
        <v>4092</v>
      </c>
      <c r="W2283" s="24">
        <v>45310</v>
      </c>
      <c r="X2283" s="238" t="s">
        <v>7058</v>
      </c>
      <c r="Y2283" s="238" t="s">
        <v>39</v>
      </c>
      <c r="Z2283" s="238" t="s">
        <v>1340</v>
      </c>
      <c r="AA2283" t="s">
        <v>3113</v>
      </c>
      <c r="AB2283" s="238" t="s">
        <v>3246</v>
      </c>
      <c r="AC2283" t="s">
        <v>3079</v>
      </c>
      <c r="AD2283" s="24"/>
      <c r="AE2283" s="238" t="s">
        <v>7059</v>
      </c>
      <c r="AF2283">
        <v>79277344401</v>
      </c>
      <c r="AG2283" s="238" t="s">
        <v>7060</v>
      </c>
      <c r="AH2283" s="238" t="s">
        <v>1212</v>
      </c>
      <c r="AI2283" s="238" t="s">
        <v>3097</v>
      </c>
      <c r="AJ2283" s="238" t="s">
        <v>4177</v>
      </c>
      <c r="AK2283" s="238" t="s">
        <v>141</v>
      </c>
      <c r="AL2283" t="s">
        <v>8715</v>
      </c>
      <c r="AM2283" t="s">
        <v>1167</v>
      </c>
    </row>
    <row r="2284" spans="1:39" x14ac:dyDescent="0.25">
      <c r="A2284">
        <v>2281</v>
      </c>
      <c r="B2284">
        <v>13</v>
      </c>
      <c r="C2284" s="24">
        <v>45370</v>
      </c>
      <c r="D2284" s="238" t="s">
        <v>3388</v>
      </c>
      <c r="E2284" s="238" t="s">
        <v>16</v>
      </c>
      <c r="F2284">
        <v>1</v>
      </c>
      <c r="G2284">
        <v>10</v>
      </c>
      <c r="H2284">
        <v>285</v>
      </c>
      <c r="I2284" s="238" t="s">
        <v>43</v>
      </c>
      <c r="J2284">
        <v>73.7</v>
      </c>
      <c r="K2284" s="238" t="s">
        <v>36</v>
      </c>
      <c r="L2284">
        <v>6788400</v>
      </c>
      <c r="M2284">
        <v>0</v>
      </c>
      <c r="N2284">
        <v>6788400</v>
      </c>
      <c r="O2284">
        <v>92108.548168249661</v>
      </c>
      <c r="P2284">
        <v>0</v>
      </c>
      <c r="Q2284">
        <v>6788400</v>
      </c>
      <c r="R2284">
        <v>92108.548168249661</v>
      </c>
      <c r="S2284" s="238" t="s">
        <v>137</v>
      </c>
      <c r="T2284" s="238" t="s">
        <v>1167</v>
      </c>
      <c r="V2284" t="s">
        <v>4092</v>
      </c>
      <c r="W2284" s="24">
        <v>45351</v>
      </c>
      <c r="X2284" s="238" t="s">
        <v>7061</v>
      </c>
      <c r="Y2284" s="238" t="s">
        <v>39</v>
      </c>
      <c r="Z2284" s="238" t="s">
        <v>1340</v>
      </c>
      <c r="AA2284" t="s">
        <v>3113</v>
      </c>
      <c r="AB2284" s="238" t="s">
        <v>3246</v>
      </c>
      <c r="AC2284" t="s">
        <v>3079</v>
      </c>
      <c r="AD2284" s="24"/>
      <c r="AE2284" s="238" t="s">
        <v>7062</v>
      </c>
      <c r="AF2284">
        <v>79869529641</v>
      </c>
      <c r="AG2284" s="238" t="s">
        <v>7063</v>
      </c>
      <c r="AH2284" s="238" t="s">
        <v>1171</v>
      </c>
      <c r="AI2284" s="238" t="s">
        <v>3082</v>
      </c>
      <c r="AJ2284" s="238" t="s">
        <v>5215</v>
      </c>
      <c r="AK2284" s="238" t="s">
        <v>141</v>
      </c>
      <c r="AL2284" t="s">
        <v>8715</v>
      </c>
      <c r="AM2284" t="s">
        <v>1167</v>
      </c>
    </row>
    <row r="2285" spans="1:39" x14ac:dyDescent="0.25">
      <c r="A2285">
        <v>2282</v>
      </c>
      <c r="B2285">
        <v>14</v>
      </c>
      <c r="C2285" s="24">
        <v>45370</v>
      </c>
      <c r="D2285" s="238" t="s">
        <v>3388</v>
      </c>
      <c r="E2285" s="238" t="s">
        <v>15</v>
      </c>
      <c r="F2285">
        <v>2</v>
      </c>
      <c r="G2285">
        <v>12</v>
      </c>
      <c r="H2285">
        <v>478</v>
      </c>
      <c r="I2285" s="238" t="s">
        <v>42</v>
      </c>
      <c r="J2285">
        <v>43.21</v>
      </c>
      <c r="K2285" s="238" t="s">
        <v>36</v>
      </c>
      <c r="L2285">
        <v>4521612</v>
      </c>
      <c r="M2285">
        <v>0</v>
      </c>
      <c r="N2285">
        <v>4521612</v>
      </c>
      <c r="O2285">
        <v>104642.72159222401</v>
      </c>
      <c r="P2285">
        <v>0</v>
      </c>
      <c r="Q2285">
        <v>4521612</v>
      </c>
      <c r="R2285">
        <v>104642.72159222401</v>
      </c>
      <c r="S2285" s="238" t="s">
        <v>137</v>
      </c>
      <c r="T2285" s="238" t="s">
        <v>4185</v>
      </c>
      <c r="U2285">
        <v>88888</v>
      </c>
      <c r="V2285" t="s">
        <v>4092</v>
      </c>
      <c r="W2285" s="24">
        <v>45363</v>
      </c>
      <c r="X2285" s="238" t="s">
        <v>7064</v>
      </c>
      <c r="Y2285" s="238" t="s">
        <v>39</v>
      </c>
      <c r="Z2285" s="238" t="s">
        <v>1340</v>
      </c>
      <c r="AA2285" t="s">
        <v>3474</v>
      </c>
      <c r="AB2285" s="238" t="s">
        <v>3246</v>
      </c>
      <c r="AC2285" t="s">
        <v>3077</v>
      </c>
      <c r="AD2285" s="24"/>
      <c r="AE2285" s="238" t="s">
        <v>7065</v>
      </c>
      <c r="AF2285">
        <v>79033340500</v>
      </c>
      <c r="AG2285" s="238" t="s">
        <v>7066</v>
      </c>
      <c r="AH2285" s="238" t="s">
        <v>135</v>
      </c>
      <c r="AI2285" s="238" t="s">
        <v>135</v>
      </c>
      <c r="AJ2285" s="238" t="s">
        <v>4177</v>
      </c>
      <c r="AK2285" s="238" t="s">
        <v>3345</v>
      </c>
      <c r="AL2285" t="s">
        <v>8715</v>
      </c>
      <c r="AM2285" t="s">
        <v>1167</v>
      </c>
    </row>
    <row r="2286" spans="1:39" hidden="1" x14ac:dyDescent="0.25">
      <c r="A2286">
        <v>2283</v>
      </c>
      <c r="B2286">
        <v>15</v>
      </c>
      <c r="C2286" s="24">
        <v>45370</v>
      </c>
      <c r="D2286" s="238" t="s">
        <v>91</v>
      </c>
      <c r="E2286" s="238" t="s">
        <v>6</v>
      </c>
      <c r="F2286">
        <v>2</v>
      </c>
      <c r="G2286">
        <v>2</v>
      </c>
      <c r="H2286">
        <v>2</v>
      </c>
      <c r="I2286" s="238" t="s">
        <v>43</v>
      </c>
      <c r="J2286">
        <v>61.76</v>
      </c>
      <c r="K2286" s="238" t="s">
        <v>37</v>
      </c>
      <c r="L2286">
        <v>6480512</v>
      </c>
      <c r="M2286">
        <v>0</v>
      </c>
      <c r="N2286">
        <v>6480512</v>
      </c>
      <c r="O2286">
        <v>104930.56994818653</v>
      </c>
      <c r="P2286">
        <v>463200</v>
      </c>
      <c r="Q2286">
        <v>6017312</v>
      </c>
      <c r="R2286">
        <v>97430.56994818653</v>
      </c>
      <c r="S2286" s="238" t="s">
        <v>137</v>
      </c>
      <c r="T2286" s="238" t="s">
        <v>4185</v>
      </c>
      <c r="U2286">
        <v>88888</v>
      </c>
      <c r="V2286" t="s">
        <v>4091</v>
      </c>
      <c r="W2286" s="24">
        <v>45364</v>
      </c>
      <c r="X2286" s="238" t="s">
        <v>7067</v>
      </c>
      <c r="Y2286" s="238" t="s">
        <v>39</v>
      </c>
      <c r="Z2286" s="238" t="s">
        <v>1340</v>
      </c>
      <c r="AA2286" t="s">
        <v>3113</v>
      </c>
      <c r="AB2286" s="238" t="s">
        <v>3246</v>
      </c>
      <c r="AC2286" t="s">
        <v>3079</v>
      </c>
      <c r="AD2286" s="24"/>
      <c r="AE2286" s="238" t="s">
        <v>7068</v>
      </c>
      <c r="AF2286">
        <v>79276504003</v>
      </c>
      <c r="AG2286" s="238" t="s">
        <v>7069</v>
      </c>
      <c r="AH2286" s="238" t="s">
        <v>1171</v>
      </c>
      <c r="AI2286" s="238" t="s">
        <v>3084</v>
      </c>
      <c r="AJ2286" s="238" t="s">
        <v>4177</v>
      </c>
      <c r="AK2286" s="238" t="s">
        <v>3345</v>
      </c>
      <c r="AL2286" t="s">
        <v>8715</v>
      </c>
      <c r="AM2286" t="s">
        <v>1167</v>
      </c>
    </row>
    <row r="2287" spans="1:39" hidden="1" x14ac:dyDescent="0.25">
      <c r="A2287">
        <v>2284</v>
      </c>
      <c r="B2287">
        <v>16</v>
      </c>
      <c r="C2287" s="24">
        <v>45371</v>
      </c>
      <c r="D2287" s="238" t="s">
        <v>91</v>
      </c>
      <c r="E2287" s="238" t="s">
        <v>16</v>
      </c>
      <c r="F2287">
        <v>5</v>
      </c>
      <c r="G2287">
        <v>3</v>
      </c>
      <c r="H2287">
        <v>252</v>
      </c>
      <c r="I2287" s="238" t="s">
        <v>43</v>
      </c>
      <c r="J2287">
        <v>56.7</v>
      </c>
      <c r="K2287" s="238" t="s">
        <v>38</v>
      </c>
      <c r="L2287">
        <v>6536333</v>
      </c>
      <c r="M2287">
        <v>45000</v>
      </c>
      <c r="N2287">
        <v>6581333</v>
      </c>
      <c r="O2287">
        <v>116072.89241622575</v>
      </c>
      <c r="P2287">
        <v>1247400</v>
      </c>
      <c r="Q2287">
        <v>5333933</v>
      </c>
      <c r="R2287">
        <v>94072.892416225746</v>
      </c>
      <c r="S2287" s="238" t="s">
        <v>137</v>
      </c>
      <c r="T2287" s="238" t="s">
        <v>3538</v>
      </c>
      <c r="U2287">
        <v>164967</v>
      </c>
      <c r="V2287" t="s">
        <v>4092</v>
      </c>
      <c r="W2287" s="24">
        <v>45323</v>
      </c>
      <c r="X2287" s="238" t="s">
        <v>7073</v>
      </c>
      <c r="Y2287" s="238" t="s">
        <v>39</v>
      </c>
      <c r="Z2287" s="238" t="s">
        <v>1340</v>
      </c>
      <c r="AA2287" t="s">
        <v>3113</v>
      </c>
      <c r="AB2287" s="238" t="s">
        <v>3246</v>
      </c>
      <c r="AC2287" t="s">
        <v>3079</v>
      </c>
      <c r="AD2287" s="24"/>
      <c r="AE2287" s="238" t="s">
        <v>7074</v>
      </c>
      <c r="AF2287">
        <v>79879050595</v>
      </c>
      <c r="AG2287" s="238" t="s">
        <v>7075</v>
      </c>
      <c r="AH2287" s="238" t="s">
        <v>1212</v>
      </c>
      <c r="AI2287" s="238" t="s">
        <v>3088</v>
      </c>
      <c r="AJ2287" s="238" t="s">
        <v>5215</v>
      </c>
      <c r="AK2287" s="238" t="s">
        <v>141</v>
      </c>
      <c r="AL2287" t="s">
        <v>8715</v>
      </c>
      <c r="AM2287" t="s">
        <v>1167</v>
      </c>
    </row>
    <row r="2288" spans="1:39" x14ac:dyDescent="0.25">
      <c r="A2288">
        <v>2285</v>
      </c>
      <c r="B2288">
        <v>17</v>
      </c>
      <c r="C2288" s="24">
        <v>45372</v>
      </c>
      <c r="D2288" s="238" t="s">
        <v>3388</v>
      </c>
      <c r="E2288" s="238" t="s">
        <v>15</v>
      </c>
      <c r="F2288">
        <v>2</v>
      </c>
      <c r="G2288">
        <v>10</v>
      </c>
      <c r="H2288">
        <v>462</v>
      </c>
      <c r="I2288" s="238" t="s">
        <v>42</v>
      </c>
      <c r="J2288">
        <v>43.21</v>
      </c>
      <c r="K2288" s="238" t="s">
        <v>36</v>
      </c>
      <c r="L2288">
        <v>4461200</v>
      </c>
      <c r="M2288">
        <v>15000</v>
      </c>
      <c r="N2288">
        <v>4476200</v>
      </c>
      <c r="O2288">
        <v>103591.76116639667</v>
      </c>
      <c r="P2288">
        <v>0</v>
      </c>
      <c r="Q2288">
        <v>4476200</v>
      </c>
      <c r="R2288">
        <v>103591.76116639667</v>
      </c>
      <c r="S2288" s="238" t="s">
        <v>137</v>
      </c>
      <c r="T2288" s="238" t="s">
        <v>1167</v>
      </c>
      <c r="V2288" t="s">
        <v>4091</v>
      </c>
      <c r="W2288" s="24">
        <v>45343</v>
      </c>
      <c r="X2288" s="238" t="s">
        <v>7076</v>
      </c>
      <c r="Y2288" s="238" t="s">
        <v>39</v>
      </c>
      <c r="Z2288" s="238" t="s">
        <v>1340</v>
      </c>
      <c r="AA2288" t="s">
        <v>3113</v>
      </c>
      <c r="AB2288" s="238" t="s">
        <v>3246</v>
      </c>
      <c r="AC2288" t="s">
        <v>3079</v>
      </c>
      <c r="AD2288" s="24"/>
      <c r="AE2288" s="238" t="s">
        <v>7077</v>
      </c>
      <c r="AF2288">
        <v>79371727094</v>
      </c>
      <c r="AG2288" s="238" t="s">
        <v>7078</v>
      </c>
      <c r="AH2288" s="238" t="s">
        <v>1212</v>
      </c>
      <c r="AI2288" s="238" t="s">
        <v>3082</v>
      </c>
      <c r="AJ2288" s="238" t="s">
        <v>4177</v>
      </c>
      <c r="AK2288" s="238" t="s">
        <v>3345</v>
      </c>
      <c r="AL2288" t="s">
        <v>8715</v>
      </c>
      <c r="AM2288" t="s">
        <v>1167</v>
      </c>
    </row>
    <row r="2289" spans="1:39" hidden="1" x14ac:dyDescent="0.25">
      <c r="A2289">
        <v>2286</v>
      </c>
      <c r="B2289">
        <v>18</v>
      </c>
      <c r="C2289" s="24">
        <v>45372</v>
      </c>
      <c r="D2289" s="238" t="s">
        <v>91</v>
      </c>
      <c r="E2289" s="238" t="s">
        <v>5</v>
      </c>
      <c r="F2289">
        <v>6</v>
      </c>
      <c r="G2289">
        <v>14</v>
      </c>
      <c r="H2289">
        <v>222</v>
      </c>
      <c r="I2289" s="238" t="s">
        <v>42</v>
      </c>
      <c r="J2289">
        <v>36.659999999999997</v>
      </c>
      <c r="K2289" s="238" t="s">
        <v>38</v>
      </c>
      <c r="L2289">
        <v>5092532</v>
      </c>
      <c r="M2289">
        <v>0</v>
      </c>
      <c r="N2289">
        <v>5092532</v>
      </c>
      <c r="O2289">
        <v>138912.49318057831</v>
      </c>
      <c r="P2289">
        <v>806520</v>
      </c>
      <c r="Q2289">
        <v>4286012</v>
      </c>
      <c r="R2289">
        <v>116912.4931805783</v>
      </c>
      <c r="S2289" s="238" t="s">
        <v>137</v>
      </c>
      <c r="T2289" s="238" t="s">
        <v>4185</v>
      </c>
      <c r="U2289">
        <v>88888</v>
      </c>
      <c r="V2289" t="s">
        <v>4091</v>
      </c>
      <c r="W2289" s="24">
        <v>45362</v>
      </c>
      <c r="X2289" s="238" t="s">
        <v>7079</v>
      </c>
      <c r="Y2289" s="238" t="s">
        <v>39</v>
      </c>
      <c r="Z2289" s="238" t="s">
        <v>1340</v>
      </c>
      <c r="AA2289" t="s">
        <v>3113</v>
      </c>
      <c r="AB2289" s="238" t="s">
        <v>3246</v>
      </c>
      <c r="AC2289" t="s">
        <v>3079</v>
      </c>
      <c r="AD2289" s="24"/>
      <c r="AE2289" s="238" t="s">
        <v>7080</v>
      </c>
      <c r="AF2289">
        <v>79277875123</v>
      </c>
      <c r="AG2289" s="238" t="s">
        <v>7081</v>
      </c>
      <c r="AH2289" s="238" t="s">
        <v>4072</v>
      </c>
      <c r="AI2289" s="238" t="s">
        <v>6407</v>
      </c>
      <c r="AJ2289" s="238" t="s">
        <v>126</v>
      </c>
      <c r="AK2289" s="238" t="s">
        <v>3345</v>
      </c>
      <c r="AL2289" t="s">
        <v>57</v>
      </c>
      <c r="AM2289" t="s">
        <v>1167</v>
      </c>
    </row>
    <row r="2290" spans="1:39" x14ac:dyDescent="0.25">
      <c r="A2290">
        <v>2287</v>
      </c>
      <c r="B2290">
        <v>19</v>
      </c>
      <c r="C2290" s="24">
        <v>45372</v>
      </c>
      <c r="D2290" s="238" t="s">
        <v>3388</v>
      </c>
      <c r="E2290" s="238" t="s">
        <v>15</v>
      </c>
      <c r="F2290">
        <v>2</v>
      </c>
      <c r="G2290">
        <v>15</v>
      </c>
      <c r="H2290">
        <v>502</v>
      </c>
      <c r="I2290" s="238" t="s">
        <v>42</v>
      </c>
      <c r="J2290">
        <v>43.21</v>
      </c>
      <c r="K2290" s="238" t="s">
        <v>36</v>
      </c>
      <c r="L2290">
        <v>4521612</v>
      </c>
      <c r="M2290">
        <v>0</v>
      </c>
      <c r="N2290">
        <v>4521612</v>
      </c>
      <c r="O2290">
        <v>104642.72159222401</v>
      </c>
      <c r="P2290">
        <v>0</v>
      </c>
      <c r="Q2290">
        <v>4521612</v>
      </c>
      <c r="R2290">
        <v>104642.72159222401</v>
      </c>
      <c r="S2290" s="238" t="s">
        <v>137</v>
      </c>
      <c r="T2290" s="238" t="s">
        <v>4185</v>
      </c>
      <c r="U2290">
        <v>88888</v>
      </c>
      <c r="V2290" t="s">
        <v>4092</v>
      </c>
      <c r="W2290" s="24">
        <v>45363</v>
      </c>
      <c r="X2290" s="238" t="s">
        <v>7082</v>
      </c>
      <c r="Y2290" s="238" t="s">
        <v>39</v>
      </c>
      <c r="Z2290" s="238" t="s">
        <v>1340</v>
      </c>
      <c r="AA2290" t="s">
        <v>3113</v>
      </c>
      <c r="AB2290" s="238" t="s">
        <v>3246</v>
      </c>
      <c r="AC2290" t="s">
        <v>3079</v>
      </c>
      <c r="AD2290" s="24"/>
      <c r="AE2290" s="238" t="s">
        <v>7083</v>
      </c>
      <c r="AF2290">
        <v>79033340500</v>
      </c>
      <c r="AG2290" s="238" t="s">
        <v>7084</v>
      </c>
      <c r="AH2290" s="238" t="s">
        <v>1197</v>
      </c>
      <c r="AI2290" s="238" t="s">
        <v>135</v>
      </c>
      <c r="AJ2290" s="238" t="s">
        <v>4177</v>
      </c>
      <c r="AK2290" s="238" t="s">
        <v>3345</v>
      </c>
      <c r="AL2290" t="s">
        <v>8715</v>
      </c>
      <c r="AM2290" t="s">
        <v>1167</v>
      </c>
    </row>
    <row r="2291" spans="1:39" x14ac:dyDescent="0.25">
      <c r="A2291">
        <v>2288</v>
      </c>
      <c r="B2291">
        <v>20</v>
      </c>
      <c r="C2291" s="24">
        <v>45372</v>
      </c>
      <c r="D2291" s="238" t="s">
        <v>3388</v>
      </c>
      <c r="E2291" s="238" t="s">
        <v>16</v>
      </c>
      <c r="F2291">
        <v>5</v>
      </c>
      <c r="G2291">
        <v>14</v>
      </c>
      <c r="H2291">
        <v>317</v>
      </c>
      <c r="I2291" s="238" t="s">
        <v>42</v>
      </c>
      <c r="J2291">
        <v>37.81</v>
      </c>
      <c r="K2291" s="238" t="s">
        <v>36</v>
      </c>
      <c r="L2291">
        <v>4298212</v>
      </c>
      <c r="M2291">
        <v>0</v>
      </c>
      <c r="N2291">
        <v>4298212</v>
      </c>
      <c r="O2291">
        <v>113679.23829674689</v>
      </c>
      <c r="P2291">
        <v>0</v>
      </c>
      <c r="Q2291">
        <v>4298212</v>
      </c>
      <c r="R2291">
        <v>113679.23829674689</v>
      </c>
      <c r="S2291" s="238" t="s">
        <v>137</v>
      </c>
      <c r="T2291" s="238" t="s">
        <v>4185</v>
      </c>
      <c r="U2291">
        <v>88888</v>
      </c>
      <c r="V2291" t="s">
        <v>4091</v>
      </c>
      <c r="W2291" s="24">
        <v>45369</v>
      </c>
      <c r="X2291" s="238" t="s">
        <v>7085</v>
      </c>
      <c r="Y2291" s="238" t="s">
        <v>39</v>
      </c>
      <c r="Z2291" s="238" t="s">
        <v>1340</v>
      </c>
      <c r="AA2291" t="s">
        <v>3113</v>
      </c>
      <c r="AB2291" s="238" t="s">
        <v>3246</v>
      </c>
      <c r="AC2291" t="s">
        <v>3079</v>
      </c>
      <c r="AD2291" s="24"/>
      <c r="AE2291" s="238" t="s">
        <v>7086</v>
      </c>
      <c r="AF2291">
        <v>79370717973</v>
      </c>
      <c r="AG2291" s="238" t="s">
        <v>7087</v>
      </c>
      <c r="AH2291" s="238" t="s">
        <v>1212</v>
      </c>
      <c r="AI2291" s="238" t="s">
        <v>3102</v>
      </c>
      <c r="AJ2291" s="238" t="s">
        <v>5215</v>
      </c>
      <c r="AK2291" s="238" t="s">
        <v>3345</v>
      </c>
      <c r="AL2291" t="s">
        <v>8715</v>
      </c>
      <c r="AM2291" t="s">
        <v>4965</v>
      </c>
    </row>
    <row r="2292" spans="1:39" x14ac:dyDescent="0.25">
      <c r="A2292">
        <v>2289</v>
      </c>
      <c r="B2292">
        <v>21</v>
      </c>
      <c r="C2292" s="24">
        <v>45372</v>
      </c>
      <c r="D2292" s="238" t="s">
        <v>3388</v>
      </c>
      <c r="E2292" s="238" t="s">
        <v>5</v>
      </c>
      <c r="F2292">
        <v>3</v>
      </c>
      <c r="G2292">
        <v>9</v>
      </c>
      <c r="H2292">
        <v>169</v>
      </c>
      <c r="I2292" s="238" t="s">
        <v>43</v>
      </c>
      <c r="J2292">
        <v>57.6</v>
      </c>
      <c r="K2292" s="238" t="s">
        <v>6871</v>
      </c>
      <c r="L2292">
        <v>5450498</v>
      </c>
      <c r="M2292">
        <v>0</v>
      </c>
      <c r="N2292">
        <v>5450498</v>
      </c>
      <c r="O2292">
        <v>94626.701388888891</v>
      </c>
      <c r="P2292">
        <v>403200</v>
      </c>
      <c r="Q2292">
        <v>5047298</v>
      </c>
      <c r="R2292">
        <v>87626.701388888891</v>
      </c>
      <c r="S2292" s="238" t="s">
        <v>124</v>
      </c>
      <c r="T2292" s="238" t="s">
        <v>978</v>
      </c>
      <c r="U2292">
        <v>156102</v>
      </c>
      <c r="V2292" t="s">
        <v>1167</v>
      </c>
      <c r="W2292" s="24">
        <v>45370</v>
      </c>
      <c r="X2292" s="238" t="s">
        <v>7088</v>
      </c>
      <c r="Y2292" s="238" t="s">
        <v>39</v>
      </c>
      <c r="Z2292" s="238" t="s">
        <v>1340</v>
      </c>
      <c r="AA2292" t="s">
        <v>3113</v>
      </c>
      <c r="AB2292" s="238" t="s">
        <v>3246</v>
      </c>
      <c r="AC2292" t="s">
        <v>1167</v>
      </c>
      <c r="AD2292" s="24"/>
      <c r="AE2292" s="238" t="s">
        <v>7089</v>
      </c>
      <c r="AF2292">
        <v>79874496211</v>
      </c>
      <c r="AG2292" s="238" t="s">
        <v>7090</v>
      </c>
      <c r="AH2292" s="238" t="s">
        <v>1171</v>
      </c>
      <c r="AI2292" s="238" t="s">
        <v>135</v>
      </c>
      <c r="AJ2292" s="238" t="s">
        <v>126</v>
      </c>
      <c r="AK2292" s="238" t="s">
        <v>1167</v>
      </c>
      <c r="AL2292" t="s">
        <v>8715</v>
      </c>
      <c r="AM2292" t="s">
        <v>1167</v>
      </c>
    </row>
    <row r="2293" spans="1:39" x14ac:dyDescent="0.25">
      <c r="A2293">
        <v>2290</v>
      </c>
      <c r="B2293">
        <v>22</v>
      </c>
      <c r="C2293" s="24">
        <v>45372</v>
      </c>
      <c r="D2293" s="238" t="s">
        <v>3388</v>
      </c>
      <c r="E2293" s="238" t="s">
        <v>5</v>
      </c>
      <c r="F2293">
        <v>4</v>
      </c>
      <c r="G2293">
        <v>3</v>
      </c>
      <c r="H2293">
        <v>128</v>
      </c>
      <c r="I2293" s="238" t="s">
        <v>43</v>
      </c>
      <c r="J2293">
        <v>58.31</v>
      </c>
      <c r="K2293" s="238" t="s">
        <v>6871</v>
      </c>
      <c r="L2293">
        <v>5823882</v>
      </c>
      <c r="M2293">
        <v>0</v>
      </c>
      <c r="N2293">
        <v>5823882</v>
      </c>
      <c r="O2293">
        <v>99877.928314182805</v>
      </c>
      <c r="P2293">
        <v>408170</v>
      </c>
      <c r="Q2293">
        <v>5415712</v>
      </c>
      <c r="R2293">
        <v>92877.928314182805</v>
      </c>
      <c r="S2293" s="238" t="s">
        <v>137</v>
      </c>
      <c r="T2293" s="238" t="s">
        <v>4185</v>
      </c>
      <c r="U2293">
        <v>88888</v>
      </c>
      <c r="V2293" t="s">
        <v>4091</v>
      </c>
      <c r="W2293" s="24">
        <v>45371</v>
      </c>
      <c r="X2293" s="238" t="s">
        <v>7091</v>
      </c>
      <c r="Y2293" s="238" t="s">
        <v>39</v>
      </c>
      <c r="Z2293" s="238" t="s">
        <v>1340</v>
      </c>
      <c r="AA2293" t="s">
        <v>3113</v>
      </c>
      <c r="AB2293" s="238" t="s">
        <v>3246</v>
      </c>
      <c r="AC2293" t="s">
        <v>3079</v>
      </c>
      <c r="AD2293" s="24"/>
      <c r="AE2293" s="238" t="s">
        <v>7092</v>
      </c>
      <c r="AF2293">
        <v>79068586069</v>
      </c>
      <c r="AG2293" s="238" t="s">
        <v>7093</v>
      </c>
      <c r="AH2293" s="238" t="s">
        <v>1171</v>
      </c>
      <c r="AI2293" s="238" t="s">
        <v>3082</v>
      </c>
      <c r="AJ2293" s="238" t="s">
        <v>5215</v>
      </c>
      <c r="AK2293" s="238" t="s">
        <v>141</v>
      </c>
      <c r="AL2293" t="s">
        <v>8715</v>
      </c>
      <c r="AM2293" t="s">
        <v>1167</v>
      </c>
    </row>
    <row r="2294" spans="1:39" x14ac:dyDescent="0.25">
      <c r="A2294">
        <v>2291</v>
      </c>
      <c r="B2294">
        <v>23</v>
      </c>
      <c r="C2294" s="24">
        <v>45373</v>
      </c>
      <c r="D2294" s="238" t="s">
        <v>3388</v>
      </c>
      <c r="E2294" s="238" t="s">
        <v>16</v>
      </c>
      <c r="F2294">
        <v>5</v>
      </c>
      <c r="G2294">
        <v>21</v>
      </c>
      <c r="H2294">
        <v>366</v>
      </c>
      <c r="I2294" s="238" t="s">
        <v>42</v>
      </c>
      <c r="J2294">
        <v>37.81</v>
      </c>
      <c r="K2294" s="238" t="s">
        <v>36</v>
      </c>
      <c r="L2294">
        <v>4440612</v>
      </c>
      <c r="M2294">
        <v>0</v>
      </c>
      <c r="N2294">
        <v>4440612</v>
      </c>
      <c r="O2294">
        <v>117445.43771489023</v>
      </c>
      <c r="P2294">
        <v>0</v>
      </c>
      <c r="Q2294">
        <v>4440612</v>
      </c>
      <c r="R2294">
        <v>117445.43771489023</v>
      </c>
      <c r="S2294" s="238" t="s">
        <v>137</v>
      </c>
      <c r="T2294" s="238" t="s">
        <v>4185</v>
      </c>
      <c r="U2294">
        <v>88888</v>
      </c>
      <c r="V2294" t="s">
        <v>4092</v>
      </c>
      <c r="W2294" s="24">
        <v>45358</v>
      </c>
      <c r="X2294" s="238" t="s">
        <v>7094</v>
      </c>
      <c r="Y2294" s="238" t="s">
        <v>39</v>
      </c>
      <c r="Z2294" s="238" t="s">
        <v>1340</v>
      </c>
      <c r="AA2294" t="s">
        <v>3113</v>
      </c>
      <c r="AB2294" s="238" t="s">
        <v>3246</v>
      </c>
      <c r="AC2294" t="s">
        <v>3079</v>
      </c>
      <c r="AD2294" s="24"/>
      <c r="AE2294" s="238" t="s">
        <v>7095</v>
      </c>
      <c r="AF2294">
        <v>79277244284</v>
      </c>
      <c r="AG2294" s="238" t="s">
        <v>7096</v>
      </c>
      <c r="AH2294" s="238" t="s">
        <v>1212</v>
      </c>
      <c r="AI2294" s="238" t="s">
        <v>3102</v>
      </c>
      <c r="AJ2294" s="238" t="s">
        <v>5215</v>
      </c>
      <c r="AK2294" s="238" t="s">
        <v>141</v>
      </c>
      <c r="AL2294" t="s">
        <v>8715</v>
      </c>
      <c r="AM2294" t="s">
        <v>1167</v>
      </c>
    </row>
    <row r="2295" spans="1:39" hidden="1" x14ac:dyDescent="0.25">
      <c r="A2295">
        <v>2292</v>
      </c>
      <c r="B2295">
        <v>24</v>
      </c>
      <c r="C2295" s="24">
        <v>45373</v>
      </c>
      <c r="D2295" s="238" t="s">
        <v>91</v>
      </c>
      <c r="E2295" s="238" t="s">
        <v>5</v>
      </c>
      <c r="F2295">
        <v>5</v>
      </c>
      <c r="G2295">
        <v>10</v>
      </c>
      <c r="H2295">
        <v>189</v>
      </c>
      <c r="I2295" s="238" t="s">
        <v>42</v>
      </c>
      <c r="J2295">
        <v>36.700000000000003</v>
      </c>
      <c r="K2295" s="238" t="s">
        <v>38</v>
      </c>
      <c r="L2295">
        <v>5140512</v>
      </c>
      <c r="M2295">
        <v>0</v>
      </c>
      <c r="N2295">
        <v>5140512</v>
      </c>
      <c r="O2295">
        <v>140068.446866485</v>
      </c>
      <c r="P2295">
        <v>807400</v>
      </c>
      <c r="Q2295">
        <v>4333112</v>
      </c>
      <c r="R2295">
        <v>118068.446866485</v>
      </c>
      <c r="S2295" s="238" t="s">
        <v>137</v>
      </c>
      <c r="T2295" s="238" t="s">
        <v>4185</v>
      </c>
      <c r="U2295">
        <v>88888</v>
      </c>
      <c r="V2295" t="s">
        <v>4091</v>
      </c>
      <c r="W2295" s="24">
        <v>45370</v>
      </c>
      <c r="X2295" s="238" t="s">
        <v>7097</v>
      </c>
      <c r="Y2295" s="238" t="s">
        <v>39</v>
      </c>
      <c r="Z2295" s="238" t="s">
        <v>1340</v>
      </c>
      <c r="AA2295" t="s">
        <v>3113</v>
      </c>
      <c r="AB2295" s="238" t="s">
        <v>3246</v>
      </c>
      <c r="AC2295" t="s">
        <v>3079</v>
      </c>
      <c r="AD2295" s="24"/>
      <c r="AE2295" s="238" t="s">
        <v>7098</v>
      </c>
      <c r="AF2295">
        <v>79677665576</v>
      </c>
      <c r="AG2295" s="238" t="s">
        <v>7099</v>
      </c>
      <c r="AH2295" s="238" t="s">
        <v>1212</v>
      </c>
      <c r="AI2295" s="238" t="s">
        <v>3097</v>
      </c>
      <c r="AJ2295" s="238" t="s">
        <v>5215</v>
      </c>
      <c r="AK2295" s="238" t="s">
        <v>141</v>
      </c>
      <c r="AL2295" t="s">
        <v>8715</v>
      </c>
      <c r="AM2295" t="s">
        <v>1167</v>
      </c>
    </row>
    <row r="2296" spans="1:39" hidden="1" x14ac:dyDescent="0.25">
      <c r="A2296">
        <v>2293</v>
      </c>
      <c r="B2296">
        <v>25</v>
      </c>
      <c r="C2296" s="24">
        <v>45376</v>
      </c>
      <c r="D2296" s="238" t="s">
        <v>91</v>
      </c>
      <c r="E2296" s="238" t="s">
        <v>15</v>
      </c>
      <c r="F2296">
        <v>9</v>
      </c>
      <c r="G2296">
        <v>5</v>
      </c>
      <c r="H2296">
        <v>437</v>
      </c>
      <c r="I2296" s="238" t="s">
        <v>42</v>
      </c>
      <c r="J2296">
        <v>44.37</v>
      </c>
      <c r="K2296" s="238" t="s">
        <v>37</v>
      </c>
      <c r="L2296">
        <v>4393275</v>
      </c>
      <c r="M2296">
        <v>15000</v>
      </c>
      <c r="N2296">
        <v>4408275</v>
      </c>
      <c r="O2296">
        <v>99352.603110209602</v>
      </c>
      <c r="P2296">
        <v>332775</v>
      </c>
      <c r="Q2296">
        <v>4075500</v>
      </c>
      <c r="R2296">
        <v>91852.603110209602</v>
      </c>
      <c r="S2296" s="238" t="s">
        <v>137</v>
      </c>
      <c r="T2296" s="238" t="s">
        <v>978</v>
      </c>
      <c r="U2296">
        <v>214500</v>
      </c>
      <c r="V2296" t="s">
        <v>3661</v>
      </c>
      <c r="W2296" s="24">
        <v>45288</v>
      </c>
      <c r="X2296" s="238" t="s">
        <v>7100</v>
      </c>
      <c r="Y2296" s="238" t="s">
        <v>39</v>
      </c>
      <c r="Z2296" s="238" t="s">
        <v>1340</v>
      </c>
      <c r="AA2296" t="s">
        <v>3474</v>
      </c>
      <c r="AB2296" s="238" t="s">
        <v>3246</v>
      </c>
      <c r="AC2296" t="s">
        <v>3076</v>
      </c>
      <c r="AD2296" s="24"/>
      <c r="AE2296" s="238" t="s">
        <v>7101</v>
      </c>
      <c r="AF2296">
        <v>79021834084</v>
      </c>
      <c r="AG2296" s="238" t="s">
        <v>7102</v>
      </c>
      <c r="AH2296" s="238" t="s">
        <v>1171</v>
      </c>
      <c r="AI2296" s="238" t="s">
        <v>135</v>
      </c>
      <c r="AJ2296" s="238" t="s">
        <v>126</v>
      </c>
      <c r="AK2296" s="238" t="s">
        <v>141</v>
      </c>
      <c r="AL2296" t="s">
        <v>8715</v>
      </c>
      <c r="AM2296" t="s">
        <v>1167</v>
      </c>
    </row>
    <row r="2297" spans="1:39" x14ac:dyDescent="0.25">
      <c r="A2297">
        <v>2294</v>
      </c>
      <c r="B2297">
        <v>26</v>
      </c>
      <c r="C2297" s="24">
        <v>45377</v>
      </c>
      <c r="D2297" s="238" t="s">
        <v>3388</v>
      </c>
      <c r="E2297" s="238" t="s">
        <v>5</v>
      </c>
      <c r="F2297">
        <v>6</v>
      </c>
      <c r="G2297">
        <v>15</v>
      </c>
      <c r="H2297">
        <v>214</v>
      </c>
      <c r="I2297" s="238" t="s">
        <v>44</v>
      </c>
      <c r="J2297">
        <v>84.99</v>
      </c>
      <c r="K2297" s="238" t="s">
        <v>38</v>
      </c>
      <c r="L2297">
        <v>8712300</v>
      </c>
      <c r="M2297">
        <v>15000</v>
      </c>
      <c r="N2297">
        <v>8727300</v>
      </c>
      <c r="O2297">
        <v>102686.19837627957</v>
      </c>
      <c r="P2297">
        <v>1699800</v>
      </c>
      <c r="Q2297">
        <v>7027500</v>
      </c>
      <c r="R2297">
        <v>82686.198376279572</v>
      </c>
      <c r="S2297" s="238" t="s">
        <v>137</v>
      </c>
      <c r="T2297" s="238" t="s">
        <v>1167</v>
      </c>
      <c r="V2297" t="s">
        <v>4093</v>
      </c>
      <c r="W2297" s="24">
        <v>45335</v>
      </c>
      <c r="X2297" s="238" t="s">
        <v>7106</v>
      </c>
      <c r="Y2297" s="238" t="s">
        <v>39</v>
      </c>
      <c r="Z2297" s="238" t="s">
        <v>1340</v>
      </c>
      <c r="AA2297" t="s">
        <v>3474</v>
      </c>
      <c r="AB2297" s="238" t="s">
        <v>3246</v>
      </c>
      <c r="AC2297" t="s">
        <v>3077</v>
      </c>
      <c r="AD2297" s="24"/>
      <c r="AE2297" s="238" t="s">
        <v>7107</v>
      </c>
      <c r="AF2297">
        <v>79874341505</v>
      </c>
      <c r="AG2297" s="238" t="s">
        <v>7108</v>
      </c>
      <c r="AH2297" s="238" t="s">
        <v>1212</v>
      </c>
      <c r="AI2297" s="238" t="s">
        <v>3102</v>
      </c>
      <c r="AJ2297" s="238" t="s">
        <v>4177</v>
      </c>
      <c r="AK2297" s="238" t="s">
        <v>3345</v>
      </c>
      <c r="AL2297" t="s">
        <v>8715</v>
      </c>
      <c r="AM2297" t="s">
        <v>1167</v>
      </c>
    </row>
    <row r="2298" spans="1:39" x14ac:dyDescent="0.25">
      <c r="A2298">
        <v>2295</v>
      </c>
      <c r="B2298">
        <v>27</v>
      </c>
      <c r="C2298" s="24">
        <v>45377</v>
      </c>
      <c r="D2298" s="238" t="s">
        <v>3388</v>
      </c>
      <c r="E2298" s="238" t="s">
        <v>6</v>
      </c>
      <c r="F2298">
        <v>4</v>
      </c>
      <c r="G2298">
        <v>7</v>
      </c>
      <c r="H2298">
        <v>45</v>
      </c>
      <c r="I2298" s="238" t="s">
        <v>43</v>
      </c>
      <c r="J2298">
        <v>59.09</v>
      </c>
      <c r="K2298" s="238" t="s">
        <v>6871</v>
      </c>
      <c r="L2298">
        <v>5798585</v>
      </c>
      <c r="M2298">
        <v>0</v>
      </c>
      <c r="N2298">
        <v>5798585</v>
      </c>
      <c r="O2298">
        <v>98131.409713995599</v>
      </c>
      <c r="P2298">
        <v>413630</v>
      </c>
      <c r="Q2298">
        <v>5384955</v>
      </c>
      <c r="R2298">
        <v>91131.409713995599</v>
      </c>
      <c r="S2298" s="238" t="s">
        <v>121</v>
      </c>
      <c r="T2298" s="238" t="s">
        <v>6593</v>
      </c>
      <c r="U2298">
        <v>166545</v>
      </c>
      <c r="V2298" t="s">
        <v>1167</v>
      </c>
      <c r="W2298" s="24">
        <v>45365</v>
      </c>
      <c r="X2298" s="238" t="s">
        <v>7109</v>
      </c>
      <c r="Y2298" s="238" t="s">
        <v>39</v>
      </c>
      <c r="Z2298" s="238" t="s">
        <v>1340</v>
      </c>
      <c r="AA2298" t="s">
        <v>3113</v>
      </c>
      <c r="AB2298" s="238" t="s">
        <v>3246</v>
      </c>
      <c r="AC2298" t="s">
        <v>1167</v>
      </c>
      <c r="AD2298" s="24"/>
      <c r="AE2298" s="238" t="s">
        <v>7110</v>
      </c>
      <c r="AF2298">
        <v>79521094044</v>
      </c>
      <c r="AG2298" s="238" t="s">
        <v>7111</v>
      </c>
      <c r="AH2298" s="238" t="s">
        <v>1171</v>
      </c>
      <c r="AI2298" s="238" t="s">
        <v>135</v>
      </c>
      <c r="AJ2298" s="238" t="s">
        <v>126</v>
      </c>
      <c r="AK2298" s="238" t="s">
        <v>1167</v>
      </c>
      <c r="AL2298" t="s">
        <v>8715</v>
      </c>
      <c r="AM2298" t="s">
        <v>1167</v>
      </c>
    </row>
    <row r="2299" spans="1:39" x14ac:dyDescent="0.25">
      <c r="A2299">
        <v>2296</v>
      </c>
      <c r="B2299">
        <v>28</v>
      </c>
      <c r="C2299" s="24">
        <v>45377</v>
      </c>
      <c r="D2299" s="238" t="s">
        <v>3388</v>
      </c>
      <c r="E2299" s="238" t="s">
        <v>15</v>
      </c>
      <c r="F2299">
        <v>8</v>
      </c>
      <c r="G2299">
        <v>20</v>
      </c>
      <c r="H2299">
        <v>548</v>
      </c>
      <c r="I2299" s="238" t="s">
        <v>42</v>
      </c>
      <c r="J2299">
        <v>39.69</v>
      </c>
      <c r="K2299" s="238" t="s">
        <v>36</v>
      </c>
      <c r="L2299">
        <v>4689212</v>
      </c>
      <c r="M2299">
        <v>0</v>
      </c>
      <c r="N2299">
        <v>4689212</v>
      </c>
      <c r="O2299">
        <v>118145.93096497859</v>
      </c>
      <c r="P2299">
        <v>0</v>
      </c>
      <c r="Q2299">
        <v>4689212</v>
      </c>
      <c r="R2299">
        <v>118145.93096497859</v>
      </c>
      <c r="S2299" s="238" t="s">
        <v>137</v>
      </c>
      <c r="T2299" s="238" t="s">
        <v>4185</v>
      </c>
      <c r="U2299">
        <v>88888</v>
      </c>
      <c r="V2299" t="s">
        <v>4091</v>
      </c>
      <c r="W2299" s="24">
        <v>45370</v>
      </c>
      <c r="X2299" s="238" t="s">
        <v>7112</v>
      </c>
      <c r="Y2299" s="238" t="s">
        <v>39</v>
      </c>
      <c r="Z2299" s="238" t="s">
        <v>1340</v>
      </c>
      <c r="AA2299" t="s">
        <v>3113</v>
      </c>
      <c r="AB2299" s="238" t="s">
        <v>3246</v>
      </c>
      <c r="AC2299" t="s">
        <v>3079</v>
      </c>
      <c r="AD2299" s="24"/>
      <c r="AE2299" s="238" t="s">
        <v>7113</v>
      </c>
      <c r="AF2299">
        <v>79276080036</v>
      </c>
      <c r="AG2299" s="238" t="s">
        <v>7114</v>
      </c>
      <c r="AH2299" s="238" t="s">
        <v>4072</v>
      </c>
      <c r="AI2299" s="238" t="s">
        <v>6406</v>
      </c>
      <c r="AJ2299" s="238" t="s">
        <v>126</v>
      </c>
      <c r="AK2299" s="238" t="s">
        <v>141</v>
      </c>
      <c r="AL2299" t="s">
        <v>57</v>
      </c>
      <c r="AM2299" t="s">
        <v>1167</v>
      </c>
    </row>
    <row r="2300" spans="1:39" x14ac:dyDescent="0.25">
      <c r="A2300">
        <v>2297</v>
      </c>
      <c r="B2300">
        <v>29</v>
      </c>
      <c r="C2300" s="24">
        <v>45377</v>
      </c>
      <c r="D2300" s="238" t="s">
        <v>3388</v>
      </c>
      <c r="E2300" s="238" t="s">
        <v>6</v>
      </c>
      <c r="F2300">
        <v>1</v>
      </c>
      <c r="G2300">
        <v>11</v>
      </c>
      <c r="H2300">
        <v>70</v>
      </c>
      <c r="I2300" s="238" t="s">
        <v>42</v>
      </c>
      <c r="J2300">
        <v>34.39</v>
      </c>
      <c r="K2300" s="238" t="s">
        <v>38</v>
      </c>
      <c r="L2300">
        <v>4622312</v>
      </c>
      <c r="M2300">
        <v>0</v>
      </c>
      <c r="N2300">
        <v>4622312</v>
      </c>
      <c r="O2300">
        <v>134408.60715324222</v>
      </c>
      <c r="P2300">
        <v>687800</v>
      </c>
      <c r="Q2300">
        <v>3934512</v>
      </c>
      <c r="R2300">
        <v>114408.60715324222</v>
      </c>
      <c r="S2300" s="238" t="s">
        <v>137</v>
      </c>
      <c r="T2300" s="238" t="s">
        <v>4185</v>
      </c>
      <c r="U2300">
        <v>88888</v>
      </c>
      <c r="V2300" t="s">
        <v>4092</v>
      </c>
      <c r="W2300" s="24">
        <v>45372</v>
      </c>
      <c r="X2300" s="238" t="s">
        <v>7115</v>
      </c>
      <c r="Y2300" s="238" t="s">
        <v>39</v>
      </c>
      <c r="Z2300" s="238" t="s">
        <v>1340</v>
      </c>
      <c r="AA2300" t="s">
        <v>3113</v>
      </c>
      <c r="AB2300" s="238" t="s">
        <v>3246</v>
      </c>
      <c r="AC2300" t="s">
        <v>3079</v>
      </c>
      <c r="AD2300" s="24"/>
      <c r="AE2300" s="238" t="s">
        <v>7116</v>
      </c>
      <c r="AF2300">
        <v>79279071128</v>
      </c>
      <c r="AG2300" s="238" t="s">
        <v>7117</v>
      </c>
      <c r="AH2300" s="238" t="s">
        <v>1171</v>
      </c>
      <c r="AI2300" s="238" t="s">
        <v>3074</v>
      </c>
      <c r="AJ2300" s="238" t="s">
        <v>5215</v>
      </c>
      <c r="AK2300" s="238" t="s">
        <v>3345</v>
      </c>
      <c r="AL2300" t="s">
        <v>8715</v>
      </c>
      <c r="AM2300" t="s">
        <v>1167</v>
      </c>
    </row>
    <row r="2301" spans="1:39" hidden="1" x14ac:dyDescent="0.25">
      <c r="A2301">
        <v>2298</v>
      </c>
      <c r="B2301">
        <v>30</v>
      </c>
      <c r="C2301" s="24">
        <v>45379</v>
      </c>
      <c r="D2301" s="238" t="s">
        <v>91</v>
      </c>
      <c r="E2301" s="238" t="s">
        <v>6</v>
      </c>
      <c r="F2301">
        <v>2</v>
      </c>
      <c r="G2301">
        <v>4</v>
      </c>
      <c r="H2301">
        <v>18</v>
      </c>
      <c r="I2301" s="238" t="s">
        <v>43</v>
      </c>
      <c r="J2301">
        <v>61.76</v>
      </c>
      <c r="K2301" s="238" t="s">
        <v>38</v>
      </c>
      <c r="L2301">
        <v>7311707</v>
      </c>
      <c r="M2301">
        <v>0</v>
      </c>
      <c r="N2301">
        <v>7311707</v>
      </c>
      <c r="O2301">
        <v>118389.03821243523</v>
      </c>
      <c r="P2301">
        <v>1358720</v>
      </c>
      <c r="Q2301">
        <v>5952987</v>
      </c>
      <c r="R2301">
        <v>96389.038212435233</v>
      </c>
      <c r="S2301" s="238" t="s">
        <v>137</v>
      </c>
      <c r="T2301" s="238" t="s">
        <v>3538</v>
      </c>
      <c r="U2301">
        <v>184113</v>
      </c>
      <c r="V2301" t="s">
        <v>4092</v>
      </c>
      <c r="W2301" s="24">
        <v>45369</v>
      </c>
      <c r="X2301" s="238" t="s">
        <v>7118</v>
      </c>
      <c r="Y2301" s="238" t="s">
        <v>39</v>
      </c>
      <c r="Z2301" s="238" t="s">
        <v>1340</v>
      </c>
      <c r="AA2301" t="s">
        <v>3113</v>
      </c>
      <c r="AB2301" s="238" t="s">
        <v>3246</v>
      </c>
      <c r="AC2301" t="s">
        <v>3079</v>
      </c>
      <c r="AD2301" s="24"/>
      <c r="AE2301" s="238" t="s">
        <v>7119</v>
      </c>
      <c r="AF2301">
        <v>79871522254</v>
      </c>
      <c r="AG2301" s="238" t="s">
        <v>7120</v>
      </c>
      <c r="AH2301" s="238" t="s">
        <v>1171</v>
      </c>
      <c r="AI2301" s="238" t="s">
        <v>135</v>
      </c>
      <c r="AJ2301" s="238" t="s">
        <v>126</v>
      </c>
      <c r="AK2301" s="238" t="s">
        <v>3345</v>
      </c>
      <c r="AL2301" t="s">
        <v>8715</v>
      </c>
      <c r="AM2301" t="s">
        <v>1167</v>
      </c>
    </row>
    <row r="2302" spans="1:39" hidden="1" x14ac:dyDescent="0.25">
      <c r="A2302">
        <v>2299</v>
      </c>
      <c r="B2302">
        <v>31</v>
      </c>
      <c r="C2302" s="24">
        <v>45379</v>
      </c>
      <c r="D2302" s="238" t="s">
        <v>91</v>
      </c>
      <c r="E2302" s="238" t="s">
        <v>16</v>
      </c>
      <c r="F2302">
        <v>1</v>
      </c>
      <c r="G2302">
        <v>18</v>
      </c>
      <c r="H2302">
        <v>353</v>
      </c>
      <c r="I2302" s="238" t="s">
        <v>4052</v>
      </c>
      <c r="J2302">
        <v>29.35</v>
      </c>
      <c r="K2302" s="238" t="s">
        <v>36</v>
      </c>
      <c r="L2302">
        <v>3373312</v>
      </c>
      <c r="M2302">
        <v>0</v>
      </c>
      <c r="N2302">
        <v>3373312</v>
      </c>
      <c r="O2302">
        <v>114933.96933560476</v>
      </c>
      <c r="P2302">
        <v>0</v>
      </c>
      <c r="Q2302">
        <v>3373312</v>
      </c>
      <c r="R2302">
        <v>114933.96933560476</v>
      </c>
      <c r="S2302" s="238" t="s">
        <v>137</v>
      </c>
      <c r="T2302" s="238" t="s">
        <v>4185</v>
      </c>
      <c r="U2302">
        <v>88888</v>
      </c>
      <c r="V2302" t="s">
        <v>4092</v>
      </c>
      <c r="W2302" s="24">
        <v>45377</v>
      </c>
      <c r="X2302" s="238" t="s">
        <v>7121</v>
      </c>
      <c r="Y2302" s="238" t="s">
        <v>39</v>
      </c>
      <c r="Z2302" s="238" t="s">
        <v>1340</v>
      </c>
      <c r="AA2302" t="s">
        <v>3113</v>
      </c>
      <c r="AB2302" s="238" t="s">
        <v>3246</v>
      </c>
      <c r="AC2302" t="s">
        <v>3079</v>
      </c>
      <c r="AD2302" s="24"/>
      <c r="AE2302" s="238" t="s">
        <v>7122</v>
      </c>
      <c r="AF2302">
        <v>79276856054</v>
      </c>
      <c r="AG2302" s="238" t="s">
        <v>7123</v>
      </c>
      <c r="AH2302" s="238" t="s">
        <v>1171</v>
      </c>
      <c r="AI2302" s="238" t="s">
        <v>135</v>
      </c>
      <c r="AJ2302" s="238" t="s">
        <v>126</v>
      </c>
      <c r="AK2302" s="238" t="s">
        <v>3345</v>
      </c>
      <c r="AL2302" t="s">
        <v>8715</v>
      </c>
      <c r="AM2302" t="s">
        <v>1167</v>
      </c>
    </row>
    <row r="2303" spans="1:39" x14ac:dyDescent="0.25">
      <c r="A2303">
        <v>2300</v>
      </c>
      <c r="B2303">
        <v>32</v>
      </c>
      <c r="C2303" s="24">
        <v>45380</v>
      </c>
      <c r="D2303" s="238" t="s">
        <v>3388</v>
      </c>
      <c r="E2303" s="238" t="s">
        <v>16</v>
      </c>
      <c r="F2303">
        <v>6</v>
      </c>
      <c r="G2303">
        <v>19</v>
      </c>
      <c r="H2303">
        <v>353</v>
      </c>
      <c r="I2303" s="238" t="s">
        <v>44</v>
      </c>
      <c r="J2303">
        <v>80.97</v>
      </c>
      <c r="K2303" s="238" t="s">
        <v>36</v>
      </c>
      <c r="L2303">
        <v>6546248.7199999997</v>
      </c>
      <c r="M2303">
        <v>45000</v>
      </c>
      <c r="N2303">
        <v>6591248.7199999997</v>
      </c>
      <c r="O2303">
        <v>81403.590465604546</v>
      </c>
      <c r="P2303">
        <v>0</v>
      </c>
      <c r="Q2303">
        <v>6591248.7199999997</v>
      </c>
      <c r="R2303">
        <v>81403.590465604546</v>
      </c>
      <c r="S2303" s="238" t="s">
        <v>121</v>
      </c>
      <c r="T2303" s="238" t="s">
        <v>978</v>
      </c>
      <c r="U2303">
        <v>346907.82750000001</v>
      </c>
      <c r="V2303" t="s">
        <v>1167</v>
      </c>
      <c r="W2303" s="24">
        <v>45219</v>
      </c>
      <c r="X2303" s="238" t="s">
        <v>7124</v>
      </c>
      <c r="Y2303" s="238" t="s">
        <v>39</v>
      </c>
      <c r="Z2303" s="238" t="s">
        <v>1340</v>
      </c>
      <c r="AA2303" t="s">
        <v>3474</v>
      </c>
      <c r="AB2303" s="238" t="s">
        <v>3246</v>
      </c>
      <c r="AC2303" t="s">
        <v>1167</v>
      </c>
      <c r="AD2303" s="24"/>
      <c r="AE2303" s="238" t="s">
        <v>7125</v>
      </c>
      <c r="AF2303">
        <v>79995827465</v>
      </c>
      <c r="AG2303" s="238" t="s">
        <v>7126</v>
      </c>
      <c r="AH2303" s="238" t="s">
        <v>1212</v>
      </c>
      <c r="AI2303" s="238" t="s">
        <v>135</v>
      </c>
      <c r="AJ2303" s="238" t="s">
        <v>4177</v>
      </c>
      <c r="AK2303" s="238" t="s">
        <v>1167</v>
      </c>
      <c r="AL2303" t="s">
        <v>8715</v>
      </c>
      <c r="AM2303" t="s">
        <v>1167</v>
      </c>
    </row>
    <row r="2304" spans="1:39" hidden="1" x14ac:dyDescent="0.25">
      <c r="A2304">
        <v>2301</v>
      </c>
      <c r="B2304">
        <v>1</v>
      </c>
      <c r="C2304" s="24">
        <v>45384</v>
      </c>
      <c r="D2304" s="238" t="s">
        <v>91</v>
      </c>
      <c r="E2304" s="238" t="s">
        <v>16</v>
      </c>
      <c r="F2304">
        <v>2</v>
      </c>
      <c r="G2304">
        <v>5</v>
      </c>
      <c r="H2304">
        <v>263</v>
      </c>
      <c r="I2304" s="238" t="s">
        <v>43</v>
      </c>
      <c r="J2304">
        <v>67.95</v>
      </c>
      <c r="K2304" s="238" t="s">
        <v>37</v>
      </c>
      <c r="L2304">
        <v>6957625</v>
      </c>
      <c r="M2304">
        <v>0</v>
      </c>
      <c r="N2304">
        <v>6957625</v>
      </c>
      <c r="O2304">
        <v>102393.30389992641</v>
      </c>
      <c r="P2304">
        <v>509625</v>
      </c>
      <c r="Q2304">
        <v>6448000</v>
      </c>
      <c r="R2304">
        <v>94893.30389992641</v>
      </c>
      <c r="S2304" s="238" t="s">
        <v>137</v>
      </c>
      <c r="T2304" s="238" t="s">
        <v>1167</v>
      </c>
      <c r="V2304" t="s">
        <v>4093</v>
      </c>
      <c r="W2304" s="24">
        <v>45383</v>
      </c>
      <c r="X2304" s="238" t="s">
        <v>7127</v>
      </c>
      <c r="Y2304" s="238" t="s">
        <v>39</v>
      </c>
      <c r="Z2304" s="238" t="s">
        <v>1340</v>
      </c>
      <c r="AA2304" t="s">
        <v>3474</v>
      </c>
      <c r="AB2304" s="238" t="s">
        <v>3246</v>
      </c>
      <c r="AC2304" t="s">
        <v>3077</v>
      </c>
      <c r="AD2304" s="24"/>
      <c r="AE2304" s="238" t="s">
        <v>7128</v>
      </c>
      <c r="AF2304">
        <v>79270125118</v>
      </c>
      <c r="AG2304" s="238" t="s">
        <v>7129</v>
      </c>
      <c r="AH2304" s="238" t="s">
        <v>1212</v>
      </c>
      <c r="AI2304" s="238" t="s">
        <v>3107</v>
      </c>
      <c r="AJ2304" s="238" t="s">
        <v>126</v>
      </c>
      <c r="AK2304" s="238" t="s">
        <v>141</v>
      </c>
      <c r="AL2304" t="s">
        <v>8715</v>
      </c>
      <c r="AM2304" t="s">
        <v>1167</v>
      </c>
    </row>
    <row r="2305" spans="1:39" hidden="1" x14ac:dyDescent="0.25">
      <c r="A2305">
        <v>2302</v>
      </c>
      <c r="B2305">
        <v>2</v>
      </c>
      <c r="C2305" s="24">
        <v>45391</v>
      </c>
      <c r="D2305" s="238" t="s">
        <v>91</v>
      </c>
      <c r="E2305" s="238" t="s">
        <v>15</v>
      </c>
      <c r="F2305">
        <v>4</v>
      </c>
      <c r="G2305">
        <v>13</v>
      </c>
      <c r="H2305">
        <v>504</v>
      </c>
      <c r="I2305" s="238" t="s">
        <v>42</v>
      </c>
      <c r="J2305">
        <v>36.5</v>
      </c>
      <c r="K2305" s="238" t="s">
        <v>36</v>
      </c>
      <c r="L2305">
        <v>4255400</v>
      </c>
      <c r="M2305">
        <v>15000</v>
      </c>
      <c r="N2305">
        <v>4270400</v>
      </c>
      <c r="O2305">
        <v>116997.2602739726</v>
      </c>
      <c r="P2305">
        <v>0</v>
      </c>
      <c r="Q2305">
        <v>4270400</v>
      </c>
      <c r="R2305">
        <v>116997.2602739726</v>
      </c>
      <c r="S2305" s="238" t="s">
        <v>137</v>
      </c>
      <c r="T2305" s="238" t="s">
        <v>1167</v>
      </c>
      <c r="V2305" t="s">
        <v>4091</v>
      </c>
      <c r="W2305" s="24">
        <v>45373</v>
      </c>
      <c r="X2305" s="238" t="s">
        <v>7139</v>
      </c>
      <c r="Y2305" s="238" t="s">
        <v>39</v>
      </c>
      <c r="Z2305" s="238" t="s">
        <v>1168</v>
      </c>
      <c r="AA2305" t="s">
        <v>3113</v>
      </c>
      <c r="AB2305" s="238" t="s">
        <v>3246</v>
      </c>
      <c r="AC2305" t="s">
        <v>3079</v>
      </c>
      <c r="AD2305" s="24"/>
      <c r="AE2305" s="238" t="s">
        <v>7140</v>
      </c>
      <c r="AF2305">
        <v>79021307573</v>
      </c>
      <c r="AG2305" s="238" t="s">
        <v>1167</v>
      </c>
      <c r="AH2305" s="238" t="s">
        <v>1212</v>
      </c>
      <c r="AI2305" s="238" t="s">
        <v>3074</v>
      </c>
      <c r="AJ2305" s="238" t="s">
        <v>5215</v>
      </c>
      <c r="AK2305" s="238" t="s">
        <v>3345</v>
      </c>
      <c r="AL2305" t="s">
        <v>8715</v>
      </c>
      <c r="AM2305" t="s">
        <v>1167</v>
      </c>
    </row>
    <row r="2306" spans="1:39" x14ac:dyDescent="0.25">
      <c r="A2306">
        <v>2303</v>
      </c>
      <c r="B2306">
        <v>3</v>
      </c>
      <c r="C2306" s="24">
        <v>45393</v>
      </c>
      <c r="D2306" s="238" t="s">
        <v>3388</v>
      </c>
      <c r="E2306" s="238" t="s">
        <v>15</v>
      </c>
      <c r="F2306">
        <v>2</v>
      </c>
      <c r="G2306">
        <v>18</v>
      </c>
      <c r="H2306">
        <v>526</v>
      </c>
      <c r="I2306" s="238" t="s">
        <v>42</v>
      </c>
      <c r="J2306">
        <v>43.21</v>
      </c>
      <c r="K2306" s="238" t="s">
        <v>38</v>
      </c>
      <c r="L2306">
        <v>5407412</v>
      </c>
      <c r="M2306">
        <v>0</v>
      </c>
      <c r="N2306">
        <v>5407412</v>
      </c>
      <c r="O2306">
        <v>125142.60587826892</v>
      </c>
      <c r="P2306">
        <v>864200</v>
      </c>
      <c r="Q2306">
        <v>4543212</v>
      </c>
      <c r="R2306">
        <v>105142.60587826892</v>
      </c>
      <c r="S2306" s="238" t="s">
        <v>137</v>
      </c>
      <c r="T2306" s="238" t="s">
        <v>4185</v>
      </c>
      <c r="U2306">
        <v>88888</v>
      </c>
      <c r="V2306" t="s">
        <v>4091</v>
      </c>
      <c r="W2306" s="24">
        <v>45380</v>
      </c>
      <c r="X2306" s="238" t="s">
        <v>7141</v>
      </c>
      <c r="Y2306" s="238" t="s">
        <v>39</v>
      </c>
      <c r="Z2306" s="238" t="s">
        <v>1340</v>
      </c>
      <c r="AA2306" t="s">
        <v>3113</v>
      </c>
      <c r="AB2306" s="238" t="s">
        <v>3246</v>
      </c>
      <c r="AC2306" t="s">
        <v>3079</v>
      </c>
      <c r="AD2306" s="24"/>
      <c r="AE2306" s="238" t="s">
        <v>7142</v>
      </c>
      <c r="AF2306">
        <v>79270060306</v>
      </c>
      <c r="AG2306" s="238" t="s">
        <v>7143</v>
      </c>
      <c r="AH2306" s="238" t="s">
        <v>4072</v>
      </c>
      <c r="AI2306" s="238" t="s">
        <v>6406</v>
      </c>
      <c r="AJ2306" s="238" t="s">
        <v>4177</v>
      </c>
      <c r="AK2306" s="238" t="s">
        <v>141</v>
      </c>
      <c r="AL2306" t="s">
        <v>57</v>
      </c>
      <c r="AM2306" t="s">
        <v>1167</v>
      </c>
    </row>
    <row r="2307" spans="1:39" x14ac:dyDescent="0.25">
      <c r="A2307">
        <v>2304</v>
      </c>
      <c r="B2307">
        <v>4</v>
      </c>
      <c r="C2307" s="24">
        <v>45393</v>
      </c>
      <c r="D2307" s="238" t="s">
        <v>3388</v>
      </c>
      <c r="E2307" s="238" t="s">
        <v>15</v>
      </c>
      <c r="F2307">
        <v>6</v>
      </c>
      <c r="G2307">
        <v>5</v>
      </c>
      <c r="H2307">
        <v>426</v>
      </c>
      <c r="I2307" s="238" t="s">
        <v>42</v>
      </c>
      <c r="J2307">
        <v>38.299999999999997</v>
      </c>
      <c r="K2307" s="238" t="s">
        <v>6871</v>
      </c>
      <c r="L2307">
        <v>4382612</v>
      </c>
      <c r="M2307">
        <v>0</v>
      </c>
      <c r="N2307">
        <v>4382612</v>
      </c>
      <c r="O2307">
        <v>114428.51174934726</v>
      </c>
      <c r="P2307">
        <v>268100</v>
      </c>
      <c r="Q2307">
        <v>4114512</v>
      </c>
      <c r="R2307">
        <v>107428.51174934726</v>
      </c>
      <c r="S2307" s="238" t="s">
        <v>137</v>
      </c>
      <c r="T2307" s="238" t="s">
        <v>4185</v>
      </c>
      <c r="U2307">
        <v>88888</v>
      </c>
      <c r="V2307" t="s">
        <v>4091</v>
      </c>
      <c r="W2307" s="24">
        <v>45386</v>
      </c>
      <c r="X2307" s="238" t="s">
        <v>7144</v>
      </c>
      <c r="Y2307" s="238" t="s">
        <v>39</v>
      </c>
      <c r="Z2307" s="238" t="s">
        <v>1340</v>
      </c>
      <c r="AA2307" t="s">
        <v>3113</v>
      </c>
      <c r="AB2307" s="238" t="s">
        <v>3246</v>
      </c>
      <c r="AC2307" t="s">
        <v>3079</v>
      </c>
      <c r="AD2307" s="24"/>
      <c r="AE2307" s="238" t="s">
        <v>7145</v>
      </c>
      <c r="AF2307">
        <v>79276436802</v>
      </c>
      <c r="AG2307" s="238" t="s">
        <v>7146</v>
      </c>
      <c r="AH2307" s="238" t="s">
        <v>1171</v>
      </c>
      <c r="AI2307" s="238" t="s">
        <v>3082</v>
      </c>
      <c r="AJ2307" s="238" t="s">
        <v>126</v>
      </c>
      <c r="AK2307" s="238" t="s">
        <v>141</v>
      </c>
      <c r="AL2307" t="s">
        <v>8715</v>
      </c>
      <c r="AM2307" t="s">
        <v>1167</v>
      </c>
    </row>
    <row r="2308" spans="1:39" hidden="1" x14ac:dyDescent="0.25">
      <c r="A2308">
        <v>2305</v>
      </c>
      <c r="B2308">
        <v>5</v>
      </c>
      <c r="C2308" s="24">
        <v>45393</v>
      </c>
      <c r="D2308" s="238" t="s">
        <v>91</v>
      </c>
      <c r="E2308" s="238" t="s">
        <v>16</v>
      </c>
      <c r="F2308">
        <v>2</v>
      </c>
      <c r="G2308">
        <v>7</v>
      </c>
      <c r="H2308">
        <v>277</v>
      </c>
      <c r="I2308" s="238" t="s">
        <v>43</v>
      </c>
      <c r="J2308">
        <v>67.95</v>
      </c>
      <c r="K2308" s="238" t="s">
        <v>36</v>
      </c>
      <c r="L2308">
        <v>6358000</v>
      </c>
      <c r="M2308">
        <v>0</v>
      </c>
      <c r="N2308">
        <v>6358000</v>
      </c>
      <c r="O2308">
        <v>93568.800588668135</v>
      </c>
      <c r="P2308">
        <v>0</v>
      </c>
      <c r="Q2308">
        <v>6358000</v>
      </c>
      <c r="R2308">
        <v>93568.800588668135</v>
      </c>
      <c r="S2308" s="238" t="s">
        <v>137</v>
      </c>
      <c r="T2308" s="238" t="s">
        <v>7135</v>
      </c>
      <c r="U2308">
        <v>90000</v>
      </c>
      <c r="V2308" t="s">
        <v>4092</v>
      </c>
      <c r="W2308" s="24">
        <v>45390</v>
      </c>
      <c r="X2308" s="238" t="s">
        <v>7147</v>
      </c>
      <c r="Y2308" s="238" t="s">
        <v>39</v>
      </c>
      <c r="Z2308" s="238" t="s">
        <v>1340</v>
      </c>
      <c r="AA2308" t="s">
        <v>3113</v>
      </c>
      <c r="AB2308" s="238" t="s">
        <v>3246</v>
      </c>
      <c r="AC2308" t="s">
        <v>3079</v>
      </c>
      <c r="AD2308" s="24"/>
      <c r="AE2308" s="238" t="s">
        <v>7148</v>
      </c>
      <c r="AF2308">
        <v>79270010326</v>
      </c>
      <c r="AG2308" s="238" t="s">
        <v>7149</v>
      </c>
      <c r="AH2308" s="238" t="s">
        <v>1171</v>
      </c>
      <c r="AI2308" s="238" t="s">
        <v>3074</v>
      </c>
      <c r="AJ2308" s="238" t="s">
        <v>5215</v>
      </c>
      <c r="AK2308" s="238" t="s">
        <v>141</v>
      </c>
      <c r="AL2308" t="s">
        <v>8715</v>
      </c>
      <c r="AM2308" t="s">
        <v>1167</v>
      </c>
    </row>
    <row r="2309" spans="1:39" x14ac:dyDescent="0.25">
      <c r="A2309">
        <v>2306</v>
      </c>
      <c r="B2309">
        <v>6</v>
      </c>
      <c r="C2309" s="24">
        <v>45393</v>
      </c>
      <c r="D2309" s="238" t="s">
        <v>3388</v>
      </c>
      <c r="E2309" s="238" t="s">
        <v>16</v>
      </c>
      <c r="F2309">
        <v>3</v>
      </c>
      <c r="G2309">
        <v>10</v>
      </c>
      <c r="H2309">
        <v>287</v>
      </c>
      <c r="I2309" s="238" t="s">
        <v>43</v>
      </c>
      <c r="J2309">
        <v>56.58</v>
      </c>
      <c r="K2309" s="238" t="s">
        <v>38</v>
      </c>
      <c r="L2309">
        <v>6515800</v>
      </c>
      <c r="M2309">
        <v>0</v>
      </c>
      <c r="N2309">
        <v>6515800</v>
      </c>
      <c r="O2309">
        <v>115160.83421703783</v>
      </c>
      <c r="P2309">
        <v>1131600</v>
      </c>
      <c r="Q2309">
        <v>5384200</v>
      </c>
      <c r="R2309">
        <v>95160.834217037831</v>
      </c>
      <c r="S2309" s="238" t="s">
        <v>137</v>
      </c>
      <c r="T2309" s="238" t="s">
        <v>7135</v>
      </c>
      <c r="U2309">
        <v>90000</v>
      </c>
      <c r="V2309" t="s">
        <v>4092</v>
      </c>
      <c r="W2309" s="24">
        <v>45390</v>
      </c>
      <c r="X2309" s="238" t="s">
        <v>7150</v>
      </c>
      <c r="Y2309" s="238" t="s">
        <v>39</v>
      </c>
      <c r="Z2309" s="238" t="s">
        <v>1340</v>
      </c>
      <c r="AA2309" t="s">
        <v>3113</v>
      </c>
      <c r="AB2309" s="238" t="s">
        <v>3246</v>
      </c>
      <c r="AC2309" t="s">
        <v>3079</v>
      </c>
      <c r="AD2309" s="24"/>
      <c r="AE2309" s="238" t="s">
        <v>7151</v>
      </c>
      <c r="AF2309">
        <v>79170566266</v>
      </c>
      <c r="AG2309" s="238" t="s">
        <v>7152</v>
      </c>
      <c r="AH2309" s="238" t="s">
        <v>1212</v>
      </c>
      <c r="AI2309" s="238" t="s">
        <v>135</v>
      </c>
      <c r="AJ2309" s="238" t="s">
        <v>126</v>
      </c>
      <c r="AK2309" s="238" t="s">
        <v>141</v>
      </c>
      <c r="AL2309" t="s">
        <v>8715</v>
      </c>
      <c r="AM2309" t="s">
        <v>1167</v>
      </c>
    </row>
    <row r="2310" spans="1:39" x14ac:dyDescent="0.25">
      <c r="A2310">
        <v>2307</v>
      </c>
      <c r="B2310">
        <v>7</v>
      </c>
      <c r="C2310" s="24">
        <v>45395</v>
      </c>
      <c r="D2310" s="238" t="s">
        <v>3388</v>
      </c>
      <c r="E2310" s="238" t="s">
        <v>6</v>
      </c>
      <c r="F2310">
        <v>4</v>
      </c>
      <c r="G2310">
        <v>11</v>
      </c>
      <c r="H2310">
        <v>73</v>
      </c>
      <c r="I2310" s="238" t="s">
        <v>43</v>
      </c>
      <c r="J2310">
        <v>59.09</v>
      </c>
      <c r="K2310" s="238" t="s">
        <v>6871</v>
      </c>
      <c r="L2310">
        <v>5987342</v>
      </c>
      <c r="M2310">
        <v>0</v>
      </c>
      <c r="N2310">
        <v>5987342</v>
      </c>
      <c r="O2310">
        <v>101325.80808935521</v>
      </c>
      <c r="P2310">
        <v>413630</v>
      </c>
      <c r="Q2310">
        <v>5573712</v>
      </c>
      <c r="R2310">
        <v>94325.808089355211</v>
      </c>
      <c r="S2310" s="238" t="s">
        <v>137</v>
      </c>
      <c r="T2310" s="238" t="s">
        <v>4185</v>
      </c>
      <c r="U2310">
        <v>88888</v>
      </c>
      <c r="V2310" t="s">
        <v>4091</v>
      </c>
      <c r="W2310" s="24">
        <v>45380</v>
      </c>
      <c r="X2310" s="238" t="s">
        <v>7153</v>
      </c>
      <c r="Y2310" s="238" t="s">
        <v>39</v>
      </c>
      <c r="Z2310" s="238" t="s">
        <v>1340</v>
      </c>
      <c r="AA2310" t="s">
        <v>3113</v>
      </c>
      <c r="AB2310" s="238" t="s">
        <v>3246</v>
      </c>
      <c r="AC2310" t="s">
        <v>3079</v>
      </c>
      <c r="AD2310" s="24"/>
      <c r="AE2310" s="238" t="s">
        <v>7154</v>
      </c>
      <c r="AF2310">
        <v>79179788482</v>
      </c>
      <c r="AG2310" s="238" t="s">
        <v>7155</v>
      </c>
      <c r="AH2310" s="238" t="s">
        <v>1171</v>
      </c>
      <c r="AI2310" s="238" t="s">
        <v>135</v>
      </c>
      <c r="AJ2310" s="238" t="s">
        <v>5215</v>
      </c>
      <c r="AK2310" s="238" t="s">
        <v>3345</v>
      </c>
      <c r="AL2310" t="s">
        <v>8715</v>
      </c>
      <c r="AM2310" t="s">
        <v>1167</v>
      </c>
    </row>
    <row r="2311" spans="1:39" x14ac:dyDescent="0.25">
      <c r="A2311">
        <v>2308</v>
      </c>
      <c r="B2311">
        <v>8</v>
      </c>
      <c r="C2311" s="24">
        <v>45394</v>
      </c>
      <c r="D2311" s="238" t="s">
        <v>3388</v>
      </c>
      <c r="E2311" s="238" t="s">
        <v>16</v>
      </c>
      <c r="F2311">
        <v>3</v>
      </c>
      <c r="G2311">
        <v>15</v>
      </c>
      <c r="H2311">
        <v>322</v>
      </c>
      <c r="I2311" s="238" t="s">
        <v>43</v>
      </c>
      <c r="J2311">
        <v>56.58</v>
      </c>
      <c r="K2311" s="238" t="s">
        <v>38</v>
      </c>
      <c r="L2311">
        <v>6463600</v>
      </c>
      <c r="M2311">
        <v>0</v>
      </c>
      <c r="N2311">
        <v>6463600</v>
      </c>
      <c r="O2311">
        <v>114238.24673029339</v>
      </c>
      <c r="P2311">
        <v>1131600</v>
      </c>
      <c r="Q2311">
        <v>5332000</v>
      </c>
      <c r="R2311">
        <v>94238.246730293395</v>
      </c>
      <c r="S2311" s="238" t="s">
        <v>137</v>
      </c>
      <c r="T2311" s="238" t="s">
        <v>7135</v>
      </c>
      <c r="U2311">
        <v>90000</v>
      </c>
      <c r="V2311" t="s">
        <v>4091</v>
      </c>
      <c r="W2311" s="24">
        <v>45386</v>
      </c>
      <c r="X2311" s="238" t="s">
        <v>7156</v>
      </c>
      <c r="Y2311" s="238" t="s">
        <v>39</v>
      </c>
      <c r="Z2311" s="238" t="s">
        <v>1340</v>
      </c>
      <c r="AA2311" t="s">
        <v>3113</v>
      </c>
      <c r="AB2311" s="238" t="s">
        <v>3246</v>
      </c>
      <c r="AC2311" t="s">
        <v>3079</v>
      </c>
      <c r="AD2311" s="24"/>
      <c r="AE2311" s="238" t="s">
        <v>7157</v>
      </c>
      <c r="AF2311">
        <v>79371779019</v>
      </c>
      <c r="AG2311" s="238" t="s">
        <v>7158</v>
      </c>
      <c r="AH2311" s="238" t="s">
        <v>135</v>
      </c>
      <c r="AI2311" s="238" t="s">
        <v>3075</v>
      </c>
      <c r="AJ2311" s="238" t="s">
        <v>126</v>
      </c>
      <c r="AK2311" s="238" t="s">
        <v>141</v>
      </c>
      <c r="AL2311" t="s">
        <v>8715</v>
      </c>
      <c r="AM2311" t="s">
        <v>1167</v>
      </c>
    </row>
    <row r="2312" spans="1:39" x14ac:dyDescent="0.25">
      <c r="A2312">
        <v>2309</v>
      </c>
      <c r="B2312">
        <v>9</v>
      </c>
      <c r="C2312" s="24">
        <v>45397</v>
      </c>
      <c r="D2312" s="238" t="s">
        <v>3388</v>
      </c>
      <c r="E2312" s="238" t="s">
        <v>15</v>
      </c>
      <c r="F2312">
        <v>4</v>
      </c>
      <c r="G2312">
        <v>4</v>
      </c>
      <c r="H2312">
        <v>416</v>
      </c>
      <c r="I2312" s="238" t="s">
        <v>43</v>
      </c>
      <c r="J2312">
        <v>58.24</v>
      </c>
      <c r="K2312" s="238" t="s">
        <v>38</v>
      </c>
      <c r="L2312">
        <v>6546500</v>
      </c>
      <c r="M2312">
        <v>0</v>
      </c>
      <c r="N2312">
        <v>6546500</v>
      </c>
      <c r="O2312">
        <v>112405.56318681319</v>
      </c>
      <c r="P2312">
        <v>1164800</v>
      </c>
      <c r="Q2312">
        <v>5381700</v>
      </c>
      <c r="R2312">
        <v>92405.56318681319</v>
      </c>
      <c r="S2312" s="238" t="s">
        <v>137</v>
      </c>
      <c r="T2312" s="238" t="s">
        <v>7135</v>
      </c>
      <c r="U2312">
        <v>90000</v>
      </c>
      <c r="V2312" t="s">
        <v>4092</v>
      </c>
      <c r="W2312" s="24">
        <v>45392</v>
      </c>
      <c r="X2312" s="238" t="s">
        <v>7159</v>
      </c>
      <c r="Y2312" s="238" t="s">
        <v>39</v>
      </c>
      <c r="Z2312" s="238" t="s">
        <v>1340</v>
      </c>
      <c r="AA2312" t="s">
        <v>3113</v>
      </c>
      <c r="AB2312" s="238" t="s">
        <v>3246</v>
      </c>
      <c r="AC2312" t="s">
        <v>3079</v>
      </c>
      <c r="AD2312" s="24"/>
      <c r="AE2312" s="238" t="s">
        <v>7160</v>
      </c>
      <c r="AF2312">
        <v>79171070374</v>
      </c>
      <c r="AG2312" s="238" t="s">
        <v>7161</v>
      </c>
      <c r="AH2312" s="238" t="s">
        <v>1212</v>
      </c>
      <c r="AI2312" s="238" t="s">
        <v>135</v>
      </c>
      <c r="AJ2312" s="238" t="s">
        <v>5215</v>
      </c>
      <c r="AK2312" s="238" t="s">
        <v>141</v>
      </c>
      <c r="AL2312" t="s">
        <v>8715</v>
      </c>
      <c r="AM2312" t="s">
        <v>1167</v>
      </c>
    </row>
    <row r="2313" spans="1:39" x14ac:dyDescent="0.25">
      <c r="A2313">
        <v>2310</v>
      </c>
      <c r="B2313">
        <v>10</v>
      </c>
      <c r="C2313" s="24">
        <v>45397</v>
      </c>
      <c r="D2313" s="238" t="s">
        <v>3388</v>
      </c>
      <c r="E2313" s="238" t="s">
        <v>5</v>
      </c>
      <c r="F2313">
        <v>5</v>
      </c>
      <c r="G2313">
        <v>8</v>
      </c>
      <c r="H2313">
        <v>164</v>
      </c>
      <c r="I2313" s="238" t="s">
        <v>42</v>
      </c>
      <c r="J2313">
        <v>37.86</v>
      </c>
      <c r="K2313" s="238" t="s">
        <v>38</v>
      </c>
      <c r="L2313">
        <v>5047012</v>
      </c>
      <c r="M2313">
        <v>0</v>
      </c>
      <c r="N2313">
        <v>5047012</v>
      </c>
      <c r="O2313">
        <v>133307.23718964605</v>
      </c>
      <c r="P2313">
        <v>757200</v>
      </c>
      <c r="Q2313">
        <v>4289812</v>
      </c>
      <c r="R2313">
        <v>113307.23718964607</v>
      </c>
      <c r="S2313" s="238" t="s">
        <v>137</v>
      </c>
      <c r="T2313" s="238" t="s">
        <v>4185</v>
      </c>
      <c r="U2313">
        <v>88888</v>
      </c>
      <c r="V2313" t="s">
        <v>4092</v>
      </c>
      <c r="W2313" s="24">
        <v>45392</v>
      </c>
      <c r="X2313" s="238" t="s">
        <v>7162</v>
      </c>
      <c r="Y2313" s="238" t="s">
        <v>39</v>
      </c>
      <c r="Z2313" s="238" t="s">
        <v>1340</v>
      </c>
      <c r="AA2313" t="s">
        <v>3113</v>
      </c>
      <c r="AB2313" s="238" t="s">
        <v>3246</v>
      </c>
      <c r="AC2313" t="s">
        <v>3079</v>
      </c>
      <c r="AD2313" s="24"/>
      <c r="AE2313" s="238" t="s">
        <v>7163</v>
      </c>
      <c r="AF2313">
        <v>79279055424</v>
      </c>
      <c r="AG2313" s="238" t="s">
        <v>7164</v>
      </c>
      <c r="AH2313" s="238" t="s">
        <v>1212</v>
      </c>
      <c r="AI2313" s="238" t="s">
        <v>3097</v>
      </c>
      <c r="AJ2313" s="238" t="s">
        <v>4177</v>
      </c>
      <c r="AK2313" s="238" t="s">
        <v>141</v>
      </c>
      <c r="AL2313" t="s">
        <v>8715</v>
      </c>
      <c r="AM2313" t="s">
        <v>1167</v>
      </c>
    </row>
    <row r="2314" spans="1:39" hidden="1" x14ac:dyDescent="0.25">
      <c r="A2314">
        <v>2311</v>
      </c>
      <c r="B2314">
        <v>11</v>
      </c>
      <c r="C2314" s="24">
        <v>45398</v>
      </c>
      <c r="D2314" s="238" t="s">
        <v>91</v>
      </c>
      <c r="E2314" s="238" t="s">
        <v>16</v>
      </c>
      <c r="F2314">
        <v>3</v>
      </c>
      <c r="G2314">
        <v>23</v>
      </c>
      <c r="H2314">
        <v>390</v>
      </c>
      <c r="I2314" s="238" t="s">
        <v>4052</v>
      </c>
      <c r="J2314">
        <v>36.450000000000003</v>
      </c>
      <c r="K2314" s="238" t="s">
        <v>38</v>
      </c>
      <c r="L2314">
        <v>5223800</v>
      </c>
      <c r="M2314">
        <v>0</v>
      </c>
      <c r="N2314">
        <v>5223800</v>
      </c>
      <c r="O2314">
        <v>143314.12894375855</v>
      </c>
      <c r="P2314">
        <v>801900</v>
      </c>
      <c r="Q2314">
        <v>4421900</v>
      </c>
      <c r="R2314">
        <v>121314.12894375857</v>
      </c>
      <c r="S2314" s="238" t="s">
        <v>137</v>
      </c>
      <c r="T2314" s="238" t="s">
        <v>1167</v>
      </c>
      <c r="V2314" t="s">
        <v>4091</v>
      </c>
      <c r="W2314" s="24">
        <v>45387</v>
      </c>
      <c r="X2314" s="238" t="s">
        <v>7165</v>
      </c>
      <c r="Y2314" s="238" t="s">
        <v>39</v>
      </c>
      <c r="Z2314" s="238" t="s">
        <v>1340</v>
      </c>
      <c r="AA2314" t="s">
        <v>3113</v>
      </c>
      <c r="AB2314" s="238" t="s">
        <v>3246</v>
      </c>
      <c r="AC2314" t="s">
        <v>3079</v>
      </c>
      <c r="AD2314" s="24"/>
      <c r="AE2314" s="238" t="s">
        <v>7166</v>
      </c>
      <c r="AF2314">
        <v>79171127499</v>
      </c>
      <c r="AG2314" s="238" t="s">
        <v>7167</v>
      </c>
      <c r="AH2314" s="238" t="s">
        <v>4072</v>
      </c>
      <c r="AI2314" s="238" t="s">
        <v>7040</v>
      </c>
      <c r="AJ2314" s="238" t="s">
        <v>5215</v>
      </c>
      <c r="AK2314" s="238" t="s">
        <v>3345</v>
      </c>
      <c r="AL2314" t="s">
        <v>57</v>
      </c>
      <c r="AM2314" t="s">
        <v>1167</v>
      </c>
    </row>
    <row r="2315" spans="1:39" x14ac:dyDescent="0.25">
      <c r="A2315">
        <v>2312</v>
      </c>
      <c r="B2315">
        <v>12</v>
      </c>
      <c r="C2315" s="24">
        <v>45402</v>
      </c>
      <c r="D2315" s="238" t="s">
        <v>3388</v>
      </c>
      <c r="E2315" s="238" t="s">
        <v>16</v>
      </c>
      <c r="F2315">
        <v>5</v>
      </c>
      <c r="G2315">
        <v>1</v>
      </c>
      <c r="H2315">
        <v>227</v>
      </c>
      <c r="I2315" s="238" t="s">
        <v>44</v>
      </c>
      <c r="J2315">
        <v>80.97</v>
      </c>
      <c r="K2315" s="238" t="s">
        <v>36</v>
      </c>
      <c r="L2315">
        <v>7491800</v>
      </c>
      <c r="M2315">
        <v>0</v>
      </c>
      <c r="N2315">
        <v>7491800</v>
      </c>
      <c r="O2315">
        <v>92525.626775348894</v>
      </c>
      <c r="P2315">
        <v>0</v>
      </c>
      <c r="Q2315">
        <v>7491800</v>
      </c>
      <c r="R2315">
        <v>92525.626775348894</v>
      </c>
      <c r="S2315" s="238" t="s">
        <v>137</v>
      </c>
      <c r="T2315" s="238" t="s">
        <v>7135</v>
      </c>
      <c r="U2315">
        <v>90000</v>
      </c>
      <c r="V2315" t="s">
        <v>4092</v>
      </c>
      <c r="W2315" s="24">
        <v>45401</v>
      </c>
      <c r="X2315" s="238" t="s">
        <v>7170</v>
      </c>
      <c r="Y2315" s="238" t="s">
        <v>39</v>
      </c>
      <c r="Z2315" s="238" t="s">
        <v>1340</v>
      </c>
      <c r="AA2315" t="s">
        <v>3113</v>
      </c>
      <c r="AB2315" s="238" t="s">
        <v>3246</v>
      </c>
      <c r="AC2315" t="s">
        <v>3079</v>
      </c>
      <c r="AD2315" s="24"/>
      <c r="AE2315" s="238" t="s">
        <v>7171</v>
      </c>
      <c r="AF2315">
        <v>79966247101</v>
      </c>
      <c r="AG2315" s="238" t="s">
        <v>7172</v>
      </c>
      <c r="AH2315" s="238" t="s">
        <v>4072</v>
      </c>
      <c r="AI2315" s="238" t="s">
        <v>7173</v>
      </c>
      <c r="AJ2315" s="238" t="s">
        <v>126</v>
      </c>
      <c r="AK2315" s="238" t="s">
        <v>3345</v>
      </c>
      <c r="AL2315" t="s">
        <v>57</v>
      </c>
      <c r="AM2315" t="s">
        <v>1167</v>
      </c>
    </row>
    <row r="2316" spans="1:39" x14ac:dyDescent="0.25">
      <c r="A2316">
        <v>2313</v>
      </c>
      <c r="B2316">
        <v>13</v>
      </c>
      <c r="C2316" s="24">
        <v>45401</v>
      </c>
      <c r="D2316" s="238" t="s">
        <v>3388</v>
      </c>
      <c r="E2316" s="238" t="s">
        <v>5</v>
      </c>
      <c r="F2316">
        <v>4</v>
      </c>
      <c r="G2316">
        <v>7</v>
      </c>
      <c r="H2316">
        <v>156</v>
      </c>
      <c r="I2316" s="238" t="s">
        <v>43</v>
      </c>
      <c r="J2316">
        <v>58.31</v>
      </c>
      <c r="K2316" s="238" t="s">
        <v>36</v>
      </c>
      <c r="L2316">
        <v>5382112</v>
      </c>
      <c r="M2316">
        <v>0</v>
      </c>
      <c r="N2316">
        <v>5382112</v>
      </c>
      <c r="O2316">
        <v>92301.69782198593</v>
      </c>
      <c r="P2316">
        <v>0</v>
      </c>
      <c r="Q2316">
        <v>5382112</v>
      </c>
      <c r="R2316">
        <v>92301.69782198593</v>
      </c>
      <c r="S2316" s="238" t="s">
        <v>137</v>
      </c>
      <c r="T2316" s="238" t="s">
        <v>321</v>
      </c>
      <c r="U2316">
        <v>178888</v>
      </c>
      <c r="V2316" t="s">
        <v>4092</v>
      </c>
      <c r="W2316" s="24">
        <v>45390</v>
      </c>
      <c r="X2316" s="238" t="s">
        <v>7174</v>
      </c>
      <c r="Y2316" s="238" t="s">
        <v>39</v>
      </c>
      <c r="Z2316" s="238" t="s">
        <v>1340</v>
      </c>
      <c r="AA2316" t="s">
        <v>3113</v>
      </c>
      <c r="AB2316" s="238" t="s">
        <v>3246</v>
      </c>
      <c r="AC2316" t="s">
        <v>3079</v>
      </c>
      <c r="AD2316" s="24"/>
      <c r="AE2316" s="238" t="s">
        <v>7175</v>
      </c>
      <c r="AF2316">
        <v>79053016388</v>
      </c>
      <c r="AG2316" s="238" t="s">
        <v>7176</v>
      </c>
      <c r="AH2316" s="238" t="s">
        <v>135</v>
      </c>
      <c r="AI2316" s="238" t="s">
        <v>3075</v>
      </c>
      <c r="AJ2316" s="238" t="s">
        <v>126</v>
      </c>
      <c r="AK2316" s="238" t="s">
        <v>3345</v>
      </c>
      <c r="AL2316" t="s">
        <v>8715</v>
      </c>
      <c r="AM2316" t="s">
        <v>1167</v>
      </c>
    </row>
    <row r="2317" spans="1:39" x14ac:dyDescent="0.25">
      <c r="A2317">
        <v>2314</v>
      </c>
      <c r="B2317">
        <v>14</v>
      </c>
      <c r="C2317" s="24">
        <v>45401</v>
      </c>
      <c r="D2317" s="238" t="s">
        <v>3388</v>
      </c>
      <c r="E2317" s="238" t="s">
        <v>15</v>
      </c>
      <c r="F2317">
        <v>7</v>
      </c>
      <c r="G2317">
        <v>4</v>
      </c>
      <c r="H2317">
        <v>419</v>
      </c>
      <c r="I2317" s="238" t="s">
        <v>44</v>
      </c>
      <c r="J2317">
        <v>79.44</v>
      </c>
      <c r="K2317" s="238" t="s">
        <v>6871</v>
      </c>
      <c r="L2317">
        <v>7773680</v>
      </c>
      <c r="M2317">
        <v>0</v>
      </c>
      <c r="N2317">
        <v>7773680</v>
      </c>
      <c r="O2317">
        <v>97855.991943605244</v>
      </c>
      <c r="P2317">
        <v>556080</v>
      </c>
      <c r="Q2317">
        <v>7217600</v>
      </c>
      <c r="R2317">
        <v>90855.991943605244</v>
      </c>
      <c r="S2317" s="238" t="s">
        <v>137</v>
      </c>
      <c r="T2317" s="238" t="s">
        <v>7135</v>
      </c>
      <c r="U2317">
        <v>90000</v>
      </c>
      <c r="V2317" t="s">
        <v>4092</v>
      </c>
      <c r="W2317" s="24">
        <v>45394</v>
      </c>
      <c r="X2317" s="238" t="s">
        <v>7177</v>
      </c>
      <c r="Y2317" s="238" t="s">
        <v>39</v>
      </c>
      <c r="Z2317" s="238" t="s">
        <v>1340</v>
      </c>
      <c r="AA2317" t="s">
        <v>3113</v>
      </c>
      <c r="AB2317" s="238" t="s">
        <v>3246</v>
      </c>
      <c r="AC2317" t="s">
        <v>3079</v>
      </c>
      <c r="AD2317" s="24"/>
      <c r="AE2317" s="238" t="s">
        <v>7178</v>
      </c>
      <c r="AF2317">
        <v>79228131115</v>
      </c>
      <c r="AG2317" s="238" t="s">
        <v>7179</v>
      </c>
      <c r="AH2317" s="238" t="s">
        <v>1212</v>
      </c>
      <c r="AI2317" s="238" t="s">
        <v>3090</v>
      </c>
      <c r="AJ2317" s="238" t="s">
        <v>126</v>
      </c>
      <c r="AK2317" s="238" t="s">
        <v>3345</v>
      </c>
      <c r="AL2317" t="s">
        <v>8715</v>
      </c>
      <c r="AM2317" t="s">
        <v>1167</v>
      </c>
    </row>
    <row r="2318" spans="1:39" x14ac:dyDescent="0.25">
      <c r="A2318">
        <v>2315</v>
      </c>
      <c r="B2318">
        <v>15</v>
      </c>
      <c r="C2318" s="24">
        <v>45404</v>
      </c>
      <c r="D2318" s="238" t="s">
        <v>3388</v>
      </c>
      <c r="E2318" s="238" t="s">
        <v>16</v>
      </c>
      <c r="F2318">
        <v>4</v>
      </c>
      <c r="G2318">
        <v>1</v>
      </c>
      <c r="H2318">
        <v>226</v>
      </c>
      <c r="I2318" s="238" t="s">
        <v>43</v>
      </c>
      <c r="J2318">
        <v>47.74</v>
      </c>
      <c r="K2318" s="238" t="s">
        <v>36</v>
      </c>
      <c r="L2318">
        <v>5299692</v>
      </c>
      <c r="M2318">
        <v>0</v>
      </c>
      <c r="N2318">
        <v>5299692</v>
      </c>
      <c r="O2318">
        <v>111011.56263091747</v>
      </c>
      <c r="P2318">
        <v>0</v>
      </c>
      <c r="Q2318">
        <v>5299692</v>
      </c>
      <c r="R2318">
        <v>111011.56263091747</v>
      </c>
      <c r="S2318" s="238" t="s">
        <v>137</v>
      </c>
      <c r="T2318" s="238" t="s">
        <v>978</v>
      </c>
      <c r="U2318">
        <v>163908</v>
      </c>
      <c r="V2318" t="s">
        <v>4092</v>
      </c>
      <c r="W2318" s="24">
        <v>45397</v>
      </c>
      <c r="X2318" s="238" t="s">
        <v>7180</v>
      </c>
      <c r="Y2318" s="238" t="s">
        <v>39</v>
      </c>
      <c r="Z2318" s="238" t="s">
        <v>1340</v>
      </c>
      <c r="AA2318" t="s">
        <v>3113</v>
      </c>
      <c r="AB2318" s="238" t="s">
        <v>3246</v>
      </c>
      <c r="AC2318" t="s">
        <v>3079</v>
      </c>
      <c r="AD2318" s="24"/>
      <c r="AE2318" s="238" t="s">
        <v>1458</v>
      </c>
      <c r="AF2318">
        <v>79171694722</v>
      </c>
      <c r="AG2318" s="238" t="s">
        <v>1459</v>
      </c>
      <c r="AH2318" s="238" t="s">
        <v>1171</v>
      </c>
      <c r="AI2318" s="238" t="s">
        <v>3082</v>
      </c>
      <c r="AJ2318" s="238" t="s">
        <v>7181</v>
      </c>
      <c r="AK2318" s="238" t="s">
        <v>141</v>
      </c>
      <c r="AL2318" t="s">
        <v>8715</v>
      </c>
      <c r="AM2318" t="s">
        <v>1167</v>
      </c>
    </row>
    <row r="2319" spans="1:39" x14ac:dyDescent="0.25">
      <c r="A2319">
        <v>2316</v>
      </c>
      <c r="B2319">
        <v>16</v>
      </c>
      <c r="C2319" s="24">
        <v>45405</v>
      </c>
      <c r="D2319" s="238" t="s">
        <v>3388</v>
      </c>
      <c r="E2319" s="238" t="s">
        <v>6</v>
      </c>
      <c r="F2319">
        <v>5</v>
      </c>
      <c r="G2319">
        <v>13</v>
      </c>
      <c r="H2319">
        <v>88</v>
      </c>
      <c r="I2319" s="238" t="s">
        <v>43</v>
      </c>
      <c r="J2319">
        <v>62.17</v>
      </c>
      <c r="K2319" s="238" t="s">
        <v>36</v>
      </c>
      <c r="L2319">
        <v>5853812</v>
      </c>
      <c r="M2319">
        <v>15000</v>
      </c>
      <c r="N2319">
        <v>5868812</v>
      </c>
      <c r="O2319">
        <v>94399.420942576806</v>
      </c>
      <c r="P2319">
        <v>0</v>
      </c>
      <c r="Q2319">
        <v>5868812</v>
      </c>
      <c r="R2319">
        <v>94399.420942576806</v>
      </c>
      <c r="S2319" s="238" t="s">
        <v>137</v>
      </c>
      <c r="T2319" s="238" t="s">
        <v>4185</v>
      </c>
      <c r="U2319">
        <v>88888</v>
      </c>
      <c r="V2319" t="s">
        <v>4091</v>
      </c>
      <c r="W2319" s="24">
        <v>45377</v>
      </c>
      <c r="X2319" s="238" t="s">
        <v>7182</v>
      </c>
      <c r="Y2319" s="238" t="s">
        <v>39</v>
      </c>
      <c r="Z2319" s="238" t="s">
        <v>1340</v>
      </c>
      <c r="AA2319" t="s">
        <v>3113</v>
      </c>
      <c r="AB2319" s="238" t="s">
        <v>3246</v>
      </c>
      <c r="AC2319" t="s">
        <v>3079</v>
      </c>
      <c r="AD2319" s="24"/>
      <c r="AE2319" s="238" t="s">
        <v>7183</v>
      </c>
      <c r="AF2319">
        <v>79179529157</v>
      </c>
      <c r="AG2319" s="238" t="s">
        <v>7184</v>
      </c>
      <c r="AH2319" s="238" t="s">
        <v>1212</v>
      </c>
      <c r="AI2319" s="238" t="s">
        <v>135</v>
      </c>
      <c r="AJ2319" s="238" t="s">
        <v>4177</v>
      </c>
      <c r="AK2319" s="238" t="s">
        <v>141</v>
      </c>
      <c r="AL2319" t="s">
        <v>8715</v>
      </c>
      <c r="AM2319" t="s">
        <v>1167</v>
      </c>
    </row>
    <row r="2320" spans="1:39" hidden="1" x14ac:dyDescent="0.25">
      <c r="A2320">
        <v>2317</v>
      </c>
      <c r="B2320">
        <v>17</v>
      </c>
      <c r="C2320" s="24">
        <v>45405</v>
      </c>
      <c r="D2320" s="238" t="s">
        <v>91</v>
      </c>
      <c r="E2320" s="238" t="s">
        <v>15</v>
      </c>
      <c r="F2320">
        <v>1</v>
      </c>
      <c r="G2320">
        <v>6</v>
      </c>
      <c r="H2320">
        <v>438</v>
      </c>
      <c r="I2320" s="238" t="s">
        <v>42</v>
      </c>
      <c r="J2320">
        <v>39.74</v>
      </c>
      <c r="K2320" s="238" t="s">
        <v>37</v>
      </c>
      <c r="L2320">
        <v>4887950</v>
      </c>
      <c r="M2320">
        <v>15000</v>
      </c>
      <c r="N2320">
        <v>4902950</v>
      </c>
      <c r="O2320">
        <v>123375.69199798691</v>
      </c>
      <c r="P2320">
        <v>298050</v>
      </c>
      <c r="Q2320">
        <v>4604900</v>
      </c>
      <c r="R2320">
        <v>115875.69199798691</v>
      </c>
      <c r="S2320" s="238" t="s">
        <v>137</v>
      </c>
      <c r="T2320" s="238" t="s">
        <v>1167</v>
      </c>
      <c r="V2320" t="s">
        <v>4091</v>
      </c>
      <c r="W2320" s="24">
        <v>45377</v>
      </c>
      <c r="X2320" s="238" t="s">
        <v>7185</v>
      </c>
      <c r="Y2320" s="238" t="s">
        <v>39</v>
      </c>
      <c r="Z2320" s="238" t="s">
        <v>1340</v>
      </c>
      <c r="AA2320" t="s">
        <v>3113</v>
      </c>
      <c r="AB2320" s="238" t="s">
        <v>3246</v>
      </c>
      <c r="AC2320" t="s">
        <v>3079</v>
      </c>
      <c r="AD2320" s="24"/>
      <c r="AE2320" s="238" t="s">
        <v>7186</v>
      </c>
      <c r="AF2320">
        <v>79297024441</v>
      </c>
      <c r="AG2320" s="238" t="s">
        <v>7187</v>
      </c>
      <c r="AH2320" s="238" t="s">
        <v>1212</v>
      </c>
      <c r="AI2320" s="238" t="s">
        <v>3514</v>
      </c>
      <c r="AJ2320" s="238" t="s">
        <v>4177</v>
      </c>
      <c r="AK2320" s="238" t="s">
        <v>3345</v>
      </c>
      <c r="AL2320" t="s">
        <v>8715</v>
      </c>
      <c r="AM2320" t="s">
        <v>1167</v>
      </c>
    </row>
    <row r="2321" spans="1:39" hidden="1" x14ac:dyDescent="0.25">
      <c r="A2321">
        <v>2318</v>
      </c>
      <c r="B2321">
        <v>18</v>
      </c>
      <c r="C2321" s="24">
        <v>45405</v>
      </c>
      <c r="D2321" s="238" t="s">
        <v>91</v>
      </c>
      <c r="E2321" s="238" t="s">
        <v>15</v>
      </c>
      <c r="F2321">
        <v>4</v>
      </c>
      <c r="G2321">
        <v>4</v>
      </c>
      <c r="H2321">
        <v>423</v>
      </c>
      <c r="I2321" s="238" t="s">
        <v>42</v>
      </c>
      <c r="J2321">
        <v>36.5</v>
      </c>
      <c r="K2321" s="238" t="s">
        <v>38</v>
      </c>
      <c r="L2321">
        <v>5158800</v>
      </c>
      <c r="M2321">
        <v>0</v>
      </c>
      <c r="N2321">
        <v>5158800</v>
      </c>
      <c r="O2321">
        <v>141336.98630136985</v>
      </c>
      <c r="P2321">
        <v>803000</v>
      </c>
      <c r="Q2321">
        <v>4355800</v>
      </c>
      <c r="R2321">
        <v>119336.98630136986</v>
      </c>
      <c r="S2321" s="238" t="s">
        <v>137</v>
      </c>
      <c r="T2321" s="238" t="s">
        <v>1167</v>
      </c>
      <c r="V2321" t="s">
        <v>4091</v>
      </c>
      <c r="W2321" s="24">
        <v>45399</v>
      </c>
      <c r="X2321" s="238" t="s">
        <v>7188</v>
      </c>
      <c r="Y2321" s="238" t="s">
        <v>39</v>
      </c>
      <c r="Z2321" s="238" t="s">
        <v>1340</v>
      </c>
      <c r="AA2321" t="s">
        <v>3113</v>
      </c>
      <c r="AB2321" s="238" t="s">
        <v>3246</v>
      </c>
      <c r="AC2321" t="s">
        <v>3079</v>
      </c>
      <c r="AD2321" s="24"/>
      <c r="AE2321" s="238" t="s">
        <v>7189</v>
      </c>
      <c r="AF2321">
        <v>79179529159</v>
      </c>
      <c r="AG2321" s="238" t="s">
        <v>7190</v>
      </c>
      <c r="AH2321" s="238" t="s">
        <v>1171</v>
      </c>
      <c r="AI2321" s="238" t="s">
        <v>3074</v>
      </c>
      <c r="AJ2321" s="238" t="s">
        <v>5215</v>
      </c>
      <c r="AK2321" s="238" t="s">
        <v>3345</v>
      </c>
      <c r="AL2321" t="s">
        <v>8715</v>
      </c>
      <c r="AM2321" t="s">
        <v>1167</v>
      </c>
    </row>
    <row r="2322" spans="1:39" x14ac:dyDescent="0.25">
      <c r="A2322">
        <v>2319</v>
      </c>
      <c r="B2322">
        <v>19</v>
      </c>
      <c r="C2322" s="24">
        <v>45407</v>
      </c>
      <c r="D2322" s="238" t="s">
        <v>3388</v>
      </c>
      <c r="E2322" s="238" t="s">
        <v>15</v>
      </c>
      <c r="F2322">
        <v>3</v>
      </c>
      <c r="G2322">
        <v>8</v>
      </c>
      <c r="H2322">
        <v>447</v>
      </c>
      <c r="I2322" s="238" t="s">
        <v>4052</v>
      </c>
      <c r="J2322">
        <v>24.5</v>
      </c>
      <c r="K2322" s="238" t="s">
        <v>6871</v>
      </c>
      <c r="L2322">
        <v>3045700</v>
      </c>
      <c r="M2322">
        <v>0</v>
      </c>
      <c r="N2322">
        <v>3045700</v>
      </c>
      <c r="O2322">
        <v>124314.28571428571</v>
      </c>
      <c r="P2322">
        <v>171500</v>
      </c>
      <c r="Q2322">
        <v>2874200</v>
      </c>
      <c r="R2322">
        <v>117314.28571428571</v>
      </c>
      <c r="S2322" s="238" t="s">
        <v>137</v>
      </c>
      <c r="T2322" s="238" t="s">
        <v>1167</v>
      </c>
      <c r="V2322" t="s">
        <v>4092</v>
      </c>
      <c r="W2322" s="24">
        <v>45393</v>
      </c>
      <c r="X2322" s="238" t="s">
        <v>7192</v>
      </c>
      <c r="Y2322" s="238" t="s">
        <v>39</v>
      </c>
      <c r="Z2322" s="238" t="s">
        <v>1340</v>
      </c>
      <c r="AA2322" t="s">
        <v>3113</v>
      </c>
      <c r="AB2322" s="238" t="s">
        <v>3246</v>
      </c>
      <c r="AC2322" t="s">
        <v>3079</v>
      </c>
      <c r="AD2322" s="24"/>
      <c r="AE2322" s="238" t="s">
        <v>7193</v>
      </c>
      <c r="AF2322">
        <v>79228585399</v>
      </c>
      <c r="AG2322" s="238" t="s">
        <v>7194</v>
      </c>
      <c r="AH2322" s="238" t="s">
        <v>1212</v>
      </c>
      <c r="AI2322" s="238" t="s">
        <v>3102</v>
      </c>
      <c r="AJ2322" s="238" t="s">
        <v>7181</v>
      </c>
      <c r="AK2322" s="238" t="s">
        <v>141</v>
      </c>
      <c r="AL2322" t="s">
        <v>8715</v>
      </c>
      <c r="AM2322" t="s">
        <v>1167</v>
      </c>
    </row>
    <row r="2323" spans="1:39" hidden="1" x14ac:dyDescent="0.25">
      <c r="A2323">
        <v>2320</v>
      </c>
      <c r="B2323">
        <v>20</v>
      </c>
      <c r="C2323" s="24">
        <v>45407</v>
      </c>
      <c r="D2323" s="238" t="s">
        <v>91</v>
      </c>
      <c r="E2323" s="238" t="s">
        <v>5</v>
      </c>
      <c r="F2323">
        <v>2</v>
      </c>
      <c r="G2323">
        <v>6</v>
      </c>
      <c r="H2323">
        <v>154</v>
      </c>
      <c r="I2323" s="238" t="s">
        <v>43</v>
      </c>
      <c r="J2323">
        <v>68.75</v>
      </c>
      <c r="K2323" s="238" t="s">
        <v>36</v>
      </c>
      <c r="L2323">
        <v>6808400</v>
      </c>
      <c r="M2323">
        <v>15000</v>
      </c>
      <c r="N2323">
        <v>6823400</v>
      </c>
      <c r="O2323">
        <v>99249.454545454544</v>
      </c>
      <c r="P2323">
        <v>0</v>
      </c>
      <c r="Q2323">
        <v>6823400</v>
      </c>
      <c r="R2323">
        <v>99249.454545454544</v>
      </c>
      <c r="S2323" s="238" t="s">
        <v>137</v>
      </c>
      <c r="T2323" s="238" t="s">
        <v>7135</v>
      </c>
      <c r="U2323">
        <v>90000</v>
      </c>
      <c r="V2323" t="s">
        <v>4091</v>
      </c>
      <c r="W2323" s="24">
        <v>45397</v>
      </c>
      <c r="X2323" s="238" t="s">
        <v>7195</v>
      </c>
      <c r="Y2323" s="238" t="s">
        <v>39</v>
      </c>
      <c r="Z2323" s="238" t="s">
        <v>1340</v>
      </c>
      <c r="AA2323" t="s">
        <v>3113</v>
      </c>
      <c r="AB2323" s="238" t="s">
        <v>3246</v>
      </c>
      <c r="AC2323" t="s">
        <v>3079</v>
      </c>
      <c r="AD2323" s="24"/>
      <c r="AE2323" s="238" t="s">
        <v>7196</v>
      </c>
      <c r="AF2323">
        <v>79874398037</v>
      </c>
      <c r="AG2323" s="238" t="s">
        <v>7197</v>
      </c>
      <c r="AH2323" s="238" t="s">
        <v>1212</v>
      </c>
      <c r="AI2323" s="238" t="s">
        <v>135</v>
      </c>
      <c r="AJ2323" s="238" t="s">
        <v>5215</v>
      </c>
      <c r="AK2323" s="238" t="s">
        <v>141</v>
      </c>
      <c r="AL2323" t="s">
        <v>8715</v>
      </c>
      <c r="AM2323" t="s">
        <v>1167</v>
      </c>
    </row>
    <row r="2324" spans="1:39" x14ac:dyDescent="0.25">
      <c r="A2324">
        <v>2321</v>
      </c>
      <c r="B2324">
        <v>21</v>
      </c>
      <c r="C2324" s="24">
        <v>45407</v>
      </c>
      <c r="D2324" s="238" t="s">
        <v>3388</v>
      </c>
      <c r="E2324" s="238" t="s">
        <v>15</v>
      </c>
      <c r="F2324">
        <v>4</v>
      </c>
      <c r="G2324">
        <v>13</v>
      </c>
      <c r="H2324">
        <v>488</v>
      </c>
      <c r="I2324" s="238" t="s">
        <v>43</v>
      </c>
      <c r="J2324">
        <v>58.24</v>
      </c>
      <c r="K2324" s="238" t="s">
        <v>36</v>
      </c>
      <c r="L2324">
        <v>5437400</v>
      </c>
      <c r="M2324">
        <v>0</v>
      </c>
      <c r="N2324">
        <v>5437400</v>
      </c>
      <c r="O2324">
        <v>93361.950549450543</v>
      </c>
      <c r="P2324">
        <v>0</v>
      </c>
      <c r="Q2324">
        <v>5437400</v>
      </c>
      <c r="R2324">
        <v>93361.950549450543</v>
      </c>
      <c r="S2324" s="238" t="s">
        <v>137</v>
      </c>
      <c r="T2324" s="238" t="s">
        <v>7135</v>
      </c>
      <c r="U2324">
        <v>90000</v>
      </c>
      <c r="V2324" t="s">
        <v>4091</v>
      </c>
      <c r="W2324" s="24">
        <v>45400</v>
      </c>
      <c r="X2324" s="238" t="s">
        <v>7198</v>
      </c>
      <c r="Y2324" s="238" t="s">
        <v>39</v>
      </c>
      <c r="Z2324" s="238" t="s">
        <v>1340</v>
      </c>
      <c r="AA2324" t="s">
        <v>3113</v>
      </c>
      <c r="AB2324" s="238" t="s">
        <v>3246</v>
      </c>
      <c r="AC2324" t="s">
        <v>3079</v>
      </c>
      <c r="AD2324" s="24"/>
      <c r="AE2324" s="238" t="s">
        <v>7199</v>
      </c>
      <c r="AF2324">
        <v>79871602748</v>
      </c>
      <c r="AG2324" s="238" t="s">
        <v>7200</v>
      </c>
      <c r="AH2324" s="238" t="s">
        <v>1212</v>
      </c>
      <c r="AI2324" s="238" t="s">
        <v>3074</v>
      </c>
      <c r="AJ2324" s="238" t="s">
        <v>7181</v>
      </c>
      <c r="AK2324" s="238" t="s">
        <v>141</v>
      </c>
      <c r="AL2324" t="s">
        <v>8715</v>
      </c>
      <c r="AM2324" t="s">
        <v>1167</v>
      </c>
    </row>
    <row r="2325" spans="1:39" x14ac:dyDescent="0.25">
      <c r="A2325">
        <v>2322</v>
      </c>
      <c r="B2325">
        <v>22</v>
      </c>
      <c r="C2325" s="24">
        <v>45407</v>
      </c>
      <c r="D2325" s="238" t="s">
        <v>3388</v>
      </c>
      <c r="E2325" s="238" t="s">
        <v>16</v>
      </c>
      <c r="F2325">
        <v>6</v>
      </c>
      <c r="G2325">
        <v>24</v>
      </c>
      <c r="H2325">
        <v>388</v>
      </c>
      <c r="I2325" s="238" t="s">
        <v>44</v>
      </c>
      <c r="J2325">
        <v>80.97</v>
      </c>
      <c r="K2325" s="238" t="s">
        <v>38</v>
      </c>
      <c r="L2325">
        <v>9253600</v>
      </c>
      <c r="M2325">
        <v>0</v>
      </c>
      <c r="N2325">
        <v>9253600</v>
      </c>
      <c r="O2325">
        <v>114284.30282820798</v>
      </c>
      <c r="P2325">
        <v>1619400</v>
      </c>
      <c r="Q2325">
        <v>7634200</v>
      </c>
      <c r="R2325">
        <v>94284.302828207976</v>
      </c>
      <c r="S2325" s="238" t="s">
        <v>137</v>
      </c>
      <c r="T2325" s="238" t="s">
        <v>7135</v>
      </c>
      <c r="U2325">
        <v>90000</v>
      </c>
      <c r="V2325" t="s">
        <v>4093</v>
      </c>
      <c r="W2325" s="24">
        <v>45404</v>
      </c>
      <c r="X2325" s="238" t="s">
        <v>7201</v>
      </c>
      <c r="Y2325" s="238" t="s">
        <v>39</v>
      </c>
      <c r="Z2325" s="238" t="s">
        <v>1340</v>
      </c>
      <c r="AA2325" t="s">
        <v>3113</v>
      </c>
      <c r="AB2325" s="238" t="s">
        <v>3246</v>
      </c>
      <c r="AC2325" t="s">
        <v>3079</v>
      </c>
      <c r="AD2325" s="24"/>
      <c r="AE2325" s="238" t="s">
        <v>7202</v>
      </c>
      <c r="AF2325">
        <v>79967447157</v>
      </c>
      <c r="AG2325" s="238" t="s">
        <v>7203</v>
      </c>
      <c r="AH2325" s="238" t="s">
        <v>1171</v>
      </c>
      <c r="AI2325" s="238" t="s">
        <v>135</v>
      </c>
      <c r="AJ2325" s="238" t="s">
        <v>5215</v>
      </c>
      <c r="AK2325" s="238" t="s">
        <v>3345</v>
      </c>
      <c r="AL2325" t="s">
        <v>8715</v>
      </c>
      <c r="AM2325" t="s">
        <v>1167</v>
      </c>
    </row>
    <row r="2326" spans="1:39" hidden="1" x14ac:dyDescent="0.25">
      <c r="A2326">
        <v>2323</v>
      </c>
      <c r="B2326">
        <v>23</v>
      </c>
      <c r="C2326" s="24">
        <v>45407</v>
      </c>
      <c r="D2326" s="238" t="s">
        <v>91</v>
      </c>
      <c r="E2326" s="238" t="s">
        <v>16</v>
      </c>
      <c r="F2326">
        <v>7</v>
      </c>
      <c r="G2326">
        <v>18</v>
      </c>
      <c r="H2326">
        <v>359</v>
      </c>
      <c r="I2326" s="238" t="s">
        <v>42</v>
      </c>
      <c r="J2326">
        <v>33.840000000000003</v>
      </c>
      <c r="K2326" s="238" t="s">
        <v>38</v>
      </c>
      <c r="L2326">
        <v>5110180</v>
      </c>
      <c r="M2326">
        <v>0</v>
      </c>
      <c r="N2326">
        <v>5110180</v>
      </c>
      <c r="O2326">
        <v>151010.04728132387</v>
      </c>
      <c r="P2326">
        <v>744480.00000000012</v>
      </c>
      <c r="Q2326">
        <v>4365700</v>
      </c>
      <c r="R2326">
        <v>129010.04728132386</v>
      </c>
      <c r="S2326" s="238" t="s">
        <v>137</v>
      </c>
      <c r="T2326" s="238" t="s">
        <v>1167</v>
      </c>
      <c r="V2326" t="s">
        <v>4091</v>
      </c>
      <c r="W2326" s="24">
        <v>45407</v>
      </c>
      <c r="X2326" s="238" t="s">
        <v>7204</v>
      </c>
      <c r="Y2326" s="238" t="s">
        <v>39</v>
      </c>
      <c r="Z2326" s="238" t="s">
        <v>1340</v>
      </c>
      <c r="AA2326" t="s">
        <v>3113</v>
      </c>
      <c r="AB2326" s="238" t="s">
        <v>3246</v>
      </c>
      <c r="AC2326" t="s">
        <v>3079</v>
      </c>
      <c r="AD2326" s="24"/>
      <c r="AE2326" s="238" t="s">
        <v>7205</v>
      </c>
      <c r="AF2326">
        <v>79874357071</v>
      </c>
      <c r="AG2326" s="238" t="s">
        <v>7206</v>
      </c>
      <c r="AH2326" s="238" t="s">
        <v>146</v>
      </c>
      <c r="AI2326" s="238" t="s">
        <v>135</v>
      </c>
      <c r="AJ2326" s="238" t="s">
        <v>5215</v>
      </c>
      <c r="AK2326" s="238" t="s">
        <v>141</v>
      </c>
      <c r="AL2326" t="s">
        <v>8715</v>
      </c>
      <c r="AM2326" t="s">
        <v>1167</v>
      </c>
    </row>
    <row r="2327" spans="1:39" x14ac:dyDescent="0.25">
      <c r="A2327">
        <v>2324</v>
      </c>
      <c r="B2327">
        <v>24</v>
      </c>
      <c r="C2327" s="24">
        <v>45408</v>
      </c>
      <c r="D2327" s="238" t="s">
        <v>3388</v>
      </c>
      <c r="E2327" s="238" t="s">
        <v>15</v>
      </c>
      <c r="F2327">
        <v>7</v>
      </c>
      <c r="G2327">
        <v>12</v>
      </c>
      <c r="H2327">
        <v>483</v>
      </c>
      <c r="I2327" s="238" t="s">
        <v>44</v>
      </c>
      <c r="J2327">
        <v>79.44</v>
      </c>
      <c r="K2327" s="238" t="s">
        <v>36</v>
      </c>
      <c r="L2327">
        <v>7285200</v>
      </c>
      <c r="M2327">
        <v>0</v>
      </c>
      <c r="N2327">
        <v>7285200</v>
      </c>
      <c r="O2327">
        <v>91706.948640483388</v>
      </c>
      <c r="P2327">
        <v>0</v>
      </c>
      <c r="Q2327">
        <v>7285200</v>
      </c>
      <c r="R2327">
        <v>91706.948640483388</v>
      </c>
      <c r="S2327" s="238" t="s">
        <v>137</v>
      </c>
      <c r="T2327" s="238" t="s">
        <v>7135</v>
      </c>
      <c r="U2327">
        <v>90000</v>
      </c>
      <c r="V2327" t="s">
        <v>4092</v>
      </c>
      <c r="W2327" s="24">
        <v>45399</v>
      </c>
      <c r="X2327" s="238" t="s">
        <v>7208</v>
      </c>
      <c r="Y2327" s="238" t="s">
        <v>39</v>
      </c>
      <c r="Z2327" s="238" t="s">
        <v>1340</v>
      </c>
      <c r="AA2327" t="s">
        <v>3113</v>
      </c>
      <c r="AB2327" s="238" t="s">
        <v>3246</v>
      </c>
      <c r="AC2327" t="s">
        <v>3079</v>
      </c>
      <c r="AD2327" s="24"/>
      <c r="AE2327" s="238" t="s">
        <v>7209</v>
      </c>
      <c r="AF2327">
        <v>79379942526</v>
      </c>
      <c r="AG2327" s="238" t="s">
        <v>7210</v>
      </c>
      <c r="AH2327" s="238" t="s">
        <v>1212</v>
      </c>
      <c r="AI2327" s="238" t="s">
        <v>135</v>
      </c>
      <c r="AJ2327" s="238" t="s">
        <v>5215</v>
      </c>
      <c r="AK2327" s="238" t="s">
        <v>3345</v>
      </c>
      <c r="AL2327" t="s">
        <v>8715</v>
      </c>
      <c r="AM2327" t="s">
        <v>1167</v>
      </c>
    </row>
    <row r="2328" spans="1:39" x14ac:dyDescent="0.25">
      <c r="A2328">
        <v>2325</v>
      </c>
      <c r="B2328">
        <v>25</v>
      </c>
      <c r="C2328" s="24">
        <v>45412</v>
      </c>
      <c r="D2328" s="238" t="s">
        <v>3388</v>
      </c>
      <c r="E2328" s="238" t="s">
        <v>15</v>
      </c>
      <c r="F2328">
        <v>7</v>
      </c>
      <c r="G2328">
        <v>16</v>
      </c>
      <c r="H2328">
        <v>515</v>
      </c>
      <c r="I2328" s="238" t="s">
        <v>44</v>
      </c>
      <c r="J2328">
        <v>79.44</v>
      </c>
      <c r="K2328" s="238" t="s">
        <v>36</v>
      </c>
      <c r="L2328">
        <v>7149900</v>
      </c>
      <c r="M2328">
        <v>0</v>
      </c>
      <c r="N2328">
        <v>7149900</v>
      </c>
      <c r="O2328">
        <v>90003.776435045322</v>
      </c>
      <c r="P2328">
        <v>0</v>
      </c>
      <c r="Q2328">
        <v>7149900</v>
      </c>
      <c r="R2328">
        <v>90003.776435045322</v>
      </c>
      <c r="S2328" s="238" t="s">
        <v>137</v>
      </c>
      <c r="T2328" s="238" t="s">
        <v>7135</v>
      </c>
      <c r="U2328">
        <v>90000</v>
      </c>
      <c r="V2328" t="s">
        <v>4093</v>
      </c>
      <c r="W2328" s="24">
        <v>45399</v>
      </c>
      <c r="X2328" s="238" t="s">
        <v>7211</v>
      </c>
      <c r="Y2328" s="238" t="s">
        <v>39</v>
      </c>
      <c r="Z2328" s="238" t="s">
        <v>1340</v>
      </c>
      <c r="AA2328" t="s">
        <v>3113</v>
      </c>
      <c r="AB2328" s="238" t="s">
        <v>3246</v>
      </c>
      <c r="AC2328" t="s">
        <v>3079</v>
      </c>
      <c r="AD2328" s="24"/>
      <c r="AE2328" s="238" t="s">
        <v>7212</v>
      </c>
      <c r="AF2328">
        <v>79276197344</v>
      </c>
      <c r="AG2328" s="238" t="s">
        <v>7213</v>
      </c>
      <c r="AH2328" s="238" t="s">
        <v>1212</v>
      </c>
      <c r="AI2328" s="238" t="s">
        <v>3514</v>
      </c>
      <c r="AJ2328" s="238" t="s">
        <v>5215</v>
      </c>
      <c r="AK2328" s="238" t="s">
        <v>3345</v>
      </c>
      <c r="AL2328" t="s">
        <v>8715</v>
      </c>
      <c r="AM2328" t="s">
        <v>1167</v>
      </c>
    </row>
    <row r="2329" spans="1:39" x14ac:dyDescent="0.25">
      <c r="A2329">
        <v>2326</v>
      </c>
      <c r="B2329">
        <v>26</v>
      </c>
      <c r="C2329" s="24">
        <v>45412</v>
      </c>
      <c r="D2329" s="238" t="s">
        <v>3388</v>
      </c>
      <c r="E2329" s="238" t="s">
        <v>6</v>
      </c>
      <c r="F2329">
        <v>7</v>
      </c>
      <c r="G2329">
        <v>9</v>
      </c>
      <c r="H2329">
        <v>62</v>
      </c>
      <c r="I2329" s="238" t="s">
        <v>42</v>
      </c>
      <c r="J2329">
        <v>42.75</v>
      </c>
      <c r="K2329" s="238" t="s">
        <v>38</v>
      </c>
      <c r="L2329">
        <v>5345906</v>
      </c>
      <c r="M2329">
        <v>0</v>
      </c>
      <c r="N2329">
        <v>5345906</v>
      </c>
      <c r="O2329">
        <v>125050.43274853801</v>
      </c>
      <c r="P2329">
        <v>855000</v>
      </c>
      <c r="Q2329">
        <v>4490906</v>
      </c>
      <c r="R2329">
        <v>105050.43274853801</v>
      </c>
      <c r="S2329" s="238" t="s">
        <v>137</v>
      </c>
      <c r="T2329" s="238" t="s">
        <v>978</v>
      </c>
      <c r="U2329">
        <v>138894</v>
      </c>
      <c r="V2329" t="s">
        <v>4092</v>
      </c>
      <c r="W2329" s="24">
        <v>45405</v>
      </c>
      <c r="X2329" s="238" t="s">
        <v>7214</v>
      </c>
      <c r="Y2329" s="238" t="s">
        <v>39</v>
      </c>
      <c r="Z2329" s="238" t="s">
        <v>1340</v>
      </c>
      <c r="AA2329" t="s">
        <v>3113</v>
      </c>
      <c r="AB2329" s="238" t="s">
        <v>3246</v>
      </c>
      <c r="AC2329" t="s">
        <v>3079</v>
      </c>
      <c r="AD2329" s="24"/>
      <c r="AE2329" s="238" t="s">
        <v>7215</v>
      </c>
      <c r="AF2329">
        <v>79016853637</v>
      </c>
      <c r="AG2329" s="238" t="s">
        <v>7216</v>
      </c>
      <c r="AH2329" s="238" t="s">
        <v>135</v>
      </c>
      <c r="AI2329" s="238" t="s">
        <v>3075</v>
      </c>
      <c r="AJ2329" s="238" t="s">
        <v>4177</v>
      </c>
      <c r="AK2329" s="238" t="s">
        <v>3345</v>
      </c>
      <c r="AL2329" t="s">
        <v>8715</v>
      </c>
      <c r="AM2329" t="s">
        <v>1167</v>
      </c>
    </row>
    <row r="2330" spans="1:39" x14ac:dyDescent="0.25">
      <c r="A2330">
        <v>2327</v>
      </c>
      <c r="B2330">
        <v>27</v>
      </c>
      <c r="C2330" s="24">
        <v>45409</v>
      </c>
      <c r="D2330" s="238" t="s">
        <v>3388</v>
      </c>
      <c r="E2330" s="238" t="s">
        <v>6</v>
      </c>
      <c r="F2330">
        <v>6</v>
      </c>
      <c r="G2330">
        <v>5</v>
      </c>
      <c r="H2330">
        <v>33</v>
      </c>
      <c r="I2330" s="238" t="s">
        <v>43</v>
      </c>
      <c r="J2330">
        <v>58.16</v>
      </c>
      <c r="K2330" s="238" t="s">
        <v>38</v>
      </c>
      <c r="L2330">
        <v>6714000</v>
      </c>
      <c r="M2330">
        <v>15000</v>
      </c>
      <c r="N2330">
        <v>6729000</v>
      </c>
      <c r="O2330">
        <v>115698.0742778542</v>
      </c>
      <c r="P2330">
        <v>1163200</v>
      </c>
      <c r="Q2330">
        <v>5565800</v>
      </c>
      <c r="R2330">
        <v>95698.074277854204</v>
      </c>
      <c r="S2330" s="238" t="s">
        <v>137</v>
      </c>
      <c r="T2330" s="238" t="s">
        <v>4185</v>
      </c>
      <c r="U2330">
        <v>88000</v>
      </c>
      <c r="V2330" t="s">
        <v>4092</v>
      </c>
      <c r="W2330" s="24">
        <v>45380</v>
      </c>
      <c r="X2330" s="238" t="s">
        <v>7217</v>
      </c>
      <c r="Y2330" s="238" t="s">
        <v>39</v>
      </c>
      <c r="Z2330" s="238" t="s">
        <v>1340</v>
      </c>
      <c r="AA2330" t="s">
        <v>3113</v>
      </c>
      <c r="AB2330" s="238" t="s">
        <v>3246</v>
      </c>
      <c r="AC2330" t="s">
        <v>3079</v>
      </c>
      <c r="AD2330" s="24"/>
      <c r="AE2330" s="238" t="s">
        <v>7218</v>
      </c>
      <c r="AF2330">
        <v>79878894893</v>
      </c>
      <c r="AG2330" s="238" t="s">
        <v>7219</v>
      </c>
      <c r="AH2330" s="238" t="s">
        <v>1212</v>
      </c>
      <c r="AI2330" s="238" t="s">
        <v>135</v>
      </c>
      <c r="AJ2330" s="238" t="s">
        <v>5215</v>
      </c>
      <c r="AK2330" s="238" t="s">
        <v>3345</v>
      </c>
      <c r="AL2330" t="s">
        <v>8715</v>
      </c>
      <c r="AM2330" t="s">
        <v>1167</v>
      </c>
    </row>
    <row r="2331" spans="1:39" x14ac:dyDescent="0.25">
      <c r="A2331">
        <v>2328</v>
      </c>
      <c r="B2331">
        <v>1</v>
      </c>
      <c r="C2331" s="24">
        <v>45419</v>
      </c>
      <c r="D2331" s="238" t="s">
        <v>3388</v>
      </c>
      <c r="E2331" s="238" t="s">
        <v>16</v>
      </c>
      <c r="F2331">
        <v>7</v>
      </c>
      <c r="G2331">
        <v>14</v>
      </c>
      <c r="H2331">
        <v>319</v>
      </c>
      <c r="I2331" s="238" t="s">
        <v>42</v>
      </c>
      <c r="J2331">
        <v>34.81</v>
      </c>
      <c r="K2331" s="238" t="s">
        <v>38</v>
      </c>
      <c r="L2331">
        <v>4908500</v>
      </c>
      <c r="M2331">
        <v>0</v>
      </c>
      <c r="N2331">
        <v>4908500</v>
      </c>
      <c r="O2331">
        <v>141008.33093938523</v>
      </c>
      <c r="P2331">
        <v>696200</v>
      </c>
      <c r="Q2331">
        <v>4212300</v>
      </c>
      <c r="R2331">
        <v>121008.33093938523</v>
      </c>
      <c r="S2331" s="238" t="s">
        <v>137</v>
      </c>
      <c r="T2331" s="238" t="s">
        <v>1167</v>
      </c>
      <c r="V2331" t="s">
        <v>4091</v>
      </c>
      <c r="W2331" s="24">
        <v>45414</v>
      </c>
      <c r="X2331" s="238" t="s">
        <v>7220</v>
      </c>
      <c r="Y2331" s="238" t="s">
        <v>39</v>
      </c>
      <c r="Z2331" s="238" t="s">
        <v>1340</v>
      </c>
      <c r="AA2331" t="s">
        <v>3113</v>
      </c>
      <c r="AB2331" s="238" t="s">
        <v>3246</v>
      </c>
      <c r="AC2331" t="s">
        <v>3079</v>
      </c>
      <c r="AD2331" s="24"/>
      <c r="AE2331" s="238" t="s">
        <v>7221</v>
      </c>
      <c r="AF2331">
        <v>79372115551</v>
      </c>
      <c r="AG2331" s="238" t="s">
        <v>7222</v>
      </c>
      <c r="AH2331" s="238" t="s">
        <v>4072</v>
      </c>
      <c r="AI2331" s="238" t="s">
        <v>7173</v>
      </c>
      <c r="AJ2331" s="238" t="s">
        <v>126</v>
      </c>
      <c r="AK2331" s="238" t="s">
        <v>3345</v>
      </c>
      <c r="AL2331" t="s">
        <v>57</v>
      </c>
      <c r="AM2331" t="s">
        <v>1167</v>
      </c>
    </row>
    <row r="2332" spans="1:39" x14ac:dyDescent="0.25">
      <c r="A2332">
        <v>2329</v>
      </c>
      <c r="B2332">
        <v>2</v>
      </c>
      <c r="C2332" s="24">
        <v>45419</v>
      </c>
      <c r="D2332" s="238" t="s">
        <v>3388</v>
      </c>
      <c r="E2332" s="238" t="s">
        <v>16</v>
      </c>
      <c r="F2332">
        <v>6</v>
      </c>
      <c r="G2332">
        <v>15</v>
      </c>
      <c r="H2332">
        <v>325</v>
      </c>
      <c r="I2332" s="238" t="s">
        <v>44</v>
      </c>
      <c r="J2332">
        <v>80.97</v>
      </c>
      <c r="K2332" s="238" t="s">
        <v>6871</v>
      </c>
      <c r="L2332">
        <v>7457185</v>
      </c>
      <c r="M2332">
        <v>0</v>
      </c>
      <c r="N2332">
        <v>7457185</v>
      </c>
      <c r="O2332">
        <v>92098.122761516614</v>
      </c>
      <c r="P2332">
        <v>566790</v>
      </c>
      <c r="Q2332">
        <v>6890395</v>
      </c>
      <c r="R2332">
        <v>85098.122761516614</v>
      </c>
      <c r="S2332" s="238" t="s">
        <v>137</v>
      </c>
      <c r="T2332" s="238" t="s">
        <v>3538</v>
      </c>
      <c r="U2332">
        <v>213105</v>
      </c>
      <c r="V2332" t="s">
        <v>4092</v>
      </c>
      <c r="W2332" s="24">
        <v>45415</v>
      </c>
      <c r="X2332" s="238" t="s">
        <v>7223</v>
      </c>
      <c r="Y2332" s="238" t="s">
        <v>39</v>
      </c>
      <c r="Z2332" s="238" t="s">
        <v>1340</v>
      </c>
      <c r="AA2332" t="s">
        <v>3113</v>
      </c>
      <c r="AB2332" s="238" t="s">
        <v>3246</v>
      </c>
      <c r="AC2332" t="s">
        <v>3079</v>
      </c>
      <c r="AD2332" s="24"/>
      <c r="AE2332" s="238" t="s">
        <v>7224</v>
      </c>
      <c r="AF2332">
        <v>79276046820</v>
      </c>
      <c r="AG2332" s="238" t="s">
        <v>7225</v>
      </c>
      <c r="AH2332" s="238" t="s">
        <v>1171</v>
      </c>
      <c r="AI2332" s="238" t="s">
        <v>3085</v>
      </c>
      <c r="AJ2332" s="238" t="s">
        <v>4177</v>
      </c>
      <c r="AK2332" s="238" t="s">
        <v>141</v>
      </c>
      <c r="AL2332" t="s">
        <v>8715</v>
      </c>
      <c r="AM2332" t="s">
        <v>1167</v>
      </c>
    </row>
    <row r="2333" spans="1:39" x14ac:dyDescent="0.25">
      <c r="A2333">
        <v>2330</v>
      </c>
      <c r="B2333">
        <v>3</v>
      </c>
      <c r="C2333" s="24">
        <v>45420</v>
      </c>
      <c r="D2333" s="238" t="s">
        <v>3388</v>
      </c>
      <c r="E2333" s="238" t="s">
        <v>15</v>
      </c>
      <c r="F2333">
        <v>6</v>
      </c>
      <c r="G2333">
        <v>14</v>
      </c>
      <c r="H2333">
        <v>498</v>
      </c>
      <c r="I2333" s="238" t="s">
        <v>42</v>
      </c>
      <c r="J2333">
        <v>38.299999999999997</v>
      </c>
      <c r="K2333" s="238" t="s">
        <v>6871</v>
      </c>
      <c r="L2333">
        <v>4471500</v>
      </c>
      <c r="M2333">
        <v>0</v>
      </c>
      <c r="N2333">
        <v>4471500</v>
      </c>
      <c r="O2333">
        <v>116749.34725848565</v>
      </c>
      <c r="P2333">
        <v>268100</v>
      </c>
      <c r="Q2333">
        <v>4203400</v>
      </c>
      <c r="R2333">
        <v>109749.34725848565</v>
      </c>
      <c r="S2333" s="238" t="s">
        <v>137</v>
      </c>
      <c r="T2333" s="238" t="s">
        <v>1167</v>
      </c>
      <c r="V2333" t="s">
        <v>4091</v>
      </c>
      <c r="W2333" s="24">
        <v>45412</v>
      </c>
      <c r="X2333" s="238" t="s">
        <v>7226</v>
      </c>
      <c r="Y2333" s="238" t="s">
        <v>39</v>
      </c>
      <c r="Z2333" s="238" t="s">
        <v>1340</v>
      </c>
      <c r="AA2333" t="s">
        <v>3113</v>
      </c>
      <c r="AB2333" s="238" t="s">
        <v>3246</v>
      </c>
      <c r="AC2333" t="s">
        <v>3079</v>
      </c>
      <c r="AD2333" s="24"/>
      <c r="AE2333" s="238" t="s">
        <v>7227</v>
      </c>
      <c r="AF2333">
        <v>79170328454</v>
      </c>
      <c r="AG2333" s="238" t="s">
        <v>7228</v>
      </c>
      <c r="AH2333" s="238" t="s">
        <v>4072</v>
      </c>
      <c r="AI2333" s="238" t="s">
        <v>7173</v>
      </c>
      <c r="AJ2333" s="238" t="s">
        <v>130</v>
      </c>
      <c r="AK2333" s="238" t="s">
        <v>141</v>
      </c>
      <c r="AL2333" t="s">
        <v>57</v>
      </c>
      <c r="AM2333" t="s">
        <v>1167</v>
      </c>
    </row>
    <row r="2334" spans="1:39" hidden="1" x14ac:dyDescent="0.25">
      <c r="A2334">
        <v>2331</v>
      </c>
      <c r="B2334">
        <v>4</v>
      </c>
      <c r="C2334" s="24">
        <v>45425</v>
      </c>
      <c r="D2334" s="238" t="s">
        <v>91</v>
      </c>
      <c r="E2334" s="238" t="s">
        <v>6</v>
      </c>
      <c r="F2334">
        <v>8</v>
      </c>
      <c r="G2334">
        <v>13</v>
      </c>
      <c r="H2334">
        <v>96</v>
      </c>
      <c r="I2334" s="238" t="s">
        <v>4052</v>
      </c>
      <c r="J2334">
        <v>21.73</v>
      </c>
      <c r="K2334" s="238" t="s">
        <v>38</v>
      </c>
      <c r="L2334">
        <v>3532860</v>
      </c>
      <c r="M2334">
        <v>0</v>
      </c>
      <c r="N2334">
        <v>3532860</v>
      </c>
      <c r="O2334">
        <v>162579.84353428439</v>
      </c>
      <c r="P2334">
        <v>478060</v>
      </c>
      <c r="Q2334">
        <v>3054800</v>
      </c>
      <c r="R2334">
        <v>140579.84353428439</v>
      </c>
      <c r="S2334" s="238" t="s">
        <v>137</v>
      </c>
      <c r="T2334" s="238" t="s">
        <v>1167</v>
      </c>
      <c r="V2334" t="s">
        <v>4092</v>
      </c>
      <c r="W2334" s="24">
        <v>45409</v>
      </c>
      <c r="X2334" s="238" t="s">
        <v>7233</v>
      </c>
      <c r="Y2334" s="238" t="s">
        <v>39</v>
      </c>
      <c r="Z2334" s="238" t="s">
        <v>1340</v>
      </c>
      <c r="AA2334" t="s">
        <v>3113</v>
      </c>
      <c r="AB2334" s="238" t="s">
        <v>3246</v>
      </c>
      <c r="AC2334" t="s">
        <v>3079</v>
      </c>
      <c r="AD2334" s="24"/>
      <c r="AE2334" s="238" t="s">
        <v>7234</v>
      </c>
      <c r="AF2334">
        <v>79061256180</v>
      </c>
      <c r="AG2334" s="238" t="s">
        <v>7235</v>
      </c>
      <c r="AH2334" s="238" t="s">
        <v>4072</v>
      </c>
      <c r="AI2334" s="238" t="s">
        <v>7173</v>
      </c>
      <c r="AJ2334" s="238" t="s">
        <v>7181</v>
      </c>
      <c r="AK2334" s="238" t="s">
        <v>3345</v>
      </c>
      <c r="AL2334" t="s">
        <v>57</v>
      </c>
      <c r="AM2334" t="s">
        <v>1167</v>
      </c>
    </row>
    <row r="2335" spans="1:39" x14ac:dyDescent="0.25">
      <c r="A2335">
        <v>2332</v>
      </c>
      <c r="B2335">
        <v>5</v>
      </c>
      <c r="C2335" s="24">
        <v>45427</v>
      </c>
      <c r="D2335" s="238" t="s">
        <v>3388</v>
      </c>
      <c r="E2335" s="238" t="s">
        <v>5</v>
      </c>
      <c r="F2335">
        <v>6</v>
      </c>
      <c r="G2335">
        <v>10</v>
      </c>
      <c r="H2335">
        <v>179</v>
      </c>
      <c r="I2335" s="238" t="s">
        <v>44</v>
      </c>
      <c r="J2335">
        <v>84.99</v>
      </c>
      <c r="K2335" s="238" t="s">
        <v>36</v>
      </c>
      <c r="L2335">
        <v>7351200</v>
      </c>
      <c r="M2335">
        <v>15000</v>
      </c>
      <c r="N2335">
        <v>7366200</v>
      </c>
      <c r="O2335">
        <v>86671.373102717975</v>
      </c>
      <c r="P2335">
        <v>0</v>
      </c>
      <c r="Q2335">
        <v>7366200</v>
      </c>
      <c r="R2335">
        <v>86671.373102717975</v>
      </c>
      <c r="S2335" s="238" t="s">
        <v>137</v>
      </c>
      <c r="T2335" s="238" t="s">
        <v>7135</v>
      </c>
      <c r="U2335">
        <v>90000</v>
      </c>
      <c r="V2335" t="s">
        <v>4093</v>
      </c>
      <c r="W2335" s="24">
        <v>45407</v>
      </c>
      <c r="X2335" s="238" t="s">
        <v>7236</v>
      </c>
      <c r="Y2335" s="238" t="s">
        <v>39</v>
      </c>
      <c r="Z2335" s="238" t="s">
        <v>1340</v>
      </c>
      <c r="AA2335" t="s">
        <v>3113</v>
      </c>
      <c r="AB2335" s="238" t="s">
        <v>3246</v>
      </c>
      <c r="AC2335" t="s">
        <v>3079</v>
      </c>
      <c r="AD2335" s="24"/>
      <c r="AE2335" s="238" t="s">
        <v>7237</v>
      </c>
      <c r="AF2335">
        <v>79276093195</v>
      </c>
      <c r="AG2335" s="238" t="s">
        <v>7238</v>
      </c>
      <c r="AH2335" s="238" t="s">
        <v>1171</v>
      </c>
      <c r="AI2335" s="238" t="s">
        <v>135</v>
      </c>
      <c r="AJ2335" s="238" t="s">
        <v>4177</v>
      </c>
      <c r="AK2335" s="238" t="s">
        <v>141</v>
      </c>
      <c r="AL2335" t="s">
        <v>8715</v>
      </c>
      <c r="AM2335" t="s">
        <v>1167</v>
      </c>
    </row>
    <row r="2336" spans="1:39" x14ac:dyDescent="0.25">
      <c r="A2336">
        <v>2333</v>
      </c>
      <c r="B2336">
        <v>6</v>
      </c>
      <c r="C2336" s="24">
        <v>45427</v>
      </c>
      <c r="D2336" s="238" t="s">
        <v>3388</v>
      </c>
      <c r="E2336" s="238" t="s">
        <v>15</v>
      </c>
      <c r="F2336">
        <v>1</v>
      </c>
      <c r="G2336">
        <v>16</v>
      </c>
      <c r="H2336">
        <v>509</v>
      </c>
      <c r="I2336" s="238" t="s">
        <v>4052</v>
      </c>
      <c r="J2336">
        <v>29.4</v>
      </c>
      <c r="K2336" s="238" t="s">
        <v>38</v>
      </c>
      <c r="L2336">
        <v>3970700</v>
      </c>
      <c r="M2336">
        <v>0</v>
      </c>
      <c r="N2336">
        <v>3970700</v>
      </c>
      <c r="O2336">
        <v>135057.82312925172</v>
      </c>
      <c r="P2336">
        <v>587999.99999999953</v>
      </c>
      <c r="Q2336">
        <v>3382700.0000000005</v>
      </c>
      <c r="R2336">
        <v>115057.82312925172</v>
      </c>
      <c r="S2336" s="238" t="s">
        <v>137</v>
      </c>
      <c r="T2336" s="238" t="s">
        <v>1167</v>
      </c>
      <c r="V2336" t="s">
        <v>4091</v>
      </c>
      <c r="W2336" s="24">
        <v>45414</v>
      </c>
      <c r="X2336" s="238" t="s">
        <v>7239</v>
      </c>
      <c r="Y2336" s="238" t="s">
        <v>39</v>
      </c>
      <c r="Z2336" s="238" t="s">
        <v>1340</v>
      </c>
      <c r="AA2336" t="s">
        <v>3113</v>
      </c>
      <c r="AB2336" s="238" t="s">
        <v>3246</v>
      </c>
      <c r="AC2336" t="s">
        <v>3079</v>
      </c>
      <c r="AD2336" s="24"/>
      <c r="AE2336" s="238" t="s">
        <v>7240</v>
      </c>
      <c r="AF2336">
        <v>79874406383</v>
      </c>
      <c r="AG2336" s="238" t="s">
        <v>7241</v>
      </c>
      <c r="AH2336" s="238" t="s">
        <v>1212</v>
      </c>
      <c r="AI2336" s="238" t="s">
        <v>3102</v>
      </c>
      <c r="AJ2336" s="238" t="s">
        <v>126</v>
      </c>
      <c r="AK2336" s="238" t="s">
        <v>3345</v>
      </c>
      <c r="AL2336" t="s">
        <v>8715</v>
      </c>
      <c r="AM2336" t="s">
        <v>1167</v>
      </c>
    </row>
    <row r="2337" spans="1:39" hidden="1" x14ac:dyDescent="0.25">
      <c r="A2337">
        <v>2334</v>
      </c>
      <c r="B2337">
        <v>7</v>
      </c>
      <c r="C2337" s="24">
        <v>45428</v>
      </c>
      <c r="D2337" s="238" t="s">
        <v>91</v>
      </c>
      <c r="E2337" s="238" t="s">
        <v>16</v>
      </c>
      <c r="F2337">
        <v>2</v>
      </c>
      <c r="G2337">
        <v>17</v>
      </c>
      <c r="H2337">
        <v>347</v>
      </c>
      <c r="I2337" s="238" t="s">
        <v>43</v>
      </c>
      <c r="J2337">
        <v>67.95</v>
      </c>
      <c r="K2337" s="238" t="s">
        <v>37</v>
      </c>
      <c r="L2337">
        <v>6797068</v>
      </c>
      <c r="M2337">
        <v>0</v>
      </c>
      <c r="N2337">
        <v>6797068</v>
      </c>
      <c r="O2337">
        <v>100030.43414275201</v>
      </c>
      <c r="P2337">
        <v>509625</v>
      </c>
      <c r="Q2337">
        <v>6287443</v>
      </c>
      <c r="R2337">
        <v>92530.434142752027</v>
      </c>
      <c r="S2337" s="238" t="s">
        <v>121</v>
      </c>
      <c r="T2337" s="238" t="s">
        <v>6593</v>
      </c>
      <c r="U2337">
        <v>194457</v>
      </c>
      <c r="V2337" t="s">
        <v>1167</v>
      </c>
      <c r="W2337" s="24">
        <v>45425</v>
      </c>
      <c r="X2337" s="238" t="s">
        <v>7242</v>
      </c>
      <c r="Y2337" s="238" t="s">
        <v>39</v>
      </c>
      <c r="Z2337" s="238" t="s">
        <v>1340</v>
      </c>
      <c r="AA2337" t="s">
        <v>3113</v>
      </c>
      <c r="AB2337" s="238" t="s">
        <v>3246</v>
      </c>
      <c r="AC2337" t="s">
        <v>1167</v>
      </c>
      <c r="AD2337" s="24"/>
      <c r="AE2337" s="238" t="s">
        <v>7243</v>
      </c>
      <c r="AF2337">
        <v>79185082371</v>
      </c>
      <c r="AG2337" s="238" t="s">
        <v>7244</v>
      </c>
      <c r="AH2337" s="238" t="s">
        <v>1171</v>
      </c>
      <c r="AI2337" s="238" t="s">
        <v>3082</v>
      </c>
      <c r="AJ2337" s="238" t="s">
        <v>126</v>
      </c>
      <c r="AK2337" s="238" t="s">
        <v>1167</v>
      </c>
      <c r="AL2337" t="s">
        <v>8715</v>
      </c>
      <c r="AM2337" t="s">
        <v>1167</v>
      </c>
    </row>
    <row r="2338" spans="1:39" hidden="1" x14ac:dyDescent="0.25">
      <c r="A2338">
        <v>2335</v>
      </c>
      <c r="B2338">
        <v>8</v>
      </c>
      <c r="C2338" s="24">
        <v>45428</v>
      </c>
      <c r="D2338" s="238" t="s">
        <v>91</v>
      </c>
      <c r="E2338" s="238" t="s">
        <v>6</v>
      </c>
      <c r="F2338">
        <v>6</v>
      </c>
      <c r="G2338">
        <v>9</v>
      </c>
      <c r="H2338">
        <v>62</v>
      </c>
      <c r="I2338" s="238" t="s">
        <v>43</v>
      </c>
      <c r="J2338">
        <v>59.87</v>
      </c>
      <c r="K2338" s="238" t="s">
        <v>37</v>
      </c>
      <c r="L2338">
        <v>6489118</v>
      </c>
      <c r="M2338">
        <v>0</v>
      </c>
      <c r="N2338">
        <v>6489118</v>
      </c>
      <c r="O2338">
        <v>108386.80474361117</v>
      </c>
      <c r="P2338">
        <v>449025</v>
      </c>
      <c r="Q2338">
        <v>6040093</v>
      </c>
      <c r="R2338">
        <v>100886.80474361117</v>
      </c>
      <c r="S2338" s="238" t="s">
        <v>121</v>
      </c>
      <c r="T2338" s="238" t="s">
        <v>6593</v>
      </c>
      <c r="U2338">
        <v>186807</v>
      </c>
      <c r="V2338" t="s">
        <v>1167</v>
      </c>
      <c r="W2338" s="24">
        <v>45425</v>
      </c>
      <c r="X2338" s="238" t="s">
        <v>7245</v>
      </c>
      <c r="Y2338" s="238" t="s">
        <v>39</v>
      </c>
      <c r="Z2338" s="238" t="s">
        <v>1340</v>
      </c>
      <c r="AA2338" t="s">
        <v>3113</v>
      </c>
      <c r="AB2338" s="238" t="s">
        <v>3246</v>
      </c>
      <c r="AC2338" t="s">
        <v>1167</v>
      </c>
      <c r="AD2338" s="24"/>
      <c r="AE2338" s="238" t="s">
        <v>7246</v>
      </c>
      <c r="AF2338">
        <v>79184526115</v>
      </c>
      <c r="AG2338" s="238" t="s">
        <v>7247</v>
      </c>
      <c r="AH2338" s="238" t="s">
        <v>4072</v>
      </c>
      <c r="AI2338" s="238" t="s">
        <v>7040</v>
      </c>
      <c r="AJ2338" s="238" t="s">
        <v>130</v>
      </c>
      <c r="AK2338" s="238" t="s">
        <v>1167</v>
      </c>
      <c r="AL2338" t="s">
        <v>57</v>
      </c>
      <c r="AM2338" t="s">
        <v>1167</v>
      </c>
    </row>
    <row r="2339" spans="1:39" x14ac:dyDescent="0.25">
      <c r="A2339">
        <v>2336</v>
      </c>
      <c r="B2339">
        <v>9</v>
      </c>
      <c r="C2339" s="24">
        <v>45429</v>
      </c>
      <c r="D2339" s="238" t="s">
        <v>3388</v>
      </c>
      <c r="E2339" s="238" t="s">
        <v>16</v>
      </c>
      <c r="F2339">
        <v>3</v>
      </c>
      <c r="G2339">
        <v>22</v>
      </c>
      <c r="H2339">
        <v>371</v>
      </c>
      <c r="I2339" s="238" t="s">
        <v>43</v>
      </c>
      <c r="J2339">
        <v>56.58</v>
      </c>
      <c r="K2339" s="238" t="s">
        <v>38</v>
      </c>
      <c r="L2339">
        <v>6941300</v>
      </c>
      <c r="M2339">
        <v>0</v>
      </c>
      <c r="N2339">
        <v>6941300</v>
      </c>
      <c r="O2339">
        <v>122681.15942028986</v>
      </c>
      <c r="P2339">
        <v>1131600</v>
      </c>
      <c r="Q2339">
        <v>5809700</v>
      </c>
      <c r="R2339">
        <v>102681.15942028986</v>
      </c>
      <c r="S2339" s="238" t="s">
        <v>137</v>
      </c>
      <c r="T2339" s="238" t="s">
        <v>7135</v>
      </c>
      <c r="U2339">
        <v>90000</v>
      </c>
      <c r="V2339" t="s">
        <v>4092</v>
      </c>
      <c r="W2339" s="24">
        <v>45425</v>
      </c>
      <c r="X2339" s="238" t="s">
        <v>7248</v>
      </c>
      <c r="Y2339" s="238" t="s">
        <v>39</v>
      </c>
      <c r="Z2339" s="238" t="s">
        <v>1340</v>
      </c>
      <c r="AA2339" t="s">
        <v>3113</v>
      </c>
      <c r="AB2339" s="238" t="s">
        <v>3246</v>
      </c>
      <c r="AC2339" t="s">
        <v>3079</v>
      </c>
      <c r="AD2339" s="24"/>
      <c r="AE2339" s="238" t="s">
        <v>7249</v>
      </c>
      <c r="AF2339">
        <v>79025174529</v>
      </c>
      <c r="AG2339" s="238" t="s">
        <v>7250</v>
      </c>
      <c r="AH2339" s="238" t="s">
        <v>4072</v>
      </c>
      <c r="AI2339" s="238" t="s">
        <v>7173</v>
      </c>
      <c r="AJ2339" s="238" t="s">
        <v>126</v>
      </c>
      <c r="AK2339" s="238" t="s">
        <v>3345</v>
      </c>
      <c r="AL2339" t="s">
        <v>57</v>
      </c>
      <c r="AM2339" t="s">
        <v>1167</v>
      </c>
    </row>
    <row r="2340" spans="1:39" x14ac:dyDescent="0.25">
      <c r="A2340">
        <v>2337</v>
      </c>
      <c r="B2340">
        <v>10</v>
      </c>
      <c r="C2340" s="24">
        <v>45433</v>
      </c>
      <c r="D2340" s="238" t="s">
        <v>3388</v>
      </c>
      <c r="E2340" s="238" t="s">
        <v>15</v>
      </c>
      <c r="F2340">
        <v>7</v>
      </c>
      <c r="G2340">
        <v>7</v>
      </c>
      <c r="H2340">
        <v>443</v>
      </c>
      <c r="I2340" s="238" t="s">
        <v>44</v>
      </c>
      <c r="J2340">
        <v>79.44</v>
      </c>
      <c r="K2340" s="238" t="s">
        <v>38</v>
      </c>
      <c r="L2340">
        <v>8723700</v>
      </c>
      <c r="M2340">
        <v>15000</v>
      </c>
      <c r="N2340">
        <v>8738700</v>
      </c>
      <c r="O2340">
        <v>110003.77643504532</v>
      </c>
      <c r="P2340">
        <v>1588800</v>
      </c>
      <c r="Q2340">
        <v>7149900</v>
      </c>
      <c r="R2340">
        <v>90003.776435045322</v>
      </c>
      <c r="S2340" s="238" t="s">
        <v>137</v>
      </c>
      <c r="T2340" s="238" t="s">
        <v>7135</v>
      </c>
      <c r="U2340">
        <v>90000</v>
      </c>
      <c r="V2340" t="s">
        <v>4093</v>
      </c>
      <c r="W2340" s="24">
        <v>45407</v>
      </c>
      <c r="X2340" s="238" t="s">
        <v>7251</v>
      </c>
      <c r="Y2340" s="238" t="s">
        <v>39</v>
      </c>
      <c r="Z2340" s="238" t="s">
        <v>1340</v>
      </c>
      <c r="AA2340" t="s">
        <v>3113</v>
      </c>
      <c r="AB2340" s="238" t="s">
        <v>3246</v>
      </c>
      <c r="AC2340" t="s">
        <v>3079</v>
      </c>
      <c r="AD2340" s="24"/>
      <c r="AE2340" s="238" t="s">
        <v>7252</v>
      </c>
      <c r="AF2340">
        <v>79371767198</v>
      </c>
      <c r="AG2340" s="238" t="s">
        <v>7253</v>
      </c>
      <c r="AH2340" s="238" t="s">
        <v>146</v>
      </c>
      <c r="AI2340" s="238" t="s">
        <v>135</v>
      </c>
      <c r="AJ2340" s="238" t="s">
        <v>4177</v>
      </c>
      <c r="AK2340" s="238" t="s">
        <v>3345</v>
      </c>
      <c r="AL2340" t="s">
        <v>8715</v>
      </c>
      <c r="AM2340" t="s">
        <v>1167</v>
      </c>
    </row>
    <row r="2341" spans="1:39" x14ac:dyDescent="0.25">
      <c r="A2341">
        <v>2338</v>
      </c>
      <c r="B2341">
        <v>11</v>
      </c>
      <c r="C2341" s="24">
        <v>45433</v>
      </c>
      <c r="D2341" s="238" t="s">
        <v>3388</v>
      </c>
      <c r="E2341" s="238" t="s">
        <v>5</v>
      </c>
      <c r="F2341">
        <v>1</v>
      </c>
      <c r="G2341">
        <v>12</v>
      </c>
      <c r="H2341">
        <v>188</v>
      </c>
      <c r="I2341" s="238" t="s">
        <v>43</v>
      </c>
      <c r="J2341">
        <v>60.22</v>
      </c>
      <c r="K2341" s="238" t="s">
        <v>6871</v>
      </c>
      <c r="L2341">
        <v>6303340</v>
      </c>
      <c r="M2341">
        <v>0</v>
      </c>
      <c r="N2341">
        <v>6303340</v>
      </c>
      <c r="O2341">
        <v>104671.86981069413</v>
      </c>
      <c r="P2341">
        <v>421540</v>
      </c>
      <c r="Q2341">
        <v>5881800</v>
      </c>
      <c r="R2341">
        <v>97671.86981069413</v>
      </c>
      <c r="S2341" s="238" t="s">
        <v>137</v>
      </c>
      <c r="T2341" s="238" t="s">
        <v>1167</v>
      </c>
      <c r="V2341" t="s">
        <v>4091</v>
      </c>
      <c r="W2341" s="24">
        <v>45425</v>
      </c>
      <c r="X2341" s="238" t="s">
        <v>7254</v>
      </c>
      <c r="Y2341" s="238" t="s">
        <v>39</v>
      </c>
      <c r="Z2341" s="238" t="s">
        <v>1340</v>
      </c>
      <c r="AA2341" t="s">
        <v>3113</v>
      </c>
      <c r="AB2341" s="238" t="s">
        <v>3246</v>
      </c>
      <c r="AC2341" t="s">
        <v>3079</v>
      </c>
      <c r="AD2341" s="24"/>
      <c r="AE2341" s="238" t="s">
        <v>7255</v>
      </c>
      <c r="AF2341">
        <v>79376552780</v>
      </c>
      <c r="AG2341" s="238" t="s">
        <v>7256</v>
      </c>
      <c r="AH2341" s="238" t="s">
        <v>1212</v>
      </c>
      <c r="AI2341" s="238" t="s">
        <v>3514</v>
      </c>
      <c r="AJ2341" s="238" t="s">
        <v>4177</v>
      </c>
      <c r="AK2341" s="238" t="s">
        <v>3345</v>
      </c>
      <c r="AL2341" t="s">
        <v>8715</v>
      </c>
      <c r="AM2341" t="s">
        <v>1167</v>
      </c>
    </row>
    <row r="2342" spans="1:39" x14ac:dyDescent="0.25">
      <c r="A2342">
        <v>2339</v>
      </c>
      <c r="B2342">
        <v>12</v>
      </c>
      <c r="C2342" s="24">
        <v>45433</v>
      </c>
      <c r="D2342" s="238" t="s">
        <v>3388</v>
      </c>
      <c r="E2342" s="238" t="s">
        <v>6</v>
      </c>
      <c r="F2342">
        <v>3</v>
      </c>
      <c r="G2342">
        <v>4</v>
      </c>
      <c r="H2342">
        <v>23</v>
      </c>
      <c r="I2342" s="238" t="s">
        <v>42</v>
      </c>
      <c r="J2342">
        <v>37.729999999999997</v>
      </c>
      <c r="K2342" s="238" t="s">
        <v>38</v>
      </c>
      <c r="L2342">
        <v>5182000</v>
      </c>
      <c r="M2342">
        <v>0</v>
      </c>
      <c r="N2342">
        <v>5182000</v>
      </c>
      <c r="O2342">
        <v>137344.28836469655</v>
      </c>
      <c r="P2342">
        <v>754600</v>
      </c>
      <c r="Q2342">
        <v>4427400</v>
      </c>
      <c r="R2342">
        <v>117344.28836469653</v>
      </c>
      <c r="S2342" s="238" t="s">
        <v>137</v>
      </c>
      <c r="T2342" s="238" t="s">
        <v>1167</v>
      </c>
      <c r="V2342" t="s">
        <v>4092</v>
      </c>
      <c r="W2342" s="24">
        <v>45426</v>
      </c>
      <c r="X2342" s="238" t="s">
        <v>7257</v>
      </c>
      <c r="Y2342" s="238" t="s">
        <v>39</v>
      </c>
      <c r="Z2342" s="238" t="s">
        <v>1340</v>
      </c>
      <c r="AA2342" t="s">
        <v>3113</v>
      </c>
      <c r="AB2342" s="238" t="s">
        <v>3246</v>
      </c>
      <c r="AC2342" t="s">
        <v>3079</v>
      </c>
      <c r="AD2342" s="24"/>
      <c r="AE2342" s="238" t="s">
        <v>7258</v>
      </c>
      <c r="AF2342">
        <v>79262398498</v>
      </c>
      <c r="AG2342" s="238" t="s">
        <v>7259</v>
      </c>
      <c r="AH2342" s="238" t="s">
        <v>4072</v>
      </c>
      <c r="AI2342" s="238" t="s">
        <v>7173</v>
      </c>
      <c r="AJ2342" s="238" t="s">
        <v>126</v>
      </c>
      <c r="AK2342" s="238" t="s">
        <v>141</v>
      </c>
      <c r="AL2342" t="s">
        <v>57</v>
      </c>
      <c r="AM2342" t="s">
        <v>1167</v>
      </c>
    </row>
    <row r="2343" spans="1:39" hidden="1" x14ac:dyDescent="0.25">
      <c r="A2343">
        <v>2340</v>
      </c>
      <c r="B2343">
        <v>13</v>
      </c>
      <c r="C2343" s="24">
        <v>45433</v>
      </c>
      <c r="D2343" s="238" t="s">
        <v>91</v>
      </c>
      <c r="E2343" s="238" t="s">
        <v>5</v>
      </c>
      <c r="F2343">
        <v>2</v>
      </c>
      <c r="G2343">
        <v>15</v>
      </c>
      <c r="H2343">
        <v>226</v>
      </c>
      <c r="I2343" s="238" t="s">
        <v>43</v>
      </c>
      <c r="J2343">
        <v>68.75</v>
      </c>
      <c r="K2343" s="238" t="s">
        <v>37</v>
      </c>
      <c r="L2343">
        <v>7463425</v>
      </c>
      <c r="M2343">
        <v>0</v>
      </c>
      <c r="N2343">
        <v>7463425</v>
      </c>
      <c r="O2343">
        <v>108558.90909090909</v>
      </c>
      <c r="P2343">
        <v>515625</v>
      </c>
      <c r="Q2343">
        <v>6947800</v>
      </c>
      <c r="R2343">
        <v>101058.90909090909</v>
      </c>
      <c r="S2343" s="238" t="s">
        <v>137</v>
      </c>
      <c r="T2343" s="238" t="s">
        <v>1167</v>
      </c>
      <c r="V2343" t="s">
        <v>4092</v>
      </c>
      <c r="W2343" s="24">
        <v>45428</v>
      </c>
      <c r="X2343" s="238" t="s">
        <v>7260</v>
      </c>
      <c r="Y2343" s="238" t="s">
        <v>39</v>
      </c>
      <c r="Z2343" s="238" t="s">
        <v>1340</v>
      </c>
      <c r="AA2343" t="s">
        <v>3113</v>
      </c>
      <c r="AB2343" s="238" t="s">
        <v>3246</v>
      </c>
      <c r="AC2343" t="s">
        <v>3079</v>
      </c>
      <c r="AD2343" s="24"/>
      <c r="AE2343" s="238" t="s">
        <v>7261</v>
      </c>
      <c r="AF2343">
        <v>79677677534</v>
      </c>
      <c r="AG2343" s="238" t="s">
        <v>7262</v>
      </c>
      <c r="AH2343" s="238" t="s">
        <v>1212</v>
      </c>
      <c r="AI2343" s="238" t="s">
        <v>135</v>
      </c>
      <c r="AJ2343" s="238" t="s">
        <v>7181</v>
      </c>
      <c r="AK2343" s="238" t="s">
        <v>141</v>
      </c>
      <c r="AL2343" t="s">
        <v>8715</v>
      </c>
      <c r="AM2343" t="s">
        <v>1167</v>
      </c>
    </row>
    <row r="2344" spans="1:39" x14ac:dyDescent="0.25">
      <c r="A2344">
        <v>2341</v>
      </c>
      <c r="B2344">
        <v>14</v>
      </c>
      <c r="C2344" s="24">
        <v>45433</v>
      </c>
      <c r="D2344" s="238" t="s">
        <v>3388</v>
      </c>
      <c r="E2344" s="238" t="s">
        <v>6</v>
      </c>
      <c r="F2344">
        <v>3</v>
      </c>
      <c r="G2344">
        <v>15</v>
      </c>
      <c r="H2344">
        <v>100</v>
      </c>
      <c r="I2344" s="238" t="s">
        <v>42</v>
      </c>
      <c r="J2344">
        <v>37.729999999999997</v>
      </c>
      <c r="K2344" s="238" t="s">
        <v>38</v>
      </c>
      <c r="L2344">
        <v>5141400</v>
      </c>
      <c r="M2344">
        <v>0</v>
      </c>
      <c r="N2344">
        <v>5141400</v>
      </c>
      <c r="O2344">
        <v>136268.22157434403</v>
      </c>
      <c r="P2344">
        <v>754600</v>
      </c>
      <c r="Q2344">
        <v>4386800</v>
      </c>
      <c r="R2344">
        <v>116268.22157434403</v>
      </c>
      <c r="S2344" s="238" t="s">
        <v>137</v>
      </c>
      <c r="T2344" s="238" t="s">
        <v>1167</v>
      </c>
      <c r="V2344" t="s">
        <v>4092</v>
      </c>
      <c r="W2344" s="24">
        <v>45432</v>
      </c>
      <c r="X2344" s="238" t="s">
        <v>7263</v>
      </c>
      <c r="Y2344" s="238" t="s">
        <v>39</v>
      </c>
      <c r="Z2344" s="238" t="s">
        <v>1340</v>
      </c>
      <c r="AA2344" t="s">
        <v>3113</v>
      </c>
      <c r="AB2344" s="238" t="s">
        <v>3246</v>
      </c>
      <c r="AC2344" t="s">
        <v>3079</v>
      </c>
      <c r="AD2344" s="24"/>
      <c r="AE2344" s="238" t="s">
        <v>7264</v>
      </c>
      <c r="AF2344">
        <v>79271400561</v>
      </c>
      <c r="AG2344" s="238" t="s">
        <v>7265</v>
      </c>
      <c r="AH2344" s="238" t="s">
        <v>4072</v>
      </c>
      <c r="AI2344" s="238" t="s">
        <v>6406</v>
      </c>
      <c r="AJ2344" s="238" t="s">
        <v>5215</v>
      </c>
      <c r="AK2344" s="238" t="s">
        <v>3345</v>
      </c>
      <c r="AL2344" t="s">
        <v>57</v>
      </c>
      <c r="AM2344" t="s">
        <v>1167</v>
      </c>
    </row>
    <row r="2345" spans="1:39" hidden="1" x14ac:dyDescent="0.25">
      <c r="A2345">
        <v>2342</v>
      </c>
      <c r="B2345">
        <v>15</v>
      </c>
      <c r="C2345" s="24">
        <v>45434</v>
      </c>
      <c r="D2345" s="238" t="s">
        <v>91</v>
      </c>
      <c r="E2345" s="238" t="s">
        <v>16</v>
      </c>
      <c r="F2345">
        <v>6</v>
      </c>
      <c r="G2345">
        <v>6</v>
      </c>
      <c r="H2345">
        <v>274</v>
      </c>
      <c r="I2345" s="238" t="s">
        <v>44</v>
      </c>
      <c r="J2345">
        <v>72.510000000000005</v>
      </c>
      <c r="K2345" s="238" t="s">
        <v>36</v>
      </c>
      <c r="L2345">
        <v>6980023</v>
      </c>
      <c r="M2345">
        <v>0</v>
      </c>
      <c r="N2345">
        <v>6980023</v>
      </c>
      <c r="O2345">
        <v>96262.901668735343</v>
      </c>
      <c r="P2345">
        <v>0</v>
      </c>
      <c r="Q2345">
        <v>6980023</v>
      </c>
      <c r="R2345">
        <v>96262.901668735343</v>
      </c>
      <c r="S2345" s="238" t="s">
        <v>137</v>
      </c>
      <c r="T2345" s="238" t="s">
        <v>3538</v>
      </c>
      <c r="U2345">
        <v>215877</v>
      </c>
      <c r="V2345" t="s">
        <v>4092</v>
      </c>
      <c r="W2345" s="24">
        <v>45426</v>
      </c>
      <c r="X2345" s="238" t="s">
        <v>7266</v>
      </c>
      <c r="Y2345" s="238" t="s">
        <v>39</v>
      </c>
      <c r="Z2345" s="238" t="s">
        <v>1340</v>
      </c>
      <c r="AA2345" t="s">
        <v>3113</v>
      </c>
      <c r="AB2345" s="238" t="s">
        <v>3246</v>
      </c>
      <c r="AC2345" t="s">
        <v>3079</v>
      </c>
      <c r="AD2345" s="24"/>
      <c r="AE2345" s="238" t="s">
        <v>7267</v>
      </c>
      <c r="AF2345">
        <v>79963416097</v>
      </c>
      <c r="AG2345" s="238" t="s">
        <v>7268</v>
      </c>
      <c r="AH2345" s="238" t="s">
        <v>1212</v>
      </c>
      <c r="AI2345" s="238" t="s">
        <v>3097</v>
      </c>
      <c r="AJ2345" s="238" t="s">
        <v>4177</v>
      </c>
      <c r="AK2345" s="238" t="s">
        <v>3345</v>
      </c>
      <c r="AL2345" t="s">
        <v>8715</v>
      </c>
      <c r="AM2345" t="s">
        <v>1167</v>
      </c>
    </row>
    <row r="2346" spans="1:39" hidden="1" x14ac:dyDescent="0.25">
      <c r="A2346">
        <v>2343</v>
      </c>
      <c r="B2346">
        <v>16</v>
      </c>
      <c r="C2346" s="24">
        <v>45434</v>
      </c>
      <c r="D2346" s="238" t="s">
        <v>91</v>
      </c>
      <c r="E2346" s="238" t="s">
        <v>16</v>
      </c>
      <c r="F2346">
        <v>6</v>
      </c>
      <c r="G2346">
        <v>13</v>
      </c>
      <c r="H2346">
        <v>323</v>
      </c>
      <c r="I2346" s="238" t="s">
        <v>44</v>
      </c>
      <c r="J2346">
        <v>72.510000000000005</v>
      </c>
      <c r="K2346" s="238" t="s">
        <v>37</v>
      </c>
      <c r="L2346">
        <v>7523848</v>
      </c>
      <c r="M2346">
        <v>0</v>
      </c>
      <c r="N2346">
        <v>7523848</v>
      </c>
      <c r="O2346">
        <v>103762.90166873534</v>
      </c>
      <c r="P2346">
        <v>543825</v>
      </c>
      <c r="Q2346">
        <v>6980023</v>
      </c>
      <c r="R2346">
        <v>96262.901668735343</v>
      </c>
      <c r="S2346" s="238" t="s">
        <v>137</v>
      </c>
      <c r="T2346" s="238" t="s">
        <v>978</v>
      </c>
      <c r="U2346">
        <v>215877</v>
      </c>
      <c r="V2346" t="s">
        <v>4092</v>
      </c>
      <c r="W2346" s="24">
        <v>45432</v>
      </c>
      <c r="X2346" s="238" t="s">
        <v>7269</v>
      </c>
      <c r="Y2346" s="238" t="s">
        <v>39</v>
      </c>
      <c r="Z2346" s="238" t="s">
        <v>1340</v>
      </c>
      <c r="AA2346" t="s">
        <v>3113</v>
      </c>
      <c r="AB2346" s="238" t="s">
        <v>3246</v>
      </c>
      <c r="AC2346" t="s">
        <v>3079</v>
      </c>
      <c r="AD2346" s="24"/>
      <c r="AE2346" s="238" t="s">
        <v>7270</v>
      </c>
      <c r="AF2346">
        <v>79061046954</v>
      </c>
      <c r="AG2346" s="238" t="s">
        <v>7271</v>
      </c>
      <c r="AH2346" s="238" t="s">
        <v>1212</v>
      </c>
      <c r="AI2346" s="238" t="s">
        <v>3074</v>
      </c>
      <c r="AJ2346" s="238" t="s">
        <v>126</v>
      </c>
      <c r="AK2346" s="238" t="s">
        <v>3345</v>
      </c>
      <c r="AL2346" t="s">
        <v>8715</v>
      </c>
      <c r="AM2346" t="s">
        <v>1167</v>
      </c>
    </row>
    <row r="2347" spans="1:39" x14ac:dyDescent="0.25">
      <c r="A2347">
        <v>2344</v>
      </c>
      <c r="B2347">
        <v>17</v>
      </c>
      <c r="C2347" s="24">
        <v>45435</v>
      </c>
      <c r="D2347" s="238" t="s">
        <v>3388</v>
      </c>
      <c r="E2347" s="238" t="s">
        <v>6</v>
      </c>
      <c r="F2347">
        <v>7</v>
      </c>
      <c r="G2347">
        <v>5</v>
      </c>
      <c r="H2347">
        <v>34</v>
      </c>
      <c r="I2347" s="238" t="s">
        <v>42</v>
      </c>
      <c r="J2347">
        <v>42.75</v>
      </c>
      <c r="K2347" s="238" t="s">
        <v>36</v>
      </c>
      <c r="L2347">
        <v>4629800</v>
      </c>
      <c r="M2347">
        <v>0</v>
      </c>
      <c r="N2347">
        <v>4629800</v>
      </c>
      <c r="O2347">
        <v>108299.41520467836</v>
      </c>
      <c r="P2347">
        <v>0</v>
      </c>
      <c r="Q2347">
        <v>4629800</v>
      </c>
      <c r="R2347">
        <v>108299.41520467836</v>
      </c>
      <c r="S2347" s="238" t="s">
        <v>137</v>
      </c>
      <c r="T2347" s="238" t="s">
        <v>1167</v>
      </c>
      <c r="V2347" t="s">
        <v>4091</v>
      </c>
      <c r="W2347" s="24">
        <v>45433</v>
      </c>
      <c r="X2347" s="238" t="s">
        <v>7272</v>
      </c>
      <c r="Y2347" s="238" t="s">
        <v>39</v>
      </c>
      <c r="Z2347" s="238" t="s">
        <v>1340</v>
      </c>
      <c r="AA2347" t="s">
        <v>3113</v>
      </c>
      <c r="AB2347" s="238" t="s">
        <v>3246</v>
      </c>
      <c r="AC2347" t="s">
        <v>3079</v>
      </c>
      <c r="AD2347" s="24"/>
      <c r="AE2347" s="238" t="s">
        <v>7273</v>
      </c>
      <c r="AF2347">
        <v>79297023939</v>
      </c>
      <c r="AG2347" s="238" t="s">
        <v>7274</v>
      </c>
      <c r="AH2347" s="238" t="s">
        <v>4072</v>
      </c>
      <c r="AI2347" s="238" t="s">
        <v>7173</v>
      </c>
      <c r="AJ2347" s="238" t="s">
        <v>130</v>
      </c>
      <c r="AK2347" s="238" t="s">
        <v>141</v>
      </c>
      <c r="AL2347" t="s">
        <v>57</v>
      </c>
      <c r="AM2347" t="s">
        <v>1167</v>
      </c>
    </row>
    <row r="2348" spans="1:39" x14ac:dyDescent="0.25">
      <c r="A2348">
        <v>2345</v>
      </c>
      <c r="B2348">
        <v>18</v>
      </c>
      <c r="C2348" s="24">
        <v>45436</v>
      </c>
      <c r="D2348" s="238" t="s">
        <v>3388</v>
      </c>
      <c r="E2348" s="238" t="s">
        <v>15</v>
      </c>
      <c r="F2348">
        <v>1</v>
      </c>
      <c r="G2348">
        <v>21</v>
      </c>
      <c r="H2348">
        <v>549</v>
      </c>
      <c r="I2348" s="238" t="s">
        <v>4052</v>
      </c>
      <c r="J2348">
        <v>29.4</v>
      </c>
      <c r="K2348" s="238" t="s">
        <v>38</v>
      </c>
      <c r="L2348">
        <v>4236000</v>
      </c>
      <c r="M2348">
        <v>0</v>
      </c>
      <c r="N2348">
        <v>4236000</v>
      </c>
      <c r="O2348">
        <v>144081.63265306124</v>
      </c>
      <c r="P2348">
        <v>587999.99999999953</v>
      </c>
      <c r="Q2348">
        <v>3648000.0000000005</v>
      </c>
      <c r="R2348">
        <v>124081.63265306124</v>
      </c>
      <c r="S2348" s="238" t="s">
        <v>137</v>
      </c>
      <c r="T2348" s="238" t="s">
        <v>1167</v>
      </c>
      <c r="V2348" t="s">
        <v>4092</v>
      </c>
      <c r="W2348" s="24">
        <v>45420</v>
      </c>
      <c r="X2348" s="238" t="s">
        <v>7279</v>
      </c>
      <c r="Y2348" s="238" t="s">
        <v>39</v>
      </c>
      <c r="Z2348" s="238" t="s">
        <v>1340</v>
      </c>
      <c r="AA2348" t="s">
        <v>3113</v>
      </c>
      <c r="AB2348" s="238" t="s">
        <v>3246</v>
      </c>
      <c r="AC2348" t="s">
        <v>3079</v>
      </c>
      <c r="AD2348" s="24"/>
      <c r="AE2348" s="238" t="s">
        <v>4933</v>
      </c>
      <c r="AF2348">
        <v>79272101156</v>
      </c>
      <c r="AG2348" s="238" t="s">
        <v>4934</v>
      </c>
      <c r="AH2348" s="238" t="s">
        <v>1212</v>
      </c>
      <c r="AI2348" s="238" t="s">
        <v>3097</v>
      </c>
      <c r="AJ2348" s="238" t="s">
        <v>130</v>
      </c>
      <c r="AK2348" s="238" t="s">
        <v>141</v>
      </c>
      <c r="AL2348" t="s">
        <v>8715</v>
      </c>
      <c r="AM2348" t="s">
        <v>1167</v>
      </c>
    </row>
    <row r="2349" spans="1:39" hidden="1" x14ac:dyDescent="0.25">
      <c r="A2349">
        <v>2346</v>
      </c>
      <c r="B2349">
        <v>19</v>
      </c>
      <c r="C2349" s="24">
        <v>45436</v>
      </c>
      <c r="D2349" s="238" t="s">
        <v>91</v>
      </c>
      <c r="E2349" s="238" t="s">
        <v>6</v>
      </c>
      <c r="F2349">
        <v>8</v>
      </c>
      <c r="G2349">
        <v>15</v>
      </c>
      <c r="H2349">
        <v>112</v>
      </c>
      <c r="I2349" s="238" t="s">
        <v>4052</v>
      </c>
      <c r="J2349">
        <v>21.73</v>
      </c>
      <c r="K2349" s="238" t="s">
        <v>37</v>
      </c>
      <c r="L2349">
        <v>3126131</v>
      </c>
      <c r="M2349">
        <v>0</v>
      </c>
      <c r="N2349">
        <v>3126131</v>
      </c>
      <c r="O2349">
        <v>143862.44822825587</v>
      </c>
      <c r="P2349">
        <v>162975</v>
      </c>
      <c r="Q2349">
        <v>2963156</v>
      </c>
      <c r="R2349">
        <v>136362.44822825587</v>
      </c>
      <c r="S2349" s="238" t="s">
        <v>121</v>
      </c>
      <c r="T2349" s="238" t="s">
        <v>6593</v>
      </c>
      <c r="U2349">
        <v>91644</v>
      </c>
      <c r="V2349" t="s">
        <v>1167</v>
      </c>
      <c r="W2349" s="24">
        <v>45426</v>
      </c>
      <c r="X2349" s="238" t="s">
        <v>7280</v>
      </c>
      <c r="Y2349" s="238" t="s">
        <v>39</v>
      </c>
      <c r="Z2349" s="238" t="s">
        <v>1340</v>
      </c>
      <c r="AA2349" t="s">
        <v>3113</v>
      </c>
      <c r="AB2349" s="238" t="s">
        <v>3246</v>
      </c>
      <c r="AC2349" t="s">
        <v>1167</v>
      </c>
      <c r="AD2349" s="24"/>
      <c r="AE2349" s="238" t="s">
        <v>7281</v>
      </c>
      <c r="AF2349">
        <v>79276991561</v>
      </c>
      <c r="AG2349" s="238" t="s">
        <v>7282</v>
      </c>
      <c r="AH2349" s="238" t="s">
        <v>1212</v>
      </c>
      <c r="AI2349" s="238" t="s">
        <v>135</v>
      </c>
      <c r="AJ2349" s="238" t="s">
        <v>126</v>
      </c>
      <c r="AK2349" s="238" t="s">
        <v>1167</v>
      </c>
      <c r="AL2349" t="s">
        <v>8715</v>
      </c>
      <c r="AM2349" t="s">
        <v>1167</v>
      </c>
    </row>
    <row r="2350" spans="1:39" x14ac:dyDescent="0.25">
      <c r="A2350">
        <v>2347</v>
      </c>
      <c r="B2350">
        <v>20</v>
      </c>
      <c r="C2350" s="24">
        <v>45436</v>
      </c>
      <c r="D2350" s="238" t="s">
        <v>3388</v>
      </c>
      <c r="E2350" s="238" t="s">
        <v>16</v>
      </c>
      <c r="F2350">
        <v>3</v>
      </c>
      <c r="G2350">
        <v>7</v>
      </c>
      <c r="H2350">
        <v>266</v>
      </c>
      <c r="I2350" s="238" t="s">
        <v>43</v>
      </c>
      <c r="J2350">
        <v>56.58</v>
      </c>
      <c r="K2350" s="238" t="s">
        <v>6871</v>
      </c>
      <c r="L2350">
        <v>5880760</v>
      </c>
      <c r="M2350">
        <v>0</v>
      </c>
      <c r="N2350">
        <v>5880760</v>
      </c>
      <c r="O2350">
        <v>103937.08024036762</v>
      </c>
      <c r="P2350">
        <v>396060</v>
      </c>
      <c r="Q2350">
        <v>5484700</v>
      </c>
      <c r="R2350">
        <v>96937.080240367621</v>
      </c>
      <c r="S2350" s="238" t="s">
        <v>137</v>
      </c>
      <c r="T2350" s="238" t="s">
        <v>1167</v>
      </c>
      <c r="V2350" t="s">
        <v>4092</v>
      </c>
      <c r="W2350" s="24">
        <v>45434</v>
      </c>
      <c r="X2350" s="238" t="s">
        <v>7283</v>
      </c>
      <c r="Y2350" s="238" t="s">
        <v>39</v>
      </c>
      <c r="Z2350" s="238" t="s">
        <v>1340</v>
      </c>
      <c r="AA2350" t="s">
        <v>3113</v>
      </c>
      <c r="AB2350" s="238" t="s">
        <v>3246</v>
      </c>
      <c r="AC2350" t="s">
        <v>3079</v>
      </c>
      <c r="AD2350" s="24"/>
      <c r="AE2350" s="238" t="s">
        <v>7284</v>
      </c>
      <c r="AF2350">
        <v>79279099096</v>
      </c>
      <c r="AG2350" s="238" t="s">
        <v>7285</v>
      </c>
      <c r="AH2350" s="238" t="s">
        <v>4072</v>
      </c>
      <c r="AI2350" s="238" t="s">
        <v>7286</v>
      </c>
      <c r="AJ2350" s="238" t="s">
        <v>126</v>
      </c>
      <c r="AK2350" s="238" t="s">
        <v>141</v>
      </c>
      <c r="AL2350" t="s">
        <v>57</v>
      </c>
      <c r="AM2350" t="s">
        <v>1167</v>
      </c>
    </row>
    <row r="2351" spans="1:39" hidden="1" x14ac:dyDescent="0.25">
      <c r="A2351">
        <v>2348</v>
      </c>
      <c r="B2351">
        <v>21</v>
      </c>
      <c r="C2351" s="24">
        <v>45439</v>
      </c>
      <c r="D2351" s="238" t="s">
        <v>91</v>
      </c>
      <c r="E2351" s="238" t="s">
        <v>16</v>
      </c>
      <c r="F2351">
        <v>6</v>
      </c>
      <c r="G2351">
        <v>7</v>
      </c>
      <c r="H2351">
        <v>281</v>
      </c>
      <c r="I2351" s="238" t="s">
        <v>44</v>
      </c>
      <c r="J2351">
        <v>72.510000000000005</v>
      </c>
      <c r="K2351" s="238" t="s">
        <v>37</v>
      </c>
      <c r="L2351">
        <v>7675025</v>
      </c>
      <c r="M2351">
        <v>0</v>
      </c>
      <c r="N2351">
        <v>7675025</v>
      </c>
      <c r="O2351">
        <v>105847.81409460763</v>
      </c>
      <c r="P2351">
        <v>543825</v>
      </c>
      <c r="Q2351">
        <v>7131200</v>
      </c>
      <c r="R2351">
        <v>98347.814094607631</v>
      </c>
      <c r="S2351" s="238" t="s">
        <v>137</v>
      </c>
      <c r="T2351" s="238" t="s">
        <v>1167</v>
      </c>
      <c r="V2351" t="s">
        <v>4091</v>
      </c>
      <c r="W2351" s="24">
        <v>45432</v>
      </c>
      <c r="X2351" s="238" t="s">
        <v>7288</v>
      </c>
      <c r="Y2351" s="238" t="s">
        <v>39</v>
      </c>
      <c r="Z2351" s="238" t="s">
        <v>1340</v>
      </c>
      <c r="AA2351" t="s">
        <v>3113</v>
      </c>
      <c r="AB2351" s="238" t="s">
        <v>3246</v>
      </c>
      <c r="AC2351" t="s">
        <v>3079</v>
      </c>
      <c r="AD2351" s="24"/>
      <c r="AE2351" s="238" t="s">
        <v>7289</v>
      </c>
      <c r="AF2351">
        <v>79050186286</v>
      </c>
      <c r="AG2351" s="238" t="s">
        <v>7290</v>
      </c>
      <c r="AH2351" s="238" t="s">
        <v>1171</v>
      </c>
      <c r="AI2351" s="238" t="s">
        <v>135</v>
      </c>
      <c r="AJ2351" s="238" t="s">
        <v>126</v>
      </c>
      <c r="AK2351" s="238" t="s">
        <v>3345</v>
      </c>
      <c r="AL2351" t="s">
        <v>8715</v>
      </c>
      <c r="AM2351" t="s">
        <v>1167</v>
      </c>
    </row>
    <row r="2352" spans="1:39" x14ac:dyDescent="0.25">
      <c r="A2352">
        <v>2349</v>
      </c>
      <c r="B2352">
        <v>22</v>
      </c>
      <c r="C2352" s="24">
        <v>45439</v>
      </c>
      <c r="D2352" s="238" t="s">
        <v>3388</v>
      </c>
      <c r="E2352" s="238" t="s">
        <v>6</v>
      </c>
      <c r="F2352">
        <v>7</v>
      </c>
      <c r="G2352">
        <v>6</v>
      </c>
      <c r="H2352">
        <v>41</v>
      </c>
      <c r="I2352" s="238" t="s">
        <v>42</v>
      </c>
      <c r="J2352">
        <v>42.75</v>
      </c>
      <c r="K2352" s="238" t="s">
        <v>6871</v>
      </c>
      <c r="L2352">
        <v>4929050</v>
      </c>
      <c r="M2352">
        <v>0</v>
      </c>
      <c r="N2352">
        <v>4929050</v>
      </c>
      <c r="O2352">
        <v>115299.41520467836</v>
      </c>
      <c r="P2352">
        <v>299250</v>
      </c>
      <c r="Q2352">
        <v>4629800</v>
      </c>
      <c r="R2352">
        <v>108299.41520467836</v>
      </c>
      <c r="S2352" s="238" t="s">
        <v>137</v>
      </c>
      <c r="T2352" s="238" t="s">
        <v>1167</v>
      </c>
      <c r="V2352" t="s">
        <v>4092</v>
      </c>
      <c r="W2352" s="24">
        <v>45432</v>
      </c>
      <c r="X2352" s="238" t="s">
        <v>7291</v>
      </c>
      <c r="Y2352" s="238" t="s">
        <v>39</v>
      </c>
      <c r="Z2352" s="238" t="s">
        <v>1340</v>
      </c>
      <c r="AA2352" t="s">
        <v>3113</v>
      </c>
      <c r="AB2352" s="238" t="s">
        <v>3246</v>
      </c>
      <c r="AC2352" t="s">
        <v>3079</v>
      </c>
      <c r="AD2352" s="24"/>
      <c r="AE2352" s="238" t="s">
        <v>7292</v>
      </c>
      <c r="AF2352">
        <v>79276574297</v>
      </c>
      <c r="AG2352" s="238" t="s">
        <v>7293</v>
      </c>
      <c r="AH2352" s="238" t="s">
        <v>1171</v>
      </c>
      <c r="AI2352" s="238" t="s">
        <v>3109</v>
      </c>
      <c r="AJ2352" s="238" t="s">
        <v>7181</v>
      </c>
      <c r="AK2352" s="238" t="s">
        <v>3345</v>
      </c>
      <c r="AL2352" t="s">
        <v>8715</v>
      </c>
      <c r="AM2352" t="s">
        <v>4996</v>
      </c>
    </row>
    <row r="2353" spans="1:39" x14ac:dyDescent="0.25">
      <c r="A2353">
        <v>2350</v>
      </c>
      <c r="B2353">
        <v>23</v>
      </c>
      <c r="C2353" s="24">
        <v>45439</v>
      </c>
      <c r="D2353" s="238" t="s">
        <v>3388</v>
      </c>
      <c r="E2353" s="238" t="s">
        <v>16</v>
      </c>
      <c r="F2353">
        <v>3</v>
      </c>
      <c r="G2353">
        <v>8</v>
      </c>
      <c r="H2353">
        <v>273</v>
      </c>
      <c r="I2353" s="238" t="s">
        <v>43</v>
      </c>
      <c r="J2353">
        <v>56.58</v>
      </c>
      <c r="K2353" s="238" t="s">
        <v>6871</v>
      </c>
      <c r="L2353">
        <v>5773760</v>
      </c>
      <c r="M2353">
        <v>15000</v>
      </c>
      <c r="N2353">
        <v>5788760</v>
      </c>
      <c r="O2353">
        <v>102311.06398020503</v>
      </c>
      <c r="P2353">
        <v>396060</v>
      </c>
      <c r="Q2353">
        <v>5392700</v>
      </c>
      <c r="R2353">
        <v>95311.063980205028</v>
      </c>
      <c r="S2353" s="238" t="s">
        <v>137</v>
      </c>
      <c r="T2353" s="238" t="s">
        <v>7135</v>
      </c>
      <c r="U2353">
        <v>90000</v>
      </c>
      <c r="V2353" t="s">
        <v>4092</v>
      </c>
      <c r="W2353" s="24">
        <v>45419</v>
      </c>
      <c r="X2353" s="238" t="s">
        <v>7294</v>
      </c>
      <c r="Y2353" s="238" t="s">
        <v>39</v>
      </c>
      <c r="Z2353" s="238" t="s">
        <v>1340</v>
      </c>
      <c r="AA2353" t="s">
        <v>3113</v>
      </c>
      <c r="AB2353" s="238" t="s">
        <v>3246</v>
      </c>
      <c r="AC2353" t="s">
        <v>3079</v>
      </c>
      <c r="AD2353" s="24"/>
      <c r="AE2353" s="238" t="s">
        <v>7295</v>
      </c>
      <c r="AF2353">
        <v>79272663164</v>
      </c>
      <c r="AG2353" s="238" t="s">
        <v>7296</v>
      </c>
      <c r="AH2353" s="238" t="s">
        <v>135</v>
      </c>
      <c r="AI2353" s="238" t="s">
        <v>3075</v>
      </c>
      <c r="AJ2353" s="238" t="s">
        <v>5215</v>
      </c>
      <c r="AK2353" s="238" t="s">
        <v>141</v>
      </c>
      <c r="AL2353" t="s">
        <v>8715</v>
      </c>
      <c r="AM2353" t="s">
        <v>1167</v>
      </c>
    </row>
    <row r="2354" spans="1:39" x14ac:dyDescent="0.25">
      <c r="A2354">
        <v>2351</v>
      </c>
      <c r="B2354">
        <v>24</v>
      </c>
      <c r="C2354" s="24">
        <v>45440</v>
      </c>
      <c r="D2354" s="238" t="s">
        <v>3388</v>
      </c>
      <c r="E2354" s="238" t="s">
        <v>15</v>
      </c>
      <c r="F2354">
        <v>3</v>
      </c>
      <c r="G2354">
        <v>9</v>
      </c>
      <c r="H2354">
        <v>455</v>
      </c>
      <c r="I2354" s="238" t="s">
        <v>4052</v>
      </c>
      <c r="J2354">
        <v>24.5</v>
      </c>
      <c r="K2354" s="238" t="s">
        <v>38</v>
      </c>
      <c r="L2354">
        <v>3364200</v>
      </c>
      <c r="M2354">
        <v>0</v>
      </c>
      <c r="N2354">
        <v>3364200</v>
      </c>
      <c r="O2354">
        <v>137314.28571428571</v>
      </c>
      <c r="P2354">
        <v>490000</v>
      </c>
      <c r="Q2354">
        <v>2874200</v>
      </c>
      <c r="R2354">
        <v>117314.28571428571</v>
      </c>
      <c r="S2354" s="238" t="s">
        <v>137</v>
      </c>
      <c r="T2354" s="238" t="s">
        <v>1167</v>
      </c>
      <c r="V2354" t="s">
        <v>4091</v>
      </c>
      <c r="W2354" s="24">
        <v>45418</v>
      </c>
      <c r="X2354" s="238" t="s">
        <v>7297</v>
      </c>
      <c r="Y2354" s="238" t="s">
        <v>39</v>
      </c>
      <c r="Z2354" s="238" t="s">
        <v>1340</v>
      </c>
      <c r="AA2354" t="s">
        <v>3474</v>
      </c>
      <c r="AB2354" s="238" t="s">
        <v>3246</v>
      </c>
      <c r="AC2354" t="s">
        <v>3077</v>
      </c>
      <c r="AD2354" s="24"/>
      <c r="AE2354" s="238" t="s">
        <v>7298</v>
      </c>
      <c r="AF2354">
        <v>79682770721</v>
      </c>
      <c r="AG2354" s="238" t="s">
        <v>7299</v>
      </c>
      <c r="AH2354" s="238" t="s">
        <v>1212</v>
      </c>
      <c r="AI2354" s="238" t="s">
        <v>3103</v>
      </c>
      <c r="AJ2354" s="238" t="s">
        <v>126</v>
      </c>
      <c r="AK2354" s="238" t="s">
        <v>3345</v>
      </c>
      <c r="AL2354" t="s">
        <v>8715</v>
      </c>
      <c r="AM2354" t="s">
        <v>1167</v>
      </c>
    </row>
    <row r="2355" spans="1:39" x14ac:dyDescent="0.25">
      <c r="A2355">
        <v>2352</v>
      </c>
      <c r="B2355">
        <v>25</v>
      </c>
      <c r="C2355" s="24">
        <v>45440</v>
      </c>
      <c r="D2355" s="238" t="s">
        <v>3388</v>
      </c>
      <c r="E2355" s="238" t="s">
        <v>5</v>
      </c>
      <c r="F2355">
        <v>3</v>
      </c>
      <c r="G2355">
        <v>15</v>
      </c>
      <c r="H2355">
        <v>211</v>
      </c>
      <c r="I2355" s="238" t="s">
        <v>43</v>
      </c>
      <c r="J2355">
        <v>57.6</v>
      </c>
      <c r="K2355" s="238" t="s">
        <v>38</v>
      </c>
      <c r="L2355">
        <v>6619800</v>
      </c>
      <c r="M2355">
        <v>0</v>
      </c>
      <c r="N2355">
        <v>6619800</v>
      </c>
      <c r="O2355">
        <v>114927.08333333333</v>
      </c>
      <c r="P2355">
        <v>1152000</v>
      </c>
      <c r="Q2355">
        <v>5467800</v>
      </c>
      <c r="R2355">
        <v>94927.083333333328</v>
      </c>
      <c r="S2355" s="238" t="s">
        <v>137</v>
      </c>
      <c r="T2355" s="238" t="s">
        <v>1167</v>
      </c>
      <c r="V2355" t="s">
        <v>4091</v>
      </c>
      <c r="W2355" s="24">
        <v>45437</v>
      </c>
      <c r="X2355" s="238" t="s">
        <v>7300</v>
      </c>
      <c r="Y2355" s="238" t="s">
        <v>39</v>
      </c>
      <c r="Z2355" s="238" t="s">
        <v>1340</v>
      </c>
      <c r="AA2355" t="s">
        <v>3113</v>
      </c>
      <c r="AB2355" s="238" t="s">
        <v>3246</v>
      </c>
      <c r="AC2355" t="s">
        <v>3079</v>
      </c>
      <c r="AD2355" s="24"/>
      <c r="AE2355" s="238" t="s">
        <v>7301</v>
      </c>
      <c r="AF2355">
        <v>79276520852</v>
      </c>
      <c r="AG2355" s="238" t="s">
        <v>7302</v>
      </c>
      <c r="AH2355" s="238" t="s">
        <v>1212</v>
      </c>
      <c r="AI2355" s="238" t="s">
        <v>135</v>
      </c>
      <c r="AJ2355" s="238" t="s">
        <v>130</v>
      </c>
      <c r="AK2355" s="238" t="s">
        <v>141</v>
      </c>
      <c r="AL2355" t="s">
        <v>8715</v>
      </c>
      <c r="AM2355" t="s">
        <v>1167</v>
      </c>
    </row>
    <row r="2356" spans="1:39" x14ac:dyDescent="0.25">
      <c r="A2356">
        <v>2353</v>
      </c>
      <c r="B2356">
        <v>26</v>
      </c>
      <c r="C2356" s="24">
        <v>45440</v>
      </c>
      <c r="D2356" s="238" t="s">
        <v>3388</v>
      </c>
      <c r="E2356" s="238" t="s">
        <v>16</v>
      </c>
      <c r="F2356">
        <v>5</v>
      </c>
      <c r="G2356">
        <v>12</v>
      </c>
      <c r="H2356">
        <v>303</v>
      </c>
      <c r="I2356" s="238" t="s">
        <v>42</v>
      </c>
      <c r="J2356">
        <v>37.81</v>
      </c>
      <c r="K2356" s="238" t="s">
        <v>6871</v>
      </c>
      <c r="L2356">
        <v>4695570</v>
      </c>
      <c r="M2356">
        <v>0</v>
      </c>
      <c r="N2356">
        <v>4695570</v>
      </c>
      <c r="O2356">
        <v>124188.57445120337</v>
      </c>
      <c r="P2356">
        <v>264670</v>
      </c>
      <c r="Q2356">
        <v>4430900</v>
      </c>
      <c r="R2356">
        <v>117188.57445120339</v>
      </c>
      <c r="S2356" s="238" t="s">
        <v>137</v>
      </c>
      <c r="T2356" s="238" t="s">
        <v>1167</v>
      </c>
      <c r="V2356" t="s">
        <v>4091</v>
      </c>
      <c r="W2356" s="24">
        <v>45439</v>
      </c>
      <c r="X2356" s="238" t="s">
        <v>7303</v>
      </c>
      <c r="Y2356" s="238" t="s">
        <v>39</v>
      </c>
      <c r="Z2356" s="238" t="s">
        <v>1340</v>
      </c>
      <c r="AA2356" t="s">
        <v>3113</v>
      </c>
      <c r="AB2356" s="238" t="s">
        <v>3246</v>
      </c>
      <c r="AC2356" t="s">
        <v>3079</v>
      </c>
      <c r="AD2356" s="24"/>
      <c r="AE2356" s="238" t="s">
        <v>7304</v>
      </c>
      <c r="AF2356">
        <v>79376575120</v>
      </c>
      <c r="AG2356" s="238" t="s">
        <v>7305</v>
      </c>
      <c r="AH2356" s="238" t="s">
        <v>4072</v>
      </c>
      <c r="AI2356" s="238" t="s">
        <v>7040</v>
      </c>
      <c r="AJ2356" s="238" t="s">
        <v>4177</v>
      </c>
      <c r="AK2356" s="238" t="s">
        <v>141</v>
      </c>
      <c r="AL2356" t="s">
        <v>57</v>
      </c>
      <c r="AM2356" t="s">
        <v>4996</v>
      </c>
    </row>
    <row r="2357" spans="1:39" x14ac:dyDescent="0.25">
      <c r="A2357">
        <v>2354</v>
      </c>
      <c r="B2357">
        <v>27</v>
      </c>
      <c r="C2357" s="24">
        <v>45441</v>
      </c>
      <c r="D2357" s="238" t="s">
        <v>3388</v>
      </c>
      <c r="E2357" s="238" t="s">
        <v>15</v>
      </c>
      <c r="F2357">
        <v>8</v>
      </c>
      <c r="G2357">
        <v>7</v>
      </c>
      <c r="H2357">
        <v>444</v>
      </c>
      <c r="I2357" s="238" t="s">
        <v>42</v>
      </c>
      <c r="J2357">
        <v>39.69</v>
      </c>
      <c r="K2357" s="238" t="s">
        <v>6871</v>
      </c>
      <c r="L2357">
        <v>4638630</v>
      </c>
      <c r="M2357">
        <v>0</v>
      </c>
      <c r="N2357">
        <v>4638630</v>
      </c>
      <c r="O2357">
        <v>116871.50415721846</v>
      </c>
      <c r="P2357">
        <v>277830</v>
      </c>
      <c r="Q2357">
        <v>4360800</v>
      </c>
      <c r="R2357">
        <v>109871.50415721846</v>
      </c>
      <c r="S2357" s="238" t="s">
        <v>137</v>
      </c>
      <c r="T2357" s="238" t="s">
        <v>1167</v>
      </c>
      <c r="V2357" t="s">
        <v>4092</v>
      </c>
      <c r="W2357" s="24">
        <v>45434</v>
      </c>
      <c r="X2357" s="238" t="s">
        <v>7306</v>
      </c>
      <c r="Y2357" s="238" t="s">
        <v>39</v>
      </c>
      <c r="Z2357" s="238" t="s">
        <v>1340</v>
      </c>
      <c r="AA2357" t="s">
        <v>3113</v>
      </c>
      <c r="AB2357" s="238" t="s">
        <v>3246</v>
      </c>
      <c r="AC2357" t="s">
        <v>3079</v>
      </c>
      <c r="AD2357" s="24"/>
      <c r="AE2357" s="238" t="s">
        <v>7307</v>
      </c>
      <c r="AF2357">
        <v>79939452257</v>
      </c>
      <c r="AG2357" s="238" t="s">
        <v>7308</v>
      </c>
      <c r="AH2357" s="238" t="s">
        <v>4072</v>
      </c>
      <c r="AI2357" s="238" t="s">
        <v>7173</v>
      </c>
      <c r="AJ2357" s="238" t="s">
        <v>126</v>
      </c>
      <c r="AK2357" s="238" t="s">
        <v>141</v>
      </c>
      <c r="AL2357" t="s">
        <v>57</v>
      </c>
      <c r="AM2357" t="s">
        <v>1167</v>
      </c>
    </row>
    <row r="2358" spans="1:39" x14ac:dyDescent="0.25">
      <c r="A2358">
        <v>2355</v>
      </c>
      <c r="B2358">
        <v>28</v>
      </c>
      <c r="C2358" s="24">
        <v>45441</v>
      </c>
      <c r="D2358" s="238" t="s">
        <v>3388</v>
      </c>
      <c r="E2358" s="238" t="s">
        <v>16</v>
      </c>
      <c r="F2358">
        <v>2</v>
      </c>
      <c r="G2358">
        <v>6</v>
      </c>
      <c r="H2358">
        <v>258</v>
      </c>
      <c r="I2358" s="238" t="s">
        <v>4052</v>
      </c>
      <c r="J2358">
        <v>24.53</v>
      </c>
      <c r="K2358" s="238" t="s">
        <v>38</v>
      </c>
      <c r="L2358">
        <v>3594200</v>
      </c>
      <c r="M2358">
        <v>0</v>
      </c>
      <c r="N2358">
        <v>3594200</v>
      </c>
      <c r="O2358">
        <v>146522.62535670606</v>
      </c>
      <c r="P2358">
        <v>490600</v>
      </c>
      <c r="Q2358">
        <v>3103600</v>
      </c>
      <c r="R2358">
        <v>126522.62535670606</v>
      </c>
      <c r="S2358" s="238" t="s">
        <v>137</v>
      </c>
      <c r="T2358" s="238" t="s">
        <v>1167</v>
      </c>
      <c r="V2358" t="s">
        <v>4091</v>
      </c>
      <c r="W2358" s="24">
        <v>45436</v>
      </c>
      <c r="X2358" s="238" t="s">
        <v>7309</v>
      </c>
      <c r="Y2358" s="238" t="s">
        <v>39</v>
      </c>
      <c r="Z2358" s="238" t="s">
        <v>1340</v>
      </c>
      <c r="AA2358" t="s">
        <v>3113</v>
      </c>
      <c r="AB2358" s="238" t="s">
        <v>3246</v>
      </c>
      <c r="AC2358" t="s">
        <v>3079</v>
      </c>
      <c r="AD2358" s="24"/>
      <c r="AE2358" s="238" t="s">
        <v>7310</v>
      </c>
      <c r="AF2358">
        <v>79969249255</v>
      </c>
      <c r="AG2358" s="238" t="s">
        <v>7311</v>
      </c>
      <c r="AH2358" s="238" t="s">
        <v>4072</v>
      </c>
      <c r="AI2358" s="238" t="s">
        <v>6406</v>
      </c>
      <c r="AJ2358" s="238" t="s">
        <v>4177</v>
      </c>
      <c r="AK2358" s="238" t="s">
        <v>141</v>
      </c>
      <c r="AL2358" t="s">
        <v>57</v>
      </c>
      <c r="AM2358" t="s">
        <v>1167</v>
      </c>
    </row>
    <row r="2359" spans="1:39" x14ac:dyDescent="0.25">
      <c r="A2359">
        <v>2356</v>
      </c>
      <c r="B2359">
        <v>29</v>
      </c>
      <c r="C2359" s="24">
        <v>45441</v>
      </c>
      <c r="D2359" s="238" t="s">
        <v>3388</v>
      </c>
      <c r="E2359" s="238" t="s">
        <v>15</v>
      </c>
      <c r="F2359">
        <v>1</v>
      </c>
      <c r="G2359">
        <v>10</v>
      </c>
      <c r="H2359">
        <v>461</v>
      </c>
      <c r="I2359" s="238" t="s">
        <v>4052</v>
      </c>
      <c r="J2359">
        <v>29.4</v>
      </c>
      <c r="K2359" s="238" t="s">
        <v>38</v>
      </c>
      <c r="L2359">
        <v>4063300</v>
      </c>
      <c r="M2359">
        <v>0</v>
      </c>
      <c r="N2359">
        <v>4063300</v>
      </c>
      <c r="O2359">
        <v>138207.48299319728</v>
      </c>
      <c r="P2359">
        <v>588000</v>
      </c>
      <c r="Q2359">
        <v>3475300</v>
      </c>
      <c r="R2359">
        <v>118207.48299319728</v>
      </c>
      <c r="S2359" s="238" t="s">
        <v>137</v>
      </c>
      <c r="T2359" s="238" t="s">
        <v>1167</v>
      </c>
      <c r="V2359" t="s">
        <v>4091</v>
      </c>
      <c r="W2359" s="24">
        <v>45436</v>
      </c>
      <c r="X2359" s="238" t="s">
        <v>7312</v>
      </c>
      <c r="Y2359" s="238" t="s">
        <v>39</v>
      </c>
      <c r="Z2359" s="238" t="s">
        <v>1340</v>
      </c>
      <c r="AA2359" t="s">
        <v>3113</v>
      </c>
      <c r="AB2359" s="238" t="s">
        <v>3246</v>
      </c>
      <c r="AC2359" t="s">
        <v>3079</v>
      </c>
      <c r="AD2359" s="24"/>
      <c r="AE2359" s="238" t="s">
        <v>7313</v>
      </c>
      <c r="AF2359">
        <v>79276013557</v>
      </c>
      <c r="AG2359" s="238" t="s">
        <v>7314</v>
      </c>
      <c r="AH2359" s="238" t="s">
        <v>1171</v>
      </c>
      <c r="AI2359" s="238" t="s">
        <v>3074</v>
      </c>
      <c r="AJ2359" s="238" t="s">
        <v>4177</v>
      </c>
      <c r="AK2359" s="238" t="s">
        <v>141</v>
      </c>
      <c r="AL2359" t="s">
        <v>8715</v>
      </c>
      <c r="AM2359" t="s">
        <v>1167</v>
      </c>
    </row>
    <row r="2360" spans="1:39" x14ac:dyDescent="0.25">
      <c r="A2360">
        <v>2357</v>
      </c>
      <c r="B2360">
        <v>30</v>
      </c>
      <c r="C2360" s="24">
        <v>45441</v>
      </c>
      <c r="D2360" s="238" t="s">
        <v>3388</v>
      </c>
      <c r="E2360" s="238" t="s">
        <v>5</v>
      </c>
      <c r="F2360">
        <v>4</v>
      </c>
      <c r="G2360">
        <v>13</v>
      </c>
      <c r="H2360">
        <v>198</v>
      </c>
      <c r="I2360" s="238" t="s">
        <v>43</v>
      </c>
      <c r="J2360">
        <v>58.31</v>
      </c>
      <c r="K2360" s="238" t="s">
        <v>38</v>
      </c>
      <c r="L2360">
        <v>6560370</v>
      </c>
      <c r="M2360">
        <v>0</v>
      </c>
      <c r="N2360">
        <v>6560370</v>
      </c>
      <c r="O2360">
        <v>112508.48910992968</v>
      </c>
      <c r="P2360">
        <v>1166200</v>
      </c>
      <c r="Q2360">
        <v>5394170</v>
      </c>
      <c r="R2360">
        <v>92508.48910992968</v>
      </c>
      <c r="S2360" s="238" t="s">
        <v>137</v>
      </c>
      <c r="T2360" s="238" t="s">
        <v>978</v>
      </c>
      <c r="U2360">
        <v>166830</v>
      </c>
      <c r="V2360" t="s">
        <v>4092</v>
      </c>
      <c r="W2360" s="24">
        <v>45441</v>
      </c>
      <c r="X2360" s="238" t="s">
        <v>7315</v>
      </c>
      <c r="Y2360" s="238" t="s">
        <v>39</v>
      </c>
      <c r="Z2360" s="238" t="s">
        <v>1340</v>
      </c>
      <c r="AA2360" t="s">
        <v>3113</v>
      </c>
      <c r="AB2360" s="238" t="s">
        <v>3246</v>
      </c>
      <c r="AC2360" t="s">
        <v>3079</v>
      </c>
      <c r="AD2360" s="24"/>
      <c r="AE2360" s="238" t="s">
        <v>7316</v>
      </c>
      <c r="AF2360">
        <v>79874319562</v>
      </c>
      <c r="AG2360" s="238" t="s">
        <v>4342</v>
      </c>
      <c r="AH2360" s="238" t="s">
        <v>1171</v>
      </c>
      <c r="AI2360" s="238" t="s">
        <v>3082</v>
      </c>
      <c r="AJ2360" s="238" t="s">
        <v>4177</v>
      </c>
      <c r="AK2360" s="238" t="s">
        <v>141</v>
      </c>
      <c r="AL2360" t="s">
        <v>8715</v>
      </c>
      <c r="AM2360" t="s">
        <v>1167</v>
      </c>
    </row>
    <row r="2361" spans="1:39" x14ac:dyDescent="0.25">
      <c r="A2361">
        <v>2358</v>
      </c>
      <c r="B2361">
        <v>31</v>
      </c>
      <c r="C2361" s="24">
        <v>45442</v>
      </c>
      <c r="D2361" s="238" t="s">
        <v>3388</v>
      </c>
      <c r="E2361" s="238" t="s">
        <v>6</v>
      </c>
      <c r="F2361">
        <v>3</v>
      </c>
      <c r="G2361">
        <v>8</v>
      </c>
      <c r="H2361">
        <v>51</v>
      </c>
      <c r="I2361" s="238" t="s">
        <v>42</v>
      </c>
      <c r="J2361">
        <v>37.729999999999997</v>
      </c>
      <c r="K2361" s="238" t="s">
        <v>38</v>
      </c>
      <c r="L2361">
        <v>5141400</v>
      </c>
      <c r="M2361">
        <v>0</v>
      </c>
      <c r="N2361">
        <v>5141400</v>
      </c>
      <c r="O2361">
        <v>136268.22157434403</v>
      </c>
      <c r="P2361">
        <v>754600</v>
      </c>
      <c r="Q2361">
        <v>4386800</v>
      </c>
      <c r="R2361">
        <v>116268.22157434403</v>
      </c>
      <c r="S2361" s="238" t="s">
        <v>137</v>
      </c>
      <c r="T2361" s="238" t="s">
        <v>1167</v>
      </c>
      <c r="V2361" t="s">
        <v>4092</v>
      </c>
      <c r="W2361" s="24">
        <v>45429</v>
      </c>
      <c r="X2361" s="238" t="s">
        <v>7317</v>
      </c>
      <c r="Y2361" s="238" t="s">
        <v>39</v>
      </c>
      <c r="Z2361" s="238" t="s">
        <v>1340</v>
      </c>
      <c r="AA2361" t="s">
        <v>3113</v>
      </c>
      <c r="AB2361" s="238" t="s">
        <v>3246</v>
      </c>
      <c r="AC2361" t="s">
        <v>3079</v>
      </c>
      <c r="AD2361" s="24"/>
      <c r="AE2361" s="238" t="s">
        <v>7318</v>
      </c>
      <c r="AF2361">
        <v>79370771080</v>
      </c>
      <c r="AG2361" s="238" t="s">
        <v>7319</v>
      </c>
      <c r="AH2361" s="238" t="s">
        <v>1171</v>
      </c>
      <c r="AI2361" s="238" t="s">
        <v>3085</v>
      </c>
      <c r="AJ2361" s="238" t="s">
        <v>7181</v>
      </c>
      <c r="AK2361" s="238" t="s">
        <v>3345</v>
      </c>
      <c r="AL2361" t="s">
        <v>8715</v>
      </c>
      <c r="AM2361" t="s">
        <v>1167</v>
      </c>
    </row>
    <row r="2362" spans="1:39" hidden="1" x14ac:dyDescent="0.25">
      <c r="A2362">
        <v>2359</v>
      </c>
      <c r="B2362">
        <v>32</v>
      </c>
      <c r="C2362" s="24">
        <v>45442</v>
      </c>
      <c r="D2362" s="238" t="s">
        <v>91</v>
      </c>
      <c r="E2362" s="238" t="s">
        <v>6</v>
      </c>
      <c r="F2362">
        <v>7</v>
      </c>
      <c r="G2362">
        <v>14</v>
      </c>
      <c r="H2362">
        <v>103</v>
      </c>
      <c r="I2362" s="238" t="s">
        <v>4052</v>
      </c>
      <c r="J2362">
        <v>21.75</v>
      </c>
      <c r="K2362" s="238" t="s">
        <v>38</v>
      </c>
      <c r="L2362">
        <v>3536100</v>
      </c>
      <c r="M2362">
        <v>0</v>
      </c>
      <c r="N2362">
        <v>3536100</v>
      </c>
      <c r="O2362">
        <v>162579.31034482759</v>
      </c>
      <c r="P2362">
        <v>478500</v>
      </c>
      <c r="Q2362">
        <v>3057600</v>
      </c>
      <c r="R2362">
        <v>140579.31034482759</v>
      </c>
      <c r="S2362" s="238" t="s">
        <v>137</v>
      </c>
      <c r="T2362" s="238" t="s">
        <v>1167</v>
      </c>
      <c r="V2362" t="s">
        <v>4091</v>
      </c>
      <c r="W2362" s="24">
        <v>45439</v>
      </c>
      <c r="X2362" s="238" t="s">
        <v>7320</v>
      </c>
      <c r="Y2362" s="238" t="s">
        <v>39</v>
      </c>
      <c r="Z2362" s="238" t="s">
        <v>1340</v>
      </c>
      <c r="AA2362" t="s">
        <v>3113</v>
      </c>
      <c r="AB2362" s="238" t="s">
        <v>3246</v>
      </c>
      <c r="AC2362" t="s">
        <v>3079</v>
      </c>
      <c r="AD2362" s="24"/>
      <c r="AE2362" s="238" t="s">
        <v>7321</v>
      </c>
      <c r="AF2362">
        <v>79277892025</v>
      </c>
      <c r="AG2362" s="238" t="s">
        <v>7322</v>
      </c>
      <c r="AH2362" s="238" t="s">
        <v>4072</v>
      </c>
      <c r="AI2362" s="238" t="s">
        <v>6406</v>
      </c>
      <c r="AJ2362" s="238" t="s">
        <v>4177</v>
      </c>
      <c r="AK2362" s="238" t="s">
        <v>141</v>
      </c>
      <c r="AL2362" t="s">
        <v>57</v>
      </c>
      <c r="AM2362" t="s">
        <v>1167</v>
      </c>
    </row>
    <row r="2363" spans="1:39" hidden="1" x14ac:dyDescent="0.25">
      <c r="A2363">
        <v>2360</v>
      </c>
      <c r="B2363">
        <v>33</v>
      </c>
      <c r="C2363" s="24">
        <v>45443</v>
      </c>
      <c r="D2363" s="238" t="s">
        <v>91</v>
      </c>
      <c r="E2363" s="238" t="s">
        <v>16</v>
      </c>
      <c r="F2363">
        <v>6</v>
      </c>
      <c r="G2363">
        <v>10</v>
      </c>
      <c r="H2363">
        <v>302</v>
      </c>
      <c r="I2363" s="238" t="s">
        <v>44</v>
      </c>
      <c r="J2363">
        <v>72.510000000000005</v>
      </c>
      <c r="K2363" s="238" t="s">
        <v>37</v>
      </c>
      <c r="L2363">
        <v>7739725</v>
      </c>
      <c r="M2363">
        <v>0</v>
      </c>
      <c r="N2363">
        <v>7739725</v>
      </c>
      <c r="O2363">
        <v>106740.10481312922</v>
      </c>
      <c r="P2363">
        <v>543825</v>
      </c>
      <c r="Q2363">
        <v>7195900</v>
      </c>
      <c r="R2363">
        <v>99240.104813129219</v>
      </c>
      <c r="S2363" s="238" t="s">
        <v>137</v>
      </c>
      <c r="T2363" s="238" t="s">
        <v>1167</v>
      </c>
      <c r="V2363" t="s">
        <v>4092</v>
      </c>
      <c r="W2363" s="24">
        <v>45435</v>
      </c>
      <c r="X2363" s="238" t="s">
        <v>7323</v>
      </c>
      <c r="Y2363" s="238" t="s">
        <v>39</v>
      </c>
      <c r="Z2363" s="238" t="s">
        <v>1340</v>
      </c>
      <c r="AA2363" t="s">
        <v>3113</v>
      </c>
      <c r="AB2363" s="238" t="s">
        <v>3246</v>
      </c>
      <c r="AC2363" t="s">
        <v>3079</v>
      </c>
      <c r="AD2363" s="24"/>
      <c r="AE2363" s="238" t="s">
        <v>7324</v>
      </c>
      <c r="AF2363">
        <v>79063441084</v>
      </c>
      <c r="AG2363" s="238" t="s">
        <v>7325</v>
      </c>
      <c r="AH2363" s="238" t="s">
        <v>1212</v>
      </c>
      <c r="AI2363" s="238" t="s">
        <v>135</v>
      </c>
      <c r="AJ2363" s="238" t="s">
        <v>126</v>
      </c>
      <c r="AK2363" s="238" t="s">
        <v>141</v>
      </c>
      <c r="AL2363" t="s">
        <v>8715</v>
      </c>
      <c r="AM2363" t="s">
        <v>1167</v>
      </c>
    </row>
    <row r="2364" spans="1:39" hidden="1" x14ac:dyDescent="0.25">
      <c r="A2364">
        <v>2361</v>
      </c>
      <c r="B2364">
        <v>34</v>
      </c>
      <c r="C2364" s="24">
        <v>45443</v>
      </c>
      <c r="D2364" s="238" t="s">
        <v>91</v>
      </c>
      <c r="E2364" s="238" t="s">
        <v>16</v>
      </c>
      <c r="F2364">
        <v>2</v>
      </c>
      <c r="G2364">
        <v>15</v>
      </c>
      <c r="H2364">
        <v>333</v>
      </c>
      <c r="I2364" s="238" t="s">
        <v>43</v>
      </c>
      <c r="J2364">
        <v>67.95</v>
      </c>
      <c r="K2364" s="238" t="s">
        <v>37</v>
      </c>
      <c r="L2364">
        <v>6797068</v>
      </c>
      <c r="M2364">
        <v>0</v>
      </c>
      <c r="N2364">
        <v>6797068</v>
      </c>
      <c r="O2364">
        <v>100030.43414275201</v>
      </c>
      <c r="P2364">
        <v>509625</v>
      </c>
      <c r="Q2364">
        <v>6287443</v>
      </c>
      <c r="R2364">
        <v>92530.434142752027</v>
      </c>
      <c r="S2364" s="238" t="s">
        <v>137</v>
      </c>
      <c r="T2364" s="238" t="s">
        <v>3539</v>
      </c>
      <c r="U2364">
        <v>194456.99999999907</v>
      </c>
      <c r="V2364" t="s">
        <v>4092</v>
      </c>
      <c r="W2364" s="24">
        <v>45435</v>
      </c>
      <c r="X2364" s="238" t="s">
        <v>7326</v>
      </c>
      <c r="Y2364" s="238" t="s">
        <v>39</v>
      </c>
      <c r="Z2364" s="238" t="s">
        <v>1340</v>
      </c>
      <c r="AA2364" t="s">
        <v>3113</v>
      </c>
      <c r="AB2364" s="238" t="s">
        <v>3246</v>
      </c>
      <c r="AC2364" t="s">
        <v>3079</v>
      </c>
      <c r="AD2364" s="24"/>
      <c r="AE2364" s="238" t="s">
        <v>7327</v>
      </c>
      <c r="AF2364">
        <v>79033006237</v>
      </c>
      <c r="AG2364" s="238" t="s">
        <v>7328</v>
      </c>
      <c r="AH2364" s="238" t="s">
        <v>1212</v>
      </c>
      <c r="AI2364" s="238" t="s">
        <v>3097</v>
      </c>
      <c r="AJ2364" s="238" t="s">
        <v>4177</v>
      </c>
      <c r="AK2364" s="238" t="s">
        <v>141</v>
      </c>
      <c r="AL2364" t="s">
        <v>8715</v>
      </c>
      <c r="AM2364" t="s">
        <v>1167</v>
      </c>
    </row>
    <row r="2365" spans="1:39" hidden="1" x14ac:dyDescent="0.25">
      <c r="A2365">
        <v>2362</v>
      </c>
      <c r="B2365">
        <v>35</v>
      </c>
      <c r="C2365" s="24">
        <v>45443</v>
      </c>
      <c r="D2365" s="238" t="s">
        <v>91</v>
      </c>
      <c r="E2365" s="238" t="s">
        <v>16</v>
      </c>
      <c r="F2365">
        <v>3</v>
      </c>
      <c r="G2365">
        <v>10</v>
      </c>
      <c r="H2365">
        <v>299</v>
      </c>
      <c r="I2365" s="238" t="s">
        <v>4052</v>
      </c>
      <c r="J2365">
        <v>36.450000000000003</v>
      </c>
      <c r="K2365" s="238" t="s">
        <v>38</v>
      </c>
      <c r="L2365">
        <v>5122800</v>
      </c>
      <c r="M2365">
        <v>0</v>
      </c>
      <c r="N2365">
        <v>5122800</v>
      </c>
      <c r="O2365">
        <v>140543.2098765432</v>
      </c>
      <c r="P2365">
        <v>801900.00000000012</v>
      </c>
      <c r="Q2365">
        <v>4320900</v>
      </c>
      <c r="R2365">
        <v>118543.2098765432</v>
      </c>
      <c r="S2365" s="238" t="s">
        <v>137</v>
      </c>
      <c r="T2365" s="238" t="s">
        <v>1167</v>
      </c>
      <c r="V2365" t="s">
        <v>4091</v>
      </c>
      <c r="W2365" s="24">
        <v>45439</v>
      </c>
      <c r="X2365" s="238" t="s">
        <v>3814</v>
      </c>
      <c r="Y2365" s="238" t="s">
        <v>39</v>
      </c>
      <c r="Z2365" s="238" t="s">
        <v>1340</v>
      </c>
      <c r="AA2365" t="s">
        <v>3113</v>
      </c>
      <c r="AB2365" s="238" t="s">
        <v>3246</v>
      </c>
      <c r="AC2365" t="s">
        <v>3079</v>
      </c>
      <c r="AD2365" s="24"/>
      <c r="AE2365" s="238" t="s">
        <v>7329</v>
      </c>
      <c r="AF2365">
        <v>79871919256</v>
      </c>
      <c r="AG2365" s="238" t="s">
        <v>7330</v>
      </c>
      <c r="AH2365" s="238" t="s">
        <v>135</v>
      </c>
      <c r="AI2365" s="238" t="s">
        <v>135</v>
      </c>
      <c r="AJ2365" s="238" t="s">
        <v>126</v>
      </c>
      <c r="AK2365" s="238" t="s">
        <v>141</v>
      </c>
      <c r="AL2365" t="s">
        <v>8715</v>
      </c>
      <c r="AM2365" t="s">
        <v>1167</v>
      </c>
    </row>
    <row r="2366" spans="1:39" x14ac:dyDescent="0.25">
      <c r="A2366">
        <v>2363</v>
      </c>
      <c r="B2366">
        <v>36</v>
      </c>
      <c r="C2366" s="24">
        <v>45443</v>
      </c>
      <c r="D2366" s="238" t="s">
        <v>3388</v>
      </c>
      <c r="E2366" s="238" t="s">
        <v>15</v>
      </c>
      <c r="F2366">
        <v>4</v>
      </c>
      <c r="G2366">
        <v>1</v>
      </c>
      <c r="H2366">
        <v>393</v>
      </c>
      <c r="I2366" s="238" t="s">
        <v>43</v>
      </c>
      <c r="J2366">
        <v>58.24</v>
      </c>
      <c r="K2366" s="238" t="s">
        <v>36</v>
      </c>
      <c r="L2366">
        <v>6119900</v>
      </c>
      <c r="M2366">
        <v>0</v>
      </c>
      <c r="N2366">
        <v>6119900</v>
      </c>
      <c r="O2366">
        <v>105080.70054945054</v>
      </c>
      <c r="P2366">
        <v>0</v>
      </c>
      <c r="Q2366">
        <v>6119900</v>
      </c>
      <c r="R2366">
        <v>105080.70054945054</v>
      </c>
      <c r="S2366" s="238" t="s">
        <v>137</v>
      </c>
      <c r="T2366" s="238" t="s">
        <v>1167</v>
      </c>
      <c r="V2366" t="s">
        <v>4092</v>
      </c>
      <c r="W2366" s="24">
        <v>45440</v>
      </c>
      <c r="X2366" s="238" t="s">
        <v>7331</v>
      </c>
      <c r="Y2366" s="238" t="s">
        <v>39</v>
      </c>
      <c r="Z2366" s="238" t="s">
        <v>1340</v>
      </c>
      <c r="AA2366" t="s">
        <v>3113</v>
      </c>
      <c r="AB2366" s="238" t="s">
        <v>3246</v>
      </c>
      <c r="AC2366" t="s">
        <v>3079</v>
      </c>
      <c r="AD2366" s="24"/>
      <c r="AE2366" s="238" t="s">
        <v>7332</v>
      </c>
      <c r="AF2366">
        <v>79277024053</v>
      </c>
      <c r="AG2366" s="238" t="s">
        <v>7333</v>
      </c>
      <c r="AH2366" s="238" t="s">
        <v>1171</v>
      </c>
      <c r="AI2366" s="238" t="s">
        <v>3084</v>
      </c>
      <c r="AJ2366" s="238" t="s">
        <v>4177</v>
      </c>
      <c r="AK2366" s="238" t="s">
        <v>141</v>
      </c>
      <c r="AL2366" t="s">
        <v>8715</v>
      </c>
      <c r="AM2366" t="s">
        <v>1167</v>
      </c>
    </row>
    <row r="2367" spans="1:39" x14ac:dyDescent="0.25">
      <c r="A2367">
        <v>2364</v>
      </c>
      <c r="B2367">
        <v>37</v>
      </c>
      <c r="C2367" s="24">
        <v>45443</v>
      </c>
      <c r="D2367" s="238" t="s">
        <v>3388</v>
      </c>
      <c r="E2367" s="238" t="s">
        <v>15</v>
      </c>
      <c r="F2367">
        <v>1</v>
      </c>
      <c r="G2367">
        <v>3</v>
      </c>
      <c r="H2367">
        <v>405</v>
      </c>
      <c r="I2367" s="238" t="s">
        <v>4052</v>
      </c>
      <c r="J2367">
        <v>29.4</v>
      </c>
      <c r="K2367" s="238" t="s">
        <v>36</v>
      </c>
      <c r="L2367">
        <v>3450000</v>
      </c>
      <c r="M2367">
        <v>0</v>
      </c>
      <c r="N2367">
        <v>3450000</v>
      </c>
      <c r="O2367">
        <v>117346.93877551021</v>
      </c>
      <c r="P2367">
        <v>0</v>
      </c>
      <c r="Q2367">
        <v>3450000</v>
      </c>
      <c r="R2367">
        <v>117346.93877551021</v>
      </c>
      <c r="S2367" s="238" t="s">
        <v>137</v>
      </c>
      <c r="T2367" s="238" t="s">
        <v>1167</v>
      </c>
      <c r="V2367" t="s">
        <v>4091</v>
      </c>
      <c r="W2367" s="24">
        <v>45441</v>
      </c>
      <c r="X2367" s="238" t="s">
        <v>7334</v>
      </c>
      <c r="Y2367" s="238" t="s">
        <v>39</v>
      </c>
      <c r="Z2367" s="238" t="s">
        <v>1340</v>
      </c>
      <c r="AA2367" t="s">
        <v>3113</v>
      </c>
      <c r="AB2367" s="238" t="s">
        <v>3246</v>
      </c>
      <c r="AC2367" t="s">
        <v>3079</v>
      </c>
      <c r="AD2367" s="24"/>
      <c r="AE2367" s="238" t="s">
        <v>7335</v>
      </c>
      <c r="AF2367">
        <v>79277106246</v>
      </c>
      <c r="AG2367" s="238" t="s">
        <v>7336</v>
      </c>
      <c r="AH2367" s="238" t="s">
        <v>4072</v>
      </c>
      <c r="AI2367" s="238" t="s">
        <v>6406</v>
      </c>
      <c r="AJ2367" s="238" t="s">
        <v>5215</v>
      </c>
      <c r="AK2367" s="238" t="s">
        <v>141</v>
      </c>
      <c r="AL2367" t="s">
        <v>57</v>
      </c>
      <c r="AM2367" t="s">
        <v>1167</v>
      </c>
    </row>
    <row r="2368" spans="1:39" x14ac:dyDescent="0.25">
      <c r="A2368">
        <v>2365</v>
      </c>
      <c r="B2368">
        <v>38</v>
      </c>
      <c r="C2368" s="24">
        <v>45443</v>
      </c>
      <c r="D2368" s="238" t="s">
        <v>3388</v>
      </c>
      <c r="E2368" s="238" t="s">
        <v>6</v>
      </c>
      <c r="F2368">
        <v>3</v>
      </c>
      <c r="G2368">
        <v>9</v>
      </c>
      <c r="H2368">
        <v>58</v>
      </c>
      <c r="I2368" s="238" t="s">
        <v>42</v>
      </c>
      <c r="J2368">
        <v>37.729999999999997</v>
      </c>
      <c r="K2368" s="238" t="s">
        <v>38</v>
      </c>
      <c r="L2368">
        <v>5229200</v>
      </c>
      <c r="M2368">
        <v>0</v>
      </c>
      <c r="N2368">
        <v>5229200</v>
      </c>
      <c r="O2368">
        <v>138595.28226875167</v>
      </c>
      <c r="P2368">
        <v>754599.99999999988</v>
      </c>
      <c r="Q2368">
        <v>4474600</v>
      </c>
      <c r="R2368">
        <v>118595.28226875166</v>
      </c>
      <c r="S2368" s="238" t="s">
        <v>137</v>
      </c>
      <c r="T2368" s="238" t="s">
        <v>1167</v>
      </c>
      <c r="V2368" t="s">
        <v>4092</v>
      </c>
      <c r="W2368" s="24">
        <v>45441</v>
      </c>
      <c r="X2368" s="238" t="s">
        <v>7337</v>
      </c>
      <c r="Y2368" s="238" t="s">
        <v>39</v>
      </c>
      <c r="Z2368" s="238" t="s">
        <v>1340</v>
      </c>
      <c r="AA2368" t="s">
        <v>3113</v>
      </c>
      <c r="AB2368" s="238" t="s">
        <v>3246</v>
      </c>
      <c r="AC2368" t="s">
        <v>3079</v>
      </c>
      <c r="AD2368" s="24"/>
      <c r="AE2368" s="238" t="s">
        <v>7338</v>
      </c>
      <c r="AF2368">
        <v>79397162575</v>
      </c>
      <c r="AG2368" s="238" t="s">
        <v>7339</v>
      </c>
      <c r="AH2368" s="238" t="s">
        <v>1171</v>
      </c>
      <c r="AI2368" s="238" t="s">
        <v>3514</v>
      </c>
      <c r="AJ2368" s="238" t="s">
        <v>130</v>
      </c>
      <c r="AK2368" s="238" t="s">
        <v>141</v>
      </c>
      <c r="AL2368" t="s">
        <v>8715</v>
      </c>
      <c r="AM2368" t="s">
        <v>1167</v>
      </c>
    </row>
    <row r="2369" spans="1:39" hidden="1" x14ac:dyDescent="0.25">
      <c r="A2369">
        <v>2366</v>
      </c>
      <c r="B2369">
        <v>1</v>
      </c>
      <c r="C2369" s="24">
        <v>45444</v>
      </c>
      <c r="D2369" s="238" t="s">
        <v>91</v>
      </c>
      <c r="E2369" s="238" t="s">
        <v>15</v>
      </c>
      <c r="F2369">
        <v>7</v>
      </c>
      <c r="G2369">
        <v>13</v>
      </c>
      <c r="H2369">
        <v>507</v>
      </c>
      <c r="I2369" s="238" t="s">
        <v>43</v>
      </c>
      <c r="J2369">
        <v>67.489999999999995</v>
      </c>
      <c r="K2369" s="238" t="s">
        <v>38</v>
      </c>
      <c r="L2369">
        <v>8430726</v>
      </c>
      <c r="M2369">
        <v>0</v>
      </c>
      <c r="N2369">
        <v>8430726</v>
      </c>
      <c r="O2369">
        <v>124918.15083716107</v>
      </c>
      <c r="P2369">
        <v>1484780</v>
      </c>
      <c r="Q2369">
        <v>6945946</v>
      </c>
      <c r="R2369">
        <v>102918.15083716107</v>
      </c>
      <c r="S2369" s="238" t="s">
        <v>137</v>
      </c>
      <c r="T2369" s="238" t="s">
        <v>7340</v>
      </c>
      <c r="U2369">
        <v>141754</v>
      </c>
      <c r="V2369" t="s">
        <v>4093</v>
      </c>
      <c r="W2369" s="24">
        <v>45439</v>
      </c>
      <c r="X2369" s="238" t="s">
        <v>7341</v>
      </c>
      <c r="Y2369" s="238" t="s">
        <v>39</v>
      </c>
      <c r="Z2369" s="238" t="s">
        <v>1340</v>
      </c>
      <c r="AA2369" t="s">
        <v>3113</v>
      </c>
      <c r="AB2369" s="238" t="s">
        <v>3246</v>
      </c>
      <c r="AC2369" t="s">
        <v>3079</v>
      </c>
      <c r="AD2369" s="24"/>
      <c r="AE2369" s="238" t="s">
        <v>7342</v>
      </c>
      <c r="AF2369">
        <v>79379928599</v>
      </c>
      <c r="AG2369" s="238" t="s">
        <v>7343</v>
      </c>
      <c r="AH2369" s="238" t="s">
        <v>1212</v>
      </c>
      <c r="AI2369" s="238" t="s">
        <v>3090</v>
      </c>
      <c r="AJ2369" s="238" t="s">
        <v>4177</v>
      </c>
      <c r="AK2369" s="238" t="s">
        <v>3345</v>
      </c>
      <c r="AL2369" t="s">
        <v>8715</v>
      </c>
      <c r="AM2369" t="s">
        <v>1167</v>
      </c>
    </row>
    <row r="2370" spans="1:39" x14ac:dyDescent="0.25">
      <c r="A2370">
        <v>2367</v>
      </c>
      <c r="B2370">
        <v>2</v>
      </c>
      <c r="C2370" s="24">
        <v>45447</v>
      </c>
      <c r="D2370" s="238" t="s">
        <v>3388</v>
      </c>
      <c r="E2370" s="238" t="s">
        <v>6</v>
      </c>
      <c r="F2370">
        <v>6</v>
      </c>
      <c r="G2370">
        <v>10</v>
      </c>
      <c r="H2370">
        <v>68</v>
      </c>
      <c r="I2370" s="238" t="s">
        <v>43</v>
      </c>
      <c r="J2370">
        <v>58.16</v>
      </c>
      <c r="K2370" s="238" t="s">
        <v>38</v>
      </c>
      <c r="L2370">
        <v>6802000</v>
      </c>
      <c r="M2370">
        <v>15000</v>
      </c>
      <c r="N2370">
        <v>6817000</v>
      </c>
      <c r="O2370">
        <v>117211.14167812931</v>
      </c>
      <c r="P2370">
        <v>1163200</v>
      </c>
      <c r="Q2370">
        <v>5653800</v>
      </c>
      <c r="R2370">
        <v>97211.141678129308</v>
      </c>
      <c r="S2370" s="238" t="s">
        <v>137</v>
      </c>
      <c r="T2370" s="238" t="s">
        <v>1167</v>
      </c>
      <c r="V2370" t="s">
        <v>4091</v>
      </c>
      <c r="W2370" s="24">
        <v>45423</v>
      </c>
      <c r="X2370" s="238" t="s">
        <v>7347</v>
      </c>
      <c r="Y2370" s="238" t="s">
        <v>39</v>
      </c>
      <c r="Z2370" s="238" t="s">
        <v>1340</v>
      </c>
      <c r="AA2370" t="s">
        <v>3113</v>
      </c>
      <c r="AB2370" s="238" t="s">
        <v>3246</v>
      </c>
      <c r="AC2370" t="s">
        <v>3079</v>
      </c>
      <c r="AD2370" s="24"/>
      <c r="AE2370" s="238" t="s">
        <v>7348</v>
      </c>
      <c r="AF2370">
        <v>79871514619</v>
      </c>
      <c r="AG2370" s="238" t="s">
        <v>7349</v>
      </c>
      <c r="AH2370" s="238" t="s">
        <v>1212</v>
      </c>
      <c r="AI2370" s="238" t="s">
        <v>3093</v>
      </c>
      <c r="AJ2370" s="238" t="s">
        <v>4177</v>
      </c>
      <c r="AK2370" s="238" t="s">
        <v>3345</v>
      </c>
      <c r="AL2370" t="s">
        <v>8715</v>
      </c>
      <c r="AM2370" t="s">
        <v>1167</v>
      </c>
    </row>
    <row r="2371" spans="1:39" x14ac:dyDescent="0.25">
      <c r="A2371">
        <v>2368</v>
      </c>
      <c r="B2371">
        <v>3</v>
      </c>
      <c r="C2371" s="24">
        <v>45447</v>
      </c>
      <c r="D2371" s="238" t="s">
        <v>3388</v>
      </c>
      <c r="E2371" s="238" t="s">
        <v>15</v>
      </c>
      <c r="F2371">
        <v>2</v>
      </c>
      <c r="G2371">
        <v>6</v>
      </c>
      <c r="H2371">
        <v>430</v>
      </c>
      <c r="I2371" s="238" t="s">
        <v>42</v>
      </c>
      <c r="J2371">
        <v>43.21</v>
      </c>
      <c r="K2371" s="238" t="s">
        <v>6871</v>
      </c>
      <c r="L2371">
        <v>4980970</v>
      </c>
      <c r="M2371">
        <v>0</v>
      </c>
      <c r="N2371">
        <v>4980970</v>
      </c>
      <c r="O2371">
        <v>115273.54778986346</v>
      </c>
      <c r="P2371">
        <v>302470</v>
      </c>
      <c r="Q2371">
        <v>4678500</v>
      </c>
      <c r="R2371">
        <v>108273.54778986346</v>
      </c>
      <c r="S2371" s="238" t="s">
        <v>137</v>
      </c>
      <c r="T2371" s="238" t="s">
        <v>1167</v>
      </c>
      <c r="V2371" t="s">
        <v>4091</v>
      </c>
      <c r="W2371" s="24">
        <v>45446</v>
      </c>
      <c r="X2371" s="238" t="s">
        <v>7350</v>
      </c>
      <c r="Y2371" s="238" t="s">
        <v>39</v>
      </c>
      <c r="Z2371" s="238" t="s">
        <v>1340</v>
      </c>
      <c r="AA2371" t="s">
        <v>3113</v>
      </c>
      <c r="AB2371" s="238" t="s">
        <v>3246</v>
      </c>
      <c r="AC2371" t="s">
        <v>3079</v>
      </c>
      <c r="AD2371" s="24"/>
      <c r="AE2371" s="238" t="s">
        <v>7351</v>
      </c>
      <c r="AF2371">
        <v>79227741146</v>
      </c>
      <c r="AG2371" s="238" t="s">
        <v>7352</v>
      </c>
      <c r="AH2371" s="238" t="s">
        <v>1212</v>
      </c>
      <c r="AI2371" s="238" t="s">
        <v>3090</v>
      </c>
      <c r="AJ2371" s="238" t="s">
        <v>4177</v>
      </c>
      <c r="AK2371" s="238" t="s">
        <v>141</v>
      </c>
      <c r="AL2371" t="s">
        <v>8715</v>
      </c>
      <c r="AM2371" t="s">
        <v>1167</v>
      </c>
    </row>
    <row r="2372" spans="1:39" x14ac:dyDescent="0.25">
      <c r="A2372">
        <v>2369</v>
      </c>
      <c r="B2372">
        <v>4</v>
      </c>
      <c r="C2372" s="24">
        <v>45448</v>
      </c>
      <c r="D2372" s="238" t="s">
        <v>3388</v>
      </c>
      <c r="E2372" s="238" t="s">
        <v>16</v>
      </c>
      <c r="F2372">
        <v>6</v>
      </c>
      <c r="G2372">
        <v>13</v>
      </c>
      <c r="H2372">
        <v>311</v>
      </c>
      <c r="I2372" s="238" t="s">
        <v>44</v>
      </c>
      <c r="J2372">
        <v>80.97</v>
      </c>
      <c r="K2372" s="238" t="s">
        <v>36</v>
      </c>
      <c r="L2372">
        <v>7174500</v>
      </c>
      <c r="M2372">
        <v>0</v>
      </c>
      <c r="N2372">
        <v>7174500</v>
      </c>
      <c r="O2372">
        <v>88606.891441274551</v>
      </c>
      <c r="P2372">
        <v>0</v>
      </c>
      <c r="Q2372">
        <v>7174500</v>
      </c>
      <c r="R2372">
        <v>88606.891441274551</v>
      </c>
      <c r="S2372" s="238" t="s">
        <v>137</v>
      </c>
      <c r="T2372" s="238" t="s">
        <v>1167</v>
      </c>
      <c r="V2372" t="s">
        <v>4092</v>
      </c>
      <c r="W2372" s="24">
        <v>45447</v>
      </c>
      <c r="X2372" s="238" t="s">
        <v>7353</v>
      </c>
      <c r="Y2372" s="238" t="s">
        <v>39</v>
      </c>
      <c r="Z2372" s="238" t="s">
        <v>1340</v>
      </c>
      <c r="AA2372" t="s">
        <v>3113</v>
      </c>
      <c r="AB2372" s="238" t="s">
        <v>3246</v>
      </c>
      <c r="AC2372" t="s">
        <v>3079</v>
      </c>
      <c r="AD2372" s="24"/>
      <c r="AE2372" s="238" t="s">
        <v>7354</v>
      </c>
      <c r="AF2372">
        <v>79370608072</v>
      </c>
      <c r="AG2372" s="238" t="s">
        <v>7355</v>
      </c>
      <c r="AH2372" s="238" t="s">
        <v>1212</v>
      </c>
      <c r="AI2372" s="238" t="s">
        <v>135</v>
      </c>
      <c r="AJ2372" s="238" t="s">
        <v>126</v>
      </c>
      <c r="AK2372" s="238" t="s">
        <v>3345</v>
      </c>
      <c r="AL2372" t="s">
        <v>8715</v>
      </c>
      <c r="AM2372" t="s">
        <v>1167</v>
      </c>
    </row>
    <row r="2373" spans="1:39" x14ac:dyDescent="0.25">
      <c r="A2373">
        <v>2370</v>
      </c>
      <c r="B2373">
        <v>5</v>
      </c>
      <c r="C2373" s="24">
        <v>45449</v>
      </c>
      <c r="D2373" s="238" t="s">
        <v>3388</v>
      </c>
      <c r="E2373" s="238" t="s">
        <v>15</v>
      </c>
      <c r="F2373">
        <v>7</v>
      </c>
      <c r="G2373">
        <v>9</v>
      </c>
      <c r="H2373">
        <v>459</v>
      </c>
      <c r="I2373" s="238" t="s">
        <v>44</v>
      </c>
      <c r="J2373">
        <v>79.44</v>
      </c>
      <c r="K2373" s="238" t="s">
        <v>6871</v>
      </c>
      <c r="L2373">
        <v>7931766</v>
      </c>
      <c r="M2373">
        <v>0</v>
      </c>
      <c r="N2373">
        <v>7931766</v>
      </c>
      <c r="O2373">
        <v>99845.996978851967</v>
      </c>
      <c r="P2373">
        <v>556080</v>
      </c>
      <c r="Q2373">
        <v>7375686</v>
      </c>
      <c r="R2373">
        <v>92845.996978851967</v>
      </c>
      <c r="S2373" s="238" t="s">
        <v>137</v>
      </c>
      <c r="T2373" s="238" t="s">
        <v>978</v>
      </c>
      <c r="U2373">
        <v>228114</v>
      </c>
      <c r="V2373" t="s">
        <v>4091</v>
      </c>
      <c r="W2373" s="24">
        <v>45446</v>
      </c>
      <c r="X2373" s="238" t="s">
        <v>7357</v>
      </c>
      <c r="Y2373" s="238" t="s">
        <v>39</v>
      </c>
      <c r="Z2373" s="238" t="s">
        <v>1340</v>
      </c>
      <c r="AA2373" t="s">
        <v>3113</v>
      </c>
      <c r="AB2373" s="238" t="s">
        <v>3246</v>
      </c>
      <c r="AC2373" t="s">
        <v>3079</v>
      </c>
      <c r="AD2373" s="24"/>
      <c r="AE2373" s="238" t="s">
        <v>7358</v>
      </c>
      <c r="AF2373">
        <v>79272031365</v>
      </c>
      <c r="AG2373" s="238" t="s">
        <v>7359</v>
      </c>
      <c r="AH2373" s="238" t="s">
        <v>135</v>
      </c>
      <c r="AI2373" s="238" t="s">
        <v>3075</v>
      </c>
      <c r="AJ2373" s="238" t="s">
        <v>4177</v>
      </c>
      <c r="AK2373" s="238" t="s">
        <v>141</v>
      </c>
      <c r="AL2373" t="s">
        <v>8715</v>
      </c>
      <c r="AM2373" t="s">
        <v>1167</v>
      </c>
    </row>
    <row r="2374" spans="1:39" x14ac:dyDescent="0.25">
      <c r="A2374">
        <v>2371</v>
      </c>
      <c r="B2374">
        <v>6</v>
      </c>
      <c r="C2374" s="24">
        <v>45453</v>
      </c>
      <c r="D2374" s="238" t="s">
        <v>3388</v>
      </c>
      <c r="E2374" s="238" t="s">
        <v>15</v>
      </c>
      <c r="F2374">
        <v>8</v>
      </c>
      <c r="G2374">
        <v>2</v>
      </c>
      <c r="H2374">
        <v>404</v>
      </c>
      <c r="I2374" s="238" t="s">
        <v>42</v>
      </c>
      <c r="J2374">
        <v>39.69</v>
      </c>
      <c r="K2374" s="238" t="s">
        <v>38</v>
      </c>
      <c r="L2374">
        <v>5196400</v>
      </c>
      <c r="M2374">
        <v>0</v>
      </c>
      <c r="N2374">
        <v>5196400</v>
      </c>
      <c r="O2374">
        <v>130924.66616276141</v>
      </c>
      <c r="P2374">
        <v>793800</v>
      </c>
      <c r="Q2374">
        <v>4402600</v>
      </c>
      <c r="R2374">
        <v>110924.66616276141</v>
      </c>
      <c r="S2374" s="238" t="s">
        <v>137</v>
      </c>
      <c r="T2374" s="238" t="s">
        <v>1167</v>
      </c>
      <c r="V2374" t="s">
        <v>4092</v>
      </c>
      <c r="W2374" s="24">
        <v>45448</v>
      </c>
      <c r="X2374" s="238" t="s">
        <v>7361</v>
      </c>
      <c r="Y2374" s="238" t="s">
        <v>39</v>
      </c>
      <c r="Z2374" s="238" t="s">
        <v>1340</v>
      </c>
      <c r="AA2374" t="s">
        <v>3113</v>
      </c>
      <c r="AB2374" s="238" t="s">
        <v>3246</v>
      </c>
      <c r="AC2374" t="s">
        <v>3079</v>
      </c>
      <c r="AD2374" s="24"/>
      <c r="AE2374" s="238" t="s">
        <v>7362</v>
      </c>
      <c r="AF2374">
        <v>79276534882</v>
      </c>
      <c r="AG2374" s="238" t="s">
        <v>7363</v>
      </c>
      <c r="AH2374" s="238" t="s">
        <v>1212</v>
      </c>
      <c r="AI2374" s="238" t="s">
        <v>135</v>
      </c>
      <c r="AJ2374" s="238" t="s">
        <v>5215</v>
      </c>
      <c r="AK2374" s="238" t="s">
        <v>7181</v>
      </c>
      <c r="AL2374" t="s">
        <v>8715</v>
      </c>
      <c r="AM2374" t="s">
        <v>1167</v>
      </c>
    </row>
    <row r="2375" spans="1:39" x14ac:dyDescent="0.25">
      <c r="A2375">
        <v>2372</v>
      </c>
      <c r="B2375">
        <v>7</v>
      </c>
      <c r="C2375" s="24">
        <v>45453</v>
      </c>
      <c r="D2375" s="238" t="s">
        <v>3388</v>
      </c>
      <c r="E2375" s="238" t="s">
        <v>6</v>
      </c>
      <c r="F2375">
        <v>2</v>
      </c>
      <c r="G2375">
        <v>14</v>
      </c>
      <c r="H2375">
        <v>92</v>
      </c>
      <c r="I2375" s="238" t="s">
        <v>43</v>
      </c>
      <c r="J2375">
        <v>68.5</v>
      </c>
      <c r="K2375" s="238" t="s">
        <v>6871</v>
      </c>
      <c r="L2375">
        <v>7296600</v>
      </c>
      <c r="M2375">
        <v>0</v>
      </c>
      <c r="N2375">
        <v>7296600</v>
      </c>
      <c r="O2375">
        <v>106519.70802919708</v>
      </c>
      <c r="P2375">
        <v>479500</v>
      </c>
      <c r="Q2375">
        <v>6817100</v>
      </c>
      <c r="R2375">
        <v>99519.708029197078</v>
      </c>
      <c r="S2375" s="238" t="s">
        <v>137</v>
      </c>
      <c r="T2375" s="238" t="s">
        <v>1167</v>
      </c>
      <c r="V2375" t="s">
        <v>4091</v>
      </c>
      <c r="W2375" s="24">
        <v>45450</v>
      </c>
      <c r="X2375" s="238" t="s">
        <v>7364</v>
      </c>
      <c r="Y2375" s="238" t="s">
        <v>39</v>
      </c>
      <c r="Z2375" s="238" t="s">
        <v>1340</v>
      </c>
      <c r="AA2375" t="s">
        <v>3113</v>
      </c>
      <c r="AB2375" s="238" t="s">
        <v>3246</v>
      </c>
      <c r="AC2375" t="s">
        <v>3079</v>
      </c>
      <c r="AD2375" s="24"/>
      <c r="AE2375" s="238" t="s">
        <v>7365</v>
      </c>
      <c r="AF2375">
        <v>79608190805</v>
      </c>
      <c r="AG2375" s="238" t="s">
        <v>7366</v>
      </c>
      <c r="AH2375" s="238" t="s">
        <v>1171</v>
      </c>
      <c r="AI2375" s="238" t="s">
        <v>3084</v>
      </c>
      <c r="AJ2375" s="238" t="s">
        <v>5215</v>
      </c>
      <c r="AK2375" s="238" t="s">
        <v>141</v>
      </c>
      <c r="AL2375" t="s">
        <v>8715</v>
      </c>
      <c r="AM2375" t="s">
        <v>1167</v>
      </c>
    </row>
    <row r="2376" spans="1:39" x14ac:dyDescent="0.25">
      <c r="A2376">
        <v>2373</v>
      </c>
      <c r="B2376">
        <v>8</v>
      </c>
      <c r="C2376" s="24">
        <v>45454</v>
      </c>
      <c r="D2376" s="238" t="s">
        <v>3388</v>
      </c>
      <c r="E2376" s="238" t="s">
        <v>15</v>
      </c>
      <c r="F2376">
        <v>3</v>
      </c>
      <c r="G2376">
        <v>23</v>
      </c>
      <c r="H2376">
        <v>567</v>
      </c>
      <c r="I2376" s="238" t="s">
        <v>4052</v>
      </c>
      <c r="J2376">
        <v>24.5</v>
      </c>
      <c r="K2376" s="238" t="s">
        <v>38</v>
      </c>
      <c r="L2376">
        <v>3616300</v>
      </c>
      <c r="M2376">
        <v>0</v>
      </c>
      <c r="N2376">
        <v>3616300</v>
      </c>
      <c r="O2376">
        <v>147604.08163265305</v>
      </c>
      <c r="P2376">
        <v>490000</v>
      </c>
      <c r="Q2376">
        <v>3126300</v>
      </c>
      <c r="R2376">
        <v>127604.08163265306</v>
      </c>
      <c r="S2376" s="238" t="s">
        <v>137</v>
      </c>
      <c r="T2376" s="238" t="s">
        <v>1167</v>
      </c>
      <c r="V2376" t="s">
        <v>4091</v>
      </c>
      <c r="W2376" s="24">
        <v>45443</v>
      </c>
      <c r="X2376" s="238" t="s">
        <v>7367</v>
      </c>
      <c r="Y2376" s="238" t="s">
        <v>39</v>
      </c>
      <c r="Z2376" s="238" t="s">
        <v>1340</v>
      </c>
      <c r="AA2376" t="s">
        <v>3113</v>
      </c>
      <c r="AB2376" s="238" t="s">
        <v>3246</v>
      </c>
      <c r="AC2376" t="s">
        <v>3079</v>
      </c>
      <c r="AD2376" s="24"/>
      <c r="AE2376" s="238" t="s">
        <v>7368</v>
      </c>
      <c r="AF2376">
        <v>79276090607</v>
      </c>
      <c r="AG2376" s="238" t="s">
        <v>7369</v>
      </c>
      <c r="AH2376" s="238" t="s">
        <v>4072</v>
      </c>
      <c r="AI2376" s="238" t="s">
        <v>6406</v>
      </c>
      <c r="AJ2376" s="238" t="s">
        <v>126</v>
      </c>
      <c r="AK2376" s="238" t="s">
        <v>141</v>
      </c>
      <c r="AL2376" t="s">
        <v>57</v>
      </c>
      <c r="AM2376" t="s">
        <v>1167</v>
      </c>
    </row>
    <row r="2377" spans="1:39" x14ac:dyDescent="0.25">
      <c r="A2377">
        <v>2374</v>
      </c>
      <c r="B2377">
        <v>9</v>
      </c>
      <c r="C2377" s="24">
        <v>45454</v>
      </c>
      <c r="D2377" s="238" t="s">
        <v>3388</v>
      </c>
      <c r="E2377" s="238" t="s">
        <v>15</v>
      </c>
      <c r="F2377">
        <v>6</v>
      </c>
      <c r="G2377">
        <v>9</v>
      </c>
      <c r="H2377">
        <v>458</v>
      </c>
      <c r="I2377" s="238" t="s">
        <v>42</v>
      </c>
      <c r="J2377">
        <v>38.299999999999997</v>
      </c>
      <c r="K2377" s="238" t="s">
        <v>6871</v>
      </c>
      <c r="L2377">
        <v>4386138</v>
      </c>
      <c r="M2377">
        <v>0</v>
      </c>
      <c r="N2377">
        <v>4386138</v>
      </c>
      <c r="O2377">
        <v>114520.57441253265</v>
      </c>
      <c r="P2377">
        <v>268100</v>
      </c>
      <c r="Q2377">
        <v>4118038</v>
      </c>
      <c r="R2377">
        <v>107520.57441253265</v>
      </c>
      <c r="S2377" s="238" t="s">
        <v>137</v>
      </c>
      <c r="T2377" s="238" t="s">
        <v>978</v>
      </c>
      <c r="U2377">
        <v>127362</v>
      </c>
      <c r="V2377" t="s">
        <v>4092</v>
      </c>
      <c r="W2377" s="24">
        <v>45450</v>
      </c>
      <c r="X2377" s="238" t="s">
        <v>7370</v>
      </c>
      <c r="Y2377" s="238" t="s">
        <v>39</v>
      </c>
      <c r="Z2377" s="238" t="s">
        <v>1340</v>
      </c>
      <c r="AA2377" t="s">
        <v>3113</v>
      </c>
      <c r="AB2377" s="238" t="s">
        <v>3246</v>
      </c>
      <c r="AC2377" t="s">
        <v>3079</v>
      </c>
      <c r="AD2377" s="24"/>
      <c r="AE2377" s="238" t="s">
        <v>7371</v>
      </c>
      <c r="AF2377">
        <v>79171020410</v>
      </c>
      <c r="AG2377" s="238" t="s">
        <v>7372</v>
      </c>
      <c r="AH2377" s="238" t="s">
        <v>1171</v>
      </c>
      <c r="AI2377" s="238" t="s">
        <v>3090</v>
      </c>
      <c r="AJ2377" s="238" t="s">
        <v>126</v>
      </c>
      <c r="AK2377" s="238" t="s">
        <v>7181</v>
      </c>
      <c r="AL2377" t="s">
        <v>8715</v>
      </c>
      <c r="AM2377" t="s">
        <v>1167</v>
      </c>
    </row>
    <row r="2378" spans="1:39" x14ac:dyDescent="0.25">
      <c r="A2378">
        <v>2375</v>
      </c>
      <c r="B2378">
        <v>10</v>
      </c>
      <c r="C2378" s="24">
        <v>45454</v>
      </c>
      <c r="D2378" s="238" t="s">
        <v>3388</v>
      </c>
      <c r="E2378" s="238" t="s">
        <v>5</v>
      </c>
      <c r="F2378">
        <v>5</v>
      </c>
      <c r="G2378">
        <v>6</v>
      </c>
      <c r="H2378">
        <v>150</v>
      </c>
      <c r="I2378" s="238" t="s">
        <v>42</v>
      </c>
      <c r="J2378">
        <v>37.86</v>
      </c>
      <c r="K2378" s="238" t="s">
        <v>36</v>
      </c>
      <c r="L2378">
        <v>4422500</v>
      </c>
      <c r="M2378">
        <v>0</v>
      </c>
      <c r="N2378">
        <v>4422500</v>
      </c>
      <c r="O2378">
        <v>116811.93872160591</v>
      </c>
      <c r="P2378">
        <v>0</v>
      </c>
      <c r="Q2378">
        <v>4422500</v>
      </c>
      <c r="R2378">
        <v>116811.93872160591</v>
      </c>
      <c r="S2378" s="238" t="s">
        <v>137</v>
      </c>
      <c r="T2378" s="238" t="s">
        <v>1167</v>
      </c>
      <c r="V2378" t="s">
        <v>4091</v>
      </c>
      <c r="W2378" s="24">
        <v>45450</v>
      </c>
      <c r="X2378" s="238" t="s">
        <v>7373</v>
      </c>
      <c r="Y2378" s="238" t="s">
        <v>39</v>
      </c>
      <c r="Z2378" s="238" t="s">
        <v>1340</v>
      </c>
      <c r="AA2378" t="s">
        <v>3474</v>
      </c>
      <c r="AB2378" s="238" t="s">
        <v>3246</v>
      </c>
      <c r="AC2378" t="s">
        <v>3077</v>
      </c>
      <c r="AD2378" s="24"/>
      <c r="AE2378" s="238" t="s">
        <v>7374</v>
      </c>
      <c r="AF2378">
        <v>79026922075</v>
      </c>
      <c r="AG2378" s="238" t="s">
        <v>7375</v>
      </c>
      <c r="AH2378" s="238" t="s">
        <v>1212</v>
      </c>
      <c r="AI2378" s="238" t="s">
        <v>3097</v>
      </c>
      <c r="AJ2378" s="238" t="s">
        <v>4177</v>
      </c>
      <c r="AK2378" s="238" t="s">
        <v>141</v>
      </c>
      <c r="AL2378" t="s">
        <v>8715</v>
      </c>
      <c r="AM2378" t="s">
        <v>1167</v>
      </c>
    </row>
    <row r="2379" spans="1:39" x14ac:dyDescent="0.25">
      <c r="A2379">
        <v>2376</v>
      </c>
      <c r="B2379">
        <v>11</v>
      </c>
      <c r="C2379" s="24">
        <v>45454</v>
      </c>
      <c r="D2379" s="238" t="s">
        <v>3388</v>
      </c>
      <c r="E2379" s="238" t="s">
        <v>15</v>
      </c>
      <c r="F2379">
        <v>3</v>
      </c>
      <c r="G2379">
        <v>4</v>
      </c>
      <c r="H2379">
        <v>415</v>
      </c>
      <c r="I2379" s="238" t="s">
        <v>4052</v>
      </c>
      <c r="J2379">
        <v>24.5</v>
      </c>
      <c r="K2379" s="238" t="s">
        <v>6871</v>
      </c>
      <c r="L2379">
        <v>3014473</v>
      </c>
      <c r="M2379">
        <v>0</v>
      </c>
      <c r="N2379">
        <v>3014473</v>
      </c>
      <c r="O2379">
        <v>123039.71428571429</v>
      </c>
      <c r="P2379">
        <v>171500</v>
      </c>
      <c r="Q2379">
        <v>2842973</v>
      </c>
      <c r="R2379">
        <v>116039.71428571429</v>
      </c>
      <c r="S2379" s="238" t="s">
        <v>121</v>
      </c>
      <c r="T2379" s="238" t="s">
        <v>6808</v>
      </c>
      <c r="U2379">
        <v>87927</v>
      </c>
      <c r="V2379" t="s">
        <v>1167</v>
      </c>
      <c r="W2379" s="24">
        <v>45453</v>
      </c>
      <c r="X2379" s="238" t="s">
        <v>7376</v>
      </c>
      <c r="Y2379" s="238" t="s">
        <v>39</v>
      </c>
      <c r="Z2379" s="238" t="s">
        <v>1340</v>
      </c>
      <c r="AA2379" t="s">
        <v>3113</v>
      </c>
      <c r="AB2379" s="238" t="s">
        <v>3246</v>
      </c>
      <c r="AC2379" t="s">
        <v>1167</v>
      </c>
      <c r="AD2379" s="24"/>
      <c r="AE2379" s="238" t="s">
        <v>7377</v>
      </c>
      <c r="AF2379">
        <v>79171071608</v>
      </c>
      <c r="AG2379" s="238" t="s">
        <v>7378</v>
      </c>
      <c r="AH2379" s="238" t="s">
        <v>1212</v>
      </c>
      <c r="AI2379" s="238" t="s">
        <v>135</v>
      </c>
      <c r="AJ2379" s="238" t="s">
        <v>4177</v>
      </c>
      <c r="AK2379" s="238" t="s">
        <v>1167</v>
      </c>
      <c r="AL2379" t="s">
        <v>8715</v>
      </c>
      <c r="AM2379" t="s">
        <v>1167</v>
      </c>
    </row>
    <row r="2380" spans="1:39" x14ac:dyDescent="0.25">
      <c r="A2380">
        <v>2377</v>
      </c>
      <c r="B2380">
        <v>12</v>
      </c>
      <c r="C2380" s="24">
        <v>45456</v>
      </c>
      <c r="D2380" s="238" t="s">
        <v>3388</v>
      </c>
      <c r="E2380" s="238" t="s">
        <v>6</v>
      </c>
      <c r="F2380">
        <v>5</v>
      </c>
      <c r="G2380">
        <v>16</v>
      </c>
      <c r="H2380">
        <v>109</v>
      </c>
      <c r="I2380" s="238" t="s">
        <v>43</v>
      </c>
      <c r="J2380">
        <v>62.17</v>
      </c>
      <c r="K2380" s="238" t="s">
        <v>36</v>
      </c>
      <c r="L2380">
        <v>6076900</v>
      </c>
      <c r="M2380">
        <v>0</v>
      </c>
      <c r="N2380">
        <v>6076900</v>
      </c>
      <c r="O2380">
        <v>97746.501528068198</v>
      </c>
      <c r="P2380">
        <v>0</v>
      </c>
      <c r="Q2380">
        <v>6076900</v>
      </c>
      <c r="R2380">
        <v>97746.501528068198</v>
      </c>
      <c r="S2380" s="238" t="s">
        <v>137</v>
      </c>
      <c r="T2380" s="238" t="s">
        <v>1167</v>
      </c>
      <c r="V2380" t="s">
        <v>4091</v>
      </c>
      <c r="W2380" s="24">
        <v>45441</v>
      </c>
      <c r="X2380" s="238" t="s">
        <v>7379</v>
      </c>
      <c r="Y2380" s="238" t="s">
        <v>39</v>
      </c>
      <c r="Z2380" s="238" t="s">
        <v>1340</v>
      </c>
      <c r="AA2380" t="s">
        <v>3113</v>
      </c>
      <c r="AB2380" s="238" t="s">
        <v>3246</v>
      </c>
      <c r="AC2380" t="s">
        <v>3079</v>
      </c>
      <c r="AD2380" s="24"/>
      <c r="AE2380" s="238" t="s">
        <v>7380</v>
      </c>
      <c r="AF2380">
        <v>79871575046</v>
      </c>
      <c r="AG2380" s="238" t="s">
        <v>7381</v>
      </c>
      <c r="AH2380" s="238" t="s">
        <v>135</v>
      </c>
      <c r="AI2380" s="238" t="s">
        <v>135</v>
      </c>
      <c r="AJ2380" s="238" t="s">
        <v>7181</v>
      </c>
      <c r="AK2380" s="238" t="s">
        <v>3345</v>
      </c>
      <c r="AL2380" t="s">
        <v>8715</v>
      </c>
      <c r="AM2380" t="s">
        <v>1167</v>
      </c>
    </row>
    <row r="2381" spans="1:39" hidden="1" x14ac:dyDescent="0.25">
      <c r="A2381">
        <v>2378</v>
      </c>
      <c r="B2381">
        <v>13</v>
      </c>
      <c r="C2381" s="24">
        <v>45457</v>
      </c>
      <c r="D2381" s="238" t="s">
        <v>91</v>
      </c>
      <c r="E2381" s="238" t="s">
        <v>6</v>
      </c>
      <c r="F2381">
        <v>6</v>
      </c>
      <c r="G2381">
        <v>2</v>
      </c>
      <c r="H2381">
        <v>6</v>
      </c>
      <c r="I2381" s="238" t="s">
        <v>43</v>
      </c>
      <c r="J2381">
        <v>59.87</v>
      </c>
      <c r="K2381" s="238" t="s">
        <v>37</v>
      </c>
      <c r="L2381">
        <v>6596825</v>
      </c>
      <c r="M2381">
        <v>15000</v>
      </c>
      <c r="N2381">
        <v>6611825</v>
      </c>
      <c r="O2381">
        <v>110436.36211792217</v>
      </c>
      <c r="P2381">
        <v>449025</v>
      </c>
      <c r="Q2381">
        <v>6162800</v>
      </c>
      <c r="R2381">
        <v>102936.36211792217</v>
      </c>
      <c r="S2381" s="238" t="s">
        <v>137</v>
      </c>
      <c r="T2381" s="238" t="s">
        <v>1167</v>
      </c>
      <c r="V2381" t="s">
        <v>4091</v>
      </c>
      <c r="W2381" s="24">
        <v>45440</v>
      </c>
      <c r="X2381" s="238" t="s">
        <v>7384</v>
      </c>
      <c r="Y2381" s="238" t="s">
        <v>39</v>
      </c>
      <c r="Z2381" s="238" t="s">
        <v>1340</v>
      </c>
      <c r="AA2381" t="s">
        <v>3113</v>
      </c>
      <c r="AB2381" s="238" t="s">
        <v>3246</v>
      </c>
      <c r="AC2381" t="s">
        <v>3079</v>
      </c>
      <c r="AD2381" s="24"/>
      <c r="AE2381" s="238" t="s">
        <v>7385</v>
      </c>
      <c r="AF2381">
        <v>79279070233</v>
      </c>
      <c r="AG2381" s="238" t="s">
        <v>7386</v>
      </c>
      <c r="AH2381" s="238" t="s">
        <v>1171</v>
      </c>
      <c r="AI2381" s="238" t="s">
        <v>135</v>
      </c>
      <c r="AJ2381" s="238" t="s">
        <v>4177</v>
      </c>
      <c r="AK2381" s="238" t="s">
        <v>141</v>
      </c>
      <c r="AL2381" t="s">
        <v>8715</v>
      </c>
      <c r="AM2381" t="s">
        <v>1167</v>
      </c>
    </row>
    <row r="2382" spans="1:39" x14ac:dyDescent="0.25">
      <c r="A2382">
        <v>2379</v>
      </c>
      <c r="B2382">
        <v>14</v>
      </c>
      <c r="C2382" s="24">
        <v>45457</v>
      </c>
      <c r="D2382" s="238" t="s">
        <v>3388</v>
      </c>
      <c r="E2382" s="238" t="s">
        <v>5</v>
      </c>
      <c r="F2382">
        <v>7</v>
      </c>
      <c r="G2382">
        <v>4</v>
      </c>
      <c r="H2382">
        <v>138</v>
      </c>
      <c r="I2382" s="238" t="s">
        <v>42</v>
      </c>
      <c r="J2382">
        <v>42.28</v>
      </c>
      <c r="K2382" s="238" t="s">
        <v>38</v>
      </c>
      <c r="L2382">
        <v>5558600</v>
      </c>
      <c r="M2382">
        <v>0</v>
      </c>
      <c r="N2382">
        <v>5558600</v>
      </c>
      <c r="O2382">
        <v>131471.14474929046</v>
      </c>
      <c r="P2382">
        <v>845599.99999999907</v>
      </c>
      <c r="Q2382">
        <v>4713000.0000000009</v>
      </c>
      <c r="R2382">
        <v>111471.14474929047</v>
      </c>
      <c r="S2382" s="238" t="s">
        <v>137</v>
      </c>
      <c r="T2382" s="238" t="s">
        <v>1167</v>
      </c>
      <c r="V2382" t="s">
        <v>4091</v>
      </c>
      <c r="W2382" s="24">
        <v>45454</v>
      </c>
      <c r="X2382" s="238" t="s">
        <v>7387</v>
      </c>
      <c r="Y2382" s="238" t="s">
        <v>39</v>
      </c>
      <c r="Z2382" s="238" t="s">
        <v>1340</v>
      </c>
      <c r="AA2382" t="s">
        <v>3474</v>
      </c>
      <c r="AB2382" s="238" t="s">
        <v>3246</v>
      </c>
      <c r="AC2382" t="s">
        <v>3077</v>
      </c>
      <c r="AD2382" s="24"/>
      <c r="AE2382" s="238" t="s">
        <v>7388</v>
      </c>
      <c r="AF2382">
        <v>79608163300</v>
      </c>
      <c r="AG2382" s="238" t="s">
        <v>7389</v>
      </c>
      <c r="AH2382" s="238" t="s">
        <v>4072</v>
      </c>
      <c r="AI2382" s="238" t="s">
        <v>7173</v>
      </c>
      <c r="AJ2382" s="238" t="s">
        <v>4177</v>
      </c>
      <c r="AK2382" s="238" t="s">
        <v>3345</v>
      </c>
      <c r="AL2382" t="s">
        <v>57</v>
      </c>
      <c r="AM2382" t="s">
        <v>1167</v>
      </c>
    </row>
    <row r="2383" spans="1:39" x14ac:dyDescent="0.25">
      <c r="A2383">
        <v>2380</v>
      </c>
      <c r="B2383">
        <v>15</v>
      </c>
      <c r="C2383" s="24">
        <v>45457</v>
      </c>
      <c r="D2383" s="238" t="s">
        <v>3388</v>
      </c>
      <c r="E2383" s="238" t="s">
        <v>6</v>
      </c>
      <c r="F2383">
        <v>1</v>
      </c>
      <c r="G2383">
        <v>13</v>
      </c>
      <c r="H2383">
        <v>84</v>
      </c>
      <c r="I2383" s="238" t="s">
        <v>42</v>
      </c>
      <c r="J2383">
        <v>34.39</v>
      </c>
      <c r="K2383" s="238" t="s">
        <v>36</v>
      </c>
      <c r="L2383">
        <v>4008400</v>
      </c>
      <c r="M2383">
        <v>15000</v>
      </c>
      <c r="N2383">
        <v>4023400</v>
      </c>
      <c r="O2383">
        <v>116993.31200930502</v>
      </c>
      <c r="P2383">
        <v>0</v>
      </c>
      <c r="Q2383">
        <v>4023400</v>
      </c>
      <c r="R2383">
        <v>116993.31200930502</v>
      </c>
      <c r="S2383" s="238" t="s">
        <v>137</v>
      </c>
      <c r="T2383" s="238" t="s">
        <v>1167</v>
      </c>
      <c r="V2383" t="s">
        <v>4092</v>
      </c>
      <c r="W2383" s="24">
        <v>45456</v>
      </c>
      <c r="X2383" s="238" t="s">
        <v>7390</v>
      </c>
      <c r="Y2383" s="238" t="s">
        <v>39</v>
      </c>
      <c r="Z2383" s="238" t="s">
        <v>1340</v>
      </c>
      <c r="AA2383" t="s">
        <v>3113</v>
      </c>
      <c r="AB2383" s="238" t="s">
        <v>3246</v>
      </c>
      <c r="AC2383" t="s">
        <v>3079</v>
      </c>
      <c r="AD2383" s="24"/>
      <c r="AE2383" s="238" t="s">
        <v>7391</v>
      </c>
      <c r="AF2383">
        <v>79292707865</v>
      </c>
      <c r="AG2383" s="238" t="s">
        <v>7392</v>
      </c>
      <c r="AH2383" s="238" t="s">
        <v>146</v>
      </c>
      <c r="AI2383" s="238" t="s">
        <v>135</v>
      </c>
      <c r="AJ2383" s="238" t="s">
        <v>4177</v>
      </c>
      <c r="AK2383" s="238" t="s">
        <v>141</v>
      </c>
      <c r="AL2383" t="s">
        <v>8715</v>
      </c>
      <c r="AM2383" t="s">
        <v>1167</v>
      </c>
    </row>
    <row r="2384" spans="1:39" x14ac:dyDescent="0.25">
      <c r="A2384">
        <v>2381</v>
      </c>
      <c r="B2384">
        <v>16</v>
      </c>
      <c r="C2384" s="24">
        <v>45461</v>
      </c>
      <c r="D2384" s="238" t="s">
        <v>3388</v>
      </c>
      <c r="E2384" s="238" t="s">
        <v>16</v>
      </c>
      <c r="F2384">
        <v>1</v>
      </c>
      <c r="G2384">
        <v>8</v>
      </c>
      <c r="H2384">
        <v>271</v>
      </c>
      <c r="I2384" s="238" t="s">
        <v>43</v>
      </c>
      <c r="J2384">
        <v>73.7</v>
      </c>
      <c r="K2384" s="238" t="s">
        <v>6871</v>
      </c>
      <c r="L2384">
        <v>7578500</v>
      </c>
      <c r="M2384">
        <v>0</v>
      </c>
      <c r="N2384">
        <v>7578500</v>
      </c>
      <c r="O2384">
        <v>102829.03663500678</v>
      </c>
      <c r="P2384">
        <v>515900</v>
      </c>
      <c r="Q2384">
        <v>7062600</v>
      </c>
      <c r="R2384">
        <v>95829.036635006778</v>
      </c>
      <c r="S2384" s="238" t="s">
        <v>137</v>
      </c>
      <c r="T2384" s="238" t="s">
        <v>1167</v>
      </c>
      <c r="V2384" t="s">
        <v>4092</v>
      </c>
      <c r="W2384" s="24">
        <v>45453</v>
      </c>
      <c r="X2384" s="238" t="s">
        <v>7395</v>
      </c>
      <c r="Y2384" s="238" t="s">
        <v>39</v>
      </c>
      <c r="Z2384" s="238" t="s">
        <v>1340</v>
      </c>
      <c r="AA2384" t="s">
        <v>3113</v>
      </c>
      <c r="AB2384" s="238" t="s">
        <v>3246</v>
      </c>
      <c r="AC2384" t="s">
        <v>3079</v>
      </c>
      <c r="AD2384" s="24"/>
      <c r="AE2384" s="238" t="s">
        <v>7396</v>
      </c>
      <c r="AF2384">
        <v>79276024747</v>
      </c>
      <c r="AG2384" s="238" t="s">
        <v>7397</v>
      </c>
      <c r="AH2384" s="238" t="s">
        <v>135</v>
      </c>
      <c r="AI2384" s="238" t="s">
        <v>3075</v>
      </c>
      <c r="AJ2384" s="238" t="s">
        <v>5215</v>
      </c>
      <c r="AK2384" s="238" t="s">
        <v>3345</v>
      </c>
      <c r="AL2384" t="s">
        <v>8715</v>
      </c>
      <c r="AM2384" t="s">
        <v>1167</v>
      </c>
    </row>
    <row r="2385" spans="1:39" x14ac:dyDescent="0.25">
      <c r="A2385">
        <v>2382</v>
      </c>
      <c r="B2385">
        <v>17</v>
      </c>
      <c r="C2385" s="24">
        <v>45461</v>
      </c>
      <c r="D2385" s="238" t="s">
        <v>3388</v>
      </c>
      <c r="E2385" s="238" t="s">
        <v>6</v>
      </c>
      <c r="F2385">
        <v>1</v>
      </c>
      <c r="G2385">
        <v>4</v>
      </c>
      <c r="H2385">
        <v>21</v>
      </c>
      <c r="I2385" s="238" t="s">
        <v>42</v>
      </c>
      <c r="J2385">
        <v>34.39</v>
      </c>
      <c r="K2385" s="238" t="s">
        <v>6871</v>
      </c>
      <c r="L2385">
        <v>4303630</v>
      </c>
      <c r="M2385">
        <v>0</v>
      </c>
      <c r="N2385">
        <v>4303630</v>
      </c>
      <c r="O2385">
        <v>125141.90171561501</v>
      </c>
      <c r="P2385">
        <v>240730</v>
      </c>
      <c r="Q2385">
        <v>4062900</v>
      </c>
      <c r="R2385">
        <v>118141.90171561501</v>
      </c>
      <c r="S2385" s="238" t="s">
        <v>137</v>
      </c>
      <c r="T2385" s="238" t="s">
        <v>1167</v>
      </c>
      <c r="V2385" t="s">
        <v>4091</v>
      </c>
      <c r="W2385" s="24">
        <v>45454</v>
      </c>
      <c r="X2385" s="238" t="s">
        <v>7398</v>
      </c>
      <c r="Y2385" s="238" t="s">
        <v>39</v>
      </c>
      <c r="Z2385" s="238" t="s">
        <v>1340</v>
      </c>
      <c r="AA2385" t="s">
        <v>3113</v>
      </c>
      <c r="AB2385" s="238" t="s">
        <v>3246</v>
      </c>
      <c r="AC2385" t="s">
        <v>3079</v>
      </c>
      <c r="AD2385" s="24"/>
      <c r="AE2385" s="238" t="s">
        <v>7399</v>
      </c>
      <c r="AF2385">
        <v>79873268477</v>
      </c>
      <c r="AG2385" s="238" t="s">
        <v>7400</v>
      </c>
      <c r="AH2385" s="238" t="s">
        <v>1212</v>
      </c>
      <c r="AI2385" s="238" t="s">
        <v>135</v>
      </c>
      <c r="AJ2385" s="238" t="s">
        <v>4177</v>
      </c>
      <c r="AK2385" s="238" t="s">
        <v>3345</v>
      </c>
      <c r="AL2385" t="s">
        <v>8715</v>
      </c>
      <c r="AM2385" t="s">
        <v>1167</v>
      </c>
    </row>
    <row r="2386" spans="1:39" x14ac:dyDescent="0.25">
      <c r="A2386">
        <v>2383</v>
      </c>
      <c r="B2386">
        <v>18</v>
      </c>
      <c r="C2386" s="24">
        <v>45461</v>
      </c>
      <c r="D2386" s="238" t="s">
        <v>3388</v>
      </c>
      <c r="E2386" s="238" t="s">
        <v>15</v>
      </c>
      <c r="F2386">
        <v>3</v>
      </c>
      <c r="G2386">
        <v>5</v>
      </c>
      <c r="H2386">
        <v>423</v>
      </c>
      <c r="I2386" s="238" t="s">
        <v>4052</v>
      </c>
      <c r="J2386">
        <v>24.5</v>
      </c>
      <c r="K2386" s="238" t="s">
        <v>38</v>
      </c>
      <c r="L2386">
        <v>3387500</v>
      </c>
      <c r="M2386">
        <v>0</v>
      </c>
      <c r="N2386">
        <v>3387500</v>
      </c>
      <c r="O2386">
        <v>138265.30612244899</v>
      </c>
      <c r="P2386">
        <v>489999.99999999953</v>
      </c>
      <c r="Q2386">
        <v>2897500.0000000005</v>
      </c>
      <c r="R2386">
        <v>118265.30612244899</v>
      </c>
      <c r="S2386" s="238" t="s">
        <v>137</v>
      </c>
      <c r="T2386" s="238" t="s">
        <v>324</v>
      </c>
      <c r="U2386">
        <v>20000</v>
      </c>
      <c r="V2386" t="s">
        <v>4091</v>
      </c>
      <c r="W2386" s="24">
        <v>45456</v>
      </c>
      <c r="X2386" s="238" t="s">
        <v>7401</v>
      </c>
      <c r="Y2386" s="238" t="s">
        <v>39</v>
      </c>
      <c r="Z2386" s="238" t="s">
        <v>1340</v>
      </c>
      <c r="AA2386" t="s">
        <v>3113</v>
      </c>
      <c r="AB2386" s="238" t="s">
        <v>3246</v>
      </c>
      <c r="AC2386" t="s">
        <v>3079</v>
      </c>
      <c r="AD2386" s="24"/>
      <c r="AE2386" s="238" t="s">
        <v>7402</v>
      </c>
      <c r="AF2386">
        <v>79276066820</v>
      </c>
      <c r="AG2386" s="238" t="s">
        <v>7403</v>
      </c>
      <c r="AH2386" s="238" t="s">
        <v>1212</v>
      </c>
      <c r="AI2386" s="238" t="s">
        <v>135</v>
      </c>
      <c r="AJ2386" s="238" t="s">
        <v>4177</v>
      </c>
      <c r="AK2386" s="238" t="s">
        <v>7181</v>
      </c>
      <c r="AL2386" t="s">
        <v>8715</v>
      </c>
      <c r="AM2386" t="s">
        <v>1167</v>
      </c>
    </row>
    <row r="2387" spans="1:39" hidden="1" x14ac:dyDescent="0.25">
      <c r="A2387">
        <v>2384</v>
      </c>
      <c r="B2387">
        <v>19</v>
      </c>
      <c r="C2387" s="24">
        <v>45463</v>
      </c>
      <c r="D2387" s="238" t="s">
        <v>91</v>
      </c>
      <c r="E2387" s="238" t="s">
        <v>15</v>
      </c>
      <c r="F2387">
        <v>8</v>
      </c>
      <c r="G2387">
        <v>14</v>
      </c>
      <c r="H2387">
        <v>517</v>
      </c>
      <c r="I2387" s="238" t="s">
        <v>43</v>
      </c>
      <c r="J2387">
        <v>63.74</v>
      </c>
      <c r="K2387" s="238" t="s">
        <v>36</v>
      </c>
      <c r="L2387">
        <v>6362900</v>
      </c>
      <c r="M2387">
        <v>0</v>
      </c>
      <c r="N2387">
        <v>6362900</v>
      </c>
      <c r="O2387">
        <v>99825.855036084089</v>
      </c>
      <c r="P2387">
        <v>0</v>
      </c>
      <c r="Q2387">
        <v>6362900</v>
      </c>
      <c r="R2387">
        <v>99825.855036084089</v>
      </c>
      <c r="S2387" s="238" t="s">
        <v>137</v>
      </c>
      <c r="T2387" s="238" t="s">
        <v>1167</v>
      </c>
      <c r="V2387" t="s">
        <v>4092</v>
      </c>
      <c r="W2387" s="24">
        <v>45454</v>
      </c>
      <c r="X2387" s="238" t="s">
        <v>7506</v>
      </c>
      <c r="Y2387" s="238" t="s">
        <v>39</v>
      </c>
      <c r="Z2387" s="238" t="s">
        <v>1340</v>
      </c>
      <c r="AA2387" t="s">
        <v>3113</v>
      </c>
      <c r="AB2387" s="238" t="s">
        <v>3246</v>
      </c>
      <c r="AC2387" t="s">
        <v>3079</v>
      </c>
      <c r="AD2387" s="24"/>
      <c r="AE2387" s="238" t="s">
        <v>7507</v>
      </c>
      <c r="AF2387">
        <v>79649777726</v>
      </c>
      <c r="AG2387" s="238" t="s">
        <v>7508</v>
      </c>
      <c r="AH2387" s="238" t="s">
        <v>135</v>
      </c>
      <c r="AI2387" s="238" t="s">
        <v>3097</v>
      </c>
      <c r="AJ2387" s="238" t="s">
        <v>5215</v>
      </c>
      <c r="AK2387" s="238" t="s">
        <v>7181</v>
      </c>
      <c r="AL2387" t="s">
        <v>8715</v>
      </c>
      <c r="AM2387" t="s">
        <v>1167</v>
      </c>
    </row>
    <row r="2388" spans="1:39" x14ac:dyDescent="0.25">
      <c r="A2388">
        <v>2385</v>
      </c>
      <c r="B2388">
        <v>20</v>
      </c>
      <c r="C2388" s="24">
        <v>45463</v>
      </c>
      <c r="D2388" s="238" t="s">
        <v>3388</v>
      </c>
      <c r="E2388" s="238" t="s">
        <v>6</v>
      </c>
      <c r="F2388">
        <v>3</v>
      </c>
      <c r="G2388">
        <v>12</v>
      </c>
      <c r="H2388">
        <v>79</v>
      </c>
      <c r="I2388" s="238" t="s">
        <v>42</v>
      </c>
      <c r="J2388">
        <v>37.729999999999997</v>
      </c>
      <c r="K2388" s="238" t="s">
        <v>38</v>
      </c>
      <c r="L2388">
        <v>5273900</v>
      </c>
      <c r="M2388">
        <v>0</v>
      </c>
      <c r="N2388">
        <v>5273900</v>
      </c>
      <c r="O2388">
        <v>139780.01590246489</v>
      </c>
      <c r="P2388">
        <v>754600</v>
      </c>
      <c r="Q2388">
        <v>4519300</v>
      </c>
      <c r="R2388">
        <v>119780.01590246489</v>
      </c>
      <c r="S2388" s="238" t="s">
        <v>137</v>
      </c>
      <c r="T2388" s="238" t="s">
        <v>1167</v>
      </c>
      <c r="V2388" t="s">
        <v>4091</v>
      </c>
      <c r="W2388" s="24">
        <v>45460</v>
      </c>
      <c r="X2388" s="238" t="s">
        <v>7509</v>
      </c>
      <c r="Y2388" s="238" t="s">
        <v>39</v>
      </c>
      <c r="Z2388" s="238" t="s">
        <v>1340</v>
      </c>
      <c r="AA2388" t="s">
        <v>3113</v>
      </c>
      <c r="AB2388" s="238" t="s">
        <v>3246</v>
      </c>
      <c r="AC2388" t="s">
        <v>3079</v>
      </c>
      <c r="AD2388" s="24"/>
      <c r="AE2388" s="238" t="s">
        <v>7510</v>
      </c>
      <c r="AF2388">
        <v>79966200740</v>
      </c>
      <c r="AG2388" s="238" t="s">
        <v>7511</v>
      </c>
      <c r="AH2388" s="238" t="s">
        <v>1212</v>
      </c>
      <c r="AI2388" s="238" t="s">
        <v>135</v>
      </c>
      <c r="AJ2388" s="238" t="s">
        <v>4177</v>
      </c>
      <c r="AK2388" s="238" t="s">
        <v>3345</v>
      </c>
      <c r="AL2388" t="s">
        <v>8715</v>
      </c>
      <c r="AM2388" t="s">
        <v>1167</v>
      </c>
    </row>
    <row r="2389" spans="1:39" x14ac:dyDescent="0.25">
      <c r="A2389">
        <v>2386</v>
      </c>
      <c r="B2389">
        <v>21</v>
      </c>
      <c r="C2389" s="24">
        <v>45464</v>
      </c>
      <c r="D2389" s="238" t="s">
        <v>3388</v>
      </c>
      <c r="E2389" s="238" t="s">
        <v>6</v>
      </c>
      <c r="F2389">
        <v>1</v>
      </c>
      <c r="G2389">
        <v>15</v>
      </c>
      <c r="H2389">
        <v>98</v>
      </c>
      <c r="I2389" s="238" t="s">
        <v>42</v>
      </c>
      <c r="J2389">
        <v>34.39</v>
      </c>
      <c r="K2389" s="238" t="s">
        <v>36</v>
      </c>
      <c r="L2389">
        <v>4103900</v>
      </c>
      <c r="M2389">
        <v>0</v>
      </c>
      <c r="N2389">
        <v>4103900</v>
      </c>
      <c r="O2389">
        <v>119334.10875254434</v>
      </c>
      <c r="P2389">
        <v>0</v>
      </c>
      <c r="Q2389">
        <v>4103900</v>
      </c>
      <c r="R2389">
        <v>119334.10875254434</v>
      </c>
      <c r="S2389" s="238" t="s">
        <v>137</v>
      </c>
      <c r="T2389" s="238" t="s">
        <v>1167</v>
      </c>
      <c r="V2389" t="s">
        <v>4091</v>
      </c>
      <c r="W2389" s="24">
        <v>45443</v>
      </c>
      <c r="X2389" s="238" t="s">
        <v>7513</v>
      </c>
      <c r="Y2389" s="238" t="s">
        <v>39</v>
      </c>
      <c r="Z2389" s="238" t="s">
        <v>1340</v>
      </c>
      <c r="AA2389" t="s">
        <v>3113</v>
      </c>
      <c r="AB2389" s="238" t="s">
        <v>3246</v>
      </c>
      <c r="AC2389" t="s">
        <v>3079</v>
      </c>
      <c r="AD2389" s="24"/>
      <c r="AE2389" s="238" t="s">
        <v>7514</v>
      </c>
      <c r="AF2389">
        <v>79279065319</v>
      </c>
      <c r="AG2389" s="238" t="s">
        <v>7515</v>
      </c>
      <c r="AH2389" s="238" t="s">
        <v>4072</v>
      </c>
      <c r="AI2389" s="238" t="s">
        <v>7286</v>
      </c>
      <c r="AJ2389" s="238" t="s">
        <v>4177</v>
      </c>
      <c r="AK2389" s="238" t="s">
        <v>141</v>
      </c>
      <c r="AL2389" t="s">
        <v>57</v>
      </c>
      <c r="AM2389" t="s">
        <v>1167</v>
      </c>
    </row>
    <row r="2390" spans="1:39" hidden="1" x14ac:dyDescent="0.25">
      <c r="A2390">
        <v>2387</v>
      </c>
      <c r="B2390">
        <v>22</v>
      </c>
      <c r="C2390" s="24">
        <v>45464</v>
      </c>
      <c r="D2390" s="238" t="s">
        <v>91</v>
      </c>
      <c r="E2390" s="238" t="s">
        <v>6</v>
      </c>
      <c r="F2390">
        <v>6</v>
      </c>
      <c r="G2390">
        <v>4</v>
      </c>
      <c r="H2390">
        <v>22</v>
      </c>
      <c r="I2390" s="238" t="s">
        <v>43</v>
      </c>
      <c r="J2390">
        <v>59.87</v>
      </c>
      <c r="K2390" s="238" t="s">
        <v>37</v>
      </c>
      <c r="L2390">
        <v>6675925</v>
      </c>
      <c r="M2390">
        <v>0</v>
      </c>
      <c r="N2390">
        <v>6675925</v>
      </c>
      <c r="O2390">
        <v>111507.01519959913</v>
      </c>
      <c r="P2390">
        <v>449025</v>
      </c>
      <c r="Q2390">
        <v>6226900</v>
      </c>
      <c r="R2390">
        <v>104007.01519959913</v>
      </c>
      <c r="S2390" s="238" t="s">
        <v>137</v>
      </c>
      <c r="T2390" s="238" t="s">
        <v>1167</v>
      </c>
      <c r="V2390" t="s">
        <v>4092</v>
      </c>
      <c r="W2390" s="24">
        <v>45450</v>
      </c>
      <c r="X2390" s="238" t="s">
        <v>7516</v>
      </c>
      <c r="Y2390" s="238" t="s">
        <v>39</v>
      </c>
      <c r="Z2390" s="238" t="s">
        <v>1340</v>
      </c>
      <c r="AA2390" t="s">
        <v>3113</v>
      </c>
      <c r="AB2390" s="238" t="s">
        <v>3246</v>
      </c>
      <c r="AC2390" t="s">
        <v>3079</v>
      </c>
      <c r="AD2390" s="24"/>
      <c r="AE2390" s="238" t="s">
        <v>7517</v>
      </c>
      <c r="AF2390">
        <v>79270167776</v>
      </c>
      <c r="AG2390" s="238" t="s">
        <v>7518</v>
      </c>
      <c r="AH2390" s="238" t="s">
        <v>1212</v>
      </c>
      <c r="AI2390" s="238" t="s">
        <v>3074</v>
      </c>
      <c r="AJ2390" s="238" t="s">
        <v>5215</v>
      </c>
      <c r="AK2390" s="238" t="s">
        <v>141</v>
      </c>
      <c r="AL2390" t="s">
        <v>8715</v>
      </c>
      <c r="AM2390" t="s">
        <v>1167</v>
      </c>
    </row>
    <row r="2391" spans="1:39" x14ac:dyDescent="0.25">
      <c r="A2391">
        <v>2388</v>
      </c>
      <c r="B2391">
        <v>23</v>
      </c>
      <c r="C2391" s="24">
        <v>45464</v>
      </c>
      <c r="D2391" s="238" t="s">
        <v>3388</v>
      </c>
      <c r="E2391" s="238" t="s">
        <v>5</v>
      </c>
      <c r="F2391">
        <v>3</v>
      </c>
      <c r="G2391">
        <v>11</v>
      </c>
      <c r="H2391">
        <v>183</v>
      </c>
      <c r="I2391" s="238" t="s">
        <v>43</v>
      </c>
      <c r="J2391">
        <v>57.6</v>
      </c>
      <c r="K2391" s="238" t="s">
        <v>38</v>
      </c>
      <c r="L2391">
        <v>6619800</v>
      </c>
      <c r="M2391">
        <v>0</v>
      </c>
      <c r="N2391">
        <v>6619800</v>
      </c>
      <c r="O2391">
        <v>114927.08333333333</v>
      </c>
      <c r="P2391">
        <v>1152000</v>
      </c>
      <c r="Q2391">
        <v>5467800</v>
      </c>
      <c r="R2391">
        <v>94927.083333333328</v>
      </c>
      <c r="S2391" s="238" t="s">
        <v>137</v>
      </c>
      <c r="T2391" s="238" t="s">
        <v>1167</v>
      </c>
      <c r="V2391" t="s">
        <v>4091</v>
      </c>
      <c r="W2391" s="24">
        <v>45454</v>
      </c>
      <c r="X2391" s="238" t="s">
        <v>7519</v>
      </c>
      <c r="Y2391" s="238" t="s">
        <v>39</v>
      </c>
      <c r="Z2391" s="238" t="s">
        <v>1340</v>
      </c>
      <c r="AA2391" t="s">
        <v>3113</v>
      </c>
      <c r="AB2391" s="238" t="s">
        <v>3246</v>
      </c>
      <c r="AC2391" t="s">
        <v>3079</v>
      </c>
      <c r="AD2391" s="24"/>
      <c r="AE2391" s="238" t="s">
        <v>7520</v>
      </c>
      <c r="AF2391">
        <v>79228229564</v>
      </c>
      <c r="AG2391" s="238" t="s">
        <v>7521</v>
      </c>
      <c r="AH2391" s="238" t="s">
        <v>4072</v>
      </c>
      <c r="AI2391" s="238" t="s">
        <v>6406</v>
      </c>
      <c r="AJ2391" s="238" t="s">
        <v>5215</v>
      </c>
      <c r="AK2391" s="238" t="s">
        <v>7181</v>
      </c>
      <c r="AL2391" t="s">
        <v>57</v>
      </c>
      <c r="AM2391" t="s">
        <v>1167</v>
      </c>
    </row>
    <row r="2392" spans="1:39" x14ac:dyDescent="0.25">
      <c r="A2392">
        <v>2389</v>
      </c>
      <c r="B2392">
        <v>24</v>
      </c>
      <c r="C2392" s="24">
        <v>45464</v>
      </c>
      <c r="D2392" s="238" t="s">
        <v>3388</v>
      </c>
      <c r="E2392" s="238" t="s">
        <v>6</v>
      </c>
      <c r="F2392">
        <v>2</v>
      </c>
      <c r="G2392">
        <v>10</v>
      </c>
      <c r="H2392">
        <v>64</v>
      </c>
      <c r="I2392" s="238" t="s">
        <v>43</v>
      </c>
      <c r="J2392">
        <v>68.5</v>
      </c>
      <c r="K2392" s="238" t="s">
        <v>6871</v>
      </c>
      <c r="L2392">
        <v>7196600</v>
      </c>
      <c r="M2392">
        <v>0</v>
      </c>
      <c r="N2392">
        <v>7196600</v>
      </c>
      <c r="O2392">
        <v>105059.85401459855</v>
      </c>
      <c r="P2392">
        <v>479500</v>
      </c>
      <c r="Q2392">
        <v>6717100</v>
      </c>
      <c r="R2392">
        <v>98059.854014598546</v>
      </c>
      <c r="S2392" s="238" t="s">
        <v>137</v>
      </c>
      <c r="T2392" s="238" t="s">
        <v>7522</v>
      </c>
      <c r="U2392">
        <v>100000</v>
      </c>
      <c r="V2392" t="s">
        <v>4091</v>
      </c>
      <c r="W2392" s="24">
        <v>45457</v>
      </c>
      <c r="X2392" s="238" t="s">
        <v>7523</v>
      </c>
      <c r="Y2392" s="238" t="s">
        <v>39</v>
      </c>
      <c r="Z2392" s="238" t="s">
        <v>1340</v>
      </c>
      <c r="AA2392" t="s">
        <v>3113</v>
      </c>
      <c r="AB2392" s="238" t="s">
        <v>3246</v>
      </c>
      <c r="AC2392" t="s">
        <v>3079</v>
      </c>
      <c r="AD2392" s="24"/>
      <c r="AE2392" s="238" t="s">
        <v>7524</v>
      </c>
      <c r="AF2392">
        <v>79379966364</v>
      </c>
      <c r="AG2392" s="238" t="s">
        <v>7525</v>
      </c>
      <c r="AH2392" s="238" t="s">
        <v>1212</v>
      </c>
      <c r="AI2392" s="238" t="s">
        <v>3084</v>
      </c>
      <c r="AJ2392" s="238" t="s">
        <v>5215</v>
      </c>
      <c r="AK2392" s="238" t="s">
        <v>3345</v>
      </c>
      <c r="AL2392" t="s">
        <v>8715</v>
      </c>
      <c r="AM2392" t="s">
        <v>1167</v>
      </c>
    </row>
    <row r="2393" spans="1:39" x14ac:dyDescent="0.25">
      <c r="A2393">
        <v>2390</v>
      </c>
      <c r="B2393">
        <v>25</v>
      </c>
      <c r="C2393" s="24">
        <v>45464</v>
      </c>
      <c r="D2393" s="238" t="s">
        <v>3388</v>
      </c>
      <c r="E2393" s="238" t="s">
        <v>16</v>
      </c>
      <c r="F2393">
        <v>6</v>
      </c>
      <c r="G2393">
        <v>21</v>
      </c>
      <c r="H2393">
        <v>367</v>
      </c>
      <c r="I2393" s="238" t="s">
        <v>44</v>
      </c>
      <c r="J2393">
        <v>80.97</v>
      </c>
      <c r="K2393" s="238" t="s">
        <v>36</v>
      </c>
      <c r="L2393">
        <v>7688026</v>
      </c>
      <c r="M2393">
        <v>0</v>
      </c>
      <c r="N2393">
        <v>7688026</v>
      </c>
      <c r="O2393">
        <v>94949.067555884903</v>
      </c>
      <c r="P2393">
        <v>0</v>
      </c>
      <c r="Q2393">
        <v>7688026</v>
      </c>
      <c r="R2393">
        <v>94949.067555884903</v>
      </c>
      <c r="S2393" s="238" t="s">
        <v>137</v>
      </c>
      <c r="T2393" s="238" t="s">
        <v>3538</v>
      </c>
      <c r="U2393">
        <v>237774.00000000093</v>
      </c>
      <c r="V2393" t="s">
        <v>4092</v>
      </c>
      <c r="W2393" s="24">
        <v>45457</v>
      </c>
      <c r="X2393" s="238" t="s">
        <v>7526</v>
      </c>
      <c r="Y2393" s="238" t="s">
        <v>39</v>
      </c>
      <c r="Z2393" s="238" t="s">
        <v>1340</v>
      </c>
      <c r="AA2393" t="s">
        <v>3113</v>
      </c>
      <c r="AB2393" s="238" t="s">
        <v>3246</v>
      </c>
      <c r="AC2393" t="s">
        <v>3079</v>
      </c>
      <c r="AD2393" s="24"/>
      <c r="AE2393" s="238" t="s">
        <v>7527</v>
      </c>
      <c r="AF2393">
        <v>79879404380</v>
      </c>
      <c r="AG2393" s="238" t="s">
        <v>7528</v>
      </c>
      <c r="AH2393" s="238" t="s">
        <v>1171</v>
      </c>
      <c r="AI2393" s="238" t="s">
        <v>3074</v>
      </c>
      <c r="AJ2393" s="238" t="s">
        <v>5215</v>
      </c>
      <c r="AK2393" s="238" t="s">
        <v>141</v>
      </c>
      <c r="AL2393" t="s">
        <v>8715</v>
      </c>
      <c r="AM2393" t="s">
        <v>1167</v>
      </c>
    </row>
    <row r="2394" spans="1:39" x14ac:dyDescent="0.25">
      <c r="A2394">
        <v>2391</v>
      </c>
      <c r="B2394">
        <v>26</v>
      </c>
      <c r="C2394" s="24">
        <v>45464</v>
      </c>
      <c r="D2394" s="238" t="s">
        <v>3388</v>
      </c>
      <c r="E2394" s="238" t="s">
        <v>6</v>
      </c>
      <c r="F2394">
        <v>4</v>
      </c>
      <c r="G2394">
        <v>13</v>
      </c>
      <c r="H2394">
        <v>87</v>
      </c>
      <c r="I2394" s="238" t="s">
        <v>43</v>
      </c>
      <c r="J2394">
        <v>59.09</v>
      </c>
      <c r="K2394" s="238" t="s">
        <v>6871</v>
      </c>
      <c r="L2394">
        <v>6132830</v>
      </c>
      <c r="M2394">
        <v>0</v>
      </c>
      <c r="N2394">
        <v>6132830</v>
      </c>
      <c r="O2394">
        <v>103787.95058385513</v>
      </c>
      <c r="P2394">
        <v>413630</v>
      </c>
      <c r="Q2394">
        <v>5719200</v>
      </c>
      <c r="R2394">
        <v>96787.950583855127</v>
      </c>
      <c r="S2394" s="238" t="s">
        <v>137</v>
      </c>
      <c r="T2394" s="238" t="s">
        <v>1167</v>
      </c>
      <c r="V2394" t="s">
        <v>4091</v>
      </c>
      <c r="W2394" s="24">
        <v>45460</v>
      </c>
      <c r="X2394" s="238" t="s">
        <v>7529</v>
      </c>
      <c r="Y2394" s="238" t="s">
        <v>39</v>
      </c>
      <c r="Z2394" s="238" t="s">
        <v>1340</v>
      </c>
      <c r="AA2394" t="s">
        <v>3113</v>
      </c>
      <c r="AB2394" s="238" t="s">
        <v>3246</v>
      </c>
      <c r="AC2394" t="s">
        <v>3079</v>
      </c>
      <c r="AD2394" s="24"/>
      <c r="AE2394" s="238" t="s">
        <v>7530</v>
      </c>
      <c r="AF2394">
        <v>79371823545</v>
      </c>
      <c r="AG2394" s="238" t="s">
        <v>7531</v>
      </c>
      <c r="AH2394" s="238" t="s">
        <v>4072</v>
      </c>
      <c r="AI2394" s="238" t="s">
        <v>6823</v>
      </c>
      <c r="AJ2394" s="238" t="s">
        <v>5215</v>
      </c>
      <c r="AK2394" s="238" t="s">
        <v>3345</v>
      </c>
      <c r="AL2394" t="s">
        <v>57</v>
      </c>
      <c r="AM2394" t="s">
        <v>1167</v>
      </c>
    </row>
    <row r="2395" spans="1:39" x14ac:dyDescent="0.25">
      <c r="A2395">
        <v>2392</v>
      </c>
      <c r="B2395">
        <v>27</v>
      </c>
      <c r="C2395" s="24">
        <v>45464</v>
      </c>
      <c r="D2395" s="238" t="s">
        <v>3388</v>
      </c>
      <c r="E2395" s="238" t="s">
        <v>16</v>
      </c>
      <c r="F2395">
        <v>7</v>
      </c>
      <c r="G2395">
        <v>8</v>
      </c>
      <c r="H2395">
        <v>277</v>
      </c>
      <c r="I2395" s="238" t="s">
        <v>42</v>
      </c>
      <c r="J2395">
        <v>34.81</v>
      </c>
      <c r="K2395" s="238" t="s">
        <v>36</v>
      </c>
      <c r="L2395">
        <v>4212300</v>
      </c>
      <c r="M2395">
        <v>0</v>
      </c>
      <c r="N2395">
        <v>4212300</v>
      </c>
      <c r="O2395">
        <v>121008.33093938523</v>
      </c>
      <c r="P2395">
        <v>0</v>
      </c>
      <c r="Q2395">
        <v>4212300</v>
      </c>
      <c r="R2395">
        <v>121008.33093938523</v>
      </c>
      <c r="S2395" s="238" t="s">
        <v>137</v>
      </c>
      <c r="T2395" s="238" t="s">
        <v>1167</v>
      </c>
      <c r="V2395" t="s">
        <v>4091</v>
      </c>
      <c r="W2395" s="24">
        <v>45461</v>
      </c>
      <c r="X2395" s="238" t="s">
        <v>7532</v>
      </c>
      <c r="Y2395" s="238" t="s">
        <v>39</v>
      </c>
      <c r="Z2395" s="238" t="s">
        <v>1340</v>
      </c>
      <c r="AA2395" t="s">
        <v>3113</v>
      </c>
      <c r="AB2395" s="238" t="s">
        <v>3246</v>
      </c>
      <c r="AC2395" t="s">
        <v>3079</v>
      </c>
      <c r="AD2395" s="24"/>
      <c r="AE2395" s="238" t="s">
        <v>7533</v>
      </c>
      <c r="AF2395">
        <v>79871535680</v>
      </c>
      <c r="AG2395" s="238" t="s">
        <v>7534</v>
      </c>
      <c r="AH2395" s="238" t="s">
        <v>1212</v>
      </c>
      <c r="AI2395" s="238" t="s">
        <v>3103</v>
      </c>
      <c r="AJ2395" s="238" t="s">
        <v>4177</v>
      </c>
      <c r="AK2395" s="238" t="s">
        <v>7181</v>
      </c>
      <c r="AL2395" t="s">
        <v>8715</v>
      </c>
      <c r="AM2395" t="s">
        <v>1167</v>
      </c>
    </row>
    <row r="2396" spans="1:39" x14ac:dyDescent="0.25">
      <c r="A2396">
        <v>2393</v>
      </c>
      <c r="B2396">
        <v>28</v>
      </c>
      <c r="C2396" s="24">
        <v>45464</v>
      </c>
      <c r="D2396" s="238" t="s">
        <v>3388</v>
      </c>
      <c r="E2396" s="238" t="s">
        <v>16</v>
      </c>
      <c r="F2396">
        <v>5</v>
      </c>
      <c r="G2396">
        <v>10</v>
      </c>
      <c r="H2396">
        <v>289</v>
      </c>
      <c r="I2396" s="238" t="s">
        <v>42</v>
      </c>
      <c r="J2396">
        <v>37.81</v>
      </c>
      <c r="K2396" s="238" t="s">
        <v>36</v>
      </c>
      <c r="L2396">
        <v>4430900</v>
      </c>
      <c r="M2396">
        <v>0</v>
      </c>
      <c r="N2396">
        <v>4430900</v>
      </c>
      <c r="O2396">
        <v>117188.57445120339</v>
      </c>
      <c r="P2396">
        <v>0</v>
      </c>
      <c r="Q2396">
        <v>4430900</v>
      </c>
      <c r="R2396">
        <v>117188.57445120339</v>
      </c>
      <c r="S2396" s="238" t="s">
        <v>137</v>
      </c>
      <c r="T2396" s="238" t="s">
        <v>1167</v>
      </c>
      <c r="V2396" t="s">
        <v>4091</v>
      </c>
      <c r="W2396" s="24">
        <v>45462</v>
      </c>
      <c r="X2396" s="238" t="s">
        <v>7535</v>
      </c>
      <c r="Y2396" s="238" t="s">
        <v>39</v>
      </c>
      <c r="Z2396" s="238" t="s">
        <v>1340</v>
      </c>
      <c r="AA2396" t="s">
        <v>3113</v>
      </c>
      <c r="AB2396" s="238" t="s">
        <v>3246</v>
      </c>
      <c r="AC2396" t="s">
        <v>3079</v>
      </c>
      <c r="AD2396" s="24"/>
      <c r="AE2396" s="238" t="s">
        <v>7536</v>
      </c>
      <c r="AF2396">
        <v>79171041781</v>
      </c>
      <c r="AG2396" s="238" t="s">
        <v>7537</v>
      </c>
      <c r="AH2396" s="238" t="s">
        <v>1171</v>
      </c>
      <c r="AI2396" s="238" t="s">
        <v>3102</v>
      </c>
      <c r="AJ2396" s="238" t="s">
        <v>4177</v>
      </c>
      <c r="AK2396" s="238" t="s">
        <v>7181</v>
      </c>
      <c r="AL2396" t="s">
        <v>8715</v>
      </c>
      <c r="AM2396" t="s">
        <v>1167</v>
      </c>
    </row>
    <row r="2397" spans="1:39" x14ac:dyDescent="0.25">
      <c r="A2397">
        <v>2394</v>
      </c>
      <c r="B2397">
        <v>29</v>
      </c>
      <c r="C2397" s="24">
        <v>45464</v>
      </c>
      <c r="D2397" s="238" t="s">
        <v>3388</v>
      </c>
      <c r="E2397" s="238" t="s">
        <v>15</v>
      </c>
      <c r="F2397">
        <v>8</v>
      </c>
      <c r="G2397">
        <v>6</v>
      </c>
      <c r="H2397">
        <v>436</v>
      </c>
      <c r="I2397" s="238" t="s">
        <v>42</v>
      </c>
      <c r="J2397">
        <v>39.69</v>
      </c>
      <c r="K2397" s="238" t="s">
        <v>38</v>
      </c>
      <c r="L2397">
        <v>5154600</v>
      </c>
      <c r="M2397">
        <v>0</v>
      </c>
      <c r="N2397">
        <v>5154600</v>
      </c>
      <c r="O2397">
        <v>129871.50415721846</v>
      </c>
      <c r="P2397">
        <v>793800</v>
      </c>
      <c r="Q2397">
        <v>4360800</v>
      </c>
      <c r="R2397">
        <v>109871.50415721846</v>
      </c>
      <c r="S2397" s="238" t="s">
        <v>137</v>
      </c>
      <c r="T2397" s="238" t="s">
        <v>1167</v>
      </c>
      <c r="V2397" t="s">
        <v>4091</v>
      </c>
      <c r="W2397" s="24">
        <v>45462</v>
      </c>
      <c r="X2397" s="238" t="s">
        <v>7538</v>
      </c>
      <c r="Y2397" s="238" t="s">
        <v>39</v>
      </c>
      <c r="Z2397" s="238" t="s">
        <v>1340</v>
      </c>
      <c r="AA2397" t="s">
        <v>3113</v>
      </c>
      <c r="AB2397" s="238" t="s">
        <v>3246</v>
      </c>
      <c r="AC2397" t="s">
        <v>3079</v>
      </c>
      <c r="AD2397" s="24"/>
      <c r="AE2397" s="238" t="s">
        <v>7539</v>
      </c>
      <c r="AF2397">
        <v>79276064300</v>
      </c>
      <c r="AG2397" s="238" t="s">
        <v>7540</v>
      </c>
      <c r="AH2397" s="238" t="s">
        <v>1212</v>
      </c>
      <c r="AI2397" s="238" t="s">
        <v>3084</v>
      </c>
      <c r="AJ2397" s="238" t="s">
        <v>4177</v>
      </c>
      <c r="AK2397" s="238" t="s">
        <v>7181</v>
      </c>
      <c r="AL2397" t="s">
        <v>8715</v>
      </c>
      <c r="AM2397" t="s">
        <v>1167</v>
      </c>
    </row>
    <row r="2398" spans="1:39" x14ac:dyDescent="0.25">
      <c r="A2398">
        <v>2395</v>
      </c>
      <c r="B2398">
        <v>30</v>
      </c>
      <c r="C2398" s="24">
        <v>45465</v>
      </c>
      <c r="D2398" s="238" t="s">
        <v>3388</v>
      </c>
      <c r="E2398" s="238" t="s">
        <v>15</v>
      </c>
      <c r="F2398">
        <v>6</v>
      </c>
      <c r="G2398">
        <v>20</v>
      </c>
      <c r="H2398">
        <v>546</v>
      </c>
      <c r="I2398" s="238" t="s">
        <v>42</v>
      </c>
      <c r="J2398">
        <v>38.299999999999997</v>
      </c>
      <c r="K2398" s="238" t="s">
        <v>6871</v>
      </c>
      <c r="L2398">
        <v>4752900</v>
      </c>
      <c r="M2398">
        <v>30000</v>
      </c>
      <c r="N2398">
        <v>4782900</v>
      </c>
      <c r="O2398">
        <v>124879.89556135771</v>
      </c>
      <c r="P2398">
        <v>268100</v>
      </c>
      <c r="Q2398">
        <v>4514800</v>
      </c>
      <c r="R2398">
        <v>117879.89556135771</v>
      </c>
      <c r="S2398" s="238" t="s">
        <v>137</v>
      </c>
      <c r="T2398" s="238" t="s">
        <v>1167</v>
      </c>
      <c r="V2398" t="s">
        <v>4091</v>
      </c>
      <c r="W2398" s="24">
        <v>45442</v>
      </c>
      <c r="X2398" s="238" t="s">
        <v>7541</v>
      </c>
      <c r="Y2398" s="238" t="s">
        <v>39</v>
      </c>
      <c r="Z2398" s="238" t="s">
        <v>1340</v>
      </c>
      <c r="AA2398" t="s">
        <v>3113</v>
      </c>
      <c r="AB2398" s="238" t="s">
        <v>3246</v>
      </c>
      <c r="AC2398" t="s">
        <v>3079</v>
      </c>
      <c r="AD2398" s="24"/>
      <c r="AE2398" s="238" t="s">
        <v>7542</v>
      </c>
      <c r="AF2398">
        <v>79061265716</v>
      </c>
      <c r="AG2398" s="238" t="s">
        <v>7543</v>
      </c>
      <c r="AH2398" s="238" t="s">
        <v>135</v>
      </c>
      <c r="AI2398" s="238" t="s">
        <v>135</v>
      </c>
      <c r="AJ2398" s="238" t="s">
        <v>7181</v>
      </c>
      <c r="AK2398" s="238" t="s">
        <v>7181</v>
      </c>
      <c r="AL2398" t="s">
        <v>8715</v>
      </c>
      <c r="AM2398" t="s">
        <v>1167</v>
      </c>
    </row>
    <row r="2399" spans="1:39" x14ac:dyDescent="0.25">
      <c r="A2399">
        <v>2396</v>
      </c>
      <c r="B2399">
        <v>31</v>
      </c>
      <c r="C2399" s="24">
        <v>45465</v>
      </c>
      <c r="D2399" s="238" t="s">
        <v>3388</v>
      </c>
      <c r="E2399" s="238" t="s">
        <v>6</v>
      </c>
      <c r="F2399">
        <v>2</v>
      </c>
      <c r="G2399">
        <v>15</v>
      </c>
      <c r="H2399">
        <v>99</v>
      </c>
      <c r="I2399" s="238" t="s">
        <v>43</v>
      </c>
      <c r="J2399">
        <v>68.5</v>
      </c>
      <c r="K2399" s="238" t="s">
        <v>6871</v>
      </c>
      <c r="L2399">
        <v>6596600</v>
      </c>
      <c r="M2399">
        <v>0</v>
      </c>
      <c r="N2399">
        <v>6596600</v>
      </c>
      <c r="O2399">
        <v>96300.729927007298</v>
      </c>
      <c r="P2399">
        <v>479500</v>
      </c>
      <c r="Q2399">
        <v>6117100</v>
      </c>
      <c r="R2399">
        <v>89300.729927007298</v>
      </c>
      <c r="S2399" s="238" t="s">
        <v>137</v>
      </c>
      <c r="T2399" s="238" t="s">
        <v>350</v>
      </c>
      <c r="U2399">
        <v>700000</v>
      </c>
      <c r="V2399" t="s">
        <v>4091</v>
      </c>
      <c r="W2399" s="24">
        <v>45442</v>
      </c>
      <c r="X2399" s="238" t="s">
        <v>7544</v>
      </c>
      <c r="Y2399" s="238" t="s">
        <v>39</v>
      </c>
      <c r="Z2399" s="238" t="s">
        <v>1340</v>
      </c>
      <c r="AA2399" t="s">
        <v>3113</v>
      </c>
      <c r="AB2399" s="238" t="s">
        <v>3246</v>
      </c>
      <c r="AC2399" t="s">
        <v>3079</v>
      </c>
      <c r="AD2399" s="24"/>
      <c r="AE2399" s="238" t="s">
        <v>7545</v>
      </c>
      <c r="AF2399">
        <v>79171360808</v>
      </c>
      <c r="AG2399" s="238" t="s">
        <v>7546</v>
      </c>
      <c r="AH2399" s="238" t="s">
        <v>1212</v>
      </c>
      <c r="AI2399" s="238" t="s">
        <v>135</v>
      </c>
      <c r="AJ2399" s="238" t="s">
        <v>982</v>
      </c>
      <c r="AK2399" s="238" t="s">
        <v>141</v>
      </c>
      <c r="AL2399" t="s">
        <v>8715</v>
      </c>
      <c r="AM2399" t="s">
        <v>1167</v>
      </c>
    </row>
    <row r="2400" spans="1:39" hidden="1" x14ac:dyDescent="0.25">
      <c r="A2400">
        <v>2397</v>
      </c>
      <c r="B2400">
        <v>32</v>
      </c>
      <c r="C2400" s="24">
        <v>45465</v>
      </c>
      <c r="D2400" s="238" t="s">
        <v>91</v>
      </c>
      <c r="E2400" s="238" t="s">
        <v>6</v>
      </c>
      <c r="F2400">
        <v>6</v>
      </c>
      <c r="G2400">
        <v>3</v>
      </c>
      <c r="H2400">
        <v>14</v>
      </c>
      <c r="I2400" s="238" t="s">
        <v>43</v>
      </c>
      <c r="J2400">
        <v>59.87</v>
      </c>
      <c r="K2400" s="238" t="s">
        <v>37</v>
      </c>
      <c r="L2400">
        <v>6611825</v>
      </c>
      <c r="M2400">
        <v>0</v>
      </c>
      <c r="N2400">
        <v>6611825</v>
      </c>
      <c r="O2400">
        <v>110436.36211792217</v>
      </c>
      <c r="P2400">
        <v>449025</v>
      </c>
      <c r="Q2400">
        <v>6162800</v>
      </c>
      <c r="R2400">
        <v>102936.36211792217</v>
      </c>
      <c r="S2400" s="238" t="s">
        <v>137</v>
      </c>
      <c r="T2400" s="238" t="s">
        <v>1167</v>
      </c>
      <c r="V2400" t="s">
        <v>4091</v>
      </c>
      <c r="W2400" s="24">
        <v>45453</v>
      </c>
      <c r="X2400" s="238" t="s">
        <v>7547</v>
      </c>
      <c r="Y2400" s="238" t="s">
        <v>39</v>
      </c>
      <c r="Z2400" s="238" t="s">
        <v>1340</v>
      </c>
      <c r="AA2400" t="s">
        <v>3113</v>
      </c>
      <c r="AB2400" s="238" t="s">
        <v>3246</v>
      </c>
      <c r="AC2400" t="s">
        <v>3079</v>
      </c>
      <c r="AD2400" s="24"/>
      <c r="AE2400" s="238" t="s">
        <v>7548</v>
      </c>
      <c r="AF2400">
        <v>79397006866</v>
      </c>
      <c r="AG2400" s="238" t="s">
        <v>7549</v>
      </c>
      <c r="AH2400" s="238" t="s">
        <v>1212</v>
      </c>
      <c r="AI2400" s="238" t="s">
        <v>3074</v>
      </c>
      <c r="AJ2400" s="238" t="s">
        <v>126</v>
      </c>
      <c r="AK2400" s="238" t="s">
        <v>3345</v>
      </c>
      <c r="AL2400" t="s">
        <v>8715</v>
      </c>
      <c r="AM2400" t="s">
        <v>1167</v>
      </c>
    </row>
    <row r="2401" spans="1:39" hidden="1" x14ac:dyDescent="0.25">
      <c r="A2401">
        <v>2398</v>
      </c>
      <c r="B2401">
        <v>33</v>
      </c>
      <c r="C2401" s="24">
        <v>45465</v>
      </c>
      <c r="D2401" s="238" t="s">
        <v>91</v>
      </c>
      <c r="E2401" s="238" t="s">
        <v>15</v>
      </c>
      <c r="F2401">
        <v>4</v>
      </c>
      <c r="G2401">
        <v>8</v>
      </c>
      <c r="H2401">
        <v>459</v>
      </c>
      <c r="I2401" s="238" t="s">
        <v>42</v>
      </c>
      <c r="J2401">
        <v>36.5</v>
      </c>
      <c r="K2401" s="238" t="s">
        <v>38</v>
      </c>
      <c r="L2401">
        <v>5350600</v>
      </c>
      <c r="M2401">
        <v>0</v>
      </c>
      <c r="N2401">
        <v>5350600</v>
      </c>
      <c r="O2401">
        <v>146591.78082191781</v>
      </c>
      <c r="P2401">
        <v>803000</v>
      </c>
      <c r="Q2401">
        <v>4547600</v>
      </c>
      <c r="R2401">
        <v>124591.78082191781</v>
      </c>
      <c r="S2401" s="238" t="s">
        <v>137</v>
      </c>
      <c r="T2401" s="238" t="s">
        <v>1167</v>
      </c>
      <c r="V2401" t="s">
        <v>4091</v>
      </c>
      <c r="W2401" s="24">
        <v>45460</v>
      </c>
      <c r="X2401" s="238" t="s">
        <v>7550</v>
      </c>
      <c r="Y2401" s="238" t="s">
        <v>39</v>
      </c>
      <c r="Z2401" s="238" t="s">
        <v>1340</v>
      </c>
      <c r="AA2401" t="s">
        <v>3113</v>
      </c>
      <c r="AB2401" s="238" t="s">
        <v>3246</v>
      </c>
      <c r="AC2401" t="s">
        <v>3079</v>
      </c>
      <c r="AD2401" s="24"/>
      <c r="AE2401" s="238" t="s">
        <v>7551</v>
      </c>
      <c r="AF2401">
        <v>79277914202</v>
      </c>
      <c r="AG2401" s="238" t="s">
        <v>7552</v>
      </c>
      <c r="AH2401" s="238" t="s">
        <v>1212</v>
      </c>
      <c r="AI2401" s="238" t="s">
        <v>3090</v>
      </c>
      <c r="AJ2401" s="238" t="s">
        <v>126</v>
      </c>
      <c r="AK2401" s="238" t="s">
        <v>3345</v>
      </c>
      <c r="AL2401" t="s">
        <v>8715</v>
      </c>
      <c r="AM2401" t="s">
        <v>1167</v>
      </c>
    </row>
    <row r="2402" spans="1:39" x14ac:dyDescent="0.25">
      <c r="A2402">
        <v>2399</v>
      </c>
      <c r="B2402">
        <v>34</v>
      </c>
      <c r="C2402" s="24">
        <v>45465</v>
      </c>
      <c r="D2402" s="238" t="s">
        <v>3388</v>
      </c>
      <c r="E2402" s="238" t="s">
        <v>5</v>
      </c>
      <c r="F2402">
        <v>7</v>
      </c>
      <c r="G2402">
        <v>9</v>
      </c>
      <c r="H2402">
        <v>173</v>
      </c>
      <c r="I2402" s="238" t="s">
        <v>42</v>
      </c>
      <c r="J2402">
        <v>42.28</v>
      </c>
      <c r="K2402" s="238" t="s">
        <v>6871</v>
      </c>
      <c r="L2402">
        <v>4876260</v>
      </c>
      <c r="M2402">
        <v>0</v>
      </c>
      <c r="N2402">
        <v>4876260</v>
      </c>
      <c r="O2402">
        <v>115332.54493850521</v>
      </c>
      <c r="P2402">
        <v>295960</v>
      </c>
      <c r="Q2402">
        <v>4580300</v>
      </c>
      <c r="R2402">
        <v>108332.54493850521</v>
      </c>
      <c r="S2402" s="238" t="s">
        <v>137</v>
      </c>
      <c r="T2402" s="238" t="s">
        <v>1167</v>
      </c>
      <c r="V2402" t="s">
        <v>4091</v>
      </c>
      <c r="W2402" s="24">
        <v>45463</v>
      </c>
      <c r="X2402" s="238" t="s">
        <v>7553</v>
      </c>
      <c r="Y2402" s="238" t="s">
        <v>39</v>
      </c>
      <c r="Z2402" s="238" t="s">
        <v>1340</v>
      </c>
      <c r="AA2402" t="s">
        <v>3113</v>
      </c>
      <c r="AB2402" s="238" t="s">
        <v>3246</v>
      </c>
      <c r="AC2402" t="s">
        <v>3079</v>
      </c>
      <c r="AD2402" s="24"/>
      <c r="AE2402" s="238" t="s">
        <v>7554</v>
      </c>
      <c r="AF2402">
        <v>79501138206</v>
      </c>
      <c r="AG2402" s="238" t="s">
        <v>7555</v>
      </c>
      <c r="AH2402" s="238" t="s">
        <v>1212</v>
      </c>
      <c r="AI2402" s="238" t="s">
        <v>135</v>
      </c>
      <c r="AJ2402" s="238" t="s">
        <v>4177</v>
      </c>
      <c r="AK2402" s="238" t="s">
        <v>7181</v>
      </c>
      <c r="AL2402" t="s">
        <v>8715</v>
      </c>
      <c r="AM2402" t="s">
        <v>1167</v>
      </c>
    </row>
    <row r="2403" spans="1:39" x14ac:dyDescent="0.25">
      <c r="A2403">
        <v>2400</v>
      </c>
      <c r="B2403">
        <v>35</v>
      </c>
      <c r="C2403" s="24">
        <v>45465</v>
      </c>
      <c r="D2403" s="238" t="s">
        <v>3388</v>
      </c>
      <c r="E2403" s="238" t="s">
        <v>5</v>
      </c>
      <c r="F2403">
        <v>7</v>
      </c>
      <c r="G2403">
        <v>16</v>
      </c>
      <c r="H2403">
        <v>222</v>
      </c>
      <c r="I2403" s="238" t="s">
        <v>42</v>
      </c>
      <c r="J2403">
        <v>42.28</v>
      </c>
      <c r="K2403" s="238" t="s">
        <v>38</v>
      </c>
      <c r="L2403">
        <v>5514400</v>
      </c>
      <c r="M2403">
        <v>0</v>
      </c>
      <c r="N2403">
        <v>5514400</v>
      </c>
      <c r="O2403">
        <v>130425.73320719016</v>
      </c>
      <c r="P2403">
        <v>845600</v>
      </c>
      <c r="Q2403">
        <v>4668800</v>
      </c>
      <c r="R2403">
        <v>110425.73320719016</v>
      </c>
      <c r="S2403" s="238" t="s">
        <v>137</v>
      </c>
      <c r="T2403" s="238" t="s">
        <v>1167</v>
      </c>
      <c r="V2403" t="s">
        <v>4091</v>
      </c>
      <c r="W2403" s="24">
        <v>45463</v>
      </c>
      <c r="X2403" s="238" t="s">
        <v>7556</v>
      </c>
      <c r="Y2403" s="238" t="s">
        <v>39</v>
      </c>
      <c r="Z2403" s="238" t="s">
        <v>1340</v>
      </c>
      <c r="AA2403" t="s">
        <v>3113</v>
      </c>
      <c r="AB2403" s="238" t="s">
        <v>3246</v>
      </c>
      <c r="AC2403" t="s">
        <v>3079</v>
      </c>
      <c r="AD2403" s="24"/>
      <c r="AE2403" s="238" t="s">
        <v>7557</v>
      </c>
      <c r="AF2403">
        <v>79879270179</v>
      </c>
      <c r="AG2403" s="238" t="s">
        <v>7558</v>
      </c>
      <c r="AH2403" s="238" t="s">
        <v>1197</v>
      </c>
      <c r="AI2403" s="238" t="s">
        <v>135</v>
      </c>
      <c r="AJ2403" s="238" t="s">
        <v>4177</v>
      </c>
      <c r="AK2403" s="238" t="s">
        <v>141</v>
      </c>
      <c r="AL2403" t="s">
        <v>8715</v>
      </c>
      <c r="AM2403" t="s">
        <v>1167</v>
      </c>
    </row>
    <row r="2404" spans="1:39" x14ac:dyDescent="0.25">
      <c r="A2404">
        <v>2401</v>
      </c>
      <c r="B2404">
        <v>36</v>
      </c>
      <c r="C2404" s="24">
        <v>45466</v>
      </c>
      <c r="D2404" s="238" t="s">
        <v>3388</v>
      </c>
      <c r="E2404" s="238" t="s">
        <v>5</v>
      </c>
      <c r="F2404">
        <v>3</v>
      </c>
      <c r="G2404">
        <v>4</v>
      </c>
      <c r="H2404">
        <v>134</v>
      </c>
      <c r="I2404" s="238" t="s">
        <v>43</v>
      </c>
      <c r="J2404">
        <v>57.6</v>
      </c>
      <c r="K2404" s="238" t="s">
        <v>38</v>
      </c>
      <c r="L2404">
        <v>6611742</v>
      </c>
      <c r="M2404">
        <v>0</v>
      </c>
      <c r="N2404">
        <v>6611742</v>
      </c>
      <c r="O2404">
        <v>114787.1875</v>
      </c>
      <c r="P2404">
        <v>1152000</v>
      </c>
      <c r="Q2404">
        <v>5459742</v>
      </c>
      <c r="R2404">
        <v>94787.1875</v>
      </c>
      <c r="S2404" s="238" t="s">
        <v>137</v>
      </c>
      <c r="T2404" s="238" t="s">
        <v>978</v>
      </c>
      <c r="U2404">
        <v>168858</v>
      </c>
      <c r="V2404" t="s">
        <v>4091</v>
      </c>
      <c r="W2404" s="24">
        <v>45443</v>
      </c>
      <c r="X2404" s="238" t="s">
        <v>7559</v>
      </c>
      <c r="Y2404" s="238" t="s">
        <v>39</v>
      </c>
      <c r="Z2404" s="238" t="s">
        <v>1340</v>
      </c>
      <c r="AA2404" t="s">
        <v>3113</v>
      </c>
      <c r="AB2404" s="238" t="s">
        <v>3246</v>
      </c>
      <c r="AC2404" t="s">
        <v>3079</v>
      </c>
      <c r="AD2404" s="24"/>
      <c r="AE2404" s="238" t="s">
        <v>7560</v>
      </c>
      <c r="AF2404">
        <v>79270133858</v>
      </c>
      <c r="AG2404" s="238" t="s">
        <v>7561</v>
      </c>
      <c r="AH2404" s="238" t="s">
        <v>1171</v>
      </c>
      <c r="AI2404" s="238" t="s">
        <v>135</v>
      </c>
      <c r="AJ2404" s="238" t="s">
        <v>126</v>
      </c>
      <c r="AK2404" s="238" t="s">
        <v>141</v>
      </c>
      <c r="AL2404" t="s">
        <v>8715</v>
      </c>
      <c r="AM2404" t="s">
        <v>1167</v>
      </c>
    </row>
    <row r="2405" spans="1:39" hidden="1" x14ac:dyDescent="0.25">
      <c r="A2405">
        <v>2402</v>
      </c>
      <c r="B2405">
        <v>37</v>
      </c>
      <c r="C2405" s="24">
        <v>45466</v>
      </c>
      <c r="D2405" s="238" t="s">
        <v>7562</v>
      </c>
      <c r="E2405" s="238" t="s">
        <v>42</v>
      </c>
      <c r="F2405">
        <v>1</v>
      </c>
      <c r="G2405">
        <v>13</v>
      </c>
      <c r="H2405">
        <v>45</v>
      </c>
      <c r="I2405" s="238" t="s">
        <v>43</v>
      </c>
      <c r="J2405">
        <v>61.41</v>
      </c>
      <c r="K2405" s="238" t="s">
        <v>36</v>
      </c>
      <c r="L2405">
        <v>7409584</v>
      </c>
      <c r="M2405">
        <v>0</v>
      </c>
      <c r="N2405">
        <v>7409584</v>
      </c>
      <c r="O2405">
        <v>120657.61276665039</v>
      </c>
      <c r="P2405">
        <v>0</v>
      </c>
      <c r="Q2405">
        <v>7409584</v>
      </c>
      <c r="R2405">
        <v>120657.61276665039</v>
      </c>
      <c r="S2405" s="238" t="s">
        <v>137</v>
      </c>
      <c r="T2405" s="238" t="s">
        <v>321</v>
      </c>
      <c r="U2405">
        <v>151216</v>
      </c>
      <c r="V2405" t="s">
        <v>4091</v>
      </c>
      <c r="W2405" s="24">
        <v>45464</v>
      </c>
      <c r="X2405" s="238" t="s">
        <v>7894</v>
      </c>
      <c r="Y2405" s="238" t="s">
        <v>39</v>
      </c>
      <c r="Z2405" s="238" t="s">
        <v>1340</v>
      </c>
      <c r="AA2405" t="s">
        <v>3113</v>
      </c>
      <c r="AB2405" s="238" t="s">
        <v>3246</v>
      </c>
      <c r="AC2405" t="s">
        <v>3079</v>
      </c>
      <c r="AD2405" s="24"/>
      <c r="AE2405" s="238" t="s">
        <v>7563</v>
      </c>
      <c r="AF2405">
        <v>79247835170</v>
      </c>
      <c r="AG2405" s="238" t="s">
        <v>7564</v>
      </c>
      <c r="AH2405" s="238" t="s">
        <v>1212</v>
      </c>
      <c r="AI2405" s="238" t="s">
        <v>3097</v>
      </c>
      <c r="AJ2405" s="238" t="s">
        <v>4177</v>
      </c>
      <c r="AK2405" s="238" t="s">
        <v>3345</v>
      </c>
      <c r="AL2405" t="s">
        <v>8715</v>
      </c>
      <c r="AM2405" t="s">
        <v>7643</v>
      </c>
    </row>
    <row r="2406" spans="1:39" x14ac:dyDescent="0.25">
      <c r="A2406">
        <v>2403</v>
      </c>
      <c r="B2406">
        <v>38</v>
      </c>
      <c r="C2406" s="24">
        <v>45467</v>
      </c>
      <c r="D2406" s="238" t="s">
        <v>3388</v>
      </c>
      <c r="E2406" s="238" t="s">
        <v>15</v>
      </c>
      <c r="F2406">
        <v>4</v>
      </c>
      <c r="G2406">
        <v>3</v>
      </c>
      <c r="H2406">
        <v>408</v>
      </c>
      <c r="I2406" s="238" t="s">
        <v>43</v>
      </c>
      <c r="J2406">
        <v>58.24</v>
      </c>
      <c r="K2406" s="238" t="s">
        <v>38</v>
      </c>
      <c r="L2406">
        <v>6640900</v>
      </c>
      <c r="M2406">
        <v>15000</v>
      </c>
      <c r="N2406">
        <v>6655900</v>
      </c>
      <c r="O2406">
        <v>114283.99725274724</v>
      </c>
      <c r="P2406">
        <v>1164800</v>
      </c>
      <c r="Q2406">
        <v>5491100</v>
      </c>
      <c r="R2406">
        <v>94283.997252747256</v>
      </c>
      <c r="S2406" s="238" t="s">
        <v>137</v>
      </c>
      <c r="T2406" s="238" t="s">
        <v>7135</v>
      </c>
      <c r="U2406">
        <v>90000</v>
      </c>
      <c r="V2406" t="s">
        <v>4092</v>
      </c>
      <c r="W2406" s="24">
        <v>45427</v>
      </c>
      <c r="X2406" s="238" t="s">
        <v>7572</v>
      </c>
      <c r="Y2406" s="238" t="s">
        <v>39</v>
      </c>
      <c r="Z2406" s="238" t="s">
        <v>1340</v>
      </c>
      <c r="AA2406" t="s">
        <v>3113</v>
      </c>
      <c r="AB2406" s="238" t="s">
        <v>3246</v>
      </c>
      <c r="AC2406" t="s">
        <v>3079</v>
      </c>
      <c r="AD2406" s="24"/>
      <c r="AE2406" s="238" t="s">
        <v>7573</v>
      </c>
      <c r="AF2406">
        <v>79276042725</v>
      </c>
      <c r="AG2406" s="238" t="s">
        <v>7574</v>
      </c>
      <c r="AH2406" s="238" t="s">
        <v>135</v>
      </c>
      <c r="AI2406" s="238" t="s">
        <v>3099</v>
      </c>
      <c r="AJ2406" s="238" t="s">
        <v>126</v>
      </c>
      <c r="AK2406" s="238" t="s">
        <v>3345</v>
      </c>
      <c r="AL2406" t="s">
        <v>8715</v>
      </c>
      <c r="AM2406" t="s">
        <v>1167</v>
      </c>
    </row>
    <row r="2407" spans="1:39" x14ac:dyDescent="0.25">
      <c r="A2407">
        <v>2404</v>
      </c>
      <c r="B2407">
        <v>39</v>
      </c>
      <c r="C2407" s="24">
        <v>45467</v>
      </c>
      <c r="D2407" s="238" t="s">
        <v>3388</v>
      </c>
      <c r="E2407" s="238" t="s">
        <v>5</v>
      </c>
      <c r="F2407">
        <v>3</v>
      </c>
      <c r="G2407">
        <v>16</v>
      </c>
      <c r="H2407">
        <v>218</v>
      </c>
      <c r="I2407" s="238" t="s">
        <v>43</v>
      </c>
      <c r="J2407">
        <v>57.6</v>
      </c>
      <c r="K2407" s="238" t="s">
        <v>6871</v>
      </c>
      <c r="L2407">
        <v>5978200</v>
      </c>
      <c r="M2407">
        <v>0</v>
      </c>
      <c r="N2407">
        <v>5978200</v>
      </c>
      <c r="O2407">
        <v>103788.19444444444</v>
      </c>
      <c r="P2407">
        <v>403200</v>
      </c>
      <c r="Q2407">
        <v>5575000</v>
      </c>
      <c r="R2407">
        <v>96788.194444444438</v>
      </c>
      <c r="S2407" s="238" t="s">
        <v>137</v>
      </c>
      <c r="T2407" s="238" t="s">
        <v>1167</v>
      </c>
      <c r="V2407" t="s">
        <v>4092</v>
      </c>
      <c r="W2407" s="24">
        <v>45450</v>
      </c>
      <c r="X2407" s="238" t="s">
        <v>7575</v>
      </c>
      <c r="Y2407" s="238" t="s">
        <v>39</v>
      </c>
      <c r="Z2407" s="238" t="s">
        <v>1340</v>
      </c>
      <c r="AA2407" t="s">
        <v>3113</v>
      </c>
      <c r="AB2407" s="238" t="s">
        <v>3246</v>
      </c>
      <c r="AC2407" t="s">
        <v>3079</v>
      </c>
      <c r="AD2407" s="24"/>
      <c r="AE2407" s="238" t="s">
        <v>1241</v>
      </c>
      <c r="AF2407">
        <v>79623298042</v>
      </c>
      <c r="AG2407" s="238" t="s">
        <v>7576</v>
      </c>
      <c r="AH2407" s="238" t="s">
        <v>1212</v>
      </c>
      <c r="AI2407" s="238" t="s">
        <v>3103</v>
      </c>
      <c r="AJ2407" s="238" t="s">
        <v>126</v>
      </c>
      <c r="AK2407" s="238" t="s">
        <v>141</v>
      </c>
      <c r="AL2407" t="s">
        <v>8715</v>
      </c>
      <c r="AM2407" t="s">
        <v>1167</v>
      </c>
    </row>
    <row r="2408" spans="1:39" x14ac:dyDescent="0.25">
      <c r="A2408">
        <v>2405</v>
      </c>
      <c r="B2408">
        <v>40</v>
      </c>
      <c r="C2408" s="24">
        <v>45467</v>
      </c>
      <c r="D2408" s="238" t="s">
        <v>3388</v>
      </c>
      <c r="E2408" s="238" t="s">
        <v>15</v>
      </c>
      <c r="F2408">
        <v>6</v>
      </c>
      <c r="G2408">
        <v>1</v>
      </c>
      <c r="H2408">
        <v>395</v>
      </c>
      <c r="I2408" s="238" t="s">
        <v>44</v>
      </c>
      <c r="J2408">
        <v>79.44</v>
      </c>
      <c r="K2408" s="238" t="s">
        <v>36</v>
      </c>
      <c r="L2408">
        <v>8531500</v>
      </c>
      <c r="M2408">
        <v>0</v>
      </c>
      <c r="N2408">
        <v>8531500</v>
      </c>
      <c r="O2408">
        <v>107395.51863041289</v>
      </c>
      <c r="P2408">
        <v>0</v>
      </c>
      <c r="Q2408">
        <v>8531500</v>
      </c>
      <c r="R2408">
        <v>107395.51863041289</v>
      </c>
      <c r="S2408" s="238" t="s">
        <v>137</v>
      </c>
      <c r="T2408" s="238" t="s">
        <v>7522</v>
      </c>
      <c r="U2408">
        <v>150000</v>
      </c>
      <c r="V2408" t="s">
        <v>4092</v>
      </c>
      <c r="W2408" s="24">
        <v>45463</v>
      </c>
      <c r="X2408" s="238" t="s">
        <v>7577</v>
      </c>
      <c r="Y2408" s="238" t="s">
        <v>39</v>
      </c>
      <c r="Z2408" s="238" t="s">
        <v>1340</v>
      </c>
      <c r="AA2408" t="s">
        <v>3113</v>
      </c>
      <c r="AB2408" s="238" t="s">
        <v>3246</v>
      </c>
      <c r="AC2408" t="s">
        <v>3079</v>
      </c>
      <c r="AD2408" s="24"/>
      <c r="AE2408" s="238" t="s">
        <v>7578</v>
      </c>
      <c r="AF2408">
        <v>79276090898</v>
      </c>
      <c r="AG2408" s="238" t="s">
        <v>7579</v>
      </c>
      <c r="AH2408" s="238" t="s">
        <v>135</v>
      </c>
      <c r="AI2408" s="238" t="s">
        <v>3099</v>
      </c>
      <c r="AJ2408" s="238" t="s">
        <v>4177</v>
      </c>
      <c r="AK2408" s="238" t="s">
        <v>3345</v>
      </c>
      <c r="AL2408" t="s">
        <v>8715</v>
      </c>
      <c r="AM2408" t="s">
        <v>1167</v>
      </c>
    </row>
    <row r="2409" spans="1:39" x14ac:dyDescent="0.25">
      <c r="A2409">
        <v>2406</v>
      </c>
      <c r="B2409">
        <v>41</v>
      </c>
      <c r="C2409" s="24">
        <v>45468</v>
      </c>
      <c r="D2409" s="238" t="s">
        <v>3388</v>
      </c>
      <c r="E2409" s="238" t="s">
        <v>15</v>
      </c>
      <c r="F2409">
        <v>6</v>
      </c>
      <c r="G2409">
        <v>15</v>
      </c>
      <c r="H2409">
        <v>506</v>
      </c>
      <c r="I2409" s="238" t="s">
        <v>42</v>
      </c>
      <c r="J2409">
        <v>38.299999999999997</v>
      </c>
      <c r="K2409" s="238" t="s">
        <v>36</v>
      </c>
      <c r="L2409">
        <v>4266700</v>
      </c>
      <c r="M2409">
        <v>0</v>
      </c>
      <c r="N2409">
        <v>4266700</v>
      </c>
      <c r="O2409">
        <v>111402.08877284596</v>
      </c>
      <c r="P2409">
        <v>0</v>
      </c>
      <c r="Q2409">
        <v>4266700</v>
      </c>
      <c r="R2409">
        <v>111402.08877284596</v>
      </c>
      <c r="S2409" s="238" t="s">
        <v>137</v>
      </c>
      <c r="T2409" s="238" t="s">
        <v>1167</v>
      </c>
      <c r="V2409" t="s">
        <v>4092</v>
      </c>
      <c r="W2409" s="24">
        <v>45460</v>
      </c>
      <c r="X2409" s="238" t="s">
        <v>7582</v>
      </c>
      <c r="Y2409" s="238" t="s">
        <v>39</v>
      </c>
      <c r="Z2409" s="238" t="s">
        <v>1340</v>
      </c>
      <c r="AA2409" t="s">
        <v>3113</v>
      </c>
      <c r="AB2409" s="238" t="s">
        <v>3246</v>
      </c>
      <c r="AC2409" t="s">
        <v>3079</v>
      </c>
      <c r="AD2409" s="24"/>
      <c r="AE2409" s="238" t="s">
        <v>7583</v>
      </c>
      <c r="AF2409">
        <v>79967446630</v>
      </c>
      <c r="AG2409" s="238" t="s">
        <v>7584</v>
      </c>
      <c r="AH2409" s="238" t="s">
        <v>1197</v>
      </c>
      <c r="AI2409" s="238" t="s">
        <v>135</v>
      </c>
      <c r="AJ2409" s="238" t="s">
        <v>126</v>
      </c>
      <c r="AK2409" s="238" t="s">
        <v>7181</v>
      </c>
      <c r="AL2409" t="s">
        <v>8715</v>
      </c>
      <c r="AM2409" t="s">
        <v>1167</v>
      </c>
    </row>
    <row r="2410" spans="1:39" x14ac:dyDescent="0.25">
      <c r="A2410">
        <v>2407</v>
      </c>
      <c r="B2410">
        <v>42</v>
      </c>
      <c r="C2410" s="24">
        <v>45468</v>
      </c>
      <c r="D2410" s="238" t="s">
        <v>3388</v>
      </c>
      <c r="E2410" s="238" t="s">
        <v>5</v>
      </c>
      <c r="F2410">
        <v>7</v>
      </c>
      <c r="G2410">
        <v>12</v>
      </c>
      <c r="H2410">
        <v>194</v>
      </c>
      <c r="I2410" s="238" t="s">
        <v>42</v>
      </c>
      <c r="J2410">
        <v>42.28</v>
      </c>
      <c r="K2410" s="238" t="s">
        <v>6871</v>
      </c>
      <c r="L2410">
        <v>4964760</v>
      </c>
      <c r="M2410">
        <v>0</v>
      </c>
      <c r="N2410">
        <v>4964760</v>
      </c>
      <c r="O2410">
        <v>117425.73320719016</v>
      </c>
      <c r="P2410">
        <v>295960</v>
      </c>
      <c r="Q2410">
        <v>4668800</v>
      </c>
      <c r="R2410">
        <v>110425.73320719016</v>
      </c>
      <c r="S2410" s="238" t="s">
        <v>137</v>
      </c>
      <c r="T2410" s="238" t="s">
        <v>1167</v>
      </c>
      <c r="V2410" t="s">
        <v>4092</v>
      </c>
      <c r="W2410" s="24">
        <v>45461</v>
      </c>
      <c r="X2410" s="238" t="s">
        <v>7585</v>
      </c>
      <c r="Y2410" s="238" t="s">
        <v>39</v>
      </c>
      <c r="Z2410" s="238" t="s">
        <v>1340</v>
      </c>
      <c r="AA2410" t="s">
        <v>3113</v>
      </c>
      <c r="AB2410" s="238" t="s">
        <v>3246</v>
      </c>
      <c r="AC2410" t="s">
        <v>3079</v>
      </c>
      <c r="AD2410" s="24"/>
      <c r="AE2410" s="238" t="s">
        <v>7586</v>
      </c>
      <c r="AF2410">
        <v>79270011828</v>
      </c>
      <c r="AG2410" s="238" t="s">
        <v>7587</v>
      </c>
      <c r="AH2410" s="238" t="s">
        <v>1171</v>
      </c>
      <c r="AI2410" s="238" t="s">
        <v>3085</v>
      </c>
      <c r="AJ2410" s="238" t="s">
        <v>4177</v>
      </c>
      <c r="AK2410" s="238" t="s">
        <v>7181</v>
      </c>
      <c r="AL2410" t="s">
        <v>8715</v>
      </c>
      <c r="AM2410" t="s">
        <v>1167</v>
      </c>
    </row>
    <row r="2411" spans="1:39" x14ac:dyDescent="0.25">
      <c r="A2411">
        <v>2408</v>
      </c>
      <c r="B2411">
        <v>43</v>
      </c>
      <c r="C2411" s="24">
        <v>45468</v>
      </c>
      <c r="D2411" s="238" t="s">
        <v>3388</v>
      </c>
      <c r="E2411" s="238" t="s">
        <v>16</v>
      </c>
      <c r="F2411">
        <v>3</v>
      </c>
      <c r="G2411">
        <v>17</v>
      </c>
      <c r="H2411">
        <v>336</v>
      </c>
      <c r="I2411" s="238" t="s">
        <v>43</v>
      </c>
      <c r="J2411">
        <v>56.58</v>
      </c>
      <c r="K2411" s="238" t="s">
        <v>38</v>
      </c>
      <c r="L2411">
        <v>6451856</v>
      </c>
      <c r="M2411">
        <v>0</v>
      </c>
      <c r="N2411">
        <v>6451856</v>
      </c>
      <c r="O2411">
        <v>114030.68221986567</v>
      </c>
      <c r="P2411">
        <v>1131600</v>
      </c>
      <c r="Q2411">
        <v>5320256</v>
      </c>
      <c r="R2411">
        <v>94030.682219865674</v>
      </c>
      <c r="S2411" s="238" t="s">
        <v>121</v>
      </c>
      <c r="T2411" s="238" t="s">
        <v>6808</v>
      </c>
      <c r="U2411">
        <v>164544</v>
      </c>
      <c r="V2411" t="s">
        <v>1167</v>
      </c>
      <c r="W2411" s="24">
        <v>45463</v>
      </c>
      <c r="X2411" s="238" t="s">
        <v>7588</v>
      </c>
      <c r="Y2411" s="238" t="s">
        <v>39</v>
      </c>
      <c r="Z2411" s="238" t="s">
        <v>1340</v>
      </c>
      <c r="AA2411" t="s">
        <v>3474</v>
      </c>
      <c r="AB2411" s="238" t="s">
        <v>3246</v>
      </c>
      <c r="AC2411" t="s">
        <v>1167</v>
      </c>
      <c r="AD2411" s="24"/>
      <c r="AE2411" s="238" t="s">
        <v>7589</v>
      </c>
      <c r="AF2411">
        <v>77477353964</v>
      </c>
      <c r="AG2411" s="238" t="s">
        <v>7590</v>
      </c>
      <c r="AH2411" s="238" t="s">
        <v>4072</v>
      </c>
      <c r="AI2411" s="238" t="s">
        <v>7173</v>
      </c>
      <c r="AJ2411" s="238" t="s">
        <v>4177</v>
      </c>
      <c r="AK2411" s="238" t="s">
        <v>1167</v>
      </c>
      <c r="AL2411" t="s">
        <v>57</v>
      </c>
      <c r="AM2411" t="s">
        <v>1167</v>
      </c>
    </row>
    <row r="2412" spans="1:39" x14ac:dyDescent="0.25">
      <c r="A2412">
        <v>2409</v>
      </c>
      <c r="B2412">
        <v>44</v>
      </c>
      <c r="C2412" s="24">
        <v>45469</v>
      </c>
      <c r="D2412" s="238" t="s">
        <v>3388</v>
      </c>
      <c r="E2412" s="238" t="s">
        <v>16</v>
      </c>
      <c r="F2412">
        <v>3</v>
      </c>
      <c r="G2412">
        <v>14</v>
      </c>
      <c r="H2412">
        <v>315</v>
      </c>
      <c r="I2412" s="238" t="s">
        <v>43</v>
      </c>
      <c r="J2412">
        <v>56.58</v>
      </c>
      <c r="K2412" s="238" t="s">
        <v>38</v>
      </c>
      <c r="L2412">
        <v>6669100</v>
      </c>
      <c r="M2412">
        <v>0</v>
      </c>
      <c r="N2412">
        <v>6669100</v>
      </c>
      <c r="O2412">
        <v>117870.27218098268</v>
      </c>
      <c r="P2412">
        <v>1131600</v>
      </c>
      <c r="Q2412">
        <v>5537500</v>
      </c>
      <c r="R2412">
        <v>97870.272180982676</v>
      </c>
      <c r="S2412" s="238" t="s">
        <v>137</v>
      </c>
      <c r="T2412" s="238" t="s">
        <v>1167</v>
      </c>
      <c r="V2412" t="s">
        <v>4092</v>
      </c>
      <c r="W2412" s="24">
        <v>45447</v>
      </c>
      <c r="X2412" s="238" t="s">
        <v>7593</v>
      </c>
      <c r="Y2412" s="238" t="s">
        <v>39</v>
      </c>
      <c r="Z2412" s="238" t="s">
        <v>1340</v>
      </c>
      <c r="AA2412" t="s">
        <v>3113</v>
      </c>
      <c r="AB2412" s="238" t="s">
        <v>3246</v>
      </c>
      <c r="AC2412" t="s">
        <v>3079</v>
      </c>
      <c r="AD2412" s="24"/>
      <c r="AE2412" s="238" t="s">
        <v>7594</v>
      </c>
      <c r="AF2412">
        <v>79996836594</v>
      </c>
      <c r="AG2412" s="238" t="s">
        <v>7595</v>
      </c>
      <c r="AH2412" s="238" t="s">
        <v>1212</v>
      </c>
      <c r="AI2412" s="238" t="s">
        <v>3088</v>
      </c>
      <c r="AJ2412" s="238" t="s">
        <v>4177</v>
      </c>
      <c r="AK2412" s="238" t="s">
        <v>141</v>
      </c>
      <c r="AL2412" t="s">
        <v>8715</v>
      </c>
      <c r="AM2412" t="s">
        <v>1167</v>
      </c>
    </row>
    <row r="2413" spans="1:39" x14ac:dyDescent="0.25">
      <c r="A2413">
        <v>2410</v>
      </c>
      <c r="B2413">
        <v>45</v>
      </c>
      <c r="C2413" s="24">
        <v>45469</v>
      </c>
      <c r="D2413" s="238" t="s">
        <v>3388</v>
      </c>
      <c r="E2413" s="238" t="s">
        <v>6</v>
      </c>
      <c r="F2413">
        <v>6</v>
      </c>
      <c r="G2413">
        <v>4</v>
      </c>
      <c r="H2413">
        <v>26</v>
      </c>
      <c r="I2413" s="238" t="s">
        <v>43</v>
      </c>
      <c r="J2413">
        <v>58.16</v>
      </c>
      <c r="K2413" s="238" t="s">
        <v>36</v>
      </c>
      <c r="L2413">
        <v>5591565</v>
      </c>
      <c r="M2413">
        <v>0</v>
      </c>
      <c r="N2413">
        <v>5591565</v>
      </c>
      <c r="O2413">
        <v>96141.076341127933</v>
      </c>
      <c r="P2413">
        <v>0</v>
      </c>
      <c r="Q2413">
        <v>5591565</v>
      </c>
      <c r="R2413">
        <v>96141.076341127933</v>
      </c>
      <c r="S2413" s="238" t="s">
        <v>137</v>
      </c>
      <c r="T2413" s="238" t="s">
        <v>3538</v>
      </c>
      <c r="U2413">
        <v>172935.00000000093</v>
      </c>
      <c r="V2413" t="s">
        <v>4092</v>
      </c>
      <c r="W2413" s="24">
        <v>45463</v>
      </c>
      <c r="X2413" s="238" t="s">
        <v>7596</v>
      </c>
      <c r="Y2413" s="238" t="s">
        <v>39</v>
      </c>
      <c r="Z2413" s="238" t="s">
        <v>1340</v>
      </c>
      <c r="AA2413" t="s">
        <v>3113</v>
      </c>
      <c r="AB2413" s="238" t="s">
        <v>3246</v>
      </c>
      <c r="AC2413" t="s">
        <v>3079</v>
      </c>
      <c r="AD2413" s="24"/>
      <c r="AE2413" s="238" t="s">
        <v>7597</v>
      </c>
      <c r="AF2413">
        <v>79330144607</v>
      </c>
      <c r="AG2413" s="238" t="s">
        <v>7598</v>
      </c>
      <c r="AH2413" s="238" t="s">
        <v>1212</v>
      </c>
      <c r="AI2413" s="238" t="s">
        <v>3097</v>
      </c>
      <c r="AJ2413" s="238" t="s">
        <v>5215</v>
      </c>
      <c r="AK2413" s="238" t="s">
        <v>3345</v>
      </c>
      <c r="AL2413" t="s">
        <v>8715</v>
      </c>
      <c r="AM2413" t="s">
        <v>1167</v>
      </c>
    </row>
    <row r="2414" spans="1:39" x14ac:dyDescent="0.25">
      <c r="A2414">
        <v>2411</v>
      </c>
      <c r="B2414">
        <v>46</v>
      </c>
      <c r="C2414" s="24">
        <v>45469</v>
      </c>
      <c r="D2414" s="238" t="s">
        <v>3388</v>
      </c>
      <c r="E2414" s="238" t="s">
        <v>5</v>
      </c>
      <c r="F2414">
        <v>1</v>
      </c>
      <c r="G2414">
        <v>15</v>
      </c>
      <c r="H2414">
        <v>209</v>
      </c>
      <c r="I2414" s="238" t="s">
        <v>43</v>
      </c>
      <c r="J2414">
        <v>60.22</v>
      </c>
      <c r="K2414" s="238" t="s">
        <v>36</v>
      </c>
      <c r="L2414">
        <v>5770900</v>
      </c>
      <c r="M2414">
        <v>0</v>
      </c>
      <c r="N2414">
        <v>5770900</v>
      </c>
      <c r="O2414">
        <v>95830.288940551312</v>
      </c>
      <c r="P2414">
        <v>0</v>
      </c>
      <c r="Q2414">
        <v>5770900</v>
      </c>
      <c r="R2414">
        <v>95830.288940551312</v>
      </c>
      <c r="S2414" s="238" t="s">
        <v>137</v>
      </c>
      <c r="T2414" s="238" t="s">
        <v>1167</v>
      </c>
      <c r="V2414" t="s">
        <v>4092</v>
      </c>
      <c r="W2414" s="24">
        <v>45467</v>
      </c>
      <c r="X2414" s="238" t="s">
        <v>7599</v>
      </c>
      <c r="Y2414" s="238" t="s">
        <v>39</v>
      </c>
      <c r="Z2414" s="238" t="s">
        <v>1340</v>
      </c>
      <c r="AA2414" t="s">
        <v>3113</v>
      </c>
      <c r="AB2414" s="238" t="s">
        <v>3246</v>
      </c>
      <c r="AC2414" t="s">
        <v>3079</v>
      </c>
      <c r="AD2414" s="24"/>
      <c r="AE2414" s="238" t="s">
        <v>7600</v>
      </c>
      <c r="AF2414">
        <v>79272661973</v>
      </c>
      <c r="AG2414" s="238" t="s">
        <v>7601</v>
      </c>
      <c r="AH2414" s="238" t="s">
        <v>1171</v>
      </c>
      <c r="AI2414" s="238" t="s">
        <v>3088</v>
      </c>
      <c r="AJ2414" s="238" t="s">
        <v>4177</v>
      </c>
      <c r="AK2414" s="238" t="s">
        <v>7181</v>
      </c>
      <c r="AL2414" t="s">
        <v>8715</v>
      </c>
      <c r="AM2414" t="s">
        <v>1167</v>
      </c>
    </row>
    <row r="2415" spans="1:39" hidden="1" x14ac:dyDescent="0.25">
      <c r="A2415">
        <v>2412</v>
      </c>
      <c r="B2415">
        <v>47</v>
      </c>
      <c r="C2415" s="24">
        <v>45470</v>
      </c>
      <c r="D2415" s="238" t="s">
        <v>91</v>
      </c>
      <c r="E2415" s="238" t="s">
        <v>16</v>
      </c>
      <c r="F2415">
        <v>6</v>
      </c>
      <c r="G2415">
        <v>16</v>
      </c>
      <c r="H2415">
        <v>344</v>
      </c>
      <c r="I2415" s="238" t="s">
        <v>44</v>
      </c>
      <c r="J2415">
        <v>72.510000000000005</v>
      </c>
      <c r="K2415" s="238" t="s">
        <v>37</v>
      </c>
      <c r="L2415">
        <v>7580807</v>
      </c>
      <c r="M2415">
        <v>15000</v>
      </c>
      <c r="N2415">
        <v>7595807</v>
      </c>
      <c r="O2415">
        <v>104755.30271686663</v>
      </c>
      <c r="P2415">
        <v>543825</v>
      </c>
      <c r="Q2415">
        <v>7051982</v>
      </c>
      <c r="R2415">
        <v>97255.30271686663</v>
      </c>
      <c r="S2415" s="238" t="s">
        <v>137</v>
      </c>
      <c r="T2415" s="238" t="s">
        <v>7603</v>
      </c>
      <c r="U2415">
        <v>143918</v>
      </c>
      <c r="V2415" t="s">
        <v>4092</v>
      </c>
      <c r="W2415" s="24">
        <v>45440</v>
      </c>
      <c r="X2415" s="238" t="s">
        <v>7604</v>
      </c>
      <c r="Y2415" s="238" t="s">
        <v>39</v>
      </c>
      <c r="Z2415" s="238" t="s">
        <v>1340</v>
      </c>
      <c r="AA2415" t="s">
        <v>3113</v>
      </c>
      <c r="AB2415" s="238" t="s">
        <v>3246</v>
      </c>
      <c r="AC2415" t="s">
        <v>3079</v>
      </c>
      <c r="AD2415" s="24"/>
      <c r="AE2415" s="238" t="s">
        <v>7605</v>
      </c>
      <c r="AF2415">
        <v>79277144145</v>
      </c>
      <c r="AG2415" s="238" t="s">
        <v>7606</v>
      </c>
      <c r="AH2415" s="238" t="s">
        <v>1212</v>
      </c>
      <c r="AI2415" s="238" t="s">
        <v>3103</v>
      </c>
      <c r="AJ2415" s="238" t="s">
        <v>7181</v>
      </c>
      <c r="AK2415" s="238" t="s">
        <v>141</v>
      </c>
      <c r="AL2415" t="s">
        <v>8715</v>
      </c>
      <c r="AM2415" t="s">
        <v>1167</v>
      </c>
    </row>
    <row r="2416" spans="1:39" x14ac:dyDescent="0.25">
      <c r="A2416">
        <v>2413</v>
      </c>
      <c r="B2416">
        <v>48</v>
      </c>
      <c r="C2416" s="24">
        <v>45470</v>
      </c>
      <c r="D2416" s="238" t="s">
        <v>3388</v>
      </c>
      <c r="E2416" s="238" t="s">
        <v>16</v>
      </c>
      <c r="F2416">
        <v>7</v>
      </c>
      <c r="G2416">
        <v>4</v>
      </c>
      <c r="H2416">
        <v>249</v>
      </c>
      <c r="I2416" s="238" t="s">
        <v>42</v>
      </c>
      <c r="J2416">
        <v>34.81</v>
      </c>
      <c r="K2416" s="238" t="s">
        <v>38</v>
      </c>
      <c r="L2416">
        <v>4948400</v>
      </c>
      <c r="M2416">
        <v>0</v>
      </c>
      <c r="N2416">
        <v>4948400</v>
      </c>
      <c r="O2416">
        <v>142154.55328928467</v>
      </c>
      <c r="P2416">
        <v>696200</v>
      </c>
      <c r="Q2416">
        <v>4252200</v>
      </c>
      <c r="R2416">
        <v>122154.55328928468</v>
      </c>
      <c r="S2416" s="238" t="s">
        <v>137</v>
      </c>
      <c r="T2416" s="238" t="s">
        <v>1167</v>
      </c>
      <c r="V2416" t="s">
        <v>4093</v>
      </c>
      <c r="W2416" s="24">
        <v>45460</v>
      </c>
      <c r="X2416" s="238" t="s">
        <v>7607</v>
      </c>
      <c r="Y2416" s="238" t="s">
        <v>39</v>
      </c>
      <c r="Z2416" s="238" t="s">
        <v>1340</v>
      </c>
      <c r="AA2416" t="s">
        <v>3113</v>
      </c>
      <c r="AB2416" s="238" t="s">
        <v>3246</v>
      </c>
      <c r="AC2416" t="s">
        <v>3079</v>
      </c>
      <c r="AD2416" s="24"/>
      <c r="AE2416" s="238" t="s">
        <v>7608</v>
      </c>
      <c r="AF2416">
        <v>79228306585</v>
      </c>
      <c r="AG2416" s="238" t="s">
        <v>7609</v>
      </c>
      <c r="AH2416" s="238" t="s">
        <v>1212</v>
      </c>
      <c r="AI2416" s="238" t="s">
        <v>135</v>
      </c>
      <c r="AJ2416" s="238" t="s">
        <v>126</v>
      </c>
      <c r="AK2416" s="238" t="s">
        <v>3345</v>
      </c>
      <c r="AL2416" t="s">
        <v>8715</v>
      </c>
      <c r="AM2416" t="s">
        <v>1167</v>
      </c>
    </row>
    <row r="2417" spans="1:39" hidden="1" x14ac:dyDescent="0.25">
      <c r="A2417">
        <v>2414</v>
      </c>
      <c r="B2417">
        <v>49</v>
      </c>
      <c r="C2417" s="24">
        <v>45470</v>
      </c>
      <c r="D2417" s="238" t="s">
        <v>3388</v>
      </c>
      <c r="E2417" s="238" t="s">
        <v>6</v>
      </c>
      <c r="F2417">
        <v>1</v>
      </c>
      <c r="G2417">
        <v>6</v>
      </c>
      <c r="H2417">
        <v>35</v>
      </c>
      <c r="I2417" s="238" t="s">
        <v>42</v>
      </c>
      <c r="J2417">
        <v>34.39</v>
      </c>
      <c r="K2417" s="238" t="s">
        <v>38</v>
      </c>
      <c r="L2417">
        <v>4791700</v>
      </c>
      <c r="M2417">
        <v>0</v>
      </c>
      <c r="N2417">
        <v>4791700</v>
      </c>
      <c r="O2417">
        <v>139334.10875254433</v>
      </c>
      <c r="P2417">
        <v>687800</v>
      </c>
      <c r="Q2417">
        <v>4103900</v>
      </c>
      <c r="R2417">
        <v>119334.10875254434</v>
      </c>
      <c r="S2417" s="238" t="s">
        <v>137</v>
      </c>
      <c r="T2417" s="238" t="s">
        <v>1167</v>
      </c>
      <c r="V2417" t="s">
        <v>4092</v>
      </c>
      <c r="W2417" s="24">
        <v>45462</v>
      </c>
      <c r="X2417" s="238" t="s">
        <v>7610</v>
      </c>
      <c r="Y2417" s="238" t="s">
        <v>1172</v>
      </c>
      <c r="Z2417" s="238" t="s">
        <v>1340</v>
      </c>
      <c r="AA2417" t="s">
        <v>3474</v>
      </c>
      <c r="AB2417" s="238" t="s">
        <v>3246</v>
      </c>
      <c r="AC2417" t="s">
        <v>3077</v>
      </c>
      <c r="AD2417" s="24">
        <v>45651</v>
      </c>
      <c r="AE2417" s="238" t="s">
        <v>7611</v>
      </c>
      <c r="AF2417">
        <v>79370761898</v>
      </c>
      <c r="AG2417" s="238" t="s">
        <v>7612</v>
      </c>
      <c r="AH2417" s="238" t="s">
        <v>1212</v>
      </c>
      <c r="AI2417" s="238" t="s">
        <v>7173</v>
      </c>
      <c r="AJ2417" s="238" t="s">
        <v>126</v>
      </c>
      <c r="AK2417" s="238" t="s">
        <v>3345</v>
      </c>
      <c r="AL2417" t="s">
        <v>57</v>
      </c>
      <c r="AM2417" t="s">
        <v>1167</v>
      </c>
    </row>
    <row r="2418" spans="1:39" x14ac:dyDescent="0.25">
      <c r="A2418">
        <v>2415</v>
      </c>
      <c r="B2418">
        <v>50</v>
      </c>
      <c r="C2418" s="24">
        <v>45470</v>
      </c>
      <c r="D2418" s="238" t="s">
        <v>3388</v>
      </c>
      <c r="E2418" s="238" t="s">
        <v>16</v>
      </c>
      <c r="F2418">
        <v>5</v>
      </c>
      <c r="G2418">
        <v>2</v>
      </c>
      <c r="H2418">
        <v>233</v>
      </c>
      <c r="I2418" s="238" t="s">
        <v>42</v>
      </c>
      <c r="J2418">
        <v>37.81</v>
      </c>
      <c r="K2418" s="238" t="s">
        <v>6871</v>
      </c>
      <c r="L2418">
        <v>4655470</v>
      </c>
      <c r="M2418">
        <v>0</v>
      </c>
      <c r="N2418">
        <v>4655470</v>
      </c>
      <c r="O2418">
        <v>123128.00846336948</v>
      </c>
      <c r="P2418">
        <v>264670</v>
      </c>
      <c r="Q2418">
        <v>4390800</v>
      </c>
      <c r="R2418">
        <v>116128.00846336948</v>
      </c>
      <c r="S2418" s="238" t="s">
        <v>137</v>
      </c>
      <c r="T2418" s="238" t="s">
        <v>1167</v>
      </c>
      <c r="V2418" t="s">
        <v>4092</v>
      </c>
      <c r="W2418" s="24">
        <v>45467</v>
      </c>
      <c r="X2418" s="238" t="s">
        <v>7613</v>
      </c>
      <c r="Y2418" s="238" t="s">
        <v>39</v>
      </c>
      <c r="Z2418" s="238" t="s">
        <v>1340</v>
      </c>
      <c r="AA2418" t="s">
        <v>3113</v>
      </c>
      <c r="AB2418" s="238" t="s">
        <v>3246</v>
      </c>
      <c r="AC2418" t="s">
        <v>3079</v>
      </c>
      <c r="AD2418" s="24"/>
      <c r="AE2418" s="238" t="s">
        <v>7614</v>
      </c>
      <c r="AF2418">
        <v>79371835386</v>
      </c>
      <c r="AG2418" s="238" t="s">
        <v>7615</v>
      </c>
      <c r="AH2418" s="238" t="s">
        <v>1171</v>
      </c>
      <c r="AI2418" s="238" t="s">
        <v>3085</v>
      </c>
      <c r="AJ2418" s="238" t="s">
        <v>4177</v>
      </c>
      <c r="AK2418" s="238" t="s">
        <v>7181</v>
      </c>
      <c r="AL2418" t="s">
        <v>8715</v>
      </c>
      <c r="AM2418" t="s">
        <v>1167</v>
      </c>
    </row>
    <row r="2419" spans="1:39" hidden="1" x14ac:dyDescent="0.25">
      <c r="A2419">
        <v>2416</v>
      </c>
      <c r="B2419">
        <v>51</v>
      </c>
      <c r="C2419" s="24">
        <v>45470</v>
      </c>
      <c r="D2419" s="238" t="s">
        <v>3388</v>
      </c>
      <c r="E2419" s="238" t="s">
        <v>6</v>
      </c>
      <c r="F2419">
        <v>4</v>
      </c>
      <c r="G2419">
        <v>16</v>
      </c>
      <c r="H2419">
        <v>108</v>
      </c>
      <c r="I2419" s="238" t="s">
        <v>43</v>
      </c>
      <c r="J2419">
        <v>59.09</v>
      </c>
      <c r="K2419" s="238" t="s">
        <v>38</v>
      </c>
      <c r="L2419">
        <v>6901000</v>
      </c>
      <c r="M2419">
        <v>0</v>
      </c>
      <c r="N2419">
        <v>6901000</v>
      </c>
      <c r="O2419">
        <v>116787.95058385513</v>
      </c>
      <c r="P2419">
        <v>1181800</v>
      </c>
      <c r="Q2419">
        <v>5719200</v>
      </c>
      <c r="R2419">
        <v>96787.950583855127</v>
      </c>
      <c r="S2419" s="238" t="s">
        <v>137</v>
      </c>
      <c r="T2419" s="238" t="s">
        <v>1167</v>
      </c>
      <c r="V2419" t="s">
        <v>4092</v>
      </c>
      <c r="W2419" s="24">
        <v>45469</v>
      </c>
      <c r="X2419" s="238" t="s">
        <v>7616</v>
      </c>
      <c r="Y2419" s="238" t="s">
        <v>1172</v>
      </c>
      <c r="Z2419" s="238" t="s">
        <v>1340</v>
      </c>
      <c r="AA2419" t="s">
        <v>3474</v>
      </c>
      <c r="AB2419" s="238" t="s">
        <v>3246</v>
      </c>
      <c r="AC2419" t="s">
        <v>3077</v>
      </c>
      <c r="AD2419" s="24">
        <v>45666</v>
      </c>
      <c r="AE2419" s="238" t="s">
        <v>7617</v>
      </c>
      <c r="AF2419">
        <v>79276566500</v>
      </c>
      <c r="AG2419" s="238" t="s">
        <v>7618</v>
      </c>
      <c r="AH2419" s="238" t="s">
        <v>135</v>
      </c>
      <c r="AI2419" s="238" t="s">
        <v>3075</v>
      </c>
      <c r="AJ2419" s="238" t="s">
        <v>4177</v>
      </c>
      <c r="AK2419" s="238" t="s">
        <v>7181</v>
      </c>
      <c r="AL2419" t="s">
        <v>8715</v>
      </c>
      <c r="AM2419" t="s">
        <v>1167</v>
      </c>
    </row>
    <row r="2420" spans="1:39" x14ac:dyDescent="0.25">
      <c r="A2420">
        <v>2417</v>
      </c>
      <c r="B2420">
        <v>52</v>
      </c>
      <c r="C2420" s="24">
        <v>45471</v>
      </c>
      <c r="D2420" s="238" t="s">
        <v>3388</v>
      </c>
      <c r="E2420" s="238" t="s">
        <v>16</v>
      </c>
      <c r="F2420">
        <v>6</v>
      </c>
      <c r="G2420">
        <v>11</v>
      </c>
      <c r="H2420">
        <v>297</v>
      </c>
      <c r="I2420" s="238" t="s">
        <v>44</v>
      </c>
      <c r="J2420">
        <v>80.97</v>
      </c>
      <c r="K2420" s="238" t="s">
        <v>38</v>
      </c>
      <c r="L2420">
        <v>8829800</v>
      </c>
      <c r="M2420">
        <v>0</v>
      </c>
      <c r="N2420">
        <v>8829800</v>
      </c>
      <c r="O2420">
        <v>109050.26553044337</v>
      </c>
      <c r="P2420">
        <v>1619400</v>
      </c>
      <c r="Q2420">
        <v>7210400</v>
      </c>
      <c r="R2420">
        <v>89050.265530443372</v>
      </c>
      <c r="S2420" s="238" t="s">
        <v>137</v>
      </c>
      <c r="T2420" s="238" t="s">
        <v>1167</v>
      </c>
      <c r="V2420" t="s">
        <v>4092</v>
      </c>
      <c r="W2420" s="24">
        <v>45462</v>
      </c>
      <c r="X2420" s="238" t="s">
        <v>7619</v>
      </c>
      <c r="Y2420" s="238" t="s">
        <v>39</v>
      </c>
      <c r="Z2420" s="238" t="s">
        <v>1340</v>
      </c>
      <c r="AA2420" t="s">
        <v>3113</v>
      </c>
      <c r="AB2420" s="238" t="s">
        <v>3246</v>
      </c>
      <c r="AC2420" t="s">
        <v>3079</v>
      </c>
      <c r="AD2420" s="24"/>
      <c r="AE2420" s="238" t="s">
        <v>7620</v>
      </c>
      <c r="AF2420">
        <v>79225330988</v>
      </c>
      <c r="AG2420" s="238" t="s">
        <v>7621</v>
      </c>
      <c r="AH2420" s="238" t="s">
        <v>1212</v>
      </c>
      <c r="AI2420" s="238" t="s">
        <v>3097</v>
      </c>
      <c r="AJ2420" s="238" t="s">
        <v>126</v>
      </c>
      <c r="AK2420" s="238" t="s">
        <v>3345</v>
      </c>
      <c r="AL2420" t="s">
        <v>8715</v>
      </c>
      <c r="AM2420" t="s">
        <v>1167</v>
      </c>
    </row>
    <row r="2421" spans="1:39" x14ac:dyDescent="0.25">
      <c r="A2421">
        <v>2418</v>
      </c>
      <c r="B2421">
        <v>53</v>
      </c>
      <c r="C2421" s="24">
        <v>45471</v>
      </c>
      <c r="D2421" s="238" t="s">
        <v>3388</v>
      </c>
      <c r="E2421" s="238" t="s">
        <v>5</v>
      </c>
      <c r="F2421">
        <v>3</v>
      </c>
      <c r="G2421">
        <v>3</v>
      </c>
      <c r="H2421">
        <v>127</v>
      </c>
      <c r="I2421" s="238" t="s">
        <v>43</v>
      </c>
      <c r="J2421">
        <v>57.6</v>
      </c>
      <c r="K2421" s="238" t="s">
        <v>36</v>
      </c>
      <c r="L2421">
        <v>5521400</v>
      </c>
      <c r="M2421">
        <v>0</v>
      </c>
      <c r="N2421">
        <v>5521400</v>
      </c>
      <c r="O2421">
        <v>95857.638888888891</v>
      </c>
      <c r="P2421">
        <v>0</v>
      </c>
      <c r="Q2421">
        <v>5521400</v>
      </c>
      <c r="R2421">
        <v>95857.638888888891</v>
      </c>
      <c r="S2421" s="238" t="s">
        <v>137</v>
      </c>
      <c r="T2421" s="238" t="s">
        <v>1167</v>
      </c>
      <c r="V2421" t="s">
        <v>4092</v>
      </c>
      <c r="W2421" s="24">
        <v>45463</v>
      </c>
      <c r="X2421" s="238" t="s">
        <v>7622</v>
      </c>
      <c r="Y2421" s="238" t="s">
        <v>39</v>
      </c>
      <c r="Z2421" s="238" t="s">
        <v>1340</v>
      </c>
      <c r="AA2421" t="s">
        <v>3113</v>
      </c>
      <c r="AB2421" s="238" t="s">
        <v>3246</v>
      </c>
      <c r="AC2421" t="s">
        <v>3079</v>
      </c>
      <c r="AD2421" s="24"/>
      <c r="AE2421" s="238" t="s">
        <v>7623</v>
      </c>
      <c r="AF2421">
        <v>79276980204</v>
      </c>
      <c r="AG2421" s="238" t="s">
        <v>7624</v>
      </c>
      <c r="AH2421" s="238" t="s">
        <v>1212</v>
      </c>
      <c r="AI2421" s="238" t="s">
        <v>135</v>
      </c>
      <c r="AJ2421" s="238" t="s">
        <v>5215</v>
      </c>
      <c r="AK2421" s="238" t="s">
        <v>3345</v>
      </c>
      <c r="AL2421" t="s">
        <v>8715</v>
      </c>
      <c r="AM2421" t="s">
        <v>1167</v>
      </c>
    </row>
    <row r="2422" spans="1:39" x14ac:dyDescent="0.25">
      <c r="A2422">
        <v>2419</v>
      </c>
      <c r="B2422">
        <v>54</v>
      </c>
      <c r="C2422" s="24">
        <v>45471</v>
      </c>
      <c r="D2422" s="238" t="s">
        <v>3388</v>
      </c>
      <c r="E2422" s="238" t="s">
        <v>15</v>
      </c>
      <c r="F2422">
        <v>4</v>
      </c>
      <c r="G2422">
        <v>9</v>
      </c>
      <c r="H2422">
        <v>456</v>
      </c>
      <c r="I2422" s="238" t="s">
        <v>43</v>
      </c>
      <c r="J2422">
        <v>58.24</v>
      </c>
      <c r="K2422" s="238" t="s">
        <v>6871</v>
      </c>
      <c r="L2422">
        <v>5990380</v>
      </c>
      <c r="M2422">
        <v>0</v>
      </c>
      <c r="N2422">
        <v>5990380</v>
      </c>
      <c r="O2422">
        <v>102856.79945054944</v>
      </c>
      <c r="P2422">
        <v>407680</v>
      </c>
      <c r="Q2422">
        <v>5582700</v>
      </c>
      <c r="R2422">
        <v>95856.799450549443</v>
      </c>
      <c r="S2422" s="238" t="s">
        <v>137</v>
      </c>
      <c r="T2422" s="238" t="s">
        <v>1167</v>
      </c>
      <c r="V2422" t="s">
        <v>4092</v>
      </c>
      <c r="W2422" s="24">
        <v>45467</v>
      </c>
      <c r="X2422" s="238" t="s">
        <v>7625</v>
      </c>
      <c r="Y2422" s="238" t="s">
        <v>39</v>
      </c>
      <c r="Z2422" s="238" t="s">
        <v>1340</v>
      </c>
      <c r="AA2422" t="s">
        <v>3113</v>
      </c>
      <c r="AB2422" s="238" t="s">
        <v>3246</v>
      </c>
      <c r="AC2422" t="s">
        <v>3079</v>
      </c>
      <c r="AD2422" s="24"/>
      <c r="AE2422" s="238" t="s">
        <v>7626</v>
      </c>
      <c r="AF2422">
        <v>79879292643</v>
      </c>
      <c r="AG2422" s="238" t="s">
        <v>7627</v>
      </c>
      <c r="AH2422" s="238" t="s">
        <v>135</v>
      </c>
      <c r="AI2422" s="238" t="s">
        <v>3075</v>
      </c>
      <c r="AJ2422" s="238" t="s">
        <v>5215</v>
      </c>
      <c r="AK2422" s="238" t="s">
        <v>3345</v>
      </c>
      <c r="AL2422" t="s">
        <v>8715</v>
      </c>
      <c r="AM2422" t="s">
        <v>1167</v>
      </c>
    </row>
    <row r="2423" spans="1:39" x14ac:dyDescent="0.25">
      <c r="A2423">
        <v>2420</v>
      </c>
      <c r="B2423">
        <v>55</v>
      </c>
      <c r="C2423" s="24">
        <v>45471</v>
      </c>
      <c r="D2423" s="238" t="s">
        <v>3388</v>
      </c>
      <c r="E2423" s="238" t="s">
        <v>15</v>
      </c>
      <c r="F2423">
        <v>5</v>
      </c>
      <c r="G2423">
        <v>17</v>
      </c>
      <c r="H2423">
        <v>521</v>
      </c>
      <c r="I2423" s="238" t="s">
        <v>43</v>
      </c>
      <c r="J2423">
        <v>57.8</v>
      </c>
      <c r="K2423" s="238" t="s">
        <v>38</v>
      </c>
      <c r="L2423">
        <v>6669700</v>
      </c>
      <c r="M2423">
        <v>0</v>
      </c>
      <c r="N2423">
        <v>6669700</v>
      </c>
      <c r="O2423">
        <v>115392.73356401385</v>
      </c>
      <c r="P2423">
        <v>1156000</v>
      </c>
      <c r="Q2423">
        <v>5513700</v>
      </c>
      <c r="R2423">
        <v>95392.733564013848</v>
      </c>
      <c r="S2423" s="238" t="s">
        <v>137</v>
      </c>
      <c r="T2423" s="238" t="s">
        <v>1167</v>
      </c>
      <c r="V2423" t="s">
        <v>4092</v>
      </c>
      <c r="W2423" s="24">
        <v>45467</v>
      </c>
      <c r="X2423" s="238" t="s">
        <v>7628</v>
      </c>
      <c r="Y2423" s="238" t="s">
        <v>39</v>
      </c>
      <c r="Z2423" s="238" t="s">
        <v>1340</v>
      </c>
      <c r="AA2423" t="s">
        <v>3113</v>
      </c>
      <c r="AB2423" s="238" t="s">
        <v>3246</v>
      </c>
      <c r="AC2423" t="s">
        <v>3079</v>
      </c>
      <c r="AD2423" s="24"/>
      <c r="AE2423" s="238" t="s">
        <v>7629</v>
      </c>
      <c r="AF2423">
        <v>79244112114</v>
      </c>
      <c r="AG2423" s="238" t="s">
        <v>7630</v>
      </c>
      <c r="AH2423" s="238" t="s">
        <v>135</v>
      </c>
      <c r="AI2423" s="238" t="s">
        <v>135</v>
      </c>
      <c r="AJ2423" s="238" t="s">
        <v>4177</v>
      </c>
      <c r="AK2423" s="238" t="s">
        <v>7181</v>
      </c>
      <c r="AL2423" t="s">
        <v>8715</v>
      </c>
      <c r="AM2423" t="s">
        <v>1167</v>
      </c>
    </row>
    <row r="2424" spans="1:39" hidden="1" x14ac:dyDescent="0.25">
      <c r="A2424">
        <v>2421</v>
      </c>
      <c r="B2424">
        <v>56</v>
      </c>
      <c r="C2424" s="24">
        <v>45471</v>
      </c>
      <c r="D2424" s="238" t="s">
        <v>91</v>
      </c>
      <c r="E2424" s="238" t="s">
        <v>5</v>
      </c>
      <c r="F2424">
        <v>2</v>
      </c>
      <c r="G2424">
        <v>7</v>
      </c>
      <c r="H2424">
        <v>162</v>
      </c>
      <c r="I2424" s="238" t="s">
        <v>43</v>
      </c>
      <c r="J2424">
        <v>68.75</v>
      </c>
      <c r="K2424" s="238" t="s">
        <v>37</v>
      </c>
      <c r="L2424">
        <v>7463425</v>
      </c>
      <c r="M2424">
        <v>0</v>
      </c>
      <c r="N2424">
        <v>7463425</v>
      </c>
      <c r="O2424">
        <v>108558.90909090909</v>
      </c>
      <c r="P2424">
        <v>515625</v>
      </c>
      <c r="Q2424">
        <v>6947800</v>
      </c>
      <c r="R2424">
        <v>101058.90909090909</v>
      </c>
      <c r="S2424" s="238" t="s">
        <v>137</v>
      </c>
      <c r="T2424" s="238" t="s">
        <v>1167</v>
      </c>
      <c r="V2424" t="s">
        <v>4092</v>
      </c>
      <c r="W2424" s="24">
        <v>45467</v>
      </c>
      <c r="X2424" s="238" t="s">
        <v>7631</v>
      </c>
      <c r="Y2424" s="238" t="s">
        <v>39</v>
      </c>
      <c r="Z2424" s="238" t="s">
        <v>1340</v>
      </c>
      <c r="AA2424" t="s">
        <v>3113</v>
      </c>
      <c r="AB2424" s="238" t="s">
        <v>3246</v>
      </c>
      <c r="AC2424" t="s">
        <v>3079</v>
      </c>
      <c r="AD2424" s="24"/>
      <c r="AE2424" s="238" t="s">
        <v>7632</v>
      </c>
      <c r="AF2424">
        <v>79874315945</v>
      </c>
      <c r="AG2424" s="238" t="s">
        <v>7633</v>
      </c>
      <c r="AH2424" s="238" t="s">
        <v>4072</v>
      </c>
      <c r="AI2424" s="238" t="s">
        <v>6406</v>
      </c>
      <c r="AJ2424" s="238" t="s">
        <v>126</v>
      </c>
      <c r="AK2424" s="238" t="s">
        <v>3345</v>
      </c>
      <c r="AL2424" t="s">
        <v>57</v>
      </c>
      <c r="AM2424" t="s">
        <v>1167</v>
      </c>
    </row>
    <row r="2425" spans="1:39" x14ac:dyDescent="0.25">
      <c r="A2425">
        <v>2422</v>
      </c>
      <c r="B2425">
        <v>57</v>
      </c>
      <c r="C2425" s="24">
        <v>45471</v>
      </c>
      <c r="D2425" s="238" t="s">
        <v>3388</v>
      </c>
      <c r="E2425" s="238" t="s">
        <v>16</v>
      </c>
      <c r="F2425">
        <v>5</v>
      </c>
      <c r="G2425">
        <v>18</v>
      </c>
      <c r="H2425">
        <v>345</v>
      </c>
      <c r="I2425" s="238" t="s">
        <v>42</v>
      </c>
      <c r="J2425">
        <v>37.81</v>
      </c>
      <c r="K2425" s="238" t="s">
        <v>36</v>
      </c>
      <c r="L2425">
        <v>4430900</v>
      </c>
      <c r="M2425">
        <v>0</v>
      </c>
      <c r="N2425">
        <v>4430900</v>
      </c>
      <c r="O2425">
        <v>117188.57445120339</v>
      </c>
      <c r="P2425">
        <v>0</v>
      </c>
      <c r="Q2425">
        <v>4430900</v>
      </c>
      <c r="R2425">
        <v>117188.57445120339</v>
      </c>
      <c r="S2425" s="238" t="s">
        <v>137</v>
      </c>
      <c r="T2425" s="238" t="s">
        <v>1167</v>
      </c>
      <c r="V2425" t="s">
        <v>4092</v>
      </c>
      <c r="W2425" s="24">
        <v>45468</v>
      </c>
      <c r="X2425" s="238" t="s">
        <v>7634</v>
      </c>
      <c r="Y2425" s="238" t="s">
        <v>39</v>
      </c>
      <c r="Z2425" s="238" t="s">
        <v>1340</v>
      </c>
      <c r="AA2425" t="s">
        <v>3113</v>
      </c>
      <c r="AB2425" s="238" t="s">
        <v>3246</v>
      </c>
      <c r="AC2425" t="s">
        <v>3079</v>
      </c>
      <c r="AD2425" s="24"/>
      <c r="AE2425" s="238" t="s">
        <v>1672</v>
      </c>
      <c r="AF2425">
        <v>79270254476</v>
      </c>
      <c r="AG2425" s="238" t="s">
        <v>1673</v>
      </c>
      <c r="AH2425" s="238" t="s">
        <v>1171</v>
      </c>
      <c r="AI2425" s="238" t="s">
        <v>3082</v>
      </c>
      <c r="AJ2425" s="238" t="s">
        <v>5215</v>
      </c>
      <c r="AK2425" s="238" t="s">
        <v>141</v>
      </c>
      <c r="AL2425" t="s">
        <v>8715</v>
      </c>
      <c r="AM2425" t="s">
        <v>1167</v>
      </c>
    </row>
    <row r="2426" spans="1:39" x14ac:dyDescent="0.25">
      <c r="A2426">
        <v>2423</v>
      </c>
      <c r="B2426">
        <v>58</v>
      </c>
      <c r="C2426" s="24">
        <v>45472</v>
      </c>
      <c r="D2426" s="238" t="s">
        <v>3388</v>
      </c>
      <c r="E2426" s="238" t="s">
        <v>5</v>
      </c>
      <c r="F2426">
        <v>6</v>
      </c>
      <c r="G2426">
        <v>14</v>
      </c>
      <c r="H2426">
        <v>207</v>
      </c>
      <c r="I2426" s="238" t="s">
        <v>44</v>
      </c>
      <c r="J2426">
        <v>84.99</v>
      </c>
      <c r="K2426" s="238" t="s">
        <v>36</v>
      </c>
      <c r="L2426">
        <v>7450861</v>
      </c>
      <c r="M2426">
        <v>0</v>
      </c>
      <c r="N2426">
        <v>7450861</v>
      </c>
      <c r="O2426">
        <v>87667.50205906578</v>
      </c>
      <c r="P2426">
        <v>0</v>
      </c>
      <c r="Q2426">
        <v>7450861</v>
      </c>
      <c r="R2426">
        <v>87667.50205906578</v>
      </c>
      <c r="S2426" s="238" t="s">
        <v>137</v>
      </c>
      <c r="T2426" s="238" t="s">
        <v>3538</v>
      </c>
      <c r="U2426">
        <v>230439.00000000093</v>
      </c>
      <c r="V2426" t="s">
        <v>4092</v>
      </c>
      <c r="W2426" s="24">
        <v>45470</v>
      </c>
      <c r="X2426" s="238" t="s">
        <v>7635</v>
      </c>
      <c r="Y2426" s="238" t="s">
        <v>39</v>
      </c>
      <c r="Z2426" s="238" t="s">
        <v>1340</v>
      </c>
      <c r="AA2426" t="s">
        <v>3113</v>
      </c>
      <c r="AB2426" s="238" t="s">
        <v>3246</v>
      </c>
      <c r="AC2426" t="s">
        <v>3079</v>
      </c>
      <c r="AD2426" s="24"/>
      <c r="AE2426" s="238" t="s">
        <v>7636</v>
      </c>
      <c r="AF2426">
        <v>79171426823</v>
      </c>
      <c r="AG2426" s="238" t="s">
        <v>7637</v>
      </c>
      <c r="AH2426" s="238" t="s">
        <v>4072</v>
      </c>
      <c r="AI2426" s="238" t="s">
        <v>6406</v>
      </c>
      <c r="AJ2426" s="238" t="s">
        <v>5215</v>
      </c>
      <c r="AK2426" s="238" t="s">
        <v>7181</v>
      </c>
      <c r="AL2426" t="s">
        <v>57</v>
      </c>
      <c r="AM2426" t="s">
        <v>1167</v>
      </c>
    </row>
    <row r="2427" spans="1:39" x14ac:dyDescent="0.25">
      <c r="A2427">
        <v>2424</v>
      </c>
      <c r="B2427">
        <v>1</v>
      </c>
      <c r="C2427" s="24">
        <v>45474</v>
      </c>
      <c r="D2427" s="238" t="s">
        <v>3388</v>
      </c>
      <c r="E2427" s="238" t="s">
        <v>6</v>
      </c>
      <c r="F2427">
        <v>2</v>
      </c>
      <c r="G2427">
        <v>8</v>
      </c>
      <c r="H2427">
        <v>50</v>
      </c>
      <c r="I2427" s="238" t="s">
        <v>43</v>
      </c>
      <c r="J2427">
        <v>68.5</v>
      </c>
      <c r="K2427" s="238" t="s">
        <v>36</v>
      </c>
      <c r="L2427">
        <v>6717100</v>
      </c>
      <c r="M2427">
        <v>0</v>
      </c>
      <c r="N2427">
        <v>6717100</v>
      </c>
      <c r="O2427">
        <v>98059.854014598546</v>
      </c>
      <c r="P2427">
        <v>0</v>
      </c>
      <c r="Q2427">
        <v>6717100</v>
      </c>
      <c r="R2427">
        <v>98059.854014598546</v>
      </c>
      <c r="S2427" s="238" t="s">
        <v>137</v>
      </c>
      <c r="T2427" s="238" t="s">
        <v>3515</v>
      </c>
      <c r="U2427">
        <v>100000</v>
      </c>
      <c r="V2427" t="s">
        <v>4092</v>
      </c>
      <c r="W2427" s="24">
        <v>45470</v>
      </c>
      <c r="X2427" s="238" t="s">
        <v>7640</v>
      </c>
      <c r="Y2427" s="238" t="s">
        <v>39</v>
      </c>
      <c r="Z2427" s="238" t="s">
        <v>1340</v>
      </c>
      <c r="AA2427" t="s">
        <v>3113</v>
      </c>
      <c r="AB2427" s="238" t="s">
        <v>3246</v>
      </c>
      <c r="AC2427" t="s">
        <v>3079</v>
      </c>
      <c r="AD2427" s="24"/>
      <c r="AE2427" s="238" t="s">
        <v>7641</v>
      </c>
      <c r="AF2427">
        <v>79878197739</v>
      </c>
      <c r="AG2427" s="238" t="s">
        <v>7642</v>
      </c>
      <c r="AH2427" s="238" t="s">
        <v>1171</v>
      </c>
      <c r="AI2427" s="238" t="s">
        <v>135</v>
      </c>
      <c r="AJ2427" s="238" t="s">
        <v>4177</v>
      </c>
      <c r="AK2427" s="238" t="s">
        <v>7181</v>
      </c>
      <c r="AL2427" t="s">
        <v>8715</v>
      </c>
      <c r="AM2427" t="s">
        <v>1167</v>
      </c>
    </row>
    <row r="2428" spans="1:39" x14ac:dyDescent="0.25">
      <c r="A2428">
        <v>2425</v>
      </c>
      <c r="B2428">
        <v>2</v>
      </c>
      <c r="C2428" s="24">
        <v>45481</v>
      </c>
      <c r="D2428" s="238" t="s">
        <v>3388</v>
      </c>
      <c r="E2428" s="238" t="s">
        <v>5</v>
      </c>
      <c r="F2428">
        <v>2</v>
      </c>
      <c r="G2428">
        <v>11</v>
      </c>
      <c r="H2428">
        <v>182</v>
      </c>
      <c r="I2428" s="238" t="s">
        <v>4052</v>
      </c>
      <c r="J2428">
        <v>24.28</v>
      </c>
      <c r="K2428" s="238" t="s">
        <v>38</v>
      </c>
      <c r="L2428">
        <v>3430326</v>
      </c>
      <c r="M2428">
        <v>0</v>
      </c>
      <c r="N2428">
        <v>3430326</v>
      </c>
      <c r="O2428">
        <v>141281.96046128499</v>
      </c>
      <c r="P2428">
        <v>485600</v>
      </c>
      <c r="Q2428">
        <v>2944726</v>
      </c>
      <c r="R2428">
        <v>121281.96046128501</v>
      </c>
      <c r="S2428" s="238" t="s">
        <v>121</v>
      </c>
      <c r="T2428" s="238" t="s">
        <v>6808</v>
      </c>
      <c r="U2428">
        <v>91073.999999999534</v>
      </c>
      <c r="V2428" t="s">
        <v>1167</v>
      </c>
      <c r="W2428" s="24">
        <v>45475</v>
      </c>
      <c r="X2428" s="238" t="s">
        <v>7645</v>
      </c>
      <c r="Y2428" s="238" t="s">
        <v>39</v>
      </c>
      <c r="Z2428" s="238" t="s">
        <v>1340</v>
      </c>
      <c r="AA2428" t="s">
        <v>3474</v>
      </c>
      <c r="AB2428" s="238" t="s">
        <v>3246</v>
      </c>
      <c r="AC2428" t="s">
        <v>1167</v>
      </c>
      <c r="AD2428" s="24"/>
      <c r="AE2428" s="238" t="s">
        <v>7646</v>
      </c>
      <c r="AF2428">
        <v>79272985949</v>
      </c>
      <c r="AG2428" s="238" t="s">
        <v>8911</v>
      </c>
      <c r="AH2428" s="238" t="s">
        <v>135</v>
      </c>
      <c r="AI2428" s="238" t="s">
        <v>135</v>
      </c>
      <c r="AJ2428" s="238" t="s">
        <v>4177</v>
      </c>
      <c r="AK2428" s="238" t="s">
        <v>1167</v>
      </c>
      <c r="AL2428" t="s">
        <v>8715</v>
      </c>
      <c r="AM2428" t="s">
        <v>1167</v>
      </c>
    </row>
    <row r="2429" spans="1:39" hidden="1" x14ac:dyDescent="0.25">
      <c r="A2429">
        <v>2426</v>
      </c>
      <c r="B2429">
        <v>3</v>
      </c>
      <c r="C2429" s="24">
        <v>45486</v>
      </c>
      <c r="D2429" s="238" t="s">
        <v>91</v>
      </c>
      <c r="E2429" s="238" t="s">
        <v>15</v>
      </c>
      <c r="F2429">
        <v>3</v>
      </c>
      <c r="G2429">
        <v>2</v>
      </c>
      <c r="H2429">
        <v>404</v>
      </c>
      <c r="I2429" s="238" t="s">
        <v>44</v>
      </c>
      <c r="J2429">
        <v>74.28</v>
      </c>
      <c r="K2429" s="238" t="s">
        <v>38</v>
      </c>
      <c r="L2429">
        <v>9301778</v>
      </c>
      <c r="M2429">
        <v>0</v>
      </c>
      <c r="N2429">
        <v>9301778</v>
      </c>
      <c r="O2429">
        <v>125225.87506731287</v>
      </c>
      <c r="P2429">
        <v>1634160</v>
      </c>
      <c r="Q2429">
        <v>7667618</v>
      </c>
      <c r="R2429">
        <v>103225.87506731287</v>
      </c>
      <c r="S2429" s="238" t="s">
        <v>137</v>
      </c>
      <c r="T2429" s="238" t="s">
        <v>7340</v>
      </c>
      <c r="U2429">
        <v>156482</v>
      </c>
      <c r="V2429" t="s">
        <v>4092</v>
      </c>
      <c r="W2429" s="24">
        <v>45454</v>
      </c>
      <c r="X2429" s="238" t="s">
        <v>7647</v>
      </c>
      <c r="Y2429" s="238" t="s">
        <v>39</v>
      </c>
      <c r="Z2429" s="238" t="s">
        <v>1340</v>
      </c>
      <c r="AA2429" t="s">
        <v>3113</v>
      </c>
      <c r="AB2429" s="238" t="s">
        <v>3246</v>
      </c>
      <c r="AC2429" t="s">
        <v>3079</v>
      </c>
      <c r="AD2429" s="24"/>
      <c r="AE2429" s="238" t="s">
        <v>7648</v>
      </c>
      <c r="AF2429">
        <v>79961220979</v>
      </c>
      <c r="AG2429" s="238" t="s">
        <v>7649</v>
      </c>
      <c r="AH2429" s="238" t="s">
        <v>1212</v>
      </c>
      <c r="AI2429" s="238" t="s">
        <v>3097</v>
      </c>
      <c r="AJ2429" s="238" t="s">
        <v>4177</v>
      </c>
      <c r="AK2429" s="238" t="s">
        <v>3345</v>
      </c>
      <c r="AL2429" t="s">
        <v>8715</v>
      </c>
      <c r="AM2429" t="s">
        <v>1167</v>
      </c>
    </row>
    <row r="2430" spans="1:39" x14ac:dyDescent="0.25">
      <c r="A2430">
        <v>2427</v>
      </c>
      <c r="B2430">
        <v>4</v>
      </c>
      <c r="C2430" s="24">
        <v>45488</v>
      </c>
      <c r="D2430" s="238" t="s">
        <v>3388</v>
      </c>
      <c r="E2430" s="238" t="s">
        <v>6</v>
      </c>
      <c r="F2430">
        <v>7</v>
      </c>
      <c r="G2430">
        <v>3</v>
      </c>
      <c r="H2430">
        <v>20</v>
      </c>
      <c r="I2430" s="238" t="s">
        <v>42</v>
      </c>
      <c r="J2430">
        <v>42.75</v>
      </c>
      <c r="K2430" s="238" t="s">
        <v>38</v>
      </c>
      <c r="L2430">
        <v>5374362</v>
      </c>
      <c r="M2430">
        <v>15000</v>
      </c>
      <c r="N2430">
        <v>5389362</v>
      </c>
      <c r="O2430">
        <v>126066.94736842105</v>
      </c>
      <c r="P2430">
        <v>855000</v>
      </c>
      <c r="Q2430">
        <v>4534362</v>
      </c>
      <c r="R2430">
        <v>106066.94736842105</v>
      </c>
      <c r="S2430" s="238" t="s">
        <v>137</v>
      </c>
      <c r="T2430" s="238" t="s">
        <v>978</v>
      </c>
      <c r="U2430">
        <v>140238</v>
      </c>
      <c r="V2430" t="s">
        <v>3661</v>
      </c>
      <c r="W2430" s="24">
        <v>45447</v>
      </c>
      <c r="X2430" s="238" t="s">
        <v>7650</v>
      </c>
      <c r="Y2430" s="238" t="s">
        <v>39</v>
      </c>
      <c r="Z2430" s="238" t="s">
        <v>1340</v>
      </c>
      <c r="AA2430" t="s">
        <v>3474</v>
      </c>
      <c r="AB2430" s="238" t="s">
        <v>3246</v>
      </c>
      <c r="AC2430" t="s">
        <v>3115</v>
      </c>
      <c r="AD2430" s="24"/>
      <c r="AE2430" s="238" t="s">
        <v>7651</v>
      </c>
      <c r="AF2430">
        <v>79279842544</v>
      </c>
      <c r="AG2430" s="238" t="s">
        <v>7652</v>
      </c>
      <c r="AH2430" s="238" t="s">
        <v>135</v>
      </c>
      <c r="AI2430" s="238" t="s">
        <v>135</v>
      </c>
      <c r="AJ2430" s="238" t="s">
        <v>4177</v>
      </c>
      <c r="AK2430" s="238" t="s">
        <v>3345</v>
      </c>
      <c r="AL2430" t="s">
        <v>8715</v>
      </c>
      <c r="AM2430" t="s">
        <v>1167</v>
      </c>
    </row>
    <row r="2431" spans="1:39" hidden="1" x14ac:dyDescent="0.25">
      <c r="A2431">
        <v>2428</v>
      </c>
      <c r="B2431">
        <v>5</v>
      </c>
      <c r="C2431" s="24">
        <v>45488</v>
      </c>
      <c r="D2431" s="238" t="s">
        <v>91</v>
      </c>
      <c r="E2431" s="238" t="s">
        <v>15</v>
      </c>
      <c r="F2431">
        <v>8</v>
      </c>
      <c r="G2431">
        <v>16</v>
      </c>
      <c r="H2431">
        <v>535</v>
      </c>
      <c r="I2431" s="238" t="s">
        <v>43</v>
      </c>
      <c r="J2431">
        <v>63.74</v>
      </c>
      <c r="K2431" s="238" t="s">
        <v>38</v>
      </c>
      <c r="L2431">
        <v>7631329</v>
      </c>
      <c r="M2431">
        <v>0</v>
      </c>
      <c r="N2431">
        <v>7631329</v>
      </c>
      <c r="O2431">
        <v>119725.90210229055</v>
      </c>
      <c r="P2431">
        <v>1402280</v>
      </c>
      <c r="Q2431">
        <v>6229049</v>
      </c>
      <c r="R2431">
        <v>97725.902102290551</v>
      </c>
      <c r="S2431" s="238" t="s">
        <v>137</v>
      </c>
      <c r="T2431" s="238" t="s">
        <v>978</v>
      </c>
      <c r="U2431">
        <v>192651</v>
      </c>
      <c r="V2431" t="s">
        <v>4092</v>
      </c>
      <c r="W2431" s="24">
        <v>45485</v>
      </c>
      <c r="X2431" s="238" t="s">
        <v>7653</v>
      </c>
      <c r="Y2431" s="238" t="s">
        <v>39</v>
      </c>
      <c r="Z2431" s="238" t="s">
        <v>1340</v>
      </c>
      <c r="AA2431" t="s">
        <v>3113</v>
      </c>
      <c r="AB2431" s="238" t="s">
        <v>3246</v>
      </c>
      <c r="AC2431" t="s">
        <v>3079</v>
      </c>
      <c r="AD2431" s="24"/>
      <c r="AE2431" s="238" t="s">
        <v>7654</v>
      </c>
      <c r="AF2431">
        <v>79277325889</v>
      </c>
      <c r="AG2431" s="238" t="s">
        <v>7655</v>
      </c>
      <c r="AH2431" s="238" t="s">
        <v>1212</v>
      </c>
      <c r="AI2431" s="238" t="s">
        <v>3514</v>
      </c>
      <c r="AJ2431" s="238" t="s">
        <v>126</v>
      </c>
      <c r="AK2431" s="238" t="s">
        <v>3345</v>
      </c>
      <c r="AL2431" t="s">
        <v>8715</v>
      </c>
      <c r="AM2431" t="s">
        <v>1167</v>
      </c>
    </row>
    <row r="2432" spans="1:39" x14ac:dyDescent="0.25">
      <c r="A2432">
        <v>2429</v>
      </c>
      <c r="B2432">
        <v>6</v>
      </c>
      <c r="C2432" s="24">
        <v>45490</v>
      </c>
      <c r="D2432" s="238" t="s">
        <v>3388</v>
      </c>
      <c r="E2432" s="238" t="s">
        <v>16</v>
      </c>
      <c r="F2432">
        <v>3</v>
      </c>
      <c r="G2432">
        <v>5</v>
      </c>
      <c r="H2432">
        <v>252</v>
      </c>
      <c r="I2432" s="238" t="s">
        <v>43</v>
      </c>
      <c r="J2432">
        <v>56.58</v>
      </c>
      <c r="K2432" s="238" t="s">
        <v>6871</v>
      </c>
      <c r="L2432">
        <v>5964060</v>
      </c>
      <c r="M2432">
        <v>0</v>
      </c>
      <c r="N2432">
        <v>5964060</v>
      </c>
      <c r="O2432">
        <v>105409.33191940615</v>
      </c>
      <c r="P2432">
        <v>396060</v>
      </c>
      <c r="Q2432">
        <v>5568000</v>
      </c>
      <c r="R2432">
        <v>98409.331919406148</v>
      </c>
      <c r="S2432" s="238" t="s">
        <v>137</v>
      </c>
      <c r="T2432" s="238" t="s">
        <v>1167</v>
      </c>
      <c r="V2432" t="s">
        <v>4092</v>
      </c>
      <c r="W2432" s="24">
        <v>45488</v>
      </c>
      <c r="X2432" s="238" t="s">
        <v>7657</v>
      </c>
      <c r="Y2432" s="238" t="s">
        <v>39</v>
      </c>
      <c r="Z2432" s="238" t="s">
        <v>1340</v>
      </c>
      <c r="AA2432" t="s">
        <v>3113</v>
      </c>
      <c r="AB2432" s="238" t="s">
        <v>3246</v>
      </c>
      <c r="AC2432" t="s">
        <v>3079</v>
      </c>
      <c r="AD2432" s="24"/>
      <c r="AE2432" s="238" t="s">
        <v>7658</v>
      </c>
      <c r="AF2432">
        <v>79179500666</v>
      </c>
      <c r="AG2432" s="238" t="s">
        <v>7659</v>
      </c>
      <c r="AH2432" s="238" t="s">
        <v>1171</v>
      </c>
      <c r="AI2432" s="238" t="s">
        <v>3082</v>
      </c>
      <c r="AJ2432" s="238" t="s">
        <v>4177</v>
      </c>
      <c r="AK2432" s="238" t="s">
        <v>7181</v>
      </c>
      <c r="AL2432" t="s">
        <v>8715</v>
      </c>
      <c r="AM2432" t="s">
        <v>1167</v>
      </c>
    </row>
    <row r="2433" spans="1:39" x14ac:dyDescent="0.25">
      <c r="A2433">
        <v>2430</v>
      </c>
      <c r="B2433">
        <v>7</v>
      </c>
      <c r="C2433" s="24">
        <v>45492</v>
      </c>
      <c r="D2433" s="238" t="s">
        <v>3388</v>
      </c>
      <c r="E2433" s="238" t="s">
        <v>5</v>
      </c>
      <c r="F2433">
        <v>1</v>
      </c>
      <c r="G2433">
        <v>5</v>
      </c>
      <c r="H2433">
        <v>139</v>
      </c>
      <c r="I2433" s="238" t="s">
        <v>43</v>
      </c>
      <c r="J2433">
        <v>60.22</v>
      </c>
      <c r="K2433" s="238" t="s">
        <v>6871</v>
      </c>
      <c r="L2433">
        <v>6278940</v>
      </c>
      <c r="M2433">
        <v>0</v>
      </c>
      <c r="N2433">
        <v>6278940</v>
      </c>
      <c r="O2433">
        <v>104266.68880770508</v>
      </c>
      <c r="P2433">
        <v>421540</v>
      </c>
      <c r="Q2433">
        <v>5857400</v>
      </c>
      <c r="R2433">
        <v>97266.688807705083</v>
      </c>
      <c r="S2433" s="238" t="s">
        <v>137</v>
      </c>
      <c r="T2433" s="238" t="s">
        <v>1167</v>
      </c>
      <c r="V2433" t="s">
        <v>4092</v>
      </c>
      <c r="W2433" s="24">
        <v>45489</v>
      </c>
      <c r="X2433" s="238" t="s">
        <v>7660</v>
      </c>
      <c r="Y2433" s="238" t="s">
        <v>39</v>
      </c>
      <c r="Z2433" s="238" t="s">
        <v>1340</v>
      </c>
      <c r="AA2433" t="s">
        <v>3113</v>
      </c>
      <c r="AB2433" s="238" t="s">
        <v>3246</v>
      </c>
      <c r="AC2433" t="s">
        <v>3079</v>
      </c>
      <c r="AD2433" s="24"/>
      <c r="AE2433" s="238" t="s">
        <v>7661</v>
      </c>
      <c r="AF2433">
        <v>79272613163</v>
      </c>
      <c r="AG2433" s="238" t="s">
        <v>7662</v>
      </c>
      <c r="AH2433" s="238" t="s">
        <v>1171</v>
      </c>
      <c r="AI2433" s="238" t="s">
        <v>135</v>
      </c>
      <c r="AJ2433" s="238" t="s">
        <v>5215</v>
      </c>
      <c r="AK2433" s="238" t="s">
        <v>3345</v>
      </c>
      <c r="AL2433" t="s">
        <v>8715</v>
      </c>
      <c r="AM2433" t="s">
        <v>1167</v>
      </c>
    </row>
    <row r="2434" spans="1:39" x14ac:dyDescent="0.25">
      <c r="A2434">
        <v>2431</v>
      </c>
      <c r="B2434">
        <v>8</v>
      </c>
      <c r="C2434" s="24">
        <v>45493</v>
      </c>
      <c r="D2434" s="238" t="s">
        <v>3388</v>
      </c>
      <c r="E2434" s="238" t="s">
        <v>15</v>
      </c>
      <c r="F2434">
        <v>5</v>
      </c>
      <c r="G2434">
        <v>12</v>
      </c>
      <c r="H2434">
        <v>481</v>
      </c>
      <c r="I2434" s="238" t="s">
        <v>43</v>
      </c>
      <c r="J2434">
        <v>57.8</v>
      </c>
      <c r="K2434" s="238" t="s">
        <v>38</v>
      </c>
      <c r="L2434">
        <v>6669700</v>
      </c>
      <c r="M2434">
        <v>0</v>
      </c>
      <c r="N2434">
        <v>6669700</v>
      </c>
      <c r="O2434">
        <v>115392.73356401385</v>
      </c>
      <c r="P2434">
        <v>1156000</v>
      </c>
      <c r="Q2434">
        <v>5513700</v>
      </c>
      <c r="R2434">
        <v>95392.733564013848</v>
      </c>
      <c r="S2434" s="238" t="s">
        <v>137</v>
      </c>
      <c r="T2434" s="238" t="s">
        <v>1167</v>
      </c>
      <c r="V2434" t="s">
        <v>4092</v>
      </c>
      <c r="W2434" s="24">
        <v>45474</v>
      </c>
      <c r="X2434" s="238" t="s">
        <v>7663</v>
      </c>
      <c r="Y2434" s="238" t="s">
        <v>39</v>
      </c>
      <c r="Z2434" s="238" t="s">
        <v>1340</v>
      </c>
      <c r="AA2434" t="s">
        <v>3113</v>
      </c>
      <c r="AB2434" s="238" t="s">
        <v>3246</v>
      </c>
      <c r="AC2434" t="s">
        <v>3079</v>
      </c>
      <c r="AD2434" s="24"/>
      <c r="AE2434" s="238" t="s">
        <v>7664</v>
      </c>
      <c r="AF2434">
        <v>79966213628</v>
      </c>
      <c r="AG2434" s="238" t="s">
        <v>7665</v>
      </c>
      <c r="AH2434" s="238" t="s">
        <v>135</v>
      </c>
      <c r="AI2434" s="238" t="s">
        <v>135</v>
      </c>
      <c r="AJ2434" s="238" t="s">
        <v>5215</v>
      </c>
      <c r="AK2434" s="238" t="s">
        <v>7181</v>
      </c>
      <c r="AL2434" t="s">
        <v>8715</v>
      </c>
      <c r="AM2434" t="s">
        <v>1167</v>
      </c>
    </row>
    <row r="2435" spans="1:39" x14ac:dyDescent="0.25">
      <c r="A2435">
        <v>2432</v>
      </c>
      <c r="B2435">
        <v>9</v>
      </c>
      <c r="C2435" s="24">
        <v>45495</v>
      </c>
      <c r="D2435" s="238" t="s">
        <v>3388</v>
      </c>
      <c r="E2435" s="238" t="s">
        <v>15</v>
      </c>
      <c r="F2435">
        <v>8</v>
      </c>
      <c r="G2435">
        <v>16</v>
      </c>
      <c r="H2435">
        <v>516</v>
      </c>
      <c r="I2435" s="238" t="s">
        <v>42</v>
      </c>
      <c r="J2435">
        <v>39.69</v>
      </c>
      <c r="K2435" s="238" t="s">
        <v>6871</v>
      </c>
      <c r="L2435">
        <v>4660430</v>
      </c>
      <c r="M2435">
        <v>0</v>
      </c>
      <c r="N2435">
        <v>4660430</v>
      </c>
      <c r="O2435">
        <v>117420.76089695138</v>
      </c>
      <c r="P2435">
        <v>277830</v>
      </c>
      <c r="Q2435">
        <v>4382600</v>
      </c>
      <c r="R2435">
        <v>110420.76089695138</v>
      </c>
      <c r="S2435" s="238" t="s">
        <v>137</v>
      </c>
      <c r="T2435" s="238" t="s">
        <v>1167</v>
      </c>
      <c r="V2435" t="s">
        <v>4092</v>
      </c>
      <c r="W2435" s="24">
        <v>45489</v>
      </c>
      <c r="X2435" s="238" t="s">
        <v>7666</v>
      </c>
      <c r="Y2435" s="238" t="s">
        <v>39</v>
      </c>
      <c r="Z2435" s="238" t="s">
        <v>1340</v>
      </c>
      <c r="AA2435" t="s">
        <v>3113</v>
      </c>
      <c r="AB2435" s="238" t="s">
        <v>3246</v>
      </c>
      <c r="AC2435" t="s">
        <v>3079</v>
      </c>
      <c r="AD2435" s="24"/>
      <c r="AE2435" s="238" t="s">
        <v>7667</v>
      </c>
      <c r="AF2435">
        <v>79277440385</v>
      </c>
      <c r="AG2435" s="238" t="s">
        <v>7668</v>
      </c>
      <c r="AH2435" s="238" t="s">
        <v>1171</v>
      </c>
      <c r="AI2435" s="238" t="s">
        <v>3082</v>
      </c>
      <c r="AJ2435" s="238" t="s">
        <v>5215</v>
      </c>
      <c r="AK2435" s="238" t="s">
        <v>7181</v>
      </c>
      <c r="AL2435" t="s">
        <v>8715</v>
      </c>
      <c r="AM2435" t="s">
        <v>1167</v>
      </c>
    </row>
    <row r="2436" spans="1:39" x14ac:dyDescent="0.25">
      <c r="A2436">
        <v>2433</v>
      </c>
      <c r="B2436">
        <v>10</v>
      </c>
      <c r="C2436" s="24">
        <v>45498</v>
      </c>
      <c r="D2436" s="238" t="s">
        <v>3388</v>
      </c>
      <c r="E2436" s="238" t="s">
        <v>6</v>
      </c>
      <c r="F2436">
        <v>2</v>
      </c>
      <c r="G2436">
        <v>16</v>
      </c>
      <c r="H2436">
        <v>106</v>
      </c>
      <c r="I2436" s="238" t="s">
        <v>43</v>
      </c>
      <c r="J2436">
        <v>68.5</v>
      </c>
      <c r="K2436" s="238" t="s">
        <v>38</v>
      </c>
      <c r="L2436">
        <v>8021200</v>
      </c>
      <c r="M2436">
        <v>0</v>
      </c>
      <c r="N2436">
        <v>8021200</v>
      </c>
      <c r="O2436">
        <v>117097.81021897811</v>
      </c>
      <c r="P2436">
        <v>1370000</v>
      </c>
      <c r="Q2436">
        <v>6651200</v>
      </c>
      <c r="R2436">
        <v>97097.810218978106</v>
      </c>
      <c r="S2436" s="238" t="s">
        <v>137</v>
      </c>
      <c r="T2436" s="238" t="s">
        <v>3390</v>
      </c>
      <c r="U2436">
        <v>200000</v>
      </c>
      <c r="V2436" t="s">
        <v>4092</v>
      </c>
      <c r="W2436" s="24">
        <v>45492</v>
      </c>
      <c r="X2436" s="238" t="s">
        <v>7670</v>
      </c>
      <c r="Y2436" s="238" t="s">
        <v>39</v>
      </c>
      <c r="Z2436" s="238" t="s">
        <v>1340</v>
      </c>
      <c r="AA2436" t="s">
        <v>3113</v>
      </c>
      <c r="AB2436" s="238" t="s">
        <v>3246</v>
      </c>
      <c r="AC2436" t="s">
        <v>3079</v>
      </c>
      <c r="AD2436" s="24"/>
      <c r="AE2436" s="238" t="s">
        <v>7671</v>
      </c>
      <c r="AF2436">
        <v>79878979018</v>
      </c>
      <c r="AG2436" s="238" t="s">
        <v>7672</v>
      </c>
      <c r="AH2436" s="238" t="s">
        <v>1212</v>
      </c>
      <c r="AI2436" s="238" t="s">
        <v>135</v>
      </c>
      <c r="AJ2436" s="238" t="s">
        <v>4177</v>
      </c>
      <c r="AK2436" s="238" t="s">
        <v>7181</v>
      </c>
      <c r="AL2436" t="s">
        <v>8715</v>
      </c>
      <c r="AM2436" t="s">
        <v>1167</v>
      </c>
    </row>
    <row r="2437" spans="1:39" x14ac:dyDescent="0.25">
      <c r="A2437">
        <v>2434</v>
      </c>
      <c r="B2437">
        <v>11</v>
      </c>
      <c r="C2437" s="24">
        <v>45499</v>
      </c>
      <c r="D2437" s="238" t="s">
        <v>3388</v>
      </c>
      <c r="E2437" s="238" t="s">
        <v>16</v>
      </c>
      <c r="F2437">
        <v>6</v>
      </c>
      <c r="G2437">
        <v>6</v>
      </c>
      <c r="H2437">
        <v>262</v>
      </c>
      <c r="I2437" s="238" t="s">
        <v>44</v>
      </c>
      <c r="J2437">
        <v>80.97</v>
      </c>
      <c r="K2437" s="238" t="s">
        <v>36</v>
      </c>
      <c r="L2437">
        <v>7537400</v>
      </c>
      <c r="M2437">
        <v>0</v>
      </c>
      <c r="N2437">
        <v>7537400</v>
      </c>
      <c r="O2437">
        <v>93088.798320365575</v>
      </c>
      <c r="P2437">
        <v>0</v>
      </c>
      <c r="Q2437">
        <v>7537400</v>
      </c>
      <c r="R2437">
        <v>93088.798320365575</v>
      </c>
      <c r="S2437" s="238" t="s">
        <v>137</v>
      </c>
      <c r="T2437" s="238" t="s">
        <v>1167</v>
      </c>
      <c r="V2437" t="s">
        <v>4092</v>
      </c>
      <c r="W2437" s="24">
        <v>45492</v>
      </c>
      <c r="X2437" s="238" t="s">
        <v>7678</v>
      </c>
      <c r="Y2437" s="238" t="s">
        <v>39</v>
      </c>
      <c r="Z2437" s="238" t="s">
        <v>1340</v>
      </c>
      <c r="AA2437" t="s">
        <v>3113</v>
      </c>
      <c r="AB2437" s="238" t="s">
        <v>3246</v>
      </c>
      <c r="AC2437" t="s">
        <v>3079</v>
      </c>
      <c r="AD2437" s="24"/>
      <c r="AE2437" s="238" t="s">
        <v>7679</v>
      </c>
      <c r="AF2437">
        <v>79022368527</v>
      </c>
      <c r="AG2437" s="238" t="s">
        <v>7680</v>
      </c>
      <c r="AH2437" s="238" t="s">
        <v>135</v>
      </c>
      <c r="AI2437" s="238" t="s">
        <v>3075</v>
      </c>
      <c r="AJ2437" s="238" t="s">
        <v>5215</v>
      </c>
      <c r="AK2437" s="238" t="s">
        <v>3345</v>
      </c>
      <c r="AL2437" t="s">
        <v>8715</v>
      </c>
      <c r="AM2437" t="s">
        <v>1167</v>
      </c>
    </row>
    <row r="2438" spans="1:39" x14ac:dyDescent="0.25">
      <c r="A2438">
        <v>2435</v>
      </c>
      <c r="B2438">
        <v>12</v>
      </c>
      <c r="C2438" s="24">
        <v>45502</v>
      </c>
      <c r="D2438" s="238" t="s">
        <v>3388</v>
      </c>
      <c r="E2438" s="238" t="s">
        <v>6</v>
      </c>
      <c r="F2438">
        <v>6</v>
      </c>
      <c r="G2438">
        <v>7</v>
      </c>
      <c r="H2438">
        <v>47</v>
      </c>
      <c r="I2438" s="238" t="s">
        <v>43</v>
      </c>
      <c r="J2438">
        <v>58.16</v>
      </c>
      <c r="K2438" s="238" t="s">
        <v>6871</v>
      </c>
      <c r="L2438">
        <v>6203120</v>
      </c>
      <c r="M2438">
        <v>0</v>
      </c>
      <c r="N2438">
        <v>6203120</v>
      </c>
      <c r="O2438">
        <v>106656.12104539202</v>
      </c>
      <c r="P2438">
        <v>407120</v>
      </c>
      <c r="Q2438">
        <v>5796000</v>
      </c>
      <c r="R2438">
        <v>99656.121045392021</v>
      </c>
      <c r="S2438" s="238" t="s">
        <v>137</v>
      </c>
      <c r="T2438" s="238" t="s">
        <v>1167</v>
      </c>
      <c r="V2438" t="s">
        <v>4092</v>
      </c>
      <c r="W2438" s="24">
        <v>45492</v>
      </c>
      <c r="X2438" s="238" t="s">
        <v>7681</v>
      </c>
      <c r="Y2438" s="238" t="s">
        <v>39</v>
      </c>
      <c r="Z2438" s="238" t="s">
        <v>1340</v>
      </c>
      <c r="AA2438" t="s">
        <v>3113</v>
      </c>
      <c r="AB2438" s="238" t="s">
        <v>3246</v>
      </c>
      <c r="AC2438" t="s">
        <v>3079</v>
      </c>
      <c r="AD2438" s="24"/>
      <c r="AE2438" s="238" t="s">
        <v>7682</v>
      </c>
      <c r="AF2438">
        <v>79626053460</v>
      </c>
      <c r="AG2438" s="238" t="s">
        <v>7683</v>
      </c>
      <c r="AH2438" s="238" t="s">
        <v>1171</v>
      </c>
      <c r="AI2438" s="238" t="s">
        <v>3090</v>
      </c>
      <c r="AJ2438" s="238" t="s">
        <v>5215</v>
      </c>
      <c r="AK2438" s="238" t="s">
        <v>3345</v>
      </c>
      <c r="AL2438" t="s">
        <v>8715</v>
      </c>
      <c r="AM2438" t="s">
        <v>1167</v>
      </c>
    </row>
    <row r="2439" spans="1:39" x14ac:dyDescent="0.25">
      <c r="A2439">
        <v>2436</v>
      </c>
      <c r="B2439">
        <v>13</v>
      </c>
      <c r="C2439" s="24">
        <v>45502</v>
      </c>
      <c r="D2439" s="238" t="s">
        <v>3388</v>
      </c>
      <c r="E2439" s="238" t="s">
        <v>15</v>
      </c>
      <c r="F2439">
        <v>5</v>
      </c>
      <c r="G2439">
        <v>7</v>
      </c>
      <c r="H2439">
        <v>441</v>
      </c>
      <c r="I2439" s="238" t="s">
        <v>43</v>
      </c>
      <c r="J2439">
        <v>57.8</v>
      </c>
      <c r="K2439" s="238" t="s">
        <v>6871</v>
      </c>
      <c r="L2439">
        <v>6001000</v>
      </c>
      <c r="M2439">
        <v>0</v>
      </c>
      <c r="N2439">
        <v>6001000</v>
      </c>
      <c r="O2439">
        <v>103823.52941176471</v>
      </c>
      <c r="P2439">
        <v>404600</v>
      </c>
      <c r="Q2439">
        <v>5596400</v>
      </c>
      <c r="R2439">
        <v>96823.529411764714</v>
      </c>
      <c r="S2439" s="238" t="s">
        <v>137</v>
      </c>
      <c r="T2439" s="238" t="s">
        <v>1167</v>
      </c>
      <c r="V2439" t="s">
        <v>4092</v>
      </c>
      <c r="W2439" s="24">
        <v>45496</v>
      </c>
      <c r="X2439" s="238" t="s">
        <v>7684</v>
      </c>
      <c r="Y2439" s="238" t="s">
        <v>39</v>
      </c>
      <c r="Z2439" s="238" t="s">
        <v>1340</v>
      </c>
      <c r="AA2439" t="s">
        <v>3113</v>
      </c>
      <c r="AB2439" s="238" t="s">
        <v>3246</v>
      </c>
      <c r="AC2439" t="s">
        <v>3079</v>
      </c>
      <c r="AD2439" s="24"/>
      <c r="AE2439" s="238" t="s">
        <v>7685</v>
      </c>
      <c r="AF2439">
        <v>79874339520</v>
      </c>
      <c r="AG2439" s="238" t="s">
        <v>7686</v>
      </c>
      <c r="AH2439" s="238" t="s">
        <v>146</v>
      </c>
      <c r="AI2439" s="238" t="s">
        <v>135</v>
      </c>
      <c r="AJ2439" s="238" t="s">
        <v>4177</v>
      </c>
      <c r="AK2439" s="238" t="s">
        <v>3345</v>
      </c>
      <c r="AL2439" t="s">
        <v>8715</v>
      </c>
      <c r="AM2439" t="s">
        <v>1167</v>
      </c>
    </row>
    <row r="2440" spans="1:39" x14ac:dyDescent="0.25">
      <c r="A2440">
        <v>2437</v>
      </c>
      <c r="B2440">
        <v>14</v>
      </c>
      <c r="C2440" s="24">
        <v>45503</v>
      </c>
      <c r="D2440" s="238" t="s">
        <v>3388</v>
      </c>
      <c r="E2440" s="238" t="s">
        <v>6</v>
      </c>
      <c r="F2440">
        <v>7</v>
      </c>
      <c r="G2440">
        <v>12</v>
      </c>
      <c r="H2440">
        <v>83</v>
      </c>
      <c r="I2440" s="238" t="s">
        <v>42</v>
      </c>
      <c r="J2440">
        <v>42.75</v>
      </c>
      <c r="K2440" s="238" t="s">
        <v>6871</v>
      </c>
      <c r="L2440">
        <v>4972050</v>
      </c>
      <c r="M2440">
        <v>0</v>
      </c>
      <c r="N2440">
        <v>4972050</v>
      </c>
      <c r="O2440">
        <v>116305.26315789473</v>
      </c>
      <c r="P2440">
        <v>299250</v>
      </c>
      <c r="Q2440">
        <v>4672800</v>
      </c>
      <c r="R2440">
        <v>109305.26315789473</v>
      </c>
      <c r="S2440" s="238" t="s">
        <v>137</v>
      </c>
      <c r="T2440" s="238" t="s">
        <v>7522</v>
      </c>
      <c r="U2440">
        <v>50000</v>
      </c>
      <c r="V2440" t="s">
        <v>4092</v>
      </c>
      <c r="W2440" s="24">
        <v>45498</v>
      </c>
      <c r="X2440" s="238" t="s">
        <v>7687</v>
      </c>
      <c r="Y2440" s="238" t="s">
        <v>39</v>
      </c>
      <c r="Z2440" s="238" t="s">
        <v>1340</v>
      </c>
      <c r="AA2440" t="s">
        <v>3113</v>
      </c>
      <c r="AB2440" s="238" t="s">
        <v>3246</v>
      </c>
      <c r="AC2440" t="s">
        <v>3079</v>
      </c>
      <c r="AD2440" s="24"/>
      <c r="AE2440" s="238" t="s">
        <v>7688</v>
      </c>
      <c r="AF2440">
        <v>79277654036</v>
      </c>
      <c r="AG2440" s="238" t="s">
        <v>7689</v>
      </c>
      <c r="AH2440" s="238" t="s">
        <v>135</v>
      </c>
      <c r="AI2440" s="238" t="s">
        <v>135</v>
      </c>
      <c r="AJ2440" s="238" t="s">
        <v>4177</v>
      </c>
      <c r="AK2440" s="238" t="s">
        <v>7181</v>
      </c>
      <c r="AL2440" t="s">
        <v>8715</v>
      </c>
      <c r="AM2440" t="s">
        <v>1167</v>
      </c>
    </row>
    <row r="2441" spans="1:39" hidden="1" x14ac:dyDescent="0.25">
      <c r="A2441">
        <v>2438</v>
      </c>
      <c r="B2441">
        <v>15</v>
      </c>
      <c r="C2441" s="24">
        <v>45504</v>
      </c>
      <c r="D2441" s="238" t="s">
        <v>91</v>
      </c>
      <c r="E2441" s="238" t="s">
        <v>16</v>
      </c>
      <c r="F2441">
        <v>3</v>
      </c>
      <c r="G2441">
        <v>1</v>
      </c>
      <c r="H2441">
        <v>12</v>
      </c>
      <c r="I2441" s="238" t="s">
        <v>3946</v>
      </c>
      <c r="J2441">
        <v>320.87</v>
      </c>
      <c r="K2441" s="238" t="s">
        <v>36</v>
      </c>
      <c r="L2441">
        <v>38504400</v>
      </c>
      <c r="M2441">
        <v>0</v>
      </c>
      <c r="N2441">
        <v>38504400</v>
      </c>
      <c r="O2441">
        <v>120000</v>
      </c>
      <c r="P2441">
        <v>0</v>
      </c>
      <c r="Q2441">
        <v>38504400</v>
      </c>
      <c r="R2441">
        <v>120000</v>
      </c>
      <c r="S2441" s="238" t="s">
        <v>137</v>
      </c>
      <c r="T2441" s="238" t="s">
        <v>321</v>
      </c>
      <c r="U2441">
        <v>1605954</v>
      </c>
      <c r="V2441" t="s">
        <v>7690</v>
      </c>
      <c r="W2441" s="24">
        <v>45498</v>
      </c>
      <c r="X2441" s="238" t="s">
        <v>7691</v>
      </c>
      <c r="Y2441" s="238" t="s">
        <v>3946</v>
      </c>
      <c r="Z2441" s="238" t="s">
        <v>1340</v>
      </c>
      <c r="AA2441" t="s">
        <v>3113</v>
      </c>
      <c r="AB2441" s="238" t="s">
        <v>3246</v>
      </c>
      <c r="AC2441" t="s">
        <v>3077</v>
      </c>
      <c r="AD2441" s="24"/>
      <c r="AE2441" s="238" t="s">
        <v>6988</v>
      </c>
      <c r="AF2441">
        <v>79276901506</v>
      </c>
      <c r="AG2441" s="238" t="s">
        <v>4172</v>
      </c>
      <c r="AH2441" s="238" t="s">
        <v>1212</v>
      </c>
      <c r="AI2441" s="238" t="s">
        <v>3082</v>
      </c>
      <c r="AJ2441" s="238" t="s">
        <v>982</v>
      </c>
      <c r="AK2441" s="238" t="s">
        <v>3345</v>
      </c>
      <c r="AL2441" t="s">
        <v>8715</v>
      </c>
      <c r="AM2441" t="s">
        <v>1167</v>
      </c>
    </row>
    <row r="2442" spans="1:39" x14ac:dyDescent="0.25">
      <c r="A2442">
        <v>2439</v>
      </c>
      <c r="B2442">
        <v>16</v>
      </c>
      <c r="C2442" s="24">
        <v>45504</v>
      </c>
      <c r="D2442" s="238" t="s">
        <v>3388</v>
      </c>
      <c r="E2442" s="238" t="s">
        <v>15</v>
      </c>
      <c r="F2442">
        <v>7</v>
      </c>
      <c r="G2442">
        <v>11</v>
      </c>
      <c r="H2442">
        <v>475</v>
      </c>
      <c r="I2442" s="238" t="s">
        <v>44</v>
      </c>
      <c r="J2442">
        <v>79.44</v>
      </c>
      <c r="K2442" s="238" t="s">
        <v>38</v>
      </c>
      <c r="L2442">
        <v>9300106</v>
      </c>
      <c r="M2442">
        <v>0</v>
      </c>
      <c r="N2442">
        <v>9300106</v>
      </c>
      <c r="O2442">
        <v>117070.82074521652</v>
      </c>
      <c r="P2442">
        <v>1588800</v>
      </c>
      <c r="Q2442">
        <v>7711306</v>
      </c>
      <c r="R2442">
        <v>97070.820745216522</v>
      </c>
      <c r="S2442" s="238" t="s">
        <v>137</v>
      </c>
      <c r="T2442" s="238" t="s">
        <v>978</v>
      </c>
      <c r="U2442">
        <v>238494</v>
      </c>
      <c r="V2442" t="s">
        <v>4092</v>
      </c>
      <c r="W2442" s="24">
        <v>45498</v>
      </c>
      <c r="X2442" s="238" t="s">
        <v>7692</v>
      </c>
      <c r="Y2442" s="238" t="s">
        <v>39</v>
      </c>
      <c r="Z2442" s="238" t="s">
        <v>1340</v>
      </c>
      <c r="AA2442" t="s">
        <v>3113</v>
      </c>
      <c r="AB2442" s="238" t="s">
        <v>3246</v>
      </c>
      <c r="AC2442" t="s">
        <v>3079</v>
      </c>
      <c r="AD2442" s="24"/>
      <c r="AE2442" s="238" t="s">
        <v>7693</v>
      </c>
      <c r="AF2442">
        <v>79277778380</v>
      </c>
      <c r="AG2442" s="238" t="s">
        <v>7694</v>
      </c>
      <c r="AH2442" s="238" t="s">
        <v>1171</v>
      </c>
      <c r="AI2442" s="238" t="s">
        <v>3094</v>
      </c>
      <c r="AJ2442" s="238" t="s">
        <v>4177</v>
      </c>
      <c r="AK2442" s="238" t="s">
        <v>7181</v>
      </c>
      <c r="AL2442" t="s">
        <v>8715</v>
      </c>
      <c r="AM2442" t="s">
        <v>1167</v>
      </c>
    </row>
    <row r="2443" spans="1:39" x14ac:dyDescent="0.25">
      <c r="A2443">
        <v>2440</v>
      </c>
      <c r="B2443">
        <v>17</v>
      </c>
      <c r="C2443" s="24">
        <v>45504</v>
      </c>
      <c r="D2443" s="238" t="s">
        <v>3388</v>
      </c>
      <c r="E2443" s="238" t="s">
        <v>5</v>
      </c>
      <c r="F2443">
        <v>2</v>
      </c>
      <c r="G2443">
        <v>15</v>
      </c>
      <c r="H2443">
        <v>210</v>
      </c>
      <c r="I2443" s="238" t="s">
        <v>4052</v>
      </c>
      <c r="J2443">
        <v>24.28</v>
      </c>
      <c r="K2443" s="238" t="s">
        <v>38</v>
      </c>
      <c r="L2443">
        <v>3567000</v>
      </c>
      <c r="M2443">
        <v>0</v>
      </c>
      <c r="N2443">
        <v>3567000</v>
      </c>
      <c r="O2443">
        <v>146911.03789126853</v>
      </c>
      <c r="P2443">
        <v>485600</v>
      </c>
      <c r="Q2443">
        <v>3081400</v>
      </c>
      <c r="R2443">
        <v>126911.03789126853</v>
      </c>
      <c r="S2443" s="238" t="s">
        <v>137</v>
      </c>
      <c r="T2443" s="238" t="s">
        <v>1167</v>
      </c>
      <c r="V2443" t="s">
        <v>4092</v>
      </c>
      <c r="W2443" s="24">
        <v>45502</v>
      </c>
      <c r="X2443" s="238" t="s">
        <v>7695</v>
      </c>
      <c r="Y2443" s="238" t="s">
        <v>39</v>
      </c>
      <c r="Z2443" s="238" t="s">
        <v>1340</v>
      </c>
      <c r="AA2443" t="s">
        <v>3113</v>
      </c>
      <c r="AB2443" s="238" t="s">
        <v>3246</v>
      </c>
      <c r="AC2443" t="s">
        <v>3079</v>
      </c>
      <c r="AD2443" s="24"/>
      <c r="AE2443" s="238" t="s">
        <v>7696</v>
      </c>
      <c r="AF2443">
        <v>79371721333</v>
      </c>
      <c r="AG2443" s="238" t="s">
        <v>7697</v>
      </c>
      <c r="AH2443" s="238" t="s">
        <v>1171</v>
      </c>
      <c r="AI2443" s="238" t="s">
        <v>3074</v>
      </c>
      <c r="AJ2443" s="238" t="s">
        <v>5215</v>
      </c>
      <c r="AK2443" s="238" t="s">
        <v>7181</v>
      </c>
      <c r="AL2443" t="s">
        <v>8715</v>
      </c>
      <c r="AM2443" t="s">
        <v>1167</v>
      </c>
    </row>
    <row r="2444" spans="1:39" x14ac:dyDescent="0.25">
      <c r="A2444">
        <v>2441</v>
      </c>
      <c r="B2444">
        <v>1</v>
      </c>
      <c r="C2444" s="24">
        <v>45505</v>
      </c>
      <c r="D2444" s="238" t="s">
        <v>3388</v>
      </c>
      <c r="E2444" s="238" t="s">
        <v>15</v>
      </c>
      <c r="F2444">
        <v>8</v>
      </c>
      <c r="G2444">
        <v>5</v>
      </c>
      <c r="H2444">
        <v>428</v>
      </c>
      <c r="I2444" s="238" t="s">
        <v>42</v>
      </c>
      <c r="J2444">
        <v>39.69</v>
      </c>
      <c r="K2444" s="238" t="s">
        <v>38</v>
      </c>
      <c r="L2444">
        <v>5139600</v>
      </c>
      <c r="M2444">
        <v>15000</v>
      </c>
      <c r="N2444">
        <v>5154600</v>
      </c>
      <c r="O2444">
        <v>129871.50415721846</v>
      </c>
      <c r="P2444">
        <v>793800</v>
      </c>
      <c r="Q2444">
        <v>4360800</v>
      </c>
      <c r="R2444">
        <v>109871.50415721846</v>
      </c>
      <c r="S2444" s="238" t="s">
        <v>137</v>
      </c>
      <c r="T2444" s="238" t="s">
        <v>1167</v>
      </c>
      <c r="V2444" t="s">
        <v>3661</v>
      </c>
      <c r="W2444" s="24">
        <v>45434</v>
      </c>
      <c r="X2444" s="238" t="s">
        <v>7700</v>
      </c>
      <c r="Y2444" s="238" t="s">
        <v>39</v>
      </c>
      <c r="Z2444" s="238" t="s">
        <v>1340</v>
      </c>
      <c r="AA2444" t="s">
        <v>3474</v>
      </c>
      <c r="AB2444" s="238" t="s">
        <v>3246</v>
      </c>
      <c r="AC2444" t="s">
        <v>3115</v>
      </c>
      <c r="AD2444" s="24"/>
      <c r="AE2444" s="238" t="s">
        <v>7701</v>
      </c>
      <c r="AF2444">
        <v>79216088927</v>
      </c>
      <c r="AG2444" s="238" t="s">
        <v>7702</v>
      </c>
      <c r="AH2444" s="238" t="s">
        <v>1212</v>
      </c>
      <c r="AI2444" s="238" t="s">
        <v>3088</v>
      </c>
      <c r="AJ2444" s="238" t="s">
        <v>126</v>
      </c>
      <c r="AK2444" s="238" t="s">
        <v>3345</v>
      </c>
      <c r="AL2444" t="s">
        <v>8715</v>
      </c>
      <c r="AM2444" t="s">
        <v>1167</v>
      </c>
    </row>
    <row r="2445" spans="1:39" x14ac:dyDescent="0.25">
      <c r="A2445">
        <v>2442</v>
      </c>
      <c r="B2445">
        <v>2</v>
      </c>
      <c r="C2445" s="24">
        <v>45507</v>
      </c>
      <c r="D2445" s="238" t="s">
        <v>3388</v>
      </c>
      <c r="E2445" s="238" t="s">
        <v>16</v>
      </c>
      <c r="F2445">
        <v>2</v>
      </c>
      <c r="G2445">
        <v>10</v>
      </c>
      <c r="H2445">
        <v>286</v>
      </c>
      <c r="I2445" s="238" t="s">
        <v>4052</v>
      </c>
      <c r="J2445">
        <v>24.53</v>
      </c>
      <c r="K2445" s="238" t="s">
        <v>36</v>
      </c>
      <c r="L2445">
        <v>3226700</v>
      </c>
      <c r="M2445">
        <v>0</v>
      </c>
      <c r="N2445">
        <v>3226700</v>
      </c>
      <c r="O2445">
        <v>131540.9702405218</v>
      </c>
      <c r="P2445">
        <v>0</v>
      </c>
      <c r="Q2445">
        <v>3226700</v>
      </c>
      <c r="R2445">
        <v>131540.9702405218</v>
      </c>
      <c r="S2445" s="238" t="s">
        <v>137</v>
      </c>
      <c r="T2445" s="238" t="s">
        <v>1167</v>
      </c>
      <c r="V2445" t="s">
        <v>4092</v>
      </c>
      <c r="W2445" s="24">
        <v>45502</v>
      </c>
      <c r="X2445" s="238" t="s">
        <v>7703</v>
      </c>
      <c r="Y2445" s="238" t="s">
        <v>39</v>
      </c>
      <c r="Z2445" s="238" t="s">
        <v>1340</v>
      </c>
      <c r="AA2445" t="s">
        <v>3113</v>
      </c>
      <c r="AB2445" s="238" t="s">
        <v>3246</v>
      </c>
      <c r="AC2445" t="s">
        <v>3079</v>
      </c>
      <c r="AD2445" s="24"/>
      <c r="AE2445" s="238" t="s">
        <v>7704</v>
      </c>
      <c r="AF2445">
        <v>79967374701</v>
      </c>
      <c r="AG2445" s="238" t="s">
        <v>7705</v>
      </c>
      <c r="AH2445" s="238" t="s">
        <v>1212</v>
      </c>
      <c r="AI2445" s="238" t="s">
        <v>3102</v>
      </c>
      <c r="AJ2445" s="238" t="s">
        <v>5215</v>
      </c>
      <c r="AK2445" s="238" t="s">
        <v>3345</v>
      </c>
      <c r="AL2445" t="s">
        <v>8715</v>
      </c>
      <c r="AM2445" t="s">
        <v>1167</v>
      </c>
    </row>
    <row r="2446" spans="1:39" hidden="1" x14ac:dyDescent="0.25">
      <c r="A2446">
        <v>2443</v>
      </c>
      <c r="B2446">
        <v>3</v>
      </c>
      <c r="C2446" s="24">
        <v>45507</v>
      </c>
      <c r="D2446" s="238" t="s">
        <v>3388</v>
      </c>
      <c r="E2446" s="238" t="s">
        <v>15</v>
      </c>
      <c r="F2446">
        <v>3</v>
      </c>
      <c r="G2446">
        <v>13</v>
      </c>
      <c r="H2446">
        <v>487</v>
      </c>
      <c r="I2446" s="238" t="s">
        <v>4052</v>
      </c>
      <c r="J2446">
        <v>24.5</v>
      </c>
      <c r="K2446" s="238" t="s">
        <v>36</v>
      </c>
      <c r="L2446">
        <v>2990400</v>
      </c>
      <c r="M2446">
        <v>0</v>
      </c>
      <c r="N2446">
        <v>2990400</v>
      </c>
      <c r="O2446">
        <v>122057.14285714286</v>
      </c>
      <c r="P2446">
        <v>0</v>
      </c>
      <c r="Q2446">
        <v>2990400</v>
      </c>
      <c r="R2446">
        <v>122057.14285714286</v>
      </c>
      <c r="S2446" s="238" t="s">
        <v>124</v>
      </c>
      <c r="T2446" s="238" t="s">
        <v>1167</v>
      </c>
      <c r="V2446" t="s">
        <v>1167</v>
      </c>
      <c r="W2446" s="24">
        <v>45505</v>
      </c>
      <c r="X2446" s="238" t="s">
        <v>7706</v>
      </c>
      <c r="Y2446" s="238" t="s">
        <v>1172</v>
      </c>
      <c r="Z2446" s="238" t="s">
        <v>1340</v>
      </c>
      <c r="AA2446" t="s">
        <v>3113</v>
      </c>
      <c r="AB2446" s="238" t="s">
        <v>3246</v>
      </c>
      <c r="AC2446" t="s">
        <v>4246</v>
      </c>
      <c r="AD2446" s="24">
        <v>45797</v>
      </c>
      <c r="AE2446" s="238" t="s">
        <v>4039</v>
      </c>
      <c r="AF2446">
        <v>79171537524</v>
      </c>
      <c r="AG2446" s="238" t="s">
        <v>4040</v>
      </c>
      <c r="AH2446" s="238" t="s">
        <v>1212</v>
      </c>
      <c r="AI2446" s="238" t="s">
        <v>3082</v>
      </c>
      <c r="AJ2446" s="238" t="s">
        <v>4177</v>
      </c>
      <c r="AK2446" s="238" t="s">
        <v>1167</v>
      </c>
      <c r="AL2446" t="s">
        <v>8715</v>
      </c>
      <c r="AM2446" t="s">
        <v>1167</v>
      </c>
    </row>
    <row r="2447" spans="1:39" hidden="1" x14ac:dyDescent="0.25">
      <c r="A2447">
        <v>2444</v>
      </c>
      <c r="B2447">
        <v>4</v>
      </c>
      <c r="C2447" s="24">
        <v>45512</v>
      </c>
      <c r="D2447" s="238" t="s">
        <v>7562</v>
      </c>
      <c r="E2447" s="238" t="s">
        <v>43</v>
      </c>
      <c r="F2447">
        <v>2</v>
      </c>
      <c r="G2447">
        <v>3</v>
      </c>
      <c r="H2447">
        <v>63</v>
      </c>
      <c r="I2447" s="238" t="s">
        <v>43</v>
      </c>
      <c r="J2447">
        <v>54.07</v>
      </c>
      <c r="K2447" s="238" t="s">
        <v>8787</v>
      </c>
      <c r="L2447">
        <v>6847500</v>
      </c>
      <c r="M2447">
        <v>0</v>
      </c>
      <c r="N2447">
        <v>6847500</v>
      </c>
      <c r="O2447">
        <v>126641.39078971703</v>
      </c>
      <c r="P2447">
        <v>540700</v>
      </c>
      <c r="Q2447">
        <v>6306800</v>
      </c>
      <c r="R2447">
        <v>116641.39078971703</v>
      </c>
      <c r="S2447" s="238" t="s">
        <v>124</v>
      </c>
      <c r="T2447" s="238" t="s">
        <v>1167</v>
      </c>
      <c r="V2447" t="s">
        <v>1167</v>
      </c>
      <c r="W2447" s="24">
        <v>45498</v>
      </c>
      <c r="X2447" s="238" t="s">
        <v>7895</v>
      </c>
      <c r="Y2447" s="238" t="s">
        <v>39</v>
      </c>
      <c r="Z2447" s="238" t="s">
        <v>1340</v>
      </c>
      <c r="AA2447" t="s">
        <v>3474</v>
      </c>
      <c r="AB2447" s="238" t="s">
        <v>3246</v>
      </c>
      <c r="AC2447" t="s">
        <v>1167</v>
      </c>
      <c r="AD2447" s="24"/>
      <c r="AE2447" s="238" t="s">
        <v>7716</v>
      </c>
      <c r="AF2447">
        <v>79277216139</v>
      </c>
      <c r="AG2447" s="238" t="s">
        <v>7717</v>
      </c>
      <c r="AH2447" s="238" t="s">
        <v>1171</v>
      </c>
      <c r="AI2447" s="238" t="s">
        <v>3090</v>
      </c>
      <c r="AJ2447" s="238" t="s">
        <v>5215</v>
      </c>
      <c r="AK2447" s="238" t="s">
        <v>1167</v>
      </c>
      <c r="AL2447" t="s">
        <v>8715</v>
      </c>
      <c r="AM2447" t="s">
        <v>1167</v>
      </c>
    </row>
    <row r="2448" spans="1:39" x14ac:dyDescent="0.25">
      <c r="A2448">
        <v>2445</v>
      </c>
      <c r="B2448">
        <v>5</v>
      </c>
      <c r="C2448" s="24">
        <v>45512</v>
      </c>
      <c r="D2448" s="238" t="s">
        <v>3388</v>
      </c>
      <c r="E2448" s="238" t="s">
        <v>15</v>
      </c>
      <c r="F2448">
        <v>8</v>
      </c>
      <c r="G2448">
        <v>18</v>
      </c>
      <c r="H2448">
        <v>532</v>
      </c>
      <c r="I2448" s="238" t="s">
        <v>42</v>
      </c>
      <c r="J2448">
        <v>39.69</v>
      </c>
      <c r="K2448" s="238" t="s">
        <v>36</v>
      </c>
      <c r="L2448">
        <v>4466500</v>
      </c>
      <c r="M2448">
        <v>0</v>
      </c>
      <c r="N2448">
        <v>4466500</v>
      </c>
      <c r="O2448">
        <v>112534.64348702444</v>
      </c>
      <c r="P2448">
        <v>0</v>
      </c>
      <c r="Q2448">
        <v>4466500</v>
      </c>
      <c r="R2448">
        <v>112534.64348702444</v>
      </c>
      <c r="S2448" s="238" t="s">
        <v>137</v>
      </c>
      <c r="T2448" s="238" t="s">
        <v>1167</v>
      </c>
      <c r="V2448" t="s">
        <v>4092</v>
      </c>
      <c r="W2448" s="24">
        <v>45509</v>
      </c>
      <c r="X2448" s="238" t="s">
        <v>7718</v>
      </c>
      <c r="Y2448" s="238" t="s">
        <v>39</v>
      </c>
      <c r="Z2448" s="238" t="s">
        <v>1340</v>
      </c>
      <c r="AA2448" t="s">
        <v>3113</v>
      </c>
      <c r="AB2448" s="238" t="s">
        <v>3246</v>
      </c>
      <c r="AC2448" t="s">
        <v>3079</v>
      </c>
      <c r="AD2448" s="24"/>
      <c r="AE2448" s="238" t="s">
        <v>7719</v>
      </c>
      <c r="AF2448">
        <v>79297036342</v>
      </c>
      <c r="AG2448" s="238" t="s">
        <v>7720</v>
      </c>
      <c r="AH2448" s="238" t="s">
        <v>4072</v>
      </c>
      <c r="AI2448" s="238" t="s">
        <v>7721</v>
      </c>
      <c r="AJ2448" s="238" t="s">
        <v>4177</v>
      </c>
      <c r="AK2448" s="238" t="s">
        <v>3345</v>
      </c>
      <c r="AL2448" t="s">
        <v>57</v>
      </c>
      <c r="AM2448" t="s">
        <v>1167</v>
      </c>
    </row>
    <row r="2449" spans="1:39" hidden="1" x14ac:dyDescent="0.25">
      <c r="A2449">
        <v>2446</v>
      </c>
      <c r="B2449">
        <v>6</v>
      </c>
      <c r="C2449" s="24">
        <v>45516</v>
      </c>
      <c r="D2449" s="238" t="s">
        <v>91</v>
      </c>
      <c r="E2449" s="238" t="s">
        <v>5</v>
      </c>
      <c r="F2449">
        <v>5</v>
      </c>
      <c r="G2449">
        <v>13</v>
      </c>
      <c r="H2449">
        <v>213</v>
      </c>
      <c r="I2449" s="238" t="s">
        <v>42</v>
      </c>
      <c r="J2449">
        <v>36.700000000000003</v>
      </c>
      <c r="K2449" s="238" t="s">
        <v>38</v>
      </c>
      <c r="L2449">
        <v>5328958</v>
      </c>
      <c r="M2449">
        <v>0</v>
      </c>
      <c r="N2449">
        <v>5328958</v>
      </c>
      <c r="O2449">
        <v>145203.21525885558</v>
      </c>
      <c r="P2449">
        <v>807400.00000000012</v>
      </c>
      <c r="Q2449">
        <v>4521558</v>
      </c>
      <c r="R2449">
        <v>123203.21525885558</v>
      </c>
      <c r="S2449" s="238" t="s">
        <v>121</v>
      </c>
      <c r="T2449" s="238" t="s">
        <v>6808</v>
      </c>
      <c r="U2449">
        <v>139842</v>
      </c>
      <c r="V2449" t="s">
        <v>1167</v>
      </c>
      <c r="W2449" s="24">
        <v>45462</v>
      </c>
      <c r="X2449" s="238" t="s">
        <v>7729</v>
      </c>
      <c r="Y2449" s="238" t="s">
        <v>39</v>
      </c>
      <c r="Z2449" s="238" t="s">
        <v>1340</v>
      </c>
      <c r="AA2449" t="s">
        <v>3113</v>
      </c>
      <c r="AB2449" s="238" t="s">
        <v>3246</v>
      </c>
      <c r="AC2449" t="s">
        <v>1167</v>
      </c>
      <c r="AD2449" s="24"/>
      <c r="AE2449" s="238" t="s">
        <v>7730</v>
      </c>
      <c r="AF2449">
        <v>79279004718</v>
      </c>
      <c r="AG2449" s="238" t="s">
        <v>7731</v>
      </c>
      <c r="AH2449" s="238" t="s">
        <v>1171</v>
      </c>
      <c r="AI2449" s="238" t="s">
        <v>135</v>
      </c>
      <c r="AJ2449" s="238" t="s">
        <v>126</v>
      </c>
      <c r="AK2449" s="238" t="s">
        <v>1167</v>
      </c>
      <c r="AL2449" t="s">
        <v>8715</v>
      </c>
      <c r="AM2449" t="s">
        <v>1167</v>
      </c>
    </row>
    <row r="2450" spans="1:39" x14ac:dyDescent="0.25">
      <c r="A2450">
        <v>2447</v>
      </c>
      <c r="B2450">
        <v>7</v>
      </c>
      <c r="C2450" s="24">
        <v>45516</v>
      </c>
      <c r="D2450" s="238" t="s">
        <v>3388</v>
      </c>
      <c r="E2450" s="238" t="s">
        <v>15</v>
      </c>
      <c r="F2450">
        <v>5</v>
      </c>
      <c r="G2450">
        <v>3</v>
      </c>
      <c r="H2450">
        <v>409</v>
      </c>
      <c r="I2450" s="238" t="s">
        <v>43</v>
      </c>
      <c r="J2450">
        <v>57.8</v>
      </c>
      <c r="K2450" s="238" t="s">
        <v>6871</v>
      </c>
      <c r="L2450">
        <v>5871070</v>
      </c>
      <c r="M2450">
        <v>15000</v>
      </c>
      <c r="N2450">
        <v>5886070</v>
      </c>
      <c r="O2450">
        <v>101835.12110726644</v>
      </c>
      <c r="P2450">
        <v>404600</v>
      </c>
      <c r="Q2450">
        <v>5481470</v>
      </c>
      <c r="R2450">
        <v>94835.121107266445</v>
      </c>
      <c r="S2450" s="238" t="s">
        <v>137</v>
      </c>
      <c r="T2450" s="238" t="s">
        <v>978</v>
      </c>
      <c r="U2450">
        <v>169530</v>
      </c>
      <c r="V2450" t="s">
        <v>4092</v>
      </c>
      <c r="W2450" s="24">
        <v>45503</v>
      </c>
      <c r="X2450" s="238" t="s">
        <v>7732</v>
      </c>
      <c r="Y2450" s="238" t="s">
        <v>39</v>
      </c>
      <c r="Z2450" s="238" t="s">
        <v>1340</v>
      </c>
      <c r="AA2450" t="s">
        <v>3113</v>
      </c>
      <c r="AB2450" s="238" t="s">
        <v>3246</v>
      </c>
      <c r="AC2450" t="s">
        <v>3079</v>
      </c>
      <c r="AD2450" s="24"/>
      <c r="AE2450" s="238" t="s">
        <v>7733</v>
      </c>
      <c r="AF2450">
        <v>79277898274</v>
      </c>
      <c r="AG2450" s="238" t="s">
        <v>1167</v>
      </c>
      <c r="AH2450" s="238" t="s">
        <v>135</v>
      </c>
      <c r="AI2450" s="238" t="s">
        <v>7734</v>
      </c>
      <c r="AJ2450" s="238" t="s">
        <v>4177</v>
      </c>
      <c r="AK2450" s="238" t="s">
        <v>3345</v>
      </c>
      <c r="AL2450" t="s">
        <v>8715</v>
      </c>
      <c r="AM2450" t="s">
        <v>7735</v>
      </c>
    </row>
    <row r="2451" spans="1:39" x14ac:dyDescent="0.25">
      <c r="A2451">
        <v>2448</v>
      </c>
      <c r="B2451">
        <v>8</v>
      </c>
      <c r="C2451" s="24">
        <v>45516</v>
      </c>
      <c r="D2451" s="238" t="s">
        <v>3388</v>
      </c>
      <c r="E2451" s="238" t="s">
        <v>15</v>
      </c>
      <c r="F2451">
        <v>5</v>
      </c>
      <c r="G2451">
        <v>5</v>
      </c>
      <c r="H2451">
        <v>425</v>
      </c>
      <c r="I2451" s="238" t="s">
        <v>43</v>
      </c>
      <c r="J2451">
        <v>57.8</v>
      </c>
      <c r="K2451" s="238" t="s">
        <v>36</v>
      </c>
      <c r="L2451">
        <v>5596400</v>
      </c>
      <c r="M2451">
        <v>0</v>
      </c>
      <c r="N2451">
        <v>5596400</v>
      </c>
      <c r="O2451">
        <v>96823.529411764714</v>
      </c>
      <c r="P2451">
        <v>0</v>
      </c>
      <c r="Q2451">
        <v>5596400</v>
      </c>
      <c r="R2451">
        <v>96823.529411764714</v>
      </c>
      <c r="S2451" s="238" t="s">
        <v>137</v>
      </c>
      <c r="T2451" s="238" t="s">
        <v>1167</v>
      </c>
      <c r="V2451" t="s">
        <v>1167</v>
      </c>
      <c r="W2451" s="24">
        <v>45504</v>
      </c>
      <c r="X2451" s="238" t="s">
        <v>7736</v>
      </c>
      <c r="Y2451" s="238" t="s">
        <v>39</v>
      </c>
      <c r="Z2451" s="238" t="s">
        <v>1340</v>
      </c>
      <c r="AA2451" t="s">
        <v>3113</v>
      </c>
      <c r="AB2451" s="238" t="s">
        <v>3246</v>
      </c>
      <c r="AC2451" t="s">
        <v>3079</v>
      </c>
      <c r="AD2451" s="24"/>
      <c r="AE2451" s="238" t="s">
        <v>7737</v>
      </c>
      <c r="AF2451">
        <v>79179502279</v>
      </c>
      <c r="AG2451" s="238" t="s">
        <v>7738</v>
      </c>
      <c r="AH2451" s="238" t="s">
        <v>1171</v>
      </c>
      <c r="AI2451" s="238" t="s">
        <v>135</v>
      </c>
      <c r="AJ2451" s="238" t="s">
        <v>4177</v>
      </c>
      <c r="AK2451" s="238" t="s">
        <v>3345</v>
      </c>
      <c r="AL2451" t="s">
        <v>8715</v>
      </c>
      <c r="AM2451" t="s">
        <v>1167</v>
      </c>
    </row>
    <row r="2452" spans="1:39" x14ac:dyDescent="0.25">
      <c r="A2452">
        <v>2449</v>
      </c>
      <c r="B2452">
        <v>9</v>
      </c>
      <c r="C2452" s="24">
        <v>45516</v>
      </c>
      <c r="D2452" s="238" t="s">
        <v>3388</v>
      </c>
      <c r="E2452" s="238" t="s">
        <v>6</v>
      </c>
      <c r="F2452">
        <v>2</v>
      </c>
      <c r="G2452">
        <v>6</v>
      </c>
      <c r="H2452">
        <v>36</v>
      </c>
      <c r="I2452" s="238" t="s">
        <v>43</v>
      </c>
      <c r="J2452">
        <v>68.5</v>
      </c>
      <c r="K2452" s="238" t="s">
        <v>6871</v>
      </c>
      <c r="L2452">
        <v>7330700</v>
      </c>
      <c r="M2452">
        <v>0</v>
      </c>
      <c r="N2452">
        <v>7330700</v>
      </c>
      <c r="O2452">
        <v>107017.51824817518</v>
      </c>
      <c r="P2452">
        <v>479500</v>
      </c>
      <c r="Q2452">
        <v>6851200</v>
      </c>
      <c r="R2452">
        <v>100017.51824817518</v>
      </c>
      <c r="S2452" s="238" t="s">
        <v>137</v>
      </c>
      <c r="T2452" s="238" t="s">
        <v>1167</v>
      </c>
      <c r="V2452" t="s">
        <v>4092</v>
      </c>
      <c r="W2452" s="24">
        <v>45510</v>
      </c>
      <c r="X2452" s="238" t="s">
        <v>7739</v>
      </c>
      <c r="Y2452" s="238" t="s">
        <v>39</v>
      </c>
      <c r="Z2452" s="238" t="s">
        <v>1340</v>
      </c>
      <c r="AA2452" t="s">
        <v>3113</v>
      </c>
      <c r="AB2452" s="238" t="s">
        <v>3246</v>
      </c>
      <c r="AC2452" t="s">
        <v>3079</v>
      </c>
      <c r="AD2452" s="24"/>
      <c r="AE2452" s="238" t="s">
        <v>7740</v>
      </c>
      <c r="AF2452">
        <v>79272074787</v>
      </c>
      <c r="AG2452" s="238" t="s">
        <v>7741</v>
      </c>
      <c r="AH2452" s="238" t="s">
        <v>1212</v>
      </c>
      <c r="AI2452" s="238" t="s">
        <v>3074</v>
      </c>
      <c r="AJ2452" s="238" t="s">
        <v>4177</v>
      </c>
      <c r="AK2452" s="238" t="s">
        <v>7181</v>
      </c>
      <c r="AL2452" t="s">
        <v>8715</v>
      </c>
      <c r="AM2452" t="s">
        <v>1167</v>
      </c>
    </row>
    <row r="2453" spans="1:39" x14ac:dyDescent="0.25">
      <c r="A2453">
        <v>2450</v>
      </c>
      <c r="B2453">
        <v>10</v>
      </c>
      <c r="C2453" s="24">
        <v>45517</v>
      </c>
      <c r="D2453" s="238" t="s">
        <v>3388</v>
      </c>
      <c r="E2453" s="238" t="s">
        <v>15</v>
      </c>
      <c r="F2453">
        <v>1</v>
      </c>
      <c r="G2453">
        <v>5</v>
      </c>
      <c r="H2453">
        <v>421</v>
      </c>
      <c r="I2453" s="238" t="s">
        <v>4052</v>
      </c>
      <c r="J2453">
        <v>29.4</v>
      </c>
      <c r="K2453" s="238" t="s">
        <v>38</v>
      </c>
      <c r="L2453">
        <v>4055800</v>
      </c>
      <c r="M2453">
        <v>0</v>
      </c>
      <c r="N2453">
        <v>4055800</v>
      </c>
      <c r="O2453">
        <v>137952.38095238095</v>
      </c>
      <c r="P2453">
        <v>588000.00000000047</v>
      </c>
      <c r="Q2453">
        <v>3467799.9999999995</v>
      </c>
      <c r="R2453">
        <v>117952.38095238095</v>
      </c>
      <c r="S2453" s="238" t="s">
        <v>137</v>
      </c>
      <c r="T2453" s="238" t="s">
        <v>1167</v>
      </c>
      <c r="V2453" t="s">
        <v>4092</v>
      </c>
      <c r="W2453" s="24">
        <v>45516</v>
      </c>
      <c r="X2453" s="238" t="s">
        <v>7742</v>
      </c>
      <c r="Y2453" s="238" t="s">
        <v>39</v>
      </c>
      <c r="Z2453" s="238" t="s">
        <v>1340</v>
      </c>
      <c r="AA2453" t="s">
        <v>3113</v>
      </c>
      <c r="AB2453" s="238" t="s">
        <v>3246</v>
      </c>
      <c r="AC2453" t="s">
        <v>3079</v>
      </c>
      <c r="AD2453" s="24"/>
      <c r="AE2453" s="238" t="s">
        <v>7743</v>
      </c>
      <c r="AF2453">
        <v>79277739709</v>
      </c>
      <c r="AG2453" s="238" t="s">
        <v>7744</v>
      </c>
      <c r="AH2453" s="238" t="s">
        <v>1212</v>
      </c>
      <c r="AI2453" s="238" t="s">
        <v>135</v>
      </c>
      <c r="AJ2453" s="238" t="s">
        <v>4177</v>
      </c>
      <c r="AK2453" s="238" t="s">
        <v>3345</v>
      </c>
      <c r="AL2453" t="s">
        <v>8715</v>
      </c>
      <c r="AM2453" t="s">
        <v>1167</v>
      </c>
    </row>
    <row r="2454" spans="1:39" hidden="1" x14ac:dyDescent="0.25">
      <c r="A2454">
        <v>2451</v>
      </c>
      <c r="B2454">
        <v>11</v>
      </c>
      <c r="C2454" s="24">
        <v>45517</v>
      </c>
      <c r="D2454" s="238" t="s">
        <v>91</v>
      </c>
      <c r="E2454" s="238" t="s">
        <v>15</v>
      </c>
      <c r="F2454">
        <v>4</v>
      </c>
      <c r="G2454">
        <v>15</v>
      </c>
      <c r="H2454">
        <v>522</v>
      </c>
      <c r="I2454" s="238" t="s">
        <v>42</v>
      </c>
      <c r="J2454">
        <v>36.5</v>
      </c>
      <c r="K2454" s="238" t="s">
        <v>37</v>
      </c>
      <c r="L2454">
        <v>4865550</v>
      </c>
      <c r="M2454">
        <v>0</v>
      </c>
      <c r="N2454">
        <v>4865550</v>
      </c>
      <c r="O2454">
        <v>133302.73972602739</v>
      </c>
      <c r="P2454">
        <v>273750</v>
      </c>
      <c r="Q2454">
        <v>4591800</v>
      </c>
      <c r="R2454">
        <v>125802.7397260274</v>
      </c>
      <c r="S2454" s="238" t="s">
        <v>137</v>
      </c>
      <c r="T2454" s="238" t="s">
        <v>1167</v>
      </c>
      <c r="V2454" t="s">
        <v>4092</v>
      </c>
      <c r="W2454" s="24">
        <v>45516</v>
      </c>
      <c r="X2454" s="238" t="s">
        <v>4123</v>
      </c>
      <c r="Y2454" s="238" t="s">
        <v>39</v>
      </c>
      <c r="Z2454" s="238" t="s">
        <v>1340</v>
      </c>
      <c r="AA2454" t="s">
        <v>3113</v>
      </c>
      <c r="AB2454" s="238" t="s">
        <v>3246</v>
      </c>
      <c r="AC2454" t="s">
        <v>3079</v>
      </c>
      <c r="AD2454" s="24"/>
      <c r="AE2454" s="238" t="s">
        <v>2775</v>
      </c>
      <c r="AF2454">
        <v>79869529641</v>
      </c>
      <c r="AG2454" s="238" t="s">
        <v>2776</v>
      </c>
      <c r="AH2454" s="238" t="s">
        <v>1171</v>
      </c>
      <c r="AI2454" s="238" t="s">
        <v>3082</v>
      </c>
      <c r="AJ2454" s="238" t="s">
        <v>126</v>
      </c>
      <c r="AK2454" s="238" t="s">
        <v>3345</v>
      </c>
      <c r="AL2454" t="s">
        <v>8715</v>
      </c>
      <c r="AM2454" t="s">
        <v>7735</v>
      </c>
    </row>
    <row r="2455" spans="1:39" hidden="1" x14ac:dyDescent="0.25">
      <c r="A2455">
        <v>2452</v>
      </c>
      <c r="B2455">
        <v>12</v>
      </c>
      <c r="C2455" s="24">
        <v>45529</v>
      </c>
      <c r="D2455" s="238" t="s">
        <v>91</v>
      </c>
      <c r="E2455" s="238" t="s">
        <v>16</v>
      </c>
      <c r="F2455">
        <v>7</v>
      </c>
      <c r="G2455">
        <v>19</v>
      </c>
      <c r="H2455">
        <v>366</v>
      </c>
      <c r="I2455" s="238" t="s">
        <v>42</v>
      </c>
      <c r="J2455">
        <v>33.840000000000003</v>
      </c>
      <c r="K2455" s="238" t="s">
        <v>38</v>
      </c>
      <c r="L2455">
        <v>5468080</v>
      </c>
      <c r="M2455">
        <v>0</v>
      </c>
      <c r="N2455">
        <v>5468080</v>
      </c>
      <c r="O2455">
        <v>161586.28841607564</v>
      </c>
      <c r="P2455">
        <v>744480.00000000012</v>
      </c>
      <c r="Q2455">
        <v>4723600</v>
      </c>
      <c r="R2455">
        <v>139586.28841607564</v>
      </c>
      <c r="S2455" s="238" t="s">
        <v>137</v>
      </c>
      <c r="T2455" s="238" t="s">
        <v>1167</v>
      </c>
      <c r="V2455" t="s">
        <v>4092</v>
      </c>
      <c r="W2455" s="24">
        <v>45518</v>
      </c>
      <c r="X2455" s="238" t="s">
        <v>7759</v>
      </c>
      <c r="Y2455" s="238" t="s">
        <v>1172</v>
      </c>
      <c r="Z2455" s="238" t="s">
        <v>1340</v>
      </c>
      <c r="AA2455" t="s">
        <v>3113</v>
      </c>
      <c r="AB2455" s="238" t="s">
        <v>3246</v>
      </c>
      <c r="AC2455" t="s">
        <v>3079</v>
      </c>
      <c r="AD2455" s="24">
        <v>45589</v>
      </c>
      <c r="AE2455" s="238" t="s">
        <v>7760</v>
      </c>
      <c r="AF2455">
        <v>79270212342</v>
      </c>
      <c r="AG2455" s="238" t="s">
        <v>7761</v>
      </c>
      <c r="AH2455" s="238" t="s">
        <v>4072</v>
      </c>
      <c r="AI2455" s="238" t="s">
        <v>7040</v>
      </c>
      <c r="AJ2455" s="238" t="s">
        <v>4177</v>
      </c>
      <c r="AK2455" s="238" t="s">
        <v>3345</v>
      </c>
      <c r="AL2455" t="s">
        <v>57</v>
      </c>
      <c r="AM2455" t="s">
        <v>1167</v>
      </c>
    </row>
    <row r="2456" spans="1:39" hidden="1" x14ac:dyDescent="0.25">
      <c r="A2456">
        <v>2453</v>
      </c>
      <c r="B2456">
        <v>13</v>
      </c>
      <c r="C2456" s="24">
        <v>45527</v>
      </c>
      <c r="D2456" s="238" t="s">
        <v>91</v>
      </c>
      <c r="E2456" s="238" t="s">
        <v>15</v>
      </c>
      <c r="F2456">
        <v>6</v>
      </c>
      <c r="G2456">
        <v>9</v>
      </c>
      <c r="H2456">
        <v>470</v>
      </c>
      <c r="I2456" s="238" t="s">
        <v>43</v>
      </c>
      <c r="J2456">
        <v>58.62</v>
      </c>
      <c r="K2456" s="238" t="s">
        <v>37</v>
      </c>
      <c r="L2456">
        <v>6484250</v>
      </c>
      <c r="M2456">
        <v>0</v>
      </c>
      <c r="N2456">
        <v>6484250</v>
      </c>
      <c r="O2456">
        <v>110614.97782326852</v>
      </c>
      <c r="P2456">
        <v>439650</v>
      </c>
      <c r="Q2456">
        <v>6044600</v>
      </c>
      <c r="R2456">
        <v>103114.97782326852</v>
      </c>
      <c r="S2456" s="238" t="s">
        <v>137</v>
      </c>
      <c r="T2456" s="238" t="s">
        <v>1167</v>
      </c>
      <c r="V2456" t="s">
        <v>4092</v>
      </c>
      <c r="W2456" s="24">
        <v>45516</v>
      </c>
      <c r="X2456" s="238" t="s">
        <v>4120</v>
      </c>
      <c r="Y2456" s="238" t="s">
        <v>39</v>
      </c>
      <c r="Z2456" s="238" t="s">
        <v>1340</v>
      </c>
      <c r="AA2456" t="s">
        <v>3113</v>
      </c>
      <c r="AB2456" s="238" t="s">
        <v>3246</v>
      </c>
      <c r="AC2456" t="s">
        <v>3079</v>
      </c>
      <c r="AD2456" s="24"/>
      <c r="AE2456" s="238" t="s">
        <v>7762</v>
      </c>
      <c r="AF2456">
        <v>79954719611</v>
      </c>
      <c r="AG2456" s="238" t="s">
        <v>7763</v>
      </c>
      <c r="AH2456" s="238" t="s">
        <v>1212</v>
      </c>
      <c r="AI2456" s="238" t="s">
        <v>3102</v>
      </c>
      <c r="AJ2456" s="238" t="s">
        <v>4177</v>
      </c>
      <c r="AK2456" s="238" t="s">
        <v>3345</v>
      </c>
      <c r="AL2456" t="s">
        <v>8715</v>
      </c>
      <c r="AM2456" t="s">
        <v>1167</v>
      </c>
    </row>
    <row r="2457" spans="1:39" hidden="1" x14ac:dyDescent="0.25">
      <c r="A2457">
        <v>2454</v>
      </c>
      <c r="B2457">
        <v>14</v>
      </c>
      <c r="C2457" s="24">
        <v>45527</v>
      </c>
      <c r="D2457" s="238" t="s">
        <v>91</v>
      </c>
      <c r="E2457" s="238" t="s">
        <v>16</v>
      </c>
      <c r="F2457">
        <v>2</v>
      </c>
      <c r="G2457">
        <v>22</v>
      </c>
      <c r="H2457">
        <v>382</v>
      </c>
      <c r="I2457" s="238" t="s">
        <v>43</v>
      </c>
      <c r="J2457">
        <v>67.95</v>
      </c>
      <c r="K2457" s="238" t="s">
        <v>37</v>
      </c>
      <c r="L2457">
        <v>7190073</v>
      </c>
      <c r="M2457">
        <v>0</v>
      </c>
      <c r="N2457">
        <v>7190073</v>
      </c>
      <c r="O2457">
        <v>105814.17218543046</v>
      </c>
      <c r="P2457">
        <v>509625</v>
      </c>
      <c r="Q2457">
        <v>6680448</v>
      </c>
      <c r="R2457">
        <v>98314.172185430463</v>
      </c>
      <c r="S2457" s="238" t="s">
        <v>137</v>
      </c>
      <c r="T2457" s="238" t="s">
        <v>321</v>
      </c>
      <c r="U2457">
        <v>278352</v>
      </c>
      <c r="V2457" t="s">
        <v>4092</v>
      </c>
      <c r="W2457" s="24">
        <v>45524</v>
      </c>
      <c r="X2457" s="238" t="s">
        <v>7764</v>
      </c>
      <c r="Y2457" s="238" t="s">
        <v>39</v>
      </c>
      <c r="Z2457" s="238" t="s">
        <v>1340</v>
      </c>
      <c r="AA2457" t="s">
        <v>3113</v>
      </c>
      <c r="AB2457" s="238" t="s">
        <v>3246</v>
      </c>
      <c r="AC2457" t="s">
        <v>3079</v>
      </c>
      <c r="AD2457" s="24"/>
      <c r="AE2457" s="238" t="s">
        <v>7765</v>
      </c>
      <c r="AF2457">
        <v>79789022045</v>
      </c>
      <c r="AG2457" s="238" t="s">
        <v>7766</v>
      </c>
      <c r="AH2457" s="238" t="s">
        <v>135</v>
      </c>
      <c r="AI2457" s="238" t="s">
        <v>3097</v>
      </c>
      <c r="AJ2457" s="238" t="s">
        <v>7767</v>
      </c>
      <c r="AK2457" s="238" t="s">
        <v>7181</v>
      </c>
      <c r="AL2457" t="s">
        <v>8715</v>
      </c>
      <c r="AM2457" t="s">
        <v>1167</v>
      </c>
    </row>
    <row r="2458" spans="1:39" x14ac:dyDescent="0.25">
      <c r="A2458">
        <v>2455</v>
      </c>
      <c r="B2458">
        <v>15</v>
      </c>
      <c r="C2458" s="24">
        <v>45533</v>
      </c>
      <c r="D2458" s="238" t="s">
        <v>3388</v>
      </c>
      <c r="E2458" s="238" t="s">
        <v>16</v>
      </c>
      <c r="F2458">
        <v>7</v>
      </c>
      <c r="G2458">
        <v>16</v>
      </c>
      <c r="H2458">
        <v>333</v>
      </c>
      <c r="I2458" s="238" t="s">
        <v>42</v>
      </c>
      <c r="J2458">
        <v>34.81</v>
      </c>
      <c r="K2458" s="238" t="s">
        <v>38</v>
      </c>
      <c r="L2458">
        <v>4929500</v>
      </c>
      <c r="M2458">
        <v>0</v>
      </c>
      <c r="N2458">
        <v>4929500</v>
      </c>
      <c r="O2458">
        <v>141611.60586038494</v>
      </c>
      <c r="P2458">
        <v>696200</v>
      </c>
      <c r="Q2458">
        <v>4233300</v>
      </c>
      <c r="R2458">
        <v>121611.60586038494</v>
      </c>
      <c r="S2458" s="238" t="s">
        <v>137</v>
      </c>
      <c r="T2458" s="238" t="s">
        <v>1167</v>
      </c>
      <c r="V2458" t="s">
        <v>4092</v>
      </c>
      <c r="W2458" s="24">
        <v>45520</v>
      </c>
      <c r="X2458" s="238" t="s">
        <v>7770</v>
      </c>
      <c r="Y2458" s="238" t="s">
        <v>39</v>
      </c>
      <c r="Z2458" s="238" t="s">
        <v>1340</v>
      </c>
      <c r="AA2458" t="s">
        <v>3113</v>
      </c>
      <c r="AB2458" s="238" t="s">
        <v>3246</v>
      </c>
      <c r="AC2458" t="s">
        <v>3079</v>
      </c>
      <c r="AD2458" s="24"/>
      <c r="AE2458" s="238" t="s">
        <v>7771</v>
      </c>
      <c r="AF2458">
        <v>79277266359</v>
      </c>
      <c r="AG2458" s="238" t="s">
        <v>7772</v>
      </c>
      <c r="AH2458" s="238" t="s">
        <v>1171</v>
      </c>
      <c r="AI2458" s="238" t="s">
        <v>3074</v>
      </c>
      <c r="AJ2458" s="238" t="s">
        <v>4177</v>
      </c>
      <c r="AK2458" s="238" t="s">
        <v>3345</v>
      </c>
      <c r="AL2458" t="s">
        <v>8715</v>
      </c>
      <c r="AM2458" t="s">
        <v>7735</v>
      </c>
    </row>
    <row r="2459" spans="1:39" x14ac:dyDescent="0.25">
      <c r="A2459">
        <v>2456</v>
      </c>
      <c r="B2459">
        <v>16</v>
      </c>
      <c r="C2459" s="24">
        <v>45533</v>
      </c>
      <c r="D2459" s="238" t="s">
        <v>3388</v>
      </c>
      <c r="E2459" s="238" t="s">
        <v>16</v>
      </c>
      <c r="F2459">
        <v>2</v>
      </c>
      <c r="G2459">
        <v>15</v>
      </c>
      <c r="H2459">
        <v>321</v>
      </c>
      <c r="I2459" s="238" t="s">
        <v>4052</v>
      </c>
      <c r="J2459">
        <v>24.53</v>
      </c>
      <c r="K2459" s="238" t="s">
        <v>38</v>
      </c>
      <c r="L2459">
        <v>3686900</v>
      </c>
      <c r="M2459">
        <v>0</v>
      </c>
      <c r="N2459">
        <v>3686900</v>
      </c>
      <c r="O2459">
        <v>150301.67142274766</v>
      </c>
      <c r="P2459">
        <v>490599.99999999953</v>
      </c>
      <c r="Q2459">
        <v>3196300.0000000005</v>
      </c>
      <c r="R2459">
        <v>130301.67142274766</v>
      </c>
      <c r="S2459" s="238" t="s">
        <v>137</v>
      </c>
      <c r="T2459" s="238" t="s">
        <v>1167</v>
      </c>
      <c r="V2459" t="s">
        <v>4092</v>
      </c>
      <c r="W2459" s="24">
        <v>45523</v>
      </c>
      <c r="X2459" s="238" t="s">
        <v>7773</v>
      </c>
      <c r="Y2459" s="238" t="s">
        <v>39</v>
      </c>
      <c r="Z2459" s="238" t="s">
        <v>1340</v>
      </c>
      <c r="AA2459" t="s">
        <v>3113</v>
      </c>
      <c r="AB2459" s="238" t="s">
        <v>3246</v>
      </c>
      <c r="AC2459" t="s">
        <v>3079</v>
      </c>
      <c r="AD2459" s="24"/>
      <c r="AE2459" s="238" t="s">
        <v>7774</v>
      </c>
      <c r="AF2459">
        <v>79277137475</v>
      </c>
      <c r="AG2459" s="238" t="s">
        <v>7775</v>
      </c>
      <c r="AH2459" s="238" t="s">
        <v>1171</v>
      </c>
      <c r="AI2459" s="238" t="s">
        <v>3085</v>
      </c>
      <c r="AJ2459" s="238" t="s">
        <v>4177</v>
      </c>
      <c r="AK2459" s="238" t="s">
        <v>7181</v>
      </c>
      <c r="AL2459" t="s">
        <v>8715</v>
      </c>
      <c r="AM2459" t="s">
        <v>1167</v>
      </c>
    </row>
    <row r="2460" spans="1:39" x14ac:dyDescent="0.25">
      <c r="A2460">
        <v>2457</v>
      </c>
      <c r="B2460">
        <v>17</v>
      </c>
      <c r="C2460" s="24">
        <v>45533</v>
      </c>
      <c r="D2460" s="238" t="s">
        <v>3388</v>
      </c>
      <c r="E2460" s="238" t="s">
        <v>15</v>
      </c>
      <c r="F2460">
        <v>2</v>
      </c>
      <c r="G2460">
        <v>8</v>
      </c>
      <c r="H2460">
        <v>446</v>
      </c>
      <c r="I2460" s="238" t="s">
        <v>42</v>
      </c>
      <c r="J2460">
        <v>43.21</v>
      </c>
      <c r="K2460" s="238" t="s">
        <v>38</v>
      </c>
      <c r="L2460">
        <v>5659600</v>
      </c>
      <c r="M2460">
        <v>0</v>
      </c>
      <c r="N2460">
        <v>5659600</v>
      </c>
      <c r="O2460">
        <v>130978.94006017126</v>
      </c>
      <c r="P2460">
        <v>864200</v>
      </c>
      <c r="Q2460">
        <v>4795400</v>
      </c>
      <c r="R2460">
        <v>110978.94006017126</v>
      </c>
      <c r="S2460" s="238" t="s">
        <v>137</v>
      </c>
      <c r="T2460" s="238" t="s">
        <v>1167</v>
      </c>
      <c r="V2460" t="s">
        <v>4092</v>
      </c>
      <c r="W2460" s="24">
        <v>45530</v>
      </c>
      <c r="X2460" s="238" t="s">
        <v>7776</v>
      </c>
      <c r="Y2460" s="238" t="s">
        <v>39</v>
      </c>
      <c r="Z2460" s="238" t="s">
        <v>1340</v>
      </c>
      <c r="AA2460" t="s">
        <v>3113</v>
      </c>
      <c r="AB2460" s="238" t="s">
        <v>3246</v>
      </c>
      <c r="AC2460" t="s">
        <v>3079</v>
      </c>
      <c r="AD2460" s="24"/>
      <c r="AE2460" s="238" t="s">
        <v>7777</v>
      </c>
      <c r="AF2460">
        <v>77775650142</v>
      </c>
      <c r="AG2460" s="238" t="s">
        <v>7778</v>
      </c>
      <c r="AH2460" s="238" t="s">
        <v>4072</v>
      </c>
      <c r="AI2460" s="238" t="s">
        <v>7173</v>
      </c>
      <c r="AJ2460" s="238" t="s">
        <v>126</v>
      </c>
      <c r="AK2460" s="238" t="s">
        <v>3345</v>
      </c>
      <c r="AL2460" t="s">
        <v>57</v>
      </c>
      <c r="AM2460" t="s">
        <v>1167</v>
      </c>
    </row>
    <row r="2461" spans="1:39" x14ac:dyDescent="0.25">
      <c r="A2461">
        <v>2458</v>
      </c>
      <c r="B2461">
        <v>18</v>
      </c>
      <c r="C2461" s="24">
        <v>45533</v>
      </c>
      <c r="D2461" s="238" t="s">
        <v>3388</v>
      </c>
      <c r="E2461" s="238" t="s">
        <v>16</v>
      </c>
      <c r="F2461">
        <v>4</v>
      </c>
      <c r="G2461">
        <v>7</v>
      </c>
      <c r="H2461">
        <v>267</v>
      </c>
      <c r="I2461" s="238" t="s">
        <v>43</v>
      </c>
      <c r="J2461">
        <v>60.24</v>
      </c>
      <c r="K2461" s="238" t="s">
        <v>6871</v>
      </c>
      <c r="L2461">
        <v>6362780</v>
      </c>
      <c r="M2461">
        <v>0</v>
      </c>
      <c r="N2461">
        <v>6362780</v>
      </c>
      <c r="O2461">
        <v>105623.83798140771</v>
      </c>
      <c r="P2461">
        <v>421680</v>
      </c>
      <c r="Q2461">
        <v>5941100</v>
      </c>
      <c r="R2461">
        <v>98623.837981407705</v>
      </c>
      <c r="S2461" s="238" t="s">
        <v>137</v>
      </c>
      <c r="T2461" s="238" t="s">
        <v>1167</v>
      </c>
      <c r="V2461" t="s">
        <v>4092</v>
      </c>
      <c r="W2461" s="24">
        <v>45533</v>
      </c>
      <c r="X2461" s="238" t="s">
        <v>7779</v>
      </c>
      <c r="Y2461" s="238" t="s">
        <v>39</v>
      </c>
      <c r="Z2461" s="238" t="s">
        <v>1340</v>
      </c>
      <c r="AA2461" t="s">
        <v>3113</v>
      </c>
      <c r="AB2461" s="238" t="s">
        <v>3246</v>
      </c>
      <c r="AC2461" t="s">
        <v>3079</v>
      </c>
      <c r="AD2461" s="24"/>
      <c r="AE2461" s="238" t="s">
        <v>7780</v>
      </c>
      <c r="AF2461">
        <v>79934640401</v>
      </c>
      <c r="AG2461" s="238" t="s">
        <v>7781</v>
      </c>
      <c r="AH2461" s="238" t="s">
        <v>1171</v>
      </c>
      <c r="AI2461" s="238" t="s">
        <v>3090</v>
      </c>
      <c r="AJ2461" s="238" t="s">
        <v>5215</v>
      </c>
      <c r="AK2461" s="238" t="s">
        <v>7181</v>
      </c>
      <c r="AL2461" t="s">
        <v>8715</v>
      </c>
      <c r="AM2461" t="s">
        <v>1167</v>
      </c>
    </row>
    <row r="2462" spans="1:39" x14ac:dyDescent="0.25">
      <c r="A2462">
        <v>2459</v>
      </c>
      <c r="B2462">
        <v>19</v>
      </c>
      <c r="C2462" s="24">
        <v>45534</v>
      </c>
      <c r="D2462" s="238" t="s">
        <v>3388</v>
      </c>
      <c r="E2462" s="238" t="s">
        <v>15</v>
      </c>
      <c r="F2462">
        <v>7</v>
      </c>
      <c r="G2462">
        <v>15</v>
      </c>
      <c r="H2462">
        <v>507</v>
      </c>
      <c r="I2462" s="238" t="s">
        <v>44</v>
      </c>
      <c r="J2462">
        <v>79.44</v>
      </c>
      <c r="K2462" s="238" t="s">
        <v>38</v>
      </c>
      <c r="L2462">
        <v>9538600</v>
      </c>
      <c r="M2462">
        <v>0</v>
      </c>
      <c r="N2462">
        <v>9538600</v>
      </c>
      <c r="O2462">
        <v>120073.0110775428</v>
      </c>
      <c r="P2462">
        <v>1588800</v>
      </c>
      <c r="Q2462">
        <v>7949800</v>
      </c>
      <c r="R2462">
        <v>100073.0110775428</v>
      </c>
      <c r="S2462" s="238" t="s">
        <v>137</v>
      </c>
      <c r="T2462" s="238" t="s">
        <v>1167</v>
      </c>
      <c r="V2462" t="s">
        <v>1167</v>
      </c>
      <c r="W2462" s="24">
        <v>45530</v>
      </c>
      <c r="X2462" s="238" t="s">
        <v>7782</v>
      </c>
      <c r="Y2462" s="238" t="s">
        <v>39</v>
      </c>
      <c r="Z2462" s="238" t="s">
        <v>1340</v>
      </c>
      <c r="AA2462" t="s">
        <v>3474</v>
      </c>
      <c r="AB2462" s="238" t="s">
        <v>3246</v>
      </c>
      <c r="AC2462" t="s">
        <v>3108</v>
      </c>
      <c r="AD2462" s="24"/>
      <c r="AE2462" s="238" t="s">
        <v>7783</v>
      </c>
      <c r="AF2462">
        <v>79128677518</v>
      </c>
      <c r="AG2462" s="238" t="s">
        <v>7784</v>
      </c>
      <c r="AH2462" s="238" t="s">
        <v>1171</v>
      </c>
      <c r="AI2462" s="238" t="s">
        <v>3085</v>
      </c>
      <c r="AJ2462" s="238" t="s">
        <v>4177</v>
      </c>
      <c r="AK2462" s="238" t="s">
        <v>7181</v>
      </c>
      <c r="AL2462" t="s">
        <v>8715</v>
      </c>
      <c r="AM2462" t="s">
        <v>7785</v>
      </c>
    </row>
    <row r="2463" spans="1:39" x14ac:dyDescent="0.25">
      <c r="A2463">
        <v>2460</v>
      </c>
      <c r="B2463">
        <v>20</v>
      </c>
      <c r="C2463" s="24">
        <v>45535</v>
      </c>
      <c r="D2463" s="238" t="s">
        <v>3388</v>
      </c>
      <c r="E2463" s="238" t="s">
        <v>16</v>
      </c>
      <c r="F2463">
        <v>6</v>
      </c>
      <c r="G2463">
        <v>18</v>
      </c>
      <c r="H2463">
        <v>346</v>
      </c>
      <c r="I2463" s="238" t="s">
        <v>44</v>
      </c>
      <c r="J2463">
        <v>80.97</v>
      </c>
      <c r="K2463" s="238" t="s">
        <v>36</v>
      </c>
      <c r="L2463">
        <v>7296278</v>
      </c>
      <c r="M2463">
        <v>15000</v>
      </c>
      <c r="N2463">
        <v>7311278</v>
      </c>
      <c r="O2463">
        <v>90296.134370754604</v>
      </c>
      <c r="P2463">
        <v>0</v>
      </c>
      <c r="Q2463">
        <v>7311278</v>
      </c>
      <c r="R2463">
        <v>90296.134370754604</v>
      </c>
      <c r="S2463" s="238" t="s">
        <v>137</v>
      </c>
      <c r="T2463" s="238" t="s">
        <v>3538</v>
      </c>
      <c r="U2463">
        <v>226122.00000000093</v>
      </c>
      <c r="V2463" t="s">
        <v>4092</v>
      </c>
      <c r="W2463" s="24">
        <v>45504</v>
      </c>
      <c r="X2463" s="238" t="s">
        <v>7786</v>
      </c>
      <c r="Y2463" s="238" t="s">
        <v>39</v>
      </c>
      <c r="Z2463" s="238" t="s">
        <v>1340</v>
      </c>
      <c r="AA2463" t="s">
        <v>3113</v>
      </c>
      <c r="AB2463" s="238" t="s">
        <v>3246</v>
      </c>
      <c r="AC2463" t="s">
        <v>3079</v>
      </c>
      <c r="AD2463" s="24"/>
      <c r="AE2463" s="238" t="s">
        <v>7787</v>
      </c>
      <c r="AF2463">
        <v>79170142604</v>
      </c>
      <c r="AG2463" s="238" t="s">
        <v>7788</v>
      </c>
      <c r="AH2463" s="238" t="s">
        <v>1212</v>
      </c>
      <c r="AI2463" s="238" t="s">
        <v>3097</v>
      </c>
      <c r="AJ2463" s="238" t="s">
        <v>4177</v>
      </c>
      <c r="AK2463" s="238" t="s">
        <v>3345</v>
      </c>
      <c r="AL2463" t="s">
        <v>8715</v>
      </c>
      <c r="AM2463" t="s">
        <v>1167</v>
      </c>
    </row>
    <row r="2464" spans="1:39" hidden="1" x14ac:dyDescent="0.25">
      <c r="A2464">
        <v>2461</v>
      </c>
      <c r="B2464">
        <v>21</v>
      </c>
      <c r="C2464" s="24">
        <v>45535</v>
      </c>
      <c r="D2464" s="238" t="s">
        <v>91</v>
      </c>
      <c r="E2464" s="238" t="s">
        <v>16</v>
      </c>
      <c r="F2464">
        <v>2</v>
      </c>
      <c r="G2464">
        <v>20</v>
      </c>
      <c r="H2464">
        <v>368</v>
      </c>
      <c r="I2464" s="238" t="s">
        <v>43</v>
      </c>
      <c r="J2464">
        <v>67.95</v>
      </c>
      <c r="K2464" s="238" t="s">
        <v>37</v>
      </c>
      <c r="L2464">
        <v>7259661</v>
      </c>
      <c r="M2464">
        <v>0</v>
      </c>
      <c r="N2464">
        <v>7259661</v>
      </c>
      <c r="O2464">
        <v>106838.27814569535</v>
      </c>
      <c r="P2464">
        <v>509625</v>
      </c>
      <c r="Q2464">
        <v>6750036</v>
      </c>
      <c r="R2464">
        <v>99338.278145695367</v>
      </c>
      <c r="S2464" s="238" t="s">
        <v>137</v>
      </c>
      <c r="T2464" s="238" t="s">
        <v>3539</v>
      </c>
      <c r="U2464">
        <v>208764</v>
      </c>
      <c r="V2464" t="s">
        <v>4092</v>
      </c>
      <c r="W2464" s="24">
        <v>45525</v>
      </c>
      <c r="X2464" s="238" t="s">
        <v>7789</v>
      </c>
      <c r="Y2464" s="238" t="s">
        <v>39</v>
      </c>
      <c r="Z2464" s="238" t="s">
        <v>1340</v>
      </c>
      <c r="AA2464" t="s">
        <v>3113</v>
      </c>
      <c r="AB2464" s="238" t="s">
        <v>3246</v>
      </c>
      <c r="AC2464" t="s">
        <v>3079</v>
      </c>
      <c r="AD2464" s="24"/>
      <c r="AE2464" s="238" t="s">
        <v>7790</v>
      </c>
      <c r="AF2464">
        <v>79154658730</v>
      </c>
      <c r="AG2464" s="238" t="s">
        <v>7791</v>
      </c>
      <c r="AH2464" s="238" t="s">
        <v>135</v>
      </c>
      <c r="AI2464" s="238" t="s">
        <v>135</v>
      </c>
      <c r="AJ2464" s="238" t="s">
        <v>5215</v>
      </c>
      <c r="AK2464" s="238" t="s">
        <v>3345</v>
      </c>
      <c r="AL2464" t="s">
        <v>8715</v>
      </c>
      <c r="AM2464" t="s">
        <v>1167</v>
      </c>
    </row>
    <row r="2465" spans="1:39" hidden="1" x14ac:dyDescent="0.25">
      <c r="A2465">
        <v>2462</v>
      </c>
      <c r="B2465">
        <v>1</v>
      </c>
      <c r="C2465" s="24">
        <v>45541</v>
      </c>
      <c r="D2465" s="238" t="s">
        <v>91</v>
      </c>
      <c r="E2465" s="238" t="s">
        <v>16</v>
      </c>
      <c r="F2465">
        <v>2</v>
      </c>
      <c r="G2465">
        <v>23</v>
      </c>
      <c r="H2465">
        <v>389</v>
      </c>
      <c r="I2465" s="238" t="s">
        <v>43</v>
      </c>
      <c r="J2465">
        <v>67.95</v>
      </c>
      <c r="K2465" s="238" t="s">
        <v>38</v>
      </c>
      <c r="L2465">
        <v>8453700</v>
      </c>
      <c r="M2465">
        <v>0</v>
      </c>
      <c r="N2465">
        <v>8453700</v>
      </c>
      <c r="O2465">
        <v>124410.59602649006</v>
      </c>
      <c r="P2465">
        <v>1494900</v>
      </c>
      <c r="Q2465">
        <v>6958800</v>
      </c>
      <c r="R2465">
        <v>102410.59602649006</v>
      </c>
      <c r="S2465" s="238" t="s">
        <v>137</v>
      </c>
      <c r="T2465" s="238" t="s">
        <v>1167</v>
      </c>
      <c r="V2465" t="s">
        <v>4092</v>
      </c>
      <c r="W2465" s="24">
        <v>45540</v>
      </c>
      <c r="X2465" s="238" t="s">
        <v>7793</v>
      </c>
      <c r="Y2465" s="238" t="s">
        <v>39</v>
      </c>
      <c r="Z2465" s="238" t="s">
        <v>1340</v>
      </c>
      <c r="AA2465" t="s">
        <v>3113</v>
      </c>
      <c r="AB2465" s="238" t="s">
        <v>3246</v>
      </c>
      <c r="AC2465" t="s">
        <v>3079</v>
      </c>
      <c r="AD2465" s="24"/>
      <c r="AE2465" s="238" t="s">
        <v>7794</v>
      </c>
      <c r="AF2465">
        <v>79879540058</v>
      </c>
      <c r="AG2465" s="238" t="s">
        <v>7795</v>
      </c>
      <c r="AH2465" s="238" t="s">
        <v>1212</v>
      </c>
      <c r="AI2465" s="238" t="s">
        <v>135</v>
      </c>
      <c r="AJ2465" s="238" t="s">
        <v>4177</v>
      </c>
      <c r="AK2465" s="238" t="s">
        <v>3345</v>
      </c>
      <c r="AL2465" t="s">
        <v>8715</v>
      </c>
      <c r="AM2465" t="s">
        <v>1167</v>
      </c>
    </row>
    <row r="2466" spans="1:39" x14ac:dyDescent="0.25">
      <c r="A2466">
        <v>2463</v>
      </c>
      <c r="B2466">
        <v>2</v>
      </c>
      <c r="C2466" s="24">
        <v>45544</v>
      </c>
      <c r="D2466" s="238" t="s">
        <v>3388</v>
      </c>
      <c r="E2466" s="238" t="s">
        <v>16</v>
      </c>
      <c r="F2466">
        <v>2</v>
      </c>
      <c r="G2466">
        <v>23</v>
      </c>
      <c r="H2466">
        <v>377</v>
      </c>
      <c r="I2466" s="238" t="s">
        <v>4052</v>
      </c>
      <c r="J2466">
        <v>24.53</v>
      </c>
      <c r="K2466" s="238" t="s">
        <v>38</v>
      </c>
      <c r="L2466">
        <v>3863600</v>
      </c>
      <c r="M2466">
        <v>0</v>
      </c>
      <c r="N2466">
        <v>3863600</v>
      </c>
      <c r="O2466">
        <v>157505.09580105991</v>
      </c>
      <c r="P2466">
        <v>490600</v>
      </c>
      <c r="Q2466">
        <v>3373000</v>
      </c>
      <c r="R2466">
        <v>137505.09580105991</v>
      </c>
      <c r="S2466" s="238" t="s">
        <v>137</v>
      </c>
      <c r="T2466" s="238" t="s">
        <v>1167</v>
      </c>
      <c r="V2466" t="s">
        <v>4092</v>
      </c>
      <c r="W2466" s="24">
        <v>45539</v>
      </c>
      <c r="X2466" s="238" t="s">
        <v>7797</v>
      </c>
      <c r="Y2466" s="238" t="s">
        <v>39</v>
      </c>
      <c r="Z2466" s="238" t="s">
        <v>1340</v>
      </c>
      <c r="AA2466" t="s">
        <v>3113</v>
      </c>
      <c r="AB2466" s="238" t="s">
        <v>3246</v>
      </c>
      <c r="AC2466" t="s">
        <v>3079</v>
      </c>
      <c r="AD2466" s="24"/>
      <c r="AE2466" s="238" t="s">
        <v>7798</v>
      </c>
      <c r="AF2466">
        <v>79178168278</v>
      </c>
      <c r="AG2466" s="238" t="s">
        <v>7799</v>
      </c>
      <c r="AH2466" s="238" t="s">
        <v>4072</v>
      </c>
      <c r="AI2466" s="238" t="s">
        <v>6406</v>
      </c>
      <c r="AJ2466" s="238" t="s">
        <v>4177</v>
      </c>
      <c r="AK2466" s="238" t="s">
        <v>7181</v>
      </c>
      <c r="AL2466" t="s">
        <v>57</v>
      </c>
      <c r="AM2466" t="s">
        <v>1167</v>
      </c>
    </row>
    <row r="2467" spans="1:39" hidden="1" x14ac:dyDescent="0.25">
      <c r="A2467">
        <v>2464</v>
      </c>
      <c r="B2467">
        <v>3</v>
      </c>
      <c r="C2467" s="24">
        <v>45545</v>
      </c>
      <c r="D2467" s="238" t="s">
        <v>91</v>
      </c>
      <c r="E2467" s="238" t="s">
        <v>16</v>
      </c>
      <c r="F2467">
        <v>6</v>
      </c>
      <c r="G2467">
        <v>12</v>
      </c>
      <c r="H2467">
        <v>316</v>
      </c>
      <c r="I2467" s="238" t="s">
        <v>44</v>
      </c>
      <c r="J2467">
        <v>72.510000000000005</v>
      </c>
      <c r="K2467" s="238" t="s">
        <v>38</v>
      </c>
      <c r="L2467">
        <v>8647202</v>
      </c>
      <c r="M2467">
        <v>0</v>
      </c>
      <c r="N2467">
        <v>8647202</v>
      </c>
      <c r="O2467">
        <v>119255.30271686663</v>
      </c>
      <c r="P2467">
        <v>1595220</v>
      </c>
      <c r="Q2467">
        <v>7051982</v>
      </c>
      <c r="R2467">
        <v>97255.30271686663</v>
      </c>
      <c r="S2467" s="238" t="s">
        <v>137</v>
      </c>
      <c r="T2467" s="238" t="s">
        <v>7756</v>
      </c>
      <c r="U2467">
        <v>143918</v>
      </c>
      <c r="V2467" t="s">
        <v>4092</v>
      </c>
      <c r="W2467" s="24">
        <v>45544</v>
      </c>
      <c r="X2467" s="238" t="s">
        <v>7802</v>
      </c>
      <c r="Y2467" s="238" t="s">
        <v>39</v>
      </c>
      <c r="Z2467" s="238" t="s">
        <v>1340</v>
      </c>
      <c r="AA2467" t="s">
        <v>3113</v>
      </c>
      <c r="AB2467" s="238" t="s">
        <v>3246</v>
      </c>
      <c r="AC2467" t="s">
        <v>3079</v>
      </c>
      <c r="AD2467" s="24"/>
      <c r="AE2467" s="238" t="s">
        <v>7803</v>
      </c>
      <c r="AF2467">
        <v>79991586808</v>
      </c>
      <c r="AG2467" s="238" t="s">
        <v>7804</v>
      </c>
      <c r="AH2467" s="238" t="s">
        <v>1212</v>
      </c>
      <c r="AI2467" s="238" t="s">
        <v>3082</v>
      </c>
      <c r="AJ2467" s="238" t="s">
        <v>126</v>
      </c>
      <c r="AK2467" s="238" t="s">
        <v>3345</v>
      </c>
      <c r="AL2467" t="s">
        <v>8715</v>
      </c>
      <c r="AM2467" t="s">
        <v>1167</v>
      </c>
    </row>
    <row r="2468" spans="1:39" x14ac:dyDescent="0.25">
      <c r="A2468">
        <v>2465</v>
      </c>
      <c r="B2468">
        <v>4</v>
      </c>
      <c r="C2468" s="24">
        <v>45548</v>
      </c>
      <c r="D2468" s="238" t="s">
        <v>3388</v>
      </c>
      <c r="E2468" s="238" t="s">
        <v>15</v>
      </c>
      <c r="F2468">
        <v>4</v>
      </c>
      <c r="G2468">
        <v>10</v>
      </c>
      <c r="H2468">
        <v>464</v>
      </c>
      <c r="I2468" s="238" t="s">
        <v>43</v>
      </c>
      <c r="J2468">
        <v>58.24</v>
      </c>
      <c r="K2468" s="238" t="s">
        <v>38</v>
      </c>
      <c r="L2468">
        <v>6661305</v>
      </c>
      <c r="M2468">
        <v>0</v>
      </c>
      <c r="N2468">
        <v>6661305</v>
      </c>
      <c r="O2468">
        <v>114376.80288461538</v>
      </c>
      <c r="P2468">
        <v>1164800</v>
      </c>
      <c r="Q2468">
        <v>5496505</v>
      </c>
      <c r="R2468">
        <v>94376.802884615376</v>
      </c>
      <c r="S2468" s="238" t="s">
        <v>137</v>
      </c>
      <c r="T2468" s="238" t="s">
        <v>321</v>
      </c>
      <c r="U2468">
        <v>169995</v>
      </c>
      <c r="V2468" t="s">
        <v>4092</v>
      </c>
      <c r="W2468" s="24">
        <v>45547</v>
      </c>
      <c r="X2468" s="238" t="s">
        <v>7805</v>
      </c>
      <c r="Y2468" s="238" t="s">
        <v>39</v>
      </c>
      <c r="Z2468" s="238" t="s">
        <v>1340</v>
      </c>
      <c r="AA2468" t="s">
        <v>3113</v>
      </c>
      <c r="AB2468" s="238" t="s">
        <v>3246</v>
      </c>
      <c r="AC2468" t="s">
        <v>3079</v>
      </c>
      <c r="AD2468" s="24"/>
      <c r="AE2468" s="238" t="s">
        <v>7806</v>
      </c>
      <c r="AF2468">
        <v>79270002351</v>
      </c>
      <c r="AG2468" s="238" t="s">
        <v>7807</v>
      </c>
      <c r="AH2468" s="238" t="s">
        <v>1212</v>
      </c>
      <c r="AI2468" s="238" t="s">
        <v>135</v>
      </c>
      <c r="AJ2468" s="238" t="s">
        <v>126</v>
      </c>
      <c r="AK2468" s="238" t="s">
        <v>3345</v>
      </c>
      <c r="AL2468" t="s">
        <v>8715</v>
      </c>
      <c r="AM2468" t="s">
        <v>1167</v>
      </c>
    </row>
    <row r="2469" spans="1:39" hidden="1" x14ac:dyDescent="0.25">
      <c r="A2469">
        <v>2466</v>
      </c>
      <c r="B2469">
        <v>5</v>
      </c>
      <c r="C2469" s="24">
        <v>45552</v>
      </c>
      <c r="D2469" s="238" t="s">
        <v>91</v>
      </c>
      <c r="E2469" s="238" t="s">
        <v>16</v>
      </c>
      <c r="F2469">
        <v>4</v>
      </c>
      <c r="G2469">
        <v>19</v>
      </c>
      <c r="H2469">
        <v>363</v>
      </c>
      <c r="I2469" s="238" t="s">
        <v>43</v>
      </c>
      <c r="J2469">
        <v>58.55</v>
      </c>
      <c r="K2469" s="238" t="s">
        <v>38</v>
      </c>
      <c r="L2469">
        <v>7657799</v>
      </c>
      <c r="M2469">
        <v>0</v>
      </c>
      <c r="N2469">
        <v>7657799</v>
      </c>
      <c r="O2469">
        <v>130790.76003415884</v>
      </c>
      <c r="P2469">
        <v>1288100</v>
      </c>
      <c r="Q2469">
        <v>6369699</v>
      </c>
      <c r="R2469">
        <v>108790.76003415884</v>
      </c>
      <c r="S2469" s="238" t="s">
        <v>137</v>
      </c>
      <c r="T2469" s="238" t="s">
        <v>978</v>
      </c>
      <c r="U2469">
        <v>197001</v>
      </c>
      <c r="V2469" t="s">
        <v>4092</v>
      </c>
      <c r="W2469" s="24">
        <v>45538</v>
      </c>
      <c r="X2469" s="238" t="s">
        <v>7811</v>
      </c>
      <c r="Y2469" s="238" t="s">
        <v>39</v>
      </c>
      <c r="Z2469" s="238" t="s">
        <v>1340</v>
      </c>
      <c r="AA2469" t="s">
        <v>3113</v>
      </c>
      <c r="AB2469" s="238" t="s">
        <v>3246</v>
      </c>
      <c r="AC2469" t="s">
        <v>3079</v>
      </c>
      <c r="AD2469" s="24"/>
      <c r="AE2469" s="238" t="s">
        <v>7812</v>
      </c>
      <c r="AF2469">
        <v>79270914848</v>
      </c>
      <c r="AG2469" s="238" t="s">
        <v>7813</v>
      </c>
      <c r="AH2469" s="238" t="s">
        <v>4072</v>
      </c>
      <c r="AI2469" s="238" t="s">
        <v>7721</v>
      </c>
      <c r="AJ2469" s="238" t="s">
        <v>7767</v>
      </c>
      <c r="AK2469" s="238" t="s">
        <v>7181</v>
      </c>
      <c r="AL2469" t="s">
        <v>57</v>
      </c>
      <c r="AM2469" t="s">
        <v>1167</v>
      </c>
    </row>
    <row r="2470" spans="1:39" x14ac:dyDescent="0.25">
      <c r="A2470">
        <v>2467</v>
      </c>
      <c r="B2470">
        <v>6</v>
      </c>
      <c r="C2470" s="24">
        <v>45554</v>
      </c>
      <c r="D2470" s="238" t="s">
        <v>3388</v>
      </c>
      <c r="E2470" s="238" t="s">
        <v>15</v>
      </c>
      <c r="F2470">
        <v>5</v>
      </c>
      <c r="G2470">
        <v>2</v>
      </c>
      <c r="H2470">
        <v>401</v>
      </c>
      <c r="I2470" s="238" t="s">
        <v>43</v>
      </c>
      <c r="J2470">
        <v>57.8</v>
      </c>
      <c r="K2470" s="238" t="s">
        <v>38</v>
      </c>
      <c r="L2470">
        <v>6835900</v>
      </c>
      <c r="M2470">
        <v>0</v>
      </c>
      <c r="N2470">
        <v>6835900</v>
      </c>
      <c r="O2470">
        <v>118268.16608996541</v>
      </c>
      <c r="P2470">
        <v>1156000</v>
      </c>
      <c r="Q2470">
        <v>5679900</v>
      </c>
      <c r="R2470">
        <v>98268.166089965409</v>
      </c>
      <c r="S2470" s="238" t="s">
        <v>137</v>
      </c>
      <c r="T2470" s="238" t="s">
        <v>1167</v>
      </c>
      <c r="V2470" t="s">
        <v>4092</v>
      </c>
      <c r="W2470" s="24">
        <v>45548</v>
      </c>
      <c r="X2470" s="238" t="s">
        <v>7814</v>
      </c>
      <c r="Y2470" s="238" t="s">
        <v>39</v>
      </c>
      <c r="Z2470" s="238" t="s">
        <v>1340</v>
      </c>
      <c r="AA2470" t="s">
        <v>3113</v>
      </c>
      <c r="AB2470" s="238" t="s">
        <v>3246</v>
      </c>
      <c r="AC2470" t="s">
        <v>3079</v>
      </c>
      <c r="AD2470" s="24"/>
      <c r="AE2470" s="238" t="s">
        <v>7815</v>
      </c>
      <c r="AF2470">
        <v>79879808981</v>
      </c>
      <c r="AG2470" s="238" t="s">
        <v>7816</v>
      </c>
      <c r="AH2470" s="238" t="s">
        <v>4072</v>
      </c>
      <c r="AI2470" s="238" t="s">
        <v>7286</v>
      </c>
      <c r="AJ2470" s="238" t="s">
        <v>5215</v>
      </c>
      <c r="AK2470" s="238" t="s">
        <v>3345</v>
      </c>
      <c r="AL2470" t="s">
        <v>57</v>
      </c>
      <c r="AM2470" t="s">
        <v>7735</v>
      </c>
    </row>
    <row r="2471" spans="1:39" x14ac:dyDescent="0.25">
      <c r="A2471">
        <v>2468</v>
      </c>
      <c r="B2471">
        <v>7</v>
      </c>
      <c r="C2471" s="24">
        <v>45554</v>
      </c>
      <c r="D2471" s="238" t="s">
        <v>3388</v>
      </c>
      <c r="E2471" s="238" t="s">
        <v>5</v>
      </c>
      <c r="F2471">
        <v>1</v>
      </c>
      <c r="G2471">
        <v>8</v>
      </c>
      <c r="H2471">
        <v>160</v>
      </c>
      <c r="I2471" s="238" t="s">
        <v>43</v>
      </c>
      <c r="J2471">
        <v>60.22</v>
      </c>
      <c r="K2471" s="238" t="s">
        <v>38</v>
      </c>
      <c r="L2471">
        <v>7074500</v>
      </c>
      <c r="M2471">
        <v>0</v>
      </c>
      <c r="N2471">
        <v>7074500</v>
      </c>
      <c r="O2471">
        <v>117477.58219860512</v>
      </c>
      <c r="P2471">
        <v>1204400</v>
      </c>
      <c r="Q2471">
        <v>5870100</v>
      </c>
      <c r="R2471">
        <v>97477.582198605116</v>
      </c>
      <c r="S2471" s="238" t="s">
        <v>137</v>
      </c>
      <c r="T2471" s="238" t="s">
        <v>3515</v>
      </c>
      <c r="U2471">
        <v>100000</v>
      </c>
      <c r="V2471" t="s">
        <v>4092</v>
      </c>
      <c r="W2471" s="24">
        <v>45551</v>
      </c>
      <c r="X2471" s="238" t="s">
        <v>7817</v>
      </c>
      <c r="Y2471" s="238" t="s">
        <v>39</v>
      </c>
      <c r="Z2471" s="238" t="s">
        <v>1340</v>
      </c>
      <c r="AA2471" t="s">
        <v>3113</v>
      </c>
      <c r="AB2471" s="238" t="s">
        <v>3246</v>
      </c>
      <c r="AC2471" t="s">
        <v>3079</v>
      </c>
      <c r="AD2471" s="24"/>
      <c r="AE2471" s="238" t="s">
        <v>7818</v>
      </c>
      <c r="AF2471">
        <v>79171591303</v>
      </c>
      <c r="AG2471" s="238" t="s">
        <v>7819</v>
      </c>
      <c r="AH2471" s="238" t="s">
        <v>1212</v>
      </c>
      <c r="AI2471" s="238" t="s">
        <v>3074</v>
      </c>
      <c r="AJ2471" s="238" t="s">
        <v>5215</v>
      </c>
      <c r="AK2471" s="238" t="s">
        <v>7181</v>
      </c>
      <c r="AL2471" t="s">
        <v>8715</v>
      </c>
      <c r="AM2471" t="s">
        <v>1167</v>
      </c>
    </row>
    <row r="2472" spans="1:39" x14ac:dyDescent="0.25">
      <c r="A2472">
        <v>2469</v>
      </c>
      <c r="B2472">
        <v>8</v>
      </c>
      <c r="C2472" s="24">
        <v>45555</v>
      </c>
      <c r="D2472" s="238" t="s">
        <v>3388</v>
      </c>
      <c r="E2472" s="238" t="s">
        <v>15</v>
      </c>
      <c r="F2472">
        <v>4</v>
      </c>
      <c r="G2472">
        <v>16</v>
      </c>
      <c r="H2472">
        <v>512</v>
      </c>
      <c r="I2472" s="238" t="s">
        <v>43</v>
      </c>
      <c r="J2472">
        <v>58.24</v>
      </c>
      <c r="K2472" s="238" t="s">
        <v>36</v>
      </c>
      <c r="L2472">
        <v>5496505</v>
      </c>
      <c r="M2472">
        <v>0</v>
      </c>
      <c r="N2472">
        <v>5496505</v>
      </c>
      <c r="O2472">
        <v>94376.802884615376</v>
      </c>
      <c r="P2472">
        <v>0</v>
      </c>
      <c r="Q2472">
        <v>5496505</v>
      </c>
      <c r="R2472">
        <v>94376.802884615376</v>
      </c>
      <c r="S2472" s="238" t="s">
        <v>124</v>
      </c>
      <c r="T2472" s="238" t="s">
        <v>978</v>
      </c>
      <c r="U2472">
        <v>169995</v>
      </c>
      <c r="V2472" t="s">
        <v>1167</v>
      </c>
      <c r="W2472" s="24">
        <v>45548</v>
      </c>
      <c r="X2472" s="238" t="s">
        <v>7820</v>
      </c>
      <c r="Y2472" s="238" t="s">
        <v>39</v>
      </c>
      <c r="Z2472" s="238" t="s">
        <v>1340</v>
      </c>
      <c r="AA2472" t="s">
        <v>3113</v>
      </c>
      <c r="AB2472" s="238" t="s">
        <v>3246</v>
      </c>
      <c r="AC2472" t="s">
        <v>1167</v>
      </c>
      <c r="AD2472" s="24"/>
      <c r="AE2472" s="238" t="s">
        <v>1718</v>
      </c>
      <c r="AF2472">
        <v>79277935093</v>
      </c>
      <c r="AG2472" s="238" t="s">
        <v>7821</v>
      </c>
      <c r="AH2472" s="238" t="s">
        <v>1171</v>
      </c>
      <c r="AI2472" s="238" t="s">
        <v>3082</v>
      </c>
      <c r="AJ2472" s="238" t="s">
        <v>126</v>
      </c>
      <c r="AK2472" s="238" t="s">
        <v>1167</v>
      </c>
      <c r="AL2472" t="s">
        <v>8715</v>
      </c>
      <c r="AM2472" t="s">
        <v>1167</v>
      </c>
    </row>
    <row r="2473" spans="1:39" x14ac:dyDescent="0.25">
      <c r="A2473">
        <v>2470</v>
      </c>
      <c r="B2473">
        <v>9</v>
      </c>
      <c r="C2473" s="24">
        <v>45555</v>
      </c>
      <c r="D2473" s="238" t="s">
        <v>3388</v>
      </c>
      <c r="E2473" s="238" t="s">
        <v>5</v>
      </c>
      <c r="F2473">
        <v>3</v>
      </c>
      <c r="G2473">
        <v>6</v>
      </c>
      <c r="H2473">
        <v>148</v>
      </c>
      <c r="I2473" s="238" t="s">
        <v>43</v>
      </c>
      <c r="J2473">
        <v>57.6</v>
      </c>
      <c r="K2473" s="238" t="s">
        <v>6871</v>
      </c>
      <c r="L2473">
        <v>5946168</v>
      </c>
      <c r="M2473">
        <v>0</v>
      </c>
      <c r="N2473">
        <v>5946168</v>
      </c>
      <c r="O2473">
        <v>103232.08333333333</v>
      </c>
      <c r="P2473">
        <v>403200</v>
      </c>
      <c r="Q2473">
        <v>5542968</v>
      </c>
      <c r="R2473">
        <v>96232.083333333328</v>
      </c>
      <c r="S2473" s="238" t="s">
        <v>137</v>
      </c>
      <c r="T2473" s="238" t="s">
        <v>3539</v>
      </c>
      <c r="U2473">
        <v>171432</v>
      </c>
      <c r="V2473" t="s">
        <v>4092</v>
      </c>
      <c r="W2473" s="24">
        <v>45551</v>
      </c>
      <c r="X2473" s="238" t="s">
        <v>7822</v>
      </c>
      <c r="Y2473" s="238" t="s">
        <v>39</v>
      </c>
      <c r="Z2473" s="238" t="s">
        <v>1340</v>
      </c>
      <c r="AA2473" t="s">
        <v>3113</v>
      </c>
      <c r="AB2473" s="238" t="s">
        <v>3246</v>
      </c>
      <c r="AC2473" t="s">
        <v>3079</v>
      </c>
      <c r="AD2473" s="24"/>
      <c r="AE2473" s="238" t="s">
        <v>7823</v>
      </c>
      <c r="AF2473">
        <v>79277000265</v>
      </c>
      <c r="AG2473" s="238" t="s">
        <v>7824</v>
      </c>
      <c r="AH2473" s="238" t="s">
        <v>1171</v>
      </c>
      <c r="AI2473" s="238" t="s">
        <v>135</v>
      </c>
      <c r="AJ2473" s="238" t="s">
        <v>4177</v>
      </c>
      <c r="AK2473" s="238" t="s">
        <v>3345</v>
      </c>
      <c r="AL2473" t="s">
        <v>8715</v>
      </c>
      <c r="AM2473" t="s">
        <v>1167</v>
      </c>
    </row>
    <row r="2474" spans="1:39" x14ac:dyDescent="0.25">
      <c r="A2474">
        <v>2471</v>
      </c>
      <c r="B2474">
        <v>10</v>
      </c>
      <c r="C2474" s="24">
        <v>45555</v>
      </c>
      <c r="D2474" s="238" t="s">
        <v>3388</v>
      </c>
      <c r="E2474" s="238" t="s">
        <v>16</v>
      </c>
      <c r="F2474">
        <v>7</v>
      </c>
      <c r="G2474">
        <v>6</v>
      </c>
      <c r="H2474">
        <v>263</v>
      </c>
      <c r="I2474" s="238" t="s">
        <v>42</v>
      </c>
      <c r="J2474">
        <v>34.81</v>
      </c>
      <c r="K2474" s="238" t="s">
        <v>38</v>
      </c>
      <c r="L2474">
        <v>4884660</v>
      </c>
      <c r="M2474">
        <v>0</v>
      </c>
      <c r="N2474">
        <v>4884660</v>
      </c>
      <c r="O2474">
        <v>140323.47026716461</v>
      </c>
      <c r="P2474">
        <v>696200</v>
      </c>
      <c r="Q2474">
        <v>4188460</v>
      </c>
      <c r="R2474">
        <v>120323.47026716459</v>
      </c>
      <c r="S2474" s="238" t="s">
        <v>137</v>
      </c>
      <c r="T2474" s="238" t="s">
        <v>978</v>
      </c>
      <c r="U2474">
        <v>129540</v>
      </c>
      <c r="V2474" t="s">
        <v>4092</v>
      </c>
      <c r="W2474" s="24">
        <v>45554</v>
      </c>
      <c r="X2474" s="238" t="s">
        <v>7825</v>
      </c>
      <c r="Y2474" s="238" t="s">
        <v>39</v>
      </c>
      <c r="Z2474" s="238" t="s">
        <v>1340</v>
      </c>
      <c r="AA2474" t="s">
        <v>3474</v>
      </c>
      <c r="AB2474" s="238" t="s">
        <v>3246</v>
      </c>
      <c r="AC2474" t="s">
        <v>3080</v>
      </c>
      <c r="AD2474" s="24"/>
      <c r="AE2474" s="238" t="s">
        <v>7826</v>
      </c>
      <c r="AF2474">
        <v>79270004304</v>
      </c>
      <c r="AG2474" s="238" t="s">
        <v>7827</v>
      </c>
      <c r="AH2474" s="238" t="s">
        <v>1171</v>
      </c>
      <c r="AI2474" s="238" t="s">
        <v>135</v>
      </c>
      <c r="AJ2474" s="238" t="s">
        <v>4177</v>
      </c>
      <c r="AK2474" s="238" t="s">
        <v>7181</v>
      </c>
      <c r="AL2474" t="s">
        <v>8715</v>
      </c>
      <c r="AM2474" t="s">
        <v>1167</v>
      </c>
    </row>
    <row r="2475" spans="1:39" x14ac:dyDescent="0.25">
      <c r="A2475">
        <v>2472</v>
      </c>
      <c r="B2475">
        <v>11</v>
      </c>
      <c r="C2475" s="24">
        <v>45559</v>
      </c>
      <c r="D2475" s="238" t="s">
        <v>3388</v>
      </c>
      <c r="E2475" s="238" t="s">
        <v>6</v>
      </c>
      <c r="F2475">
        <v>1</v>
      </c>
      <c r="G2475">
        <v>8</v>
      </c>
      <c r="H2475">
        <v>49</v>
      </c>
      <c r="I2475" s="238" t="s">
        <v>42</v>
      </c>
      <c r="J2475">
        <v>34.39</v>
      </c>
      <c r="K2475" s="238" t="s">
        <v>6871</v>
      </c>
      <c r="L2475">
        <v>4447230</v>
      </c>
      <c r="M2475">
        <v>0</v>
      </c>
      <c r="N2475">
        <v>4447230</v>
      </c>
      <c r="O2475">
        <v>129317.53416690898</v>
      </c>
      <c r="P2475">
        <v>240730</v>
      </c>
      <c r="Q2475">
        <v>4206500</v>
      </c>
      <c r="R2475">
        <v>122317.53416690898</v>
      </c>
      <c r="S2475" s="238" t="s">
        <v>137</v>
      </c>
      <c r="T2475" s="238" t="s">
        <v>1167</v>
      </c>
      <c r="V2475" t="s">
        <v>4092</v>
      </c>
      <c r="W2475" s="24">
        <v>45547</v>
      </c>
      <c r="X2475" s="238" t="s">
        <v>7828</v>
      </c>
      <c r="Y2475" s="238" t="s">
        <v>39</v>
      </c>
      <c r="Z2475" s="238" t="s">
        <v>1340</v>
      </c>
      <c r="AA2475" t="s">
        <v>3113</v>
      </c>
      <c r="AB2475" s="238" t="s">
        <v>3246</v>
      </c>
      <c r="AC2475" t="s">
        <v>3079</v>
      </c>
      <c r="AD2475" s="24"/>
      <c r="AE2475" s="238" t="s">
        <v>7829</v>
      </c>
      <c r="AF2475">
        <v>79871652548</v>
      </c>
      <c r="AG2475" s="238" t="s">
        <v>7830</v>
      </c>
      <c r="AH2475" s="238" t="s">
        <v>1171</v>
      </c>
      <c r="AI2475" s="238" t="s">
        <v>3084</v>
      </c>
      <c r="AJ2475" s="238" t="s">
        <v>4177</v>
      </c>
      <c r="AK2475" s="238" t="s">
        <v>3345</v>
      </c>
      <c r="AL2475" t="s">
        <v>8715</v>
      </c>
      <c r="AM2475" t="s">
        <v>7735</v>
      </c>
    </row>
    <row r="2476" spans="1:39" x14ac:dyDescent="0.25">
      <c r="A2476">
        <v>2473</v>
      </c>
      <c r="B2476">
        <v>12</v>
      </c>
      <c r="C2476" s="24">
        <v>45561</v>
      </c>
      <c r="D2476" s="238" t="s">
        <v>3388</v>
      </c>
      <c r="E2476" s="238" t="s">
        <v>16</v>
      </c>
      <c r="F2476">
        <v>4</v>
      </c>
      <c r="G2476">
        <v>5</v>
      </c>
      <c r="H2476">
        <v>253</v>
      </c>
      <c r="I2476" s="238" t="s">
        <v>43</v>
      </c>
      <c r="J2476">
        <v>60.24</v>
      </c>
      <c r="K2476" s="238" t="s">
        <v>38</v>
      </c>
      <c r="L2476">
        <v>7090100</v>
      </c>
      <c r="M2476">
        <v>0</v>
      </c>
      <c r="N2476">
        <v>7090100</v>
      </c>
      <c r="O2476">
        <v>117697.54316069056</v>
      </c>
      <c r="P2476">
        <v>1204800</v>
      </c>
      <c r="Q2476">
        <v>5885300</v>
      </c>
      <c r="R2476">
        <v>97697.543160690562</v>
      </c>
      <c r="S2476" s="238" t="s">
        <v>137</v>
      </c>
      <c r="T2476" s="238" t="s">
        <v>1167</v>
      </c>
      <c r="V2476" t="s">
        <v>4092</v>
      </c>
      <c r="W2476" s="24">
        <v>45551</v>
      </c>
      <c r="X2476" s="238" t="s">
        <v>7832</v>
      </c>
      <c r="Y2476" s="238" t="s">
        <v>39</v>
      </c>
      <c r="Z2476" s="238" t="s">
        <v>1340</v>
      </c>
      <c r="AA2476" t="s">
        <v>3474</v>
      </c>
      <c r="AB2476" s="238" t="s">
        <v>3246</v>
      </c>
      <c r="AC2476" t="s">
        <v>3079</v>
      </c>
      <c r="AD2476" s="24"/>
      <c r="AE2476" s="238" t="s">
        <v>7833</v>
      </c>
      <c r="AF2476">
        <v>79626133700</v>
      </c>
      <c r="AG2476" s="238" t="s">
        <v>7834</v>
      </c>
      <c r="AH2476" s="238" t="s">
        <v>1171</v>
      </c>
      <c r="AI2476" s="238" t="s">
        <v>3074</v>
      </c>
      <c r="AJ2476" s="238" t="s">
        <v>7767</v>
      </c>
      <c r="AK2476" s="238" t="s">
        <v>3345</v>
      </c>
      <c r="AL2476" t="s">
        <v>8715</v>
      </c>
      <c r="AM2476" t="s">
        <v>1167</v>
      </c>
    </row>
    <row r="2477" spans="1:39" x14ac:dyDescent="0.25">
      <c r="A2477">
        <v>2474</v>
      </c>
      <c r="B2477">
        <v>13</v>
      </c>
      <c r="C2477" s="24">
        <v>45561</v>
      </c>
      <c r="D2477" s="238" t="s">
        <v>3388</v>
      </c>
      <c r="E2477" s="238" t="s">
        <v>16</v>
      </c>
      <c r="F2477">
        <v>5</v>
      </c>
      <c r="G2477">
        <v>15</v>
      </c>
      <c r="H2477">
        <v>324</v>
      </c>
      <c r="I2477" s="238" t="s">
        <v>42</v>
      </c>
      <c r="J2477">
        <v>37.81</v>
      </c>
      <c r="K2477" s="238" t="s">
        <v>36</v>
      </c>
      <c r="L2477">
        <v>4412700</v>
      </c>
      <c r="M2477">
        <v>0</v>
      </c>
      <c r="N2477">
        <v>4412700</v>
      </c>
      <c r="O2477">
        <v>116707.22031208675</v>
      </c>
      <c r="P2477">
        <v>0</v>
      </c>
      <c r="Q2477">
        <v>4412700</v>
      </c>
      <c r="R2477">
        <v>116707.22031208675</v>
      </c>
      <c r="S2477" s="238" t="s">
        <v>137</v>
      </c>
      <c r="T2477" s="238" t="s">
        <v>1167</v>
      </c>
      <c r="V2477" t="s">
        <v>4092</v>
      </c>
      <c r="W2477" s="24">
        <v>45559</v>
      </c>
      <c r="X2477" s="238" t="s">
        <v>7835</v>
      </c>
      <c r="Y2477" s="238" t="s">
        <v>39</v>
      </c>
      <c r="Z2477" s="238" t="s">
        <v>1340</v>
      </c>
      <c r="AA2477" t="s">
        <v>3474</v>
      </c>
      <c r="AB2477" s="238" t="s">
        <v>3246</v>
      </c>
      <c r="AC2477" t="s">
        <v>3080</v>
      </c>
      <c r="AD2477" s="24"/>
      <c r="AE2477" s="238" t="s">
        <v>7836</v>
      </c>
      <c r="AF2477">
        <v>79228412493</v>
      </c>
      <c r="AG2477" s="238" t="s">
        <v>7837</v>
      </c>
      <c r="AH2477" s="238" t="s">
        <v>1197</v>
      </c>
      <c r="AI2477" s="238" t="s">
        <v>7721</v>
      </c>
      <c r="AJ2477" s="238" t="s">
        <v>126</v>
      </c>
      <c r="AK2477" s="238" t="s">
        <v>7181</v>
      </c>
      <c r="AL2477" t="s">
        <v>57</v>
      </c>
      <c r="AM2477" t="s">
        <v>1167</v>
      </c>
    </row>
    <row r="2478" spans="1:39" x14ac:dyDescent="0.25">
      <c r="A2478">
        <v>2475</v>
      </c>
      <c r="B2478">
        <v>14</v>
      </c>
      <c r="C2478" s="24">
        <v>45563</v>
      </c>
      <c r="D2478" s="238" t="s">
        <v>3388</v>
      </c>
      <c r="E2478" s="238" t="s">
        <v>16</v>
      </c>
      <c r="F2478">
        <v>6</v>
      </c>
      <c r="G2478">
        <v>2</v>
      </c>
      <c r="H2478">
        <v>234</v>
      </c>
      <c r="I2478" s="238" t="s">
        <v>44</v>
      </c>
      <c r="J2478">
        <v>80.97</v>
      </c>
      <c r="K2478" s="238" t="s">
        <v>6871</v>
      </c>
      <c r="L2478">
        <v>7807743</v>
      </c>
      <c r="M2478">
        <v>0</v>
      </c>
      <c r="N2478">
        <v>7807743</v>
      </c>
      <c r="O2478">
        <v>96427.602815857725</v>
      </c>
      <c r="P2478">
        <v>566790</v>
      </c>
      <c r="Q2478">
        <v>7240953</v>
      </c>
      <c r="R2478">
        <v>89427.602815857725</v>
      </c>
      <c r="S2478" s="238" t="s">
        <v>124</v>
      </c>
      <c r="T2478" s="238" t="s">
        <v>978</v>
      </c>
      <c r="U2478">
        <v>223947</v>
      </c>
      <c r="V2478" t="s">
        <v>1167</v>
      </c>
      <c r="W2478" s="24">
        <v>45551</v>
      </c>
      <c r="X2478" s="238" t="s">
        <v>7838</v>
      </c>
      <c r="Y2478" s="238" t="s">
        <v>39</v>
      </c>
      <c r="Z2478" s="238" t="s">
        <v>1340</v>
      </c>
      <c r="AA2478" t="s">
        <v>3113</v>
      </c>
      <c r="AB2478" s="238" t="s">
        <v>3246</v>
      </c>
      <c r="AC2478" t="s">
        <v>4246</v>
      </c>
      <c r="AD2478" s="24"/>
      <c r="AE2478" s="238" t="s">
        <v>7839</v>
      </c>
      <c r="AF2478">
        <v>79122772452</v>
      </c>
      <c r="AG2478" s="238" t="s">
        <v>7840</v>
      </c>
      <c r="AH2478" s="238" t="s">
        <v>135</v>
      </c>
      <c r="AI2478" s="238" t="s">
        <v>3099</v>
      </c>
      <c r="AJ2478" s="238" t="s">
        <v>126</v>
      </c>
      <c r="AK2478" s="238" t="s">
        <v>1167</v>
      </c>
      <c r="AL2478" t="s">
        <v>8715</v>
      </c>
      <c r="AM2478" t="s">
        <v>1167</v>
      </c>
    </row>
    <row r="2479" spans="1:39" x14ac:dyDescent="0.25">
      <c r="A2479">
        <v>2476</v>
      </c>
      <c r="B2479">
        <v>15</v>
      </c>
      <c r="C2479" s="24">
        <v>45565</v>
      </c>
      <c r="D2479" s="238" t="s">
        <v>3388</v>
      </c>
      <c r="E2479" s="238" t="s">
        <v>6</v>
      </c>
      <c r="F2479">
        <v>5</v>
      </c>
      <c r="G2479">
        <v>5</v>
      </c>
      <c r="H2479">
        <v>32</v>
      </c>
      <c r="I2479" s="238" t="s">
        <v>43</v>
      </c>
      <c r="J2479">
        <v>62.17</v>
      </c>
      <c r="K2479" s="238" t="s">
        <v>6871</v>
      </c>
      <c r="L2479">
        <v>6755590</v>
      </c>
      <c r="M2479">
        <v>0</v>
      </c>
      <c r="N2479">
        <v>6755590</v>
      </c>
      <c r="O2479">
        <v>108663.18159884188</v>
      </c>
      <c r="P2479">
        <v>435190</v>
      </c>
      <c r="Q2479">
        <v>6320400</v>
      </c>
      <c r="R2479">
        <v>101663.18159884188</v>
      </c>
      <c r="S2479" s="238" t="s">
        <v>124</v>
      </c>
      <c r="T2479" s="238" t="s">
        <v>1167</v>
      </c>
      <c r="V2479" t="s">
        <v>1167</v>
      </c>
      <c r="W2479" s="24">
        <v>45553</v>
      </c>
      <c r="X2479" s="238" t="s">
        <v>7841</v>
      </c>
      <c r="Y2479" s="238" t="s">
        <v>39</v>
      </c>
      <c r="Z2479" s="238" t="s">
        <v>1340</v>
      </c>
      <c r="AA2479" t="s">
        <v>3113</v>
      </c>
      <c r="AB2479" s="238" t="s">
        <v>3246</v>
      </c>
      <c r="AC2479" t="s">
        <v>4246</v>
      </c>
      <c r="AD2479" s="24"/>
      <c r="AE2479" s="238" t="s">
        <v>7842</v>
      </c>
      <c r="AF2479">
        <v>79879084101</v>
      </c>
      <c r="AG2479" s="238" t="s">
        <v>7843</v>
      </c>
      <c r="AH2479" s="238" t="s">
        <v>1212</v>
      </c>
      <c r="AI2479" s="238" t="s">
        <v>7844</v>
      </c>
      <c r="AJ2479" s="238" t="s">
        <v>4177</v>
      </c>
      <c r="AK2479" s="238" t="s">
        <v>1167</v>
      </c>
      <c r="AL2479" t="s">
        <v>8715</v>
      </c>
      <c r="AM2479" t="s">
        <v>1167</v>
      </c>
    </row>
    <row r="2480" spans="1:39" hidden="1" x14ac:dyDescent="0.25">
      <c r="A2480">
        <v>2477</v>
      </c>
      <c r="B2480">
        <v>16</v>
      </c>
      <c r="C2480" s="24">
        <v>45565</v>
      </c>
      <c r="D2480" s="238" t="s">
        <v>91</v>
      </c>
      <c r="E2480" s="238" t="s">
        <v>15</v>
      </c>
      <c r="F2480">
        <v>3</v>
      </c>
      <c r="G2480">
        <v>14</v>
      </c>
      <c r="H2480">
        <v>512</v>
      </c>
      <c r="I2480" s="238" t="s">
        <v>44</v>
      </c>
      <c r="J2480">
        <v>74.28</v>
      </c>
      <c r="K2480" s="238" t="s">
        <v>36</v>
      </c>
      <c r="L2480">
        <v>7589377</v>
      </c>
      <c r="M2480">
        <v>0</v>
      </c>
      <c r="N2480">
        <v>7589377</v>
      </c>
      <c r="O2480">
        <v>102172.54981152396</v>
      </c>
      <c r="P2480">
        <v>0</v>
      </c>
      <c r="Q2480">
        <v>7589377</v>
      </c>
      <c r="R2480">
        <v>102172.54981152396</v>
      </c>
      <c r="S2480" s="238" t="s">
        <v>124</v>
      </c>
      <c r="T2480" s="238" t="s">
        <v>321</v>
      </c>
      <c r="U2480">
        <v>234723</v>
      </c>
      <c r="V2480" t="s">
        <v>1167</v>
      </c>
      <c r="W2480" s="24">
        <v>45554</v>
      </c>
      <c r="X2480" s="238" t="s">
        <v>7845</v>
      </c>
      <c r="Y2480" s="238" t="s">
        <v>1172</v>
      </c>
      <c r="Z2480" s="238" t="s">
        <v>1340</v>
      </c>
      <c r="AA2480" t="s">
        <v>3113</v>
      </c>
      <c r="AB2480" s="238" t="s">
        <v>3246</v>
      </c>
      <c r="AC2480" t="s">
        <v>4246</v>
      </c>
      <c r="AD2480" s="24">
        <v>45601</v>
      </c>
      <c r="AE2480" s="238" t="s">
        <v>7846</v>
      </c>
      <c r="AF2480">
        <v>79879218216</v>
      </c>
      <c r="AG2480" s="238" t="s">
        <v>7847</v>
      </c>
      <c r="AH2480" s="238" t="s">
        <v>146</v>
      </c>
      <c r="AI2480" s="238" t="s">
        <v>7734</v>
      </c>
      <c r="AJ2480" s="238" t="s">
        <v>5215</v>
      </c>
      <c r="AK2480" s="238" t="s">
        <v>1167</v>
      </c>
      <c r="AL2480" t="s">
        <v>8715</v>
      </c>
      <c r="AM2480" t="s">
        <v>1167</v>
      </c>
    </row>
    <row r="2481" spans="1:39" hidden="1" x14ac:dyDescent="0.25">
      <c r="A2481">
        <v>2478</v>
      </c>
      <c r="B2481">
        <v>17</v>
      </c>
      <c r="C2481" s="24">
        <v>45565</v>
      </c>
      <c r="D2481" s="238" t="s">
        <v>91</v>
      </c>
      <c r="E2481" s="238" t="s">
        <v>16</v>
      </c>
      <c r="F2481">
        <v>6</v>
      </c>
      <c r="G2481">
        <v>2</v>
      </c>
      <c r="H2481">
        <v>246</v>
      </c>
      <c r="I2481" s="238" t="s">
        <v>43</v>
      </c>
      <c r="J2481">
        <v>71.91</v>
      </c>
      <c r="K2481" s="238" t="s">
        <v>36</v>
      </c>
      <c r="L2481">
        <v>7579205.5999999996</v>
      </c>
      <c r="M2481">
        <v>0</v>
      </c>
      <c r="N2481">
        <v>7579205.5999999996</v>
      </c>
      <c r="O2481">
        <v>105398.49256014463</v>
      </c>
      <c r="P2481">
        <v>0</v>
      </c>
      <c r="Q2481">
        <v>7579205.5999999996</v>
      </c>
      <c r="R2481">
        <v>105398.49256014463</v>
      </c>
      <c r="S2481" s="238" t="s">
        <v>124</v>
      </c>
      <c r="T2481" s="238" t="s">
        <v>7756</v>
      </c>
      <c r="U2481">
        <v>200000</v>
      </c>
      <c r="V2481" t="s">
        <v>1167</v>
      </c>
      <c r="W2481" s="24">
        <v>45560</v>
      </c>
      <c r="X2481" s="238" t="s">
        <v>7848</v>
      </c>
      <c r="Y2481" s="238" t="s">
        <v>39</v>
      </c>
      <c r="Z2481" s="238" t="s">
        <v>1340</v>
      </c>
      <c r="AA2481" t="s">
        <v>3113</v>
      </c>
      <c r="AB2481" s="238" t="s">
        <v>3246</v>
      </c>
      <c r="AC2481" t="s">
        <v>4246</v>
      </c>
      <c r="AD2481" s="24"/>
      <c r="AE2481" s="238" t="s">
        <v>7849</v>
      </c>
      <c r="AF2481">
        <v>79619285988</v>
      </c>
      <c r="AG2481" s="238" t="s">
        <v>7850</v>
      </c>
      <c r="AH2481" s="238" t="s">
        <v>1171</v>
      </c>
      <c r="AI2481" s="238" t="s">
        <v>3090</v>
      </c>
      <c r="AJ2481" s="238" t="s">
        <v>5215</v>
      </c>
      <c r="AK2481" s="238" t="s">
        <v>1167</v>
      </c>
      <c r="AL2481" t="s">
        <v>8715</v>
      </c>
      <c r="AM2481" t="s">
        <v>1167</v>
      </c>
    </row>
    <row r="2482" spans="1:39" hidden="1" x14ac:dyDescent="0.25">
      <c r="A2482">
        <v>2479</v>
      </c>
      <c r="B2482">
        <v>18</v>
      </c>
      <c r="C2482" s="24">
        <v>45565</v>
      </c>
      <c r="D2482" s="238" t="s">
        <v>91</v>
      </c>
      <c r="E2482" s="238" t="s">
        <v>16</v>
      </c>
      <c r="F2482">
        <v>4</v>
      </c>
      <c r="G2482">
        <v>20</v>
      </c>
      <c r="H2482">
        <v>370</v>
      </c>
      <c r="I2482" s="238" t="s">
        <v>43</v>
      </c>
      <c r="J2482">
        <v>58.55</v>
      </c>
      <c r="K2482" s="238" t="s">
        <v>37</v>
      </c>
      <c r="L2482">
        <v>6835825</v>
      </c>
      <c r="M2482">
        <v>0</v>
      </c>
      <c r="N2482">
        <v>6835825</v>
      </c>
      <c r="O2482">
        <v>116751.92143467123</v>
      </c>
      <c r="P2482">
        <v>439125</v>
      </c>
      <c r="Q2482">
        <v>6396700</v>
      </c>
      <c r="R2482">
        <v>109251.92143467123</v>
      </c>
      <c r="S2482" s="238" t="s">
        <v>124</v>
      </c>
      <c r="T2482" s="238" t="s">
        <v>7756</v>
      </c>
      <c r="U2482">
        <v>170000</v>
      </c>
      <c r="V2482" t="s">
        <v>1167</v>
      </c>
      <c r="W2482" s="24">
        <v>45562</v>
      </c>
      <c r="X2482" s="238" t="s">
        <v>7851</v>
      </c>
      <c r="Y2482" s="238" t="s">
        <v>39</v>
      </c>
      <c r="Z2482" s="238" t="s">
        <v>1340</v>
      </c>
      <c r="AA2482" t="s">
        <v>3113</v>
      </c>
      <c r="AB2482" s="238" t="s">
        <v>3246</v>
      </c>
      <c r="AC2482" t="s">
        <v>1167</v>
      </c>
      <c r="AD2482" s="24"/>
      <c r="AE2482" s="238" t="s">
        <v>7852</v>
      </c>
      <c r="AF2482">
        <v>79276540912</v>
      </c>
      <c r="AG2482" s="238" t="s">
        <v>7853</v>
      </c>
      <c r="AH2482" s="238" t="s">
        <v>135</v>
      </c>
      <c r="AI2482" s="238" t="s">
        <v>3075</v>
      </c>
      <c r="AJ2482" s="238" t="s">
        <v>5215</v>
      </c>
      <c r="AK2482" s="238" t="s">
        <v>1167</v>
      </c>
      <c r="AL2482" t="s">
        <v>8715</v>
      </c>
      <c r="AM2482" t="s">
        <v>1167</v>
      </c>
    </row>
    <row r="2483" spans="1:39" x14ac:dyDescent="0.25">
      <c r="A2483">
        <v>2480</v>
      </c>
      <c r="B2483">
        <v>1</v>
      </c>
      <c r="C2483" s="24">
        <v>45568</v>
      </c>
      <c r="D2483" s="238" t="s">
        <v>3388</v>
      </c>
      <c r="E2483" s="238" t="s">
        <v>15</v>
      </c>
      <c r="F2483">
        <v>1</v>
      </c>
      <c r="G2483">
        <v>24</v>
      </c>
      <c r="H2483">
        <v>573</v>
      </c>
      <c r="I2483" s="238" t="s">
        <v>4052</v>
      </c>
      <c r="J2483">
        <v>29.4</v>
      </c>
      <c r="K2483" s="238" t="s">
        <v>38</v>
      </c>
      <c r="L2483">
        <v>4327800</v>
      </c>
      <c r="M2483">
        <v>0</v>
      </c>
      <c r="N2483">
        <v>4327800</v>
      </c>
      <c r="O2483">
        <v>147204.08163265308</v>
      </c>
      <c r="P2483">
        <v>588000</v>
      </c>
      <c r="Q2483">
        <v>3739800</v>
      </c>
      <c r="R2483">
        <v>127204.08163265306</v>
      </c>
      <c r="S2483" s="238" t="s">
        <v>137</v>
      </c>
      <c r="T2483" s="238" t="s">
        <v>1167</v>
      </c>
      <c r="V2483" t="s">
        <v>4092</v>
      </c>
      <c r="W2483" s="24">
        <v>45559</v>
      </c>
      <c r="X2483" s="238" t="s">
        <v>7857</v>
      </c>
      <c r="Y2483" s="238" t="s">
        <v>39</v>
      </c>
      <c r="Z2483" s="238" t="s">
        <v>1340</v>
      </c>
      <c r="AA2483" t="s">
        <v>3474</v>
      </c>
      <c r="AB2483" s="238" t="s">
        <v>3246</v>
      </c>
      <c r="AC2483" t="s">
        <v>3104</v>
      </c>
      <c r="AD2483" s="24"/>
      <c r="AE2483" s="238" t="s">
        <v>7858</v>
      </c>
      <c r="AF2483">
        <v>79270002723</v>
      </c>
      <c r="AG2483" s="238" t="s">
        <v>7859</v>
      </c>
      <c r="AH2483" s="238" t="s">
        <v>1212</v>
      </c>
      <c r="AI2483" s="238" t="s">
        <v>135</v>
      </c>
      <c r="AJ2483" s="238" t="s">
        <v>4177</v>
      </c>
      <c r="AK2483" s="238" t="s">
        <v>7181</v>
      </c>
      <c r="AL2483" t="s">
        <v>8715</v>
      </c>
      <c r="AM2483" t="s">
        <v>1167</v>
      </c>
    </row>
    <row r="2484" spans="1:39" x14ac:dyDescent="0.25">
      <c r="A2484">
        <v>2481</v>
      </c>
      <c r="B2484">
        <v>2</v>
      </c>
      <c r="C2484" s="24">
        <v>45568</v>
      </c>
      <c r="D2484" s="238" t="s">
        <v>3388</v>
      </c>
      <c r="E2484" s="238" t="s">
        <v>15</v>
      </c>
      <c r="F2484">
        <v>1</v>
      </c>
      <c r="G2484">
        <v>20</v>
      </c>
      <c r="H2484">
        <v>541</v>
      </c>
      <c r="I2484" s="238" t="s">
        <v>4052</v>
      </c>
      <c r="J2484">
        <v>29.4</v>
      </c>
      <c r="K2484" s="238" t="s">
        <v>6871</v>
      </c>
      <c r="L2484">
        <v>3975000</v>
      </c>
      <c r="M2484">
        <v>0</v>
      </c>
      <c r="N2484">
        <v>3975000</v>
      </c>
      <c r="O2484">
        <v>135204.08163265308</v>
      </c>
      <c r="P2484">
        <v>235200</v>
      </c>
      <c r="Q2484">
        <v>3739800</v>
      </c>
      <c r="R2484">
        <v>127204.08163265306</v>
      </c>
      <c r="S2484" s="238" t="s">
        <v>137</v>
      </c>
      <c r="T2484" s="238" t="s">
        <v>1167</v>
      </c>
      <c r="V2484" t="s">
        <v>4092</v>
      </c>
      <c r="W2484" s="24">
        <v>45561</v>
      </c>
      <c r="X2484" s="238" t="s">
        <v>7860</v>
      </c>
      <c r="Y2484" s="238" t="s">
        <v>39</v>
      </c>
      <c r="Z2484" s="238" t="s">
        <v>1340</v>
      </c>
      <c r="AA2484" t="s">
        <v>3474</v>
      </c>
      <c r="AB2484" s="238" t="s">
        <v>3246</v>
      </c>
      <c r="AC2484" t="s">
        <v>3104</v>
      </c>
      <c r="AD2484" s="24"/>
      <c r="AE2484" s="238" t="s">
        <v>7861</v>
      </c>
      <c r="AF2484">
        <v>79171603160</v>
      </c>
      <c r="AG2484" s="238" t="s">
        <v>7862</v>
      </c>
      <c r="AH2484" s="238" t="s">
        <v>1171</v>
      </c>
      <c r="AI2484" s="238" t="s">
        <v>3097</v>
      </c>
      <c r="AJ2484" s="238" t="s">
        <v>4177</v>
      </c>
      <c r="AK2484" s="238" t="s">
        <v>3345</v>
      </c>
      <c r="AL2484" t="s">
        <v>8715</v>
      </c>
      <c r="AM2484" t="s">
        <v>1167</v>
      </c>
    </row>
    <row r="2485" spans="1:39" x14ac:dyDescent="0.25">
      <c r="A2485">
        <v>2482</v>
      </c>
      <c r="B2485">
        <v>3</v>
      </c>
      <c r="C2485" s="24">
        <v>45568</v>
      </c>
      <c r="D2485" s="238" t="s">
        <v>3388</v>
      </c>
      <c r="E2485" s="238" t="s">
        <v>15</v>
      </c>
      <c r="F2485">
        <v>8</v>
      </c>
      <c r="G2485">
        <v>19</v>
      </c>
      <c r="H2485">
        <v>540</v>
      </c>
      <c r="I2485" s="238" t="s">
        <v>42</v>
      </c>
      <c r="J2485">
        <v>39.69</v>
      </c>
      <c r="K2485" s="238" t="s">
        <v>38</v>
      </c>
      <c r="L2485">
        <v>5765060</v>
      </c>
      <c r="M2485">
        <v>0</v>
      </c>
      <c r="N2485">
        <v>5765060</v>
      </c>
      <c r="O2485">
        <v>145252.20458553793</v>
      </c>
      <c r="P2485">
        <v>952560</v>
      </c>
      <c r="Q2485">
        <v>4812500</v>
      </c>
      <c r="R2485">
        <v>121252.20458553793</v>
      </c>
      <c r="S2485" s="238" t="s">
        <v>137</v>
      </c>
      <c r="T2485" s="238" t="s">
        <v>1167</v>
      </c>
      <c r="V2485" t="s">
        <v>4092</v>
      </c>
      <c r="W2485" s="24">
        <v>45565</v>
      </c>
      <c r="X2485" s="238" t="s">
        <v>7863</v>
      </c>
      <c r="Y2485" s="238" t="s">
        <v>39</v>
      </c>
      <c r="Z2485" s="238" t="s">
        <v>1340</v>
      </c>
      <c r="AA2485" t="s">
        <v>3474</v>
      </c>
      <c r="AB2485" s="238" t="s">
        <v>3246</v>
      </c>
      <c r="AC2485" t="s">
        <v>3077</v>
      </c>
      <c r="AD2485" s="24"/>
      <c r="AE2485" s="238" t="s">
        <v>7864</v>
      </c>
      <c r="AF2485">
        <v>79273848898</v>
      </c>
      <c r="AG2485" s="238" t="s">
        <v>7865</v>
      </c>
      <c r="AH2485" s="238" t="s">
        <v>1171</v>
      </c>
      <c r="AI2485" s="238" t="s">
        <v>135</v>
      </c>
      <c r="AJ2485" s="238" t="s">
        <v>126</v>
      </c>
      <c r="AK2485" s="238" t="s">
        <v>7181</v>
      </c>
      <c r="AL2485" t="s">
        <v>8715</v>
      </c>
      <c r="AM2485" t="s">
        <v>1167</v>
      </c>
    </row>
    <row r="2486" spans="1:39" x14ac:dyDescent="0.25">
      <c r="A2486">
        <v>2483</v>
      </c>
      <c r="B2486">
        <v>4</v>
      </c>
      <c r="C2486" s="24">
        <v>45576</v>
      </c>
      <c r="D2486" s="238" t="s">
        <v>3388</v>
      </c>
      <c r="E2486" s="238" t="s">
        <v>16</v>
      </c>
      <c r="F2486">
        <v>6</v>
      </c>
      <c r="G2486">
        <v>3</v>
      </c>
      <c r="H2486">
        <v>241</v>
      </c>
      <c r="I2486" s="238" t="s">
        <v>44</v>
      </c>
      <c r="J2486">
        <v>80.97</v>
      </c>
      <c r="K2486" s="238" t="s">
        <v>36</v>
      </c>
      <c r="L2486">
        <v>7396000</v>
      </c>
      <c r="M2486">
        <v>30000</v>
      </c>
      <c r="N2486">
        <v>7426000</v>
      </c>
      <c r="O2486">
        <v>91712.980116092382</v>
      </c>
      <c r="P2486">
        <v>0</v>
      </c>
      <c r="Q2486">
        <v>7426000</v>
      </c>
      <c r="R2486">
        <v>91712.980116092382</v>
      </c>
      <c r="S2486" s="238" t="s">
        <v>137</v>
      </c>
      <c r="T2486" s="238" t="s">
        <v>1167</v>
      </c>
      <c r="V2486" t="s">
        <v>4092</v>
      </c>
      <c r="W2486" s="24">
        <v>45537</v>
      </c>
      <c r="X2486" s="238" t="s">
        <v>7868</v>
      </c>
      <c r="Y2486" s="238" t="s">
        <v>39</v>
      </c>
      <c r="Z2486" s="238" t="s">
        <v>1340</v>
      </c>
      <c r="AA2486" t="s">
        <v>3474</v>
      </c>
      <c r="AB2486" s="238" t="s">
        <v>3246</v>
      </c>
      <c r="AC2486" t="s">
        <v>7869</v>
      </c>
      <c r="AD2486" s="24"/>
      <c r="AE2486" s="238" t="s">
        <v>7870</v>
      </c>
      <c r="AF2486">
        <v>79171534094</v>
      </c>
      <c r="AG2486" s="238" t="s">
        <v>7871</v>
      </c>
      <c r="AH2486" s="238" t="s">
        <v>1212</v>
      </c>
      <c r="AI2486" s="238" t="s">
        <v>135</v>
      </c>
      <c r="AJ2486" s="238" t="s">
        <v>5215</v>
      </c>
      <c r="AK2486" s="238" t="s">
        <v>7181</v>
      </c>
      <c r="AL2486" t="s">
        <v>8715</v>
      </c>
      <c r="AM2486" t="s">
        <v>1167</v>
      </c>
    </row>
    <row r="2487" spans="1:39" x14ac:dyDescent="0.25">
      <c r="A2487">
        <v>2484</v>
      </c>
      <c r="B2487">
        <v>5</v>
      </c>
      <c r="C2487" s="24">
        <v>45576</v>
      </c>
      <c r="D2487" s="238" t="s">
        <v>3388</v>
      </c>
      <c r="E2487" s="238" t="s">
        <v>6</v>
      </c>
      <c r="F2487">
        <v>5</v>
      </c>
      <c r="G2487">
        <v>15</v>
      </c>
      <c r="H2487">
        <v>102</v>
      </c>
      <c r="I2487" s="238" t="s">
        <v>43</v>
      </c>
      <c r="J2487">
        <v>62.17</v>
      </c>
      <c r="K2487" s="238" t="s">
        <v>36</v>
      </c>
      <c r="L2487">
        <v>6253396</v>
      </c>
      <c r="M2487">
        <v>0</v>
      </c>
      <c r="N2487">
        <v>6253396</v>
      </c>
      <c r="O2487">
        <v>100585.4270548496</v>
      </c>
      <c r="P2487">
        <v>0</v>
      </c>
      <c r="Q2487">
        <v>6253396</v>
      </c>
      <c r="R2487">
        <v>100585.4270548496</v>
      </c>
      <c r="S2487" s="238" t="s">
        <v>137</v>
      </c>
      <c r="T2487" s="238" t="s">
        <v>978</v>
      </c>
      <c r="U2487">
        <v>193404</v>
      </c>
      <c r="V2487" t="s">
        <v>4092</v>
      </c>
      <c r="W2487" s="24">
        <v>45569</v>
      </c>
      <c r="X2487" s="238" t="s">
        <v>7872</v>
      </c>
      <c r="Y2487" s="238" t="s">
        <v>39</v>
      </c>
      <c r="Z2487" s="238" t="s">
        <v>1340</v>
      </c>
      <c r="AA2487" t="s">
        <v>3474</v>
      </c>
      <c r="AB2487" s="238" t="s">
        <v>3246</v>
      </c>
      <c r="AC2487" t="s">
        <v>3077</v>
      </c>
      <c r="AD2487" s="24"/>
      <c r="AE2487" s="238" t="s">
        <v>7873</v>
      </c>
      <c r="AF2487">
        <v>79090777701</v>
      </c>
      <c r="AG2487" s="238" t="s">
        <v>7874</v>
      </c>
      <c r="AH2487" s="238" t="s">
        <v>1171</v>
      </c>
      <c r="AI2487" s="238" t="s">
        <v>3090</v>
      </c>
      <c r="AJ2487" s="238" t="s">
        <v>126</v>
      </c>
      <c r="AK2487" s="238" t="s">
        <v>7181</v>
      </c>
      <c r="AL2487" t="s">
        <v>8715</v>
      </c>
      <c r="AM2487" t="s">
        <v>1167</v>
      </c>
    </row>
    <row r="2488" spans="1:39" x14ac:dyDescent="0.25">
      <c r="A2488">
        <v>2485</v>
      </c>
      <c r="B2488">
        <v>6</v>
      </c>
      <c r="C2488" s="24">
        <v>45576</v>
      </c>
      <c r="D2488" s="238" t="s">
        <v>3388</v>
      </c>
      <c r="E2488" s="238" t="s">
        <v>5</v>
      </c>
      <c r="F2488">
        <v>5</v>
      </c>
      <c r="G2488">
        <v>2</v>
      </c>
      <c r="H2488">
        <v>122</v>
      </c>
      <c r="I2488" s="238" t="s">
        <v>42</v>
      </c>
      <c r="J2488">
        <v>37.86</v>
      </c>
      <c r="K2488" s="238" t="s">
        <v>6871</v>
      </c>
      <c r="L2488">
        <v>4726894</v>
      </c>
      <c r="M2488">
        <v>0</v>
      </c>
      <c r="N2488">
        <v>4726894</v>
      </c>
      <c r="O2488">
        <v>124851.92815636555</v>
      </c>
      <c r="P2488">
        <v>302880</v>
      </c>
      <c r="Q2488">
        <v>4424014</v>
      </c>
      <c r="R2488">
        <v>116851.92815636555</v>
      </c>
      <c r="S2488" s="238" t="s">
        <v>137</v>
      </c>
      <c r="T2488" s="238" t="s">
        <v>3540</v>
      </c>
      <c r="U2488">
        <v>90286</v>
      </c>
      <c r="V2488" t="s">
        <v>4092</v>
      </c>
      <c r="W2488" s="24">
        <v>45573</v>
      </c>
      <c r="X2488" s="238" t="s">
        <v>7875</v>
      </c>
      <c r="Y2488" s="238" t="s">
        <v>39</v>
      </c>
      <c r="Z2488" s="238" t="s">
        <v>1340</v>
      </c>
      <c r="AA2488" t="s">
        <v>3474</v>
      </c>
      <c r="AB2488" s="238" t="s">
        <v>3246</v>
      </c>
      <c r="AC2488" t="s">
        <v>7869</v>
      </c>
      <c r="AD2488" s="24"/>
      <c r="AE2488" s="238" t="s">
        <v>7876</v>
      </c>
      <c r="AF2488">
        <v>79276967303</v>
      </c>
      <c r="AG2488" s="238" t="s">
        <v>7877</v>
      </c>
      <c r="AH2488" s="238" t="s">
        <v>146</v>
      </c>
      <c r="AI2488" s="238" t="s">
        <v>135</v>
      </c>
      <c r="AJ2488" s="238" t="s">
        <v>4177</v>
      </c>
      <c r="AK2488" s="238" t="s">
        <v>3345</v>
      </c>
      <c r="AL2488" t="s">
        <v>8715</v>
      </c>
      <c r="AM2488" t="s">
        <v>1167</v>
      </c>
    </row>
    <row r="2489" spans="1:39" hidden="1" x14ac:dyDescent="0.25">
      <c r="A2489">
        <v>2486</v>
      </c>
      <c r="B2489">
        <v>7</v>
      </c>
      <c r="C2489" s="24">
        <v>45581</v>
      </c>
      <c r="D2489" s="238" t="s">
        <v>7562</v>
      </c>
      <c r="E2489" s="238" t="s">
        <v>43</v>
      </c>
      <c r="F2489">
        <v>3</v>
      </c>
      <c r="G2489">
        <v>6</v>
      </c>
      <c r="H2489">
        <v>79</v>
      </c>
      <c r="I2489" s="238" t="s">
        <v>42</v>
      </c>
      <c r="J2489">
        <v>35.630000000000003</v>
      </c>
      <c r="K2489" s="238" t="s">
        <v>8787</v>
      </c>
      <c r="L2489">
        <v>4922507</v>
      </c>
      <c r="M2489">
        <v>0</v>
      </c>
      <c r="N2489">
        <v>4922507</v>
      </c>
      <c r="O2489">
        <v>138156.24473758068</v>
      </c>
      <c r="P2489">
        <v>356300</v>
      </c>
      <c r="Q2489">
        <v>4566207</v>
      </c>
      <c r="R2489">
        <v>128156.24473758068</v>
      </c>
      <c r="S2489" s="238" t="s">
        <v>124</v>
      </c>
      <c r="T2489" s="238" t="s">
        <v>321</v>
      </c>
      <c r="U2489">
        <v>343693</v>
      </c>
      <c r="V2489" t="s">
        <v>1167</v>
      </c>
      <c r="W2489" s="24">
        <v>45580</v>
      </c>
      <c r="X2489" s="238" t="s">
        <v>7896</v>
      </c>
      <c r="Y2489" s="238" t="s">
        <v>39</v>
      </c>
      <c r="Z2489" s="238" t="s">
        <v>1340</v>
      </c>
      <c r="AA2489" t="s">
        <v>3113</v>
      </c>
      <c r="AB2489" s="238" t="s">
        <v>3246</v>
      </c>
      <c r="AC2489" t="s">
        <v>4246</v>
      </c>
      <c r="AD2489" s="24"/>
      <c r="AE2489" s="238" t="s">
        <v>6721</v>
      </c>
      <c r="AF2489">
        <v>79618183205</v>
      </c>
      <c r="AG2489" s="238" t="s">
        <v>6722</v>
      </c>
      <c r="AH2489" s="238" t="s">
        <v>1171</v>
      </c>
      <c r="AI2489" s="238" t="s">
        <v>3082</v>
      </c>
      <c r="AJ2489" s="238" t="s">
        <v>5215</v>
      </c>
      <c r="AK2489" s="238" t="s">
        <v>1167</v>
      </c>
      <c r="AL2489" t="s">
        <v>8715</v>
      </c>
      <c r="AM2489" t="s">
        <v>1167</v>
      </c>
    </row>
    <row r="2490" spans="1:39" x14ac:dyDescent="0.25">
      <c r="A2490">
        <v>2487</v>
      </c>
      <c r="B2490">
        <v>8</v>
      </c>
      <c r="C2490" s="24">
        <v>45582</v>
      </c>
      <c r="D2490" s="238" t="s">
        <v>3388</v>
      </c>
      <c r="E2490" s="238" t="s">
        <v>15</v>
      </c>
      <c r="F2490">
        <v>4</v>
      </c>
      <c r="G2490">
        <v>17</v>
      </c>
      <c r="H2490">
        <v>520</v>
      </c>
      <c r="I2490" s="238" t="s">
        <v>43</v>
      </c>
      <c r="J2490">
        <v>58.24</v>
      </c>
      <c r="K2490" s="238" t="s">
        <v>38</v>
      </c>
      <c r="L2490">
        <v>6831300</v>
      </c>
      <c r="M2490">
        <v>0</v>
      </c>
      <c r="N2490">
        <v>6831300</v>
      </c>
      <c r="O2490">
        <v>117295.67307692308</v>
      </c>
      <c r="P2490">
        <v>1164800</v>
      </c>
      <c r="Q2490">
        <v>5666500</v>
      </c>
      <c r="R2490">
        <v>97295.673076923078</v>
      </c>
      <c r="S2490" s="238" t="s">
        <v>124</v>
      </c>
      <c r="T2490" s="238" t="s">
        <v>1167</v>
      </c>
      <c r="V2490" t="s">
        <v>1167</v>
      </c>
      <c r="W2490" s="24">
        <v>45576</v>
      </c>
      <c r="X2490" s="238" t="s">
        <v>7878</v>
      </c>
      <c r="Y2490" s="238" t="s">
        <v>39</v>
      </c>
      <c r="Z2490" s="238" t="s">
        <v>1340</v>
      </c>
      <c r="AA2490" t="s">
        <v>3113</v>
      </c>
      <c r="AB2490" s="238" t="s">
        <v>3246</v>
      </c>
      <c r="AC2490" t="s">
        <v>4246</v>
      </c>
      <c r="AD2490" s="24"/>
      <c r="AE2490" s="238" t="s">
        <v>7879</v>
      </c>
      <c r="AF2490">
        <v>79879067263</v>
      </c>
      <c r="AG2490" s="238" t="s">
        <v>7880</v>
      </c>
      <c r="AH2490" s="238" t="s">
        <v>1171</v>
      </c>
      <c r="AI2490" s="238" t="s">
        <v>135</v>
      </c>
      <c r="AJ2490" s="238" t="s">
        <v>126</v>
      </c>
      <c r="AK2490" s="238" t="s">
        <v>3345</v>
      </c>
      <c r="AL2490" t="s">
        <v>8715</v>
      </c>
      <c r="AM2490" t="s">
        <v>1167</v>
      </c>
    </row>
    <row r="2491" spans="1:39" x14ac:dyDescent="0.25">
      <c r="A2491">
        <v>2488</v>
      </c>
      <c r="B2491">
        <v>9</v>
      </c>
      <c r="C2491" s="24">
        <v>45582</v>
      </c>
      <c r="D2491" s="238" t="s">
        <v>3388</v>
      </c>
      <c r="E2491" s="238" t="s">
        <v>6</v>
      </c>
      <c r="F2491">
        <v>1</v>
      </c>
      <c r="G2491">
        <v>5</v>
      </c>
      <c r="H2491">
        <v>28</v>
      </c>
      <c r="I2491" s="238" t="s">
        <v>42</v>
      </c>
      <c r="J2491">
        <v>34.39</v>
      </c>
      <c r="K2491" s="238" t="s">
        <v>36</v>
      </c>
      <c r="L2491">
        <v>4122370</v>
      </c>
      <c r="M2491">
        <v>0</v>
      </c>
      <c r="N2491">
        <v>4122370</v>
      </c>
      <c r="O2491">
        <v>119871.1834835708</v>
      </c>
      <c r="P2491">
        <v>0</v>
      </c>
      <c r="Q2491">
        <v>4122370</v>
      </c>
      <c r="R2491">
        <v>119871.1834835708</v>
      </c>
      <c r="S2491" s="238" t="s">
        <v>137</v>
      </c>
      <c r="T2491" s="238" t="s">
        <v>321</v>
      </c>
      <c r="U2491">
        <v>84130</v>
      </c>
      <c r="V2491" t="s">
        <v>4092</v>
      </c>
      <c r="W2491" s="24">
        <v>45580</v>
      </c>
      <c r="X2491" s="238" t="s">
        <v>7881</v>
      </c>
      <c r="Y2491" s="238" t="s">
        <v>39</v>
      </c>
      <c r="Z2491" s="238" t="s">
        <v>1340</v>
      </c>
      <c r="AA2491" t="s">
        <v>3474</v>
      </c>
      <c r="AB2491" s="238" t="s">
        <v>3246</v>
      </c>
      <c r="AC2491" t="s">
        <v>3080</v>
      </c>
      <c r="AD2491" s="24"/>
      <c r="AE2491" s="238" t="s">
        <v>7882</v>
      </c>
      <c r="AF2491">
        <v>79272911615</v>
      </c>
      <c r="AG2491" s="238" t="s">
        <v>7883</v>
      </c>
      <c r="AH2491" s="238" t="s">
        <v>1212</v>
      </c>
      <c r="AI2491" s="238" t="s">
        <v>3101</v>
      </c>
      <c r="AJ2491" s="238" t="s">
        <v>5215</v>
      </c>
      <c r="AK2491" s="238" t="s">
        <v>3345</v>
      </c>
      <c r="AL2491" t="s">
        <v>8715</v>
      </c>
      <c r="AM2491" t="s">
        <v>7884</v>
      </c>
    </row>
    <row r="2492" spans="1:39" x14ac:dyDescent="0.25">
      <c r="A2492">
        <v>2489</v>
      </c>
      <c r="B2492">
        <v>10</v>
      </c>
      <c r="C2492" s="24">
        <v>45587</v>
      </c>
      <c r="D2492" s="238" t="s">
        <v>3388</v>
      </c>
      <c r="E2492" s="238" t="s">
        <v>16</v>
      </c>
      <c r="F2492">
        <v>4</v>
      </c>
      <c r="G2492">
        <v>14</v>
      </c>
      <c r="H2492">
        <v>316</v>
      </c>
      <c r="I2492" s="238" t="s">
        <v>43</v>
      </c>
      <c r="J2492">
        <v>60.24</v>
      </c>
      <c r="K2492" s="238" t="s">
        <v>38</v>
      </c>
      <c r="L2492">
        <v>7201700</v>
      </c>
      <c r="M2492">
        <v>0</v>
      </c>
      <c r="N2492">
        <v>7201700</v>
      </c>
      <c r="O2492">
        <v>119550.13280212483</v>
      </c>
      <c r="P2492">
        <v>1204800</v>
      </c>
      <c r="Q2492">
        <v>5996900</v>
      </c>
      <c r="R2492">
        <v>99550.132802124834</v>
      </c>
      <c r="S2492" s="238" t="s">
        <v>137</v>
      </c>
      <c r="T2492" s="238" t="s">
        <v>1167</v>
      </c>
      <c r="V2492" t="s">
        <v>4092</v>
      </c>
      <c r="W2492" s="24">
        <v>45551</v>
      </c>
      <c r="X2492" s="238" t="s">
        <v>7888</v>
      </c>
      <c r="Y2492" s="238" t="s">
        <v>39</v>
      </c>
      <c r="Z2492" s="238" t="s">
        <v>1340</v>
      </c>
      <c r="AA2492" t="s">
        <v>3113</v>
      </c>
      <c r="AB2492" s="238" t="s">
        <v>3246</v>
      </c>
      <c r="AC2492" t="s">
        <v>3079</v>
      </c>
      <c r="AD2492" s="24"/>
      <c r="AE2492" s="238" t="s">
        <v>7889</v>
      </c>
      <c r="AF2492">
        <v>79991714337</v>
      </c>
      <c r="AG2492" s="238" t="s">
        <v>7890</v>
      </c>
      <c r="AH2492" s="238" t="s">
        <v>1212</v>
      </c>
      <c r="AI2492" s="238" t="s">
        <v>3103</v>
      </c>
      <c r="AJ2492" s="238" t="s">
        <v>5215</v>
      </c>
      <c r="AK2492" s="238" t="s">
        <v>7181</v>
      </c>
      <c r="AL2492" t="s">
        <v>8715</v>
      </c>
      <c r="AM2492" t="s">
        <v>1167</v>
      </c>
    </row>
    <row r="2493" spans="1:39" x14ac:dyDescent="0.25">
      <c r="A2493">
        <v>2490</v>
      </c>
      <c r="B2493">
        <v>11</v>
      </c>
      <c r="C2493" s="24">
        <v>45588</v>
      </c>
      <c r="D2493" s="238" t="s">
        <v>3388</v>
      </c>
      <c r="E2493" s="238" t="s">
        <v>6</v>
      </c>
      <c r="F2493">
        <v>7</v>
      </c>
      <c r="G2493">
        <v>13</v>
      </c>
      <c r="H2493">
        <v>90</v>
      </c>
      <c r="I2493" s="238" t="s">
        <v>42</v>
      </c>
      <c r="J2493">
        <v>42.75</v>
      </c>
      <c r="K2493" s="238" t="s">
        <v>6871</v>
      </c>
      <c r="L2493">
        <v>5022050</v>
      </c>
      <c r="M2493">
        <v>0</v>
      </c>
      <c r="N2493">
        <v>5022050</v>
      </c>
      <c r="O2493">
        <v>117474.85380116959</v>
      </c>
      <c r="P2493">
        <v>299250</v>
      </c>
      <c r="Q2493">
        <v>4722800</v>
      </c>
      <c r="R2493">
        <v>110474.85380116959</v>
      </c>
      <c r="S2493" s="238" t="s">
        <v>137</v>
      </c>
      <c r="T2493" s="238" t="s">
        <v>1167</v>
      </c>
      <c r="V2493" t="s">
        <v>4092</v>
      </c>
      <c r="W2493" s="24">
        <v>45553</v>
      </c>
      <c r="X2493" s="238" t="s">
        <v>7897</v>
      </c>
      <c r="Y2493" s="238" t="s">
        <v>39</v>
      </c>
      <c r="Z2493" s="238" t="s">
        <v>1340</v>
      </c>
      <c r="AA2493" t="s">
        <v>3113</v>
      </c>
      <c r="AB2493" s="238" t="s">
        <v>3246</v>
      </c>
      <c r="AC2493" t="s">
        <v>3079</v>
      </c>
      <c r="AD2493" s="24"/>
      <c r="AE2493" s="238" t="s">
        <v>7898</v>
      </c>
      <c r="AF2493">
        <v>79270213554</v>
      </c>
      <c r="AG2493" s="238" t="s">
        <v>7899</v>
      </c>
      <c r="AH2493" s="238" t="s">
        <v>4072</v>
      </c>
      <c r="AI2493" s="238" t="s">
        <v>6406</v>
      </c>
      <c r="AJ2493" s="238" t="s">
        <v>5215</v>
      </c>
      <c r="AK2493" s="238" t="s">
        <v>7181</v>
      </c>
      <c r="AL2493" t="s">
        <v>57</v>
      </c>
      <c r="AM2493" t="s">
        <v>1167</v>
      </c>
    </row>
    <row r="2494" spans="1:39" x14ac:dyDescent="0.25">
      <c r="A2494">
        <v>2491</v>
      </c>
      <c r="B2494">
        <v>12</v>
      </c>
      <c r="C2494" s="24">
        <v>45588</v>
      </c>
      <c r="D2494" s="238" t="s">
        <v>3388</v>
      </c>
      <c r="E2494" s="238" t="s">
        <v>15</v>
      </c>
      <c r="F2494">
        <v>2</v>
      </c>
      <c r="G2494">
        <v>21</v>
      </c>
      <c r="H2494">
        <v>550</v>
      </c>
      <c r="I2494" s="238" t="s">
        <v>42</v>
      </c>
      <c r="J2494">
        <v>43.21</v>
      </c>
      <c r="K2494" s="238" t="s">
        <v>36</v>
      </c>
      <c r="L2494">
        <v>5055918</v>
      </c>
      <c r="M2494">
        <v>0</v>
      </c>
      <c r="N2494">
        <v>5055918</v>
      </c>
      <c r="O2494">
        <v>117008.05369127517</v>
      </c>
      <c r="P2494">
        <v>0</v>
      </c>
      <c r="Q2494">
        <v>5055918</v>
      </c>
      <c r="R2494">
        <v>117008.05369127517</v>
      </c>
      <c r="S2494" s="238" t="s">
        <v>137</v>
      </c>
      <c r="T2494" s="238" t="s">
        <v>3540</v>
      </c>
      <c r="U2494">
        <v>103182</v>
      </c>
      <c r="V2494" t="s">
        <v>4092</v>
      </c>
      <c r="W2494" s="24">
        <v>45569</v>
      </c>
      <c r="X2494" s="238" t="s">
        <v>7900</v>
      </c>
      <c r="Y2494" s="238" t="s">
        <v>39</v>
      </c>
      <c r="Z2494" s="238" t="s">
        <v>1340</v>
      </c>
      <c r="AA2494" t="s">
        <v>3113</v>
      </c>
      <c r="AB2494" s="238" t="s">
        <v>3246</v>
      </c>
      <c r="AC2494" t="s">
        <v>3104</v>
      </c>
      <c r="AD2494" s="24"/>
      <c r="AE2494" s="238" t="s">
        <v>7901</v>
      </c>
      <c r="AF2494">
        <v>79277251202</v>
      </c>
      <c r="AG2494" s="238" t="s">
        <v>7902</v>
      </c>
      <c r="AH2494" s="238" t="s">
        <v>1212</v>
      </c>
      <c r="AI2494" s="238" t="s">
        <v>3102</v>
      </c>
      <c r="AJ2494" s="238" t="s">
        <v>4177</v>
      </c>
      <c r="AK2494" s="238" t="s">
        <v>7181</v>
      </c>
      <c r="AL2494" t="s">
        <v>8715</v>
      </c>
      <c r="AM2494" t="s">
        <v>1167</v>
      </c>
    </row>
    <row r="2495" spans="1:39" x14ac:dyDescent="0.25">
      <c r="A2495">
        <v>2492</v>
      </c>
      <c r="B2495">
        <v>13</v>
      </c>
      <c r="C2495" s="24">
        <v>45588</v>
      </c>
      <c r="D2495" s="238" t="s">
        <v>3388</v>
      </c>
      <c r="E2495" s="238" t="s">
        <v>6</v>
      </c>
      <c r="F2495">
        <v>7</v>
      </c>
      <c r="G2495">
        <v>16</v>
      </c>
      <c r="H2495">
        <v>111</v>
      </c>
      <c r="I2495" s="238" t="s">
        <v>42</v>
      </c>
      <c r="J2495">
        <v>42.75</v>
      </c>
      <c r="K2495" s="238" t="s">
        <v>6871</v>
      </c>
      <c r="L2495">
        <v>4970344</v>
      </c>
      <c r="M2495">
        <v>0</v>
      </c>
      <c r="N2495">
        <v>4970344</v>
      </c>
      <c r="O2495">
        <v>116265.35672514619</v>
      </c>
      <c r="P2495">
        <v>342000</v>
      </c>
      <c r="Q2495">
        <v>4628344</v>
      </c>
      <c r="R2495">
        <v>108265.35672514619</v>
      </c>
      <c r="S2495" s="238" t="s">
        <v>137</v>
      </c>
      <c r="T2495" s="238" t="s">
        <v>3540</v>
      </c>
      <c r="U2495">
        <v>94456</v>
      </c>
      <c r="V2495" t="s">
        <v>4092</v>
      </c>
      <c r="W2495" s="24">
        <v>45576</v>
      </c>
      <c r="X2495" s="238" t="s">
        <v>7903</v>
      </c>
      <c r="Y2495" s="238" t="s">
        <v>39</v>
      </c>
      <c r="Z2495" s="238" t="s">
        <v>1340</v>
      </c>
      <c r="AA2495" t="s">
        <v>3113</v>
      </c>
      <c r="AB2495" s="238" t="s">
        <v>3246</v>
      </c>
      <c r="AC2495" t="s">
        <v>3079</v>
      </c>
      <c r="AD2495" s="24"/>
      <c r="AE2495" s="238" t="s">
        <v>7904</v>
      </c>
      <c r="AF2495">
        <v>79033091957</v>
      </c>
      <c r="AG2495" s="238" t="s">
        <v>7905</v>
      </c>
      <c r="AH2495" s="238" t="s">
        <v>135</v>
      </c>
      <c r="AI2495" s="238" t="s">
        <v>3075</v>
      </c>
      <c r="AJ2495" s="238" t="s">
        <v>4177</v>
      </c>
      <c r="AK2495" s="238" t="s">
        <v>3345</v>
      </c>
      <c r="AL2495" t="s">
        <v>8715</v>
      </c>
      <c r="AM2495" t="s">
        <v>1167</v>
      </c>
    </row>
    <row r="2496" spans="1:39" x14ac:dyDescent="0.25">
      <c r="A2496">
        <v>2493</v>
      </c>
      <c r="B2496">
        <v>14</v>
      </c>
      <c r="C2496" s="24">
        <v>45588</v>
      </c>
      <c r="D2496" s="238" t="s">
        <v>3388</v>
      </c>
      <c r="E2496" s="238" t="s">
        <v>6</v>
      </c>
      <c r="F2496">
        <v>6</v>
      </c>
      <c r="G2496">
        <v>14</v>
      </c>
      <c r="H2496">
        <v>96</v>
      </c>
      <c r="I2496" s="238" t="s">
        <v>43</v>
      </c>
      <c r="J2496">
        <v>58.16</v>
      </c>
      <c r="K2496" s="238" t="s">
        <v>6871</v>
      </c>
      <c r="L2496">
        <v>6341637</v>
      </c>
      <c r="M2496">
        <v>0</v>
      </c>
      <c r="N2496">
        <v>6341637</v>
      </c>
      <c r="O2496">
        <v>109037.77510316369</v>
      </c>
      <c r="P2496">
        <v>465280</v>
      </c>
      <c r="Q2496">
        <v>5876357</v>
      </c>
      <c r="R2496">
        <v>101037.77510316369</v>
      </c>
      <c r="S2496" s="238" t="s">
        <v>137</v>
      </c>
      <c r="T2496" s="238" t="s">
        <v>3538</v>
      </c>
      <c r="U2496">
        <v>181743</v>
      </c>
      <c r="V2496" t="s">
        <v>4092</v>
      </c>
      <c r="W2496" s="24">
        <v>45579</v>
      </c>
      <c r="X2496" s="238" t="s">
        <v>7906</v>
      </c>
      <c r="Y2496" s="238" t="s">
        <v>39</v>
      </c>
      <c r="Z2496" s="238" t="s">
        <v>1340</v>
      </c>
      <c r="AA2496" t="s">
        <v>3113</v>
      </c>
      <c r="AB2496" s="238" t="s">
        <v>3246</v>
      </c>
      <c r="AC2496" t="s">
        <v>3079</v>
      </c>
      <c r="AD2496" s="24"/>
      <c r="AE2496" s="238" t="s">
        <v>2446</v>
      </c>
      <c r="AF2496">
        <v>79170180212</v>
      </c>
      <c r="AG2496" s="238" t="s">
        <v>2447</v>
      </c>
      <c r="AH2496" s="238" t="s">
        <v>1171</v>
      </c>
      <c r="AI2496" s="238" t="s">
        <v>3082</v>
      </c>
      <c r="AJ2496" s="238" t="s">
        <v>4177</v>
      </c>
      <c r="AK2496" s="238" t="s">
        <v>3345</v>
      </c>
      <c r="AL2496" t="s">
        <v>8715</v>
      </c>
      <c r="AM2496" t="s">
        <v>1167</v>
      </c>
    </row>
    <row r="2497" spans="1:39" x14ac:dyDescent="0.25">
      <c r="A2497">
        <v>2494</v>
      </c>
      <c r="B2497">
        <v>15</v>
      </c>
      <c r="C2497" s="24">
        <v>45588</v>
      </c>
      <c r="D2497" s="238" t="s">
        <v>3388</v>
      </c>
      <c r="E2497" s="238" t="s">
        <v>16</v>
      </c>
      <c r="F2497">
        <v>7</v>
      </c>
      <c r="G2497">
        <v>18</v>
      </c>
      <c r="H2497">
        <v>347</v>
      </c>
      <c r="I2497" s="238" t="s">
        <v>42</v>
      </c>
      <c r="J2497">
        <v>34.81</v>
      </c>
      <c r="K2497" s="238" t="s">
        <v>6871</v>
      </c>
      <c r="L2497">
        <v>4596480</v>
      </c>
      <c r="M2497">
        <v>0</v>
      </c>
      <c r="N2497">
        <v>4596480</v>
      </c>
      <c r="O2497">
        <v>132044.81470841711</v>
      </c>
      <c r="P2497">
        <v>278480</v>
      </c>
      <c r="Q2497">
        <v>4318000</v>
      </c>
      <c r="R2497">
        <v>124044.81470841711</v>
      </c>
      <c r="S2497" s="238" t="s">
        <v>137</v>
      </c>
      <c r="T2497" s="238" t="s">
        <v>1167</v>
      </c>
      <c r="V2497" t="s">
        <v>4092</v>
      </c>
      <c r="W2497" s="24">
        <v>45579</v>
      </c>
      <c r="X2497" s="238" t="s">
        <v>7907</v>
      </c>
      <c r="Y2497" s="238" t="s">
        <v>39</v>
      </c>
      <c r="Z2497" s="238" t="s">
        <v>1340</v>
      </c>
      <c r="AA2497" t="s">
        <v>3113</v>
      </c>
      <c r="AB2497" s="238" t="s">
        <v>3246</v>
      </c>
      <c r="AC2497" t="s">
        <v>3079</v>
      </c>
      <c r="AD2497" s="24"/>
      <c r="AE2497" s="238" t="s">
        <v>7908</v>
      </c>
      <c r="AF2497">
        <v>79997010990</v>
      </c>
      <c r="AG2497" s="238" t="s">
        <v>7909</v>
      </c>
      <c r="AH2497" s="238" t="s">
        <v>1212</v>
      </c>
      <c r="AI2497" s="238" t="s">
        <v>135</v>
      </c>
      <c r="AJ2497" s="238" t="s">
        <v>4177</v>
      </c>
      <c r="AK2497" s="238" t="s">
        <v>7181</v>
      </c>
      <c r="AL2497" t="s">
        <v>8715</v>
      </c>
      <c r="AM2497" t="s">
        <v>1167</v>
      </c>
    </row>
    <row r="2498" spans="1:39" x14ac:dyDescent="0.25">
      <c r="A2498">
        <v>2495</v>
      </c>
      <c r="B2498">
        <v>16</v>
      </c>
      <c r="C2498" s="24">
        <v>45588</v>
      </c>
      <c r="D2498" s="238" t="s">
        <v>3388</v>
      </c>
      <c r="E2498" s="238" t="s">
        <v>5</v>
      </c>
      <c r="F2498">
        <v>2</v>
      </c>
      <c r="G2498">
        <v>3</v>
      </c>
      <c r="H2498">
        <v>126</v>
      </c>
      <c r="I2498" s="238" t="s">
        <v>4052</v>
      </c>
      <c r="J2498">
        <v>24.28</v>
      </c>
      <c r="K2498" s="238" t="s">
        <v>38</v>
      </c>
      <c r="L2498">
        <v>3643652</v>
      </c>
      <c r="M2498">
        <v>0</v>
      </c>
      <c r="N2498">
        <v>3643652</v>
      </c>
      <c r="O2498">
        <v>150068.03953871498</v>
      </c>
      <c r="P2498">
        <v>582720</v>
      </c>
      <c r="Q2498">
        <v>3060932</v>
      </c>
      <c r="R2498">
        <v>126068.03953871499</v>
      </c>
      <c r="S2498" s="238" t="s">
        <v>137</v>
      </c>
      <c r="T2498" s="238" t="s">
        <v>3540</v>
      </c>
      <c r="U2498">
        <v>62468</v>
      </c>
      <c r="V2498" t="s">
        <v>4092</v>
      </c>
      <c r="W2498" s="24">
        <v>45587</v>
      </c>
      <c r="X2498" s="238" t="s">
        <v>7910</v>
      </c>
      <c r="Y2498" s="238" t="s">
        <v>39</v>
      </c>
      <c r="Z2498" s="238" t="s">
        <v>1340</v>
      </c>
      <c r="AA2498" t="s">
        <v>3113</v>
      </c>
      <c r="AB2498" s="238" t="s">
        <v>3246</v>
      </c>
      <c r="AC2498" t="s">
        <v>3079</v>
      </c>
      <c r="AD2498" s="24"/>
      <c r="AE2498" s="238" t="s">
        <v>7911</v>
      </c>
      <c r="AF2498">
        <v>79991584000</v>
      </c>
      <c r="AG2498" s="238" t="s">
        <v>7912</v>
      </c>
      <c r="AH2498" s="238" t="s">
        <v>1212</v>
      </c>
      <c r="AI2498" s="238" t="s">
        <v>135</v>
      </c>
      <c r="AJ2498" s="238" t="s">
        <v>5215</v>
      </c>
      <c r="AK2498" s="238" t="s">
        <v>3345</v>
      </c>
      <c r="AL2498" t="s">
        <v>8715</v>
      </c>
      <c r="AM2498" t="s">
        <v>1167</v>
      </c>
    </row>
    <row r="2499" spans="1:39" x14ac:dyDescent="0.25">
      <c r="A2499">
        <v>2496</v>
      </c>
      <c r="B2499">
        <v>17</v>
      </c>
      <c r="C2499" s="24">
        <v>45589</v>
      </c>
      <c r="D2499" s="238" t="s">
        <v>3388</v>
      </c>
      <c r="E2499" s="238" t="s">
        <v>16</v>
      </c>
      <c r="F2499">
        <v>6</v>
      </c>
      <c r="G2499">
        <v>8</v>
      </c>
      <c r="H2499">
        <v>276</v>
      </c>
      <c r="I2499" s="238" t="s">
        <v>44</v>
      </c>
      <c r="J2499">
        <v>80.97</v>
      </c>
      <c r="K2499" s="238" t="s">
        <v>36</v>
      </c>
      <c r="L2499">
        <v>7603733</v>
      </c>
      <c r="M2499">
        <v>0</v>
      </c>
      <c r="N2499">
        <v>7603733</v>
      </c>
      <c r="O2499">
        <v>93908.027664567126</v>
      </c>
      <c r="P2499">
        <v>0</v>
      </c>
      <c r="Q2499">
        <v>7603733</v>
      </c>
      <c r="R2499">
        <v>93908.027664567126</v>
      </c>
      <c r="S2499" s="238" t="s">
        <v>137</v>
      </c>
      <c r="T2499" s="238" t="s">
        <v>3538</v>
      </c>
      <c r="U2499">
        <v>235167</v>
      </c>
      <c r="V2499" t="s">
        <v>4092</v>
      </c>
      <c r="W2499" s="24">
        <v>45560</v>
      </c>
      <c r="X2499" s="238" t="s">
        <v>7915</v>
      </c>
      <c r="Y2499" s="238" t="s">
        <v>39</v>
      </c>
      <c r="Z2499" s="238" t="s">
        <v>1340</v>
      </c>
      <c r="AA2499" t="s">
        <v>3113</v>
      </c>
      <c r="AB2499" s="238" t="s">
        <v>3246</v>
      </c>
      <c r="AC2499" t="s">
        <v>3079</v>
      </c>
      <c r="AD2499" s="24"/>
      <c r="AE2499" s="238" t="s">
        <v>7916</v>
      </c>
      <c r="AF2499">
        <v>79033033336</v>
      </c>
      <c r="AG2499" s="238" t="s">
        <v>7917</v>
      </c>
      <c r="AH2499" s="238" t="s">
        <v>1171</v>
      </c>
      <c r="AI2499" s="238" t="s">
        <v>3101</v>
      </c>
      <c r="AJ2499" s="238" t="s">
        <v>4177</v>
      </c>
      <c r="AK2499" s="238" t="s">
        <v>3345</v>
      </c>
      <c r="AL2499" t="s">
        <v>8715</v>
      </c>
      <c r="AM2499" t="s">
        <v>1167</v>
      </c>
    </row>
    <row r="2500" spans="1:39" x14ac:dyDescent="0.25">
      <c r="A2500">
        <v>2497</v>
      </c>
      <c r="B2500">
        <v>18</v>
      </c>
      <c r="C2500" s="24">
        <v>45589</v>
      </c>
      <c r="D2500" s="238" t="s">
        <v>3388</v>
      </c>
      <c r="E2500" s="238" t="s">
        <v>6</v>
      </c>
      <c r="F2500">
        <v>4</v>
      </c>
      <c r="G2500">
        <v>10</v>
      </c>
      <c r="H2500">
        <v>66</v>
      </c>
      <c r="I2500" s="238" t="s">
        <v>43</v>
      </c>
      <c r="J2500">
        <v>59.09</v>
      </c>
      <c r="K2500" s="238" t="s">
        <v>36</v>
      </c>
      <c r="L2500">
        <v>5673900</v>
      </c>
      <c r="M2500">
        <v>15000</v>
      </c>
      <c r="N2500">
        <v>5688900</v>
      </c>
      <c r="O2500">
        <v>96275.173464207139</v>
      </c>
      <c r="P2500">
        <v>0</v>
      </c>
      <c r="Q2500">
        <v>5688900</v>
      </c>
      <c r="R2500">
        <v>96275.173464207139</v>
      </c>
      <c r="S2500" s="238" t="s">
        <v>124</v>
      </c>
      <c r="T2500" s="238" t="s">
        <v>321</v>
      </c>
      <c r="U2500">
        <v>116100</v>
      </c>
      <c r="V2500" t="s">
        <v>1167</v>
      </c>
      <c r="W2500" s="24">
        <v>45560</v>
      </c>
      <c r="X2500" s="238" t="s">
        <v>7918</v>
      </c>
      <c r="Y2500" s="238" t="s">
        <v>39</v>
      </c>
      <c r="Z2500" s="238" t="s">
        <v>1340</v>
      </c>
      <c r="AA2500" t="s">
        <v>3474</v>
      </c>
      <c r="AB2500" s="238" t="s">
        <v>3246</v>
      </c>
      <c r="AC2500" t="s">
        <v>1167</v>
      </c>
      <c r="AD2500" s="24"/>
      <c r="AE2500" s="238" t="s">
        <v>7919</v>
      </c>
      <c r="AF2500">
        <v>79608256860</v>
      </c>
      <c r="AG2500" s="238" t="s">
        <v>7920</v>
      </c>
      <c r="AH2500" s="238" t="s">
        <v>1171</v>
      </c>
      <c r="AI2500" s="238" t="s">
        <v>3103</v>
      </c>
      <c r="AJ2500" s="238" t="s">
        <v>126</v>
      </c>
      <c r="AK2500" s="238" t="s">
        <v>1167</v>
      </c>
      <c r="AL2500" t="s">
        <v>8715</v>
      </c>
      <c r="AM2500" t="s">
        <v>1167</v>
      </c>
    </row>
    <row r="2501" spans="1:39" x14ac:dyDescent="0.25">
      <c r="A2501">
        <v>2498</v>
      </c>
      <c r="B2501">
        <v>19</v>
      </c>
      <c r="C2501" s="24">
        <v>45589</v>
      </c>
      <c r="D2501" s="238" t="s">
        <v>3388</v>
      </c>
      <c r="E2501" s="238" t="s">
        <v>6</v>
      </c>
      <c r="F2501">
        <v>1</v>
      </c>
      <c r="G2501">
        <v>12</v>
      </c>
      <c r="H2501">
        <v>77</v>
      </c>
      <c r="I2501" s="238" t="s">
        <v>42</v>
      </c>
      <c r="J2501">
        <v>34.39</v>
      </c>
      <c r="K2501" s="238" t="s">
        <v>6871</v>
      </c>
      <c r="L2501">
        <v>4479908</v>
      </c>
      <c r="M2501">
        <v>0</v>
      </c>
      <c r="N2501">
        <v>4479908</v>
      </c>
      <c r="O2501">
        <v>130267.75225356208</v>
      </c>
      <c r="P2501">
        <v>275120</v>
      </c>
      <c r="Q2501">
        <v>4204788</v>
      </c>
      <c r="R2501">
        <v>122267.75225356208</v>
      </c>
      <c r="S2501" s="238" t="s">
        <v>137</v>
      </c>
      <c r="T2501" s="238" t="s">
        <v>3540</v>
      </c>
      <c r="U2501">
        <v>85812</v>
      </c>
      <c r="V2501" t="s">
        <v>4092</v>
      </c>
      <c r="W2501" s="24">
        <v>45569</v>
      </c>
      <c r="X2501" s="238" t="s">
        <v>7921</v>
      </c>
      <c r="Y2501" s="238" t="s">
        <v>39</v>
      </c>
      <c r="Z2501" s="238" t="s">
        <v>1340</v>
      </c>
      <c r="AA2501" t="s">
        <v>3113</v>
      </c>
      <c r="AB2501" s="238" t="s">
        <v>3246</v>
      </c>
      <c r="AC2501" t="s">
        <v>3079</v>
      </c>
      <c r="AD2501" s="24"/>
      <c r="AE2501" s="238" t="s">
        <v>7922</v>
      </c>
      <c r="AF2501">
        <v>79379834176</v>
      </c>
      <c r="AG2501" s="238" t="s">
        <v>7923</v>
      </c>
      <c r="AH2501" s="238" t="s">
        <v>4072</v>
      </c>
      <c r="AI2501" s="238" t="s">
        <v>6406</v>
      </c>
      <c r="AJ2501" s="238" t="s">
        <v>4177</v>
      </c>
      <c r="AK2501" s="238" t="s">
        <v>7181</v>
      </c>
      <c r="AL2501" t="s">
        <v>57</v>
      </c>
      <c r="AM2501" t="s">
        <v>1167</v>
      </c>
    </row>
    <row r="2502" spans="1:39" x14ac:dyDescent="0.25">
      <c r="A2502">
        <v>2499</v>
      </c>
      <c r="B2502">
        <v>20</v>
      </c>
      <c r="C2502" s="24">
        <v>45589</v>
      </c>
      <c r="D2502" s="238" t="s">
        <v>3388</v>
      </c>
      <c r="E2502" s="238" t="s">
        <v>6</v>
      </c>
      <c r="F2502">
        <v>3</v>
      </c>
      <c r="G2502">
        <v>2</v>
      </c>
      <c r="H2502">
        <v>9</v>
      </c>
      <c r="I2502" s="238" t="s">
        <v>42</v>
      </c>
      <c r="J2502">
        <v>37.729999999999997</v>
      </c>
      <c r="K2502" s="238" t="s">
        <v>36</v>
      </c>
      <c r="L2502">
        <v>4602400</v>
      </c>
      <c r="M2502">
        <v>0</v>
      </c>
      <c r="N2502">
        <v>4602400</v>
      </c>
      <c r="O2502">
        <v>121982.50728862974</v>
      </c>
      <c r="P2502">
        <v>0</v>
      </c>
      <c r="Q2502">
        <v>4602400</v>
      </c>
      <c r="R2502">
        <v>121982.50728862974</v>
      </c>
      <c r="S2502" s="238" t="s">
        <v>137</v>
      </c>
      <c r="T2502" s="238" t="s">
        <v>1167</v>
      </c>
      <c r="V2502" t="s">
        <v>4092</v>
      </c>
      <c r="W2502" s="24">
        <v>45569</v>
      </c>
      <c r="X2502" s="238" t="s">
        <v>7924</v>
      </c>
      <c r="Y2502" s="238" t="s">
        <v>39</v>
      </c>
      <c r="Z2502" s="238" t="s">
        <v>1340</v>
      </c>
      <c r="AA2502" t="s">
        <v>3113</v>
      </c>
      <c r="AB2502" s="238" t="s">
        <v>3246</v>
      </c>
      <c r="AC2502" t="s">
        <v>3079</v>
      </c>
      <c r="AD2502" s="24"/>
      <c r="AE2502" s="238" t="s">
        <v>7925</v>
      </c>
      <c r="AF2502">
        <v>79372001140</v>
      </c>
      <c r="AG2502" s="238" t="s">
        <v>7926</v>
      </c>
      <c r="AH2502" s="238" t="s">
        <v>1212</v>
      </c>
      <c r="AI2502" s="238" t="s">
        <v>3102</v>
      </c>
      <c r="AJ2502" s="238" t="s">
        <v>4177</v>
      </c>
      <c r="AK2502" s="238" t="s">
        <v>3345</v>
      </c>
      <c r="AL2502" t="s">
        <v>8715</v>
      </c>
      <c r="AM2502" t="s">
        <v>1167</v>
      </c>
    </row>
    <row r="2503" spans="1:39" x14ac:dyDescent="0.25">
      <c r="A2503">
        <v>2500</v>
      </c>
      <c r="B2503">
        <v>21</v>
      </c>
      <c r="C2503" s="24">
        <v>45589</v>
      </c>
      <c r="D2503" s="238" t="s">
        <v>3388</v>
      </c>
      <c r="E2503" s="238" t="s">
        <v>5</v>
      </c>
      <c r="F2503">
        <v>2</v>
      </c>
      <c r="G2503">
        <v>10</v>
      </c>
      <c r="H2503">
        <v>175</v>
      </c>
      <c r="I2503" s="238" t="s">
        <v>4052</v>
      </c>
      <c r="J2503">
        <v>24.28</v>
      </c>
      <c r="K2503" s="238" t="s">
        <v>38</v>
      </c>
      <c r="L2503">
        <v>3686020</v>
      </c>
      <c r="M2503">
        <v>0</v>
      </c>
      <c r="N2503">
        <v>3686020</v>
      </c>
      <c r="O2503">
        <v>151813.01482701811</v>
      </c>
      <c r="P2503">
        <v>582720</v>
      </c>
      <c r="Q2503">
        <v>3103300</v>
      </c>
      <c r="R2503">
        <v>127813.01482701811</v>
      </c>
      <c r="S2503" s="238" t="s">
        <v>137</v>
      </c>
      <c r="T2503" s="238" t="s">
        <v>324</v>
      </c>
      <c r="U2503">
        <v>50000</v>
      </c>
      <c r="V2503" t="s">
        <v>4092</v>
      </c>
      <c r="W2503" s="24">
        <v>45575</v>
      </c>
      <c r="X2503" s="238" t="s">
        <v>7927</v>
      </c>
      <c r="Y2503" s="238" t="s">
        <v>39</v>
      </c>
      <c r="Z2503" s="238" t="s">
        <v>1340</v>
      </c>
      <c r="AA2503" t="s">
        <v>3113</v>
      </c>
      <c r="AB2503" s="238" t="s">
        <v>3246</v>
      </c>
      <c r="AC2503" t="s">
        <v>3079</v>
      </c>
      <c r="AD2503" s="24"/>
      <c r="AE2503" s="238" t="s">
        <v>7928</v>
      </c>
      <c r="AF2503">
        <v>79061579658</v>
      </c>
      <c r="AG2503" s="238" t="s">
        <v>7929</v>
      </c>
      <c r="AH2503" s="238" t="s">
        <v>4072</v>
      </c>
      <c r="AI2503" s="238" t="s">
        <v>7930</v>
      </c>
      <c r="AJ2503" s="238" t="s">
        <v>5215</v>
      </c>
      <c r="AK2503" s="238" t="s">
        <v>7181</v>
      </c>
      <c r="AL2503" t="s">
        <v>57</v>
      </c>
      <c r="AM2503" t="s">
        <v>1167</v>
      </c>
    </row>
    <row r="2504" spans="1:39" x14ac:dyDescent="0.25">
      <c r="A2504">
        <v>2501</v>
      </c>
      <c r="B2504">
        <v>22</v>
      </c>
      <c r="C2504" s="24">
        <v>45589</v>
      </c>
      <c r="D2504" s="238" t="s">
        <v>3388</v>
      </c>
      <c r="E2504" s="238" t="s">
        <v>16</v>
      </c>
      <c r="F2504">
        <v>1</v>
      </c>
      <c r="G2504">
        <v>14</v>
      </c>
      <c r="H2504">
        <v>313</v>
      </c>
      <c r="I2504" s="238" t="s">
        <v>43</v>
      </c>
      <c r="J2504">
        <v>73.7</v>
      </c>
      <c r="K2504" s="238" t="s">
        <v>6871</v>
      </c>
      <c r="L2504">
        <v>7687500</v>
      </c>
      <c r="M2504">
        <v>0</v>
      </c>
      <c r="N2504">
        <v>7687500</v>
      </c>
      <c r="O2504">
        <v>104308.00542740841</v>
      </c>
      <c r="P2504">
        <v>589600</v>
      </c>
      <c r="Q2504">
        <v>7097900</v>
      </c>
      <c r="R2504">
        <v>96308.00542740841</v>
      </c>
      <c r="S2504" s="238" t="s">
        <v>137</v>
      </c>
      <c r="T2504" s="238" t="s">
        <v>1167</v>
      </c>
      <c r="V2504" t="s">
        <v>4092</v>
      </c>
      <c r="W2504" s="24">
        <v>45580</v>
      </c>
      <c r="X2504" s="238" t="s">
        <v>7931</v>
      </c>
      <c r="Y2504" s="238" t="s">
        <v>39</v>
      </c>
      <c r="Z2504" s="238" t="s">
        <v>1340</v>
      </c>
      <c r="AA2504" t="s">
        <v>3113</v>
      </c>
      <c r="AB2504" s="238" t="s">
        <v>3246</v>
      </c>
      <c r="AC2504" t="s">
        <v>3079</v>
      </c>
      <c r="AD2504" s="24"/>
      <c r="AE2504" s="238" t="s">
        <v>7932</v>
      </c>
      <c r="AF2504">
        <v>79372005740</v>
      </c>
      <c r="AG2504" s="238" t="s">
        <v>7933</v>
      </c>
      <c r="AH2504" s="238" t="s">
        <v>1171</v>
      </c>
      <c r="AI2504" s="238" t="s">
        <v>135</v>
      </c>
      <c r="AJ2504" s="238" t="s">
        <v>4177</v>
      </c>
      <c r="AK2504" s="238" t="s">
        <v>3345</v>
      </c>
      <c r="AL2504" t="s">
        <v>8715</v>
      </c>
      <c r="AM2504" t="s">
        <v>1167</v>
      </c>
    </row>
    <row r="2505" spans="1:39" x14ac:dyDescent="0.25">
      <c r="A2505">
        <v>2502</v>
      </c>
      <c r="B2505">
        <v>23</v>
      </c>
      <c r="C2505" s="24">
        <v>45589</v>
      </c>
      <c r="D2505" s="238" t="s">
        <v>3388</v>
      </c>
      <c r="E2505" s="238" t="s">
        <v>16</v>
      </c>
      <c r="F2505">
        <v>5</v>
      </c>
      <c r="G2505">
        <v>17</v>
      </c>
      <c r="H2505">
        <v>338</v>
      </c>
      <c r="I2505" s="238" t="s">
        <v>42</v>
      </c>
      <c r="J2505">
        <v>37.81</v>
      </c>
      <c r="K2505" s="238" t="s">
        <v>6871</v>
      </c>
      <c r="L2505">
        <v>4626926</v>
      </c>
      <c r="M2505">
        <v>0</v>
      </c>
      <c r="N2505">
        <v>4626926</v>
      </c>
      <c r="O2505">
        <v>122373.07590584501</v>
      </c>
      <c r="P2505">
        <v>302480</v>
      </c>
      <c r="Q2505">
        <v>4324446</v>
      </c>
      <c r="R2505">
        <v>114373.07590584501</v>
      </c>
      <c r="S2505" s="238" t="s">
        <v>137</v>
      </c>
      <c r="T2505" s="238" t="s">
        <v>3540</v>
      </c>
      <c r="U2505">
        <v>88254</v>
      </c>
      <c r="V2505" t="s">
        <v>4092</v>
      </c>
      <c r="W2505" s="24">
        <v>45580</v>
      </c>
      <c r="X2505" s="238" t="s">
        <v>7934</v>
      </c>
      <c r="Y2505" s="238" t="s">
        <v>39</v>
      </c>
      <c r="Z2505" s="238" t="s">
        <v>1340</v>
      </c>
      <c r="AA2505" t="s">
        <v>3113</v>
      </c>
      <c r="AB2505" s="238" t="s">
        <v>3246</v>
      </c>
      <c r="AC2505" t="s">
        <v>3079</v>
      </c>
      <c r="AD2505" s="24"/>
      <c r="AE2505" s="238" t="s">
        <v>7935</v>
      </c>
      <c r="AF2505">
        <v>79226285445</v>
      </c>
      <c r="AG2505" s="238" t="s">
        <v>7936</v>
      </c>
      <c r="AH2505" s="238" t="s">
        <v>4072</v>
      </c>
      <c r="AI2505" s="238" t="s">
        <v>6823</v>
      </c>
      <c r="AJ2505" s="238" t="s">
        <v>126</v>
      </c>
      <c r="AK2505" s="238" t="s">
        <v>3345</v>
      </c>
      <c r="AL2505" t="s">
        <v>57</v>
      </c>
      <c r="AM2505" t="s">
        <v>1167</v>
      </c>
    </row>
    <row r="2506" spans="1:39" x14ac:dyDescent="0.25">
      <c r="A2506">
        <v>2503</v>
      </c>
      <c r="B2506">
        <v>24</v>
      </c>
      <c r="C2506" s="24">
        <v>45590</v>
      </c>
      <c r="D2506" s="238" t="s">
        <v>3388</v>
      </c>
      <c r="E2506" s="238" t="s">
        <v>6</v>
      </c>
      <c r="F2506">
        <v>7</v>
      </c>
      <c r="G2506">
        <v>7</v>
      </c>
      <c r="H2506">
        <v>48</v>
      </c>
      <c r="I2506" s="238" t="s">
        <v>42</v>
      </c>
      <c r="J2506">
        <v>42.75</v>
      </c>
      <c r="K2506" s="238" t="s">
        <v>36</v>
      </c>
      <c r="L2506">
        <v>4628344</v>
      </c>
      <c r="M2506">
        <v>0</v>
      </c>
      <c r="N2506">
        <v>4628344</v>
      </c>
      <c r="O2506">
        <v>108265.35672514619</v>
      </c>
      <c r="P2506">
        <v>0</v>
      </c>
      <c r="Q2506">
        <v>4628344</v>
      </c>
      <c r="R2506">
        <v>108265.35672514619</v>
      </c>
      <c r="S2506" s="238" t="s">
        <v>137</v>
      </c>
      <c r="T2506" s="238" t="s">
        <v>3540</v>
      </c>
      <c r="U2506">
        <v>94456</v>
      </c>
      <c r="V2506" t="s">
        <v>4092</v>
      </c>
      <c r="W2506" s="24">
        <v>45587</v>
      </c>
      <c r="X2506" s="238" t="s">
        <v>7938</v>
      </c>
      <c r="Y2506" s="238" t="s">
        <v>39</v>
      </c>
      <c r="Z2506" s="238" t="s">
        <v>1340</v>
      </c>
      <c r="AA2506" t="s">
        <v>3113</v>
      </c>
      <c r="AB2506" s="238" t="s">
        <v>3246</v>
      </c>
      <c r="AC2506" t="s">
        <v>3079</v>
      </c>
      <c r="AD2506" s="24"/>
      <c r="AE2506" s="238" t="s">
        <v>7939</v>
      </c>
      <c r="AF2506">
        <v>79228571888</v>
      </c>
      <c r="AG2506" s="238" t="s">
        <v>7940</v>
      </c>
      <c r="AH2506" s="238" t="s">
        <v>4072</v>
      </c>
      <c r="AI2506" s="238" t="s">
        <v>7721</v>
      </c>
      <c r="AJ2506" s="238" t="s">
        <v>126</v>
      </c>
      <c r="AK2506" s="238" t="s">
        <v>3345</v>
      </c>
      <c r="AL2506" t="s">
        <v>57</v>
      </c>
      <c r="AM2506" t="s">
        <v>1167</v>
      </c>
    </row>
    <row r="2507" spans="1:39" x14ac:dyDescent="0.25">
      <c r="A2507">
        <v>2504</v>
      </c>
      <c r="B2507">
        <v>25</v>
      </c>
      <c r="C2507" s="24">
        <v>45593</v>
      </c>
      <c r="D2507" s="238" t="s">
        <v>3388</v>
      </c>
      <c r="E2507" s="238" t="s">
        <v>16</v>
      </c>
      <c r="F2507">
        <v>4</v>
      </c>
      <c r="G2507">
        <v>12</v>
      </c>
      <c r="H2507">
        <v>302</v>
      </c>
      <c r="I2507" s="238" t="s">
        <v>43</v>
      </c>
      <c r="J2507">
        <v>60.24</v>
      </c>
      <c r="K2507" s="238" t="s">
        <v>38</v>
      </c>
      <c r="L2507">
        <v>7156700</v>
      </c>
      <c r="M2507">
        <v>45000</v>
      </c>
      <c r="N2507">
        <v>7201700</v>
      </c>
      <c r="O2507">
        <v>119550.13280212483</v>
      </c>
      <c r="P2507">
        <v>1204800</v>
      </c>
      <c r="Q2507">
        <v>5996900</v>
      </c>
      <c r="R2507">
        <v>99550.132802124834</v>
      </c>
      <c r="S2507" s="238" t="s">
        <v>137</v>
      </c>
      <c r="T2507" s="238" t="s">
        <v>1167</v>
      </c>
      <c r="V2507" t="s">
        <v>4092</v>
      </c>
      <c r="W2507" s="24">
        <v>45534</v>
      </c>
      <c r="X2507" s="238" t="s">
        <v>7941</v>
      </c>
      <c r="Y2507" s="238" t="s">
        <v>39</v>
      </c>
      <c r="Z2507" s="238" t="s">
        <v>1340</v>
      </c>
      <c r="AA2507" t="s">
        <v>3113</v>
      </c>
      <c r="AB2507" s="238" t="s">
        <v>3246</v>
      </c>
      <c r="AC2507" t="s">
        <v>3079</v>
      </c>
      <c r="AD2507" s="24"/>
      <c r="AE2507" s="238" t="s">
        <v>7942</v>
      </c>
      <c r="AF2507">
        <v>79277855710</v>
      </c>
      <c r="AG2507" s="238" t="s">
        <v>7943</v>
      </c>
      <c r="AH2507" s="238" t="s">
        <v>135</v>
      </c>
      <c r="AI2507" s="238" t="s">
        <v>3097</v>
      </c>
      <c r="AJ2507" s="238" t="s">
        <v>4177</v>
      </c>
      <c r="AK2507" s="238" t="s">
        <v>7181</v>
      </c>
      <c r="AL2507" t="s">
        <v>8715</v>
      </c>
      <c r="AM2507" t="s">
        <v>1167</v>
      </c>
    </row>
    <row r="2508" spans="1:39" x14ac:dyDescent="0.25">
      <c r="A2508">
        <v>2505</v>
      </c>
      <c r="B2508">
        <v>26</v>
      </c>
      <c r="C2508" s="24">
        <v>45593</v>
      </c>
      <c r="D2508" s="238" t="s">
        <v>3388</v>
      </c>
      <c r="E2508" s="238" t="s">
        <v>16</v>
      </c>
      <c r="F2508">
        <v>6</v>
      </c>
      <c r="G2508">
        <v>7</v>
      </c>
      <c r="H2508">
        <v>269</v>
      </c>
      <c r="I2508" s="238" t="s">
        <v>44</v>
      </c>
      <c r="J2508">
        <v>80.97</v>
      </c>
      <c r="K2508" s="238" t="s">
        <v>36</v>
      </c>
      <c r="L2508">
        <v>7449900</v>
      </c>
      <c r="M2508">
        <v>15000</v>
      </c>
      <c r="N2508">
        <v>7464900</v>
      </c>
      <c r="O2508">
        <v>92193.404964801783</v>
      </c>
      <c r="P2508">
        <v>0</v>
      </c>
      <c r="Q2508">
        <v>7464900</v>
      </c>
      <c r="R2508">
        <v>92193.404964801783</v>
      </c>
      <c r="S2508" s="238" t="s">
        <v>124</v>
      </c>
      <c r="T2508" s="238" t="s">
        <v>1167</v>
      </c>
      <c r="V2508" t="s">
        <v>1167</v>
      </c>
      <c r="W2508" s="24">
        <v>45562</v>
      </c>
      <c r="X2508" s="238" t="s">
        <v>7944</v>
      </c>
      <c r="Y2508" s="238" t="s">
        <v>39</v>
      </c>
      <c r="Z2508" s="238" t="s">
        <v>1340</v>
      </c>
      <c r="AA2508" t="s">
        <v>3113</v>
      </c>
      <c r="AB2508" s="238" t="s">
        <v>3246</v>
      </c>
      <c r="AC2508" t="s">
        <v>1167</v>
      </c>
      <c r="AD2508" s="24"/>
      <c r="AE2508" s="238" t="s">
        <v>7945</v>
      </c>
      <c r="AF2508">
        <v>79260706169</v>
      </c>
      <c r="AG2508" s="238" t="s">
        <v>7946</v>
      </c>
      <c r="AH2508" s="238" t="s">
        <v>1212</v>
      </c>
      <c r="AI2508" s="238" t="s">
        <v>3074</v>
      </c>
      <c r="AJ2508" s="238" t="s">
        <v>4177</v>
      </c>
      <c r="AK2508" s="238" t="s">
        <v>1167</v>
      </c>
      <c r="AL2508" t="s">
        <v>8715</v>
      </c>
      <c r="AM2508" t="s">
        <v>1167</v>
      </c>
    </row>
    <row r="2509" spans="1:39" x14ac:dyDescent="0.25">
      <c r="A2509">
        <v>2506</v>
      </c>
      <c r="B2509">
        <v>27</v>
      </c>
      <c r="C2509" s="24">
        <v>45594</v>
      </c>
      <c r="D2509" s="238" t="s">
        <v>3388</v>
      </c>
      <c r="E2509" s="238" t="s">
        <v>16</v>
      </c>
      <c r="F2509">
        <v>4</v>
      </c>
      <c r="G2509">
        <v>16</v>
      </c>
      <c r="H2509">
        <v>330</v>
      </c>
      <c r="I2509" s="238" t="s">
        <v>43</v>
      </c>
      <c r="J2509">
        <v>60.24</v>
      </c>
      <c r="K2509" s="238" t="s">
        <v>38</v>
      </c>
      <c r="L2509">
        <v>7557824</v>
      </c>
      <c r="M2509">
        <v>0</v>
      </c>
      <c r="N2509">
        <v>7557824</v>
      </c>
      <c r="O2509">
        <v>125461.88579017264</v>
      </c>
      <c r="P2509">
        <v>1445760</v>
      </c>
      <c r="Q2509">
        <v>6112064</v>
      </c>
      <c r="R2509">
        <v>101461.88579017264</v>
      </c>
      <c r="S2509" s="238" t="s">
        <v>137</v>
      </c>
      <c r="T2509" s="238" t="s">
        <v>3540</v>
      </c>
      <c r="U2509">
        <v>124736</v>
      </c>
      <c r="V2509" t="s">
        <v>4092</v>
      </c>
      <c r="W2509" s="24">
        <v>45588</v>
      </c>
      <c r="X2509" s="238" t="s">
        <v>7948</v>
      </c>
      <c r="Y2509" s="238" t="s">
        <v>39</v>
      </c>
      <c r="Z2509" s="238" t="s">
        <v>1340</v>
      </c>
      <c r="AA2509" t="s">
        <v>3113</v>
      </c>
      <c r="AB2509" s="238" t="s">
        <v>3246</v>
      </c>
      <c r="AC2509" t="s">
        <v>3079</v>
      </c>
      <c r="AD2509" s="24"/>
      <c r="AE2509" s="238" t="s">
        <v>7949</v>
      </c>
      <c r="AF2509">
        <v>79879019958</v>
      </c>
      <c r="AG2509" s="238" t="s">
        <v>7950</v>
      </c>
      <c r="AH2509" s="238" t="s">
        <v>4072</v>
      </c>
      <c r="AI2509" s="238" t="s">
        <v>7930</v>
      </c>
      <c r="AJ2509" s="238" t="s">
        <v>4177</v>
      </c>
      <c r="AK2509" s="238" t="s">
        <v>3345</v>
      </c>
      <c r="AL2509" t="s">
        <v>57</v>
      </c>
      <c r="AM2509" t="s">
        <v>1167</v>
      </c>
    </row>
    <row r="2510" spans="1:39" x14ac:dyDescent="0.25">
      <c r="A2510">
        <v>2507</v>
      </c>
      <c r="B2510">
        <v>28</v>
      </c>
      <c r="C2510" s="24">
        <v>45594</v>
      </c>
      <c r="D2510" s="238" t="s">
        <v>3388</v>
      </c>
      <c r="E2510" s="238" t="s">
        <v>15</v>
      </c>
      <c r="F2510">
        <v>6</v>
      </c>
      <c r="G2510">
        <v>2</v>
      </c>
      <c r="H2510">
        <v>402</v>
      </c>
      <c r="I2510" s="238" t="s">
        <v>42</v>
      </c>
      <c r="J2510">
        <v>38.299999999999997</v>
      </c>
      <c r="K2510" s="238" t="s">
        <v>36</v>
      </c>
      <c r="L2510">
        <v>4412058</v>
      </c>
      <c r="M2510">
        <v>0</v>
      </c>
      <c r="N2510">
        <v>4412058</v>
      </c>
      <c r="O2510">
        <v>115197.33681462142</v>
      </c>
      <c r="P2510">
        <v>0</v>
      </c>
      <c r="Q2510">
        <v>4412058</v>
      </c>
      <c r="R2510">
        <v>115197.33681462142</v>
      </c>
      <c r="S2510" s="238" t="s">
        <v>137</v>
      </c>
      <c r="T2510" s="238" t="s">
        <v>3540</v>
      </c>
      <c r="U2510">
        <v>90042</v>
      </c>
      <c r="V2510" t="s">
        <v>4092</v>
      </c>
      <c r="W2510" s="24">
        <v>45589</v>
      </c>
      <c r="X2510" s="238" t="s">
        <v>7951</v>
      </c>
      <c r="Y2510" s="238" t="s">
        <v>39</v>
      </c>
      <c r="Z2510" s="238" t="s">
        <v>1340</v>
      </c>
      <c r="AA2510" t="s">
        <v>3113</v>
      </c>
      <c r="AB2510" s="238" t="s">
        <v>3246</v>
      </c>
      <c r="AC2510" t="s">
        <v>3079</v>
      </c>
      <c r="AD2510" s="24"/>
      <c r="AE2510" s="238" t="s">
        <v>7952</v>
      </c>
      <c r="AF2510">
        <v>79270053360</v>
      </c>
      <c r="AG2510" s="238" t="s">
        <v>7953</v>
      </c>
      <c r="AH2510" s="238" t="s">
        <v>1171</v>
      </c>
      <c r="AI2510" s="238" t="s">
        <v>3074</v>
      </c>
      <c r="AJ2510" s="238" t="s">
        <v>5215</v>
      </c>
      <c r="AK2510" s="238" t="s">
        <v>3345</v>
      </c>
      <c r="AL2510" t="s">
        <v>8715</v>
      </c>
      <c r="AM2510" t="s">
        <v>7735</v>
      </c>
    </row>
    <row r="2511" spans="1:39" x14ac:dyDescent="0.25">
      <c r="A2511">
        <v>2508</v>
      </c>
      <c r="B2511">
        <v>29</v>
      </c>
      <c r="C2511" s="24">
        <v>45594</v>
      </c>
      <c r="D2511" s="238" t="s">
        <v>3388</v>
      </c>
      <c r="E2511" s="238" t="s">
        <v>16</v>
      </c>
      <c r="F2511">
        <v>2</v>
      </c>
      <c r="G2511">
        <v>22</v>
      </c>
      <c r="H2511">
        <v>370</v>
      </c>
      <c r="I2511" s="238" t="s">
        <v>4052</v>
      </c>
      <c r="J2511">
        <v>24.53</v>
      </c>
      <c r="K2511" s="238" t="s">
        <v>6871</v>
      </c>
      <c r="L2511">
        <v>3497053</v>
      </c>
      <c r="M2511">
        <v>0</v>
      </c>
      <c r="N2511">
        <v>3497053</v>
      </c>
      <c r="O2511">
        <v>142562.29107215654</v>
      </c>
      <c r="P2511">
        <v>196240</v>
      </c>
      <c r="Q2511">
        <v>3300813</v>
      </c>
      <c r="R2511">
        <v>134562.29107215654</v>
      </c>
      <c r="S2511" s="238" t="s">
        <v>137</v>
      </c>
      <c r="T2511" s="238" t="s">
        <v>321</v>
      </c>
      <c r="U2511">
        <v>102087</v>
      </c>
      <c r="V2511" t="s">
        <v>4092</v>
      </c>
      <c r="W2511" s="24">
        <v>45593</v>
      </c>
      <c r="X2511" s="238" t="s">
        <v>7954</v>
      </c>
      <c r="Y2511" s="238" t="s">
        <v>39</v>
      </c>
      <c r="Z2511" s="238" t="s">
        <v>1340</v>
      </c>
      <c r="AA2511" t="s">
        <v>3113</v>
      </c>
      <c r="AB2511" s="238" t="s">
        <v>3246</v>
      </c>
      <c r="AC2511" t="s">
        <v>3079</v>
      </c>
      <c r="AD2511" s="24"/>
      <c r="AE2511" s="238" t="s">
        <v>7955</v>
      </c>
      <c r="AF2511">
        <v>79613835070</v>
      </c>
      <c r="AG2511" s="238" t="s">
        <v>7956</v>
      </c>
      <c r="AH2511" s="238" t="s">
        <v>1212</v>
      </c>
      <c r="AI2511" s="238" t="s">
        <v>3101</v>
      </c>
      <c r="AJ2511" s="238" t="s">
        <v>126</v>
      </c>
      <c r="AK2511" s="238" t="s">
        <v>3345</v>
      </c>
      <c r="AL2511" t="s">
        <v>8715</v>
      </c>
      <c r="AM2511" t="s">
        <v>1167</v>
      </c>
    </row>
    <row r="2512" spans="1:39" x14ac:dyDescent="0.25">
      <c r="A2512">
        <v>2509</v>
      </c>
      <c r="B2512">
        <v>30</v>
      </c>
      <c r="C2512" s="24">
        <v>45594</v>
      </c>
      <c r="D2512" s="238" t="s">
        <v>3388</v>
      </c>
      <c r="E2512" s="238" t="s">
        <v>5</v>
      </c>
      <c r="F2512">
        <v>5</v>
      </c>
      <c r="G2512">
        <v>9</v>
      </c>
      <c r="H2512">
        <v>171</v>
      </c>
      <c r="I2512" s="238" t="s">
        <v>42</v>
      </c>
      <c r="J2512">
        <v>37.86</v>
      </c>
      <c r="K2512" s="238" t="s">
        <v>38</v>
      </c>
      <c r="L2512">
        <v>5247353</v>
      </c>
      <c r="M2512">
        <v>0</v>
      </c>
      <c r="N2512">
        <v>5247353</v>
      </c>
      <c r="O2512">
        <v>138598.86423666138</v>
      </c>
      <c r="P2512">
        <v>908640</v>
      </c>
      <c r="Q2512">
        <v>4338713</v>
      </c>
      <c r="R2512">
        <v>114598.86423666138</v>
      </c>
      <c r="S2512" s="238" t="s">
        <v>137</v>
      </c>
      <c r="T2512" s="238" t="s">
        <v>978</v>
      </c>
      <c r="U2512">
        <v>134187</v>
      </c>
      <c r="V2512" t="s">
        <v>4092</v>
      </c>
      <c r="W2512" s="24">
        <v>45593</v>
      </c>
      <c r="X2512" s="238" t="s">
        <v>7957</v>
      </c>
      <c r="Y2512" s="238" t="s">
        <v>39</v>
      </c>
      <c r="Z2512" s="238" t="s">
        <v>1340</v>
      </c>
      <c r="AA2512" t="s">
        <v>3113</v>
      </c>
      <c r="AB2512" s="238" t="s">
        <v>3246</v>
      </c>
      <c r="AC2512" t="s">
        <v>3079</v>
      </c>
      <c r="AD2512" s="24"/>
      <c r="AE2512" s="238" t="s">
        <v>7958</v>
      </c>
      <c r="AF2512">
        <v>79372086897</v>
      </c>
      <c r="AG2512" s="238" t="s">
        <v>7959</v>
      </c>
      <c r="AH2512" s="238" t="s">
        <v>4072</v>
      </c>
      <c r="AI2512" s="238" t="s">
        <v>7930</v>
      </c>
      <c r="AJ2512" s="238" t="s">
        <v>4177</v>
      </c>
      <c r="AK2512" s="238" t="s">
        <v>3345</v>
      </c>
      <c r="AL2512" t="s">
        <v>57</v>
      </c>
      <c r="AM2512" t="s">
        <v>1167</v>
      </c>
    </row>
    <row r="2513" spans="1:39" x14ac:dyDescent="0.25">
      <c r="A2513">
        <v>2510</v>
      </c>
      <c r="B2513">
        <v>31</v>
      </c>
      <c r="C2513" s="24">
        <v>45594</v>
      </c>
      <c r="D2513" s="238" t="s">
        <v>3388</v>
      </c>
      <c r="E2513" s="238" t="s">
        <v>16</v>
      </c>
      <c r="F2513">
        <v>2</v>
      </c>
      <c r="G2513">
        <v>7</v>
      </c>
      <c r="H2513">
        <v>265</v>
      </c>
      <c r="I2513" s="238" t="s">
        <v>4052</v>
      </c>
      <c r="J2513">
        <v>24.53</v>
      </c>
      <c r="K2513" s="238" t="s">
        <v>6871</v>
      </c>
      <c r="L2513">
        <v>3392540</v>
      </c>
      <c r="M2513">
        <v>0</v>
      </c>
      <c r="N2513">
        <v>3392540</v>
      </c>
      <c r="O2513">
        <v>138301.67142274766</v>
      </c>
      <c r="P2513">
        <v>196240</v>
      </c>
      <c r="Q2513">
        <v>3196300</v>
      </c>
      <c r="R2513">
        <v>130301.67142274765</v>
      </c>
      <c r="S2513" s="238" t="s">
        <v>137</v>
      </c>
      <c r="T2513" s="238" t="s">
        <v>1167</v>
      </c>
      <c r="V2513" t="s">
        <v>4092</v>
      </c>
      <c r="W2513" s="24">
        <v>45593</v>
      </c>
      <c r="X2513" s="238" t="s">
        <v>7960</v>
      </c>
      <c r="Y2513" s="238" t="s">
        <v>39</v>
      </c>
      <c r="Z2513" s="238" t="s">
        <v>1340</v>
      </c>
      <c r="AA2513" t="s">
        <v>3113</v>
      </c>
      <c r="AB2513" s="238" t="s">
        <v>3246</v>
      </c>
      <c r="AC2513" t="s">
        <v>3079</v>
      </c>
      <c r="AD2513" s="24"/>
      <c r="AE2513" s="238" t="s">
        <v>7961</v>
      </c>
      <c r="AF2513">
        <v>79277360735</v>
      </c>
      <c r="AG2513" s="238" t="s">
        <v>7962</v>
      </c>
      <c r="AH2513" s="238" t="s">
        <v>4072</v>
      </c>
      <c r="AI2513" s="238" t="s">
        <v>6407</v>
      </c>
      <c r="AJ2513" s="238" t="s">
        <v>4177</v>
      </c>
      <c r="AK2513" s="238" t="s">
        <v>3345</v>
      </c>
      <c r="AL2513" t="s">
        <v>57</v>
      </c>
      <c r="AM2513" t="s">
        <v>1167</v>
      </c>
    </row>
    <row r="2514" spans="1:39" x14ac:dyDescent="0.25">
      <c r="A2514">
        <v>2511</v>
      </c>
      <c r="B2514">
        <v>32</v>
      </c>
      <c r="C2514" s="24">
        <v>45594</v>
      </c>
      <c r="D2514" s="238" t="s">
        <v>3388</v>
      </c>
      <c r="E2514" s="238" t="s">
        <v>5</v>
      </c>
      <c r="F2514">
        <v>4</v>
      </c>
      <c r="G2514">
        <v>5</v>
      </c>
      <c r="H2514">
        <v>142</v>
      </c>
      <c r="I2514" s="238" t="s">
        <v>43</v>
      </c>
      <c r="J2514">
        <v>58.31</v>
      </c>
      <c r="K2514" s="238" t="s">
        <v>36</v>
      </c>
      <c r="L2514">
        <v>6017600</v>
      </c>
      <c r="M2514">
        <v>0</v>
      </c>
      <c r="N2514">
        <v>6017600</v>
      </c>
      <c r="O2514">
        <v>103200.13719773623</v>
      </c>
      <c r="P2514">
        <v>0</v>
      </c>
      <c r="Q2514">
        <v>6017600</v>
      </c>
      <c r="R2514">
        <v>103200.13719773623</v>
      </c>
      <c r="S2514" s="238" t="s">
        <v>137</v>
      </c>
      <c r="T2514" s="238" t="s">
        <v>1167</v>
      </c>
      <c r="V2514" t="s">
        <v>4092</v>
      </c>
      <c r="W2514" s="24">
        <v>45593</v>
      </c>
      <c r="X2514" s="238" t="s">
        <v>7963</v>
      </c>
      <c r="Y2514" s="238" t="s">
        <v>39</v>
      </c>
      <c r="Z2514" s="238" t="s">
        <v>1340</v>
      </c>
      <c r="AA2514" t="s">
        <v>3113</v>
      </c>
      <c r="AB2514" s="238" t="s">
        <v>3246</v>
      </c>
      <c r="AC2514" t="s">
        <v>3079</v>
      </c>
      <c r="AD2514" s="24"/>
      <c r="AE2514" s="238" t="s">
        <v>7964</v>
      </c>
      <c r="AF2514">
        <v>79376676066</v>
      </c>
      <c r="AG2514" s="238" t="s">
        <v>7965</v>
      </c>
      <c r="AH2514" s="238" t="s">
        <v>4072</v>
      </c>
      <c r="AI2514" s="238" t="s">
        <v>6823</v>
      </c>
      <c r="AJ2514" s="238" t="s">
        <v>4177</v>
      </c>
      <c r="AK2514" s="238" t="s">
        <v>3345</v>
      </c>
      <c r="AL2514" t="s">
        <v>57</v>
      </c>
      <c r="AM2514" t="s">
        <v>1167</v>
      </c>
    </row>
    <row r="2515" spans="1:39" x14ac:dyDescent="0.25">
      <c r="A2515">
        <v>2512</v>
      </c>
      <c r="B2515">
        <v>33</v>
      </c>
      <c r="C2515" s="24">
        <v>45595</v>
      </c>
      <c r="D2515" s="238" t="s">
        <v>3388</v>
      </c>
      <c r="E2515" s="238" t="s">
        <v>15</v>
      </c>
      <c r="F2515">
        <v>1</v>
      </c>
      <c r="G2515">
        <v>8</v>
      </c>
      <c r="H2515">
        <v>445</v>
      </c>
      <c r="I2515" s="238" t="s">
        <v>4052</v>
      </c>
      <c r="J2515">
        <v>29.4</v>
      </c>
      <c r="K2515" s="238" t="s">
        <v>6871</v>
      </c>
      <c r="L2515">
        <v>3703000</v>
      </c>
      <c r="M2515">
        <v>0</v>
      </c>
      <c r="N2515">
        <v>3703000</v>
      </c>
      <c r="O2515">
        <v>125952.38095238096</v>
      </c>
      <c r="P2515">
        <v>235200</v>
      </c>
      <c r="Q2515">
        <v>3467800</v>
      </c>
      <c r="R2515">
        <v>117952.38095238096</v>
      </c>
      <c r="S2515" s="238" t="s">
        <v>137</v>
      </c>
      <c r="T2515" s="238" t="s">
        <v>1167</v>
      </c>
      <c r="V2515" t="s">
        <v>4092</v>
      </c>
      <c r="W2515" s="24">
        <v>45592</v>
      </c>
      <c r="X2515" s="238" t="s">
        <v>7967</v>
      </c>
      <c r="Y2515" s="238" t="s">
        <v>39</v>
      </c>
      <c r="Z2515" s="238" t="s">
        <v>1340</v>
      </c>
      <c r="AA2515" t="s">
        <v>3113</v>
      </c>
      <c r="AB2515" s="238" t="s">
        <v>3246</v>
      </c>
      <c r="AC2515" t="s">
        <v>3079</v>
      </c>
      <c r="AD2515" s="24"/>
      <c r="AE2515" s="238" t="s">
        <v>7968</v>
      </c>
      <c r="AF2515">
        <v>79379979837</v>
      </c>
      <c r="AG2515" s="238" t="s">
        <v>7969</v>
      </c>
      <c r="AH2515" s="238" t="s">
        <v>1212</v>
      </c>
      <c r="AI2515" s="238" t="s">
        <v>135</v>
      </c>
      <c r="AJ2515" s="238" t="s">
        <v>4177</v>
      </c>
      <c r="AK2515" s="238" t="s">
        <v>3345</v>
      </c>
      <c r="AL2515" t="s">
        <v>8715</v>
      </c>
      <c r="AM2515" t="s">
        <v>1167</v>
      </c>
    </row>
    <row r="2516" spans="1:39" x14ac:dyDescent="0.25">
      <c r="A2516">
        <v>2513</v>
      </c>
      <c r="B2516">
        <v>34</v>
      </c>
      <c r="C2516" s="24">
        <v>45595</v>
      </c>
      <c r="D2516" s="238" t="s">
        <v>3388</v>
      </c>
      <c r="E2516" s="238" t="s">
        <v>15</v>
      </c>
      <c r="F2516">
        <v>8</v>
      </c>
      <c r="G2516">
        <v>14</v>
      </c>
      <c r="H2516">
        <v>500</v>
      </c>
      <c r="I2516" s="238" t="s">
        <v>42</v>
      </c>
      <c r="J2516">
        <v>39.69</v>
      </c>
      <c r="K2516" s="238" t="s">
        <v>36</v>
      </c>
      <c r="L2516">
        <v>4555900</v>
      </c>
      <c r="M2516">
        <v>0</v>
      </c>
      <c r="N2516">
        <v>4555900</v>
      </c>
      <c r="O2516">
        <v>114787.10002519526</v>
      </c>
      <c r="P2516">
        <v>0</v>
      </c>
      <c r="Q2516">
        <v>4555900</v>
      </c>
      <c r="R2516">
        <v>114787.10002519526</v>
      </c>
      <c r="S2516" s="238" t="s">
        <v>137</v>
      </c>
      <c r="T2516" s="238" t="s">
        <v>1167</v>
      </c>
      <c r="V2516" t="s">
        <v>4092</v>
      </c>
      <c r="W2516" s="24">
        <v>45592</v>
      </c>
      <c r="X2516" s="238" t="s">
        <v>7970</v>
      </c>
      <c r="Y2516" s="238" t="s">
        <v>39</v>
      </c>
      <c r="Z2516" s="238" t="s">
        <v>1340</v>
      </c>
      <c r="AA2516" t="s">
        <v>3113</v>
      </c>
      <c r="AB2516" s="238" t="s">
        <v>3246</v>
      </c>
      <c r="AC2516" t="s">
        <v>3079</v>
      </c>
      <c r="AD2516" s="24"/>
      <c r="AE2516" s="238" t="s">
        <v>7971</v>
      </c>
      <c r="AF2516">
        <v>79379854144</v>
      </c>
      <c r="AG2516" s="238" t="s">
        <v>7972</v>
      </c>
      <c r="AH2516" s="238" t="s">
        <v>1212</v>
      </c>
      <c r="AI2516" s="238" t="s">
        <v>135</v>
      </c>
      <c r="AJ2516" s="238" t="s">
        <v>5215</v>
      </c>
      <c r="AK2516" s="238" t="s">
        <v>3345</v>
      </c>
      <c r="AL2516" t="s">
        <v>8715</v>
      </c>
      <c r="AM2516" t="s">
        <v>1167</v>
      </c>
    </row>
    <row r="2517" spans="1:39" x14ac:dyDescent="0.25">
      <c r="A2517">
        <v>2514</v>
      </c>
      <c r="B2517">
        <v>35</v>
      </c>
      <c r="C2517" s="24">
        <v>45595</v>
      </c>
      <c r="D2517" s="238" t="s">
        <v>3388</v>
      </c>
      <c r="E2517" s="238" t="s">
        <v>16</v>
      </c>
      <c r="F2517">
        <v>6</v>
      </c>
      <c r="G2517">
        <v>9</v>
      </c>
      <c r="H2517">
        <v>283</v>
      </c>
      <c r="I2517" s="238" t="s">
        <v>44</v>
      </c>
      <c r="J2517">
        <v>80.97</v>
      </c>
      <c r="K2517" s="238" t="s">
        <v>36</v>
      </c>
      <c r="L2517">
        <v>7608230</v>
      </c>
      <c r="M2517">
        <v>0</v>
      </c>
      <c r="N2517">
        <v>7608230</v>
      </c>
      <c r="O2517">
        <v>93963.566753118444</v>
      </c>
      <c r="P2517">
        <v>0</v>
      </c>
      <c r="Q2517">
        <v>7608230</v>
      </c>
      <c r="R2517">
        <v>93963.566753118444</v>
      </c>
      <c r="S2517" s="238" t="s">
        <v>137</v>
      </c>
      <c r="T2517" s="238" t="s">
        <v>3540</v>
      </c>
      <c r="U2517">
        <v>155270.00000000093</v>
      </c>
      <c r="V2517" t="s">
        <v>4092</v>
      </c>
      <c r="W2517" s="24">
        <v>45594</v>
      </c>
      <c r="X2517" s="238" t="s">
        <v>7973</v>
      </c>
      <c r="Y2517" s="238" t="s">
        <v>39</v>
      </c>
      <c r="Z2517" s="238" t="s">
        <v>1340</v>
      </c>
      <c r="AA2517" t="s">
        <v>3113</v>
      </c>
      <c r="AB2517" s="238" t="s">
        <v>3246</v>
      </c>
      <c r="AC2517" t="s">
        <v>3079</v>
      </c>
      <c r="AD2517" s="24"/>
      <c r="AE2517" s="238" t="s">
        <v>7974</v>
      </c>
      <c r="AF2517">
        <v>79224277733</v>
      </c>
      <c r="AG2517" s="238" t="s">
        <v>7975</v>
      </c>
      <c r="AH2517" s="238" t="s">
        <v>1171</v>
      </c>
      <c r="AI2517" s="238" t="s">
        <v>3074</v>
      </c>
      <c r="AJ2517" s="238" t="s">
        <v>5215</v>
      </c>
      <c r="AK2517" s="238" t="s">
        <v>3345</v>
      </c>
      <c r="AL2517" t="s">
        <v>8715</v>
      </c>
      <c r="AM2517" t="s">
        <v>1167</v>
      </c>
    </row>
    <row r="2518" spans="1:39" x14ac:dyDescent="0.25">
      <c r="A2518">
        <v>2515</v>
      </c>
      <c r="B2518">
        <v>36</v>
      </c>
      <c r="C2518" s="24">
        <v>45595</v>
      </c>
      <c r="D2518" s="238" t="s">
        <v>3388</v>
      </c>
      <c r="E2518" s="238" t="s">
        <v>16</v>
      </c>
      <c r="F2518">
        <v>1</v>
      </c>
      <c r="G2518">
        <v>23</v>
      </c>
      <c r="H2518">
        <v>376</v>
      </c>
      <c r="I2518" s="238" t="s">
        <v>43</v>
      </c>
      <c r="J2518">
        <v>73.7</v>
      </c>
      <c r="K2518" s="238" t="s">
        <v>36</v>
      </c>
      <c r="L2518">
        <v>7282178</v>
      </c>
      <c r="M2518">
        <v>0</v>
      </c>
      <c r="N2518">
        <v>7282178</v>
      </c>
      <c r="O2518">
        <v>98808.385345997289</v>
      </c>
      <c r="P2518">
        <v>0</v>
      </c>
      <c r="Q2518">
        <v>7282178</v>
      </c>
      <c r="R2518">
        <v>98808.385345997289</v>
      </c>
      <c r="S2518" s="238" t="s">
        <v>137</v>
      </c>
      <c r="T2518" s="238" t="s">
        <v>3538</v>
      </c>
      <c r="U2518">
        <v>225222</v>
      </c>
      <c r="V2518" t="s">
        <v>4092</v>
      </c>
      <c r="W2518" s="24">
        <v>45594</v>
      </c>
      <c r="X2518" s="238" t="s">
        <v>7976</v>
      </c>
      <c r="Y2518" s="238" t="s">
        <v>39</v>
      </c>
      <c r="Z2518" s="238" t="s">
        <v>1340</v>
      </c>
      <c r="AA2518" t="s">
        <v>3113</v>
      </c>
      <c r="AB2518" s="238" t="s">
        <v>3246</v>
      </c>
      <c r="AC2518" t="s">
        <v>3079</v>
      </c>
      <c r="AD2518" s="24"/>
      <c r="AE2518" s="238" t="s">
        <v>7977</v>
      </c>
      <c r="AF2518">
        <v>79000605545</v>
      </c>
      <c r="AG2518" s="238" t="s">
        <v>7978</v>
      </c>
      <c r="AH2518" s="238" t="s">
        <v>4072</v>
      </c>
      <c r="AI2518" s="238" t="s">
        <v>7930</v>
      </c>
      <c r="AJ2518" s="238" t="s">
        <v>4177</v>
      </c>
      <c r="AK2518" s="238" t="s">
        <v>3345</v>
      </c>
      <c r="AL2518" t="s">
        <v>57</v>
      </c>
      <c r="AM2518" t="s">
        <v>1167</v>
      </c>
    </row>
    <row r="2519" spans="1:39" x14ac:dyDescent="0.25">
      <c r="A2519">
        <v>2516</v>
      </c>
      <c r="B2519">
        <v>37</v>
      </c>
      <c r="C2519" s="24">
        <v>45596</v>
      </c>
      <c r="D2519" s="238" t="s">
        <v>3388</v>
      </c>
      <c r="E2519" s="238" t="s">
        <v>15</v>
      </c>
      <c r="F2519">
        <v>1</v>
      </c>
      <c r="G2519">
        <v>15</v>
      </c>
      <c r="H2519">
        <v>501</v>
      </c>
      <c r="I2519" s="238" t="s">
        <v>4052</v>
      </c>
      <c r="J2519">
        <v>29.4</v>
      </c>
      <c r="K2519" s="238" t="s">
        <v>38</v>
      </c>
      <c r="L2519">
        <v>4123400.0000000005</v>
      </c>
      <c r="M2519">
        <v>0</v>
      </c>
      <c r="N2519">
        <v>4123400.0000000005</v>
      </c>
      <c r="O2519">
        <v>140251.70068027213</v>
      </c>
      <c r="P2519">
        <v>705600</v>
      </c>
      <c r="Q2519">
        <v>3417800.0000000005</v>
      </c>
      <c r="R2519">
        <v>116251.70068027213</v>
      </c>
      <c r="S2519" s="238" t="s">
        <v>124</v>
      </c>
      <c r="T2519" s="238" t="s">
        <v>321</v>
      </c>
      <c r="U2519">
        <v>50000</v>
      </c>
      <c r="V2519" t="s">
        <v>1167</v>
      </c>
      <c r="W2519" s="24">
        <v>45586</v>
      </c>
      <c r="X2519" s="238" t="s">
        <v>7979</v>
      </c>
      <c r="Y2519" s="238" t="s">
        <v>39</v>
      </c>
      <c r="Z2519" s="238" t="s">
        <v>1340</v>
      </c>
      <c r="AA2519" t="s">
        <v>3474</v>
      </c>
      <c r="AB2519" s="238" t="s">
        <v>3246</v>
      </c>
      <c r="AC2519" t="s">
        <v>4246</v>
      </c>
      <c r="AD2519" s="24"/>
      <c r="AE2519" s="238" t="s">
        <v>7980</v>
      </c>
      <c r="AF2519">
        <v>79276989816</v>
      </c>
      <c r="AG2519" s="238" t="s">
        <v>7981</v>
      </c>
      <c r="AH2519" s="238" t="s">
        <v>146</v>
      </c>
      <c r="AI2519" s="238" t="s">
        <v>7734</v>
      </c>
      <c r="AJ2519" s="238" t="s">
        <v>5215</v>
      </c>
      <c r="AK2519" s="238" t="s">
        <v>1167</v>
      </c>
      <c r="AL2519" t="s">
        <v>8715</v>
      </c>
      <c r="AM2519" t="s">
        <v>1167</v>
      </c>
    </row>
    <row r="2520" spans="1:39" x14ac:dyDescent="0.25">
      <c r="A2520">
        <v>2517</v>
      </c>
      <c r="B2520">
        <v>38</v>
      </c>
      <c r="C2520" s="24">
        <v>45596</v>
      </c>
      <c r="D2520" s="238" t="s">
        <v>3388</v>
      </c>
      <c r="E2520" s="238" t="s">
        <v>15</v>
      </c>
      <c r="F2520">
        <v>7</v>
      </c>
      <c r="G2520">
        <v>23</v>
      </c>
      <c r="H2520">
        <v>571</v>
      </c>
      <c r="I2520" s="238" t="s">
        <v>44</v>
      </c>
      <c r="J2520">
        <v>79.44</v>
      </c>
      <c r="K2520" s="238" t="s">
        <v>36</v>
      </c>
      <c r="L2520">
        <v>8602057</v>
      </c>
      <c r="M2520">
        <v>0</v>
      </c>
      <c r="N2520">
        <v>8602057</v>
      </c>
      <c r="O2520">
        <v>108283.69838872105</v>
      </c>
      <c r="P2520">
        <v>0</v>
      </c>
      <c r="Q2520">
        <v>8602057</v>
      </c>
      <c r="R2520">
        <v>108283.69838872105</v>
      </c>
      <c r="S2520" s="238" t="s">
        <v>137</v>
      </c>
      <c r="T2520" s="238" t="s">
        <v>3538</v>
      </c>
      <c r="U2520">
        <v>266043</v>
      </c>
      <c r="V2520" t="s">
        <v>4092</v>
      </c>
      <c r="W2520" s="24">
        <v>45594</v>
      </c>
      <c r="X2520" s="238" t="s">
        <v>7982</v>
      </c>
      <c r="Y2520" s="238" t="s">
        <v>39</v>
      </c>
      <c r="Z2520" s="238" t="s">
        <v>1340</v>
      </c>
      <c r="AA2520" t="s">
        <v>3113</v>
      </c>
      <c r="AB2520" s="238" t="s">
        <v>3246</v>
      </c>
      <c r="AC2520" t="s">
        <v>3079</v>
      </c>
      <c r="AD2520" s="24"/>
      <c r="AE2520" s="238" t="s">
        <v>7983</v>
      </c>
      <c r="AF2520">
        <v>79288802258</v>
      </c>
      <c r="AG2520" s="238" t="s">
        <v>7984</v>
      </c>
      <c r="AH2520" s="238" t="s">
        <v>4072</v>
      </c>
      <c r="AI2520" s="238" t="s">
        <v>7930</v>
      </c>
      <c r="AJ2520" s="238" t="s">
        <v>4177</v>
      </c>
      <c r="AK2520" s="238" t="s">
        <v>3345</v>
      </c>
      <c r="AL2520" t="s">
        <v>57</v>
      </c>
      <c r="AM2520" t="s">
        <v>1167</v>
      </c>
    </row>
    <row r="2521" spans="1:39" x14ac:dyDescent="0.25">
      <c r="A2521">
        <v>2518</v>
      </c>
      <c r="B2521">
        <v>1</v>
      </c>
      <c r="C2521" s="24">
        <v>45597</v>
      </c>
      <c r="D2521" s="238" t="s">
        <v>3388</v>
      </c>
      <c r="E2521" s="238" t="s">
        <v>16</v>
      </c>
      <c r="F2521">
        <v>1</v>
      </c>
      <c r="G2521">
        <v>20</v>
      </c>
      <c r="H2521">
        <v>355</v>
      </c>
      <c r="I2521" s="238" t="s">
        <v>43</v>
      </c>
      <c r="J2521">
        <v>73.7</v>
      </c>
      <c r="K2521" s="238" t="s">
        <v>38</v>
      </c>
      <c r="L2521">
        <v>9259822</v>
      </c>
      <c r="M2521">
        <v>0</v>
      </c>
      <c r="N2521">
        <v>9259822</v>
      </c>
      <c r="O2521">
        <v>125642.0895522388</v>
      </c>
      <c r="P2521">
        <v>1768800</v>
      </c>
      <c r="Q2521">
        <v>7491022</v>
      </c>
      <c r="R2521">
        <v>101642.0895522388</v>
      </c>
      <c r="S2521" s="238" t="s">
        <v>124</v>
      </c>
      <c r="T2521" s="238" t="s">
        <v>3540</v>
      </c>
      <c r="U2521">
        <v>152878</v>
      </c>
      <c r="V2521" t="s">
        <v>1167</v>
      </c>
      <c r="W2521" s="24">
        <v>45595</v>
      </c>
      <c r="X2521" s="238" t="s">
        <v>7987</v>
      </c>
      <c r="Y2521" s="238" t="s">
        <v>39</v>
      </c>
      <c r="Z2521" s="238" t="s">
        <v>1340</v>
      </c>
      <c r="AA2521" t="s">
        <v>3474</v>
      </c>
      <c r="AB2521" s="238" t="s">
        <v>3246</v>
      </c>
      <c r="AC2521" t="s">
        <v>4246</v>
      </c>
      <c r="AD2521" s="24"/>
      <c r="AE2521" s="238" t="s">
        <v>7988</v>
      </c>
      <c r="AF2521">
        <v>79244112114</v>
      </c>
      <c r="AG2521" s="238" t="s">
        <v>7989</v>
      </c>
      <c r="AH2521" s="238" t="s">
        <v>1197</v>
      </c>
      <c r="AI2521" s="238" t="s">
        <v>3084</v>
      </c>
      <c r="AJ2521" s="238" t="s">
        <v>4177</v>
      </c>
      <c r="AK2521" s="238" t="s">
        <v>1167</v>
      </c>
      <c r="AL2521" t="s">
        <v>8715</v>
      </c>
      <c r="AM2521" t="s">
        <v>1167</v>
      </c>
    </row>
    <row r="2522" spans="1:39" x14ac:dyDescent="0.25">
      <c r="A2522">
        <v>2519</v>
      </c>
      <c r="B2522">
        <v>2</v>
      </c>
      <c r="C2522" s="24">
        <v>45597</v>
      </c>
      <c r="D2522" s="238" t="s">
        <v>3388</v>
      </c>
      <c r="E2522" s="238" t="s">
        <v>16</v>
      </c>
      <c r="F2522">
        <v>1</v>
      </c>
      <c r="G2522">
        <v>18</v>
      </c>
      <c r="H2522">
        <v>341</v>
      </c>
      <c r="I2522" s="238" t="s">
        <v>43</v>
      </c>
      <c r="J2522">
        <v>73.7</v>
      </c>
      <c r="K2522" s="238" t="s">
        <v>36</v>
      </c>
      <c r="L2522">
        <v>6884963</v>
      </c>
      <c r="M2522">
        <v>0</v>
      </c>
      <c r="N2522">
        <v>6884963</v>
      </c>
      <c r="O2522">
        <v>93418.765264586153</v>
      </c>
      <c r="P2522">
        <v>0</v>
      </c>
      <c r="Q2522">
        <v>6884963</v>
      </c>
      <c r="R2522">
        <v>93418.765264586153</v>
      </c>
      <c r="S2522" s="238" t="s">
        <v>124</v>
      </c>
      <c r="T2522" s="238" t="s">
        <v>3538</v>
      </c>
      <c r="U2522">
        <v>212937</v>
      </c>
      <c r="V2522" t="s">
        <v>1167</v>
      </c>
      <c r="W2522" s="24">
        <v>45596</v>
      </c>
      <c r="X2522" s="238" t="s">
        <v>7990</v>
      </c>
      <c r="Y2522" s="238" t="s">
        <v>39</v>
      </c>
      <c r="Z2522" s="238" t="s">
        <v>1340</v>
      </c>
      <c r="AA2522" t="s">
        <v>3474</v>
      </c>
      <c r="AB2522" s="238" t="s">
        <v>3246</v>
      </c>
      <c r="AC2522" t="s">
        <v>4246</v>
      </c>
      <c r="AD2522" s="24"/>
      <c r="AE2522" s="238" t="s">
        <v>7991</v>
      </c>
      <c r="AF2522">
        <v>79277618796</v>
      </c>
      <c r="AG2522" s="238" t="s">
        <v>7992</v>
      </c>
      <c r="AH2522" s="238" t="s">
        <v>1212</v>
      </c>
      <c r="AI2522" s="238" t="s">
        <v>135</v>
      </c>
      <c r="AJ2522" s="238" t="s">
        <v>4177</v>
      </c>
      <c r="AK2522" s="238" t="s">
        <v>1167</v>
      </c>
      <c r="AL2522" t="s">
        <v>8715</v>
      </c>
      <c r="AM2522" t="s">
        <v>1167</v>
      </c>
    </row>
    <row r="2523" spans="1:39" x14ac:dyDescent="0.25">
      <c r="A2523">
        <v>2520</v>
      </c>
      <c r="B2523">
        <v>3</v>
      </c>
      <c r="C2523" s="24">
        <v>45601</v>
      </c>
      <c r="D2523" s="238" t="s">
        <v>3388</v>
      </c>
      <c r="E2523" s="238" t="s">
        <v>15</v>
      </c>
      <c r="F2523">
        <v>8</v>
      </c>
      <c r="G2523">
        <v>4</v>
      </c>
      <c r="H2523">
        <v>420</v>
      </c>
      <c r="I2523" s="238" t="s">
        <v>42</v>
      </c>
      <c r="J2523">
        <v>39.69</v>
      </c>
      <c r="K2523" s="238" t="s">
        <v>38</v>
      </c>
      <c r="L2523">
        <v>5375398</v>
      </c>
      <c r="M2523">
        <v>0</v>
      </c>
      <c r="N2523">
        <v>5375398</v>
      </c>
      <c r="O2523">
        <v>135434.56790123458</v>
      </c>
      <c r="P2523">
        <v>952560</v>
      </c>
      <c r="Q2523">
        <v>4422838</v>
      </c>
      <c r="R2523">
        <v>111434.56790123458</v>
      </c>
      <c r="S2523" s="238" t="s">
        <v>124</v>
      </c>
      <c r="T2523" s="238" t="s">
        <v>3540</v>
      </c>
      <c r="U2523">
        <v>90262</v>
      </c>
      <c r="V2523" t="s">
        <v>1167</v>
      </c>
      <c r="W2523" s="24">
        <v>45601</v>
      </c>
      <c r="X2523" s="238" t="s">
        <v>7993</v>
      </c>
      <c r="Y2523" s="238" t="s">
        <v>39</v>
      </c>
      <c r="Z2523" s="238" t="s">
        <v>1340</v>
      </c>
      <c r="AA2523" t="s">
        <v>3113</v>
      </c>
      <c r="AB2523" s="238" t="s">
        <v>3246</v>
      </c>
      <c r="AC2523" t="s">
        <v>1167</v>
      </c>
      <c r="AD2523" s="24"/>
      <c r="AE2523" s="238" t="s">
        <v>7994</v>
      </c>
      <c r="AF2523">
        <v>79170337100</v>
      </c>
      <c r="AG2523" s="238" t="s">
        <v>7995</v>
      </c>
      <c r="AH2523" s="238" t="s">
        <v>1171</v>
      </c>
      <c r="AI2523" s="238" t="s">
        <v>3085</v>
      </c>
      <c r="AJ2523" s="238" t="s">
        <v>4177</v>
      </c>
      <c r="AK2523" s="238" t="s">
        <v>1167</v>
      </c>
      <c r="AL2523" t="s">
        <v>8715</v>
      </c>
      <c r="AM2523" t="s">
        <v>1167</v>
      </c>
    </row>
    <row r="2524" spans="1:39" x14ac:dyDescent="0.25">
      <c r="A2524">
        <v>2521</v>
      </c>
      <c r="B2524">
        <v>4</v>
      </c>
      <c r="C2524" s="24">
        <v>45604</v>
      </c>
      <c r="D2524" s="238" t="s">
        <v>3388</v>
      </c>
      <c r="E2524" s="238" t="s">
        <v>16</v>
      </c>
      <c r="F2524">
        <v>4</v>
      </c>
      <c r="G2524">
        <v>9</v>
      </c>
      <c r="H2524">
        <v>281</v>
      </c>
      <c r="I2524" s="238" t="s">
        <v>43</v>
      </c>
      <c r="J2524">
        <v>60.24</v>
      </c>
      <c r="K2524" s="238" t="s">
        <v>6871</v>
      </c>
      <c r="L2524">
        <v>6537046</v>
      </c>
      <c r="M2524">
        <v>0</v>
      </c>
      <c r="N2524">
        <v>6537046</v>
      </c>
      <c r="O2524">
        <v>108516.69986719787</v>
      </c>
      <c r="P2524">
        <v>481920</v>
      </c>
      <c r="Q2524">
        <v>6055126</v>
      </c>
      <c r="R2524">
        <v>100516.69986719787</v>
      </c>
      <c r="S2524" s="238" t="s">
        <v>124</v>
      </c>
      <c r="T2524" s="238" t="s">
        <v>3540</v>
      </c>
      <c r="U2524">
        <v>123573.99999999907</v>
      </c>
      <c r="V2524" t="s">
        <v>1167</v>
      </c>
      <c r="W2524" s="24">
        <v>45603</v>
      </c>
      <c r="X2524" s="238" t="s">
        <v>7998</v>
      </c>
      <c r="Y2524" s="238" t="s">
        <v>39</v>
      </c>
      <c r="Z2524" s="238" t="s">
        <v>1340</v>
      </c>
      <c r="AA2524" t="s">
        <v>3113</v>
      </c>
      <c r="AB2524" s="238" t="s">
        <v>3246</v>
      </c>
      <c r="AC2524" t="s">
        <v>1167</v>
      </c>
      <c r="AD2524" s="24"/>
      <c r="AE2524" s="238" t="s">
        <v>7999</v>
      </c>
      <c r="AF2524">
        <v>79277503251</v>
      </c>
      <c r="AG2524" s="238" t="s">
        <v>8000</v>
      </c>
      <c r="AH2524" s="238" t="s">
        <v>1171</v>
      </c>
      <c r="AI2524" s="238" t="s">
        <v>3074</v>
      </c>
      <c r="AJ2524" s="238" t="s">
        <v>5215</v>
      </c>
      <c r="AK2524" s="238" t="s">
        <v>1167</v>
      </c>
      <c r="AL2524" t="s">
        <v>8715</v>
      </c>
      <c r="AM2524" t="s">
        <v>1167</v>
      </c>
    </row>
    <row r="2525" spans="1:39" hidden="1" x14ac:dyDescent="0.25">
      <c r="A2525">
        <v>2522</v>
      </c>
      <c r="B2525">
        <v>5</v>
      </c>
      <c r="C2525" s="24">
        <v>45609</v>
      </c>
      <c r="D2525" s="238" t="s">
        <v>7562</v>
      </c>
      <c r="E2525" s="238" t="s">
        <v>43</v>
      </c>
      <c r="F2525">
        <v>2</v>
      </c>
      <c r="G2525">
        <v>7</v>
      </c>
      <c r="H2525">
        <v>83</v>
      </c>
      <c r="I2525" s="238" t="s">
        <v>43</v>
      </c>
      <c r="J2525">
        <v>54.07</v>
      </c>
      <c r="K2525" s="238" t="s">
        <v>36</v>
      </c>
      <c r="L2525">
        <v>6237896</v>
      </c>
      <c r="M2525">
        <v>0</v>
      </c>
      <c r="N2525">
        <v>6237896</v>
      </c>
      <c r="O2525">
        <v>115367.04272239689</v>
      </c>
      <c r="P2525">
        <v>0</v>
      </c>
      <c r="Q2525">
        <v>6237896</v>
      </c>
      <c r="R2525">
        <v>115367.04272239689</v>
      </c>
      <c r="S2525" s="238" t="s">
        <v>124</v>
      </c>
      <c r="T2525" s="238" t="s">
        <v>7340</v>
      </c>
      <c r="U2525">
        <v>127304</v>
      </c>
      <c r="V2525" t="s">
        <v>1167</v>
      </c>
      <c r="W2525" s="24">
        <v>45603</v>
      </c>
      <c r="X2525" s="238" t="s">
        <v>8002</v>
      </c>
      <c r="Y2525" s="238" t="s">
        <v>39</v>
      </c>
      <c r="Z2525" s="238" t="s">
        <v>1340</v>
      </c>
      <c r="AA2525" t="s">
        <v>3113</v>
      </c>
      <c r="AB2525" s="238" t="s">
        <v>3246</v>
      </c>
      <c r="AC2525" t="s">
        <v>1167</v>
      </c>
      <c r="AD2525" s="24"/>
      <c r="AE2525" s="238" t="s">
        <v>8003</v>
      </c>
      <c r="AF2525">
        <v>79276543553</v>
      </c>
      <c r="AG2525" s="238" t="s">
        <v>8004</v>
      </c>
      <c r="AH2525" s="238" t="s">
        <v>1212</v>
      </c>
      <c r="AI2525" s="238" t="s">
        <v>3097</v>
      </c>
      <c r="AJ2525" s="238" t="s">
        <v>126</v>
      </c>
      <c r="AK2525" s="238" t="s">
        <v>1167</v>
      </c>
      <c r="AL2525" t="s">
        <v>8715</v>
      </c>
      <c r="AM2525" t="s">
        <v>1167</v>
      </c>
    </row>
    <row r="2526" spans="1:39" x14ac:dyDescent="0.25">
      <c r="A2526">
        <v>2523</v>
      </c>
      <c r="B2526">
        <v>6</v>
      </c>
      <c r="C2526" s="24">
        <v>45610</v>
      </c>
      <c r="D2526" s="238" t="s">
        <v>3388</v>
      </c>
      <c r="E2526" s="238" t="s">
        <v>16</v>
      </c>
      <c r="F2526">
        <v>1</v>
      </c>
      <c r="G2526">
        <v>13</v>
      </c>
      <c r="H2526">
        <v>306</v>
      </c>
      <c r="I2526" s="238" t="s">
        <v>43</v>
      </c>
      <c r="J2526">
        <v>73.7</v>
      </c>
      <c r="K2526" s="238" t="s">
        <v>38</v>
      </c>
      <c r="L2526">
        <v>9136832</v>
      </c>
      <c r="M2526">
        <v>0</v>
      </c>
      <c r="N2526">
        <v>9136832</v>
      </c>
      <c r="O2526">
        <v>123973.29715061058</v>
      </c>
      <c r="P2526">
        <v>1768800</v>
      </c>
      <c r="Q2526">
        <v>7368032</v>
      </c>
      <c r="R2526">
        <v>99973.297150610582</v>
      </c>
      <c r="S2526" s="238" t="s">
        <v>124</v>
      </c>
      <c r="T2526" s="238" t="s">
        <v>3540</v>
      </c>
      <c r="U2526">
        <v>150368</v>
      </c>
      <c r="V2526" t="s">
        <v>1167</v>
      </c>
      <c r="W2526" s="24">
        <v>45607</v>
      </c>
      <c r="X2526" s="238" t="s">
        <v>8005</v>
      </c>
      <c r="Y2526" s="238" t="s">
        <v>39</v>
      </c>
      <c r="Z2526" s="238" t="s">
        <v>1340</v>
      </c>
      <c r="AA2526" t="s">
        <v>3474</v>
      </c>
      <c r="AB2526" s="238" t="s">
        <v>3246</v>
      </c>
      <c r="AC2526" t="s">
        <v>4246</v>
      </c>
      <c r="AD2526" s="24"/>
      <c r="AE2526" s="238" t="s">
        <v>8006</v>
      </c>
      <c r="AF2526">
        <v>79228444868</v>
      </c>
      <c r="AG2526" s="238" t="s">
        <v>8007</v>
      </c>
      <c r="AH2526" s="238" t="s">
        <v>4072</v>
      </c>
      <c r="AI2526" s="238" t="s">
        <v>6406</v>
      </c>
      <c r="AJ2526" s="238" t="s">
        <v>4177</v>
      </c>
      <c r="AK2526" s="238" t="s">
        <v>1167</v>
      </c>
      <c r="AL2526" t="s">
        <v>57</v>
      </c>
      <c r="AM2526" t="s">
        <v>1167</v>
      </c>
    </row>
    <row r="2527" spans="1:39" x14ac:dyDescent="0.25">
      <c r="A2527">
        <v>2524</v>
      </c>
      <c r="B2527">
        <v>7</v>
      </c>
      <c r="C2527" s="24">
        <v>45614</v>
      </c>
      <c r="D2527" s="238" t="s">
        <v>3388</v>
      </c>
      <c r="E2527" s="238" t="s">
        <v>15</v>
      </c>
      <c r="F2527">
        <v>4</v>
      </c>
      <c r="G2527">
        <v>12</v>
      </c>
      <c r="H2527">
        <v>480</v>
      </c>
      <c r="I2527" s="238" t="s">
        <v>43</v>
      </c>
      <c r="J2527">
        <v>58.24</v>
      </c>
      <c r="K2527" s="238" t="s">
        <v>36</v>
      </c>
      <c r="L2527">
        <v>5775238</v>
      </c>
      <c r="M2527">
        <v>0</v>
      </c>
      <c r="N2527">
        <v>5775238</v>
      </c>
      <c r="O2527">
        <v>99162.740384615376</v>
      </c>
      <c r="P2527">
        <v>0</v>
      </c>
      <c r="Q2527">
        <v>5775238</v>
      </c>
      <c r="R2527">
        <v>99162.740384615376</v>
      </c>
      <c r="S2527" s="238" t="s">
        <v>137</v>
      </c>
      <c r="T2527" s="238" t="s">
        <v>3540</v>
      </c>
      <c r="U2527">
        <v>117862</v>
      </c>
      <c r="V2527" t="s">
        <v>4092</v>
      </c>
      <c r="W2527" s="24">
        <v>45603</v>
      </c>
      <c r="X2527" s="238" t="s">
        <v>8008</v>
      </c>
      <c r="Y2527" s="238" t="s">
        <v>39</v>
      </c>
      <c r="Z2527" s="238" t="s">
        <v>1340</v>
      </c>
      <c r="AA2527" t="s">
        <v>3113</v>
      </c>
      <c r="AB2527" s="238" t="s">
        <v>3246</v>
      </c>
      <c r="AC2527" t="s">
        <v>3079</v>
      </c>
      <c r="AD2527" s="24"/>
      <c r="AE2527" s="238" t="s">
        <v>8009</v>
      </c>
      <c r="AF2527">
        <v>79272151028</v>
      </c>
      <c r="AG2527" s="238" t="s">
        <v>8010</v>
      </c>
      <c r="AH2527" s="238" t="s">
        <v>1171</v>
      </c>
      <c r="AI2527" s="238" t="s">
        <v>3084</v>
      </c>
      <c r="AJ2527" s="238" t="s">
        <v>126</v>
      </c>
      <c r="AK2527" s="238" t="s">
        <v>3345</v>
      </c>
      <c r="AL2527" t="s">
        <v>8715</v>
      </c>
      <c r="AM2527" t="s">
        <v>1167</v>
      </c>
    </row>
    <row r="2528" spans="1:39" x14ac:dyDescent="0.25">
      <c r="A2528">
        <v>2525</v>
      </c>
      <c r="B2528">
        <v>8</v>
      </c>
      <c r="C2528" s="24">
        <v>45614</v>
      </c>
      <c r="D2528" s="238" t="s">
        <v>3388</v>
      </c>
      <c r="E2528" s="238" t="s">
        <v>15</v>
      </c>
      <c r="F2528">
        <v>3</v>
      </c>
      <c r="G2528">
        <v>14</v>
      </c>
      <c r="H2528">
        <v>495</v>
      </c>
      <c r="I2528" s="238" t="s">
        <v>4052</v>
      </c>
      <c r="J2528">
        <v>24.5</v>
      </c>
      <c r="K2528" s="238" t="s">
        <v>36</v>
      </c>
      <c r="L2528">
        <v>3444014</v>
      </c>
      <c r="M2528">
        <v>0</v>
      </c>
      <c r="N2528">
        <v>3444014</v>
      </c>
      <c r="O2528">
        <v>140572</v>
      </c>
      <c r="P2528">
        <v>0</v>
      </c>
      <c r="Q2528">
        <v>3444014</v>
      </c>
      <c r="R2528">
        <v>140572</v>
      </c>
      <c r="S2528" s="238" t="s">
        <v>137</v>
      </c>
      <c r="T2528" s="238" t="s">
        <v>3540</v>
      </c>
      <c r="U2528">
        <v>70286</v>
      </c>
      <c r="V2528" t="s">
        <v>4092</v>
      </c>
      <c r="W2528" s="24">
        <v>45608</v>
      </c>
      <c r="X2528" s="238" t="s">
        <v>8011</v>
      </c>
      <c r="Y2528" s="238" t="s">
        <v>39</v>
      </c>
      <c r="Z2528" s="238" t="s">
        <v>1340</v>
      </c>
      <c r="AA2528" t="s">
        <v>3113</v>
      </c>
      <c r="AB2528" s="238" t="s">
        <v>3246</v>
      </c>
      <c r="AC2528" t="s">
        <v>3079</v>
      </c>
      <c r="AD2528" s="24"/>
      <c r="AE2528" s="238" t="s">
        <v>8012</v>
      </c>
      <c r="AF2528">
        <v>79226292574</v>
      </c>
      <c r="AG2528" s="238" t="s">
        <v>8013</v>
      </c>
      <c r="AH2528" s="238" t="s">
        <v>146</v>
      </c>
      <c r="AI2528" s="238" t="s">
        <v>7734</v>
      </c>
      <c r="AJ2528" s="238" t="s">
        <v>4177</v>
      </c>
      <c r="AK2528" s="238" t="s">
        <v>3345</v>
      </c>
      <c r="AL2528" t="s">
        <v>8715</v>
      </c>
      <c r="AM2528" t="s">
        <v>1167</v>
      </c>
    </row>
    <row r="2529" spans="1:39" x14ac:dyDescent="0.25">
      <c r="A2529">
        <v>2526</v>
      </c>
      <c r="B2529">
        <v>9</v>
      </c>
      <c r="C2529" s="24">
        <v>45616</v>
      </c>
      <c r="D2529" s="238" t="s">
        <v>3388</v>
      </c>
      <c r="E2529" s="238" t="s">
        <v>5</v>
      </c>
      <c r="F2529">
        <v>4</v>
      </c>
      <c r="G2529">
        <v>11</v>
      </c>
      <c r="H2529">
        <v>184</v>
      </c>
      <c r="I2529" s="238" t="s">
        <v>43</v>
      </c>
      <c r="J2529">
        <v>58.31</v>
      </c>
      <c r="K2529" s="238" t="s">
        <v>6871</v>
      </c>
      <c r="L2529">
        <v>7530124</v>
      </c>
      <c r="M2529">
        <v>0</v>
      </c>
      <c r="N2529">
        <v>7530124</v>
      </c>
      <c r="O2529">
        <v>129139.49579831932</v>
      </c>
      <c r="P2529">
        <v>466480</v>
      </c>
      <c r="Q2529">
        <v>7063644</v>
      </c>
      <c r="R2529">
        <v>121139.49579831932</v>
      </c>
      <c r="S2529" s="238" t="s">
        <v>137</v>
      </c>
      <c r="T2529" s="238" t="s">
        <v>3540</v>
      </c>
      <c r="U2529">
        <v>144156</v>
      </c>
      <c r="V2529" t="s">
        <v>4092</v>
      </c>
      <c r="W2529" s="24">
        <v>45608</v>
      </c>
      <c r="X2529" s="238" t="s">
        <v>8014</v>
      </c>
      <c r="Y2529" s="238" t="s">
        <v>39</v>
      </c>
      <c r="Z2529" s="238" t="s">
        <v>1340</v>
      </c>
      <c r="AA2529" t="s">
        <v>3113</v>
      </c>
      <c r="AB2529" s="238" t="s">
        <v>3246</v>
      </c>
      <c r="AC2529" t="s">
        <v>3079</v>
      </c>
      <c r="AD2529" s="24"/>
      <c r="AE2529" s="238" t="s">
        <v>8015</v>
      </c>
      <c r="AF2529">
        <v>79171676916</v>
      </c>
      <c r="AG2529" s="238" t="s">
        <v>8016</v>
      </c>
      <c r="AH2529" s="238" t="s">
        <v>4072</v>
      </c>
      <c r="AI2529" s="238" t="s">
        <v>6406</v>
      </c>
      <c r="AJ2529" s="238" t="s">
        <v>4177</v>
      </c>
      <c r="AK2529" s="238" t="s">
        <v>3345</v>
      </c>
      <c r="AL2529" t="s">
        <v>57</v>
      </c>
      <c r="AM2529" t="s">
        <v>1167</v>
      </c>
    </row>
    <row r="2530" spans="1:39" x14ac:dyDescent="0.25">
      <c r="A2530">
        <v>2527</v>
      </c>
      <c r="B2530">
        <v>10</v>
      </c>
      <c r="C2530" s="24">
        <v>45616</v>
      </c>
      <c r="D2530" s="238" t="s">
        <v>3388</v>
      </c>
      <c r="E2530" s="238" t="s">
        <v>15</v>
      </c>
      <c r="F2530">
        <v>4</v>
      </c>
      <c r="G2530">
        <v>7</v>
      </c>
      <c r="H2530">
        <v>440</v>
      </c>
      <c r="I2530" s="238" t="s">
        <v>43</v>
      </c>
      <c r="J2530">
        <v>58.24</v>
      </c>
      <c r="K2530" s="238" t="s">
        <v>6871</v>
      </c>
      <c r="L2530">
        <v>7312956</v>
      </c>
      <c r="M2530">
        <v>0</v>
      </c>
      <c r="N2530">
        <v>7312956</v>
      </c>
      <c r="O2530">
        <v>125565.86538461538</v>
      </c>
      <c r="P2530">
        <v>465920</v>
      </c>
      <c r="Q2530">
        <v>6847036</v>
      </c>
      <c r="R2530">
        <v>117565.86538461538</v>
      </c>
      <c r="S2530" s="238" t="s">
        <v>137</v>
      </c>
      <c r="T2530" s="238" t="s">
        <v>978</v>
      </c>
      <c r="U2530">
        <v>211764</v>
      </c>
      <c r="V2530" t="s">
        <v>4092</v>
      </c>
      <c r="W2530" s="24">
        <v>45608</v>
      </c>
      <c r="X2530" s="238" t="s">
        <v>8017</v>
      </c>
      <c r="Y2530" s="238" t="s">
        <v>39</v>
      </c>
      <c r="Z2530" s="238" t="s">
        <v>1340</v>
      </c>
      <c r="AA2530" t="s">
        <v>3113</v>
      </c>
      <c r="AB2530" s="238" t="s">
        <v>3246</v>
      </c>
      <c r="AC2530" t="s">
        <v>3079</v>
      </c>
      <c r="AD2530" s="24"/>
      <c r="AE2530" s="238" t="s">
        <v>8018</v>
      </c>
      <c r="AF2530">
        <v>79179433977</v>
      </c>
      <c r="AG2530" s="238" t="s">
        <v>8019</v>
      </c>
      <c r="AH2530" s="238" t="s">
        <v>135</v>
      </c>
      <c r="AI2530" s="238" t="s">
        <v>135</v>
      </c>
      <c r="AJ2530" s="238" t="s">
        <v>126</v>
      </c>
      <c r="AK2530" s="238" t="s">
        <v>3345</v>
      </c>
      <c r="AL2530" t="s">
        <v>8715</v>
      </c>
      <c r="AM2530" t="s">
        <v>1167</v>
      </c>
    </row>
    <row r="2531" spans="1:39" x14ac:dyDescent="0.25">
      <c r="A2531">
        <v>2528</v>
      </c>
      <c r="B2531">
        <v>11</v>
      </c>
      <c r="C2531" s="24">
        <v>45617</v>
      </c>
      <c r="D2531" s="238" t="s">
        <v>3388</v>
      </c>
      <c r="E2531" s="238" t="s">
        <v>5</v>
      </c>
      <c r="F2531">
        <v>7</v>
      </c>
      <c r="G2531">
        <v>5</v>
      </c>
      <c r="H2531">
        <v>145</v>
      </c>
      <c r="I2531" s="238" t="s">
        <v>42</v>
      </c>
      <c r="J2531">
        <v>42.28</v>
      </c>
      <c r="K2531" s="238" t="s">
        <v>36</v>
      </c>
      <c r="L2531">
        <v>4150000</v>
      </c>
      <c r="M2531">
        <v>0</v>
      </c>
      <c r="N2531">
        <v>4150000</v>
      </c>
      <c r="O2531">
        <v>98155.15610217597</v>
      </c>
      <c r="P2531">
        <v>0</v>
      </c>
      <c r="Q2531">
        <v>4150000</v>
      </c>
      <c r="R2531">
        <v>98155.15610217597</v>
      </c>
      <c r="S2531" s="238" t="s">
        <v>137</v>
      </c>
      <c r="T2531" s="238" t="s">
        <v>321</v>
      </c>
      <c r="U2531">
        <v>544800</v>
      </c>
      <c r="V2531" t="s">
        <v>4092</v>
      </c>
      <c r="W2531" s="24">
        <v>45608</v>
      </c>
      <c r="X2531" s="238" t="s">
        <v>8021</v>
      </c>
      <c r="Y2531" s="238" t="s">
        <v>39</v>
      </c>
      <c r="Z2531" s="238" t="s">
        <v>1340</v>
      </c>
      <c r="AA2531" t="s">
        <v>3113</v>
      </c>
      <c r="AB2531" s="238" t="s">
        <v>3246</v>
      </c>
      <c r="AC2531" t="s">
        <v>3079</v>
      </c>
      <c r="AD2531" s="24"/>
      <c r="AE2531" s="238" t="s">
        <v>8022</v>
      </c>
      <c r="AF2531">
        <v>79608254792</v>
      </c>
      <c r="AG2531" s="238" t="s">
        <v>8023</v>
      </c>
      <c r="AH2531" s="238" t="s">
        <v>1212</v>
      </c>
      <c r="AI2531" s="238" t="s">
        <v>3103</v>
      </c>
      <c r="AJ2531" s="238" t="s">
        <v>126</v>
      </c>
      <c r="AK2531" s="238" t="s">
        <v>3345</v>
      </c>
      <c r="AL2531" t="s">
        <v>8715</v>
      </c>
      <c r="AM2531" t="s">
        <v>1167</v>
      </c>
    </row>
    <row r="2532" spans="1:39" hidden="1" x14ac:dyDescent="0.25">
      <c r="A2532">
        <v>2529</v>
      </c>
      <c r="B2532">
        <v>12</v>
      </c>
      <c r="C2532" s="24">
        <v>45617</v>
      </c>
      <c r="D2532" s="238" t="s">
        <v>7562</v>
      </c>
      <c r="E2532" s="238" t="s">
        <v>42</v>
      </c>
      <c r="F2532">
        <v>3</v>
      </c>
      <c r="G2532">
        <v>14</v>
      </c>
      <c r="H2532">
        <v>51</v>
      </c>
      <c r="I2532" s="238" t="s">
        <v>43</v>
      </c>
      <c r="J2532">
        <v>51.79</v>
      </c>
      <c r="K2532" s="238" t="s">
        <v>36</v>
      </c>
      <c r="L2532">
        <v>5673318</v>
      </c>
      <c r="M2532">
        <v>0</v>
      </c>
      <c r="N2532">
        <v>5673318</v>
      </c>
      <c r="O2532">
        <v>109544.66113149257</v>
      </c>
      <c r="P2532">
        <v>0</v>
      </c>
      <c r="Q2532">
        <v>5673318</v>
      </c>
      <c r="R2532">
        <v>109544.66113149257</v>
      </c>
      <c r="S2532" s="238" t="s">
        <v>137</v>
      </c>
      <c r="T2532" s="238" t="s">
        <v>3540</v>
      </c>
      <c r="U2532">
        <v>115782</v>
      </c>
      <c r="V2532" t="s">
        <v>4092</v>
      </c>
      <c r="W2532" s="24">
        <v>45609</v>
      </c>
      <c r="X2532" s="238" t="s">
        <v>8024</v>
      </c>
      <c r="Y2532" s="238" t="s">
        <v>39</v>
      </c>
      <c r="Z2532" s="238" t="s">
        <v>1340</v>
      </c>
      <c r="AA2532" t="s">
        <v>3113</v>
      </c>
      <c r="AB2532" s="238" t="s">
        <v>3246</v>
      </c>
      <c r="AC2532" t="s">
        <v>3079</v>
      </c>
      <c r="AD2532" s="24"/>
      <c r="AE2532" s="238" t="s">
        <v>8025</v>
      </c>
      <c r="AF2532">
        <v>79879218087</v>
      </c>
      <c r="AG2532" s="238" t="s">
        <v>8026</v>
      </c>
      <c r="AH2532" s="238" t="s">
        <v>1212</v>
      </c>
      <c r="AI2532" s="238" t="s">
        <v>3074</v>
      </c>
      <c r="AJ2532" s="238" t="s">
        <v>4177</v>
      </c>
      <c r="AK2532" s="238" t="s">
        <v>3345</v>
      </c>
      <c r="AL2532" t="s">
        <v>8715</v>
      </c>
      <c r="AM2532" t="s">
        <v>1167</v>
      </c>
    </row>
    <row r="2533" spans="1:39" x14ac:dyDescent="0.25">
      <c r="A2533">
        <v>2530</v>
      </c>
      <c r="B2533">
        <v>13</v>
      </c>
      <c r="C2533" s="24">
        <v>45618</v>
      </c>
      <c r="D2533" s="238" t="s">
        <v>3388</v>
      </c>
      <c r="E2533" s="238" t="s">
        <v>5</v>
      </c>
      <c r="F2533">
        <v>2</v>
      </c>
      <c r="G2533">
        <v>16</v>
      </c>
      <c r="H2533">
        <v>217</v>
      </c>
      <c r="I2533" s="238" t="s">
        <v>4052</v>
      </c>
      <c r="J2533">
        <v>24.28</v>
      </c>
      <c r="K2533" s="238" t="s">
        <v>36</v>
      </c>
      <c r="L2533">
        <v>3631684</v>
      </c>
      <c r="M2533">
        <v>0</v>
      </c>
      <c r="N2533">
        <v>3631684</v>
      </c>
      <c r="O2533">
        <v>149575.12355848434</v>
      </c>
      <c r="P2533">
        <v>0</v>
      </c>
      <c r="Q2533">
        <v>3631684</v>
      </c>
      <c r="R2533">
        <v>149575.12355848434</v>
      </c>
      <c r="S2533" s="238" t="s">
        <v>137</v>
      </c>
      <c r="T2533" s="238" t="s">
        <v>3540</v>
      </c>
      <c r="U2533">
        <v>74115.999999999534</v>
      </c>
      <c r="V2533" t="s">
        <v>4092</v>
      </c>
      <c r="W2533" s="24">
        <v>45614</v>
      </c>
      <c r="X2533" s="238" t="s">
        <v>8029</v>
      </c>
      <c r="Y2533" s="238" t="s">
        <v>39</v>
      </c>
      <c r="Z2533" s="238" t="s">
        <v>1340</v>
      </c>
      <c r="AA2533" t="s">
        <v>3113</v>
      </c>
      <c r="AB2533" s="238" t="s">
        <v>3246</v>
      </c>
      <c r="AC2533" t="s">
        <v>3079</v>
      </c>
      <c r="AD2533" s="24"/>
      <c r="AE2533" s="238" t="s">
        <v>8030</v>
      </c>
      <c r="AF2533">
        <v>79874404400</v>
      </c>
      <c r="AG2533" s="238" t="s">
        <v>8031</v>
      </c>
      <c r="AH2533" s="238" t="s">
        <v>4072</v>
      </c>
      <c r="AI2533" s="238" t="s">
        <v>6406</v>
      </c>
      <c r="AJ2533" s="238" t="s">
        <v>126</v>
      </c>
      <c r="AK2533" s="238" t="s">
        <v>3345</v>
      </c>
      <c r="AL2533" t="s">
        <v>57</v>
      </c>
      <c r="AM2533" t="s">
        <v>1167</v>
      </c>
    </row>
    <row r="2534" spans="1:39" hidden="1" x14ac:dyDescent="0.25">
      <c r="A2534">
        <v>2531</v>
      </c>
      <c r="B2534">
        <v>14</v>
      </c>
      <c r="C2534" s="24">
        <v>45618</v>
      </c>
      <c r="D2534" s="238" t="s">
        <v>7562</v>
      </c>
      <c r="E2534" s="238" t="s">
        <v>42</v>
      </c>
      <c r="F2534">
        <v>3</v>
      </c>
      <c r="G2534">
        <v>5</v>
      </c>
      <c r="H2534">
        <v>15</v>
      </c>
      <c r="I2534" s="238" t="s">
        <v>43</v>
      </c>
      <c r="J2534">
        <v>51.79</v>
      </c>
      <c r="K2534" s="238" t="s">
        <v>36</v>
      </c>
      <c r="L2534">
        <v>5689100</v>
      </c>
      <c r="M2534">
        <v>0</v>
      </c>
      <c r="N2534">
        <v>5689100</v>
      </c>
      <c r="O2534">
        <v>109849.39177447384</v>
      </c>
      <c r="P2534">
        <v>0</v>
      </c>
      <c r="Q2534">
        <v>5689100</v>
      </c>
      <c r="R2534">
        <v>109849.39177447384</v>
      </c>
      <c r="S2534" s="238" t="s">
        <v>137</v>
      </c>
      <c r="T2534" s="238" t="s">
        <v>8020</v>
      </c>
      <c r="U2534">
        <v>100000</v>
      </c>
      <c r="V2534" t="s">
        <v>4092</v>
      </c>
      <c r="W2534" s="24">
        <v>45614</v>
      </c>
      <c r="X2534" s="238" t="s">
        <v>8032</v>
      </c>
      <c r="Y2534" s="238" t="s">
        <v>39</v>
      </c>
      <c r="Z2534" s="238" t="s">
        <v>1340</v>
      </c>
      <c r="AA2534" t="s">
        <v>3113</v>
      </c>
      <c r="AB2534" s="238" t="s">
        <v>3246</v>
      </c>
      <c r="AC2534" t="s">
        <v>3079</v>
      </c>
      <c r="AD2534" s="24"/>
      <c r="AE2534" s="238" t="s">
        <v>8033</v>
      </c>
      <c r="AF2534">
        <v>79869545562</v>
      </c>
      <c r="AG2534" s="238" t="s">
        <v>8034</v>
      </c>
      <c r="AH2534" s="238" t="s">
        <v>4072</v>
      </c>
      <c r="AI2534" s="238" t="s">
        <v>6406</v>
      </c>
      <c r="AJ2534" s="238" t="s">
        <v>126</v>
      </c>
      <c r="AK2534" s="238" t="s">
        <v>3345</v>
      </c>
      <c r="AL2534" t="s">
        <v>57</v>
      </c>
      <c r="AM2534" t="s">
        <v>1167</v>
      </c>
    </row>
    <row r="2535" spans="1:39" x14ac:dyDescent="0.25">
      <c r="A2535">
        <v>2532</v>
      </c>
      <c r="B2535">
        <v>15</v>
      </c>
      <c r="C2535" s="24">
        <v>45621</v>
      </c>
      <c r="D2535" s="238" t="s">
        <v>3388</v>
      </c>
      <c r="E2535" s="238" t="s">
        <v>15</v>
      </c>
      <c r="F2535">
        <v>2</v>
      </c>
      <c r="G2535">
        <v>17</v>
      </c>
      <c r="H2535">
        <v>518</v>
      </c>
      <c r="I2535" s="238" t="s">
        <v>42</v>
      </c>
      <c r="J2535">
        <v>43.21</v>
      </c>
      <c r="K2535" s="238" t="s">
        <v>6871</v>
      </c>
      <c r="L2535">
        <v>6167354</v>
      </c>
      <c r="M2535">
        <v>0</v>
      </c>
      <c r="N2535">
        <v>6167354</v>
      </c>
      <c r="O2535">
        <v>142729.78477204349</v>
      </c>
      <c r="P2535">
        <v>432100</v>
      </c>
      <c r="Q2535">
        <v>5735254</v>
      </c>
      <c r="R2535">
        <v>132729.78477204349</v>
      </c>
      <c r="S2535" s="238" t="s">
        <v>137</v>
      </c>
      <c r="T2535" s="238" t="s">
        <v>3540</v>
      </c>
      <c r="U2535">
        <v>117045.99999999907</v>
      </c>
      <c r="V2535" t="s">
        <v>4092</v>
      </c>
      <c r="W2535" s="24">
        <v>45615</v>
      </c>
      <c r="X2535" s="238" t="s">
        <v>8035</v>
      </c>
      <c r="Y2535" s="238" t="s">
        <v>39</v>
      </c>
      <c r="Z2535" s="238" t="s">
        <v>1340</v>
      </c>
      <c r="AA2535" t="s">
        <v>3113</v>
      </c>
      <c r="AB2535" s="238" t="s">
        <v>3246</v>
      </c>
      <c r="AC2535" t="s">
        <v>3079</v>
      </c>
      <c r="AD2535" s="24"/>
      <c r="AE2535" s="238" t="s">
        <v>8036</v>
      </c>
      <c r="AF2535">
        <v>79096083863</v>
      </c>
      <c r="AG2535" s="238" t="s">
        <v>8037</v>
      </c>
      <c r="AH2535" s="238" t="s">
        <v>1212</v>
      </c>
      <c r="AI2535" s="238" t="s">
        <v>3102</v>
      </c>
      <c r="AJ2535" s="238" t="s">
        <v>126</v>
      </c>
      <c r="AK2535" s="238" t="s">
        <v>3345</v>
      </c>
      <c r="AL2535" t="s">
        <v>8715</v>
      </c>
      <c r="AM2535" t="s">
        <v>1167</v>
      </c>
    </row>
    <row r="2536" spans="1:39" x14ac:dyDescent="0.25">
      <c r="A2536">
        <v>2533</v>
      </c>
      <c r="B2536">
        <v>16</v>
      </c>
      <c r="C2536" s="24">
        <v>45621</v>
      </c>
      <c r="D2536" s="238" t="s">
        <v>3388</v>
      </c>
      <c r="E2536" s="238" t="s">
        <v>5</v>
      </c>
      <c r="F2536">
        <v>1</v>
      </c>
      <c r="G2536">
        <v>14</v>
      </c>
      <c r="H2536">
        <v>202</v>
      </c>
      <c r="I2536" s="238" t="s">
        <v>43</v>
      </c>
      <c r="J2536">
        <v>60.22</v>
      </c>
      <c r="K2536" s="238" t="s">
        <v>6871</v>
      </c>
      <c r="L2536">
        <v>7816090</v>
      </c>
      <c r="M2536">
        <v>0</v>
      </c>
      <c r="N2536">
        <v>7816090</v>
      </c>
      <c r="O2536">
        <v>129792.26170707407</v>
      </c>
      <c r="P2536">
        <v>602200</v>
      </c>
      <c r="Q2536">
        <v>7213890</v>
      </c>
      <c r="R2536">
        <v>119792.26170707407</v>
      </c>
      <c r="S2536" s="238" t="s">
        <v>137</v>
      </c>
      <c r="T2536" s="238" t="s">
        <v>978</v>
      </c>
      <c r="U2536">
        <v>223110.00000000093</v>
      </c>
      <c r="V2536" t="s">
        <v>4092</v>
      </c>
      <c r="W2536" s="24">
        <v>45617</v>
      </c>
      <c r="X2536" s="238" t="s">
        <v>8038</v>
      </c>
      <c r="Y2536" s="238" t="s">
        <v>39</v>
      </c>
      <c r="Z2536" s="238" t="s">
        <v>1340</v>
      </c>
      <c r="AA2536" t="s">
        <v>3113</v>
      </c>
      <c r="AB2536" s="238" t="s">
        <v>3246</v>
      </c>
      <c r="AC2536" t="s">
        <v>3079</v>
      </c>
      <c r="AD2536" s="24"/>
      <c r="AE2536" s="238" t="s">
        <v>8039</v>
      </c>
      <c r="AF2536">
        <v>79277475000</v>
      </c>
      <c r="AG2536" s="238" t="s">
        <v>8040</v>
      </c>
      <c r="AH2536" s="238" t="s">
        <v>1212</v>
      </c>
      <c r="AI2536" s="238" t="s">
        <v>135</v>
      </c>
      <c r="AJ2536" s="238" t="s">
        <v>4177</v>
      </c>
      <c r="AK2536" s="238" t="s">
        <v>3345</v>
      </c>
      <c r="AL2536" t="s">
        <v>8715</v>
      </c>
      <c r="AM2536" t="s">
        <v>1167</v>
      </c>
    </row>
    <row r="2537" spans="1:39" x14ac:dyDescent="0.25">
      <c r="A2537">
        <v>2534</v>
      </c>
      <c r="B2537">
        <v>17</v>
      </c>
      <c r="C2537" s="24">
        <v>45622</v>
      </c>
      <c r="D2537" s="238" t="s">
        <v>3388</v>
      </c>
      <c r="E2537" s="238" t="s">
        <v>15</v>
      </c>
      <c r="F2537">
        <v>3</v>
      </c>
      <c r="G2537">
        <v>24</v>
      </c>
      <c r="H2537">
        <v>575</v>
      </c>
      <c r="I2537" s="238" t="s">
        <v>4052</v>
      </c>
      <c r="J2537">
        <v>24.5</v>
      </c>
      <c r="K2537" s="238" t="s">
        <v>38</v>
      </c>
      <c r="L2537">
        <v>3711788</v>
      </c>
      <c r="M2537">
        <v>0</v>
      </c>
      <c r="N2537">
        <v>3711788</v>
      </c>
      <c r="O2537">
        <v>151501.55102040817</v>
      </c>
      <c r="P2537">
        <v>588000</v>
      </c>
      <c r="Q2537">
        <v>3123788</v>
      </c>
      <c r="R2537">
        <v>127501.55102040817</v>
      </c>
      <c r="S2537" s="238" t="s">
        <v>137</v>
      </c>
      <c r="T2537" s="238" t="s">
        <v>978</v>
      </c>
      <c r="U2537">
        <v>96612</v>
      </c>
      <c r="V2537" t="s">
        <v>4092</v>
      </c>
      <c r="W2537" s="24">
        <v>45608</v>
      </c>
      <c r="X2537" s="238" t="s">
        <v>8041</v>
      </c>
      <c r="Y2537" s="238" t="s">
        <v>39</v>
      </c>
      <c r="Z2537" s="238" t="s">
        <v>1340</v>
      </c>
      <c r="AA2537" t="s">
        <v>3113</v>
      </c>
      <c r="AB2537" s="238" t="s">
        <v>3246</v>
      </c>
      <c r="AC2537" t="s">
        <v>3079</v>
      </c>
      <c r="AD2537" s="24"/>
      <c r="AE2537" s="238" t="s">
        <v>8042</v>
      </c>
      <c r="AF2537">
        <v>79869519237</v>
      </c>
      <c r="AG2537" s="238" t="s">
        <v>8043</v>
      </c>
      <c r="AH2537" s="238" t="s">
        <v>1171</v>
      </c>
      <c r="AI2537" s="238" t="s">
        <v>3084</v>
      </c>
      <c r="AJ2537" s="238" t="s">
        <v>4177</v>
      </c>
      <c r="AK2537" s="238" t="s">
        <v>3345</v>
      </c>
      <c r="AL2537" t="s">
        <v>8715</v>
      </c>
      <c r="AM2537" t="s">
        <v>1167</v>
      </c>
    </row>
    <row r="2538" spans="1:39" x14ac:dyDescent="0.25">
      <c r="A2538">
        <v>2535</v>
      </c>
      <c r="B2538">
        <v>18</v>
      </c>
      <c r="C2538" s="24">
        <v>45625</v>
      </c>
      <c r="D2538" s="238" t="s">
        <v>3388</v>
      </c>
      <c r="E2538" s="238" t="s">
        <v>16</v>
      </c>
      <c r="F2538">
        <v>1</v>
      </c>
      <c r="G2538">
        <v>5</v>
      </c>
      <c r="H2538">
        <v>250</v>
      </c>
      <c r="I2538" s="238" t="s">
        <v>43</v>
      </c>
      <c r="J2538">
        <v>73.7</v>
      </c>
      <c r="K2538" s="238" t="s">
        <v>36</v>
      </c>
      <c r="L2538">
        <v>7518400</v>
      </c>
      <c r="M2538">
        <v>0</v>
      </c>
      <c r="N2538">
        <v>7518400</v>
      </c>
      <c r="O2538">
        <v>102013.56852103121</v>
      </c>
      <c r="P2538">
        <v>0</v>
      </c>
      <c r="Q2538">
        <v>7518400</v>
      </c>
      <c r="R2538">
        <v>102013.56852103121</v>
      </c>
      <c r="S2538" s="238" t="s">
        <v>137</v>
      </c>
      <c r="T2538" s="238" t="s">
        <v>1167</v>
      </c>
      <c r="V2538" t="s">
        <v>4092</v>
      </c>
      <c r="W2538" s="24">
        <v>45600</v>
      </c>
      <c r="X2538" s="238" t="s">
        <v>8045</v>
      </c>
      <c r="Y2538" s="238" t="s">
        <v>39</v>
      </c>
      <c r="Z2538" s="238" t="s">
        <v>1340</v>
      </c>
      <c r="AA2538" t="s">
        <v>3113</v>
      </c>
      <c r="AB2538" s="238" t="s">
        <v>3246</v>
      </c>
      <c r="AC2538" t="s">
        <v>3079</v>
      </c>
      <c r="AD2538" s="24"/>
      <c r="AE2538" s="238" t="s">
        <v>8046</v>
      </c>
      <c r="AF2538">
        <v>79179489694</v>
      </c>
      <c r="AG2538" s="238" t="s">
        <v>8047</v>
      </c>
      <c r="AH2538" s="238" t="s">
        <v>1171</v>
      </c>
      <c r="AI2538" s="238" t="s">
        <v>3084</v>
      </c>
      <c r="AJ2538" s="238" t="s">
        <v>4177</v>
      </c>
      <c r="AK2538" s="238" t="s">
        <v>3345</v>
      </c>
      <c r="AL2538" t="s">
        <v>8715</v>
      </c>
      <c r="AM2538" t="s">
        <v>1167</v>
      </c>
    </row>
    <row r="2539" spans="1:39" x14ac:dyDescent="0.25">
      <c r="A2539">
        <v>2536</v>
      </c>
      <c r="B2539">
        <v>19</v>
      </c>
      <c r="C2539" s="24">
        <v>45625</v>
      </c>
      <c r="D2539" s="238" t="s">
        <v>3388</v>
      </c>
      <c r="E2539" s="238" t="s">
        <v>16</v>
      </c>
      <c r="F2539">
        <v>7</v>
      </c>
      <c r="G2539">
        <v>15</v>
      </c>
      <c r="H2539">
        <v>326</v>
      </c>
      <c r="I2539" s="238" t="s">
        <v>42</v>
      </c>
      <c r="J2539">
        <v>34.81</v>
      </c>
      <c r="K2539" s="238" t="s">
        <v>38</v>
      </c>
      <c r="L2539">
        <v>5026998</v>
      </c>
      <c r="M2539">
        <v>0</v>
      </c>
      <c r="N2539">
        <v>5026998</v>
      </c>
      <c r="O2539">
        <v>144412.46768170065</v>
      </c>
      <c r="P2539">
        <v>835440</v>
      </c>
      <c r="Q2539">
        <v>4191558</v>
      </c>
      <c r="R2539">
        <v>120412.46768170065</v>
      </c>
      <c r="S2539" s="238" t="s">
        <v>137</v>
      </c>
      <c r="T2539" s="238" t="s">
        <v>3540</v>
      </c>
      <c r="U2539">
        <v>85542</v>
      </c>
      <c r="V2539" t="s">
        <v>4092</v>
      </c>
      <c r="W2539" s="24">
        <v>45611</v>
      </c>
      <c r="X2539" s="238" t="s">
        <v>8048</v>
      </c>
      <c r="Y2539" s="238" t="s">
        <v>39</v>
      </c>
      <c r="Z2539" s="238" t="s">
        <v>1340</v>
      </c>
      <c r="AA2539" t="s">
        <v>3113</v>
      </c>
      <c r="AB2539" s="238" t="s">
        <v>3246</v>
      </c>
      <c r="AC2539" t="s">
        <v>3079</v>
      </c>
      <c r="AD2539" s="24"/>
      <c r="AE2539" s="238" t="s">
        <v>8049</v>
      </c>
      <c r="AF2539">
        <v>79198442469</v>
      </c>
      <c r="AG2539" s="238" t="s">
        <v>8050</v>
      </c>
      <c r="AH2539" s="238" t="s">
        <v>135</v>
      </c>
      <c r="AI2539" s="238" t="s">
        <v>3075</v>
      </c>
      <c r="AJ2539" s="238" t="s">
        <v>126</v>
      </c>
      <c r="AK2539" s="238" t="s">
        <v>3345</v>
      </c>
      <c r="AL2539" t="s">
        <v>8715</v>
      </c>
      <c r="AM2539" t="s">
        <v>1167</v>
      </c>
    </row>
    <row r="2540" spans="1:39" x14ac:dyDescent="0.25">
      <c r="A2540">
        <v>2537</v>
      </c>
      <c r="B2540">
        <v>20</v>
      </c>
      <c r="C2540" s="24">
        <v>45625</v>
      </c>
      <c r="D2540" s="238" t="s">
        <v>3388</v>
      </c>
      <c r="E2540" s="238" t="s">
        <v>16</v>
      </c>
      <c r="F2540">
        <v>2</v>
      </c>
      <c r="G2540">
        <v>17</v>
      </c>
      <c r="H2540">
        <v>335</v>
      </c>
      <c r="I2540" s="238" t="s">
        <v>4052</v>
      </c>
      <c r="J2540">
        <v>24.53</v>
      </c>
      <c r="K2540" s="238" t="s">
        <v>38</v>
      </c>
      <c r="L2540">
        <v>4294424</v>
      </c>
      <c r="M2540">
        <v>0</v>
      </c>
      <c r="N2540">
        <v>4294424</v>
      </c>
      <c r="O2540">
        <v>175068.24296779453</v>
      </c>
      <c r="P2540">
        <v>613250</v>
      </c>
      <c r="Q2540">
        <v>3681174</v>
      </c>
      <c r="R2540">
        <v>150068.24296779453</v>
      </c>
      <c r="S2540" s="238" t="s">
        <v>137</v>
      </c>
      <c r="T2540" s="238" t="s">
        <v>3540</v>
      </c>
      <c r="U2540">
        <v>75126</v>
      </c>
      <c r="V2540" t="s">
        <v>4092</v>
      </c>
      <c r="W2540" s="24">
        <v>45617</v>
      </c>
      <c r="X2540" s="238" t="s">
        <v>8051</v>
      </c>
      <c r="Y2540" s="238" t="s">
        <v>39</v>
      </c>
      <c r="Z2540" s="238" t="s">
        <v>1340</v>
      </c>
      <c r="AA2540" t="s">
        <v>3113</v>
      </c>
      <c r="AB2540" s="238" t="s">
        <v>3246</v>
      </c>
      <c r="AC2540" t="s">
        <v>3079</v>
      </c>
      <c r="AD2540" s="24"/>
      <c r="AE2540" s="238" t="s">
        <v>8052</v>
      </c>
      <c r="AF2540">
        <v>79397356244</v>
      </c>
      <c r="AG2540" s="238" t="s">
        <v>8053</v>
      </c>
      <c r="AH2540" s="238" t="s">
        <v>1212</v>
      </c>
      <c r="AI2540" s="238" t="s">
        <v>3514</v>
      </c>
      <c r="AJ2540" s="238" t="s">
        <v>5215</v>
      </c>
      <c r="AK2540" s="238" t="s">
        <v>3345</v>
      </c>
      <c r="AL2540" t="s">
        <v>8715</v>
      </c>
      <c r="AM2540" t="s">
        <v>1167</v>
      </c>
    </row>
    <row r="2541" spans="1:39" x14ac:dyDescent="0.25">
      <c r="A2541">
        <v>2538</v>
      </c>
      <c r="B2541">
        <v>1</v>
      </c>
      <c r="C2541" s="24">
        <v>45631</v>
      </c>
      <c r="D2541" s="238" t="s">
        <v>3388</v>
      </c>
      <c r="E2541" s="238" t="s">
        <v>6</v>
      </c>
      <c r="F2541">
        <v>6</v>
      </c>
      <c r="G2541">
        <v>6</v>
      </c>
      <c r="H2541">
        <v>40</v>
      </c>
      <c r="I2541" s="238" t="s">
        <v>43</v>
      </c>
      <c r="J2541">
        <v>58.16</v>
      </c>
      <c r="K2541" s="238" t="s">
        <v>6871</v>
      </c>
      <c r="L2541">
        <v>7576552</v>
      </c>
      <c r="M2541">
        <v>0</v>
      </c>
      <c r="N2541">
        <v>7576552</v>
      </c>
      <c r="O2541">
        <v>130270.83906464925</v>
      </c>
      <c r="P2541">
        <v>465280</v>
      </c>
      <c r="Q2541">
        <v>7111272</v>
      </c>
      <c r="R2541">
        <v>122270.83906464925</v>
      </c>
      <c r="S2541" s="238" t="s">
        <v>137</v>
      </c>
      <c r="T2541" s="238" t="s">
        <v>3540</v>
      </c>
      <c r="U2541">
        <v>145128</v>
      </c>
      <c r="V2541" t="s">
        <v>4092</v>
      </c>
      <c r="W2541" s="24">
        <v>45615</v>
      </c>
      <c r="X2541" s="238" t="s">
        <v>8350</v>
      </c>
      <c r="Y2541" s="238" t="s">
        <v>39</v>
      </c>
      <c r="Z2541" s="238" t="s">
        <v>1340</v>
      </c>
      <c r="AA2541" t="s">
        <v>3113</v>
      </c>
      <c r="AB2541" s="238" t="s">
        <v>3246</v>
      </c>
      <c r="AC2541" t="s">
        <v>3079</v>
      </c>
      <c r="AD2541" s="24"/>
      <c r="AE2541" s="238" t="s">
        <v>8351</v>
      </c>
      <c r="AF2541">
        <v>79228887773</v>
      </c>
      <c r="AG2541" s="238" t="s">
        <v>8352</v>
      </c>
      <c r="AH2541" s="238" t="s">
        <v>135</v>
      </c>
      <c r="AI2541" s="238" t="s">
        <v>135</v>
      </c>
      <c r="AJ2541" s="238" t="s">
        <v>126</v>
      </c>
      <c r="AK2541" s="238" t="s">
        <v>3345</v>
      </c>
      <c r="AL2541" t="s">
        <v>8715</v>
      </c>
      <c r="AM2541" t="s">
        <v>1167</v>
      </c>
    </row>
    <row r="2542" spans="1:39" x14ac:dyDescent="0.25">
      <c r="A2542">
        <v>2539</v>
      </c>
      <c r="B2542">
        <v>2</v>
      </c>
      <c r="C2542" s="24">
        <v>45635</v>
      </c>
      <c r="D2542" s="238" t="s">
        <v>3388</v>
      </c>
      <c r="E2542" s="238" t="s">
        <v>15</v>
      </c>
      <c r="F2542">
        <v>7</v>
      </c>
      <c r="G2542">
        <v>17</v>
      </c>
      <c r="H2542">
        <v>523</v>
      </c>
      <c r="I2542" s="238" t="s">
        <v>44</v>
      </c>
      <c r="J2542">
        <v>79.44</v>
      </c>
      <c r="K2542" s="238" t="s">
        <v>6871</v>
      </c>
      <c r="L2542">
        <v>10407906</v>
      </c>
      <c r="M2542">
        <v>0</v>
      </c>
      <c r="N2542">
        <v>10407906</v>
      </c>
      <c r="O2542">
        <v>131015.93655589124</v>
      </c>
      <c r="P2542">
        <v>794400</v>
      </c>
      <c r="Q2542">
        <v>9613506</v>
      </c>
      <c r="R2542">
        <v>121015.93655589124</v>
      </c>
      <c r="S2542" s="238" t="s">
        <v>137</v>
      </c>
      <c r="T2542" s="238" t="s">
        <v>7340</v>
      </c>
      <c r="U2542">
        <v>196194</v>
      </c>
      <c r="V2542" t="s">
        <v>4093</v>
      </c>
      <c r="W2542" s="24">
        <v>45625</v>
      </c>
      <c r="X2542" s="238" t="s">
        <v>8353</v>
      </c>
      <c r="Y2542" s="238" t="s">
        <v>39</v>
      </c>
      <c r="Z2542" s="238" t="s">
        <v>1340</v>
      </c>
      <c r="AA2542" t="s">
        <v>3113</v>
      </c>
      <c r="AB2542" s="238" t="s">
        <v>3246</v>
      </c>
      <c r="AC2542" t="s">
        <v>3079</v>
      </c>
      <c r="AD2542" s="24"/>
      <c r="AE2542" s="238" t="s">
        <v>8354</v>
      </c>
      <c r="AF2542">
        <v>79951314851</v>
      </c>
      <c r="AG2542" s="238" t="s">
        <v>8355</v>
      </c>
      <c r="AH2542" s="238" t="s">
        <v>1171</v>
      </c>
      <c r="AI2542" s="238" t="s">
        <v>135</v>
      </c>
      <c r="AJ2542" s="238" t="s">
        <v>4177</v>
      </c>
      <c r="AK2542" s="238" t="s">
        <v>3345</v>
      </c>
      <c r="AL2542" t="s">
        <v>8715</v>
      </c>
      <c r="AM2542" t="s">
        <v>1167</v>
      </c>
    </row>
    <row r="2543" spans="1:39" hidden="1" x14ac:dyDescent="0.25">
      <c r="A2543">
        <v>2540</v>
      </c>
      <c r="B2543">
        <v>3</v>
      </c>
      <c r="C2543" s="24">
        <v>45637</v>
      </c>
      <c r="D2543" s="238" t="s">
        <v>27</v>
      </c>
      <c r="E2543" s="238" t="s">
        <v>6</v>
      </c>
      <c r="F2543">
        <v>3</v>
      </c>
      <c r="G2543">
        <v>1</v>
      </c>
      <c r="H2543">
        <v>3</v>
      </c>
      <c r="I2543" s="238" t="s">
        <v>3946</v>
      </c>
      <c r="J2543">
        <v>101.3</v>
      </c>
      <c r="K2543" s="238" t="s">
        <v>36</v>
      </c>
      <c r="L2543">
        <v>12156000</v>
      </c>
      <c r="M2543">
        <v>0</v>
      </c>
      <c r="N2543">
        <v>12156000</v>
      </c>
      <c r="O2543">
        <v>120000</v>
      </c>
      <c r="P2543">
        <v>0</v>
      </c>
      <c r="Q2543">
        <v>12156000</v>
      </c>
      <c r="R2543">
        <v>120000</v>
      </c>
      <c r="S2543" s="238" t="s">
        <v>124</v>
      </c>
      <c r="T2543" s="238" t="s">
        <v>321</v>
      </c>
      <c r="U2543">
        <v>506500</v>
      </c>
      <c r="V2543" t="s">
        <v>1167</v>
      </c>
      <c r="W2543" s="24">
        <v>45637</v>
      </c>
      <c r="X2543" s="238" t="s">
        <v>8356</v>
      </c>
      <c r="Y2543" s="238" t="s">
        <v>3946</v>
      </c>
      <c r="Z2543" s="238" t="s">
        <v>1340</v>
      </c>
      <c r="AA2543" t="s">
        <v>3474</v>
      </c>
      <c r="AB2543" s="238" t="s">
        <v>3124</v>
      </c>
      <c r="AC2543" t="s">
        <v>1167</v>
      </c>
      <c r="AD2543" s="24"/>
      <c r="AE2543" s="238" t="s">
        <v>8357</v>
      </c>
      <c r="AF2543">
        <v>79178165999</v>
      </c>
      <c r="AG2543" s="238" t="s">
        <v>1167</v>
      </c>
      <c r="AH2543" s="238" t="s">
        <v>1197</v>
      </c>
      <c r="AI2543" s="238" t="s">
        <v>3084</v>
      </c>
      <c r="AJ2543" s="238" t="s">
        <v>4177</v>
      </c>
      <c r="AK2543" s="238" t="s">
        <v>1167</v>
      </c>
      <c r="AL2543" t="s">
        <v>8715</v>
      </c>
      <c r="AM2543" t="s">
        <v>1167</v>
      </c>
    </row>
    <row r="2544" spans="1:39" hidden="1" x14ac:dyDescent="0.25">
      <c r="A2544">
        <v>2541</v>
      </c>
      <c r="B2544">
        <v>4</v>
      </c>
      <c r="C2544" s="24">
        <v>45638</v>
      </c>
      <c r="D2544" s="238" t="s">
        <v>8060</v>
      </c>
      <c r="E2544" s="238" t="s">
        <v>44</v>
      </c>
      <c r="F2544">
        <v>2</v>
      </c>
      <c r="G2544">
        <v>17</v>
      </c>
      <c r="H2544">
        <v>272</v>
      </c>
      <c r="I2544" s="238" t="s">
        <v>42</v>
      </c>
      <c r="J2544">
        <v>36.35</v>
      </c>
      <c r="K2544" s="238" t="s">
        <v>36</v>
      </c>
      <c r="L2544">
        <v>4460739</v>
      </c>
      <c r="M2544">
        <v>0</v>
      </c>
      <c r="N2544">
        <v>4460739</v>
      </c>
      <c r="O2544">
        <v>122716.34112792296</v>
      </c>
      <c r="P2544">
        <v>0</v>
      </c>
      <c r="Q2544">
        <v>4460739</v>
      </c>
      <c r="R2544">
        <v>122716.34112792296</v>
      </c>
      <c r="S2544" s="238" t="s">
        <v>124</v>
      </c>
      <c r="T2544" s="238" t="s">
        <v>978</v>
      </c>
      <c r="U2544">
        <v>137961</v>
      </c>
      <c r="V2544" t="s">
        <v>1167</v>
      </c>
      <c r="W2544" s="24">
        <v>45636</v>
      </c>
      <c r="X2544" s="238" t="s">
        <v>8360</v>
      </c>
      <c r="Y2544" s="238" t="s">
        <v>39</v>
      </c>
      <c r="Z2544" s="238" t="s">
        <v>1340</v>
      </c>
      <c r="AA2544" t="s">
        <v>3474</v>
      </c>
      <c r="AB2544" s="238" t="s">
        <v>3246</v>
      </c>
      <c r="AC2544" t="s">
        <v>1167</v>
      </c>
      <c r="AD2544" s="24"/>
      <c r="AE2544" s="238" t="s">
        <v>7651</v>
      </c>
      <c r="AF2544">
        <v>79495857658</v>
      </c>
      <c r="AG2544" s="238" t="s">
        <v>7652</v>
      </c>
      <c r="AH2544" s="238" t="s">
        <v>1212</v>
      </c>
      <c r="AI2544" s="238" t="s">
        <v>3082</v>
      </c>
      <c r="AJ2544" s="238" t="s">
        <v>4177</v>
      </c>
      <c r="AK2544" s="238" t="s">
        <v>1167</v>
      </c>
      <c r="AL2544" t="s">
        <v>8715</v>
      </c>
      <c r="AM2544" t="s">
        <v>1167</v>
      </c>
    </row>
    <row r="2545" spans="1:39" hidden="1" x14ac:dyDescent="0.25">
      <c r="A2545">
        <v>2542</v>
      </c>
      <c r="B2545">
        <v>5</v>
      </c>
      <c r="C2545" s="24">
        <v>45637</v>
      </c>
      <c r="D2545" s="238" t="s">
        <v>91</v>
      </c>
      <c r="E2545" s="238" t="s">
        <v>5</v>
      </c>
      <c r="F2545">
        <v>1</v>
      </c>
      <c r="G2545">
        <v>1</v>
      </c>
      <c r="H2545">
        <v>5</v>
      </c>
      <c r="I2545" s="238" t="s">
        <v>3946</v>
      </c>
      <c r="J2545">
        <v>81.599999999999994</v>
      </c>
      <c r="K2545" s="238" t="s">
        <v>36</v>
      </c>
      <c r="L2545">
        <v>9445200</v>
      </c>
      <c r="M2545">
        <v>0</v>
      </c>
      <c r="N2545">
        <v>9445200</v>
      </c>
      <c r="O2545">
        <v>115750.00000000001</v>
      </c>
      <c r="P2545">
        <v>0</v>
      </c>
      <c r="Q2545">
        <v>9445200</v>
      </c>
      <c r="R2545">
        <v>115750.00000000001</v>
      </c>
      <c r="S2545" s="238" t="s">
        <v>124</v>
      </c>
      <c r="T2545" s="238" t="s">
        <v>321</v>
      </c>
      <c r="U2545">
        <v>408000</v>
      </c>
      <c r="V2545" t="s">
        <v>1167</v>
      </c>
      <c r="W2545" s="24">
        <v>45638</v>
      </c>
      <c r="X2545" s="238" t="s">
        <v>8361</v>
      </c>
      <c r="Y2545" s="238" t="s">
        <v>3946</v>
      </c>
      <c r="Z2545" s="238" t="s">
        <v>1340</v>
      </c>
      <c r="AA2545" t="s">
        <v>3474</v>
      </c>
      <c r="AB2545" s="238" t="s">
        <v>3124</v>
      </c>
      <c r="AC2545" t="s">
        <v>1167</v>
      </c>
      <c r="AD2545" s="24"/>
      <c r="AE2545" s="238" t="s">
        <v>8357</v>
      </c>
      <c r="AF2545">
        <v>79178165999</v>
      </c>
      <c r="AG2545" s="238" t="s">
        <v>1167</v>
      </c>
      <c r="AH2545" s="238" t="s">
        <v>1171</v>
      </c>
      <c r="AI2545" s="238" t="s">
        <v>3084</v>
      </c>
      <c r="AJ2545" s="238" t="s">
        <v>4177</v>
      </c>
      <c r="AK2545" s="238" t="s">
        <v>1167</v>
      </c>
      <c r="AL2545" t="s">
        <v>8715</v>
      </c>
      <c r="AM2545" t="s">
        <v>1167</v>
      </c>
    </row>
    <row r="2546" spans="1:39" x14ac:dyDescent="0.25">
      <c r="A2546">
        <v>2543</v>
      </c>
      <c r="B2546">
        <v>6</v>
      </c>
      <c r="C2546" s="24">
        <v>45642</v>
      </c>
      <c r="D2546" s="238" t="s">
        <v>3388</v>
      </c>
      <c r="E2546" s="238" t="s">
        <v>6</v>
      </c>
      <c r="F2546">
        <v>2</v>
      </c>
      <c r="G2546">
        <v>9</v>
      </c>
      <c r="H2546">
        <v>57</v>
      </c>
      <c r="I2546" s="238" t="s">
        <v>43</v>
      </c>
      <c r="J2546">
        <v>68.5</v>
      </c>
      <c r="K2546" s="238" t="s">
        <v>6871</v>
      </c>
      <c r="L2546">
        <v>7178664</v>
      </c>
      <c r="M2546">
        <v>15000</v>
      </c>
      <c r="N2546">
        <v>7193664</v>
      </c>
      <c r="O2546">
        <v>105016.99270072993</v>
      </c>
      <c r="P2546">
        <v>548000</v>
      </c>
      <c r="Q2546">
        <v>6645664</v>
      </c>
      <c r="R2546">
        <v>97016.992700729927</v>
      </c>
      <c r="S2546" s="238" t="s">
        <v>137</v>
      </c>
      <c r="T2546" s="238" t="s">
        <v>978</v>
      </c>
      <c r="U2546">
        <v>205536</v>
      </c>
      <c r="V2546" t="s">
        <v>3661</v>
      </c>
      <c r="W2546" s="24">
        <v>45597</v>
      </c>
      <c r="X2546" s="238" t="s">
        <v>8362</v>
      </c>
      <c r="Y2546" s="238" t="s">
        <v>39</v>
      </c>
      <c r="Z2546" s="238" t="s">
        <v>1340</v>
      </c>
      <c r="AA2546" t="s">
        <v>3474</v>
      </c>
      <c r="AB2546" s="238" t="s">
        <v>3246</v>
      </c>
      <c r="AC2546" t="s">
        <v>3115</v>
      </c>
      <c r="AD2546" s="24"/>
      <c r="AE2546" s="238" t="s">
        <v>8363</v>
      </c>
      <c r="AF2546">
        <v>79371000099</v>
      </c>
      <c r="AG2546" s="238" t="s">
        <v>8364</v>
      </c>
      <c r="AH2546" s="238" t="s">
        <v>1171</v>
      </c>
      <c r="AI2546" s="238" t="s">
        <v>3094</v>
      </c>
      <c r="AJ2546" s="238" t="s">
        <v>5215</v>
      </c>
      <c r="AK2546" s="238" t="s">
        <v>3345</v>
      </c>
      <c r="AL2546" t="s">
        <v>8715</v>
      </c>
      <c r="AM2546" t="s">
        <v>1167</v>
      </c>
    </row>
    <row r="2547" spans="1:39" hidden="1" x14ac:dyDescent="0.25">
      <c r="A2547">
        <v>2544</v>
      </c>
      <c r="B2547">
        <v>7</v>
      </c>
      <c r="C2547" s="24">
        <v>45642</v>
      </c>
      <c r="D2547" s="238" t="s">
        <v>7562</v>
      </c>
      <c r="E2547" s="238" t="s">
        <v>43</v>
      </c>
      <c r="F2547">
        <v>5</v>
      </c>
      <c r="G2547">
        <v>9</v>
      </c>
      <c r="H2547">
        <v>96</v>
      </c>
      <c r="I2547" s="238" t="s">
        <v>43</v>
      </c>
      <c r="J2547">
        <v>49.2</v>
      </c>
      <c r="K2547" s="238" t="s">
        <v>36</v>
      </c>
      <c r="L2547">
        <v>6051592</v>
      </c>
      <c r="M2547">
        <v>15000</v>
      </c>
      <c r="N2547">
        <v>6066592</v>
      </c>
      <c r="O2547">
        <v>123304.71544715446</v>
      </c>
      <c r="P2547">
        <v>0</v>
      </c>
      <c r="Q2547">
        <v>6066592</v>
      </c>
      <c r="R2547">
        <v>123304.71544715446</v>
      </c>
      <c r="S2547" s="238" t="s">
        <v>124</v>
      </c>
      <c r="T2547" s="238" t="s">
        <v>3540</v>
      </c>
      <c r="U2547">
        <v>123808</v>
      </c>
      <c r="V2547" t="s">
        <v>1167</v>
      </c>
      <c r="W2547" s="24">
        <v>45636</v>
      </c>
      <c r="X2547" s="238" t="s">
        <v>8365</v>
      </c>
      <c r="Y2547" s="238" t="s">
        <v>39</v>
      </c>
      <c r="Z2547" s="238" t="s">
        <v>1340</v>
      </c>
      <c r="AA2547" t="s">
        <v>3113</v>
      </c>
      <c r="AB2547" s="238" t="s">
        <v>3246</v>
      </c>
      <c r="AC2547" t="s">
        <v>1167</v>
      </c>
      <c r="AD2547" s="24"/>
      <c r="AE2547" s="238" t="s">
        <v>8366</v>
      </c>
      <c r="AF2547">
        <v>79272688065</v>
      </c>
      <c r="AG2547" s="238" t="s">
        <v>8367</v>
      </c>
      <c r="AH2547" s="238" t="s">
        <v>1212</v>
      </c>
      <c r="AI2547" s="238" t="s">
        <v>3103</v>
      </c>
      <c r="AJ2547" s="238" t="s">
        <v>126</v>
      </c>
      <c r="AK2547" s="238" t="s">
        <v>1167</v>
      </c>
      <c r="AL2547" t="s">
        <v>8715</v>
      </c>
      <c r="AM2547" t="s">
        <v>1167</v>
      </c>
    </row>
    <row r="2548" spans="1:39" hidden="1" x14ac:dyDescent="0.25">
      <c r="A2548">
        <v>2545</v>
      </c>
      <c r="B2548">
        <v>8</v>
      </c>
      <c r="C2548" s="24">
        <v>45642</v>
      </c>
      <c r="D2548" s="238" t="s">
        <v>8060</v>
      </c>
      <c r="E2548" s="238" t="s">
        <v>44</v>
      </c>
      <c r="F2548">
        <v>1</v>
      </c>
      <c r="G2548">
        <v>17</v>
      </c>
      <c r="H2548">
        <v>271</v>
      </c>
      <c r="I2548" s="238" t="s">
        <v>42</v>
      </c>
      <c r="J2548">
        <v>43.88</v>
      </c>
      <c r="K2548" s="238" t="s">
        <v>36</v>
      </c>
      <c r="L2548">
        <v>5341200</v>
      </c>
      <c r="M2548">
        <v>0</v>
      </c>
      <c r="N2548">
        <v>5341200</v>
      </c>
      <c r="O2548">
        <v>121722.88058340929</v>
      </c>
      <c r="P2548">
        <v>0</v>
      </c>
      <c r="Q2548">
        <v>5341200</v>
      </c>
      <c r="R2548">
        <v>121722.88058340929</v>
      </c>
      <c r="S2548" s="238" t="s">
        <v>124</v>
      </c>
      <c r="T2548" s="238" t="s">
        <v>6732</v>
      </c>
      <c r="U2548">
        <v>50000</v>
      </c>
      <c r="V2548" t="s">
        <v>1167</v>
      </c>
      <c r="W2548" s="24">
        <v>45635</v>
      </c>
      <c r="X2548" s="238" t="s">
        <v>8368</v>
      </c>
      <c r="Y2548" s="238" t="s">
        <v>39</v>
      </c>
      <c r="Z2548" s="238" t="s">
        <v>1340</v>
      </c>
      <c r="AA2548" t="s">
        <v>3113</v>
      </c>
      <c r="AB2548" s="238" t="s">
        <v>3246</v>
      </c>
      <c r="AC2548" t="s">
        <v>1167</v>
      </c>
      <c r="AD2548" s="24"/>
      <c r="AE2548" s="238" t="s">
        <v>8369</v>
      </c>
      <c r="AF2548">
        <v>79171434343</v>
      </c>
      <c r="AG2548" s="238" t="s">
        <v>8370</v>
      </c>
      <c r="AH2548" s="238" t="s">
        <v>1212</v>
      </c>
      <c r="AI2548" s="238" t="s">
        <v>135</v>
      </c>
      <c r="AJ2548" s="238" t="s">
        <v>4177</v>
      </c>
      <c r="AK2548" s="238" t="s">
        <v>1167</v>
      </c>
      <c r="AL2548" t="s">
        <v>8715</v>
      </c>
      <c r="AM2548" t="s">
        <v>1167</v>
      </c>
    </row>
    <row r="2549" spans="1:39" x14ac:dyDescent="0.25">
      <c r="A2549">
        <v>2546</v>
      </c>
      <c r="B2549">
        <v>9</v>
      </c>
      <c r="C2549" s="24">
        <v>45643</v>
      </c>
      <c r="D2549" s="238" t="s">
        <v>3388</v>
      </c>
      <c r="E2549" s="238" t="s">
        <v>15</v>
      </c>
      <c r="F2549">
        <v>5</v>
      </c>
      <c r="G2549">
        <v>16</v>
      </c>
      <c r="H2549">
        <v>513</v>
      </c>
      <c r="I2549" s="238" t="s">
        <v>43</v>
      </c>
      <c r="J2549">
        <v>57.8</v>
      </c>
      <c r="K2549" s="238" t="s">
        <v>38</v>
      </c>
      <c r="L2549">
        <v>8297252</v>
      </c>
      <c r="M2549">
        <v>15000</v>
      </c>
      <c r="N2549">
        <v>8312252</v>
      </c>
      <c r="O2549">
        <v>143810.58823529413</v>
      </c>
      <c r="P2549">
        <v>1445000</v>
      </c>
      <c r="Q2549">
        <v>6867252</v>
      </c>
      <c r="R2549">
        <v>118810.58823529413</v>
      </c>
      <c r="S2549" s="238" t="s">
        <v>137</v>
      </c>
      <c r="T2549" s="238" t="s">
        <v>3540</v>
      </c>
      <c r="U2549">
        <v>140148</v>
      </c>
      <c r="V2549" t="s">
        <v>4092</v>
      </c>
      <c r="W2549" s="24">
        <v>45629</v>
      </c>
      <c r="X2549" s="238" t="s">
        <v>8371</v>
      </c>
      <c r="Y2549" s="238" t="s">
        <v>39</v>
      </c>
      <c r="Z2549" s="238" t="s">
        <v>1340</v>
      </c>
      <c r="AA2549" t="s">
        <v>3113</v>
      </c>
      <c r="AB2549" s="238" t="s">
        <v>3246</v>
      </c>
      <c r="AC2549" t="s">
        <v>3079</v>
      </c>
      <c r="AD2549" s="24"/>
      <c r="AE2549" s="238" t="s">
        <v>8372</v>
      </c>
      <c r="AF2549">
        <v>79613877277</v>
      </c>
      <c r="AG2549" s="238" t="s">
        <v>8373</v>
      </c>
      <c r="AH2549" s="238" t="s">
        <v>1212</v>
      </c>
      <c r="AI2549" s="238" t="s">
        <v>3074</v>
      </c>
      <c r="AJ2549" s="238" t="s">
        <v>5215</v>
      </c>
      <c r="AK2549" s="238" t="s">
        <v>3345</v>
      </c>
      <c r="AL2549" t="s">
        <v>8715</v>
      </c>
      <c r="AM2549" t="s">
        <v>1167</v>
      </c>
    </row>
    <row r="2550" spans="1:39" x14ac:dyDescent="0.25">
      <c r="A2550">
        <v>2547</v>
      </c>
      <c r="B2550">
        <v>10</v>
      </c>
      <c r="C2550" s="24">
        <v>45643</v>
      </c>
      <c r="D2550" s="238" t="s">
        <v>3388</v>
      </c>
      <c r="E2550" s="238" t="s">
        <v>15</v>
      </c>
      <c r="F2550">
        <v>8</v>
      </c>
      <c r="G2550">
        <v>11</v>
      </c>
      <c r="H2550">
        <v>476</v>
      </c>
      <c r="I2550" s="238" t="s">
        <v>42</v>
      </c>
      <c r="J2550">
        <v>39.69</v>
      </c>
      <c r="K2550" s="238" t="s">
        <v>38</v>
      </c>
      <c r="L2550">
        <v>6289640</v>
      </c>
      <c r="M2550">
        <v>0</v>
      </c>
      <c r="N2550">
        <v>6289640</v>
      </c>
      <c r="O2550">
        <v>158469.13580246916</v>
      </c>
      <c r="P2550">
        <v>992250</v>
      </c>
      <c r="Q2550">
        <v>5297390</v>
      </c>
      <c r="R2550">
        <v>133469.13580246913</v>
      </c>
      <c r="S2550" s="238" t="s">
        <v>137</v>
      </c>
      <c r="T2550" s="238" t="s">
        <v>3540</v>
      </c>
      <c r="U2550">
        <v>108110.00000000093</v>
      </c>
      <c r="V2550" t="s">
        <v>4092</v>
      </c>
      <c r="W2550" s="24">
        <v>45635</v>
      </c>
      <c r="X2550" s="238" t="s">
        <v>8374</v>
      </c>
      <c r="Y2550" s="238" t="s">
        <v>39</v>
      </c>
      <c r="Z2550" s="238" t="s">
        <v>1340</v>
      </c>
      <c r="AA2550" t="s">
        <v>3113</v>
      </c>
      <c r="AB2550" s="238" t="s">
        <v>3246</v>
      </c>
      <c r="AC2550" t="s">
        <v>3079</v>
      </c>
      <c r="AD2550" s="24"/>
      <c r="AE2550" s="238" t="s">
        <v>8375</v>
      </c>
      <c r="AF2550">
        <v>79376485390</v>
      </c>
      <c r="AG2550" s="238" t="s">
        <v>8376</v>
      </c>
      <c r="AH2550" s="238" t="s">
        <v>4072</v>
      </c>
      <c r="AI2550" s="238" t="s">
        <v>7930</v>
      </c>
      <c r="AJ2550" s="238" t="s">
        <v>4177</v>
      </c>
      <c r="AK2550" s="238" t="s">
        <v>3345</v>
      </c>
      <c r="AL2550" t="s">
        <v>57</v>
      </c>
      <c r="AM2550" t="s">
        <v>1167</v>
      </c>
    </row>
    <row r="2551" spans="1:39" hidden="1" x14ac:dyDescent="0.25">
      <c r="A2551">
        <v>2548</v>
      </c>
      <c r="B2551">
        <v>11</v>
      </c>
      <c r="C2551" s="24">
        <v>45643</v>
      </c>
      <c r="D2551" s="238" t="s">
        <v>7562</v>
      </c>
      <c r="E2551" s="238" t="s">
        <v>42</v>
      </c>
      <c r="F2551">
        <v>2</v>
      </c>
      <c r="G2551">
        <v>14</v>
      </c>
      <c r="H2551">
        <v>50</v>
      </c>
      <c r="I2551" s="238" t="s">
        <v>42</v>
      </c>
      <c r="J2551">
        <v>35.53</v>
      </c>
      <c r="K2551" s="238" t="s">
        <v>36</v>
      </c>
      <c r="L2551">
        <v>5023959</v>
      </c>
      <c r="M2551">
        <v>0</v>
      </c>
      <c r="N2551">
        <v>5023959</v>
      </c>
      <c r="O2551">
        <v>141400.47846889953</v>
      </c>
      <c r="P2551">
        <v>0</v>
      </c>
      <c r="Q2551">
        <v>5023959</v>
      </c>
      <c r="R2551">
        <v>141400.47846889953</v>
      </c>
      <c r="S2551" s="238" t="s">
        <v>137</v>
      </c>
      <c r="T2551" s="238" t="s">
        <v>3540</v>
      </c>
      <c r="U2551">
        <v>103041</v>
      </c>
      <c r="V2551" t="s">
        <v>4092</v>
      </c>
      <c r="W2551" s="24">
        <v>45638</v>
      </c>
      <c r="X2551" s="238" t="s">
        <v>8377</v>
      </c>
      <c r="Y2551" s="238" t="s">
        <v>39</v>
      </c>
      <c r="Z2551" s="238" t="s">
        <v>1340</v>
      </c>
      <c r="AA2551" t="s">
        <v>3474</v>
      </c>
      <c r="AB2551" s="238" t="s">
        <v>3246</v>
      </c>
      <c r="AC2551" t="s">
        <v>3104</v>
      </c>
      <c r="AD2551" s="24"/>
      <c r="AE2551" s="238" t="s">
        <v>8378</v>
      </c>
      <c r="AF2551">
        <v>79376432255</v>
      </c>
      <c r="AG2551" s="238" t="s">
        <v>8379</v>
      </c>
      <c r="AH2551" s="238" t="s">
        <v>4072</v>
      </c>
      <c r="AI2551" s="238" t="s">
        <v>7721</v>
      </c>
      <c r="AJ2551" s="238" t="s">
        <v>8380</v>
      </c>
      <c r="AK2551" s="238" t="s">
        <v>3345</v>
      </c>
      <c r="AL2551" t="s">
        <v>57</v>
      </c>
      <c r="AM2551" t="s">
        <v>1167</v>
      </c>
    </row>
    <row r="2552" spans="1:39" x14ac:dyDescent="0.25">
      <c r="A2552">
        <v>2549</v>
      </c>
      <c r="B2552">
        <v>12</v>
      </c>
      <c r="C2552" s="24">
        <v>45643</v>
      </c>
      <c r="D2552" s="238" t="s">
        <v>3388</v>
      </c>
      <c r="E2552" s="238" t="s">
        <v>5</v>
      </c>
      <c r="F2552">
        <v>3</v>
      </c>
      <c r="G2552">
        <v>2</v>
      </c>
      <c r="H2552">
        <v>120</v>
      </c>
      <c r="I2552" s="238" t="s">
        <v>43</v>
      </c>
      <c r="J2552">
        <v>57.6</v>
      </c>
      <c r="K2552" s="238" t="s">
        <v>6871</v>
      </c>
      <c r="L2552">
        <v>7414500</v>
      </c>
      <c r="M2552">
        <v>0</v>
      </c>
      <c r="N2552">
        <v>7414500</v>
      </c>
      <c r="O2552">
        <v>128723.95833333333</v>
      </c>
      <c r="P2552">
        <v>576000</v>
      </c>
      <c r="Q2552">
        <v>6838500</v>
      </c>
      <c r="R2552">
        <v>118723.95833333333</v>
      </c>
      <c r="S2552" s="238" t="s">
        <v>137</v>
      </c>
      <c r="T2552" s="238" t="s">
        <v>321</v>
      </c>
      <c r="U2552">
        <v>211500</v>
      </c>
      <c r="V2552" t="s">
        <v>4092</v>
      </c>
      <c r="W2552" s="24">
        <v>45639</v>
      </c>
      <c r="X2552" s="238" t="s">
        <v>8381</v>
      </c>
      <c r="Y2552" s="238" t="s">
        <v>39</v>
      </c>
      <c r="Z2552" s="238" t="s">
        <v>1340</v>
      </c>
      <c r="AA2552" t="s">
        <v>3113</v>
      </c>
      <c r="AB2552" s="238" t="s">
        <v>3246</v>
      </c>
      <c r="AC2552" t="s">
        <v>3079</v>
      </c>
      <c r="AD2552" s="24"/>
      <c r="AE2552" s="238" t="s">
        <v>8382</v>
      </c>
      <c r="AF2552">
        <v>79379931884</v>
      </c>
      <c r="AG2552" s="238" t="s">
        <v>8383</v>
      </c>
      <c r="AH2552" s="238" t="s">
        <v>4072</v>
      </c>
      <c r="AI2552" s="238" t="s">
        <v>7040</v>
      </c>
      <c r="AJ2552" s="238" t="s">
        <v>126</v>
      </c>
      <c r="AK2552" s="238" t="s">
        <v>3345</v>
      </c>
      <c r="AL2552" t="s">
        <v>57</v>
      </c>
      <c r="AM2552" t="s">
        <v>1167</v>
      </c>
    </row>
    <row r="2553" spans="1:39" hidden="1" x14ac:dyDescent="0.25">
      <c r="A2553">
        <v>2550</v>
      </c>
      <c r="B2553">
        <v>13</v>
      </c>
      <c r="C2553" s="24">
        <v>45644</v>
      </c>
      <c r="D2553" s="238" t="s">
        <v>8060</v>
      </c>
      <c r="E2553" s="238" t="s">
        <v>44</v>
      </c>
      <c r="F2553">
        <v>3</v>
      </c>
      <c r="G2553">
        <v>14</v>
      </c>
      <c r="H2553">
        <v>255</v>
      </c>
      <c r="I2553" s="238" t="s">
        <v>43</v>
      </c>
      <c r="J2553">
        <v>54.08</v>
      </c>
      <c r="K2553" s="238" t="s">
        <v>36</v>
      </c>
      <c r="L2553">
        <v>6295979</v>
      </c>
      <c r="M2553">
        <v>0</v>
      </c>
      <c r="N2553">
        <v>6295979</v>
      </c>
      <c r="O2553">
        <v>116419.7300295858</v>
      </c>
      <c r="P2553">
        <v>0</v>
      </c>
      <c r="Q2553">
        <v>6295979</v>
      </c>
      <c r="R2553">
        <v>116419.7300295858</v>
      </c>
      <c r="S2553" s="238" t="s">
        <v>124</v>
      </c>
      <c r="T2553" s="238" t="s">
        <v>978</v>
      </c>
      <c r="U2553">
        <v>194721</v>
      </c>
      <c r="V2553" t="s">
        <v>1167</v>
      </c>
      <c r="W2553" s="24">
        <v>45643</v>
      </c>
      <c r="X2553" s="238" t="s">
        <v>8384</v>
      </c>
      <c r="Y2553" s="238" t="s">
        <v>39</v>
      </c>
      <c r="Z2553" s="238" t="s">
        <v>1340</v>
      </c>
      <c r="AA2553" t="s">
        <v>3113</v>
      </c>
      <c r="AB2553" s="238" t="s">
        <v>3246</v>
      </c>
      <c r="AC2553" t="s">
        <v>1167</v>
      </c>
      <c r="AD2553" s="24"/>
      <c r="AE2553" s="238" t="s">
        <v>8385</v>
      </c>
      <c r="AF2553">
        <v>79279027267</v>
      </c>
      <c r="AG2553" s="238" t="s">
        <v>8386</v>
      </c>
      <c r="AH2553" s="238" t="s">
        <v>1171</v>
      </c>
      <c r="AI2553" s="238" t="s">
        <v>3103</v>
      </c>
      <c r="AJ2553" s="238" t="s">
        <v>126</v>
      </c>
      <c r="AK2553" s="238" t="s">
        <v>1167</v>
      </c>
      <c r="AL2553" t="s">
        <v>8715</v>
      </c>
      <c r="AM2553" t="s">
        <v>1167</v>
      </c>
    </row>
    <row r="2554" spans="1:39" x14ac:dyDescent="0.25">
      <c r="A2554">
        <v>2251</v>
      </c>
      <c r="B2554">
        <v>14</v>
      </c>
      <c r="C2554" s="24">
        <v>45649</v>
      </c>
      <c r="D2554" s="238" t="s">
        <v>3388</v>
      </c>
      <c r="E2554" s="238" t="s">
        <v>15</v>
      </c>
      <c r="F2554">
        <v>1</v>
      </c>
      <c r="G2554">
        <v>11</v>
      </c>
      <c r="H2554">
        <v>469</v>
      </c>
      <c r="I2554" s="238" t="s">
        <v>4052</v>
      </c>
      <c r="J2554">
        <v>29.4</v>
      </c>
      <c r="K2554" s="238" t="s">
        <v>36</v>
      </c>
      <c r="L2554">
        <v>3993794</v>
      </c>
      <c r="M2554">
        <v>0</v>
      </c>
      <c r="N2554">
        <v>3993794</v>
      </c>
      <c r="O2554">
        <v>135843.33333333334</v>
      </c>
      <c r="P2554">
        <v>0</v>
      </c>
      <c r="Q2554">
        <v>3993794</v>
      </c>
      <c r="R2554">
        <v>135843.33333333334</v>
      </c>
      <c r="S2554" s="238" t="s">
        <v>137</v>
      </c>
      <c r="T2554" s="238" t="s">
        <v>3540</v>
      </c>
      <c r="U2554">
        <v>81506</v>
      </c>
      <c r="V2554" t="s">
        <v>4092</v>
      </c>
      <c r="W2554" s="24">
        <v>45636</v>
      </c>
      <c r="X2554" s="238" t="s">
        <v>8391</v>
      </c>
      <c r="Y2554" s="238" t="s">
        <v>39</v>
      </c>
      <c r="Z2554" s="238" t="s">
        <v>1340</v>
      </c>
      <c r="AA2554" t="s">
        <v>3113</v>
      </c>
      <c r="AB2554" s="238" t="s">
        <v>3246</v>
      </c>
      <c r="AC2554" t="s">
        <v>3079</v>
      </c>
      <c r="AD2554" s="24"/>
      <c r="AE2554" s="238" t="s">
        <v>8392</v>
      </c>
      <c r="AF2554">
        <v>79226208666</v>
      </c>
      <c r="AG2554" s="238" t="s">
        <v>8393</v>
      </c>
      <c r="AH2554" s="238" t="s">
        <v>1212</v>
      </c>
      <c r="AI2554" s="238" t="s">
        <v>3514</v>
      </c>
      <c r="AJ2554" s="238" t="s">
        <v>5215</v>
      </c>
      <c r="AK2554" s="238" t="s">
        <v>3345</v>
      </c>
      <c r="AL2554" t="s">
        <v>8715</v>
      </c>
      <c r="AM2554" t="s">
        <v>1167</v>
      </c>
    </row>
    <row r="2555" spans="1:39" hidden="1" x14ac:dyDescent="0.25">
      <c r="A2555">
        <v>2252</v>
      </c>
      <c r="B2555">
        <v>15</v>
      </c>
      <c r="C2555" s="24">
        <v>45649</v>
      </c>
      <c r="D2555" s="238" t="s">
        <v>8060</v>
      </c>
      <c r="E2555" s="238" t="s">
        <v>42</v>
      </c>
      <c r="F2555">
        <v>5</v>
      </c>
      <c r="G2555">
        <v>6</v>
      </c>
      <c r="H2555">
        <v>29</v>
      </c>
      <c r="I2555" s="238" t="s">
        <v>42</v>
      </c>
      <c r="J2555">
        <v>37.01</v>
      </c>
      <c r="K2555" s="238" t="s">
        <v>36</v>
      </c>
      <c r="L2555">
        <v>4676854</v>
      </c>
      <c r="M2555">
        <v>0</v>
      </c>
      <c r="N2555">
        <v>4676854</v>
      </c>
      <c r="O2555">
        <v>126367.30613347744</v>
      </c>
      <c r="P2555">
        <v>0</v>
      </c>
      <c r="Q2555">
        <v>4676854</v>
      </c>
      <c r="R2555">
        <v>126367.30613347744</v>
      </c>
      <c r="S2555" s="238" t="s">
        <v>124</v>
      </c>
      <c r="T2555" s="238" t="s">
        <v>3540</v>
      </c>
      <c r="U2555">
        <v>95446</v>
      </c>
      <c r="V2555" t="s">
        <v>1167</v>
      </c>
      <c r="W2555" s="24">
        <v>45645</v>
      </c>
      <c r="X2555" s="238" t="s">
        <v>8394</v>
      </c>
      <c r="Y2555" s="238" t="s">
        <v>39</v>
      </c>
      <c r="Z2555" s="238" t="s">
        <v>1340</v>
      </c>
      <c r="AA2555" t="s">
        <v>3113</v>
      </c>
      <c r="AB2555" s="238" t="s">
        <v>3246</v>
      </c>
      <c r="AC2555" t="s">
        <v>1167</v>
      </c>
      <c r="AD2555" s="24"/>
      <c r="AE2555" s="238" t="s">
        <v>8395</v>
      </c>
      <c r="AF2555">
        <v>77772022533</v>
      </c>
      <c r="AG2555" s="238" t="s">
        <v>8396</v>
      </c>
      <c r="AH2555" s="238" t="s">
        <v>4072</v>
      </c>
      <c r="AI2555" s="238" t="s">
        <v>7173</v>
      </c>
      <c r="AJ2555" s="238" t="s">
        <v>5215</v>
      </c>
      <c r="AK2555" s="238" t="s">
        <v>1167</v>
      </c>
      <c r="AL2555" t="s">
        <v>57</v>
      </c>
      <c r="AM2555" t="s">
        <v>1167</v>
      </c>
    </row>
    <row r="2556" spans="1:39" x14ac:dyDescent="0.25">
      <c r="A2556">
        <v>2253</v>
      </c>
      <c r="B2556">
        <v>16</v>
      </c>
      <c r="C2556" s="24">
        <v>45649</v>
      </c>
      <c r="D2556" s="238" t="s">
        <v>3388</v>
      </c>
      <c r="E2556" s="238" t="s">
        <v>16</v>
      </c>
      <c r="F2556">
        <v>3</v>
      </c>
      <c r="G2556">
        <v>6</v>
      </c>
      <c r="H2556">
        <v>259</v>
      </c>
      <c r="I2556" s="238" t="s">
        <v>43</v>
      </c>
      <c r="J2556">
        <v>56.58</v>
      </c>
      <c r="K2556" s="238" t="s">
        <v>38</v>
      </c>
      <c r="L2556">
        <v>8347800</v>
      </c>
      <c r="M2556">
        <v>0</v>
      </c>
      <c r="N2556">
        <v>8347800</v>
      </c>
      <c r="O2556">
        <v>147539.76670201484</v>
      </c>
      <c r="P2556">
        <v>1414500.0000000009</v>
      </c>
      <c r="Q2556">
        <v>6933299.9999999991</v>
      </c>
      <c r="R2556">
        <v>122539.76670201484</v>
      </c>
      <c r="S2556" s="238" t="s">
        <v>137</v>
      </c>
      <c r="T2556" s="238" t="s">
        <v>6732</v>
      </c>
      <c r="U2556">
        <v>40000</v>
      </c>
      <c r="V2556" t="s">
        <v>4092</v>
      </c>
      <c r="W2556" s="24">
        <v>45645</v>
      </c>
      <c r="X2556" s="238" t="s">
        <v>8397</v>
      </c>
      <c r="Y2556" s="238" t="s">
        <v>39</v>
      </c>
      <c r="Z2556" s="238" t="s">
        <v>1340</v>
      </c>
      <c r="AA2556" t="s">
        <v>3113</v>
      </c>
      <c r="AB2556" s="238" t="s">
        <v>3246</v>
      </c>
      <c r="AC2556" t="s">
        <v>3079</v>
      </c>
      <c r="AD2556" s="24"/>
      <c r="AE2556" s="238" t="s">
        <v>8398</v>
      </c>
      <c r="AF2556">
        <v>79063429497</v>
      </c>
      <c r="AG2556" s="238" t="s">
        <v>8399</v>
      </c>
      <c r="AH2556" s="238" t="s">
        <v>4072</v>
      </c>
      <c r="AI2556" s="238" t="s">
        <v>7721</v>
      </c>
      <c r="AJ2556" s="238" t="s">
        <v>5215</v>
      </c>
      <c r="AK2556" s="238" t="s">
        <v>3345</v>
      </c>
      <c r="AL2556" t="s">
        <v>57</v>
      </c>
      <c r="AM2556" t="s">
        <v>1167</v>
      </c>
    </row>
    <row r="2557" spans="1:39" x14ac:dyDescent="0.25">
      <c r="A2557">
        <v>2554</v>
      </c>
      <c r="B2557">
        <v>17</v>
      </c>
      <c r="C2557" s="24">
        <v>45649</v>
      </c>
      <c r="D2557" s="238" t="s">
        <v>3388</v>
      </c>
      <c r="E2557" s="238" t="s">
        <v>15</v>
      </c>
      <c r="F2557">
        <v>1</v>
      </c>
      <c r="G2557">
        <v>14</v>
      </c>
      <c r="H2557">
        <v>493</v>
      </c>
      <c r="I2557" s="238" t="s">
        <v>4052</v>
      </c>
      <c r="J2557">
        <v>29.4</v>
      </c>
      <c r="K2557" s="238" t="s">
        <v>36</v>
      </c>
      <c r="L2557">
        <v>3993794</v>
      </c>
      <c r="M2557">
        <v>0</v>
      </c>
      <c r="N2557">
        <v>3993794</v>
      </c>
      <c r="O2557">
        <v>135843.33333333334</v>
      </c>
      <c r="P2557">
        <v>0</v>
      </c>
      <c r="Q2557">
        <v>3993794</v>
      </c>
      <c r="R2557">
        <v>135843.33333333334</v>
      </c>
      <c r="S2557" s="238" t="s">
        <v>137</v>
      </c>
      <c r="T2557" s="238" t="s">
        <v>3540</v>
      </c>
      <c r="U2557">
        <v>81506</v>
      </c>
      <c r="V2557" t="s">
        <v>4092</v>
      </c>
      <c r="W2557" s="24">
        <v>45644</v>
      </c>
      <c r="X2557" s="238" t="s">
        <v>8400</v>
      </c>
      <c r="Y2557" s="238" t="s">
        <v>39</v>
      </c>
      <c r="Z2557" s="238" t="s">
        <v>1340</v>
      </c>
      <c r="AA2557" t="s">
        <v>3113</v>
      </c>
      <c r="AB2557" s="238" t="s">
        <v>3246</v>
      </c>
      <c r="AC2557" t="s">
        <v>3079</v>
      </c>
      <c r="AD2557" s="24"/>
      <c r="AE2557" s="238" t="s">
        <v>8401</v>
      </c>
      <c r="AF2557">
        <v>79228855099</v>
      </c>
      <c r="AG2557" s="238" t="s">
        <v>1167</v>
      </c>
      <c r="AH2557" s="238" t="s">
        <v>1212</v>
      </c>
      <c r="AI2557" s="238" t="s">
        <v>3102</v>
      </c>
      <c r="AJ2557" s="238" t="s">
        <v>8380</v>
      </c>
      <c r="AK2557" s="238" t="s">
        <v>3345</v>
      </c>
      <c r="AL2557" t="s">
        <v>8715</v>
      </c>
      <c r="AM2557" t="s">
        <v>1167</v>
      </c>
    </row>
    <row r="2558" spans="1:39" x14ac:dyDescent="0.25">
      <c r="A2558">
        <v>2555</v>
      </c>
      <c r="B2558">
        <v>18</v>
      </c>
      <c r="C2558" s="24">
        <v>45652</v>
      </c>
      <c r="D2558" s="238" t="s">
        <v>3388</v>
      </c>
      <c r="E2558" s="238" t="s">
        <v>15</v>
      </c>
      <c r="F2558">
        <v>2</v>
      </c>
      <c r="G2558">
        <v>13</v>
      </c>
      <c r="H2558">
        <v>486</v>
      </c>
      <c r="I2558" s="238" t="s">
        <v>42</v>
      </c>
      <c r="J2558">
        <v>43.21</v>
      </c>
      <c r="K2558" s="238" t="s">
        <v>6871</v>
      </c>
      <c r="L2558">
        <v>5126080</v>
      </c>
      <c r="M2558">
        <v>15000</v>
      </c>
      <c r="N2558">
        <v>5141080</v>
      </c>
      <c r="O2558">
        <v>118978.94006017126</v>
      </c>
      <c r="P2558">
        <v>345680</v>
      </c>
      <c r="Q2558">
        <v>4795400</v>
      </c>
      <c r="R2558">
        <v>110978.94006017126</v>
      </c>
      <c r="S2558" s="238" t="s">
        <v>137</v>
      </c>
      <c r="T2558" s="238" t="s">
        <v>1167</v>
      </c>
      <c r="V2558" t="s">
        <v>4092</v>
      </c>
      <c r="W2558" s="24">
        <v>45651</v>
      </c>
      <c r="X2558" s="238" t="s">
        <v>8402</v>
      </c>
      <c r="Y2558" s="238" t="s">
        <v>39</v>
      </c>
      <c r="Z2558" s="238" t="s">
        <v>1340</v>
      </c>
      <c r="AA2558" t="s">
        <v>3113</v>
      </c>
      <c r="AB2558" s="238" t="s">
        <v>3246</v>
      </c>
      <c r="AC2558" t="s">
        <v>3079</v>
      </c>
      <c r="AD2558" s="24"/>
      <c r="AE2558" s="238" t="s">
        <v>8403</v>
      </c>
      <c r="AF2558">
        <v>79963420335</v>
      </c>
      <c r="AG2558" s="238" t="s">
        <v>8404</v>
      </c>
      <c r="AH2558" s="238" t="s">
        <v>1171</v>
      </c>
      <c r="AI2558" s="238" t="s">
        <v>135</v>
      </c>
      <c r="AJ2558" s="238" t="s">
        <v>4177</v>
      </c>
      <c r="AK2558" s="238" t="s">
        <v>3345</v>
      </c>
      <c r="AL2558" t="s">
        <v>8715</v>
      </c>
      <c r="AM2558" t="s">
        <v>1167</v>
      </c>
    </row>
    <row r="2559" spans="1:39" x14ac:dyDescent="0.25">
      <c r="A2559">
        <v>2556</v>
      </c>
      <c r="B2559">
        <v>19</v>
      </c>
      <c r="C2559" s="24">
        <v>45652</v>
      </c>
      <c r="D2559" s="238" t="s">
        <v>3388</v>
      </c>
      <c r="E2559" s="238" t="s">
        <v>6</v>
      </c>
      <c r="F2559">
        <v>2</v>
      </c>
      <c r="G2559">
        <v>2</v>
      </c>
      <c r="H2559">
        <v>8</v>
      </c>
      <c r="I2559" s="238" t="s">
        <v>43</v>
      </c>
      <c r="J2559">
        <v>68.5</v>
      </c>
      <c r="K2559" s="238" t="s">
        <v>36</v>
      </c>
      <c r="L2559">
        <v>8119006</v>
      </c>
      <c r="M2559">
        <v>0</v>
      </c>
      <c r="N2559">
        <v>8119006</v>
      </c>
      <c r="O2559">
        <v>118525.63503649634</v>
      </c>
      <c r="P2559">
        <v>0</v>
      </c>
      <c r="Q2559">
        <v>8119006</v>
      </c>
      <c r="R2559">
        <v>118525.63503649634</v>
      </c>
      <c r="S2559" s="238" t="s">
        <v>137</v>
      </c>
      <c r="T2559" s="238" t="s">
        <v>3540</v>
      </c>
      <c r="U2559">
        <v>165694</v>
      </c>
      <c r="V2559" t="s">
        <v>4092</v>
      </c>
      <c r="W2559" s="24">
        <v>45645</v>
      </c>
      <c r="X2559" s="238" t="s">
        <v>8405</v>
      </c>
      <c r="Y2559" s="238" t="s">
        <v>39</v>
      </c>
      <c r="Z2559" s="238" t="s">
        <v>1340</v>
      </c>
      <c r="AA2559" t="s">
        <v>3113</v>
      </c>
      <c r="AB2559" s="238" t="s">
        <v>3246</v>
      </c>
      <c r="AC2559" t="s">
        <v>3079</v>
      </c>
      <c r="AD2559" s="24"/>
      <c r="AE2559" s="238" t="s">
        <v>8406</v>
      </c>
      <c r="AF2559">
        <v>79100573147</v>
      </c>
      <c r="AG2559" s="238" t="s">
        <v>8407</v>
      </c>
      <c r="AH2559" s="238" t="s">
        <v>4072</v>
      </c>
      <c r="AI2559" s="238" t="s">
        <v>6406</v>
      </c>
      <c r="AJ2559" s="238" t="s">
        <v>8380</v>
      </c>
      <c r="AK2559" s="238" t="s">
        <v>3345</v>
      </c>
      <c r="AL2559" t="s">
        <v>57</v>
      </c>
      <c r="AM2559" t="s">
        <v>1167</v>
      </c>
    </row>
    <row r="2560" spans="1:39" hidden="1" x14ac:dyDescent="0.25">
      <c r="A2560">
        <v>2557</v>
      </c>
      <c r="B2560">
        <v>20</v>
      </c>
      <c r="C2560" s="24">
        <v>45652</v>
      </c>
      <c r="D2560" s="238" t="s">
        <v>7562</v>
      </c>
      <c r="E2560" s="238" t="s">
        <v>42</v>
      </c>
      <c r="F2560">
        <v>2</v>
      </c>
      <c r="G2560">
        <v>4</v>
      </c>
      <c r="H2560">
        <v>10</v>
      </c>
      <c r="I2560" s="238" t="s">
        <v>42</v>
      </c>
      <c r="J2560">
        <v>35.53</v>
      </c>
      <c r="K2560" s="238" t="s">
        <v>36</v>
      </c>
      <c r="L2560">
        <v>4707626</v>
      </c>
      <c r="M2560">
        <v>0</v>
      </c>
      <c r="N2560">
        <v>4707626</v>
      </c>
      <c r="O2560">
        <v>132497.21362229102</v>
      </c>
      <c r="P2560">
        <v>0</v>
      </c>
      <c r="Q2560">
        <v>4707626</v>
      </c>
      <c r="R2560">
        <v>132497.21362229102</v>
      </c>
      <c r="S2560" s="238" t="s">
        <v>137</v>
      </c>
      <c r="T2560" s="238" t="s">
        <v>3540</v>
      </c>
      <c r="U2560">
        <v>96074</v>
      </c>
      <c r="V2560" t="s">
        <v>4092</v>
      </c>
      <c r="W2560" s="24">
        <v>45650</v>
      </c>
      <c r="X2560" s="238" t="s">
        <v>8408</v>
      </c>
      <c r="Y2560" s="238" t="s">
        <v>39</v>
      </c>
      <c r="Z2560" s="238" t="s">
        <v>1340</v>
      </c>
      <c r="AA2560" t="s">
        <v>3113</v>
      </c>
      <c r="AB2560" s="238" t="s">
        <v>3246</v>
      </c>
      <c r="AC2560" t="s">
        <v>3079</v>
      </c>
      <c r="AD2560" s="24"/>
      <c r="AE2560" s="238" t="s">
        <v>8409</v>
      </c>
      <c r="AF2560">
        <v>79272977026</v>
      </c>
      <c r="AG2560" s="238" t="s">
        <v>8410</v>
      </c>
      <c r="AH2560" s="238" t="s">
        <v>1212</v>
      </c>
      <c r="AI2560" s="238" t="s">
        <v>3102</v>
      </c>
      <c r="AJ2560" s="238" t="s">
        <v>4177</v>
      </c>
      <c r="AK2560" s="238" t="s">
        <v>3345</v>
      </c>
      <c r="AL2560" t="s">
        <v>8715</v>
      </c>
      <c r="AM2560" t="s">
        <v>1167</v>
      </c>
    </row>
    <row r="2561" spans="1:39" x14ac:dyDescent="0.25">
      <c r="A2561">
        <v>2558</v>
      </c>
      <c r="B2561">
        <v>21</v>
      </c>
      <c r="C2561" s="24">
        <v>45652</v>
      </c>
      <c r="D2561" s="238" t="s">
        <v>3388</v>
      </c>
      <c r="E2561" s="238" t="s">
        <v>6</v>
      </c>
      <c r="F2561">
        <v>4</v>
      </c>
      <c r="G2561">
        <v>6</v>
      </c>
      <c r="H2561">
        <v>38</v>
      </c>
      <c r="I2561" s="238" t="s">
        <v>43</v>
      </c>
      <c r="J2561">
        <v>59.09</v>
      </c>
      <c r="K2561" s="238" t="s">
        <v>38</v>
      </c>
      <c r="L2561">
        <v>8565982</v>
      </c>
      <c r="M2561">
        <v>0</v>
      </c>
      <c r="N2561">
        <v>8565982</v>
      </c>
      <c r="O2561">
        <v>144965.00253850059</v>
      </c>
      <c r="P2561">
        <v>1477250</v>
      </c>
      <c r="Q2561">
        <v>7088732</v>
      </c>
      <c r="R2561">
        <v>119965.00253850059</v>
      </c>
      <c r="S2561" s="238" t="s">
        <v>137</v>
      </c>
      <c r="T2561" s="238" t="s">
        <v>3540</v>
      </c>
      <c r="U2561">
        <v>144668</v>
      </c>
      <c r="V2561" t="s">
        <v>4092</v>
      </c>
      <c r="W2561" s="24">
        <v>45650</v>
      </c>
      <c r="X2561" s="238" t="s">
        <v>8411</v>
      </c>
      <c r="Y2561" s="238" t="s">
        <v>39</v>
      </c>
      <c r="Z2561" s="238" t="s">
        <v>1340</v>
      </c>
      <c r="AA2561" t="s">
        <v>3113</v>
      </c>
      <c r="AB2561" s="238" t="s">
        <v>3246</v>
      </c>
      <c r="AC2561" t="s">
        <v>3079</v>
      </c>
      <c r="AD2561" s="24"/>
      <c r="AE2561" s="238" t="s">
        <v>8412</v>
      </c>
      <c r="AF2561">
        <v>79033308999</v>
      </c>
      <c r="AG2561" s="238" t="s">
        <v>8413</v>
      </c>
      <c r="AH2561" s="238" t="s">
        <v>135</v>
      </c>
      <c r="AI2561" s="238" t="s">
        <v>135</v>
      </c>
      <c r="AJ2561" s="238" t="s">
        <v>126</v>
      </c>
      <c r="AK2561" s="238" t="s">
        <v>3345</v>
      </c>
      <c r="AL2561" t="s">
        <v>8715</v>
      </c>
      <c r="AM2561" t="s">
        <v>1167</v>
      </c>
    </row>
    <row r="2562" spans="1:39" hidden="1" x14ac:dyDescent="0.25">
      <c r="A2562">
        <v>2559</v>
      </c>
      <c r="B2562">
        <v>22</v>
      </c>
      <c r="C2562" s="24">
        <v>45652</v>
      </c>
      <c r="D2562" s="238" t="s">
        <v>7562</v>
      </c>
      <c r="E2562" s="238" t="s">
        <v>43</v>
      </c>
      <c r="F2562">
        <v>1</v>
      </c>
      <c r="G2562">
        <v>3</v>
      </c>
      <c r="H2562">
        <v>9</v>
      </c>
      <c r="I2562" s="238" t="s">
        <v>8693</v>
      </c>
      <c r="J2562">
        <v>5.97</v>
      </c>
      <c r="K2562" s="238" t="s">
        <v>36</v>
      </c>
      <c r="L2562">
        <v>673200</v>
      </c>
      <c r="M2562">
        <v>0</v>
      </c>
      <c r="N2562">
        <v>673200</v>
      </c>
      <c r="O2562">
        <v>112763.81909547739</v>
      </c>
      <c r="P2562">
        <v>0</v>
      </c>
      <c r="Q2562">
        <v>673200</v>
      </c>
      <c r="R2562">
        <v>112763.81909547739</v>
      </c>
      <c r="S2562" s="238" t="s">
        <v>121</v>
      </c>
      <c r="T2562" s="238" t="s">
        <v>1167</v>
      </c>
      <c r="V2562" t="s">
        <v>1167</v>
      </c>
      <c r="W2562" s="24">
        <v>45652</v>
      </c>
      <c r="X2562" s="238" t="s">
        <v>8414</v>
      </c>
      <c r="Y2562" s="238" t="s">
        <v>3946</v>
      </c>
      <c r="Z2562" s="238" t="s">
        <v>1340</v>
      </c>
      <c r="AA2562" t="s">
        <v>3474</v>
      </c>
      <c r="AB2562" s="238" t="s">
        <v>3246</v>
      </c>
      <c r="AC2562" t="s">
        <v>1167</v>
      </c>
      <c r="AD2562" s="24"/>
      <c r="AE2562" s="238" t="s">
        <v>7716</v>
      </c>
      <c r="AF2562">
        <v>77773971618</v>
      </c>
      <c r="AG2562" s="238" t="s">
        <v>7717</v>
      </c>
      <c r="AH2562" s="238" t="s">
        <v>1212</v>
      </c>
      <c r="AI2562" s="238" t="s">
        <v>3082</v>
      </c>
      <c r="AJ2562" s="238" t="s">
        <v>5215</v>
      </c>
      <c r="AK2562" s="238" t="s">
        <v>1167</v>
      </c>
      <c r="AL2562" t="s">
        <v>8715</v>
      </c>
      <c r="AM2562" t="s">
        <v>1167</v>
      </c>
    </row>
    <row r="2563" spans="1:39" x14ac:dyDescent="0.25">
      <c r="A2563">
        <v>2560</v>
      </c>
      <c r="B2563">
        <v>23</v>
      </c>
      <c r="C2563" s="24">
        <v>45654</v>
      </c>
      <c r="D2563" s="238" t="s">
        <v>3388</v>
      </c>
      <c r="E2563" s="238" t="s">
        <v>6</v>
      </c>
      <c r="F2563">
        <v>2</v>
      </c>
      <c r="G2563">
        <v>5</v>
      </c>
      <c r="H2563">
        <v>29</v>
      </c>
      <c r="I2563" s="238" t="s">
        <v>43</v>
      </c>
      <c r="J2563">
        <v>68.5</v>
      </c>
      <c r="K2563" s="238" t="s">
        <v>6871</v>
      </c>
      <c r="L2563">
        <v>8727174</v>
      </c>
      <c r="M2563">
        <v>0</v>
      </c>
      <c r="N2563">
        <v>8727174</v>
      </c>
      <c r="O2563">
        <v>127404</v>
      </c>
      <c r="P2563">
        <v>685000</v>
      </c>
      <c r="Q2563">
        <v>8042174</v>
      </c>
      <c r="R2563">
        <v>117404</v>
      </c>
      <c r="S2563" s="238" t="s">
        <v>137</v>
      </c>
      <c r="T2563" s="238" t="s">
        <v>3540</v>
      </c>
      <c r="U2563">
        <v>164126</v>
      </c>
      <c r="V2563" t="s">
        <v>4092</v>
      </c>
      <c r="W2563" s="24">
        <v>45642</v>
      </c>
      <c r="X2563" s="238" t="s">
        <v>8415</v>
      </c>
      <c r="Y2563" s="238" t="s">
        <v>39</v>
      </c>
      <c r="Z2563" s="238" t="s">
        <v>1340</v>
      </c>
      <c r="AA2563" t="s">
        <v>3113</v>
      </c>
      <c r="AB2563" s="238" t="s">
        <v>3246</v>
      </c>
      <c r="AC2563" t="s">
        <v>3079</v>
      </c>
      <c r="AD2563" s="24"/>
      <c r="AE2563" s="238" t="s">
        <v>8416</v>
      </c>
      <c r="AF2563">
        <v>79277039659</v>
      </c>
      <c r="AG2563" s="238" t="s">
        <v>8417</v>
      </c>
      <c r="AH2563" s="238" t="s">
        <v>135</v>
      </c>
      <c r="AI2563" s="238" t="s">
        <v>3075</v>
      </c>
      <c r="AJ2563" s="238" t="s">
        <v>8380</v>
      </c>
      <c r="AK2563" s="238" t="s">
        <v>3345</v>
      </c>
      <c r="AL2563" t="s">
        <v>8715</v>
      </c>
      <c r="AM2563" t="s">
        <v>1167</v>
      </c>
    </row>
    <row r="2564" spans="1:39" x14ac:dyDescent="0.25">
      <c r="A2564">
        <v>2561</v>
      </c>
      <c r="B2564">
        <v>24</v>
      </c>
      <c r="C2564" s="24">
        <v>45654</v>
      </c>
      <c r="D2564" s="238" t="s">
        <v>3388</v>
      </c>
      <c r="E2564" s="238" t="s">
        <v>15</v>
      </c>
      <c r="F2564">
        <v>3</v>
      </c>
      <c r="G2564">
        <v>15</v>
      </c>
      <c r="H2564">
        <v>503</v>
      </c>
      <c r="I2564" s="238" t="s">
        <v>4052</v>
      </c>
      <c r="J2564">
        <v>24.5</v>
      </c>
      <c r="K2564" s="238" t="s">
        <v>38</v>
      </c>
      <c r="L2564">
        <v>4127700</v>
      </c>
      <c r="M2564">
        <v>0</v>
      </c>
      <c r="N2564">
        <v>4127700</v>
      </c>
      <c r="O2564">
        <v>168477.55102040817</v>
      </c>
      <c r="P2564">
        <v>612500</v>
      </c>
      <c r="Q2564">
        <v>3515200</v>
      </c>
      <c r="R2564">
        <v>143477.55102040817</v>
      </c>
      <c r="S2564" s="238" t="s">
        <v>137</v>
      </c>
      <c r="T2564" s="238" t="s">
        <v>1167</v>
      </c>
      <c r="V2564" t="s">
        <v>4092</v>
      </c>
      <c r="W2564" s="24">
        <v>45645</v>
      </c>
      <c r="X2564" s="238" t="s">
        <v>8418</v>
      </c>
      <c r="Y2564" s="238" t="s">
        <v>39</v>
      </c>
      <c r="Z2564" s="238" t="s">
        <v>1340</v>
      </c>
      <c r="AA2564" t="s">
        <v>3113</v>
      </c>
      <c r="AB2564" s="238" t="s">
        <v>3246</v>
      </c>
      <c r="AC2564" t="s">
        <v>3079</v>
      </c>
      <c r="AD2564" s="24"/>
      <c r="AE2564" s="238" t="s">
        <v>8419</v>
      </c>
      <c r="AF2564">
        <v>79379871387</v>
      </c>
      <c r="AG2564" s="238" t="s">
        <v>8420</v>
      </c>
      <c r="AH2564" s="238" t="s">
        <v>135</v>
      </c>
      <c r="AI2564" s="238" t="s">
        <v>135</v>
      </c>
      <c r="AJ2564" s="238" t="s">
        <v>5215</v>
      </c>
      <c r="AK2564" s="238" t="s">
        <v>3345</v>
      </c>
      <c r="AL2564" t="s">
        <v>8715</v>
      </c>
      <c r="AM2564" t="s">
        <v>1167</v>
      </c>
    </row>
    <row r="2565" spans="1:39" hidden="1" x14ac:dyDescent="0.25">
      <c r="A2565">
        <v>2562</v>
      </c>
      <c r="B2565">
        <v>25</v>
      </c>
      <c r="C2565" s="24">
        <v>45654</v>
      </c>
      <c r="D2565" s="238" t="s">
        <v>91</v>
      </c>
      <c r="E2565" s="238" t="s">
        <v>5</v>
      </c>
      <c r="F2565">
        <v>2</v>
      </c>
      <c r="G2565">
        <v>1</v>
      </c>
      <c r="H2565">
        <v>6</v>
      </c>
      <c r="I2565" s="238" t="s">
        <v>3946</v>
      </c>
      <c r="J2565">
        <v>70.5</v>
      </c>
      <c r="K2565" s="238" t="s">
        <v>36</v>
      </c>
      <c r="L2565">
        <v>8883000</v>
      </c>
      <c r="M2565">
        <v>0</v>
      </c>
      <c r="N2565">
        <v>8883000</v>
      </c>
      <c r="O2565">
        <v>126000</v>
      </c>
      <c r="P2565">
        <v>0</v>
      </c>
      <c r="Q2565">
        <v>8883000</v>
      </c>
      <c r="R2565">
        <v>126000</v>
      </c>
      <c r="S2565" s="238" t="s">
        <v>121</v>
      </c>
      <c r="T2565" s="238" t="s">
        <v>1167</v>
      </c>
      <c r="V2565" t="s">
        <v>1167</v>
      </c>
      <c r="W2565" s="24">
        <v>45595</v>
      </c>
      <c r="X2565" s="238" t="s">
        <v>8421</v>
      </c>
      <c r="Y2565" s="238" t="s">
        <v>3946</v>
      </c>
      <c r="Z2565" s="238" t="s">
        <v>1340</v>
      </c>
      <c r="AA2565" t="s">
        <v>3474</v>
      </c>
      <c r="AB2565" s="238" t="s">
        <v>3124</v>
      </c>
      <c r="AC2565" t="s">
        <v>1167</v>
      </c>
      <c r="AD2565" s="24"/>
      <c r="AE2565" s="238" t="s">
        <v>7988</v>
      </c>
      <c r="AF2565">
        <v>79244112114</v>
      </c>
      <c r="AG2565" s="238" t="s">
        <v>7989</v>
      </c>
      <c r="AH2565" s="238" t="s">
        <v>1212</v>
      </c>
      <c r="AI2565" s="238" t="s">
        <v>3084</v>
      </c>
      <c r="AJ2565" s="238" t="s">
        <v>4177</v>
      </c>
      <c r="AK2565" s="238" t="s">
        <v>3345</v>
      </c>
      <c r="AL2565" t="s">
        <v>8715</v>
      </c>
      <c r="AM2565" t="s">
        <v>1167</v>
      </c>
    </row>
    <row r="2566" spans="1:39" hidden="1" x14ac:dyDescent="0.25">
      <c r="A2566">
        <v>2563</v>
      </c>
      <c r="B2566">
        <v>1</v>
      </c>
      <c r="C2566" s="24">
        <v>45667</v>
      </c>
      <c r="D2566" s="238" t="s">
        <v>8060</v>
      </c>
      <c r="E2566" s="238" t="s">
        <v>42</v>
      </c>
      <c r="F2566">
        <v>5</v>
      </c>
      <c r="G2566">
        <v>9</v>
      </c>
      <c r="H2566">
        <v>47</v>
      </c>
      <c r="I2566" s="238" t="s">
        <v>42</v>
      </c>
      <c r="J2566">
        <v>37.01</v>
      </c>
      <c r="K2566" s="238" t="s">
        <v>36</v>
      </c>
      <c r="L2566">
        <v>4624816</v>
      </c>
      <c r="M2566">
        <v>0</v>
      </c>
      <c r="N2566">
        <v>4624816</v>
      </c>
      <c r="O2566">
        <v>124961.25371521211</v>
      </c>
      <c r="P2566">
        <v>0</v>
      </c>
      <c r="Q2566">
        <v>4624816</v>
      </c>
      <c r="R2566">
        <v>124961.25371521211</v>
      </c>
      <c r="S2566" s="238" t="s">
        <v>124</v>
      </c>
      <c r="T2566" s="238" t="s">
        <v>3540</v>
      </c>
      <c r="U2566">
        <v>94384</v>
      </c>
      <c r="V2566" t="s">
        <v>1167</v>
      </c>
      <c r="W2566" s="24">
        <v>45666</v>
      </c>
      <c r="X2566" s="238" t="s">
        <v>8432</v>
      </c>
      <c r="Y2566" s="238" t="s">
        <v>39</v>
      </c>
      <c r="Z2566" s="238" t="s">
        <v>1340</v>
      </c>
      <c r="AA2566" t="s">
        <v>3113</v>
      </c>
      <c r="AB2566" s="238" t="s">
        <v>3246</v>
      </c>
      <c r="AC2566" t="s">
        <v>1167</v>
      </c>
      <c r="AD2566" s="24"/>
      <c r="AE2566" s="238" t="s">
        <v>8433</v>
      </c>
      <c r="AF2566">
        <v>79276061879</v>
      </c>
      <c r="AG2566" s="238" t="s">
        <v>8434</v>
      </c>
      <c r="AH2566" s="238" t="s">
        <v>1212</v>
      </c>
      <c r="AI2566" s="238" t="s">
        <v>3103</v>
      </c>
      <c r="AJ2566" s="238" t="s">
        <v>8380</v>
      </c>
      <c r="AK2566" s="238" t="s">
        <v>1167</v>
      </c>
      <c r="AL2566" t="s">
        <v>8715</v>
      </c>
      <c r="AM2566" t="s">
        <v>1167</v>
      </c>
    </row>
    <row r="2567" spans="1:39" x14ac:dyDescent="0.25">
      <c r="A2567">
        <v>2564</v>
      </c>
      <c r="B2567">
        <v>2</v>
      </c>
      <c r="C2567" s="24">
        <v>45672</v>
      </c>
      <c r="D2567" s="238" t="s">
        <v>3388</v>
      </c>
      <c r="E2567" s="238" t="s">
        <v>16</v>
      </c>
      <c r="F2567">
        <v>3</v>
      </c>
      <c r="G2567">
        <v>19</v>
      </c>
      <c r="H2567">
        <v>350</v>
      </c>
      <c r="I2567" s="238" t="s">
        <v>43</v>
      </c>
      <c r="J2567">
        <v>56.58</v>
      </c>
      <c r="K2567" s="238" t="s">
        <v>6871</v>
      </c>
      <c r="L2567">
        <v>7916848</v>
      </c>
      <c r="M2567">
        <v>0</v>
      </c>
      <c r="N2567">
        <v>7916848</v>
      </c>
      <c r="O2567">
        <v>139923.08236125839</v>
      </c>
      <c r="P2567">
        <v>565800</v>
      </c>
      <c r="Q2567">
        <v>7351048</v>
      </c>
      <c r="R2567">
        <v>129923.08236125841</v>
      </c>
      <c r="S2567" s="238" t="s">
        <v>137</v>
      </c>
      <c r="T2567" s="238" t="s">
        <v>978</v>
      </c>
      <c r="U2567">
        <v>227352</v>
      </c>
      <c r="V2567" t="s">
        <v>4092</v>
      </c>
      <c r="W2567" s="24">
        <v>45670</v>
      </c>
      <c r="X2567" s="238" t="s">
        <v>8435</v>
      </c>
      <c r="Y2567" s="238" t="s">
        <v>39</v>
      </c>
      <c r="Z2567" s="238" t="s">
        <v>1340</v>
      </c>
      <c r="AA2567" t="s">
        <v>3113</v>
      </c>
      <c r="AB2567" s="238" t="s">
        <v>3246</v>
      </c>
      <c r="AC2567" t="s">
        <v>3079</v>
      </c>
      <c r="AD2567" s="24"/>
      <c r="AE2567" s="238" t="s">
        <v>8436</v>
      </c>
      <c r="AF2567">
        <v>79677064826</v>
      </c>
      <c r="AG2567" s="238" t="s">
        <v>8437</v>
      </c>
      <c r="AH2567" s="238" t="s">
        <v>1171</v>
      </c>
      <c r="AI2567" s="238" t="s">
        <v>3103</v>
      </c>
      <c r="AJ2567" s="238" t="s">
        <v>5215</v>
      </c>
      <c r="AK2567" s="238" t="s">
        <v>3345</v>
      </c>
      <c r="AL2567" t="s">
        <v>8715</v>
      </c>
      <c r="AM2567" t="s">
        <v>1167</v>
      </c>
    </row>
    <row r="2568" spans="1:39" x14ac:dyDescent="0.25">
      <c r="A2568">
        <v>2565</v>
      </c>
      <c r="B2568">
        <v>3</v>
      </c>
      <c r="C2568" s="24">
        <v>45679</v>
      </c>
      <c r="D2568" s="238" t="s">
        <v>3388</v>
      </c>
      <c r="E2568" s="238" t="s">
        <v>16</v>
      </c>
      <c r="F2568">
        <v>5</v>
      </c>
      <c r="G2568">
        <v>11</v>
      </c>
      <c r="H2568">
        <v>296</v>
      </c>
      <c r="I2568" s="238" t="s">
        <v>42</v>
      </c>
      <c r="J2568">
        <v>37.81</v>
      </c>
      <c r="K2568" s="238" t="s">
        <v>6871</v>
      </c>
      <c r="L2568">
        <v>5515100</v>
      </c>
      <c r="M2568">
        <v>0</v>
      </c>
      <c r="N2568">
        <v>5515100</v>
      </c>
      <c r="O2568">
        <v>145863.52816715153</v>
      </c>
      <c r="P2568">
        <v>378100</v>
      </c>
      <c r="Q2568">
        <v>5137000</v>
      </c>
      <c r="R2568">
        <v>135863.52816715153</v>
      </c>
      <c r="S2568" s="238" t="s">
        <v>137</v>
      </c>
      <c r="T2568" s="238" t="s">
        <v>321</v>
      </c>
      <c r="U2568">
        <v>100000</v>
      </c>
      <c r="V2568" t="s">
        <v>4092</v>
      </c>
      <c r="W2568" s="24">
        <v>45673</v>
      </c>
      <c r="X2568" s="238" t="s">
        <v>8438</v>
      </c>
      <c r="Y2568" s="238" t="s">
        <v>39</v>
      </c>
      <c r="Z2568" s="238" t="s">
        <v>1340</v>
      </c>
      <c r="AA2568" t="s">
        <v>3113</v>
      </c>
      <c r="AB2568" s="238" t="s">
        <v>3246</v>
      </c>
      <c r="AC2568" t="s">
        <v>3079</v>
      </c>
      <c r="AD2568" s="24"/>
      <c r="AE2568" s="238" t="s">
        <v>8439</v>
      </c>
      <c r="AF2568">
        <v>79277018313</v>
      </c>
      <c r="AG2568" s="238" t="s">
        <v>8440</v>
      </c>
      <c r="AH2568" s="238" t="s">
        <v>1212</v>
      </c>
      <c r="AI2568" s="238" t="s">
        <v>3103</v>
      </c>
      <c r="AJ2568" s="238" t="s">
        <v>8380</v>
      </c>
      <c r="AK2568" s="238" t="s">
        <v>8441</v>
      </c>
      <c r="AL2568" t="s">
        <v>8715</v>
      </c>
      <c r="AM2568" t="s">
        <v>1167</v>
      </c>
    </row>
    <row r="2569" spans="1:39" hidden="1" x14ac:dyDescent="0.25">
      <c r="A2569">
        <v>2566</v>
      </c>
      <c r="B2569">
        <v>4</v>
      </c>
      <c r="C2569" s="24">
        <v>45681</v>
      </c>
      <c r="D2569" s="238" t="s">
        <v>8060</v>
      </c>
      <c r="E2569" s="238" t="s">
        <v>44</v>
      </c>
      <c r="F2569">
        <v>2</v>
      </c>
      <c r="G2569">
        <v>10</v>
      </c>
      <c r="H2569">
        <v>230</v>
      </c>
      <c r="I2569" s="238" t="s">
        <v>42</v>
      </c>
      <c r="J2569">
        <v>36.549999999999997</v>
      </c>
      <c r="K2569" s="238" t="s">
        <v>36</v>
      </c>
      <c r="L2569">
        <v>4516520</v>
      </c>
      <c r="M2569">
        <v>15000</v>
      </c>
      <c r="N2569">
        <v>4531520</v>
      </c>
      <c r="O2569">
        <v>123981.39534883722</v>
      </c>
      <c r="P2569">
        <v>0</v>
      </c>
      <c r="Q2569">
        <v>4531520</v>
      </c>
      <c r="R2569">
        <v>123981.39534883722</v>
      </c>
      <c r="S2569" s="238" t="s">
        <v>124</v>
      </c>
      <c r="T2569" s="238" t="s">
        <v>3540</v>
      </c>
      <c r="U2569">
        <v>92480</v>
      </c>
      <c r="V2569" t="s">
        <v>1167</v>
      </c>
      <c r="W2569" s="24">
        <v>45652</v>
      </c>
      <c r="X2569" s="238" t="s">
        <v>8442</v>
      </c>
      <c r="Y2569" s="238" t="s">
        <v>39</v>
      </c>
      <c r="Z2569" s="238" t="s">
        <v>1340</v>
      </c>
      <c r="AA2569" t="s">
        <v>3113</v>
      </c>
      <c r="AB2569" s="238" t="s">
        <v>3246</v>
      </c>
      <c r="AC2569" t="s">
        <v>1167</v>
      </c>
      <c r="AD2569" s="24"/>
      <c r="AE2569" s="238" t="s">
        <v>8443</v>
      </c>
      <c r="AF2569">
        <v>79272020139</v>
      </c>
      <c r="AG2569" s="238" t="s">
        <v>8444</v>
      </c>
      <c r="AH2569" s="238" t="s">
        <v>1212</v>
      </c>
      <c r="AI2569" s="238" t="s">
        <v>135</v>
      </c>
      <c r="AJ2569" s="238" t="s">
        <v>8380</v>
      </c>
      <c r="AK2569" s="238" t="s">
        <v>1167</v>
      </c>
      <c r="AL2569" t="s">
        <v>8715</v>
      </c>
      <c r="AM2569" t="s">
        <v>1167</v>
      </c>
    </row>
    <row r="2570" spans="1:39" hidden="1" x14ac:dyDescent="0.25">
      <c r="A2570">
        <v>2567</v>
      </c>
      <c r="B2570">
        <v>5</v>
      </c>
      <c r="C2570" s="24">
        <v>45681</v>
      </c>
      <c r="D2570" s="238" t="s">
        <v>8060</v>
      </c>
      <c r="E2570" s="238" t="s">
        <v>42</v>
      </c>
      <c r="F2570">
        <v>1</v>
      </c>
      <c r="G2570">
        <v>11</v>
      </c>
      <c r="H2570">
        <v>55</v>
      </c>
      <c r="I2570" s="238" t="s">
        <v>4052</v>
      </c>
      <c r="J2570">
        <v>29.62</v>
      </c>
      <c r="K2570" s="238" t="s">
        <v>36</v>
      </c>
      <c r="L2570">
        <v>4174400</v>
      </c>
      <c r="M2570">
        <v>0</v>
      </c>
      <c r="N2570">
        <v>4174400</v>
      </c>
      <c r="O2570">
        <v>140931.80283592167</v>
      </c>
      <c r="P2570">
        <v>0</v>
      </c>
      <c r="Q2570">
        <v>4174400</v>
      </c>
      <c r="R2570">
        <v>140931.80283592167</v>
      </c>
      <c r="S2570" s="238" t="s">
        <v>124</v>
      </c>
      <c r="T2570" s="238" t="s">
        <v>1167</v>
      </c>
      <c r="V2570" t="s">
        <v>1167</v>
      </c>
      <c r="W2570" s="24">
        <v>45677</v>
      </c>
      <c r="X2570" s="238" t="s">
        <v>8445</v>
      </c>
      <c r="Y2570" s="238" t="s">
        <v>39</v>
      </c>
      <c r="Z2570" s="238" t="s">
        <v>1340</v>
      </c>
      <c r="AA2570" t="s">
        <v>3113</v>
      </c>
      <c r="AB2570" s="238" t="s">
        <v>3246</v>
      </c>
      <c r="AC2570" t="s">
        <v>1167</v>
      </c>
      <c r="AD2570" s="24"/>
      <c r="AE2570" s="238" t="s">
        <v>8446</v>
      </c>
      <c r="AF2570">
        <v>79370746521</v>
      </c>
      <c r="AG2570" s="238" t="s">
        <v>8447</v>
      </c>
      <c r="AH2570" s="238" t="s">
        <v>4072</v>
      </c>
      <c r="AI2570" s="238" t="s">
        <v>7930</v>
      </c>
      <c r="AJ2570" s="238" t="s">
        <v>4177</v>
      </c>
      <c r="AK2570" s="238" t="s">
        <v>1167</v>
      </c>
      <c r="AL2570" t="s">
        <v>57</v>
      </c>
      <c r="AM2570" t="s">
        <v>1167</v>
      </c>
    </row>
    <row r="2571" spans="1:39" hidden="1" x14ac:dyDescent="0.25">
      <c r="A2571">
        <v>2568</v>
      </c>
      <c r="B2571">
        <v>6</v>
      </c>
      <c r="C2571" s="24">
        <v>45688</v>
      </c>
      <c r="D2571" s="238" t="s">
        <v>8060</v>
      </c>
      <c r="E2571" s="238" t="s">
        <v>44</v>
      </c>
      <c r="F2571">
        <v>2</v>
      </c>
      <c r="G2571">
        <v>4</v>
      </c>
      <c r="H2571">
        <v>194</v>
      </c>
      <c r="I2571" s="238" t="s">
        <v>42</v>
      </c>
      <c r="J2571">
        <v>36.64</v>
      </c>
      <c r="K2571" s="238" t="s">
        <v>36</v>
      </c>
      <c r="L2571">
        <v>4622268</v>
      </c>
      <c r="M2571">
        <v>0</v>
      </c>
      <c r="N2571">
        <v>4622268</v>
      </c>
      <c r="O2571">
        <v>126153.60262008733</v>
      </c>
      <c r="P2571">
        <v>0</v>
      </c>
      <c r="Q2571">
        <v>4622268</v>
      </c>
      <c r="R2571">
        <v>126153.60262008733</v>
      </c>
      <c r="S2571" s="238" t="s">
        <v>124</v>
      </c>
      <c r="T2571" s="238" t="s">
        <v>3540</v>
      </c>
      <c r="U2571">
        <v>94332</v>
      </c>
      <c r="V2571" t="s">
        <v>1167</v>
      </c>
      <c r="W2571" s="24">
        <v>45689</v>
      </c>
      <c r="X2571" s="238" t="s">
        <v>8448</v>
      </c>
      <c r="Y2571" s="238" t="s">
        <v>39</v>
      </c>
      <c r="Z2571" s="238" t="s">
        <v>1340</v>
      </c>
      <c r="AA2571" t="s">
        <v>3113</v>
      </c>
      <c r="AB2571" s="238" t="s">
        <v>3246</v>
      </c>
      <c r="AC2571" t="s">
        <v>1167</v>
      </c>
      <c r="AD2571" s="24"/>
      <c r="AE2571" s="238" t="s">
        <v>8449</v>
      </c>
      <c r="AF2571">
        <v>79297062616</v>
      </c>
      <c r="AG2571" s="238" t="s">
        <v>8450</v>
      </c>
      <c r="AH2571" s="238" t="s">
        <v>1197</v>
      </c>
      <c r="AI2571" s="238" t="s">
        <v>135</v>
      </c>
      <c r="AJ2571" s="238" t="s">
        <v>4177</v>
      </c>
      <c r="AK2571" s="238" t="s">
        <v>1167</v>
      </c>
      <c r="AL2571" t="s">
        <v>8715</v>
      </c>
      <c r="AM2571" t="s">
        <v>1167</v>
      </c>
    </row>
    <row r="2572" spans="1:39" hidden="1" x14ac:dyDescent="0.25">
      <c r="A2572">
        <v>2569</v>
      </c>
      <c r="B2572">
        <v>1</v>
      </c>
      <c r="C2572" s="24">
        <v>45694</v>
      </c>
      <c r="D2572" s="238" t="s">
        <v>8060</v>
      </c>
      <c r="E2572" s="238" t="s">
        <v>44</v>
      </c>
      <c r="F2572">
        <v>3</v>
      </c>
      <c r="G2572">
        <v>7</v>
      </c>
      <c r="H2572">
        <v>213</v>
      </c>
      <c r="I2572" s="238" t="s">
        <v>43</v>
      </c>
      <c r="J2572">
        <v>54.44</v>
      </c>
      <c r="K2572" s="238" t="s">
        <v>36</v>
      </c>
      <c r="L2572">
        <v>6390748</v>
      </c>
      <c r="M2572">
        <v>0</v>
      </c>
      <c r="N2572">
        <v>6390748</v>
      </c>
      <c r="O2572">
        <v>117390.66862601029</v>
      </c>
      <c r="P2572">
        <v>0</v>
      </c>
      <c r="Q2572">
        <v>6390748</v>
      </c>
      <c r="R2572">
        <v>117390.66862601029</v>
      </c>
      <c r="S2572" s="238" t="s">
        <v>124</v>
      </c>
      <c r="T2572" s="238" t="s">
        <v>3540</v>
      </c>
      <c r="U2572">
        <v>197652</v>
      </c>
      <c r="V2572" t="s">
        <v>1167</v>
      </c>
      <c r="W2572" s="24">
        <v>45693</v>
      </c>
      <c r="X2572" s="238" t="s">
        <v>8453</v>
      </c>
      <c r="Y2572" s="238" t="s">
        <v>39</v>
      </c>
      <c r="Z2572" s="238" t="s">
        <v>1340</v>
      </c>
      <c r="AA2572" t="s">
        <v>3113</v>
      </c>
      <c r="AB2572" s="238" t="s">
        <v>3246</v>
      </c>
      <c r="AC2572" t="s">
        <v>1167</v>
      </c>
      <c r="AD2572" s="24"/>
      <c r="AE2572" s="238" t="s">
        <v>8454</v>
      </c>
      <c r="AF2572">
        <v>79619198086</v>
      </c>
      <c r="AG2572" s="238" t="s">
        <v>8455</v>
      </c>
      <c r="AH2572" s="238" t="s">
        <v>1171</v>
      </c>
      <c r="AI2572" s="238" t="s">
        <v>3090</v>
      </c>
      <c r="AJ2572" s="238" t="s">
        <v>4177</v>
      </c>
      <c r="AK2572" s="238" t="s">
        <v>1167</v>
      </c>
      <c r="AL2572" t="s">
        <v>8715</v>
      </c>
      <c r="AM2572" t="s">
        <v>1167</v>
      </c>
    </row>
    <row r="2573" spans="1:39" x14ac:dyDescent="0.25">
      <c r="A2573">
        <v>2570</v>
      </c>
      <c r="B2573">
        <v>2</v>
      </c>
      <c r="C2573" s="24">
        <v>45696</v>
      </c>
      <c r="D2573" s="238" t="s">
        <v>3388</v>
      </c>
      <c r="E2573" s="238" t="s">
        <v>15</v>
      </c>
      <c r="F2573">
        <v>2</v>
      </c>
      <c r="G2573">
        <v>5</v>
      </c>
      <c r="H2573">
        <v>422</v>
      </c>
      <c r="I2573" s="238" t="s">
        <v>42</v>
      </c>
      <c r="J2573">
        <v>43.21</v>
      </c>
      <c r="K2573" s="238" t="s">
        <v>38</v>
      </c>
      <c r="L2573">
        <v>6758436</v>
      </c>
      <c r="M2573">
        <v>0</v>
      </c>
      <c r="N2573">
        <v>6758436</v>
      </c>
      <c r="O2573">
        <v>156409.07197408009</v>
      </c>
      <c r="P2573">
        <v>1080250</v>
      </c>
      <c r="Q2573">
        <v>5678186</v>
      </c>
      <c r="R2573">
        <v>131409.07197408009</v>
      </c>
      <c r="S2573" s="238" t="s">
        <v>137</v>
      </c>
      <c r="T2573" s="238" t="s">
        <v>3538</v>
      </c>
      <c r="U2573">
        <v>175614.00000000093</v>
      </c>
      <c r="V2573" t="s">
        <v>4092</v>
      </c>
      <c r="W2573" s="24">
        <v>45692</v>
      </c>
      <c r="X2573" s="238" t="s">
        <v>8456</v>
      </c>
      <c r="Y2573" s="238" t="s">
        <v>39</v>
      </c>
      <c r="Z2573" s="238" t="s">
        <v>1340</v>
      </c>
      <c r="AA2573" t="s">
        <v>3113</v>
      </c>
      <c r="AB2573" s="238" t="s">
        <v>3246</v>
      </c>
      <c r="AC2573" t="s">
        <v>3079</v>
      </c>
      <c r="AD2573" s="24"/>
      <c r="AE2573" s="238" t="s">
        <v>8457</v>
      </c>
      <c r="AF2573">
        <v>79276511070</v>
      </c>
      <c r="AG2573" s="238" t="s">
        <v>8458</v>
      </c>
      <c r="AH2573" s="238" t="s">
        <v>1212</v>
      </c>
      <c r="AI2573" s="238" t="s">
        <v>3103</v>
      </c>
      <c r="AJ2573" s="238" t="s">
        <v>5215</v>
      </c>
      <c r="AK2573" s="238" t="s">
        <v>3345</v>
      </c>
      <c r="AL2573" t="s">
        <v>8715</v>
      </c>
      <c r="AM2573" t="s">
        <v>1167</v>
      </c>
    </row>
    <row r="2574" spans="1:39" hidden="1" x14ac:dyDescent="0.25">
      <c r="A2574">
        <v>2571</v>
      </c>
      <c r="B2574">
        <v>3</v>
      </c>
      <c r="C2574" s="24">
        <v>45698</v>
      </c>
      <c r="D2574" s="238" t="s">
        <v>8060</v>
      </c>
      <c r="E2574" s="238" t="s">
        <v>42</v>
      </c>
      <c r="F2574">
        <v>5</v>
      </c>
      <c r="G2574">
        <v>13</v>
      </c>
      <c r="H2574">
        <v>71</v>
      </c>
      <c r="I2574" s="238" t="s">
        <v>42</v>
      </c>
      <c r="J2574">
        <v>36.92</v>
      </c>
      <c r="K2574" s="238" t="s">
        <v>8787</v>
      </c>
      <c r="L2574">
        <v>4967844</v>
      </c>
      <c r="M2574">
        <v>15000</v>
      </c>
      <c r="N2574">
        <v>4982844</v>
      </c>
      <c r="O2574">
        <v>134963.27193932826</v>
      </c>
      <c r="P2574">
        <v>369200</v>
      </c>
      <c r="Q2574">
        <v>4613644</v>
      </c>
      <c r="R2574">
        <v>124963.27193932828</v>
      </c>
      <c r="S2574" s="238" t="s">
        <v>124</v>
      </c>
      <c r="T2574" s="238" t="s">
        <v>3566</v>
      </c>
      <c r="U2574">
        <v>94156</v>
      </c>
      <c r="V2574" t="s">
        <v>1167</v>
      </c>
      <c r="W2574" s="24">
        <v>45674</v>
      </c>
      <c r="X2574" s="238" t="s">
        <v>8459</v>
      </c>
      <c r="Y2574" s="238" t="s">
        <v>39</v>
      </c>
      <c r="Z2574" s="238" t="s">
        <v>1340</v>
      </c>
      <c r="AA2574" t="s">
        <v>3113</v>
      </c>
      <c r="AB2574" s="238" t="s">
        <v>3246</v>
      </c>
      <c r="AC2574" t="s">
        <v>1167</v>
      </c>
      <c r="AD2574" s="24"/>
      <c r="AE2574" s="238" t="s">
        <v>8460</v>
      </c>
      <c r="AF2574">
        <v>89869518680</v>
      </c>
      <c r="AG2574" s="238" t="s">
        <v>8461</v>
      </c>
      <c r="AH2574" s="238" t="s">
        <v>4072</v>
      </c>
      <c r="AI2574" s="238" t="s">
        <v>7930</v>
      </c>
      <c r="AJ2574" s="238" t="s">
        <v>8380</v>
      </c>
      <c r="AK2574" s="238" t="s">
        <v>1167</v>
      </c>
      <c r="AL2574" t="s">
        <v>57</v>
      </c>
      <c r="AM2574" t="s">
        <v>1167</v>
      </c>
    </row>
    <row r="2575" spans="1:39" hidden="1" x14ac:dyDescent="0.25">
      <c r="A2575">
        <v>2572</v>
      </c>
      <c r="B2575">
        <v>4</v>
      </c>
      <c r="C2575" s="24">
        <v>45698</v>
      </c>
      <c r="D2575" s="238" t="s">
        <v>8060</v>
      </c>
      <c r="E2575" s="238" t="s">
        <v>44</v>
      </c>
      <c r="F2575">
        <v>1</v>
      </c>
      <c r="G2575">
        <v>9</v>
      </c>
      <c r="H2575">
        <v>223</v>
      </c>
      <c r="I2575" s="238" t="s">
        <v>42</v>
      </c>
      <c r="J2575">
        <v>44.25</v>
      </c>
      <c r="K2575" s="238" t="s">
        <v>36</v>
      </c>
      <c r="L2575">
        <v>5588600</v>
      </c>
      <c r="M2575">
        <v>0</v>
      </c>
      <c r="N2575">
        <v>5588600</v>
      </c>
      <c r="O2575">
        <v>126296.04519774011</v>
      </c>
      <c r="P2575">
        <v>0</v>
      </c>
      <c r="Q2575">
        <v>5588600</v>
      </c>
      <c r="R2575">
        <v>126296.04519774011</v>
      </c>
      <c r="S2575" s="238" t="s">
        <v>124</v>
      </c>
      <c r="T2575" s="238" t="s">
        <v>1167</v>
      </c>
      <c r="V2575" t="s">
        <v>1167</v>
      </c>
      <c r="W2575" s="24">
        <v>45693</v>
      </c>
      <c r="X2575" s="238" t="s">
        <v>8462</v>
      </c>
      <c r="Y2575" s="238" t="s">
        <v>39</v>
      </c>
      <c r="Z2575" s="238" t="s">
        <v>1340</v>
      </c>
      <c r="AA2575" t="s">
        <v>3113</v>
      </c>
      <c r="AB2575" s="238" t="s">
        <v>3246</v>
      </c>
      <c r="AC2575" t="s">
        <v>1167</v>
      </c>
      <c r="AD2575" s="24"/>
      <c r="AE2575" s="238" t="s">
        <v>8463</v>
      </c>
      <c r="AF2575">
        <v>79171447745</v>
      </c>
      <c r="AG2575" s="238" t="s">
        <v>8464</v>
      </c>
      <c r="AH2575" s="238" t="s">
        <v>4072</v>
      </c>
      <c r="AI2575" s="238" t="s">
        <v>7930</v>
      </c>
      <c r="AJ2575" s="238" t="s">
        <v>4177</v>
      </c>
      <c r="AK2575" s="238" t="s">
        <v>1167</v>
      </c>
      <c r="AL2575" t="s">
        <v>57</v>
      </c>
      <c r="AM2575" t="s">
        <v>1167</v>
      </c>
    </row>
    <row r="2576" spans="1:39" x14ac:dyDescent="0.25">
      <c r="A2576">
        <v>2573</v>
      </c>
      <c r="B2576">
        <v>5</v>
      </c>
      <c r="C2576" s="24">
        <v>45698</v>
      </c>
      <c r="D2576" s="238" t="s">
        <v>3388</v>
      </c>
      <c r="E2576" s="238" t="s">
        <v>5</v>
      </c>
      <c r="F2576">
        <v>1</v>
      </c>
      <c r="G2576">
        <v>3</v>
      </c>
      <c r="H2576">
        <v>125</v>
      </c>
      <c r="I2576" s="238" t="s">
        <v>43</v>
      </c>
      <c r="J2576">
        <v>60.22</v>
      </c>
      <c r="K2576" s="238" t="s">
        <v>36</v>
      </c>
      <c r="L2576">
        <v>7368900</v>
      </c>
      <c r="M2576">
        <v>0</v>
      </c>
      <c r="N2576">
        <v>7368900</v>
      </c>
      <c r="O2576">
        <v>122366.32348057124</v>
      </c>
      <c r="P2576">
        <v>0</v>
      </c>
      <c r="Q2576">
        <v>7368900</v>
      </c>
      <c r="R2576">
        <v>122366.32348057124</v>
      </c>
      <c r="S2576" s="238" t="s">
        <v>137</v>
      </c>
      <c r="T2576" s="238" t="s">
        <v>1167</v>
      </c>
      <c r="V2576" t="s">
        <v>4092</v>
      </c>
      <c r="W2576" s="24">
        <v>45694</v>
      </c>
      <c r="X2576" s="238" t="s">
        <v>8465</v>
      </c>
      <c r="Y2576" s="238" t="s">
        <v>39</v>
      </c>
      <c r="Z2576" s="238" t="s">
        <v>1340</v>
      </c>
      <c r="AA2576" t="s">
        <v>3113</v>
      </c>
      <c r="AB2576" s="238" t="s">
        <v>3246</v>
      </c>
      <c r="AC2576" t="s">
        <v>3079</v>
      </c>
      <c r="AD2576" s="24"/>
      <c r="AE2576" s="238" t="s">
        <v>8466</v>
      </c>
      <c r="AF2576">
        <v>77078492624</v>
      </c>
      <c r="AG2576" s="238" t="s">
        <v>8467</v>
      </c>
      <c r="AH2576" s="238" t="s">
        <v>1212</v>
      </c>
      <c r="AI2576" s="238" t="s">
        <v>3084</v>
      </c>
      <c r="AJ2576" s="238" t="s">
        <v>4177</v>
      </c>
      <c r="AK2576" s="238" t="s">
        <v>3345</v>
      </c>
      <c r="AL2576" t="s">
        <v>8715</v>
      </c>
      <c r="AM2576" t="s">
        <v>1167</v>
      </c>
    </row>
    <row r="2577" spans="1:39" hidden="1" x14ac:dyDescent="0.25">
      <c r="A2577">
        <v>2574</v>
      </c>
      <c r="B2577">
        <v>6</v>
      </c>
      <c r="C2577" s="24">
        <v>45698</v>
      </c>
      <c r="D2577" s="238" t="s">
        <v>7562</v>
      </c>
      <c r="E2577" s="238" t="s">
        <v>42</v>
      </c>
      <c r="F2577">
        <v>1</v>
      </c>
      <c r="G2577">
        <v>12</v>
      </c>
      <c r="H2577">
        <v>41</v>
      </c>
      <c r="I2577" s="238" t="s">
        <v>43</v>
      </c>
      <c r="J2577">
        <v>61.41</v>
      </c>
      <c r="K2577" s="238" t="s">
        <v>36</v>
      </c>
      <c r="L2577">
        <v>7983300</v>
      </c>
      <c r="M2577">
        <v>0</v>
      </c>
      <c r="N2577">
        <v>7983300</v>
      </c>
      <c r="O2577">
        <v>130000</v>
      </c>
      <c r="P2577">
        <v>0</v>
      </c>
      <c r="Q2577">
        <v>7983300</v>
      </c>
      <c r="R2577">
        <v>130000</v>
      </c>
      <c r="S2577" s="238" t="s">
        <v>137</v>
      </c>
      <c r="T2577" s="238" t="s">
        <v>1167</v>
      </c>
      <c r="V2577" t="s">
        <v>4092</v>
      </c>
      <c r="W2577" s="24">
        <v>45695</v>
      </c>
      <c r="X2577" s="238" t="s">
        <v>8468</v>
      </c>
      <c r="Y2577" s="238" t="s">
        <v>39</v>
      </c>
      <c r="Z2577" s="238" t="s">
        <v>1340</v>
      </c>
      <c r="AA2577" t="s">
        <v>3113</v>
      </c>
      <c r="AB2577" s="238" t="s">
        <v>3246</v>
      </c>
      <c r="AC2577" t="s">
        <v>3079</v>
      </c>
      <c r="AD2577" s="24"/>
      <c r="AE2577" s="238" t="s">
        <v>8469</v>
      </c>
      <c r="AF2577">
        <v>79608480577</v>
      </c>
      <c r="AG2577" s="238" t="s">
        <v>8470</v>
      </c>
      <c r="AH2577" s="238" t="s">
        <v>1212</v>
      </c>
      <c r="AI2577" s="238" t="s">
        <v>3084</v>
      </c>
      <c r="AJ2577" s="238" t="s">
        <v>4177</v>
      </c>
      <c r="AK2577" s="238" t="s">
        <v>8441</v>
      </c>
      <c r="AL2577" t="s">
        <v>8715</v>
      </c>
      <c r="AM2577" t="s">
        <v>1167</v>
      </c>
    </row>
    <row r="2578" spans="1:39" hidden="1" x14ac:dyDescent="0.25">
      <c r="A2578">
        <v>2575</v>
      </c>
      <c r="B2578">
        <v>7</v>
      </c>
      <c r="C2578" s="24">
        <v>45699</v>
      </c>
      <c r="D2578" s="238" t="s">
        <v>8060</v>
      </c>
      <c r="E2578" s="238" t="s">
        <v>42</v>
      </c>
      <c r="F2578">
        <v>5</v>
      </c>
      <c r="G2578">
        <v>11</v>
      </c>
      <c r="H2578">
        <v>59</v>
      </c>
      <c r="I2578" s="238" t="s">
        <v>42</v>
      </c>
      <c r="J2578">
        <v>36.92</v>
      </c>
      <c r="K2578" s="238" t="s">
        <v>36</v>
      </c>
      <c r="L2578">
        <v>4797600</v>
      </c>
      <c r="M2578">
        <v>0</v>
      </c>
      <c r="N2578">
        <v>4797600</v>
      </c>
      <c r="O2578">
        <v>129945.82881906825</v>
      </c>
      <c r="P2578">
        <v>0</v>
      </c>
      <c r="Q2578">
        <v>4797600</v>
      </c>
      <c r="R2578">
        <v>129945.82881906825</v>
      </c>
      <c r="S2578" s="238" t="s">
        <v>124</v>
      </c>
      <c r="T2578" s="238" t="s">
        <v>1167</v>
      </c>
      <c r="V2578" t="s">
        <v>1167</v>
      </c>
      <c r="W2578" s="24">
        <v>45692</v>
      </c>
      <c r="X2578" s="238" t="s">
        <v>8473</v>
      </c>
      <c r="Y2578" s="238" t="s">
        <v>39</v>
      </c>
      <c r="Z2578" s="238" t="s">
        <v>1340</v>
      </c>
      <c r="AA2578" t="s">
        <v>3113</v>
      </c>
      <c r="AB2578" s="238" t="s">
        <v>3246</v>
      </c>
      <c r="AC2578" t="s">
        <v>1167</v>
      </c>
      <c r="AD2578" s="24"/>
      <c r="AE2578" s="238" t="s">
        <v>8474</v>
      </c>
      <c r="AF2578">
        <v>79277517200</v>
      </c>
      <c r="AG2578" s="238" t="s">
        <v>8475</v>
      </c>
      <c r="AH2578" s="238" t="s">
        <v>4072</v>
      </c>
      <c r="AI2578" s="238" t="s">
        <v>8476</v>
      </c>
      <c r="AJ2578" s="238" t="s">
        <v>5215</v>
      </c>
      <c r="AK2578" s="238" t="s">
        <v>1167</v>
      </c>
      <c r="AL2578" t="s">
        <v>57</v>
      </c>
      <c r="AM2578" t="s">
        <v>1167</v>
      </c>
    </row>
    <row r="2579" spans="1:39" x14ac:dyDescent="0.25">
      <c r="A2579">
        <v>2576</v>
      </c>
      <c r="B2579">
        <v>8</v>
      </c>
      <c r="C2579" s="24">
        <v>45700</v>
      </c>
      <c r="D2579" s="238" t="s">
        <v>3388</v>
      </c>
      <c r="E2579" s="238" t="s">
        <v>6</v>
      </c>
      <c r="F2579">
        <v>3</v>
      </c>
      <c r="G2579">
        <v>11</v>
      </c>
      <c r="H2579">
        <v>72</v>
      </c>
      <c r="I2579" s="238" t="s">
        <v>42</v>
      </c>
      <c r="J2579">
        <v>37.729999999999997</v>
      </c>
      <c r="K2579" s="238" t="s">
        <v>38</v>
      </c>
      <c r="L2579">
        <v>6351478</v>
      </c>
      <c r="M2579">
        <v>0</v>
      </c>
      <c r="N2579">
        <v>6351478</v>
      </c>
      <c r="O2579">
        <v>168340.25974025976</v>
      </c>
      <c r="P2579">
        <v>943249.99999999988</v>
      </c>
      <c r="Q2579">
        <v>5408228</v>
      </c>
      <c r="R2579">
        <v>143340.25974025976</v>
      </c>
      <c r="S2579" s="238" t="s">
        <v>137</v>
      </c>
      <c r="T2579" s="238" t="s">
        <v>3540</v>
      </c>
      <c r="U2579">
        <v>110372.00000000093</v>
      </c>
      <c r="V2579" t="s">
        <v>3661</v>
      </c>
      <c r="W2579" s="24">
        <v>45694</v>
      </c>
      <c r="X2579" s="238" t="s">
        <v>8477</v>
      </c>
      <c r="Y2579" s="238" t="s">
        <v>39</v>
      </c>
      <c r="Z2579" s="238" t="s">
        <v>1340</v>
      </c>
      <c r="AA2579" t="s">
        <v>3474</v>
      </c>
      <c r="AB2579" s="238" t="s">
        <v>3246</v>
      </c>
      <c r="AC2579" t="s">
        <v>8478</v>
      </c>
      <c r="AD2579" s="24"/>
      <c r="AE2579" s="238" t="s">
        <v>8479</v>
      </c>
      <c r="AF2579">
        <v>79967471918</v>
      </c>
      <c r="AG2579" s="238" t="s">
        <v>8480</v>
      </c>
      <c r="AH2579" s="238" t="s">
        <v>1212</v>
      </c>
      <c r="AI2579" s="238" t="s">
        <v>135</v>
      </c>
      <c r="AJ2579" s="238" t="s">
        <v>8380</v>
      </c>
      <c r="AK2579" s="238" t="s">
        <v>3345</v>
      </c>
      <c r="AL2579" t="s">
        <v>8715</v>
      </c>
      <c r="AM2579" t="s">
        <v>1167</v>
      </c>
    </row>
    <row r="2580" spans="1:39" hidden="1" x14ac:dyDescent="0.25">
      <c r="A2580">
        <v>2577</v>
      </c>
      <c r="B2580">
        <v>9</v>
      </c>
      <c r="C2580" s="24">
        <v>45700</v>
      </c>
      <c r="D2580" s="238" t="s">
        <v>8060</v>
      </c>
      <c r="E2580" s="238" t="s">
        <v>43</v>
      </c>
      <c r="F2580">
        <v>6</v>
      </c>
      <c r="G2580">
        <v>6</v>
      </c>
      <c r="H2580">
        <v>138</v>
      </c>
      <c r="I2580" s="238" t="s">
        <v>43</v>
      </c>
      <c r="J2580">
        <v>60.94</v>
      </c>
      <c r="K2580" s="238" t="s">
        <v>36</v>
      </c>
      <c r="L2580">
        <v>6817548</v>
      </c>
      <c r="M2580">
        <v>0</v>
      </c>
      <c r="N2580">
        <v>6817548</v>
      </c>
      <c r="O2580">
        <v>111873.12110272399</v>
      </c>
      <c r="P2580">
        <v>0</v>
      </c>
      <c r="Q2580">
        <v>6817548</v>
      </c>
      <c r="R2580">
        <v>111873.12110272399</v>
      </c>
      <c r="S2580" s="238" t="s">
        <v>124</v>
      </c>
      <c r="T2580" s="238" t="s">
        <v>3538</v>
      </c>
      <c r="U2580">
        <v>210852</v>
      </c>
      <c r="V2580" t="s">
        <v>1167</v>
      </c>
      <c r="W2580" s="24">
        <v>45695</v>
      </c>
      <c r="X2580" s="238" t="s">
        <v>8481</v>
      </c>
      <c r="Y2580" s="238" t="s">
        <v>39</v>
      </c>
      <c r="Z2580" s="238" t="s">
        <v>1340</v>
      </c>
      <c r="AA2580" t="s">
        <v>3113</v>
      </c>
      <c r="AB2580" s="238" t="s">
        <v>3246</v>
      </c>
      <c r="AC2580" t="s">
        <v>1167</v>
      </c>
      <c r="AD2580" s="24"/>
      <c r="AE2580" s="238" t="s">
        <v>8482</v>
      </c>
      <c r="AF2580">
        <v>79879009078</v>
      </c>
      <c r="AG2580" s="238" t="s">
        <v>8483</v>
      </c>
      <c r="AH2580" s="238" t="s">
        <v>1212</v>
      </c>
      <c r="AI2580" s="238" t="s">
        <v>135</v>
      </c>
      <c r="AJ2580" s="238" t="s">
        <v>4177</v>
      </c>
      <c r="AK2580" s="238" t="s">
        <v>1167</v>
      </c>
      <c r="AL2580" t="s">
        <v>8715</v>
      </c>
      <c r="AM2580" t="s">
        <v>1167</v>
      </c>
    </row>
    <row r="2581" spans="1:39" x14ac:dyDescent="0.25">
      <c r="A2581">
        <v>2578</v>
      </c>
      <c r="B2581">
        <v>10</v>
      </c>
      <c r="C2581" s="24">
        <v>45701</v>
      </c>
      <c r="D2581" s="238" t="s">
        <v>3388</v>
      </c>
      <c r="E2581" s="238" t="s">
        <v>16</v>
      </c>
      <c r="F2581">
        <v>3</v>
      </c>
      <c r="G2581">
        <v>12</v>
      </c>
      <c r="H2581">
        <v>301</v>
      </c>
      <c r="I2581" s="238" t="s">
        <v>43</v>
      </c>
      <c r="J2581">
        <v>56.58</v>
      </c>
      <c r="K2581" s="238" t="s">
        <v>6871</v>
      </c>
      <c r="L2581">
        <v>7445366</v>
      </c>
      <c r="M2581">
        <v>15000</v>
      </c>
      <c r="N2581">
        <v>7460366</v>
      </c>
      <c r="O2581">
        <v>131855.17850830682</v>
      </c>
      <c r="P2581">
        <v>565800</v>
      </c>
      <c r="Q2581">
        <v>6894566</v>
      </c>
      <c r="R2581">
        <v>121855.17850830682</v>
      </c>
      <c r="S2581" s="238" t="s">
        <v>137</v>
      </c>
      <c r="T2581" s="238" t="s">
        <v>978</v>
      </c>
      <c r="U2581">
        <v>213234</v>
      </c>
      <c r="V2581" t="s">
        <v>4092</v>
      </c>
      <c r="W2581" s="24">
        <v>45689</v>
      </c>
      <c r="X2581" s="238" t="s">
        <v>8484</v>
      </c>
      <c r="Y2581" s="238" t="s">
        <v>39</v>
      </c>
      <c r="Z2581" s="238" t="s">
        <v>1340</v>
      </c>
      <c r="AA2581" t="s">
        <v>3113</v>
      </c>
      <c r="AB2581" s="238" t="s">
        <v>3246</v>
      </c>
      <c r="AC2581" t="s">
        <v>3079</v>
      </c>
      <c r="AD2581" s="24"/>
      <c r="AE2581" s="238" t="s">
        <v>8485</v>
      </c>
      <c r="AF2581">
        <v>79967409846</v>
      </c>
      <c r="AG2581" s="238" t="s">
        <v>8486</v>
      </c>
      <c r="AH2581" s="238" t="s">
        <v>135</v>
      </c>
      <c r="AI2581" s="238" t="s">
        <v>3075</v>
      </c>
      <c r="AJ2581" s="238" t="s">
        <v>4177</v>
      </c>
      <c r="AK2581" s="238" t="s">
        <v>3345</v>
      </c>
      <c r="AL2581" t="s">
        <v>8715</v>
      </c>
      <c r="AM2581" t="s">
        <v>1167</v>
      </c>
    </row>
    <row r="2582" spans="1:39" hidden="1" x14ac:dyDescent="0.25">
      <c r="A2582">
        <v>2579</v>
      </c>
      <c r="B2582">
        <v>11</v>
      </c>
      <c r="C2582" s="24">
        <v>45701</v>
      </c>
      <c r="D2582" s="238" t="s">
        <v>8060</v>
      </c>
      <c r="E2582" s="238" t="s">
        <v>44</v>
      </c>
      <c r="F2582">
        <v>2</v>
      </c>
      <c r="G2582">
        <v>12</v>
      </c>
      <c r="H2582">
        <v>242</v>
      </c>
      <c r="I2582" s="238" t="s">
        <v>42</v>
      </c>
      <c r="J2582">
        <v>36.549999999999997</v>
      </c>
      <c r="K2582" s="238" t="s">
        <v>36</v>
      </c>
      <c r="L2582">
        <v>4749500</v>
      </c>
      <c r="M2582">
        <v>0</v>
      </c>
      <c r="N2582">
        <v>4749500</v>
      </c>
      <c r="O2582">
        <v>129945.2804377565</v>
      </c>
      <c r="P2582">
        <v>0</v>
      </c>
      <c r="Q2582">
        <v>4749500</v>
      </c>
      <c r="R2582">
        <v>129945.2804377565</v>
      </c>
      <c r="S2582" s="238" t="s">
        <v>124</v>
      </c>
      <c r="T2582" s="238" t="s">
        <v>1167</v>
      </c>
      <c r="V2582" t="s">
        <v>1167</v>
      </c>
      <c r="W2582" s="24">
        <v>45699</v>
      </c>
      <c r="X2582" s="238" t="s">
        <v>8487</v>
      </c>
      <c r="Y2582" s="238" t="s">
        <v>39</v>
      </c>
      <c r="Z2582" s="238" t="s">
        <v>1340</v>
      </c>
      <c r="AA2582" t="s">
        <v>3113</v>
      </c>
      <c r="AB2582" s="238" t="s">
        <v>3246</v>
      </c>
      <c r="AC2582" t="s">
        <v>1167</v>
      </c>
      <c r="AD2582" s="24"/>
      <c r="AE2582" s="238" t="s">
        <v>8488</v>
      </c>
      <c r="AF2582">
        <v>79277403430</v>
      </c>
      <c r="AG2582" s="238" t="s">
        <v>8489</v>
      </c>
      <c r="AH2582" s="238" t="s">
        <v>135</v>
      </c>
      <c r="AI2582" s="238" t="s">
        <v>3103</v>
      </c>
      <c r="AJ2582" s="238" t="s">
        <v>5215</v>
      </c>
      <c r="AK2582" s="238" t="s">
        <v>1167</v>
      </c>
      <c r="AL2582" t="s">
        <v>8715</v>
      </c>
      <c r="AM2582" t="s">
        <v>1167</v>
      </c>
    </row>
    <row r="2583" spans="1:39" x14ac:dyDescent="0.25">
      <c r="A2583">
        <v>2580</v>
      </c>
      <c r="B2583">
        <v>12</v>
      </c>
      <c r="C2583" s="24">
        <v>45705</v>
      </c>
      <c r="D2583" s="238" t="s">
        <v>3388</v>
      </c>
      <c r="E2583" s="238" t="s">
        <v>16</v>
      </c>
      <c r="F2583">
        <v>3</v>
      </c>
      <c r="G2583">
        <v>18</v>
      </c>
      <c r="H2583">
        <v>343</v>
      </c>
      <c r="I2583" s="238" t="s">
        <v>43</v>
      </c>
      <c r="J2583">
        <v>56.58</v>
      </c>
      <c r="K2583" s="238" t="s">
        <v>6871</v>
      </c>
      <c r="L2583">
        <v>7531444</v>
      </c>
      <c r="M2583">
        <v>0</v>
      </c>
      <c r="N2583">
        <v>7531444</v>
      </c>
      <c r="O2583">
        <v>133111.41746200071</v>
      </c>
      <c r="P2583">
        <v>565800</v>
      </c>
      <c r="Q2583">
        <v>6965644</v>
      </c>
      <c r="R2583">
        <v>123111.41746200071</v>
      </c>
      <c r="S2583" s="238" t="s">
        <v>137</v>
      </c>
      <c r="T2583" s="238" t="s">
        <v>321</v>
      </c>
      <c r="U2583">
        <v>142156</v>
      </c>
      <c r="V2583" t="s">
        <v>4092</v>
      </c>
      <c r="W2583" s="24">
        <v>45694</v>
      </c>
      <c r="X2583" s="238" t="s">
        <v>8490</v>
      </c>
      <c r="Y2583" s="238" t="s">
        <v>39</v>
      </c>
      <c r="Z2583" s="238" t="s">
        <v>1340</v>
      </c>
      <c r="AA2583" t="s">
        <v>3113</v>
      </c>
      <c r="AB2583" s="238" t="s">
        <v>3246</v>
      </c>
      <c r="AC2583" t="s">
        <v>3079</v>
      </c>
      <c r="AD2583" s="24"/>
      <c r="AE2583" s="238" t="s">
        <v>8491</v>
      </c>
      <c r="AF2583">
        <v>79522606120</v>
      </c>
      <c r="AG2583" s="238" t="s">
        <v>8492</v>
      </c>
      <c r="AH2583" s="238" t="s">
        <v>4072</v>
      </c>
      <c r="AI2583" s="238" t="s">
        <v>7040</v>
      </c>
      <c r="AJ2583" s="238" t="s">
        <v>8380</v>
      </c>
      <c r="AK2583" s="238" t="s">
        <v>8441</v>
      </c>
      <c r="AL2583" t="s">
        <v>57</v>
      </c>
      <c r="AM2583" t="s">
        <v>1167</v>
      </c>
    </row>
    <row r="2584" spans="1:39" hidden="1" x14ac:dyDescent="0.25">
      <c r="A2584">
        <v>2581</v>
      </c>
      <c r="B2584">
        <v>13</v>
      </c>
      <c r="C2584" s="24">
        <v>45705</v>
      </c>
      <c r="D2584" s="238" t="s">
        <v>8060</v>
      </c>
      <c r="E2584" s="238" t="s">
        <v>44</v>
      </c>
      <c r="F2584">
        <v>1</v>
      </c>
      <c r="G2584">
        <v>11</v>
      </c>
      <c r="H2584">
        <v>235</v>
      </c>
      <c r="I2584" s="238" t="s">
        <v>42</v>
      </c>
      <c r="J2584">
        <v>44.16</v>
      </c>
      <c r="K2584" s="238" t="s">
        <v>36</v>
      </c>
      <c r="L2584">
        <v>5465656</v>
      </c>
      <c r="M2584">
        <v>0</v>
      </c>
      <c r="N2584">
        <v>5465656</v>
      </c>
      <c r="O2584">
        <v>123769.38405797102</v>
      </c>
      <c r="P2584">
        <v>0</v>
      </c>
      <c r="Q2584">
        <v>5465656</v>
      </c>
      <c r="R2584">
        <v>123769.38405797102</v>
      </c>
      <c r="S2584" s="238" t="s">
        <v>124</v>
      </c>
      <c r="T2584" s="238" t="s">
        <v>321</v>
      </c>
      <c r="U2584">
        <v>111544</v>
      </c>
      <c r="V2584" t="s">
        <v>1167</v>
      </c>
      <c r="W2584" s="24">
        <v>45695</v>
      </c>
      <c r="X2584" s="238" t="s">
        <v>8493</v>
      </c>
      <c r="Y2584" s="238" t="s">
        <v>39</v>
      </c>
      <c r="Z2584" s="238" t="s">
        <v>1340</v>
      </c>
      <c r="AA2584" t="s">
        <v>3113</v>
      </c>
      <c r="AB2584" s="238" t="s">
        <v>3246</v>
      </c>
      <c r="AC2584" t="s">
        <v>1167</v>
      </c>
      <c r="AD2584" s="24"/>
      <c r="AE2584" s="238" t="s">
        <v>8463</v>
      </c>
      <c r="AF2584">
        <v>79171447745</v>
      </c>
      <c r="AG2584" s="238" t="s">
        <v>8464</v>
      </c>
      <c r="AH2584" s="238" t="s">
        <v>1197</v>
      </c>
      <c r="AI2584" s="238" t="s">
        <v>7930</v>
      </c>
      <c r="AJ2584" s="238" t="s">
        <v>4177</v>
      </c>
      <c r="AK2584" s="238" t="s">
        <v>1167</v>
      </c>
      <c r="AL2584" t="s">
        <v>57</v>
      </c>
      <c r="AM2584" t="s">
        <v>1167</v>
      </c>
    </row>
    <row r="2585" spans="1:39" hidden="1" x14ac:dyDescent="0.25">
      <c r="A2585">
        <v>2582</v>
      </c>
      <c r="B2585">
        <v>14</v>
      </c>
      <c r="C2585" s="24">
        <v>45705</v>
      </c>
      <c r="D2585" s="238" t="s">
        <v>8060</v>
      </c>
      <c r="E2585" s="238" t="s">
        <v>44</v>
      </c>
      <c r="F2585">
        <v>2</v>
      </c>
      <c r="G2585">
        <v>6</v>
      </c>
      <c r="H2585">
        <v>206</v>
      </c>
      <c r="I2585" s="238" t="s">
        <v>42</v>
      </c>
      <c r="J2585">
        <v>36.64</v>
      </c>
      <c r="K2585" s="238" t="s">
        <v>36</v>
      </c>
      <c r="L2585">
        <v>4665976</v>
      </c>
      <c r="M2585">
        <v>0</v>
      </c>
      <c r="N2585">
        <v>4665976</v>
      </c>
      <c r="O2585">
        <v>127346.50655021834</v>
      </c>
      <c r="P2585">
        <v>0</v>
      </c>
      <c r="Q2585">
        <v>4665976</v>
      </c>
      <c r="R2585">
        <v>127346.50655021834</v>
      </c>
      <c r="S2585" s="238" t="s">
        <v>124</v>
      </c>
      <c r="T2585" s="238" t="s">
        <v>3540</v>
      </c>
      <c r="U2585">
        <v>95224</v>
      </c>
      <c r="V2585" t="s">
        <v>1167</v>
      </c>
      <c r="W2585" s="24">
        <v>45695</v>
      </c>
      <c r="X2585" s="238" t="s">
        <v>8494</v>
      </c>
      <c r="Y2585" s="238" t="s">
        <v>39</v>
      </c>
      <c r="Z2585" s="238" t="s">
        <v>1340</v>
      </c>
      <c r="AA2585" t="s">
        <v>3113</v>
      </c>
      <c r="AB2585" s="238" t="s">
        <v>3246</v>
      </c>
      <c r="AC2585" t="s">
        <v>1167</v>
      </c>
      <c r="AD2585" s="24"/>
      <c r="AE2585" s="238" t="s">
        <v>8495</v>
      </c>
      <c r="AF2585">
        <v>79277787464</v>
      </c>
      <c r="AG2585" s="238" t="s">
        <v>8496</v>
      </c>
      <c r="AH2585" s="238" t="s">
        <v>1212</v>
      </c>
      <c r="AI2585" s="238" t="s">
        <v>3514</v>
      </c>
      <c r="AJ2585" s="238" t="s">
        <v>5215</v>
      </c>
      <c r="AK2585" s="238" t="s">
        <v>1167</v>
      </c>
      <c r="AL2585" t="s">
        <v>8715</v>
      </c>
      <c r="AM2585" t="s">
        <v>1167</v>
      </c>
    </row>
    <row r="2586" spans="1:39" hidden="1" x14ac:dyDescent="0.25">
      <c r="A2586">
        <v>2583</v>
      </c>
      <c r="B2586">
        <v>15</v>
      </c>
      <c r="C2586" s="24">
        <v>45706</v>
      </c>
      <c r="D2586" s="238" t="s">
        <v>8060</v>
      </c>
      <c r="E2586" s="238" t="s">
        <v>42</v>
      </c>
      <c r="F2586">
        <v>5</v>
      </c>
      <c r="G2586">
        <v>10</v>
      </c>
      <c r="H2586">
        <v>53</v>
      </c>
      <c r="I2586" s="238" t="s">
        <v>42</v>
      </c>
      <c r="J2586">
        <v>36.92</v>
      </c>
      <c r="K2586" s="238" t="s">
        <v>36</v>
      </c>
      <c r="L2586">
        <v>4701648</v>
      </c>
      <c r="M2586">
        <v>0</v>
      </c>
      <c r="N2586">
        <v>4701648</v>
      </c>
      <c r="O2586">
        <v>127346.91224268689</v>
      </c>
      <c r="P2586">
        <v>0</v>
      </c>
      <c r="Q2586">
        <v>4701648</v>
      </c>
      <c r="R2586">
        <v>127346.91224268689</v>
      </c>
      <c r="S2586" s="238" t="s">
        <v>124</v>
      </c>
      <c r="T2586" s="238" t="s">
        <v>3540</v>
      </c>
      <c r="U2586">
        <v>95952</v>
      </c>
      <c r="V2586" t="s">
        <v>1167</v>
      </c>
      <c r="W2586" s="24">
        <v>45694</v>
      </c>
      <c r="X2586" s="238" t="s">
        <v>8498</v>
      </c>
      <c r="Y2586" s="238" t="s">
        <v>39</v>
      </c>
      <c r="Z2586" s="238" t="s">
        <v>1340</v>
      </c>
      <c r="AA2586" t="s">
        <v>3113</v>
      </c>
      <c r="AB2586" s="238" t="s">
        <v>3246</v>
      </c>
      <c r="AC2586" t="s">
        <v>1167</v>
      </c>
      <c r="AD2586" s="24"/>
      <c r="AE2586" s="238" t="s">
        <v>8499</v>
      </c>
      <c r="AF2586">
        <v>79277355304</v>
      </c>
      <c r="AG2586" s="238" t="s">
        <v>8500</v>
      </c>
      <c r="AH2586" s="238" t="s">
        <v>1212</v>
      </c>
      <c r="AI2586" s="238" t="s">
        <v>3097</v>
      </c>
      <c r="AJ2586" s="238" t="s">
        <v>8380</v>
      </c>
      <c r="AK2586" s="238" t="s">
        <v>1167</v>
      </c>
      <c r="AL2586" t="s">
        <v>8715</v>
      </c>
      <c r="AM2586" t="s">
        <v>1167</v>
      </c>
    </row>
    <row r="2587" spans="1:39" x14ac:dyDescent="0.25">
      <c r="A2587">
        <v>2584</v>
      </c>
      <c r="B2587">
        <v>16</v>
      </c>
      <c r="C2587" s="24">
        <v>45706</v>
      </c>
      <c r="D2587" s="238" t="s">
        <v>3388</v>
      </c>
      <c r="E2587" s="238" t="s">
        <v>15</v>
      </c>
      <c r="F2587">
        <v>1</v>
      </c>
      <c r="G2587">
        <v>7</v>
      </c>
      <c r="H2587">
        <v>437</v>
      </c>
      <c r="I2587" s="238" t="s">
        <v>4052</v>
      </c>
      <c r="J2587">
        <v>29.4</v>
      </c>
      <c r="K2587" s="238" t="s">
        <v>38</v>
      </c>
      <c r="L2587">
        <v>4729872</v>
      </c>
      <c r="M2587">
        <v>0</v>
      </c>
      <c r="N2587">
        <v>4729872</v>
      </c>
      <c r="O2587">
        <v>160880</v>
      </c>
      <c r="P2587">
        <v>735000</v>
      </c>
      <c r="Q2587">
        <v>3994872</v>
      </c>
      <c r="R2587">
        <v>135880</v>
      </c>
      <c r="S2587" s="238" t="s">
        <v>137</v>
      </c>
      <c r="T2587" s="238" t="s">
        <v>3540</v>
      </c>
      <c r="U2587">
        <v>81528</v>
      </c>
      <c r="V2587" t="s">
        <v>4092</v>
      </c>
      <c r="W2587" s="24">
        <v>45695</v>
      </c>
      <c r="X2587" s="238" t="s">
        <v>8501</v>
      </c>
      <c r="Y2587" s="238" t="s">
        <v>39</v>
      </c>
      <c r="Z2587" s="238" t="s">
        <v>1340</v>
      </c>
      <c r="AA2587" t="s">
        <v>3474</v>
      </c>
      <c r="AB2587" s="238" t="s">
        <v>3246</v>
      </c>
      <c r="AC2587" t="s">
        <v>3079</v>
      </c>
      <c r="AD2587" s="24"/>
      <c r="AE2587" s="238" t="s">
        <v>8502</v>
      </c>
      <c r="AF2587">
        <v>79228049666</v>
      </c>
      <c r="AG2587" s="238" t="s">
        <v>8503</v>
      </c>
      <c r="AH2587" s="238" t="s">
        <v>1212</v>
      </c>
      <c r="AI2587" s="238" t="s">
        <v>3514</v>
      </c>
      <c r="AJ2587" s="238" t="s">
        <v>4177</v>
      </c>
      <c r="AK2587" s="238" t="s">
        <v>3345</v>
      </c>
      <c r="AL2587" t="s">
        <v>8715</v>
      </c>
      <c r="AM2587" t="s">
        <v>1167</v>
      </c>
    </row>
    <row r="2588" spans="1:39" hidden="1" x14ac:dyDescent="0.25">
      <c r="A2588">
        <v>2585</v>
      </c>
      <c r="B2588">
        <v>17</v>
      </c>
      <c r="C2588" s="24">
        <v>45706</v>
      </c>
      <c r="D2588" s="238" t="s">
        <v>8060</v>
      </c>
      <c r="E2588" s="238" t="s">
        <v>44</v>
      </c>
      <c r="F2588">
        <v>3</v>
      </c>
      <c r="G2588">
        <v>15</v>
      </c>
      <c r="H2588">
        <v>261</v>
      </c>
      <c r="I2588" s="238" t="s">
        <v>43</v>
      </c>
      <c r="J2588">
        <v>54.08</v>
      </c>
      <c r="K2588" s="238" t="s">
        <v>36</v>
      </c>
      <c r="L2588">
        <v>6469512</v>
      </c>
      <c r="M2588">
        <v>0</v>
      </c>
      <c r="N2588">
        <v>6469512</v>
      </c>
      <c r="O2588">
        <v>119628.55029585799</v>
      </c>
      <c r="P2588">
        <v>0</v>
      </c>
      <c r="Q2588">
        <v>6469512</v>
      </c>
      <c r="R2588">
        <v>119628.55029585799</v>
      </c>
      <c r="S2588" s="238" t="s">
        <v>124</v>
      </c>
      <c r="T2588" s="238" t="s">
        <v>978</v>
      </c>
      <c r="U2588">
        <v>200088</v>
      </c>
      <c r="V2588" t="s">
        <v>1167</v>
      </c>
      <c r="W2588" s="24">
        <v>45700</v>
      </c>
      <c r="X2588" s="238" t="s">
        <v>8504</v>
      </c>
      <c r="Y2588" s="238" t="s">
        <v>39</v>
      </c>
      <c r="Z2588" s="238" t="s">
        <v>1340</v>
      </c>
      <c r="AA2588" t="s">
        <v>3113</v>
      </c>
      <c r="AB2588" s="238" t="s">
        <v>3246</v>
      </c>
      <c r="AC2588" t="s">
        <v>1167</v>
      </c>
      <c r="AD2588" s="24"/>
      <c r="AE2588" s="238" t="s">
        <v>8505</v>
      </c>
      <c r="AF2588">
        <v>79029705382</v>
      </c>
      <c r="AG2588" s="238" t="s">
        <v>8506</v>
      </c>
      <c r="AH2588" s="238" t="s">
        <v>1212</v>
      </c>
      <c r="AI2588" s="238" t="s">
        <v>3103</v>
      </c>
      <c r="AJ2588" s="238" t="s">
        <v>126</v>
      </c>
      <c r="AK2588" s="238" t="s">
        <v>1167</v>
      </c>
      <c r="AL2588" t="s">
        <v>8715</v>
      </c>
      <c r="AM2588" t="s">
        <v>1167</v>
      </c>
    </row>
    <row r="2589" spans="1:39" hidden="1" x14ac:dyDescent="0.25">
      <c r="A2589">
        <v>2586</v>
      </c>
      <c r="B2589">
        <v>18</v>
      </c>
      <c r="C2589" s="24">
        <v>45708</v>
      </c>
      <c r="D2589" s="238" t="s">
        <v>8060</v>
      </c>
      <c r="E2589" s="238" t="s">
        <v>42</v>
      </c>
      <c r="F2589">
        <v>1</v>
      </c>
      <c r="G2589">
        <v>15</v>
      </c>
      <c r="H2589">
        <v>79</v>
      </c>
      <c r="I2589" s="238" t="s">
        <v>4052</v>
      </c>
      <c r="J2589">
        <v>29.4</v>
      </c>
      <c r="K2589" s="238" t="s">
        <v>36</v>
      </c>
      <c r="L2589">
        <v>4060532</v>
      </c>
      <c r="M2589">
        <v>0</v>
      </c>
      <c r="N2589">
        <v>4060532</v>
      </c>
      <c r="O2589">
        <v>138113.33333333334</v>
      </c>
      <c r="P2589">
        <v>0</v>
      </c>
      <c r="Q2589">
        <v>4060532</v>
      </c>
      <c r="R2589">
        <v>138113.33333333334</v>
      </c>
      <c r="S2589" s="238" t="s">
        <v>124</v>
      </c>
      <c r="T2589" s="238" t="s">
        <v>321</v>
      </c>
      <c r="U2589">
        <v>82868</v>
      </c>
      <c r="V2589" t="s">
        <v>1167</v>
      </c>
      <c r="W2589" s="24">
        <v>45706</v>
      </c>
      <c r="X2589" s="238" t="s">
        <v>8509</v>
      </c>
      <c r="Y2589" s="238" t="s">
        <v>39</v>
      </c>
      <c r="Z2589" s="238" t="s">
        <v>1340</v>
      </c>
      <c r="AA2589" t="s">
        <v>3113</v>
      </c>
      <c r="AB2589" s="238" t="s">
        <v>3246</v>
      </c>
      <c r="AC2589" t="s">
        <v>1167</v>
      </c>
      <c r="AD2589" s="24"/>
      <c r="AE2589" s="238" t="s">
        <v>8510</v>
      </c>
      <c r="AF2589">
        <v>79379815552</v>
      </c>
      <c r="AG2589" s="238" t="s">
        <v>8511</v>
      </c>
      <c r="AH2589" s="238" t="s">
        <v>4072</v>
      </c>
      <c r="AI2589" s="238" t="s">
        <v>7286</v>
      </c>
      <c r="AJ2589" s="238" t="s">
        <v>8512</v>
      </c>
      <c r="AK2589" s="238" t="s">
        <v>1167</v>
      </c>
      <c r="AL2589" t="s">
        <v>57</v>
      </c>
      <c r="AM2589" t="s">
        <v>1167</v>
      </c>
    </row>
    <row r="2590" spans="1:39" hidden="1" x14ac:dyDescent="0.25">
      <c r="A2590">
        <v>2587</v>
      </c>
      <c r="B2590">
        <v>19</v>
      </c>
      <c r="C2590" s="24">
        <v>45708</v>
      </c>
      <c r="D2590" s="238" t="s">
        <v>7562</v>
      </c>
      <c r="E2590" s="238" t="s">
        <v>42</v>
      </c>
      <c r="F2590">
        <v>2</v>
      </c>
      <c r="G2590">
        <v>11</v>
      </c>
      <c r="H2590">
        <v>38</v>
      </c>
      <c r="I2590" s="238" t="s">
        <v>42</v>
      </c>
      <c r="J2590">
        <v>35.53</v>
      </c>
      <c r="K2590" s="238" t="s">
        <v>8787</v>
      </c>
      <c r="L2590">
        <v>5153478</v>
      </c>
      <c r="M2590">
        <v>0</v>
      </c>
      <c r="N2590">
        <v>5153478</v>
      </c>
      <c r="O2590">
        <v>145045.82043343651</v>
      </c>
      <c r="P2590">
        <v>355300</v>
      </c>
      <c r="Q2590">
        <v>4798178</v>
      </c>
      <c r="R2590">
        <v>135045.82043343651</v>
      </c>
      <c r="S2590" s="238" t="s">
        <v>124</v>
      </c>
      <c r="T2590" s="238" t="s">
        <v>3540</v>
      </c>
      <c r="U2590">
        <v>97922</v>
      </c>
      <c r="V2590" t="s">
        <v>1167</v>
      </c>
      <c r="W2590" s="24">
        <v>45707</v>
      </c>
      <c r="X2590" s="238" t="s">
        <v>8513</v>
      </c>
      <c r="Y2590" s="238" t="s">
        <v>39</v>
      </c>
      <c r="Z2590" s="238" t="s">
        <v>1340</v>
      </c>
      <c r="AA2590" t="s">
        <v>3113</v>
      </c>
      <c r="AB2590" s="238" t="s">
        <v>3246</v>
      </c>
      <c r="AC2590" t="s">
        <v>1167</v>
      </c>
      <c r="AD2590" s="24"/>
      <c r="AE2590" s="238" t="s">
        <v>8514</v>
      </c>
      <c r="AF2590">
        <v>79372147794</v>
      </c>
      <c r="AG2590" s="238" t="s">
        <v>8515</v>
      </c>
      <c r="AH2590" s="238" t="s">
        <v>135</v>
      </c>
      <c r="AI2590" s="238" t="s">
        <v>135</v>
      </c>
      <c r="AJ2590" s="238" t="s">
        <v>126</v>
      </c>
      <c r="AK2590" s="238" t="s">
        <v>1167</v>
      </c>
      <c r="AL2590" t="s">
        <v>8715</v>
      </c>
      <c r="AM2590" t="s">
        <v>1167</v>
      </c>
    </row>
    <row r="2591" spans="1:39" x14ac:dyDescent="0.25">
      <c r="A2591">
        <v>2588</v>
      </c>
      <c r="B2591">
        <v>20</v>
      </c>
      <c r="C2591" s="24">
        <v>45712</v>
      </c>
      <c r="D2591" s="238" t="s">
        <v>3388</v>
      </c>
      <c r="E2591" s="238" t="s">
        <v>6</v>
      </c>
      <c r="F2591">
        <v>1</v>
      </c>
      <c r="G2591">
        <v>6</v>
      </c>
      <c r="H2591">
        <v>35</v>
      </c>
      <c r="I2591" s="238" t="s">
        <v>42</v>
      </c>
      <c r="J2591">
        <v>34.39</v>
      </c>
      <c r="K2591" s="238" t="s">
        <v>38</v>
      </c>
      <c r="L2591">
        <v>5849910</v>
      </c>
      <c r="M2591">
        <v>0</v>
      </c>
      <c r="N2591">
        <v>5849910</v>
      </c>
      <c r="O2591">
        <v>170104.97237569062</v>
      </c>
      <c r="P2591">
        <v>859750</v>
      </c>
      <c r="Q2591">
        <v>4990160</v>
      </c>
      <c r="R2591">
        <v>145104.97237569062</v>
      </c>
      <c r="S2591" s="238" t="s">
        <v>137</v>
      </c>
      <c r="T2591" s="238" t="s">
        <v>3540</v>
      </c>
      <c r="U2591">
        <v>101840</v>
      </c>
      <c r="V2591" t="s">
        <v>4092</v>
      </c>
      <c r="W2591" s="24">
        <v>45692</v>
      </c>
      <c r="X2591" s="238" t="s">
        <v>7610</v>
      </c>
      <c r="Y2591" s="238" t="s">
        <v>39</v>
      </c>
      <c r="Z2591" s="238" t="s">
        <v>1340</v>
      </c>
      <c r="AA2591" t="s">
        <v>3113</v>
      </c>
      <c r="AB2591" s="238" t="s">
        <v>3246</v>
      </c>
      <c r="AC2591" t="s">
        <v>3079</v>
      </c>
      <c r="AD2591" s="24"/>
      <c r="AE2591" s="238" t="s">
        <v>8519</v>
      </c>
      <c r="AF2591">
        <v>79372088200</v>
      </c>
      <c r="AG2591" s="238" t="s">
        <v>8520</v>
      </c>
      <c r="AH2591" s="238" t="s">
        <v>4072</v>
      </c>
      <c r="AI2591" s="238" t="s">
        <v>6823</v>
      </c>
      <c r="AJ2591" s="238" t="s">
        <v>5215</v>
      </c>
      <c r="AK2591" s="238" t="s">
        <v>8441</v>
      </c>
      <c r="AL2591" t="s">
        <v>57</v>
      </c>
      <c r="AM2591" t="s">
        <v>1167</v>
      </c>
    </row>
    <row r="2592" spans="1:39" hidden="1" x14ac:dyDescent="0.25">
      <c r="A2592">
        <v>2589</v>
      </c>
      <c r="B2592">
        <v>21</v>
      </c>
      <c r="C2592" s="24">
        <v>45712</v>
      </c>
      <c r="D2592" s="238" t="s">
        <v>8060</v>
      </c>
      <c r="E2592" s="238" t="s">
        <v>43</v>
      </c>
      <c r="F2592">
        <v>1</v>
      </c>
      <c r="G2592">
        <v>10</v>
      </c>
      <c r="H2592">
        <v>157</v>
      </c>
      <c r="I2592" s="238" t="s">
        <v>43</v>
      </c>
      <c r="J2592">
        <v>65.650000000000006</v>
      </c>
      <c r="K2592" s="238" t="s">
        <v>36</v>
      </c>
      <c r="L2592">
        <v>7549413</v>
      </c>
      <c r="M2592">
        <v>0</v>
      </c>
      <c r="N2592">
        <v>7549413</v>
      </c>
      <c r="O2592">
        <v>114994.86671744096</v>
      </c>
      <c r="P2592">
        <v>0</v>
      </c>
      <c r="Q2592">
        <v>7549413</v>
      </c>
      <c r="R2592">
        <v>114994.86671744096</v>
      </c>
      <c r="S2592" s="238" t="s">
        <v>124</v>
      </c>
      <c r="T2592" s="238" t="s">
        <v>3538</v>
      </c>
      <c r="U2592">
        <v>233487.00000000093</v>
      </c>
      <c r="V2592" t="s">
        <v>1167</v>
      </c>
      <c r="W2592" s="24">
        <v>45708</v>
      </c>
      <c r="X2592" s="238" t="s">
        <v>8521</v>
      </c>
      <c r="Y2592" s="238" t="s">
        <v>39</v>
      </c>
      <c r="Z2592" s="238" t="s">
        <v>1340</v>
      </c>
      <c r="AA2592" t="s">
        <v>3113</v>
      </c>
      <c r="AB2592" s="238" t="s">
        <v>3246</v>
      </c>
      <c r="AC2592" t="s">
        <v>1167</v>
      </c>
      <c r="AD2592" s="24"/>
      <c r="AE2592" s="238" t="s">
        <v>8522</v>
      </c>
      <c r="AF2592">
        <v>79879854722</v>
      </c>
      <c r="AG2592" s="238" t="s">
        <v>8523</v>
      </c>
      <c r="AH2592" s="238" t="s">
        <v>4072</v>
      </c>
      <c r="AI2592" s="238" t="s">
        <v>7286</v>
      </c>
      <c r="AJ2592" s="238" t="s">
        <v>126</v>
      </c>
      <c r="AK2592" s="238" t="s">
        <v>1167</v>
      </c>
      <c r="AL2592" t="s">
        <v>57</v>
      </c>
      <c r="AM2592" t="s">
        <v>1167</v>
      </c>
    </row>
    <row r="2593" spans="1:39" hidden="1" x14ac:dyDescent="0.25">
      <c r="A2593">
        <v>2590</v>
      </c>
      <c r="B2593">
        <v>22</v>
      </c>
      <c r="C2593" s="24">
        <v>45712</v>
      </c>
      <c r="D2593" s="238" t="s">
        <v>8060</v>
      </c>
      <c r="E2593" s="238" t="s">
        <v>43</v>
      </c>
      <c r="F2593">
        <v>2</v>
      </c>
      <c r="G2593">
        <v>10</v>
      </c>
      <c r="H2593">
        <v>158</v>
      </c>
      <c r="I2593" s="238" t="s">
        <v>42</v>
      </c>
      <c r="J2593">
        <v>36.56</v>
      </c>
      <c r="K2593" s="238" t="s">
        <v>36</v>
      </c>
      <c r="L2593">
        <v>4391772</v>
      </c>
      <c r="M2593">
        <v>0</v>
      </c>
      <c r="N2593">
        <v>4391772</v>
      </c>
      <c r="O2593">
        <v>120125.05470459518</v>
      </c>
      <c r="P2593">
        <v>0</v>
      </c>
      <c r="Q2593">
        <v>4391772</v>
      </c>
      <c r="R2593">
        <v>120125.05470459518</v>
      </c>
      <c r="S2593" s="238" t="s">
        <v>124</v>
      </c>
      <c r="T2593" s="238" t="s">
        <v>3538</v>
      </c>
      <c r="U2593">
        <v>135828</v>
      </c>
      <c r="V2593" t="s">
        <v>1167</v>
      </c>
      <c r="W2593" s="24">
        <v>45708</v>
      </c>
      <c r="X2593" s="238" t="s">
        <v>8524</v>
      </c>
      <c r="Y2593" s="238" t="s">
        <v>39</v>
      </c>
      <c r="Z2593" s="238" t="s">
        <v>1340</v>
      </c>
      <c r="AA2593" t="s">
        <v>3113</v>
      </c>
      <c r="AB2593" s="238" t="s">
        <v>3246</v>
      </c>
      <c r="AC2593" t="s">
        <v>1167</v>
      </c>
      <c r="AD2593" s="24"/>
      <c r="AE2593" s="238" t="s">
        <v>8522</v>
      </c>
      <c r="AF2593">
        <v>79879854722</v>
      </c>
      <c r="AG2593" s="238" t="s">
        <v>8523</v>
      </c>
      <c r="AH2593" s="238" t="s">
        <v>1197</v>
      </c>
      <c r="AI2593" s="238" t="s">
        <v>7286</v>
      </c>
      <c r="AJ2593" s="238" t="s">
        <v>126</v>
      </c>
      <c r="AK2593" s="238" t="s">
        <v>1167</v>
      </c>
      <c r="AL2593" t="s">
        <v>57</v>
      </c>
      <c r="AM2593" t="s">
        <v>1167</v>
      </c>
    </row>
    <row r="2594" spans="1:39" hidden="1" x14ac:dyDescent="0.25">
      <c r="A2594">
        <v>2591</v>
      </c>
      <c r="B2594">
        <v>23</v>
      </c>
      <c r="C2594" s="24">
        <v>45712</v>
      </c>
      <c r="D2594" s="238" t="s">
        <v>7562</v>
      </c>
      <c r="E2594" s="238" t="s">
        <v>43</v>
      </c>
      <c r="F2594">
        <v>5</v>
      </c>
      <c r="G2594">
        <v>3</v>
      </c>
      <c r="H2594">
        <v>66</v>
      </c>
      <c r="I2594" s="238" t="s">
        <v>43</v>
      </c>
      <c r="J2594">
        <v>49.2</v>
      </c>
      <c r="K2594" s="238" t="s">
        <v>36</v>
      </c>
      <c r="L2594">
        <v>6204120</v>
      </c>
      <c r="M2594">
        <v>0</v>
      </c>
      <c r="N2594">
        <v>6204120</v>
      </c>
      <c r="O2594">
        <v>126099.99999999999</v>
      </c>
      <c r="P2594">
        <v>0</v>
      </c>
      <c r="Q2594">
        <v>6204120</v>
      </c>
      <c r="R2594">
        <v>126099.99999999999</v>
      </c>
      <c r="S2594" s="238" t="s">
        <v>124</v>
      </c>
      <c r="T2594" s="238" t="s">
        <v>3538</v>
      </c>
      <c r="U2594">
        <v>191880</v>
      </c>
      <c r="V2594" t="s">
        <v>1167</v>
      </c>
      <c r="W2594" s="24">
        <v>45709</v>
      </c>
      <c r="X2594" s="238" t="s">
        <v>8525</v>
      </c>
      <c r="Y2594" s="238" t="s">
        <v>1172</v>
      </c>
      <c r="Z2594" s="238" t="s">
        <v>1340</v>
      </c>
      <c r="AA2594" t="s">
        <v>3113</v>
      </c>
      <c r="AB2594" s="238" t="s">
        <v>3246</v>
      </c>
      <c r="AC2594" t="s">
        <v>1167</v>
      </c>
      <c r="AD2594" s="24">
        <v>45765</v>
      </c>
      <c r="AE2594" s="238" t="s">
        <v>8526</v>
      </c>
      <c r="AF2594">
        <v>79677250230</v>
      </c>
      <c r="AG2594" s="238" t="s">
        <v>8527</v>
      </c>
      <c r="AH2594" s="238" t="s">
        <v>4072</v>
      </c>
      <c r="AI2594" s="238" t="s">
        <v>7930</v>
      </c>
      <c r="AJ2594" s="238" t="s">
        <v>126</v>
      </c>
      <c r="AK2594" s="238" t="s">
        <v>1167</v>
      </c>
      <c r="AL2594" t="s">
        <v>57</v>
      </c>
      <c r="AM2594" t="s">
        <v>1167</v>
      </c>
    </row>
    <row r="2595" spans="1:39" hidden="1" x14ac:dyDescent="0.25">
      <c r="A2595">
        <v>2592</v>
      </c>
      <c r="B2595">
        <v>24</v>
      </c>
      <c r="C2595" s="24">
        <v>45713</v>
      </c>
      <c r="D2595" s="238" t="s">
        <v>8060</v>
      </c>
      <c r="E2595" s="238" t="s">
        <v>44</v>
      </c>
      <c r="F2595">
        <v>1</v>
      </c>
      <c r="G2595">
        <v>7</v>
      </c>
      <c r="H2595">
        <v>211</v>
      </c>
      <c r="I2595" s="238" t="s">
        <v>42</v>
      </c>
      <c r="J2595">
        <v>44.25</v>
      </c>
      <c r="K2595" s="238" t="s">
        <v>36</v>
      </c>
      <c r="L2595">
        <v>5480900</v>
      </c>
      <c r="M2595">
        <v>0</v>
      </c>
      <c r="N2595">
        <v>5480900</v>
      </c>
      <c r="O2595">
        <v>123862.14689265536</v>
      </c>
      <c r="P2595">
        <v>0</v>
      </c>
      <c r="Q2595">
        <v>5480900</v>
      </c>
      <c r="R2595">
        <v>123862.14689265536</v>
      </c>
      <c r="S2595" s="238" t="s">
        <v>124</v>
      </c>
      <c r="T2595" s="238" t="s">
        <v>1167</v>
      </c>
      <c r="V2595" t="s">
        <v>1167</v>
      </c>
      <c r="W2595" s="24">
        <v>45708</v>
      </c>
      <c r="X2595" s="238" t="s">
        <v>8528</v>
      </c>
      <c r="Y2595" s="238" t="s">
        <v>39</v>
      </c>
      <c r="Z2595" s="238" t="s">
        <v>1340</v>
      </c>
      <c r="AA2595" t="s">
        <v>3113</v>
      </c>
      <c r="AB2595" s="238" t="s">
        <v>3246</v>
      </c>
      <c r="AC2595" t="s">
        <v>1167</v>
      </c>
      <c r="AD2595" s="24"/>
      <c r="AE2595" s="238" t="s">
        <v>8529</v>
      </c>
      <c r="AF2595">
        <v>79277050405</v>
      </c>
      <c r="AG2595" s="238" t="s">
        <v>8530</v>
      </c>
      <c r="AH2595" s="238" t="s">
        <v>4072</v>
      </c>
      <c r="AI2595" s="238" t="s">
        <v>8476</v>
      </c>
      <c r="AJ2595" s="238" t="s">
        <v>126</v>
      </c>
      <c r="AK2595" s="238" t="s">
        <v>1167</v>
      </c>
      <c r="AL2595" t="s">
        <v>57</v>
      </c>
      <c r="AM2595" t="s">
        <v>1167</v>
      </c>
    </row>
    <row r="2596" spans="1:39" hidden="1" x14ac:dyDescent="0.25">
      <c r="A2596">
        <v>2593</v>
      </c>
      <c r="B2596">
        <v>25</v>
      </c>
      <c r="C2596" s="24">
        <v>45714</v>
      </c>
      <c r="D2596" s="238" t="s">
        <v>27</v>
      </c>
      <c r="E2596" s="238" t="s">
        <v>6</v>
      </c>
      <c r="F2596">
        <v>4</v>
      </c>
      <c r="G2596">
        <v>23</v>
      </c>
      <c r="H2596">
        <v>193</v>
      </c>
      <c r="I2596" s="238" t="s">
        <v>4052</v>
      </c>
      <c r="J2596">
        <v>25.1</v>
      </c>
      <c r="K2596" s="238" t="s">
        <v>38</v>
      </c>
      <c r="L2596">
        <v>3600000</v>
      </c>
      <c r="M2596">
        <v>0</v>
      </c>
      <c r="N2596">
        <v>3600000</v>
      </c>
      <c r="O2596">
        <v>143426.29482071713</v>
      </c>
      <c r="P2596">
        <v>376500.00000000326</v>
      </c>
      <c r="Q2596">
        <v>3223499.9999999967</v>
      </c>
      <c r="R2596">
        <v>128426.294820717</v>
      </c>
      <c r="S2596" s="238" t="s">
        <v>137</v>
      </c>
      <c r="T2596" s="238" t="s">
        <v>321</v>
      </c>
      <c r="U2596">
        <v>89600</v>
      </c>
      <c r="V2596" t="s">
        <v>8531</v>
      </c>
      <c r="W2596" s="24">
        <v>45707</v>
      </c>
      <c r="X2596" s="238" t="s">
        <v>4124</v>
      </c>
      <c r="Y2596" s="238" t="s">
        <v>39</v>
      </c>
      <c r="Z2596" s="238" t="s">
        <v>1340</v>
      </c>
      <c r="AA2596" t="s">
        <v>3113</v>
      </c>
      <c r="AB2596" s="238" t="s">
        <v>3124</v>
      </c>
      <c r="AC2596" t="s">
        <v>3079</v>
      </c>
      <c r="AD2596" s="24"/>
      <c r="AE2596" s="238" t="s">
        <v>8532</v>
      </c>
      <c r="AF2596">
        <v>79967467059</v>
      </c>
      <c r="AG2596" s="238" t="s">
        <v>8533</v>
      </c>
      <c r="AH2596" s="238" t="s">
        <v>1171</v>
      </c>
      <c r="AI2596" s="238" t="s">
        <v>3097</v>
      </c>
      <c r="AJ2596" s="238" t="s">
        <v>5215</v>
      </c>
      <c r="AK2596" s="238" t="s">
        <v>3345</v>
      </c>
      <c r="AL2596" t="s">
        <v>8715</v>
      </c>
      <c r="AM2596" t="s">
        <v>1167</v>
      </c>
    </row>
    <row r="2597" spans="1:39" hidden="1" x14ac:dyDescent="0.25">
      <c r="A2597">
        <v>2594</v>
      </c>
      <c r="B2597">
        <v>26</v>
      </c>
      <c r="C2597" s="24">
        <v>45714</v>
      </c>
      <c r="D2597" s="238" t="s">
        <v>8060</v>
      </c>
      <c r="E2597" s="238" t="s">
        <v>42</v>
      </c>
      <c r="F2597">
        <v>5</v>
      </c>
      <c r="G2597">
        <v>7</v>
      </c>
      <c r="H2597">
        <v>35</v>
      </c>
      <c r="I2597" s="238" t="s">
        <v>42</v>
      </c>
      <c r="J2597">
        <v>37.01</v>
      </c>
      <c r="K2597" s="238" t="s">
        <v>36</v>
      </c>
      <c r="L2597">
        <v>4573556</v>
      </c>
      <c r="M2597">
        <v>15000</v>
      </c>
      <c r="N2597">
        <v>4588556</v>
      </c>
      <c r="O2597">
        <v>123981.51850851122</v>
      </c>
      <c r="P2597">
        <v>0</v>
      </c>
      <c r="Q2597">
        <v>4588556</v>
      </c>
      <c r="R2597">
        <v>123981.51850851122</v>
      </c>
      <c r="S2597" s="238" t="s">
        <v>124</v>
      </c>
      <c r="T2597" s="238" t="s">
        <v>3540</v>
      </c>
      <c r="U2597">
        <v>93644</v>
      </c>
      <c r="V2597" t="s">
        <v>1167</v>
      </c>
      <c r="W2597" s="24">
        <v>45709</v>
      </c>
      <c r="X2597" s="238" t="s">
        <v>8534</v>
      </c>
      <c r="Y2597" s="238" t="s">
        <v>39</v>
      </c>
      <c r="Z2597" s="238" t="s">
        <v>1340</v>
      </c>
      <c r="AA2597" t="s">
        <v>3113</v>
      </c>
      <c r="AB2597" s="238" t="s">
        <v>3246</v>
      </c>
      <c r="AC2597" t="s">
        <v>4246</v>
      </c>
      <c r="AD2597" s="24"/>
      <c r="AE2597" s="238" t="s">
        <v>8535</v>
      </c>
      <c r="AF2597">
        <v>79271686168</v>
      </c>
      <c r="AG2597" s="238" t="s">
        <v>8536</v>
      </c>
      <c r="AH2597" s="238" t="s">
        <v>1212</v>
      </c>
      <c r="AI2597" s="238" t="s">
        <v>135</v>
      </c>
      <c r="AJ2597" s="238" t="s">
        <v>8380</v>
      </c>
      <c r="AK2597" s="238" t="s">
        <v>1167</v>
      </c>
      <c r="AL2597" t="s">
        <v>8715</v>
      </c>
      <c r="AM2597" t="s">
        <v>1167</v>
      </c>
    </row>
    <row r="2598" spans="1:39" hidden="1" x14ac:dyDescent="0.25">
      <c r="A2598">
        <v>2595</v>
      </c>
      <c r="B2598">
        <v>27</v>
      </c>
      <c r="C2598" s="24">
        <v>45714</v>
      </c>
      <c r="D2598" s="238" t="s">
        <v>8060</v>
      </c>
      <c r="E2598" s="238" t="s">
        <v>44</v>
      </c>
      <c r="F2598">
        <v>2</v>
      </c>
      <c r="G2598">
        <v>14</v>
      </c>
      <c r="H2598">
        <v>254</v>
      </c>
      <c r="I2598" s="238" t="s">
        <v>42</v>
      </c>
      <c r="J2598">
        <v>36.35</v>
      </c>
      <c r="K2598" s="238" t="s">
        <v>38</v>
      </c>
      <c r="L2598">
        <v>5498790</v>
      </c>
      <c r="M2598">
        <v>0</v>
      </c>
      <c r="N2598">
        <v>5498790</v>
      </c>
      <c r="O2598">
        <v>151273.45254470425</v>
      </c>
      <c r="P2598">
        <v>908750</v>
      </c>
      <c r="Q2598">
        <v>4590040</v>
      </c>
      <c r="R2598">
        <v>126273.45254470425</v>
      </c>
      <c r="S2598" s="238" t="s">
        <v>124</v>
      </c>
      <c r="T2598" s="238" t="s">
        <v>3538</v>
      </c>
      <c r="U2598">
        <v>141960</v>
      </c>
      <c r="V2598" t="s">
        <v>1167</v>
      </c>
      <c r="W2598" s="24">
        <v>45714</v>
      </c>
      <c r="X2598" s="238" t="s">
        <v>8537</v>
      </c>
      <c r="Y2598" s="238" t="s">
        <v>39</v>
      </c>
      <c r="Z2598" s="238" t="s">
        <v>1340</v>
      </c>
      <c r="AA2598" t="s">
        <v>3113</v>
      </c>
      <c r="AB2598" s="238" t="s">
        <v>3246</v>
      </c>
      <c r="AC2598" t="s">
        <v>1167</v>
      </c>
      <c r="AD2598" s="24"/>
      <c r="AE2598" s="238" t="s">
        <v>8538</v>
      </c>
      <c r="AF2598">
        <v>79277312880</v>
      </c>
      <c r="AG2598" s="238" t="s">
        <v>8539</v>
      </c>
      <c r="AH2598" s="238" t="s">
        <v>1212</v>
      </c>
      <c r="AI2598" s="238" t="s">
        <v>3074</v>
      </c>
      <c r="AJ2598" s="238" t="s">
        <v>8512</v>
      </c>
      <c r="AK2598" s="238" t="s">
        <v>1167</v>
      </c>
      <c r="AL2598" t="s">
        <v>8715</v>
      </c>
      <c r="AM2598" t="s">
        <v>8979</v>
      </c>
    </row>
    <row r="2599" spans="1:39" hidden="1" x14ac:dyDescent="0.25">
      <c r="A2599">
        <v>2596</v>
      </c>
      <c r="B2599">
        <v>28</v>
      </c>
      <c r="C2599" s="24">
        <v>45715</v>
      </c>
      <c r="D2599" s="238" t="s">
        <v>8060</v>
      </c>
      <c r="E2599" s="238" t="s">
        <v>44</v>
      </c>
      <c r="F2599">
        <v>3</v>
      </c>
      <c r="G2599">
        <v>17</v>
      </c>
      <c r="H2599">
        <v>273</v>
      </c>
      <c r="I2599" s="238" t="s">
        <v>43</v>
      </c>
      <c r="J2599">
        <v>54.08</v>
      </c>
      <c r="K2599" s="238" t="s">
        <v>8787</v>
      </c>
      <c r="L2599">
        <v>6954704</v>
      </c>
      <c r="M2599">
        <v>0</v>
      </c>
      <c r="N2599">
        <v>6954704</v>
      </c>
      <c r="O2599">
        <v>128600.29585798817</v>
      </c>
      <c r="P2599">
        <v>540800</v>
      </c>
      <c r="Q2599">
        <v>6413904</v>
      </c>
      <c r="R2599">
        <v>118600.29585798817</v>
      </c>
      <c r="S2599" s="238" t="s">
        <v>124</v>
      </c>
      <c r="T2599" s="238" t="s">
        <v>3540</v>
      </c>
      <c r="U2599">
        <v>130896</v>
      </c>
      <c r="V2599" t="s">
        <v>1167</v>
      </c>
      <c r="W2599" s="24">
        <v>45700</v>
      </c>
      <c r="X2599" s="238" t="s">
        <v>8540</v>
      </c>
      <c r="Y2599" s="238" t="s">
        <v>39</v>
      </c>
      <c r="Z2599" s="238" t="s">
        <v>1340</v>
      </c>
      <c r="AA2599" t="s">
        <v>3113</v>
      </c>
      <c r="AB2599" s="238" t="s">
        <v>3246</v>
      </c>
      <c r="AC2599" t="s">
        <v>1167</v>
      </c>
      <c r="AD2599" s="24"/>
      <c r="AE2599" s="238" t="s">
        <v>8541</v>
      </c>
      <c r="AF2599">
        <v>79879455571</v>
      </c>
      <c r="AG2599" s="238" t="s">
        <v>8542</v>
      </c>
      <c r="AH2599" s="238" t="s">
        <v>135</v>
      </c>
      <c r="AI2599" s="238" t="s">
        <v>3075</v>
      </c>
      <c r="AJ2599" s="238" t="s">
        <v>5215</v>
      </c>
      <c r="AK2599" s="238" t="s">
        <v>1167</v>
      </c>
      <c r="AL2599" t="s">
        <v>8715</v>
      </c>
      <c r="AM2599" t="s">
        <v>1167</v>
      </c>
    </row>
    <row r="2600" spans="1:39" hidden="1" x14ac:dyDescent="0.25">
      <c r="A2600">
        <v>2597</v>
      </c>
      <c r="B2600">
        <v>29</v>
      </c>
      <c r="C2600" s="24">
        <v>45715</v>
      </c>
      <c r="D2600" s="238" t="s">
        <v>7562</v>
      </c>
      <c r="E2600" s="238" t="s">
        <v>43</v>
      </c>
      <c r="F2600">
        <v>4</v>
      </c>
      <c r="G2600">
        <v>3</v>
      </c>
      <c r="H2600">
        <v>65</v>
      </c>
      <c r="I2600" s="238" t="s">
        <v>42</v>
      </c>
      <c r="J2600">
        <v>42.39</v>
      </c>
      <c r="K2600" s="238" t="s">
        <v>8787</v>
      </c>
      <c r="L2600">
        <v>6202470</v>
      </c>
      <c r="M2600">
        <v>0</v>
      </c>
      <c r="N2600">
        <v>6202470</v>
      </c>
      <c r="O2600">
        <v>146319.17905166312</v>
      </c>
      <c r="P2600">
        <v>423900</v>
      </c>
      <c r="Q2600">
        <v>5778570</v>
      </c>
      <c r="R2600">
        <v>136319.17905166312</v>
      </c>
      <c r="S2600" s="238" t="s">
        <v>137</v>
      </c>
      <c r="T2600" s="238" t="s">
        <v>3540</v>
      </c>
      <c r="U2600">
        <v>117930</v>
      </c>
      <c r="V2600" t="s">
        <v>4092</v>
      </c>
      <c r="W2600" s="24">
        <v>45712</v>
      </c>
      <c r="X2600" s="238" t="s">
        <v>8543</v>
      </c>
      <c r="Y2600" s="238" t="s">
        <v>39</v>
      </c>
      <c r="Z2600" s="238" t="s">
        <v>1340</v>
      </c>
      <c r="AA2600" t="s">
        <v>3113</v>
      </c>
      <c r="AB2600" s="238" t="s">
        <v>3246</v>
      </c>
      <c r="AC2600" t="s">
        <v>3079</v>
      </c>
      <c r="AD2600" s="24"/>
      <c r="AE2600" s="238" t="s">
        <v>8544</v>
      </c>
      <c r="AF2600">
        <v>79967254845</v>
      </c>
      <c r="AG2600" s="238" t="s">
        <v>8545</v>
      </c>
      <c r="AH2600" s="238" t="s">
        <v>4072</v>
      </c>
      <c r="AI2600" s="238" t="s">
        <v>8476</v>
      </c>
      <c r="AJ2600" s="238" t="s">
        <v>8380</v>
      </c>
      <c r="AK2600" s="238" t="s">
        <v>8441</v>
      </c>
      <c r="AL2600" t="s">
        <v>57</v>
      </c>
      <c r="AM2600" t="s">
        <v>1167</v>
      </c>
    </row>
    <row r="2601" spans="1:39" hidden="1" x14ac:dyDescent="0.25">
      <c r="A2601">
        <v>2598</v>
      </c>
      <c r="B2601">
        <v>30</v>
      </c>
      <c r="C2601" s="24">
        <v>45715</v>
      </c>
      <c r="D2601" s="238" t="s">
        <v>8060</v>
      </c>
      <c r="E2601" s="238" t="s">
        <v>42</v>
      </c>
      <c r="F2601">
        <v>5</v>
      </c>
      <c r="G2601">
        <v>14</v>
      </c>
      <c r="H2601">
        <v>77</v>
      </c>
      <c r="I2601" s="238" t="s">
        <v>42</v>
      </c>
      <c r="J2601">
        <v>36.64</v>
      </c>
      <c r="K2601" s="238" t="s">
        <v>36</v>
      </c>
      <c r="L2601">
        <v>4769700</v>
      </c>
      <c r="M2601">
        <v>0</v>
      </c>
      <c r="N2601">
        <v>4769700</v>
      </c>
      <c r="O2601">
        <v>130177.40174672489</v>
      </c>
      <c r="P2601">
        <v>0</v>
      </c>
      <c r="Q2601">
        <v>4769700</v>
      </c>
      <c r="R2601">
        <v>130177.40174672489</v>
      </c>
      <c r="S2601" s="238" t="s">
        <v>124</v>
      </c>
      <c r="T2601" s="238" t="s">
        <v>1167</v>
      </c>
      <c r="V2601" t="s">
        <v>1167</v>
      </c>
      <c r="W2601" s="24">
        <v>45714</v>
      </c>
      <c r="X2601" s="238" t="s">
        <v>8546</v>
      </c>
      <c r="Y2601" s="238" t="s">
        <v>39</v>
      </c>
      <c r="Z2601" s="238" t="s">
        <v>1340</v>
      </c>
      <c r="AA2601" t="s">
        <v>3113</v>
      </c>
      <c r="AB2601" s="238" t="s">
        <v>3246</v>
      </c>
      <c r="AC2601" t="s">
        <v>1167</v>
      </c>
      <c r="AD2601" s="24"/>
      <c r="AE2601" s="238" t="s">
        <v>8547</v>
      </c>
      <c r="AF2601">
        <v>79171373555</v>
      </c>
      <c r="AG2601" s="238" t="s">
        <v>8548</v>
      </c>
      <c r="AH2601" s="238" t="s">
        <v>4072</v>
      </c>
      <c r="AI2601" s="238" t="s">
        <v>7930</v>
      </c>
      <c r="AJ2601" s="238" t="s">
        <v>4177</v>
      </c>
      <c r="AK2601" s="238" t="s">
        <v>1167</v>
      </c>
      <c r="AL2601" t="s">
        <v>57</v>
      </c>
      <c r="AM2601" t="s">
        <v>1167</v>
      </c>
    </row>
    <row r="2602" spans="1:39" hidden="1" x14ac:dyDescent="0.25">
      <c r="A2602">
        <v>2599</v>
      </c>
      <c r="B2602">
        <v>31</v>
      </c>
      <c r="C2602" s="24">
        <v>45716</v>
      </c>
      <c r="D2602" s="238" t="s">
        <v>8060</v>
      </c>
      <c r="E2602" s="238" t="s">
        <v>42</v>
      </c>
      <c r="F2602">
        <v>5</v>
      </c>
      <c r="G2602">
        <v>8</v>
      </c>
      <c r="H2602">
        <v>41</v>
      </c>
      <c r="I2602" s="238" t="s">
        <v>42</v>
      </c>
      <c r="J2602">
        <v>37.01</v>
      </c>
      <c r="K2602" s="238" t="s">
        <v>36</v>
      </c>
      <c r="L2602">
        <v>4698114</v>
      </c>
      <c r="M2602">
        <v>15000</v>
      </c>
      <c r="N2602">
        <v>4713114</v>
      </c>
      <c r="O2602">
        <v>127347.04134017833</v>
      </c>
      <c r="P2602">
        <v>0</v>
      </c>
      <c r="Q2602">
        <v>4713114</v>
      </c>
      <c r="R2602">
        <v>127347.04134017833</v>
      </c>
      <c r="S2602" s="238" t="s">
        <v>124</v>
      </c>
      <c r="T2602" s="238" t="s">
        <v>3540</v>
      </c>
      <c r="U2602">
        <v>96186</v>
      </c>
      <c r="V2602" t="s">
        <v>1167</v>
      </c>
      <c r="W2602" s="24">
        <v>45716</v>
      </c>
      <c r="X2602" s="238" t="s">
        <v>8550</v>
      </c>
      <c r="Y2602" s="238" t="s">
        <v>39</v>
      </c>
      <c r="Z2602" s="238" t="s">
        <v>1340</v>
      </c>
      <c r="AA2602" t="s">
        <v>3113</v>
      </c>
      <c r="AB2602" s="238" t="s">
        <v>3246</v>
      </c>
      <c r="AC2602" t="s">
        <v>1167</v>
      </c>
      <c r="AD2602" s="24"/>
      <c r="AE2602" s="238" t="s">
        <v>8551</v>
      </c>
      <c r="AF2602">
        <v>79835269969</v>
      </c>
      <c r="AG2602" s="238" t="s">
        <v>8552</v>
      </c>
      <c r="AH2602" s="238" t="s">
        <v>1171</v>
      </c>
      <c r="AI2602" s="238" t="s">
        <v>3103</v>
      </c>
      <c r="AJ2602" s="238" t="s">
        <v>8380</v>
      </c>
      <c r="AK2602" s="238" t="s">
        <v>1167</v>
      </c>
      <c r="AL2602" t="s">
        <v>8715</v>
      </c>
      <c r="AM2602" t="s">
        <v>1167</v>
      </c>
    </row>
    <row r="2603" spans="1:39" x14ac:dyDescent="0.25">
      <c r="A2603">
        <v>2600</v>
      </c>
      <c r="B2603">
        <v>32</v>
      </c>
      <c r="C2603" s="24">
        <v>45716</v>
      </c>
      <c r="D2603" s="238" t="s">
        <v>3388</v>
      </c>
      <c r="E2603" s="238" t="s">
        <v>5</v>
      </c>
      <c r="F2603">
        <v>2</v>
      </c>
      <c r="G2603">
        <v>14</v>
      </c>
      <c r="H2603">
        <v>203</v>
      </c>
      <c r="I2603" s="238" t="s">
        <v>4052</v>
      </c>
      <c r="J2603">
        <v>24.28</v>
      </c>
      <c r="K2603" s="238" t="s">
        <v>38</v>
      </c>
      <c r="L2603">
        <v>4313600</v>
      </c>
      <c r="M2603">
        <v>0</v>
      </c>
      <c r="N2603">
        <v>4313600</v>
      </c>
      <c r="O2603">
        <v>177660.62602965403</v>
      </c>
      <c r="P2603">
        <v>607000</v>
      </c>
      <c r="Q2603">
        <v>3706600</v>
      </c>
      <c r="R2603">
        <v>152660.62602965403</v>
      </c>
      <c r="S2603" s="238" t="s">
        <v>137</v>
      </c>
      <c r="T2603" s="238" t="s">
        <v>1167</v>
      </c>
      <c r="V2603" t="s">
        <v>4092</v>
      </c>
      <c r="W2603" s="24">
        <v>45708</v>
      </c>
      <c r="X2603" s="238" t="s">
        <v>8553</v>
      </c>
      <c r="Y2603" s="238" t="s">
        <v>39</v>
      </c>
      <c r="Z2603" s="238" t="s">
        <v>1340</v>
      </c>
      <c r="AA2603" t="s">
        <v>3113</v>
      </c>
      <c r="AB2603" s="238" t="s">
        <v>3246</v>
      </c>
      <c r="AC2603" t="s">
        <v>3079</v>
      </c>
      <c r="AD2603" s="24"/>
      <c r="AE2603" s="238" t="s">
        <v>8554</v>
      </c>
      <c r="AF2603">
        <v>79276024055</v>
      </c>
      <c r="AG2603" s="238" t="s">
        <v>8555</v>
      </c>
      <c r="AH2603" s="238" t="s">
        <v>1171</v>
      </c>
      <c r="AI2603" s="238" t="s">
        <v>3103</v>
      </c>
      <c r="AJ2603" s="238" t="s">
        <v>5215</v>
      </c>
      <c r="AK2603" s="238" t="s">
        <v>3345</v>
      </c>
      <c r="AL2603" t="s">
        <v>8715</v>
      </c>
      <c r="AM2603" t="s">
        <v>1167</v>
      </c>
    </row>
    <row r="2604" spans="1:39" x14ac:dyDescent="0.25">
      <c r="A2604">
        <v>2601</v>
      </c>
      <c r="B2604">
        <v>33</v>
      </c>
      <c r="C2604" s="24">
        <v>45716</v>
      </c>
      <c r="D2604" s="238" t="s">
        <v>3388</v>
      </c>
      <c r="E2604" s="238" t="s">
        <v>15</v>
      </c>
      <c r="F2604">
        <v>4</v>
      </c>
      <c r="G2604">
        <v>2</v>
      </c>
      <c r="H2604">
        <v>400</v>
      </c>
      <c r="I2604" s="238" t="s">
        <v>43</v>
      </c>
      <c r="J2604">
        <v>58.24</v>
      </c>
      <c r="K2604" s="238" t="s">
        <v>36</v>
      </c>
      <c r="L2604">
        <v>7129300</v>
      </c>
      <c r="M2604">
        <v>0</v>
      </c>
      <c r="N2604">
        <v>7129300</v>
      </c>
      <c r="O2604">
        <v>122412.43131868131</v>
      </c>
      <c r="P2604">
        <v>0</v>
      </c>
      <c r="Q2604">
        <v>7129300</v>
      </c>
      <c r="R2604">
        <v>122412.43131868131</v>
      </c>
      <c r="S2604" s="238" t="s">
        <v>137</v>
      </c>
      <c r="T2604" s="238" t="s">
        <v>1167</v>
      </c>
      <c r="V2604" t="s">
        <v>4092</v>
      </c>
      <c r="W2604" s="24">
        <v>45707</v>
      </c>
      <c r="X2604" s="238" t="s">
        <v>8556</v>
      </c>
      <c r="Y2604" s="238" t="s">
        <v>39</v>
      </c>
      <c r="Z2604" s="238" t="s">
        <v>1340</v>
      </c>
      <c r="AA2604" t="s">
        <v>3474</v>
      </c>
      <c r="AB2604" s="238" t="s">
        <v>3246</v>
      </c>
      <c r="AC2604" t="s">
        <v>3079</v>
      </c>
      <c r="AD2604" s="24"/>
      <c r="AE2604" s="238" t="s">
        <v>8557</v>
      </c>
      <c r="AF2604">
        <v>79379929199</v>
      </c>
      <c r="AG2604" s="238" t="s">
        <v>8558</v>
      </c>
      <c r="AH2604" s="238" t="s">
        <v>1212</v>
      </c>
      <c r="AI2604" s="238" t="s">
        <v>3103</v>
      </c>
      <c r="AJ2604" s="238" t="s">
        <v>8512</v>
      </c>
      <c r="AK2604" s="238" t="s">
        <v>8441</v>
      </c>
      <c r="AL2604" t="s">
        <v>8715</v>
      </c>
      <c r="AM2604" t="s">
        <v>1167</v>
      </c>
    </row>
    <row r="2605" spans="1:39" hidden="1" x14ac:dyDescent="0.25">
      <c r="A2605">
        <v>2602</v>
      </c>
      <c r="B2605">
        <v>1</v>
      </c>
      <c r="C2605" s="24">
        <v>45719</v>
      </c>
      <c r="D2605" s="238" t="s">
        <v>3388</v>
      </c>
      <c r="E2605" s="238" t="s">
        <v>16</v>
      </c>
      <c r="F2605">
        <v>7</v>
      </c>
      <c r="G2605">
        <v>12</v>
      </c>
      <c r="H2605">
        <v>305</v>
      </c>
      <c r="I2605" s="238" t="s">
        <v>42</v>
      </c>
      <c r="J2605">
        <v>34.81</v>
      </c>
      <c r="K2605" s="238" t="s">
        <v>38</v>
      </c>
      <c r="L2605">
        <v>5841015</v>
      </c>
      <c r="M2605">
        <v>0</v>
      </c>
      <c r="N2605">
        <v>5841015</v>
      </c>
      <c r="O2605">
        <v>167797.04108014939</v>
      </c>
      <c r="P2605">
        <v>870250</v>
      </c>
      <c r="Q2605">
        <v>4970765</v>
      </c>
      <c r="R2605">
        <v>142797.04108014939</v>
      </c>
      <c r="S2605" s="238" t="s">
        <v>124</v>
      </c>
      <c r="T2605" s="238" t="s">
        <v>7756</v>
      </c>
      <c r="U2605">
        <v>153735</v>
      </c>
      <c r="V2605" t="s">
        <v>1167</v>
      </c>
      <c r="W2605" s="24">
        <v>45712</v>
      </c>
      <c r="X2605" s="238" t="s">
        <v>8559</v>
      </c>
      <c r="Y2605" s="238" t="s">
        <v>1172</v>
      </c>
      <c r="Z2605" s="238" t="s">
        <v>1340</v>
      </c>
      <c r="AA2605" t="s">
        <v>3113</v>
      </c>
      <c r="AB2605" s="238" t="s">
        <v>3246</v>
      </c>
      <c r="AC2605" t="s">
        <v>1167</v>
      </c>
      <c r="AD2605" s="24">
        <v>45840</v>
      </c>
      <c r="AE2605" s="238" t="s">
        <v>8560</v>
      </c>
      <c r="AF2605">
        <v>79874306557</v>
      </c>
      <c r="AG2605" s="238" t="s">
        <v>8561</v>
      </c>
      <c r="AH2605" s="238" t="s">
        <v>1212</v>
      </c>
      <c r="AI2605" s="238" t="s">
        <v>3088</v>
      </c>
      <c r="AJ2605" s="238" t="s">
        <v>5215</v>
      </c>
      <c r="AK2605" s="238" t="s">
        <v>3345</v>
      </c>
      <c r="AL2605" t="s">
        <v>8715</v>
      </c>
      <c r="AM2605" t="s">
        <v>1167</v>
      </c>
    </row>
    <row r="2606" spans="1:39" hidden="1" x14ac:dyDescent="0.25">
      <c r="A2606">
        <v>2603</v>
      </c>
      <c r="B2606">
        <v>2</v>
      </c>
      <c r="C2606" s="24">
        <v>45720</v>
      </c>
      <c r="D2606" s="238" t="s">
        <v>8060</v>
      </c>
      <c r="E2606" s="238" t="s">
        <v>44</v>
      </c>
      <c r="F2606">
        <v>1</v>
      </c>
      <c r="G2606">
        <v>3</v>
      </c>
      <c r="H2606">
        <v>187</v>
      </c>
      <c r="I2606" s="238" t="s">
        <v>42</v>
      </c>
      <c r="J2606">
        <v>44.25</v>
      </c>
      <c r="K2606" s="238" t="s">
        <v>36</v>
      </c>
      <c r="L2606">
        <v>5434100</v>
      </c>
      <c r="M2606">
        <v>0</v>
      </c>
      <c r="N2606">
        <v>5434100</v>
      </c>
      <c r="O2606">
        <v>122804.51977401129</v>
      </c>
      <c r="P2606">
        <v>0</v>
      </c>
      <c r="Q2606">
        <v>5434100</v>
      </c>
      <c r="R2606">
        <v>122804.51977401129</v>
      </c>
      <c r="S2606" s="238" t="s">
        <v>124</v>
      </c>
      <c r="T2606" s="238" t="s">
        <v>3540</v>
      </c>
      <c r="U2606">
        <v>110900</v>
      </c>
      <c r="V2606" t="s">
        <v>1167</v>
      </c>
      <c r="W2606" s="24">
        <v>45716</v>
      </c>
      <c r="X2606" s="238" t="s">
        <v>8562</v>
      </c>
      <c r="Y2606" s="238" t="s">
        <v>39</v>
      </c>
      <c r="Z2606" s="238" t="s">
        <v>1340</v>
      </c>
      <c r="AA2606" t="s">
        <v>3113</v>
      </c>
      <c r="AB2606" s="238" t="s">
        <v>3246</v>
      </c>
      <c r="AC2606" t="s">
        <v>1167</v>
      </c>
      <c r="AD2606" s="24"/>
      <c r="AE2606" s="238" t="s">
        <v>8563</v>
      </c>
      <c r="AF2606">
        <v>79397570123</v>
      </c>
      <c r="AG2606" s="238" t="s">
        <v>8564</v>
      </c>
      <c r="AH2606" s="238" t="s">
        <v>1212</v>
      </c>
      <c r="AI2606" s="238" t="s">
        <v>3097</v>
      </c>
      <c r="AJ2606" s="238" t="s">
        <v>5215</v>
      </c>
      <c r="AK2606" s="238" t="s">
        <v>1167</v>
      </c>
      <c r="AL2606" t="s">
        <v>8715</v>
      </c>
      <c r="AM2606" t="s">
        <v>1167</v>
      </c>
    </row>
    <row r="2607" spans="1:39" hidden="1" x14ac:dyDescent="0.25">
      <c r="A2607">
        <v>2604</v>
      </c>
      <c r="B2607">
        <v>3</v>
      </c>
      <c r="C2607" s="24">
        <v>45720</v>
      </c>
      <c r="D2607" s="238" t="s">
        <v>8060</v>
      </c>
      <c r="E2607" s="238" t="s">
        <v>44</v>
      </c>
      <c r="F2607">
        <v>1</v>
      </c>
      <c r="G2607">
        <v>13</v>
      </c>
      <c r="H2607">
        <v>247</v>
      </c>
      <c r="I2607" s="238" t="s">
        <v>42</v>
      </c>
      <c r="J2607">
        <v>44.16</v>
      </c>
      <c r="K2607" s="238" t="s">
        <v>36</v>
      </c>
      <c r="L2607">
        <v>5480000</v>
      </c>
      <c r="M2607">
        <v>0</v>
      </c>
      <c r="N2607">
        <v>5480000</v>
      </c>
      <c r="O2607">
        <v>124094.20289855073</v>
      </c>
      <c r="P2607">
        <v>0</v>
      </c>
      <c r="Q2607">
        <v>5480000</v>
      </c>
      <c r="R2607">
        <v>124094.20289855073</v>
      </c>
      <c r="S2607" s="238" t="s">
        <v>124</v>
      </c>
      <c r="T2607" s="238" t="s">
        <v>1167</v>
      </c>
      <c r="V2607" t="s">
        <v>1167</v>
      </c>
      <c r="W2607" s="24">
        <v>45719</v>
      </c>
      <c r="X2607" s="238" t="s">
        <v>8565</v>
      </c>
      <c r="Y2607" s="238" t="s">
        <v>39</v>
      </c>
      <c r="Z2607" s="238" t="s">
        <v>1340</v>
      </c>
      <c r="AA2607" t="s">
        <v>3113</v>
      </c>
      <c r="AB2607" s="238" t="s">
        <v>3246</v>
      </c>
      <c r="AC2607" t="s">
        <v>1167</v>
      </c>
      <c r="AD2607" s="24"/>
      <c r="AE2607" s="238" t="s">
        <v>8566</v>
      </c>
      <c r="AF2607">
        <v>79171106202</v>
      </c>
      <c r="AG2607" s="238" t="s">
        <v>8567</v>
      </c>
      <c r="AH2607" s="238" t="s">
        <v>4072</v>
      </c>
      <c r="AI2607" s="238" t="s">
        <v>7930</v>
      </c>
      <c r="AJ2607" s="238" t="s">
        <v>126</v>
      </c>
      <c r="AK2607" s="238" t="s">
        <v>1167</v>
      </c>
      <c r="AL2607" t="s">
        <v>57</v>
      </c>
      <c r="AM2607" t="s">
        <v>1167</v>
      </c>
    </row>
    <row r="2608" spans="1:39" hidden="1" x14ac:dyDescent="0.25">
      <c r="A2608">
        <v>2605</v>
      </c>
      <c r="B2608">
        <v>4</v>
      </c>
      <c r="C2608" s="24">
        <v>45722</v>
      </c>
      <c r="D2608" s="238" t="s">
        <v>7562</v>
      </c>
      <c r="E2608" s="238" t="s">
        <v>43</v>
      </c>
      <c r="F2608">
        <v>5</v>
      </c>
      <c r="G2608">
        <v>6</v>
      </c>
      <c r="H2608">
        <v>81</v>
      </c>
      <c r="I2608" s="238" t="s">
        <v>43</v>
      </c>
      <c r="J2608">
        <v>49.2</v>
      </c>
      <c r="K2608" s="238" t="s">
        <v>36</v>
      </c>
      <c r="L2608">
        <v>6204120</v>
      </c>
      <c r="M2608">
        <v>0</v>
      </c>
      <c r="N2608">
        <v>6204120</v>
      </c>
      <c r="O2608">
        <v>126099.99999999999</v>
      </c>
      <c r="P2608">
        <v>0</v>
      </c>
      <c r="Q2608">
        <v>6204120</v>
      </c>
      <c r="R2608">
        <v>126099.99999999999</v>
      </c>
      <c r="S2608" s="238" t="s">
        <v>137</v>
      </c>
      <c r="T2608" s="238" t="s">
        <v>3538</v>
      </c>
      <c r="U2608">
        <v>191880</v>
      </c>
      <c r="V2608" t="s">
        <v>4092</v>
      </c>
      <c r="W2608" s="24">
        <v>45719</v>
      </c>
      <c r="X2608" s="238" t="s">
        <v>8570</v>
      </c>
      <c r="Y2608" s="238" t="s">
        <v>39</v>
      </c>
      <c r="Z2608" s="238" t="s">
        <v>1340</v>
      </c>
      <c r="AA2608" t="s">
        <v>3113</v>
      </c>
      <c r="AB2608" s="238" t="s">
        <v>3246</v>
      </c>
      <c r="AC2608" t="s">
        <v>3079</v>
      </c>
      <c r="AD2608" s="24"/>
      <c r="AE2608" s="238" t="s">
        <v>8571</v>
      </c>
      <c r="AF2608">
        <v>79171669993</v>
      </c>
      <c r="AG2608" s="238" t="s">
        <v>8572</v>
      </c>
      <c r="AH2608" s="238" t="s">
        <v>4072</v>
      </c>
      <c r="AI2608" s="238" t="s">
        <v>7930</v>
      </c>
      <c r="AJ2608" s="238" t="s">
        <v>4177</v>
      </c>
      <c r="AK2608" s="238" t="s">
        <v>3345</v>
      </c>
      <c r="AL2608" t="s">
        <v>57</v>
      </c>
      <c r="AM2608" t="s">
        <v>1167</v>
      </c>
    </row>
    <row r="2609" spans="1:39" hidden="1" x14ac:dyDescent="0.25">
      <c r="A2609">
        <v>2606</v>
      </c>
      <c r="B2609">
        <v>5</v>
      </c>
      <c r="C2609" s="24">
        <v>45722</v>
      </c>
      <c r="D2609" s="238" t="s">
        <v>8060</v>
      </c>
      <c r="E2609" s="238" t="s">
        <v>44</v>
      </c>
      <c r="F2609">
        <v>3</v>
      </c>
      <c r="G2609">
        <v>11</v>
      </c>
      <c r="H2609">
        <v>237</v>
      </c>
      <c r="I2609" s="238" t="s">
        <v>43</v>
      </c>
      <c r="J2609">
        <v>54.35</v>
      </c>
      <c r="K2609" s="238" t="s">
        <v>36</v>
      </c>
      <c r="L2609">
        <v>6581288</v>
      </c>
      <c r="M2609">
        <v>0</v>
      </c>
      <c r="N2609">
        <v>6581288</v>
      </c>
      <c r="O2609">
        <v>121090.85556577737</v>
      </c>
      <c r="P2609">
        <v>0</v>
      </c>
      <c r="Q2609">
        <v>6581288</v>
      </c>
      <c r="R2609">
        <v>121090.85556577737</v>
      </c>
      <c r="S2609" s="238" t="s">
        <v>124</v>
      </c>
      <c r="T2609" s="238" t="s">
        <v>3540</v>
      </c>
      <c r="U2609">
        <v>134312</v>
      </c>
      <c r="V2609" t="s">
        <v>1167</v>
      </c>
      <c r="W2609" s="24">
        <v>45722</v>
      </c>
      <c r="X2609" s="238" t="s">
        <v>8573</v>
      </c>
      <c r="Y2609" s="238" t="s">
        <v>39</v>
      </c>
      <c r="Z2609" s="238" t="s">
        <v>1340</v>
      </c>
      <c r="AA2609" t="s">
        <v>3113</v>
      </c>
      <c r="AB2609" s="238" t="s">
        <v>3246</v>
      </c>
      <c r="AC2609" t="s">
        <v>1167</v>
      </c>
      <c r="AD2609" s="24"/>
      <c r="AE2609" s="238" t="s">
        <v>8574</v>
      </c>
      <c r="AF2609">
        <v>79022353294</v>
      </c>
      <c r="AG2609" s="238" t="s">
        <v>8575</v>
      </c>
      <c r="AH2609" s="238" t="s">
        <v>1171</v>
      </c>
      <c r="AI2609" s="238" t="s">
        <v>3074</v>
      </c>
      <c r="AJ2609" s="238" t="s">
        <v>8512</v>
      </c>
      <c r="AK2609" s="238" t="s">
        <v>1167</v>
      </c>
      <c r="AL2609" t="s">
        <v>8715</v>
      </c>
      <c r="AM2609" t="s">
        <v>1167</v>
      </c>
    </row>
    <row r="2610" spans="1:39" hidden="1" x14ac:dyDescent="0.25">
      <c r="A2610">
        <v>2607</v>
      </c>
      <c r="B2610">
        <v>6</v>
      </c>
      <c r="C2610" s="24">
        <v>45723</v>
      </c>
      <c r="D2610" s="238" t="s">
        <v>8060</v>
      </c>
      <c r="E2610" s="238" t="s">
        <v>44</v>
      </c>
      <c r="F2610">
        <v>1</v>
      </c>
      <c r="G2610">
        <v>5</v>
      </c>
      <c r="H2610">
        <v>199</v>
      </c>
      <c r="I2610" s="238" t="s">
        <v>42</v>
      </c>
      <c r="J2610">
        <v>44.25</v>
      </c>
      <c r="K2610" s="238" t="s">
        <v>8787</v>
      </c>
      <c r="L2610">
        <v>5928638</v>
      </c>
      <c r="M2610">
        <v>0</v>
      </c>
      <c r="N2610">
        <v>5928638</v>
      </c>
      <c r="O2610">
        <v>133980.51977401131</v>
      </c>
      <c r="P2610">
        <v>442500</v>
      </c>
      <c r="Q2610">
        <v>5486138</v>
      </c>
      <c r="R2610">
        <v>123980.51977401129</v>
      </c>
      <c r="S2610" s="238" t="s">
        <v>137</v>
      </c>
      <c r="T2610" s="238" t="s">
        <v>3540</v>
      </c>
      <c r="U2610">
        <v>111962.00000000093</v>
      </c>
      <c r="V2610" t="s">
        <v>4092</v>
      </c>
      <c r="W2610" s="24">
        <v>45712</v>
      </c>
      <c r="X2610" s="238" t="s">
        <v>8576</v>
      </c>
      <c r="Y2610" s="238" t="s">
        <v>39</v>
      </c>
      <c r="Z2610" s="238" t="s">
        <v>1340</v>
      </c>
      <c r="AA2610" t="s">
        <v>3113</v>
      </c>
      <c r="AB2610" s="238" t="s">
        <v>3246</v>
      </c>
      <c r="AC2610" t="s">
        <v>3079</v>
      </c>
      <c r="AD2610" s="24"/>
      <c r="AE2610" s="238" t="s">
        <v>8577</v>
      </c>
      <c r="AF2610">
        <v>79276069628</v>
      </c>
      <c r="AG2610" s="238" t="s">
        <v>8578</v>
      </c>
      <c r="AH2610" s="238" t="s">
        <v>1171</v>
      </c>
      <c r="AI2610" s="238" t="s">
        <v>3103</v>
      </c>
      <c r="AJ2610" s="238" t="s">
        <v>5215</v>
      </c>
      <c r="AK2610" s="238" t="s">
        <v>3345</v>
      </c>
      <c r="AL2610" t="s">
        <v>8715</v>
      </c>
      <c r="AM2610" t="s">
        <v>1167</v>
      </c>
    </row>
    <row r="2611" spans="1:39" hidden="1" x14ac:dyDescent="0.25">
      <c r="A2611">
        <v>2608</v>
      </c>
      <c r="B2611">
        <v>7</v>
      </c>
      <c r="C2611" s="24">
        <v>45726</v>
      </c>
      <c r="D2611" s="238" t="s">
        <v>8060</v>
      </c>
      <c r="E2611" s="238" t="s">
        <v>43</v>
      </c>
      <c r="F2611">
        <v>1</v>
      </c>
      <c r="G2611">
        <v>2</v>
      </c>
      <c r="H2611">
        <v>109</v>
      </c>
      <c r="I2611" s="238" t="s">
        <v>43</v>
      </c>
      <c r="J2611">
        <v>65.72</v>
      </c>
      <c r="K2611" s="238" t="s">
        <v>36</v>
      </c>
      <c r="L2611">
        <v>7650370</v>
      </c>
      <c r="M2611">
        <v>0</v>
      </c>
      <c r="N2611">
        <v>7650370</v>
      </c>
      <c r="O2611">
        <v>116408.55143031041</v>
      </c>
      <c r="P2611">
        <v>0</v>
      </c>
      <c r="Q2611">
        <v>7650370</v>
      </c>
      <c r="R2611">
        <v>116408.55143031041</v>
      </c>
      <c r="S2611" s="238" t="s">
        <v>124</v>
      </c>
      <c r="T2611" s="238" t="s">
        <v>3540</v>
      </c>
      <c r="U2611">
        <v>156130.00000000093</v>
      </c>
      <c r="V2611" t="s">
        <v>1167</v>
      </c>
      <c r="W2611" s="24">
        <v>45721</v>
      </c>
      <c r="X2611" s="238" t="s">
        <v>8579</v>
      </c>
      <c r="Y2611" s="238" t="s">
        <v>39</v>
      </c>
      <c r="Z2611" s="238" t="s">
        <v>1340</v>
      </c>
      <c r="AA2611" t="s">
        <v>3113</v>
      </c>
      <c r="AB2611" s="238" t="s">
        <v>3246</v>
      </c>
      <c r="AC2611" t="s">
        <v>1167</v>
      </c>
      <c r="AD2611" s="24"/>
      <c r="AE2611" s="238" t="s">
        <v>8580</v>
      </c>
      <c r="AF2611">
        <v>79276504003</v>
      </c>
      <c r="AG2611" s="238" t="s">
        <v>8581</v>
      </c>
      <c r="AH2611" s="238" t="s">
        <v>1197</v>
      </c>
      <c r="AI2611" s="238" t="s">
        <v>3084</v>
      </c>
      <c r="AJ2611" s="238" t="s">
        <v>4177</v>
      </c>
      <c r="AK2611" s="238" t="s">
        <v>1167</v>
      </c>
      <c r="AL2611" t="s">
        <v>8715</v>
      </c>
      <c r="AM2611" t="s">
        <v>1167</v>
      </c>
    </row>
    <row r="2612" spans="1:39" hidden="1" x14ac:dyDescent="0.25">
      <c r="A2612">
        <v>2609</v>
      </c>
      <c r="B2612">
        <v>8</v>
      </c>
      <c r="C2612" s="24">
        <v>45726</v>
      </c>
      <c r="D2612" s="238" t="s">
        <v>8060</v>
      </c>
      <c r="E2612" s="238" t="s">
        <v>44</v>
      </c>
      <c r="F2612">
        <v>3</v>
      </c>
      <c r="G2612">
        <v>8</v>
      </c>
      <c r="H2612">
        <v>219</v>
      </c>
      <c r="I2612" s="238" t="s">
        <v>43</v>
      </c>
      <c r="J2612">
        <v>54.44</v>
      </c>
      <c r="K2612" s="238" t="s">
        <v>36</v>
      </c>
      <c r="L2612">
        <v>6625094</v>
      </c>
      <c r="M2612">
        <v>0</v>
      </c>
      <c r="N2612">
        <v>6625094</v>
      </c>
      <c r="O2612">
        <v>121695.33431300515</v>
      </c>
      <c r="P2612">
        <v>0</v>
      </c>
      <c r="Q2612">
        <v>6625094</v>
      </c>
      <c r="R2612">
        <v>121695.33431300515</v>
      </c>
      <c r="S2612" s="238" t="s">
        <v>124</v>
      </c>
      <c r="T2612" s="238" t="s">
        <v>3540</v>
      </c>
      <c r="U2612">
        <v>135206</v>
      </c>
      <c r="V2612" t="s">
        <v>1167</v>
      </c>
      <c r="W2612" s="24">
        <v>45726</v>
      </c>
      <c r="X2612" s="238" t="s">
        <v>8582</v>
      </c>
      <c r="Y2612" s="238" t="s">
        <v>39</v>
      </c>
      <c r="Z2612" s="238" t="s">
        <v>1340</v>
      </c>
      <c r="AA2612" t="s">
        <v>3113</v>
      </c>
      <c r="AB2612" s="238" t="s">
        <v>3246</v>
      </c>
      <c r="AC2612" t="s">
        <v>1167</v>
      </c>
      <c r="AD2612" s="24"/>
      <c r="AE2612" s="238" t="s">
        <v>8583</v>
      </c>
      <c r="AF2612">
        <v>79377240322</v>
      </c>
      <c r="AG2612" s="238" t="s">
        <v>8584</v>
      </c>
      <c r="AH2612" s="238" t="s">
        <v>4072</v>
      </c>
      <c r="AI2612" s="238" t="s">
        <v>7930</v>
      </c>
      <c r="AJ2612" s="238" t="s">
        <v>8380</v>
      </c>
      <c r="AK2612" s="238" t="s">
        <v>1167</v>
      </c>
      <c r="AL2612" t="s">
        <v>57</v>
      </c>
      <c r="AM2612" t="s">
        <v>1167</v>
      </c>
    </row>
    <row r="2613" spans="1:39" hidden="1" x14ac:dyDescent="0.25">
      <c r="A2613">
        <v>2610</v>
      </c>
      <c r="B2613">
        <v>9</v>
      </c>
      <c r="C2613" s="24">
        <v>45728</v>
      </c>
      <c r="D2613" s="238" t="s">
        <v>8060</v>
      </c>
      <c r="E2613" s="238" t="s">
        <v>42</v>
      </c>
      <c r="F2613">
        <v>1</v>
      </c>
      <c r="G2613">
        <v>17</v>
      </c>
      <c r="H2613">
        <v>91</v>
      </c>
      <c r="I2613" s="238" t="s">
        <v>4052</v>
      </c>
      <c r="J2613">
        <v>29.4</v>
      </c>
      <c r="K2613" s="238" t="s">
        <v>8787</v>
      </c>
      <c r="L2613">
        <v>4361196</v>
      </c>
      <c r="M2613">
        <v>0</v>
      </c>
      <c r="N2613">
        <v>4361196</v>
      </c>
      <c r="O2613">
        <v>148340</v>
      </c>
      <c r="P2613">
        <v>294000</v>
      </c>
      <c r="Q2613">
        <v>4067196</v>
      </c>
      <c r="R2613">
        <v>138340</v>
      </c>
      <c r="S2613" s="238" t="s">
        <v>124</v>
      </c>
      <c r="T2613" s="238" t="s">
        <v>3540</v>
      </c>
      <c r="U2613">
        <v>83004</v>
      </c>
      <c r="V2613" t="s">
        <v>1167</v>
      </c>
      <c r="W2613" s="24">
        <v>45728</v>
      </c>
      <c r="X2613" s="238" t="s">
        <v>8586</v>
      </c>
      <c r="Y2613" s="238" t="s">
        <v>1172</v>
      </c>
      <c r="Z2613" s="238" t="s">
        <v>1340</v>
      </c>
      <c r="AA2613" t="s">
        <v>3113</v>
      </c>
      <c r="AB2613" s="238" t="s">
        <v>3246</v>
      </c>
      <c r="AC2613" t="s">
        <v>1167</v>
      </c>
      <c r="AD2613" s="24">
        <v>45890</v>
      </c>
      <c r="AE2613" s="238" t="s">
        <v>8587</v>
      </c>
      <c r="AF2613">
        <v>79276588277</v>
      </c>
      <c r="AG2613" s="238" t="s">
        <v>8588</v>
      </c>
      <c r="AH2613" s="238" t="s">
        <v>4072</v>
      </c>
      <c r="AI2613" s="238" t="s">
        <v>8476</v>
      </c>
      <c r="AJ2613" s="238" t="s">
        <v>8512</v>
      </c>
      <c r="AK2613" s="238" t="s">
        <v>1167</v>
      </c>
      <c r="AL2613" t="s">
        <v>57</v>
      </c>
      <c r="AM2613" t="s">
        <v>1167</v>
      </c>
    </row>
    <row r="2614" spans="1:39" hidden="1" x14ac:dyDescent="0.25">
      <c r="A2614">
        <v>2611</v>
      </c>
      <c r="B2614">
        <v>10</v>
      </c>
      <c r="C2614" s="24">
        <v>45728</v>
      </c>
      <c r="D2614" s="238" t="s">
        <v>7562</v>
      </c>
      <c r="E2614" s="238" t="s">
        <v>43</v>
      </c>
      <c r="F2614">
        <v>5</v>
      </c>
      <c r="G2614">
        <v>10</v>
      </c>
      <c r="H2614">
        <v>101</v>
      </c>
      <c r="I2614" s="238" t="s">
        <v>43</v>
      </c>
      <c r="J2614">
        <v>49.2</v>
      </c>
      <c r="K2614" s="238" t="s">
        <v>36</v>
      </c>
      <c r="L2614">
        <v>6268080</v>
      </c>
      <c r="M2614">
        <v>0</v>
      </c>
      <c r="N2614">
        <v>6268080</v>
      </c>
      <c r="O2614">
        <v>127399.99999999999</v>
      </c>
      <c r="P2614">
        <v>0</v>
      </c>
      <c r="Q2614">
        <v>6268080</v>
      </c>
      <c r="R2614">
        <v>127399.99999999999</v>
      </c>
      <c r="S2614" s="238" t="s">
        <v>124</v>
      </c>
      <c r="T2614" s="238" t="s">
        <v>3566</v>
      </c>
      <c r="U2614">
        <v>127920</v>
      </c>
      <c r="V2614" t="s">
        <v>1167</v>
      </c>
      <c r="W2614" s="24">
        <v>45728</v>
      </c>
      <c r="X2614" s="238" t="s">
        <v>8589</v>
      </c>
      <c r="Y2614" s="238" t="s">
        <v>39</v>
      </c>
      <c r="Z2614" s="238" t="s">
        <v>1340</v>
      </c>
      <c r="AA2614" t="s">
        <v>3113</v>
      </c>
      <c r="AB2614" s="238" t="s">
        <v>3246</v>
      </c>
      <c r="AC2614" t="s">
        <v>1167</v>
      </c>
      <c r="AD2614" s="24"/>
      <c r="AE2614" s="238" t="s">
        <v>8590</v>
      </c>
      <c r="AF2614">
        <v>79171479199</v>
      </c>
      <c r="AG2614" s="238" t="s">
        <v>8591</v>
      </c>
      <c r="AH2614" s="238" t="s">
        <v>1171</v>
      </c>
      <c r="AI2614" s="238" t="s">
        <v>3090</v>
      </c>
      <c r="AJ2614" s="238" t="s">
        <v>8512</v>
      </c>
      <c r="AK2614" s="238" t="s">
        <v>1167</v>
      </c>
      <c r="AL2614" t="s">
        <v>8715</v>
      </c>
      <c r="AM2614" t="s">
        <v>1167</v>
      </c>
    </row>
    <row r="2615" spans="1:39" hidden="1" x14ac:dyDescent="0.25">
      <c r="A2615">
        <v>2612</v>
      </c>
      <c r="B2615">
        <v>11</v>
      </c>
      <c r="C2615" s="24">
        <v>45730</v>
      </c>
      <c r="D2615" s="238" t="s">
        <v>8060</v>
      </c>
      <c r="E2615" s="238" t="s">
        <v>44</v>
      </c>
      <c r="F2615">
        <v>1</v>
      </c>
      <c r="G2615">
        <v>19</v>
      </c>
      <c r="H2615">
        <v>283</v>
      </c>
      <c r="I2615" s="238" t="s">
        <v>42</v>
      </c>
      <c r="J2615">
        <v>43.88</v>
      </c>
      <c r="K2615" s="238" t="s">
        <v>36</v>
      </c>
      <c r="L2615">
        <v>5573358</v>
      </c>
      <c r="M2615">
        <v>0</v>
      </c>
      <c r="N2615">
        <v>5573358</v>
      </c>
      <c r="O2615">
        <v>127013.62807657247</v>
      </c>
      <c r="P2615">
        <v>0</v>
      </c>
      <c r="Q2615">
        <v>5573358</v>
      </c>
      <c r="R2615">
        <v>127013.62807657247</v>
      </c>
      <c r="S2615" s="238" t="s">
        <v>124</v>
      </c>
      <c r="T2615" s="238" t="s">
        <v>4360</v>
      </c>
      <c r="U2615">
        <v>113742</v>
      </c>
      <c r="V2615" t="s">
        <v>1167</v>
      </c>
      <c r="W2615" s="24">
        <v>45729</v>
      </c>
      <c r="X2615" s="238" t="s">
        <v>8599</v>
      </c>
      <c r="Y2615" s="238" t="s">
        <v>39</v>
      </c>
      <c r="Z2615" s="238" t="s">
        <v>1340</v>
      </c>
      <c r="AA2615" t="s">
        <v>3113</v>
      </c>
      <c r="AB2615" s="238" t="s">
        <v>3246</v>
      </c>
      <c r="AC2615" t="s">
        <v>1167</v>
      </c>
      <c r="AD2615" s="24"/>
      <c r="AE2615" s="238" t="s">
        <v>8600</v>
      </c>
      <c r="AF2615">
        <v>79370707310</v>
      </c>
      <c r="AG2615" s="238" t="s">
        <v>8601</v>
      </c>
      <c r="AH2615" s="238" t="s">
        <v>4072</v>
      </c>
      <c r="AI2615" s="238" t="s">
        <v>7930</v>
      </c>
      <c r="AJ2615" s="238" t="s">
        <v>8380</v>
      </c>
      <c r="AK2615" s="238" t="s">
        <v>1167</v>
      </c>
      <c r="AL2615" t="s">
        <v>57</v>
      </c>
      <c r="AM2615" t="s">
        <v>1167</v>
      </c>
    </row>
    <row r="2616" spans="1:39" hidden="1" x14ac:dyDescent="0.25">
      <c r="A2616">
        <v>2613</v>
      </c>
      <c r="B2616">
        <v>12</v>
      </c>
      <c r="C2616" s="24">
        <v>45730</v>
      </c>
      <c r="D2616" s="238" t="s">
        <v>8060</v>
      </c>
      <c r="E2616" s="238" t="s">
        <v>44</v>
      </c>
      <c r="F2616">
        <v>1</v>
      </c>
      <c r="G2616">
        <v>15</v>
      </c>
      <c r="H2616">
        <v>259</v>
      </c>
      <c r="I2616" s="238" t="s">
        <v>42</v>
      </c>
      <c r="J2616">
        <v>43.88</v>
      </c>
      <c r="K2616" s="238" t="s">
        <v>36</v>
      </c>
      <c r="L2616">
        <v>5468204</v>
      </c>
      <c r="M2616">
        <v>0</v>
      </c>
      <c r="N2616">
        <v>5468204</v>
      </c>
      <c r="O2616">
        <v>124617.22880583409</v>
      </c>
      <c r="P2616">
        <v>0</v>
      </c>
      <c r="Q2616">
        <v>5468204</v>
      </c>
      <c r="R2616">
        <v>124617.22880583409</v>
      </c>
      <c r="S2616" s="238" t="s">
        <v>124</v>
      </c>
      <c r="T2616" s="238" t="s">
        <v>4360</v>
      </c>
      <c r="U2616">
        <v>111596.00000000093</v>
      </c>
      <c r="V2616" t="s">
        <v>1167</v>
      </c>
      <c r="W2616" s="24">
        <v>45729</v>
      </c>
      <c r="X2616" s="238" t="s">
        <v>8602</v>
      </c>
      <c r="Y2616" s="238" t="s">
        <v>39</v>
      </c>
      <c r="Z2616" s="238" t="s">
        <v>1340</v>
      </c>
      <c r="AA2616" t="s">
        <v>3113</v>
      </c>
      <c r="AB2616" s="238" t="s">
        <v>3246</v>
      </c>
      <c r="AC2616" t="s">
        <v>1167</v>
      </c>
      <c r="AD2616" s="24"/>
      <c r="AE2616" s="238" t="s">
        <v>8603</v>
      </c>
      <c r="AF2616">
        <v>79874392447</v>
      </c>
      <c r="AG2616" s="238" t="s">
        <v>8604</v>
      </c>
      <c r="AH2616" s="238" t="s">
        <v>4072</v>
      </c>
      <c r="AI2616" s="238" t="s">
        <v>7930</v>
      </c>
      <c r="AJ2616" s="238" t="s">
        <v>5215</v>
      </c>
      <c r="AK2616" s="238" t="s">
        <v>1167</v>
      </c>
      <c r="AL2616" t="s">
        <v>57</v>
      </c>
      <c r="AM2616" t="s">
        <v>1167</v>
      </c>
    </row>
    <row r="2617" spans="1:39" hidden="1" x14ac:dyDescent="0.25">
      <c r="A2617">
        <v>2614</v>
      </c>
      <c r="B2617">
        <v>13</v>
      </c>
      <c r="C2617" s="24">
        <v>45733</v>
      </c>
      <c r="D2617" s="238" t="s">
        <v>8060</v>
      </c>
      <c r="E2617" s="238" t="s">
        <v>42</v>
      </c>
      <c r="F2617">
        <v>5</v>
      </c>
      <c r="G2617">
        <v>17</v>
      </c>
      <c r="H2617">
        <v>95</v>
      </c>
      <c r="I2617" s="238" t="s">
        <v>42</v>
      </c>
      <c r="J2617">
        <v>36.64</v>
      </c>
      <c r="K2617" s="238" t="s">
        <v>8787</v>
      </c>
      <c r="L2617">
        <v>5040706</v>
      </c>
      <c r="M2617">
        <v>0</v>
      </c>
      <c r="N2617">
        <v>5040706</v>
      </c>
      <c r="O2617">
        <v>137573.85371179041</v>
      </c>
      <c r="P2617">
        <v>366400</v>
      </c>
      <c r="Q2617">
        <v>4674306</v>
      </c>
      <c r="R2617">
        <v>127573.85371179039</v>
      </c>
      <c r="S2617" s="238" t="s">
        <v>124</v>
      </c>
      <c r="T2617" s="238" t="s">
        <v>3540</v>
      </c>
      <c r="U2617">
        <v>95394.000000000931</v>
      </c>
      <c r="V2617" t="s">
        <v>1167</v>
      </c>
      <c r="W2617" s="24">
        <v>45720</v>
      </c>
      <c r="X2617" s="238" t="s">
        <v>8605</v>
      </c>
      <c r="Y2617" s="238" t="s">
        <v>39</v>
      </c>
      <c r="Z2617" s="238" t="s">
        <v>1340</v>
      </c>
      <c r="AA2617" t="s">
        <v>3113</v>
      </c>
      <c r="AB2617" s="238" t="s">
        <v>3246</v>
      </c>
      <c r="AC2617" t="s">
        <v>1167</v>
      </c>
      <c r="AD2617" s="24"/>
      <c r="AE2617" s="238" t="s">
        <v>8606</v>
      </c>
      <c r="AF2617">
        <v>79879333398</v>
      </c>
      <c r="AG2617" s="238" t="s">
        <v>8607</v>
      </c>
      <c r="AH2617" s="238" t="s">
        <v>4072</v>
      </c>
      <c r="AI2617" s="238" t="s">
        <v>7286</v>
      </c>
      <c r="AJ2617" s="238" t="s">
        <v>126</v>
      </c>
      <c r="AK2617" s="238" t="s">
        <v>1167</v>
      </c>
      <c r="AL2617" t="s">
        <v>57</v>
      </c>
      <c r="AM2617" t="s">
        <v>1167</v>
      </c>
    </row>
    <row r="2618" spans="1:39" hidden="1" x14ac:dyDescent="0.25">
      <c r="A2618">
        <v>2615</v>
      </c>
      <c r="B2618">
        <v>14</v>
      </c>
      <c r="C2618" s="24">
        <v>45733</v>
      </c>
      <c r="D2618" s="238" t="s">
        <v>8060</v>
      </c>
      <c r="E2618" s="238" t="s">
        <v>44</v>
      </c>
      <c r="F2618">
        <v>2</v>
      </c>
      <c r="G2618">
        <v>11</v>
      </c>
      <c r="H2618">
        <v>236</v>
      </c>
      <c r="I2618" s="238" t="s">
        <v>42</v>
      </c>
      <c r="J2618">
        <v>36.549999999999997</v>
      </c>
      <c r="K2618" s="238" t="s">
        <v>8787</v>
      </c>
      <c r="L2618">
        <v>5098312</v>
      </c>
      <c r="M2618">
        <v>0</v>
      </c>
      <c r="N2618">
        <v>5098312</v>
      </c>
      <c r="O2618">
        <v>139488.70041039673</v>
      </c>
      <c r="P2618">
        <v>365500</v>
      </c>
      <c r="Q2618">
        <v>4732812</v>
      </c>
      <c r="R2618">
        <v>129488.70041039673</v>
      </c>
      <c r="S2618" s="238" t="s">
        <v>124</v>
      </c>
      <c r="T2618" s="238" t="s">
        <v>3540</v>
      </c>
      <c r="U2618">
        <v>96588</v>
      </c>
      <c r="V2618" t="s">
        <v>1167</v>
      </c>
      <c r="W2618" s="24">
        <v>45733</v>
      </c>
      <c r="X2618" s="238" t="s">
        <v>8608</v>
      </c>
      <c r="Y2618" s="238" t="s">
        <v>39</v>
      </c>
      <c r="Z2618" s="238" t="s">
        <v>1340</v>
      </c>
      <c r="AA2618" t="s">
        <v>3113</v>
      </c>
      <c r="AB2618" s="238" t="s">
        <v>3246</v>
      </c>
      <c r="AC2618" t="s">
        <v>1167</v>
      </c>
      <c r="AD2618" s="24"/>
      <c r="AE2618" s="238" t="s">
        <v>8609</v>
      </c>
      <c r="AF2618">
        <v>79179676211</v>
      </c>
      <c r="AG2618" s="238" t="s">
        <v>8610</v>
      </c>
      <c r="AH2618" s="238" t="s">
        <v>1197</v>
      </c>
      <c r="AI2618" s="238" t="s">
        <v>7286</v>
      </c>
      <c r="AJ2618" s="238" t="s">
        <v>8380</v>
      </c>
      <c r="AK2618" s="238" t="s">
        <v>1167</v>
      </c>
      <c r="AL2618" t="s">
        <v>57</v>
      </c>
      <c r="AM2618" t="s">
        <v>1167</v>
      </c>
    </row>
    <row r="2619" spans="1:39" hidden="1" x14ac:dyDescent="0.25">
      <c r="A2619">
        <v>2616</v>
      </c>
      <c r="B2619">
        <v>15</v>
      </c>
      <c r="C2619" s="24">
        <v>45733</v>
      </c>
      <c r="D2619" s="238" t="s">
        <v>8060</v>
      </c>
      <c r="E2619" s="238" t="s">
        <v>44</v>
      </c>
      <c r="F2619">
        <v>2</v>
      </c>
      <c r="G2619">
        <v>8</v>
      </c>
      <c r="H2619">
        <v>218</v>
      </c>
      <c r="I2619" s="238" t="s">
        <v>42</v>
      </c>
      <c r="J2619">
        <v>36.64</v>
      </c>
      <c r="K2619" s="238" t="s">
        <v>8787</v>
      </c>
      <c r="L2619">
        <v>5110776</v>
      </c>
      <c r="M2619">
        <v>0</v>
      </c>
      <c r="N2619">
        <v>5110776</v>
      </c>
      <c r="O2619">
        <v>139486.24454148472</v>
      </c>
      <c r="P2619">
        <v>366400</v>
      </c>
      <c r="Q2619">
        <v>4744376</v>
      </c>
      <c r="R2619">
        <v>129486.24454148472</v>
      </c>
      <c r="S2619" s="238" t="s">
        <v>124</v>
      </c>
      <c r="T2619" s="238" t="s">
        <v>4360</v>
      </c>
      <c r="U2619">
        <v>96824.000000000931</v>
      </c>
      <c r="V2619" t="s">
        <v>1167</v>
      </c>
      <c r="W2619" s="24">
        <v>45733</v>
      </c>
      <c r="X2619" s="238" t="s">
        <v>8611</v>
      </c>
      <c r="Y2619" s="238" t="s">
        <v>39</v>
      </c>
      <c r="Z2619" s="238" t="s">
        <v>1340</v>
      </c>
      <c r="AA2619" t="s">
        <v>3113</v>
      </c>
      <c r="AB2619" s="238" t="s">
        <v>3246</v>
      </c>
      <c r="AC2619" t="s">
        <v>1167</v>
      </c>
      <c r="AD2619" s="24"/>
      <c r="AE2619" s="238" t="s">
        <v>8609</v>
      </c>
      <c r="AF2619">
        <v>79179676211</v>
      </c>
      <c r="AG2619" s="238" t="s">
        <v>8610</v>
      </c>
      <c r="AH2619" s="238" t="s">
        <v>4072</v>
      </c>
      <c r="AI2619" s="238" t="s">
        <v>7286</v>
      </c>
      <c r="AJ2619" s="238" t="s">
        <v>8380</v>
      </c>
      <c r="AK2619" s="238" t="s">
        <v>1167</v>
      </c>
      <c r="AL2619" t="s">
        <v>57</v>
      </c>
      <c r="AM2619" t="s">
        <v>1167</v>
      </c>
    </row>
    <row r="2620" spans="1:39" x14ac:dyDescent="0.25">
      <c r="A2620">
        <v>2617</v>
      </c>
      <c r="B2620">
        <v>16</v>
      </c>
      <c r="C2620" s="24">
        <v>45735</v>
      </c>
      <c r="D2620" s="238" t="s">
        <v>3388</v>
      </c>
      <c r="E2620" s="238" t="s">
        <v>16</v>
      </c>
      <c r="F2620">
        <v>7</v>
      </c>
      <c r="G2620">
        <v>5</v>
      </c>
      <c r="H2620">
        <v>256</v>
      </c>
      <c r="I2620" s="238" t="s">
        <v>42</v>
      </c>
      <c r="J2620">
        <v>34.81</v>
      </c>
      <c r="K2620" s="238" t="s">
        <v>36</v>
      </c>
      <c r="L2620">
        <v>4974480</v>
      </c>
      <c r="M2620">
        <v>0</v>
      </c>
      <c r="N2620">
        <v>4974480</v>
      </c>
      <c r="O2620">
        <v>142903.76328641194</v>
      </c>
      <c r="P2620">
        <v>0</v>
      </c>
      <c r="Q2620">
        <v>4974480</v>
      </c>
      <c r="R2620">
        <v>142903.76328641194</v>
      </c>
      <c r="S2620" s="238" t="s">
        <v>137</v>
      </c>
      <c r="T2620" s="238" t="s">
        <v>3540</v>
      </c>
      <c r="U2620">
        <v>101520</v>
      </c>
      <c r="V2620" t="s">
        <v>4092</v>
      </c>
      <c r="W2620" s="24">
        <v>45735</v>
      </c>
      <c r="X2620" s="238" t="s">
        <v>8612</v>
      </c>
      <c r="Y2620" s="238" t="s">
        <v>39</v>
      </c>
      <c r="Z2620" s="238" t="s">
        <v>1340</v>
      </c>
      <c r="AA2620" t="s">
        <v>3113</v>
      </c>
      <c r="AB2620" s="238" t="s">
        <v>3246</v>
      </c>
      <c r="AC2620" t="s">
        <v>3079</v>
      </c>
      <c r="AD2620" s="24"/>
      <c r="AE2620" s="238" t="s">
        <v>8613</v>
      </c>
      <c r="AF2620">
        <v>79871560595</v>
      </c>
      <c r="AG2620" s="238" t="s">
        <v>8614</v>
      </c>
      <c r="AH2620" s="238" t="s">
        <v>1171</v>
      </c>
      <c r="AI2620" s="238" t="s">
        <v>3103</v>
      </c>
      <c r="AJ2620" s="238" t="s">
        <v>8380</v>
      </c>
      <c r="AK2620" s="238" t="s">
        <v>3345</v>
      </c>
      <c r="AL2620" t="s">
        <v>8715</v>
      </c>
      <c r="AM2620" t="s">
        <v>1167</v>
      </c>
    </row>
    <row r="2621" spans="1:39" x14ac:dyDescent="0.25">
      <c r="A2621">
        <v>2618</v>
      </c>
      <c r="B2621">
        <v>17</v>
      </c>
      <c r="C2621" s="24">
        <v>45737</v>
      </c>
      <c r="D2621" s="238" t="s">
        <v>3388</v>
      </c>
      <c r="E2621" s="238" t="s">
        <v>15</v>
      </c>
      <c r="F2621">
        <v>4</v>
      </c>
      <c r="G2621">
        <v>18</v>
      </c>
      <c r="H2621">
        <v>528</v>
      </c>
      <c r="I2621" s="238" t="s">
        <v>43</v>
      </c>
      <c r="J2621">
        <v>58.24</v>
      </c>
      <c r="K2621" s="238" t="s">
        <v>38</v>
      </c>
      <c r="L2621">
        <v>8004976.0000000009</v>
      </c>
      <c r="M2621">
        <v>0</v>
      </c>
      <c r="N2621">
        <v>8004976.0000000009</v>
      </c>
      <c r="O2621">
        <v>137448.07692307694</v>
      </c>
      <c r="P2621">
        <v>1456000.0000000009</v>
      </c>
      <c r="Q2621">
        <v>6548976</v>
      </c>
      <c r="R2621">
        <v>112448.07692307692</v>
      </c>
      <c r="S2621" s="238" t="s">
        <v>121</v>
      </c>
      <c r="T2621" s="238" t="s">
        <v>8615</v>
      </c>
      <c r="U2621">
        <v>511824</v>
      </c>
      <c r="V2621" t="s">
        <v>1167</v>
      </c>
      <c r="W2621" s="24">
        <v>45737</v>
      </c>
      <c r="X2621" s="238" t="s">
        <v>8616</v>
      </c>
      <c r="Y2621" s="238" t="s">
        <v>39</v>
      </c>
      <c r="Z2621" s="238" t="s">
        <v>1340</v>
      </c>
      <c r="AA2621" t="s">
        <v>3113</v>
      </c>
      <c r="AB2621" s="238" t="s">
        <v>3246</v>
      </c>
      <c r="AC2621" t="s">
        <v>1167</v>
      </c>
      <c r="AD2621" s="24"/>
      <c r="AE2621" s="238" t="s">
        <v>8617</v>
      </c>
      <c r="AF2621">
        <v>79038205784</v>
      </c>
      <c r="AG2621" s="238" t="s">
        <v>8618</v>
      </c>
      <c r="AH2621" s="238" t="s">
        <v>1212</v>
      </c>
      <c r="AI2621" s="238" t="s">
        <v>3514</v>
      </c>
      <c r="AJ2621" s="238" t="s">
        <v>126</v>
      </c>
      <c r="AK2621" s="238" t="s">
        <v>1167</v>
      </c>
      <c r="AL2621" t="s">
        <v>8715</v>
      </c>
      <c r="AM2621" t="s">
        <v>8765</v>
      </c>
    </row>
    <row r="2622" spans="1:39" hidden="1" x14ac:dyDescent="0.25">
      <c r="A2622">
        <v>2619</v>
      </c>
      <c r="B2622">
        <v>18</v>
      </c>
      <c r="C2622" s="24">
        <v>45737</v>
      </c>
      <c r="D2622" s="238" t="s">
        <v>27</v>
      </c>
      <c r="E2622" s="238" t="s">
        <v>5</v>
      </c>
      <c r="F2622">
        <v>2</v>
      </c>
      <c r="G2622">
        <v>1</v>
      </c>
      <c r="H2622">
        <v>6</v>
      </c>
      <c r="I2622" s="238" t="s">
        <v>3946</v>
      </c>
      <c r="J2622">
        <v>149.19999999999999</v>
      </c>
      <c r="K2622" s="238" t="s">
        <v>36</v>
      </c>
      <c r="L2622">
        <v>18000000</v>
      </c>
      <c r="M2622">
        <v>0</v>
      </c>
      <c r="N2622">
        <v>18000000</v>
      </c>
      <c r="O2622">
        <v>120643.43163538876</v>
      </c>
      <c r="P2622">
        <v>0</v>
      </c>
      <c r="Q2622">
        <v>18000000</v>
      </c>
      <c r="R2622">
        <v>120643.43163538876</v>
      </c>
      <c r="S2622" s="238" t="s">
        <v>121</v>
      </c>
      <c r="T2622" s="238" t="s">
        <v>321</v>
      </c>
      <c r="U2622">
        <v>1396000</v>
      </c>
      <c r="V2622" t="s">
        <v>1167</v>
      </c>
      <c r="W2622" s="24">
        <v>45729</v>
      </c>
      <c r="X2622" s="238" t="s">
        <v>8619</v>
      </c>
      <c r="Y2622" s="238" t="s">
        <v>3946</v>
      </c>
      <c r="Z2622" s="238" t="s">
        <v>1168</v>
      </c>
      <c r="AA2622" t="s">
        <v>1167</v>
      </c>
      <c r="AB2622" s="238" t="s">
        <v>3124</v>
      </c>
      <c r="AC2622" t="s">
        <v>1167</v>
      </c>
      <c r="AD2622" s="24"/>
      <c r="AE2622" s="238" t="s">
        <v>8620</v>
      </c>
      <c r="AF2622">
        <v>79276004200</v>
      </c>
      <c r="AG2622" s="238" t="s">
        <v>8621</v>
      </c>
      <c r="AH2622" s="238" t="s">
        <v>1212</v>
      </c>
      <c r="AI2622" s="238" t="s">
        <v>3103</v>
      </c>
      <c r="AJ2622" s="238" t="s">
        <v>126</v>
      </c>
      <c r="AK2622" s="238" t="s">
        <v>1167</v>
      </c>
      <c r="AL2622" t="s">
        <v>8715</v>
      </c>
      <c r="AM2622" t="s">
        <v>1167</v>
      </c>
    </row>
    <row r="2623" spans="1:39" hidden="1" x14ac:dyDescent="0.25">
      <c r="A2623">
        <v>2620</v>
      </c>
      <c r="B2623">
        <v>19</v>
      </c>
      <c r="C2623" s="24">
        <v>45737</v>
      </c>
      <c r="D2623" s="238" t="s">
        <v>8060</v>
      </c>
      <c r="E2623" s="238" t="s">
        <v>44</v>
      </c>
      <c r="F2623">
        <v>2</v>
      </c>
      <c r="G2623">
        <v>15</v>
      </c>
      <c r="H2623">
        <v>260</v>
      </c>
      <c r="I2623" s="238" t="s">
        <v>42</v>
      </c>
      <c r="J2623">
        <v>36.35</v>
      </c>
      <c r="K2623" s="238" t="s">
        <v>36</v>
      </c>
      <c r="L2623">
        <v>4851000</v>
      </c>
      <c r="M2623">
        <v>0</v>
      </c>
      <c r="N2623">
        <v>4851000</v>
      </c>
      <c r="O2623">
        <v>133452.54470426409</v>
      </c>
      <c r="P2623">
        <v>0</v>
      </c>
      <c r="Q2623">
        <v>4851000</v>
      </c>
      <c r="R2623">
        <v>133452.54470426409</v>
      </c>
      <c r="S2623" s="238" t="s">
        <v>124</v>
      </c>
      <c r="T2623" s="238" t="s">
        <v>1167</v>
      </c>
      <c r="V2623" t="s">
        <v>1167</v>
      </c>
      <c r="W2623" s="24">
        <v>45733</v>
      </c>
      <c r="X2623" s="238" t="s">
        <v>8622</v>
      </c>
      <c r="Y2623" s="238" t="s">
        <v>39</v>
      </c>
      <c r="Z2623" s="238" t="s">
        <v>1340</v>
      </c>
      <c r="AA2623" t="s">
        <v>3113</v>
      </c>
      <c r="AB2623" s="238" t="s">
        <v>3246</v>
      </c>
      <c r="AC2623" t="s">
        <v>1167</v>
      </c>
      <c r="AD2623" s="24"/>
      <c r="AE2623" s="238" t="s">
        <v>8623</v>
      </c>
      <c r="AF2623">
        <v>79297002507</v>
      </c>
      <c r="AG2623" s="238" t="s">
        <v>8624</v>
      </c>
      <c r="AH2623" s="238" t="s">
        <v>1212</v>
      </c>
      <c r="AI2623" s="238" t="s">
        <v>135</v>
      </c>
      <c r="AJ2623" s="238" t="s">
        <v>8512</v>
      </c>
      <c r="AK2623" s="238" t="s">
        <v>1167</v>
      </c>
      <c r="AL2623" t="s">
        <v>8715</v>
      </c>
      <c r="AM2623" t="s">
        <v>1167</v>
      </c>
    </row>
    <row r="2624" spans="1:39" hidden="1" x14ac:dyDescent="0.25">
      <c r="A2624">
        <v>2621</v>
      </c>
      <c r="B2624">
        <v>20</v>
      </c>
      <c r="C2624" s="24">
        <v>45740</v>
      </c>
      <c r="D2624" s="238" t="s">
        <v>8060</v>
      </c>
      <c r="E2624" s="238" t="s">
        <v>42</v>
      </c>
      <c r="F2624">
        <v>5</v>
      </c>
      <c r="G2624">
        <v>15</v>
      </c>
      <c r="H2624">
        <v>83</v>
      </c>
      <c r="I2624" s="238" t="s">
        <v>42</v>
      </c>
      <c r="J2624">
        <v>36.64</v>
      </c>
      <c r="K2624" s="238" t="s">
        <v>36</v>
      </c>
      <c r="L2624">
        <v>4658718</v>
      </c>
      <c r="M2624">
        <v>15000</v>
      </c>
      <c r="N2624">
        <v>4673718</v>
      </c>
      <c r="O2624">
        <v>127557.80567685589</v>
      </c>
      <c r="P2624">
        <v>0</v>
      </c>
      <c r="Q2624">
        <v>4673718</v>
      </c>
      <c r="R2624">
        <v>127557.80567685589</v>
      </c>
      <c r="S2624" s="238" t="s">
        <v>124</v>
      </c>
      <c r="T2624" s="238" t="s">
        <v>3540</v>
      </c>
      <c r="U2624">
        <v>95382</v>
      </c>
      <c r="V2624" t="s">
        <v>1167</v>
      </c>
      <c r="W2624" s="24">
        <v>45719</v>
      </c>
      <c r="X2624" s="238" t="s">
        <v>8631</v>
      </c>
      <c r="Y2624" s="238" t="s">
        <v>39</v>
      </c>
      <c r="Z2624" s="238" t="s">
        <v>1340</v>
      </c>
      <c r="AA2624" t="s">
        <v>3113</v>
      </c>
      <c r="AB2624" s="238" t="s">
        <v>3246</v>
      </c>
      <c r="AC2624" t="s">
        <v>1167</v>
      </c>
      <c r="AD2624" s="24"/>
      <c r="AE2624" s="238" t="s">
        <v>8632</v>
      </c>
      <c r="AF2624">
        <v>79228939646</v>
      </c>
      <c r="AG2624" s="238" t="s">
        <v>8633</v>
      </c>
      <c r="AH2624" s="238" t="s">
        <v>1212</v>
      </c>
      <c r="AI2624" s="238" t="s">
        <v>3514</v>
      </c>
      <c r="AJ2624" s="238" t="s">
        <v>8380</v>
      </c>
      <c r="AK2624" s="238" t="s">
        <v>1167</v>
      </c>
      <c r="AL2624" t="s">
        <v>8715</v>
      </c>
      <c r="AM2624" t="s">
        <v>1167</v>
      </c>
    </row>
    <row r="2625" spans="1:39" hidden="1" x14ac:dyDescent="0.25">
      <c r="A2625">
        <v>2622</v>
      </c>
      <c r="B2625">
        <v>21</v>
      </c>
      <c r="C2625" s="24">
        <v>45740</v>
      </c>
      <c r="D2625" s="238" t="s">
        <v>8060</v>
      </c>
      <c r="E2625" s="238" t="s">
        <v>44</v>
      </c>
      <c r="F2625">
        <v>3</v>
      </c>
      <c r="G2625">
        <v>6</v>
      </c>
      <c r="H2625">
        <v>207</v>
      </c>
      <c r="I2625" s="238" t="s">
        <v>43</v>
      </c>
      <c r="J2625">
        <v>54.44</v>
      </c>
      <c r="K2625" s="238" t="s">
        <v>8787</v>
      </c>
      <c r="L2625">
        <v>7169494</v>
      </c>
      <c r="M2625">
        <v>0</v>
      </c>
      <c r="N2625">
        <v>7169494</v>
      </c>
      <c r="O2625">
        <v>131695.33431300515</v>
      </c>
      <c r="P2625">
        <v>544400</v>
      </c>
      <c r="Q2625">
        <v>6625094</v>
      </c>
      <c r="R2625">
        <v>121695.33431300515</v>
      </c>
      <c r="S2625" s="238" t="s">
        <v>124</v>
      </c>
      <c r="T2625" s="238" t="s">
        <v>3540</v>
      </c>
      <c r="U2625">
        <v>135206.00000000093</v>
      </c>
      <c r="V2625" t="s">
        <v>1167</v>
      </c>
      <c r="W2625" s="24">
        <v>45735</v>
      </c>
      <c r="X2625" s="238" t="s">
        <v>8634</v>
      </c>
      <c r="Y2625" s="238" t="s">
        <v>39</v>
      </c>
      <c r="Z2625" s="238" t="s">
        <v>1340</v>
      </c>
      <c r="AA2625" t="s">
        <v>3113</v>
      </c>
      <c r="AB2625" s="238" t="s">
        <v>3246</v>
      </c>
      <c r="AC2625" t="s">
        <v>1167</v>
      </c>
      <c r="AD2625" s="24"/>
      <c r="AE2625" s="238" t="s">
        <v>8635</v>
      </c>
      <c r="AF2625">
        <v>79276192977</v>
      </c>
      <c r="AG2625" s="238" t="s">
        <v>1167</v>
      </c>
      <c r="AH2625" s="238" t="s">
        <v>4072</v>
      </c>
      <c r="AI2625" s="238" t="s">
        <v>7173</v>
      </c>
      <c r="AJ2625" s="238" t="s">
        <v>126</v>
      </c>
      <c r="AK2625" s="238" t="s">
        <v>1167</v>
      </c>
      <c r="AL2625" t="s">
        <v>57</v>
      </c>
      <c r="AM2625" t="s">
        <v>1167</v>
      </c>
    </row>
    <row r="2626" spans="1:39" hidden="1" x14ac:dyDescent="0.25">
      <c r="A2626">
        <v>2623</v>
      </c>
      <c r="B2626">
        <v>22</v>
      </c>
      <c r="C2626" s="24">
        <v>45740</v>
      </c>
      <c r="D2626" s="238" t="s">
        <v>8060</v>
      </c>
      <c r="E2626" s="238" t="s">
        <v>44</v>
      </c>
      <c r="F2626">
        <v>3</v>
      </c>
      <c r="G2626">
        <v>13</v>
      </c>
      <c r="H2626">
        <v>249</v>
      </c>
      <c r="I2626" s="238" t="s">
        <v>43</v>
      </c>
      <c r="J2626">
        <v>54.35</v>
      </c>
      <c r="K2626" s="238" t="s">
        <v>36</v>
      </c>
      <c r="L2626">
        <v>6749100</v>
      </c>
      <c r="M2626">
        <v>0</v>
      </c>
      <c r="N2626">
        <v>6749100</v>
      </c>
      <c r="O2626">
        <v>124178.47286108555</v>
      </c>
      <c r="P2626">
        <v>0</v>
      </c>
      <c r="Q2626">
        <v>6749100</v>
      </c>
      <c r="R2626">
        <v>124178.47286108555</v>
      </c>
      <c r="S2626" s="238" t="s">
        <v>124</v>
      </c>
      <c r="T2626" s="238" t="s">
        <v>1167</v>
      </c>
      <c r="V2626" t="s">
        <v>1167</v>
      </c>
      <c r="W2626" s="24">
        <v>45736</v>
      </c>
      <c r="X2626" s="238" t="s">
        <v>8636</v>
      </c>
      <c r="Y2626" s="238" t="s">
        <v>39</v>
      </c>
      <c r="Z2626" s="238" t="s">
        <v>1340</v>
      </c>
      <c r="AA2626" t="s">
        <v>3113</v>
      </c>
      <c r="AB2626" s="238" t="s">
        <v>3246</v>
      </c>
      <c r="AC2626" t="s">
        <v>1167</v>
      </c>
      <c r="AD2626" s="24"/>
      <c r="AE2626" s="238" t="s">
        <v>8637</v>
      </c>
      <c r="AF2626">
        <v>79370702031</v>
      </c>
      <c r="AG2626" s="238" t="s">
        <v>8638</v>
      </c>
      <c r="AH2626" s="238" t="s">
        <v>1197</v>
      </c>
      <c r="AI2626" s="238" t="s">
        <v>3103</v>
      </c>
      <c r="AJ2626" s="238" t="s">
        <v>126</v>
      </c>
      <c r="AK2626" s="238" t="s">
        <v>1167</v>
      </c>
      <c r="AL2626" t="s">
        <v>8715</v>
      </c>
      <c r="AM2626" t="s">
        <v>1167</v>
      </c>
    </row>
    <row r="2627" spans="1:39" x14ac:dyDescent="0.25">
      <c r="A2627">
        <v>2624</v>
      </c>
      <c r="B2627">
        <v>23</v>
      </c>
      <c r="C2627" s="24">
        <v>45741</v>
      </c>
      <c r="D2627" s="238" t="s">
        <v>3388</v>
      </c>
      <c r="E2627" s="238" t="s">
        <v>15</v>
      </c>
      <c r="F2627">
        <v>6</v>
      </c>
      <c r="G2627">
        <v>18</v>
      </c>
      <c r="H2627">
        <v>530</v>
      </c>
      <c r="I2627" s="238" t="s">
        <v>42</v>
      </c>
      <c r="J2627">
        <v>38.299999999999997</v>
      </c>
      <c r="K2627" s="238" t="s">
        <v>38</v>
      </c>
      <c r="L2627">
        <v>6145718</v>
      </c>
      <c r="M2627">
        <v>0</v>
      </c>
      <c r="N2627">
        <v>6145718</v>
      </c>
      <c r="O2627">
        <v>160462.61096605746</v>
      </c>
      <c r="P2627">
        <v>957499.99999999988</v>
      </c>
      <c r="Q2627">
        <v>5188218</v>
      </c>
      <c r="R2627">
        <v>135462.61096605746</v>
      </c>
      <c r="S2627" s="238" t="s">
        <v>124</v>
      </c>
      <c r="T2627" s="238" t="s">
        <v>321</v>
      </c>
      <c r="U2627">
        <v>105882</v>
      </c>
      <c r="V2627" t="s">
        <v>1167</v>
      </c>
      <c r="W2627" s="24">
        <v>45735</v>
      </c>
      <c r="X2627" s="238" t="s">
        <v>8639</v>
      </c>
      <c r="Y2627" s="238" t="s">
        <v>39</v>
      </c>
      <c r="Z2627" s="238" t="s">
        <v>1340</v>
      </c>
      <c r="AA2627" t="s">
        <v>3113</v>
      </c>
      <c r="AB2627" s="238" t="s">
        <v>3246</v>
      </c>
      <c r="AC2627" t="s">
        <v>1167</v>
      </c>
      <c r="AD2627" s="24"/>
      <c r="AE2627" s="238" t="s">
        <v>8640</v>
      </c>
      <c r="AF2627">
        <v>79179402370</v>
      </c>
      <c r="AG2627" s="238" t="s">
        <v>8641</v>
      </c>
      <c r="AH2627" s="238" t="s">
        <v>135</v>
      </c>
      <c r="AI2627" s="238" t="s">
        <v>3075</v>
      </c>
      <c r="AJ2627" s="238" t="s">
        <v>8512</v>
      </c>
      <c r="AK2627" s="238" t="s">
        <v>1167</v>
      </c>
      <c r="AL2627" t="s">
        <v>8715</v>
      </c>
      <c r="AM2627" t="s">
        <v>1167</v>
      </c>
    </row>
    <row r="2628" spans="1:39" x14ac:dyDescent="0.25">
      <c r="A2628">
        <v>2625</v>
      </c>
      <c r="B2628">
        <v>24</v>
      </c>
      <c r="C2628" s="24">
        <v>45742</v>
      </c>
      <c r="D2628" s="238" t="s">
        <v>3388</v>
      </c>
      <c r="E2628" s="238" t="s">
        <v>16</v>
      </c>
      <c r="F2628">
        <v>4</v>
      </c>
      <c r="G2628">
        <v>13</v>
      </c>
      <c r="H2628">
        <v>309</v>
      </c>
      <c r="I2628" s="238" t="s">
        <v>43</v>
      </c>
      <c r="J2628">
        <v>60.24</v>
      </c>
      <c r="K2628" s="238" t="s">
        <v>38</v>
      </c>
      <c r="L2628">
        <v>8686910</v>
      </c>
      <c r="M2628">
        <v>0</v>
      </c>
      <c r="N2628">
        <v>8686910</v>
      </c>
      <c r="O2628">
        <v>144205.01328021247</v>
      </c>
      <c r="P2628">
        <v>1506000</v>
      </c>
      <c r="Q2628">
        <v>7180910</v>
      </c>
      <c r="R2628">
        <v>119205.01328021249</v>
      </c>
      <c r="S2628" s="238" t="s">
        <v>137</v>
      </c>
      <c r="T2628" s="238" t="s">
        <v>3390</v>
      </c>
      <c r="U2628">
        <v>222090</v>
      </c>
      <c r="V2628" t="s">
        <v>4092</v>
      </c>
      <c r="W2628" s="24">
        <v>45709</v>
      </c>
      <c r="X2628" s="238" t="s">
        <v>8642</v>
      </c>
      <c r="Y2628" s="238" t="s">
        <v>39</v>
      </c>
      <c r="Z2628" s="238" t="s">
        <v>1340</v>
      </c>
      <c r="AA2628" t="s">
        <v>3113</v>
      </c>
      <c r="AB2628" s="238" t="s">
        <v>3246</v>
      </c>
      <c r="AC2628" t="s">
        <v>3079</v>
      </c>
      <c r="AD2628" s="24"/>
      <c r="AE2628" s="238" t="s">
        <v>8643</v>
      </c>
      <c r="AF2628">
        <v>79529194679</v>
      </c>
      <c r="AG2628" s="238" t="s">
        <v>8644</v>
      </c>
      <c r="AH2628" s="238" t="s">
        <v>146</v>
      </c>
      <c r="AI2628" s="238" t="s">
        <v>135</v>
      </c>
      <c r="AJ2628" s="238" t="s">
        <v>126</v>
      </c>
      <c r="AK2628" s="238" t="s">
        <v>3345</v>
      </c>
      <c r="AL2628" t="s">
        <v>8715</v>
      </c>
      <c r="AM2628" t="s">
        <v>1167</v>
      </c>
    </row>
    <row r="2629" spans="1:39" x14ac:dyDescent="0.25">
      <c r="A2629">
        <v>2626</v>
      </c>
      <c r="B2629">
        <v>25</v>
      </c>
      <c r="C2629" s="24">
        <v>45742</v>
      </c>
      <c r="D2629" s="238" t="s">
        <v>3388</v>
      </c>
      <c r="E2629" s="238" t="s">
        <v>15</v>
      </c>
      <c r="F2629">
        <v>3</v>
      </c>
      <c r="G2629">
        <v>7</v>
      </c>
      <c r="H2629">
        <v>439</v>
      </c>
      <c r="I2629" s="238" t="s">
        <v>4052</v>
      </c>
      <c r="J2629">
        <v>24.5</v>
      </c>
      <c r="K2629" s="238" t="s">
        <v>36</v>
      </c>
      <c r="L2629">
        <v>3515200</v>
      </c>
      <c r="M2629">
        <v>0</v>
      </c>
      <c r="N2629">
        <v>3515200</v>
      </c>
      <c r="O2629">
        <v>143477.55102040817</v>
      </c>
      <c r="P2629">
        <v>0</v>
      </c>
      <c r="Q2629">
        <v>3515200</v>
      </c>
      <c r="R2629">
        <v>143477.55102040817</v>
      </c>
      <c r="S2629" s="238" t="s">
        <v>137</v>
      </c>
      <c r="T2629" s="238" t="s">
        <v>1167</v>
      </c>
      <c r="V2629" t="s">
        <v>4092</v>
      </c>
      <c r="W2629" s="24">
        <v>45736</v>
      </c>
      <c r="X2629" s="238" t="s">
        <v>8645</v>
      </c>
      <c r="Y2629" s="238" t="s">
        <v>39</v>
      </c>
      <c r="Z2629" s="238" t="s">
        <v>1340</v>
      </c>
      <c r="AA2629" t="s">
        <v>3113</v>
      </c>
      <c r="AB2629" s="238" t="s">
        <v>3246</v>
      </c>
      <c r="AC2629" t="s">
        <v>3079</v>
      </c>
      <c r="AD2629" s="24"/>
      <c r="AE2629" s="238" t="s">
        <v>8646</v>
      </c>
      <c r="AF2629">
        <v>79276935555</v>
      </c>
      <c r="AG2629" s="238" t="s">
        <v>8647</v>
      </c>
      <c r="AH2629" s="238" t="s">
        <v>1171</v>
      </c>
      <c r="AI2629" s="238" t="s">
        <v>3514</v>
      </c>
      <c r="AJ2629" s="238" t="s">
        <v>8380</v>
      </c>
      <c r="AK2629" s="238" t="s">
        <v>3345</v>
      </c>
      <c r="AL2629" t="s">
        <v>8715</v>
      </c>
      <c r="AM2629" t="s">
        <v>1167</v>
      </c>
    </row>
    <row r="2630" spans="1:39" hidden="1" x14ac:dyDescent="0.25">
      <c r="A2630">
        <v>2627</v>
      </c>
      <c r="B2630">
        <v>26</v>
      </c>
      <c r="C2630" s="24">
        <v>45743</v>
      </c>
      <c r="D2630" s="238" t="s">
        <v>8060</v>
      </c>
      <c r="E2630" s="238" t="s">
        <v>44</v>
      </c>
      <c r="F2630">
        <v>3</v>
      </c>
      <c r="G2630">
        <v>18</v>
      </c>
      <c r="H2630">
        <v>279</v>
      </c>
      <c r="I2630" s="238" t="s">
        <v>43</v>
      </c>
      <c r="J2630">
        <v>54.08</v>
      </c>
      <c r="K2630" s="238" t="s">
        <v>36</v>
      </c>
      <c r="L2630">
        <v>6670860</v>
      </c>
      <c r="M2630">
        <v>0</v>
      </c>
      <c r="N2630">
        <v>6670860</v>
      </c>
      <c r="O2630">
        <v>123351.70118343196</v>
      </c>
      <c r="P2630">
        <v>0</v>
      </c>
      <c r="Q2630">
        <v>6670860</v>
      </c>
      <c r="R2630">
        <v>123351.70118343196</v>
      </c>
      <c r="S2630" s="238" t="s">
        <v>124</v>
      </c>
      <c r="T2630" s="238" t="s">
        <v>3540</v>
      </c>
      <c r="U2630">
        <v>136140</v>
      </c>
      <c r="V2630" t="s">
        <v>1167</v>
      </c>
      <c r="W2630" s="24">
        <v>45729</v>
      </c>
      <c r="X2630" s="238" t="s">
        <v>8648</v>
      </c>
      <c r="Y2630" s="238" t="s">
        <v>39</v>
      </c>
      <c r="Z2630" s="238" t="s">
        <v>1340</v>
      </c>
      <c r="AA2630" t="s">
        <v>3113</v>
      </c>
      <c r="AB2630" s="238" t="s">
        <v>3246</v>
      </c>
      <c r="AC2630" t="s">
        <v>1167</v>
      </c>
      <c r="AD2630" s="24"/>
      <c r="AE2630" s="238" t="s">
        <v>8649</v>
      </c>
      <c r="AF2630">
        <v>79272000276</v>
      </c>
      <c r="AG2630" s="238" t="s">
        <v>8650</v>
      </c>
      <c r="AH2630" s="238" t="s">
        <v>1212</v>
      </c>
      <c r="AI2630" s="238" t="s">
        <v>3082</v>
      </c>
      <c r="AJ2630" s="238" t="s">
        <v>8380</v>
      </c>
      <c r="AK2630" s="238" t="s">
        <v>1167</v>
      </c>
      <c r="AL2630" t="s">
        <v>8715</v>
      </c>
      <c r="AM2630" t="s">
        <v>1167</v>
      </c>
    </row>
    <row r="2631" spans="1:39" hidden="1" x14ac:dyDescent="0.25">
      <c r="A2631">
        <v>2628</v>
      </c>
      <c r="B2631">
        <v>27</v>
      </c>
      <c r="C2631" s="24">
        <v>45743</v>
      </c>
      <c r="D2631" s="238" t="s">
        <v>8060</v>
      </c>
      <c r="E2631" s="238" t="s">
        <v>44</v>
      </c>
      <c r="F2631">
        <v>2</v>
      </c>
      <c r="G2631">
        <v>18</v>
      </c>
      <c r="H2631">
        <v>278</v>
      </c>
      <c r="I2631" s="238" t="s">
        <v>42</v>
      </c>
      <c r="J2631">
        <v>36.35</v>
      </c>
      <c r="K2631" s="238" t="s">
        <v>36</v>
      </c>
      <c r="L2631">
        <v>4745919</v>
      </c>
      <c r="M2631">
        <v>0</v>
      </c>
      <c r="N2631">
        <v>4745919</v>
      </c>
      <c r="O2631">
        <v>130561.73314993121</v>
      </c>
      <c r="P2631">
        <v>0</v>
      </c>
      <c r="Q2631">
        <v>4745919</v>
      </c>
      <c r="R2631">
        <v>130561.73314993121</v>
      </c>
      <c r="S2631" s="238" t="s">
        <v>124</v>
      </c>
      <c r="T2631" s="238" t="s">
        <v>8651</v>
      </c>
      <c r="U2631">
        <v>146781</v>
      </c>
      <c r="V2631" t="s">
        <v>1167</v>
      </c>
      <c r="W2631" s="24">
        <v>45729</v>
      </c>
      <c r="X2631" s="238" t="s">
        <v>8652</v>
      </c>
      <c r="Y2631" s="238" t="s">
        <v>39</v>
      </c>
      <c r="Z2631" s="238" t="s">
        <v>1340</v>
      </c>
      <c r="AA2631" t="s">
        <v>3113</v>
      </c>
      <c r="AB2631" s="238" t="s">
        <v>3246</v>
      </c>
      <c r="AC2631" t="s">
        <v>1167</v>
      </c>
      <c r="AD2631" s="24"/>
      <c r="AE2631" s="238" t="s">
        <v>8653</v>
      </c>
      <c r="AF2631">
        <v>79198528250</v>
      </c>
      <c r="AG2631" s="238" t="s">
        <v>8654</v>
      </c>
      <c r="AH2631" s="238" t="s">
        <v>1171</v>
      </c>
      <c r="AI2631" s="238" t="s">
        <v>3514</v>
      </c>
      <c r="AJ2631" s="238" t="s">
        <v>8380</v>
      </c>
      <c r="AK2631" s="238" t="s">
        <v>1167</v>
      </c>
      <c r="AL2631" t="s">
        <v>8715</v>
      </c>
      <c r="AM2631" t="s">
        <v>1167</v>
      </c>
    </row>
    <row r="2632" spans="1:39" hidden="1" x14ac:dyDescent="0.25">
      <c r="A2632">
        <v>2629</v>
      </c>
      <c r="B2632">
        <v>28</v>
      </c>
      <c r="C2632" s="24">
        <v>45743</v>
      </c>
      <c r="D2632" s="238" t="s">
        <v>8060</v>
      </c>
      <c r="E2632" s="238" t="s">
        <v>44</v>
      </c>
      <c r="F2632">
        <v>3</v>
      </c>
      <c r="G2632">
        <v>9</v>
      </c>
      <c r="H2632">
        <v>225</v>
      </c>
      <c r="I2632" s="238" t="s">
        <v>43</v>
      </c>
      <c r="J2632">
        <v>54.44</v>
      </c>
      <c r="K2632" s="238" t="s">
        <v>8787</v>
      </c>
      <c r="L2632">
        <v>7304700</v>
      </c>
      <c r="M2632">
        <v>0</v>
      </c>
      <c r="N2632">
        <v>7304700</v>
      </c>
      <c r="O2632">
        <v>134178.91256429098</v>
      </c>
      <c r="P2632">
        <v>544400</v>
      </c>
      <c r="Q2632">
        <v>6760300</v>
      </c>
      <c r="R2632">
        <v>124178.91256429096</v>
      </c>
      <c r="S2632" s="238" t="s">
        <v>124</v>
      </c>
      <c r="T2632" s="238" t="s">
        <v>1167</v>
      </c>
      <c r="V2632" t="s">
        <v>1167</v>
      </c>
      <c r="W2632" s="24">
        <v>45736</v>
      </c>
      <c r="X2632" s="238" t="s">
        <v>8655</v>
      </c>
      <c r="Y2632" s="238" t="s">
        <v>39</v>
      </c>
      <c r="Z2632" s="238" t="s">
        <v>1340</v>
      </c>
      <c r="AA2632" t="s">
        <v>3113</v>
      </c>
      <c r="AB2632" s="238" t="s">
        <v>3246</v>
      </c>
      <c r="AC2632" t="s">
        <v>1167</v>
      </c>
      <c r="AD2632" s="24"/>
      <c r="AE2632" s="238" t="s">
        <v>8656</v>
      </c>
      <c r="AF2632">
        <v>79276028405</v>
      </c>
      <c r="AG2632" s="238" t="s">
        <v>8657</v>
      </c>
      <c r="AH2632" s="238" t="s">
        <v>1171</v>
      </c>
      <c r="AI2632" s="238" t="s">
        <v>3074</v>
      </c>
      <c r="AJ2632" s="238" t="s">
        <v>4177</v>
      </c>
      <c r="AK2632" s="238" t="s">
        <v>1167</v>
      </c>
      <c r="AL2632" t="s">
        <v>8715</v>
      </c>
      <c r="AM2632" t="s">
        <v>1167</v>
      </c>
    </row>
    <row r="2633" spans="1:39" hidden="1" x14ac:dyDescent="0.25">
      <c r="A2633">
        <v>2630</v>
      </c>
      <c r="B2633">
        <v>29</v>
      </c>
      <c r="C2633" s="24">
        <v>45743</v>
      </c>
      <c r="D2633" s="238" t="s">
        <v>91</v>
      </c>
      <c r="E2633" s="238" t="s">
        <v>15</v>
      </c>
      <c r="F2633">
        <v>3</v>
      </c>
      <c r="G2633">
        <v>14</v>
      </c>
      <c r="H2633">
        <v>512</v>
      </c>
      <c r="I2633" s="238" t="s">
        <v>44</v>
      </c>
      <c r="J2633">
        <v>75.7</v>
      </c>
      <c r="K2633" s="238" t="s">
        <v>36</v>
      </c>
      <c r="L2633">
        <v>8374500</v>
      </c>
      <c r="M2633">
        <v>0</v>
      </c>
      <c r="N2633">
        <v>8374500</v>
      </c>
      <c r="O2633">
        <v>110627.47688243064</v>
      </c>
      <c r="P2633">
        <v>0</v>
      </c>
      <c r="Q2633">
        <v>8374500</v>
      </c>
      <c r="R2633">
        <v>110627.47688243064</v>
      </c>
      <c r="S2633" s="238" t="s">
        <v>137</v>
      </c>
      <c r="T2633" s="238" t="s">
        <v>321</v>
      </c>
      <c r="U2633">
        <v>500000</v>
      </c>
      <c r="V2633" t="s">
        <v>4092</v>
      </c>
      <c r="W2633" s="24">
        <v>45737</v>
      </c>
      <c r="X2633" s="238" t="s">
        <v>7845</v>
      </c>
      <c r="Y2633" s="238" t="s">
        <v>39</v>
      </c>
      <c r="Z2633" s="238" t="s">
        <v>1340</v>
      </c>
      <c r="AA2633" t="s">
        <v>3113</v>
      </c>
      <c r="AB2633" s="238" t="s">
        <v>3124</v>
      </c>
      <c r="AC2633" t="s">
        <v>3079</v>
      </c>
      <c r="AD2633" s="24"/>
      <c r="AE2633" s="238" t="s">
        <v>8658</v>
      </c>
      <c r="AF2633">
        <v>79179540753</v>
      </c>
      <c r="AG2633" s="238" t="s">
        <v>8659</v>
      </c>
      <c r="AH2633" s="238" t="s">
        <v>1171</v>
      </c>
      <c r="AI2633" s="238" t="s">
        <v>3103</v>
      </c>
      <c r="AJ2633" s="238" t="s">
        <v>8380</v>
      </c>
      <c r="AK2633" s="238" t="s">
        <v>3345</v>
      </c>
      <c r="AL2633" t="s">
        <v>8715</v>
      </c>
      <c r="AM2633" t="s">
        <v>1167</v>
      </c>
    </row>
    <row r="2634" spans="1:39" hidden="1" x14ac:dyDescent="0.25">
      <c r="A2634">
        <v>2631</v>
      </c>
      <c r="B2634">
        <v>30</v>
      </c>
      <c r="C2634" s="24">
        <v>45743</v>
      </c>
      <c r="D2634" s="238" t="s">
        <v>8060</v>
      </c>
      <c r="E2634" s="238" t="s">
        <v>44</v>
      </c>
      <c r="F2634">
        <v>3</v>
      </c>
      <c r="G2634">
        <v>19</v>
      </c>
      <c r="H2634">
        <v>285</v>
      </c>
      <c r="I2634" s="238" t="s">
        <v>43</v>
      </c>
      <c r="J2634">
        <v>54.08</v>
      </c>
      <c r="K2634" s="238" t="s">
        <v>8787</v>
      </c>
      <c r="L2634">
        <v>7244980</v>
      </c>
      <c r="M2634">
        <v>0</v>
      </c>
      <c r="N2634">
        <v>7244980</v>
      </c>
      <c r="O2634">
        <v>133967.82544378698</v>
      </c>
      <c r="P2634">
        <v>540800</v>
      </c>
      <c r="Q2634">
        <v>6704180</v>
      </c>
      <c r="R2634">
        <v>123967.82544378699</v>
      </c>
      <c r="S2634" s="238" t="s">
        <v>124</v>
      </c>
      <c r="T2634" s="238" t="s">
        <v>3540</v>
      </c>
      <c r="U2634">
        <v>136820</v>
      </c>
      <c r="V2634" t="s">
        <v>1167</v>
      </c>
      <c r="W2634" s="24">
        <v>45740</v>
      </c>
      <c r="X2634" s="238" t="s">
        <v>8660</v>
      </c>
      <c r="Y2634" s="238" t="s">
        <v>39</v>
      </c>
      <c r="Z2634" s="238" t="s">
        <v>1340</v>
      </c>
      <c r="AA2634" t="s">
        <v>3113</v>
      </c>
      <c r="AB2634" s="238" t="s">
        <v>3246</v>
      </c>
      <c r="AC2634" t="s">
        <v>1167</v>
      </c>
      <c r="AD2634" s="24"/>
      <c r="AE2634" s="238" t="s">
        <v>8661</v>
      </c>
      <c r="AF2634">
        <v>79277452550</v>
      </c>
      <c r="AG2634" s="238" t="s">
        <v>8662</v>
      </c>
      <c r="AH2634" s="238" t="s">
        <v>1212</v>
      </c>
      <c r="AI2634" s="238" t="s">
        <v>3097</v>
      </c>
      <c r="AJ2634" s="238" t="s">
        <v>5215</v>
      </c>
      <c r="AK2634" s="238" t="s">
        <v>1167</v>
      </c>
      <c r="AL2634" t="s">
        <v>8715</v>
      </c>
      <c r="AM2634" t="s">
        <v>1167</v>
      </c>
    </row>
    <row r="2635" spans="1:39" hidden="1" x14ac:dyDescent="0.25">
      <c r="A2635">
        <v>2632</v>
      </c>
      <c r="B2635">
        <v>31</v>
      </c>
      <c r="C2635" s="24">
        <v>45744</v>
      </c>
      <c r="D2635" s="238" t="s">
        <v>8060</v>
      </c>
      <c r="E2635" s="238" t="s">
        <v>44</v>
      </c>
      <c r="F2635">
        <v>2</v>
      </c>
      <c r="G2635">
        <v>16</v>
      </c>
      <c r="H2635">
        <v>266</v>
      </c>
      <c r="I2635" s="238" t="s">
        <v>42</v>
      </c>
      <c r="J2635">
        <v>36.35</v>
      </c>
      <c r="K2635" s="238" t="s">
        <v>36</v>
      </c>
      <c r="L2635">
        <v>4566795</v>
      </c>
      <c r="M2635">
        <v>15000</v>
      </c>
      <c r="N2635">
        <v>4581795</v>
      </c>
      <c r="O2635">
        <v>126046.62998624484</v>
      </c>
      <c r="P2635">
        <v>0</v>
      </c>
      <c r="Q2635">
        <v>4581795</v>
      </c>
      <c r="R2635">
        <v>126046.62998624484</v>
      </c>
      <c r="S2635" s="238" t="s">
        <v>124</v>
      </c>
      <c r="T2635" s="238" t="s">
        <v>978</v>
      </c>
      <c r="U2635">
        <v>141705</v>
      </c>
      <c r="V2635" t="s">
        <v>1167</v>
      </c>
      <c r="W2635" s="24">
        <v>45718</v>
      </c>
      <c r="X2635" s="238" t="s">
        <v>8665</v>
      </c>
      <c r="Y2635" s="238" t="s">
        <v>39</v>
      </c>
      <c r="Z2635" s="238" t="s">
        <v>1340</v>
      </c>
      <c r="AA2635" t="s">
        <v>3113</v>
      </c>
      <c r="AB2635" s="238" t="s">
        <v>3246</v>
      </c>
      <c r="AC2635" t="s">
        <v>1167</v>
      </c>
      <c r="AD2635" s="24"/>
      <c r="AE2635" s="238" t="s">
        <v>8666</v>
      </c>
      <c r="AF2635">
        <v>79277987001</v>
      </c>
      <c r="AG2635" s="238" t="s">
        <v>8667</v>
      </c>
      <c r="AH2635" s="238" t="s">
        <v>1212</v>
      </c>
      <c r="AI2635" s="238" t="s">
        <v>3084</v>
      </c>
      <c r="AJ2635" s="238" t="s">
        <v>5215</v>
      </c>
      <c r="AK2635" s="238" t="s">
        <v>1167</v>
      </c>
      <c r="AL2635" t="s">
        <v>8715</v>
      </c>
      <c r="AM2635" t="s">
        <v>1167</v>
      </c>
    </row>
    <row r="2636" spans="1:39" hidden="1" x14ac:dyDescent="0.25">
      <c r="A2636">
        <v>2633</v>
      </c>
      <c r="B2636">
        <v>32</v>
      </c>
      <c r="C2636" s="24">
        <v>45744</v>
      </c>
      <c r="D2636" s="238" t="s">
        <v>8060</v>
      </c>
      <c r="E2636" s="238" t="s">
        <v>44</v>
      </c>
      <c r="F2636">
        <v>1</v>
      </c>
      <c r="G2636">
        <v>4</v>
      </c>
      <c r="H2636">
        <v>193</v>
      </c>
      <c r="I2636" s="238" t="s">
        <v>42</v>
      </c>
      <c r="J2636">
        <v>44.25</v>
      </c>
      <c r="K2636" s="238" t="s">
        <v>8787</v>
      </c>
      <c r="L2636">
        <v>5958430</v>
      </c>
      <c r="M2636">
        <v>0</v>
      </c>
      <c r="N2636">
        <v>5958430</v>
      </c>
      <c r="O2636">
        <v>134653.78531073447</v>
      </c>
      <c r="P2636">
        <v>442500</v>
      </c>
      <c r="Q2636">
        <v>5515930</v>
      </c>
      <c r="R2636">
        <v>124653.78531073446</v>
      </c>
      <c r="S2636" s="238" t="s">
        <v>124</v>
      </c>
      <c r="T2636" s="238" t="s">
        <v>3540</v>
      </c>
      <c r="U2636">
        <v>112570.00000000093</v>
      </c>
      <c r="V2636" t="s">
        <v>1167</v>
      </c>
      <c r="W2636" s="24">
        <v>45735</v>
      </c>
      <c r="X2636" s="238" t="s">
        <v>8668</v>
      </c>
      <c r="Y2636" s="238" t="s">
        <v>39</v>
      </c>
      <c r="Z2636" s="238" t="s">
        <v>1340</v>
      </c>
      <c r="AA2636" t="s">
        <v>3113</v>
      </c>
      <c r="AB2636" s="238" t="s">
        <v>3246</v>
      </c>
      <c r="AC2636" t="s">
        <v>1167</v>
      </c>
      <c r="AD2636" s="24"/>
      <c r="AE2636" s="238" t="s">
        <v>8669</v>
      </c>
      <c r="AF2636">
        <v>79093634449</v>
      </c>
      <c r="AG2636" s="238" t="s">
        <v>8670</v>
      </c>
      <c r="AH2636" s="238" t="s">
        <v>4072</v>
      </c>
      <c r="AI2636" s="238" t="s">
        <v>7286</v>
      </c>
      <c r="AJ2636" s="238" t="s">
        <v>126</v>
      </c>
      <c r="AK2636" s="238" t="s">
        <v>1167</v>
      </c>
      <c r="AL2636" t="s">
        <v>57</v>
      </c>
      <c r="AM2636" t="s">
        <v>1167</v>
      </c>
    </row>
    <row r="2637" spans="1:39" x14ac:dyDescent="0.25">
      <c r="A2637">
        <v>2634</v>
      </c>
      <c r="B2637">
        <v>33</v>
      </c>
      <c r="C2637" s="24">
        <v>45744</v>
      </c>
      <c r="D2637" s="238" t="s">
        <v>3388</v>
      </c>
      <c r="E2637" s="238" t="s">
        <v>5</v>
      </c>
      <c r="F2637">
        <v>6</v>
      </c>
      <c r="G2637">
        <v>9</v>
      </c>
      <c r="H2637">
        <v>172</v>
      </c>
      <c r="I2637" s="238" t="s">
        <v>44</v>
      </c>
      <c r="J2637">
        <v>84.99</v>
      </c>
      <c r="K2637" s="238" t="s">
        <v>36</v>
      </c>
      <c r="L2637">
        <v>8753696</v>
      </c>
      <c r="M2637">
        <v>0</v>
      </c>
      <c r="N2637">
        <v>8753696</v>
      </c>
      <c r="O2637">
        <v>102996.77609130487</v>
      </c>
      <c r="P2637">
        <v>0</v>
      </c>
      <c r="Q2637">
        <v>8753696</v>
      </c>
      <c r="R2637">
        <v>102996.77609130487</v>
      </c>
      <c r="S2637" s="238" t="s">
        <v>124</v>
      </c>
      <c r="T2637" s="238" t="s">
        <v>8671</v>
      </c>
      <c r="U2637">
        <v>683104</v>
      </c>
      <c r="V2637" t="s">
        <v>1167</v>
      </c>
      <c r="W2637" s="24">
        <v>45741</v>
      </c>
      <c r="X2637" s="238" t="s">
        <v>8672</v>
      </c>
      <c r="Y2637" s="238" t="s">
        <v>39</v>
      </c>
      <c r="Z2637" s="238" t="s">
        <v>1340</v>
      </c>
      <c r="AA2637" t="s">
        <v>3113</v>
      </c>
      <c r="AB2637" s="238" t="s">
        <v>3246</v>
      </c>
      <c r="AC2637" t="s">
        <v>1167</v>
      </c>
      <c r="AD2637" s="24"/>
      <c r="AE2637" s="238" t="s">
        <v>8673</v>
      </c>
      <c r="AF2637">
        <v>79871529873</v>
      </c>
      <c r="AG2637" s="238" t="s">
        <v>8674</v>
      </c>
      <c r="AH2637" s="238" t="s">
        <v>1171</v>
      </c>
      <c r="AI2637" s="238" t="s">
        <v>3084</v>
      </c>
      <c r="AJ2637" s="238" t="s">
        <v>5215</v>
      </c>
      <c r="AK2637" s="238" t="s">
        <v>3345</v>
      </c>
      <c r="AL2637" t="s">
        <v>8715</v>
      </c>
      <c r="AM2637" t="s">
        <v>1167</v>
      </c>
    </row>
    <row r="2638" spans="1:39" x14ac:dyDescent="0.25">
      <c r="A2638">
        <v>2635</v>
      </c>
      <c r="B2638">
        <v>34</v>
      </c>
      <c r="C2638" s="24">
        <v>45747</v>
      </c>
      <c r="D2638" s="238" t="s">
        <v>3388</v>
      </c>
      <c r="E2638" s="238" t="s">
        <v>16</v>
      </c>
      <c r="F2638">
        <v>6</v>
      </c>
      <c r="G2638">
        <v>22</v>
      </c>
      <c r="H2638">
        <v>374</v>
      </c>
      <c r="I2638" s="238" t="s">
        <v>44</v>
      </c>
      <c r="J2638">
        <v>80.97</v>
      </c>
      <c r="K2638" s="238" t="s">
        <v>36</v>
      </c>
      <c r="L2638">
        <v>6000000</v>
      </c>
      <c r="M2638">
        <v>0</v>
      </c>
      <c r="N2638">
        <v>6000000</v>
      </c>
      <c r="O2638">
        <v>74101.519081141159</v>
      </c>
      <c r="P2638">
        <v>0</v>
      </c>
      <c r="Q2638">
        <v>6000000</v>
      </c>
      <c r="R2638">
        <v>74101.519081141159</v>
      </c>
      <c r="S2638" s="238" t="s">
        <v>124</v>
      </c>
      <c r="T2638" s="238" t="s">
        <v>321</v>
      </c>
      <c r="U2638">
        <v>4019100</v>
      </c>
      <c r="V2638" t="s">
        <v>1167</v>
      </c>
      <c r="W2638" s="24">
        <v>45717</v>
      </c>
      <c r="X2638" s="238" t="s">
        <v>8679</v>
      </c>
      <c r="Y2638" s="238" t="s">
        <v>39</v>
      </c>
      <c r="Z2638" s="238" t="s">
        <v>1340</v>
      </c>
      <c r="AA2638" t="s">
        <v>3113</v>
      </c>
      <c r="AB2638" s="238" t="s">
        <v>3246</v>
      </c>
      <c r="AC2638" t="s">
        <v>1167</v>
      </c>
      <c r="AD2638" s="24"/>
      <c r="AE2638" s="238" t="s">
        <v>8680</v>
      </c>
      <c r="AF2638">
        <v>79253060111</v>
      </c>
      <c r="AG2638" s="238" t="s">
        <v>8681</v>
      </c>
      <c r="AH2638" s="238" t="s">
        <v>135</v>
      </c>
      <c r="AI2638" s="238" t="s">
        <v>3074</v>
      </c>
      <c r="AJ2638" s="238" t="s">
        <v>5215</v>
      </c>
      <c r="AK2638" s="238" t="s">
        <v>1167</v>
      </c>
      <c r="AL2638" t="s">
        <v>8715</v>
      </c>
      <c r="AM2638" t="s">
        <v>1167</v>
      </c>
    </row>
    <row r="2639" spans="1:39" hidden="1" x14ac:dyDescent="0.25">
      <c r="A2639">
        <v>2636</v>
      </c>
      <c r="B2639">
        <v>35</v>
      </c>
      <c r="C2639" s="24">
        <v>45747</v>
      </c>
      <c r="D2639" s="238" t="s">
        <v>8060</v>
      </c>
      <c r="E2639" s="238" t="s">
        <v>44</v>
      </c>
      <c r="F2639">
        <v>4</v>
      </c>
      <c r="G2639">
        <v>14</v>
      </c>
      <c r="H2639">
        <v>256</v>
      </c>
      <c r="I2639" s="238" t="s">
        <v>43</v>
      </c>
      <c r="J2639">
        <v>55.73</v>
      </c>
      <c r="K2639" s="238" t="s">
        <v>36</v>
      </c>
      <c r="L2639">
        <v>6784600</v>
      </c>
      <c r="M2639">
        <v>0</v>
      </c>
      <c r="N2639">
        <v>6784600</v>
      </c>
      <c r="O2639">
        <v>121740.53472097614</v>
      </c>
      <c r="P2639">
        <v>0</v>
      </c>
      <c r="Q2639">
        <v>6784600</v>
      </c>
      <c r="R2639">
        <v>121740.53472097614</v>
      </c>
      <c r="S2639" s="238" t="s">
        <v>124</v>
      </c>
      <c r="T2639" s="238" t="s">
        <v>1167</v>
      </c>
      <c r="V2639" t="s">
        <v>1167</v>
      </c>
      <c r="W2639" s="24">
        <v>45745</v>
      </c>
      <c r="X2639" s="238" t="s">
        <v>8682</v>
      </c>
      <c r="Y2639" s="238" t="s">
        <v>39</v>
      </c>
      <c r="Z2639" s="238" t="s">
        <v>1340</v>
      </c>
      <c r="AA2639" t="s">
        <v>3113</v>
      </c>
      <c r="AB2639" s="238" t="s">
        <v>3246</v>
      </c>
      <c r="AC2639" t="s">
        <v>1167</v>
      </c>
      <c r="AD2639" s="24"/>
      <c r="AE2639" s="238" t="s">
        <v>8683</v>
      </c>
      <c r="AF2639">
        <v>79277448809</v>
      </c>
      <c r="AG2639" s="238" t="s">
        <v>1167</v>
      </c>
      <c r="AH2639" s="238" t="s">
        <v>4072</v>
      </c>
      <c r="AI2639" s="238" t="s">
        <v>7930</v>
      </c>
      <c r="AJ2639" s="238" t="s">
        <v>8380</v>
      </c>
      <c r="AK2639" s="238" t="s">
        <v>1167</v>
      </c>
      <c r="AL2639" t="s">
        <v>57</v>
      </c>
      <c r="AM2639" t="s">
        <v>1167</v>
      </c>
    </row>
    <row r="2640" spans="1:39" hidden="1" x14ac:dyDescent="0.25">
      <c r="A2640">
        <v>2637</v>
      </c>
      <c r="B2640">
        <v>1</v>
      </c>
      <c r="C2640" s="24">
        <v>45749</v>
      </c>
      <c r="D2640" s="238" t="s">
        <v>8060</v>
      </c>
      <c r="E2640" s="238" t="s">
        <v>42</v>
      </c>
      <c r="F2640">
        <v>5</v>
      </c>
      <c r="G2640">
        <v>5</v>
      </c>
      <c r="H2640">
        <v>23</v>
      </c>
      <c r="I2640" s="238" t="s">
        <v>42</v>
      </c>
      <c r="J2640">
        <v>37.01</v>
      </c>
      <c r="K2640" s="238" t="s">
        <v>8787</v>
      </c>
      <c r="L2640">
        <v>5028463</v>
      </c>
      <c r="M2640">
        <v>15000</v>
      </c>
      <c r="N2640">
        <v>5043463</v>
      </c>
      <c r="O2640">
        <v>136272.98027560121</v>
      </c>
      <c r="P2640">
        <v>370100</v>
      </c>
      <c r="Q2640">
        <v>4673363</v>
      </c>
      <c r="R2640">
        <v>126272.98027560119</v>
      </c>
      <c r="S2640" s="238" t="s">
        <v>124</v>
      </c>
      <c r="T2640" s="238" t="s">
        <v>978</v>
      </c>
      <c r="U2640">
        <v>144537</v>
      </c>
      <c r="V2640" t="s">
        <v>1167</v>
      </c>
      <c r="W2640" s="24">
        <v>45749</v>
      </c>
      <c r="X2640" s="238" t="s">
        <v>8684</v>
      </c>
      <c r="Y2640" s="238" t="s">
        <v>39</v>
      </c>
      <c r="Z2640" s="238" t="s">
        <v>1340</v>
      </c>
      <c r="AA2640" t="s">
        <v>3113</v>
      </c>
      <c r="AB2640" s="238" t="s">
        <v>3246</v>
      </c>
      <c r="AC2640" t="s">
        <v>1167</v>
      </c>
      <c r="AD2640" s="24"/>
      <c r="AE2640" s="238" t="s">
        <v>8685</v>
      </c>
      <c r="AF2640">
        <v>79225347557</v>
      </c>
      <c r="AG2640" s="238" t="s">
        <v>8686</v>
      </c>
      <c r="AH2640" s="238" t="s">
        <v>4072</v>
      </c>
      <c r="AI2640" s="238" t="s">
        <v>8476</v>
      </c>
      <c r="AJ2640" s="238" t="s">
        <v>8512</v>
      </c>
      <c r="AK2640" s="238" t="s">
        <v>1167</v>
      </c>
      <c r="AL2640" t="s">
        <v>57</v>
      </c>
      <c r="AM2640" t="s">
        <v>1167</v>
      </c>
    </row>
    <row r="2641" spans="1:39" x14ac:dyDescent="0.25">
      <c r="A2641">
        <v>2638</v>
      </c>
      <c r="B2641">
        <v>2</v>
      </c>
      <c r="C2641" s="24">
        <v>45749</v>
      </c>
      <c r="D2641" s="238" t="s">
        <v>3388</v>
      </c>
      <c r="E2641" s="238" t="s">
        <v>6</v>
      </c>
      <c r="F2641">
        <v>6</v>
      </c>
      <c r="G2641">
        <v>9</v>
      </c>
      <c r="H2641">
        <v>61</v>
      </c>
      <c r="I2641" s="238" t="s">
        <v>43</v>
      </c>
      <c r="J2641">
        <v>58.16</v>
      </c>
      <c r="K2641" s="238" t="s">
        <v>38</v>
      </c>
      <c r="L2641">
        <v>8412400</v>
      </c>
      <c r="M2641">
        <v>0</v>
      </c>
      <c r="N2641">
        <v>8412400</v>
      </c>
      <c r="O2641">
        <v>144642.36588720771</v>
      </c>
      <c r="P2641">
        <v>1454000</v>
      </c>
      <c r="Q2641">
        <v>6958400</v>
      </c>
      <c r="R2641">
        <v>119642.36588720771</v>
      </c>
      <c r="S2641" s="238" t="s">
        <v>137</v>
      </c>
      <c r="T2641" s="238" t="s">
        <v>7756</v>
      </c>
      <c r="U2641">
        <v>300000</v>
      </c>
      <c r="V2641" t="s">
        <v>4092</v>
      </c>
      <c r="W2641" s="24">
        <v>45741</v>
      </c>
      <c r="X2641" s="238" t="s">
        <v>8687</v>
      </c>
      <c r="Y2641" s="238" t="s">
        <v>39</v>
      </c>
      <c r="Z2641" s="238" t="s">
        <v>1340</v>
      </c>
      <c r="AA2641" t="s">
        <v>3113</v>
      </c>
      <c r="AB2641" s="238" t="s">
        <v>3246</v>
      </c>
      <c r="AC2641" t="s">
        <v>3079</v>
      </c>
      <c r="AD2641" s="24"/>
      <c r="AE2641" s="238" t="s">
        <v>8688</v>
      </c>
      <c r="AF2641">
        <v>79996246195</v>
      </c>
      <c r="AG2641" s="238" t="s">
        <v>1167</v>
      </c>
      <c r="AH2641" s="238" t="s">
        <v>135</v>
      </c>
      <c r="AI2641" s="238" t="s">
        <v>3075</v>
      </c>
      <c r="AJ2641" s="238" t="s">
        <v>4177</v>
      </c>
      <c r="AK2641" s="238" t="s">
        <v>3345</v>
      </c>
      <c r="AL2641" t="s">
        <v>8715</v>
      </c>
      <c r="AM2641" t="s">
        <v>1167</v>
      </c>
    </row>
    <row r="2642" spans="1:39" x14ac:dyDescent="0.25">
      <c r="A2642">
        <v>2639</v>
      </c>
      <c r="B2642">
        <v>3</v>
      </c>
      <c r="C2642" s="24">
        <v>45749</v>
      </c>
      <c r="D2642" s="238" t="s">
        <v>3388</v>
      </c>
      <c r="E2642" s="238" t="s">
        <v>16</v>
      </c>
      <c r="F2642">
        <v>5</v>
      </c>
      <c r="G2642">
        <v>9</v>
      </c>
      <c r="H2642">
        <v>282</v>
      </c>
      <c r="I2642" s="238" t="s">
        <v>42</v>
      </c>
      <c r="J2642">
        <v>37.81</v>
      </c>
      <c r="K2642" s="238" t="s">
        <v>6871</v>
      </c>
      <c r="L2642">
        <v>5312620</v>
      </c>
      <c r="M2642">
        <v>0</v>
      </c>
      <c r="N2642">
        <v>5312620</v>
      </c>
      <c r="O2642">
        <v>140508.33112933085</v>
      </c>
      <c r="P2642">
        <v>378100</v>
      </c>
      <c r="Q2642">
        <v>4934520</v>
      </c>
      <c r="R2642">
        <v>130508.33112933085</v>
      </c>
      <c r="S2642" s="238" t="s">
        <v>137</v>
      </c>
      <c r="T2642" s="238" t="s">
        <v>8676</v>
      </c>
      <c r="U2642">
        <v>302480</v>
      </c>
      <c r="V2642" t="s">
        <v>4092</v>
      </c>
      <c r="W2642" s="24">
        <v>45748</v>
      </c>
      <c r="X2642" s="238" t="s">
        <v>8689</v>
      </c>
      <c r="Y2642" s="238" t="s">
        <v>39</v>
      </c>
      <c r="Z2642" s="238" t="s">
        <v>1340</v>
      </c>
      <c r="AA2642" t="s">
        <v>3113</v>
      </c>
      <c r="AB2642" s="238" t="s">
        <v>3246</v>
      </c>
      <c r="AC2642" t="s">
        <v>3079</v>
      </c>
      <c r="AD2642" s="24"/>
      <c r="AE2642" s="238" t="s">
        <v>8690</v>
      </c>
      <c r="AF2642">
        <v>79228780909</v>
      </c>
      <c r="AG2642" s="238" t="s">
        <v>8691</v>
      </c>
      <c r="AH2642" s="238" t="s">
        <v>1171</v>
      </c>
      <c r="AI2642" s="238" t="s">
        <v>3103</v>
      </c>
      <c r="AJ2642" s="238" t="s">
        <v>8380</v>
      </c>
      <c r="AK2642" s="238" t="s">
        <v>8441</v>
      </c>
      <c r="AL2642" t="s">
        <v>8715</v>
      </c>
      <c r="AM2642" t="s">
        <v>1167</v>
      </c>
    </row>
    <row r="2643" spans="1:39" hidden="1" x14ac:dyDescent="0.25">
      <c r="A2643">
        <v>2640</v>
      </c>
      <c r="B2643">
        <v>4</v>
      </c>
      <c r="C2643" s="24">
        <v>45751</v>
      </c>
      <c r="D2643" s="238" t="s">
        <v>8060</v>
      </c>
      <c r="E2643" s="238" t="s">
        <v>44</v>
      </c>
      <c r="F2643">
        <v>2</v>
      </c>
      <c r="G2643">
        <v>7</v>
      </c>
      <c r="H2643">
        <v>212</v>
      </c>
      <c r="I2643" s="238" t="s">
        <v>42</v>
      </c>
      <c r="J2643">
        <v>36.64</v>
      </c>
      <c r="K2643" s="238" t="s">
        <v>36</v>
      </c>
      <c r="L2643">
        <v>4874700</v>
      </c>
      <c r="M2643">
        <v>15000</v>
      </c>
      <c r="N2643">
        <v>4889700</v>
      </c>
      <c r="O2643">
        <v>133452.51091703057</v>
      </c>
      <c r="P2643">
        <v>0</v>
      </c>
      <c r="Q2643">
        <v>4889700</v>
      </c>
      <c r="R2643">
        <v>133452.51091703057</v>
      </c>
      <c r="S2643" s="238" t="s">
        <v>124</v>
      </c>
      <c r="T2643" s="238" t="s">
        <v>1167</v>
      </c>
      <c r="V2643" t="s">
        <v>1167</v>
      </c>
      <c r="W2643" s="24">
        <v>45736</v>
      </c>
      <c r="X2643" s="238" t="s">
        <v>8696</v>
      </c>
      <c r="Y2643" s="238" t="s">
        <v>39</v>
      </c>
      <c r="Z2643" s="238" t="s">
        <v>1340</v>
      </c>
      <c r="AA2643" t="s">
        <v>3113</v>
      </c>
      <c r="AB2643" s="238" t="s">
        <v>3246</v>
      </c>
      <c r="AC2643" t="s">
        <v>1167</v>
      </c>
      <c r="AD2643" s="24"/>
      <c r="AE2643" s="238" t="s">
        <v>8697</v>
      </c>
      <c r="AF2643">
        <v>79371751122</v>
      </c>
      <c r="AG2643" s="238" t="s">
        <v>1234</v>
      </c>
      <c r="AH2643" s="238" t="s">
        <v>1212</v>
      </c>
      <c r="AI2643" s="238" t="s">
        <v>3082</v>
      </c>
      <c r="AJ2643" s="238" t="s">
        <v>4177</v>
      </c>
      <c r="AK2643" s="238" t="s">
        <v>1167</v>
      </c>
      <c r="AL2643" t="s">
        <v>8715</v>
      </c>
      <c r="AM2643" t="s">
        <v>1167</v>
      </c>
    </row>
    <row r="2644" spans="1:39" x14ac:dyDescent="0.25">
      <c r="A2644">
        <v>2641</v>
      </c>
      <c r="B2644">
        <v>5</v>
      </c>
      <c r="C2644" s="24">
        <v>45755</v>
      </c>
      <c r="D2644" s="238" t="s">
        <v>3388</v>
      </c>
      <c r="E2644" s="238" t="s">
        <v>15</v>
      </c>
      <c r="F2644">
        <v>3</v>
      </c>
      <c r="G2644">
        <v>12</v>
      </c>
      <c r="H2644">
        <v>479</v>
      </c>
      <c r="I2644" s="238" t="s">
        <v>4052</v>
      </c>
      <c r="J2644">
        <v>24.5</v>
      </c>
      <c r="K2644" s="238" t="s">
        <v>36</v>
      </c>
      <c r="L2644">
        <v>3319200</v>
      </c>
      <c r="M2644">
        <v>0</v>
      </c>
      <c r="N2644">
        <v>3319200</v>
      </c>
      <c r="O2644">
        <v>135477.55102040817</v>
      </c>
      <c r="P2644">
        <v>0</v>
      </c>
      <c r="Q2644">
        <v>3319200</v>
      </c>
      <c r="R2644">
        <v>135477.55102040817</v>
      </c>
      <c r="S2644" s="238" t="s">
        <v>137</v>
      </c>
      <c r="T2644" s="238" t="s">
        <v>8676</v>
      </c>
      <c r="U2644">
        <v>196000</v>
      </c>
      <c r="V2644" t="s">
        <v>4092</v>
      </c>
      <c r="W2644" s="24">
        <v>45748</v>
      </c>
      <c r="X2644" s="238" t="s">
        <v>8698</v>
      </c>
      <c r="Y2644" s="238" t="s">
        <v>39</v>
      </c>
      <c r="Z2644" s="238" t="s">
        <v>1340</v>
      </c>
      <c r="AA2644" t="s">
        <v>3113</v>
      </c>
      <c r="AB2644" s="238" t="s">
        <v>3246</v>
      </c>
      <c r="AC2644" t="s">
        <v>3079</v>
      </c>
      <c r="AD2644" s="24"/>
      <c r="AE2644" s="238" t="s">
        <v>8699</v>
      </c>
      <c r="AF2644">
        <v>79171446619</v>
      </c>
      <c r="AG2644" s="238" t="s">
        <v>8700</v>
      </c>
      <c r="AH2644" s="238" t="s">
        <v>4072</v>
      </c>
      <c r="AI2644" s="238" t="s">
        <v>7721</v>
      </c>
      <c r="AJ2644" s="238" t="s">
        <v>8380</v>
      </c>
      <c r="AK2644" s="238" t="s">
        <v>3345</v>
      </c>
      <c r="AL2644" t="s">
        <v>8715</v>
      </c>
      <c r="AM2644" t="s">
        <v>1167</v>
      </c>
    </row>
    <row r="2645" spans="1:39" x14ac:dyDescent="0.25">
      <c r="A2645">
        <v>2642</v>
      </c>
      <c r="B2645">
        <v>6</v>
      </c>
      <c r="C2645" s="24">
        <v>45756</v>
      </c>
      <c r="D2645" s="238" t="s">
        <v>3388</v>
      </c>
      <c r="E2645" s="238" t="s">
        <v>16</v>
      </c>
      <c r="F2645">
        <v>4</v>
      </c>
      <c r="G2645">
        <v>3</v>
      </c>
      <c r="H2645">
        <v>239</v>
      </c>
      <c r="I2645" s="238" t="s">
        <v>43</v>
      </c>
      <c r="J2645">
        <v>60.24</v>
      </c>
      <c r="K2645" s="238" t="s">
        <v>36</v>
      </c>
      <c r="L2645">
        <v>7103000</v>
      </c>
      <c r="M2645">
        <v>0</v>
      </c>
      <c r="N2645">
        <v>7103000</v>
      </c>
      <c r="O2645">
        <v>117911.68658698539</v>
      </c>
      <c r="P2645">
        <v>0</v>
      </c>
      <c r="Q2645">
        <v>7103000</v>
      </c>
      <c r="R2645">
        <v>117911.68658698539</v>
      </c>
      <c r="S2645" s="238" t="s">
        <v>137</v>
      </c>
      <c r="T2645" s="238" t="s">
        <v>8594</v>
      </c>
      <c r="U2645">
        <v>300000</v>
      </c>
      <c r="V2645" t="s">
        <v>4092</v>
      </c>
      <c r="W2645" s="24">
        <v>45748</v>
      </c>
      <c r="X2645" s="238" t="s">
        <v>8701</v>
      </c>
      <c r="Y2645" s="238" t="s">
        <v>39</v>
      </c>
      <c r="Z2645" s="238" t="s">
        <v>1340</v>
      </c>
      <c r="AA2645" t="s">
        <v>3113</v>
      </c>
      <c r="AB2645" s="238" t="s">
        <v>3246</v>
      </c>
      <c r="AC2645" t="s">
        <v>3079</v>
      </c>
      <c r="AD2645" s="24"/>
      <c r="AE2645" s="238" t="s">
        <v>8702</v>
      </c>
      <c r="AF2645">
        <v>79171290202</v>
      </c>
      <c r="AG2645" s="238" t="s">
        <v>8703</v>
      </c>
      <c r="AH2645" s="238" t="s">
        <v>1212</v>
      </c>
      <c r="AI2645" s="238" t="s">
        <v>3097</v>
      </c>
      <c r="AJ2645" s="238" t="s">
        <v>5215</v>
      </c>
      <c r="AK2645" s="238" t="s">
        <v>3345</v>
      </c>
      <c r="AL2645" t="s">
        <v>8715</v>
      </c>
      <c r="AM2645" t="s">
        <v>1167</v>
      </c>
    </row>
    <row r="2646" spans="1:39" hidden="1" x14ac:dyDescent="0.25">
      <c r="A2646">
        <v>2643</v>
      </c>
      <c r="B2646">
        <v>7</v>
      </c>
      <c r="C2646" s="24">
        <v>45757</v>
      </c>
      <c r="D2646" s="238" t="s">
        <v>3388</v>
      </c>
      <c r="E2646" s="238" t="s">
        <v>16</v>
      </c>
      <c r="F2646">
        <v>1</v>
      </c>
      <c r="G2646">
        <v>0</v>
      </c>
      <c r="H2646">
        <v>5</v>
      </c>
      <c r="I2646" s="238" t="s">
        <v>8693</v>
      </c>
      <c r="J2646">
        <v>3.87</v>
      </c>
      <c r="K2646" s="238" t="s">
        <v>36</v>
      </c>
      <c r="L2646">
        <v>425700</v>
      </c>
      <c r="M2646">
        <v>0</v>
      </c>
      <c r="N2646">
        <v>425700</v>
      </c>
      <c r="O2646">
        <v>110000</v>
      </c>
      <c r="P2646">
        <v>0</v>
      </c>
      <c r="Q2646">
        <v>425700</v>
      </c>
      <c r="R2646">
        <v>110000</v>
      </c>
      <c r="S2646" s="238" t="s">
        <v>121</v>
      </c>
      <c r="T2646" s="238" t="s">
        <v>1167</v>
      </c>
      <c r="V2646" t="s">
        <v>1167</v>
      </c>
      <c r="W2646" s="24">
        <v>45756</v>
      </c>
      <c r="X2646" s="238" t="s">
        <v>8704</v>
      </c>
      <c r="Y2646" s="238" t="s">
        <v>3946</v>
      </c>
      <c r="Z2646" s="238" t="s">
        <v>1340</v>
      </c>
      <c r="AA2646" t="s">
        <v>3474</v>
      </c>
      <c r="AB2646" s="238" t="s">
        <v>3246</v>
      </c>
      <c r="AC2646" t="s">
        <v>1167</v>
      </c>
      <c r="AD2646" s="24"/>
      <c r="AE2646" s="238" t="s">
        <v>8436</v>
      </c>
      <c r="AF2646">
        <v>79677064826</v>
      </c>
      <c r="AG2646" s="238" t="s">
        <v>8437</v>
      </c>
      <c r="AH2646" s="238" t="s">
        <v>1171</v>
      </c>
      <c r="AI2646" s="238" t="s">
        <v>3103</v>
      </c>
      <c r="AJ2646" s="238" t="s">
        <v>8512</v>
      </c>
      <c r="AK2646" s="238" t="s">
        <v>1167</v>
      </c>
      <c r="AL2646" t="s">
        <v>8715</v>
      </c>
      <c r="AM2646" t="s">
        <v>1167</v>
      </c>
    </row>
    <row r="2647" spans="1:39" hidden="1" x14ac:dyDescent="0.25">
      <c r="A2647">
        <v>2644</v>
      </c>
      <c r="B2647">
        <v>8</v>
      </c>
      <c r="C2647" s="24">
        <v>45758</v>
      </c>
      <c r="D2647" s="238" t="s">
        <v>3388</v>
      </c>
      <c r="E2647" s="238" t="s">
        <v>6</v>
      </c>
      <c r="F2647">
        <v>2</v>
      </c>
      <c r="G2647">
        <v>0</v>
      </c>
      <c r="H2647">
        <v>2</v>
      </c>
      <c r="I2647" s="238" t="s">
        <v>8693</v>
      </c>
      <c r="J2647">
        <v>5.07</v>
      </c>
      <c r="K2647" s="238" t="s">
        <v>36</v>
      </c>
      <c r="L2647">
        <v>557700</v>
      </c>
      <c r="M2647">
        <v>0</v>
      </c>
      <c r="N2647">
        <v>557700</v>
      </c>
      <c r="O2647">
        <v>110000</v>
      </c>
      <c r="P2647">
        <v>0</v>
      </c>
      <c r="Q2647">
        <v>557700</v>
      </c>
      <c r="R2647">
        <v>110000</v>
      </c>
      <c r="S2647" s="238" t="s">
        <v>124</v>
      </c>
      <c r="T2647" s="238" t="s">
        <v>1167</v>
      </c>
      <c r="V2647" t="s">
        <v>1167</v>
      </c>
      <c r="W2647" s="24">
        <v>45757</v>
      </c>
      <c r="X2647" s="238" t="s">
        <v>8706</v>
      </c>
      <c r="Y2647" s="238" t="s">
        <v>3946</v>
      </c>
      <c r="Z2647" s="238" t="s">
        <v>1340</v>
      </c>
      <c r="AA2647" t="s">
        <v>3113</v>
      </c>
      <c r="AB2647" s="238" t="s">
        <v>3246</v>
      </c>
      <c r="AC2647" t="s">
        <v>1167</v>
      </c>
      <c r="AD2647" s="24"/>
      <c r="AE2647" s="238" t="s">
        <v>8707</v>
      </c>
      <c r="AF2647">
        <v>79376417383</v>
      </c>
      <c r="AG2647" s="238" t="s">
        <v>1167</v>
      </c>
      <c r="AH2647" s="238" t="s">
        <v>1212</v>
      </c>
      <c r="AI2647" s="238" t="s">
        <v>135</v>
      </c>
      <c r="AJ2647" s="238" t="s">
        <v>8512</v>
      </c>
      <c r="AK2647" s="238" t="s">
        <v>1167</v>
      </c>
      <c r="AL2647" t="s">
        <v>8715</v>
      </c>
      <c r="AM2647" t="s">
        <v>1167</v>
      </c>
    </row>
    <row r="2648" spans="1:39" x14ac:dyDescent="0.25">
      <c r="A2648">
        <v>2645</v>
      </c>
      <c r="B2648">
        <v>9</v>
      </c>
      <c r="C2648" s="24">
        <v>45759</v>
      </c>
      <c r="D2648" s="238" t="s">
        <v>3388</v>
      </c>
      <c r="E2648" s="238" t="s">
        <v>6</v>
      </c>
      <c r="F2648">
        <v>4</v>
      </c>
      <c r="G2648">
        <v>16</v>
      </c>
      <c r="H2648">
        <v>108</v>
      </c>
      <c r="I2648" s="238" t="s">
        <v>43</v>
      </c>
      <c r="J2648">
        <v>59.09</v>
      </c>
      <c r="K2648" s="238" t="s">
        <v>38</v>
      </c>
      <c r="L2648">
        <v>8143648</v>
      </c>
      <c r="M2648">
        <v>0</v>
      </c>
      <c r="N2648">
        <v>8143648</v>
      </c>
      <c r="O2648">
        <v>137817.70181079709</v>
      </c>
      <c r="P2648">
        <v>1477250</v>
      </c>
      <c r="Q2648">
        <v>6666398</v>
      </c>
      <c r="R2648">
        <v>112817.70181079708</v>
      </c>
      <c r="S2648" s="238" t="s">
        <v>137</v>
      </c>
      <c r="T2648" s="238" t="s">
        <v>8708</v>
      </c>
      <c r="U2648">
        <v>567002</v>
      </c>
      <c r="V2648" t="s">
        <v>4092</v>
      </c>
      <c r="W2648" s="24">
        <v>45755</v>
      </c>
      <c r="X2648" s="238" t="s">
        <v>7616</v>
      </c>
      <c r="Y2648" s="238" t="s">
        <v>39</v>
      </c>
      <c r="Z2648" s="238" t="s">
        <v>1340</v>
      </c>
      <c r="AA2648" t="s">
        <v>3113</v>
      </c>
      <c r="AB2648" s="238" t="s">
        <v>3246</v>
      </c>
      <c r="AC2648" t="s">
        <v>3079</v>
      </c>
      <c r="AD2648" s="24"/>
      <c r="AE2648" s="238" t="s">
        <v>8709</v>
      </c>
      <c r="AF2648">
        <v>79170178987</v>
      </c>
      <c r="AG2648" s="238" t="s">
        <v>8710</v>
      </c>
      <c r="AH2648" s="238" t="s">
        <v>1212</v>
      </c>
      <c r="AI2648" s="238" t="s">
        <v>135</v>
      </c>
      <c r="AJ2648" s="238" t="s">
        <v>4177</v>
      </c>
      <c r="AK2648" s="238" t="s">
        <v>8441</v>
      </c>
      <c r="AL2648" t="s">
        <v>8715</v>
      </c>
      <c r="AM2648" t="s">
        <v>1167</v>
      </c>
    </row>
    <row r="2649" spans="1:39" x14ac:dyDescent="0.25">
      <c r="A2649">
        <v>2646</v>
      </c>
      <c r="B2649">
        <v>10</v>
      </c>
      <c r="C2649" s="24">
        <v>45760</v>
      </c>
      <c r="D2649" s="238" t="s">
        <v>3388</v>
      </c>
      <c r="E2649" s="238" t="s">
        <v>16</v>
      </c>
      <c r="F2649">
        <v>5</v>
      </c>
      <c r="G2649">
        <v>16</v>
      </c>
      <c r="H2649">
        <v>331</v>
      </c>
      <c r="I2649" s="238" t="s">
        <v>42</v>
      </c>
      <c r="J2649">
        <v>37.81</v>
      </c>
      <c r="K2649" s="238" t="s">
        <v>38</v>
      </c>
      <c r="L2649">
        <v>5927670</v>
      </c>
      <c r="M2649">
        <v>0</v>
      </c>
      <c r="N2649">
        <v>5927670</v>
      </c>
      <c r="O2649">
        <v>156775.19174821474</v>
      </c>
      <c r="P2649">
        <v>945250</v>
      </c>
      <c r="Q2649">
        <v>4982420</v>
      </c>
      <c r="R2649">
        <v>131775.19174821474</v>
      </c>
      <c r="S2649" s="238" t="s">
        <v>137</v>
      </c>
      <c r="T2649" s="238" t="s">
        <v>8676</v>
      </c>
      <c r="U2649">
        <v>302480</v>
      </c>
      <c r="V2649" t="s">
        <v>4092</v>
      </c>
      <c r="W2649" s="24">
        <v>45757</v>
      </c>
      <c r="X2649" s="238" t="s">
        <v>8711</v>
      </c>
      <c r="Y2649" s="238" t="s">
        <v>39</v>
      </c>
      <c r="Z2649" s="238" t="s">
        <v>1340</v>
      </c>
      <c r="AA2649" t="s">
        <v>3113</v>
      </c>
      <c r="AB2649" s="238" t="s">
        <v>3246</v>
      </c>
      <c r="AC2649" t="s">
        <v>3079</v>
      </c>
      <c r="AD2649" s="24"/>
      <c r="AE2649" s="238" t="s">
        <v>8712</v>
      </c>
      <c r="AF2649">
        <v>79053209777</v>
      </c>
      <c r="AG2649" s="238" t="s">
        <v>8713</v>
      </c>
      <c r="AH2649" s="238" t="s">
        <v>1171</v>
      </c>
      <c r="AI2649" s="238" t="s">
        <v>135</v>
      </c>
      <c r="AJ2649" s="238" t="s">
        <v>4177</v>
      </c>
      <c r="AK2649" s="238" t="s">
        <v>3345</v>
      </c>
      <c r="AL2649" t="s">
        <v>8715</v>
      </c>
      <c r="AM2649" t="s">
        <v>1167</v>
      </c>
    </row>
    <row r="2650" spans="1:39" hidden="1" x14ac:dyDescent="0.25">
      <c r="A2650">
        <v>2647</v>
      </c>
      <c r="B2650">
        <v>11</v>
      </c>
      <c r="C2650" s="24">
        <v>45762</v>
      </c>
      <c r="D2650" s="238" t="s">
        <v>8060</v>
      </c>
      <c r="E2650" s="238" t="s">
        <v>44</v>
      </c>
      <c r="F2650">
        <v>1</v>
      </c>
      <c r="G2650">
        <v>10</v>
      </c>
      <c r="H2650">
        <v>229</v>
      </c>
      <c r="I2650" s="238" t="s">
        <v>42</v>
      </c>
      <c r="J2650">
        <v>44.16</v>
      </c>
      <c r="K2650" s="238" t="s">
        <v>8787</v>
      </c>
      <c r="L2650">
        <v>5929692</v>
      </c>
      <c r="M2650">
        <v>15000</v>
      </c>
      <c r="N2650">
        <v>5944692</v>
      </c>
      <c r="O2650">
        <v>134617.11956521741</v>
      </c>
      <c r="P2650">
        <v>441600</v>
      </c>
      <c r="Q2650">
        <v>5503092</v>
      </c>
      <c r="R2650">
        <v>124617.11956521741</v>
      </c>
      <c r="S2650" s="238" t="s">
        <v>124</v>
      </c>
      <c r="T2650" s="238" t="s">
        <v>3540</v>
      </c>
      <c r="U2650">
        <v>112308</v>
      </c>
      <c r="V2650" t="s">
        <v>1167</v>
      </c>
      <c r="W2650" s="24">
        <v>45734</v>
      </c>
      <c r="X2650" s="238" t="s">
        <v>8716</v>
      </c>
      <c r="Y2650" s="238" t="s">
        <v>39</v>
      </c>
      <c r="Z2650" s="238" t="s">
        <v>1340</v>
      </c>
      <c r="AA2650" t="s">
        <v>3113</v>
      </c>
      <c r="AB2650" s="238" t="s">
        <v>3246</v>
      </c>
      <c r="AC2650" t="s">
        <v>1167</v>
      </c>
      <c r="AD2650" s="24"/>
      <c r="AE2650" s="238" t="s">
        <v>8717</v>
      </c>
      <c r="AF2650">
        <v>79270060306</v>
      </c>
      <c r="AG2650" s="238" t="s">
        <v>1167</v>
      </c>
      <c r="AH2650" s="238" t="s">
        <v>1212</v>
      </c>
      <c r="AI2650" s="238" t="s">
        <v>3082</v>
      </c>
      <c r="AJ2650" s="238" t="s">
        <v>4177</v>
      </c>
      <c r="AK2650" s="238" t="s">
        <v>1167</v>
      </c>
      <c r="AL2650" t="s">
        <v>8715</v>
      </c>
      <c r="AM2650" t="s">
        <v>1167</v>
      </c>
    </row>
    <row r="2651" spans="1:39" x14ac:dyDescent="0.25">
      <c r="A2651">
        <v>2648</v>
      </c>
      <c r="B2651">
        <v>12</v>
      </c>
      <c r="C2651" s="24">
        <v>45763</v>
      </c>
      <c r="D2651" s="238" t="s">
        <v>3388</v>
      </c>
      <c r="E2651" s="238" t="s">
        <v>16</v>
      </c>
      <c r="F2651">
        <v>3</v>
      </c>
      <c r="G2651">
        <v>16</v>
      </c>
      <c r="H2651">
        <v>329</v>
      </c>
      <c r="I2651" s="238" t="s">
        <v>43</v>
      </c>
      <c r="J2651">
        <v>56.58</v>
      </c>
      <c r="K2651" s="238" t="s">
        <v>36</v>
      </c>
      <c r="L2651">
        <v>6663533</v>
      </c>
      <c r="M2651">
        <v>0</v>
      </c>
      <c r="N2651">
        <v>6663533</v>
      </c>
      <c r="O2651">
        <v>117771.88052315306</v>
      </c>
      <c r="P2651">
        <v>0</v>
      </c>
      <c r="Q2651">
        <v>6663533</v>
      </c>
      <c r="R2651">
        <v>117771.88052315306</v>
      </c>
      <c r="S2651" s="238" t="s">
        <v>137</v>
      </c>
      <c r="T2651" s="238" t="s">
        <v>8671</v>
      </c>
      <c r="U2651">
        <v>515367</v>
      </c>
      <c r="V2651" t="s">
        <v>4092</v>
      </c>
      <c r="W2651" s="24">
        <v>45756</v>
      </c>
      <c r="X2651" s="238" t="s">
        <v>8718</v>
      </c>
      <c r="Y2651" s="238" t="s">
        <v>39</v>
      </c>
      <c r="Z2651" s="238" t="s">
        <v>1340</v>
      </c>
      <c r="AA2651" t="s">
        <v>3113</v>
      </c>
      <c r="AB2651" s="238" t="s">
        <v>3246</v>
      </c>
      <c r="AC2651" t="s">
        <v>3079</v>
      </c>
      <c r="AD2651" s="24"/>
      <c r="AE2651" s="238" t="s">
        <v>8719</v>
      </c>
      <c r="AF2651">
        <v>79313058500</v>
      </c>
      <c r="AG2651" s="238" t="s">
        <v>8720</v>
      </c>
      <c r="AH2651" s="238" t="s">
        <v>135</v>
      </c>
      <c r="AI2651" s="238" t="s">
        <v>3075</v>
      </c>
      <c r="AJ2651" s="238" t="s">
        <v>5215</v>
      </c>
      <c r="AK2651" s="238" t="s">
        <v>3345</v>
      </c>
      <c r="AL2651" t="s">
        <v>8715</v>
      </c>
      <c r="AM2651" t="s">
        <v>1167</v>
      </c>
    </row>
    <row r="2652" spans="1:39" x14ac:dyDescent="0.25">
      <c r="A2652">
        <v>2649</v>
      </c>
      <c r="B2652">
        <v>13</v>
      </c>
      <c r="C2652" s="24">
        <v>45765</v>
      </c>
      <c r="D2652" s="238" t="s">
        <v>3388</v>
      </c>
      <c r="E2652" s="238" t="s">
        <v>6</v>
      </c>
      <c r="F2652">
        <v>5</v>
      </c>
      <c r="G2652">
        <v>9</v>
      </c>
      <c r="H2652">
        <v>60</v>
      </c>
      <c r="I2652" s="238" t="s">
        <v>43</v>
      </c>
      <c r="J2652">
        <v>62.17</v>
      </c>
      <c r="K2652" s="238" t="s">
        <v>6871</v>
      </c>
      <c r="L2652">
        <v>7769174</v>
      </c>
      <c r="M2652">
        <v>45000</v>
      </c>
      <c r="N2652">
        <v>7814174</v>
      </c>
      <c r="O2652">
        <v>125690.42946758887</v>
      </c>
      <c r="P2652">
        <v>621700</v>
      </c>
      <c r="Q2652">
        <v>7192474</v>
      </c>
      <c r="R2652">
        <v>115690.42946758887</v>
      </c>
      <c r="S2652" s="238" t="s">
        <v>137</v>
      </c>
      <c r="T2652" s="238" t="s">
        <v>8671</v>
      </c>
      <c r="U2652">
        <v>531726</v>
      </c>
      <c r="V2652" t="s">
        <v>4092</v>
      </c>
      <c r="W2652" s="24">
        <v>45715</v>
      </c>
      <c r="X2652" s="238" t="s">
        <v>8721</v>
      </c>
      <c r="Y2652" s="238" t="s">
        <v>39</v>
      </c>
      <c r="Z2652" s="238" t="s">
        <v>1340</v>
      </c>
      <c r="AA2652" t="s">
        <v>3113</v>
      </c>
      <c r="AB2652" s="238" t="s">
        <v>3246</v>
      </c>
      <c r="AC2652" t="s">
        <v>3079</v>
      </c>
      <c r="AD2652" s="24"/>
      <c r="AE2652" s="238" t="s">
        <v>8722</v>
      </c>
      <c r="AF2652">
        <v>79277661176</v>
      </c>
      <c r="AG2652" s="238" t="s">
        <v>1167</v>
      </c>
      <c r="AH2652" s="238" t="s">
        <v>1212</v>
      </c>
      <c r="AI2652" s="238" t="s">
        <v>135</v>
      </c>
      <c r="AJ2652" s="238" t="s">
        <v>5215</v>
      </c>
      <c r="AK2652" s="238" t="s">
        <v>3345</v>
      </c>
      <c r="AL2652" t="s">
        <v>8715</v>
      </c>
      <c r="AM2652" t="s">
        <v>1167</v>
      </c>
    </row>
    <row r="2653" spans="1:39" hidden="1" x14ac:dyDescent="0.25">
      <c r="A2653">
        <v>2650</v>
      </c>
      <c r="B2653">
        <v>14</v>
      </c>
      <c r="C2653" s="24">
        <v>45765</v>
      </c>
      <c r="D2653" s="238" t="s">
        <v>8060</v>
      </c>
      <c r="E2653" s="238" t="s">
        <v>42</v>
      </c>
      <c r="F2653">
        <v>5</v>
      </c>
      <c r="G2653">
        <v>18</v>
      </c>
      <c r="H2653">
        <v>101</v>
      </c>
      <c r="I2653" s="238" t="s">
        <v>42</v>
      </c>
      <c r="J2653">
        <v>36.64</v>
      </c>
      <c r="K2653" s="238" t="s">
        <v>36</v>
      </c>
      <c r="L2653">
        <v>4930282</v>
      </c>
      <c r="M2653">
        <v>0</v>
      </c>
      <c r="N2653">
        <v>4930282</v>
      </c>
      <c r="O2653">
        <v>134560.09825327509</v>
      </c>
      <c r="P2653">
        <v>0</v>
      </c>
      <c r="Q2653">
        <v>4930282</v>
      </c>
      <c r="R2653">
        <v>134560.09825327509</v>
      </c>
      <c r="S2653" s="238" t="s">
        <v>124</v>
      </c>
      <c r="T2653" s="238" t="s">
        <v>8705</v>
      </c>
      <c r="U2653">
        <v>100617.99999999907</v>
      </c>
      <c r="V2653" t="s">
        <v>1167</v>
      </c>
      <c r="W2653" s="24">
        <v>45761</v>
      </c>
      <c r="X2653" s="238" t="s">
        <v>8723</v>
      </c>
      <c r="Y2653" s="238" t="s">
        <v>39</v>
      </c>
      <c r="Z2653" s="238" t="s">
        <v>1340</v>
      </c>
      <c r="AA2653" t="s">
        <v>3113</v>
      </c>
      <c r="AB2653" s="238" t="s">
        <v>3246</v>
      </c>
      <c r="AC2653" t="s">
        <v>1167</v>
      </c>
      <c r="AD2653" s="24"/>
      <c r="AE2653" s="238" t="s">
        <v>8724</v>
      </c>
      <c r="AF2653">
        <v>79276181040</v>
      </c>
      <c r="AG2653" s="238" t="s">
        <v>8725</v>
      </c>
      <c r="AH2653" s="238" t="s">
        <v>135</v>
      </c>
      <c r="AI2653" s="238" t="s">
        <v>7734</v>
      </c>
      <c r="AJ2653" s="238" t="s">
        <v>4177</v>
      </c>
      <c r="AK2653" s="238" t="s">
        <v>1167</v>
      </c>
      <c r="AL2653" t="s">
        <v>8715</v>
      </c>
      <c r="AM2653" t="s">
        <v>1167</v>
      </c>
    </row>
    <row r="2654" spans="1:39" hidden="1" x14ac:dyDescent="0.25">
      <c r="A2654">
        <v>2651</v>
      </c>
      <c r="B2654">
        <v>15</v>
      </c>
      <c r="C2654" s="24">
        <v>45766</v>
      </c>
      <c r="D2654" s="238" t="s">
        <v>7562</v>
      </c>
      <c r="E2654" s="238" t="s">
        <v>42</v>
      </c>
      <c r="F2654">
        <v>1</v>
      </c>
      <c r="G2654">
        <v>9</v>
      </c>
      <c r="H2654">
        <v>29</v>
      </c>
      <c r="I2654" s="238" t="s">
        <v>43</v>
      </c>
      <c r="J2654">
        <v>61.41</v>
      </c>
      <c r="K2654" s="238" t="s">
        <v>8787</v>
      </c>
      <c r="L2654">
        <v>8437734</v>
      </c>
      <c r="M2654">
        <v>0</v>
      </c>
      <c r="N2654">
        <v>8437734</v>
      </c>
      <c r="O2654">
        <v>137400</v>
      </c>
      <c r="P2654">
        <v>614100</v>
      </c>
      <c r="Q2654">
        <v>7823634</v>
      </c>
      <c r="R2654">
        <v>127400</v>
      </c>
      <c r="S2654" s="238" t="s">
        <v>137</v>
      </c>
      <c r="T2654" s="238" t="s">
        <v>3540</v>
      </c>
      <c r="U2654">
        <v>159666</v>
      </c>
      <c r="V2654" t="s">
        <v>4092</v>
      </c>
      <c r="W2654" s="24">
        <v>45763</v>
      </c>
      <c r="X2654" s="238" t="s">
        <v>8726</v>
      </c>
      <c r="Y2654" s="238" t="s">
        <v>39</v>
      </c>
      <c r="Z2654" s="238" t="s">
        <v>1340</v>
      </c>
      <c r="AA2654" t="s">
        <v>3113</v>
      </c>
      <c r="AB2654" s="238" t="s">
        <v>3246</v>
      </c>
      <c r="AC2654" t="s">
        <v>3079</v>
      </c>
      <c r="AD2654" s="24"/>
      <c r="AE2654" s="238" t="s">
        <v>8727</v>
      </c>
      <c r="AF2654">
        <v>79619124738</v>
      </c>
      <c r="AG2654" s="238" t="s">
        <v>8728</v>
      </c>
      <c r="AH2654" s="238" t="s">
        <v>1171</v>
      </c>
      <c r="AI2654" s="238" t="s">
        <v>3103</v>
      </c>
      <c r="AJ2654" s="238" t="s">
        <v>8380</v>
      </c>
      <c r="AK2654" s="238" t="s">
        <v>3345</v>
      </c>
      <c r="AL2654" t="s">
        <v>8715</v>
      </c>
      <c r="AM2654" t="s">
        <v>1167</v>
      </c>
    </row>
    <row r="2655" spans="1:39" hidden="1" x14ac:dyDescent="0.25">
      <c r="A2655">
        <v>2652</v>
      </c>
      <c r="B2655">
        <v>16</v>
      </c>
      <c r="C2655" s="24">
        <v>45768</v>
      </c>
      <c r="D2655" s="238" t="s">
        <v>8060</v>
      </c>
      <c r="E2655" s="238" t="s">
        <v>44</v>
      </c>
      <c r="F2655">
        <v>1</v>
      </c>
      <c r="G2655">
        <v>14</v>
      </c>
      <c r="H2655">
        <v>253</v>
      </c>
      <c r="I2655" s="238" t="s">
        <v>42</v>
      </c>
      <c r="J2655">
        <v>43.88</v>
      </c>
      <c r="K2655" s="238" t="s">
        <v>8787</v>
      </c>
      <c r="L2655">
        <v>6016960</v>
      </c>
      <c r="M2655">
        <v>0</v>
      </c>
      <c r="N2655">
        <v>6016960</v>
      </c>
      <c r="O2655">
        <v>137123.06289881494</v>
      </c>
      <c r="P2655">
        <v>438800</v>
      </c>
      <c r="Q2655">
        <v>5578160</v>
      </c>
      <c r="R2655">
        <v>127123.06289881494</v>
      </c>
      <c r="S2655" s="238" t="s">
        <v>124</v>
      </c>
      <c r="T2655" s="238" t="s">
        <v>3540</v>
      </c>
      <c r="U2655">
        <v>113840</v>
      </c>
      <c r="V2655" t="s">
        <v>1167</v>
      </c>
      <c r="W2655" s="24">
        <v>45757</v>
      </c>
      <c r="X2655" s="238" t="s">
        <v>8729</v>
      </c>
      <c r="Y2655" s="238" t="s">
        <v>39</v>
      </c>
      <c r="Z2655" s="238" t="s">
        <v>1340</v>
      </c>
      <c r="AA2655" t="s">
        <v>3113</v>
      </c>
      <c r="AB2655" s="238" t="s">
        <v>3246</v>
      </c>
      <c r="AC2655" t="s">
        <v>1167</v>
      </c>
      <c r="AD2655" s="24"/>
      <c r="AE2655" s="238" t="s">
        <v>8730</v>
      </c>
      <c r="AF2655">
        <v>79127569016</v>
      </c>
      <c r="AG2655" s="238" t="s">
        <v>8731</v>
      </c>
      <c r="AH2655" s="238" t="s">
        <v>1171</v>
      </c>
      <c r="AI2655" s="238" t="s">
        <v>3074</v>
      </c>
      <c r="AJ2655" s="238" t="s">
        <v>5215</v>
      </c>
      <c r="AK2655" s="238" t="s">
        <v>1167</v>
      </c>
      <c r="AL2655" t="s">
        <v>8715</v>
      </c>
      <c r="AM2655" t="s">
        <v>1167</v>
      </c>
    </row>
    <row r="2656" spans="1:39" hidden="1" x14ac:dyDescent="0.25">
      <c r="A2656">
        <v>2653</v>
      </c>
      <c r="B2656">
        <v>17</v>
      </c>
      <c r="C2656" s="24">
        <v>45768</v>
      </c>
      <c r="D2656" s="238" t="s">
        <v>3388</v>
      </c>
      <c r="E2656" s="238" t="s">
        <v>5</v>
      </c>
      <c r="F2656">
        <v>1</v>
      </c>
      <c r="G2656">
        <v>0</v>
      </c>
      <c r="H2656">
        <v>3</v>
      </c>
      <c r="I2656" s="238" t="s">
        <v>8693</v>
      </c>
      <c r="J2656">
        <v>4.7</v>
      </c>
      <c r="K2656" s="238" t="s">
        <v>36</v>
      </c>
      <c r="L2656">
        <v>517000</v>
      </c>
      <c r="M2656">
        <v>0</v>
      </c>
      <c r="N2656">
        <v>517000</v>
      </c>
      <c r="O2656">
        <v>110000</v>
      </c>
      <c r="P2656">
        <v>0</v>
      </c>
      <c r="Q2656">
        <v>517000</v>
      </c>
      <c r="R2656">
        <v>110000</v>
      </c>
      <c r="S2656" s="238" t="s">
        <v>124</v>
      </c>
      <c r="T2656" s="238" t="s">
        <v>1167</v>
      </c>
      <c r="V2656" t="s">
        <v>1167</v>
      </c>
      <c r="W2656" s="24">
        <v>45768</v>
      </c>
      <c r="X2656" s="238" t="s">
        <v>8732</v>
      </c>
      <c r="Y2656" s="238" t="s">
        <v>3946</v>
      </c>
      <c r="Z2656" s="238" t="s">
        <v>1340</v>
      </c>
      <c r="AA2656" t="s">
        <v>3113</v>
      </c>
      <c r="AB2656" s="238" t="s">
        <v>3246</v>
      </c>
      <c r="AC2656" t="s">
        <v>1167</v>
      </c>
      <c r="AD2656" s="24"/>
      <c r="AE2656" s="238" t="s">
        <v>7348</v>
      </c>
      <c r="AF2656">
        <v>79179464580</v>
      </c>
      <c r="AG2656" s="238" t="s">
        <v>7349</v>
      </c>
      <c r="AH2656" s="238" t="s">
        <v>1212</v>
      </c>
      <c r="AI2656" s="238" t="s">
        <v>3082</v>
      </c>
      <c r="AJ2656" s="238" t="s">
        <v>4177</v>
      </c>
      <c r="AK2656" s="238" t="s">
        <v>1167</v>
      </c>
      <c r="AL2656" t="s">
        <v>8715</v>
      </c>
      <c r="AM2656" t="s">
        <v>1167</v>
      </c>
    </row>
    <row r="2657" spans="1:39" x14ac:dyDescent="0.25">
      <c r="A2657">
        <v>2654</v>
      </c>
      <c r="B2657">
        <v>18</v>
      </c>
      <c r="C2657" s="24">
        <v>45769</v>
      </c>
      <c r="D2657" s="238" t="s">
        <v>3388</v>
      </c>
      <c r="E2657" s="238" t="s">
        <v>15</v>
      </c>
      <c r="F2657">
        <v>7</v>
      </c>
      <c r="G2657">
        <v>6</v>
      </c>
      <c r="H2657">
        <v>435</v>
      </c>
      <c r="I2657" s="238" t="s">
        <v>44</v>
      </c>
      <c r="J2657">
        <v>79.44</v>
      </c>
      <c r="K2657" s="238" t="s">
        <v>36</v>
      </c>
      <c r="L2657">
        <v>9234400</v>
      </c>
      <c r="M2657">
        <v>0</v>
      </c>
      <c r="N2657">
        <v>9234400</v>
      </c>
      <c r="O2657">
        <v>116243.70594159114</v>
      </c>
      <c r="P2657">
        <v>0</v>
      </c>
      <c r="Q2657">
        <v>9234400</v>
      </c>
      <c r="R2657">
        <v>116243.70594159114</v>
      </c>
      <c r="S2657" s="238" t="s">
        <v>137</v>
      </c>
      <c r="T2657" s="238" t="s">
        <v>8594</v>
      </c>
      <c r="U2657">
        <v>400000</v>
      </c>
      <c r="V2657" t="s">
        <v>4092</v>
      </c>
      <c r="W2657" s="24">
        <v>45762</v>
      </c>
      <c r="X2657" s="238" t="s">
        <v>8733</v>
      </c>
      <c r="Y2657" s="238" t="s">
        <v>39</v>
      </c>
      <c r="Z2657" s="238" t="s">
        <v>1340</v>
      </c>
      <c r="AA2657" t="s">
        <v>3113</v>
      </c>
      <c r="AB2657" s="238" t="s">
        <v>3246</v>
      </c>
      <c r="AC2657" t="s">
        <v>3079</v>
      </c>
      <c r="AD2657" s="24"/>
      <c r="AE2657" s="238" t="s">
        <v>8734</v>
      </c>
      <c r="AF2657">
        <v>79053022979</v>
      </c>
      <c r="AG2657" s="238" t="s">
        <v>8735</v>
      </c>
      <c r="AH2657" s="238" t="s">
        <v>1171</v>
      </c>
      <c r="AI2657" s="238" t="s">
        <v>135</v>
      </c>
      <c r="AJ2657" s="238" t="s">
        <v>126</v>
      </c>
      <c r="AK2657" s="238" t="s">
        <v>3345</v>
      </c>
      <c r="AL2657" t="s">
        <v>8715</v>
      </c>
      <c r="AM2657" t="s">
        <v>1167</v>
      </c>
    </row>
    <row r="2658" spans="1:39" hidden="1" x14ac:dyDescent="0.25">
      <c r="A2658">
        <v>2655</v>
      </c>
      <c r="B2658">
        <v>19</v>
      </c>
      <c r="C2658" s="24">
        <v>45769</v>
      </c>
      <c r="D2658" s="238" t="s">
        <v>3388</v>
      </c>
      <c r="E2658" s="238" t="s">
        <v>5</v>
      </c>
      <c r="F2658">
        <v>2</v>
      </c>
      <c r="G2658">
        <v>0</v>
      </c>
      <c r="H2658">
        <v>4</v>
      </c>
      <c r="I2658" s="238" t="s">
        <v>8693</v>
      </c>
      <c r="J2658">
        <v>6.97</v>
      </c>
      <c r="K2658" s="238" t="s">
        <v>36</v>
      </c>
      <c r="L2658">
        <v>697000</v>
      </c>
      <c r="M2658">
        <v>0</v>
      </c>
      <c r="N2658">
        <v>697000</v>
      </c>
      <c r="O2658">
        <v>100000</v>
      </c>
      <c r="P2658">
        <v>0</v>
      </c>
      <c r="Q2658">
        <v>697000</v>
      </c>
      <c r="R2658">
        <v>100000</v>
      </c>
      <c r="S2658" s="238" t="s">
        <v>124</v>
      </c>
      <c r="T2658" s="238" t="s">
        <v>1167</v>
      </c>
      <c r="V2658" t="s">
        <v>1167</v>
      </c>
      <c r="W2658" s="24">
        <v>45768</v>
      </c>
      <c r="X2658" s="238" t="s">
        <v>8736</v>
      </c>
      <c r="Y2658" s="238" t="s">
        <v>3946</v>
      </c>
      <c r="Z2658" s="238" t="s">
        <v>1340</v>
      </c>
      <c r="AA2658" t="s">
        <v>3113</v>
      </c>
      <c r="AB2658" s="238" t="s">
        <v>3246</v>
      </c>
      <c r="AC2658" t="s">
        <v>1167</v>
      </c>
      <c r="AD2658" s="24"/>
      <c r="AE2658" s="238" t="s">
        <v>7679</v>
      </c>
      <c r="AF2658">
        <v>79022368527</v>
      </c>
      <c r="AG2658" s="238" t="s">
        <v>7680</v>
      </c>
      <c r="AH2658" s="238" t="s">
        <v>1212</v>
      </c>
      <c r="AI2658" s="238" t="s">
        <v>3082</v>
      </c>
      <c r="AJ2658" s="238" t="s">
        <v>4177</v>
      </c>
      <c r="AK2658" s="238" t="s">
        <v>1167</v>
      </c>
      <c r="AL2658" t="s">
        <v>8715</v>
      </c>
      <c r="AM2658" t="s">
        <v>1167</v>
      </c>
    </row>
    <row r="2659" spans="1:39" hidden="1" x14ac:dyDescent="0.25">
      <c r="A2659">
        <v>2656</v>
      </c>
      <c r="B2659">
        <v>20</v>
      </c>
      <c r="C2659" s="24">
        <v>45770</v>
      </c>
      <c r="D2659" s="238" t="s">
        <v>8060</v>
      </c>
      <c r="E2659" s="238" t="s">
        <v>44</v>
      </c>
      <c r="F2659">
        <v>5</v>
      </c>
      <c r="G2659">
        <v>9</v>
      </c>
      <c r="H2659">
        <v>227</v>
      </c>
      <c r="I2659" s="238" t="s">
        <v>44</v>
      </c>
      <c r="J2659">
        <v>78.16</v>
      </c>
      <c r="K2659" s="238" t="s">
        <v>36</v>
      </c>
      <c r="L2659">
        <v>8407700</v>
      </c>
      <c r="M2659">
        <v>0</v>
      </c>
      <c r="N2659">
        <v>8407700</v>
      </c>
      <c r="O2659">
        <v>107570.36847492323</v>
      </c>
      <c r="P2659">
        <v>0</v>
      </c>
      <c r="Q2659">
        <v>8407700</v>
      </c>
      <c r="R2659">
        <v>107570.36847492323</v>
      </c>
      <c r="S2659" s="238" t="s">
        <v>124</v>
      </c>
      <c r="T2659" s="238" t="s">
        <v>1167</v>
      </c>
      <c r="V2659" t="s">
        <v>1167</v>
      </c>
      <c r="W2659" s="24">
        <v>45769</v>
      </c>
      <c r="X2659" s="238" t="s">
        <v>8737</v>
      </c>
      <c r="Y2659" s="238" t="s">
        <v>1172</v>
      </c>
      <c r="Z2659" s="238" t="s">
        <v>1340</v>
      </c>
      <c r="AA2659" t="s">
        <v>3113</v>
      </c>
      <c r="AB2659" s="238" t="s">
        <v>3246</v>
      </c>
      <c r="AC2659" t="s">
        <v>1167</v>
      </c>
      <c r="AD2659" s="24">
        <v>45889</v>
      </c>
      <c r="AE2659" s="238" t="s">
        <v>8738</v>
      </c>
      <c r="AF2659">
        <v>79879845963</v>
      </c>
      <c r="AG2659" s="238" t="s">
        <v>8739</v>
      </c>
      <c r="AH2659" s="238" t="s">
        <v>4072</v>
      </c>
      <c r="AI2659" s="238" t="s">
        <v>7040</v>
      </c>
      <c r="AJ2659" s="238" t="s">
        <v>4177</v>
      </c>
      <c r="AK2659" s="238" t="s">
        <v>1167</v>
      </c>
      <c r="AL2659" t="s">
        <v>57</v>
      </c>
      <c r="AM2659" t="s">
        <v>1167</v>
      </c>
    </row>
    <row r="2660" spans="1:39" hidden="1" x14ac:dyDescent="0.25">
      <c r="A2660">
        <v>2657</v>
      </c>
      <c r="B2660">
        <v>21</v>
      </c>
      <c r="C2660" s="24">
        <v>45772</v>
      </c>
      <c r="D2660" s="238" t="s">
        <v>7562</v>
      </c>
      <c r="E2660" s="238" t="s">
        <v>42</v>
      </c>
      <c r="F2660">
        <v>2</v>
      </c>
      <c r="G2660">
        <v>8</v>
      </c>
      <c r="H2660">
        <v>26</v>
      </c>
      <c r="I2660" s="238" t="s">
        <v>42</v>
      </c>
      <c r="J2660">
        <v>35.53</v>
      </c>
      <c r="K2660" s="238" t="s">
        <v>36</v>
      </c>
      <c r="L2660">
        <v>4798178</v>
      </c>
      <c r="M2660">
        <v>0</v>
      </c>
      <c r="N2660">
        <v>4798178</v>
      </c>
      <c r="O2660">
        <v>135045.82043343651</v>
      </c>
      <c r="P2660">
        <v>0</v>
      </c>
      <c r="Q2660">
        <v>4798178</v>
      </c>
      <c r="R2660">
        <v>135045.82043343651</v>
      </c>
      <c r="S2660" s="238" t="s">
        <v>124</v>
      </c>
      <c r="T2660" s="238" t="s">
        <v>3540</v>
      </c>
      <c r="U2660">
        <v>97922</v>
      </c>
      <c r="V2660" t="s">
        <v>1167</v>
      </c>
      <c r="W2660" s="24">
        <v>45768</v>
      </c>
      <c r="X2660" s="238" t="s">
        <v>8740</v>
      </c>
      <c r="Y2660" s="238" t="s">
        <v>39</v>
      </c>
      <c r="Z2660" s="238" t="s">
        <v>1340</v>
      </c>
      <c r="AA2660" t="s">
        <v>3113</v>
      </c>
      <c r="AB2660" s="238" t="s">
        <v>3246</v>
      </c>
      <c r="AC2660" t="s">
        <v>1167</v>
      </c>
      <c r="AD2660" s="24"/>
      <c r="AE2660" s="238" t="s">
        <v>3679</v>
      </c>
      <c r="AF2660">
        <v>79879881220</v>
      </c>
      <c r="AG2660" s="238" t="s">
        <v>3680</v>
      </c>
      <c r="AH2660" s="238" t="s">
        <v>1212</v>
      </c>
      <c r="AI2660" s="238" t="s">
        <v>3082</v>
      </c>
      <c r="AJ2660" s="238" t="s">
        <v>4177</v>
      </c>
      <c r="AK2660" s="238" t="s">
        <v>1167</v>
      </c>
      <c r="AL2660" t="s">
        <v>8715</v>
      </c>
      <c r="AM2660" t="s">
        <v>1167</v>
      </c>
    </row>
    <row r="2661" spans="1:39" x14ac:dyDescent="0.25">
      <c r="A2661">
        <v>2658</v>
      </c>
      <c r="B2661">
        <v>22</v>
      </c>
      <c r="C2661" s="24">
        <v>45772</v>
      </c>
      <c r="D2661" s="238" t="s">
        <v>3388</v>
      </c>
      <c r="E2661" s="238" t="s">
        <v>16</v>
      </c>
      <c r="F2661">
        <v>4</v>
      </c>
      <c r="G2661">
        <v>15</v>
      </c>
      <c r="H2661">
        <v>323</v>
      </c>
      <c r="I2661" s="238" t="s">
        <v>43</v>
      </c>
      <c r="J2661">
        <v>60.24</v>
      </c>
      <c r="K2661" s="238" t="s">
        <v>6871</v>
      </c>
      <c r="L2661">
        <v>7705400</v>
      </c>
      <c r="M2661">
        <v>0</v>
      </c>
      <c r="N2661">
        <v>7705400</v>
      </c>
      <c r="O2661">
        <v>127911.68658698539</v>
      </c>
      <c r="P2661">
        <v>602400</v>
      </c>
      <c r="Q2661">
        <v>7103000</v>
      </c>
      <c r="R2661">
        <v>117911.68658698539</v>
      </c>
      <c r="S2661" s="238" t="s">
        <v>137</v>
      </c>
      <c r="T2661" s="238" t="s">
        <v>8594</v>
      </c>
      <c r="U2661">
        <v>300000</v>
      </c>
      <c r="V2661" t="s">
        <v>4092</v>
      </c>
      <c r="W2661" s="24">
        <v>45768</v>
      </c>
      <c r="X2661" s="238" t="s">
        <v>8741</v>
      </c>
      <c r="Y2661" s="238" t="s">
        <v>39</v>
      </c>
      <c r="Z2661" s="238" t="s">
        <v>1340</v>
      </c>
      <c r="AA2661" t="s">
        <v>3113</v>
      </c>
      <c r="AB2661" s="238" t="s">
        <v>3246</v>
      </c>
      <c r="AC2661" t="s">
        <v>3079</v>
      </c>
      <c r="AD2661" s="24"/>
      <c r="AE2661" s="238" t="s">
        <v>8742</v>
      </c>
      <c r="AF2661">
        <v>79879068735</v>
      </c>
      <c r="AG2661" s="238" t="s">
        <v>8743</v>
      </c>
      <c r="AH2661" s="238" t="s">
        <v>135</v>
      </c>
      <c r="AI2661" s="238" t="s">
        <v>3097</v>
      </c>
      <c r="AJ2661" s="238" t="s">
        <v>5215</v>
      </c>
      <c r="AK2661" s="238" t="s">
        <v>3345</v>
      </c>
      <c r="AL2661" t="s">
        <v>8715</v>
      </c>
      <c r="AM2661" t="s">
        <v>1167</v>
      </c>
    </row>
    <row r="2662" spans="1:39" x14ac:dyDescent="0.25">
      <c r="A2662">
        <v>2659</v>
      </c>
      <c r="B2662">
        <v>23</v>
      </c>
      <c r="C2662" s="24">
        <v>45772</v>
      </c>
      <c r="D2662" s="238" t="s">
        <v>3388</v>
      </c>
      <c r="E2662" s="238" t="s">
        <v>5</v>
      </c>
      <c r="F2662">
        <v>2</v>
      </c>
      <c r="G2662">
        <v>5</v>
      </c>
      <c r="H2662">
        <v>140</v>
      </c>
      <c r="I2662" s="238" t="s">
        <v>4052</v>
      </c>
      <c r="J2662">
        <v>24.28</v>
      </c>
      <c r="K2662" s="238" t="s">
        <v>36</v>
      </c>
      <c r="L2662">
        <v>3442060</v>
      </c>
      <c r="M2662">
        <v>0</v>
      </c>
      <c r="N2662">
        <v>3442060</v>
      </c>
      <c r="O2662">
        <v>141765.2388797364</v>
      </c>
      <c r="P2662">
        <v>0</v>
      </c>
      <c r="Q2662">
        <v>3442060</v>
      </c>
      <c r="R2662">
        <v>141765.2388797364</v>
      </c>
      <c r="S2662" s="238" t="s">
        <v>137</v>
      </c>
      <c r="T2662" s="238" t="s">
        <v>8676</v>
      </c>
      <c r="U2662">
        <v>194240</v>
      </c>
      <c r="V2662" t="s">
        <v>4092</v>
      </c>
      <c r="W2662" s="24">
        <v>45769</v>
      </c>
      <c r="X2662" s="238" t="s">
        <v>5093</v>
      </c>
      <c r="Y2662" s="238" t="s">
        <v>39</v>
      </c>
      <c r="Z2662" s="238" t="s">
        <v>1340</v>
      </c>
      <c r="AA2662" t="s">
        <v>3113</v>
      </c>
      <c r="AB2662" s="238" t="s">
        <v>3246</v>
      </c>
      <c r="AC2662" t="s">
        <v>3079</v>
      </c>
      <c r="AD2662" s="24"/>
      <c r="AE2662" s="238" t="s">
        <v>8744</v>
      </c>
      <c r="AF2662">
        <v>79170189093</v>
      </c>
      <c r="AG2662" s="238" t="s">
        <v>8745</v>
      </c>
      <c r="AH2662" s="238" t="s">
        <v>4072</v>
      </c>
      <c r="AI2662" s="238" t="s">
        <v>8476</v>
      </c>
      <c r="AJ2662" s="238" t="s">
        <v>8380</v>
      </c>
      <c r="AK2662" s="238" t="s">
        <v>8441</v>
      </c>
      <c r="AL2662" t="s">
        <v>57</v>
      </c>
      <c r="AM2662" t="s">
        <v>1167</v>
      </c>
    </row>
    <row r="2663" spans="1:39" x14ac:dyDescent="0.25">
      <c r="A2663">
        <v>2660</v>
      </c>
      <c r="B2663">
        <v>24</v>
      </c>
      <c r="C2663" s="24">
        <v>45773</v>
      </c>
      <c r="D2663" s="238" t="s">
        <v>3388</v>
      </c>
      <c r="E2663" s="238" t="s">
        <v>15</v>
      </c>
      <c r="F2663">
        <v>8</v>
      </c>
      <c r="G2663">
        <v>10</v>
      </c>
      <c r="H2663">
        <v>468</v>
      </c>
      <c r="I2663" s="238" t="s">
        <v>42</v>
      </c>
      <c r="J2663">
        <v>39.69</v>
      </c>
      <c r="K2663" s="238" t="s">
        <v>38</v>
      </c>
      <c r="L2663">
        <v>5980130</v>
      </c>
      <c r="M2663">
        <v>0</v>
      </c>
      <c r="N2663">
        <v>5980130</v>
      </c>
      <c r="O2663">
        <v>150670.94986142605</v>
      </c>
      <c r="P2663">
        <v>992250</v>
      </c>
      <c r="Q2663">
        <v>4987880</v>
      </c>
      <c r="R2663">
        <v>125670.94986142605</v>
      </c>
      <c r="S2663" s="238" t="s">
        <v>137</v>
      </c>
      <c r="T2663" s="238" t="s">
        <v>8676</v>
      </c>
      <c r="U2663">
        <v>317520</v>
      </c>
      <c r="V2663" t="s">
        <v>4092</v>
      </c>
      <c r="W2663" s="24">
        <v>45763</v>
      </c>
      <c r="X2663" s="238" t="s">
        <v>8746</v>
      </c>
      <c r="Y2663" s="238" t="s">
        <v>39</v>
      </c>
      <c r="Z2663" s="238" t="s">
        <v>1340</v>
      </c>
      <c r="AA2663" t="s">
        <v>3113</v>
      </c>
      <c r="AB2663" s="238" t="s">
        <v>3246</v>
      </c>
      <c r="AC2663" t="s">
        <v>3079</v>
      </c>
      <c r="AD2663" s="24"/>
      <c r="AE2663" s="238" t="s">
        <v>8747</v>
      </c>
      <c r="AF2663">
        <v>79170537946</v>
      </c>
      <c r="AG2663" s="238" t="s">
        <v>8748</v>
      </c>
      <c r="AH2663" s="238" t="s">
        <v>1212</v>
      </c>
      <c r="AI2663" s="238" t="s">
        <v>3097</v>
      </c>
      <c r="AJ2663" s="238" t="s">
        <v>4177</v>
      </c>
      <c r="AK2663" s="238" t="s">
        <v>8441</v>
      </c>
      <c r="AL2663" t="s">
        <v>8715</v>
      </c>
      <c r="AM2663" t="s">
        <v>1167</v>
      </c>
    </row>
    <row r="2664" spans="1:39" hidden="1" x14ac:dyDescent="0.25">
      <c r="A2664">
        <v>2661</v>
      </c>
      <c r="C2664" s="24">
        <v>45637</v>
      </c>
      <c r="D2664" s="238" t="s">
        <v>27</v>
      </c>
      <c r="E2664" s="238" t="s">
        <v>14</v>
      </c>
      <c r="F2664">
        <v>2</v>
      </c>
      <c r="G2664">
        <v>1</v>
      </c>
      <c r="H2664">
        <v>162</v>
      </c>
      <c r="I2664" s="238" t="s">
        <v>3946</v>
      </c>
      <c r="J2664">
        <v>42.7</v>
      </c>
      <c r="K2664" s="238" t="s">
        <v>36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38" t="s">
        <v>644</v>
      </c>
      <c r="T2664" s="238" t="s">
        <v>1167</v>
      </c>
      <c r="V2664" t="s">
        <v>1167</v>
      </c>
      <c r="W2664" s="24">
        <v>45637</v>
      </c>
      <c r="X2664" s="238" t="s">
        <v>8750</v>
      </c>
      <c r="Y2664" s="238" t="s">
        <v>3946</v>
      </c>
      <c r="Z2664" s="238" t="s">
        <v>1168</v>
      </c>
      <c r="AA2664" t="s">
        <v>1167</v>
      </c>
      <c r="AB2664" s="238" t="s">
        <v>3246</v>
      </c>
      <c r="AC2664" t="s">
        <v>4246</v>
      </c>
      <c r="AD2664" s="24"/>
      <c r="AE2664" s="238" t="s">
        <v>8751</v>
      </c>
      <c r="AG2664" s="238" t="s">
        <v>1167</v>
      </c>
      <c r="AH2664" s="238" t="s">
        <v>1167</v>
      </c>
      <c r="AI2664" s="238" t="s">
        <v>1167</v>
      </c>
      <c r="AJ2664" s="238" t="s">
        <v>982</v>
      </c>
      <c r="AK2664" s="238" t="s">
        <v>1167</v>
      </c>
      <c r="AL2664" t="s">
        <v>8715</v>
      </c>
      <c r="AM2664" t="s">
        <v>8358</v>
      </c>
    </row>
    <row r="2665" spans="1:39" hidden="1" x14ac:dyDescent="0.25">
      <c r="A2665">
        <v>2662</v>
      </c>
      <c r="B2665">
        <v>25</v>
      </c>
      <c r="C2665" s="24">
        <v>45776</v>
      </c>
      <c r="D2665" s="238" t="s">
        <v>3388</v>
      </c>
      <c r="E2665" s="238" t="s">
        <v>16</v>
      </c>
      <c r="F2665">
        <v>2</v>
      </c>
      <c r="G2665">
        <v>0</v>
      </c>
      <c r="H2665">
        <v>6</v>
      </c>
      <c r="I2665" s="238" t="s">
        <v>8693</v>
      </c>
      <c r="J2665">
        <v>6.94</v>
      </c>
      <c r="K2665" s="238" t="s">
        <v>36</v>
      </c>
      <c r="L2665">
        <v>694000</v>
      </c>
      <c r="M2665">
        <v>0</v>
      </c>
      <c r="N2665">
        <v>694000</v>
      </c>
      <c r="O2665">
        <v>100000</v>
      </c>
      <c r="P2665">
        <v>0</v>
      </c>
      <c r="Q2665">
        <v>694000</v>
      </c>
      <c r="R2665">
        <v>100000</v>
      </c>
      <c r="S2665" s="238" t="s">
        <v>124</v>
      </c>
      <c r="T2665" s="238" t="s">
        <v>1167</v>
      </c>
      <c r="V2665" t="s">
        <v>1167</v>
      </c>
      <c r="W2665" s="24">
        <v>45776</v>
      </c>
      <c r="X2665" s="238" t="s">
        <v>8752</v>
      </c>
      <c r="Y2665" s="238" t="s">
        <v>3946</v>
      </c>
      <c r="Z2665" s="238" t="s">
        <v>1340</v>
      </c>
      <c r="AA2665" t="s">
        <v>3113</v>
      </c>
      <c r="AB2665" s="238" t="s">
        <v>3246</v>
      </c>
      <c r="AC2665" t="s">
        <v>1167</v>
      </c>
      <c r="AD2665" s="24"/>
      <c r="AE2665" s="238" t="s">
        <v>3854</v>
      </c>
      <c r="AF2665">
        <v>79178173375</v>
      </c>
      <c r="AG2665" s="238" t="s">
        <v>3855</v>
      </c>
      <c r="AH2665" s="238" t="s">
        <v>1171</v>
      </c>
      <c r="AI2665" s="238" t="s">
        <v>3082</v>
      </c>
      <c r="AJ2665" s="238" t="s">
        <v>5215</v>
      </c>
      <c r="AK2665" s="238" t="s">
        <v>1167</v>
      </c>
      <c r="AL2665" t="s">
        <v>8715</v>
      </c>
      <c r="AM2665" t="s">
        <v>1167</v>
      </c>
    </row>
    <row r="2666" spans="1:39" x14ac:dyDescent="0.25">
      <c r="A2666">
        <v>2663</v>
      </c>
      <c r="B2666">
        <v>26</v>
      </c>
      <c r="C2666" s="24">
        <v>45777</v>
      </c>
      <c r="D2666" s="238" t="s">
        <v>3388</v>
      </c>
      <c r="E2666" s="238" t="s">
        <v>5</v>
      </c>
      <c r="F2666">
        <v>6</v>
      </c>
      <c r="G2666">
        <v>13</v>
      </c>
      <c r="H2666">
        <v>200</v>
      </c>
      <c r="I2666" s="238" t="s">
        <v>44</v>
      </c>
      <c r="J2666">
        <v>84.99</v>
      </c>
      <c r="K2666" s="238" t="s">
        <v>36</v>
      </c>
      <c r="L2666">
        <v>9036800</v>
      </c>
      <c r="M2666">
        <v>0</v>
      </c>
      <c r="N2666">
        <v>9036800</v>
      </c>
      <c r="O2666">
        <v>106327.80327097306</v>
      </c>
      <c r="P2666">
        <v>0</v>
      </c>
      <c r="Q2666">
        <v>9036800</v>
      </c>
      <c r="R2666">
        <v>106327.80327097306</v>
      </c>
      <c r="S2666" s="238" t="s">
        <v>137</v>
      </c>
      <c r="T2666" s="238" t="s">
        <v>8594</v>
      </c>
      <c r="U2666">
        <v>400000</v>
      </c>
      <c r="V2666" t="s">
        <v>4092</v>
      </c>
      <c r="W2666" s="24">
        <v>45777</v>
      </c>
      <c r="X2666" s="238" t="s">
        <v>8753</v>
      </c>
      <c r="Y2666" s="238" t="s">
        <v>39</v>
      </c>
      <c r="Z2666" s="238" t="s">
        <v>1340</v>
      </c>
      <c r="AA2666" t="s">
        <v>3113</v>
      </c>
      <c r="AB2666" s="238" t="s">
        <v>3246</v>
      </c>
      <c r="AC2666" t="s">
        <v>3079</v>
      </c>
      <c r="AD2666" s="24"/>
      <c r="AE2666" s="238" t="s">
        <v>8754</v>
      </c>
      <c r="AF2666">
        <v>79825061555</v>
      </c>
      <c r="AG2666" s="238" t="s">
        <v>8755</v>
      </c>
      <c r="AH2666" s="238" t="s">
        <v>135</v>
      </c>
      <c r="AI2666" s="238" t="s">
        <v>135</v>
      </c>
      <c r="AJ2666" s="238" t="s">
        <v>8380</v>
      </c>
      <c r="AK2666" s="238" t="s">
        <v>8441</v>
      </c>
      <c r="AL2666" t="s">
        <v>8715</v>
      </c>
      <c r="AM2666" t="s">
        <v>1167</v>
      </c>
    </row>
    <row r="2667" spans="1:39" hidden="1" x14ac:dyDescent="0.25">
      <c r="A2667">
        <v>2664</v>
      </c>
      <c r="B2667">
        <v>27</v>
      </c>
      <c r="C2667" s="24">
        <v>45777</v>
      </c>
      <c r="D2667" s="238" t="s">
        <v>3388</v>
      </c>
      <c r="E2667" s="238" t="s">
        <v>6</v>
      </c>
      <c r="F2667">
        <v>1</v>
      </c>
      <c r="G2667">
        <v>0</v>
      </c>
      <c r="H2667">
        <v>1</v>
      </c>
      <c r="I2667" s="238" t="s">
        <v>8693</v>
      </c>
      <c r="J2667">
        <v>5.23</v>
      </c>
      <c r="K2667" s="238" t="s">
        <v>36</v>
      </c>
      <c r="L2667">
        <v>575300</v>
      </c>
      <c r="M2667">
        <v>0</v>
      </c>
      <c r="N2667">
        <v>575300</v>
      </c>
      <c r="O2667">
        <v>109999.99999999999</v>
      </c>
      <c r="P2667">
        <v>0</v>
      </c>
      <c r="Q2667">
        <v>575300</v>
      </c>
      <c r="R2667">
        <v>109999.99999999999</v>
      </c>
      <c r="S2667" s="238" t="s">
        <v>124</v>
      </c>
      <c r="T2667" s="238" t="s">
        <v>1167</v>
      </c>
      <c r="V2667" t="s">
        <v>1167</v>
      </c>
      <c r="W2667" s="24">
        <v>45775</v>
      </c>
      <c r="X2667" s="238" t="s">
        <v>8756</v>
      </c>
      <c r="Y2667" s="238" t="s">
        <v>3946</v>
      </c>
      <c r="Z2667" s="238" t="s">
        <v>1340</v>
      </c>
      <c r="AA2667" t="s">
        <v>3113</v>
      </c>
      <c r="AB2667" s="238" t="s">
        <v>3246</v>
      </c>
      <c r="AC2667" t="s">
        <v>1167</v>
      </c>
      <c r="AD2667" s="24"/>
      <c r="AE2667" s="238" t="s">
        <v>7641</v>
      </c>
      <c r="AF2667">
        <v>79878197739</v>
      </c>
      <c r="AG2667" s="238" t="s">
        <v>7642</v>
      </c>
      <c r="AH2667" s="238" t="s">
        <v>1171</v>
      </c>
      <c r="AI2667" s="238" t="s">
        <v>3082</v>
      </c>
      <c r="AJ2667" s="238" t="s">
        <v>126</v>
      </c>
      <c r="AK2667" s="238" t="s">
        <v>1167</v>
      </c>
      <c r="AL2667" t="s">
        <v>8715</v>
      </c>
      <c r="AM2667" t="s">
        <v>1167</v>
      </c>
    </row>
    <row r="2668" spans="1:39" hidden="1" x14ac:dyDescent="0.25">
      <c r="A2668">
        <v>2665</v>
      </c>
      <c r="B2668">
        <v>28</v>
      </c>
      <c r="C2668" s="24">
        <v>45777</v>
      </c>
      <c r="D2668" s="238" t="s">
        <v>8060</v>
      </c>
      <c r="E2668" s="238" t="s">
        <v>42</v>
      </c>
      <c r="F2668">
        <v>5</v>
      </c>
      <c r="G2668">
        <v>16</v>
      </c>
      <c r="H2668">
        <v>89</v>
      </c>
      <c r="I2668" s="238" t="s">
        <v>42</v>
      </c>
      <c r="J2668">
        <v>36.64</v>
      </c>
      <c r="K2668" s="238" t="s">
        <v>36</v>
      </c>
      <c r="L2668">
        <v>4749374</v>
      </c>
      <c r="M2668">
        <v>0</v>
      </c>
      <c r="N2668">
        <v>4749374</v>
      </c>
      <c r="O2668">
        <v>129622.65283842795</v>
      </c>
      <c r="P2668">
        <v>0</v>
      </c>
      <c r="Q2668">
        <v>4749374</v>
      </c>
      <c r="R2668">
        <v>129622.65283842795</v>
      </c>
      <c r="S2668" s="238" t="s">
        <v>124</v>
      </c>
      <c r="T2668" s="238" t="s">
        <v>3540</v>
      </c>
      <c r="U2668">
        <v>96926</v>
      </c>
      <c r="V2668" t="s">
        <v>1167</v>
      </c>
      <c r="W2668" s="24">
        <v>45776</v>
      </c>
      <c r="X2668" s="238" t="s">
        <v>8757</v>
      </c>
      <c r="Y2668" s="238" t="s">
        <v>39</v>
      </c>
      <c r="Z2668" s="238" t="s">
        <v>1340</v>
      </c>
      <c r="AA2668" t="s">
        <v>3113</v>
      </c>
      <c r="AB2668" s="238" t="s">
        <v>3246</v>
      </c>
      <c r="AC2668" t="s">
        <v>1167</v>
      </c>
      <c r="AD2668" s="24"/>
      <c r="AE2668" s="238" t="s">
        <v>8758</v>
      </c>
      <c r="AF2668">
        <v>79171604365</v>
      </c>
      <c r="AG2668" s="238" t="s">
        <v>8759</v>
      </c>
      <c r="AH2668" s="238" t="s">
        <v>135</v>
      </c>
      <c r="AI2668" s="238" t="s">
        <v>135</v>
      </c>
      <c r="AJ2668" s="238" t="s">
        <v>8380</v>
      </c>
      <c r="AK2668" s="238" t="s">
        <v>1167</v>
      </c>
      <c r="AL2668" t="s">
        <v>8715</v>
      </c>
      <c r="AM2668" t="s">
        <v>1167</v>
      </c>
    </row>
    <row r="2669" spans="1:39" x14ac:dyDescent="0.25">
      <c r="A2669">
        <v>2666</v>
      </c>
      <c r="B2669">
        <v>1</v>
      </c>
      <c r="C2669" s="24">
        <v>45782</v>
      </c>
      <c r="D2669" s="238" t="s">
        <v>3388</v>
      </c>
      <c r="E2669" s="238" t="s">
        <v>6</v>
      </c>
      <c r="F2669">
        <v>4</v>
      </c>
      <c r="G2669">
        <v>2</v>
      </c>
      <c r="H2669">
        <v>10</v>
      </c>
      <c r="I2669" s="238" t="s">
        <v>42</v>
      </c>
      <c r="J2669">
        <v>58.39</v>
      </c>
      <c r="K2669" s="238" t="s">
        <v>36</v>
      </c>
      <c r="L2669">
        <v>6202580</v>
      </c>
      <c r="M2669">
        <v>0</v>
      </c>
      <c r="N2669">
        <v>6202580</v>
      </c>
      <c r="O2669">
        <v>106226.75115601986</v>
      </c>
      <c r="P2669">
        <v>0</v>
      </c>
      <c r="Q2669">
        <v>6202580</v>
      </c>
      <c r="R2669">
        <v>106226.75115601986</v>
      </c>
      <c r="S2669" s="238" t="s">
        <v>137</v>
      </c>
      <c r="T2669" s="238" t="s">
        <v>8761</v>
      </c>
      <c r="U2669">
        <v>467120</v>
      </c>
      <c r="V2669" t="s">
        <v>4092</v>
      </c>
      <c r="W2669" s="24">
        <v>45775</v>
      </c>
      <c r="X2669" s="238" t="s">
        <v>8762</v>
      </c>
      <c r="Y2669" s="238" t="s">
        <v>39</v>
      </c>
      <c r="Z2669" s="238" t="s">
        <v>1340</v>
      </c>
      <c r="AA2669" t="s">
        <v>3113</v>
      </c>
      <c r="AB2669" s="238" t="s">
        <v>3246</v>
      </c>
      <c r="AC2669" t="s">
        <v>3079</v>
      </c>
      <c r="AD2669" s="24"/>
      <c r="AE2669" s="238" t="s">
        <v>8763</v>
      </c>
      <c r="AF2669">
        <v>79170348020</v>
      </c>
      <c r="AG2669" s="238" t="s">
        <v>8764</v>
      </c>
      <c r="AH2669" s="238" t="s">
        <v>4072</v>
      </c>
      <c r="AI2669" s="238" t="s">
        <v>8476</v>
      </c>
      <c r="AJ2669" s="238" t="s">
        <v>126</v>
      </c>
      <c r="AK2669" s="238" t="s">
        <v>8441</v>
      </c>
      <c r="AL2669" t="s">
        <v>57</v>
      </c>
      <c r="AM2669" t="s">
        <v>1167</v>
      </c>
    </row>
    <row r="2670" spans="1:39" hidden="1" x14ac:dyDescent="0.25">
      <c r="A2670">
        <v>2667</v>
      </c>
      <c r="B2670">
        <v>2</v>
      </c>
      <c r="C2670" s="24">
        <v>45783</v>
      </c>
      <c r="D2670" s="238" t="s">
        <v>7562</v>
      </c>
      <c r="E2670" s="238" t="s">
        <v>42</v>
      </c>
      <c r="F2670">
        <v>1</v>
      </c>
      <c r="G2670">
        <v>11</v>
      </c>
      <c r="H2670">
        <v>37</v>
      </c>
      <c r="I2670" s="238" t="s">
        <v>43</v>
      </c>
      <c r="J2670">
        <v>61.41</v>
      </c>
      <c r="K2670" s="238" t="s">
        <v>36</v>
      </c>
      <c r="L2670">
        <v>7584135</v>
      </c>
      <c r="M2670">
        <v>0</v>
      </c>
      <c r="N2670">
        <v>7584135</v>
      </c>
      <c r="O2670">
        <v>123500</v>
      </c>
      <c r="P2670">
        <v>0</v>
      </c>
      <c r="Q2670">
        <v>7584135</v>
      </c>
      <c r="R2670">
        <v>123500</v>
      </c>
      <c r="S2670" s="238" t="s">
        <v>124</v>
      </c>
      <c r="T2670" s="238" t="s">
        <v>8766</v>
      </c>
      <c r="U2670">
        <v>399165</v>
      </c>
      <c r="V2670" t="s">
        <v>1167</v>
      </c>
      <c r="W2670" s="24">
        <v>45783</v>
      </c>
      <c r="X2670" s="238" t="s">
        <v>8767</v>
      </c>
      <c r="Y2670" s="238" t="s">
        <v>39</v>
      </c>
      <c r="Z2670" s="238" t="s">
        <v>1340</v>
      </c>
      <c r="AA2670" t="s">
        <v>3113</v>
      </c>
      <c r="AB2670" s="238" t="s">
        <v>3246</v>
      </c>
      <c r="AC2670" t="s">
        <v>1167</v>
      </c>
      <c r="AD2670" s="24"/>
      <c r="AE2670" s="238" t="s">
        <v>8768</v>
      </c>
      <c r="AF2670">
        <v>79379859680</v>
      </c>
      <c r="AG2670" s="238" t="s">
        <v>8769</v>
      </c>
      <c r="AH2670" s="238" t="s">
        <v>1171</v>
      </c>
      <c r="AI2670" s="238" t="s">
        <v>3094</v>
      </c>
      <c r="AJ2670" s="238" t="s">
        <v>4177</v>
      </c>
      <c r="AK2670" s="238" t="s">
        <v>1167</v>
      </c>
      <c r="AL2670" t="s">
        <v>8715</v>
      </c>
      <c r="AM2670" t="s">
        <v>1167</v>
      </c>
    </row>
    <row r="2671" spans="1:39" hidden="1" x14ac:dyDescent="0.25">
      <c r="A2671">
        <v>2668</v>
      </c>
      <c r="B2671">
        <v>3</v>
      </c>
      <c r="C2671" s="24">
        <v>45790</v>
      </c>
      <c r="D2671" s="238" t="s">
        <v>8060</v>
      </c>
      <c r="E2671" s="238" t="s">
        <v>43</v>
      </c>
      <c r="F2671">
        <v>5</v>
      </c>
      <c r="G2671">
        <v>9</v>
      </c>
      <c r="H2671">
        <v>155</v>
      </c>
      <c r="I2671" s="238" t="s">
        <v>43</v>
      </c>
      <c r="J2671">
        <v>63.44</v>
      </c>
      <c r="K2671" s="238" t="s">
        <v>8787</v>
      </c>
      <c r="L2671">
        <v>7760176</v>
      </c>
      <c r="M2671">
        <v>0</v>
      </c>
      <c r="N2671">
        <v>7760176</v>
      </c>
      <c r="O2671">
        <v>122323.07692307692</v>
      </c>
      <c r="P2671">
        <v>634400</v>
      </c>
      <c r="Q2671">
        <v>7125776</v>
      </c>
      <c r="R2671">
        <v>112323.07692307692</v>
      </c>
      <c r="S2671" s="238" t="s">
        <v>124</v>
      </c>
      <c r="T2671" s="238" t="s">
        <v>8705</v>
      </c>
      <c r="U2671">
        <v>145423.99999999907</v>
      </c>
      <c r="V2671" t="s">
        <v>1167</v>
      </c>
      <c r="W2671" s="24">
        <v>45789</v>
      </c>
      <c r="X2671" s="238" t="s">
        <v>8771</v>
      </c>
      <c r="Y2671" s="238" t="s">
        <v>39</v>
      </c>
      <c r="Z2671" s="238" t="s">
        <v>1340</v>
      </c>
      <c r="AA2671" t="s">
        <v>3113</v>
      </c>
      <c r="AB2671" s="238" t="s">
        <v>3246</v>
      </c>
      <c r="AC2671" t="s">
        <v>1167</v>
      </c>
      <c r="AD2671" s="24"/>
      <c r="AE2671" s="238" t="s">
        <v>8772</v>
      </c>
      <c r="AF2671">
        <v>79379974073</v>
      </c>
      <c r="AG2671" s="238" t="s">
        <v>1167</v>
      </c>
      <c r="AH2671" s="238" t="s">
        <v>4072</v>
      </c>
      <c r="AI2671" s="238" t="s">
        <v>7930</v>
      </c>
      <c r="AJ2671" s="238" t="s">
        <v>8380</v>
      </c>
      <c r="AK2671" s="238" t="s">
        <v>1167</v>
      </c>
      <c r="AL2671" t="s">
        <v>57</v>
      </c>
      <c r="AM2671" t="s">
        <v>1167</v>
      </c>
    </row>
    <row r="2672" spans="1:39" x14ac:dyDescent="0.25">
      <c r="A2672">
        <v>2669</v>
      </c>
      <c r="B2672">
        <v>4</v>
      </c>
      <c r="C2672" s="24">
        <v>45792</v>
      </c>
      <c r="D2672" s="238" t="s">
        <v>3388</v>
      </c>
      <c r="E2672" s="238" t="s">
        <v>6</v>
      </c>
      <c r="F2672">
        <v>5</v>
      </c>
      <c r="G2672">
        <v>2</v>
      </c>
      <c r="H2672">
        <v>11</v>
      </c>
      <c r="I2672" s="238" t="s">
        <v>43</v>
      </c>
      <c r="J2672">
        <v>62.17</v>
      </c>
      <c r="K2672" s="238" t="s">
        <v>6871</v>
      </c>
      <c r="L2672">
        <v>7736477</v>
      </c>
      <c r="M2672">
        <v>0</v>
      </c>
      <c r="N2672">
        <v>7736477</v>
      </c>
      <c r="O2672">
        <v>124440.67878397941</v>
      </c>
      <c r="P2672">
        <v>621700</v>
      </c>
      <c r="Q2672">
        <v>7114777</v>
      </c>
      <c r="R2672">
        <v>114440.67878397941</v>
      </c>
      <c r="S2672" s="238" t="s">
        <v>137</v>
      </c>
      <c r="T2672" s="238" t="s">
        <v>8671</v>
      </c>
      <c r="U2672">
        <v>529323</v>
      </c>
      <c r="V2672" t="s">
        <v>4092</v>
      </c>
      <c r="W2672" s="24">
        <v>45783</v>
      </c>
      <c r="X2672" s="238" t="s">
        <v>8774</v>
      </c>
      <c r="Y2672" s="238" t="s">
        <v>39</v>
      </c>
      <c r="Z2672" s="238" t="s">
        <v>1340</v>
      </c>
      <c r="AA2672" t="s">
        <v>3113</v>
      </c>
      <c r="AB2672" s="238" t="s">
        <v>3246</v>
      </c>
      <c r="AC2672" t="s">
        <v>3079</v>
      </c>
      <c r="AD2672" s="24"/>
      <c r="AE2672" s="238" t="s">
        <v>8775</v>
      </c>
      <c r="AF2672">
        <v>79178129993</v>
      </c>
      <c r="AG2672" s="238" t="s">
        <v>8776</v>
      </c>
      <c r="AH2672" s="238" t="s">
        <v>135</v>
      </c>
      <c r="AI2672" s="238" t="s">
        <v>3075</v>
      </c>
      <c r="AJ2672" s="238" t="s">
        <v>8512</v>
      </c>
      <c r="AK2672" s="238" t="s">
        <v>3345</v>
      </c>
      <c r="AL2672" t="s">
        <v>8715</v>
      </c>
      <c r="AM2672" t="s">
        <v>1167</v>
      </c>
    </row>
    <row r="2673" spans="1:39" x14ac:dyDescent="0.25">
      <c r="A2673">
        <v>2670</v>
      </c>
      <c r="B2673">
        <v>5</v>
      </c>
      <c r="C2673" s="24">
        <v>45792</v>
      </c>
      <c r="D2673" s="238" t="s">
        <v>3388</v>
      </c>
      <c r="E2673" s="238" t="s">
        <v>15</v>
      </c>
      <c r="F2673">
        <v>2</v>
      </c>
      <c r="G2673">
        <v>2</v>
      </c>
      <c r="H2673">
        <v>398</v>
      </c>
      <c r="I2673" s="238" t="s">
        <v>42</v>
      </c>
      <c r="J2673">
        <v>43.21</v>
      </c>
      <c r="K2673" s="238" t="s">
        <v>36</v>
      </c>
      <c r="L2673">
        <v>5459300</v>
      </c>
      <c r="M2673">
        <v>0</v>
      </c>
      <c r="N2673">
        <v>5459300</v>
      </c>
      <c r="O2673">
        <v>126343.43901874566</v>
      </c>
      <c r="P2673">
        <v>0</v>
      </c>
      <c r="Q2673">
        <v>5459300</v>
      </c>
      <c r="R2673">
        <v>126343.43901874566</v>
      </c>
      <c r="S2673" s="238" t="s">
        <v>137</v>
      </c>
      <c r="T2673" s="238" t="s">
        <v>8777</v>
      </c>
      <c r="U2673">
        <v>450000</v>
      </c>
      <c r="V2673" t="s">
        <v>4092</v>
      </c>
      <c r="W2673" s="24">
        <v>45788</v>
      </c>
      <c r="X2673" s="238" t="s">
        <v>8778</v>
      </c>
      <c r="Y2673" s="238" t="s">
        <v>39</v>
      </c>
      <c r="Z2673" s="238" t="s">
        <v>1340</v>
      </c>
      <c r="AA2673" t="s">
        <v>3113</v>
      </c>
      <c r="AB2673" s="238" t="s">
        <v>3246</v>
      </c>
      <c r="AC2673" t="s">
        <v>3079</v>
      </c>
      <c r="AD2673" s="24"/>
      <c r="AE2673" s="238" t="s">
        <v>8779</v>
      </c>
      <c r="AF2673">
        <v>79874468701</v>
      </c>
      <c r="AG2673" s="238" t="s">
        <v>8780</v>
      </c>
      <c r="AH2673" s="238" t="s">
        <v>4072</v>
      </c>
      <c r="AI2673" s="238" t="s">
        <v>7930</v>
      </c>
      <c r="AJ2673" s="238" t="s">
        <v>8380</v>
      </c>
      <c r="AK2673" s="238" t="s">
        <v>3345</v>
      </c>
      <c r="AL2673" t="s">
        <v>57</v>
      </c>
      <c r="AM2673" t="s">
        <v>1167</v>
      </c>
    </row>
    <row r="2674" spans="1:39" hidden="1" x14ac:dyDescent="0.25">
      <c r="A2674">
        <v>2671</v>
      </c>
      <c r="B2674">
        <v>6</v>
      </c>
      <c r="C2674" s="24">
        <v>45793</v>
      </c>
      <c r="D2674" s="238" t="s">
        <v>8060</v>
      </c>
      <c r="E2674" s="238" t="s">
        <v>43</v>
      </c>
      <c r="F2674">
        <v>6</v>
      </c>
      <c r="G2674">
        <v>12</v>
      </c>
      <c r="H2674">
        <v>174</v>
      </c>
      <c r="I2674" s="238" t="s">
        <v>43</v>
      </c>
      <c r="J2674">
        <v>60.87</v>
      </c>
      <c r="K2674" s="238" t="s">
        <v>36</v>
      </c>
      <c r="L2674">
        <v>6991760</v>
      </c>
      <c r="M2674">
        <v>0</v>
      </c>
      <c r="N2674">
        <v>6991760</v>
      </c>
      <c r="O2674">
        <v>114863.80811565633</v>
      </c>
      <c r="P2674">
        <v>0</v>
      </c>
      <c r="Q2674">
        <v>6991760</v>
      </c>
      <c r="R2674">
        <v>114863.80811565633</v>
      </c>
      <c r="S2674" s="238" t="s">
        <v>124</v>
      </c>
      <c r="T2674" s="238" t="s">
        <v>8781</v>
      </c>
      <c r="U2674">
        <v>216240.00000000093</v>
      </c>
      <c r="V2674" t="s">
        <v>1167</v>
      </c>
      <c r="W2674" s="24">
        <v>45792</v>
      </c>
      <c r="X2674" s="238" t="s">
        <v>8782</v>
      </c>
      <c r="Y2674" s="238" t="s">
        <v>39</v>
      </c>
      <c r="Z2674" s="238" t="s">
        <v>1340</v>
      </c>
      <c r="AA2674" t="s">
        <v>3113</v>
      </c>
      <c r="AB2674" s="238" t="s">
        <v>3246</v>
      </c>
      <c r="AC2674" t="s">
        <v>1167</v>
      </c>
      <c r="AD2674" s="24"/>
      <c r="AE2674" s="238" t="s">
        <v>8783</v>
      </c>
      <c r="AF2674">
        <v>79171602130</v>
      </c>
      <c r="AG2674" s="238" t="s">
        <v>1167</v>
      </c>
      <c r="AH2674" s="238" t="s">
        <v>135</v>
      </c>
      <c r="AI2674" s="238" t="s">
        <v>135</v>
      </c>
      <c r="AJ2674" s="238" t="s">
        <v>8380</v>
      </c>
      <c r="AK2674" s="238" t="s">
        <v>1167</v>
      </c>
      <c r="AL2674" t="s">
        <v>8715</v>
      </c>
      <c r="AM2674" t="s">
        <v>1167</v>
      </c>
    </row>
    <row r="2675" spans="1:39" x14ac:dyDescent="0.25">
      <c r="A2675">
        <v>2672</v>
      </c>
      <c r="B2675">
        <v>7</v>
      </c>
      <c r="C2675" s="24">
        <v>45793</v>
      </c>
      <c r="D2675" s="238" t="s">
        <v>3388</v>
      </c>
      <c r="E2675" s="238" t="s">
        <v>16</v>
      </c>
      <c r="F2675">
        <v>4</v>
      </c>
      <c r="G2675">
        <v>6</v>
      </c>
      <c r="H2675">
        <v>260</v>
      </c>
      <c r="I2675" s="238" t="s">
        <v>43</v>
      </c>
      <c r="J2675">
        <v>60.24</v>
      </c>
      <c r="K2675" s="238" t="s">
        <v>36</v>
      </c>
      <c r="L2675">
        <v>7033500</v>
      </c>
      <c r="M2675">
        <v>0</v>
      </c>
      <c r="N2675">
        <v>7033500</v>
      </c>
      <c r="O2675">
        <v>116757.96812749004</v>
      </c>
      <c r="P2675">
        <v>0</v>
      </c>
      <c r="Q2675">
        <v>7033500</v>
      </c>
      <c r="R2675">
        <v>116757.96812749004</v>
      </c>
      <c r="S2675" s="238" t="s">
        <v>137</v>
      </c>
      <c r="T2675" s="238" t="s">
        <v>8594</v>
      </c>
      <c r="U2675">
        <v>300000</v>
      </c>
      <c r="V2675" t="s">
        <v>4092</v>
      </c>
      <c r="W2675" s="24">
        <v>45793</v>
      </c>
      <c r="X2675" s="238" t="s">
        <v>8784</v>
      </c>
      <c r="Y2675" s="238" t="s">
        <v>39</v>
      </c>
      <c r="Z2675" s="238" t="s">
        <v>1340</v>
      </c>
      <c r="AA2675" t="s">
        <v>3113</v>
      </c>
      <c r="AB2675" s="238" t="s">
        <v>3246</v>
      </c>
      <c r="AC2675" t="s">
        <v>3079</v>
      </c>
      <c r="AD2675" s="24"/>
      <c r="AE2675" s="238" t="s">
        <v>8785</v>
      </c>
      <c r="AF2675">
        <v>79170111078</v>
      </c>
      <c r="AG2675" s="238" t="s">
        <v>8786</v>
      </c>
      <c r="AH2675" s="238" t="s">
        <v>4072</v>
      </c>
      <c r="AI2675" s="238" t="s">
        <v>7721</v>
      </c>
      <c r="AJ2675" s="238" t="s">
        <v>5215</v>
      </c>
      <c r="AK2675" s="238" t="s">
        <v>8441</v>
      </c>
      <c r="AL2675" t="s">
        <v>57</v>
      </c>
      <c r="AM2675" t="s">
        <v>1167</v>
      </c>
    </row>
    <row r="2676" spans="1:39" x14ac:dyDescent="0.25">
      <c r="A2676">
        <v>2673</v>
      </c>
      <c r="B2676">
        <v>8</v>
      </c>
      <c r="C2676" s="24">
        <v>45800</v>
      </c>
      <c r="D2676" s="238" t="s">
        <v>3388</v>
      </c>
      <c r="E2676" s="238" t="s">
        <v>5</v>
      </c>
      <c r="F2676">
        <v>6</v>
      </c>
      <c r="G2676">
        <v>2</v>
      </c>
      <c r="H2676">
        <v>123</v>
      </c>
      <c r="I2676" s="238" t="s">
        <v>44</v>
      </c>
      <c r="J2676">
        <v>84.99</v>
      </c>
      <c r="K2676" s="238" t="s">
        <v>36</v>
      </c>
      <c r="L2676">
        <v>8829294</v>
      </c>
      <c r="M2676">
        <v>15000</v>
      </c>
      <c r="N2676">
        <v>8844294</v>
      </c>
      <c r="O2676">
        <v>104062.7603247441</v>
      </c>
      <c r="P2676">
        <v>0</v>
      </c>
      <c r="Q2676">
        <v>8844294</v>
      </c>
      <c r="R2676">
        <v>104062.7603247441</v>
      </c>
      <c r="S2676" s="238" t="s">
        <v>137</v>
      </c>
      <c r="T2676" s="238" t="s">
        <v>8671</v>
      </c>
      <c r="U2676">
        <v>685906</v>
      </c>
      <c r="V2676" t="s">
        <v>4092</v>
      </c>
      <c r="W2676" s="24">
        <v>45769</v>
      </c>
      <c r="X2676" s="238" t="s">
        <v>8788</v>
      </c>
      <c r="Y2676" s="238" t="s">
        <v>39</v>
      </c>
      <c r="Z2676" s="238" t="s">
        <v>1340</v>
      </c>
      <c r="AA2676" t="s">
        <v>3474</v>
      </c>
      <c r="AB2676" s="238" t="s">
        <v>3246</v>
      </c>
      <c r="AC2676" t="s">
        <v>3104</v>
      </c>
      <c r="AD2676" s="24"/>
      <c r="AE2676" s="238" t="s">
        <v>8789</v>
      </c>
      <c r="AF2676">
        <v>79869549938</v>
      </c>
      <c r="AG2676" s="238" t="s">
        <v>8790</v>
      </c>
      <c r="AH2676" s="238" t="s">
        <v>1212</v>
      </c>
      <c r="AI2676" s="238" t="s">
        <v>3074</v>
      </c>
      <c r="AJ2676" s="238" t="s">
        <v>8380</v>
      </c>
      <c r="AK2676" s="238" t="s">
        <v>8441</v>
      </c>
      <c r="AL2676" t="s">
        <v>8715</v>
      </c>
      <c r="AM2676" t="s">
        <v>1167</v>
      </c>
    </row>
    <row r="2677" spans="1:39" hidden="1" x14ac:dyDescent="0.25">
      <c r="A2677">
        <v>2674</v>
      </c>
      <c r="B2677">
        <v>9</v>
      </c>
      <c r="C2677" s="24">
        <v>45800</v>
      </c>
      <c r="D2677" s="238" t="s">
        <v>8060</v>
      </c>
      <c r="E2677" s="238" t="s">
        <v>44</v>
      </c>
      <c r="F2677">
        <v>2</v>
      </c>
      <c r="G2677">
        <v>9</v>
      </c>
      <c r="H2677">
        <v>224</v>
      </c>
      <c r="I2677" s="238" t="s">
        <v>42</v>
      </c>
      <c r="J2677">
        <v>36.64</v>
      </c>
      <c r="K2677" s="238" t="s">
        <v>8787</v>
      </c>
      <c r="L2677">
        <v>5206228</v>
      </c>
      <c r="M2677">
        <v>0</v>
      </c>
      <c r="N2677">
        <v>5206228</v>
      </c>
      <c r="O2677">
        <v>142091.37554585154</v>
      </c>
      <c r="P2677">
        <v>366400</v>
      </c>
      <c r="Q2677">
        <v>4839828</v>
      </c>
      <c r="R2677">
        <v>132091.37554585154</v>
      </c>
      <c r="S2677" s="238" t="s">
        <v>124</v>
      </c>
      <c r="T2677" s="238" t="s">
        <v>8791</v>
      </c>
      <c r="U2677">
        <v>98772</v>
      </c>
      <c r="V2677" t="s">
        <v>1167</v>
      </c>
      <c r="W2677" s="24">
        <v>45794</v>
      </c>
      <c r="X2677" s="238" t="s">
        <v>8792</v>
      </c>
      <c r="Y2677" s="238" t="s">
        <v>39</v>
      </c>
      <c r="Z2677" s="238" t="s">
        <v>1340</v>
      </c>
      <c r="AA2677" t="s">
        <v>3113</v>
      </c>
      <c r="AB2677" s="238" t="s">
        <v>3246</v>
      </c>
      <c r="AC2677" t="s">
        <v>1167</v>
      </c>
      <c r="AD2677" s="24"/>
      <c r="AE2677" s="238" t="s">
        <v>8793</v>
      </c>
      <c r="AF2677">
        <v>79272049694</v>
      </c>
      <c r="AG2677" s="238" t="s">
        <v>8794</v>
      </c>
      <c r="AH2677" s="238" t="s">
        <v>135</v>
      </c>
      <c r="AI2677" s="238" t="s">
        <v>3075</v>
      </c>
      <c r="AJ2677" s="238" t="s">
        <v>8512</v>
      </c>
      <c r="AK2677" s="238" t="s">
        <v>1167</v>
      </c>
      <c r="AL2677" t="s">
        <v>8715</v>
      </c>
      <c r="AM2677" t="s">
        <v>1167</v>
      </c>
    </row>
    <row r="2678" spans="1:39" hidden="1" x14ac:dyDescent="0.25">
      <c r="A2678">
        <v>2675</v>
      </c>
      <c r="B2678">
        <v>10</v>
      </c>
      <c r="C2678" s="24">
        <v>45800</v>
      </c>
      <c r="D2678" s="238" t="s">
        <v>7562</v>
      </c>
      <c r="E2678" s="238" t="s">
        <v>42</v>
      </c>
      <c r="F2678">
        <v>1</v>
      </c>
      <c r="G2678">
        <v>1</v>
      </c>
      <c r="H2678">
        <v>1</v>
      </c>
      <c r="I2678" s="238" t="s">
        <v>3946</v>
      </c>
      <c r="J2678">
        <v>71.41</v>
      </c>
      <c r="K2678" s="238" t="s">
        <v>36</v>
      </c>
      <c r="L2678">
        <v>9997400</v>
      </c>
      <c r="M2678">
        <v>0</v>
      </c>
      <c r="N2678">
        <v>9997400</v>
      </c>
      <c r="O2678">
        <v>140000</v>
      </c>
      <c r="P2678">
        <v>0</v>
      </c>
      <c r="Q2678">
        <v>9997400</v>
      </c>
      <c r="R2678">
        <v>140000</v>
      </c>
      <c r="S2678" s="238" t="s">
        <v>124</v>
      </c>
      <c r="T2678" s="238" t="s">
        <v>1167</v>
      </c>
      <c r="V2678" t="s">
        <v>1167</v>
      </c>
      <c r="W2678" s="24">
        <v>45798</v>
      </c>
      <c r="X2678" s="238" t="s">
        <v>8795</v>
      </c>
      <c r="Y2678" s="238" t="s">
        <v>3946</v>
      </c>
      <c r="Z2678" s="238" t="s">
        <v>1340</v>
      </c>
      <c r="AA2678" t="s">
        <v>3474</v>
      </c>
      <c r="AB2678" s="238" t="s">
        <v>3246</v>
      </c>
      <c r="AC2678" t="s">
        <v>1167</v>
      </c>
      <c r="AD2678" s="24"/>
      <c r="AE2678" s="238" t="s">
        <v>8796</v>
      </c>
      <c r="AF2678">
        <v>79879133718</v>
      </c>
      <c r="AG2678" s="238" t="s">
        <v>8797</v>
      </c>
      <c r="AH2678" s="238" t="s">
        <v>1212</v>
      </c>
      <c r="AI2678" s="238" t="s">
        <v>3097</v>
      </c>
      <c r="AJ2678" s="238" t="s">
        <v>4177</v>
      </c>
      <c r="AK2678" s="238" t="s">
        <v>1167</v>
      </c>
      <c r="AL2678" t="s">
        <v>8715</v>
      </c>
      <c r="AM2678" t="s">
        <v>1167</v>
      </c>
    </row>
    <row r="2679" spans="1:39" hidden="1" x14ac:dyDescent="0.25">
      <c r="A2679">
        <v>2676</v>
      </c>
      <c r="B2679">
        <v>11</v>
      </c>
      <c r="C2679" s="24">
        <v>45800</v>
      </c>
      <c r="D2679" s="238" t="s">
        <v>7562</v>
      </c>
      <c r="E2679" s="238" t="s">
        <v>42</v>
      </c>
      <c r="F2679">
        <v>2</v>
      </c>
      <c r="G2679">
        <v>1</v>
      </c>
      <c r="H2679">
        <v>2</v>
      </c>
      <c r="I2679" s="238" t="s">
        <v>3946</v>
      </c>
      <c r="J2679">
        <v>56.78</v>
      </c>
      <c r="K2679" s="238" t="s">
        <v>36</v>
      </c>
      <c r="L2679">
        <v>7949200</v>
      </c>
      <c r="M2679">
        <v>0</v>
      </c>
      <c r="N2679">
        <v>7949200</v>
      </c>
      <c r="O2679">
        <v>140000</v>
      </c>
      <c r="P2679">
        <v>0</v>
      </c>
      <c r="Q2679">
        <v>7949200</v>
      </c>
      <c r="R2679">
        <v>140000</v>
      </c>
      <c r="S2679" s="238" t="s">
        <v>124</v>
      </c>
      <c r="T2679" s="238" t="s">
        <v>1167</v>
      </c>
      <c r="V2679" t="s">
        <v>1167</v>
      </c>
      <c r="W2679" s="24">
        <v>45798</v>
      </c>
      <c r="X2679" s="238" t="s">
        <v>8798</v>
      </c>
      <c r="Y2679" s="238" t="s">
        <v>3946</v>
      </c>
      <c r="Z2679" s="238" t="s">
        <v>1340</v>
      </c>
      <c r="AA2679" t="s">
        <v>3474</v>
      </c>
      <c r="AB2679" s="238" t="s">
        <v>3246</v>
      </c>
      <c r="AC2679" t="s">
        <v>1167</v>
      </c>
      <c r="AD2679" s="24"/>
      <c r="AE2679" s="238" t="s">
        <v>8796</v>
      </c>
      <c r="AF2679">
        <v>79879133718</v>
      </c>
      <c r="AG2679" s="238" t="s">
        <v>8797</v>
      </c>
      <c r="AH2679" s="238" t="s">
        <v>1197</v>
      </c>
      <c r="AI2679" s="238" t="s">
        <v>3097</v>
      </c>
      <c r="AJ2679" s="238" t="s">
        <v>4177</v>
      </c>
      <c r="AK2679" s="238" t="s">
        <v>1167</v>
      </c>
      <c r="AL2679" t="s">
        <v>8715</v>
      </c>
      <c r="AM2679" t="s">
        <v>1167</v>
      </c>
    </row>
    <row r="2680" spans="1:39" hidden="1" x14ac:dyDescent="0.25">
      <c r="A2680">
        <v>2677</v>
      </c>
      <c r="B2680">
        <v>12</v>
      </c>
      <c r="C2680" s="24">
        <v>45800</v>
      </c>
      <c r="D2680" s="238" t="s">
        <v>7562</v>
      </c>
      <c r="E2680" s="238" t="s">
        <v>43</v>
      </c>
      <c r="F2680">
        <v>2</v>
      </c>
      <c r="G2680">
        <v>1</v>
      </c>
      <c r="H2680">
        <v>6</v>
      </c>
      <c r="I2680" s="238" t="s">
        <v>3946</v>
      </c>
      <c r="J2680">
        <v>56.67</v>
      </c>
      <c r="K2680" s="238" t="s">
        <v>36</v>
      </c>
      <c r="L2680">
        <v>7933800</v>
      </c>
      <c r="M2680">
        <v>0</v>
      </c>
      <c r="N2680">
        <v>7933800</v>
      </c>
      <c r="O2680">
        <v>140000</v>
      </c>
      <c r="P2680">
        <v>0</v>
      </c>
      <c r="Q2680">
        <v>7933800</v>
      </c>
      <c r="R2680">
        <v>140000</v>
      </c>
      <c r="S2680" s="238" t="s">
        <v>124</v>
      </c>
      <c r="T2680" s="238" t="s">
        <v>1167</v>
      </c>
      <c r="V2680" t="s">
        <v>1167</v>
      </c>
      <c r="W2680" s="24">
        <v>45798</v>
      </c>
      <c r="X2680" s="238" t="s">
        <v>8799</v>
      </c>
      <c r="Y2680" s="238" t="s">
        <v>3946</v>
      </c>
      <c r="Z2680" s="238" t="s">
        <v>1340</v>
      </c>
      <c r="AA2680" t="s">
        <v>3474</v>
      </c>
      <c r="AB2680" s="238" t="s">
        <v>3246</v>
      </c>
      <c r="AC2680" t="s">
        <v>1167</v>
      </c>
      <c r="AD2680" s="24"/>
      <c r="AE2680" s="238" t="s">
        <v>8796</v>
      </c>
      <c r="AF2680">
        <v>79879133718</v>
      </c>
      <c r="AG2680" s="238" t="s">
        <v>8797</v>
      </c>
      <c r="AH2680" s="238" t="s">
        <v>1197</v>
      </c>
      <c r="AI2680" s="238" t="s">
        <v>3097</v>
      </c>
      <c r="AJ2680" s="238" t="s">
        <v>4177</v>
      </c>
      <c r="AK2680" s="238" t="s">
        <v>1167</v>
      </c>
      <c r="AL2680" t="s">
        <v>8715</v>
      </c>
      <c r="AM2680" t="s">
        <v>1167</v>
      </c>
    </row>
    <row r="2681" spans="1:39" x14ac:dyDescent="0.25">
      <c r="A2681">
        <v>2678</v>
      </c>
      <c r="B2681">
        <v>13</v>
      </c>
      <c r="C2681" s="24">
        <v>45804</v>
      </c>
      <c r="D2681" s="238" t="s">
        <v>3388</v>
      </c>
      <c r="E2681" s="238" t="s">
        <v>15</v>
      </c>
      <c r="F2681">
        <v>5</v>
      </c>
      <c r="G2681">
        <v>9</v>
      </c>
      <c r="H2681">
        <v>457</v>
      </c>
      <c r="I2681" s="238" t="s">
        <v>43</v>
      </c>
      <c r="J2681">
        <v>57.8</v>
      </c>
      <c r="K2681" s="238" t="s">
        <v>6871</v>
      </c>
      <c r="L2681">
        <v>7287500</v>
      </c>
      <c r="M2681">
        <v>0</v>
      </c>
      <c r="N2681">
        <v>7287500</v>
      </c>
      <c r="O2681">
        <v>126081.31487889274</v>
      </c>
      <c r="P2681">
        <v>578000</v>
      </c>
      <c r="Q2681">
        <v>6709500</v>
      </c>
      <c r="R2681">
        <v>116081.31487889274</v>
      </c>
      <c r="S2681" s="238" t="s">
        <v>137</v>
      </c>
      <c r="T2681" s="238" t="s">
        <v>8594</v>
      </c>
      <c r="U2681">
        <v>300000</v>
      </c>
      <c r="V2681" t="s">
        <v>4092</v>
      </c>
      <c r="W2681" s="24">
        <v>45800</v>
      </c>
      <c r="X2681" s="238" t="s">
        <v>8800</v>
      </c>
      <c r="Y2681" s="238" t="s">
        <v>39</v>
      </c>
      <c r="Z2681" s="238" t="s">
        <v>1340</v>
      </c>
      <c r="AA2681" t="s">
        <v>3113</v>
      </c>
      <c r="AB2681" s="238" t="s">
        <v>3246</v>
      </c>
      <c r="AC2681" t="s">
        <v>3079</v>
      </c>
      <c r="AD2681" s="24"/>
      <c r="AE2681" s="238" t="s">
        <v>8801</v>
      </c>
      <c r="AF2681">
        <v>79379817707</v>
      </c>
      <c r="AG2681" s="238" t="s">
        <v>8802</v>
      </c>
      <c r="AH2681" s="238" t="s">
        <v>4072</v>
      </c>
      <c r="AI2681" s="238" t="s">
        <v>7930</v>
      </c>
      <c r="AJ2681" s="238" t="s">
        <v>5215</v>
      </c>
      <c r="AK2681" s="238" t="s">
        <v>8441</v>
      </c>
      <c r="AL2681" t="s">
        <v>57</v>
      </c>
      <c r="AM2681" t="s">
        <v>1167</v>
      </c>
    </row>
    <row r="2682" spans="1:39" hidden="1" x14ac:dyDescent="0.25">
      <c r="A2682">
        <v>2679</v>
      </c>
      <c r="B2682">
        <v>14</v>
      </c>
      <c r="C2682" s="24">
        <v>45804</v>
      </c>
      <c r="D2682" s="238" t="s">
        <v>8060</v>
      </c>
      <c r="E2682" s="238" t="s">
        <v>44</v>
      </c>
      <c r="F2682">
        <v>1</v>
      </c>
      <c r="G2682">
        <v>6</v>
      </c>
      <c r="H2682">
        <v>205</v>
      </c>
      <c r="I2682" s="238" t="s">
        <v>42</v>
      </c>
      <c r="J2682">
        <v>44.25</v>
      </c>
      <c r="K2682" s="238" t="s">
        <v>36</v>
      </c>
      <c r="L2682">
        <v>5625200</v>
      </c>
      <c r="M2682">
        <v>0</v>
      </c>
      <c r="N2682">
        <v>5625200</v>
      </c>
      <c r="O2682">
        <v>127123.16384180791</v>
      </c>
      <c r="P2682">
        <v>0</v>
      </c>
      <c r="Q2682">
        <v>5625200</v>
      </c>
      <c r="R2682">
        <v>127123.16384180791</v>
      </c>
      <c r="S2682" s="238" t="s">
        <v>124</v>
      </c>
      <c r="T2682" s="238" t="s">
        <v>8803</v>
      </c>
      <c r="U2682">
        <v>114800</v>
      </c>
      <c r="V2682" t="s">
        <v>1167</v>
      </c>
      <c r="W2682" s="24">
        <v>45803</v>
      </c>
      <c r="X2682" s="238" t="s">
        <v>8804</v>
      </c>
      <c r="Y2682" s="238" t="s">
        <v>39</v>
      </c>
      <c r="Z2682" s="238" t="s">
        <v>1340</v>
      </c>
      <c r="AA2682" t="s">
        <v>3113</v>
      </c>
      <c r="AB2682" s="238" t="s">
        <v>3246</v>
      </c>
      <c r="AC2682" t="s">
        <v>1167</v>
      </c>
      <c r="AD2682" s="24"/>
      <c r="AE2682" s="238" t="s">
        <v>8805</v>
      </c>
      <c r="AF2682">
        <v>79277176926</v>
      </c>
      <c r="AG2682" s="238" t="s">
        <v>8806</v>
      </c>
      <c r="AH2682" s="238" t="s">
        <v>4072</v>
      </c>
      <c r="AI2682" s="238" t="s">
        <v>7930</v>
      </c>
      <c r="AJ2682" s="238" t="s">
        <v>5215</v>
      </c>
      <c r="AK2682" s="238" t="s">
        <v>1167</v>
      </c>
      <c r="AL2682" t="s">
        <v>57</v>
      </c>
      <c r="AM2682" t="s">
        <v>1167</v>
      </c>
    </row>
    <row r="2683" spans="1:39" x14ac:dyDescent="0.25">
      <c r="A2683">
        <v>2680</v>
      </c>
      <c r="B2683">
        <v>15</v>
      </c>
      <c r="C2683" s="24">
        <v>45805</v>
      </c>
      <c r="D2683" s="238" t="s">
        <v>3388</v>
      </c>
      <c r="E2683" s="238" t="s">
        <v>5</v>
      </c>
      <c r="F2683">
        <v>3</v>
      </c>
      <c r="G2683">
        <v>13</v>
      </c>
      <c r="H2683">
        <v>197</v>
      </c>
      <c r="I2683" s="238" t="s">
        <v>43</v>
      </c>
      <c r="J2683">
        <v>57.6</v>
      </c>
      <c r="K2683" s="238" t="s">
        <v>38</v>
      </c>
      <c r="L2683">
        <v>8193400</v>
      </c>
      <c r="M2683">
        <v>0</v>
      </c>
      <c r="N2683">
        <v>8193400</v>
      </c>
      <c r="O2683">
        <v>142246.52777777778</v>
      </c>
      <c r="P2683">
        <v>1440000</v>
      </c>
      <c r="Q2683">
        <v>6753400</v>
      </c>
      <c r="R2683">
        <v>117246.52777777778</v>
      </c>
      <c r="S2683" s="238" t="s">
        <v>137</v>
      </c>
      <c r="T2683" s="238" t="s">
        <v>8594</v>
      </c>
      <c r="U2683">
        <v>300000</v>
      </c>
      <c r="V2683" t="s">
        <v>4092</v>
      </c>
      <c r="W2683" s="24">
        <v>45799</v>
      </c>
      <c r="X2683" s="238" t="s">
        <v>8807</v>
      </c>
      <c r="Y2683" s="238" t="s">
        <v>39</v>
      </c>
      <c r="Z2683" s="238" t="s">
        <v>1340</v>
      </c>
      <c r="AA2683" t="s">
        <v>3113</v>
      </c>
      <c r="AB2683" s="238" t="s">
        <v>3246</v>
      </c>
      <c r="AC2683" t="s">
        <v>3079</v>
      </c>
      <c r="AD2683" s="24"/>
      <c r="AE2683" s="238" t="s">
        <v>8808</v>
      </c>
      <c r="AF2683">
        <v>79178238471</v>
      </c>
      <c r="AG2683" s="238" t="s">
        <v>8809</v>
      </c>
      <c r="AH2683" s="238" t="s">
        <v>1171</v>
      </c>
      <c r="AI2683" s="238" t="s">
        <v>3103</v>
      </c>
      <c r="AJ2683" s="238" t="s">
        <v>5215</v>
      </c>
      <c r="AK2683" s="238" t="s">
        <v>8441</v>
      </c>
      <c r="AL2683" t="s">
        <v>8715</v>
      </c>
      <c r="AM2683" t="s">
        <v>1167</v>
      </c>
    </row>
    <row r="2684" spans="1:39" x14ac:dyDescent="0.25">
      <c r="A2684">
        <v>2681</v>
      </c>
      <c r="B2684">
        <v>16</v>
      </c>
      <c r="C2684" s="24">
        <v>45806</v>
      </c>
      <c r="D2684" s="238" t="s">
        <v>3388</v>
      </c>
      <c r="E2684" s="238" t="s">
        <v>15</v>
      </c>
      <c r="F2684">
        <v>7</v>
      </c>
      <c r="G2684">
        <v>5</v>
      </c>
      <c r="H2684">
        <v>427</v>
      </c>
      <c r="I2684" s="238" t="s">
        <v>44</v>
      </c>
      <c r="J2684">
        <v>79.44</v>
      </c>
      <c r="K2684" s="238" t="s">
        <v>38</v>
      </c>
      <c r="L2684">
        <v>10916368</v>
      </c>
      <c r="M2684">
        <v>15000</v>
      </c>
      <c r="N2684">
        <v>10931368</v>
      </c>
      <c r="O2684">
        <v>137605.33736153072</v>
      </c>
      <c r="P2684">
        <v>1986000</v>
      </c>
      <c r="Q2684">
        <v>8945368</v>
      </c>
      <c r="R2684">
        <v>112605.33736153072</v>
      </c>
      <c r="S2684" s="238" t="s">
        <v>124</v>
      </c>
      <c r="T2684" s="238" t="s">
        <v>8817</v>
      </c>
      <c r="U2684">
        <v>689032</v>
      </c>
      <c r="V2684" t="s">
        <v>1167</v>
      </c>
      <c r="W2684" s="24">
        <v>45776</v>
      </c>
      <c r="X2684" s="238" t="s">
        <v>8810</v>
      </c>
      <c r="Y2684" s="238" t="s">
        <v>39</v>
      </c>
      <c r="Z2684" s="238" t="s">
        <v>1340</v>
      </c>
      <c r="AA2684" t="s">
        <v>3113</v>
      </c>
      <c r="AB2684" s="238" t="s">
        <v>3246</v>
      </c>
      <c r="AC2684" t="s">
        <v>1167</v>
      </c>
      <c r="AD2684" s="24"/>
      <c r="AE2684" s="238" t="s">
        <v>8811</v>
      </c>
      <c r="AF2684">
        <v>79277250232</v>
      </c>
      <c r="AG2684" s="238" t="s">
        <v>1167</v>
      </c>
      <c r="AH2684" s="238" t="s">
        <v>135</v>
      </c>
      <c r="AI2684" s="238" t="s">
        <v>8812</v>
      </c>
      <c r="AJ2684" s="238" t="s">
        <v>5215</v>
      </c>
      <c r="AK2684" s="238" t="s">
        <v>1167</v>
      </c>
      <c r="AL2684" t="s">
        <v>8715</v>
      </c>
      <c r="AM2684" t="s">
        <v>1167</v>
      </c>
    </row>
    <row r="2685" spans="1:39" hidden="1" x14ac:dyDescent="0.25">
      <c r="A2685">
        <v>2682</v>
      </c>
      <c r="B2685">
        <v>17</v>
      </c>
      <c r="C2685" s="24">
        <v>45807</v>
      </c>
      <c r="D2685" s="238" t="s">
        <v>8060</v>
      </c>
      <c r="E2685" s="238" t="s">
        <v>44</v>
      </c>
      <c r="F2685">
        <v>1</v>
      </c>
      <c r="G2685">
        <v>8</v>
      </c>
      <c r="H2685">
        <v>217</v>
      </c>
      <c r="I2685" s="238" t="s">
        <v>42</v>
      </c>
      <c r="J2685">
        <v>44.25</v>
      </c>
      <c r="K2685" s="238" t="s">
        <v>36</v>
      </c>
      <c r="L2685">
        <v>5610200</v>
      </c>
      <c r="M2685">
        <v>15000</v>
      </c>
      <c r="N2685">
        <v>5625200</v>
      </c>
      <c r="O2685">
        <v>127123.16384180791</v>
      </c>
      <c r="P2685">
        <v>0</v>
      </c>
      <c r="Q2685">
        <v>5625200</v>
      </c>
      <c r="R2685">
        <v>127123.16384180791</v>
      </c>
      <c r="S2685" s="238" t="s">
        <v>124</v>
      </c>
      <c r="T2685" s="238" t="s">
        <v>3540</v>
      </c>
      <c r="U2685">
        <v>114800</v>
      </c>
      <c r="V2685" t="s">
        <v>1167</v>
      </c>
      <c r="W2685" s="24">
        <v>45776</v>
      </c>
      <c r="X2685" s="238" t="s">
        <v>8818</v>
      </c>
      <c r="Y2685" s="238" t="s">
        <v>39</v>
      </c>
      <c r="Z2685" s="238" t="s">
        <v>1340</v>
      </c>
      <c r="AA2685" t="s">
        <v>3113</v>
      </c>
      <c r="AB2685" s="238" t="s">
        <v>3246</v>
      </c>
      <c r="AC2685" t="s">
        <v>1167</v>
      </c>
      <c r="AD2685" s="24"/>
      <c r="AE2685" s="238" t="s">
        <v>8819</v>
      </c>
      <c r="AF2685">
        <v>79171381430</v>
      </c>
      <c r="AG2685" s="238" t="s">
        <v>1167</v>
      </c>
      <c r="AH2685" s="238" t="s">
        <v>135</v>
      </c>
      <c r="AI2685" s="238" t="s">
        <v>3075</v>
      </c>
      <c r="AJ2685" s="238" t="s">
        <v>8380</v>
      </c>
      <c r="AK2685" s="238" t="s">
        <v>1167</v>
      </c>
      <c r="AL2685" t="s">
        <v>8715</v>
      </c>
      <c r="AM2685" t="s">
        <v>1167</v>
      </c>
    </row>
    <row r="2686" spans="1:39" hidden="1" x14ac:dyDescent="0.25">
      <c r="A2686">
        <v>2683</v>
      </c>
      <c r="B2686">
        <v>18</v>
      </c>
      <c r="C2686" s="24">
        <v>45807</v>
      </c>
      <c r="D2686" s="238" t="s">
        <v>7562</v>
      </c>
      <c r="E2686" s="238" t="s">
        <v>43</v>
      </c>
      <c r="F2686">
        <v>1</v>
      </c>
      <c r="G2686">
        <v>1</v>
      </c>
      <c r="H2686">
        <v>5</v>
      </c>
      <c r="I2686" s="238" t="s">
        <v>3946</v>
      </c>
      <c r="J2686">
        <v>58.59</v>
      </c>
      <c r="K2686" s="238" t="s">
        <v>36</v>
      </c>
      <c r="L2686">
        <v>8052600</v>
      </c>
      <c r="M2686">
        <v>0</v>
      </c>
      <c r="N2686">
        <v>8052600</v>
      </c>
      <c r="O2686">
        <v>137439.83614951355</v>
      </c>
      <c r="P2686">
        <v>0</v>
      </c>
      <c r="Q2686">
        <v>8052600</v>
      </c>
      <c r="R2686">
        <v>137439.83614951355</v>
      </c>
      <c r="S2686" s="238" t="s">
        <v>124</v>
      </c>
      <c r="T2686" s="238" t="s">
        <v>8820</v>
      </c>
      <c r="U2686">
        <v>150000</v>
      </c>
      <c r="V2686" t="s">
        <v>1167</v>
      </c>
      <c r="W2686" s="24">
        <v>45803</v>
      </c>
      <c r="X2686" s="238" t="s">
        <v>8821</v>
      </c>
      <c r="Y2686" s="238" t="s">
        <v>3946</v>
      </c>
      <c r="Z2686" s="238" t="s">
        <v>1340</v>
      </c>
      <c r="AA2686" t="s">
        <v>3113</v>
      </c>
      <c r="AB2686" s="238" t="s">
        <v>3246</v>
      </c>
      <c r="AC2686" t="s">
        <v>1167</v>
      </c>
      <c r="AD2686" s="24"/>
      <c r="AE2686" s="238" t="s">
        <v>4016</v>
      </c>
      <c r="AF2686">
        <v>79272780150</v>
      </c>
      <c r="AG2686" s="238" t="s">
        <v>4017</v>
      </c>
      <c r="AH2686" s="238" t="s">
        <v>1212</v>
      </c>
      <c r="AI2686" s="238" t="s">
        <v>135</v>
      </c>
      <c r="AJ2686" s="238" t="s">
        <v>8512</v>
      </c>
      <c r="AK2686" s="238" t="s">
        <v>1167</v>
      </c>
      <c r="AL2686" t="s">
        <v>8822</v>
      </c>
      <c r="AM2686" t="s">
        <v>1167</v>
      </c>
    </row>
    <row r="2687" spans="1:39" x14ac:dyDescent="0.25">
      <c r="A2687">
        <v>2684</v>
      </c>
      <c r="B2687">
        <v>19</v>
      </c>
      <c r="C2687" s="24">
        <v>45807</v>
      </c>
      <c r="D2687" s="238" t="s">
        <v>3388</v>
      </c>
      <c r="E2687" s="238" t="s">
        <v>15</v>
      </c>
      <c r="F2687">
        <v>5</v>
      </c>
      <c r="G2687">
        <v>10</v>
      </c>
      <c r="H2687">
        <v>465</v>
      </c>
      <c r="I2687" s="238" t="s">
        <v>43</v>
      </c>
      <c r="J2687">
        <v>57.8</v>
      </c>
      <c r="K2687" s="238" t="s">
        <v>6871</v>
      </c>
      <c r="L2687">
        <v>7077215</v>
      </c>
      <c r="M2687">
        <v>0</v>
      </c>
      <c r="N2687">
        <v>7077215</v>
      </c>
      <c r="O2687">
        <v>122443.16608996541</v>
      </c>
      <c r="P2687">
        <v>578000</v>
      </c>
      <c r="Q2687">
        <v>6499215</v>
      </c>
      <c r="R2687">
        <v>112443.16608996541</v>
      </c>
      <c r="S2687" s="238" t="s">
        <v>137</v>
      </c>
      <c r="T2687" s="238" t="s">
        <v>8592</v>
      </c>
      <c r="U2687">
        <v>510285</v>
      </c>
      <c r="V2687" t="s">
        <v>4092</v>
      </c>
      <c r="W2687" s="24">
        <v>45803</v>
      </c>
      <c r="X2687" s="238" t="s">
        <v>8823</v>
      </c>
      <c r="Y2687" s="238" t="s">
        <v>39</v>
      </c>
      <c r="Z2687" s="238" t="s">
        <v>1340</v>
      </c>
      <c r="AA2687" t="s">
        <v>3113</v>
      </c>
      <c r="AB2687" s="238" t="s">
        <v>3246</v>
      </c>
      <c r="AC2687" t="s">
        <v>3079</v>
      </c>
      <c r="AD2687" s="24"/>
      <c r="AE2687" s="238" t="s">
        <v>8824</v>
      </c>
      <c r="AF2687">
        <v>79370238923</v>
      </c>
      <c r="AG2687" s="238" t="s">
        <v>8825</v>
      </c>
      <c r="AH2687" s="238" t="s">
        <v>1212</v>
      </c>
      <c r="AI2687" s="238" t="s">
        <v>3074</v>
      </c>
      <c r="AJ2687" s="238" t="s">
        <v>5215</v>
      </c>
      <c r="AK2687" s="238" t="s">
        <v>3345</v>
      </c>
      <c r="AL2687" t="s">
        <v>8715</v>
      </c>
      <c r="AM2687" t="s">
        <v>1167</v>
      </c>
    </row>
    <row r="2688" spans="1:39" x14ac:dyDescent="0.25">
      <c r="A2688">
        <v>2685</v>
      </c>
      <c r="B2688">
        <v>20</v>
      </c>
      <c r="C2688" s="24">
        <v>45808</v>
      </c>
      <c r="D2688" s="238" t="s">
        <v>3388</v>
      </c>
      <c r="E2688" s="238" t="s">
        <v>15</v>
      </c>
      <c r="F2688">
        <v>2</v>
      </c>
      <c r="G2688">
        <v>20</v>
      </c>
      <c r="H2688">
        <v>542</v>
      </c>
      <c r="I2688" s="238" t="s">
        <v>42</v>
      </c>
      <c r="J2688">
        <v>43.21</v>
      </c>
      <c r="K2688" s="238" t="s">
        <v>36</v>
      </c>
      <c r="L2688">
        <v>5772000</v>
      </c>
      <c r="M2688">
        <v>0</v>
      </c>
      <c r="N2688">
        <v>5772000</v>
      </c>
      <c r="O2688">
        <v>133580.18977088635</v>
      </c>
      <c r="P2688">
        <v>0</v>
      </c>
      <c r="Q2688">
        <v>5772000</v>
      </c>
      <c r="R2688">
        <v>133580.18977088635</v>
      </c>
      <c r="S2688" s="238" t="s">
        <v>137</v>
      </c>
      <c r="T2688" s="238" t="s">
        <v>350</v>
      </c>
      <c r="U2688">
        <v>525600</v>
      </c>
      <c r="V2688" t="s">
        <v>4092</v>
      </c>
      <c r="W2688" s="24">
        <v>45805</v>
      </c>
      <c r="X2688" s="238" t="s">
        <v>8826</v>
      </c>
      <c r="Y2688" s="238" t="s">
        <v>39</v>
      </c>
      <c r="Z2688" s="238" t="s">
        <v>1340</v>
      </c>
      <c r="AA2688" t="s">
        <v>3113</v>
      </c>
      <c r="AB2688" s="238" t="s">
        <v>3246</v>
      </c>
      <c r="AC2688" t="s">
        <v>3079</v>
      </c>
      <c r="AD2688" s="24"/>
      <c r="AE2688" s="238" t="s">
        <v>8827</v>
      </c>
      <c r="AF2688">
        <v>79867223733</v>
      </c>
      <c r="AG2688" s="238" t="s">
        <v>1167</v>
      </c>
      <c r="AH2688" s="238" t="s">
        <v>1212</v>
      </c>
      <c r="AI2688" s="238" t="s">
        <v>3094</v>
      </c>
      <c r="AJ2688" s="238" t="s">
        <v>8380</v>
      </c>
      <c r="AK2688" s="238" t="s">
        <v>3345</v>
      </c>
      <c r="AL2688" t="s">
        <v>8715</v>
      </c>
      <c r="AM2688" t="s">
        <v>1167</v>
      </c>
    </row>
    <row r="2689" spans="1:39" hidden="1" x14ac:dyDescent="0.25">
      <c r="A2689">
        <v>2686</v>
      </c>
      <c r="B2689">
        <v>1</v>
      </c>
      <c r="C2689" s="24">
        <v>45811</v>
      </c>
      <c r="D2689" s="238" t="s">
        <v>8060</v>
      </c>
      <c r="E2689" s="238" t="s">
        <v>42</v>
      </c>
      <c r="F2689">
        <v>5</v>
      </c>
      <c r="G2689">
        <v>12</v>
      </c>
      <c r="H2689">
        <v>65</v>
      </c>
      <c r="I2689" s="238" t="s">
        <v>42</v>
      </c>
      <c r="J2689">
        <v>36.92</v>
      </c>
      <c r="K2689" s="238" t="s">
        <v>36</v>
      </c>
      <c r="L2689">
        <v>4876774</v>
      </c>
      <c r="M2689">
        <v>0</v>
      </c>
      <c r="N2689">
        <v>4876774</v>
      </c>
      <c r="O2689">
        <v>132090.30335861322</v>
      </c>
      <c r="P2689">
        <v>0</v>
      </c>
      <c r="Q2689">
        <v>4876774</v>
      </c>
      <c r="R2689">
        <v>132090.30335861322</v>
      </c>
      <c r="S2689" s="238" t="s">
        <v>124</v>
      </c>
      <c r="T2689" s="238" t="s">
        <v>8828</v>
      </c>
      <c r="U2689">
        <v>99526.000000000931</v>
      </c>
      <c r="V2689" t="s">
        <v>1167</v>
      </c>
      <c r="W2689" s="24">
        <v>45799</v>
      </c>
      <c r="X2689" s="238" t="s">
        <v>8829</v>
      </c>
      <c r="Y2689" s="238" t="s">
        <v>39</v>
      </c>
      <c r="Z2689" s="238" t="s">
        <v>1340</v>
      </c>
      <c r="AA2689" t="s">
        <v>3113</v>
      </c>
      <c r="AB2689" s="238" t="s">
        <v>3246</v>
      </c>
      <c r="AC2689" t="s">
        <v>1167</v>
      </c>
      <c r="AD2689" s="24"/>
      <c r="AE2689" s="238" t="s">
        <v>8830</v>
      </c>
      <c r="AF2689">
        <v>79270230328</v>
      </c>
      <c r="AG2689" s="238" t="s">
        <v>8831</v>
      </c>
      <c r="AH2689" s="238" t="s">
        <v>1212</v>
      </c>
      <c r="AI2689" s="238" t="s">
        <v>135</v>
      </c>
      <c r="AJ2689" s="238" t="s">
        <v>8512</v>
      </c>
      <c r="AK2689" s="238" t="s">
        <v>1167</v>
      </c>
      <c r="AL2689" t="s">
        <v>8715</v>
      </c>
      <c r="AM2689" t="s">
        <v>1167</v>
      </c>
    </row>
    <row r="2690" spans="1:39" x14ac:dyDescent="0.25">
      <c r="A2690">
        <v>2687</v>
      </c>
      <c r="B2690">
        <v>2</v>
      </c>
      <c r="C2690" s="24">
        <v>45814</v>
      </c>
      <c r="D2690" s="238" t="s">
        <v>3388</v>
      </c>
      <c r="E2690" s="238" t="s">
        <v>6</v>
      </c>
      <c r="F2690">
        <v>7</v>
      </c>
      <c r="G2690">
        <v>8</v>
      </c>
      <c r="H2690">
        <v>55</v>
      </c>
      <c r="I2690" s="238" t="s">
        <v>42</v>
      </c>
      <c r="J2690">
        <v>42.75</v>
      </c>
      <c r="K2690" s="238" t="s">
        <v>36</v>
      </c>
      <c r="L2690">
        <v>5423200</v>
      </c>
      <c r="M2690">
        <v>0</v>
      </c>
      <c r="N2690">
        <v>5423200</v>
      </c>
      <c r="O2690">
        <v>126858.47953216374</v>
      </c>
      <c r="P2690">
        <v>0</v>
      </c>
      <c r="Q2690">
        <v>5423200</v>
      </c>
      <c r="R2690">
        <v>126858.47953216374</v>
      </c>
      <c r="S2690" s="238" t="s">
        <v>137</v>
      </c>
      <c r="T2690" s="238" t="s">
        <v>8676</v>
      </c>
      <c r="U2690">
        <v>342000</v>
      </c>
      <c r="V2690" t="s">
        <v>4092</v>
      </c>
      <c r="W2690" s="24">
        <v>45806</v>
      </c>
      <c r="X2690" s="238" t="s">
        <v>8834</v>
      </c>
      <c r="Y2690" s="238" t="s">
        <v>39</v>
      </c>
      <c r="Z2690" s="238" t="s">
        <v>1340</v>
      </c>
      <c r="AA2690" t="s">
        <v>3113</v>
      </c>
      <c r="AB2690" s="238" t="s">
        <v>3246</v>
      </c>
      <c r="AC2690" t="s">
        <v>3079</v>
      </c>
      <c r="AD2690" s="24"/>
      <c r="AE2690" s="238" t="s">
        <v>8835</v>
      </c>
      <c r="AF2690">
        <v>79371752845</v>
      </c>
      <c r="AG2690" s="238" t="s">
        <v>8836</v>
      </c>
      <c r="AH2690" s="238" t="s">
        <v>1171</v>
      </c>
      <c r="AI2690" s="238" t="s">
        <v>3103</v>
      </c>
      <c r="AJ2690" s="238" t="s">
        <v>8380</v>
      </c>
      <c r="AK2690" s="238" t="s">
        <v>3345</v>
      </c>
      <c r="AL2690" t="s">
        <v>8715</v>
      </c>
      <c r="AM2690" t="s">
        <v>1167</v>
      </c>
    </row>
    <row r="2691" spans="1:39" x14ac:dyDescent="0.25">
      <c r="A2691">
        <v>2688</v>
      </c>
      <c r="B2691">
        <v>3</v>
      </c>
      <c r="C2691" s="24">
        <v>45814</v>
      </c>
      <c r="D2691" s="238" t="s">
        <v>3388</v>
      </c>
      <c r="E2691" s="238" t="s">
        <v>5</v>
      </c>
      <c r="F2691">
        <v>5</v>
      </c>
      <c r="G2691">
        <v>13</v>
      </c>
      <c r="H2691">
        <v>199</v>
      </c>
      <c r="I2691" s="238" t="s">
        <v>42</v>
      </c>
      <c r="J2691">
        <v>37.86</v>
      </c>
      <c r="K2691" s="238" t="s">
        <v>38</v>
      </c>
      <c r="L2691">
        <v>5952020</v>
      </c>
      <c r="M2691">
        <v>0</v>
      </c>
      <c r="N2691">
        <v>5952020</v>
      </c>
      <c r="O2691">
        <v>157211.30480718435</v>
      </c>
      <c r="P2691">
        <v>946500</v>
      </c>
      <c r="Q2691">
        <v>5005520</v>
      </c>
      <c r="R2691">
        <v>132211.30480718435</v>
      </c>
      <c r="S2691" s="238" t="s">
        <v>137</v>
      </c>
      <c r="T2691" s="238" t="s">
        <v>8837</v>
      </c>
      <c r="U2691">
        <v>302880</v>
      </c>
      <c r="V2691" t="s">
        <v>4092</v>
      </c>
      <c r="W2691" s="24">
        <v>45810</v>
      </c>
      <c r="X2691" s="238" t="s">
        <v>8838</v>
      </c>
      <c r="Y2691" s="238" t="s">
        <v>39</v>
      </c>
      <c r="Z2691" s="238" t="s">
        <v>1340</v>
      </c>
      <c r="AA2691" t="s">
        <v>3113</v>
      </c>
      <c r="AB2691" s="238" t="s">
        <v>3246</v>
      </c>
      <c r="AC2691" t="s">
        <v>3079</v>
      </c>
      <c r="AD2691" s="24"/>
      <c r="AE2691" s="238" t="s">
        <v>8839</v>
      </c>
      <c r="AF2691">
        <v>79276921331</v>
      </c>
      <c r="AG2691" s="238" t="s">
        <v>8840</v>
      </c>
      <c r="AH2691" s="238" t="s">
        <v>4072</v>
      </c>
      <c r="AI2691" s="238" t="s">
        <v>8476</v>
      </c>
      <c r="AJ2691" s="238" t="s">
        <v>4177</v>
      </c>
      <c r="AK2691" s="238" t="s">
        <v>8441</v>
      </c>
      <c r="AL2691" t="s">
        <v>57</v>
      </c>
      <c r="AM2691" t="s">
        <v>1167</v>
      </c>
    </row>
    <row r="2692" spans="1:39" hidden="1" x14ac:dyDescent="0.25">
      <c r="A2692">
        <v>2689</v>
      </c>
      <c r="B2692">
        <v>4</v>
      </c>
      <c r="C2692" s="24">
        <v>45817</v>
      </c>
      <c r="D2692" s="238" t="s">
        <v>7562</v>
      </c>
      <c r="E2692" s="238" t="s">
        <v>42</v>
      </c>
      <c r="F2692">
        <v>4</v>
      </c>
      <c r="G2692">
        <v>1</v>
      </c>
      <c r="H2692">
        <v>4</v>
      </c>
      <c r="I2692" s="238" t="s">
        <v>3946</v>
      </c>
      <c r="J2692">
        <v>53.52</v>
      </c>
      <c r="K2692" s="238" t="s">
        <v>36</v>
      </c>
      <c r="L2692">
        <v>7492800</v>
      </c>
      <c r="M2692">
        <v>0</v>
      </c>
      <c r="N2692">
        <v>7492800</v>
      </c>
      <c r="O2692">
        <v>140000</v>
      </c>
      <c r="P2692">
        <v>0</v>
      </c>
      <c r="Q2692">
        <v>7492800</v>
      </c>
      <c r="R2692">
        <v>140000</v>
      </c>
      <c r="S2692" s="238" t="s">
        <v>124</v>
      </c>
      <c r="T2692" s="238" t="s">
        <v>1167</v>
      </c>
      <c r="V2692" t="s">
        <v>1167</v>
      </c>
      <c r="W2692" s="24">
        <v>45813</v>
      </c>
      <c r="X2692" s="238" t="s">
        <v>8842</v>
      </c>
      <c r="Y2692" s="238" t="s">
        <v>3946</v>
      </c>
      <c r="Z2692" s="238" t="s">
        <v>1340</v>
      </c>
      <c r="AA2692" t="s">
        <v>3113</v>
      </c>
      <c r="AB2692" s="238" t="s">
        <v>3246</v>
      </c>
      <c r="AC2692" t="s">
        <v>1167</v>
      </c>
      <c r="AD2692" s="24"/>
      <c r="AE2692" s="238" t="s">
        <v>6494</v>
      </c>
      <c r="AF2692">
        <v>79376414617</v>
      </c>
      <c r="AG2692" s="238" t="s">
        <v>6495</v>
      </c>
      <c r="AH2692" s="238" t="s">
        <v>1212</v>
      </c>
      <c r="AI2692" s="238" t="s">
        <v>3082</v>
      </c>
      <c r="AJ2692" s="238" t="s">
        <v>4177</v>
      </c>
      <c r="AK2692" s="238" t="s">
        <v>1167</v>
      </c>
      <c r="AL2692" t="s">
        <v>8715</v>
      </c>
      <c r="AM2692" t="s">
        <v>1167</v>
      </c>
    </row>
    <row r="2693" spans="1:39" hidden="1" x14ac:dyDescent="0.25">
      <c r="A2693">
        <v>2690</v>
      </c>
      <c r="B2693">
        <v>5</v>
      </c>
      <c r="C2693" s="24">
        <v>45818</v>
      </c>
      <c r="D2693" s="238" t="s">
        <v>8060</v>
      </c>
      <c r="E2693" s="238" t="s">
        <v>43</v>
      </c>
      <c r="F2693">
        <v>6</v>
      </c>
      <c r="G2693">
        <v>4</v>
      </c>
      <c r="H2693">
        <v>126</v>
      </c>
      <c r="I2693" s="238" t="s">
        <v>43</v>
      </c>
      <c r="J2693">
        <v>60.94</v>
      </c>
      <c r="K2693" s="238" t="s">
        <v>8787</v>
      </c>
      <c r="L2693">
        <v>7681374</v>
      </c>
      <c r="M2693">
        <v>0</v>
      </c>
      <c r="N2693">
        <v>7681374</v>
      </c>
      <c r="O2693">
        <v>126048.14571709879</v>
      </c>
      <c r="P2693">
        <v>609400</v>
      </c>
      <c r="Q2693">
        <v>7071974</v>
      </c>
      <c r="R2693">
        <v>116048.14571709879</v>
      </c>
      <c r="S2693" s="238" t="s">
        <v>124</v>
      </c>
      <c r="T2693" s="238" t="s">
        <v>3540</v>
      </c>
      <c r="U2693">
        <v>144326</v>
      </c>
      <c r="V2693" t="s">
        <v>1167</v>
      </c>
      <c r="W2693" s="24">
        <v>45810</v>
      </c>
      <c r="X2693" s="238" t="s">
        <v>8843</v>
      </c>
      <c r="Y2693" s="238" t="s">
        <v>39</v>
      </c>
      <c r="Z2693" s="238" t="s">
        <v>1340</v>
      </c>
      <c r="AA2693" t="s">
        <v>3113</v>
      </c>
      <c r="AB2693" s="238" t="s">
        <v>3246</v>
      </c>
      <c r="AC2693" t="s">
        <v>1167</v>
      </c>
      <c r="AD2693" s="24"/>
      <c r="AE2693" s="238" t="s">
        <v>8844</v>
      </c>
      <c r="AF2693">
        <v>77058112103</v>
      </c>
      <c r="AG2693" s="238" t="s">
        <v>8845</v>
      </c>
      <c r="AH2693" s="238" t="s">
        <v>1212</v>
      </c>
      <c r="AI2693" s="238" t="s">
        <v>3090</v>
      </c>
      <c r="AJ2693" s="238" t="s">
        <v>4177</v>
      </c>
      <c r="AK2693" s="238" t="s">
        <v>1167</v>
      </c>
      <c r="AL2693" t="s">
        <v>8715</v>
      </c>
      <c r="AM2693" t="s">
        <v>1167</v>
      </c>
    </row>
    <row r="2694" spans="1:39" hidden="1" x14ac:dyDescent="0.25">
      <c r="A2694">
        <v>2691</v>
      </c>
      <c r="B2694">
        <v>6</v>
      </c>
      <c r="C2694" s="24">
        <v>45819</v>
      </c>
      <c r="D2694" s="238" t="s">
        <v>8060</v>
      </c>
      <c r="E2694" s="238" t="s">
        <v>43</v>
      </c>
      <c r="F2694">
        <v>6</v>
      </c>
      <c r="G2694">
        <v>10</v>
      </c>
      <c r="H2694">
        <v>162</v>
      </c>
      <c r="I2694" s="238" t="s">
        <v>43</v>
      </c>
      <c r="J2694">
        <v>60.87</v>
      </c>
      <c r="K2694" s="238" t="s">
        <v>8787</v>
      </c>
      <c r="L2694">
        <v>7672540</v>
      </c>
      <c r="M2694">
        <v>0</v>
      </c>
      <c r="N2694">
        <v>7672540</v>
      </c>
      <c r="O2694">
        <v>126047.97108592081</v>
      </c>
      <c r="P2694">
        <v>608700</v>
      </c>
      <c r="Q2694">
        <v>7063840</v>
      </c>
      <c r="R2694">
        <v>116047.97108592081</v>
      </c>
      <c r="S2694" s="238" t="s">
        <v>124</v>
      </c>
      <c r="T2694" s="238" t="s">
        <v>3540</v>
      </c>
      <c r="U2694">
        <v>144160</v>
      </c>
      <c r="V2694" t="s">
        <v>1167</v>
      </c>
      <c r="W2694" s="24">
        <v>45818</v>
      </c>
      <c r="X2694" s="238" t="s">
        <v>8846</v>
      </c>
      <c r="Y2694" s="238" t="s">
        <v>39</v>
      </c>
      <c r="Z2694" s="238" t="s">
        <v>1340</v>
      </c>
      <c r="AA2694" t="s">
        <v>3113</v>
      </c>
      <c r="AB2694" s="238" t="s">
        <v>3246</v>
      </c>
      <c r="AC2694" t="s">
        <v>1167</v>
      </c>
      <c r="AD2694" s="24"/>
      <c r="AE2694" s="238" t="s">
        <v>8847</v>
      </c>
      <c r="AF2694">
        <v>79179557070</v>
      </c>
      <c r="AG2694" s="238" t="s">
        <v>8848</v>
      </c>
      <c r="AH2694" s="238" t="s">
        <v>1212</v>
      </c>
      <c r="AI2694" s="238" t="s">
        <v>3103</v>
      </c>
      <c r="AJ2694" s="238" t="s">
        <v>4177</v>
      </c>
      <c r="AK2694" s="238" t="s">
        <v>1167</v>
      </c>
      <c r="AL2694" t="s">
        <v>8715</v>
      </c>
      <c r="AM2694" t="s">
        <v>1167</v>
      </c>
    </row>
    <row r="2695" spans="1:39" x14ac:dyDescent="0.25">
      <c r="A2695">
        <v>2692</v>
      </c>
      <c r="B2695">
        <v>7</v>
      </c>
      <c r="C2695" s="24">
        <v>45823</v>
      </c>
      <c r="D2695" s="238" t="s">
        <v>3388</v>
      </c>
      <c r="E2695" s="238" t="s">
        <v>6</v>
      </c>
      <c r="F2695">
        <v>1</v>
      </c>
      <c r="G2695">
        <v>16</v>
      </c>
      <c r="H2695">
        <v>105</v>
      </c>
      <c r="I2695" s="238" t="s">
        <v>42</v>
      </c>
      <c r="J2695">
        <v>34.39</v>
      </c>
      <c r="K2695" s="238" t="s">
        <v>38</v>
      </c>
      <c r="L2695">
        <v>5158500</v>
      </c>
      <c r="M2695">
        <v>0</v>
      </c>
      <c r="N2695">
        <v>5158500</v>
      </c>
      <c r="O2695">
        <v>150000</v>
      </c>
      <c r="P2695">
        <v>859750</v>
      </c>
      <c r="Q2695">
        <v>4298750</v>
      </c>
      <c r="R2695">
        <v>125000</v>
      </c>
      <c r="S2695" s="238" t="s">
        <v>137</v>
      </c>
      <c r="T2695" s="238" t="s">
        <v>8849</v>
      </c>
      <c r="U2695">
        <v>793250</v>
      </c>
      <c r="V2695" t="s">
        <v>4092</v>
      </c>
      <c r="W2695" s="24">
        <v>45817</v>
      </c>
      <c r="X2695" s="238" t="s">
        <v>8850</v>
      </c>
      <c r="Y2695" s="238" t="s">
        <v>39</v>
      </c>
      <c r="Z2695" s="238" t="s">
        <v>1340</v>
      </c>
      <c r="AA2695" t="s">
        <v>3113</v>
      </c>
      <c r="AB2695" s="238" t="s">
        <v>3246</v>
      </c>
      <c r="AC2695" t="s">
        <v>3079</v>
      </c>
      <c r="AD2695" s="24"/>
      <c r="AE2695" s="238" t="s">
        <v>8851</v>
      </c>
      <c r="AF2695">
        <v>79290448822</v>
      </c>
      <c r="AG2695" s="238" t="s">
        <v>8852</v>
      </c>
      <c r="AH2695" s="238" t="s">
        <v>1171</v>
      </c>
      <c r="AI2695" s="238" t="s">
        <v>8853</v>
      </c>
      <c r="AJ2695" s="238" t="s">
        <v>4177</v>
      </c>
      <c r="AK2695" s="238" t="s">
        <v>8441</v>
      </c>
      <c r="AL2695" t="s">
        <v>8715</v>
      </c>
      <c r="AM2695" t="s">
        <v>1167</v>
      </c>
    </row>
    <row r="2696" spans="1:39" x14ac:dyDescent="0.25">
      <c r="A2696">
        <v>2693</v>
      </c>
      <c r="B2696">
        <v>8</v>
      </c>
      <c r="C2696" s="24">
        <v>45825</v>
      </c>
      <c r="D2696" s="238" t="s">
        <v>3388</v>
      </c>
      <c r="E2696" s="238" t="s">
        <v>15</v>
      </c>
      <c r="F2696">
        <v>3</v>
      </c>
      <c r="G2696">
        <v>13</v>
      </c>
      <c r="H2696">
        <v>487</v>
      </c>
      <c r="I2696" s="238" t="s">
        <v>4052</v>
      </c>
      <c r="J2696">
        <v>24.5</v>
      </c>
      <c r="K2696" s="238" t="s">
        <v>6871</v>
      </c>
      <c r="L2696">
        <v>3356500</v>
      </c>
      <c r="M2696">
        <v>0</v>
      </c>
      <c r="N2696">
        <v>3356500</v>
      </c>
      <c r="O2696">
        <v>137000</v>
      </c>
      <c r="P2696">
        <v>245000</v>
      </c>
      <c r="Q2696">
        <v>3111500</v>
      </c>
      <c r="R2696">
        <v>127000</v>
      </c>
      <c r="S2696" s="238" t="s">
        <v>137</v>
      </c>
      <c r="T2696" s="238" t="s">
        <v>8676</v>
      </c>
      <c r="U2696">
        <v>196000</v>
      </c>
      <c r="V2696" t="s">
        <v>4092</v>
      </c>
      <c r="W2696" s="24">
        <v>45817</v>
      </c>
      <c r="X2696" s="238" t="s">
        <v>7706</v>
      </c>
      <c r="Y2696" s="238" t="s">
        <v>39</v>
      </c>
      <c r="Z2696" s="238" t="s">
        <v>1340</v>
      </c>
      <c r="AA2696" t="s">
        <v>3113</v>
      </c>
      <c r="AB2696" s="238" t="s">
        <v>3246</v>
      </c>
      <c r="AC2696" t="s">
        <v>3079</v>
      </c>
      <c r="AD2696" s="24"/>
      <c r="AE2696" s="238" t="s">
        <v>8854</v>
      </c>
      <c r="AF2696">
        <v>79228099493</v>
      </c>
      <c r="AG2696" s="238" t="s">
        <v>1167</v>
      </c>
      <c r="AH2696" s="238" t="s">
        <v>4072</v>
      </c>
      <c r="AI2696" s="238" t="s">
        <v>7286</v>
      </c>
      <c r="AJ2696" s="238" t="s">
        <v>8380</v>
      </c>
      <c r="AK2696" s="238" t="s">
        <v>3345</v>
      </c>
      <c r="AL2696" t="s">
        <v>57</v>
      </c>
      <c r="AM2696" t="s">
        <v>1167</v>
      </c>
    </row>
    <row r="2697" spans="1:39" hidden="1" x14ac:dyDescent="0.25">
      <c r="A2697">
        <v>2694</v>
      </c>
      <c r="B2697">
        <v>9</v>
      </c>
      <c r="C2697" s="24">
        <v>45826</v>
      </c>
      <c r="D2697" s="238" t="s">
        <v>91</v>
      </c>
      <c r="E2697" s="238" t="s">
        <v>16</v>
      </c>
      <c r="F2697">
        <v>7</v>
      </c>
      <c r="G2697">
        <v>19</v>
      </c>
      <c r="H2697">
        <v>366</v>
      </c>
      <c r="I2697" s="238" t="s">
        <v>42</v>
      </c>
      <c r="J2697">
        <v>34.6</v>
      </c>
      <c r="K2697" s="238" t="s">
        <v>38</v>
      </c>
      <c r="L2697">
        <v>5017000</v>
      </c>
      <c r="M2697">
        <v>0</v>
      </c>
      <c r="N2697">
        <v>5017000</v>
      </c>
      <c r="O2697">
        <v>145000</v>
      </c>
      <c r="P2697">
        <v>761200</v>
      </c>
      <c r="Q2697">
        <v>4255800</v>
      </c>
      <c r="R2697">
        <v>123000</v>
      </c>
      <c r="S2697" s="238" t="s">
        <v>124</v>
      </c>
      <c r="T2697" s="238" t="s">
        <v>8849</v>
      </c>
      <c r="U2697">
        <v>1245100</v>
      </c>
      <c r="V2697" t="s">
        <v>1167</v>
      </c>
      <c r="W2697" s="24">
        <v>45823</v>
      </c>
      <c r="X2697" s="238" t="s">
        <v>7759</v>
      </c>
      <c r="Y2697" s="238" t="s">
        <v>39</v>
      </c>
      <c r="Z2697" s="238" t="s">
        <v>1340</v>
      </c>
      <c r="AA2697" t="s">
        <v>3113</v>
      </c>
      <c r="AB2697" s="238" t="s">
        <v>8856</v>
      </c>
      <c r="AC2697" t="s">
        <v>1167</v>
      </c>
      <c r="AD2697" s="24"/>
      <c r="AE2697" s="238" t="s">
        <v>8855</v>
      </c>
      <c r="AF2697">
        <v>79033044515</v>
      </c>
      <c r="AG2697" s="238" t="s">
        <v>2611</v>
      </c>
      <c r="AH2697" s="238" t="s">
        <v>1171</v>
      </c>
      <c r="AI2697" s="238" t="s">
        <v>3082</v>
      </c>
      <c r="AJ2697" s="238" t="s">
        <v>4177</v>
      </c>
      <c r="AK2697" s="238" t="s">
        <v>1167</v>
      </c>
      <c r="AL2697" t="s">
        <v>8715</v>
      </c>
      <c r="AM2697" t="s">
        <v>8857</v>
      </c>
    </row>
    <row r="2698" spans="1:39" x14ac:dyDescent="0.25">
      <c r="A2698">
        <v>2695</v>
      </c>
      <c r="B2698">
        <v>10</v>
      </c>
      <c r="C2698" s="24">
        <v>45828</v>
      </c>
      <c r="D2698" s="238" t="s">
        <v>3388</v>
      </c>
      <c r="E2698" s="238" t="s">
        <v>16</v>
      </c>
      <c r="F2698">
        <v>7</v>
      </c>
      <c r="G2698">
        <v>17</v>
      </c>
      <c r="H2698">
        <v>340</v>
      </c>
      <c r="I2698" s="238" t="s">
        <v>42</v>
      </c>
      <c r="J2698">
        <v>34.81</v>
      </c>
      <c r="K2698" s="238" t="s">
        <v>38</v>
      </c>
      <c r="L2698">
        <v>5667770</v>
      </c>
      <c r="M2698">
        <v>0</v>
      </c>
      <c r="N2698">
        <v>5667770</v>
      </c>
      <c r="O2698">
        <v>162820.16661878768</v>
      </c>
      <c r="P2698">
        <v>870250</v>
      </c>
      <c r="Q2698">
        <v>4797520</v>
      </c>
      <c r="R2698">
        <v>137820.16661878768</v>
      </c>
      <c r="S2698" s="238" t="s">
        <v>137</v>
      </c>
      <c r="T2698" s="238" t="s">
        <v>8837</v>
      </c>
      <c r="U2698">
        <v>278480</v>
      </c>
      <c r="V2698" t="s">
        <v>4092</v>
      </c>
      <c r="W2698" s="24">
        <v>45823</v>
      </c>
      <c r="X2698" s="238" t="s">
        <v>8858</v>
      </c>
      <c r="Y2698" s="238" t="s">
        <v>39</v>
      </c>
      <c r="Z2698" s="238" t="s">
        <v>1340</v>
      </c>
      <c r="AA2698" t="s">
        <v>3113</v>
      </c>
      <c r="AB2698" s="238" t="s">
        <v>3246</v>
      </c>
      <c r="AC2698" t="s">
        <v>3079</v>
      </c>
      <c r="AD2698" s="24"/>
      <c r="AE2698" s="238" t="s">
        <v>8859</v>
      </c>
      <c r="AF2698">
        <v>79297012757</v>
      </c>
      <c r="AG2698" s="238" t="s">
        <v>8860</v>
      </c>
      <c r="AH2698" s="238" t="s">
        <v>1212</v>
      </c>
      <c r="AI2698" s="238" t="s">
        <v>3097</v>
      </c>
      <c r="AJ2698" s="238" t="s">
        <v>5215</v>
      </c>
      <c r="AK2698" s="238" t="s">
        <v>8441</v>
      </c>
      <c r="AL2698" t="s">
        <v>8715</v>
      </c>
      <c r="AM2698" t="s">
        <v>1167</v>
      </c>
    </row>
    <row r="2699" spans="1:39" x14ac:dyDescent="0.25">
      <c r="A2699">
        <v>2696</v>
      </c>
      <c r="B2699">
        <v>11</v>
      </c>
      <c r="C2699" s="24">
        <v>45828</v>
      </c>
      <c r="D2699" s="238" t="s">
        <v>3388</v>
      </c>
      <c r="E2699" s="238" t="s">
        <v>5</v>
      </c>
      <c r="F2699">
        <v>7</v>
      </c>
      <c r="G2699">
        <v>8</v>
      </c>
      <c r="H2699">
        <v>166</v>
      </c>
      <c r="I2699" s="238" t="s">
        <v>42</v>
      </c>
      <c r="J2699">
        <v>42.28</v>
      </c>
      <c r="K2699" s="238" t="s">
        <v>38</v>
      </c>
      <c r="L2699">
        <v>6560460</v>
      </c>
      <c r="M2699">
        <v>0</v>
      </c>
      <c r="N2699">
        <v>6560460</v>
      </c>
      <c r="O2699">
        <v>155166.98202459791</v>
      </c>
      <c r="P2699">
        <v>1057000</v>
      </c>
      <c r="Q2699">
        <v>5503460</v>
      </c>
      <c r="R2699">
        <v>130166.98202459792</v>
      </c>
      <c r="S2699" s="238" t="s">
        <v>137</v>
      </c>
      <c r="T2699" s="238" t="s">
        <v>8837</v>
      </c>
      <c r="U2699">
        <v>338240</v>
      </c>
      <c r="V2699" t="s">
        <v>4092</v>
      </c>
      <c r="W2699" s="24">
        <v>45827</v>
      </c>
      <c r="X2699" s="238" t="s">
        <v>8861</v>
      </c>
      <c r="Y2699" s="238" t="s">
        <v>39</v>
      </c>
      <c r="Z2699" s="238" t="s">
        <v>1340</v>
      </c>
      <c r="AA2699" t="s">
        <v>3113</v>
      </c>
      <c r="AB2699" s="238" t="s">
        <v>3246</v>
      </c>
      <c r="AC2699" t="s">
        <v>3079</v>
      </c>
      <c r="AD2699" s="24"/>
      <c r="AE2699" s="238" t="s">
        <v>8862</v>
      </c>
      <c r="AF2699">
        <v>79372038730</v>
      </c>
      <c r="AG2699" s="238" t="s">
        <v>8863</v>
      </c>
      <c r="AH2699" s="238" t="s">
        <v>1212</v>
      </c>
      <c r="AI2699" s="238" t="s">
        <v>3514</v>
      </c>
      <c r="AJ2699" s="238" t="s">
        <v>4177</v>
      </c>
      <c r="AK2699" s="238" t="s">
        <v>8441</v>
      </c>
      <c r="AL2699" t="s">
        <v>8715</v>
      </c>
      <c r="AM2699" t="s">
        <v>1167</v>
      </c>
    </row>
    <row r="2700" spans="1:39" x14ac:dyDescent="0.25">
      <c r="A2700">
        <v>2697</v>
      </c>
      <c r="B2700">
        <v>12</v>
      </c>
      <c r="C2700" s="24">
        <v>45832</v>
      </c>
      <c r="D2700" s="238" t="s">
        <v>3388</v>
      </c>
      <c r="E2700" s="238" t="s">
        <v>6</v>
      </c>
      <c r="F2700">
        <v>7</v>
      </c>
      <c r="G2700">
        <v>10</v>
      </c>
      <c r="H2700">
        <v>69</v>
      </c>
      <c r="I2700" s="238" t="s">
        <v>42</v>
      </c>
      <c r="J2700">
        <v>42.75</v>
      </c>
      <c r="K2700" s="238" t="s">
        <v>36</v>
      </c>
      <c r="L2700">
        <v>5423200</v>
      </c>
      <c r="M2700">
        <v>0</v>
      </c>
      <c r="N2700">
        <v>5423200</v>
      </c>
      <c r="O2700">
        <v>126858.47953216374</v>
      </c>
      <c r="P2700">
        <v>0</v>
      </c>
      <c r="Q2700">
        <v>5423200</v>
      </c>
      <c r="R2700">
        <v>126858.47953216374</v>
      </c>
      <c r="S2700" s="238" t="s">
        <v>137</v>
      </c>
      <c r="T2700" s="238" t="s">
        <v>8837</v>
      </c>
      <c r="U2700">
        <v>342000</v>
      </c>
      <c r="V2700" t="s">
        <v>4092</v>
      </c>
      <c r="W2700" s="24">
        <v>45817</v>
      </c>
      <c r="X2700" s="238" t="s">
        <v>8864</v>
      </c>
      <c r="Y2700" s="238" t="s">
        <v>39</v>
      </c>
      <c r="Z2700" s="238" t="s">
        <v>1340</v>
      </c>
      <c r="AA2700" t="s">
        <v>3113</v>
      </c>
      <c r="AB2700" s="238" t="s">
        <v>3246</v>
      </c>
      <c r="AC2700" t="s">
        <v>3079</v>
      </c>
      <c r="AD2700" s="24"/>
      <c r="AE2700" s="238" t="s">
        <v>8865</v>
      </c>
      <c r="AF2700">
        <v>79282658880</v>
      </c>
      <c r="AG2700" s="238" t="s">
        <v>8866</v>
      </c>
      <c r="AH2700" s="238" t="s">
        <v>135</v>
      </c>
      <c r="AI2700" s="238" t="s">
        <v>3097</v>
      </c>
      <c r="AJ2700" s="238" t="s">
        <v>4177</v>
      </c>
      <c r="AK2700" s="238" t="s">
        <v>3345</v>
      </c>
      <c r="AL2700" t="s">
        <v>8715</v>
      </c>
      <c r="AM2700" t="s">
        <v>1167</v>
      </c>
    </row>
    <row r="2701" spans="1:39" x14ac:dyDescent="0.25">
      <c r="A2701">
        <v>2698</v>
      </c>
      <c r="B2701">
        <v>13</v>
      </c>
      <c r="C2701" s="24">
        <v>45832</v>
      </c>
      <c r="D2701" s="238" t="s">
        <v>3388</v>
      </c>
      <c r="E2701" s="238" t="s">
        <v>6</v>
      </c>
      <c r="F2701">
        <v>6</v>
      </c>
      <c r="G2701">
        <v>3</v>
      </c>
      <c r="H2701">
        <v>19</v>
      </c>
      <c r="I2701" s="238" t="s">
        <v>43</v>
      </c>
      <c r="J2701">
        <v>58.16</v>
      </c>
      <c r="K2701" s="238" t="s">
        <v>36</v>
      </c>
      <c r="L2701">
        <v>6807093</v>
      </c>
      <c r="M2701">
        <v>0</v>
      </c>
      <c r="N2701">
        <v>6807093</v>
      </c>
      <c r="O2701">
        <v>117040.80123796425</v>
      </c>
      <c r="P2701">
        <v>0</v>
      </c>
      <c r="Q2701">
        <v>6807093</v>
      </c>
      <c r="R2701">
        <v>117040.80123796425</v>
      </c>
      <c r="S2701" s="238" t="s">
        <v>137</v>
      </c>
      <c r="T2701" s="238" t="s">
        <v>8867</v>
      </c>
      <c r="U2701">
        <v>519807</v>
      </c>
      <c r="V2701" t="s">
        <v>4092</v>
      </c>
      <c r="W2701" s="24">
        <v>45818</v>
      </c>
      <c r="X2701" s="238" t="s">
        <v>8868</v>
      </c>
      <c r="Y2701" s="238" t="s">
        <v>39</v>
      </c>
      <c r="Z2701" s="238" t="s">
        <v>1340</v>
      </c>
      <c r="AA2701" t="s">
        <v>3113</v>
      </c>
      <c r="AB2701" s="238" t="s">
        <v>3246</v>
      </c>
      <c r="AC2701" t="s">
        <v>3079</v>
      </c>
      <c r="AD2701" s="24"/>
      <c r="AE2701" s="238" t="s">
        <v>8869</v>
      </c>
      <c r="AF2701">
        <v>79276537068</v>
      </c>
      <c r="AG2701" s="238" t="s">
        <v>8870</v>
      </c>
      <c r="AH2701" s="238" t="s">
        <v>135</v>
      </c>
      <c r="AI2701" s="238" t="s">
        <v>3075</v>
      </c>
      <c r="AJ2701" s="238" t="s">
        <v>4177</v>
      </c>
      <c r="AK2701" s="238" t="s">
        <v>3345</v>
      </c>
      <c r="AL2701" t="s">
        <v>8715</v>
      </c>
      <c r="AM2701" t="s">
        <v>1167</v>
      </c>
    </row>
    <row r="2702" spans="1:39" x14ac:dyDescent="0.25">
      <c r="A2702">
        <v>2699</v>
      </c>
      <c r="B2702">
        <v>14</v>
      </c>
      <c r="C2702" s="24">
        <v>45833</v>
      </c>
      <c r="D2702" s="238" t="s">
        <v>3388</v>
      </c>
      <c r="E2702" s="238" t="s">
        <v>16</v>
      </c>
      <c r="F2702">
        <v>6</v>
      </c>
      <c r="G2702">
        <v>4</v>
      </c>
      <c r="H2702">
        <v>248</v>
      </c>
      <c r="I2702" s="238" t="s">
        <v>44</v>
      </c>
      <c r="J2702">
        <v>80.97</v>
      </c>
      <c r="K2702" s="238" t="s">
        <v>38</v>
      </c>
      <c r="L2702">
        <v>10769010</v>
      </c>
      <c r="M2702">
        <v>0</v>
      </c>
      <c r="N2702">
        <v>10769010</v>
      </c>
      <c r="O2702">
        <v>133000</v>
      </c>
      <c r="P2702">
        <v>2024250</v>
      </c>
      <c r="Q2702">
        <v>8744760</v>
      </c>
      <c r="R2702">
        <v>108000</v>
      </c>
      <c r="S2702" s="238" t="s">
        <v>124</v>
      </c>
      <c r="T2702" s="238" t="s">
        <v>8849</v>
      </c>
      <c r="U2702">
        <v>648340</v>
      </c>
      <c r="V2702" t="s">
        <v>1167</v>
      </c>
      <c r="W2702" s="24">
        <v>45827</v>
      </c>
      <c r="X2702" s="238" t="s">
        <v>8871</v>
      </c>
      <c r="Y2702" s="238" t="s">
        <v>39</v>
      </c>
      <c r="Z2702" s="238" t="s">
        <v>1340</v>
      </c>
      <c r="AA2702" t="s">
        <v>3113</v>
      </c>
      <c r="AB2702" s="238" t="s">
        <v>3246</v>
      </c>
      <c r="AC2702" t="s">
        <v>1167</v>
      </c>
      <c r="AD2702" s="24"/>
      <c r="AE2702" s="238" t="s">
        <v>8872</v>
      </c>
      <c r="AF2702">
        <v>79021546942</v>
      </c>
      <c r="AG2702" s="238" t="s">
        <v>1167</v>
      </c>
      <c r="AH2702" s="238" t="s">
        <v>1212</v>
      </c>
      <c r="AI2702" s="238" t="s">
        <v>3097</v>
      </c>
      <c r="AJ2702" s="238" t="s">
        <v>8380</v>
      </c>
      <c r="AK2702" s="238" t="s">
        <v>1167</v>
      </c>
      <c r="AL2702" t="s">
        <v>8715</v>
      </c>
      <c r="AM2702" t="s">
        <v>1167</v>
      </c>
    </row>
    <row r="2703" spans="1:39" x14ac:dyDescent="0.25">
      <c r="A2703">
        <v>2700</v>
      </c>
      <c r="B2703">
        <v>15</v>
      </c>
      <c r="C2703" s="24">
        <v>45833</v>
      </c>
      <c r="D2703" s="238" t="s">
        <v>3388</v>
      </c>
      <c r="E2703" s="238" t="s">
        <v>6</v>
      </c>
      <c r="F2703">
        <v>5</v>
      </c>
      <c r="G2703">
        <v>11</v>
      </c>
      <c r="H2703">
        <v>74</v>
      </c>
      <c r="I2703" s="238" t="s">
        <v>43</v>
      </c>
      <c r="J2703">
        <v>62.17</v>
      </c>
      <c r="K2703" s="238" t="s">
        <v>36</v>
      </c>
      <c r="L2703">
        <v>7087380</v>
      </c>
      <c r="M2703">
        <v>0</v>
      </c>
      <c r="N2703">
        <v>7087380</v>
      </c>
      <c r="O2703">
        <v>114000</v>
      </c>
      <c r="P2703">
        <v>0</v>
      </c>
      <c r="Q2703">
        <v>7087380</v>
      </c>
      <c r="R2703">
        <v>114000</v>
      </c>
      <c r="S2703" s="238" t="s">
        <v>124</v>
      </c>
      <c r="T2703" s="238" t="s">
        <v>8849</v>
      </c>
      <c r="U2703">
        <v>636820</v>
      </c>
      <c r="V2703" t="s">
        <v>1167</v>
      </c>
      <c r="W2703" s="24">
        <v>45831</v>
      </c>
      <c r="X2703" s="238" t="s">
        <v>8873</v>
      </c>
      <c r="Y2703" s="238" t="s">
        <v>39</v>
      </c>
      <c r="Z2703" s="238" t="s">
        <v>1340</v>
      </c>
      <c r="AA2703" t="s">
        <v>3113</v>
      </c>
      <c r="AB2703" s="238" t="s">
        <v>3246</v>
      </c>
      <c r="AC2703" t="s">
        <v>1167</v>
      </c>
      <c r="AD2703" s="24"/>
      <c r="AE2703" s="238" t="s">
        <v>8874</v>
      </c>
      <c r="AF2703">
        <v>79270056162</v>
      </c>
      <c r="AG2703" s="238" t="s">
        <v>8875</v>
      </c>
      <c r="AH2703" s="238" t="s">
        <v>4072</v>
      </c>
      <c r="AI2703" s="238" t="s">
        <v>7930</v>
      </c>
      <c r="AJ2703" s="238" t="s">
        <v>126</v>
      </c>
      <c r="AK2703" s="238" t="s">
        <v>1167</v>
      </c>
      <c r="AL2703" t="s">
        <v>57</v>
      </c>
      <c r="AM2703" t="s">
        <v>1167</v>
      </c>
    </row>
    <row r="2704" spans="1:39" x14ac:dyDescent="0.25">
      <c r="A2704">
        <v>2701</v>
      </c>
      <c r="B2704">
        <v>16</v>
      </c>
      <c r="C2704" s="24">
        <v>45834</v>
      </c>
      <c r="D2704" s="238" t="s">
        <v>3388</v>
      </c>
      <c r="E2704" s="238" t="s">
        <v>6</v>
      </c>
      <c r="F2704">
        <v>4</v>
      </c>
      <c r="G2704">
        <v>15</v>
      </c>
      <c r="H2704">
        <v>101</v>
      </c>
      <c r="I2704" s="238" t="s">
        <v>43</v>
      </c>
      <c r="J2704">
        <v>59.09</v>
      </c>
      <c r="K2704" s="238" t="s">
        <v>36</v>
      </c>
      <c r="L2704">
        <v>6716398</v>
      </c>
      <c r="M2704">
        <v>0</v>
      </c>
      <c r="N2704">
        <v>6716398</v>
      </c>
      <c r="O2704">
        <v>113663.86867490268</v>
      </c>
      <c r="P2704">
        <v>0</v>
      </c>
      <c r="Q2704">
        <v>6716398</v>
      </c>
      <c r="R2704">
        <v>113663.86867490268</v>
      </c>
      <c r="S2704" s="238" t="s">
        <v>137</v>
      </c>
      <c r="T2704" s="238" t="s">
        <v>8592</v>
      </c>
      <c r="U2704">
        <v>517002</v>
      </c>
      <c r="V2704" t="s">
        <v>4092</v>
      </c>
      <c r="W2704" s="24">
        <v>45827</v>
      </c>
      <c r="X2704" s="238" t="s">
        <v>8876</v>
      </c>
      <c r="Y2704" s="238" t="s">
        <v>39</v>
      </c>
      <c r="Z2704" s="238" t="s">
        <v>1340</v>
      </c>
      <c r="AA2704" t="s">
        <v>3113</v>
      </c>
      <c r="AB2704" s="238" t="s">
        <v>3246</v>
      </c>
      <c r="AC2704" t="s">
        <v>3079</v>
      </c>
      <c r="AD2704" s="24"/>
      <c r="AE2704" s="238" t="s">
        <v>8877</v>
      </c>
      <c r="AF2704">
        <v>79171416787</v>
      </c>
      <c r="AG2704" s="238" t="s">
        <v>1167</v>
      </c>
      <c r="AH2704" s="238" t="s">
        <v>135</v>
      </c>
      <c r="AI2704" s="238" t="s">
        <v>3075</v>
      </c>
      <c r="AJ2704" s="238" t="s">
        <v>8380</v>
      </c>
      <c r="AK2704" s="238" t="s">
        <v>3345</v>
      </c>
      <c r="AL2704" t="s">
        <v>8715</v>
      </c>
      <c r="AM2704" t="s">
        <v>1167</v>
      </c>
    </row>
    <row r="2705" spans="1:39" x14ac:dyDescent="0.25">
      <c r="A2705">
        <v>2702</v>
      </c>
      <c r="B2705">
        <v>17</v>
      </c>
      <c r="C2705" s="24">
        <v>45835</v>
      </c>
      <c r="D2705" s="238" t="s">
        <v>3388</v>
      </c>
      <c r="E2705" s="238" t="s">
        <v>6</v>
      </c>
      <c r="F2705">
        <v>4</v>
      </c>
      <c r="G2705">
        <v>4</v>
      </c>
      <c r="H2705">
        <v>24</v>
      </c>
      <c r="I2705" s="238" t="s">
        <v>43</v>
      </c>
      <c r="J2705">
        <v>59.09</v>
      </c>
      <c r="K2705" s="238" t="s">
        <v>38</v>
      </c>
      <c r="L2705">
        <v>8257600</v>
      </c>
      <c r="M2705">
        <v>15000</v>
      </c>
      <c r="N2705">
        <v>8272600</v>
      </c>
      <c r="O2705">
        <v>140000</v>
      </c>
      <c r="P2705">
        <v>1477250</v>
      </c>
      <c r="Q2705">
        <v>6795350</v>
      </c>
      <c r="R2705">
        <v>115000</v>
      </c>
      <c r="S2705" s="238" t="s">
        <v>137</v>
      </c>
      <c r="T2705" s="238" t="s">
        <v>8849</v>
      </c>
      <c r="U2705">
        <v>507550</v>
      </c>
      <c r="V2705" t="s">
        <v>4092</v>
      </c>
      <c r="W2705" s="24">
        <v>45824</v>
      </c>
      <c r="X2705" s="238" t="s">
        <v>8878</v>
      </c>
      <c r="Y2705" s="238" t="s">
        <v>39</v>
      </c>
      <c r="Z2705" s="238" t="s">
        <v>1340</v>
      </c>
      <c r="AA2705" t="s">
        <v>3113</v>
      </c>
      <c r="AB2705" s="238" t="s">
        <v>3246</v>
      </c>
      <c r="AC2705" t="s">
        <v>3079</v>
      </c>
      <c r="AD2705" s="24"/>
      <c r="AE2705" s="238" t="s">
        <v>8879</v>
      </c>
      <c r="AF2705">
        <v>79370743976</v>
      </c>
      <c r="AG2705" s="238" t="s">
        <v>8880</v>
      </c>
      <c r="AH2705" s="238" t="s">
        <v>4072</v>
      </c>
      <c r="AI2705" s="238" t="s">
        <v>6406</v>
      </c>
      <c r="AJ2705" s="238" t="s">
        <v>5215</v>
      </c>
      <c r="AK2705" s="238" t="s">
        <v>3345</v>
      </c>
      <c r="AL2705" t="s">
        <v>8715</v>
      </c>
      <c r="AM2705" t="s">
        <v>1167</v>
      </c>
    </row>
    <row r="2706" spans="1:39" x14ac:dyDescent="0.25">
      <c r="A2706">
        <v>2703</v>
      </c>
      <c r="B2706">
        <v>18</v>
      </c>
      <c r="C2706" s="24">
        <v>45835</v>
      </c>
      <c r="D2706" s="238" t="s">
        <v>3388</v>
      </c>
      <c r="E2706" s="238" t="s">
        <v>15</v>
      </c>
      <c r="F2706">
        <v>1</v>
      </c>
      <c r="G2706">
        <v>18</v>
      </c>
      <c r="H2706">
        <v>525</v>
      </c>
      <c r="I2706" s="238" t="s">
        <v>4052</v>
      </c>
      <c r="J2706">
        <v>29.4</v>
      </c>
      <c r="K2706" s="238" t="s">
        <v>38</v>
      </c>
      <c r="L2706">
        <v>4576200</v>
      </c>
      <c r="M2706">
        <v>0</v>
      </c>
      <c r="N2706">
        <v>4576200</v>
      </c>
      <c r="O2706">
        <v>155653.06122448979</v>
      </c>
      <c r="P2706">
        <v>735000</v>
      </c>
      <c r="Q2706">
        <v>3841200</v>
      </c>
      <c r="R2706">
        <v>130653.06122448981</v>
      </c>
      <c r="S2706" s="238" t="s">
        <v>137</v>
      </c>
      <c r="T2706" s="238" t="s">
        <v>8837</v>
      </c>
      <c r="U2706">
        <v>235200</v>
      </c>
      <c r="V2706" t="s">
        <v>4092</v>
      </c>
      <c r="W2706" s="24">
        <v>45832</v>
      </c>
      <c r="X2706" s="238" t="s">
        <v>8881</v>
      </c>
      <c r="Y2706" s="238" t="s">
        <v>39</v>
      </c>
      <c r="Z2706" s="238" t="s">
        <v>1340</v>
      </c>
      <c r="AA2706" t="s">
        <v>3113</v>
      </c>
      <c r="AB2706" s="238" t="s">
        <v>3246</v>
      </c>
      <c r="AC2706" t="s">
        <v>3079</v>
      </c>
      <c r="AD2706" s="24"/>
      <c r="AE2706" s="238" t="s">
        <v>8882</v>
      </c>
      <c r="AF2706">
        <v>79277826061</v>
      </c>
      <c r="AG2706" s="238" t="s">
        <v>8883</v>
      </c>
      <c r="AH2706" s="238" t="s">
        <v>4072</v>
      </c>
      <c r="AI2706" s="238" t="s">
        <v>7286</v>
      </c>
      <c r="AJ2706" s="238" t="s">
        <v>4177</v>
      </c>
      <c r="AK2706" s="238" t="s">
        <v>3345</v>
      </c>
      <c r="AL2706" t="s">
        <v>57</v>
      </c>
      <c r="AM2706" t="s">
        <v>1167</v>
      </c>
    </row>
    <row r="2707" spans="1:39" x14ac:dyDescent="0.25">
      <c r="A2707">
        <v>2704</v>
      </c>
      <c r="B2707">
        <v>19</v>
      </c>
      <c r="C2707" s="24">
        <v>45835</v>
      </c>
      <c r="D2707" s="238" t="s">
        <v>3388</v>
      </c>
      <c r="E2707" s="238" t="s">
        <v>6</v>
      </c>
      <c r="F2707">
        <v>6</v>
      </c>
      <c r="G2707">
        <v>13</v>
      </c>
      <c r="H2707">
        <v>89</v>
      </c>
      <c r="I2707" s="238" t="s">
        <v>43</v>
      </c>
      <c r="J2707">
        <v>58.16</v>
      </c>
      <c r="K2707" s="238" t="s">
        <v>6871</v>
      </c>
      <c r="L2707">
        <v>7322248</v>
      </c>
      <c r="M2707">
        <v>0</v>
      </c>
      <c r="N2707">
        <v>7322248</v>
      </c>
      <c r="O2707">
        <v>125898.34938101789</v>
      </c>
      <c r="P2707">
        <v>581600</v>
      </c>
      <c r="Q2707">
        <v>6740648</v>
      </c>
      <c r="R2707">
        <v>115898.34938101789</v>
      </c>
      <c r="S2707" s="238" t="s">
        <v>137</v>
      </c>
      <c r="T2707" s="238" t="s">
        <v>8884</v>
      </c>
      <c r="U2707">
        <v>517752</v>
      </c>
      <c r="V2707" t="s">
        <v>4092</v>
      </c>
      <c r="W2707" s="24">
        <v>45832</v>
      </c>
      <c r="X2707" s="238" t="s">
        <v>8885</v>
      </c>
      <c r="Y2707" s="238" t="s">
        <v>39</v>
      </c>
      <c r="Z2707" s="238" t="s">
        <v>1340</v>
      </c>
      <c r="AA2707" t="s">
        <v>3113</v>
      </c>
      <c r="AB2707" s="238" t="s">
        <v>3246</v>
      </c>
      <c r="AC2707" t="s">
        <v>3079</v>
      </c>
      <c r="AD2707" s="24"/>
      <c r="AE2707" s="238" t="s">
        <v>8886</v>
      </c>
      <c r="AF2707">
        <v>79171646162</v>
      </c>
      <c r="AG2707" s="238" t="s">
        <v>8887</v>
      </c>
      <c r="AH2707" s="238" t="s">
        <v>4072</v>
      </c>
      <c r="AI2707" s="238" t="s">
        <v>6407</v>
      </c>
      <c r="AJ2707" s="238" t="s">
        <v>126</v>
      </c>
      <c r="AK2707" s="238" t="s">
        <v>3345</v>
      </c>
      <c r="AL2707" t="s">
        <v>57</v>
      </c>
      <c r="AM2707" t="s">
        <v>1167</v>
      </c>
    </row>
    <row r="2708" spans="1:39" x14ac:dyDescent="0.25">
      <c r="A2708">
        <v>2705</v>
      </c>
      <c r="B2708">
        <v>20</v>
      </c>
      <c r="C2708" s="24">
        <v>45835</v>
      </c>
      <c r="D2708" s="238" t="s">
        <v>3388</v>
      </c>
      <c r="E2708" s="238" t="s">
        <v>5</v>
      </c>
      <c r="F2708">
        <v>4</v>
      </c>
      <c r="G2708">
        <v>6</v>
      </c>
      <c r="H2708">
        <v>149</v>
      </c>
      <c r="I2708" s="238" t="s">
        <v>43</v>
      </c>
      <c r="J2708">
        <v>58.31</v>
      </c>
      <c r="K2708" s="238" t="s">
        <v>36</v>
      </c>
      <c r="L2708">
        <v>6800000</v>
      </c>
      <c r="M2708">
        <v>0</v>
      </c>
      <c r="N2708">
        <v>6800000</v>
      </c>
      <c r="O2708">
        <v>116618.07580174926</v>
      </c>
      <c r="P2708">
        <v>0</v>
      </c>
      <c r="Q2708">
        <v>6800000</v>
      </c>
      <c r="R2708">
        <v>116618.07580174926</v>
      </c>
      <c r="S2708" s="238" t="s">
        <v>137</v>
      </c>
      <c r="T2708" s="238" t="s">
        <v>321</v>
      </c>
      <c r="U2708">
        <v>548500</v>
      </c>
      <c r="V2708" t="s">
        <v>4623</v>
      </c>
      <c r="W2708" s="24">
        <v>45833</v>
      </c>
      <c r="X2708" s="238" t="s">
        <v>8889</v>
      </c>
      <c r="Y2708" s="238" t="s">
        <v>39</v>
      </c>
      <c r="Z2708" s="238" t="s">
        <v>1340</v>
      </c>
      <c r="AA2708" t="s">
        <v>3113</v>
      </c>
      <c r="AB2708" s="238" t="s">
        <v>3246</v>
      </c>
      <c r="AC2708" t="s">
        <v>3079</v>
      </c>
      <c r="AD2708" s="24"/>
      <c r="AE2708" s="238" t="s">
        <v>8890</v>
      </c>
      <c r="AF2708">
        <v>79171606575</v>
      </c>
      <c r="AG2708" s="238" t="s">
        <v>1167</v>
      </c>
      <c r="AH2708" s="238" t="s">
        <v>4072</v>
      </c>
      <c r="AI2708" s="238" t="s">
        <v>8476</v>
      </c>
      <c r="AJ2708" s="238" t="s">
        <v>8380</v>
      </c>
      <c r="AK2708" s="238" t="s">
        <v>8441</v>
      </c>
      <c r="AL2708" t="s">
        <v>57</v>
      </c>
      <c r="AM2708" t="s">
        <v>1167</v>
      </c>
    </row>
    <row r="2709" spans="1:39" x14ac:dyDescent="0.25">
      <c r="A2709">
        <v>2706</v>
      </c>
      <c r="B2709">
        <v>21</v>
      </c>
      <c r="C2709" s="24">
        <v>45835</v>
      </c>
      <c r="D2709" s="238" t="s">
        <v>3388</v>
      </c>
      <c r="E2709" s="238" t="s">
        <v>6</v>
      </c>
      <c r="F2709">
        <v>7</v>
      </c>
      <c r="G2709">
        <v>14</v>
      </c>
      <c r="H2709">
        <v>97</v>
      </c>
      <c r="I2709" s="238" t="s">
        <v>42</v>
      </c>
      <c r="J2709">
        <v>42.75</v>
      </c>
      <c r="K2709" s="238" t="s">
        <v>6871</v>
      </c>
      <c r="L2709">
        <v>5850700</v>
      </c>
      <c r="M2709">
        <v>0</v>
      </c>
      <c r="N2709">
        <v>5850700</v>
      </c>
      <c r="O2709">
        <v>136858.47953216374</v>
      </c>
      <c r="P2709">
        <v>427500</v>
      </c>
      <c r="Q2709">
        <v>5423200</v>
      </c>
      <c r="R2709">
        <v>126858.47953216374</v>
      </c>
      <c r="S2709" s="238" t="s">
        <v>137</v>
      </c>
      <c r="T2709" s="238" t="s">
        <v>8837</v>
      </c>
      <c r="U2709">
        <v>342000</v>
      </c>
      <c r="V2709" t="s">
        <v>4092</v>
      </c>
      <c r="W2709" s="24">
        <v>45825</v>
      </c>
      <c r="X2709" s="238" t="s">
        <v>8891</v>
      </c>
      <c r="Y2709" s="238" t="s">
        <v>39</v>
      </c>
      <c r="Z2709" s="238" t="s">
        <v>1340</v>
      </c>
      <c r="AA2709" t="s">
        <v>3113</v>
      </c>
      <c r="AB2709" s="238" t="s">
        <v>3246</v>
      </c>
      <c r="AC2709" t="s">
        <v>3079</v>
      </c>
      <c r="AD2709" s="24"/>
      <c r="AE2709" s="238" t="s">
        <v>8892</v>
      </c>
      <c r="AF2709">
        <v>79278147153</v>
      </c>
      <c r="AG2709" s="238" t="s">
        <v>1167</v>
      </c>
      <c r="AH2709" s="238" t="s">
        <v>1212</v>
      </c>
      <c r="AI2709" s="238" t="s">
        <v>3097</v>
      </c>
      <c r="AJ2709" s="238" t="s">
        <v>8893</v>
      </c>
      <c r="AK2709" s="238" t="s">
        <v>3345</v>
      </c>
      <c r="AL2709" t="s">
        <v>8715</v>
      </c>
      <c r="AM2709" t="s">
        <v>1167</v>
      </c>
    </row>
    <row r="2710" spans="1:39" x14ac:dyDescent="0.25">
      <c r="A2710">
        <v>2707</v>
      </c>
      <c r="B2710">
        <v>22</v>
      </c>
      <c r="C2710" s="24">
        <v>45835</v>
      </c>
      <c r="D2710" s="238" t="s">
        <v>3388</v>
      </c>
      <c r="E2710" s="238" t="s">
        <v>16</v>
      </c>
      <c r="F2710">
        <v>2</v>
      </c>
      <c r="G2710">
        <v>21</v>
      </c>
      <c r="H2710">
        <v>363</v>
      </c>
      <c r="I2710" s="238" t="s">
        <v>4052</v>
      </c>
      <c r="J2710">
        <v>24.53</v>
      </c>
      <c r="K2710" s="238" t="s">
        <v>6871</v>
      </c>
      <c r="L2710">
        <v>3753090</v>
      </c>
      <c r="M2710">
        <v>0</v>
      </c>
      <c r="N2710">
        <v>3753090</v>
      </c>
      <c r="O2710">
        <v>153000</v>
      </c>
      <c r="P2710">
        <v>245300</v>
      </c>
      <c r="Q2710">
        <v>3507790</v>
      </c>
      <c r="R2710">
        <v>143000</v>
      </c>
      <c r="S2710" s="238" t="s">
        <v>137</v>
      </c>
      <c r="T2710" s="238" t="s">
        <v>8849</v>
      </c>
      <c r="U2710">
        <v>457010</v>
      </c>
      <c r="V2710" t="s">
        <v>4092</v>
      </c>
      <c r="W2710" s="24">
        <v>45833</v>
      </c>
      <c r="X2710" s="238" t="s">
        <v>8894</v>
      </c>
      <c r="Y2710" s="238" t="s">
        <v>39</v>
      </c>
      <c r="Z2710" s="238" t="s">
        <v>1340</v>
      </c>
      <c r="AA2710" t="s">
        <v>3113</v>
      </c>
      <c r="AB2710" s="238" t="s">
        <v>3246</v>
      </c>
      <c r="AC2710" t="s">
        <v>3079</v>
      </c>
      <c r="AD2710" s="24"/>
      <c r="AE2710" s="238" t="s">
        <v>8895</v>
      </c>
      <c r="AF2710">
        <v>79179559585</v>
      </c>
      <c r="AG2710" s="238" t="s">
        <v>8896</v>
      </c>
      <c r="AH2710" s="238" t="s">
        <v>1171</v>
      </c>
      <c r="AI2710" s="238" t="s">
        <v>135</v>
      </c>
      <c r="AJ2710" s="238" t="s">
        <v>8893</v>
      </c>
      <c r="AK2710" s="238" t="s">
        <v>3345</v>
      </c>
      <c r="AL2710" t="s">
        <v>8715</v>
      </c>
      <c r="AM2710" t="s">
        <v>1167</v>
      </c>
    </row>
    <row r="2711" spans="1:39" x14ac:dyDescent="0.25">
      <c r="A2711">
        <v>2708</v>
      </c>
      <c r="B2711">
        <v>23</v>
      </c>
      <c r="C2711" s="24">
        <v>45836</v>
      </c>
      <c r="D2711" s="238" t="s">
        <v>3388</v>
      </c>
      <c r="E2711" s="238" t="s">
        <v>6</v>
      </c>
      <c r="F2711">
        <v>4</v>
      </c>
      <c r="G2711">
        <v>3</v>
      </c>
      <c r="H2711">
        <v>17</v>
      </c>
      <c r="I2711" s="238" t="s">
        <v>43</v>
      </c>
      <c r="J2711">
        <v>59.09</v>
      </c>
      <c r="K2711" s="238" t="s">
        <v>36</v>
      </c>
      <c r="L2711">
        <v>6795350</v>
      </c>
      <c r="M2711">
        <v>0</v>
      </c>
      <c r="N2711">
        <v>6795350</v>
      </c>
      <c r="O2711">
        <v>115000</v>
      </c>
      <c r="P2711">
        <v>0</v>
      </c>
      <c r="Q2711">
        <v>6795350</v>
      </c>
      <c r="R2711">
        <v>115000</v>
      </c>
      <c r="S2711" s="238" t="s">
        <v>137</v>
      </c>
      <c r="T2711" s="238" t="s">
        <v>8849</v>
      </c>
      <c r="U2711">
        <v>507550</v>
      </c>
      <c r="V2711" t="s">
        <v>4092</v>
      </c>
      <c r="W2711" s="24">
        <v>45827</v>
      </c>
      <c r="X2711" s="238" t="s">
        <v>8897</v>
      </c>
      <c r="Y2711" s="238" t="s">
        <v>39</v>
      </c>
      <c r="Z2711" s="238" t="s">
        <v>1340</v>
      </c>
      <c r="AA2711" t="s">
        <v>3113</v>
      </c>
      <c r="AB2711" s="238" t="s">
        <v>3246</v>
      </c>
      <c r="AC2711" t="s">
        <v>3079</v>
      </c>
      <c r="AD2711" s="24"/>
      <c r="AE2711" s="238" t="s">
        <v>8898</v>
      </c>
      <c r="AF2711">
        <v>79879144814</v>
      </c>
      <c r="AG2711" s="238" t="s">
        <v>8899</v>
      </c>
      <c r="AH2711" s="238" t="s">
        <v>4072</v>
      </c>
      <c r="AI2711" s="238" t="s">
        <v>7930</v>
      </c>
      <c r="AJ2711" s="238" t="s">
        <v>4177</v>
      </c>
      <c r="AK2711" s="238" t="s">
        <v>8441</v>
      </c>
      <c r="AL2711" t="s">
        <v>57</v>
      </c>
      <c r="AM2711" t="s">
        <v>1167</v>
      </c>
    </row>
    <row r="2712" spans="1:39" x14ac:dyDescent="0.25">
      <c r="A2712">
        <v>2709</v>
      </c>
      <c r="B2712">
        <v>24</v>
      </c>
      <c r="C2712" s="24">
        <v>45836</v>
      </c>
      <c r="D2712" s="238" t="s">
        <v>3388</v>
      </c>
      <c r="E2712" s="238" t="s">
        <v>6</v>
      </c>
      <c r="F2712">
        <v>4</v>
      </c>
      <c r="G2712">
        <v>14</v>
      </c>
      <c r="H2712">
        <v>94</v>
      </c>
      <c r="I2712" s="238" t="s">
        <v>43</v>
      </c>
      <c r="J2712">
        <v>59.09</v>
      </c>
      <c r="K2712" s="238" t="s">
        <v>38</v>
      </c>
      <c r="L2712">
        <v>8272600</v>
      </c>
      <c r="M2712">
        <v>0</v>
      </c>
      <c r="N2712">
        <v>8272600</v>
      </c>
      <c r="O2712">
        <v>140000</v>
      </c>
      <c r="P2712">
        <v>1477250</v>
      </c>
      <c r="Q2712">
        <v>6795350</v>
      </c>
      <c r="R2712">
        <v>115000</v>
      </c>
      <c r="S2712" s="238" t="s">
        <v>124</v>
      </c>
      <c r="T2712" s="238" t="s">
        <v>8849</v>
      </c>
      <c r="U2712">
        <v>438050</v>
      </c>
      <c r="V2712" t="s">
        <v>1167</v>
      </c>
      <c r="W2712" s="24">
        <v>45834</v>
      </c>
      <c r="X2712" s="238" t="s">
        <v>8900</v>
      </c>
      <c r="Y2712" s="238" t="s">
        <v>39</v>
      </c>
      <c r="Z2712" s="238" t="s">
        <v>1340</v>
      </c>
      <c r="AA2712" t="s">
        <v>3113</v>
      </c>
      <c r="AB2712" s="238" t="s">
        <v>3246</v>
      </c>
      <c r="AC2712" t="s">
        <v>1167</v>
      </c>
      <c r="AD2712" s="24"/>
      <c r="AE2712" s="238" t="s">
        <v>8901</v>
      </c>
      <c r="AF2712">
        <v>79370605692</v>
      </c>
      <c r="AG2712" s="238" t="s">
        <v>8902</v>
      </c>
      <c r="AH2712" s="238" t="s">
        <v>1212</v>
      </c>
      <c r="AI2712" s="238" t="s">
        <v>135</v>
      </c>
      <c r="AJ2712" s="238" t="s">
        <v>8512</v>
      </c>
      <c r="AK2712" s="238" t="s">
        <v>1167</v>
      </c>
      <c r="AL2712" t="s">
        <v>8715</v>
      </c>
      <c r="AM2712" t="s">
        <v>1167</v>
      </c>
    </row>
    <row r="2713" spans="1:39" hidden="1" x14ac:dyDescent="0.25">
      <c r="A2713">
        <v>2710</v>
      </c>
      <c r="B2713">
        <v>25</v>
      </c>
      <c r="C2713" s="24">
        <v>45838</v>
      </c>
      <c r="D2713" s="238" t="s">
        <v>8060</v>
      </c>
      <c r="E2713" s="238" t="s">
        <v>43</v>
      </c>
      <c r="F2713">
        <v>2</v>
      </c>
      <c r="G2713">
        <v>8</v>
      </c>
      <c r="H2713">
        <v>146</v>
      </c>
      <c r="I2713" s="238" t="s">
        <v>42</v>
      </c>
      <c r="J2713">
        <v>36.630000000000003</v>
      </c>
      <c r="K2713" s="238" t="s">
        <v>36</v>
      </c>
      <c r="L2713">
        <v>4611488</v>
      </c>
      <c r="M2713">
        <v>0</v>
      </c>
      <c r="N2713">
        <v>4611488</v>
      </c>
      <c r="O2713">
        <v>125893.74829374829</v>
      </c>
      <c r="P2713">
        <v>0</v>
      </c>
      <c r="Q2713">
        <v>4611488</v>
      </c>
      <c r="R2713">
        <v>125893.74829374829</v>
      </c>
      <c r="S2713" s="238" t="s">
        <v>124</v>
      </c>
      <c r="T2713" s="238" t="s">
        <v>4360</v>
      </c>
      <c r="U2713">
        <v>94112</v>
      </c>
      <c r="V2713" t="s">
        <v>1167</v>
      </c>
      <c r="W2713" s="24">
        <v>45832</v>
      </c>
      <c r="X2713" s="238" t="s">
        <v>8903</v>
      </c>
      <c r="Y2713" s="238" t="s">
        <v>39</v>
      </c>
      <c r="Z2713" s="238" t="s">
        <v>1340</v>
      </c>
      <c r="AA2713" t="s">
        <v>3113</v>
      </c>
      <c r="AB2713" s="238" t="s">
        <v>3246</v>
      </c>
      <c r="AC2713" t="s">
        <v>1167</v>
      </c>
      <c r="AD2713" s="24"/>
      <c r="AE2713" s="238" t="s">
        <v>8463</v>
      </c>
      <c r="AF2713">
        <v>79179411292</v>
      </c>
      <c r="AG2713" s="238" t="s">
        <v>8464</v>
      </c>
      <c r="AH2713" s="238" t="s">
        <v>4072</v>
      </c>
      <c r="AI2713" s="238" t="s">
        <v>7930</v>
      </c>
      <c r="AJ2713" s="238" t="s">
        <v>8893</v>
      </c>
      <c r="AK2713" s="238" t="s">
        <v>1167</v>
      </c>
      <c r="AL2713" t="s">
        <v>57</v>
      </c>
      <c r="AM2713" t="s">
        <v>1167</v>
      </c>
    </row>
    <row r="2714" spans="1:39" x14ac:dyDescent="0.25">
      <c r="A2714">
        <v>2711</v>
      </c>
      <c r="B2714">
        <v>26</v>
      </c>
      <c r="C2714" s="24">
        <v>45838</v>
      </c>
      <c r="D2714" s="238" t="s">
        <v>3388</v>
      </c>
      <c r="E2714" s="238" t="s">
        <v>5</v>
      </c>
      <c r="F2714">
        <v>6</v>
      </c>
      <c r="G2714">
        <v>11</v>
      </c>
      <c r="H2714">
        <v>186</v>
      </c>
      <c r="I2714" s="238" t="s">
        <v>44</v>
      </c>
      <c r="J2714">
        <v>84.99</v>
      </c>
      <c r="K2714" s="238" t="s">
        <v>36</v>
      </c>
      <c r="L2714">
        <v>8500000</v>
      </c>
      <c r="M2714">
        <v>0</v>
      </c>
      <c r="N2714">
        <v>8500000</v>
      </c>
      <c r="O2714">
        <v>100011.76609012825</v>
      </c>
      <c r="P2714">
        <v>0</v>
      </c>
      <c r="Q2714">
        <v>8500000</v>
      </c>
      <c r="R2714">
        <v>100011.76609012825</v>
      </c>
      <c r="S2714" s="238" t="s">
        <v>137</v>
      </c>
      <c r="T2714" s="238" t="s">
        <v>8888</v>
      </c>
      <c r="U2714">
        <v>936800</v>
      </c>
      <c r="V2714" t="s">
        <v>4092</v>
      </c>
      <c r="W2714" s="24">
        <v>45833</v>
      </c>
      <c r="X2714" s="238" t="s">
        <v>8904</v>
      </c>
      <c r="Y2714" s="238" t="s">
        <v>39</v>
      </c>
      <c r="Z2714" s="238" t="s">
        <v>1340</v>
      </c>
      <c r="AA2714" t="s">
        <v>3113</v>
      </c>
      <c r="AB2714" s="238" t="s">
        <v>3246</v>
      </c>
      <c r="AC2714" t="s">
        <v>3079</v>
      </c>
      <c r="AD2714" s="24"/>
      <c r="AE2714" s="238" t="s">
        <v>8905</v>
      </c>
      <c r="AF2714">
        <v>79991700670</v>
      </c>
      <c r="AG2714" s="238" t="s">
        <v>1167</v>
      </c>
      <c r="AH2714" s="238" t="s">
        <v>135</v>
      </c>
      <c r="AI2714" s="238" t="s">
        <v>3075</v>
      </c>
      <c r="AJ2714" s="238" t="s">
        <v>8380</v>
      </c>
      <c r="AK2714" s="238" t="s">
        <v>8441</v>
      </c>
      <c r="AL2714" t="s">
        <v>8715</v>
      </c>
      <c r="AM2714" t="s">
        <v>1167</v>
      </c>
    </row>
    <row r="2715" spans="1:39" x14ac:dyDescent="0.25">
      <c r="A2715">
        <v>2712</v>
      </c>
      <c r="B2715">
        <v>27</v>
      </c>
      <c r="C2715" s="24">
        <v>45838</v>
      </c>
      <c r="D2715" s="238" t="s">
        <v>3388</v>
      </c>
      <c r="E2715" s="238" t="s">
        <v>16</v>
      </c>
      <c r="F2715">
        <v>2</v>
      </c>
      <c r="G2715">
        <v>9</v>
      </c>
      <c r="H2715">
        <v>279</v>
      </c>
      <c r="I2715" s="238" t="s">
        <v>4052</v>
      </c>
      <c r="J2715">
        <v>24.53</v>
      </c>
      <c r="K2715" s="238" t="s">
        <v>38</v>
      </c>
      <c r="L2715">
        <v>4121040</v>
      </c>
      <c r="M2715">
        <v>0</v>
      </c>
      <c r="N2715">
        <v>4121040</v>
      </c>
      <c r="O2715">
        <v>168000</v>
      </c>
      <c r="P2715">
        <v>613250</v>
      </c>
      <c r="Q2715">
        <v>3507790</v>
      </c>
      <c r="R2715">
        <v>143000</v>
      </c>
      <c r="S2715" s="238" t="s">
        <v>137</v>
      </c>
      <c r="T2715" s="238" t="s">
        <v>8849</v>
      </c>
      <c r="U2715">
        <v>249410</v>
      </c>
      <c r="V2715" t="s">
        <v>4092</v>
      </c>
      <c r="W2715" s="24">
        <v>45833</v>
      </c>
      <c r="X2715" s="238" t="s">
        <v>8906</v>
      </c>
      <c r="Y2715" s="238" t="s">
        <v>39</v>
      </c>
      <c r="Z2715" s="238" t="s">
        <v>1340</v>
      </c>
      <c r="AA2715" t="s">
        <v>3113</v>
      </c>
      <c r="AB2715" s="238" t="s">
        <v>3246</v>
      </c>
      <c r="AC2715" t="s">
        <v>3079</v>
      </c>
      <c r="AD2715" s="24"/>
      <c r="AE2715" s="238" t="s">
        <v>8907</v>
      </c>
      <c r="AF2715">
        <v>79276012551</v>
      </c>
      <c r="AG2715" s="238" t="s">
        <v>8908</v>
      </c>
      <c r="AH2715" s="238" t="s">
        <v>135</v>
      </c>
      <c r="AI2715" s="238" t="s">
        <v>3075</v>
      </c>
      <c r="AJ2715" s="238" t="s">
        <v>126</v>
      </c>
      <c r="AK2715" s="238" t="s">
        <v>3345</v>
      </c>
      <c r="AL2715" t="s">
        <v>8715</v>
      </c>
      <c r="AM2715" t="s">
        <v>1167</v>
      </c>
    </row>
    <row r="2716" spans="1:39" hidden="1" x14ac:dyDescent="0.25">
      <c r="A2716">
        <v>2713</v>
      </c>
      <c r="B2716">
        <v>1</v>
      </c>
      <c r="C2716" s="24">
        <v>45839</v>
      </c>
      <c r="D2716" s="238" t="s">
        <v>8060</v>
      </c>
      <c r="E2716" s="238" t="s">
        <v>42</v>
      </c>
      <c r="F2716">
        <v>6</v>
      </c>
      <c r="G2716">
        <v>15</v>
      </c>
      <c r="H2716">
        <v>84</v>
      </c>
      <c r="I2716" s="238" t="s">
        <v>42</v>
      </c>
      <c r="J2716">
        <v>44.9</v>
      </c>
      <c r="K2716" s="238" t="s">
        <v>36</v>
      </c>
      <c r="L2716" s="12">
        <v>5596976</v>
      </c>
      <c r="M2716">
        <v>0</v>
      </c>
      <c r="N2716">
        <v>5596976</v>
      </c>
      <c r="O2716">
        <v>124654.25389755011</v>
      </c>
      <c r="P2716">
        <v>0</v>
      </c>
      <c r="Q2716" s="12">
        <v>5596976</v>
      </c>
      <c r="R2716">
        <v>124654.25389755011</v>
      </c>
      <c r="S2716" s="238" t="s">
        <v>124</v>
      </c>
      <c r="T2716" s="238" t="s">
        <v>4360</v>
      </c>
      <c r="U2716">
        <v>114223.99999999907</v>
      </c>
      <c r="V2716" t="s">
        <v>1167</v>
      </c>
      <c r="W2716" s="24">
        <v>45838</v>
      </c>
      <c r="X2716" s="238" t="s">
        <v>8909</v>
      </c>
      <c r="Y2716" s="238" t="s">
        <v>39</v>
      </c>
      <c r="Z2716" s="238" t="s">
        <v>1340</v>
      </c>
      <c r="AA2716" t="s">
        <v>3113</v>
      </c>
      <c r="AB2716" s="238" t="s">
        <v>3246</v>
      </c>
      <c r="AC2716" t="s">
        <v>1167</v>
      </c>
      <c r="AD2716" s="24"/>
      <c r="AE2716" s="238" t="s">
        <v>8463</v>
      </c>
      <c r="AF2716">
        <v>79171447745</v>
      </c>
      <c r="AG2716" s="238" t="s">
        <v>8464</v>
      </c>
      <c r="AH2716" s="238" t="s">
        <v>4072</v>
      </c>
      <c r="AI2716" s="238" t="s">
        <v>7930</v>
      </c>
      <c r="AJ2716" s="238" t="s">
        <v>4177</v>
      </c>
      <c r="AK2716" s="238" t="s">
        <v>1167</v>
      </c>
      <c r="AL2716" t="s">
        <v>57</v>
      </c>
      <c r="AM2716" t="s">
        <v>1167</v>
      </c>
    </row>
    <row r="2717" spans="1:39" hidden="1" x14ac:dyDescent="0.25">
      <c r="A2717">
        <v>2714</v>
      </c>
      <c r="B2717">
        <v>2</v>
      </c>
      <c r="C2717" s="24">
        <v>45847</v>
      </c>
      <c r="D2717" s="238" t="s">
        <v>7562</v>
      </c>
      <c r="E2717" s="238" t="s">
        <v>42</v>
      </c>
      <c r="F2717">
        <v>3</v>
      </c>
      <c r="G2717">
        <v>1</v>
      </c>
      <c r="H2717">
        <v>3</v>
      </c>
      <c r="I2717" s="238" t="s">
        <v>3946</v>
      </c>
      <c r="J2717">
        <v>40.89</v>
      </c>
      <c r="K2717" s="238" t="s">
        <v>36</v>
      </c>
      <c r="L2717" s="12">
        <v>5724600</v>
      </c>
      <c r="M2717">
        <v>0</v>
      </c>
      <c r="N2717">
        <v>5724600</v>
      </c>
      <c r="O2717">
        <v>140000</v>
      </c>
      <c r="P2717">
        <v>0</v>
      </c>
      <c r="Q2717" s="12">
        <v>5724600</v>
      </c>
      <c r="R2717">
        <v>140000</v>
      </c>
      <c r="S2717" s="238" t="s">
        <v>124</v>
      </c>
      <c r="T2717" s="238" t="s">
        <v>1167</v>
      </c>
      <c r="V2717" t="s">
        <v>1167</v>
      </c>
      <c r="W2717" s="24">
        <v>45845</v>
      </c>
      <c r="X2717" s="238" t="s">
        <v>8912</v>
      </c>
      <c r="Y2717" s="238" t="s">
        <v>3946</v>
      </c>
      <c r="Z2717" s="238" t="s">
        <v>1340</v>
      </c>
      <c r="AA2717" t="s">
        <v>3474</v>
      </c>
      <c r="AB2717" s="238" t="s">
        <v>3246</v>
      </c>
      <c r="AC2717" t="s">
        <v>1167</v>
      </c>
      <c r="AD2717" s="24"/>
      <c r="AE2717" s="238" t="s">
        <v>8913</v>
      </c>
      <c r="AF2717">
        <v>79272051786</v>
      </c>
      <c r="AG2717" s="238" t="s">
        <v>8914</v>
      </c>
      <c r="AH2717" s="238" t="s">
        <v>1212</v>
      </c>
      <c r="AI2717" s="238" t="s">
        <v>3103</v>
      </c>
      <c r="AJ2717" s="238" t="s">
        <v>8380</v>
      </c>
      <c r="AK2717" s="238" t="s">
        <v>1167</v>
      </c>
      <c r="AL2717" t="s">
        <v>8715</v>
      </c>
      <c r="AM2717" t="s">
        <v>1167</v>
      </c>
    </row>
    <row r="2718" spans="1:39" hidden="1" x14ac:dyDescent="0.25">
      <c r="A2718">
        <v>2715</v>
      </c>
      <c r="B2718">
        <v>3</v>
      </c>
      <c r="C2718" s="24">
        <v>45847</v>
      </c>
      <c r="D2718" s="238" t="s">
        <v>8060</v>
      </c>
      <c r="E2718" s="238" t="s">
        <v>42</v>
      </c>
      <c r="F2718">
        <v>6</v>
      </c>
      <c r="G2718">
        <v>7</v>
      </c>
      <c r="H2718">
        <v>36</v>
      </c>
      <c r="I2718" s="238" t="s">
        <v>42</v>
      </c>
      <c r="J2718">
        <v>45.26</v>
      </c>
      <c r="K2718" s="238" t="s">
        <v>38</v>
      </c>
      <c r="L2718" s="12">
        <v>6773360</v>
      </c>
      <c r="M2718">
        <v>0</v>
      </c>
      <c r="N2718">
        <v>6773360</v>
      </c>
      <c r="O2718">
        <v>149654.44100751216</v>
      </c>
      <c r="P2718">
        <v>1131500</v>
      </c>
      <c r="Q2718" s="12">
        <v>5641860</v>
      </c>
      <c r="R2718">
        <v>124654.44100751216</v>
      </c>
      <c r="S2718" s="238" t="s">
        <v>124</v>
      </c>
      <c r="T2718" s="238" t="s">
        <v>3540</v>
      </c>
      <c r="U2718">
        <v>115140</v>
      </c>
      <c r="V2718" t="s">
        <v>1167</v>
      </c>
      <c r="W2718" s="24">
        <v>45846</v>
      </c>
      <c r="X2718" s="238" t="s">
        <v>8915</v>
      </c>
      <c r="Y2718" s="238" t="s">
        <v>39</v>
      </c>
      <c r="Z2718" s="238" t="s">
        <v>1340</v>
      </c>
      <c r="AA2718" t="s">
        <v>3474</v>
      </c>
      <c r="AB2718" s="238" t="s">
        <v>3246</v>
      </c>
      <c r="AC2718" t="s">
        <v>1167</v>
      </c>
      <c r="AD2718" s="24"/>
      <c r="AE2718" s="238" t="s">
        <v>8916</v>
      </c>
      <c r="AF2718">
        <v>79834621825</v>
      </c>
      <c r="AG2718" s="238" t="s">
        <v>8917</v>
      </c>
      <c r="AH2718" s="238" t="s">
        <v>135</v>
      </c>
      <c r="AI2718" s="238" t="s">
        <v>135</v>
      </c>
      <c r="AJ2718" s="238" t="s">
        <v>4177</v>
      </c>
      <c r="AK2718" s="238" t="s">
        <v>1167</v>
      </c>
      <c r="AL2718" t="s">
        <v>8715</v>
      </c>
      <c r="AM2718" t="s">
        <v>1167</v>
      </c>
    </row>
    <row r="2719" spans="1:39" hidden="1" x14ac:dyDescent="0.25">
      <c r="A2719">
        <v>2716</v>
      </c>
      <c r="B2719">
        <v>4</v>
      </c>
      <c r="C2719" s="24">
        <v>45848</v>
      </c>
      <c r="D2719" s="238" t="s">
        <v>7562</v>
      </c>
      <c r="E2719" s="238" t="s">
        <v>42</v>
      </c>
      <c r="F2719">
        <v>3</v>
      </c>
      <c r="G2719">
        <v>6</v>
      </c>
      <c r="H2719">
        <v>19</v>
      </c>
      <c r="I2719" s="238" t="s">
        <v>43</v>
      </c>
      <c r="J2719">
        <v>51.79</v>
      </c>
      <c r="K2719" s="238" t="s">
        <v>36</v>
      </c>
      <c r="L2719" s="12">
        <v>6661378</v>
      </c>
      <c r="M2719">
        <v>0</v>
      </c>
      <c r="N2719">
        <v>6661378</v>
      </c>
      <c r="O2719">
        <v>128622.861556285</v>
      </c>
      <c r="P2719">
        <v>0</v>
      </c>
      <c r="Q2719" s="12">
        <v>6661378</v>
      </c>
      <c r="R2719">
        <v>128622.861556285</v>
      </c>
      <c r="S2719" s="238" t="s">
        <v>124</v>
      </c>
      <c r="T2719" s="238" t="s">
        <v>8918</v>
      </c>
      <c r="U2719">
        <v>206022.00000000093</v>
      </c>
      <c r="V2719" t="s">
        <v>1167</v>
      </c>
      <c r="W2719" s="24">
        <v>45847</v>
      </c>
      <c r="X2719" s="238" t="s">
        <v>8919</v>
      </c>
      <c r="Y2719" s="238" t="s">
        <v>39</v>
      </c>
      <c r="Z2719" s="238" t="s">
        <v>1340</v>
      </c>
      <c r="AA2719" t="s">
        <v>3113</v>
      </c>
      <c r="AB2719" s="238" t="s">
        <v>3246</v>
      </c>
      <c r="AC2719" t="s">
        <v>1167</v>
      </c>
      <c r="AD2719" s="24"/>
      <c r="AE2719" s="238" t="s">
        <v>8920</v>
      </c>
      <c r="AF2719">
        <v>79879496117</v>
      </c>
      <c r="AG2719" s="238" t="s">
        <v>8921</v>
      </c>
      <c r="AH2719" s="238" t="s">
        <v>4072</v>
      </c>
      <c r="AI2719" s="238" t="s">
        <v>7930</v>
      </c>
      <c r="AJ2719" s="238" t="s">
        <v>5215</v>
      </c>
      <c r="AK2719" s="238" t="s">
        <v>1167</v>
      </c>
      <c r="AL2719" t="s">
        <v>57</v>
      </c>
      <c r="AM2719" t="s">
        <v>1167</v>
      </c>
    </row>
    <row r="2720" spans="1:39" hidden="1" x14ac:dyDescent="0.25">
      <c r="A2720">
        <v>2717</v>
      </c>
      <c r="B2720">
        <v>5</v>
      </c>
      <c r="C2720" s="24">
        <v>45850</v>
      </c>
      <c r="D2720" s="238" t="s">
        <v>7562</v>
      </c>
      <c r="E2720" s="238" t="s">
        <v>43</v>
      </c>
      <c r="F2720">
        <v>5</v>
      </c>
      <c r="G2720">
        <v>3</v>
      </c>
      <c r="H2720">
        <v>66</v>
      </c>
      <c r="I2720" s="238" t="s">
        <v>43</v>
      </c>
      <c r="J2720">
        <v>49.2</v>
      </c>
      <c r="K2720" s="238" t="s">
        <v>36</v>
      </c>
      <c r="L2720" s="12">
        <v>6268080</v>
      </c>
      <c r="M2720">
        <v>0</v>
      </c>
      <c r="N2720">
        <v>6268080</v>
      </c>
      <c r="O2720">
        <v>127399.99999999999</v>
      </c>
      <c r="P2720">
        <v>0</v>
      </c>
      <c r="Q2720" s="12">
        <v>6268080</v>
      </c>
      <c r="R2720">
        <v>127399.99999999999</v>
      </c>
      <c r="S2720" s="238" t="s">
        <v>137</v>
      </c>
      <c r="T2720" s="238" t="s">
        <v>3540</v>
      </c>
      <c r="U2720">
        <v>127920</v>
      </c>
      <c r="V2720" t="s">
        <v>4092</v>
      </c>
      <c r="W2720" s="24">
        <v>45841</v>
      </c>
      <c r="X2720" s="238" t="s">
        <v>8525</v>
      </c>
      <c r="Y2720" s="238" t="s">
        <v>39</v>
      </c>
      <c r="Z2720" s="238" t="s">
        <v>1340</v>
      </c>
      <c r="AA2720" t="s">
        <v>3113</v>
      </c>
      <c r="AB2720" s="238" t="s">
        <v>3246</v>
      </c>
      <c r="AC2720" t="s">
        <v>3079</v>
      </c>
      <c r="AD2720" s="24"/>
      <c r="AE2720" s="238" t="s">
        <v>8924</v>
      </c>
      <c r="AF2720">
        <v>79278309376</v>
      </c>
      <c r="AG2720" s="238" t="s">
        <v>8925</v>
      </c>
      <c r="AH2720" s="238" t="s">
        <v>1212</v>
      </c>
      <c r="AI2720" s="238" t="s">
        <v>3103</v>
      </c>
      <c r="AJ2720" s="238" t="s">
        <v>5215</v>
      </c>
      <c r="AK2720" s="238" t="s">
        <v>8441</v>
      </c>
      <c r="AL2720" t="s">
        <v>8715</v>
      </c>
      <c r="AM2720" t="s">
        <v>1167</v>
      </c>
    </row>
    <row r="2721" spans="1:39" hidden="1" x14ac:dyDescent="0.25">
      <c r="A2721">
        <v>2718</v>
      </c>
      <c r="B2721">
        <v>6</v>
      </c>
      <c r="C2721" s="24">
        <v>45852</v>
      </c>
      <c r="D2721" s="238" t="s">
        <v>8060</v>
      </c>
      <c r="E2721" s="238" t="s">
        <v>44</v>
      </c>
      <c r="F2721">
        <v>2</v>
      </c>
      <c r="G2721">
        <v>13</v>
      </c>
      <c r="H2721">
        <v>248</v>
      </c>
      <c r="I2721" s="238" t="s">
        <v>42</v>
      </c>
      <c r="J2721">
        <v>36.549999999999997</v>
      </c>
      <c r="K2721" s="238" t="s">
        <v>38</v>
      </c>
      <c r="L2721" s="12">
        <v>5636462</v>
      </c>
      <c r="M2721">
        <v>15000</v>
      </c>
      <c r="N2721">
        <v>5651462</v>
      </c>
      <c r="O2721">
        <v>154622.7633378933</v>
      </c>
      <c r="P2721">
        <v>913749.99999999988</v>
      </c>
      <c r="Q2721" s="12">
        <v>4737712</v>
      </c>
      <c r="R2721">
        <v>129622.76333789331</v>
      </c>
      <c r="S2721" s="238" t="s">
        <v>124</v>
      </c>
      <c r="T2721" s="238" t="s">
        <v>3540</v>
      </c>
      <c r="U2721">
        <v>96688</v>
      </c>
      <c r="V2721" t="s">
        <v>1167</v>
      </c>
      <c r="W2721" s="24">
        <v>45852</v>
      </c>
      <c r="X2721" s="238" t="s">
        <v>8926</v>
      </c>
      <c r="Y2721" s="238" t="s">
        <v>39</v>
      </c>
      <c r="Z2721" s="238" t="s">
        <v>1340</v>
      </c>
      <c r="AA2721" t="s">
        <v>3113</v>
      </c>
      <c r="AB2721" s="238" t="s">
        <v>3246</v>
      </c>
      <c r="AC2721" t="s">
        <v>1167</v>
      </c>
      <c r="AD2721" s="24"/>
      <c r="AE2721" s="238" t="s">
        <v>8927</v>
      </c>
      <c r="AF2721">
        <v>79639158682</v>
      </c>
      <c r="AG2721" s="238" t="s">
        <v>8928</v>
      </c>
      <c r="AH2721" s="238" t="s">
        <v>1212</v>
      </c>
      <c r="AI2721" s="238" t="s">
        <v>3103</v>
      </c>
      <c r="AJ2721" s="238" t="s">
        <v>8893</v>
      </c>
      <c r="AK2721" s="238" t="s">
        <v>3345</v>
      </c>
      <c r="AL2721" t="s">
        <v>8715</v>
      </c>
      <c r="AM2721" t="s">
        <v>1167</v>
      </c>
    </row>
    <row r="2722" spans="1:39" s="245" customFormat="1" hidden="1" x14ac:dyDescent="0.25">
      <c r="A2722" s="245">
        <v>2719</v>
      </c>
      <c r="B2722" s="245">
        <v>7</v>
      </c>
      <c r="C2722" s="678">
        <v>45853</v>
      </c>
      <c r="D2722" s="679" t="s">
        <v>8060</v>
      </c>
      <c r="E2722" s="679" t="s">
        <v>43</v>
      </c>
      <c r="F2722" s="245">
        <v>2</v>
      </c>
      <c r="G2722" s="245">
        <v>9</v>
      </c>
      <c r="H2722" s="245">
        <v>152</v>
      </c>
      <c r="I2722" s="679" t="s">
        <v>42</v>
      </c>
      <c r="J2722" s="245">
        <v>36.630000000000003</v>
      </c>
      <c r="K2722" s="679" t="s">
        <v>38</v>
      </c>
      <c r="L2722" s="246">
        <v>5527238</v>
      </c>
      <c r="M2722">
        <v>0</v>
      </c>
      <c r="N2722">
        <v>5527238</v>
      </c>
      <c r="O2722">
        <v>150893.74829374827</v>
      </c>
      <c r="P2722">
        <v>915750.00000000012</v>
      </c>
      <c r="Q2722" s="246">
        <v>4611488</v>
      </c>
      <c r="R2722" s="677">
        <v>125893.74829374829</v>
      </c>
      <c r="S2722" s="679" t="s">
        <v>137</v>
      </c>
      <c r="T2722" s="679" t="s">
        <v>8934</v>
      </c>
      <c r="U2722" s="245">
        <v>94112</v>
      </c>
      <c r="V2722" s="245" t="s">
        <v>4092</v>
      </c>
      <c r="W2722" s="678">
        <v>45853</v>
      </c>
      <c r="X2722" s="679" t="s">
        <v>8935</v>
      </c>
      <c r="Y2722" s="679" t="s">
        <v>39</v>
      </c>
      <c r="Z2722" s="679" t="s">
        <v>1340</v>
      </c>
      <c r="AA2722" s="245" t="s">
        <v>3113</v>
      </c>
      <c r="AB2722" s="679" t="s">
        <v>3246</v>
      </c>
      <c r="AC2722" s="245" t="s">
        <v>3079</v>
      </c>
      <c r="AD2722" s="678"/>
      <c r="AE2722" s="679" t="s">
        <v>8936</v>
      </c>
      <c r="AF2722" s="245">
        <v>79588407026</v>
      </c>
      <c r="AG2722" s="679" t="s">
        <v>8937</v>
      </c>
      <c r="AH2722" s="679" t="s">
        <v>135</v>
      </c>
      <c r="AI2722" s="679" t="s">
        <v>3075</v>
      </c>
      <c r="AJ2722" s="679" t="s">
        <v>8893</v>
      </c>
      <c r="AK2722" s="679" t="s">
        <v>8441</v>
      </c>
      <c r="AL2722" s="245" t="s">
        <v>8715</v>
      </c>
      <c r="AM2722" s="245" t="s">
        <v>1167</v>
      </c>
    </row>
    <row r="2723" spans="1:39" hidden="1" x14ac:dyDescent="0.25">
      <c r="A2723">
        <v>2720</v>
      </c>
      <c r="B2723">
        <v>8</v>
      </c>
      <c r="C2723" s="24">
        <v>45856</v>
      </c>
      <c r="D2723" s="238" t="s">
        <v>7562</v>
      </c>
      <c r="E2723" s="238" t="s">
        <v>42</v>
      </c>
      <c r="F2723">
        <v>3</v>
      </c>
      <c r="G2723">
        <v>7</v>
      </c>
      <c r="H2723">
        <v>23</v>
      </c>
      <c r="I2723" s="238" t="s">
        <v>43</v>
      </c>
      <c r="J2723">
        <v>51.79</v>
      </c>
      <c r="K2723" s="238" t="s">
        <v>36</v>
      </c>
      <c r="L2723">
        <v>6583046</v>
      </c>
      <c r="M2723">
        <v>15000</v>
      </c>
      <c r="N2723">
        <v>6598046</v>
      </c>
      <c r="O2723">
        <v>127400</v>
      </c>
      <c r="P2723">
        <v>0</v>
      </c>
      <c r="Q2723">
        <v>6598046</v>
      </c>
      <c r="R2723">
        <v>127400</v>
      </c>
      <c r="S2723" s="238" t="s">
        <v>137</v>
      </c>
      <c r="T2723" s="238" t="s">
        <v>3540</v>
      </c>
      <c r="U2723">
        <v>134654</v>
      </c>
      <c r="V2723" t="s">
        <v>4092</v>
      </c>
      <c r="W2723" s="24">
        <v>45848</v>
      </c>
      <c r="X2723" s="238" t="s">
        <v>8940</v>
      </c>
      <c r="Y2723" s="238" t="s">
        <v>39</v>
      </c>
      <c r="Z2723" s="238" t="s">
        <v>1340</v>
      </c>
      <c r="AA2723" t="s">
        <v>3113</v>
      </c>
      <c r="AB2723" s="238" t="s">
        <v>3246</v>
      </c>
      <c r="AC2723" t="s">
        <v>3079</v>
      </c>
      <c r="AD2723" s="24"/>
      <c r="AE2723" s="238" t="s">
        <v>8941</v>
      </c>
      <c r="AF2723">
        <v>79296149363</v>
      </c>
      <c r="AG2723" s="238" t="s">
        <v>8942</v>
      </c>
      <c r="AH2723" s="238" t="s">
        <v>1212</v>
      </c>
      <c r="AI2723" s="238" t="s">
        <v>3514</v>
      </c>
      <c r="AJ2723" s="238" t="s">
        <v>8512</v>
      </c>
      <c r="AK2723" s="238" t="s">
        <v>8441</v>
      </c>
      <c r="AL2723" t="s">
        <v>8715</v>
      </c>
      <c r="AM2723" t="s">
        <v>1167</v>
      </c>
    </row>
    <row r="2724" spans="1:39" x14ac:dyDescent="0.25">
      <c r="A2724">
        <v>2721</v>
      </c>
      <c r="B2724">
        <v>9</v>
      </c>
      <c r="C2724" s="24">
        <v>45863</v>
      </c>
      <c r="D2724" s="238" t="s">
        <v>3388</v>
      </c>
      <c r="E2724" s="238" t="s">
        <v>6</v>
      </c>
      <c r="F2724">
        <v>2</v>
      </c>
      <c r="G2724">
        <v>12</v>
      </c>
      <c r="H2724">
        <v>78</v>
      </c>
      <c r="I2724" s="238" t="s">
        <v>43</v>
      </c>
      <c r="J2724">
        <v>68.3</v>
      </c>
      <c r="K2724" s="238" t="s">
        <v>36</v>
      </c>
      <c r="L2724">
        <v>7639256</v>
      </c>
      <c r="M2724">
        <v>0</v>
      </c>
      <c r="N2724">
        <v>7639256</v>
      </c>
      <c r="O2724">
        <v>111848.5505124451</v>
      </c>
      <c r="P2724">
        <v>0</v>
      </c>
      <c r="Q2724">
        <v>7639256</v>
      </c>
      <c r="R2724">
        <v>111848.5505124451</v>
      </c>
      <c r="S2724" s="238" t="s">
        <v>124</v>
      </c>
      <c r="T2724" s="238" t="s">
        <v>8980</v>
      </c>
      <c r="U2724">
        <v>545544</v>
      </c>
      <c r="V2724" t="s">
        <v>1167</v>
      </c>
      <c r="W2724" s="24">
        <v>45851</v>
      </c>
      <c r="X2724" s="238" t="s">
        <v>8981</v>
      </c>
      <c r="Y2724" s="238" t="s">
        <v>39</v>
      </c>
      <c r="Z2724" s="238" t="s">
        <v>1168</v>
      </c>
      <c r="AA2724" t="s">
        <v>1167</v>
      </c>
      <c r="AB2724" s="238" t="s">
        <v>8856</v>
      </c>
      <c r="AC2724" t="s">
        <v>1167</v>
      </c>
      <c r="AD2724" s="24"/>
      <c r="AE2724" s="238" t="s">
        <v>8982</v>
      </c>
      <c r="AF2724">
        <v>79372440164</v>
      </c>
      <c r="AG2724" s="238" t="s">
        <v>8983</v>
      </c>
      <c r="AH2724" s="238" t="s">
        <v>4072</v>
      </c>
      <c r="AI2724" s="238" t="s">
        <v>9003</v>
      </c>
      <c r="AJ2724" s="238" t="s">
        <v>8380</v>
      </c>
      <c r="AK2724" s="238" t="s">
        <v>1167</v>
      </c>
      <c r="AL2724" t="s">
        <v>57</v>
      </c>
      <c r="AM2724" t="s">
        <v>8857</v>
      </c>
    </row>
    <row r="2725" spans="1:39" x14ac:dyDescent="0.25">
      <c r="A2725">
        <v>2722</v>
      </c>
      <c r="B2725">
        <v>10</v>
      </c>
      <c r="C2725" s="24">
        <v>45863</v>
      </c>
      <c r="D2725" s="238" t="s">
        <v>3388</v>
      </c>
      <c r="E2725" s="238" t="s">
        <v>16</v>
      </c>
      <c r="F2725">
        <v>2</v>
      </c>
      <c r="G2725">
        <v>19</v>
      </c>
      <c r="H2725">
        <v>349</v>
      </c>
      <c r="I2725" s="238" t="s">
        <v>4052</v>
      </c>
      <c r="J2725">
        <v>24.35</v>
      </c>
      <c r="K2725" s="238" t="s">
        <v>6871</v>
      </c>
      <c r="L2725">
        <v>3582201.9999999995</v>
      </c>
      <c r="M2725">
        <v>0</v>
      </c>
      <c r="N2725">
        <v>3582201.9999999995</v>
      </c>
      <c r="O2725">
        <v>147113.01848049278</v>
      </c>
      <c r="P2725">
        <v>243500</v>
      </c>
      <c r="Q2725">
        <v>3338701.9999999995</v>
      </c>
      <c r="R2725">
        <v>137113.01848049278</v>
      </c>
      <c r="S2725" s="238" t="s">
        <v>137</v>
      </c>
      <c r="T2725" s="238" t="s">
        <v>321</v>
      </c>
      <c r="U2725">
        <v>626097.99999999953</v>
      </c>
      <c r="V2725" t="s">
        <v>4092</v>
      </c>
      <c r="W2725" s="24">
        <v>45856</v>
      </c>
      <c r="X2725" s="238" t="s">
        <v>8984</v>
      </c>
      <c r="Y2725" s="238" t="s">
        <v>39</v>
      </c>
      <c r="Z2725" s="238" t="s">
        <v>1340</v>
      </c>
      <c r="AA2725" t="s">
        <v>3113</v>
      </c>
      <c r="AB2725" s="238" t="s">
        <v>3124</v>
      </c>
      <c r="AC2725" t="s">
        <v>3079</v>
      </c>
      <c r="AD2725" s="24"/>
      <c r="AE2725" s="238" t="s">
        <v>8985</v>
      </c>
      <c r="AF2725">
        <v>79093230440</v>
      </c>
      <c r="AG2725" s="238" t="s">
        <v>8986</v>
      </c>
      <c r="AH2725" s="238" t="s">
        <v>135</v>
      </c>
      <c r="AI2725" s="238" t="s">
        <v>3075</v>
      </c>
      <c r="AJ2725" s="238" t="s">
        <v>8893</v>
      </c>
      <c r="AK2725" s="238" t="s">
        <v>3345</v>
      </c>
      <c r="AL2725" t="s">
        <v>8715</v>
      </c>
      <c r="AM2725" t="s">
        <v>1167</v>
      </c>
    </row>
    <row r="2726" spans="1:39" hidden="1" x14ac:dyDescent="0.25">
      <c r="A2726">
        <v>2723</v>
      </c>
      <c r="B2726">
        <v>11</v>
      </c>
      <c r="C2726" s="24">
        <v>45867</v>
      </c>
      <c r="D2726" s="238" t="s">
        <v>8060</v>
      </c>
      <c r="E2726" s="238" t="s">
        <v>44</v>
      </c>
      <c r="F2726">
        <v>4</v>
      </c>
      <c r="G2726">
        <v>7</v>
      </c>
      <c r="H2726">
        <v>214</v>
      </c>
      <c r="I2726" s="238" t="s">
        <v>42</v>
      </c>
      <c r="J2726">
        <v>36.39</v>
      </c>
      <c r="K2726" s="238" t="s">
        <v>36</v>
      </c>
      <c r="L2726">
        <v>4534556</v>
      </c>
      <c r="M2726">
        <v>0</v>
      </c>
      <c r="N2726">
        <v>4534556</v>
      </c>
      <c r="O2726">
        <v>124609.9477878538</v>
      </c>
      <c r="P2726">
        <v>0</v>
      </c>
      <c r="Q2726">
        <v>4534556</v>
      </c>
      <c r="R2726">
        <v>124609.9477878538</v>
      </c>
      <c r="S2726" s="238" t="s">
        <v>137</v>
      </c>
      <c r="T2726" s="238" t="s">
        <v>978</v>
      </c>
      <c r="U2726">
        <v>140244</v>
      </c>
      <c r="V2726" t="s">
        <v>4092</v>
      </c>
      <c r="W2726" s="24">
        <v>45845</v>
      </c>
      <c r="X2726" s="238" t="s">
        <v>8987</v>
      </c>
      <c r="Y2726" s="238" t="s">
        <v>39</v>
      </c>
      <c r="Z2726" s="238" t="s">
        <v>1340</v>
      </c>
      <c r="AA2726" t="s">
        <v>3113</v>
      </c>
      <c r="AB2726" s="238" t="s">
        <v>3246</v>
      </c>
      <c r="AC2726" t="s">
        <v>3079</v>
      </c>
      <c r="AD2726" s="24"/>
      <c r="AE2726" s="238" t="s">
        <v>8988</v>
      </c>
      <c r="AF2726">
        <v>79814383428</v>
      </c>
      <c r="AG2726" s="238" t="s">
        <v>8989</v>
      </c>
      <c r="AH2726" s="238" t="s">
        <v>1212</v>
      </c>
      <c r="AI2726" s="238" t="s">
        <v>3103</v>
      </c>
      <c r="AJ2726" s="238" t="s">
        <v>8380</v>
      </c>
      <c r="AK2726" s="238" t="s">
        <v>8441</v>
      </c>
      <c r="AL2726" t="s">
        <v>8715</v>
      </c>
      <c r="AM2726" t="s">
        <v>1167</v>
      </c>
    </row>
    <row r="2727" spans="1:39" hidden="1" x14ac:dyDescent="0.25">
      <c r="A2727">
        <v>2724</v>
      </c>
      <c r="B2727">
        <v>12</v>
      </c>
      <c r="C2727" s="24">
        <v>45868</v>
      </c>
      <c r="D2727" s="238" t="s">
        <v>20</v>
      </c>
      <c r="E2727" s="238" t="s">
        <v>6</v>
      </c>
      <c r="F2727">
        <v>2</v>
      </c>
      <c r="G2727">
        <v>1</v>
      </c>
      <c r="H2727">
        <v>2</v>
      </c>
      <c r="I2727" s="238" t="s">
        <v>8991</v>
      </c>
      <c r="J2727">
        <v>65.599999999999994</v>
      </c>
      <c r="K2727" s="238" t="s">
        <v>36</v>
      </c>
      <c r="L2727">
        <v>7872000</v>
      </c>
      <c r="M2727">
        <v>0</v>
      </c>
      <c r="N2727">
        <v>7872000</v>
      </c>
      <c r="O2727">
        <v>120000.00000000001</v>
      </c>
      <c r="P2727">
        <v>0</v>
      </c>
      <c r="Q2727">
        <v>7872000</v>
      </c>
      <c r="R2727">
        <v>120000.00000000001</v>
      </c>
      <c r="S2727" s="238" t="s">
        <v>121</v>
      </c>
      <c r="T2727" s="238" t="s">
        <v>321</v>
      </c>
      <c r="U2727">
        <v>656000</v>
      </c>
      <c r="V2727" t="s">
        <v>1167</v>
      </c>
      <c r="W2727" s="24">
        <v>45699</v>
      </c>
      <c r="X2727" s="238" t="s">
        <v>8992</v>
      </c>
      <c r="Y2727" s="238" t="s">
        <v>3946</v>
      </c>
      <c r="Z2727" s="238" t="s">
        <v>1340</v>
      </c>
      <c r="AA2727" t="s">
        <v>3113</v>
      </c>
      <c r="AB2727" s="238" t="s">
        <v>8856</v>
      </c>
      <c r="AC2727" t="s">
        <v>1167</v>
      </c>
      <c r="AD2727" s="24"/>
      <c r="AE2727" s="238" t="s">
        <v>8993</v>
      </c>
      <c r="AF2727">
        <v>79371703680</v>
      </c>
      <c r="AG2727" s="238" t="s">
        <v>8994</v>
      </c>
      <c r="AH2727" s="238" t="s">
        <v>1212</v>
      </c>
      <c r="AI2727" s="238" t="s">
        <v>135</v>
      </c>
      <c r="AJ2727" s="238" t="s">
        <v>8380</v>
      </c>
      <c r="AK2727" s="238" t="s">
        <v>1167</v>
      </c>
      <c r="AL2727" t="s">
        <v>8715</v>
      </c>
      <c r="AM2727" t="s">
        <v>1167</v>
      </c>
    </row>
    <row r="2728" spans="1:39" x14ac:dyDescent="0.25">
      <c r="A2728">
        <v>2725</v>
      </c>
      <c r="B2728">
        <v>13</v>
      </c>
      <c r="C2728" s="24">
        <v>45868</v>
      </c>
      <c r="D2728" s="238" t="s">
        <v>3388</v>
      </c>
      <c r="E2728" s="238" t="s">
        <v>15</v>
      </c>
      <c r="F2728">
        <v>8</v>
      </c>
      <c r="G2728">
        <v>13</v>
      </c>
      <c r="H2728">
        <v>492</v>
      </c>
      <c r="I2728" s="238" t="s">
        <v>42</v>
      </c>
      <c r="J2728">
        <v>39.75</v>
      </c>
      <c r="K2728" s="238" t="s">
        <v>6871</v>
      </c>
      <c r="L2728">
        <v>5287112</v>
      </c>
      <c r="M2728">
        <v>0</v>
      </c>
      <c r="N2728">
        <v>5287112</v>
      </c>
      <c r="O2728">
        <v>133009.10691823901</v>
      </c>
      <c r="P2728">
        <v>397499.99999999907</v>
      </c>
      <c r="Q2728">
        <v>4889612.0000000009</v>
      </c>
      <c r="R2728">
        <v>123009.10691823902</v>
      </c>
      <c r="S2728" s="238" t="s">
        <v>124</v>
      </c>
      <c r="T2728" s="238" t="s">
        <v>8995</v>
      </c>
      <c r="U2728">
        <v>423788</v>
      </c>
      <c r="V2728" t="s">
        <v>1167</v>
      </c>
      <c r="W2728" s="24">
        <v>45861</v>
      </c>
      <c r="X2728" s="238" t="s">
        <v>8996</v>
      </c>
      <c r="Y2728" s="238" t="s">
        <v>39</v>
      </c>
      <c r="Z2728" s="238" t="s">
        <v>1167</v>
      </c>
      <c r="AA2728" t="s">
        <v>1167</v>
      </c>
      <c r="AB2728" s="238" t="s">
        <v>8856</v>
      </c>
      <c r="AC2728" t="s">
        <v>1167</v>
      </c>
      <c r="AD2728" s="24"/>
      <c r="AE2728" s="238" t="s">
        <v>8997</v>
      </c>
      <c r="AF2728">
        <v>79277402655</v>
      </c>
      <c r="AG2728" s="238" t="s">
        <v>8998</v>
      </c>
      <c r="AH2728" s="238" t="s">
        <v>1212</v>
      </c>
      <c r="AI2728" s="238" t="s">
        <v>3097</v>
      </c>
      <c r="AJ2728" s="238" t="s">
        <v>5215</v>
      </c>
      <c r="AK2728" s="238" t="s">
        <v>1167</v>
      </c>
      <c r="AL2728" t="s">
        <v>8715</v>
      </c>
      <c r="AM2728" t="s">
        <v>1167</v>
      </c>
    </row>
    <row r="2729" spans="1:39" hidden="1" x14ac:dyDescent="0.25">
      <c r="A2729">
        <v>2726</v>
      </c>
      <c r="B2729">
        <v>14</v>
      </c>
      <c r="C2729" s="24">
        <v>45869</v>
      </c>
      <c r="D2729" s="238" t="s">
        <v>8060</v>
      </c>
      <c r="E2729" s="238" t="s">
        <v>42</v>
      </c>
      <c r="F2729">
        <v>4</v>
      </c>
      <c r="G2729">
        <v>10</v>
      </c>
      <c r="H2729">
        <v>52</v>
      </c>
      <c r="I2729" s="238" t="s">
        <v>43</v>
      </c>
      <c r="J2729">
        <v>54.69</v>
      </c>
      <c r="K2729" s="238" t="s">
        <v>36</v>
      </c>
      <c r="L2729">
        <v>6520038</v>
      </c>
      <c r="M2729">
        <v>0</v>
      </c>
      <c r="N2729">
        <v>6520038</v>
      </c>
      <c r="O2729">
        <v>119218.10202962151</v>
      </c>
      <c r="P2729">
        <v>0</v>
      </c>
      <c r="Q2729">
        <v>6520038</v>
      </c>
      <c r="R2729">
        <v>119218.10202962151</v>
      </c>
      <c r="S2729" s="238" t="s">
        <v>124</v>
      </c>
      <c r="T2729" s="238" t="s">
        <v>321</v>
      </c>
      <c r="U2729">
        <v>133062.00000000093</v>
      </c>
      <c r="V2729" t="s">
        <v>1167</v>
      </c>
      <c r="W2729" s="24">
        <v>45868</v>
      </c>
      <c r="X2729" s="238" t="s">
        <v>9004</v>
      </c>
      <c r="Y2729" s="238" t="s">
        <v>39</v>
      </c>
      <c r="Z2729" s="238" t="s">
        <v>1340</v>
      </c>
      <c r="AA2729" t="s">
        <v>3113</v>
      </c>
      <c r="AB2729" s="238" t="s">
        <v>3246</v>
      </c>
      <c r="AC2729" t="s">
        <v>1167</v>
      </c>
      <c r="AD2729" s="24"/>
      <c r="AE2729" s="238" t="s">
        <v>9005</v>
      </c>
      <c r="AF2729">
        <v>79170137595</v>
      </c>
      <c r="AG2729" s="238" t="s">
        <v>9006</v>
      </c>
      <c r="AH2729" s="238" t="s">
        <v>4072</v>
      </c>
      <c r="AI2729" s="238" t="s">
        <v>7173</v>
      </c>
      <c r="AJ2729" s="238" t="s">
        <v>5215</v>
      </c>
      <c r="AK2729" s="238" t="s">
        <v>1167</v>
      </c>
      <c r="AL2729" t="s">
        <v>57</v>
      </c>
      <c r="AM2729" t="s">
        <v>1167</v>
      </c>
    </row>
    <row r="2730" spans="1:39" x14ac:dyDescent="0.25">
      <c r="A2730">
        <v>2727</v>
      </c>
      <c r="B2730">
        <v>15</v>
      </c>
      <c r="C2730" s="24">
        <v>45869</v>
      </c>
      <c r="D2730" s="238" t="s">
        <v>3388</v>
      </c>
      <c r="E2730" s="238" t="s">
        <v>6</v>
      </c>
      <c r="F2730">
        <v>5</v>
      </c>
      <c r="G2730">
        <v>10</v>
      </c>
      <c r="H2730">
        <v>67</v>
      </c>
      <c r="I2730" s="238" t="s">
        <v>43</v>
      </c>
      <c r="J2730">
        <v>61.45</v>
      </c>
      <c r="K2730" s="238" t="s">
        <v>36</v>
      </c>
      <c r="L2730">
        <v>6997980</v>
      </c>
      <c r="M2730">
        <v>0</v>
      </c>
      <c r="N2730">
        <v>6997980</v>
      </c>
      <c r="O2730">
        <v>113880.87876322212</v>
      </c>
      <c r="P2730">
        <v>0</v>
      </c>
      <c r="Q2730">
        <v>6997980</v>
      </c>
      <c r="R2730">
        <v>113880.87876322212</v>
      </c>
      <c r="S2730" s="238" t="s">
        <v>137</v>
      </c>
      <c r="T2730" s="238" t="s">
        <v>8849</v>
      </c>
      <c r="U2730">
        <v>636820</v>
      </c>
      <c r="V2730" t="s">
        <v>4092</v>
      </c>
      <c r="W2730" s="24">
        <v>45856</v>
      </c>
      <c r="X2730" s="238" t="s">
        <v>9007</v>
      </c>
      <c r="Y2730" s="238" t="s">
        <v>39</v>
      </c>
      <c r="Z2730" s="238" t="s">
        <v>1340</v>
      </c>
      <c r="AA2730" t="s">
        <v>3113</v>
      </c>
      <c r="AB2730" s="238" t="s">
        <v>3124</v>
      </c>
      <c r="AC2730" t="s">
        <v>3079</v>
      </c>
      <c r="AD2730" s="24"/>
      <c r="AE2730" s="238" t="s">
        <v>9008</v>
      </c>
      <c r="AF2730">
        <v>79179487672</v>
      </c>
      <c r="AG2730" s="238" t="s">
        <v>9009</v>
      </c>
      <c r="AH2730" s="238" t="s">
        <v>1212</v>
      </c>
      <c r="AI2730" s="238" t="s">
        <v>3097</v>
      </c>
      <c r="AJ2730" s="238" t="s">
        <v>5215</v>
      </c>
      <c r="AK2730" s="238" t="s">
        <v>3345</v>
      </c>
      <c r="AL2730" t="s">
        <v>8715</v>
      </c>
      <c r="AM2730" t="s">
        <v>1167</v>
      </c>
    </row>
    <row r="2731" spans="1:39" x14ac:dyDescent="0.25">
      <c r="A2731">
        <v>2728</v>
      </c>
      <c r="B2731">
        <v>1</v>
      </c>
      <c r="C2731" s="24">
        <v>45870</v>
      </c>
      <c r="D2731" s="238" t="s">
        <v>3388</v>
      </c>
      <c r="E2731" s="238" t="s">
        <v>6</v>
      </c>
      <c r="F2731">
        <v>2</v>
      </c>
      <c r="G2731">
        <v>13</v>
      </c>
      <c r="H2731">
        <v>85</v>
      </c>
      <c r="I2731" s="238" t="s">
        <v>43</v>
      </c>
      <c r="J2731">
        <v>68.099999999999994</v>
      </c>
      <c r="K2731" s="238" t="s">
        <v>36</v>
      </c>
      <c r="L2731">
        <v>7624100</v>
      </c>
      <c r="M2731">
        <v>0</v>
      </c>
      <c r="N2731">
        <v>7624100</v>
      </c>
      <c r="O2731">
        <v>111954.47870778268</v>
      </c>
      <c r="P2731">
        <v>0</v>
      </c>
      <c r="Q2731">
        <v>7624100</v>
      </c>
      <c r="R2731">
        <v>111954.47870778268</v>
      </c>
      <c r="S2731" s="238" t="s">
        <v>137</v>
      </c>
      <c r="T2731" s="238" t="s">
        <v>8849</v>
      </c>
      <c r="U2731">
        <v>536700</v>
      </c>
      <c r="V2731" t="s">
        <v>4092</v>
      </c>
      <c r="W2731" s="24">
        <v>45859</v>
      </c>
      <c r="X2731" s="238" t="s">
        <v>9010</v>
      </c>
      <c r="Y2731" s="238" t="s">
        <v>39</v>
      </c>
      <c r="Z2731" s="238" t="s">
        <v>1340</v>
      </c>
      <c r="AA2731" t="s">
        <v>3113</v>
      </c>
      <c r="AB2731" s="238" t="s">
        <v>3124</v>
      </c>
      <c r="AC2731" t="s">
        <v>3079</v>
      </c>
      <c r="AD2731" s="24"/>
      <c r="AE2731" s="238" t="s">
        <v>9011</v>
      </c>
      <c r="AF2731">
        <v>79966210040</v>
      </c>
      <c r="AG2731" s="238" t="s">
        <v>9012</v>
      </c>
      <c r="AH2731" s="238" t="s">
        <v>1171</v>
      </c>
      <c r="AI2731" s="238" t="s">
        <v>3074</v>
      </c>
      <c r="AJ2731" s="238" t="s">
        <v>4177</v>
      </c>
      <c r="AK2731" s="238" t="s">
        <v>3345</v>
      </c>
      <c r="AL2731" t="s">
        <v>8715</v>
      </c>
      <c r="AM2731" t="s">
        <v>1167</v>
      </c>
    </row>
    <row r="2732" spans="1:39" hidden="1" x14ac:dyDescent="0.25">
      <c r="A2732">
        <v>2729</v>
      </c>
      <c r="B2732">
        <v>2</v>
      </c>
      <c r="C2732" s="24">
        <v>45873</v>
      </c>
      <c r="D2732" s="238" t="s">
        <v>7562</v>
      </c>
      <c r="E2732" s="238" t="s">
        <v>43</v>
      </c>
      <c r="F2732">
        <v>4</v>
      </c>
      <c r="G2732">
        <v>7</v>
      </c>
      <c r="H2732">
        <v>85</v>
      </c>
      <c r="I2732" s="238" t="s">
        <v>42</v>
      </c>
      <c r="J2732">
        <v>42.39</v>
      </c>
      <c r="K2732" s="238" t="s">
        <v>36</v>
      </c>
      <c r="L2732">
        <v>5871566</v>
      </c>
      <c r="M2732">
        <v>15000</v>
      </c>
      <c r="N2732">
        <v>5886566</v>
      </c>
      <c r="O2732">
        <v>138866.85539042228</v>
      </c>
      <c r="P2732">
        <v>0</v>
      </c>
      <c r="Q2732">
        <v>5886566</v>
      </c>
      <c r="R2732">
        <v>138866.85539042228</v>
      </c>
      <c r="S2732" s="238" t="s">
        <v>137</v>
      </c>
      <c r="T2732" s="238" t="s">
        <v>350</v>
      </c>
      <c r="U2732">
        <v>120134</v>
      </c>
      <c r="V2732" t="s">
        <v>4093</v>
      </c>
      <c r="W2732" s="24">
        <v>45873</v>
      </c>
      <c r="X2732" s="238" t="s">
        <v>9013</v>
      </c>
      <c r="Y2732" s="238" t="s">
        <v>39</v>
      </c>
      <c r="Z2732" s="238" t="s">
        <v>1340</v>
      </c>
      <c r="AA2732" t="s">
        <v>3474</v>
      </c>
      <c r="AB2732" s="238" t="s">
        <v>3246</v>
      </c>
      <c r="AC2732" t="s">
        <v>3079</v>
      </c>
      <c r="AD2732" s="24"/>
      <c r="AE2732" s="238" t="s">
        <v>9014</v>
      </c>
      <c r="AF2732">
        <v>79376452072</v>
      </c>
      <c r="AG2732" s="238" t="s">
        <v>9015</v>
      </c>
      <c r="AH2732" s="238" t="s">
        <v>4072</v>
      </c>
      <c r="AI2732" s="238" t="s">
        <v>7040</v>
      </c>
      <c r="AJ2732" s="238" t="s">
        <v>8380</v>
      </c>
      <c r="AK2732" s="238" t="s">
        <v>3345</v>
      </c>
      <c r="AL2732" t="s">
        <v>57</v>
      </c>
      <c r="AM2732" t="s">
        <v>1167</v>
      </c>
    </row>
    <row r="2733" spans="1:39" x14ac:dyDescent="0.25">
      <c r="A2733">
        <v>2730</v>
      </c>
      <c r="B2733">
        <v>3</v>
      </c>
      <c r="C2733" s="24">
        <v>45874</v>
      </c>
      <c r="D2733" s="238" t="s">
        <v>3388</v>
      </c>
      <c r="E2733" s="238" t="s">
        <v>16</v>
      </c>
      <c r="F2733">
        <v>4</v>
      </c>
      <c r="G2733">
        <v>10</v>
      </c>
      <c r="H2733">
        <v>288</v>
      </c>
      <c r="I2733" s="238" t="s">
        <v>43</v>
      </c>
      <c r="J2733">
        <v>60</v>
      </c>
      <c r="K2733" s="238" t="s">
        <v>36</v>
      </c>
      <c r="L2733">
        <v>7142700</v>
      </c>
      <c r="M2733">
        <v>0</v>
      </c>
      <c r="N2733">
        <v>7142700</v>
      </c>
      <c r="O2733">
        <v>119045</v>
      </c>
      <c r="P2733">
        <v>0</v>
      </c>
      <c r="Q2733">
        <v>7142700</v>
      </c>
      <c r="R2733">
        <v>119045</v>
      </c>
      <c r="S2733" s="238" t="s">
        <v>137</v>
      </c>
      <c r="T2733" s="238" t="s">
        <v>8761</v>
      </c>
      <c r="U2733">
        <v>300000</v>
      </c>
      <c r="V2733" t="s">
        <v>4092</v>
      </c>
      <c r="W2733" s="24">
        <v>45855</v>
      </c>
      <c r="X2733" s="238" t="s">
        <v>9019</v>
      </c>
      <c r="Y2733" s="238" t="s">
        <v>39</v>
      </c>
      <c r="Z2733" s="238" t="s">
        <v>1340</v>
      </c>
      <c r="AA2733" t="s">
        <v>3474</v>
      </c>
      <c r="AB2733" s="238" t="s">
        <v>3124</v>
      </c>
      <c r="AC2733" t="s">
        <v>3104</v>
      </c>
      <c r="AD2733" s="24"/>
      <c r="AE2733" s="238" t="s">
        <v>9020</v>
      </c>
      <c r="AF2733">
        <v>79379900706</v>
      </c>
      <c r="AG2733" s="238" t="s">
        <v>9021</v>
      </c>
      <c r="AH2733" s="238" t="s">
        <v>135</v>
      </c>
      <c r="AI2733" s="238" t="s">
        <v>135</v>
      </c>
      <c r="AJ2733" s="238" t="s">
        <v>8380</v>
      </c>
      <c r="AK2733" s="238" t="s">
        <v>3345</v>
      </c>
      <c r="AL2733" t="s">
        <v>8715</v>
      </c>
      <c r="AM2733" t="s">
        <v>1167</v>
      </c>
    </row>
    <row r="2734" spans="1:39" hidden="1" x14ac:dyDescent="0.25">
      <c r="A2734">
        <v>2731</v>
      </c>
      <c r="B2734">
        <v>4</v>
      </c>
      <c r="C2734" s="24">
        <v>45877</v>
      </c>
      <c r="D2734" s="238" t="s">
        <v>8060</v>
      </c>
      <c r="E2734" s="238" t="s">
        <v>16</v>
      </c>
      <c r="F2734">
        <v>7</v>
      </c>
      <c r="G2734">
        <v>1</v>
      </c>
      <c r="H2734">
        <v>7</v>
      </c>
      <c r="I2734" s="238" t="s">
        <v>8991</v>
      </c>
      <c r="J2734">
        <v>88.58</v>
      </c>
      <c r="K2734" s="238" t="s">
        <v>36</v>
      </c>
      <c r="L2734">
        <v>13287000</v>
      </c>
      <c r="M2734">
        <v>0</v>
      </c>
      <c r="N2734">
        <v>13287000</v>
      </c>
      <c r="O2734">
        <v>150000</v>
      </c>
      <c r="P2734">
        <v>0</v>
      </c>
      <c r="Q2734">
        <v>13287000</v>
      </c>
      <c r="R2734">
        <v>150000</v>
      </c>
      <c r="S2734" s="238" t="s">
        <v>124</v>
      </c>
      <c r="T2734" s="238" t="s">
        <v>1167</v>
      </c>
      <c r="V2734" t="s">
        <v>1167</v>
      </c>
      <c r="W2734" s="24">
        <v>45880</v>
      </c>
      <c r="X2734" s="238" t="s">
        <v>9024</v>
      </c>
      <c r="Y2734" s="238" t="s">
        <v>3946</v>
      </c>
      <c r="Z2734" s="238" t="s">
        <v>1340</v>
      </c>
      <c r="AA2734" t="s">
        <v>3113</v>
      </c>
      <c r="AB2734" s="238" t="s">
        <v>3246</v>
      </c>
      <c r="AC2734" t="s">
        <v>4246</v>
      </c>
      <c r="AD2734" s="24"/>
      <c r="AE2734" s="238" t="s">
        <v>9025</v>
      </c>
      <c r="AF2734">
        <v>79272078515</v>
      </c>
      <c r="AG2734" s="238" t="s">
        <v>9026</v>
      </c>
      <c r="AH2734" s="238" t="s">
        <v>1212</v>
      </c>
      <c r="AI2734" s="238" t="s">
        <v>3103</v>
      </c>
      <c r="AJ2734" s="238" t="s">
        <v>5215</v>
      </c>
      <c r="AK2734" s="238" t="s">
        <v>1167</v>
      </c>
      <c r="AL2734" t="s">
        <v>8715</v>
      </c>
      <c r="AM2734" t="s">
        <v>1167</v>
      </c>
    </row>
    <row r="2735" spans="1:39" hidden="1" x14ac:dyDescent="0.25">
      <c r="A2735">
        <v>2732</v>
      </c>
      <c r="B2735">
        <v>5</v>
      </c>
      <c r="C2735" s="24">
        <v>45882</v>
      </c>
      <c r="D2735" s="238" t="s">
        <v>7562</v>
      </c>
      <c r="E2735" s="238" t="s">
        <v>43</v>
      </c>
      <c r="F2735">
        <v>5</v>
      </c>
      <c r="G2735">
        <v>7</v>
      </c>
      <c r="H2735">
        <v>86</v>
      </c>
      <c r="I2735" s="238" t="s">
        <v>43</v>
      </c>
      <c r="J2735">
        <v>49.39</v>
      </c>
      <c r="K2735" s="238" t="s">
        <v>9091</v>
      </c>
      <c r="L2735">
        <v>7899916</v>
      </c>
      <c r="M2735">
        <v>0</v>
      </c>
      <c r="N2735">
        <v>7899916</v>
      </c>
      <c r="O2735">
        <v>159949.70641830331</v>
      </c>
      <c r="P2735">
        <v>1481700</v>
      </c>
      <c r="Q2735">
        <v>6418216</v>
      </c>
      <c r="R2735">
        <v>129949.70641830329</v>
      </c>
      <c r="S2735" s="238" t="s">
        <v>137</v>
      </c>
      <c r="T2735" s="238" t="s">
        <v>8359</v>
      </c>
      <c r="U2735">
        <v>130984</v>
      </c>
      <c r="V2735" t="s">
        <v>4092</v>
      </c>
      <c r="W2735" s="24">
        <v>45882</v>
      </c>
      <c r="X2735" s="238" t="s">
        <v>9027</v>
      </c>
      <c r="Y2735" s="238" t="s">
        <v>39</v>
      </c>
      <c r="Z2735" s="238" t="s">
        <v>1340</v>
      </c>
      <c r="AA2735" t="s">
        <v>3113</v>
      </c>
      <c r="AB2735" s="238" t="s">
        <v>3246</v>
      </c>
      <c r="AC2735" t="s">
        <v>3079</v>
      </c>
      <c r="AD2735" s="24"/>
      <c r="AE2735" s="238" t="s">
        <v>9028</v>
      </c>
      <c r="AF2735">
        <v>79174985629</v>
      </c>
      <c r="AG2735" s="238" t="s">
        <v>9029</v>
      </c>
      <c r="AH2735" s="238" t="s">
        <v>4072</v>
      </c>
      <c r="AI2735" s="238" t="s">
        <v>7930</v>
      </c>
      <c r="AJ2735" s="238" t="s">
        <v>5215</v>
      </c>
      <c r="AK2735" s="238" t="s">
        <v>3345</v>
      </c>
      <c r="AL2735" t="s">
        <v>57</v>
      </c>
      <c r="AM2735" t="s">
        <v>1167</v>
      </c>
    </row>
    <row r="2736" spans="1:39" x14ac:dyDescent="0.25">
      <c r="A2736">
        <v>2733</v>
      </c>
      <c r="B2736">
        <v>6</v>
      </c>
      <c r="C2736" s="24">
        <v>45882</v>
      </c>
      <c r="D2736" s="238" t="s">
        <v>3388</v>
      </c>
      <c r="E2736" s="238" t="s">
        <v>5</v>
      </c>
      <c r="F2736">
        <v>7</v>
      </c>
      <c r="G2736">
        <v>15</v>
      </c>
      <c r="H2736">
        <v>215</v>
      </c>
      <c r="I2736" s="238" t="s">
        <v>42</v>
      </c>
      <c r="J2736">
        <v>42.35</v>
      </c>
      <c r="K2736" s="238" t="s">
        <v>36</v>
      </c>
      <c r="L2736">
        <v>5280400</v>
      </c>
      <c r="M2736">
        <v>0</v>
      </c>
      <c r="N2736">
        <v>5280400</v>
      </c>
      <c r="O2736">
        <v>124684.76977567887</v>
      </c>
      <c r="P2736">
        <v>0</v>
      </c>
      <c r="Q2736">
        <v>5280400</v>
      </c>
      <c r="R2736">
        <v>124684.76977567887</v>
      </c>
      <c r="S2736" s="238" t="s">
        <v>124</v>
      </c>
      <c r="T2736" s="238" t="s">
        <v>350</v>
      </c>
      <c r="U2736">
        <v>460000</v>
      </c>
      <c r="V2736" t="s">
        <v>1167</v>
      </c>
      <c r="W2736" s="24">
        <v>45880</v>
      </c>
      <c r="X2736" s="238" t="s">
        <v>9030</v>
      </c>
      <c r="Y2736" s="238" t="s">
        <v>39</v>
      </c>
      <c r="Z2736" s="238" t="s">
        <v>1340</v>
      </c>
      <c r="AA2736" t="s">
        <v>3113</v>
      </c>
      <c r="AB2736" s="238" t="s">
        <v>3124</v>
      </c>
      <c r="AC2736" t="s">
        <v>1167</v>
      </c>
      <c r="AD2736" s="24"/>
      <c r="AE2736" s="238" t="s">
        <v>9031</v>
      </c>
      <c r="AF2736">
        <v>79043032397</v>
      </c>
      <c r="AG2736" s="238" t="s">
        <v>9032</v>
      </c>
      <c r="AH2736" s="238" t="s">
        <v>1171</v>
      </c>
      <c r="AI2736" s="238" t="s">
        <v>3094</v>
      </c>
      <c r="AJ2736" s="238" t="s">
        <v>4177</v>
      </c>
      <c r="AK2736" s="238" t="s">
        <v>1167</v>
      </c>
      <c r="AL2736" t="s">
        <v>8715</v>
      </c>
      <c r="AM2736" t="s">
        <v>1167</v>
      </c>
    </row>
    <row r="2737" spans="1:39" x14ac:dyDescent="0.25">
      <c r="A2737">
        <v>2734</v>
      </c>
      <c r="B2737">
        <v>7</v>
      </c>
      <c r="C2737" s="24">
        <v>45882</v>
      </c>
      <c r="D2737" s="238" t="s">
        <v>3388</v>
      </c>
      <c r="E2737" s="238" t="s">
        <v>16</v>
      </c>
      <c r="F2737">
        <v>4</v>
      </c>
      <c r="G2737">
        <v>18</v>
      </c>
      <c r="H2737">
        <v>344</v>
      </c>
      <c r="I2737" s="238" t="s">
        <v>43</v>
      </c>
      <c r="J2737">
        <v>60.15</v>
      </c>
      <c r="K2737" s="238" t="s">
        <v>6871</v>
      </c>
      <c r="L2737">
        <v>7472500</v>
      </c>
      <c r="M2737">
        <v>0</v>
      </c>
      <c r="N2737">
        <v>7472500</v>
      </c>
      <c r="O2737">
        <v>124231.0889443059</v>
      </c>
      <c r="P2737">
        <v>601500</v>
      </c>
      <c r="Q2737">
        <v>6871000</v>
      </c>
      <c r="R2737">
        <v>114231.0889443059</v>
      </c>
      <c r="S2737" s="238" t="s">
        <v>137</v>
      </c>
      <c r="T2737" s="238" t="s">
        <v>8841</v>
      </c>
      <c r="U2737">
        <v>590300</v>
      </c>
      <c r="V2737" t="s">
        <v>4092</v>
      </c>
      <c r="W2737" s="24">
        <v>45877</v>
      </c>
      <c r="X2737" s="238" t="s">
        <v>9033</v>
      </c>
      <c r="Y2737" s="238" t="s">
        <v>39</v>
      </c>
      <c r="Z2737" s="238" t="s">
        <v>1340</v>
      </c>
      <c r="AA2737" t="s">
        <v>3113</v>
      </c>
      <c r="AB2737" s="238" t="s">
        <v>3124</v>
      </c>
      <c r="AC2737" t="s">
        <v>3079</v>
      </c>
      <c r="AD2737" s="24"/>
      <c r="AE2737" s="238" t="s">
        <v>9034</v>
      </c>
      <c r="AF2737">
        <v>79279029859</v>
      </c>
      <c r="AG2737" s="238" t="s">
        <v>9035</v>
      </c>
      <c r="AH2737" s="238" t="s">
        <v>4072</v>
      </c>
      <c r="AI2737" s="238" t="s">
        <v>9036</v>
      </c>
      <c r="AJ2737" s="238" t="s">
        <v>126</v>
      </c>
      <c r="AK2737" s="238" t="s">
        <v>3345</v>
      </c>
      <c r="AL2737" t="s">
        <v>57</v>
      </c>
      <c r="AM2737" t="s">
        <v>1167</v>
      </c>
    </row>
    <row r="2738" spans="1:39" x14ac:dyDescent="0.25">
      <c r="A2738">
        <v>2735</v>
      </c>
      <c r="B2738">
        <v>8</v>
      </c>
      <c r="C2738" s="24">
        <v>45883</v>
      </c>
      <c r="D2738" s="238" t="s">
        <v>3388</v>
      </c>
      <c r="E2738" s="238" t="s">
        <v>15</v>
      </c>
      <c r="F2738">
        <v>6</v>
      </c>
      <c r="G2738">
        <v>16</v>
      </c>
      <c r="H2738">
        <v>514</v>
      </c>
      <c r="I2738" s="238" t="s">
        <v>42</v>
      </c>
      <c r="J2738">
        <v>37.85</v>
      </c>
      <c r="K2738" s="238" t="s">
        <v>38</v>
      </c>
      <c r="L2738">
        <v>5585651</v>
      </c>
      <c r="M2738">
        <v>0</v>
      </c>
      <c r="N2738">
        <v>5585651</v>
      </c>
      <c r="O2738">
        <v>147573.34214002642</v>
      </c>
      <c r="P2738">
        <v>946250</v>
      </c>
      <c r="Q2738">
        <v>4639401</v>
      </c>
      <c r="R2738">
        <v>122573.34214002642</v>
      </c>
      <c r="S2738" s="238" t="s">
        <v>137</v>
      </c>
      <c r="T2738" s="238" t="s">
        <v>9092</v>
      </c>
      <c r="U2738">
        <v>592499</v>
      </c>
      <c r="V2738" t="s">
        <v>4092</v>
      </c>
      <c r="W2738" s="24">
        <v>45877</v>
      </c>
      <c r="X2738" s="238" t="s">
        <v>9093</v>
      </c>
      <c r="Y2738" s="238" t="s">
        <v>39</v>
      </c>
      <c r="Z2738" s="238" t="s">
        <v>1340</v>
      </c>
      <c r="AA2738" t="s">
        <v>3113</v>
      </c>
      <c r="AB2738" s="238" t="s">
        <v>3124</v>
      </c>
      <c r="AC2738" t="s">
        <v>3079</v>
      </c>
      <c r="AD2738" s="24"/>
      <c r="AE2738" s="238" t="s">
        <v>9094</v>
      </c>
      <c r="AF2738">
        <v>79272650516</v>
      </c>
      <c r="AG2738" s="238" t="s">
        <v>9095</v>
      </c>
      <c r="AH2738" s="238" t="s">
        <v>4072</v>
      </c>
      <c r="AI2738" s="238" t="s">
        <v>7040</v>
      </c>
      <c r="AJ2738" s="238" t="s">
        <v>4177</v>
      </c>
      <c r="AK2738" s="238" t="s">
        <v>3345</v>
      </c>
      <c r="AL2738" t="s">
        <v>57</v>
      </c>
      <c r="AM2738" t="s">
        <v>1167</v>
      </c>
    </row>
    <row r="2739" spans="1:39" hidden="1" x14ac:dyDescent="0.25">
      <c r="A2739">
        <v>2736</v>
      </c>
      <c r="B2739">
        <v>9</v>
      </c>
      <c r="C2739" s="24">
        <v>45883</v>
      </c>
      <c r="D2739" s="238" t="s">
        <v>9096</v>
      </c>
      <c r="E2739" s="238" t="s">
        <v>43</v>
      </c>
      <c r="F2739">
        <v>2</v>
      </c>
      <c r="G2739">
        <v>1</v>
      </c>
      <c r="H2739">
        <v>2</v>
      </c>
      <c r="I2739" s="238" t="s">
        <v>8991</v>
      </c>
      <c r="J2739">
        <v>49.83</v>
      </c>
      <c r="K2739" s="238" t="s">
        <v>36</v>
      </c>
      <c r="L2739">
        <v>7474500</v>
      </c>
      <c r="M2739">
        <v>0</v>
      </c>
      <c r="N2739">
        <v>7474500</v>
      </c>
      <c r="O2739">
        <v>150000</v>
      </c>
      <c r="P2739">
        <v>0</v>
      </c>
      <c r="Q2739">
        <v>7474500</v>
      </c>
      <c r="R2739">
        <v>150000</v>
      </c>
      <c r="S2739" s="238" t="s">
        <v>124</v>
      </c>
      <c r="T2739" s="238" t="s">
        <v>1167</v>
      </c>
      <c r="V2739" t="s">
        <v>1167</v>
      </c>
      <c r="W2739" s="24">
        <v>45876</v>
      </c>
      <c r="X2739" s="238" t="s">
        <v>9097</v>
      </c>
      <c r="Y2739" s="238" t="s">
        <v>3946</v>
      </c>
      <c r="Z2739" s="238" t="s">
        <v>1340</v>
      </c>
      <c r="AA2739" t="s">
        <v>3113</v>
      </c>
      <c r="AB2739" s="238" t="s">
        <v>3246</v>
      </c>
      <c r="AC2739" t="s">
        <v>1167</v>
      </c>
      <c r="AD2739" s="24"/>
      <c r="AE2739" s="238" t="s">
        <v>9098</v>
      </c>
      <c r="AF2739">
        <v>79198048348</v>
      </c>
      <c r="AG2739" s="238" t="s">
        <v>9099</v>
      </c>
      <c r="AH2739" s="238" t="s">
        <v>1212</v>
      </c>
      <c r="AI2739" s="238" t="s">
        <v>3103</v>
      </c>
      <c r="AJ2739" s="238" t="s">
        <v>9100</v>
      </c>
      <c r="AK2739" s="238" t="s">
        <v>1167</v>
      </c>
      <c r="AL2739" t="s">
        <v>8715</v>
      </c>
      <c r="AM2739" t="s">
        <v>1167</v>
      </c>
    </row>
    <row r="2740" spans="1:39" x14ac:dyDescent="0.25">
      <c r="A2740">
        <v>2737</v>
      </c>
      <c r="B2740">
        <v>10</v>
      </c>
      <c r="C2740" s="24">
        <v>45885</v>
      </c>
      <c r="D2740" s="238" t="s">
        <v>3388</v>
      </c>
      <c r="E2740" s="238" t="s">
        <v>6</v>
      </c>
      <c r="F2740">
        <v>6</v>
      </c>
      <c r="G2740">
        <v>16</v>
      </c>
      <c r="H2740">
        <v>110</v>
      </c>
      <c r="I2740" s="238" t="s">
        <v>43</v>
      </c>
      <c r="J2740">
        <v>57.9</v>
      </c>
      <c r="K2740" s="238" t="s">
        <v>36</v>
      </c>
      <c r="L2740">
        <v>6709220</v>
      </c>
      <c r="M2740">
        <v>0</v>
      </c>
      <c r="N2740">
        <v>6709220</v>
      </c>
      <c r="O2740">
        <v>115875.99309153714</v>
      </c>
      <c r="P2740">
        <v>0</v>
      </c>
      <c r="Q2740">
        <v>6709220</v>
      </c>
      <c r="R2740">
        <v>115875.99309153714</v>
      </c>
      <c r="S2740" s="238" t="s">
        <v>137</v>
      </c>
      <c r="T2740" s="238" t="s">
        <v>8817</v>
      </c>
      <c r="U2740">
        <v>516780</v>
      </c>
      <c r="V2740" t="s">
        <v>4092</v>
      </c>
      <c r="W2740" s="24">
        <v>45880</v>
      </c>
      <c r="X2740" s="238" t="s">
        <v>9101</v>
      </c>
      <c r="Y2740" s="238" t="s">
        <v>39</v>
      </c>
      <c r="Z2740" s="238" t="s">
        <v>1340</v>
      </c>
      <c r="AA2740" t="s">
        <v>3113</v>
      </c>
      <c r="AB2740" s="238" t="s">
        <v>3124</v>
      </c>
      <c r="AC2740" t="s">
        <v>3079</v>
      </c>
      <c r="AD2740" s="24"/>
      <c r="AE2740" s="238" t="s">
        <v>9102</v>
      </c>
      <c r="AF2740">
        <v>79277580005</v>
      </c>
      <c r="AG2740" s="238" t="s">
        <v>9103</v>
      </c>
      <c r="AH2740" s="238" t="s">
        <v>1212</v>
      </c>
      <c r="AI2740" s="238" t="s">
        <v>135</v>
      </c>
      <c r="AJ2740" s="238" t="s">
        <v>4177</v>
      </c>
      <c r="AK2740" s="238" t="s">
        <v>8441</v>
      </c>
      <c r="AL2740" t="s">
        <v>8715</v>
      </c>
      <c r="AM2740" t="s">
        <v>1167</v>
      </c>
    </row>
    <row r="2741" spans="1:39" x14ac:dyDescent="0.25">
      <c r="A2741">
        <v>2738</v>
      </c>
      <c r="B2741">
        <v>11</v>
      </c>
      <c r="C2741" s="24">
        <v>45888</v>
      </c>
      <c r="D2741" s="238" t="s">
        <v>3388</v>
      </c>
      <c r="E2741" s="238" t="s">
        <v>5</v>
      </c>
      <c r="F2741">
        <v>7</v>
      </c>
      <c r="G2741">
        <v>11</v>
      </c>
      <c r="H2741">
        <v>181</v>
      </c>
      <c r="I2741" s="238" t="s">
        <v>43</v>
      </c>
      <c r="J2741">
        <v>60.1</v>
      </c>
      <c r="K2741" s="238" t="s">
        <v>36</v>
      </c>
      <c r="L2741">
        <v>6884200</v>
      </c>
      <c r="M2741">
        <v>0</v>
      </c>
      <c r="N2741">
        <v>6884200</v>
      </c>
      <c r="O2741">
        <v>114545.75707154741</v>
      </c>
      <c r="P2741">
        <v>0</v>
      </c>
      <c r="Q2741">
        <v>6884200</v>
      </c>
      <c r="R2741">
        <v>114545.75707154741</v>
      </c>
      <c r="S2741" s="238" t="s">
        <v>137</v>
      </c>
      <c r="T2741" s="238" t="s">
        <v>9107</v>
      </c>
      <c r="U2741">
        <v>400000</v>
      </c>
      <c r="V2741" t="s">
        <v>4092</v>
      </c>
      <c r="W2741" s="24">
        <v>45877</v>
      </c>
      <c r="X2741" s="238" t="s">
        <v>9108</v>
      </c>
      <c r="Y2741" s="238" t="s">
        <v>39</v>
      </c>
      <c r="Z2741" s="238" t="s">
        <v>1340</v>
      </c>
      <c r="AA2741" t="s">
        <v>3113</v>
      </c>
      <c r="AB2741" s="238" t="s">
        <v>3124</v>
      </c>
      <c r="AC2741" t="s">
        <v>3079</v>
      </c>
      <c r="AD2741" s="24"/>
      <c r="AE2741" s="238" t="s">
        <v>9109</v>
      </c>
      <c r="AF2741">
        <v>79198089697</v>
      </c>
      <c r="AG2741" s="238" t="s">
        <v>9110</v>
      </c>
      <c r="AH2741" s="238" t="s">
        <v>1212</v>
      </c>
      <c r="AI2741" s="238" t="s">
        <v>3097</v>
      </c>
      <c r="AJ2741" s="238" t="s">
        <v>8512</v>
      </c>
      <c r="AK2741" s="238" t="s">
        <v>8441</v>
      </c>
      <c r="AL2741" t="s">
        <v>8715</v>
      </c>
      <c r="AM2741" t="s">
        <v>1167</v>
      </c>
    </row>
    <row r="2742" spans="1:39" x14ac:dyDescent="0.25">
      <c r="A2742">
        <v>2739</v>
      </c>
      <c r="B2742">
        <v>12</v>
      </c>
      <c r="C2742" s="24">
        <v>45889</v>
      </c>
      <c r="D2742" s="238" t="s">
        <v>3388</v>
      </c>
      <c r="E2742" s="238" t="s">
        <v>15</v>
      </c>
      <c r="F2742">
        <v>1</v>
      </c>
      <c r="G2742">
        <v>17</v>
      </c>
      <c r="H2742">
        <v>517</v>
      </c>
      <c r="I2742" s="238" t="s">
        <v>4052</v>
      </c>
      <c r="J2742">
        <v>29.3</v>
      </c>
      <c r="K2742" s="238" t="s">
        <v>38</v>
      </c>
      <c r="L2742">
        <v>4707100</v>
      </c>
      <c r="M2742">
        <v>0</v>
      </c>
      <c r="N2742">
        <v>4707100</v>
      </c>
      <c r="O2742">
        <v>160651.87713310579</v>
      </c>
      <c r="P2742">
        <v>879000</v>
      </c>
      <c r="Q2742">
        <v>3828100</v>
      </c>
      <c r="R2742">
        <v>130651.87713310579</v>
      </c>
      <c r="S2742" s="238" t="s">
        <v>124</v>
      </c>
      <c r="T2742" s="238" t="s">
        <v>9112</v>
      </c>
      <c r="U2742">
        <v>234400</v>
      </c>
      <c r="V2742" t="s">
        <v>1167</v>
      </c>
      <c r="W2742" s="24">
        <v>45889</v>
      </c>
      <c r="X2742" s="238" t="s">
        <v>9113</v>
      </c>
      <c r="Y2742" s="238" t="s">
        <v>39</v>
      </c>
      <c r="Z2742" s="238" t="s">
        <v>1167</v>
      </c>
      <c r="AA2742" t="s">
        <v>1167</v>
      </c>
      <c r="AB2742" s="238" t="s">
        <v>8856</v>
      </c>
      <c r="AC2742" t="s">
        <v>4246</v>
      </c>
      <c r="AD2742" s="24"/>
      <c r="AE2742" s="238" t="s">
        <v>9114</v>
      </c>
      <c r="AF2742">
        <v>93744396162</v>
      </c>
      <c r="AG2742" s="238" t="s">
        <v>9115</v>
      </c>
      <c r="AH2742" s="238" t="s">
        <v>1212</v>
      </c>
      <c r="AI2742" s="238" t="s">
        <v>9116</v>
      </c>
      <c r="AJ2742" s="238" t="s">
        <v>4177</v>
      </c>
      <c r="AK2742" s="238" t="s">
        <v>1167</v>
      </c>
      <c r="AL2742" t="s">
        <v>8715</v>
      </c>
      <c r="AM2742" t="s">
        <v>1167</v>
      </c>
    </row>
  </sheetData>
  <phoneticPr fontId="7" type="noConversion"/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21F8-1AE8-49AF-8AFB-A316EBC2C8F6}">
  <sheetPr codeName="Лист20">
    <tabColor rgb="FF00B0F0"/>
    <pageSetUpPr fitToPage="1"/>
  </sheetPr>
  <dimension ref="A1:AE90"/>
  <sheetViews>
    <sheetView workbookViewId="0"/>
  </sheetViews>
  <sheetFormatPr defaultRowHeight="15" x14ac:dyDescent="0.25"/>
  <cols>
    <col min="1" max="1" width="15.7109375" bestFit="1" customWidth="1"/>
    <col min="2" max="2" width="5.5703125" bestFit="1" customWidth="1"/>
    <col min="3" max="3" width="9.85546875" bestFit="1" customWidth="1"/>
    <col min="4" max="4" width="7.85546875" bestFit="1" customWidth="1"/>
    <col min="5" max="5" width="21.7109375" bestFit="1" customWidth="1"/>
    <col min="6" max="6" width="10.85546875" bestFit="1" customWidth="1"/>
    <col min="7" max="7" width="22.28515625" bestFit="1" customWidth="1"/>
    <col min="8" max="8" width="15.5703125" bestFit="1" customWidth="1"/>
    <col min="9" max="9" width="22.28515625" bestFit="1" customWidth="1"/>
    <col min="10" max="10" width="15.5703125" bestFit="1" customWidth="1"/>
    <col min="11" max="11" width="24.42578125" bestFit="1" customWidth="1"/>
    <col min="12" max="12" width="9.85546875" hidden="1" customWidth="1"/>
    <col min="13" max="13" width="18.5703125" bestFit="1" customWidth="1"/>
    <col min="14" max="14" width="15.5703125" bestFit="1" customWidth="1"/>
    <col min="15" max="15" width="12" bestFit="1" customWidth="1"/>
    <col min="16" max="16" width="17.42578125" bestFit="1" customWidth="1"/>
    <col min="17" max="17" width="9.85546875" bestFit="1" customWidth="1"/>
    <col min="18" max="19" width="23.140625" bestFit="1" customWidth="1"/>
    <col min="20" max="20" width="12.140625" bestFit="1" customWidth="1"/>
    <col min="21" max="21" width="40.7109375" bestFit="1" customWidth="1"/>
    <col min="22" max="22" width="18.28515625" bestFit="1" customWidth="1"/>
    <col min="23" max="23" width="14.42578125" bestFit="1" customWidth="1"/>
    <col min="24" max="24" width="16.85546875" bestFit="1" customWidth="1"/>
    <col min="25" max="25" width="50.42578125" bestFit="1" customWidth="1"/>
    <col min="26" max="26" width="37.7109375" bestFit="1" customWidth="1"/>
    <col min="27" max="27" width="12" bestFit="1" customWidth="1"/>
    <col min="28" max="28" width="18.42578125" bestFit="1" customWidth="1"/>
    <col min="29" max="29" width="17.7109375" bestFit="1" customWidth="1"/>
    <col min="30" max="30" width="14.140625" bestFit="1" customWidth="1"/>
    <col min="31" max="33" width="12" bestFit="1" customWidth="1"/>
    <col min="34" max="34" width="18.42578125" bestFit="1" customWidth="1"/>
    <col min="35" max="35" width="37.7109375" bestFit="1" customWidth="1"/>
  </cols>
  <sheetData>
    <row r="1" spans="1:31" x14ac:dyDescent="0.25">
      <c r="A1" t="s">
        <v>1145</v>
      </c>
      <c r="B1" t="s">
        <v>10</v>
      </c>
      <c r="C1" t="s">
        <v>40</v>
      </c>
      <c r="D1" t="s">
        <v>41</v>
      </c>
      <c r="E1" t="s">
        <v>4303</v>
      </c>
      <c r="F1" t="s">
        <v>4304</v>
      </c>
      <c r="G1" t="s">
        <v>4305</v>
      </c>
      <c r="H1" t="s">
        <v>4041</v>
      </c>
      <c r="I1" t="s">
        <v>4306</v>
      </c>
      <c r="J1" t="s">
        <v>4265</v>
      </c>
      <c r="K1" t="s">
        <v>4762</v>
      </c>
      <c r="L1" t="s">
        <v>4763</v>
      </c>
      <c r="M1" t="s">
        <v>8832</v>
      </c>
      <c r="N1" t="s">
        <v>8833</v>
      </c>
      <c r="O1" t="s">
        <v>4307</v>
      </c>
      <c r="P1" t="s">
        <v>4308</v>
      </c>
      <c r="Q1" t="s">
        <v>55</v>
      </c>
      <c r="R1" t="s">
        <v>8</v>
      </c>
      <c r="S1" t="s">
        <v>63</v>
      </c>
      <c r="T1" t="s">
        <v>116</v>
      </c>
      <c r="U1" t="s">
        <v>8943</v>
      </c>
      <c r="V1" t="s">
        <v>8944</v>
      </c>
      <c r="W1" t="s">
        <v>8945</v>
      </c>
      <c r="X1" t="s">
        <v>8946</v>
      </c>
      <c r="Y1" t="s">
        <v>4309</v>
      </c>
      <c r="Z1" t="s">
        <v>4806</v>
      </c>
      <c r="AA1" t="s">
        <v>8947</v>
      </c>
      <c r="AB1" t="s">
        <v>5245</v>
      </c>
      <c r="AC1" t="s">
        <v>6979</v>
      </c>
      <c r="AD1" t="s">
        <v>8349</v>
      </c>
      <c r="AE1" t="s">
        <v>8692</v>
      </c>
    </row>
    <row r="2" spans="1:31" hidden="1" x14ac:dyDescent="0.25">
      <c r="A2" s="238" t="s">
        <v>7562</v>
      </c>
      <c r="B2">
        <v>1</v>
      </c>
      <c r="C2" s="238" t="s">
        <v>42</v>
      </c>
      <c r="D2">
        <v>1</v>
      </c>
      <c r="E2">
        <v>71.41</v>
      </c>
      <c r="F2">
        <v>140000</v>
      </c>
      <c r="H2">
        <v>140000</v>
      </c>
      <c r="J2">
        <v>140000</v>
      </c>
      <c r="L2">
        <v>140000</v>
      </c>
      <c r="N2">
        <v>140000</v>
      </c>
      <c r="O2">
        <v>140000</v>
      </c>
      <c r="P2">
        <v>9997400</v>
      </c>
      <c r="R2" s="238" t="s">
        <v>39</v>
      </c>
      <c r="S2" s="238" t="s">
        <v>39</v>
      </c>
      <c r="T2" t="b">
        <v>1</v>
      </c>
      <c r="U2" t="s">
        <v>8948</v>
      </c>
      <c r="V2" t="s">
        <v>8949</v>
      </c>
      <c r="W2" t="s">
        <v>8950</v>
      </c>
      <c r="X2" t="s">
        <v>1167</v>
      </c>
      <c r="Y2" s="238"/>
      <c r="AB2" t="s">
        <v>7565</v>
      </c>
      <c r="AC2">
        <v>9997400</v>
      </c>
      <c r="AD2">
        <v>0</v>
      </c>
    </row>
    <row r="3" spans="1:31" hidden="1" x14ac:dyDescent="0.25">
      <c r="A3" s="238" t="s">
        <v>7562</v>
      </c>
      <c r="B3">
        <v>2</v>
      </c>
      <c r="C3" s="238" t="s">
        <v>42</v>
      </c>
      <c r="D3">
        <v>1</v>
      </c>
      <c r="E3">
        <v>56.78</v>
      </c>
      <c r="F3">
        <v>140000</v>
      </c>
      <c r="H3">
        <v>140000</v>
      </c>
      <c r="J3">
        <v>140000</v>
      </c>
      <c r="L3">
        <v>140000</v>
      </c>
      <c r="N3">
        <v>140000</v>
      </c>
      <c r="O3">
        <v>140000</v>
      </c>
      <c r="P3">
        <v>7949200</v>
      </c>
      <c r="R3" s="238" t="s">
        <v>39</v>
      </c>
      <c r="S3" s="238" t="s">
        <v>39</v>
      </c>
      <c r="T3" t="b">
        <v>1</v>
      </c>
      <c r="U3" t="s">
        <v>8948</v>
      </c>
      <c r="V3" t="s">
        <v>8949</v>
      </c>
      <c r="W3" t="s">
        <v>8950</v>
      </c>
      <c r="X3" t="s">
        <v>1167</v>
      </c>
      <c r="Y3" s="238"/>
      <c r="AB3" t="s">
        <v>7566</v>
      </c>
      <c r="AC3">
        <v>7949200</v>
      </c>
      <c r="AD3">
        <v>0</v>
      </c>
    </row>
    <row r="4" spans="1:31" hidden="1" x14ac:dyDescent="0.25">
      <c r="A4" s="238" t="s">
        <v>7562</v>
      </c>
      <c r="B4">
        <v>3</v>
      </c>
      <c r="C4" s="238" t="s">
        <v>42</v>
      </c>
      <c r="D4">
        <v>1</v>
      </c>
      <c r="E4">
        <v>40.89</v>
      </c>
      <c r="F4">
        <v>140000</v>
      </c>
      <c r="H4">
        <v>140000</v>
      </c>
      <c r="J4">
        <v>140000</v>
      </c>
      <c r="L4">
        <v>140000</v>
      </c>
      <c r="N4">
        <v>140000</v>
      </c>
      <c r="O4">
        <v>140000</v>
      </c>
      <c r="P4">
        <v>5724600</v>
      </c>
      <c r="R4" s="238" t="s">
        <v>39</v>
      </c>
      <c r="S4" s="238" t="s">
        <v>39</v>
      </c>
      <c r="T4" t="b">
        <v>1</v>
      </c>
      <c r="U4" t="s">
        <v>8948</v>
      </c>
      <c r="V4" t="s">
        <v>8949</v>
      </c>
      <c r="W4" t="s">
        <v>8950</v>
      </c>
      <c r="X4" t="s">
        <v>1167</v>
      </c>
      <c r="Y4" s="238"/>
      <c r="AB4" t="s">
        <v>7567</v>
      </c>
      <c r="AC4">
        <v>5724600</v>
      </c>
      <c r="AD4">
        <v>0</v>
      </c>
    </row>
    <row r="5" spans="1:31" hidden="1" x14ac:dyDescent="0.25">
      <c r="A5" s="238" t="s">
        <v>7562</v>
      </c>
      <c r="B5">
        <v>4</v>
      </c>
      <c r="C5" s="238" t="s">
        <v>42</v>
      </c>
      <c r="D5">
        <v>1</v>
      </c>
      <c r="E5">
        <v>53.52</v>
      </c>
      <c r="F5">
        <v>140000</v>
      </c>
      <c r="H5">
        <v>140000</v>
      </c>
      <c r="J5">
        <v>140000</v>
      </c>
      <c r="L5">
        <v>140000</v>
      </c>
      <c r="N5">
        <v>140000</v>
      </c>
      <c r="O5">
        <v>140000</v>
      </c>
      <c r="P5">
        <v>7492800</v>
      </c>
      <c r="R5" s="238" t="s">
        <v>39</v>
      </c>
      <c r="S5" s="238" t="s">
        <v>39</v>
      </c>
      <c r="T5" t="b">
        <v>1</v>
      </c>
      <c r="U5" t="s">
        <v>8948</v>
      </c>
      <c r="V5" t="s">
        <v>8949</v>
      </c>
      <c r="W5" t="s">
        <v>8950</v>
      </c>
      <c r="X5" t="s">
        <v>1167</v>
      </c>
      <c r="Y5" s="238"/>
      <c r="AB5" t="s">
        <v>7568</v>
      </c>
      <c r="AC5">
        <v>7492800</v>
      </c>
      <c r="AD5">
        <v>0</v>
      </c>
    </row>
    <row r="6" spans="1:31" hidden="1" x14ac:dyDescent="0.25">
      <c r="A6" s="238" t="s">
        <v>7562</v>
      </c>
      <c r="B6">
        <v>5</v>
      </c>
      <c r="C6" s="238" t="s">
        <v>43</v>
      </c>
      <c r="D6">
        <v>1</v>
      </c>
      <c r="E6">
        <v>58.59</v>
      </c>
      <c r="F6">
        <v>140000</v>
      </c>
      <c r="H6">
        <v>140000</v>
      </c>
      <c r="J6">
        <v>140000</v>
      </c>
      <c r="L6">
        <v>140000</v>
      </c>
      <c r="N6">
        <v>140000</v>
      </c>
      <c r="O6">
        <v>137439.83614951355</v>
      </c>
      <c r="P6">
        <v>8052600</v>
      </c>
      <c r="Q6">
        <v>150000</v>
      </c>
      <c r="R6" s="238" t="s">
        <v>39</v>
      </c>
      <c r="S6" s="238" t="s">
        <v>39</v>
      </c>
      <c r="T6" t="b">
        <v>1</v>
      </c>
      <c r="U6" t="s">
        <v>8948</v>
      </c>
      <c r="V6" t="s">
        <v>8949</v>
      </c>
      <c r="W6" t="s">
        <v>8950</v>
      </c>
      <c r="X6" t="s">
        <v>1167</v>
      </c>
      <c r="Y6" s="238"/>
      <c r="Z6" t="s">
        <v>321</v>
      </c>
      <c r="AB6" t="s">
        <v>7569</v>
      </c>
      <c r="AC6">
        <v>8052600</v>
      </c>
      <c r="AD6">
        <v>0</v>
      </c>
    </row>
    <row r="7" spans="1:31" hidden="1" x14ac:dyDescent="0.25">
      <c r="A7" s="238" t="s">
        <v>7562</v>
      </c>
      <c r="B7">
        <v>6</v>
      </c>
      <c r="C7" s="238" t="s">
        <v>43</v>
      </c>
      <c r="D7">
        <v>1</v>
      </c>
      <c r="E7">
        <v>56.67</v>
      </c>
      <c r="F7">
        <v>140000</v>
      </c>
      <c r="H7">
        <v>140000</v>
      </c>
      <c r="J7">
        <v>140000</v>
      </c>
      <c r="L7">
        <v>140000</v>
      </c>
      <c r="N7">
        <v>140000</v>
      </c>
      <c r="O7">
        <v>140000</v>
      </c>
      <c r="P7">
        <v>7933800</v>
      </c>
      <c r="R7" s="238" t="s">
        <v>39</v>
      </c>
      <c r="S7" s="238" t="s">
        <v>39</v>
      </c>
      <c r="T7" t="b">
        <v>1</v>
      </c>
      <c r="U7" t="s">
        <v>8948</v>
      </c>
      <c r="V7" t="s">
        <v>8949</v>
      </c>
      <c r="W7" t="s">
        <v>8950</v>
      </c>
      <c r="X7" t="s">
        <v>1167</v>
      </c>
      <c r="Y7" s="238"/>
      <c r="AB7" t="s">
        <v>7570</v>
      </c>
      <c r="AC7">
        <v>7933800</v>
      </c>
      <c r="AD7">
        <v>0</v>
      </c>
    </row>
    <row r="8" spans="1:31" hidden="1" x14ac:dyDescent="0.25">
      <c r="A8" s="238" t="s">
        <v>7562</v>
      </c>
      <c r="B8">
        <v>7</v>
      </c>
      <c r="C8" s="238" t="s">
        <v>43</v>
      </c>
      <c r="D8">
        <v>1</v>
      </c>
      <c r="E8">
        <v>57.14</v>
      </c>
      <c r="F8">
        <v>140000</v>
      </c>
      <c r="H8">
        <v>140000</v>
      </c>
      <c r="J8">
        <v>140000</v>
      </c>
      <c r="L8">
        <v>140000</v>
      </c>
      <c r="N8">
        <v>140000</v>
      </c>
      <c r="O8">
        <v>140000</v>
      </c>
      <c r="P8">
        <v>7999600</v>
      </c>
      <c r="R8" s="238" t="s">
        <v>8956</v>
      </c>
      <c r="S8" s="238" t="s">
        <v>8956</v>
      </c>
      <c r="T8" t="b">
        <v>1</v>
      </c>
      <c r="U8" t="s">
        <v>8948</v>
      </c>
      <c r="V8" t="s">
        <v>8949</v>
      </c>
      <c r="W8" t="s">
        <v>8953</v>
      </c>
      <c r="X8" t="s">
        <v>8957</v>
      </c>
      <c r="Y8" s="238"/>
      <c r="AB8" t="s">
        <v>7571</v>
      </c>
      <c r="AC8">
        <v>7999600</v>
      </c>
      <c r="AD8">
        <v>0</v>
      </c>
    </row>
    <row r="9" spans="1:31" x14ac:dyDescent="0.25">
      <c r="A9" s="238" t="s">
        <v>7562</v>
      </c>
      <c r="B9">
        <v>8</v>
      </c>
      <c r="C9" s="238" t="s">
        <v>43</v>
      </c>
      <c r="D9">
        <v>2</v>
      </c>
      <c r="E9">
        <v>5.97</v>
      </c>
      <c r="F9">
        <v>120000</v>
      </c>
      <c r="H9">
        <v>120000</v>
      </c>
      <c r="J9">
        <v>120000</v>
      </c>
      <c r="L9">
        <v>120000</v>
      </c>
      <c r="N9">
        <v>120000</v>
      </c>
      <c r="O9">
        <v>120000</v>
      </c>
      <c r="P9">
        <v>716400</v>
      </c>
      <c r="R9" s="238" t="s">
        <v>3</v>
      </c>
      <c r="S9" s="238" t="s">
        <v>3</v>
      </c>
      <c r="T9" t="b">
        <v>1</v>
      </c>
      <c r="U9" t="s">
        <v>8948</v>
      </c>
      <c r="V9" t="s">
        <v>8952</v>
      </c>
      <c r="W9" t="s">
        <v>8951</v>
      </c>
      <c r="X9" t="s">
        <v>1167</v>
      </c>
      <c r="Y9" s="238"/>
      <c r="Z9" t="s">
        <v>8693</v>
      </c>
      <c r="AB9" t="s">
        <v>7745</v>
      </c>
      <c r="AC9">
        <v>716400</v>
      </c>
      <c r="AD9">
        <v>0</v>
      </c>
      <c r="AE9" t="s">
        <v>8694</v>
      </c>
    </row>
    <row r="10" spans="1:31" hidden="1" x14ac:dyDescent="0.25">
      <c r="A10" s="238" t="s">
        <v>7562</v>
      </c>
      <c r="B10">
        <v>9</v>
      </c>
      <c r="C10" s="238" t="s">
        <v>43</v>
      </c>
      <c r="D10">
        <v>3</v>
      </c>
      <c r="E10">
        <v>5.97</v>
      </c>
      <c r="F10">
        <v>120000</v>
      </c>
      <c r="H10">
        <v>120000</v>
      </c>
      <c r="J10">
        <v>120000</v>
      </c>
      <c r="L10">
        <v>120000</v>
      </c>
      <c r="N10">
        <v>120000</v>
      </c>
      <c r="O10">
        <v>112763.81909547739</v>
      </c>
      <c r="P10">
        <v>673200</v>
      </c>
      <c r="Q10">
        <v>43200</v>
      </c>
      <c r="R10" s="238" t="s">
        <v>39</v>
      </c>
      <c r="S10" s="238" t="s">
        <v>35</v>
      </c>
      <c r="T10" t="b">
        <v>0</v>
      </c>
      <c r="U10" t="s">
        <v>8948</v>
      </c>
      <c r="V10" t="s">
        <v>8952</v>
      </c>
      <c r="W10" t="s">
        <v>8953</v>
      </c>
      <c r="X10" t="s">
        <v>8954</v>
      </c>
      <c r="Y10" s="238"/>
      <c r="Z10" t="s">
        <v>321</v>
      </c>
      <c r="AB10" t="s">
        <v>7746</v>
      </c>
      <c r="AC10">
        <v>673200</v>
      </c>
      <c r="AD10">
        <v>0</v>
      </c>
      <c r="AE10" t="s">
        <v>8694</v>
      </c>
    </row>
    <row r="11" spans="1:31" x14ac:dyDescent="0.25">
      <c r="A11" s="238" t="s">
        <v>7562</v>
      </c>
      <c r="B11">
        <v>10</v>
      </c>
      <c r="C11" s="238" t="s">
        <v>43</v>
      </c>
      <c r="D11">
        <v>4</v>
      </c>
      <c r="E11">
        <v>5.97</v>
      </c>
      <c r="F11">
        <v>120000</v>
      </c>
      <c r="H11">
        <v>120000</v>
      </c>
      <c r="J11">
        <v>120000</v>
      </c>
      <c r="L11">
        <v>120000</v>
      </c>
      <c r="N11">
        <v>120000</v>
      </c>
      <c r="O11">
        <v>120000</v>
      </c>
      <c r="P11">
        <v>716400</v>
      </c>
      <c r="R11" s="238" t="s">
        <v>3</v>
      </c>
      <c r="S11" s="238" t="s">
        <v>3</v>
      </c>
      <c r="T11" t="b">
        <v>1</v>
      </c>
      <c r="U11" t="s">
        <v>8948</v>
      </c>
      <c r="V11" t="s">
        <v>8952</v>
      </c>
      <c r="W11" t="s">
        <v>8951</v>
      </c>
      <c r="X11" t="s">
        <v>1167</v>
      </c>
      <c r="Y11" s="238"/>
      <c r="Z11" t="s">
        <v>8693</v>
      </c>
      <c r="AB11" t="s">
        <v>7747</v>
      </c>
      <c r="AC11">
        <v>716400</v>
      </c>
      <c r="AD11">
        <v>0</v>
      </c>
      <c r="AE11" t="s">
        <v>8694</v>
      </c>
    </row>
    <row r="12" spans="1:31" x14ac:dyDescent="0.25">
      <c r="A12" s="238" t="s">
        <v>7562</v>
      </c>
      <c r="B12">
        <v>11</v>
      </c>
      <c r="C12" s="238" t="s">
        <v>43</v>
      </c>
      <c r="D12">
        <v>5</v>
      </c>
      <c r="E12">
        <v>5.97</v>
      </c>
      <c r="F12">
        <v>120000</v>
      </c>
      <c r="H12">
        <v>120000</v>
      </c>
      <c r="J12">
        <v>120000</v>
      </c>
      <c r="L12">
        <v>120000</v>
      </c>
      <c r="N12">
        <v>120000</v>
      </c>
      <c r="O12">
        <v>120000</v>
      </c>
      <c r="P12">
        <v>716400</v>
      </c>
      <c r="R12" s="238" t="s">
        <v>3</v>
      </c>
      <c r="S12" s="238" t="s">
        <v>3</v>
      </c>
      <c r="T12" t="b">
        <v>1</v>
      </c>
      <c r="U12" t="s">
        <v>8948</v>
      </c>
      <c r="V12" t="s">
        <v>8952</v>
      </c>
      <c r="W12" t="s">
        <v>8951</v>
      </c>
      <c r="X12" t="s">
        <v>1167</v>
      </c>
      <c r="Y12" s="238"/>
      <c r="Z12" t="s">
        <v>8693</v>
      </c>
      <c r="AB12" t="s">
        <v>7748</v>
      </c>
      <c r="AC12">
        <v>716400</v>
      </c>
      <c r="AD12">
        <v>0</v>
      </c>
      <c r="AE12" t="s">
        <v>8694</v>
      </c>
    </row>
    <row r="13" spans="1:31" x14ac:dyDescent="0.25">
      <c r="A13" s="238" t="s">
        <v>7562</v>
      </c>
      <c r="B13">
        <v>12</v>
      </c>
      <c r="C13" s="238" t="s">
        <v>43</v>
      </c>
      <c r="D13">
        <v>6</v>
      </c>
      <c r="E13">
        <v>5.97</v>
      </c>
      <c r="F13">
        <v>120000</v>
      </c>
      <c r="H13">
        <v>120000</v>
      </c>
      <c r="J13">
        <v>120000</v>
      </c>
      <c r="L13">
        <v>120000</v>
      </c>
      <c r="N13">
        <v>120000</v>
      </c>
      <c r="O13">
        <v>120000</v>
      </c>
      <c r="P13">
        <v>716400</v>
      </c>
      <c r="R13" s="238" t="s">
        <v>3</v>
      </c>
      <c r="S13" s="238" t="s">
        <v>3</v>
      </c>
      <c r="T13" t="b">
        <v>1</v>
      </c>
      <c r="U13" t="s">
        <v>8948</v>
      </c>
      <c r="V13" t="s">
        <v>8952</v>
      </c>
      <c r="W13" t="s">
        <v>8951</v>
      </c>
      <c r="X13" t="s">
        <v>1167</v>
      </c>
      <c r="Y13" s="238"/>
      <c r="Z13" t="s">
        <v>8693</v>
      </c>
      <c r="AB13" t="s">
        <v>7749</v>
      </c>
      <c r="AC13">
        <v>716400</v>
      </c>
      <c r="AD13">
        <v>0</v>
      </c>
      <c r="AE13" t="s">
        <v>8694</v>
      </c>
    </row>
    <row r="14" spans="1:31" x14ac:dyDescent="0.25">
      <c r="A14" s="238" t="s">
        <v>7562</v>
      </c>
      <c r="B14">
        <v>13</v>
      </c>
      <c r="C14" s="238" t="s">
        <v>43</v>
      </c>
      <c r="D14">
        <v>7</v>
      </c>
      <c r="E14">
        <v>5.97</v>
      </c>
      <c r="F14">
        <v>120000</v>
      </c>
      <c r="H14">
        <v>120000</v>
      </c>
      <c r="J14">
        <v>120000</v>
      </c>
      <c r="L14">
        <v>120000</v>
      </c>
      <c r="N14">
        <v>120000</v>
      </c>
      <c r="O14">
        <v>120000</v>
      </c>
      <c r="P14">
        <v>716400</v>
      </c>
      <c r="R14" s="238" t="s">
        <v>3</v>
      </c>
      <c r="S14" s="238" t="s">
        <v>3</v>
      </c>
      <c r="T14" t="b">
        <v>1</v>
      </c>
      <c r="U14" t="s">
        <v>8948</v>
      </c>
      <c r="V14" t="s">
        <v>8952</v>
      </c>
      <c r="W14" t="s">
        <v>8951</v>
      </c>
      <c r="X14" t="s">
        <v>1167</v>
      </c>
      <c r="Y14" s="238"/>
      <c r="Z14" t="s">
        <v>8693</v>
      </c>
      <c r="AB14" t="s">
        <v>7750</v>
      </c>
      <c r="AC14">
        <v>716400</v>
      </c>
      <c r="AD14">
        <v>0</v>
      </c>
      <c r="AE14" t="s">
        <v>8694</v>
      </c>
    </row>
    <row r="15" spans="1:31" x14ac:dyDescent="0.25">
      <c r="A15" s="238" t="s">
        <v>7562</v>
      </c>
      <c r="B15">
        <v>14</v>
      </c>
      <c r="C15" s="238" t="s">
        <v>43</v>
      </c>
      <c r="D15">
        <v>8</v>
      </c>
      <c r="E15">
        <v>5.97</v>
      </c>
      <c r="F15">
        <v>120000</v>
      </c>
      <c r="H15">
        <v>120000</v>
      </c>
      <c r="J15">
        <v>120000</v>
      </c>
      <c r="L15">
        <v>120000</v>
      </c>
      <c r="N15">
        <v>120000</v>
      </c>
      <c r="O15">
        <v>120000</v>
      </c>
      <c r="P15">
        <v>716400</v>
      </c>
      <c r="R15" s="238" t="s">
        <v>3</v>
      </c>
      <c r="S15" s="238" t="s">
        <v>3</v>
      </c>
      <c r="T15" t="b">
        <v>1</v>
      </c>
      <c r="U15" t="s">
        <v>8948</v>
      </c>
      <c r="V15" t="s">
        <v>8952</v>
      </c>
      <c r="W15" t="s">
        <v>8951</v>
      </c>
      <c r="X15" t="s">
        <v>1167</v>
      </c>
      <c r="Y15" s="238"/>
      <c r="Z15" t="s">
        <v>8693</v>
      </c>
      <c r="AB15" t="s">
        <v>7751</v>
      </c>
      <c r="AC15">
        <v>716400</v>
      </c>
      <c r="AD15">
        <v>0</v>
      </c>
      <c r="AE15" t="s">
        <v>8694</v>
      </c>
    </row>
    <row r="16" spans="1:31" x14ac:dyDescent="0.25">
      <c r="A16" s="238" t="s">
        <v>7562</v>
      </c>
      <c r="B16">
        <v>15</v>
      </c>
      <c r="C16" s="238" t="s">
        <v>43</v>
      </c>
      <c r="D16">
        <v>9</v>
      </c>
      <c r="E16">
        <v>5.97</v>
      </c>
      <c r="F16">
        <v>120000</v>
      </c>
      <c r="H16">
        <v>120000</v>
      </c>
      <c r="J16">
        <v>120000</v>
      </c>
      <c r="L16">
        <v>120000</v>
      </c>
      <c r="N16">
        <v>120000</v>
      </c>
      <c r="O16">
        <v>120000</v>
      </c>
      <c r="P16">
        <v>716400</v>
      </c>
      <c r="R16" s="238" t="s">
        <v>3</v>
      </c>
      <c r="S16" s="238" t="s">
        <v>3</v>
      </c>
      <c r="T16" t="b">
        <v>1</v>
      </c>
      <c r="U16" t="s">
        <v>8948</v>
      </c>
      <c r="V16" t="s">
        <v>8952</v>
      </c>
      <c r="W16" t="s">
        <v>8951</v>
      </c>
      <c r="X16" t="s">
        <v>1167</v>
      </c>
      <c r="Y16" s="238"/>
      <c r="Z16" t="s">
        <v>8693</v>
      </c>
      <c r="AB16" t="s">
        <v>7752</v>
      </c>
      <c r="AC16">
        <v>716400</v>
      </c>
      <c r="AD16">
        <v>0</v>
      </c>
      <c r="AE16" t="s">
        <v>8694</v>
      </c>
    </row>
    <row r="17" spans="1:31" x14ac:dyDescent="0.25">
      <c r="A17" s="238" t="s">
        <v>7562</v>
      </c>
      <c r="B17">
        <v>16</v>
      </c>
      <c r="C17" s="238" t="s">
        <v>43</v>
      </c>
      <c r="D17">
        <v>10</v>
      </c>
      <c r="E17">
        <v>5.97</v>
      </c>
      <c r="F17">
        <v>120000</v>
      </c>
      <c r="H17">
        <v>120000</v>
      </c>
      <c r="J17">
        <v>120000</v>
      </c>
      <c r="L17">
        <v>120000</v>
      </c>
      <c r="N17">
        <v>120000</v>
      </c>
      <c r="O17">
        <v>120000</v>
      </c>
      <c r="P17">
        <v>716400</v>
      </c>
      <c r="R17" s="238" t="s">
        <v>3</v>
      </c>
      <c r="S17" s="238" t="s">
        <v>3</v>
      </c>
      <c r="T17" t="b">
        <v>1</v>
      </c>
      <c r="U17" t="s">
        <v>8948</v>
      </c>
      <c r="V17" t="s">
        <v>8952</v>
      </c>
      <c r="W17" t="s">
        <v>8951</v>
      </c>
      <c r="X17" t="s">
        <v>1167</v>
      </c>
      <c r="Y17" s="238"/>
      <c r="Z17" t="s">
        <v>8693</v>
      </c>
      <c r="AB17" t="s">
        <v>7753</v>
      </c>
      <c r="AC17">
        <v>716400</v>
      </c>
      <c r="AD17">
        <v>0</v>
      </c>
      <c r="AE17" t="s">
        <v>8694</v>
      </c>
    </row>
    <row r="18" spans="1:31" hidden="1" x14ac:dyDescent="0.25">
      <c r="A18" s="238" t="s">
        <v>8060</v>
      </c>
      <c r="B18">
        <v>1</v>
      </c>
      <c r="C18" s="238" t="s">
        <v>42</v>
      </c>
      <c r="D18">
        <v>1</v>
      </c>
      <c r="E18">
        <v>107.94</v>
      </c>
      <c r="F18">
        <v>150000</v>
      </c>
      <c r="H18">
        <v>150000</v>
      </c>
      <c r="J18">
        <v>150000</v>
      </c>
      <c r="L18">
        <v>150000</v>
      </c>
      <c r="N18">
        <v>150000</v>
      </c>
      <c r="O18">
        <v>150000</v>
      </c>
      <c r="P18">
        <v>16191000</v>
      </c>
      <c r="R18" s="238" t="s">
        <v>8956</v>
      </c>
      <c r="S18" s="238" t="s">
        <v>8956</v>
      </c>
      <c r="T18" t="b">
        <v>1</v>
      </c>
      <c r="U18" t="s">
        <v>8962</v>
      </c>
      <c r="V18" t="s">
        <v>8949</v>
      </c>
      <c r="W18" t="s">
        <v>8953</v>
      </c>
      <c r="X18" t="s">
        <v>8957</v>
      </c>
      <c r="Y18" s="238"/>
      <c r="AC18">
        <v>16191000</v>
      </c>
      <c r="AD18">
        <v>0</v>
      </c>
    </row>
    <row r="19" spans="1:31" hidden="1" x14ac:dyDescent="0.25">
      <c r="A19" s="238" t="s">
        <v>8060</v>
      </c>
      <c r="B19">
        <v>2</v>
      </c>
      <c r="C19" s="238" t="s">
        <v>42</v>
      </c>
      <c r="D19">
        <v>1</v>
      </c>
      <c r="E19">
        <v>49.83</v>
      </c>
      <c r="F19">
        <v>150000</v>
      </c>
      <c r="H19">
        <v>150000</v>
      </c>
      <c r="J19">
        <v>150000</v>
      </c>
      <c r="L19">
        <v>150000</v>
      </c>
      <c r="N19">
        <v>150000</v>
      </c>
      <c r="O19">
        <v>150000</v>
      </c>
      <c r="P19">
        <v>7474500</v>
      </c>
      <c r="R19" s="238" t="s">
        <v>39</v>
      </c>
      <c r="S19" s="238" t="s">
        <v>39</v>
      </c>
      <c r="T19" t="b">
        <v>1</v>
      </c>
      <c r="U19" t="s">
        <v>8962</v>
      </c>
      <c r="V19" t="s">
        <v>8949</v>
      </c>
      <c r="W19" t="s">
        <v>8950</v>
      </c>
      <c r="X19" t="s">
        <v>1167</v>
      </c>
      <c r="Y19" s="238"/>
      <c r="AC19">
        <v>7474500</v>
      </c>
      <c r="AD19">
        <v>0</v>
      </c>
    </row>
    <row r="20" spans="1:31" x14ac:dyDescent="0.25">
      <c r="A20" s="238" t="s">
        <v>8060</v>
      </c>
      <c r="B20">
        <v>3</v>
      </c>
      <c r="C20" s="238" t="s">
        <v>42</v>
      </c>
      <c r="D20">
        <v>1</v>
      </c>
      <c r="E20">
        <v>111.48</v>
      </c>
      <c r="F20">
        <v>150000</v>
      </c>
      <c r="H20">
        <v>150000</v>
      </c>
      <c r="J20">
        <v>150000</v>
      </c>
      <c r="L20">
        <v>150000</v>
      </c>
      <c r="N20">
        <v>150000</v>
      </c>
      <c r="O20">
        <v>150000</v>
      </c>
      <c r="P20">
        <v>16722000</v>
      </c>
      <c r="R20" s="238" t="s">
        <v>3</v>
      </c>
      <c r="S20" s="238" t="s">
        <v>3</v>
      </c>
      <c r="T20" t="b">
        <v>1</v>
      </c>
      <c r="U20" t="s">
        <v>8962</v>
      </c>
      <c r="V20" t="s">
        <v>8949</v>
      </c>
      <c r="W20" t="s">
        <v>8951</v>
      </c>
      <c r="X20" t="s">
        <v>1167</v>
      </c>
      <c r="Y20" s="238"/>
      <c r="AC20">
        <v>16722000</v>
      </c>
      <c r="AD20">
        <v>0</v>
      </c>
    </row>
    <row r="21" spans="1:31" hidden="1" x14ac:dyDescent="0.25">
      <c r="A21" s="238" t="s">
        <v>8060</v>
      </c>
      <c r="B21">
        <v>4</v>
      </c>
      <c r="C21" s="238" t="s">
        <v>43</v>
      </c>
      <c r="D21">
        <v>2</v>
      </c>
      <c r="E21">
        <v>118.38</v>
      </c>
      <c r="F21">
        <v>150000</v>
      </c>
      <c r="H21">
        <v>150000</v>
      </c>
      <c r="J21">
        <v>150000</v>
      </c>
      <c r="L21">
        <v>150000</v>
      </c>
      <c r="N21">
        <v>150000</v>
      </c>
      <c r="O21">
        <v>150000</v>
      </c>
      <c r="P21">
        <v>17757000</v>
      </c>
      <c r="R21" s="238" t="s">
        <v>35</v>
      </c>
      <c r="S21" s="238" t="s">
        <v>35</v>
      </c>
      <c r="T21" t="b">
        <v>1</v>
      </c>
      <c r="U21" t="s">
        <v>8962</v>
      </c>
      <c r="V21" t="s">
        <v>8949</v>
      </c>
      <c r="W21" t="s">
        <v>8953</v>
      </c>
      <c r="X21" t="s">
        <v>8954</v>
      </c>
      <c r="Y21" s="238"/>
      <c r="AC21">
        <v>17757000</v>
      </c>
      <c r="AD21">
        <v>0</v>
      </c>
    </row>
    <row r="22" spans="1:31" hidden="1" x14ac:dyDescent="0.25">
      <c r="A22" s="238" t="s">
        <v>8060</v>
      </c>
      <c r="B22">
        <v>5</v>
      </c>
      <c r="C22" s="238" t="s">
        <v>43</v>
      </c>
      <c r="D22">
        <v>2</v>
      </c>
      <c r="E22">
        <v>103.73</v>
      </c>
      <c r="F22">
        <v>150000</v>
      </c>
      <c r="H22">
        <v>150000</v>
      </c>
      <c r="J22">
        <v>150000</v>
      </c>
      <c r="L22">
        <v>150000</v>
      </c>
      <c r="N22">
        <v>150000</v>
      </c>
      <c r="O22">
        <v>150000</v>
      </c>
      <c r="P22">
        <v>15559500</v>
      </c>
      <c r="R22" s="238" t="s">
        <v>35</v>
      </c>
      <c r="S22" s="238" t="s">
        <v>35</v>
      </c>
      <c r="T22" t="b">
        <v>1</v>
      </c>
      <c r="U22" t="s">
        <v>8962</v>
      </c>
      <c r="V22" t="s">
        <v>8949</v>
      </c>
      <c r="W22" t="s">
        <v>8953</v>
      </c>
      <c r="X22" t="s">
        <v>8954</v>
      </c>
      <c r="Y22" s="238"/>
      <c r="AC22">
        <v>15559500</v>
      </c>
      <c r="AD22">
        <v>0</v>
      </c>
    </row>
    <row r="23" spans="1:31" hidden="1" x14ac:dyDescent="0.25">
      <c r="A23" s="238" t="s">
        <v>8060</v>
      </c>
      <c r="B23">
        <v>6</v>
      </c>
      <c r="C23" s="238" t="s">
        <v>43</v>
      </c>
      <c r="D23">
        <v>2</v>
      </c>
      <c r="E23">
        <v>56.16</v>
      </c>
      <c r="F23">
        <v>150000</v>
      </c>
      <c r="H23">
        <v>150000</v>
      </c>
      <c r="J23">
        <v>150000</v>
      </c>
      <c r="L23">
        <v>150000</v>
      </c>
      <c r="N23">
        <v>150000</v>
      </c>
      <c r="O23">
        <v>150000</v>
      </c>
      <c r="P23">
        <v>8424000</v>
      </c>
      <c r="R23" s="238" t="s">
        <v>8963</v>
      </c>
      <c r="S23" s="238" t="s">
        <v>8963</v>
      </c>
      <c r="T23" t="b">
        <v>1</v>
      </c>
      <c r="U23" t="s">
        <v>8962</v>
      </c>
      <c r="V23" t="s">
        <v>8949</v>
      </c>
      <c r="W23" t="s">
        <v>8953</v>
      </c>
      <c r="X23" t="s">
        <v>8964</v>
      </c>
      <c r="Y23" s="238"/>
      <c r="AC23">
        <v>8424000</v>
      </c>
      <c r="AD23">
        <v>0</v>
      </c>
    </row>
    <row r="24" spans="1:31" hidden="1" x14ac:dyDescent="0.25">
      <c r="A24" s="238" t="s">
        <v>8060</v>
      </c>
      <c r="B24">
        <v>7</v>
      </c>
      <c r="C24" s="238" t="s">
        <v>44</v>
      </c>
      <c r="D24">
        <v>3</v>
      </c>
      <c r="E24">
        <v>88.58</v>
      </c>
      <c r="F24">
        <v>150000</v>
      </c>
      <c r="H24">
        <v>150000</v>
      </c>
      <c r="J24">
        <v>150000</v>
      </c>
      <c r="L24">
        <v>150000</v>
      </c>
      <c r="N24">
        <v>150000</v>
      </c>
      <c r="O24">
        <v>150000</v>
      </c>
      <c r="P24">
        <v>13287000</v>
      </c>
      <c r="R24" s="238" t="s">
        <v>39</v>
      </c>
      <c r="S24" s="238" t="s">
        <v>39</v>
      </c>
      <c r="T24" t="b">
        <v>1</v>
      </c>
      <c r="U24" t="s">
        <v>8962</v>
      </c>
      <c r="V24" t="s">
        <v>8949</v>
      </c>
      <c r="W24" t="s">
        <v>8950</v>
      </c>
      <c r="X24" t="s">
        <v>1167</v>
      </c>
      <c r="Y24" s="238"/>
      <c r="AC24">
        <v>13287000</v>
      </c>
      <c r="AD24">
        <v>0</v>
      </c>
    </row>
    <row r="25" spans="1:31" hidden="1" x14ac:dyDescent="0.25">
      <c r="A25" s="238" t="s">
        <v>8060</v>
      </c>
      <c r="B25">
        <v>8</v>
      </c>
      <c r="C25" s="238" t="s">
        <v>44</v>
      </c>
      <c r="D25">
        <v>3</v>
      </c>
      <c r="E25">
        <v>23.78</v>
      </c>
      <c r="F25">
        <v>150000</v>
      </c>
      <c r="H25">
        <v>150000</v>
      </c>
      <c r="J25">
        <v>150000</v>
      </c>
      <c r="L25">
        <v>150000</v>
      </c>
      <c r="N25">
        <v>150000</v>
      </c>
      <c r="O25">
        <v>150000</v>
      </c>
      <c r="P25">
        <v>3567000</v>
      </c>
      <c r="R25" s="238" t="s">
        <v>8956</v>
      </c>
      <c r="S25" s="238" t="s">
        <v>8956</v>
      </c>
      <c r="T25" t="b">
        <v>1</v>
      </c>
      <c r="U25" t="s">
        <v>8962</v>
      </c>
      <c r="V25" t="s">
        <v>8949</v>
      </c>
      <c r="W25" t="s">
        <v>8953</v>
      </c>
      <c r="X25" t="s">
        <v>8957</v>
      </c>
      <c r="Y25" s="238"/>
      <c r="AC25">
        <v>3567000</v>
      </c>
      <c r="AD25">
        <v>0</v>
      </c>
    </row>
    <row r="26" spans="1:31" hidden="1" x14ac:dyDescent="0.25">
      <c r="A26" s="238" t="s">
        <v>8060</v>
      </c>
      <c r="B26">
        <v>9</v>
      </c>
      <c r="C26" s="238" t="s">
        <v>44</v>
      </c>
      <c r="D26">
        <v>3</v>
      </c>
      <c r="E26">
        <v>158.34</v>
      </c>
      <c r="F26">
        <v>150000</v>
      </c>
      <c r="H26">
        <v>150000</v>
      </c>
      <c r="J26">
        <v>150000</v>
      </c>
      <c r="L26">
        <v>150000</v>
      </c>
      <c r="N26">
        <v>150000</v>
      </c>
      <c r="O26">
        <v>150000</v>
      </c>
      <c r="P26">
        <v>23751000</v>
      </c>
      <c r="R26" s="238" t="s">
        <v>35</v>
      </c>
      <c r="S26" s="238" t="s">
        <v>35</v>
      </c>
      <c r="T26" t="b">
        <v>1</v>
      </c>
      <c r="U26" t="s">
        <v>8962</v>
      </c>
      <c r="V26" t="s">
        <v>8949</v>
      </c>
      <c r="W26" t="s">
        <v>8953</v>
      </c>
      <c r="X26" t="s">
        <v>8954</v>
      </c>
      <c r="Y26" s="238"/>
      <c r="AC26">
        <v>23751000</v>
      </c>
      <c r="AD26">
        <v>0</v>
      </c>
    </row>
    <row r="27" spans="1:31" hidden="1" x14ac:dyDescent="0.25">
      <c r="A27" s="238" t="s">
        <v>20</v>
      </c>
      <c r="B27">
        <v>1</v>
      </c>
      <c r="C27" s="238" t="s">
        <v>6</v>
      </c>
      <c r="D27">
        <v>1</v>
      </c>
      <c r="E27">
        <v>89.8</v>
      </c>
      <c r="F27">
        <v>85000</v>
      </c>
      <c r="G27">
        <v>5000</v>
      </c>
      <c r="H27">
        <v>90000</v>
      </c>
      <c r="I27">
        <v>5000</v>
      </c>
      <c r="J27">
        <v>95000</v>
      </c>
      <c r="K27">
        <v>5000</v>
      </c>
      <c r="L27">
        <v>100000</v>
      </c>
      <c r="N27">
        <v>100000</v>
      </c>
      <c r="O27">
        <v>95000</v>
      </c>
      <c r="P27">
        <v>8531000</v>
      </c>
      <c r="Q27">
        <v>449000</v>
      </c>
      <c r="R27" s="238" t="s">
        <v>39</v>
      </c>
      <c r="S27" s="238" t="s">
        <v>35</v>
      </c>
      <c r="T27" t="b">
        <v>0</v>
      </c>
      <c r="U27" t="s">
        <v>8955</v>
      </c>
      <c r="V27" t="s">
        <v>8949</v>
      </c>
      <c r="W27" t="s">
        <v>8953</v>
      </c>
      <c r="X27" t="s">
        <v>8954</v>
      </c>
      <c r="Y27" s="238" t="s">
        <v>7669</v>
      </c>
      <c r="Z27" t="s">
        <v>321</v>
      </c>
      <c r="AB27" t="s">
        <v>5246</v>
      </c>
      <c r="AC27">
        <v>8531000</v>
      </c>
      <c r="AD27">
        <v>0</v>
      </c>
    </row>
    <row r="28" spans="1:31" hidden="1" x14ac:dyDescent="0.25">
      <c r="A28" s="238" t="s">
        <v>20</v>
      </c>
      <c r="B28">
        <v>2</v>
      </c>
      <c r="C28" s="238" t="s">
        <v>6</v>
      </c>
      <c r="D28">
        <v>1</v>
      </c>
      <c r="E28">
        <v>65.599999999999994</v>
      </c>
      <c r="F28">
        <v>115000</v>
      </c>
      <c r="G28">
        <v>5000</v>
      </c>
      <c r="H28">
        <v>120000</v>
      </c>
      <c r="I28">
        <v>5000</v>
      </c>
      <c r="J28">
        <v>125000</v>
      </c>
      <c r="K28">
        <v>5000</v>
      </c>
      <c r="L28">
        <v>130000</v>
      </c>
      <c r="N28">
        <v>130000</v>
      </c>
      <c r="O28">
        <v>120000.00000000001</v>
      </c>
      <c r="P28">
        <v>7872000</v>
      </c>
      <c r="Q28">
        <v>656000</v>
      </c>
      <c r="R28" s="238" t="s">
        <v>39</v>
      </c>
      <c r="S28" s="238" t="s">
        <v>39</v>
      </c>
      <c r="T28" t="b">
        <v>1</v>
      </c>
      <c r="U28" t="s">
        <v>8955</v>
      </c>
      <c r="V28" t="s">
        <v>8949</v>
      </c>
      <c r="W28" t="s">
        <v>8950</v>
      </c>
      <c r="X28" t="s">
        <v>1167</v>
      </c>
      <c r="Y28" s="238"/>
      <c r="Z28" t="s">
        <v>321</v>
      </c>
      <c r="AB28" t="s">
        <v>5247</v>
      </c>
      <c r="AC28">
        <v>7872000</v>
      </c>
      <c r="AD28">
        <v>0</v>
      </c>
    </row>
    <row r="29" spans="1:31" x14ac:dyDescent="0.25">
      <c r="A29" s="238" t="s">
        <v>20</v>
      </c>
      <c r="B29">
        <v>3</v>
      </c>
      <c r="C29" s="238" t="s">
        <v>6</v>
      </c>
      <c r="D29">
        <v>1</v>
      </c>
      <c r="E29">
        <v>127.2</v>
      </c>
      <c r="F29">
        <v>87000</v>
      </c>
      <c r="G29">
        <v>5000</v>
      </c>
      <c r="H29">
        <v>92000</v>
      </c>
      <c r="I29">
        <v>5000</v>
      </c>
      <c r="J29">
        <v>97000</v>
      </c>
      <c r="K29">
        <v>3000</v>
      </c>
      <c r="L29">
        <v>100000</v>
      </c>
      <c r="N29">
        <v>100000</v>
      </c>
      <c r="O29">
        <v>100000</v>
      </c>
      <c r="P29">
        <v>12720000</v>
      </c>
      <c r="R29" s="238" t="s">
        <v>3</v>
      </c>
      <c r="S29" s="238" t="s">
        <v>3</v>
      </c>
      <c r="T29" t="b">
        <v>1</v>
      </c>
      <c r="U29" t="s">
        <v>8955</v>
      </c>
      <c r="V29" t="s">
        <v>8949</v>
      </c>
      <c r="W29" t="s">
        <v>8951</v>
      </c>
      <c r="X29" t="s">
        <v>1167</v>
      </c>
      <c r="Y29" s="238"/>
      <c r="AB29" t="s">
        <v>5248</v>
      </c>
      <c r="AC29">
        <v>12720000</v>
      </c>
      <c r="AD29">
        <v>0</v>
      </c>
    </row>
    <row r="30" spans="1:31" x14ac:dyDescent="0.25">
      <c r="A30" s="238" t="s">
        <v>20</v>
      </c>
      <c r="B30">
        <v>4</v>
      </c>
      <c r="C30" s="238" t="s">
        <v>6</v>
      </c>
      <c r="D30">
        <v>1</v>
      </c>
      <c r="E30">
        <v>104.1</v>
      </c>
      <c r="F30">
        <v>105000</v>
      </c>
      <c r="G30">
        <v>5000</v>
      </c>
      <c r="H30">
        <v>110000</v>
      </c>
      <c r="I30">
        <v>5000</v>
      </c>
      <c r="J30">
        <v>115000</v>
      </c>
      <c r="K30">
        <v>15000</v>
      </c>
      <c r="L30">
        <v>130000</v>
      </c>
      <c r="M30">
        <v>10000</v>
      </c>
      <c r="N30">
        <v>120000</v>
      </c>
      <c r="O30">
        <v>120000</v>
      </c>
      <c r="P30">
        <v>12492000</v>
      </c>
      <c r="R30" s="238" t="s">
        <v>3</v>
      </c>
      <c r="S30" s="238" t="s">
        <v>3</v>
      </c>
      <c r="T30" t="b">
        <v>1</v>
      </c>
      <c r="U30" t="s">
        <v>8955</v>
      </c>
      <c r="V30" t="s">
        <v>8949</v>
      </c>
      <c r="W30" t="s">
        <v>8951</v>
      </c>
      <c r="X30" t="s">
        <v>1167</v>
      </c>
      <c r="Y30" s="238" t="s">
        <v>4775</v>
      </c>
      <c r="AB30" t="s">
        <v>5249</v>
      </c>
      <c r="AC30">
        <v>12492000</v>
      </c>
      <c r="AD30">
        <v>0</v>
      </c>
    </row>
    <row r="31" spans="1:31" hidden="1" x14ac:dyDescent="0.25">
      <c r="A31" s="238" t="s">
        <v>20</v>
      </c>
      <c r="B31">
        <v>5</v>
      </c>
      <c r="C31" s="238" t="s">
        <v>6</v>
      </c>
      <c r="D31">
        <v>1</v>
      </c>
      <c r="E31">
        <v>79.2</v>
      </c>
      <c r="F31">
        <v>115000</v>
      </c>
      <c r="H31">
        <v>115000</v>
      </c>
      <c r="J31">
        <v>115000</v>
      </c>
      <c r="L31">
        <v>115000</v>
      </c>
      <c r="N31">
        <v>115000</v>
      </c>
      <c r="O31">
        <v>115000</v>
      </c>
      <c r="P31">
        <v>9108000</v>
      </c>
      <c r="R31" s="238" t="s">
        <v>39</v>
      </c>
      <c r="S31" s="238" t="s">
        <v>35</v>
      </c>
      <c r="T31" t="b">
        <v>0</v>
      </c>
      <c r="U31" t="s">
        <v>8955</v>
      </c>
      <c r="V31" t="s">
        <v>8949</v>
      </c>
      <c r="W31" t="s">
        <v>8953</v>
      </c>
      <c r="X31" t="s">
        <v>8954</v>
      </c>
      <c r="Y31" s="238" t="s">
        <v>4312</v>
      </c>
      <c r="AB31" t="s">
        <v>5250</v>
      </c>
      <c r="AC31">
        <v>9108000</v>
      </c>
      <c r="AD31">
        <v>0</v>
      </c>
    </row>
    <row r="32" spans="1:31" x14ac:dyDescent="0.25">
      <c r="A32" s="238" t="s">
        <v>20</v>
      </c>
      <c r="B32">
        <v>6</v>
      </c>
      <c r="C32" s="238" t="s">
        <v>6</v>
      </c>
      <c r="D32">
        <v>1</v>
      </c>
      <c r="E32">
        <v>116</v>
      </c>
      <c r="F32">
        <v>90000</v>
      </c>
      <c r="G32">
        <v>5000</v>
      </c>
      <c r="H32">
        <v>95000</v>
      </c>
      <c r="I32">
        <v>5000</v>
      </c>
      <c r="J32">
        <v>100000</v>
      </c>
      <c r="K32">
        <v>10000</v>
      </c>
      <c r="L32">
        <v>110000</v>
      </c>
      <c r="N32">
        <v>110000</v>
      </c>
      <c r="O32">
        <v>110000</v>
      </c>
      <c r="P32">
        <v>12760000</v>
      </c>
      <c r="R32" s="238" t="s">
        <v>3</v>
      </c>
      <c r="S32" s="238" t="s">
        <v>3</v>
      </c>
      <c r="T32" t="b">
        <v>1</v>
      </c>
      <c r="U32" t="s">
        <v>8955</v>
      </c>
      <c r="V32" t="s">
        <v>8949</v>
      </c>
      <c r="W32" t="s">
        <v>8951</v>
      </c>
      <c r="X32" t="s">
        <v>1167</v>
      </c>
      <c r="Y32" s="238" t="s">
        <v>4776</v>
      </c>
      <c r="AB32" t="s">
        <v>5251</v>
      </c>
      <c r="AC32">
        <v>12760000</v>
      </c>
      <c r="AD32">
        <v>0</v>
      </c>
    </row>
    <row r="33" spans="1:30" x14ac:dyDescent="0.25">
      <c r="A33" s="238" t="s">
        <v>20</v>
      </c>
      <c r="B33">
        <v>7</v>
      </c>
      <c r="C33" s="238" t="s">
        <v>5</v>
      </c>
      <c r="D33">
        <v>1</v>
      </c>
      <c r="E33">
        <v>150.9</v>
      </c>
      <c r="F33">
        <v>85000</v>
      </c>
      <c r="G33">
        <v>5000</v>
      </c>
      <c r="H33">
        <v>90000</v>
      </c>
      <c r="I33">
        <v>5000</v>
      </c>
      <c r="J33">
        <v>95000</v>
      </c>
      <c r="K33">
        <v>35000</v>
      </c>
      <c r="L33">
        <v>130000</v>
      </c>
      <c r="M33">
        <v>10000</v>
      </c>
      <c r="N33">
        <v>120000</v>
      </c>
      <c r="O33">
        <v>120000</v>
      </c>
      <c r="P33">
        <v>18108000</v>
      </c>
      <c r="R33" s="238" t="s">
        <v>3</v>
      </c>
      <c r="S33" s="238" t="s">
        <v>3</v>
      </c>
      <c r="T33" t="b">
        <v>1</v>
      </c>
      <c r="U33" t="s">
        <v>8955</v>
      </c>
      <c r="V33" t="s">
        <v>8949</v>
      </c>
      <c r="W33" t="s">
        <v>8951</v>
      </c>
      <c r="X33" t="s">
        <v>1167</v>
      </c>
      <c r="Y33" s="238"/>
      <c r="AB33" t="s">
        <v>5252</v>
      </c>
      <c r="AC33">
        <v>18108000</v>
      </c>
      <c r="AD33">
        <v>0</v>
      </c>
    </row>
    <row r="34" spans="1:30" x14ac:dyDescent="0.25">
      <c r="A34" s="238" t="s">
        <v>20</v>
      </c>
      <c r="B34">
        <v>8</v>
      </c>
      <c r="C34" s="238" t="s">
        <v>5</v>
      </c>
      <c r="D34">
        <v>1</v>
      </c>
      <c r="E34">
        <v>383.8</v>
      </c>
      <c r="F34">
        <v>120000</v>
      </c>
      <c r="G34">
        <v>5000</v>
      </c>
      <c r="H34">
        <v>125000</v>
      </c>
      <c r="I34">
        <v>5000</v>
      </c>
      <c r="J34">
        <v>130000</v>
      </c>
      <c r="L34">
        <v>130000</v>
      </c>
      <c r="N34">
        <v>130000</v>
      </c>
      <c r="O34">
        <v>130000</v>
      </c>
      <c r="P34">
        <v>49894000</v>
      </c>
      <c r="R34" s="238" t="s">
        <v>4313</v>
      </c>
      <c r="S34" s="238" t="s">
        <v>35</v>
      </c>
      <c r="T34" t="b">
        <v>0</v>
      </c>
      <c r="U34" t="s">
        <v>8955</v>
      </c>
      <c r="V34" t="s">
        <v>8949</v>
      </c>
      <c r="W34" t="s">
        <v>8953</v>
      </c>
      <c r="X34" t="s">
        <v>8954</v>
      </c>
      <c r="Y34" s="238" t="s">
        <v>4315</v>
      </c>
      <c r="AB34" t="s">
        <v>5253</v>
      </c>
      <c r="AC34">
        <v>49894000</v>
      </c>
      <c r="AD34">
        <v>0</v>
      </c>
    </row>
    <row r="35" spans="1:30" hidden="1" x14ac:dyDescent="0.25">
      <c r="A35" s="238" t="s">
        <v>20</v>
      </c>
      <c r="B35">
        <v>9</v>
      </c>
      <c r="C35" s="238" t="s">
        <v>16</v>
      </c>
      <c r="D35">
        <v>1</v>
      </c>
      <c r="E35">
        <v>242.4</v>
      </c>
      <c r="F35">
        <v>120000</v>
      </c>
      <c r="G35">
        <v>5000</v>
      </c>
      <c r="H35">
        <v>125000</v>
      </c>
      <c r="I35">
        <v>5000</v>
      </c>
      <c r="J35">
        <v>130000</v>
      </c>
      <c r="L35">
        <v>130000</v>
      </c>
      <c r="N35">
        <v>130000</v>
      </c>
      <c r="O35">
        <v>126100</v>
      </c>
      <c r="P35">
        <v>30566640</v>
      </c>
      <c r="Q35">
        <v>945360</v>
      </c>
      <c r="R35" s="238" t="s">
        <v>39</v>
      </c>
      <c r="S35" s="238" t="s">
        <v>35</v>
      </c>
      <c r="T35" t="b">
        <v>0</v>
      </c>
      <c r="U35" t="s">
        <v>8955</v>
      </c>
      <c r="V35" t="s">
        <v>8949</v>
      </c>
      <c r="W35" t="s">
        <v>8953</v>
      </c>
      <c r="X35" t="s">
        <v>8954</v>
      </c>
      <c r="Y35" s="238"/>
      <c r="Z35" t="s">
        <v>321</v>
      </c>
      <c r="AB35" t="s">
        <v>6723</v>
      </c>
      <c r="AC35">
        <v>30566640</v>
      </c>
      <c r="AD35">
        <v>0</v>
      </c>
    </row>
    <row r="36" spans="1:30" hidden="1" x14ac:dyDescent="0.25">
      <c r="A36" s="238" t="s">
        <v>20</v>
      </c>
      <c r="B36">
        <v>10</v>
      </c>
      <c r="C36" s="238" t="s">
        <v>16</v>
      </c>
      <c r="D36">
        <v>1</v>
      </c>
      <c r="E36">
        <v>335.9</v>
      </c>
      <c r="F36">
        <v>120000</v>
      </c>
      <c r="G36">
        <v>5000</v>
      </c>
      <c r="H36">
        <v>125000</v>
      </c>
      <c r="I36">
        <v>5000</v>
      </c>
      <c r="J36">
        <v>130000</v>
      </c>
      <c r="L36">
        <v>130000</v>
      </c>
      <c r="N36">
        <v>130000</v>
      </c>
      <c r="O36">
        <v>126100.00000000001</v>
      </c>
      <c r="P36">
        <v>42356990</v>
      </c>
      <c r="Q36">
        <v>1310010</v>
      </c>
      <c r="R36" s="238" t="s">
        <v>39</v>
      </c>
      <c r="S36" s="238" t="s">
        <v>35</v>
      </c>
      <c r="T36" t="b">
        <v>0</v>
      </c>
      <c r="U36" t="s">
        <v>8955</v>
      </c>
      <c r="V36" t="s">
        <v>8949</v>
      </c>
      <c r="W36" t="s">
        <v>8953</v>
      </c>
      <c r="X36" t="s">
        <v>8954</v>
      </c>
      <c r="Y36" s="238"/>
      <c r="Z36" t="s">
        <v>321</v>
      </c>
      <c r="AB36" t="s">
        <v>6724</v>
      </c>
      <c r="AC36">
        <v>42356990</v>
      </c>
      <c r="AD36">
        <v>0</v>
      </c>
    </row>
    <row r="37" spans="1:30" x14ac:dyDescent="0.25">
      <c r="A37" s="238" t="s">
        <v>19</v>
      </c>
      <c r="B37">
        <v>1</v>
      </c>
      <c r="C37" s="238" t="s">
        <v>6</v>
      </c>
      <c r="D37">
        <v>1</v>
      </c>
      <c r="E37">
        <v>126.7</v>
      </c>
      <c r="F37">
        <v>110000</v>
      </c>
      <c r="H37">
        <v>110000</v>
      </c>
      <c r="J37">
        <v>110000</v>
      </c>
      <c r="L37">
        <v>110000</v>
      </c>
      <c r="N37">
        <v>110000</v>
      </c>
      <c r="O37">
        <v>110000</v>
      </c>
      <c r="P37">
        <v>13937000</v>
      </c>
      <c r="R37" s="238" t="s">
        <v>4313</v>
      </c>
      <c r="S37" s="238" t="s">
        <v>35</v>
      </c>
      <c r="T37" t="b">
        <v>0</v>
      </c>
      <c r="U37" t="s">
        <v>8958</v>
      </c>
      <c r="V37" t="s">
        <v>8949</v>
      </c>
      <c r="W37" t="s">
        <v>8953</v>
      </c>
      <c r="X37" t="s">
        <v>8954</v>
      </c>
      <c r="Y37" s="238" t="s">
        <v>4714</v>
      </c>
      <c r="Z37" t="s">
        <v>4777</v>
      </c>
      <c r="AB37" t="s">
        <v>5254</v>
      </c>
      <c r="AC37">
        <v>13937000</v>
      </c>
      <c r="AD37">
        <v>0</v>
      </c>
    </row>
    <row r="38" spans="1:30" x14ac:dyDescent="0.25">
      <c r="A38" s="238" t="s">
        <v>19</v>
      </c>
      <c r="B38">
        <v>2</v>
      </c>
      <c r="C38" s="238" t="s">
        <v>6</v>
      </c>
      <c r="D38">
        <v>1</v>
      </c>
      <c r="E38">
        <v>143.80000000000001</v>
      </c>
      <c r="F38">
        <v>110000</v>
      </c>
      <c r="H38">
        <v>110000</v>
      </c>
      <c r="J38">
        <v>110000</v>
      </c>
      <c r="L38">
        <v>110000</v>
      </c>
      <c r="N38">
        <v>110000</v>
      </c>
      <c r="O38">
        <v>109999.99999999999</v>
      </c>
      <c r="P38">
        <v>15818000</v>
      </c>
      <c r="R38" s="238" t="s">
        <v>4313</v>
      </c>
      <c r="S38" s="238" t="s">
        <v>35</v>
      </c>
      <c r="T38" t="b">
        <v>0</v>
      </c>
      <c r="U38" t="s">
        <v>8958</v>
      </c>
      <c r="V38" t="s">
        <v>8949</v>
      </c>
      <c r="W38" t="s">
        <v>8953</v>
      </c>
      <c r="X38" t="s">
        <v>8954</v>
      </c>
      <c r="Y38" s="238" t="s">
        <v>4714</v>
      </c>
      <c r="Z38" t="s">
        <v>4777</v>
      </c>
      <c r="AB38" t="s">
        <v>5255</v>
      </c>
      <c r="AC38">
        <v>15818000</v>
      </c>
      <c r="AD38">
        <v>0</v>
      </c>
    </row>
    <row r="39" spans="1:30" x14ac:dyDescent="0.25">
      <c r="A39" s="238" t="s">
        <v>19</v>
      </c>
      <c r="B39">
        <v>3</v>
      </c>
      <c r="C39" s="238" t="s">
        <v>6</v>
      </c>
      <c r="D39">
        <v>1</v>
      </c>
      <c r="E39">
        <v>137.69999999999999</v>
      </c>
      <c r="F39">
        <v>110000</v>
      </c>
      <c r="H39">
        <v>110000</v>
      </c>
      <c r="J39">
        <v>110000</v>
      </c>
      <c r="K39">
        <v>25000</v>
      </c>
      <c r="L39">
        <v>135000</v>
      </c>
      <c r="N39">
        <v>135000</v>
      </c>
      <c r="O39">
        <v>135000</v>
      </c>
      <c r="P39">
        <v>18589500</v>
      </c>
      <c r="R39" s="238" t="s">
        <v>4313</v>
      </c>
      <c r="S39" s="238" t="s">
        <v>35</v>
      </c>
      <c r="T39" t="b">
        <v>0</v>
      </c>
      <c r="U39" t="s">
        <v>8958</v>
      </c>
      <c r="V39" t="s">
        <v>8949</v>
      </c>
      <c r="W39" t="s">
        <v>8953</v>
      </c>
      <c r="X39" t="s">
        <v>8954</v>
      </c>
      <c r="Y39" s="238" t="s">
        <v>4316</v>
      </c>
      <c r="Z39" t="s">
        <v>4777</v>
      </c>
      <c r="AB39" t="s">
        <v>5256</v>
      </c>
      <c r="AC39">
        <v>18589500</v>
      </c>
      <c r="AD39">
        <v>0</v>
      </c>
    </row>
    <row r="40" spans="1:30" x14ac:dyDescent="0.25">
      <c r="A40" s="238" t="s">
        <v>19</v>
      </c>
      <c r="B40">
        <v>4</v>
      </c>
      <c r="C40" s="238" t="s">
        <v>5</v>
      </c>
      <c r="D40">
        <v>1</v>
      </c>
      <c r="E40">
        <v>114.8</v>
      </c>
      <c r="F40">
        <v>110000</v>
      </c>
      <c r="H40">
        <v>110000</v>
      </c>
      <c r="J40">
        <v>110000</v>
      </c>
      <c r="K40">
        <v>30000</v>
      </c>
      <c r="L40">
        <v>140000</v>
      </c>
      <c r="M40">
        <v>20000</v>
      </c>
      <c r="N40">
        <v>120000</v>
      </c>
      <c r="O40">
        <v>120000</v>
      </c>
      <c r="P40">
        <v>13776000</v>
      </c>
      <c r="R40" s="238" t="s">
        <v>3</v>
      </c>
      <c r="S40" s="238" t="s">
        <v>3</v>
      </c>
      <c r="T40" t="b">
        <v>1</v>
      </c>
      <c r="U40" t="s">
        <v>8958</v>
      </c>
      <c r="V40" t="s">
        <v>8949</v>
      </c>
      <c r="W40" t="s">
        <v>8951</v>
      </c>
      <c r="X40" t="s">
        <v>1167</v>
      </c>
      <c r="Y40" s="238" t="s">
        <v>7866</v>
      </c>
      <c r="AB40" t="s">
        <v>5257</v>
      </c>
      <c r="AC40">
        <v>13776000</v>
      </c>
      <c r="AD40">
        <v>0</v>
      </c>
    </row>
    <row r="41" spans="1:30" x14ac:dyDescent="0.25">
      <c r="A41" s="238" t="s">
        <v>19</v>
      </c>
      <c r="B41">
        <v>5</v>
      </c>
      <c r="C41" s="238" t="s">
        <v>5</v>
      </c>
      <c r="D41">
        <v>1</v>
      </c>
      <c r="E41">
        <v>147.5</v>
      </c>
      <c r="F41">
        <v>110000</v>
      </c>
      <c r="H41">
        <v>110000</v>
      </c>
      <c r="J41">
        <v>110000</v>
      </c>
      <c r="K41">
        <v>25000</v>
      </c>
      <c r="L41">
        <v>135000</v>
      </c>
      <c r="M41">
        <v>15000</v>
      </c>
      <c r="N41">
        <v>120000</v>
      </c>
      <c r="O41">
        <v>120000</v>
      </c>
      <c r="P41">
        <v>17700000</v>
      </c>
      <c r="R41" s="238" t="s">
        <v>3</v>
      </c>
      <c r="S41" s="238" t="s">
        <v>3</v>
      </c>
      <c r="T41" t="b">
        <v>1</v>
      </c>
      <c r="U41" t="s">
        <v>8958</v>
      </c>
      <c r="V41" t="s">
        <v>8949</v>
      </c>
      <c r="W41" t="s">
        <v>8951</v>
      </c>
      <c r="X41" t="s">
        <v>1167</v>
      </c>
      <c r="Y41" s="238"/>
      <c r="AB41" t="s">
        <v>5258</v>
      </c>
      <c r="AC41">
        <v>17700000</v>
      </c>
      <c r="AD41">
        <v>0</v>
      </c>
    </row>
    <row r="42" spans="1:30" x14ac:dyDescent="0.25">
      <c r="A42" s="238" t="s">
        <v>19</v>
      </c>
      <c r="B42">
        <v>6</v>
      </c>
      <c r="C42" s="238" t="s">
        <v>5</v>
      </c>
      <c r="D42">
        <v>1</v>
      </c>
      <c r="E42">
        <v>160.6</v>
      </c>
      <c r="F42">
        <v>110000</v>
      </c>
      <c r="H42">
        <v>110000</v>
      </c>
      <c r="J42">
        <v>110000</v>
      </c>
      <c r="K42">
        <v>15000</v>
      </c>
      <c r="L42">
        <v>125000</v>
      </c>
      <c r="M42">
        <v>5000</v>
      </c>
      <c r="N42">
        <v>120000</v>
      </c>
      <c r="O42">
        <v>120000</v>
      </c>
      <c r="P42">
        <v>19272000</v>
      </c>
      <c r="R42" s="238" t="s">
        <v>3</v>
      </c>
      <c r="S42" s="238" t="s">
        <v>3</v>
      </c>
      <c r="T42" t="b">
        <v>1</v>
      </c>
      <c r="U42" t="s">
        <v>8958</v>
      </c>
      <c r="V42" t="s">
        <v>8949</v>
      </c>
      <c r="W42" t="s">
        <v>8951</v>
      </c>
      <c r="X42" t="s">
        <v>1167</v>
      </c>
      <c r="Y42" s="238" t="s">
        <v>7673</v>
      </c>
      <c r="AB42" t="s">
        <v>5259</v>
      </c>
      <c r="AC42">
        <v>19272000</v>
      </c>
      <c r="AD42">
        <v>0</v>
      </c>
    </row>
    <row r="43" spans="1:30" hidden="1" x14ac:dyDescent="0.25">
      <c r="A43" s="238" t="s">
        <v>19</v>
      </c>
      <c r="B43">
        <v>7</v>
      </c>
      <c r="C43" s="238" t="s">
        <v>5</v>
      </c>
      <c r="D43">
        <v>1</v>
      </c>
      <c r="E43">
        <v>123.8</v>
      </c>
      <c r="F43">
        <v>110000</v>
      </c>
      <c r="H43">
        <v>110000</v>
      </c>
      <c r="J43">
        <v>110000</v>
      </c>
      <c r="K43">
        <v>40000</v>
      </c>
      <c r="L43">
        <v>150000</v>
      </c>
      <c r="M43">
        <v>30000</v>
      </c>
      <c r="N43">
        <v>120000</v>
      </c>
      <c r="O43">
        <v>120000</v>
      </c>
      <c r="P43">
        <v>14856000</v>
      </c>
      <c r="R43" s="238" t="s">
        <v>8956</v>
      </c>
      <c r="S43" s="238" t="s">
        <v>8956</v>
      </c>
      <c r="T43" t="b">
        <v>1</v>
      </c>
      <c r="U43" t="s">
        <v>8958</v>
      </c>
      <c r="V43" t="s">
        <v>8949</v>
      </c>
      <c r="W43" t="s">
        <v>8953</v>
      </c>
      <c r="X43" t="s">
        <v>8957</v>
      </c>
      <c r="Y43" s="238" t="s">
        <v>7867</v>
      </c>
      <c r="AB43" t="s">
        <v>5260</v>
      </c>
      <c r="AC43">
        <v>14856000</v>
      </c>
      <c r="AD43">
        <v>0</v>
      </c>
    </row>
    <row r="44" spans="1:30" hidden="1" x14ac:dyDescent="0.25">
      <c r="A44" s="238" t="s">
        <v>27</v>
      </c>
      <c r="B44">
        <v>1</v>
      </c>
      <c r="C44" s="238" t="s">
        <v>6</v>
      </c>
      <c r="D44">
        <v>1</v>
      </c>
      <c r="E44">
        <v>36.89</v>
      </c>
      <c r="F44">
        <v>110000</v>
      </c>
      <c r="H44">
        <v>110000</v>
      </c>
      <c r="J44">
        <v>110000</v>
      </c>
      <c r="L44">
        <v>110000</v>
      </c>
      <c r="N44">
        <v>110000</v>
      </c>
      <c r="O44">
        <v>110000</v>
      </c>
      <c r="P44">
        <v>4057900</v>
      </c>
      <c r="R44" s="238" t="s">
        <v>39</v>
      </c>
      <c r="S44" s="238" t="s">
        <v>35</v>
      </c>
      <c r="T44" t="b">
        <v>0</v>
      </c>
      <c r="U44" t="s">
        <v>8959</v>
      </c>
      <c r="V44" t="s">
        <v>8949</v>
      </c>
      <c r="W44" t="s">
        <v>8953</v>
      </c>
      <c r="X44" t="s">
        <v>8954</v>
      </c>
      <c r="Y44" s="238"/>
      <c r="AB44" t="s">
        <v>5261</v>
      </c>
      <c r="AC44">
        <v>4057900</v>
      </c>
      <c r="AD44">
        <v>0</v>
      </c>
    </row>
    <row r="45" spans="1:30" x14ac:dyDescent="0.25">
      <c r="A45" s="238" t="s">
        <v>27</v>
      </c>
      <c r="B45">
        <v>2</v>
      </c>
      <c r="C45" s="238" t="s">
        <v>6</v>
      </c>
      <c r="D45">
        <v>1</v>
      </c>
      <c r="E45">
        <v>145.4</v>
      </c>
      <c r="F45">
        <v>85000</v>
      </c>
      <c r="G45">
        <v>5000</v>
      </c>
      <c r="H45">
        <v>90000</v>
      </c>
      <c r="I45">
        <v>5000</v>
      </c>
      <c r="J45">
        <v>95000</v>
      </c>
      <c r="K45">
        <v>35000</v>
      </c>
      <c r="L45">
        <v>130000</v>
      </c>
      <c r="M45">
        <v>20000</v>
      </c>
      <c r="N45">
        <v>110000</v>
      </c>
      <c r="O45">
        <v>110000</v>
      </c>
      <c r="P45">
        <v>15994000</v>
      </c>
      <c r="R45" s="238" t="s">
        <v>3</v>
      </c>
      <c r="S45" s="238" t="s">
        <v>3</v>
      </c>
      <c r="T45" t="b">
        <v>1</v>
      </c>
      <c r="U45" t="s">
        <v>8959</v>
      </c>
      <c r="V45" t="s">
        <v>8949</v>
      </c>
      <c r="W45" t="s">
        <v>8951</v>
      </c>
      <c r="X45" t="s">
        <v>1167</v>
      </c>
      <c r="Y45" s="238"/>
      <c r="AB45" t="s">
        <v>5262</v>
      </c>
      <c r="AC45">
        <v>15994000</v>
      </c>
      <c r="AD45">
        <v>0</v>
      </c>
    </row>
    <row r="46" spans="1:30" hidden="1" x14ac:dyDescent="0.25">
      <c r="A46" s="238" t="s">
        <v>27</v>
      </c>
      <c r="B46">
        <v>3</v>
      </c>
      <c r="C46" s="238" t="s">
        <v>6</v>
      </c>
      <c r="D46">
        <v>1</v>
      </c>
      <c r="E46">
        <v>101.3</v>
      </c>
      <c r="F46">
        <v>85000</v>
      </c>
      <c r="G46">
        <v>5000</v>
      </c>
      <c r="H46">
        <v>90000</v>
      </c>
      <c r="I46">
        <v>5000</v>
      </c>
      <c r="J46">
        <v>95000</v>
      </c>
      <c r="K46">
        <v>30000</v>
      </c>
      <c r="L46">
        <v>125000</v>
      </c>
      <c r="N46">
        <v>125000</v>
      </c>
      <c r="O46">
        <v>120000</v>
      </c>
      <c r="P46">
        <v>12156000</v>
      </c>
      <c r="Q46">
        <v>506500</v>
      </c>
      <c r="R46" s="238" t="s">
        <v>39</v>
      </c>
      <c r="S46" s="238" t="s">
        <v>35</v>
      </c>
      <c r="T46" t="b">
        <v>0</v>
      </c>
      <c r="U46" t="s">
        <v>8959</v>
      </c>
      <c r="V46" t="s">
        <v>8949</v>
      </c>
      <c r="W46" t="s">
        <v>8953</v>
      </c>
      <c r="X46" t="s">
        <v>8954</v>
      </c>
      <c r="Y46" s="238"/>
      <c r="Z46" t="s">
        <v>321</v>
      </c>
      <c r="AB46" t="s">
        <v>5263</v>
      </c>
      <c r="AC46">
        <v>12156000</v>
      </c>
      <c r="AD46">
        <v>0</v>
      </c>
    </row>
    <row r="47" spans="1:30" x14ac:dyDescent="0.25">
      <c r="A47" s="238" t="s">
        <v>27</v>
      </c>
      <c r="B47">
        <v>4</v>
      </c>
      <c r="C47" s="238" t="s">
        <v>6</v>
      </c>
      <c r="D47">
        <v>1</v>
      </c>
      <c r="E47">
        <v>136.5</v>
      </c>
      <c r="F47">
        <v>85000</v>
      </c>
      <c r="G47">
        <v>5000</v>
      </c>
      <c r="H47">
        <v>90000</v>
      </c>
      <c r="I47">
        <v>5000</v>
      </c>
      <c r="J47">
        <v>95000</v>
      </c>
      <c r="K47">
        <v>25000</v>
      </c>
      <c r="L47">
        <v>120000</v>
      </c>
      <c r="N47">
        <v>120000</v>
      </c>
      <c r="O47">
        <v>120000</v>
      </c>
      <c r="P47">
        <v>16380000</v>
      </c>
      <c r="R47" s="238" t="s">
        <v>3</v>
      </c>
      <c r="S47" s="238" t="s">
        <v>3</v>
      </c>
      <c r="T47" t="b">
        <v>1</v>
      </c>
      <c r="U47" t="s">
        <v>8959</v>
      </c>
      <c r="V47" t="s">
        <v>8949</v>
      </c>
      <c r="W47" t="s">
        <v>8951</v>
      </c>
      <c r="X47" t="s">
        <v>1167</v>
      </c>
      <c r="Y47" s="238"/>
      <c r="AB47" t="s">
        <v>5264</v>
      </c>
      <c r="AC47">
        <v>16380000</v>
      </c>
      <c r="AD47">
        <v>0</v>
      </c>
    </row>
    <row r="48" spans="1:30" hidden="1" x14ac:dyDescent="0.25">
      <c r="A48" s="238" t="s">
        <v>27</v>
      </c>
      <c r="B48">
        <v>5</v>
      </c>
      <c r="C48" s="238" t="s">
        <v>5</v>
      </c>
      <c r="D48">
        <v>1</v>
      </c>
      <c r="E48">
        <v>78.95</v>
      </c>
      <c r="F48">
        <v>90000</v>
      </c>
      <c r="G48">
        <v>5000</v>
      </c>
      <c r="H48">
        <v>95000</v>
      </c>
      <c r="J48">
        <v>95000</v>
      </c>
      <c r="L48">
        <v>95000</v>
      </c>
      <c r="N48">
        <v>95000</v>
      </c>
      <c r="O48">
        <v>95000</v>
      </c>
      <c r="P48">
        <v>7500250</v>
      </c>
      <c r="R48" s="238" t="s">
        <v>39</v>
      </c>
      <c r="S48" s="238" t="s">
        <v>35</v>
      </c>
      <c r="T48" t="b">
        <v>0</v>
      </c>
      <c r="U48" t="s">
        <v>8959</v>
      </c>
      <c r="V48" t="s">
        <v>8949</v>
      </c>
      <c r="W48" t="s">
        <v>8953</v>
      </c>
      <c r="X48" t="s">
        <v>8954</v>
      </c>
      <c r="Y48" s="238"/>
      <c r="AB48" t="s">
        <v>5265</v>
      </c>
      <c r="AC48">
        <v>7500250</v>
      </c>
      <c r="AD48">
        <v>0</v>
      </c>
    </row>
    <row r="49" spans="1:30" hidden="1" x14ac:dyDescent="0.25">
      <c r="A49" s="238" t="s">
        <v>27</v>
      </c>
      <c r="B49">
        <v>6</v>
      </c>
      <c r="C49" s="238" t="s">
        <v>5</v>
      </c>
      <c r="D49">
        <v>1</v>
      </c>
      <c r="E49">
        <v>149.19999999999999</v>
      </c>
      <c r="F49">
        <v>85000</v>
      </c>
      <c r="G49">
        <v>5000</v>
      </c>
      <c r="H49">
        <v>90000</v>
      </c>
      <c r="I49">
        <v>5000</v>
      </c>
      <c r="J49">
        <v>95000</v>
      </c>
      <c r="K49">
        <v>35000</v>
      </c>
      <c r="L49">
        <v>130000</v>
      </c>
      <c r="N49">
        <v>130000</v>
      </c>
      <c r="O49">
        <v>120643.43163538876</v>
      </c>
      <c r="P49">
        <v>18000000</v>
      </c>
      <c r="Q49">
        <v>1396000</v>
      </c>
      <c r="R49" s="238" t="s">
        <v>39</v>
      </c>
      <c r="S49" s="238" t="s">
        <v>35</v>
      </c>
      <c r="T49" t="b">
        <v>0</v>
      </c>
      <c r="U49" t="s">
        <v>8959</v>
      </c>
      <c r="V49" t="s">
        <v>8949</v>
      </c>
      <c r="W49" t="s">
        <v>8953</v>
      </c>
      <c r="X49" t="s">
        <v>8954</v>
      </c>
      <c r="Y49" s="238"/>
      <c r="AB49" t="s">
        <v>5266</v>
      </c>
      <c r="AC49">
        <v>18000000</v>
      </c>
      <c r="AD49">
        <v>0</v>
      </c>
    </row>
    <row r="50" spans="1:30" hidden="1" x14ac:dyDescent="0.25">
      <c r="A50" s="238" t="s">
        <v>27</v>
      </c>
      <c r="B50">
        <v>7</v>
      </c>
      <c r="C50" s="238" t="s">
        <v>5</v>
      </c>
      <c r="D50">
        <v>1</v>
      </c>
      <c r="E50">
        <v>134.52000000000001</v>
      </c>
      <c r="F50">
        <v>90000</v>
      </c>
      <c r="G50">
        <v>5000</v>
      </c>
      <c r="H50">
        <v>95000</v>
      </c>
      <c r="J50">
        <v>95000</v>
      </c>
      <c r="L50">
        <v>95000</v>
      </c>
      <c r="N50">
        <v>95000</v>
      </c>
      <c r="O50">
        <v>95000</v>
      </c>
      <c r="P50">
        <v>12779400</v>
      </c>
      <c r="R50" s="238" t="s">
        <v>39</v>
      </c>
      <c r="S50" s="238" t="s">
        <v>35</v>
      </c>
      <c r="T50" t="b">
        <v>0</v>
      </c>
      <c r="U50" t="s">
        <v>8959</v>
      </c>
      <c r="V50" t="s">
        <v>8949</v>
      </c>
      <c r="W50" t="s">
        <v>8953</v>
      </c>
      <c r="X50" t="s">
        <v>8954</v>
      </c>
      <c r="Y50" s="238"/>
      <c r="AB50" t="s">
        <v>5267</v>
      </c>
      <c r="AC50">
        <v>12779400</v>
      </c>
      <c r="AD50">
        <v>0</v>
      </c>
    </row>
    <row r="51" spans="1:30" hidden="1" x14ac:dyDescent="0.25">
      <c r="A51" s="238" t="s">
        <v>27</v>
      </c>
      <c r="B51">
        <v>8</v>
      </c>
      <c r="C51" s="238" t="s">
        <v>16</v>
      </c>
      <c r="D51">
        <v>1</v>
      </c>
      <c r="E51">
        <v>84.7</v>
      </c>
      <c r="F51">
        <v>95000</v>
      </c>
      <c r="G51">
        <v>5000</v>
      </c>
      <c r="H51">
        <v>100000</v>
      </c>
      <c r="J51">
        <v>100000</v>
      </c>
      <c r="K51">
        <v>30000</v>
      </c>
      <c r="L51">
        <v>130000</v>
      </c>
      <c r="N51">
        <v>130000</v>
      </c>
      <c r="O51">
        <v>130000</v>
      </c>
      <c r="P51">
        <v>11011000</v>
      </c>
      <c r="R51" s="238" t="s">
        <v>39</v>
      </c>
      <c r="S51" s="238" t="s">
        <v>35</v>
      </c>
      <c r="T51" t="b">
        <v>0</v>
      </c>
      <c r="U51" t="s">
        <v>8959</v>
      </c>
      <c r="V51" t="s">
        <v>8949</v>
      </c>
      <c r="W51" t="s">
        <v>8953</v>
      </c>
      <c r="X51" t="s">
        <v>8954</v>
      </c>
      <c r="Y51" s="238"/>
      <c r="AB51" t="s">
        <v>5268</v>
      </c>
      <c r="AC51">
        <v>11011000</v>
      </c>
      <c r="AD51">
        <v>0</v>
      </c>
    </row>
    <row r="52" spans="1:30" hidden="1" x14ac:dyDescent="0.25">
      <c r="A52" s="238" t="s">
        <v>27</v>
      </c>
      <c r="B52">
        <v>9</v>
      </c>
      <c r="C52" s="238" t="s">
        <v>16</v>
      </c>
      <c r="D52">
        <v>1</v>
      </c>
      <c r="E52">
        <v>149.19999999999999</v>
      </c>
      <c r="F52">
        <v>90000</v>
      </c>
      <c r="G52">
        <v>5000</v>
      </c>
      <c r="H52">
        <v>95000</v>
      </c>
      <c r="I52">
        <v>5000</v>
      </c>
      <c r="J52">
        <v>100000</v>
      </c>
      <c r="K52">
        <v>20000</v>
      </c>
      <c r="L52">
        <v>120000</v>
      </c>
      <c r="N52">
        <v>120000</v>
      </c>
      <c r="O52">
        <v>120000.00000000001</v>
      </c>
      <c r="P52">
        <v>17904000</v>
      </c>
      <c r="R52" s="238" t="s">
        <v>39</v>
      </c>
      <c r="S52" s="238" t="s">
        <v>35</v>
      </c>
      <c r="T52" t="b">
        <v>0</v>
      </c>
      <c r="U52" t="s">
        <v>8959</v>
      </c>
      <c r="V52" t="s">
        <v>8949</v>
      </c>
      <c r="W52" t="s">
        <v>8953</v>
      </c>
      <c r="X52" t="s">
        <v>8954</v>
      </c>
      <c r="Y52" s="238"/>
      <c r="AB52" t="s">
        <v>5269</v>
      </c>
      <c r="AC52">
        <v>17904000</v>
      </c>
      <c r="AD52">
        <v>0</v>
      </c>
    </row>
    <row r="53" spans="1:30" hidden="1" x14ac:dyDescent="0.25">
      <c r="A53" s="238" t="s">
        <v>27</v>
      </c>
      <c r="B53">
        <v>10</v>
      </c>
      <c r="C53" s="238" t="s">
        <v>16</v>
      </c>
      <c r="D53">
        <v>1</v>
      </c>
      <c r="E53">
        <v>137.30000000000001</v>
      </c>
      <c r="F53">
        <v>90000</v>
      </c>
      <c r="G53">
        <v>5000</v>
      </c>
      <c r="H53">
        <v>95000</v>
      </c>
      <c r="I53">
        <v>5000</v>
      </c>
      <c r="J53">
        <v>100000</v>
      </c>
      <c r="K53">
        <v>25000</v>
      </c>
      <c r="L53">
        <v>125000</v>
      </c>
      <c r="N53">
        <v>125000</v>
      </c>
      <c r="O53">
        <v>123868.05535324107</v>
      </c>
      <c r="P53">
        <v>17007084</v>
      </c>
      <c r="Q53">
        <v>155416</v>
      </c>
      <c r="R53" s="238" t="s">
        <v>39</v>
      </c>
      <c r="S53" s="238" t="s">
        <v>35</v>
      </c>
      <c r="T53" t="b">
        <v>0</v>
      </c>
      <c r="U53" t="s">
        <v>8959</v>
      </c>
      <c r="V53" t="s">
        <v>8949</v>
      </c>
      <c r="W53" t="s">
        <v>8953</v>
      </c>
      <c r="X53" t="s">
        <v>8954</v>
      </c>
      <c r="Y53" s="238"/>
      <c r="Z53" t="s">
        <v>321</v>
      </c>
      <c r="AB53" t="s">
        <v>5270</v>
      </c>
      <c r="AC53">
        <v>17007084</v>
      </c>
      <c r="AD53">
        <v>0</v>
      </c>
    </row>
    <row r="54" spans="1:30" hidden="1" x14ac:dyDescent="0.25">
      <c r="A54" s="238" t="s">
        <v>27</v>
      </c>
      <c r="B54">
        <v>11</v>
      </c>
      <c r="C54" s="238" t="s">
        <v>15</v>
      </c>
      <c r="D54">
        <v>1</v>
      </c>
      <c r="E54">
        <v>76.14</v>
      </c>
      <c r="F54">
        <v>95000</v>
      </c>
      <c r="H54">
        <v>95000</v>
      </c>
      <c r="J54">
        <v>95000</v>
      </c>
      <c r="L54">
        <v>95000</v>
      </c>
      <c r="N54">
        <v>95000</v>
      </c>
      <c r="O54">
        <v>92373.259784607304</v>
      </c>
      <c r="P54">
        <v>7033300</v>
      </c>
      <c r="Q54">
        <v>200000</v>
      </c>
      <c r="R54" s="238" t="s">
        <v>39</v>
      </c>
      <c r="S54" s="238" t="s">
        <v>35</v>
      </c>
      <c r="T54" t="b">
        <v>0</v>
      </c>
      <c r="U54" t="s">
        <v>8959</v>
      </c>
      <c r="V54" t="s">
        <v>8949</v>
      </c>
      <c r="W54" t="s">
        <v>8953</v>
      </c>
      <c r="X54" t="s">
        <v>8954</v>
      </c>
      <c r="Y54" s="238"/>
      <c r="Z54" t="s">
        <v>321</v>
      </c>
      <c r="AB54" t="s">
        <v>5271</v>
      </c>
      <c r="AC54">
        <v>7033300</v>
      </c>
      <c r="AD54">
        <v>0</v>
      </c>
    </row>
    <row r="55" spans="1:30" hidden="1" x14ac:dyDescent="0.25">
      <c r="A55" s="238" t="s">
        <v>27</v>
      </c>
      <c r="B55">
        <v>12</v>
      </c>
      <c r="C55" s="238" t="s">
        <v>15</v>
      </c>
      <c r="D55">
        <v>1</v>
      </c>
      <c r="E55">
        <v>136.02000000000001</v>
      </c>
      <c r="F55">
        <v>95000</v>
      </c>
      <c r="H55">
        <v>95000</v>
      </c>
      <c r="J55">
        <v>95000</v>
      </c>
      <c r="L55">
        <v>95000</v>
      </c>
      <c r="N55">
        <v>95000</v>
      </c>
      <c r="O55">
        <v>95000</v>
      </c>
      <c r="P55">
        <v>12921900</v>
      </c>
      <c r="R55" s="238" t="s">
        <v>39</v>
      </c>
      <c r="S55" s="238" t="s">
        <v>35</v>
      </c>
      <c r="T55" t="b">
        <v>0</v>
      </c>
      <c r="U55" t="s">
        <v>8959</v>
      </c>
      <c r="V55" t="s">
        <v>8949</v>
      </c>
      <c r="W55" t="s">
        <v>8953</v>
      </c>
      <c r="X55" t="s">
        <v>8954</v>
      </c>
      <c r="Y55" s="238"/>
      <c r="AB55" t="s">
        <v>5272</v>
      </c>
      <c r="AC55">
        <v>12921900</v>
      </c>
      <c r="AD55">
        <v>0</v>
      </c>
    </row>
    <row r="56" spans="1:30" hidden="1" x14ac:dyDescent="0.25">
      <c r="A56" s="238" t="s">
        <v>27</v>
      </c>
      <c r="B56">
        <v>13</v>
      </c>
      <c r="C56" s="238" t="s">
        <v>15</v>
      </c>
      <c r="D56">
        <v>1</v>
      </c>
      <c r="E56">
        <v>62.02</v>
      </c>
      <c r="F56">
        <v>112288.5</v>
      </c>
      <c r="H56">
        <v>112288.5</v>
      </c>
      <c r="J56">
        <v>112288.5</v>
      </c>
      <c r="L56">
        <v>112288.5</v>
      </c>
      <c r="N56">
        <v>112288.5</v>
      </c>
      <c r="O56">
        <v>112288.50370848113</v>
      </c>
      <c r="P56">
        <v>6964133</v>
      </c>
      <c r="R56" s="238" t="s">
        <v>39</v>
      </c>
      <c r="S56" s="238" t="s">
        <v>35</v>
      </c>
      <c r="T56" t="b">
        <v>0</v>
      </c>
      <c r="U56" t="s">
        <v>8959</v>
      </c>
      <c r="V56" t="s">
        <v>8949</v>
      </c>
      <c r="W56" t="s">
        <v>8953</v>
      </c>
      <c r="X56" t="s">
        <v>8954</v>
      </c>
      <c r="Y56" s="238"/>
      <c r="AB56" t="s">
        <v>5273</v>
      </c>
      <c r="AC56">
        <v>6964133</v>
      </c>
      <c r="AD56">
        <v>0</v>
      </c>
    </row>
    <row r="57" spans="1:30" hidden="1" x14ac:dyDescent="0.25">
      <c r="A57" s="238" t="s">
        <v>27</v>
      </c>
      <c r="B57">
        <v>14</v>
      </c>
      <c r="C57" s="238" t="s">
        <v>15</v>
      </c>
      <c r="D57">
        <v>1</v>
      </c>
      <c r="E57">
        <v>67.06</v>
      </c>
      <c r="F57">
        <v>112288.5</v>
      </c>
      <c r="H57">
        <v>112288.5</v>
      </c>
      <c r="J57">
        <v>112288.5</v>
      </c>
      <c r="L57">
        <v>112288.5</v>
      </c>
      <c r="N57">
        <v>112288.5</v>
      </c>
      <c r="O57">
        <v>112288.50283328362</v>
      </c>
      <c r="P57">
        <v>7530067</v>
      </c>
      <c r="R57" s="238" t="s">
        <v>39</v>
      </c>
      <c r="S57" s="238" t="s">
        <v>35</v>
      </c>
      <c r="T57" t="b">
        <v>0</v>
      </c>
      <c r="U57" t="s">
        <v>8959</v>
      </c>
      <c r="V57" t="s">
        <v>8949</v>
      </c>
      <c r="W57" t="s">
        <v>8953</v>
      </c>
      <c r="X57" t="s">
        <v>8954</v>
      </c>
      <c r="Y57" s="238"/>
      <c r="AB57" t="s">
        <v>5274</v>
      </c>
      <c r="AC57">
        <v>7530067</v>
      </c>
      <c r="AD57">
        <v>0</v>
      </c>
    </row>
    <row r="58" spans="1:30" hidden="1" x14ac:dyDescent="0.25">
      <c r="A58" s="238" t="s">
        <v>27</v>
      </c>
      <c r="B58">
        <v>15</v>
      </c>
      <c r="C58" s="238" t="s">
        <v>15</v>
      </c>
      <c r="D58">
        <v>1</v>
      </c>
      <c r="E58">
        <v>115.46</v>
      </c>
      <c r="F58">
        <v>115000</v>
      </c>
      <c r="H58">
        <v>115000</v>
      </c>
      <c r="J58">
        <v>115000</v>
      </c>
      <c r="L58">
        <v>115000</v>
      </c>
      <c r="N58">
        <v>115000</v>
      </c>
      <c r="O58">
        <v>115000</v>
      </c>
      <c r="P58">
        <v>13277900</v>
      </c>
      <c r="R58" s="238" t="s">
        <v>39</v>
      </c>
      <c r="S58" s="238" t="s">
        <v>35</v>
      </c>
      <c r="T58" t="b">
        <v>0</v>
      </c>
      <c r="U58" t="s">
        <v>8959</v>
      </c>
      <c r="V58" t="s">
        <v>8949</v>
      </c>
      <c r="W58" t="s">
        <v>8953</v>
      </c>
      <c r="X58" t="s">
        <v>8954</v>
      </c>
      <c r="Y58" s="238"/>
      <c r="AB58" t="s">
        <v>5275</v>
      </c>
      <c r="AC58">
        <v>13277900</v>
      </c>
      <c r="AD58">
        <v>0</v>
      </c>
    </row>
    <row r="59" spans="1:30" hidden="1" x14ac:dyDescent="0.25">
      <c r="A59" s="238" t="s">
        <v>27</v>
      </c>
      <c r="B59">
        <v>17</v>
      </c>
      <c r="C59" s="238" t="s">
        <v>14</v>
      </c>
      <c r="D59">
        <v>1</v>
      </c>
      <c r="E59">
        <v>101.7</v>
      </c>
      <c r="F59">
        <v>115000</v>
      </c>
      <c r="G59">
        <v>5000</v>
      </c>
      <c r="H59">
        <v>120000</v>
      </c>
      <c r="I59">
        <v>5000</v>
      </c>
      <c r="J59">
        <v>125000</v>
      </c>
      <c r="L59">
        <v>125000</v>
      </c>
      <c r="N59">
        <v>125000</v>
      </c>
      <c r="O59">
        <v>125000</v>
      </c>
      <c r="P59">
        <v>12712500</v>
      </c>
      <c r="R59" s="238" t="s">
        <v>39</v>
      </c>
      <c r="S59" s="238" t="s">
        <v>35</v>
      </c>
      <c r="T59" t="b">
        <v>0</v>
      </c>
      <c r="U59" t="s">
        <v>8959</v>
      </c>
      <c r="V59" t="s">
        <v>8949</v>
      </c>
      <c r="W59" t="s">
        <v>8953</v>
      </c>
      <c r="X59" t="s">
        <v>8954</v>
      </c>
      <c r="Y59" s="238"/>
      <c r="AB59" t="s">
        <v>5276</v>
      </c>
      <c r="AC59">
        <v>12712500</v>
      </c>
      <c r="AD59">
        <v>0</v>
      </c>
    </row>
    <row r="60" spans="1:30" hidden="1" x14ac:dyDescent="0.25">
      <c r="A60" s="238" t="s">
        <v>27</v>
      </c>
      <c r="B60">
        <v>18</v>
      </c>
      <c r="C60" s="238" t="s">
        <v>14</v>
      </c>
      <c r="D60">
        <v>1</v>
      </c>
      <c r="E60">
        <v>103.81</v>
      </c>
      <c r="F60">
        <v>105000</v>
      </c>
      <c r="H60">
        <v>105000</v>
      </c>
      <c r="J60">
        <v>105000</v>
      </c>
      <c r="L60">
        <v>105000</v>
      </c>
      <c r="N60">
        <v>105000</v>
      </c>
      <c r="O60">
        <v>105000</v>
      </c>
      <c r="P60">
        <v>10900050</v>
      </c>
      <c r="R60" s="238" t="s">
        <v>39</v>
      </c>
      <c r="S60" s="238" t="s">
        <v>35</v>
      </c>
      <c r="T60" t="b">
        <v>0</v>
      </c>
      <c r="U60" t="s">
        <v>8959</v>
      </c>
      <c r="V60" t="s">
        <v>8949</v>
      </c>
      <c r="W60" t="s">
        <v>8953</v>
      </c>
      <c r="X60" t="s">
        <v>8954</v>
      </c>
      <c r="Y60" s="238"/>
      <c r="AB60" t="s">
        <v>5277</v>
      </c>
      <c r="AC60">
        <v>10900050</v>
      </c>
      <c r="AD60">
        <v>0</v>
      </c>
    </row>
    <row r="61" spans="1:30" hidden="1" x14ac:dyDescent="0.25">
      <c r="A61" s="238" t="s">
        <v>27</v>
      </c>
      <c r="B61">
        <v>19</v>
      </c>
      <c r="C61" s="238" t="s">
        <v>14</v>
      </c>
      <c r="D61">
        <v>1</v>
      </c>
      <c r="E61">
        <v>116.69</v>
      </c>
      <c r="F61">
        <v>105000</v>
      </c>
      <c r="H61">
        <v>105000</v>
      </c>
      <c r="J61">
        <v>105000</v>
      </c>
      <c r="L61">
        <v>105000</v>
      </c>
      <c r="N61">
        <v>105000</v>
      </c>
      <c r="O61">
        <v>105000</v>
      </c>
      <c r="P61">
        <v>12252450</v>
      </c>
      <c r="R61" s="238" t="s">
        <v>39</v>
      </c>
      <c r="S61" s="238" t="s">
        <v>35</v>
      </c>
      <c r="T61" t="b">
        <v>0</v>
      </c>
      <c r="U61" t="s">
        <v>8959</v>
      </c>
      <c r="V61" t="s">
        <v>8949</v>
      </c>
      <c r="W61" t="s">
        <v>8953</v>
      </c>
      <c r="X61" t="s">
        <v>8954</v>
      </c>
      <c r="Y61" s="238"/>
      <c r="AB61" t="s">
        <v>5278</v>
      </c>
      <c r="AC61">
        <v>12252450</v>
      </c>
      <c r="AD61">
        <v>0</v>
      </c>
    </row>
    <row r="62" spans="1:30" hidden="1" x14ac:dyDescent="0.25">
      <c r="A62" s="238" t="s">
        <v>27</v>
      </c>
      <c r="B62">
        <v>20</v>
      </c>
      <c r="C62" s="238" t="s">
        <v>13</v>
      </c>
      <c r="D62">
        <v>1</v>
      </c>
      <c r="E62">
        <v>121.3</v>
      </c>
      <c r="F62">
        <v>110000</v>
      </c>
      <c r="G62">
        <v>5000</v>
      </c>
      <c r="H62">
        <v>115000</v>
      </c>
      <c r="I62">
        <v>5000</v>
      </c>
      <c r="J62">
        <v>120000</v>
      </c>
      <c r="L62">
        <v>120000</v>
      </c>
      <c r="N62">
        <v>120000</v>
      </c>
      <c r="O62">
        <v>120000</v>
      </c>
      <c r="P62">
        <v>14556000</v>
      </c>
      <c r="R62" s="238" t="s">
        <v>39</v>
      </c>
      <c r="S62" s="238" t="s">
        <v>35</v>
      </c>
      <c r="T62" t="b">
        <v>0</v>
      </c>
      <c r="U62" t="s">
        <v>8959</v>
      </c>
      <c r="V62" t="s">
        <v>8949</v>
      </c>
      <c r="W62" t="s">
        <v>8953</v>
      </c>
      <c r="X62" t="s">
        <v>8954</v>
      </c>
      <c r="Y62" s="238"/>
      <c r="AB62" t="s">
        <v>5279</v>
      </c>
      <c r="AC62">
        <v>14556000</v>
      </c>
      <c r="AD62">
        <v>0</v>
      </c>
    </row>
    <row r="63" spans="1:30" hidden="1" x14ac:dyDescent="0.25">
      <c r="A63" s="238" t="s">
        <v>27</v>
      </c>
      <c r="B63">
        <v>21</v>
      </c>
      <c r="C63" s="238" t="s">
        <v>13</v>
      </c>
      <c r="D63">
        <v>1</v>
      </c>
      <c r="E63">
        <v>96.4</v>
      </c>
      <c r="F63">
        <v>110000</v>
      </c>
      <c r="G63">
        <v>5000</v>
      </c>
      <c r="H63">
        <v>115000</v>
      </c>
      <c r="I63">
        <v>5000</v>
      </c>
      <c r="J63">
        <v>120000</v>
      </c>
      <c r="L63">
        <v>120000</v>
      </c>
      <c r="N63">
        <v>120000</v>
      </c>
      <c r="O63">
        <v>120000</v>
      </c>
      <c r="P63">
        <v>11568000</v>
      </c>
      <c r="R63" s="238" t="s">
        <v>39</v>
      </c>
      <c r="S63" s="238" t="s">
        <v>35</v>
      </c>
      <c r="T63" t="b">
        <v>0</v>
      </c>
      <c r="U63" t="s">
        <v>8959</v>
      </c>
      <c r="V63" t="s">
        <v>8949</v>
      </c>
      <c r="W63" t="s">
        <v>8953</v>
      </c>
      <c r="X63" t="s">
        <v>8954</v>
      </c>
      <c r="Y63" s="238"/>
      <c r="AB63" t="s">
        <v>5280</v>
      </c>
      <c r="AC63">
        <v>11568000</v>
      </c>
      <c r="AD63">
        <v>0</v>
      </c>
    </row>
    <row r="64" spans="1:30" hidden="1" x14ac:dyDescent="0.25">
      <c r="A64" s="238" t="s">
        <v>27</v>
      </c>
      <c r="B64">
        <v>22</v>
      </c>
      <c r="C64" s="238" t="s">
        <v>13</v>
      </c>
      <c r="D64">
        <v>1</v>
      </c>
      <c r="E64">
        <v>186.76</v>
      </c>
      <c r="F64">
        <v>90000</v>
      </c>
      <c r="H64">
        <v>90000</v>
      </c>
      <c r="J64">
        <v>90000</v>
      </c>
      <c r="L64">
        <v>90000</v>
      </c>
      <c r="N64">
        <v>90000</v>
      </c>
      <c r="O64">
        <v>90000</v>
      </c>
      <c r="P64">
        <v>16808400</v>
      </c>
      <c r="R64" s="238" t="s">
        <v>39</v>
      </c>
      <c r="S64" s="238" t="s">
        <v>35</v>
      </c>
      <c r="T64" t="b">
        <v>0</v>
      </c>
      <c r="U64" t="s">
        <v>8959</v>
      </c>
      <c r="V64" t="s">
        <v>8949</v>
      </c>
      <c r="W64" t="s">
        <v>8953</v>
      </c>
      <c r="X64" t="s">
        <v>8954</v>
      </c>
      <c r="Y64" s="238"/>
      <c r="AB64" t="s">
        <v>5281</v>
      </c>
      <c r="AC64">
        <v>16808400</v>
      </c>
      <c r="AD64">
        <v>0</v>
      </c>
    </row>
    <row r="65" spans="1:30" hidden="1" x14ac:dyDescent="0.25">
      <c r="A65" s="238" t="s">
        <v>27</v>
      </c>
      <c r="C65" s="238" t="s">
        <v>14</v>
      </c>
      <c r="D65">
        <v>1</v>
      </c>
      <c r="E65">
        <v>39.700000000000003</v>
      </c>
      <c r="F65">
        <v>145000</v>
      </c>
      <c r="G65">
        <v>5000</v>
      </c>
      <c r="H65">
        <v>150000</v>
      </c>
      <c r="I65">
        <v>5000</v>
      </c>
      <c r="J65">
        <v>155000</v>
      </c>
      <c r="K65">
        <v>5000</v>
      </c>
      <c r="L65">
        <v>160000</v>
      </c>
      <c r="M65">
        <v>60000</v>
      </c>
      <c r="N65">
        <v>100000</v>
      </c>
      <c r="O65">
        <v>100000</v>
      </c>
      <c r="P65">
        <v>3970000</v>
      </c>
      <c r="R65" s="238" t="s">
        <v>8956</v>
      </c>
      <c r="S65" s="238" t="s">
        <v>8956</v>
      </c>
      <c r="T65" t="b">
        <v>1</v>
      </c>
      <c r="U65" t="s">
        <v>8959</v>
      </c>
      <c r="V65" t="s">
        <v>8949</v>
      </c>
      <c r="W65" t="s">
        <v>8953</v>
      </c>
      <c r="X65" t="s">
        <v>8957</v>
      </c>
      <c r="Y65" s="238"/>
      <c r="AB65" t="s">
        <v>7393</v>
      </c>
      <c r="AC65">
        <v>3970000</v>
      </c>
      <c r="AD65">
        <v>0</v>
      </c>
    </row>
    <row r="66" spans="1:30" hidden="1" x14ac:dyDescent="0.25">
      <c r="A66" s="238" t="s">
        <v>27</v>
      </c>
      <c r="C66" s="238" t="s">
        <v>14</v>
      </c>
      <c r="D66">
        <v>1</v>
      </c>
      <c r="E66">
        <v>42.7</v>
      </c>
      <c r="F66">
        <v>0</v>
      </c>
      <c r="H66">
        <v>0</v>
      </c>
      <c r="J66">
        <v>0</v>
      </c>
      <c r="L66">
        <v>0</v>
      </c>
      <c r="N66">
        <v>0</v>
      </c>
      <c r="O66">
        <v>0</v>
      </c>
      <c r="P66">
        <v>0</v>
      </c>
      <c r="R66" s="238" t="s">
        <v>39</v>
      </c>
      <c r="S66" s="238" t="s">
        <v>35</v>
      </c>
      <c r="T66" t="b">
        <v>0</v>
      </c>
      <c r="U66" t="s">
        <v>8959</v>
      </c>
      <c r="V66" t="s">
        <v>8949</v>
      </c>
      <c r="W66" t="s">
        <v>8953</v>
      </c>
      <c r="X66" t="s">
        <v>8954</v>
      </c>
      <c r="Y66" s="238" t="s">
        <v>8358</v>
      </c>
      <c r="Z66" t="s">
        <v>8749</v>
      </c>
      <c r="AB66" t="s">
        <v>7394</v>
      </c>
      <c r="AC66">
        <v>0</v>
      </c>
      <c r="AD66">
        <v>0</v>
      </c>
    </row>
    <row r="67" spans="1:30" hidden="1" x14ac:dyDescent="0.25">
      <c r="A67" s="238" t="s">
        <v>91</v>
      </c>
      <c r="B67">
        <v>1</v>
      </c>
      <c r="C67" s="238" t="s">
        <v>6</v>
      </c>
      <c r="D67">
        <v>1</v>
      </c>
      <c r="E67">
        <v>90.98</v>
      </c>
      <c r="F67">
        <v>115000</v>
      </c>
      <c r="H67">
        <v>115000</v>
      </c>
      <c r="J67">
        <v>115000</v>
      </c>
      <c r="K67">
        <v>5750</v>
      </c>
      <c r="L67">
        <v>120750</v>
      </c>
      <c r="N67">
        <v>120750</v>
      </c>
      <c r="O67">
        <v>120750</v>
      </c>
      <c r="P67">
        <v>10985835</v>
      </c>
      <c r="R67" s="238" t="s">
        <v>39</v>
      </c>
      <c r="S67" s="238" t="s">
        <v>35</v>
      </c>
      <c r="T67" t="b">
        <v>0</v>
      </c>
      <c r="U67" t="s">
        <v>8960</v>
      </c>
      <c r="V67" t="s">
        <v>8949</v>
      </c>
      <c r="W67" t="s">
        <v>8953</v>
      </c>
      <c r="X67" t="s">
        <v>8954</v>
      </c>
      <c r="Y67" s="238"/>
      <c r="AB67" t="s">
        <v>5282</v>
      </c>
      <c r="AC67">
        <v>10985835</v>
      </c>
      <c r="AD67">
        <v>0</v>
      </c>
    </row>
    <row r="68" spans="1:30" hidden="1" x14ac:dyDescent="0.25">
      <c r="A68" s="238" t="s">
        <v>91</v>
      </c>
      <c r="B68">
        <v>2</v>
      </c>
      <c r="C68" s="238" t="s">
        <v>6</v>
      </c>
      <c r="D68">
        <v>1</v>
      </c>
      <c r="E68">
        <v>88.73</v>
      </c>
      <c r="F68">
        <v>115000</v>
      </c>
      <c r="H68">
        <v>115000</v>
      </c>
      <c r="J68">
        <v>115000</v>
      </c>
      <c r="K68">
        <v>5750</v>
      </c>
      <c r="L68">
        <v>120750</v>
      </c>
      <c r="N68">
        <v>120750</v>
      </c>
      <c r="O68">
        <v>120750.00563507268</v>
      </c>
      <c r="P68">
        <v>10714148</v>
      </c>
      <c r="R68" s="238" t="s">
        <v>39</v>
      </c>
      <c r="S68" s="238" t="s">
        <v>35</v>
      </c>
      <c r="T68" t="b">
        <v>0</v>
      </c>
      <c r="U68" t="s">
        <v>8960</v>
      </c>
      <c r="V68" t="s">
        <v>8949</v>
      </c>
      <c r="W68" t="s">
        <v>8953</v>
      </c>
      <c r="X68" t="s">
        <v>8954</v>
      </c>
      <c r="Y68" s="238"/>
      <c r="AB68" t="s">
        <v>6467</v>
      </c>
      <c r="AC68">
        <v>10714148</v>
      </c>
      <c r="AD68">
        <v>0</v>
      </c>
    </row>
    <row r="69" spans="1:30" hidden="1" x14ac:dyDescent="0.25">
      <c r="A69" s="238" t="s">
        <v>91</v>
      </c>
      <c r="B69">
        <v>3</v>
      </c>
      <c r="C69" s="238" t="s">
        <v>6</v>
      </c>
      <c r="D69">
        <v>1</v>
      </c>
      <c r="E69">
        <v>100.75</v>
      </c>
      <c r="F69">
        <v>115000</v>
      </c>
      <c r="H69">
        <v>115000</v>
      </c>
      <c r="J69">
        <v>115000</v>
      </c>
      <c r="K69">
        <v>5750</v>
      </c>
      <c r="L69">
        <v>120750</v>
      </c>
      <c r="N69">
        <v>120750</v>
      </c>
      <c r="O69">
        <v>120750.00496277916</v>
      </c>
      <c r="P69">
        <v>12165563</v>
      </c>
      <c r="R69" s="238" t="s">
        <v>39</v>
      </c>
      <c r="S69" s="238" t="s">
        <v>39</v>
      </c>
      <c r="T69" t="b">
        <v>1</v>
      </c>
      <c r="U69" t="s">
        <v>8960</v>
      </c>
      <c r="V69" t="s">
        <v>8949</v>
      </c>
      <c r="W69" t="s">
        <v>8950</v>
      </c>
      <c r="X69" t="s">
        <v>1167</v>
      </c>
      <c r="Y69" s="238"/>
      <c r="AB69" t="s">
        <v>6468</v>
      </c>
      <c r="AC69">
        <v>12165563</v>
      </c>
      <c r="AD69">
        <v>0</v>
      </c>
    </row>
    <row r="70" spans="1:30" hidden="1" x14ac:dyDescent="0.25">
      <c r="A70" s="238" t="s">
        <v>91</v>
      </c>
      <c r="B70">
        <v>4</v>
      </c>
      <c r="C70" s="238" t="s">
        <v>6</v>
      </c>
      <c r="D70">
        <v>1</v>
      </c>
      <c r="E70">
        <v>89.2</v>
      </c>
      <c r="F70">
        <v>115000</v>
      </c>
      <c r="H70">
        <v>115000</v>
      </c>
      <c r="J70">
        <v>115000</v>
      </c>
      <c r="K70">
        <v>5750</v>
      </c>
      <c r="L70">
        <v>120750</v>
      </c>
      <c r="N70">
        <v>120750</v>
      </c>
      <c r="O70">
        <v>120750</v>
      </c>
      <c r="P70">
        <v>10770900</v>
      </c>
      <c r="R70" s="238" t="s">
        <v>39</v>
      </c>
      <c r="S70" s="238" t="s">
        <v>35</v>
      </c>
      <c r="T70" t="b">
        <v>0</v>
      </c>
      <c r="U70" t="s">
        <v>8960</v>
      </c>
      <c r="V70" t="s">
        <v>8949</v>
      </c>
      <c r="W70" t="s">
        <v>8953</v>
      </c>
      <c r="X70" t="s">
        <v>8954</v>
      </c>
      <c r="Y70" s="238"/>
      <c r="AB70" t="s">
        <v>6469</v>
      </c>
      <c r="AC70">
        <v>10770900</v>
      </c>
      <c r="AD70">
        <v>0</v>
      </c>
    </row>
    <row r="71" spans="1:30" hidden="1" x14ac:dyDescent="0.25">
      <c r="A71" s="238" t="s">
        <v>91</v>
      </c>
      <c r="B71">
        <v>5</v>
      </c>
      <c r="C71" s="238" t="s">
        <v>5</v>
      </c>
      <c r="D71">
        <v>1</v>
      </c>
      <c r="E71">
        <v>81.599999999999994</v>
      </c>
      <c r="F71">
        <v>115000</v>
      </c>
      <c r="H71">
        <v>115000</v>
      </c>
      <c r="J71">
        <v>115000</v>
      </c>
      <c r="K71">
        <v>5750</v>
      </c>
      <c r="L71">
        <v>120750</v>
      </c>
      <c r="N71">
        <v>120750</v>
      </c>
      <c r="O71">
        <v>115750.00000000001</v>
      </c>
      <c r="P71">
        <v>9445200</v>
      </c>
      <c r="Q71">
        <v>408000</v>
      </c>
      <c r="R71" s="238" t="s">
        <v>39</v>
      </c>
      <c r="S71" s="238" t="s">
        <v>35</v>
      </c>
      <c r="T71" t="b">
        <v>0</v>
      </c>
      <c r="U71" t="s">
        <v>8960</v>
      </c>
      <c r="V71" t="s">
        <v>8949</v>
      </c>
      <c r="W71" t="s">
        <v>8953</v>
      </c>
      <c r="X71" t="s">
        <v>8954</v>
      </c>
      <c r="Y71" s="238"/>
      <c r="Z71" t="s">
        <v>321</v>
      </c>
      <c r="AB71" t="s">
        <v>6459</v>
      </c>
      <c r="AC71">
        <v>9445200</v>
      </c>
      <c r="AD71">
        <v>0</v>
      </c>
    </row>
    <row r="72" spans="1:30" hidden="1" x14ac:dyDescent="0.25">
      <c r="A72" s="238" t="s">
        <v>91</v>
      </c>
      <c r="B72">
        <v>6</v>
      </c>
      <c r="C72" s="238" t="s">
        <v>5</v>
      </c>
      <c r="D72">
        <v>1</v>
      </c>
      <c r="E72">
        <v>70.5</v>
      </c>
      <c r="F72">
        <v>120000</v>
      </c>
      <c r="H72">
        <v>120000</v>
      </c>
      <c r="J72">
        <v>120000</v>
      </c>
      <c r="K72">
        <v>6000</v>
      </c>
      <c r="L72">
        <v>126000</v>
      </c>
      <c r="N72">
        <v>126000</v>
      </c>
      <c r="O72">
        <v>126000</v>
      </c>
      <c r="P72">
        <v>8883000</v>
      </c>
      <c r="R72" s="238" t="s">
        <v>39</v>
      </c>
      <c r="S72" s="238" t="s">
        <v>35</v>
      </c>
      <c r="T72" t="b">
        <v>0</v>
      </c>
      <c r="U72" t="s">
        <v>8960</v>
      </c>
      <c r="V72" t="s">
        <v>8949</v>
      </c>
      <c r="W72" t="s">
        <v>8953</v>
      </c>
      <c r="X72" t="s">
        <v>8954</v>
      </c>
      <c r="Y72" s="238"/>
      <c r="AB72" t="s">
        <v>5283</v>
      </c>
      <c r="AC72">
        <v>8883000</v>
      </c>
      <c r="AD72">
        <v>0</v>
      </c>
    </row>
    <row r="73" spans="1:30" x14ac:dyDescent="0.25">
      <c r="A73" s="238" t="s">
        <v>91</v>
      </c>
      <c r="B73">
        <v>7</v>
      </c>
      <c r="C73" s="238" t="s">
        <v>5</v>
      </c>
      <c r="D73">
        <v>1</v>
      </c>
      <c r="E73">
        <v>67.7</v>
      </c>
      <c r="F73">
        <v>115000</v>
      </c>
      <c r="H73">
        <v>115000</v>
      </c>
      <c r="I73">
        <v>10000</v>
      </c>
      <c r="J73">
        <v>125000</v>
      </c>
      <c r="K73">
        <v>6250</v>
      </c>
      <c r="L73">
        <v>131250</v>
      </c>
      <c r="M73">
        <v>6250</v>
      </c>
      <c r="N73">
        <v>125000</v>
      </c>
      <c r="O73">
        <v>125000</v>
      </c>
      <c r="P73">
        <v>8462500</v>
      </c>
      <c r="R73" s="238" t="s">
        <v>3</v>
      </c>
      <c r="S73" s="238" t="s">
        <v>3</v>
      </c>
      <c r="T73" t="b">
        <v>1</v>
      </c>
      <c r="U73" t="s">
        <v>8960</v>
      </c>
      <c r="V73" t="s">
        <v>8949</v>
      </c>
      <c r="W73" t="s">
        <v>8951</v>
      </c>
      <c r="X73" t="s">
        <v>1167</v>
      </c>
      <c r="Y73" s="238"/>
      <c r="AB73" t="s">
        <v>5284</v>
      </c>
      <c r="AC73">
        <v>8462500</v>
      </c>
      <c r="AD73">
        <v>0</v>
      </c>
    </row>
    <row r="74" spans="1:30" x14ac:dyDescent="0.25">
      <c r="A74" s="238" t="s">
        <v>91</v>
      </c>
      <c r="B74">
        <v>8</v>
      </c>
      <c r="C74" s="238" t="s">
        <v>5</v>
      </c>
      <c r="D74">
        <v>1</v>
      </c>
      <c r="E74">
        <v>70.2</v>
      </c>
      <c r="F74">
        <v>125000</v>
      </c>
      <c r="H74">
        <v>125000</v>
      </c>
      <c r="J74">
        <v>125000</v>
      </c>
      <c r="K74">
        <v>6250</v>
      </c>
      <c r="L74">
        <v>131250</v>
      </c>
      <c r="M74">
        <v>6250</v>
      </c>
      <c r="N74">
        <v>125000</v>
      </c>
      <c r="O74">
        <v>125000</v>
      </c>
      <c r="P74">
        <v>8775000</v>
      </c>
      <c r="R74" s="238" t="s">
        <v>3</v>
      </c>
      <c r="S74" s="238" t="s">
        <v>3</v>
      </c>
      <c r="T74" t="b">
        <v>1</v>
      </c>
      <c r="U74" t="s">
        <v>8960</v>
      </c>
      <c r="V74" t="s">
        <v>8949</v>
      </c>
      <c r="W74" t="s">
        <v>8951</v>
      </c>
      <c r="X74" t="s">
        <v>1167</v>
      </c>
      <c r="Y74" s="238"/>
      <c r="AB74" t="s">
        <v>5285</v>
      </c>
      <c r="AC74">
        <v>8775000</v>
      </c>
      <c r="AD74">
        <v>0</v>
      </c>
    </row>
    <row r="75" spans="1:30" hidden="1" x14ac:dyDescent="0.25">
      <c r="A75" s="238" t="s">
        <v>91</v>
      </c>
      <c r="B75">
        <v>9</v>
      </c>
      <c r="C75" s="238" t="s">
        <v>5</v>
      </c>
      <c r="D75">
        <v>1</v>
      </c>
      <c r="E75">
        <v>86.5</v>
      </c>
      <c r="F75">
        <v>115000</v>
      </c>
      <c r="H75">
        <v>115000</v>
      </c>
      <c r="J75">
        <v>115000</v>
      </c>
      <c r="K75">
        <v>5750</v>
      </c>
      <c r="L75">
        <v>120750</v>
      </c>
      <c r="N75">
        <v>120750</v>
      </c>
      <c r="O75">
        <v>119656.54335260116</v>
      </c>
      <c r="P75">
        <v>10350291</v>
      </c>
      <c r="Q75">
        <v>94584</v>
      </c>
      <c r="R75" s="238" t="s">
        <v>39</v>
      </c>
      <c r="S75" s="238" t="s">
        <v>35</v>
      </c>
      <c r="T75" t="b">
        <v>0</v>
      </c>
      <c r="U75" t="s">
        <v>8960</v>
      </c>
      <c r="V75" t="s">
        <v>8949</v>
      </c>
      <c r="W75" t="s">
        <v>8953</v>
      </c>
      <c r="X75" t="s">
        <v>8954</v>
      </c>
      <c r="Y75" s="238"/>
      <c r="Z75" t="s">
        <v>321</v>
      </c>
      <c r="AB75" t="s">
        <v>5286</v>
      </c>
      <c r="AC75">
        <v>10350291</v>
      </c>
      <c r="AD75">
        <v>0</v>
      </c>
    </row>
    <row r="76" spans="1:30" hidden="1" x14ac:dyDescent="0.25">
      <c r="A76" s="238" t="s">
        <v>91</v>
      </c>
      <c r="B76">
        <v>10</v>
      </c>
      <c r="C76" s="238" t="s">
        <v>16</v>
      </c>
      <c r="D76">
        <v>1</v>
      </c>
      <c r="E76">
        <v>96.31</v>
      </c>
      <c r="F76">
        <v>115000</v>
      </c>
      <c r="H76">
        <v>115000</v>
      </c>
      <c r="J76">
        <v>115000</v>
      </c>
      <c r="K76">
        <v>5750</v>
      </c>
      <c r="L76">
        <v>120750</v>
      </c>
      <c r="N76">
        <v>120750</v>
      </c>
      <c r="O76">
        <v>120750.0051915689</v>
      </c>
      <c r="P76">
        <v>11629433</v>
      </c>
      <c r="R76" s="238" t="s">
        <v>39</v>
      </c>
      <c r="S76" s="238" t="s">
        <v>35</v>
      </c>
      <c r="T76" t="b">
        <v>0</v>
      </c>
      <c r="U76" t="s">
        <v>8960</v>
      </c>
      <c r="V76" t="s">
        <v>8949</v>
      </c>
      <c r="W76" t="s">
        <v>8953</v>
      </c>
      <c r="X76" t="s">
        <v>8954</v>
      </c>
      <c r="Y76" s="238"/>
      <c r="AB76" t="s">
        <v>5287</v>
      </c>
      <c r="AC76">
        <v>11629433</v>
      </c>
      <c r="AD76">
        <v>0</v>
      </c>
    </row>
    <row r="77" spans="1:30" hidden="1" x14ac:dyDescent="0.25">
      <c r="A77" s="238" t="s">
        <v>91</v>
      </c>
      <c r="B77">
        <v>11</v>
      </c>
      <c r="C77" s="238" t="s">
        <v>16</v>
      </c>
      <c r="D77">
        <v>1</v>
      </c>
      <c r="E77">
        <v>52.8</v>
      </c>
      <c r="F77">
        <v>125000</v>
      </c>
      <c r="H77">
        <v>125000</v>
      </c>
      <c r="J77">
        <v>125000</v>
      </c>
      <c r="K77">
        <v>6250</v>
      </c>
      <c r="L77">
        <v>131250</v>
      </c>
      <c r="N77">
        <v>131250</v>
      </c>
      <c r="O77">
        <v>131250</v>
      </c>
      <c r="P77">
        <v>6930000</v>
      </c>
      <c r="R77" s="238" t="s">
        <v>39</v>
      </c>
      <c r="S77" s="238" t="s">
        <v>35</v>
      </c>
      <c r="T77" t="b">
        <v>0</v>
      </c>
      <c r="U77" t="s">
        <v>8960</v>
      </c>
      <c r="V77" t="s">
        <v>8949</v>
      </c>
      <c r="W77" t="s">
        <v>8953</v>
      </c>
      <c r="X77" t="s">
        <v>8954</v>
      </c>
      <c r="Y77" s="238"/>
      <c r="AB77" t="s">
        <v>6470</v>
      </c>
      <c r="AC77">
        <v>6930000</v>
      </c>
      <c r="AD77">
        <v>0</v>
      </c>
    </row>
    <row r="78" spans="1:30" hidden="1" x14ac:dyDescent="0.25">
      <c r="A78" s="238" t="s">
        <v>91</v>
      </c>
      <c r="B78">
        <v>12</v>
      </c>
      <c r="C78" s="238" t="s">
        <v>16</v>
      </c>
      <c r="D78">
        <v>1</v>
      </c>
      <c r="E78">
        <v>320.87</v>
      </c>
      <c r="F78">
        <v>115000</v>
      </c>
      <c r="H78">
        <v>115000</v>
      </c>
      <c r="J78">
        <v>115000</v>
      </c>
      <c r="K78">
        <v>10005</v>
      </c>
      <c r="L78">
        <v>125005</v>
      </c>
      <c r="N78">
        <v>125005</v>
      </c>
      <c r="O78">
        <v>120000</v>
      </c>
      <c r="P78">
        <v>38504400</v>
      </c>
      <c r="Q78">
        <v>1605954</v>
      </c>
      <c r="R78" s="238" t="s">
        <v>39</v>
      </c>
      <c r="S78" s="238" t="s">
        <v>35</v>
      </c>
      <c r="T78" t="b">
        <v>0</v>
      </c>
      <c r="U78" t="s">
        <v>8960</v>
      </c>
      <c r="V78" t="s">
        <v>8949</v>
      </c>
      <c r="W78" t="s">
        <v>8953</v>
      </c>
      <c r="X78" t="s">
        <v>8954</v>
      </c>
      <c r="Y78" s="238"/>
      <c r="AB78" t="s">
        <v>6471</v>
      </c>
      <c r="AC78">
        <v>38504400</v>
      </c>
      <c r="AD78">
        <v>0</v>
      </c>
    </row>
    <row r="79" spans="1:30" hidden="1" x14ac:dyDescent="0.25">
      <c r="A79" s="238" t="s">
        <v>91</v>
      </c>
      <c r="B79">
        <v>13</v>
      </c>
      <c r="C79" s="238" t="s">
        <v>15</v>
      </c>
      <c r="D79">
        <v>1</v>
      </c>
      <c r="E79">
        <v>77.55</v>
      </c>
      <c r="F79">
        <v>115000</v>
      </c>
      <c r="H79">
        <v>115000</v>
      </c>
      <c r="J79">
        <v>115000</v>
      </c>
      <c r="L79">
        <v>115000</v>
      </c>
      <c r="N79">
        <v>115000</v>
      </c>
      <c r="O79">
        <v>112700</v>
      </c>
      <c r="P79">
        <v>8739885</v>
      </c>
      <c r="Q79">
        <v>178365</v>
      </c>
      <c r="R79" s="238" t="s">
        <v>39</v>
      </c>
      <c r="S79" s="238" t="s">
        <v>35</v>
      </c>
      <c r="T79" t="b">
        <v>0</v>
      </c>
      <c r="U79" t="s">
        <v>8960</v>
      </c>
      <c r="V79" t="s">
        <v>8949</v>
      </c>
      <c r="W79" t="s">
        <v>8953</v>
      </c>
      <c r="X79" t="s">
        <v>8954</v>
      </c>
      <c r="Y79" s="238"/>
      <c r="Z79" t="s">
        <v>4360</v>
      </c>
      <c r="AB79" t="s">
        <v>6472</v>
      </c>
      <c r="AC79">
        <v>8739885</v>
      </c>
      <c r="AD79">
        <v>0</v>
      </c>
    </row>
    <row r="80" spans="1:30" hidden="1" x14ac:dyDescent="0.25">
      <c r="A80" s="238" t="s">
        <v>91</v>
      </c>
      <c r="B80">
        <v>14</v>
      </c>
      <c r="C80" s="238" t="s">
        <v>15</v>
      </c>
      <c r="D80">
        <v>1</v>
      </c>
      <c r="E80">
        <v>91.41</v>
      </c>
      <c r="F80">
        <v>115000</v>
      </c>
      <c r="H80">
        <v>115000</v>
      </c>
      <c r="J80">
        <v>115000</v>
      </c>
      <c r="L80">
        <v>115000</v>
      </c>
      <c r="N80">
        <v>115000</v>
      </c>
      <c r="O80">
        <v>112700</v>
      </c>
      <c r="P80">
        <v>10301907</v>
      </c>
      <c r="Q80">
        <v>210243</v>
      </c>
      <c r="R80" s="238" t="s">
        <v>39</v>
      </c>
      <c r="S80" s="238" t="s">
        <v>35</v>
      </c>
      <c r="T80" t="b">
        <v>0</v>
      </c>
      <c r="U80" t="s">
        <v>8960</v>
      </c>
      <c r="V80" t="s">
        <v>8949</v>
      </c>
      <c r="W80" t="s">
        <v>8953</v>
      </c>
      <c r="X80" t="s">
        <v>8954</v>
      </c>
      <c r="Y80" s="238"/>
      <c r="Z80" t="s">
        <v>4360</v>
      </c>
      <c r="AB80" t="s">
        <v>6473</v>
      </c>
      <c r="AC80">
        <v>10301907</v>
      </c>
      <c r="AD80">
        <v>0</v>
      </c>
    </row>
    <row r="81" spans="1:31" hidden="1" x14ac:dyDescent="0.25">
      <c r="A81" s="238" t="s">
        <v>91</v>
      </c>
      <c r="B81">
        <v>15</v>
      </c>
      <c r="C81" s="238" t="s">
        <v>15</v>
      </c>
      <c r="D81">
        <v>1</v>
      </c>
      <c r="E81">
        <v>91.9</v>
      </c>
      <c r="F81">
        <v>115000</v>
      </c>
      <c r="H81">
        <v>115000</v>
      </c>
      <c r="J81">
        <v>115000</v>
      </c>
      <c r="L81">
        <v>115000</v>
      </c>
      <c r="N81">
        <v>115000</v>
      </c>
      <c r="O81">
        <v>115000</v>
      </c>
      <c r="P81">
        <v>10568500</v>
      </c>
      <c r="R81" s="238" t="s">
        <v>39</v>
      </c>
      <c r="S81" s="238" t="s">
        <v>35</v>
      </c>
      <c r="T81" t="b">
        <v>0</v>
      </c>
      <c r="U81" t="s">
        <v>8960</v>
      </c>
      <c r="V81" t="s">
        <v>8949</v>
      </c>
      <c r="W81" t="s">
        <v>8953</v>
      </c>
      <c r="X81" t="s">
        <v>8954</v>
      </c>
      <c r="Y81" s="238"/>
      <c r="AB81" t="s">
        <v>6474</v>
      </c>
      <c r="AC81">
        <v>10568500</v>
      </c>
      <c r="AD81">
        <v>0</v>
      </c>
    </row>
    <row r="82" spans="1:31" hidden="1" x14ac:dyDescent="0.25">
      <c r="A82" s="238" t="s">
        <v>91</v>
      </c>
      <c r="B82">
        <v>16</v>
      </c>
      <c r="C82" s="238" t="s">
        <v>15</v>
      </c>
      <c r="D82">
        <v>1</v>
      </c>
      <c r="E82">
        <v>75.98</v>
      </c>
      <c r="F82">
        <v>115000</v>
      </c>
      <c r="H82">
        <v>115000</v>
      </c>
      <c r="J82">
        <v>115000</v>
      </c>
      <c r="L82">
        <v>115000</v>
      </c>
      <c r="N82">
        <v>115000</v>
      </c>
      <c r="O82">
        <v>115000</v>
      </c>
      <c r="P82">
        <v>8737700</v>
      </c>
      <c r="R82" s="238" t="s">
        <v>39</v>
      </c>
      <c r="S82" s="238" t="s">
        <v>35</v>
      </c>
      <c r="T82" t="b">
        <v>0</v>
      </c>
      <c r="U82" t="s">
        <v>8960</v>
      </c>
      <c r="V82" t="s">
        <v>8949</v>
      </c>
      <c r="W82" t="s">
        <v>8953</v>
      </c>
      <c r="X82" t="s">
        <v>8954</v>
      </c>
      <c r="Y82" s="238"/>
      <c r="AB82" t="s">
        <v>5288</v>
      </c>
      <c r="AC82">
        <v>8737700</v>
      </c>
      <c r="AD82">
        <v>0</v>
      </c>
    </row>
    <row r="83" spans="1:31" hidden="1" x14ac:dyDescent="0.25">
      <c r="A83" s="238" t="s">
        <v>91</v>
      </c>
      <c r="B83">
        <v>17</v>
      </c>
      <c r="C83" s="238" t="s">
        <v>15</v>
      </c>
      <c r="D83">
        <v>1</v>
      </c>
      <c r="E83">
        <v>49.57</v>
      </c>
      <c r="F83">
        <v>125000</v>
      </c>
      <c r="H83">
        <v>125000</v>
      </c>
      <c r="J83">
        <v>125000</v>
      </c>
      <c r="K83">
        <v>25000</v>
      </c>
      <c r="L83">
        <v>150000</v>
      </c>
      <c r="N83">
        <v>150000</v>
      </c>
      <c r="O83">
        <v>150000</v>
      </c>
      <c r="P83">
        <v>7435500</v>
      </c>
      <c r="R83" s="238" t="s">
        <v>39</v>
      </c>
      <c r="S83" s="238" t="s">
        <v>35</v>
      </c>
      <c r="T83" t="b">
        <v>0</v>
      </c>
      <c r="U83" t="s">
        <v>8960</v>
      </c>
      <c r="V83" t="s">
        <v>8949</v>
      </c>
      <c r="W83" t="s">
        <v>8953</v>
      </c>
      <c r="X83" t="s">
        <v>8954</v>
      </c>
      <c r="Y83" s="238"/>
      <c r="AB83" t="s">
        <v>5289</v>
      </c>
      <c r="AC83">
        <v>7435500</v>
      </c>
      <c r="AD83">
        <v>0</v>
      </c>
    </row>
    <row r="84" spans="1:31" hidden="1" x14ac:dyDescent="0.25">
      <c r="A84" s="238" t="s">
        <v>91</v>
      </c>
      <c r="B84">
        <v>18</v>
      </c>
      <c r="C84" s="238" t="s">
        <v>15</v>
      </c>
      <c r="D84">
        <v>1</v>
      </c>
      <c r="E84">
        <v>96.35</v>
      </c>
      <c r="F84">
        <v>115000</v>
      </c>
      <c r="H84">
        <v>115000</v>
      </c>
      <c r="J84">
        <v>115000</v>
      </c>
      <c r="L84">
        <v>115000</v>
      </c>
      <c r="N84">
        <v>115000</v>
      </c>
      <c r="O84">
        <v>115000</v>
      </c>
      <c r="P84">
        <v>11080250</v>
      </c>
      <c r="R84" s="238" t="s">
        <v>39</v>
      </c>
      <c r="S84" s="238" t="s">
        <v>35</v>
      </c>
      <c r="T84" t="b">
        <v>0</v>
      </c>
      <c r="U84" t="s">
        <v>8960</v>
      </c>
      <c r="V84" t="s">
        <v>8949</v>
      </c>
      <c r="W84" t="s">
        <v>8953</v>
      </c>
      <c r="X84" t="s">
        <v>8954</v>
      </c>
      <c r="Y84" s="238"/>
      <c r="AB84" t="s">
        <v>6475</v>
      </c>
      <c r="AC84">
        <v>11080250</v>
      </c>
      <c r="AD84">
        <v>0</v>
      </c>
    </row>
    <row r="85" spans="1:31" hidden="1" x14ac:dyDescent="0.25">
      <c r="A85" s="238" t="s">
        <v>3388</v>
      </c>
      <c r="B85">
        <v>1</v>
      </c>
      <c r="C85" s="238" t="s">
        <v>6</v>
      </c>
      <c r="D85">
        <v>0</v>
      </c>
      <c r="E85">
        <v>5.23</v>
      </c>
      <c r="F85">
        <v>110000</v>
      </c>
      <c r="H85">
        <v>110000</v>
      </c>
      <c r="J85">
        <v>110000</v>
      </c>
      <c r="L85">
        <v>110000</v>
      </c>
      <c r="N85">
        <v>110000</v>
      </c>
      <c r="O85">
        <v>109999.99999999999</v>
      </c>
      <c r="P85">
        <v>575300</v>
      </c>
      <c r="R85" s="238" t="s">
        <v>39</v>
      </c>
      <c r="S85" s="238" t="s">
        <v>39</v>
      </c>
      <c r="T85" t="b">
        <v>1</v>
      </c>
      <c r="U85" t="s">
        <v>8961</v>
      </c>
      <c r="V85" t="s">
        <v>8952</v>
      </c>
      <c r="W85" t="s">
        <v>8950</v>
      </c>
      <c r="Y85" s="238"/>
      <c r="Z85" t="s">
        <v>8693</v>
      </c>
      <c r="AB85" t="s">
        <v>8625</v>
      </c>
      <c r="AC85">
        <v>575300</v>
      </c>
      <c r="AD85">
        <v>0</v>
      </c>
      <c r="AE85" t="s">
        <v>8695</v>
      </c>
    </row>
    <row r="86" spans="1:31" hidden="1" x14ac:dyDescent="0.25">
      <c r="A86" s="238" t="s">
        <v>3388</v>
      </c>
      <c r="B86">
        <v>2</v>
      </c>
      <c r="C86" s="238" t="s">
        <v>6</v>
      </c>
      <c r="D86">
        <v>0</v>
      </c>
      <c r="E86">
        <v>5.07</v>
      </c>
      <c r="F86">
        <v>110000</v>
      </c>
      <c r="H86">
        <v>110000</v>
      </c>
      <c r="J86">
        <v>110000</v>
      </c>
      <c r="L86">
        <v>110000</v>
      </c>
      <c r="N86">
        <v>110000</v>
      </c>
      <c r="O86">
        <v>110000</v>
      </c>
      <c r="P86">
        <v>557700</v>
      </c>
      <c r="R86" s="238" t="s">
        <v>39</v>
      </c>
      <c r="S86" s="238" t="s">
        <v>39</v>
      </c>
      <c r="T86" t="b">
        <v>1</v>
      </c>
      <c r="U86" t="s">
        <v>8961</v>
      </c>
      <c r="V86" t="s">
        <v>8952</v>
      </c>
      <c r="W86" t="s">
        <v>8950</v>
      </c>
      <c r="Y86" s="238"/>
      <c r="Z86" t="s">
        <v>8693</v>
      </c>
      <c r="AB86" t="s">
        <v>8626</v>
      </c>
      <c r="AC86">
        <v>557700</v>
      </c>
      <c r="AD86">
        <v>0</v>
      </c>
      <c r="AE86" t="s">
        <v>8695</v>
      </c>
    </row>
    <row r="87" spans="1:31" hidden="1" x14ac:dyDescent="0.25">
      <c r="A87" s="238" t="s">
        <v>3388</v>
      </c>
      <c r="B87">
        <v>3</v>
      </c>
      <c r="C87" s="238" t="s">
        <v>5</v>
      </c>
      <c r="D87">
        <v>0</v>
      </c>
      <c r="E87">
        <v>4.7</v>
      </c>
      <c r="F87">
        <v>110000</v>
      </c>
      <c r="H87">
        <v>110000</v>
      </c>
      <c r="J87">
        <v>110000</v>
      </c>
      <c r="L87">
        <v>110000</v>
      </c>
      <c r="N87">
        <v>110000</v>
      </c>
      <c r="O87">
        <v>110000</v>
      </c>
      <c r="P87">
        <v>517000</v>
      </c>
      <c r="R87" s="238" t="s">
        <v>39</v>
      </c>
      <c r="S87" s="238" t="s">
        <v>39</v>
      </c>
      <c r="T87" t="b">
        <v>1</v>
      </c>
      <c r="U87" t="s">
        <v>8961</v>
      </c>
      <c r="V87" t="s">
        <v>8952</v>
      </c>
      <c r="W87" t="s">
        <v>8950</v>
      </c>
      <c r="Y87" s="238"/>
      <c r="Z87" t="s">
        <v>8693</v>
      </c>
      <c r="AB87" t="s">
        <v>8627</v>
      </c>
      <c r="AC87">
        <v>517000</v>
      </c>
      <c r="AD87">
        <v>0</v>
      </c>
      <c r="AE87" t="s">
        <v>8695</v>
      </c>
    </row>
    <row r="88" spans="1:31" hidden="1" x14ac:dyDescent="0.25">
      <c r="A88" s="238" t="s">
        <v>3388</v>
      </c>
      <c r="B88">
        <v>4</v>
      </c>
      <c r="C88" s="238" t="s">
        <v>5</v>
      </c>
      <c r="D88">
        <v>0</v>
      </c>
      <c r="E88">
        <v>6.97</v>
      </c>
      <c r="F88">
        <v>100000</v>
      </c>
      <c r="H88">
        <v>100000</v>
      </c>
      <c r="J88">
        <v>100000</v>
      </c>
      <c r="L88">
        <v>100000</v>
      </c>
      <c r="N88">
        <v>100000</v>
      </c>
      <c r="O88">
        <v>100000</v>
      </c>
      <c r="P88">
        <v>697000</v>
      </c>
      <c r="R88" s="238" t="s">
        <v>39</v>
      </c>
      <c r="S88" s="238" t="s">
        <v>39</v>
      </c>
      <c r="T88" t="b">
        <v>1</v>
      </c>
      <c r="U88" t="s">
        <v>8961</v>
      </c>
      <c r="V88" t="s">
        <v>8952</v>
      </c>
      <c r="W88" t="s">
        <v>8950</v>
      </c>
      <c r="Y88" s="238"/>
      <c r="Z88" t="s">
        <v>8693</v>
      </c>
      <c r="AB88" t="s">
        <v>8628</v>
      </c>
      <c r="AC88">
        <v>697000</v>
      </c>
      <c r="AD88">
        <v>0</v>
      </c>
      <c r="AE88" t="s">
        <v>8695</v>
      </c>
    </row>
    <row r="89" spans="1:31" hidden="1" x14ac:dyDescent="0.25">
      <c r="A89" s="238" t="s">
        <v>3388</v>
      </c>
      <c r="B89">
        <v>5</v>
      </c>
      <c r="C89" s="238" t="s">
        <v>16</v>
      </c>
      <c r="D89">
        <v>0</v>
      </c>
      <c r="E89">
        <v>3.87</v>
      </c>
      <c r="F89">
        <v>110000</v>
      </c>
      <c r="H89">
        <v>110000</v>
      </c>
      <c r="J89">
        <v>110000</v>
      </c>
      <c r="L89">
        <v>110000</v>
      </c>
      <c r="N89">
        <v>110000</v>
      </c>
      <c r="O89">
        <v>110000</v>
      </c>
      <c r="P89">
        <v>425700</v>
      </c>
      <c r="R89" s="238" t="s">
        <v>39</v>
      </c>
      <c r="S89" s="238" t="s">
        <v>39</v>
      </c>
      <c r="T89" t="b">
        <v>1</v>
      </c>
      <c r="U89" t="s">
        <v>8961</v>
      </c>
      <c r="V89" t="s">
        <v>8952</v>
      </c>
      <c r="W89" t="s">
        <v>8950</v>
      </c>
      <c r="Y89" s="238"/>
      <c r="Z89" t="s">
        <v>8693</v>
      </c>
      <c r="AB89" t="s">
        <v>8629</v>
      </c>
      <c r="AC89">
        <v>425700</v>
      </c>
      <c r="AD89">
        <v>0</v>
      </c>
      <c r="AE89" t="s">
        <v>8695</v>
      </c>
    </row>
    <row r="90" spans="1:31" hidden="1" x14ac:dyDescent="0.25">
      <c r="A90" s="238" t="s">
        <v>3388</v>
      </c>
      <c r="B90">
        <v>6</v>
      </c>
      <c r="C90" s="238" t="s">
        <v>16</v>
      </c>
      <c r="D90">
        <v>0</v>
      </c>
      <c r="E90">
        <v>6.94</v>
      </c>
      <c r="F90">
        <v>100000</v>
      </c>
      <c r="H90">
        <v>100000</v>
      </c>
      <c r="J90">
        <v>100000</v>
      </c>
      <c r="L90">
        <v>100000</v>
      </c>
      <c r="N90">
        <v>100000</v>
      </c>
      <c r="O90">
        <v>100000</v>
      </c>
      <c r="P90">
        <v>694000</v>
      </c>
      <c r="R90" s="238" t="s">
        <v>39</v>
      </c>
      <c r="S90" s="238" t="s">
        <v>39</v>
      </c>
      <c r="T90" t="b">
        <v>1</v>
      </c>
      <c r="U90" t="s">
        <v>8961</v>
      </c>
      <c r="V90" t="s">
        <v>8952</v>
      </c>
      <c r="W90" t="s">
        <v>8950</v>
      </c>
      <c r="Y90" s="238"/>
      <c r="Z90" t="s">
        <v>8693</v>
      </c>
      <c r="AB90" t="s">
        <v>8630</v>
      </c>
      <c r="AC90">
        <v>694000</v>
      </c>
      <c r="AD90">
        <v>0</v>
      </c>
      <c r="AE90" t="s">
        <v>8695</v>
      </c>
    </row>
  </sheetData>
  <phoneticPr fontId="7" type="noConversion"/>
  <pageMargins left="0.7" right="0.7" top="0.75" bottom="0.75" header="0.3" footer="0.3"/>
  <pageSetup paperSize="9" scale="80" fitToHeight="0" orientation="landscape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EAE0-DB0D-47EA-8264-505EB9310F19}">
  <sheetPr codeName="Лист14">
    <tabColor rgb="FF00B0F0"/>
  </sheetPr>
  <dimension ref="A1:BO289"/>
  <sheetViews>
    <sheetView workbookViewId="0"/>
  </sheetViews>
  <sheetFormatPr defaultRowHeight="15" x14ac:dyDescent="0.25"/>
  <cols>
    <col min="1" max="1" width="5.5703125" bestFit="1" customWidth="1"/>
    <col min="2" max="2" width="9.8554687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1.42578125" bestFit="1" customWidth="1"/>
    <col min="14" max="14" width="15.42578125" bestFit="1" customWidth="1"/>
    <col min="15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12.42578125" bestFit="1" customWidth="1"/>
    <col min="24" max="24" width="15.5703125" bestFit="1" customWidth="1"/>
    <col min="25" max="25" width="18.85546875" bestFit="1" customWidth="1"/>
    <col min="26" max="26" width="15.5703125" bestFit="1" customWidth="1"/>
    <col min="27" max="27" width="22.28515625" bestFit="1" customWidth="1"/>
    <col min="28" max="28" width="15.5703125" bestFit="1" customWidth="1"/>
    <col min="29" max="29" width="24.42578125" bestFit="1" customWidth="1"/>
    <col min="30" max="30" width="15.5703125" bestFit="1" customWidth="1"/>
    <col min="31" max="31" width="57.7109375" bestFit="1" customWidth="1"/>
    <col min="32" max="32" width="15.5703125" bestFit="1" customWidth="1"/>
    <col min="33" max="33" width="28.28515625" bestFit="1" customWidth="1"/>
    <col min="34" max="34" width="15.5703125" bestFit="1" customWidth="1"/>
    <col min="35" max="35" width="28.28515625" bestFit="1" customWidth="1"/>
    <col min="36" max="36" width="15.5703125" bestFit="1" customWidth="1"/>
    <col min="37" max="37" width="70.7109375" bestFit="1" customWidth="1"/>
    <col min="38" max="38" width="15.5703125" bestFit="1" customWidth="1"/>
    <col min="39" max="39" width="14" bestFit="1" customWidth="1"/>
    <col min="40" max="40" width="23" bestFit="1" customWidth="1"/>
    <col min="41" max="41" width="24.85546875" bestFit="1" customWidth="1"/>
    <col min="42" max="42" width="11.85546875" bestFit="1" customWidth="1"/>
    <col min="43" max="43" width="25.28515625" bestFit="1" customWidth="1"/>
    <col min="44" max="44" width="33.85546875" bestFit="1" customWidth="1"/>
    <col min="45" max="45" width="39.140625" bestFit="1" customWidth="1"/>
    <col min="46" max="46" width="11.140625" bestFit="1" customWidth="1"/>
    <col min="47" max="47" width="21.42578125" bestFit="1" customWidth="1"/>
    <col min="48" max="48" width="14.7109375" bestFit="1" customWidth="1"/>
    <col min="49" max="49" width="21.85546875" bestFit="1" customWidth="1"/>
    <col min="50" max="50" width="17.85546875" bestFit="1" customWidth="1"/>
    <col min="51" max="51" width="33.5703125" bestFit="1" customWidth="1"/>
    <col min="52" max="52" width="28" bestFit="1" customWidth="1"/>
    <col min="53" max="54" width="23.140625" bestFit="1" customWidth="1"/>
    <col min="55" max="55" width="14.42578125" bestFit="1" customWidth="1"/>
    <col min="56" max="56" width="16.85546875" bestFit="1" customWidth="1"/>
    <col min="57" max="57" width="40.7109375" bestFit="1" customWidth="1"/>
    <col min="58" max="58" width="15.7109375" bestFit="1" customWidth="1"/>
    <col min="59" max="59" width="12.140625" bestFit="1" customWidth="1"/>
    <col min="60" max="60" width="17.7109375" bestFit="1" customWidth="1"/>
    <col min="61" max="63" width="8" bestFit="1" customWidth="1"/>
    <col min="64" max="64" width="22.28515625" bestFit="1" customWidth="1"/>
    <col min="65" max="65" width="15.85546875" bestFit="1" customWidth="1"/>
    <col min="66" max="66" width="20.5703125" bestFit="1" customWidth="1"/>
    <col min="67" max="67" width="18.28515625" bestFit="1" customWidth="1"/>
    <col min="68" max="68" width="17.7109375" bestFit="1" customWidth="1"/>
    <col min="69" max="69" width="18.28515625" customWidth="1"/>
    <col min="70" max="70" width="18.28515625" bestFit="1" customWidth="1"/>
    <col min="71" max="71" width="18.28515625" customWidth="1"/>
    <col min="72" max="72" width="5.7109375" bestFit="1" customWidth="1"/>
    <col min="73" max="73" width="18.28515625" customWidth="1"/>
    <col min="74" max="74" width="5.7109375" bestFit="1" customWidth="1"/>
    <col min="75" max="75" width="19" bestFit="1" customWidth="1"/>
    <col min="76" max="76" width="5.7109375" bestFit="1" customWidth="1"/>
    <col min="77" max="77" width="18" bestFit="1" customWidth="1"/>
    <col min="78" max="78" width="12" bestFit="1" customWidth="1"/>
    <col min="79" max="79" width="16.140625" bestFit="1" customWidth="1"/>
  </cols>
  <sheetData>
    <row r="1" spans="1:67" x14ac:dyDescent="0.25">
      <c r="A1" t="s">
        <v>10</v>
      </c>
      <c r="B1" t="s">
        <v>40</v>
      </c>
      <c r="C1" t="s">
        <v>41</v>
      </c>
      <c r="D1" t="s">
        <v>3149</v>
      </c>
      <c r="E1" t="s">
        <v>32</v>
      </c>
      <c r="F1" t="s">
        <v>3372</v>
      </c>
      <c r="G1" t="s">
        <v>3373</v>
      </c>
      <c r="H1" t="s">
        <v>3374</v>
      </c>
      <c r="I1" t="s">
        <v>4620</v>
      </c>
      <c r="J1" t="s">
        <v>3375</v>
      </c>
      <c r="K1" t="s">
        <v>3376</v>
      </c>
      <c r="L1" t="s">
        <v>3377</v>
      </c>
      <c r="M1" t="s">
        <v>3379</v>
      </c>
      <c r="N1" t="s">
        <v>3378</v>
      </c>
      <c r="O1" t="s">
        <v>3380</v>
      </c>
      <c r="P1" t="s">
        <v>3381</v>
      </c>
      <c r="Q1" t="s">
        <v>3382</v>
      </c>
      <c r="R1" t="s">
        <v>85</v>
      </c>
      <c r="S1" t="s">
        <v>4621</v>
      </c>
      <c r="T1" t="s">
        <v>4622</v>
      </c>
      <c r="U1" t="s">
        <v>113</v>
      </c>
      <c r="V1" t="s">
        <v>3386</v>
      </c>
      <c r="W1" t="s">
        <v>8056</v>
      </c>
      <c r="X1" t="s">
        <v>8057</v>
      </c>
      <c r="Y1" t="s">
        <v>8389</v>
      </c>
      <c r="Z1" t="s">
        <v>8390</v>
      </c>
      <c r="AA1" t="s">
        <v>8507</v>
      </c>
      <c r="AB1" t="s">
        <v>8508</v>
      </c>
      <c r="AC1" t="s">
        <v>8516</v>
      </c>
      <c r="AD1" t="s">
        <v>8517</v>
      </c>
      <c r="AE1" t="s">
        <v>8569</v>
      </c>
      <c r="AF1" t="s">
        <v>8595</v>
      </c>
      <c r="AG1" t="s">
        <v>8596</v>
      </c>
      <c r="AH1" t="s">
        <v>8597</v>
      </c>
      <c r="AI1" t="s">
        <v>8663</v>
      </c>
      <c r="AJ1" t="s">
        <v>8664</v>
      </c>
      <c r="AK1" t="s">
        <v>8965</v>
      </c>
      <c r="AL1" t="s">
        <v>8966</v>
      </c>
      <c r="AM1" t="s">
        <v>3383</v>
      </c>
      <c r="AN1" t="s">
        <v>3387</v>
      </c>
      <c r="AO1" t="s">
        <v>114</v>
      </c>
      <c r="AP1" t="s">
        <v>86</v>
      </c>
      <c r="AQ1" t="s">
        <v>115</v>
      </c>
      <c r="AR1" t="s">
        <v>87</v>
      </c>
      <c r="AS1" t="s">
        <v>88</v>
      </c>
      <c r="AT1" t="s">
        <v>9</v>
      </c>
      <c r="AU1" t="s">
        <v>46</v>
      </c>
      <c r="AV1" t="s">
        <v>8813</v>
      </c>
      <c r="AW1" t="s">
        <v>47</v>
      </c>
      <c r="AX1" t="s">
        <v>89</v>
      </c>
      <c r="AY1" t="s">
        <v>48</v>
      </c>
      <c r="AZ1" t="s">
        <v>56</v>
      </c>
      <c r="BA1" t="s">
        <v>8</v>
      </c>
      <c r="BB1" t="s">
        <v>7</v>
      </c>
      <c r="BC1" t="s">
        <v>8945</v>
      </c>
      <c r="BD1" t="s">
        <v>8946</v>
      </c>
      <c r="BE1" t="s">
        <v>8943</v>
      </c>
      <c r="BF1" t="s">
        <v>8969</v>
      </c>
      <c r="BG1" t="s">
        <v>116</v>
      </c>
      <c r="BH1" t="s">
        <v>6979</v>
      </c>
      <c r="BI1" t="s">
        <v>8999</v>
      </c>
      <c r="BJ1" t="s">
        <v>9000</v>
      </c>
      <c r="BK1" t="s">
        <v>9001</v>
      </c>
      <c r="BL1" t="s">
        <v>8058</v>
      </c>
      <c r="BM1" t="s">
        <v>6977</v>
      </c>
      <c r="BN1" t="s">
        <v>8059</v>
      </c>
      <c r="BO1" t="s">
        <v>5245</v>
      </c>
    </row>
    <row r="2" spans="1:67" x14ac:dyDescent="0.25">
      <c r="A2" s="238">
        <v>1</v>
      </c>
      <c r="B2" s="238">
        <v>1</v>
      </c>
      <c r="C2" s="238">
        <v>2</v>
      </c>
      <c r="D2" s="238">
        <v>1</v>
      </c>
      <c r="E2" s="238">
        <v>0</v>
      </c>
      <c r="F2" s="238">
        <v>14.66</v>
      </c>
      <c r="G2" s="238"/>
      <c r="H2" s="238"/>
      <c r="I2" s="238">
        <v>14.66</v>
      </c>
      <c r="J2" s="238">
        <v>6.15</v>
      </c>
      <c r="K2" s="238">
        <v>5.0199999999999996</v>
      </c>
      <c r="L2" s="238"/>
      <c r="M2" s="238">
        <v>3.86</v>
      </c>
      <c r="N2" s="238"/>
      <c r="O2" s="238"/>
      <c r="R2" s="238">
        <v>0</v>
      </c>
      <c r="S2" s="238">
        <v>29.69</v>
      </c>
      <c r="T2" s="238">
        <v>29.69</v>
      </c>
      <c r="U2" s="238">
        <v>29.69</v>
      </c>
      <c r="V2" s="238">
        <v>139730</v>
      </c>
      <c r="X2">
        <v>139730</v>
      </c>
      <c r="Y2">
        <v>1000</v>
      </c>
      <c r="Z2">
        <v>140730</v>
      </c>
      <c r="AA2">
        <v>215</v>
      </c>
      <c r="AB2">
        <v>140945</v>
      </c>
      <c r="AC2">
        <v>17.5</v>
      </c>
      <c r="AD2">
        <v>140962.5</v>
      </c>
      <c r="AF2">
        <v>140962.5</v>
      </c>
      <c r="AH2">
        <v>140962.5</v>
      </c>
      <c r="AJ2">
        <v>140962.5</v>
      </c>
      <c r="AL2">
        <v>140962.5</v>
      </c>
      <c r="AM2" s="238">
        <v>140962.5</v>
      </c>
      <c r="AN2" s="238">
        <v>4185200</v>
      </c>
      <c r="AP2" s="238"/>
      <c r="AQ2" s="238">
        <v>0</v>
      </c>
      <c r="AR2" s="238">
        <v>140963.28730212193</v>
      </c>
      <c r="AS2" s="238">
        <v>4185200</v>
      </c>
      <c r="AT2" s="238" t="s">
        <v>36</v>
      </c>
      <c r="AU2" s="238"/>
      <c r="AW2">
        <v>140963.28730212193</v>
      </c>
      <c r="AX2" s="238">
        <v>0</v>
      </c>
      <c r="AY2" s="238">
        <v>4185200</v>
      </c>
      <c r="BA2" s="238" t="s">
        <v>35</v>
      </c>
      <c r="BB2" s="238" t="s">
        <v>35</v>
      </c>
      <c r="BC2" t="s">
        <v>8953</v>
      </c>
      <c r="BD2" t="s">
        <v>8954</v>
      </c>
      <c r="BE2" t="s">
        <v>8962</v>
      </c>
      <c r="BF2" t="s">
        <v>8970</v>
      </c>
      <c r="BG2" t="b">
        <v>1</v>
      </c>
      <c r="BH2">
        <v>4185200</v>
      </c>
      <c r="BI2">
        <v>4185200</v>
      </c>
      <c r="BJ2">
        <v>0</v>
      </c>
      <c r="BK2">
        <v>0</v>
      </c>
      <c r="BL2">
        <v>0</v>
      </c>
      <c r="BM2" t="s">
        <v>36</v>
      </c>
      <c r="BN2" t="b">
        <v>1</v>
      </c>
      <c r="BO2" t="s">
        <v>8061</v>
      </c>
    </row>
    <row r="3" spans="1:67" x14ac:dyDescent="0.25">
      <c r="A3" s="238">
        <v>2</v>
      </c>
      <c r="B3" s="238">
        <v>1</v>
      </c>
      <c r="C3" s="238">
        <v>2</v>
      </c>
      <c r="D3" s="238">
        <v>2</v>
      </c>
      <c r="E3" s="238">
        <v>2</v>
      </c>
      <c r="F3" s="238">
        <v>16.100000000000001</v>
      </c>
      <c r="G3" s="238">
        <v>10.8</v>
      </c>
      <c r="H3" s="238"/>
      <c r="I3" s="238">
        <v>26.9</v>
      </c>
      <c r="J3" s="238">
        <v>17.7</v>
      </c>
      <c r="K3" s="238">
        <v>4.25</v>
      </c>
      <c r="L3" s="238"/>
      <c r="M3" s="238">
        <v>9.68</v>
      </c>
      <c r="N3" s="238"/>
      <c r="O3" s="238">
        <v>3.15</v>
      </c>
      <c r="R3" s="238">
        <v>3.15</v>
      </c>
      <c r="S3" s="238">
        <v>61.68</v>
      </c>
      <c r="T3" s="238">
        <v>58.53</v>
      </c>
      <c r="U3" s="238">
        <v>60.11</v>
      </c>
      <c r="V3" s="238">
        <v>119811.8</v>
      </c>
      <c r="X3">
        <v>119811.8</v>
      </c>
      <c r="Y3">
        <v>1000</v>
      </c>
      <c r="Z3">
        <v>120811.8</v>
      </c>
      <c r="AA3">
        <v>215</v>
      </c>
      <c r="AB3">
        <v>121026.8</v>
      </c>
      <c r="AC3">
        <v>17.5</v>
      </c>
      <c r="AD3">
        <v>121044.3</v>
      </c>
      <c r="AE3">
        <v>605.22149999999999</v>
      </c>
      <c r="AF3">
        <v>121649.5215</v>
      </c>
      <c r="AH3">
        <v>121649.5215</v>
      </c>
      <c r="AJ3">
        <v>121649.5215</v>
      </c>
      <c r="AK3">
        <v>3649.4856450000002</v>
      </c>
      <c r="AL3">
        <v>125299.007145</v>
      </c>
      <c r="AM3" s="238">
        <v>125299.01</v>
      </c>
      <c r="AN3" s="238">
        <v>7531800</v>
      </c>
      <c r="AP3" s="238"/>
      <c r="AQ3" s="238">
        <v>0</v>
      </c>
      <c r="AR3" s="238">
        <v>125300.28281483946</v>
      </c>
      <c r="AS3" s="238">
        <v>7531800</v>
      </c>
      <c r="AT3" s="238" t="s">
        <v>36</v>
      </c>
      <c r="AU3" s="238"/>
      <c r="AW3">
        <v>125300.28281483946</v>
      </c>
      <c r="AX3" s="238">
        <v>0</v>
      </c>
      <c r="AY3" s="238">
        <v>7531800</v>
      </c>
      <c r="BA3" s="238" t="s">
        <v>35</v>
      </c>
      <c r="BB3" s="238" t="s">
        <v>35</v>
      </c>
      <c r="BC3" t="s">
        <v>8953</v>
      </c>
      <c r="BD3" t="s">
        <v>8954</v>
      </c>
      <c r="BE3" t="s">
        <v>8962</v>
      </c>
      <c r="BF3" t="s">
        <v>8971</v>
      </c>
      <c r="BG3" t="b">
        <v>1</v>
      </c>
      <c r="BH3">
        <v>7531800</v>
      </c>
      <c r="BI3">
        <v>7531800</v>
      </c>
      <c r="BJ3">
        <v>0</v>
      </c>
      <c r="BK3">
        <v>0</v>
      </c>
      <c r="BL3">
        <v>0</v>
      </c>
      <c r="BM3" t="s">
        <v>36</v>
      </c>
      <c r="BN3" t="b">
        <v>1</v>
      </c>
      <c r="BO3" t="s">
        <v>8062</v>
      </c>
    </row>
    <row r="4" spans="1:67" x14ac:dyDescent="0.25">
      <c r="A4" s="238">
        <v>3</v>
      </c>
      <c r="B4" s="238">
        <v>1</v>
      </c>
      <c r="C4" s="238">
        <v>2</v>
      </c>
      <c r="D4" s="238">
        <v>3</v>
      </c>
      <c r="E4" s="238">
        <v>2</v>
      </c>
      <c r="F4" s="238">
        <v>16.41</v>
      </c>
      <c r="G4" s="238">
        <v>12.19</v>
      </c>
      <c r="H4" s="238"/>
      <c r="I4" s="238">
        <v>28.6</v>
      </c>
      <c r="J4" s="238">
        <v>14.62</v>
      </c>
      <c r="K4" s="238">
        <v>3.86</v>
      </c>
      <c r="L4" s="238"/>
      <c r="M4" s="238">
        <v>6.1</v>
      </c>
      <c r="N4" s="238"/>
      <c r="O4" s="238">
        <v>2.99</v>
      </c>
      <c r="R4" s="238">
        <v>2.99</v>
      </c>
      <c r="S4" s="238">
        <v>56.17</v>
      </c>
      <c r="T4" s="238">
        <v>53.18</v>
      </c>
      <c r="U4" s="238">
        <v>54.68</v>
      </c>
      <c r="V4" s="238">
        <v>117551.2</v>
      </c>
      <c r="X4">
        <v>117551.2</v>
      </c>
      <c r="Y4">
        <v>1000</v>
      </c>
      <c r="Z4">
        <v>118551.2</v>
      </c>
      <c r="AA4">
        <v>215</v>
      </c>
      <c r="AB4">
        <v>118766.2</v>
      </c>
      <c r="AC4">
        <v>17.5</v>
      </c>
      <c r="AD4">
        <v>118783.7</v>
      </c>
      <c r="AE4">
        <v>593.91849999999999</v>
      </c>
      <c r="AF4">
        <v>119377.6185</v>
      </c>
      <c r="AH4">
        <v>119377.6185</v>
      </c>
      <c r="AJ4">
        <v>119377.6185</v>
      </c>
      <c r="AL4">
        <v>119377.6185</v>
      </c>
      <c r="AM4" s="238">
        <v>119377.62</v>
      </c>
      <c r="AN4" s="238">
        <v>6527600</v>
      </c>
      <c r="AP4" s="238"/>
      <c r="AQ4" s="238">
        <v>0</v>
      </c>
      <c r="AR4" s="238">
        <v>119378.20043891734</v>
      </c>
      <c r="AS4" s="238">
        <v>6527600</v>
      </c>
      <c r="AT4" s="238" t="s">
        <v>36</v>
      </c>
      <c r="AU4" s="238"/>
      <c r="AW4">
        <v>119378.20043891734</v>
      </c>
      <c r="AX4" s="238">
        <v>0</v>
      </c>
      <c r="AY4" s="238">
        <v>6527600</v>
      </c>
      <c r="BA4" s="238" t="s">
        <v>35</v>
      </c>
      <c r="BB4" s="238" t="s">
        <v>35</v>
      </c>
      <c r="BC4" t="s">
        <v>8953</v>
      </c>
      <c r="BD4" t="s">
        <v>8954</v>
      </c>
      <c r="BE4" t="s">
        <v>8962</v>
      </c>
      <c r="BF4" t="s">
        <v>8971</v>
      </c>
      <c r="BG4" t="b">
        <v>1</v>
      </c>
      <c r="BH4">
        <v>6527600</v>
      </c>
      <c r="BI4">
        <v>6527600</v>
      </c>
      <c r="BJ4">
        <v>0</v>
      </c>
      <c r="BK4">
        <v>0</v>
      </c>
      <c r="BL4">
        <v>0</v>
      </c>
      <c r="BM4" t="s">
        <v>36</v>
      </c>
      <c r="BN4" t="b">
        <v>1</v>
      </c>
      <c r="BO4" t="s">
        <v>8063</v>
      </c>
    </row>
    <row r="5" spans="1:67" x14ac:dyDescent="0.25">
      <c r="A5" s="238">
        <v>4</v>
      </c>
      <c r="B5" s="238">
        <v>1</v>
      </c>
      <c r="C5" s="238">
        <v>2</v>
      </c>
      <c r="D5" s="238">
        <v>4</v>
      </c>
      <c r="E5" s="238">
        <v>2</v>
      </c>
      <c r="F5" s="238">
        <v>14.98</v>
      </c>
      <c r="G5" s="238">
        <v>12.28</v>
      </c>
      <c r="H5" s="238"/>
      <c r="I5" s="238">
        <v>27.26</v>
      </c>
      <c r="J5" s="238">
        <v>19.329999999999998</v>
      </c>
      <c r="K5" s="238">
        <v>4.4400000000000004</v>
      </c>
      <c r="L5" s="238"/>
      <c r="M5" s="238">
        <v>6.25</v>
      </c>
      <c r="N5" s="238"/>
      <c r="O5" s="238"/>
      <c r="R5" s="238">
        <v>0</v>
      </c>
      <c r="S5" s="238">
        <v>57.28</v>
      </c>
      <c r="T5" s="238">
        <v>57.28</v>
      </c>
      <c r="U5" s="238">
        <v>57.28</v>
      </c>
      <c r="V5" s="238">
        <v>116420.9</v>
      </c>
      <c r="X5">
        <v>116420.9</v>
      </c>
      <c r="Y5">
        <v>1000</v>
      </c>
      <c r="Z5">
        <v>117420.9</v>
      </c>
      <c r="AA5">
        <v>215</v>
      </c>
      <c r="AB5">
        <v>117635.9</v>
      </c>
      <c r="AC5">
        <v>17.5</v>
      </c>
      <c r="AD5">
        <v>117653.4</v>
      </c>
      <c r="AE5">
        <v>588.26699999999994</v>
      </c>
      <c r="AF5">
        <v>118241.667</v>
      </c>
      <c r="AH5">
        <v>118241.667</v>
      </c>
      <c r="AJ5">
        <v>118241.667</v>
      </c>
      <c r="AK5">
        <v>2364.8333400000001</v>
      </c>
      <c r="AL5">
        <v>120606.50034</v>
      </c>
      <c r="AM5" s="238">
        <v>120606.5</v>
      </c>
      <c r="AN5" s="238">
        <v>6908400</v>
      </c>
      <c r="AP5" s="238"/>
      <c r="AQ5" s="238">
        <v>0</v>
      </c>
      <c r="AR5" s="238">
        <v>120607.54189944132</v>
      </c>
      <c r="AS5" s="238">
        <v>6908400</v>
      </c>
      <c r="AT5" s="238" t="s">
        <v>36</v>
      </c>
      <c r="AU5" s="238"/>
      <c r="AW5">
        <v>120607.54189944132</v>
      </c>
      <c r="AX5" s="238">
        <v>0</v>
      </c>
      <c r="AY5" s="238">
        <v>6908400</v>
      </c>
      <c r="BA5" s="238" t="s">
        <v>35</v>
      </c>
      <c r="BB5" s="238" t="s">
        <v>35</v>
      </c>
      <c r="BC5" t="s">
        <v>8953</v>
      </c>
      <c r="BD5" t="s">
        <v>8954</v>
      </c>
      <c r="BE5" t="s">
        <v>8962</v>
      </c>
      <c r="BF5" t="s">
        <v>8971</v>
      </c>
      <c r="BG5" t="b">
        <v>1</v>
      </c>
      <c r="BH5">
        <v>6908400</v>
      </c>
      <c r="BI5">
        <v>6908400</v>
      </c>
      <c r="BJ5">
        <v>0</v>
      </c>
      <c r="BK5">
        <v>0</v>
      </c>
      <c r="BL5">
        <v>0</v>
      </c>
      <c r="BM5" t="s">
        <v>36</v>
      </c>
      <c r="BN5" t="b">
        <v>1</v>
      </c>
      <c r="BO5" t="s">
        <v>8064</v>
      </c>
    </row>
    <row r="6" spans="1:67" x14ac:dyDescent="0.25">
      <c r="A6" s="238">
        <v>5</v>
      </c>
      <c r="B6" s="238">
        <v>1</v>
      </c>
      <c r="C6" s="238">
        <v>2</v>
      </c>
      <c r="D6" s="238">
        <v>5</v>
      </c>
      <c r="E6" s="238">
        <v>1</v>
      </c>
      <c r="F6" s="238">
        <v>13.06</v>
      </c>
      <c r="G6" s="238"/>
      <c r="H6" s="238"/>
      <c r="I6" s="238">
        <v>13.06</v>
      </c>
      <c r="J6" s="238">
        <v>15.1</v>
      </c>
      <c r="K6" s="238">
        <v>4.4400000000000004</v>
      </c>
      <c r="L6" s="238"/>
      <c r="M6" s="238">
        <v>2.9</v>
      </c>
      <c r="N6" s="238"/>
      <c r="O6" s="238">
        <v>3.02</v>
      </c>
      <c r="R6" s="238">
        <v>3.02</v>
      </c>
      <c r="S6" s="238">
        <v>38.520000000000003</v>
      </c>
      <c r="T6" s="238">
        <v>35.5</v>
      </c>
      <c r="U6" s="238">
        <v>37.01</v>
      </c>
      <c r="V6" s="238">
        <v>125223</v>
      </c>
      <c r="X6">
        <v>125223</v>
      </c>
      <c r="Y6">
        <v>1000</v>
      </c>
      <c r="Z6">
        <v>126223</v>
      </c>
      <c r="AA6">
        <v>215</v>
      </c>
      <c r="AB6">
        <v>126438</v>
      </c>
      <c r="AC6">
        <v>17.5</v>
      </c>
      <c r="AD6">
        <v>126455.5</v>
      </c>
      <c r="AE6">
        <v>1896.8325</v>
      </c>
      <c r="AF6">
        <v>128352.3325</v>
      </c>
      <c r="AG6">
        <v>1283.5233250000001</v>
      </c>
      <c r="AH6">
        <v>129635.85582500001</v>
      </c>
      <c r="AI6">
        <v>1296.35855825</v>
      </c>
      <c r="AJ6">
        <v>130932.21438325</v>
      </c>
      <c r="AL6">
        <v>130932.21438325</v>
      </c>
      <c r="AM6" s="238">
        <v>130932.21</v>
      </c>
      <c r="AN6" s="238">
        <v>4845900</v>
      </c>
      <c r="AP6" s="238"/>
      <c r="AQ6" s="238">
        <v>0</v>
      </c>
      <c r="AR6" s="238">
        <v>130934.88246419888</v>
      </c>
      <c r="AS6" s="238">
        <v>4845900</v>
      </c>
      <c r="AT6" s="238" t="s">
        <v>36</v>
      </c>
      <c r="AU6" s="238"/>
      <c r="AW6">
        <v>130934.88246419888</v>
      </c>
      <c r="AX6" s="238">
        <v>0</v>
      </c>
      <c r="AY6" s="238">
        <v>4845900</v>
      </c>
      <c r="BA6" s="238" t="s">
        <v>35</v>
      </c>
      <c r="BB6" s="238" t="s">
        <v>35</v>
      </c>
      <c r="BC6" t="s">
        <v>8953</v>
      </c>
      <c r="BD6" t="s">
        <v>8954</v>
      </c>
      <c r="BE6" t="s">
        <v>8962</v>
      </c>
      <c r="BF6" t="s">
        <v>8972</v>
      </c>
      <c r="BG6" t="b">
        <v>1</v>
      </c>
      <c r="BH6">
        <v>4845900</v>
      </c>
      <c r="BI6">
        <v>4845900</v>
      </c>
      <c r="BJ6">
        <v>0</v>
      </c>
      <c r="BK6">
        <v>0</v>
      </c>
      <c r="BL6">
        <v>0</v>
      </c>
      <c r="BM6" t="s">
        <v>36</v>
      </c>
      <c r="BN6" t="b">
        <v>1</v>
      </c>
      <c r="BO6" t="s">
        <v>8065</v>
      </c>
    </row>
    <row r="7" spans="1:67" x14ac:dyDescent="0.25">
      <c r="A7" s="238">
        <v>6</v>
      </c>
      <c r="B7" s="238">
        <v>1</v>
      </c>
      <c r="C7" s="238">
        <v>2</v>
      </c>
      <c r="D7" s="238">
        <v>6</v>
      </c>
      <c r="E7" s="238">
        <v>1</v>
      </c>
      <c r="F7" s="238">
        <v>14.57</v>
      </c>
      <c r="G7" s="238"/>
      <c r="H7" s="238"/>
      <c r="I7" s="238">
        <v>14.57</v>
      </c>
      <c r="J7" s="238">
        <v>16.93</v>
      </c>
      <c r="K7" s="238">
        <v>4.46</v>
      </c>
      <c r="L7" s="238"/>
      <c r="M7" s="238">
        <v>7.75</v>
      </c>
      <c r="N7" s="238"/>
      <c r="O7" s="238">
        <v>3.1</v>
      </c>
      <c r="R7" s="238">
        <v>3.1</v>
      </c>
      <c r="S7" s="238">
        <v>46.81</v>
      </c>
      <c r="T7" s="238">
        <v>43.71</v>
      </c>
      <c r="U7" s="238">
        <v>45.26</v>
      </c>
      <c r="V7" s="238">
        <v>121645.2</v>
      </c>
      <c r="X7">
        <v>121645.2</v>
      </c>
      <c r="Y7">
        <v>1000</v>
      </c>
      <c r="Z7">
        <v>122645.2</v>
      </c>
      <c r="AA7">
        <v>215</v>
      </c>
      <c r="AB7">
        <v>122860.2</v>
      </c>
      <c r="AC7">
        <v>17.5</v>
      </c>
      <c r="AD7">
        <v>122877.7</v>
      </c>
      <c r="AE7">
        <v>614.38850000000002</v>
      </c>
      <c r="AF7">
        <v>123492.0885</v>
      </c>
      <c r="AG7">
        <v>1234.920885</v>
      </c>
      <c r="AH7">
        <v>124727.009385</v>
      </c>
      <c r="AI7">
        <v>1247.27009385</v>
      </c>
      <c r="AJ7">
        <v>125974.27947885</v>
      </c>
      <c r="AK7">
        <v>2519.4855895770002</v>
      </c>
      <c r="AL7">
        <v>128493.765068427</v>
      </c>
      <c r="AM7" s="238">
        <v>128493.77</v>
      </c>
      <c r="AN7" s="238">
        <v>5815700</v>
      </c>
      <c r="AP7" s="238"/>
      <c r="AQ7" s="238">
        <v>0</v>
      </c>
      <c r="AR7" s="238">
        <v>128495.36014140522</v>
      </c>
      <c r="AS7" s="238">
        <v>5815700</v>
      </c>
      <c r="AT7" s="238" t="s">
        <v>36</v>
      </c>
      <c r="AU7" s="238"/>
      <c r="AW7">
        <v>128495.36014140522</v>
      </c>
      <c r="AX7" s="238">
        <v>0</v>
      </c>
      <c r="AY7" s="238">
        <v>5815700</v>
      </c>
      <c r="BA7" s="238" t="s">
        <v>35</v>
      </c>
      <c r="BB7" s="238" t="s">
        <v>35</v>
      </c>
      <c r="BC7" t="s">
        <v>8953</v>
      </c>
      <c r="BD7" t="s">
        <v>8954</v>
      </c>
      <c r="BE7" t="s">
        <v>8962</v>
      </c>
      <c r="BF7" t="s">
        <v>8972</v>
      </c>
      <c r="BG7" t="b">
        <v>1</v>
      </c>
      <c r="BH7">
        <v>5815700</v>
      </c>
      <c r="BI7">
        <v>5815700</v>
      </c>
      <c r="BJ7">
        <v>0</v>
      </c>
      <c r="BK7">
        <v>0</v>
      </c>
      <c r="BL7">
        <v>0</v>
      </c>
      <c r="BM7" t="s">
        <v>36</v>
      </c>
      <c r="BN7" t="b">
        <v>1</v>
      </c>
      <c r="BO7" t="s">
        <v>8066</v>
      </c>
    </row>
    <row r="8" spans="1:67" x14ac:dyDescent="0.25">
      <c r="A8" s="238">
        <v>7</v>
      </c>
      <c r="B8" s="238">
        <v>1</v>
      </c>
      <c r="C8" s="238">
        <v>3</v>
      </c>
      <c r="D8" s="238">
        <v>1</v>
      </c>
      <c r="E8" s="238">
        <v>0</v>
      </c>
      <c r="F8" s="238">
        <v>14.66</v>
      </c>
      <c r="G8" s="238"/>
      <c r="H8" s="238"/>
      <c r="I8" s="238">
        <v>14.66</v>
      </c>
      <c r="J8" s="238">
        <v>6.15</v>
      </c>
      <c r="K8" s="238">
        <v>5.0199999999999996</v>
      </c>
      <c r="L8" s="238"/>
      <c r="M8" s="238">
        <v>3.86</v>
      </c>
      <c r="N8" s="238"/>
      <c r="O8" s="238"/>
      <c r="R8" s="238">
        <v>0</v>
      </c>
      <c r="S8" s="238">
        <v>29.69</v>
      </c>
      <c r="T8" s="238">
        <v>29.69</v>
      </c>
      <c r="U8" s="238">
        <v>29.69</v>
      </c>
      <c r="V8" s="238">
        <v>139730</v>
      </c>
      <c r="W8">
        <v>200</v>
      </c>
      <c r="X8">
        <v>139930</v>
      </c>
      <c r="Y8">
        <v>1000</v>
      </c>
      <c r="Z8">
        <v>140930</v>
      </c>
      <c r="AA8">
        <v>215</v>
      </c>
      <c r="AB8">
        <v>141145</v>
      </c>
      <c r="AC8">
        <v>17.5</v>
      </c>
      <c r="AD8">
        <v>141162.5</v>
      </c>
      <c r="AF8">
        <v>141162.5</v>
      </c>
      <c r="AH8">
        <v>141162.5</v>
      </c>
      <c r="AJ8">
        <v>141162.5</v>
      </c>
      <c r="AL8">
        <v>141162.5</v>
      </c>
      <c r="AM8" s="238">
        <v>141162.5</v>
      </c>
      <c r="AN8" s="238">
        <v>4191200</v>
      </c>
      <c r="AP8" s="238"/>
      <c r="AQ8" s="238">
        <v>0</v>
      </c>
      <c r="AR8" s="238">
        <v>141165.37554732233</v>
      </c>
      <c r="AS8" s="238">
        <v>4191200</v>
      </c>
      <c r="AT8" s="238" t="s">
        <v>36</v>
      </c>
      <c r="AU8" s="238"/>
      <c r="AW8">
        <v>141165.37554732233</v>
      </c>
      <c r="AX8" s="238">
        <v>0</v>
      </c>
      <c r="AY8" s="238">
        <v>4191200</v>
      </c>
      <c r="BA8" s="238" t="s">
        <v>3</v>
      </c>
      <c r="BB8" s="238" t="s">
        <v>3</v>
      </c>
      <c r="BC8" t="s">
        <v>8951</v>
      </c>
      <c r="BD8" t="s">
        <v>1167</v>
      </c>
      <c r="BE8" t="s">
        <v>8962</v>
      </c>
      <c r="BF8" t="s">
        <v>8970</v>
      </c>
      <c r="BG8" t="b">
        <v>1</v>
      </c>
      <c r="BH8">
        <v>4191200</v>
      </c>
      <c r="BI8">
        <v>4191200</v>
      </c>
      <c r="BJ8">
        <v>0</v>
      </c>
      <c r="BK8">
        <v>0</v>
      </c>
      <c r="BL8">
        <v>0</v>
      </c>
      <c r="BM8" t="s">
        <v>36</v>
      </c>
      <c r="BN8" t="b">
        <v>1</v>
      </c>
      <c r="BO8" t="s">
        <v>8067</v>
      </c>
    </row>
    <row r="9" spans="1:67" x14ac:dyDescent="0.25">
      <c r="A9" s="238">
        <v>8</v>
      </c>
      <c r="B9" s="238">
        <v>1</v>
      </c>
      <c r="C9" s="238">
        <v>3</v>
      </c>
      <c r="D9" s="238">
        <v>2</v>
      </c>
      <c r="E9" s="238">
        <v>2</v>
      </c>
      <c r="F9" s="238">
        <v>16.100000000000001</v>
      </c>
      <c r="G9" s="238">
        <v>10.8</v>
      </c>
      <c r="H9" s="238"/>
      <c r="I9" s="238">
        <v>26.9</v>
      </c>
      <c r="J9" s="238">
        <v>17.7</v>
      </c>
      <c r="K9" s="238">
        <v>4.25</v>
      </c>
      <c r="L9" s="238"/>
      <c r="M9" s="238">
        <v>9.68</v>
      </c>
      <c r="N9" s="238"/>
      <c r="O9" s="238">
        <v>3.15</v>
      </c>
      <c r="R9" s="238">
        <v>3.15</v>
      </c>
      <c r="S9" s="238">
        <v>61.68</v>
      </c>
      <c r="T9" s="238">
        <v>58.53</v>
      </c>
      <c r="U9" s="238">
        <v>60.11</v>
      </c>
      <c r="V9" s="238">
        <v>119811.8</v>
      </c>
      <c r="X9">
        <v>119811.8</v>
      </c>
      <c r="Y9">
        <v>1000</v>
      </c>
      <c r="Z9">
        <v>120811.8</v>
      </c>
      <c r="AA9">
        <v>215</v>
      </c>
      <c r="AB9">
        <v>121026.8</v>
      </c>
      <c r="AC9">
        <v>17.5</v>
      </c>
      <c r="AD9">
        <v>121044.3</v>
      </c>
      <c r="AE9">
        <v>605.22149999999999</v>
      </c>
      <c r="AF9">
        <v>121649.5215</v>
      </c>
      <c r="AH9">
        <v>121649.5215</v>
      </c>
      <c r="AJ9">
        <v>121649.5215</v>
      </c>
      <c r="AK9">
        <v>3649.4856450000002</v>
      </c>
      <c r="AL9">
        <v>125299.007145</v>
      </c>
      <c r="AM9" s="238">
        <v>125299.01</v>
      </c>
      <c r="AN9" s="238">
        <v>7531800</v>
      </c>
      <c r="AP9" s="238"/>
      <c r="AQ9" s="238">
        <v>0</v>
      </c>
      <c r="AR9" s="238">
        <v>125300.28281483946</v>
      </c>
      <c r="AS9" s="238">
        <v>7531800</v>
      </c>
      <c r="AT9" s="238" t="s">
        <v>36</v>
      </c>
      <c r="AU9" s="238"/>
      <c r="AW9">
        <v>125300.28281483946</v>
      </c>
      <c r="AX9" s="238">
        <v>0</v>
      </c>
      <c r="AY9" s="238">
        <v>7531800</v>
      </c>
      <c r="BA9" s="238" t="s">
        <v>35</v>
      </c>
      <c r="BB9" s="238" t="s">
        <v>35</v>
      </c>
      <c r="BC9" t="s">
        <v>8953</v>
      </c>
      <c r="BD9" t="s">
        <v>8954</v>
      </c>
      <c r="BE9" t="s">
        <v>8962</v>
      </c>
      <c r="BF9" t="s">
        <v>8971</v>
      </c>
      <c r="BG9" t="b">
        <v>1</v>
      </c>
      <c r="BH9">
        <v>7531800</v>
      </c>
      <c r="BI9">
        <v>7531800</v>
      </c>
      <c r="BJ9">
        <v>0</v>
      </c>
      <c r="BK9">
        <v>0</v>
      </c>
      <c r="BL9">
        <v>0</v>
      </c>
      <c r="BM9" t="s">
        <v>36</v>
      </c>
      <c r="BN9" t="b">
        <v>1</v>
      </c>
      <c r="BO9" t="s">
        <v>8068</v>
      </c>
    </row>
    <row r="10" spans="1:67" x14ac:dyDescent="0.25">
      <c r="A10" s="238">
        <v>9</v>
      </c>
      <c r="B10" s="238">
        <v>1</v>
      </c>
      <c r="C10" s="238">
        <v>3</v>
      </c>
      <c r="D10" s="238">
        <v>3</v>
      </c>
      <c r="E10" s="238">
        <v>2</v>
      </c>
      <c r="F10" s="238">
        <v>16.41</v>
      </c>
      <c r="G10" s="238">
        <v>12.19</v>
      </c>
      <c r="H10" s="238"/>
      <c r="I10" s="238">
        <v>28.6</v>
      </c>
      <c r="J10" s="238">
        <v>14.62</v>
      </c>
      <c r="K10" s="238">
        <v>3.86</v>
      </c>
      <c r="L10" s="238"/>
      <c r="M10" s="238">
        <v>6.1</v>
      </c>
      <c r="N10" s="238"/>
      <c r="O10" s="238">
        <v>3.33</v>
      </c>
      <c r="R10" s="238">
        <v>3.33</v>
      </c>
      <c r="S10" s="238">
        <v>56.51</v>
      </c>
      <c r="T10" s="238">
        <v>53.18</v>
      </c>
      <c r="U10" s="238">
        <v>54.85</v>
      </c>
      <c r="V10" s="238">
        <v>117551.2</v>
      </c>
      <c r="X10">
        <v>117551.2</v>
      </c>
      <c r="Y10">
        <v>1000</v>
      </c>
      <c r="Z10">
        <v>118551.2</v>
      </c>
      <c r="AA10">
        <v>215</v>
      </c>
      <c r="AB10">
        <v>118766.2</v>
      </c>
      <c r="AC10">
        <v>17.5</v>
      </c>
      <c r="AD10">
        <v>118783.7</v>
      </c>
      <c r="AE10">
        <v>593.91849999999999</v>
      </c>
      <c r="AF10">
        <v>119377.6185</v>
      </c>
      <c r="AH10">
        <v>119377.6185</v>
      </c>
      <c r="AJ10">
        <v>119377.6185</v>
      </c>
      <c r="AL10">
        <v>119377.6185</v>
      </c>
      <c r="AM10" s="238">
        <v>119377.62</v>
      </c>
      <c r="AN10" s="238">
        <v>6547900</v>
      </c>
      <c r="AP10" s="238"/>
      <c r="AQ10" s="238">
        <v>0</v>
      </c>
      <c r="AR10" s="238">
        <v>119378.30446672744</v>
      </c>
      <c r="AS10" s="238">
        <v>6547900</v>
      </c>
      <c r="AT10" s="238" t="s">
        <v>36</v>
      </c>
      <c r="AU10" s="238"/>
      <c r="AW10">
        <v>119378.30446672744</v>
      </c>
      <c r="AX10" s="238">
        <v>0</v>
      </c>
      <c r="AY10" s="238">
        <v>6547900</v>
      </c>
      <c r="BA10" s="238" t="s">
        <v>35</v>
      </c>
      <c r="BB10" s="238" t="s">
        <v>35</v>
      </c>
      <c r="BC10" t="s">
        <v>8953</v>
      </c>
      <c r="BD10" t="s">
        <v>8954</v>
      </c>
      <c r="BE10" t="s">
        <v>8962</v>
      </c>
      <c r="BF10" t="s">
        <v>8971</v>
      </c>
      <c r="BG10" t="b">
        <v>1</v>
      </c>
      <c r="BH10">
        <v>6547900</v>
      </c>
      <c r="BI10">
        <v>6547900</v>
      </c>
      <c r="BJ10">
        <v>0</v>
      </c>
      <c r="BK10">
        <v>0</v>
      </c>
      <c r="BL10">
        <v>0</v>
      </c>
      <c r="BM10" t="s">
        <v>36</v>
      </c>
      <c r="BN10" t="b">
        <v>1</v>
      </c>
      <c r="BO10" t="s">
        <v>8069</v>
      </c>
    </row>
    <row r="11" spans="1:67" x14ac:dyDescent="0.25">
      <c r="A11" s="238">
        <v>10</v>
      </c>
      <c r="B11" s="238">
        <v>1</v>
      </c>
      <c r="C11" s="238">
        <v>3</v>
      </c>
      <c r="D11" s="238">
        <v>4</v>
      </c>
      <c r="E11" s="238">
        <v>2</v>
      </c>
      <c r="F11" s="238">
        <v>14.98</v>
      </c>
      <c r="G11" s="238">
        <v>12.28</v>
      </c>
      <c r="H11" s="238"/>
      <c r="I11" s="238">
        <v>27.26</v>
      </c>
      <c r="J11" s="238">
        <v>15.16</v>
      </c>
      <c r="K11" s="238">
        <v>4.4400000000000004</v>
      </c>
      <c r="L11" s="238"/>
      <c r="M11" s="238">
        <v>6.25</v>
      </c>
      <c r="N11" s="238"/>
      <c r="O11" s="238">
        <v>3.33</v>
      </c>
      <c r="R11" s="238">
        <v>3.33</v>
      </c>
      <c r="S11" s="238">
        <v>56.44</v>
      </c>
      <c r="T11" s="238">
        <v>53.11</v>
      </c>
      <c r="U11" s="238">
        <v>54.78</v>
      </c>
      <c r="V11" s="238">
        <v>119811.8</v>
      </c>
      <c r="X11">
        <v>119811.8</v>
      </c>
      <c r="Y11">
        <v>1000</v>
      </c>
      <c r="Z11">
        <v>120811.8</v>
      </c>
      <c r="AA11">
        <v>215</v>
      </c>
      <c r="AB11">
        <v>121026.8</v>
      </c>
      <c r="AC11">
        <v>17.5</v>
      </c>
      <c r="AD11">
        <v>121044.3</v>
      </c>
      <c r="AE11">
        <v>605.22149999999999</v>
      </c>
      <c r="AF11">
        <v>121649.5215</v>
      </c>
      <c r="AH11">
        <v>121649.5215</v>
      </c>
      <c r="AJ11">
        <v>121649.5215</v>
      </c>
      <c r="AL11">
        <v>121649.5215</v>
      </c>
      <c r="AM11" s="238">
        <v>121649.52</v>
      </c>
      <c r="AN11" s="238">
        <v>6664000</v>
      </c>
      <c r="AP11" s="238"/>
      <c r="AQ11" s="238">
        <v>0</v>
      </c>
      <c r="AR11" s="238">
        <v>121650.23731288793</v>
      </c>
      <c r="AS11" s="238">
        <v>6664000</v>
      </c>
      <c r="AT11" s="238" t="s">
        <v>38</v>
      </c>
      <c r="AU11" s="238">
        <v>30000</v>
      </c>
      <c r="AV11" t="s">
        <v>8816</v>
      </c>
      <c r="AW11">
        <v>151650.23731288791</v>
      </c>
      <c r="AX11" s="238">
        <v>1643400</v>
      </c>
      <c r="AY11" s="238">
        <v>8307400</v>
      </c>
      <c r="BA11" s="238" t="s">
        <v>35</v>
      </c>
      <c r="BB11" s="238" t="s">
        <v>35</v>
      </c>
      <c r="BC11" t="s">
        <v>8953</v>
      </c>
      <c r="BD11" t="s">
        <v>8954</v>
      </c>
      <c r="BE11" t="s">
        <v>8962</v>
      </c>
      <c r="BF11" t="s">
        <v>8971</v>
      </c>
      <c r="BG11" t="b">
        <v>1</v>
      </c>
      <c r="BH11">
        <v>6664000</v>
      </c>
      <c r="BI11">
        <v>6664000</v>
      </c>
      <c r="BJ11">
        <v>0</v>
      </c>
      <c r="BK11">
        <v>0</v>
      </c>
      <c r="BL11">
        <v>0</v>
      </c>
      <c r="BM11" t="s">
        <v>38</v>
      </c>
      <c r="BN11" t="b">
        <v>1</v>
      </c>
      <c r="BO11" t="s">
        <v>8070</v>
      </c>
    </row>
    <row r="12" spans="1:67" x14ac:dyDescent="0.25">
      <c r="A12" s="238">
        <v>11</v>
      </c>
      <c r="B12" s="238">
        <v>1</v>
      </c>
      <c r="C12" s="238">
        <v>3</v>
      </c>
      <c r="D12" s="238">
        <v>5</v>
      </c>
      <c r="E12" s="238">
        <v>1</v>
      </c>
      <c r="F12" s="238">
        <v>13.06</v>
      </c>
      <c r="G12" s="238"/>
      <c r="H12" s="238"/>
      <c r="I12" s="238">
        <v>13.06</v>
      </c>
      <c r="J12" s="238">
        <v>15.1</v>
      </c>
      <c r="K12" s="238">
        <v>4.4400000000000004</v>
      </c>
      <c r="L12" s="238"/>
      <c r="M12" s="238">
        <v>2.9</v>
      </c>
      <c r="N12" s="238"/>
      <c r="O12" s="238">
        <v>3.02</v>
      </c>
      <c r="R12" s="238">
        <v>3.02</v>
      </c>
      <c r="S12" s="238">
        <v>38.520000000000003</v>
      </c>
      <c r="T12" s="238">
        <v>35.5</v>
      </c>
      <c r="U12" s="238">
        <v>37.01</v>
      </c>
      <c r="V12" s="238">
        <v>125223</v>
      </c>
      <c r="W12">
        <v>2504.46</v>
      </c>
      <c r="X12">
        <v>127727.46</v>
      </c>
      <c r="Y12">
        <v>1000</v>
      </c>
      <c r="Z12">
        <v>128727.46</v>
      </c>
      <c r="AA12">
        <v>215</v>
      </c>
      <c r="AB12">
        <v>128942.46</v>
      </c>
      <c r="AC12">
        <v>17.5</v>
      </c>
      <c r="AD12">
        <v>128959.96</v>
      </c>
      <c r="AE12">
        <v>1934.3994</v>
      </c>
      <c r="AF12">
        <v>130894.3594</v>
      </c>
      <c r="AG12">
        <v>1308.9435940000001</v>
      </c>
      <c r="AH12">
        <v>132203.302994</v>
      </c>
      <c r="AI12">
        <v>1322.03302994</v>
      </c>
      <c r="AJ12">
        <v>133525.33602394001</v>
      </c>
      <c r="AL12">
        <v>133525.33602394001</v>
      </c>
      <c r="AM12" s="238">
        <v>133525.34</v>
      </c>
      <c r="AN12" s="238">
        <v>4941800</v>
      </c>
      <c r="AP12" s="238"/>
      <c r="AQ12" s="238">
        <v>0</v>
      </c>
      <c r="AR12" s="238">
        <v>133526.07403404487</v>
      </c>
      <c r="AS12" s="238">
        <v>4941800</v>
      </c>
      <c r="AT12" s="238" t="s">
        <v>36</v>
      </c>
      <c r="AU12" s="238"/>
      <c r="AW12">
        <v>133526.07403404487</v>
      </c>
      <c r="AX12" s="238">
        <v>0</v>
      </c>
      <c r="AY12" s="238">
        <v>4941800</v>
      </c>
      <c r="BA12" s="238" t="s">
        <v>35</v>
      </c>
      <c r="BB12" s="238" t="s">
        <v>35</v>
      </c>
      <c r="BC12" t="s">
        <v>8953</v>
      </c>
      <c r="BD12" t="s">
        <v>8954</v>
      </c>
      <c r="BE12" t="s">
        <v>8962</v>
      </c>
      <c r="BF12" t="s">
        <v>8972</v>
      </c>
      <c r="BG12" t="b">
        <v>1</v>
      </c>
      <c r="BH12">
        <v>4941800</v>
      </c>
      <c r="BI12">
        <v>4941800</v>
      </c>
      <c r="BJ12">
        <v>0</v>
      </c>
      <c r="BK12">
        <v>0</v>
      </c>
      <c r="BL12">
        <v>0</v>
      </c>
      <c r="BM12" t="s">
        <v>36</v>
      </c>
      <c r="BN12" t="b">
        <v>1</v>
      </c>
      <c r="BO12" t="s">
        <v>8071</v>
      </c>
    </row>
    <row r="13" spans="1:67" x14ac:dyDescent="0.25">
      <c r="A13" s="238">
        <v>12</v>
      </c>
      <c r="B13" s="238">
        <v>1</v>
      </c>
      <c r="C13" s="238">
        <v>3</v>
      </c>
      <c r="D13" s="238">
        <v>6</v>
      </c>
      <c r="E13" s="238">
        <v>1</v>
      </c>
      <c r="F13" s="238">
        <v>14.57</v>
      </c>
      <c r="G13" s="238"/>
      <c r="H13" s="238"/>
      <c r="I13" s="238">
        <v>14.57</v>
      </c>
      <c r="J13" s="238">
        <v>16.93</v>
      </c>
      <c r="K13" s="238">
        <v>4.46</v>
      </c>
      <c r="L13" s="238"/>
      <c r="M13" s="238">
        <v>7.75</v>
      </c>
      <c r="N13" s="238"/>
      <c r="O13" s="238">
        <v>3.1</v>
      </c>
      <c r="R13" s="238">
        <v>3.1</v>
      </c>
      <c r="S13" s="238">
        <v>46.81</v>
      </c>
      <c r="T13" s="238">
        <v>43.71</v>
      </c>
      <c r="U13" s="238">
        <v>45.26</v>
      </c>
      <c r="V13" s="238">
        <v>121645.2</v>
      </c>
      <c r="X13">
        <v>121645.2</v>
      </c>
      <c r="Y13">
        <v>1000</v>
      </c>
      <c r="Z13">
        <v>122645.2</v>
      </c>
      <c r="AA13">
        <v>215</v>
      </c>
      <c r="AB13">
        <v>122860.2</v>
      </c>
      <c r="AC13">
        <v>17.5</v>
      </c>
      <c r="AD13">
        <v>122877.7</v>
      </c>
      <c r="AE13">
        <v>614.38850000000002</v>
      </c>
      <c r="AF13">
        <v>123492.0885</v>
      </c>
      <c r="AG13">
        <v>1234.920885</v>
      </c>
      <c r="AH13">
        <v>124727.009385</v>
      </c>
      <c r="AI13">
        <v>1247.27009385</v>
      </c>
      <c r="AJ13">
        <v>125974.27947885</v>
      </c>
      <c r="AK13">
        <v>2519.4855895770002</v>
      </c>
      <c r="AL13">
        <v>128493.765068427</v>
      </c>
      <c r="AM13" s="238">
        <v>128493.77</v>
      </c>
      <c r="AN13" s="238">
        <v>5815700</v>
      </c>
      <c r="AP13" s="238"/>
      <c r="AQ13" s="238">
        <v>0</v>
      </c>
      <c r="AR13" s="238">
        <v>128495.36014140522</v>
      </c>
      <c r="AS13" s="238">
        <v>5815700</v>
      </c>
      <c r="AT13" s="238" t="s">
        <v>36</v>
      </c>
      <c r="AU13" s="238"/>
      <c r="AW13">
        <v>128495.36014140522</v>
      </c>
      <c r="AX13" s="238">
        <v>0</v>
      </c>
      <c r="AY13" s="238">
        <v>5815700</v>
      </c>
      <c r="BA13" s="238" t="s">
        <v>35</v>
      </c>
      <c r="BB13" s="238" t="s">
        <v>35</v>
      </c>
      <c r="BC13" t="s">
        <v>8953</v>
      </c>
      <c r="BD13" t="s">
        <v>8954</v>
      </c>
      <c r="BE13" t="s">
        <v>8962</v>
      </c>
      <c r="BF13" t="s">
        <v>8972</v>
      </c>
      <c r="BG13" t="b">
        <v>1</v>
      </c>
      <c r="BH13">
        <v>5815700</v>
      </c>
      <c r="BI13">
        <v>5815700</v>
      </c>
      <c r="BJ13">
        <v>0</v>
      </c>
      <c r="BK13">
        <v>0</v>
      </c>
      <c r="BL13">
        <v>0</v>
      </c>
      <c r="BM13" t="s">
        <v>36</v>
      </c>
      <c r="BN13" t="b">
        <v>1</v>
      </c>
      <c r="BO13" t="s">
        <v>8072</v>
      </c>
    </row>
    <row r="14" spans="1:67" x14ac:dyDescent="0.25">
      <c r="A14" s="238">
        <v>13</v>
      </c>
      <c r="B14" s="238">
        <v>1</v>
      </c>
      <c r="C14" s="238">
        <v>4</v>
      </c>
      <c r="D14" s="238">
        <v>1</v>
      </c>
      <c r="E14" s="238">
        <v>0</v>
      </c>
      <c r="F14" s="238">
        <v>14.66</v>
      </c>
      <c r="G14" s="238"/>
      <c r="H14" s="238"/>
      <c r="I14" s="238">
        <v>14.66</v>
      </c>
      <c r="J14" s="238">
        <v>6.15</v>
      </c>
      <c r="K14" s="238">
        <v>5.0199999999999996</v>
      </c>
      <c r="L14" s="238"/>
      <c r="M14" s="238">
        <v>3.86</v>
      </c>
      <c r="N14" s="238"/>
      <c r="O14" s="238"/>
      <c r="R14" s="238">
        <v>0</v>
      </c>
      <c r="S14" s="238">
        <v>29.69</v>
      </c>
      <c r="T14" s="238">
        <v>29.69</v>
      </c>
      <c r="U14" s="238">
        <v>29.69</v>
      </c>
      <c r="V14" s="238">
        <v>139730</v>
      </c>
      <c r="W14">
        <v>200</v>
      </c>
      <c r="X14">
        <v>139930</v>
      </c>
      <c r="Y14">
        <v>1000</v>
      </c>
      <c r="Z14">
        <v>140930</v>
      </c>
      <c r="AA14">
        <v>215</v>
      </c>
      <c r="AB14">
        <v>141145</v>
      </c>
      <c r="AC14">
        <v>17.5</v>
      </c>
      <c r="AD14">
        <v>141162.5</v>
      </c>
      <c r="AF14">
        <v>141162.5</v>
      </c>
      <c r="AH14">
        <v>141162.5</v>
      </c>
      <c r="AJ14">
        <v>141162.5</v>
      </c>
      <c r="AL14">
        <v>141162.5</v>
      </c>
      <c r="AM14" s="238">
        <v>141162.5</v>
      </c>
      <c r="AN14" s="238">
        <v>4191200</v>
      </c>
      <c r="AP14" s="238"/>
      <c r="AQ14" s="238">
        <v>0</v>
      </c>
      <c r="AR14" s="238">
        <v>141165.37554732233</v>
      </c>
      <c r="AS14" s="238">
        <v>4191200</v>
      </c>
      <c r="AT14" s="238" t="s">
        <v>36</v>
      </c>
      <c r="AU14" s="238"/>
      <c r="AW14">
        <v>141165.37554732233</v>
      </c>
      <c r="AX14" s="238">
        <v>0</v>
      </c>
      <c r="AY14" s="238">
        <v>4191200</v>
      </c>
      <c r="BA14" s="238" t="s">
        <v>35</v>
      </c>
      <c r="BB14" s="238" t="s">
        <v>35</v>
      </c>
      <c r="BC14" t="s">
        <v>8953</v>
      </c>
      <c r="BD14" t="s">
        <v>8954</v>
      </c>
      <c r="BE14" t="s">
        <v>8962</v>
      </c>
      <c r="BF14" t="s">
        <v>8970</v>
      </c>
      <c r="BG14" t="b">
        <v>1</v>
      </c>
      <c r="BH14">
        <v>4191200</v>
      </c>
      <c r="BI14">
        <v>4191200</v>
      </c>
      <c r="BJ14">
        <v>0</v>
      </c>
      <c r="BK14">
        <v>0</v>
      </c>
      <c r="BL14">
        <v>0</v>
      </c>
      <c r="BM14" t="s">
        <v>36</v>
      </c>
      <c r="BN14" t="b">
        <v>1</v>
      </c>
      <c r="BO14" t="s">
        <v>8073</v>
      </c>
    </row>
    <row r="15" spans="1:67" x14ac:dyDescent="0.25">
      <c r="A15" s="238">
        <v>14</v>
      </c>
      <c r="B15" s="238">
        <v>1</v>
      </c>
      <c r="C15" s="238">
        <v>4</v>
      </c>
      <c r="D15" s="238">
        <v>2</v>
      </c>
      <c r="E15" s="238">
        <v>2</v>
      </c>
      <c r="F15" s="238">
        <v>16.100000000000001</v>
      </c>
      <c r="G15" s="238">
        <v>10.8</v>
      </c>
      <c r="H15" s="238"/>
      <c r="I15" s="238">
        <v>26.9</v>
      </c>
      <c r="J15" s="238">
        <v>17.7</v>
      </c>
      <c r="K15" s="238">
        <v>4.25</v>
      </c>
      <c r="L15" s="238"/>
      <c r="M15" s="238">
        <v>9.68</v>
      </c>
      <c r="N15" s="238"/>
      <c r="O15" s="238">
        <v>3.15</v>
      </c>
      <c r="R15" s="238">
        <v>3.15</v>
      </c>
      <c r="S15" s="238">
        <v>61.68</v>
      </c>
      <c r="T15" s="238">
        <v>58.53</v>
      </c>
      <c r="U15" s="238">
        <v>60.11</v>
      </c>
      <c r="V15" s="238">
        <v>119811.8</v>
      </c>
      <c r="X15">
        <v>119811.8</v>
      </c>
      <c r="Y15">
        <v>1000</v>
      </c>
      <c r="Z15">
        <v>120811.8</v>
      </c>
      <c r="AA15">
        <v>215</v>
      </c>
      <c r="AB15">
        <v>121026.8</v>
      </c>
      <c r="AC15">
        <v>17.5</v>
      </c>
      <c r="AD15">
        <v>121044.3</v>
      </c>
      <c r="AE15">
        <v>605.22149999999999</v>
      </c>
      <c r="AF15">
        <v>121649.5215</v>
      </c>
      <c r="AH15">
        <v>121649.5215</v>
      </c>
      <c r="AJ15">
        <v>121649.5215</v>
      </c>
      <c r="AK15">
        <v>3649.4856450000002</v>
      </c>
      <c r="AL15">
        <v>125299.007145</v>
      </c>
      <c r="AM15" s="238">
        <v>125299.01</v>
      </c>
      <c r="AN15" s="238">
        <v>7531800</v>
      </c>
      <c r="AP15" s="238"/>
      <c r="AQ15" s="238">
        <v>0</v>
      </c>
      <c r="AR15" s="238">
        <v>125300.28281483946</v>
      </c>
      <c r="AS15" s="238">
        <v>7531800</v>
      </c>
      <c r="AT15" s="238" t="s">
        <v>36</v>
      </c>
      <c r="AU15" s="238"/>
      <c r="AW15">
        <v>125300.28281483946</v>
      </c>
      <c r="AX15" s="238">
        <v>0</v>
      </c>
      <c r="AY15" s="238">
        <v>7531800</v>
      </c>
      <c r="BA15" s="238" t="s">
        <v>35</v>
      </c>
      <c r="BB15" s="238" t="s">
        <v>35</v>
      </c>
      <c r="BC15" t="s">
        <v>8953</v>
      </c>
      <c r="BD15" t="s">
        <v>8954</v>
      </c>
      <c r="BE15" t="s">
        <v>8962</v>
      </c>
      <c r="BF15" t="s">
        <v>8971</v>
      </c>
      <c r="BG15" t="b">
        <v>1</v>
      </c>
      <c r="BH15">
        <v>7531800</v>
      </c>
      <c r="BI15">
        <v>7531800</v>
      </c>
      <c r="BJ15">
        <v>0</v>
      </c>
      <c r="BK15">
        <v>0</v>
      </c>
      <c r="BL15">
        <v>0</v>
      </c>
      <c r="BM15" t="s">
        <v>36</v>
      </c>
      <c r="BN15" t="b">
        <v>1</v>
      </c>
      <c r="BO15" t="s">
        <v>8074</v>
      </c>
    </row>
    <row r="16" spans="1:67" x14ac:dyDescent="0.25">
      <c r="A16" s="238">
        <v>15</v>
      </c>
      <c r="B16" s="238">
        <v>1</v>
      </c>
      <c r="C16" s="238">
        <v>4</v>
      </c>
      <c r="D16" s="238">
        <v>3</v>
      </c>
      <c r="E16" s="238">
        <v>2</v>
      </c>
      <c r="F16" s="238">
        <v>16.41</v>
      </c>
      <c r="G16" s="238">
        <v>12.19</v>
      </c>
      <c r="H16" s="238"/>
      <c r="I16" s="238">
        <v>28.6</v>
      </c>
      <c r="J16" s="238">
        <v>14.62</v>
      </c>
      <c r="K16" s="238">
        <v>3.86</v>
      </c>
      <c r="L16" s="238"/>
      <c r="M16" s="238">
        <v>6.1</v>
      </c>
      <c r="N16" s="238"/>
      <c r="O16" s="238">
        <v>3.33</v>
      </c>
      <c r="R16" s="238">
        <v>3.33</v>
      </c>
      <c r="S16" s="238">
        <v>56.51</v>
      </c>
      <c r="T16" s="238">
        <v>53.18</v>
      </c>
      <c r="U16" s="238">
        <v>54.85</v>
      </c>
      <c r="V16" s="238">
        <v>118681.5</v>
      </c>
      <c r="X16">
        <v>118681.5</v>
      </c>
      <c r="Y16">
        <v>1000</v>
      </c>
      <c r="Z16">
        <v>119681.5</v>
      </c>
      <c r="AA16">
        <v>215</v>
      </c>
      <c r="AB16">
        <v>119896.5</v>
      </c>
      <c r="AC16">
        <v>17.5</v>
      </c>
      <c r="AD16">
        <v>119914</v>
      </c>
      <c r="AE16">
        <v>599.57000000000005</v>
      </c>
      <c r="AF16">
        <v>120513.57</v>
      </c>
      <c r="AH16">
        <v>120513.57</v>
      </c>
      <c r="AJ16">
        <v>120513.57</v>
      </c>
      <c r="AL16">
        <v>120513.57</v>
      </c>
      <c r="AM16" s="238">
        <v>120513.57</v>
      </c>
      <c r="AN16" s="238">
        <v>6610200</v>
      </c>
      <c r="AP16" s="238"/>
      <c r="AQ16" s="238">
        <v>0</v>
      </c>
      <c r="AR16" s="238">
        <v>120514.129443938</v>
      </c>
      <c r="AS16" s="238">
        <v>6610200</v>
      </c>
      <c r="AT16" s="238" t="s">
        <v>36</v>
      </c>
      <c r="AU16" s="238"/>
      <c r="AW16">
        <v>120514.129443938</v>
      </c>
      <c r="AX16" s="238">
        <v>0</v>
      </c>
      <c r="AY16" s="238">
        <v>6610200</v>
      </c>
      <c r="BA16" s="238" t="s">
        <v>35</v>
      </c>
      <c r="BB16" s="238" t="s">
        <v>35</v>
      </c>
      <c r="BC16" t="s">
        <v>8953</v>
      </c>
      <c r="BD16" t="s">
        <v>8954</v>
      </c>
      <c r="BE16" t="s">
        <v>8962</v>
      </c>
      <c r="BF16" t="s">
        <v>8971</v>
      </c>
      <c r="BG16" t="b">
        <v>1</v>
      </c>
      <c r="BH16">
        <v>6610200</v>
      </c>
      <c r="BI16">
        <v>6610200</v>
      </c>
      <c r="BJ16">
        <v>0</v>
      </c>
      <c r="BK16">
        <v>0</v>
      </c>
      <c r="BL16">
        <v>0</v>
      </c>
      <c r="BM16" t="s">
        <v>36</v>
      </c>
      <c r="BN16" t="b">
        <v>1</v>
      </c>
      <c r="BO16" t="s">
        <v>8075</v>
      </c>
    </row>
    <row r="17" spans="1:67" x14ac:dyDescent="0.25">
      <c r="A17" s="238">
        <v>16</v>
      </c>
      <c r="B17" s="238">
        <v>1</v>
      </c>
      <c r="C17" s="238">
        <v>4</v>
      </c>
      <c r="D17" s="238">
        <v>4</v>
      </c>
      <c r="E17" s="238">
        <v>2</v>
      </c>
      <c r="F17" s="238">
        <v>14.98</v>
      </c>
      <c r="G17" s="238">
        <v>12.28</v>
      </c>
      <c r="H17" s="238"/>
      <c r="I17" s="238">
        <v>27.26</v>
      </c>
      <c r="J17" s="238">
        <v>15.16</v>
      </c>
      <c r="K17" s="238">
        <v>4.4400000000000004</v>
      </c>
      <c r="L17" s="238"/>
      <c r="M17" s="238">
        <v>6.25</v>
      </c>
      <c r="N17" s="238"/>
      <c r="O17" s="238">
        <v>3.33</v>
      </c>
      <c r="R17" s="238">
        <v>3.33</v>
      </c>
      <c r="S17" s="238">
        <v>56.44</v>
      </c>
      <c r="T17" s="238">
        <v>53.11</v>
      </c>
      <c r="U17" s="238">
        <v>54.78</v>
      </c>
      <c r="V17" s="238">
        <v>120942.1</v>
      </c>
      <c r="X17">
        <v>120942.1</v>
      </c>
      <c r="Y17">
        <v>1000</v>
      </c>
      <c r="Z17">
        <v>121942.1</v>
      </c>
      <c r="AA17">
        <v>215</v>
      </c>
      <c r="AB17">
        <v>122157.1</v>
      </c>
      <c r="AC17">
        <v>17.5</v>
      </c>
      <c r="AD17">
        <v>122174.6</v>
      </c>
      <c r="AE17">
        <v>610.87300000000005</v>
      </c>
      <c r="AF17">
        <v>122785.473</v>
      </c>
      <c r="AH17">
        <v>122785.473</v>
      </c>
      <c r="AJ17">
        <v>122785.473</v>
      </c>
      <c r="AL17">
        <v>122785.473</v>
      </c>
      <c r="AM17" s="238">
        <v>122785.47</v>
      </c>
      <c r="AN17" s="238">
        <v>6726200</v>
      </c>
      <c r="AP17" s="238"/>
      <c r="AQ17" s="238">
        <v>0</v>
      </c>
      <c r="AR17" s="238">
        <v>122785.68820737496</v>
      </c>
      <c r="AS17" s="238">
        <v>6726200</v>
      </c>
      <c r="AT17" s="238" t="s">
        <v>36</v>
      </c>
      <c r="AU17" s="238"/>
      <c r="AW17">
        <v>122785.68820737496</v>
      </c>
      <c r="AX17" s="238">
        <v>0</v>
      </c>
      <c r="AY17" s="238">
        <v>6726200</v>
      </c>
      <c r="BA17" s="238" t="s">
        <v>35</v>
      </c>
      <c r="BB17" s="238" t="s">
        <v>35</v>
      </c>
      <c r="BC17" t="s">
        <v>8953</v>
      </c>
      <c r="BD17" t="s">
        <v>8954</v>
      </c>
      <c r="BE17" t="s">
        <v>8962</v>
      </c>
      <c r="BF17" t="s">
        <v>8971</v>
      </c>
      <c r="BG17" t="b">
        <v>1</v>
      </c>
      <c r="BH17">
        <v>6726200</v>
      </c>
      <c r="BI17">
        <v>6726200</v>
      </c>
      <c r="BJ17">
        <v>0</v>
      </c>
      <c r="BK17">
        <v>0</v>
      </c>
      <c r="BL17">
        <v>0</v>
      </c>
      <c r="BM17" t="s">
        <v>36</v>
      </c>
      <c r="BN17" t="b">
        <v>1</v>
      </c>
      <c r="BO17" t="s">
        <v>8076</v>
      </c>
    </row>
    <row r="18" spans="1:67" x14ac:dyDescent="0.25">
      <c r="A18" s="238">
        <v>17</v>
      </c>
      <c r="B18" s="238">
        <v>1</v>
      </c>
      <c r="C18" s="238">
        <v>4</v>
      </c>
      <c r="D18" s="238">
        <v>5</v>
      </c>
      <c r="E18" s="238">
        <v>1</v>
      </c>
      <c r="F18" s="238">
        <v>13.06</v>
      </c>
      <c r="G18" s="238"/>
      <c r="H18" s="238"/>
      <c r="I18" s="238">
        <v>13.06</v>
      </c>
      <c r="J18" s="238">
        <v>15.1</v>
      </c>
      <c r="K18" s="238">
        <v>4.4400000000000004</v>
      </c>
      <c r="L18" s="238"/>
      <c r="M18" s="238">
        <v>2.9</v>
      </c>
      <c r="N18" s="238"/>
      <c r="O18" s="238">
        <v>3.02</v>
      </c>
      <c r="R18" s="238">
        <v>3.02</v>
      </c>
      <c r="S18" s="238">
        <v>38.520000000000003</v>
      </c>
      <c r="T18" s="238">
        <v>35.5</v>
      </c>
      <c r="U18" s="238">
        <v>37.01</v>
      </c>
      <c r="V18" s="238">
        <v>125223</v>
      </c>
      <c r="W18">
        <v>2504.46</v>
      </c>
      <c r="X18">
        <v>127727.46</v>
      </c>
      <c r="Y18">
        <v>1000</v>
      </c>
      <c r="Z18">
        <v>128727.46</v>
      </c>
      <c r="AA18">
        <v>215</v>
      </c>
      <c r="AB18">
        <v>128942.46</v>
      </c>
      <c r="AC18">
        <v>17.5</v>
      </c>
      <c r="AD18">
        <v>128959.96</v>
      </c>
      <c r="AE18">
        <v>1934.3994</v>
      </c>
      <c r="AF18">
        <v>130894.3594</v>
      </c>
      <c r="AG18">
        <v>1308.9435940000001</v>
      </c>
      <c r="AH18">
        <v>132203.302994</v>
      </c>
      <c r="AI18">
        <v>1322.03302994</v>
      </c>
      <c r="AJ18">
        <v>133525.33602394001</v>
      </c>
      <c r="AL18">
        <v>133525.33602394001</v>
      </c>
      <c r="AM18" s="238">
        <v>133525.34</v>
      </c>
      <c r="AN18" s="238">
        <v>4941800</v>
      </c>
      <c r="AP18" s="238"/>
      <c r="AQ18" s="238">
        <v>0</v>
      </c>
      <c r="AR18" s="238">
        <v>133526.07403404487</v>
      </c>
      <c r="AS18" s="238">
        <v>4941800</v>
      </c>
      <c r="AT18" s="238" t="s">
        <v>36</v>
      </c>
      <c r="AU18" s="238"/>
      <c r="AW18">
        <v>133526.07403404487</v>
      </c>
      <c r="AX18" s="238">
        <v>0</v>
      </c>
      <c r="AY18" s="238">
        <v>4941800</v>
      </c>
      <c r="BA18" s="238" t="s">
        <v>35</v>
      </c>
      <c r="BB18" s="238" t="s">
        <v>35</v>
      </c>
      <c r="BC18" t="s">
        <v>8953</v>
      </c>
      <c r="BD18" t="s">
        <v>8954</v>
      </c>
      <c r="BE18" t="s">
        <v>8962</v>
      </c>
      <c r="BF18" t="s">
        <v>8972</v>
      </c>
      <c r="BG18" t="b">
        <v>1</v>
      </c>
      <c r="BH18">
        <v>4941800</v>
      </c>
      <c r="BI18">
        <v>4941800</v>
      </c>
      <c r="BJ18">
        <v>0</v>
      </c>
      <c r="BK18">
        <v>0</v>
      </c>
      <c r="BL18">
        <v>0</v>
      </c>
      <c r="BM18" t="s">
        <v>36</v>
      </c>
      <c r="BN18" t="b">
        <v>1</v>
      </c>
      <c r="BO18" t="s">
        <v>8077</v>
      </c>
    </row>
    <row r="19" spans="1:67" x14ac:dyDescent="0.25">
      <c r="A19" s="238">
        <v>18</v>
      </c>
      <c r="B19" s="238">
        <v>1</v>
      </c>
      <c r="C19" s="238">
        <v>4</v>
      </c>
      <c r="D19" s="238">
        <v>6</v>
      </c>
      <c r="E19" s="238">
        <v>1</v>
      </c>
      <c r="F19" s="238">
        <v>14.57</v>
      </c>
      <c r="G19" s="238"/>
      <c r="H19" s="238"/>
      <c r="I19" s="238">
        <v>14.57</v>
      </c>
      <c r="J19" s="238">
        <v>16.93</v>
      </c>
      <c r="K19" s="238">
        <v>4.46</v>
      </c>
      <c r="L19" s="238"/>
      <c r="M19" s="238">
        <v>7.75</v>
      </c>
      <c r="N19" s="238"/>
      <c r="O19" s="238">
        <v>3.1</v>
      </c>
      <c r="R19" s="238">
        <v>3.1</v>
      </c>
      <c r="S19" s="238">
        <v>46.81</v>
      </c>
      <c r="T19" s="238">
        <v>43.71</v>
      </c>
      <c r="U19" s="238">
        <v>45.26</v>
      </c>
      <c r="V19" s="238">
        <v>121645.2</v>
      </c>
      <c r="X19">
        <v>121645.2</v>
      </c>
      <c r="Y19">
        <v>1000</v>
      </c>
      <c r="Z19">
        <v>122645.2</v>
      </c>
      <c r="AA19">
        <v>215</v>
      </c>
      <c r="AB19">
        <v>122860.2</v>
      </c>
      <c r="AC19">
        <v>17.5</v>
      </c>
      <c r="AD19">
        <v>122877.7</v>
      </c>
      <c r="AE19">
        <v>614.38850000000002</v>
      </c>
      <c r="AF19">
        <v>123492.0885</v>
      </c>
      <c r="AG19">
        <v>1234.920885</v>
      </c>
      <c r="AH19">
        <v>124727.009385</v>
      </c>
      <c r="AI19">
        <v>1247.27009385</v>
      </c>
      <c r="AJ19">
        <v>125974.27947885</v>
      </c>
      <c r="AK19">
        <v>2519.4855895770002</v>
      </c>
      <c r="AL19">
        <v>128493.765068427</v>
      </c>
      <c r="AM19" s="238">
        <v>128493.77</v>
      </c>
      <c r="AN19" s="238">
        <v>5815700</v>
      </c>
      <c r="AP19" s="238"/>
      <c r="AQ19" s="238">
        <v>0</v>
      </c>
      <c r="AR19" s="238">
        <v>128495.36014140522</v>
      </c>
      <c r="AS19" s="238">
        <v>5815700</v>
      </c>
      <c r="AT19" s="238" t="s">
        <v>36</v>
      </c>
      <c r="AU19" s="238"/>
      <c r="AW19">
        <v>128495.36014140522</v>
      </c>
      <c r="AX19" s="238">
        <v>0</v>
      </c>
      <c r="AY19" s="238">
        <v>5815700</v>
      </c>
      <c r="BA19" s="238" t="s">
        <v>35</v>
      </c>
      <c r="BB19" s="238" t="s">
        <v>35</v>
      </c>
      <c r="BC19" t="s">
        <v>8953</v>
      </c>
      <c r="BD19" t="s">
        <v>8954</v>
      </c>
      <c r="BE19" t="s">
        <v>8962</v>
      </c>
      <c r="BF19" t="s">
        <v>8972</v>
      </c>
      <c r="BG19" t="b">
        <v>1</v>
      </c>
      <c r="BH19">
        <v>5815700</v>
      </c>
      <c r="BI19">
        <v>5815700</v>
      </c>
      <c r="BJ19">
        <v>0</v>
      </c>
      <c r="BK19">
        <v>0</v>
      </c>
      <c r="BL19">
        <v>0</v>
      </c>
      <c r="BM19" t="s">
        <v>36</v>
      </c>
      <c r="BN19" t="b">
        <v>1</v>
      </c>
      <c r="BO19" t="s">
        <v>8078</v>
      </c>
    </row>
    <row r="20" spans="1:67" x14ac:dyDescent="0.25">
      <c r="A20" s="238">
        <v>19</v>
      </c>
      <c r="B20" s="238">
        <v>1</v>
      </c>
      <c r="C20" s="238">
        <v>5</v>
      </c>
      <c r="D20" s="238">
        <v>1</v>
      </c>
      <c r="E20" s="238">
        <v>0</v>
      </c>
      <c r="F20" s="238">
        <v>14.66</v>
      </c>
      <c r="G20" s="238"/>
      <c r="H20" s="238"/>
      <c r="I20" s="238">
        <v>14.66</v>
      </c>
      <c r="J20" s="238">
        <v>6.15</v>
      </c>
      <c r="K20" s="238">
        <v>5.0199999999999996</v>
      </c>
      <c r="L20" s="238"/>
      <c r="M20" s="238">
        <v>3.86</v>
      </c>
      <c r="N20" s="238"/>
      <c r="O20" s="238"/>
      <c r="R20" s="238">
        <v>0</v>
      </c>
      <c r="S20" s="238">
        <v>29.69</v>
      </c>
      <c r="T20" s="238">
        <v>29.69</v>
      </c>
      <c r="U20" s="238">
        <v>29.69</v>
      </c>
      <c r="V20" s="238">
        <v>139730</v>
      </c>
      <c r="W20">
        <v>200</v>
      </c>
      <c r="X20">
        <v>139930</v>
      </c>
      <c r="Y20">
        <v>1000</v>
      </c>
      <c r="Z20">
        <v>140930</v>
      </c>
      <c r="AA20">
        <v>215</v>
      </c>
      <c r="AB20">
        <v>141145</v>
      </c>
      <c r="AC20">
        <v>17.5</v>
      </c>
      <c r="AD20">
        <v>141162.5</v>
      </c>
      <c r="AF20">
        <v>141162.5</v>
      </c>
      <c r="AH20">
        <v>141162.5</v>
      </c>
      <c r="AJ20">
        <v>141162.5</v>
      </c>
      <c r="AL20">
        <v>141162.5</v>
      </c>
      <c r="AM20" s="238">
        <v>141162.5</v>
      </c>
      <c r="AN20" s="238">
        <v>4191200</v>
      </c>
      <c r="AP20" s="238"/>
      <c r="AQ20" s="238">
        <v>0</v>
      </c>
      <c r="AR20" s="238">
        <v>141165.37554732233</v>
      </c>
      <c r="AS20" s="238">
        <v>4191200</v>
      </c>
      <c r="AT20" s="238" t="s">
        <v>36</v>
      </c>
      <c r="AU20" s="238"/>
      <c r="AW20">
        <v>141165.37554732233</v>
      </c>
      <c r="AX20" s="238">
        <v>0</v>
      </c>
      <c r="AY20" s="238">
        <v>4191200</v>
      </c>
      <c r="BA20" s="238" t="s">
        <v>3</v>
      </c>
      <c r="BB20" s="238" t="s">
        <v>3</v>
      </c>
      <c r="BC20" t="s">
        <v>8951</v>
      </c>
      <c r="BD20" t="s">
        <v>1167</v>
      </c>
      <c r="BE20" t="s">
        <v>8962</v>
      </c>
      <c r="BF20" t="s">
        <v>8970</v>
      </c>
      <c r="BG20" t="b">
        <v>1</v>
      </c>
      <c r="BH20">
        <v>4191200</v>
      </c>
      <c r="BI20">
        <v>4191200</v>
      </c>
      <c r="BJ20">
        <v>0</v>
      </c>
      <c r="BK20">
        <v>0</v>
      </c>
      <c r="BL20">
        <v>0</v>
      </c>
      <c r="BM20" t="s">
        <v>36</v>
      </c>
      <c r="BN20" t="b">
        <v>1</v>
      </c>
      <c r="BO20" t="s">
        <v>8079</v>
      </c>
    </row>
    <row r="21" spans="1:67" x14ac:dyDescent="0.25">
      <c r="A21" s="238">
        <v>20</v>
      </c>
      <c r="B21" s="238">
        <v>1</v>
      </c>
      <c r="C21" s="238">
        <v>5</v>
      </c>
      <c r="D21" s="238">
        <v>2</v>
      </c>
      <c r="E21" s="238">
        <v>2</v>
      </c>
      <c r="F21" s="238">
        <v>16.100000000000001</v>
      </c>
      <c r="G21" s="238">
        <v>10.8</v>
      </c>
      <c r="H21" s="238"/>
      <c r="I21" s="238">
        <v>26.9</v>
      </c>
      <c r="J21" s="238">
        <v>17.7</v>
      </c>
      <c r="K21" s="238">
        <v>4.25</v>
      </c>
      <c r="L21" s="238"/>
      <c r="M21" s="238">
        <v>9.68</v>
      </c>
      <c r="N21" s="238"/>
      <c r="O21" s="238">
        <v>3.15</v>
      </c>
      <c r="R21" s="238">
        <v>3.15</v>
      </c>
      <c r="S21" s="238">
        <v>61.68</v>
      </c>
      <c r="T21" s="238">
        <v>58.53</v>
      </c>
      <c r="U21" s="238">
        <v>60.11</v>
      </c>
      <c r="V21" s="238">
        <v>119811.8</v>
      </c>
      <c r="X21">
        <v>119811.8</v>
      </c>
      <c r="Y21">
        <v>1000</v>
      </c>
      <c r="Z21">
        <v>120811.8</v>
      </c>
      <c r="AA21">
        <v>215</v>
      </c>
      <c r="AB21">
        <v>121026.8</v>
      </c>
      <c r="AC21">
        <v>17.5</v>
      </c>
      <c r="AD21">
        <v>121044.3</v>
      </c>
      <c r="AE21">
        <v>605.22149999999999</v>
      </c>
      <c r="AF21">
        <v>121649.5215</v>
      </c>
      <c r="AH21">
        <v>121649.5215</v>
      </c>
      <c r="AJ21">
        <v>121649.5215</v>
      </c>
      <c r="AK21">
        <v>3649.4856450000002</v>
      </c>
      <c r="AL21">
        <v>125299.007145</v>
      </c>
      <c r="AM21" s="238">
        <v>125299.01</v>
      </c>
      <c r="AN21" s="238">
        <v>7531800</v>
      </c>
      <c r="AP21" s="238"/>
      <c r="AQ21" s="238">
        <v>0</v>
      </c>
      <c r="AR21" s="238">
        <v>125300.28281483946</v>
      </c>
      <c r="AS21" s="238">
        <v>7531800</v>
      </c>
      <c r="AT21" s="238" t="s">
        <v>38</v>
      </c>
      <c r="AU21" s="238">
        <v>30000</v>
      </c>
      <c r="AV21" t="s">
        <v>8816</v>
      </c>
      <c r="AW21">
        <v>155300.28281483945</v>
      </c>
      <c r="AX21" s="238">
        <v>1803300</v>
      </c>
      <c r="AY21" s="238">
        <v>9335100</v>
      </c>
      <c r="BA21" s="238" t="s">
        <v>35</v>
      </c>
      <c r="BB21" s="238" t="s">
        <v>35</v>
      </c>
      <c r="BC21" t="s">
        <v>8953</v>
      </c>
      <c r="BD21" t="s">
        <v>8954</v>
      </c>
      <c r="BE21" t="s">
        <v>8962</v>
      </c>
      <c r="BF21" t="s">
        <v>8971</v>
      </c>
      <c r="BG21" t="b">
        <v>1</v>
      </c>
      <c r="BH21">
        <v>7531800</v>
      </c>
      <c r="BI21">
        <v>7531800</v>
      </c>
      <c r="BJ21">
        <v>0</v>
      </c>
      <c r="BK21">
        <v>0</v>
      </c>
      <c r="BL21">
        <v>0</v>
      </c>
      <c r="BM21" t="s">
        <v>38</v>
      </c>
      <c r="BN21" t="b">
        <v>1</v>
      </c>
      <c r="BO21" t="s">
        <v>8080</v>
      </c>
    </row>
    <row r="22" spans="1:67" x14ac:dyDescent="0.25">
      <c r="A22" s="238">
        <v>21</v>
      </c>
      <c r="B22" s="238">
        <v>1</v>
      </c>
      <c r="C22" s="238">
        <v>5</v>
      </c>
      <c r="D22" s="238">
        <v>3</v>
      </c>
      <c r="E22" s="238">
        <v>2</v>
      </c>
      <c r="F22" s="238">
        <v>16.41</v>
      </c>
      <c r="G22" s="238">
        <v>12.19</v>
      </c>
      <c r="H22" s="238"/>
      <c r="I22" s="238">
        <v>28.6</v>
      </c>
      <c r="J22" s="238">
        <v>14.62</v>
      </c>
      <c r="K22" s="238">
        <v>3.86</v>
      </c>
      <c r="L22" s="238"/>
      <c r="M22" s="238">
        <v>6.1</v>
      </c>
      <c r="N22" s="238"/>
      <c r="O22" s="238">
        <v>3.33</v>
      </c>
      <c r="R22" s="238">
        <v>3.33</v>
      </c>
      <c r="S22" s="238">
        <v>56.51</v>
      </c>
      <c r="T22" s="238">
        <v>53.18</v>
      </c>
      <c r="U22" s="238">
        <v>54.85</v>
      </c>
      <c r="V22" s="238">
        <v>117551.2</v>
      </c>
      <c r="X22">
        <v>117551.2</v>
      </c>
      <c r="Y22">
        <v>1000</v>
      </c>
      <c r="Z22">
        <v>118551.2</v>
      </c>
      <c r="AA22">
        <v>215</v>
      </c>
      <c r="AB22">
        <v>118766.2</v>
      </c>
      <c r="AC22">
        <v>17.5</v>
      </c>
      <c r="AD22">
        <v>118783.7</v>
      </c>
      <c r="AE22">
        <v>593.91849999999999</v>
      </c>
      <c r="AF22">
        <v>119377.6185</v>
      </c>
      <c r="AH22">
        <v>119377.6185</v>
      </c>
      <c r="AJ22">
        <v>119377.6185</v>
      </c>
      <c r="AL22">
        <v>119377.6185</v>
      </c>
      <c r="AM22" s="238">
        <v>119377.62</v>
      </c>
      <c r="AN22" s="238">
        <v>6547900</v>
      </c>
      <c r="AP22" s="238"/>
      <c r="AQ22" s="238">
        <v>0</v>
      </c>
      <c r="AR22" s="238">
        <v>119378.30446672744</v>
      </c>
      <c r="AS22" s="238">
        <v>6547900</v>
      </c>
      <c r="AT22" s="238" t="s">
        <v>36</v>
      </c>
      <c r="AU22" s="238"/>
      <c r="AW22">
        <v>119378.30446672744</v>
      </c>
      <c r="AX22" s="238">
        <v>0</v>
      </c>
      <c r="AY22" s="238">
        <v>6547900</v>
      </c>
      <c r="BA22" s="238" t="s">
        <v>35</v>
      </c>
      <c r="BB22" s="238" t="s">
        <v>35</v>
      </c>
      <c r="BC22" t="s">
        <v>8953</v>
      </c>
      <c r="BD22" t="s">
        <v>8954</v>
      </c>
      <c r="BE22" t="s">
        <v>8962</v>
      </c>
      <c r="BF22" t="s">
        <v>8971</v>
      </c>
      <c r="BG22" t="b">
        <v>1</v>
      </c>
      <c r="BH22">
        <v>6547900</v>
      </c>
      <c r="BI22">
        <v>6547900</v>
      </c>
      <c r="BJ22">
        <v>0</v>
      </c>
      <c r="BK22">
        <v>0</v>
      </c>
      <c r="BL22">
        <v>0</v>
      </c>
      <c r="BM22" t="s">
        <v>36</v>
      </c>
      <c r="BN22" t="b">
        <v>1</v>
      </c>
      <c r="BO22" t="s">
        <v>8081</v>
      </c>
    </row>
    <row r="23" spans="1:67" x14ac:dyDescent="0.25">
      <c r="A23" s="238">
        <v>22</v>
      </c>
      <c r="B23" s="238">
        <v>1</v>
      </c>
      <c r="C23" s="238">
        <v>5</v>
      </c>
      <c r="D23" s="238">
        <v>4</v>
      </c>
      <c r="E23" s="238">
        <v>2</v>
      </c>
      <c r="F23" s="238">
        <v>14.98</v>
      </c>
      <c r="G23" s="238">
        <v>12.28</v>
      </c>
      <c r="H23" s="238"/>
      <c r="I23" s="238">
        <v>27.26</v>
      </c>
      <c r="J23" s="238">
        <v>15.16</v>
      </c>
      <c r="K23" s="238">
        <v>4.4400000000000004</v>
      </c>
      <c r="L23" s="238"/>
      <c r="M23" s="238">
        <v>6.25</v>
      </c>
      <c r="N23" s="238"/>
      <c r="O23" s="238">
        <v>3.33</v>
      </c>
      <c r="R23" s="238">
        <v>3.33</v>
      </c>
      <c r="S23" s="238">
        <v>56.44</v>
      </c>
      <c r="T23" s="238">
        <v>53.11</v>
      </c>
      <c r="U23" s="238">
        <v>54.78</v>
      </c>
      <c r="V23" s="238">
        <v>119811.8</v>
      </c>
      <c r="X23">
        <v>119811.8</v>
      </c>
      <c r="Y23">
        <v>1000</v>
      </c>
      <c r="Z23">
        <v>120811.8</v>
      </c>
      <c r="AA23">
        <v>215</v>
      </c>
      <c r="AB23">
        <v>121026.8</v>
      </c>
      <c r="AC23">
        <v>17.5</v>
      </c>
      <c r="AD23">
        <v>121044.3</v>
      </c>
      <c r="AE23">
        <v>605.22149999999999</v>
      </c>
      <c r="AF23">
        <v>121649.5215</v>
      </c>
      <c r="AH23">
        <v>121649.5215</v>
      </c>
      <c r="AJ23">
        <v>121649.5215</v>
      </c>
      <c r="AL23">
        <v>121649.5215</v>
      </c>
      <c r="AM23" s="238">
        <v>121649.52</v>
      </c>
      <c r="AN23" s="238">
        <v>6664000</v>
      </c>
      <c r="AP23" s="238"/>
      <c r="AQ23" s="238">
        <v>0</v>
      </c>
      <c r="AR23" s="238">
        <v>121650.23731288793</v>
      </c>
      <c r="AS23" s="238">
        <v>6664000</v>
      </c>
      <c r="AT23" s="238" t="s">
        <v>36</v>
      </c>
      <c r="AU23" s="238"/>
      <c r="AW23">
        <v>121650.23731288793</v>
      </c>
      <c r="AX23" s="238">
        <v>0</v>
      </c>
      <c r="AY23" s="238">
        <v>6664000</v>
      </c>
      <c r="BA23" s="238" t="s">
        <v>35</v>
      </c>
      <c r="BB23" s="238" t="s">
        <v>35</v>
      </c>
      <c r="BC23" t="s">
        <v>8953</v>
      </c>
      <c r="BD23" t="s">
        <v>8954</v>
      </c>
      <c r="BE23" t="s">
        <v>8962</v>
      </c>
      <c r="BF23" t="s">
        <v>8971</v>
      </c>
      <c r="BG23" t="b">
        <v>1</v>
      </c>
      <c r="BH23">
        <v>6664000</v>
      </c>
      <c r="BI23">
        <v>6664000</v>
      </c>
      <c r="BJ23">
        <v>0</v>
      </c>
      <c r="BK23">
        <v>0</v>
      </c>
      <c r="BL23">
        <v>0</v>
      </c>
      <c r="BM23" t="s">
        <v>36</v>
      </c>
      <c r="BN23" t="b">
        <v>1</v>
      </c>
      <c r="BO23" t="s">
        <v>8082</v>
      </c>
    </row>
    <row r="24" spans="1:67" x14ac:dyDescent="0.25">
      <c r="A24" s="238">
        <v>23</v>
      </c>
      <c r="B24" s="238">
        <v>1</v>
      </c>
      <c r="C24" s="238">
        <v>5</v>
      </c>
      <c r="D24" s="238">
        <v>5</v>
      </c>
      <c r="E24" s="238">
        <v>1</v>
      </c>
      <c r="F24" s="238">
        <v>13.06</v>
      </c>
      <c r="G24" s="238"/>
      <c r="H24" s="238"/>
      <c r="I24" s="238">
        <v>13.06</v>
      </c>
      <c r="J24" s="238">
        <v>15.1</v>
      </c>
      <c r="K24" s="238">
        <v>4.4400000000000004</v>
      </c>
      <c r="L24" s="238"/>
      <c r="M24" s="238">
        <v>2.9</v>
      </c>
      <c r="N24" s="238"/>
      <c r="O24" s="238">
        <v>3.02</v>
      </c>
      <c r="R24" s="238">
        <v>3.02</v>
      </c>
      <c r="S24" s="238">
        <v>38.520000000000003</v>
      </c>
      <c r="T24" s="238">
        <v>35.5</v>
      </c>
      <c r="U24" s="238">
        <v>37.01</v>
      </c>
      <c r="V24" s="238">
        <v>126415.6</v>
      </c>
      <c r="W24">
        <v>2528.3120000000004</v>
      </c>
      <c r="X24">
        <v>128943.912</v>
      </c>
      <c r="Y24">
        <v>1000</v>
      </c>
      <c r="Z24">
        <v>129943.912</v>
      </c>
      <c r="AA24">
        <v>215</v>
      </c>
      <c r="AB24">
        <v>130158.912</v>
      </c>
      <c r="AC24">
        <v>17.5</v>
      </c>
      <c r="AD24">
        <v>130176.412</v>
      </c>
      <c r="AF24">
        <v>130176.412</v>
      </c>
      <c r="AH24">
        <v>130176.412</v>
      </c>
      <c r="AJ24">
        <v>130176.412</v>
      </c>
      <c r="AL24">
        <v>130176.412</v>
      </c>
      <c r="AM24" s="238">
        <v>130176.41</v>
      </c>
      <c r="AN24" s="238">
        <v>4817900</v>
      </c>
      <c r="AP24" s="238">
        <v>0.03</v>
      </c>
      <c r="AQ24" s="238">
        <v>144537</v>
      </c>
      <c r="AR24" s="238">
        <v>126272.98027560121</v>
      </c>
      <c r="AS24" s="238">
        <v>4673363</v>
      </c>
      <c r="AT24" s="238" t="s">
        <v>8787</v>
      </c>
      <c r="AU24" s="238">
        <v>10000</v>
      </c>
      <c r="AW24">
        <v>136272.98027560121</v>
      </c>
      <c r="AX24" s="238">
        <v>370100</v>
      </c>
      <c r="AY24" s="238">
        <v>5043463</v>
      </c>
      <c r="AZ24" t="s">
        <v>978</v>
      </c>
      <c r="BA24" s="238" t="s">
        <v>39</v>
      </c>
      <c r="BB24" s="238" t="s">
        <v>39</v>
      </c>
      <c r="BC24" t="s">
        <v>8950</v>
      </c>
      <c r="BD24" t="s">
        <v>1167</v>
      </c>
      <c r="BE24" t="s">
        <v>8962</v>
      </c>
      <c r="BF24" t="s">
        <v>8972</v>
      </c>
      <c r="BG24" t="b">
        <v>1</v>
      </c>
      <c r="BH24">
        <v>4817900</v>
      </c>
      <c r="BI24" t="s">
        <v>9002</v>
      </c>
      <c r="BJ24">
        <v>4817900</v>
      </c>
      <c r="BK24">
        <v>4817900</v>
      </c>
      <c r="BL24">
        <v>0</v>
      </c>
      <c r="BM24" t="s">
        <v>8787</v>
      </c>
      <c r="BN24" t="b">
        <v>1</v>
      </c>
      <c r="BO24" t="s">
        <v>8083</v>
      </c>
    </row>
    <row r="25" spans="1:67" x14ac:dyDescent="0.25">
      <c r="A25" s="238">
        <v>24</v>
      </c>
      <c r="B25" s="238">
        <v>1</v>
      </c>
      <c r="C25" s="238">
        <v>5</v>
      </c>
      <c r="D25" s="238">
        <v>6</v>
      </c>
      <c r="E25" s="238">
        <v>1</v>
      </c>
      <c r="F25" s="238">
        <v>14.57</v>
      </c>
      <c r="G25" s="238"/>
      <c r="H25" s="238"/>
      <c r="I25" s="238">
        <v>14.57</v>
      </c>
      <c r="J25" s="238">
        <v>16.93</v>
      </c>
      <c r="K25" s="238">
        <v>4.46</v>
      </c>
      <c r="L25" s="238"/>
      <c r="M25" s="238">
        <v>7.75</v>
      </c>
      <c r="N25" s="238"/>
      <c r="O25" s="238">
        <v>3.1</v>
      </c>
      <c r="R25" s="238">
        <v>3.1</v>
      </c>
      <c r="S25" s="238">
        <v>46.81</v>
      </c>
      <c r="T25" s="238">
        <v>43.71</v>
      </c>
      <c r="U25" s="238">
        <v>45.26</v>
      </c>
      <c r="V25" s="238">
        <v>122837.8</v>
      </c>
      <c r="X25">
        <v>122837.8</v>
      </c>
      <c r="Y25">
        <v>1000</v>
      </c>
      <c r="Z25">
        <v>123837.8</v>
      </c>
      <c r="AA25">
        <v>215</v>
      </c>
      <c r="AB25">
        <v>124052.8</v>
      </c>
      <c r="AC25">
        <v>17.5</v>
      </c>
      <c r="AD25">
        <v>124070.3</v>
      </c>
      <c r="AE25">
        <v>620.35149999999999</v>
      </c>
      <c r="AF25">
        <v>124690.65150000001</v>
      </c>
      <c r="AG25">
        <v>1246.9065149999999</v>
      </c>
      <c r="AH25">
        <v>125937.558015</v>
      </c>
      <c r="AI25">
        <v>1259.3755801499999</v>
      </c>
      <c r="AJ25">
        <v>127196.93359515</v>
      </c>
      <c r="AK25">
        <v>2543.9386719029999</v>
      </c>
      <c r="AL25">
        <v>129740.872267053</v>
      </c>
      <c r="AM25" s="238">
        <v>129740.87</v>
      </c>
      <c r="AN25" s="238">
        <v>5872100</v>
      </c>
      <c r="AP25" s="238"/>
      <c r="AQ25" s="238">
        <v>0</v>
      </c>
      <c r="AR25" s="238">
        <v>129741.49359257624</v>
      </c>
      <c r="AS25" s="238">
        <v>5872100</v>
      </c>
      <c r="AT25" s="238" t="s">
        <v>36</v>
      </c>
      <c r="AU25" s="238"/>
      <c r="AW25">
        <v>129741.49359257624</v>
      </c>
      <c r="AX25" s="238">
        <v>0</v>
      </c>
      <c r="AY25" s="238">
        <v>5872100</v>
      </c>
      <c r="BA25" s="238" t="s">
        <v>35</v>
      </c>
      <c r="BB25" s="238" t="s">
        <v>35</v>
      </c>
      <c r="BC25" t="s">
        <v>8953</v>
      </c>
      <c r="BD25" t="s">
        <v>8954</v>
      </c>
      <c r="BE25" t="s">
        <v>8962</v>
      </c>
      <c r="BF25" t="s">
        <v>8972</v>
      </c>
      <c r="BG25" t="b">
        <v>1</v>
      </c>
      <c r="BH25">
        <v>5872100</v>
      </c>
      <c r="BI25">
        <v>5872100</v>
      </c>
      <c r="BJ25">
        <v>0</v>
      </c>
      <c r="BK25">
        <v>0</v>
      </c>
      <c r="BL25">
        <v>0</v>
      </c>
      <c r="BM25" t="s">
        <v>36</v>
      </c>
      <c r="BN25" t="b">
        <v>1</v>
      </c>
      <c r="BO25" t="s">
        <v>8084</v>
      </c>
    </row>
    <row r="26" spans="1:67" x14ac:dyDescent="0.25">
      <c r="A26" s="238">
        <v>25</v>
      </c>
      <c r="B26" s="238">
        <v>1</v>
      </c>
      <c r="C26" s="238">
        <v>6</v>
      </c>
      <c r="D26" s="238">
        <v>1</v>
      </c>
      <c r="E26" s="238">
        <v>0</v>
      </c>
      <c r="F26" s="238">
        <v>14.66</v>
      </c>
      <c r="G26" s="238"/>
      <c r="H26" s="238"/>
      <c r="I26" s="238">
        <v>14.66</v>
      </c>
      <c r="J26" s="238">
        <v>6.15</v>
      </c>
      <c r="K26" s="238">
        <v>5.0199999999999996</v>
      </c>
      <c r="L26" s="238"/>
      <c r="M26" s="238">
        <v>3.86</v>
      </c>
      <c r="N26" s="238"/>
      <c r="O26" s="238"/>
      <c r="R26" s="238">
        <v>0</v>
      </c>
      <c r="S26" s="238">
        <v>29.69</v>
      </c>
      <c r="T26" s="238">
        <v>29.69</v>
      </c>
      <c r="U26" s="238">
        <v>29.69</v>
      </c>
      <c r="V26" s="238">
        <v>139730</v>
      </c>
      <c r="W26">
        <v>200</v>
      </c>
      <c r="X26">
        <v>139930</v>
      </c>
      <c r="Y26">
        <v>1000</v>
      </c>
      <c r="Z26">
        <v>140930</v>
      </c>
      <c r="AA26">
        <v>215</v>
      </c>
      <c r="AB26">
        <v>141145</v>
      </c>
      <c r="AC26">
        <v>17.5</v>
      </c>
      <c r="AD26">
        <v>141162.5</v>
      </c>
      <c r="AF26">
        <v>141162.5</v>
      </c>
      <c r="AH26">
        <v>141162.5</v>
      </c>
      <c r="AJ26">
        <v>141162.5</v>
      </c>
      <c r="AL26">
        <v>141162.5</v>
      </c>
      <c r="AM26" s="238">
        <v>141162.5</v>
      </c>
      <c r="AN26" s="238">
        <v>4191200</v>
      </c>
      <c r="AP26" s="238"/>
      <c r="AQ26" s="238">
        <v>0</v>
      </c>
      <c r="AR26" s="238">
        <v>141165.37554732233</v>
      </c>
      <c r="AS26" s="238">
        <v>4191200</v>
      </c>
      <c r="AT26" s="238" t="s">
        <v>38</v>
      </c>
      <c r="AU26" s="238">
        <v>30000</v>
      </c>
      <c r="AV26" t="s">
        <v>8816</v>
      </c>
      <c r="AW26">
        <v>171165.37554732233</v>
      </c>
      <c r="AX26" s="238">
        <v>890700</v>
      </c>
      <c r="AY26" s="238">
        <v>5081900</v>
      </c>
      <c r="BA26" s="238" t="s">
        <v>3</v>
      </c>
      <c r="BB26" s="238" t="s">
        <v>3</v>
      </c>
      <c r="BC26" t="s">
        <v>8951</v>
      </c>
      <c r="BD26" t="s">
        <v>1167</v>
      </c>
      <c r="BE26" t="s">
        <v>8962</v>
      </c>
      <c r="BF26" t="s">
        <v>8970</v>
      </c>
      <c r="BG26" t="b">
        <v>1</v>
      </c>
      <c r="BH26">
        <v>4191200</v>
      </c>
      <c r="BI26">
        <v>4191200</v>
      </c>
      <c r="BJ26">
        <v>0</v>
      </c>
      <c r="BK26">
        <v>0</v>
      </c>
      <c r="BL26">
        <v>0</v>
      </c>
      <c r="BM26" t="s">
        <v>38</v>
      </c>
      <c r="BN26" t="b">
        <v>1</v>
      </c>
      <c r="BO26" t="s">
        <v>8085</v>
      </c>
    </row>
    <row r="27" spans="1:67" x14ac:dyDescent="0.25">
      <c r="A27" s="238">
        <v>26</v>
      </c>
      <c r="B27" s="238">
        <v>1</v>
      </c>
      <c r="C27" s="238">
        <v>6</v>
      </c>
      <c r="D27" s="238">
        <v>2</v>
      </c>
      <c r="E27" s="238">
        <v>2</v>
      </c>
      <c r="F27" s="238">
        <v>16.100000000000001</v>
      </c>
      <c r="G27" s="238">
        <v>10.8</v>
      </c>
      <c r="H27" s="238"/>
      <c r="I27" s="238">
        <v>26.9</v>
      </c>
      <c r="J27" s="238">
        <v>17.7</v>
      </c>
      <c r="K27" s="238">
        <v>4.25</v>
      </c>
      <c r="L27" s="238"/>
      <c r="M27" s="238">
        <v>9.68</v>
      </c>
      <c r="N27" s="238"/>
      <c r="O27" s="238">
        <v>3.15</v>
      </c>
      <c r="R27" s="238">
        <v>3.15</v>
      </c>
      <c r="S27" s="238">
        <v>61.68</v>
      </c>
      <c r="T27" s="238">
        <v>58.53</v>
      </c>
      <c r="U27" s="238">
        <v>60.11</v>
      </c>
      <c r="V27" s="238">
        <v>119811.8</v>
      </c>
      <c r="X27">
        <v>119811.8</v>
      </c>
      <c r="Y27">
        <v>1000</v>
      </c>
      <c r="Z27">
        <v>120811.8</v>
      </c>
      <c r="AA27">
        <v>215</v>
      </c>
      <c r="AB27">
        <v>121026.8</v>
      </c>
      <c r="AC27">
        <v>17.5</v>
      </c>
      <c r="AD27">
        <v>121044.3</v>
      </c>
      <c r="AE27">
        <v>605.22149999999999</v>
      </c>
      <c r="AF27">
        <v>121649.5215</v>
      </c>
      <c r="AH27">
        <v>121649.5215</v>
      </c>
      <c r="AJ27">
        <v>121649.5215</v>
      </c>
      <c r="AK27">
        <v>3649.4856450000002</v>
      </c>
      <c r="AL27">
        <v>125299.007145</v>
      </c>
      <c r="AM27" s="238">
        <v>125299.01</v>
      </c>
      <c r="AN27" s="238">
        <v>7531800</v>
      </c>
      <c r="AP27" s="238"/>
      <c r="AQ27" s="238">
        <v>0</v>
      </c>
      <c r="AR27" s="238">
        <v>125300.28281483946</v>
      </c>
      <c r="AS27" s="238">
        <v>7531800</v>
      </c>
      <c r="AT27" s="238" t="s">
        <v>36</v>
      </c>
      <c r="AU27" s="238"/>
      <c r="AW27">
        <v>125300.28281483946</v>
      </c>
      <c r="AX27" s="238">
        <v>0</v>
      </c>
      <c r="AY27" s="238">
        <v>7531800</v>
      </c>
      <c r="BA27" s="238" t="s">
        <v>35</v>
      </c>
      <c r="BB27" s="238" t="s">
        <v>35</v>
      </c>
      <c r="BC27" t="s">
        <v>8953</v>
      </c>
      <c r="BD27" t="s">
        <v>8954</v>
      </c>
      <c r="BE27" t="s">
        <v>8962</v>
      </c>
      <c r="BF27" t="s">
        <v>8971</v>
      </c>
      <c r="BG27" t="b">
        <v>1</v>
      </c>
      <c r="BH27">
        <v>7531800</v>
      </c>
      <c r="BI27">
        <v>7531800</v>
      </c>
      <c r="BJ27">
        <v>0</v>
      </c>
      <c r="BK27">
        <v>0</v>
      </c>
      <c r="BL27">
        <v>0</v>
      </c>
      <c r="BM27" t="s">
        <v>36</v>
      </c>
      <c r="BN27" t="b">
        <v>1</v>
      </c>
      <c r="BO27" t="s">
        <v>8086</v>
      </c>
    </row>
    <row r="28" spans="1:67" x14ac:dyDescent="0.25">
      <c r="A28" s="238">
        <v>27</v>
      </c>
      <c r="B28" s="238">
        <v>1</v>
      </c>
      <c r="C28" s="238">
        <v>6</v>
      </c>
      <c r="D28" s="238">
        <v>3</v>
      </c>
      <c r="E28" s="238">
        <v>2</v>
      </c>
      <c r="F28" s="238">
        <v>16.41</v>
      </c>
      <c r="G28" s="238">
        <v>12.19</v>
      </c>
      <c r="H28" s="238"/>
      <c r="I28" s="238">
        <v>28.6</v>
      </c>
      <c r="J28" s="238">
        <v>14.62</v>
      </c>
      <c r="K28" s="238">
        <v>3.86</v>
      </c>
      <c r="L28" s="238"/>
      <c r="M28" s="238">
        <v>6.1</v>
      </c>
      <c r="N28" s="238"/>
      <c r="O28" s="238">
        <v>3.33</v>
      </c>
      <c r="R28" s="238">
        <v>3.33</v>
      </c>
      <c r="S28" s="238">
        <v>56.51</v>
      </c>
      <c r="T28" s="238">
        <v>53.18</v>
      </c>
      <c r="U28" s="238">
        <v>54.85</v>
      </c>
      <c r="V28" s="238">
        <v>118681.5</v>
      </c>
      <c r="X28">
        <v>118681.5</v>
      </c>
      <c r="Y28">
        <v>1000</v>
      </c>
      <c r="Z28">
        <v>119681.5</v>
      </c>
      <c r="AA28">
        <v>215</v>
      </c>
      <c r="AB28">
        <v>119896.5</v>
      </c>
      <c r="AC28">
        <v>17.5</v>
      </c>
      <c r="AD28">
        <v>119914</v>
      </c>
      <c r="AE28">
        <v>599.57000000000005</v>
      </c>
      <c r="AF28">
        <v>120513.57</v>
      </c>
      <c r="AH28">
        <v>120513.57</v>
      </c>
      <c r="AJ28">
        <v>120513.57</v>
      </c>
      <c r="AL28">
        <v>120513.57</v>
      </c>
      <c r="AM28" s="238">
        <v>120513.57</v>
      </c>
      <c r="AN28" s="238">
        <v>6610200</v>
      </c>
      <c r="AP28" s="238"/>
      <c r="AQ28" s="238">
        <v>0</v>
      </c>
      <c r="AR28" s="238">
        <v>120514.129443938</v>
      </c>
      <c r="AS28" s="238">
        <v>6610200</v>
      </c>
      <c r="AT28" s="238" t="s">
        <v>36</v>
      </c>
      <c r="AU28" s="238"/>
      <c r="AW28">
        <v>120514.129443938</v>
      </c>
      <c r="AX28" s="238">
        <v>0</v>
      </c>
      <c r="AY28" s="238">
        <v>6610200</v>
      </c>
      <c r="BA28" s="238" t="s">
        <v>35</v>
      </c>
      <c r="BB28" s="238" t="s">
        <v>35</v>
      </c>
      <c r="BC28" t="s">
        <v>8953</v>
      </c>
      <c r="BD28" t="s">
        <v>8954</v>
      </c>
      <c r="BE28" t="s">
        <v>8962</v>
      </c>
      <c r="BF28" t="s">
        <v>8971</v>
      </c>
      <c r="BG28" t="b">
        <v>1</v>
      </c>
      <c r="BH28">
        <v>6610200</v>
      </c>
      <c r="BI28">
        <v>6610200</v>
      </c>
      <c r="BJ28">
        <v>0</v>
      </c>
      <c r="BK28">
        <v>0</v>
      </c>
      <c r="BL28">
        <v>0</v>
      </c>
      <c r="BM28" t="s">
        <v>36</v>
      </c>
      <c r="BN28" t="b">
        <v>1</v>
      </c>
      <c r="BO28" t="s">
        <v>8087</v>
      </c>
    </row>
    <row r="29" spans="1:67" x14ac:dyDescent="0.25">
      <c r="A29" s="238">
        <v>28</v>
      </c>
      <c r="B29" s="238">
        <v>1</v>
      </c>
      <c r="C29" s="238">
        <v>6</v>
      </c>
      <c r="D29" s="238">
        <v>4</v>
      </c>
      <c r="E29" s="238">
        <v>2</v>
      </c>
      <c r="F29" s="238">
        <v>14.98</v>
      </c>
      <c r="G29" s="238">
        <v>12.28</v>
      </c>
      <c r="H29" s="238"/>
      <c r="I29" s="238">
        <v>27.26</v>
      </c>
      <c r="J29" s="238">
        <v>15.16</v>
      </c>
      <c r="K29" s="238">
        <v>4.4400000000000004</v>
      </c>
      <c r="L29" s="238"/>
      <c r="M29" s="238">
        <v>6.25</v>
      </c>
      <c r="N29" s="238"/>
      <c r="O29" s="238">
        <v>3.33</v>
      </c>
      <c r="R29" s="238">
        <v>3.33</v>
      </c>
      <c r="S29" s="238">
        <v>56.44</v>
      </c>
      <c r="T29" s="238">
        <v>53.11</v>
      </c>
      <c r="U29" s="238">
        <v>54.78</v>
      </c>
      <c r="V29" s="238">
        <v>120942.1</v>
      </c>
      <c r="X29">
        <v>120942.1</v>
      </c>
      <c r="Y29">
        <v>1000</v>
      </c>
      <c r="Z29">
        <v>121942.1</v>
      </c>
      <c r="AA29">
        <v>215</v>
      </c>
      <c r="AB29">
        <v>122157.1</v>
      </c>
      <c r="AC29">
        <v>17.5</v>
      </c>
      <c r="AD29">
        <v>122174.6</v>
      </c>
      <c r="AE29">
        <v>610.87300000000005</v>
      </c>
      <c r="AF29">
        <v>122785.473</v>
      </c>
      <c r="AH29">
        <v>122785.473</v>
      </c>
      <c r="AJ29">
        <v>122785.473</v>
      </c>
      <c r="AL29">
        <v>122785.473</v>
      </c>
      <c r="AM29" s="238">
        <v>122785.47</v>
      </c>
      <c r="AN29" s="238">
        <v>6726200</v>
      </c>
      <c r="AP29" s="238"/>
      <c r="AQ29" s="238">
        <v>0</v>
      </c>
      <c r="AR29" s="238">
        <v>122785.68820737496</v>
      </c>
      <c r="AS29" s="238">
        <v>6726200</v>
      </c>
      <c r="AT29" s="238" t="s">
        <v>36</v>
      </c>
      <c r="AU29" s="238"/>
      <c r="AW29">
        <v>122785.68820737496</v>
      </c>
      <c r="AX29" s="238">
        <v>0</v>
      </c>
      <c r="AY29" s="238">
        <v>6726200</v>
      </c>
      <c r="BA29" s="238" t="s">
        <v>35</v>
      </c>
      <c r="BB29" s="238" t="s">
        <v>35</v>
      </c>
      <c r="BC29" t="s">
        <v>8953</v>
      </c>
      <c r="BD29" t="s">
        <v>8954</v>
      </c>
      <c r="BE29" t="s">
        <v>8962</v>
      </c>
      <c r="BF29" t="s">
        <v>8971</v>
      </c>
      <c r="BG29" t="b">
        <v>1</v>
      </c>
      <c r="BH29">
        <v>6726200</v>
      </c>
      <c r="BI29">
        <v>6726200</v>
      </c>
      <c r="BJ29">
        <v>0</v>
      </c>
      <c r="BK29">
        <v>0</v>
      </c>
      <c r="BL29">
        <v>0</v>
      </c>
      <c r="BM29" t="s">
        <v>36</v>
      </c>
      <c r="BN29" t="b">
        <v>1</v>
      </c>
      <c r="BO29" t="s">
        <v>8088</v>
      </c>
    </row>
    <row r="30" spans="1:67" x14ac:dyDescent="0.25">
      <c r="A30" s="238">
        <v>29</v>
      </c>
      <c r="B30" s="238">
        <v>1</v>
      </c>
      <c r="C30" s="238">
        <v>6</v>
      </c>
      <c r="D30" s="238">
        <v>5</v>
      </c>
      <c r="E30" s="238">
        <v>1</v>
      </c>
      <c r="F30" s="238">
        <v>13.06</v>
      </c>
      <c r="G30" s="238"/>
      <c r="H30" s="238"/>
      <c r="I30" s="238">
        <v>13.06</v>
      </c>
      <c r="J30" s="238">
        <v>15.1</v>
      </c>
      <c r="K30" s="238">
        <v>4.4400000000000004</v>
      </c>
      <c r="L30" s="238"/>
      <c r="M30" s="238">
        <v>2.9</v>
      </c>
      <c r="N30" s="238"/>
      <c r="O30" s="238">
        <v>3.02</v>
      </c>
      <c r="R30" s="238">
        <v>3.02</v>
      </c>
      <c r="S30" s="238">
        <v>38.520000000000003</v>
      </c>
      <c r="T30" s="238">
        <v>35.5</v>
      </c>
      <c r="U30" s="238">
        <v>37.01</v>
      </c>
      <c r="V30" s="238">
        <v>126415.6</v>
      </c>
      <c r="W30">
        <v>2528.3120000000004</v>
      </c>
      <c r="X30">
        <v>128943.912</v>
      </c>
      <c r="Z30">
        <v>128943.912</v>
      </c>
      <c r="AB30">
        <v>128943.912</v>
      </c>
      <c r="AD30">
        <v>128943.912</v>
      </c>
      <c r="AF30">
        <v>128943.912</v>
      </c>
      <c r="AH30">
        <v>128943.912</v>
      </c>
      <c r="AJ30">
        <v>128943.912</v>
      </c>
      <c r="AL30">
        <v>128943.912</v>
      </c>
      <c r="AM30" s="238">
        <v>128943.91</v>
      </c>
      <c r="AN30" s="238">
        <v>4772300</v>
      </c>
      <c r="AP30" s="238">
        <v>0.02</v>
      </c>
      <c r="AQ30" s="238">
        <v>95446</v>
      </c>
      <c r="AR30" s="238">
        <v>126367.30613347744</v>
      </c>
      <c r="AS30" s="238">
        <v>4676854</v>
      </c>
      <c r="AT30" s="238" t="s">
        <v>36</v>
      </c>
      <c r="AU30" s="238"/>
      <c r="AW30">
        <v>126367.30613347744</v>
      </c>
      <c r="AX30" s="238">
        <v>0</v>
      </c>
      <c r="AY30" s="238">
        <v>4676854</v>
      </c>
      <c r="AZ30" t="s">
        <v>8359</v>
      </c>
      <c r="BA30" s="238" t="s">
        <v>39</v>
      </c>
      <c r="BB30" s="238" t="s">
        <v>39</v>
      </c>
      <c r="BC30" t="s">
        <v>8950</v>
      </c>
      <c r="BD30" t="s">
        <v>1167</v>
      </c>
      <c r="BE30" t="s">
        <v>8962</v>
      </c>
      <c r="BF30" t="s">
        <v>8972</v>
      </c>
      <c r="BG30" t="b">
        <v>1</v>
      </c>
      <c r="BH30">
        <v>4772300</v>
      </c>
      <c r="BI30" t="s">
        <v>9002</v>
      </c>
      <c r="BJ30">
        <v>0</v>
      </c>
      <c r="BK30">
        <v>4772300</v>
      </c>
      <c r="BL30">
        <v>0</v>
      </c>
      <c r="BM30" t="s">
        <v>36</v>
      </c>
      <c r="BN30" t="b">
        <v>1</v>
      </c>
      <c r="BO30" t="s">
        <v>8089</v>
      </c>
    </row>
    <row r="31" spans="1:67" x14ac:dyDescent="0.25">
      <c r="A31" s="238">
        <v>30</v>
      </c>
      <c r="B31" s="238">
        <v>1</v>
      </c>
      <c r="C31" s="238">
        <v>6</v>
      </c>
      <c r="D31" s="238">
        <v>6</v>
      </c>
      <c r="E31" s="238">
        <v>1</v>
      </c>
      <c r="F31" s="238">
        <v>14.57</v>
      </c>
      <c r="G31" s="238"/>
      <c r="H31" s="238"/>
      <c r="I31" s="238">
        <v>14.57</v>
      </c>
      <c r="J31" s="238">
        <v>16.93</v>
      </c>
      <c r="K31" s="238">
        <v>4.46</v>
      </c>
      <c r="L31" s="238"/>
      <c r="M31" s="238">
        <v>7.75</v>
      </c>
      <c r="N31" s="238"/>
      <c r="O31" s="238">
        <v>3.1</v>
      </c>
      <c r="R31" s="238">
        <v>3.1</v>
      </c>
      <c r="S31" s="238">
        <v>46.81</v>
      </c>
      <c r="T31" s="238">
        <v>43.71</v>
      </c>
      <c r="U31" s="238">
        <v>45.26</v>
      </c>
      <c r="V31" s="238">
        <v>122837.8</v>
      </c>
      <c r="X31">
        <v>122837.8</v>
      </c>
      <c r="Y31">
        <v>1000</v>
      </c>
      <c r="Z31">
        <v>123837.8</v>
      </c>
      <c r="AA31">
        <v>215</v>
      </c>
      <c r="AB31">
        <v>124052.8</v>
      </c>
      <c r="AC31">
        <v>17.5</v>
      </c>
      <c r="AD31">
        <v>124070.3</v>
      </c>
      <c r="AE31">
        <v>620.35149999999999</v>
      </c>
      <c r="AF31">
        <v>124690.65150000001</v>
      </c>
      <c r="AG31">
        <v>1246.9065149999999</v>
      </c>
      <c r="AH31">
        <v>125937.558015</v>
      </c>
      <c r="AI31">
        <v>1259.3755801499999</v>
      </c>
      <c r="AJ31">
        <v>127196.93359515</v>
      </c>
      <c r="AK31">
        <v>2543.9386719029999</v>
      </c>
      <c r="AL31">
        <v>129740.872267053</v>
      </c>
      <c r="AM31" s="238">
        <v>129740.87</v>
      </c>
      <c r="AN31" s="238">
        <v>5872100</v>
      </c>
      <c r="AP31" s="238"/>
      <c r="AQ31" s="238">
        <v>0</v>
      </c>
      <c r="AR31" s="238">
        <v>129741.49359257624</v>
      </c>
      <c r="AS31" s="238">
        <v>5872100</v>
      </c>
      <c r="AT31" s="238" t="s">
        <v>36</v>
      </c>
      <c r="AU31" s="238"/>
      <c r="AW31">
        <v>129741.49359257624</v>
      </c>
      <c r="AX31" s="238">
        <v>0</v>
      </c>
      <c r="AY31" s="238">
        <v>5872100</v>
      </c>
      <c r="BA31" s="238" t="s">
        <v>35</v>
      </c>
      <c r="BB31" s="238" t="s">
        <v>35</v>
      </c>
      <c r="BC31" t="s">
        <v>8953</v>
      </c>
      <c r="BD31" t="s">
        <v>8954</v>
      </c>
      <c r="BE31" t="s">
        <v>8962</v>
      </c>
      <c r="BF31" t="s">
        <v>8972</v>
      </c>
      <c r="BG31" t="b">
        <v>1</v>
      </c>
      <c r="BH31">
        <v>5872100</v>
      </c>
      <c r="BI31">
        <v>5872100</v>
      </c>
      <c r="BJ31">
        <v>0</v>
      </c>
      <c r="BK31">
        <v>0</v>
      </c>
      <c r="BL31">
        <v>0</v>
      </c>
      <c r="BM31" t="s">
        <v>36</v>
      </c>
      <c r="BN31" t="b">
        <v>1</v>
      </c>
      <c r="BO31" t="s">
        <v>8090</v>
      </c>
    </row>
    <row r="32" spans="1:67" x14ac:dyDescent="0.25">
      <c r="A32" s="238">
        <v>31</v>
      </c>
      <c r="B32" s="238">
        <v>1</v>
      </c>
      <c r="C32" s="238">
        <v>7</v>
      </c>
      <c r="D32" s="238">
        <v>1</v>
      </c>
      <c r="E32" s="238">
        <v>0</v>
      </c>
      <c r="F32" s="238">
        <v>14.66</v>
      </c>
      <c r="G32" s="238"/>
      <c r="H32" s="238"/>
      <c r="I32" s="238">
        <v>14.66</v>
      </c>
      <c r="J32" s="238">
        <v>6.15</v>
      </c>
      <c r="K32" s="238">
        <v>5.0199999999999996</v>
      </c>
      <c r="L32" s="238"/>
      <c r="M32" s="238">
        <v>3.86</v>
      </c>
      <c r="N32" s="238"/>
      <c r="O32" s="238"/>
      <c r="R32" s="238">
        <v>0</v>
      </c>
      <c r="S32" s="238">
        <v>29.69</v>
      </c>
      <c r="T32" s="238">
        <v>29.69</v>
      </c>
      <c r="U32" s="238">
        <v>29.69</v>
      </c>
      <c r="V32" s="238">
        <v>139730</v>
      </c>
      <c r="W32">
        <v>200</v>
      </c>
      <c r="X32">
        <v>139930</v>
      </c>
      <c r="Y32">
        <v>1000</v>
      </c>
      <c r="Z32">
        <v>140930</v>
      </c>
      <c r="AA32">
        <v>215</v>
      </c>
      <c r="AB32">
        <v>141145</v>
      </c>
      <c r="AC32">
        <v>17.5</v>
      </c>
      <c r="AD32">
        <v>141162.5</v>
      </c>
      <c r="AF32">
        <v>141162.5</v>
      </c>
      <c r="AH32">
        <v>141162.5</v>
      </c>
      <c r="AJ32">
        <v>141162.5</v>
      </c>
      <c r="AL32">
        <v>141162.5</v>
      </c>
      <c r="AM32" s="238">
        <v>141162.5</v>
      </c>
      <c r="AN32" s="238">
        <v>4191200</v>
      </c>
      <c r="AP32" s="238"/>
      <c r="AQ32" s="238">
        <v>0</v>
      </c>
      <c r="AR32" s="238">
        <v>141165.37554732233</v>
      </c>
      <c r="AS32" s="238">
        <v>4191200</v>
      </c>
      <c r="AT32" s="238" t="s">
        <v>36</v>
      </c>
      <c r="AU32" s="238"/>
      <c r="AW32">
        <v>141165.37554732233</v>
      </c>
      <c r="AX32" s="238">
        <v>0</v>
      </c>
      <c r="AY32" s="238">
        <v>4191200</v>
      </c>
      <c r="BA32" s="238" t="s">
        <v>3</v>
      </c>
      <c r="BB32" s="238" t="s">
        <v>3</v>
      </c>
      <c r="BC32" t="s">
        <v>8951</v>
      </c>
      <c r="BD32" t="s">
        <v>1167</v>
      </c>
      <c r="BE32" t="s">
        <v>8962</v>
      </c>
      <c r="BF32" t="s">
        <v>8970</v>
      </c>
      <c r="BG32" t="b">
        <v>1</v>
      </c>
      <c r="BH32">
        <v>4191200</v>
      </c>
      <c r="BI32">
        <v>4191200</v>
      </c>
      <c r="BJ32">
        <v>0</v>
      </c>
      <c r="BK32">
        <v>0</v>
      </c>
      <c r="BL32">
        <v>0</v>
      </c>
      <c r="BM32" t="s">
        <v>36</v>
      </c>
      <c r="BN32" t="b">
        <v>1</v>
      </c>
      <c r="BO32" t="s">
        <v>8091</v>
      </c>
    </row>
    <row r="33" spans="1:67" x14ac:dyDescent="0.25">
      <c r="A33" s="238">
        <v>32</v>
      </c>
      <c r="B33" s="238">
        <v>1</v>
      </c>
      <c r="C33" s="238">
        <v>7</v>
      </c>
      <c r="D33" s="238">
        <v>2</v>
      </c>
      <c r="E33" s="238">
        <v>2</v>
      </c>
      <c r="F33" s="238">
        <v>16.100000000000001</v>
      </c>
      <c r="G33" s="238">
        <v>10.8</v>
      </c>
      <c r="H33" s="238"/>
      <c r="I33" s="238">
        <v>26.9</v>
      </c>
      <c r="J33" s="238">
        <v>17.7</v>
      </c>
      <c r="K33" s="238">
        <v>4.25</v>
      </c>
      <c r="L33" s="238"/>
      <c r="M33" s="238">
        <v>9.68</v>
      </c>
      <c r="N33" s="238"/>
      <c r="O33" s="238">
        <v>3.15</v>
      </c>
      <c r="R33" s="238">
        <v>3.15</v>
      </c>
      <c r="S33" s="238">
        <v>61.68</v>
      </c>
      <c r="T33" s="238">
        <v>58.53</v>
      </c>
      <c r="U33" s="238">
        <v>60.11</v>
      </c>
      <c r="V33" s="238">
        <v>119811.8</v>
      </c>
      <c r="X33">
        <v>119811.8</v>
      </c>
      <c r="Y33">
        <v>1000</v>
      </c>
      <c r="Z33">
        <v>120811.8</v>
      </c>
      <c r="AA33">
        <v>215</v>
      </c>
      <c r="AB33">
        <v>121026.8</v>
      </c>
      <c r="AC33">
        <v>17.5</v>
      </c>
      <c r="AD33">
        <v>121044.3</v>
      </c>
      <c r="AE33">
        <v>605.22149999999999</v>
      </c>
      <c r="AF33">
        <v>121649.5215</v>
      </c>
      <c r="AH33">
        <v>121649.5215</v>
      </c>
      <c r="AJ33">
        <v>121649.5215</v>
      </c>
      <c r="AK33">
        <v>3649.4856450000002</v>
      </c>
      <c r="AL33">
        <v>125299.007145</v>
      </c>
      <c r="AM33" s="238">
        <v>125299.01</v>
      </c>
      <c r="AN33" s="238">
        <v>7531800</v>
      </c>
      <c r="AP33" s="238"/>
      <c r="AQ33" s="238">
        <v>0</v>
      </c>
      <c r="AR33" s="238">
        <v>125300.28281483946</v>
      </c>
      <c r="AS33" s="238">
        <v>7531800</v>
      </c>
      <c r="AT33" s="238" t="s">
        <v>36</v>
      </c>
      <c r="AU33" s="238"/>
      <c r="AW33">
        <v>125300.28281483946</v>
      </c>
      <c r="AX33" s="238">
        <v>0</v>
      </c>
      <c r="AY33" s="238">
        <v>7531800</v>
      </c>
      <c r="BA33" s="238" t="s">
        <v>35</v>
      </c>
      <c r="BB33" s="238" t="s">
        <v>35</v>
      </c>
      <c r="BC33" t="s">
        <v>8953</v>
      </c>
      <c r="BD33" t="s">
        <v>8954</v>
      </c>
      <c r="BE33" t="s">
        <v>8962</v>
      </c>
      <c r="BF33" t="s">
        <v>8971</v>
      </c>
      <c r="BG33" t="b">
        <v>1</v>
      </c>
      <c r="BH33">
        <v>7531800</v>
      </c>
      <c r="BI33">
        <v>7531800</v>
      </c>
      <c r="BJ33">
        <v>0</v>
      </c>
      <c r="BK33">
        <v>0</v>
      </c>
      <c r="BL33">
        <v>0</v>
      </c>
      <c r="BM33" t="s">
        <v>36</v>
      </c>
      <c r="BN33" t="b">
        <v>1</v>
      </c>
      <c r="BO33" t="s">
        <v>8092</v>
      </c>
    </row>
    <row r="34" spans="1:67" x14ac:dyDescent="0.25">
      <c r="A34" s="238">
        <v>33</v>
      </c>
      <c r="B34" s="238">
        <v>1</v>
      </c>
      <c r="C34" s="238">
        <v>7</v>
      </c>
      <c r="D34" s="238">
        <v>3</v>
      </c>
      <c r="E34" s="238">
        <v>2</v>
      </c>
      <c r="F34" s="238">
        <v>16.41</v>
      </c>
      <c r="G34" s="238">
        <v>12.19</v>
      </c>
      <c r="H34" s="238"/>
      <c r="I34" s="238">
        <v>28.6</v>
      </c>
      <c r="J34" s="238">
        <v>14.62</v>
      </c>
      <c r="K34" s="238">
        <v>3.86</v>
      </c>
      <c r="L34" s="238"/>
      <c r="M34" s="238">
        <v>6.1</v>
      </c>
      <c r="N34" s="238"/>
      <c r="O34" s="238">
        <v>3.33</v>
      </c>
      <c r="R34" s="238">
        <v>3.33</v>
      </c>
      <c r="S34" s="238">
        <v>56.51</v>
      </c>
      <c r="T34" s="238">
        <v>53.18</v>
      </c>
      <c r="U34" s="238">
        <v>54.85</v>
      </c>
      <c r="V34" s="238">
        <v>117551.2</v>
      </c>
      <c r="X34">
        <v>117551.2</v>
      </c>
      <c r="Y34">
        <v>1000</v>
      </c>
      <c r="Z34">
        <v>118551.2</v>
      </c>
      <c r="AA34">
        <v>215</v>
      </c>
      <c r="AB34">
        <v>118766.2</v>
      </c>
      <c r="AC34">
        <v>17.5</v>
      </c>
      <c r="AD34">
        <v>118783.7</v>
      </c>
      <c r="AE34">
        <v>593.91849999999999</v>
      </c>
      <c r="AF34">
        <v>119377.6185</v>
      </c>
      <c r="AH34">
        <v>119377.6185</v>
      </c>
      <c r="AJ34">
        <v>119377.6185</v>
      </c>
      <c r="AL34">
        <v>119377.6185</v>
      </c>
      <c r="AM34" s="238">
        <v>119377.62</v>
      </c>
      <c r="AN34" s="238">
        <v>6547900</v>
      </c>
      <c r="AP34" s="238"/>
      <c r="AQ34" s="238">
        <v>0</v>
      </c>
      <c r="AR34" s="238">
        <v>119378.30446672744</v>
      </c>
      <c r="AS34" s="238">
        <v>6547900</v>
      </c>
      <c r="AT34" s="238" t="s">
        <v>38</v>
      </c>
      <c r="AU34" s="238">
        <v>30000</v>
      </c>
      <c r="AV34" t="s">
        <v>8816</v>
      </c>
      <c r="AW34">
        <v>149378.30446672742</v>
      </c>
      <c r="AX34" s="238">
        <v>1645499.9999999993</v>
      </c>
      <c r="AY34" s="238">
        <v>8193399.9999999981</v>
      </c>
      <c r="BA34" s="238" t="s">
        <v>3</v>
      </c>
      <c r="BB34" s="238" t="s">
        <v>3</v>
      </c>
      <c r="BC34" t="s">
        <v>8951</v>
      </c>
      <c r="BD34" t="s">
        <v>1167</v>
      </c>
      <c r="BE34" t="s">
        <v>8962</v>
      </c>
      <c r="BF34" t="s">
        <v>8971</v>
      </c>
      <c r="BG34" t="b">
        <v>1</v>
      </c>
      <c r="BH34">
        <v>6547900</v>
      </c>
      <c r="BI34">
        <v>6547900</v>
      </c>
      <c r="BJ34">
        <v>0</v>
      </c>
      <c r="BK34">
        <v>0</v>
      </c>
      <c r="BL34">
        <v>0</v>
      </c>
      <c r="BM34" t="s">
        <v>38</v>
      </c>
      <c r="BN34" t="b">
        <v>1</v>
      </c>
      <c r="BO34" t="s">
        <v>8093</v>
      </c>
    </row>
    <row r="35" spans="1:67" x14ac:dyDescent="0.25">
      <c r="A35" s="238">
        <v>34</v>
      </c>
      <c r="B35" s="238">
        <v>1</v>
      </c>
      <c r="C35" s="238">
        <v>7</v>
      </c>
      <c r="D35" s="238">
        <v>4</v>
      </c>
      <c r="E35" s="238">
        <v>2</v>
      </c>
      <c r="F35" s="238">
        <v>14.98</v>
      </c>
      <c r="G35" s="238">
        <v>12.28</v>
      </c>
      <c r="H35" s="238"/>
      <c r="I35" s="238">
        <v>27.26</v>
      </c>
      <c r="J35" s="238">
        <v>15.16</v>
      </c>
      <c r="K35" s="238">
        <v>4.4400000000000004</v>
      </c>
      <c r="L35" s="238"/>
      <c r="M35" s="238">
        <v>6.25</v>
      </c>
      <c r="N35" s="238"/>
      <c r="O35" s="238">
        <v>3.33</v>
      </c>
      <c r="R35" s="238">
        <v>3.33</v>
      </c>
      <c r="S35" s="238">
        <v>56.44</v>
      </c>
      <c r="T35" s="238">
        <v>53.11</v>
      </c>
      <c r="U35" s="238">
        <v>54.78</v>
      </c>
      <c r="V35" s="238">
        <v>119811.8</v>
      </c>
      <c r="X35">
        <v>119811.8</v>
      </c>
      <c r="Y35">
        <v>1000</v>
      </c>
      <c r="Z35">
        <v>120811.8</v>
      </c>
      <c r="AA35">
        <v>215</v>
      </c>
      <c r="AB35">
        <v>121026.8</v>
      </c>
      <c r="AC35">
        <v>17.5</v>
      </c>
      <c r="AD35">
        <v>121044.3</v>
      </c>
      <c r="AE35">
        <v>605.22149999999999</v>
      </c>
      <c r="AF35">
        <v>121649.5215</v>
      </c>
      <c r="AH35">
        <v>121649.5215</v>
      </c>
      <c r="AJ35">
        <v>121649.5215</v>
      </c>
      <c r="AL35">
        <v>121649.5215</v>
      </c>
      <c r="AM35" s="238">
        <v>121649.52</v>
      </c>
      <c r="AN35" s="238">
        <v>6664000</v>
      </c>
      <c r="AP35" s="238"/>
      <c r="AQ35" s="238">
        <v>0</v>
      </c>
      <c r="AR35" s="238">
        <v>121650.23731288793</v>
      </c>
      <c r="AS35" s="238">
        <v>6664000</v>
      </c>
      <c r="AT35" s="238" t="s">
        <v>36</v>
      </c>
      <c r="AU35" s="238"/>
      <c r="AW35">
        <v>121650.23731288793</v>
      </c>
      <c r="AX35" s="238">
        <v>0</v>
      </c>
      <c r="AY35" s="238">
        <v>6664000</v>
      </c>
      <c r="BA35" s="238" t="s">
        <v>35</v>
      </c>
      <c r="BB35" s="238" t="s">
        <v>35</v>
      </c>
      <c r="BC35" t="s">
        <v>8953</v>
      </c>
      <c r="BD35" t="s">
        <v>8954</v>
      </c>
      <c r="BE35" t="s">
        <v>8962</v>
      </c>
      <c r="BF35" t="s">
        <v>8971</v>
      </c>
      <c r="BG35" t="b">
        <v>1</v>
      </c>
      <c r="BH35">
        <v>6664000</v>
      </c>
      <c r="BI35">
        <v>6664000</v>
      </c>
      <c r="BJ35">
        <v>0</v>
      </c>
      <c r="BK35">
        <v>0</v>
      </c>
      <c r="BL35">
        <v>0</v>
      </c>
      <c r="BM35" t="s">
        <v>36</v>
      </c>
      <c r="BN35" t="b">
        <v>1</v>
      </c>
      <c r="BO35" t="s">
        <v>8094</v>
      </c>
    </row>
    <row r="36" spans="1:67" x14ac:dyDescent="0.25">
      <c r="A36" s="238">
        <v>35</v>
      </c>
      <c r="B36" s="238">
        <v>1</v>
      </c>
      <c r="C36" s="238">
        <v>7</v>
      </c>
      <c r="D36" s="238">
        <v>5</v>
      </c>
      <c r="E36" s="238">
        <v>1</v>
      </c>
      <c r="F36" s="238">
        <v>13.06</v>
      </c>
      <c r="G36" s="238"/>
      <c r="H36" s="238"/>
      <c r="I36" s="238">
        <v>13.06</v>
      </c>
      <c r="J36" s="238">
        <v>15.1</v>
      </c>
      <c r="K36" s="238">
        <v>4.4400000000000004</v>
      </c>
      <c r="L36" s="238"/>
      <c r="M36" s="238">
        <v>2.9</v>
      </c>
      <c r="N36" s="238"/>
      <c r="O36" s="238">
        <v>3.02</v>
      </c>
      <c r="R36" s="238">
        <v>3.02</v>
      </c>
      <c r="S36" s="238">
        <v>38.520000000000003</v>
      </c>
      <c r="T36" s="238">
        <v>35.5</v>
      </c>
      <c r="U36" s="238">
        <v>37.01</v>
      </c>
      <c r="V36" s="238">
        <v>124030.39999999999</v>
      </c>
      <c r="W36">
        <v>2480.6079999999997</v>
      </c>
      <c r="X36">
        <v>126511.008</v>
      </c>
      <c r="Z36">
        <v>126511.008</v>
      </c>
      <c r="AB36">
        <v>126511.008</v>
      </c>
      <c r="AD36">
        <v>126511.008</v>
      </c>
      <c r="AF36">
        <v>126511.008</v>
      </c>
      <c r="AH36">
        <v>126511.008</v>
      </c>
      <c r="AJ36">
        <v>126511.008</v>
      </c>
      <c r="AL36">
        <v>126511.008</v>
      </c>
      <c r="AM36" s="238">
        <v>126511.01</v>
      </c>
      <c r="AN36" s="238">
        <v>4682200</v>
      </c>
      <c r="AP36" s="238">
        <v>0.02</v>
      </c>
      <c r="AQ36" s="238">
        <v>93644</v>
      </c>
      <c r="AR36" s="238">
        <v>123981.51850851122</v>
      </c>
      <c r="AS36" s="238">
        <v>4588556</v>
      </c>
      <c r="AT36" s="238" t="s">
        <v>36</v>
      </c>
      <c r="AU36" s="238"/>
      <c r="AW36">
        <v>123981.51850851122</v>
      </c>
      <c r="AX36" s="238">
        <v>0</v>
      </c>
      <c r="AY36" s="238">
        <v>4588556</v>
      </c>
      <c r="AZ36" t="s">
        <v>8359</v>
      </c>
      <c r="BA36" s="238" t="s">
        <v>39</v>
      </c>
      <c r="BB36" s="238" t="s">
        <v>39</v>
      </c>
      <c r="BC36" t="s">
        <v>8950</v>
      </c>
      <c r="BD36" t="s">
        <v>1167</v>
      </c>
      <c r="BE36" t="s">
        <v>8962</v>
      </c>
      <c r="BF36" t="s">
        <v>8972</v>
      </c>
      <c r="BG36" t="b">
        <v>1</v>
      </c>
      <c r="BH36">
        <v>4682200</v>
      </c>
      <c r="BI36" t="s">
        <v>9002</v>
      </c>
      <c r="BJ36">
        <v>4682200</v>
      </c>
      <c r="BK36">
        <v>4682200</v>
      </c>
      <c r="BL36">
        <v>0</v>
      </c>
      <c r="BM36" t="s">
        <v>36</v>
      </c>
      <c r="BN36" t="b">
        <v>1</v>
      </c>
      <c r="BO36" t="s">
        <v>8095</v>
      </c>
    </row>
    <row r="37" spans="1:67" x14ac:dyDescent="0.25">
      <c r="A37" s="238">
        <v>36</v>
      </c>
      <c r="B37" s="238">
        <v>1</v>
      </c>
      <c r="C37" s="238">
        <v>7</v>
      </c>
      <c r="D37" s="238">
        <v>6</v>
      </c>
      <c r="E37" s="238">
        <v>1</v>
      </c>
      <c r="F37" s="238">
        <v>14.57</v>
      </c>
      <c r="G37" s="238"/>
      <c r="H37" s="238"/>
      <c r="I37" s="238">
        <v>14.57</v>
      </c>
      <c r="J37" s="238">
        <v>16.93</v>
      </c>
      <c r="K37" s="238">
        <v>4.46</v>
      </c>
      <c r="L37" s="238"/>
      <c r="M37" s="238">
        <v>7.75</v>
      </c>
      <c r="N37" s="238"/>
      <c r="O37" s="238">
        <v>3.1</v>
      </c>
      <c r="R37" s="238">
        <v>3.1</v>
      </c>
      <c r="S37" s="238">
        <v>46.81</v>
      </c>
      <c r="T37" s="238">
        <v>43.71</v>
      </c>
      <c r="U37" s="238">
        <v>45.26</v>
      </c>
      <c r="V37" s="238">
        <v>122837.8</v>
      </c>
      <c r="X37">
        <v>122837.8</v>
      </c>
      <c r="Y37">
        <v>1000</v>
      </c>
      <c r="Z37">
        <v>123837.8</v>
      </c>
      <c r="AA37">
        <v>215</v>
      </c>
      <c r="AB37">
        <v>124052.8</v>
      </c>
      <c r="AC37">
        <v>17.5</v>
      </c>
      <c r="AD37">
        <v>124070.3</v>
      </c>
      <c r="AE37">
        <v>620.35149999999999</v>
      </c>
      <c r="AF37">
        <v>124690.65150000001</v>
      </c>
      <c r="AG37">
        <v>1246.9065149999999</v>
      </c>
      <c r="AH37">
        <v>125937.558015</v>
      </c>
      <c r="AI37">
        <v>1259.3755801499999</v>
      </c>
      <c r="AJ37">
        <v>127196.93359515</v>
      </c>
      <c r="AL37">
        <v>127196.93359515</v>
      </c>
      <c r="AM37" s="238">
        <v>127196.93</v>
      </c>
      <c r="AN37" s="238">
        <v>5757000</v>
      </c>
      <c r="AP37" s="238">
        <v>0.02</v>
      </c>
      <c r="AQ37" s="238">
        <v>115140</v>
      </c>
      <c r="AR37" s="238">
        <v>124654.44100751216</v>
      </c>
      <c r="AS37" s="238">
        <v>5641860</v>
      </c>
      <c r="AT37" s="238" t="s">
        <v>38</v>
      </c>
      <c r="AU37" s="238">
        <v>25000</v>
      </c>
      <c r="AV37" t="s">
        <v>8814</v>
      </c>
      <c r="AW37">
        <v>149654.44100751216</v>
      </c>
      <c r="AX37" s="238">
        <v>1131500</v>
      </c>
      <c r="AY37" s="238">
        <v>6773360</v>
      </c>
      <c r="AZ37" t="s">
        <v>3540</v>
      </c>
      <c r="BA37" s="238" t="s">
        <v>39</v>
      </c>
      <c r="BB37" s="238" t="s">
        <v>39</v>
      </c>
      <c r="BC37" t="s">
        <v>8950</v>
      </c>
      <c r="BD37" t="s">
        <v>1167</v>
      </c>
      <c r="BE37" t="s">
        <v>8962</v>
      </c>
      <c r="BF37" t="s">
        <v>8972</v>
      </c>
      <c r="BG37" t="b">
        <v>1</v>
      </c>
      <c r="BH37">
        <v>5757000</v>
      </c>
      <c r="BI37" t="s">
        <v>9002</v>
      </c>
      <c r="BJ37">
        <v>0</v>
      </c>
      <c r="BK37">
        <v>5757000</v>
      </c>
      <c r="BL37">
        <v>0</v>
      </c>
      <c r="BM37" t="s">
        <v>38</v>
      </c>
      <c r="BN37" t="b">
        <v>1</v>
      </c>
      <c r="BO37" t="s">
        <v>8096</v>
      </c>
    </row>
    <row r="38" spans="1:67" x14ac:dyDescent="0.25">
      <c r="A38" s="238">
        <v>37</v>
      </c>
      <c r="B38" s="238">
        <v>1</v>
      </c>
      <c r="C38" s="238">
        <v>8</v>
      </c>
      <c r="D38" s="238">
        <v>1</v>
      </c>
      <c r="E38" s="238">
        <v>0</v>
      </c>
      <c r="F38" s="238">
        <v>14.66</v>
      </c>
      <c r="G38" s="238"/>
      <c r="H38" s="238"/>
      <c r="I38" s="238">
        <v>14.66</v>
      </c>
      <c r="J38" s="238">
        <v>6.15</v>
      </c>
      <c r="K38" s="238">
        <v>5.0199999999999996</v>
      </c>
      <c r="L38" s="238"/>
      <c r="M38" s="238">
        <v>3.86</v>
      </c>
      <c r="N38" s="238"/>
      <c r="O38" s="238"/>
      <c r="R38" s="238">
        <v>0</v>
      </c>
      <c r="S38" s="238">
        <v>29.69</v>
      </c>
      <c r="T38" s="238">
        <v>29.69</v>
      </c>
      <c r="U38" s="238">
        <v>29.69</v>
      </c>
      <c r="V38" s="238">
        <v>139730</v>
      </c>
      <c r="W38">
        <v>200</v>
      </c>
      <c r="X38">
        <v>139930</v>
      </c>
      <c r="Y38">
        <v>1000</v>
      </c>
      <c r="Z38">
        <v>140930</v>
      </c>
      <c r="AA38">
        <v>215</v>
      </c>
      <c r="AB38">
        <v>141145</v>
      </c>
      <c r="AC38">
        <v>17.5</v>
      </c>
      <c r="AD38">
        <v>141162.5</v>
      </c>
      <c r="AF38">
        <v>141162.5</v>
      </c>
      <c r="AH38">
        <v>141162.5</v>
      </c>
      <c r="AJ38">
        <v>141162.5</v>
      </c>
      <c r="AL38">
        <v>141162.5</v>
      </c>
      <c r="AM38" s="238">
        <v>141162.5</v>
      </c>
      <c r="AN38" s="238">
        <v>4191200</v>
      </c>
      <c r="AP38" s="238"/>
      <c r="AQ38" s="238">
        <v>0</v>
      </c>
      <c r="AR38" s="238">
        <v>141165.37554732233</v>
      </c>
      <c r="AS38" s="238">
        <v>4191200</v>
      </c>
      <c r="AT38" s="238" t="s">
        <v>36</v>
      </c>
      <c r="AU38" s="238"/>
      <c r="AW38">
        <v>141165.37554732233</v>
      </c>
      <c r="AX38" s="238">
        <v>0</v>
      </c>
      <c r="AY38" s="238">
        <v>4191200</v>
      </c>
      <c r="BA38" s="238" t="s">
        <v>35</v>
      </c>
      <c r="BB38" s="238" t="s">
        <v>35</v>
      </c>
      <c r="BC38" t="s">
        <v>8953</v>
      </c>
      <c r="BD38" t="s">
        <v>8954</v>
      </c>
      <c r="BE38" t="s">
        <v>8962</v>
      </c>
      <c r="BF38" t="s">
        <v>8970</v>
      </c>
      <c r="BG38" t="b">
        <v>1</v>
      </c>
      <c r="BH38">
        <v>4191200</v>
      </c>
      <c r="BI38">
        <v>4191200</v>
      </c>
      <c r="BJ38">
        <v>0</v>
      </c>
      <c r="BK38">
        <v>0</v>
      </c>
      <c r="BL38">
        <v>0</v>
      </c>
      <c r="BM38" t="s">
        <v>36</v>
      </c>
      <c r="BN38" t="b">
        <v>1</v>
      </c>
      <c r="BO38" t="s">
        <v>8097</v>
      </c>
    </row>
    <row r="39" spans="1:67" x14ac:dyDescent="0.25">
      <c r="A39" s="238">
        <v>38</v>
      </c>
      <c r="B39" s="238">
        <v>1</v>
      </c>
      <c r="C39" s="238">
        <v>8</v>
      </c>
      <c r="D39" s="238">
        <v>2</v>
      </c>
      <c r="E39" s="238">
        <v>2</v>
      </c>
      <c r="F39" s="238">
        <v>16.100000000000001</v>
      </c>
      <c r="G39" s="238">
        <v>10.8</v>
      </c>
      <c r="H39" s="238"/>
      <c r="I39" s="238">
        <v>26.9</v>
      </c>
      <c r="J39" s="238">
        <v>17.7</v>
      </c>
      <c r="K39" s="238">
        <v>4.25</v>
      </c>
      <c r="L39" s="238"/>
      <c r="M39" s="238">
        <v>9.68</v>
      </c>
      <c r="N39" s="238"/>
      <c r="O39" s="238">
        <v>3.15</v>
      </c>
      <c r="R39" s="238">
        <v>3.15</v>
      </c>
      <c r="S39" s="238">
        <v>61.68</v>
      </c>
      <c r="T39" s="238">
        <v>58.53</v>
      </c>
      <c r="U39" s="238">
        <v>60.11</v>
      </c>
      <c r="V39" s="238">
        <v>119811.8</v>
      </c>
      <c r="X39">
        <v>119811.8</v>
      </c>
      <c r="Y39">
        <v>1000</v>
      </c>
      <c r="Z39">
        <v>120811.8</v>
      </c>
      <c r="AA39">
        <v>215</v>
      </c>
      <c r="AB39">
        <v>121026.8</v>
      </c>
      <c r="AC39">
        <v>17.5</v>
      </c>
      <c r="AD39">
        <v>121044.3</v>
      </c>
      <c r="AE39">
        <v>605.22149999999999</v>
      </c>
      <c r="AF39">
        <v>121649.5215</v>
      </c>
      <c r="AH39">
        <v>121649.5215</v>
      </c>
      <c r="AJ39">
        <v>121649.5215</v>
      </c>
      <c r="AK39">
        <v>3649.4856450000002</v>
      </c>
      <c r="AL39">
        <v>125299.007145</v>
      </c>
      <c r="AM39" s="238">
        <v>125299.01</v>
      </c>
      <c r="AN39" s="238">
        <v>7531800</v>
      </c>
      <c r="AP39" s="238"/>
      <c r="AQ39" s="238">
        <v>0</v>
      </c>
      <c r="AR39" s="238">
        <v>125300.28281483946</v>
      </c>
      <c r="AS39" s="238">
        <v>7531800</v>
      </c>
      <c r="AT39" s="238" t="s">
        <v>36</v>
      </c>
      <c r="AU39" s="238"/>
      <c r="AW39">
        <v>125300.28281483946</v>
      </c>
      <c r="AX39" s="238">
        <v>0</v>
      </c>
      <c r="AY39" s="238">
        <v>7531800</v>
      </c>
      <c r="BA39" s="238" t="s">
        <v>3</v>
      </c>
      <c r="BB39" s="238" t="s">
        <v>3</v>
      </c>
      <c r="BC39" t="s">
        <v>8951</v>
      </c>
      <c r="BD39" t="s">
        <v>1167</v>
      </c>
      <c r="BE39" t="s">
        <v>8962</v>
      </c>
      <c r="BF39" t="s">
        <v>8971</v>
      </c>
      <c r="BG39" t="b">
        <v>1</v>
      </c>
      <c r="BH39">
        <v>7531800</v>
      </c>
      <c r="BI39">
        <v>7531800</v>
      </c>
      <c r="BJ39">
        <v>0</v>
      </c>
      <c r="BK39">
        <v>0</v>
      </c>
      <c r="BL39">
        <v>0</v>
      </c>
      <c r="BM39" t="s">
        <v>36</v>
      </c>
      <c r="BN39" t="b">
        <v>1</v>
      </c>
      <c r="BO39" t="s">
        <v>8098</v>
      </c>
    </row>
    <row r="40" spans="1:67" x14ac:dyDescent="0.25">
      <c r="A40" s="238">
        <v>39</v>
      </c>
      <c r="B40" s="238">
        <v>1</v>
      </c>
      <c r="C40" s="238">
        <v>8</v>
      </c>
      <c r="D40" s="238">
        <v>3</v>
      </c>
      <c r="E40" s="238">
        <v>2</v>
      </c>
      <c r="F40" s="238">
        <v>16.41</v>
      </c>
      <c r="G40" s="238">
        <v>12.19</v>
      </c>
      <c r="H40" s="238"/>
      <c r="I40" s="238">
        <v>28.6</v>
      </c>
      <c r="J40" s="238">
        <v>14.62</v>
      </c>
      <c r="K40" s="238">
        <v>3.86</v>
      </c>
      <c r="L40" s="238"/>
      <c r="M40" s="238">
        <v>6.1</v>
      </c>
      <c r="N40" s="238"/>
      <c r="O40" s="238">
        <v>3.33</v>
      </c>
      <c r="R40" s="238">
        <v>3.33</v>
      </c>
      <c r="S40" s="238">
        <v>56.51</v>
      </c>
      <c r="T40" s="238">
        <v>53.18</v>
      </c>
      <c r="U40" s="238">
        <v>54.85</v>
      </c>
      <c r="V40" s="238">
        <v>118681.5</v>
      </c>
      <c r="X40">
        <v>118681.5</v>
      </c>
      <c r="Y40">
        <v>1000</v>
      </c>
      <c r="Z40">
        <v>119681.5</v>
      </c>
      <c r="AA40">
        <v>215</v>
      </c>
      <c r="AB40">
        <v>119896.5</v>
      </c>
      <c r="AC40">
        <v>17.5</v>
      </c>
      <c r="AD40">
        <v>119914</v>
      </c>
      <c r="AE40">
        <v>599.57000000000005</v>
      </c>
      <c r="AF40">
        <v>120513.57</v>
      </c>
      <c r="AH40">
        <v>120513.57</v>
      </c>
      <c r="AJ40">
        <v>120513.57</v>
      </c>
      <c r="AL40">
        <v>120513.57</v>
      </c>
      <c r="AM40" s="238">
        <v>120513.57</v>
      </c>
      <c r="AN40" s="238">
        <v>6610200</v>
      </c>
      <c r="AP40" s="238"/>
      <c r="AQ40" s="238">
        <v>0</v>
      </c>
      <c r="AR40" s="238">
        <v>120514.129443938</v>
      </c>
      <c r="AS40" s="238">
        <v>6610200</v>
      </c>
      <c r="AT40" s="238" t="s">
        <v>36</v>
      </c>
      <c r="AU40" s="238"/>
      <c r="AW40">
        <v>120514.129443938</v>
      </c>
      <c r="AX40" s="238">
        <v>0</v>
      </c>
      <c r="AY40" s="238">
        <v>6610200</v>
      </c>
      <c r="BA40" s="238" t="s">
        <v>35</v>
      </c>
      <c r="BB40" s="238" t="s">
        <v>35</v>
      </c>
      <c r="BC40" t="s">
        <v>8953</v>
      </c>
      <c r="BD40" t="s">
        <v>8954</v>
      </c>
      <c r="BE40" t="s">
        <v>8962</v>
      </c>
      <c r="BF40" t="s">
        <v>8971</v>
      </c>
      <c r="BG40" t="b">
        <v>1</v>
      </c>
      <c r="BH40">
        <v>6610200</v>
      </c>
      <c r="BI40">
        <v>6610200</v>
      </c>
      <c r="BJ40">
        <v>0</v>
      </c>
      <c r="BK40">
        <v>0</v>
      </c>
      <c r="BL40">
        <v>0</v>
      </c>
      <c r="BM40" t="s">
        <v>36</v>
      </c>
      <c r="BN40" t="b">
        <v>1</v>
      </c>
      <c r="BO40" t="s">
        <v>8099</v>
      </c>
    </row>
    <row r="41" spans="1:67" x14ac:dyDescent="0.25">
      <c r="A41" s="238">
        <v>40</v>
      </c>
      <c r="B41" s="238">
        <v>1</v>
      </c>
      <c r="C41" s="238">
        <v>8</v>
      </c>
      <c r="D41" s="238">
        <v>4</v>
      </c>
      <c r="E41" s="238">
        <v>2</v>
      </c>
      <c r="F41" s="238">
        <v>14.98</v>
      </c>
      <c r="G41" s="238">
        <v>12.28</v>
      </c>
      <c r="H41" s="238"/>
      <c r="I41" s="238">
        <v>27.26</v>
      </c>
      <c r="J41" s="238">
        <v>15.16</v>
      </c>
      <c r="K41" s="238">
        <v>4.4400000000000004</v>
      </c>
      <c r="L41" s="238"/>
      <c r="M41" s="238">
        <v>6.25</v>
      </c>
      <c r="N41" s="238"/>
      <c r="O41" s="238">
        <v>3.33</v>
      </c>
      <c r="R41" s="238">
        <v>3.33</v>
      </c>
      <c r="S41" s="238">
        <v>56.44</v>
      </c>
      <c r="T41" s="238">
        <v>53.11</v>
      </c>
      <c r="U41" s="238">
        <v>54.78</v>
      </c>
      <c r="V41" s="238">
        <v>120942.1</v>
      </c>
      <c r="X41">
        <v>120942.1</v>
      </c>
      <c r="Y41">
        <v>1000</v>
      </c>
      <c r="Z41">
        <v>121942.1</v>
      </c>
      <c r="AA41">
        <v>215</v>
      </c>
      <c r="AB41">
        <v>122157.1</v>
      </c>
      <c r="AC41">
        <v>17.5</v>
      </c>
      <c r="AD41">
        <v>122174.6</v>
      </c>
      <c r="AE41">
        <v>610.87300000000005</v>
      </c>
      <c r="AF41">
        <v>122785.473</v>
      </c>
      <c r="AH41">
        <v>122785.473</v>
      </c>
      <c r="AJ41">
        <v>122785.473</v>
      </c>
      <c r="AL41">
        <v>122785.473</v>
      </c>
      <c r="AM41" s="238">
        <v>122785.47</v>
      </c>
      <c r="AN41" s="238">
        <v>6726200</v>
      </c>
      <c r="AP41" s="238"/>
      <c r="AQ41" s="238">
        <v>0</v>
      </c>
      <c r="AR41" s="238">
        <v>122785.68820737496</v>
      </c>
      <c r="AS41" s="238">
        <v>6726200</v>
      </c>
      <c r="AT41" s="238" t="s">
        <v>36</v>
      </c>
      <c r="AU41" s="238"/>
      <c r="AW41">
        <v>122785.68820737496</v>
      </c>
      <c r="AX41" s="238">
        <v>0</v>
      </c>
      <c r="AY41" s="238">
        <v>6726200</v>
      </c>
      <c r="BA41" s="238" t="s">
        <v>35</v>
      </c>
      <c r="BB41" s="238" t="s">
        <v>35</v>
      </c>
      <c r="BC41" t="s">
        <v>8953</v>
      </c>
      <c r="BD41" t="s">
        <v>8954</v>
      </c>
      <c r="BE41" t="s">
        <v>8962</v>
      </c>
      <c r="BF41" t="s">
        <v>8971</v>
      </c>
      <c r="BG41" t="b">
        <v>1</v>
      </c>
      <c r="BH41">
        <v>6726200</v>
      </c>
      <c r="BI41">
        <v>6726200</v>
      </c>
      <c r="BJ41">
        <v>0</v>
      </c>
      <c r="BK41">
        <v>0</v>
      </c>
      <c r="BL41">
        <v>0</v>
      </c>
      <c r="BM41" t="s">
        <v>36</v>
      </c>
      <c r="BN41" t="b">
        <v>1</v>
      </c>
      <c r="BO41" t="s">
        <v>8100</v>
      </c>
    </row>
    <row r="42" spans="1:67" x14ac:dyDescent="0.25">
      <c r="A42" s="238">
        <v>41</v>
      </c>
      <c r="B42" s="238">
        <v>1</v>
      </c>
      <c r="C42" s="238">
        <v>8</v>
      </c>
      <c r="D42" s="238">
        <v>5</v>
      </c>
      <c r="E42" s="238">
        <v>1</v>
      </c>
      <c r="F42" s="238">
        <v>13.06</v>
      </c>
      <c r="G42" s="238"/>
      <c r="H42" s="238"/>
      <c r="I42" s="238">
        <v>13.06</v>
      </c>
      <c r="J42" s="238">
        <v>15.1</v>
      </c>
      <c r="K42" s="238">
        <v>4.4400000000000004</v>
      </c>
      <c r="L42" s="238"/>
      <c r="M42" s="238">
        <v>2.9</v>
      </c>
      <c r="N42" s="238"/>
      <c r="O42" s="238">
        <v>3.02</v>
      </c>
      <c r="R42" s="238">
        <v>3.02</v>
      </c>
      <c r="S42" s="238">
        <v>38.520000000000003</v>
      </c>
      <c r="T42" s="238">
        <v>35.5</v>
      </c>
      <c r="U42" s="238">
        <v>37.01</v>
      </c>
      <c r="V42" s="238">
        <v>126415.6</v>
      </c>
      <c r="W42">
        <v>2528.3120000000004</v>
      </c>
      <c r="X42">
        <v>128943.912</v>
      </c>
      <c r="Y42">
        <v>1000</v>
      </c>
      <c r="Z42">
        <v>129943.912</v>
      </c>
      <c r="AB42">
        <v>129943.912</v>
      </c>
      <c r="AD42">
        <v>129943.912</v>
      </c>
      <c r="AF42">
        <v>129943.912</v>
      </c>
      <c r="AH42">
        <v>129943.912</v>
      </c>
      <c r="AJ42">
        <v>129943.912</v>
      </c>
      <c r="AL42">
        <v>129943.912</v>
      </c>
      <c r="AM42" s="238">
        <v>129943.91</v>
      </c>
      <c r="AN42" s="238">
        <v>4809300</v>
      </c>
      <c r="AP42" s="238">
        <v>0.02</v>
      </c>
      <c r="AQ42" s="238">
        <v>96186</v>
      </c>
      <c r="AR42" s="238">
        <v>127347.04134017832</v>
      </c>
      <c r="AS42" s="238">
        <v>4713114</v>
      </c>
      <c r="AT42" s="238" t="s">
        <v>36</v>
      </c>
      <c r="AU42" s="238"/>
      <c r="AW42">
        <v>127347.04134017832</v>
      </c>
      <c r="AX42" s="238">
        <v>0</v>
      </c>
      <c r="AY42" s="238">
        <v>4713114</v>
      </c>
      <c r="AZ42" t="s">
        <v>8359</v>
      </c>
      <c r="BA42" s="238" t="s">
        <v>39</v>
      </c>
      <c r="BB42" s="238" t="s">
        <v>39</v>
      </c>
      <c r="BC42" t="s">
        <v>8950</v>
      </c>
      <c r="BD42" t="s">
        <v>1167</v>
      </c>
      <c r="BE42" t="s">
        <v>8962</v>
      </c>
      <c r="BF42" t="s">
        <v>8972</v>
      </c>
      <c r="BG42" t="b">
        <v>1</v>
      </c>
      <c r="BH42">
        <v>4809300</v>
      </c>
      <c r="BI42" t="s">
        <v>9002</v>
      </c>
      <c r="BJ42">
        <v>4809300</v>
      </c>
      <c r="BK42">
        <v>4809300</v>
      </c>
      <c r="BL42">
        <v>0</v>
      </c>
      <c r="BM42" t="s">
        <v>36</v>
      </c>
      <c r="BN42" t="b">
        <v>1</v>
      </c>
      <c r="BO42" t="s">
        <v>8101</v>
      </c>
    </row>
    <row r="43" spans="1:67" x14ac:dyDescent="0.25">
      <c r="A43" s="238">
        <v>42</v>
      </c>
      <c r="B43" s="238">
        <v>1</v>
      </c>
      <c r="C43" s="238">
        <v>8</v>
      </c>
      <c r="D43" s="238">
        <v>6</v>
      </c>
      <c r="E43" s="238">
        <v>1</v>
      </c>
      <c r="F43" s="238">
        <v>14.57</v>
      </c>
      <c r="G43" s="238"/>
      <c r="H43" s="238"/>
      <c r="I43" s="238">
        <v>14.57</v>
      </c>
      <c r="J43" s="238">
        <v>16.93</v>
      </c>
      <c r="K43" s="238">
        <v>4.46</v>
      </c>
      <c r="L43" s="238"/>
      <c r="M43" s="238">
        <v>7.75</v>
      </c>
      <c r="N43" s="238"/>
      <c r="O43" s="238">
        <v>3.1</v>
      </c>
      <c r="R43" s="238">
        <v>3.1</v>
      </c>
      <c r="S43" s="238">
        <v>46.81</v>
      </c>
      <c r="T43" s="238">
        <v>43.71</v>
      </c>
      <c r="U43" s="238">
        <v>45.26</v>
      </c>
      <c r="V43" s="238">
        <v>120452.6</v>
      </c>
      <c r="X43">
        <v>120452.6</v>
      </c>
      <c r="Y43">
        <v>1000</v>
      </c>
      <c r="Z43">
        <v>121452.6</v>
      </c>
      <c r="AA43">
        <v>215</v>
      </c>
      <c r="AB43">
        <v>121667.6</v>
      </c>
      <c r="AC43">
        <v>17.5</v>
      </c>
      <c r="AD43">
        <v>121685.1</v>
      </c>
      <c r="AE43">
        <v>608.42550000000006</v>
      </c>
      <c r="AF43">
        <v>122293.5255</v>
      </c>
      <c r="AG43">
        <v>1222.9352550000001</v>
      </c>
      <c r="AH43">
        <v>123516.46075499999</v>
      </c>
      <c r="AI43">
        <v>1235.16460755</v>
      </c>
      <c r="AJ43">
        <v>124751.62536255</v>
      </c>
      <c r="AK43">
        <v>2495.0325072510004</v>
      </c>
      <c r="AL43">
        <v>127246.657869801</v>
      </c>
      <c r="AM43" s="238">
        <v>127246.66</v>
      </c>
      <c r="AN43" s="238">
        <v>5759200</v>
      </c>
      <c r="AP43" s="238"/>
      <c r="AQ43" s="238">
        <v>0</v>
      </c>
      <c r="AR43" s="238">
        <v>127247.0172337605</v>
      </c>
      <c r="AS43" s="238">
        <v>5759200</v>
      </c>
      <c r="AT43" s="238" t="s">
        <v>38</v>
      </c>
      <c r="AU43" s="238">
        <v>30000</v>
      </c>
      <c r="AV43" t="s">
        <v>8816</v>
      </c>
      <c r="AW43">
        <v>157247.0172337605</v>
      </c>
      <c r="AX43" s="238">
        <v>1357800</v>
      </c>
      <c r="AY43" s="238">
        <v>7117000</v>
      </c>
      <c r="BA43" s="238" t="s">
        <v>3</v>
      </c>
      <c r="BB43" s="238" t="s">
        <v>3</v>
      </c>
      <c r="BC43" t="s">
        <v>8951</v>
      </c>
      <c r="BD43" t="s">
        <v>1167</v>
      </c>
      <c r="BE43" t="s">
        <v>8962</v>
      </c>
      <c r="BF43" t="s">
        <v>8972</v>
      </c>
      <c r="BG43" t="b">
        <v>1</v>
      </c>
      <c r="BH43">
        <v>5759200</v>
      </c>
      <c r="BI43">
        <v>5759200</v>
      </c>
      <c r="BJ43">
        <v>0</v>
      </c>
      <c r="BK43">
        <v>0</v>
      </c>
      <c r="BL43">
        <v>0</v>
      </c>
      <c r="BM43" t="s">
        <v>38</v>
      </c>
      <c r="BN43" t="b">
        <v>1</v>
      </c>
      <c r="BO43" t="s">
        <v>8102</v>
      </c>
    </row>
    <row r="44" spans="1:67" x14ac:dyDescent="0.25">
      <c r="A44" s="238">
        <v>43</v>
      </c>
      <c r="B44" s="238">
        <v>1</v>
      </c>
      <c r="C44" s="238">
        <v>9</v>
      </c>
      <c r="D44" s="238">
        <v>1</v>
      </c>
      <c r="E44" s="238">
        <v>0</v>
      </c>
      <c r="F44" s="238">
        <v>14.66</v>
      </c>
      <c r="G44" s="238"/>
      <c r="H44" s="238"/>
      <c r="I44" s="238">
        <v>14.66</v>
      </c>
      <c r="J44" s="238">
        <v>6.15</v>
      </c>
      <c r="K44" s="238">
        <v>5.0199999999999996</v>
      </c>
      <c r="L44" s="238"/>
      <c r="M44" s="238">
        <v>3.86</v>
      </c>
      <c r="N44" s="238"/>
      <c r="O44" s="238"/>
      <c r="R44" s="238">
        <v>0</v>
      </c>
      <c r="S44" s="238">
        <v>29.69</v>
      </c>
      <c r="T44" s="238">
        <v>29.69</v>
      </c>
      <c r="U44" s="238">
        <v>29.69</v>
      </c>
      <c r="V44" s="238">
        <v>139730</v>
      </c>
      <c r="W44">
        <v>200</v>
      </c>
      <c r="X44">
        <v>139930</v>
      </c>
      <c r="Y44">
        <v>1000</v>
      </c>
      <c r="Z44">
        <v>140930</v>
      </c>
      <c r="AA44">
        <v>215</v>
      </c>
      <c r="AB44">
        <v>141145</v>
      </c>
      <c r="AC44">
        <v>17.5</v>
      </c>
      <c r="AD44">
        <v>141162.5</v>
      </c>
      <c r="AF44">
        <v>141162.5</v>
      </c>
      <c r="AH44">
        <v>141162.5</v>
      </c>
      <c r="AJ44">
        <v>141162.5</v>
      </c>
      <c r="AL44">
        <v>141162.5</v>
      </c>
      <c r="AM44" s="238">
        <v>141162.5</v>
      </c>
      <c r="AN44" s="238">
        <v>4191200</v>
      </c>
      <c r="AP44" s="238"/>
      <c r="AQ44" s="238">
        <v>0</v>
      </c>
      <c r="AR44" s="238">
        <v>141165.37554732233</v>
      </c>
      <c r="AS44" s="238">
        <v>4191200</v>
      </c>
      <c r="AT44" s="238" t="s">
        <v>36</v>
      </c>
      <c r="AU44" s="238"/>
      <c r="AW44">
        <v>141165.37554732233</v>
      </c>
      <c r="AX44" s="238">
        <v>0</v>
      </c>
      <c r="AY44" s="238">
        <v>4191200</v>
      </c>
      <c r="BA44" s="238" t="s">
        <v>3</v>
      </c>
      <c r="BB44" s="238" t="s">
        <v>3</v>
      </c>
      <c r="BC44" t="s">
        <v>8951</v>
      </c>
      <c r="BD44" t="s">
        <v>1167</v>
      </c>
      <c r="BE44" t="s">
        <v>8962</v>
      </c>
      <c r="BF44" t="s">
        <v>8970</v>
      </c>
      <c r="BG44" t="b">
        <v>1</v>
      </c>
      <c r="BH44">
        <v>4191200</v>
      </c>
      <c r="BI44">
        <v>4191200</v>
      </c>
      <c r="BJ44">
        <v>0</v>
      </c>
      <c r="BK44">
        <v>0</v>
      </c>
      <c r="BL44">
        <v>0</v>
      </c>
      <c r="BM44" t="s">
        <v>36</v>
      </c>
      <c r="BN44" t="b">
        <v>1</v>
      </c>
      <c r="BO44" t="s">
        <v>8103</v>
      </c>
    </row>
    <row r="45" spans="1:67" x14ac:dyDescent="0.25">
      <c r="A45" s="238">
        <v>44</v>
      </c>
      <c r="B45" s="238">
        <v>1</v>
      </c>
      <c r="C45" s="238">
        <v>9</v>
      </c>
      <c r="D45" s="238">
        <v>2</v>
      </c>
      <c r="E45" s="238">
        <v>2</v>
      </c>
      <c r="F45" s="238">
        <v>16.100000000000001</v>
      </c>
      <c r="G45" s="238">
        <v>10.8</v>
      </c>
      <c r="H45" s="238"/>
      <c r="I45" s="238">
        <v>26.9</v>
      </c>
      <c r="J45" s="238">
        <v>17.7</v>
      </c>
      <c r="K45" s="238">
        <v>4.25</v>
      </c>
      <c r="L45" s="238"/>
      <c r="M45" s="238">
        <v>9.68</v>
      </c>
      <c r="N45" s="238"/>
      <c r="O45" s="238">
        <v>3.15</v>
      </c>
      <c r="R45" s="238">
        <v>3.15</v>
      </c>
      <c r="S45" s="238">
        <v>61.68</v>
      </c>
      <c r="T45" s="238">
        <v>58.53</v>
      </c>
      <c r="U45" s="238">
        <v>60.11</v>
      </c>
      <c r="V45" s="238">
        <v>119811.8</v>
      </c>
      <c r="X45">
        <v>119811.8</v>
      </c>
      <c r="Y45">
        <v>1000</v>
      </c>
      <c r="Z45">
        <v>120811.8</v>
      </c>
      <c r="AA45">
        <v>215</v>
      </c>
      <c r="AB45">
        <v>121026.8</v>
      </c>
      <c r="AC45">
        <v>17.5</v>
      </c>
      <c r="AD45">
        <v>121044.3</v>
      </c>
      <c r="AE45">
        <v>605.22149999999999</v>
      </c>
      <c r="AF45">
        <v>121649.5215</v>
      </c>
      <c r="AH45">
        <v>121649.5215</v>
      </c>
      <c r="AJ45">
        <v>121649.5215</v>
      </c>
      <c r="AK45">
        <v>3649.4856450000002</v>
      </c>
      <c r="AL45">
        <v>125299.007145</v>
      </c>
      <c r="AM45" s="238">
        <v>125299.01</v>
      </c>
      <c r="AN45" s="238">
        <v>7531800</v>
      </c>
      <c r="AP45" s="238"/>
      <c r="AQ45" s="238">
        <v>0</v>
      </c>
      <c r="AR45" s="238">
        <v>125300.28281483946</v>
      </c>
      <c r="AS45" s="238">
        <v>7531800</v>
      </c>
      <c r="AT45" s="238" t="s">
        <v>36</v>
      </c>
      <c r="AU45" s="238"/>
      <c r="AW45">
        <v>125300.28281483946</v>
      </c>
      <c r="AX45" s="238">
        <v>0</v>
      </c>
      <c r="AY45" s="238">
        <v>7531800</v>
      </c>
      <c r="BA45" s="238" t="s">
        <v>35</v>
      </c>
      <c r="BB45" s="238" t="s">
        <v>35</v>
      </c>
      <c r="BC45" t="s">
        <v>8953</v>
      </c>
      <c r="BD45" t="s">
        <v>8954</v>
      </c>
      <c r="BE45" t="s">
        <v>8962</v>
      </c>
      <c r="BF45" t="s">
        <v>8971</v>
      </c>
      <c r="BG45" t="b">
        <v>1</v>
      </c>
      <c r="BH45">
        <v>7531800</v>
      </c>
      <c r="BI45">
        <v>7531800</v>
      </c>
      <c r="BJ45">
        <v>0</v>
      </c>
      <c r="BK45">
        <v>0</v>
      </c>
      <c r="BL45">
        <v>0</v>
      </c>
      <c r="BM45" t="s">
        <v>36</v>
      </c>
      <c r="BN45" t="b">
        <v>1</v>
      </c>
      <c r="BO45" t="s">
        <v>8104</v>
      </c>
    </row>
    <row r="46" spans="1:67" x14ac:dyDescent="0.25">
      <c r="A46" s="238">
        <v>45</v>
      </c>
      <c r="B46" s="238">
        <v>1</v>
      </c>
      <c r="C46" s="238">
        <v>9</v>
      </c>
      <c r="D46" s="238">
        <v>3</v>
      </c>
      <c r="E46" s="238">
        <v>2</v>
      </c>
      <c r="F46" s="238">
        <v>16.41</v>
      </c>
      <c r="G46" s="238">
        <v>12.19</v>
      </c>
      <c r="H46" s="238"/>
      <c r="I46" s="238">
        <v>28.6</v>
      </c>
      <c r="J46" s="238">
        <v>14.62</v>
      </c>
      <c r="K46" s="238">
        <v>3.86</v>
      </c>
      <c r="L46" s="238"/>
      <c r="M46" s="238">
        <v>6.1</v>
      </c>
      <c r="N46" s="238"/>
      <c r="O46" s="238">
        <v>3.33</v>
      </c>
      <c r="R46" s="238">
        <v>3.33</v>
      </c>
      <c r="S46" s="238">
        <v>56.51</v>
      </c>
      <c r="T46" s="238">
        <v>53.18</v>
      </c>
      <c r="U46" s="238">
        <v>54.85</v>
      </c>
      <c r="V46" s="238">
        <v>116420.9</v>
      </c>
      <c r="X46">
        <v>116420.9</v>
      </c>
      <c r="Y46">
        <v>1000</v>
      </c>
      <c r="Z46">
        <v>117420.9</v>
      </c>
      <c r="AA46">
        <v>215</v>
      </c>
      <c r="AB46">
        <v>117635.9</v>
      </c>
      <c r="AC46">
        <v>17.5</v>
      </c>
      <c r="AD46">
        <v>117653.4</v>
      </c>
      <c r="AE46">
        <v>588.26699999999994</v>
      </c>
      <c r="AF46">
        <v>118241.667</v>
      </c>
      <c r="AH46">
        <v>118241.667</v>
      </c>
      <c r="AJ46">
        <v>118241.667</v>
      </c>
      <c r="AL46">
        <v>118241.667</v>
      </c>
      <c r="AM46" s="238">
        <v>118241.67</v>
      </c>
      <c r="AN46" s="238">
        <v>6485600</v>
      </c>
      <c r="AP46" s="238"/>
      <c r="AQ46" s="238">
        <v>0</v>
      </c>
      <c r="AR46" s="238">
        <v>118242.47948951686</v>
      </c>
      <c r="AS46" s="238">
        <v>6485600</v>
      </c>
      <c r="AT46" s="238" t="s">
        <v>36</v>
      </c>
      <c r="AU46" s="238"/>
      <c r="AW46">
        <v>118242.47948951686</v>
      </c>
      <c r="AX46" s="238">
        <v>0</v>
      </c>
      <c r="AY46" s="238">
        <v>6485600</v>
      </c>
      <c r="BA46" s="238" t="s">
        <v>35</v>
      </c>
      <c r="BB46" s="238" t="s">
        <v>35</v>
      </c>
      <c r="BC46" t="s">
        <v>8953</v>
      </c>
      <c r="BD46" t="s">
        <v>8954</v>
      </c>
      <c r="BE46" t="s">
        <v>8962</v>
      </c>
      <c r="BF46" t="s">
        <v>8971</v>
      </c>
      <c r="BG46" t="b">
        <v>1</v>
      </c>
      <c r="BH46">
        <v>6485600</v>
      </c>
      <c r="BI46">
        <v>6485600</v>
      </c>
      <c r="BJ46">
        <v>0</v>
      </c>
      <c r="BK46">
        <v>0</v>
      </c>
      <c r="BL46">
        <v>0</v>
      </c>
      <c r="BM46" t="s">
        <v>36</v>
      </c>
      <c r="BN46" t="b">
        <v>1</v>
      </c>
      <c r="BO46" t="s">
        <v>8105</v>
      </c>
    </row>
    <row r="47" spans="1:67" x14ac:dyDescent="0.25">
      <c r="A47" s="238">
        <v>46</v>
      </c>
      <c r="B47" s="238">
        <v>1</v>
      </c>
      <c r="C47" s="238">
        <v>9</v>
      </c>
      <c r="D47" s="238">
        <v>4</v>
      </c>
      <c r="E47" s="238">
        <v>2</v>
      </c>
      <c r="F47" s="238">
        <v>14.98</v>
      </c>
      <c r="G47" s="238">
        <v>12.28</v>
      </c>
      <c r="H47" s="238"/>
      <c r="I47" s="238">
        <v>27.26</v>
      </c>
      <c r="J47" s="238">
        <v>15.16</v>
      </c>
      <c r="K47" s="238">
        <v>4.4400000000000004</v>
      </c>
      <c r="L47" s="238"/>
      <c r="M47" s="238">
        <v>6.25</v>
      </c>
      <c r="N47" s="238"/>
      <c r="O47" s="238">
        <v>3.33</v>
      </c>
      <c r="R47" s="238">
        <v>3.33</v>
      </c>
      <c r="S47" s="238">
        <v>56.44</v>
      </c>
      <c r="T47" s="238">
        <v>53.11</v>
      </c>
      <c r="U47" s="238">
        <v>54.78</v>
      </c>
      <c r="V47" s="238">
        <v>118681.5</v>
      </c>
      <c r="X47">
        <v>118681.5</v>
      </c>
      <c r="Y47">
        <v>1000</v>
      </c>
      <c r="Z47">
        <v>119681.5</v>
      </c>
      <c r="AA47">
        <v>215</v>
      </c>
      <c r="AB47">
        <v>119896.5</v>
      </c>
      <c r="AC47">
        <v>17.5</v>
      </c>
      <c r="AD47">
        <v>119914</v>
      </c>
      <c r="AE47">
        <v>599.57000000000005</v>
      </c>
      <c r="AF47">
        <v>120513.57</v>
      </c>
      <c r="AH47">
        <v>120513.57</v>
      </c>
      <c r="AJ47">
        <v>120513.57</v>
      </c>
      <c r="AL47">
        <v>120513.57</v>
      </c>
      <c r="AM47" s="238">
        <v>120513.57</v>
      </c>
      <c r="AN47" s="238">
        <v>6601800</v>
      </c>
      <c r="AP47" s="238"/>
      <c r="AQ47" s="238">
        <v>0</v>
      </c>
      <c r="AR47" s="238">
        <v>120514.78641840088</v>
      </c>
      <c r="AS47" s="238">
        <v>6601800</v>
      </c>
      <c r="AT47" s="238" t="s">
        <v>36</v>
      </c>
      <c r="AU47" s="238"/>
      <c r="AW47">
        <v>120514.78641840088</v>
      </c>
      <c r="AX47" s="238">
        <v>0</v>
      </c>
      <c r="AY47" s="238">
        <v>6601800</v>
      </c>
      <c r="BA47" s="238" t="s">
        <v>35</v>
      </c>
      <c r="BB47" s="238" t="s">
        <v>35</v>
      </c>
      <c r="BC47" t="s">
        <v>8953</v>
      </c>
      <c r="BD47" t="s">
        <v>8954</v>
      </c>
      <c r="BE47" t="s">
        <v>8962</v>
      </c>
      <c r="BF47" t="s">
        <v>8971</v>
      </c>
      <c r="BG47" t="b">
        <v>1</v>
      </c>
      <c r="BH47">
        <v>6601800</v>
      </c>
      <c r="BI47">
        <v>6601800</v>
      </c>
      <c r="BJ47">
        <v>0</v>
      </c>
      <c r="BK47">
        <v>0</v>
      </c>
      <c r="BL47">
        <v>0</v>
      </c>
      <c r="BM47" t="s">
        <v>36</v>
      </c>
      <c r="BN47" t="b">
        <v>1</v>
      </c>
      <c r="BO47" t="s">
        <v>8106</v>
      </c>
    </row>
    <row r="48" spans="1:67" x14ac:dyDescent="0.25">
      <c r="A48" s="238">
        <v>47</v>
      </c>
      <c r="B48" s="238">
        <v>1</v>
      </c>
      <c r="C48" s="238">
        <v>9</v>
      </c>
      <c r="D48" s="238">
        <v>5</v>
      </c>
      <c r="E48" s="238">
        <v>1</v>
      </c>
      <c r="F48" s="238">
        <v>13.06</v>
      </c>
      <c r="G48" s="238"/>
      <c r="H48" s="238"/>
      <c r="I48" s="238">
        <v>13.06</v>
      </c>
      <c r="J48" s="238">
        <v>15.1</v>
      </c>
      <c r="K48" s="238">
        <v>4.4400000000000004</v>
      </c>
      <c r="L48" s="238"/>
      <c r="M48" s="238">
        <v>2.9</v>
      </c>
      <c r="N48" s="238"/>
      <c r="O48" s="238">
        <v>3.02</v>
      </c>
      <c r="R48" s="238">
        <v>3.02</v>
      </c>
      <c r="S48" s="238">
        <v>38.520000000000003</v>
      </c>
      <c r="T48" s="238">
        <v>35.5</v>
      </c>
      <c r="U48" s="238">
        <v>37.01</v>
      </c>
      <c r="V48" s="238">
        <v>124030.39999999999</v>
      </c>
      <c r="W48">
        <v>2480.6079999999997</v>
      </c>
      <c r="X48">
        <v>126511.008</v>
      </c>
      <c r="Y48">
        <v>1000</v>
      </c>
      <c r="Z48">
        <v>127511.008</v>
      </c>
      <c r="AB48">
        <v>127511.008</v>
      </c>
      <c r="AD48">
        <v>127511.008</v>
      </c>
      <c r="AF48">
        <v>127511.008</v>
      </c>
      <c r="AH48">
        <v>127511.008</v>
      </c>
      <c r="AJ48">
        <v>127511.008</v>
      </c>
      <c r="AL48">
        <v>127511.008</v>
      </c>
      <c r="AM48" s="238">
        <v>127511.01</v>
      </c>
      <c r="AN48" s="238">
        <v>4719200</v>
      </c>
      <c r="AP48" s="238">
        <v>0.02</v>
      </c>
      <c r="AQ48" s="238">
        <v>94384</v>
      </c>
      <c r="AR48" s="238">
        <v>124961.25371521212</v>
      </c>
      <c r="AS48" s="238">
        <v>4624816</v>
      </c>
      <c r="AT48" s="238" t="s">
        <v>36</v>
      </c>
      <c r="AU48" s="238"/>
      <c r="AW48">
        <v>124961.25371521212</v>
      </c>
      <c r="AX48" s="238">
        <v>0</v>
      </c>
      <c r="AY48" s="238">
        <v>4624816</v>
      </c>
      <c r="AZ48" t="s">
        <v>8359</v>
      </c>
      <c r="BA48" s="238" t="s">
        <v>39</v>
      </c>
      <c r="BB48" s="238" t="s">
        <v>39</v>
      </c>
      <c r="BC48" t="s">
        <v>8950</v>
      </c>
      <c r="BD48" t="s">
        <v>1167</v>
      </c>
      <c r="BE48" t="s">
        <v>8962</v>
      </c>
      <c r="BF48" t="s">
        <v>8972</v>
      </c>
      <c r="BG48" t="b">
        <v>1</v>
      </c>
      <c r="BH48">
        <v>4719200</v>
      </c>
      <c r="BI48" t="s">
        <v>9002</v>
      </c>
      <c r="BJ48">
        <v>0</v>
      </c>
      <c r="BK48">
        <v>4719200</v>
      </c>
      <c r="BL48">
        <v>0</v>
      </c>
      <c r="BM48" t="s">
        <v>36</v>
      </c>
      <c r="BN48" t="b">
        <v>1</v>
      </c>
      <c r="BO48" t="s">
        <v>8107</v>
      </c>
    </row>
    <row r="49" spans="1:67" x14ac:dyDescent="0.25">
      <c r="A49" s="238">
        <v>48</v>
      </c>
      <c r="B49" s="238">
        <v>1</v>
      </c>
      <c r="C49" s="238">
        <v>9</v>
      </c>
      <c r="D49" s="238">
        <v>6</v>
      </c>
      <c r="E49" s="238">
        <v>1</v>
      </c>
      <c r="F49" s="238">
        <v>14.57</v>
      </c>
      <c r="G49" s="238"/>
      <c r="H49" s="238"/>
      <c r="I49" s="238">
        <v>14.57</v>
      </c>
      <c r="J49" s="238">
        <v>16.93</v>
      </c>
      <c r="K49" s="238">
        <v>4.46</v>
      </c>
      <c r="L49" s="238"/>
      <c r="M49" s="238">
        <v>7.75</v>
      </c>
      <c r="N49" s="238"/>
      <c r="O49" s="238">
        <v>3.1</v>
      </c>
      <c r="R49" s="238">
        <v>3.1</v>
      </c>
      <c r="S49" s="238">
        <v>46.81</v>
      </c>
      <c r="T49" s="238">
        <v>43.71</v>
      </c>
      <c r="U49" s="238">
        <v>45.26</v>
      </c>
      <c r="V49" s="238">
        <v>122837.8</v>
      </c>
      <c r="X49">
        <v>122837.8</v>
      </c>
      <c r="Y49">
        <v>1000</v>
      </c>
      <c r="Z49">
        <v>123837.8</v>
      </c>
      <c r="AA49">
        <v>215</v>
      </c>
      <c r="AB49">
        <v>124052.8</v>
      </c>
      <c r="AC49">
        <v>17.5</v>
      </c>
      <c r="AD49">
        <v>124070.3</v>
      </c>
      <c r="AE49">
        <v>620.35149999999999</v>
      </c>
      <c r="AF49">
        <v>124690.65150000001</v>
      </c>
      <c r="AG49">
        <v>1246.9065149999999</v>
      </c>
      <c r="AH49">
        <v>125937.558015</v>
      </c>
      <c r="AI49">
        <v>1259.3755801499999</v>
      </c>
      <c r="AJ49">
        <v>127196.93359515</v>
      </c>
      <c r="AK49">
        <v>2543.9386719029999</v>
      </c>
      <c r="AL49">
        <v>129740.872267053</v>
      </c>
      <c r="AM49" s="238">
        <v>129740.87</v>
      </c>
      <c r="AN49" s="238">
        <v>5872100</v>
      </c>
      <c r="AP49" s="238"/>
      <c r="AQ49" s="238">
        <v>0</v>
      </c>
      <c r="AR49" s="238">
        <v>129741.49359257624</v>
      </c>
      <c r="AS49" s="238">
        <v>5872100</v>
      </c>
      <c r="AT49" s="238" t="s">
        <v>36</v>
      </c>
      <c r="AU49" s="238"/>
      <c r="AW49">
        <v>129741.49359257624</v>
      </c>
      <c r="AX49" s="238">
        <v>0</v>
      </c>
      <c r="AY49" s="238">
        <v>5872100</v>
      </c>
      <c r="BA49" s="238" t="s">
        <v>35</v>
      </c>
      <c r="BB49" s="238" t="s">
        <v>35</v>
      </c>
      <c r="BC49" t="s">
        <v>8953</v>
      </c>
      <c r="BD49" t="s">
        <v>8954</v>
      </c>
      <c r="BE49" t="s">
        <v>8962</v>
      </c>
      <c r="BF49" t="s">
        <v>8972</v>
      </c>
      <c r="BG49" t="b">
        <v>1</v>
      </c>
      <c r="BH49">
        <v>5872100</v>
      </c>
      <c r="BI49">
        <v>5872100</v>
      </c>
      <c r="BJ49">
        <v>0</v>
      </c>
      <c r="BK49">
        <v>0</v>
      </c>
      <c r="BL49">
        <v>0</v>
      </c>
      <c r="BM49" t="s">
        <v>36</v>
      </c>
      <c r="BN49" t="b">
        <v>1</v>
      </c>
      <c r="BO49" t="s">
        <v>8108</v>
      </c>
    </row>
    <row r="50" spans="1:67" x14ac:dyDescent="0.25">
      <c r="A50" s="238">
        <v>49</v>
      </c>
      <c r="B50" s="238">
        <v>1</v>
      </c>
      <c r="C50" s="238">
        <v>10</v>
      </c>
      <c r="D50" s="238">
        <v>1</v>
      </c>
      <c r="E50" s="238">
        <v>0</v>
      </c>
      <c r="F50" s="238">
        <v>14.66</v>
      </c>
      <c r="G50" s="238"/>
      <c r="H50" s="238"/>
      <c r="I50" s="238">
        <v>14.66</v>
      </c>
      <c r="J50" s="238">
        <v>6.15</v>
      </c>
      <c r="K50" s="238">
        <v>4.95</v>
      </c>
      <c r="L50" s="238"/>
      <c r="M50" s="238">
        <v>3.86</v>
      </c>
      <c r="N50" s="238"/>
      <c r="O50" s="238"/>
      <c r="R50" s="238">
        <v>0</v>
      </c>
      <c r="S50" s="238">
        <v>29.62</v>
      </c>
      <c r="T50" s="238">
        <v>29.62</v>
      </c>
      <c r="U50" s="238">
        <v>29.62</v>
      </c>
      <c r="V50" s="238">
        <v>139730</v>
      </c>
      <c r="W50">
        <v>200</v>
      </c>
      <c r="X50">
        <v>139930</v>
      </c>
      <c r="Y50">
        <v>1000</v>
      </c>
      <c r="Z50">
        <v>140930</v>
      </c>
      <c r="AA50">
        <v>215</v>
      </c>
      <c r="AB50">
        <v>141145</v>
      </c>
      <c r="AC50">
        <v>17.5</v>
      </c>
      <c r="AD50">
        <v>141162.5</v>
      </c>
      <c r="AF50">
        <v>141162.5</v>
      </c>
      <c r="AH50">
        <v>141162.5</v>
      </c>
      <c r="AJ50">
        <v>141162.5</v>
      </c>
      <c r="AL50">
        <v>141162.5</v>
      </c>
      <c r="AM50" s="238">
        <v>141162.5</v>
      </c>
      <c r="AN50" s="238">
        <v>4181300</v>
      </c>
      <c r="AP50" s="238"/>
      <c r="AQ50" s="238">
        <v>0</v>
      </c>
      <c r="AR50" s="238">
        <v>141164.75354490208</v>
      </c>
      <c r="AS50" s="238">
        <v>4181300</v>
      </c>
      <c r="AT50" s="238" t="s">
        <v>36</v>
      </c>
      <c r="AU50" s="238"/>
      <c r="AW50">
        <v>141164.75354490208</v>
      </c>
      <c r="AX50" s="238">
        <v>0</v>
      </c>
      <c r="AY50" s="238">
        <v>4181299.9999999991</v>
      </c>
      <c r="BA50" s="238" t="s">
        <v>3</v>
      </c>
      <c r="BB50" s="238" t="s">
        <v>3</v>
      </c>
      <c r="BC50" t="s">
        <v>8951</v>
      </c>
      <c r="BD50" t="s">
        <v>1167</v>
      </c>
      <c r="BE50" t="s">
        <v>8962</v>
      </c>
      <c r="BF50" t="s">
        <v>8970</v>
      </c>
      <c r="BG50" t="b">
        <v>1</v>
      </c>
      <c r="BH50">
        <v>4181300</v>
      </c>
      <c r="BI50">
        <v>4181300</v>
      </c>
      <c r="BJ50">
        <v>0</v>
      </c>
      <c r="BK50">
        <v>0</v>
      </c>
      <c r="BL50">
        <v>0</v>
      </c>
      <c r="BM50" t="s">
        <v>36</v>
      </c>
      <c r="BN50" t="b">
        <v>1</v>
      </c>
      <c r="BO50" t="s">
        <v>8109</v>
      </c>
    </row>
    <row r="51" spans="1:67" x14ac:dyDescent="0.25">
      <c r="A51" s="238">
        <v>50</v>
      </c>
      <c r="B51" s="238">
        <v>1</v>
      </c>
      <c r="C51" s="238">
        <v>10</v>
      </c>
      <c r="D51" s="238">
        <v>2</v>
      </c>
      <c r="E51" s="238">
        <v>2</v>
      </c>
      <c r="F51" s="238">
        <v>16.100000000000001</v>
      </c>
      <c r="G51" s="238">
        <v>10.8</v>
      </c>
      <c r="H51" s="238"/>
      <c r="I51" s="238">
        <v>26.9</v>
      </c>
      <c r="J51" s="238">
        <v>17.61</v>
      </c>
      <c r="K51" s="238">
        <v>4.25</v>
      </c>
      <c r="L51" s="238"/>
      <c r="M51" s="238">
        <v>9.68</v>
      </c>
      <c r="N51" s="238"/>
      <c r="O51" s="238">
        <v>3.15</v>
      </c>
      <c r="R51" s="238">
        <v>3.15</v>
      </c>
      <c r="S51" s="238">
        <v>61.59</v>
      </c>
      <c r="T51" s="238">
        <v>58.44</v>
      </c>
      <c r="U51" s="238">
        <v>60.02</v>
      </c>
      <c r="V51" s="238">
        <v>119811.8</v>
      </c>
      <c r="X51">
        <v>119811.8</v>
      </c>
      <c r="Y51">
        <v>1000</v>
      </c>
      <c r="Z51">
        <v>120811.8</v>
      </c>
      <c r="AA51">
        <v>215</v>
      </c>
      <c r="AB51">
        <v>121026.8</v>
      </c>
      <c r="AC51">
        <v>17.5</v>
      </c>
      <c r="AD51">
        <v>121044.3</v>
      </c>
      <c r="AE51">
        <v>605.22149999999999</v>
      </c>
      <c r="AF51">
        <v>121649.5215</v>
      </c>
      <c r="AH51">
        <v>121649.5215</v>
      </c>
      <c r="AJ51">
        <v>121649.5215</v>
      </c>
      <c r="AK51">
        <v>3649.4856450000002</v>
      </c>
      <c r="AL51">
        <v>125299.007145</v>
      </c>
      <c r="AM51" s="238">
        <v>125299.01</v>
      </c>
      <c r="AN51" s="238">
        <v>7520500</v>
      </c>
      <c r="AP51" s="238"/>
      <c r="AQ51" s="238">
        <v>0</v>
      </c>
      <c r="AR51" s="238">
        <v>125299.90003332222</v>
      </c>
      <c r="AS51" s="238">
        <v>7520500</v>
      </c>
      <c r="AT51" s="238" t="s">
        <v>38</v>
      </c>
      <c r="AU51" s="238">
        <v>30000</v>
      </c>
      <c r="AV51" t="s">
        <v>8816</v>
      </c>
      <c r="AW51">
        <v>155299.90003332222</v>
      </c>
      <c r="AX51" s="238">
        <v>1800600</v>
      </c>
      <c r="AY51" s="238">
        <v>9321100</v>
      </c>
      <c r="BA51" s="238" t="s">
        <v>35</v>
      </c>
      <c r="BB51" s="238" t="s">
        <v>35</v>
      </c>
      <c r="BC51" t="s">
        <v>8953</v>
      </c>
      <c r="BD51" t="s">
        <v>8954</v>
      </c>
      <c r="BE51" t="s">
        <v>8962</v>
      </c>
      <c r="BF51" t="s">
        <v>8971</v>
      </c>
      <c r="BG51" t="b">
        <v>1</v>
      </c>
      <c r="BH51">
        <v>7520500</v>
      </c>
      <c r="BI51">
        <v>7520500</v>
      </c>
      <c r="BJ51">
        <v>0</v>
      </c>
      <c r="BK51">
        <v>0</v>
      </c>
      <c r="BL51">
        <v>0</v>
      </c>
      <c r="BM51" t="s">
        <v>38</v>
      </c>
      <c r="BN51" t="b">
        <v>1</v>
      </c>
      <c r="BO51" t="s">
        <v>8110</v>
      </c>
    </row>
    <row r="52" spans="1:67" x14ac:dyDescent="0.25">
      <c r="A52" s="238">
        <v>51</v>
      </c>
      <c r="B52" s="238">
        <v>1</v>
      </c>
      <c r="C52" s="238">
        <v>10</v>
      </c>
      <c r="D52" s="238">
        <v>3</v>
      </c>
      <c r="E52" s="238">
        <v>2</v>
      </c>
      <c r="F52" s="238">
        <v>16.41</v>
      </c>
      <c r="G52" s="238">
        <v>12.19</v>
      </c>
      <c r="H52" s="238"/>
      <c r="I52" s="238">
        <v>28.6</v>
      </c>
      <c r="J52" s="238">
        <v>14.53</v>
      </c>
      <c r="K52" s="238">
        <v>3.86</v>
      </c>
      <c r="L52" s="238"/>
      <c r="M52" s="238">
        <v>6.1</v>
      </c>
      <c r="N52" s="238"/>
      <c r="O52" s="238">
        <v>3.33</v>
      </c>
      <c r="R52" s="238">
        <v>3.33</v>
      </c>
      <c r="S52" s="238">
        <v>56.42</v>
      </c>
      <c r="T52" s="238">
        <v>53.09</v>
      </c>
      <c r="U52" s="238">
        <v>54.76</v>
      </c>
      <c r="V52" s="238">
        <v>117551.2</v>
      </c>
      <c r="X52">
        <v>117551.2</v>
      </c>
      <c r="Y52">
        <v>1000</v>
      </c>
      <c r="Z52">
        <v>118551.2</v>
      </c>
      <c r="AA52">
        <v>215</v>
      </c>
      <c r="AB52">
        <v>118766.2</v>
      </c>
      <c r="AC52">
        <v>17.5</v>
      </c>
      <c r="AD52">
        <v>118783.7</v>
      </c>
      <c r="AE52">
        <v>593.91849999999999</v>
      </c>
      <c r="AF52">
        <v>119377.6185</v>
      </c>
      <c r="AH52">
        <v>119377.6185</v>
      </c>
      <c r="AJ52">
        <v>119377.6185</v>
      </c>
      <c r="AL52">
        <v>119377.6185</v>
      </c>
      <c r="AM52" s="238">
        <v>119377.62</v>
      </c>
      <c r="AN52" s="238">
        <v>6537200</v>
      </c>
      <c r="AP52" s="238"/>
      <c r="AQ52" s="238">
        <v>0</v>
      </c>
      <c r="AR52" s="238">
        <v>119379.1088385683</v>
      </c>
      <c r="AS52" s="238">
        <v>6537200</v>
      </c>
      <c r="AT52" s="238" t="s">
        <v>36</v>
      </c>
      <c r="AU52" s="238"/>
      <c r="AW52">
        <v>119379.1088385683</v>
      </c>
      <c r="AX52" s="238">
        <v>0</v>
      </c>
      <c r="AY52" s="238">
        <v>6537200</v>
      </c>
      <c r="BA52" s="238" t="s">
        <v>35</v>
      </c>
      <c r="BB52" s="238" t="s">
        <v>35</v>
      </c>
      <c r="BC52" t="s">
        <v>8953</v>
      </c>
      <c r="BD52" t="s">
        <v>8954</v>
      </c>
      <c r="BE52" t="s">
        <v>8962</v>
      </c>
      <c r="BF52" t="s">
        <v>8971</v>
      </c>
      <c r="BG52" t="b">
        <v>1</v>
      </c>
      <c r="BH52">
        <v>6537200</v>
      </c>
      <c r="BI52">
        <v>6537200</v>
      </c>
      <c r="BJ52">
        <v>0</v>
      </c>
      <c r="BK52">
        <v>0</v>
      </c>
      <c r="BL52">
        <v>0</v>
      </c>
      <c r="BM52" t="s">
        <v>36</v>
      </c>
      <c r="BN52" t="b">
        <v>1</v>
      </c>
      <c r="BO52" t="s">
        <v>8111</v>
      </c>
    </row>
    <row r="53" spans="1:67" x14ac:dyDescent="0.25">
      <c r="A53" s="238">
        <v>52</v>
      </c>
      <c r="B53" s="238">
        <v>1</v>
      </c>
      <c r="C53" s="238">
        <v>10</v>
      </c>
      <c r="D53" s="238">
        <v>4</v>
      </c>
      <c r="E53" s="238">
        <v>2</v>
      </c>
      <c r="F53" s="238">
        <v>14.98</v>
      </c>
      <c r="G53" s="238">
        <v>12.28</v>
      </c>
      <c r="H53" s="238"/>
      <c r="I53" s="238">
        <v>27.26</v>
      </c>
      <c r="J53" s="238">
        <v>15.07</v>
      </c>
      <c r="K53" s="238">
        <v>4.4400000000000004</v>
      </c>
      <c r="L53" s="238"/>
      <c r="M53" s="238">
        <v>6.25</v>
      </c>
      <c r="N53" s="238"/>
      <c r="O53" s="238">
        <v>3.33</v>
      </c>
      <c r="R53" s="238">
        <v>3.33</v>
      </c>
      <c r="S53" s="238">
        <v>56.35</v>
      </c>
      <c r="T53" s="238">
        <v>53.02</v>
      </c>
      <c r="U53" s="238">
        <v>54.69</v>
      </c>
      <c r="V53" s="238">
        <v>119811.8</v>
      </c>
      <c r="X53">
        <v>119811.8</v>
      </c>
      <c r="Y53">
        <v>1000</v>
      </c>
      <c r="Z53">
        <v>120811.8</v>
      </c>
      <c r="AA53">
        <v>215</v>
      </c>
      <c r="AB53">
        <v>121026.8</v>
      </c>
      <c r="AC53">
        <v>17.5</v>
      </c>
      <c r="AD53">
        <v>121044.3</v>
      </c>
      <c r="AE53">
        <v>605.22149999999999</v>
      </c>
      <c r="AF53">
        <v>121649.5215</v>
      </c>
      <c r="AH53">
        <v>121649.5215</v>
      </c>
      <c r="AJ53">
        <v>121649.5215</v>
      </c>
      <c r="AL53">
        <v>121649.5215</v>
      </c>
      <c r="AM53" s="238">
        <v>121649.52</v>
      </c>
      <c r="AN53" s="238">
        <v>6653100</v>
      </c>
      <c r="AP53" s="238">
        <v>0.02</v>
      </c>
      <c r="AQ53" s="238">
        <v>133062</v>
      </c>
      <c r="AR53" s="238">
        <v>119218.10202962151</v>
      </c>
      <c r="AS53" s="238">
        <v>6520038</v>
      </c>
      <c r="AT53" s="238" t="s">
        <v>36</v>
      </c>
      <c r="AU53" s="238"/>
      <c r="AW53">
        <v>119218.10202962151</v>
      </c>
      <c r="AX53" s="238">
        <v>0</v>
      </c>
      <c r="AY53" s="238">
        <v>6520038</v>
      </c>
      <c r="AZ53" t="s">
        <v>321</v>
      </c>
      <c r="BA53" s="238" t="s">
        <v>39</v>
      </c>
      <c r="BB53" s="238" t="s">
        <v>39</v>
      </c>
      <c r="BC53" t="s">
        <v>8950</v>
      </c>
      <c r="BD53" t="s">
        <v>1167</v>
      </c>
      <c r="BE53" t="s">
        <v>8962</v>
      </c>
      <c r="BF53" t="s">
        <v>8971</v>
      </c>
      <c r="BG53" t="b">
        <v>1</v>
      </c>
      <c r="BH53">
        <v>6653100</v>
      </c>
      <c r="BI53" t="s">
        <v>9002</v>
      </c>
      <c r="BJ53">
        <v>0</v>
      </c>
      <c r="BK53">
        <v>6653100</v>
      </c>
      <c r="BL53">
        <v>0</v>
      </c>
      <c r="BM53" t="s">
        <v>36</v>
      </c>
      <c r="BN53" t="b">
        <v>1</v>
      </c>
      <c r="BO53" t="s">
        <v>8112</v>
      </c>
    </row>
    <row r="54" spans="1:67" x14ac:dyDescent="0.25">
      <c r="A54" s="238">
        <v>53</v>
      </c>
      <c r="B54" s="238">
        <v>1</v>
      </c>
      <c r="C54" s="238">
        <v>10</v>
      </c>
      <c r="D54" s="238">
        <v>5</v>
      </c>
      <c r="E54" s="238">
        <v>1</v>
      </c>
      <c r="F54" s="238">
        <v>13.06</v>
      </c>
      <c r="G54" s="238"/>
      <c r="H54" s="238"/>
      <c r="I54" s="238">
        <v>13.06</v>
      </c>
      <c r="J54" s="238">
        <v>15.01</v>
      </c>
      <c r="K54" s="238">
        <v>4.4400000000000004</v>
      </c>
      <c r="L54" s="238"/>
      <c r="M54" s="238">
        <v>2.9</v>
      </c>
      <c r="N54" s="238"/>
      <c r="O54" s="238">
        <v>3.02</v>
      </c>
      <c r="R54" s="238">
        <v>3.02</v>
      </c>
      <c r="S54" s="238">
        <v>38.43</v>
      </c>
      <c r="T54" s="238">
        <v>35.409999999999997</v>
      </c>
      <c r="U54" s="238">
        <v>36.92</v>
      </c>
      <c r="V54" s="238">
        <v>126415.6</v>
      </c>
      <c r="W54">
        <v>2528.3120000000004</v>
      </c>
      <c r="X54">
        <v>128943.912</v>
      </c>
      <c r="Y54">
        <v>1000</v>
      </c>
      <c r="Z54">
        <v>129943.912</v>
      </c>
      <c r="AB54">
        <v>129943.912</v>
      </c>
      <c r="AD54">
        <v>129943.912</v>
      </c>
      <c r="AF54">
        <v>129943.912</v>
      </c>
      <c r="AH54">
        <v>129943.912</v>
      </c>
      <c r="AJ54">
        <v>129943.912</v>
      </c>
      <c r="AL54">
        <v>129943.912</v>
      </c>
      <c r="AM54" s="238">
        <v>129943.91</v>
      </c>
      <c r="AN54" s="238">
        <v>4797600</v>
      </c>
      <c r="AP54" s="238">
        <v>0.02</v>
      </c>
      <c r="AQ54" s="238">
        <v>95952</v>
      </c>
      <c r="AR54" s="238">
        <v>127346.91224268689</v>
      </c>
      <c r="AS54" s="238">
        <v>4701648</v>
      </c>
      <c r="AT54" s="238" t="s">
        <v>36</v>
      </c>
      <c r="AU54" s="238"/>
      <c r="AW54">
        <v>127346.91224268689</v>
      </c>
      <c r="AX54" s="238">
        <v>0</v>
      </c>
      <c r="AY54" s="238">
        <v>4701648</v>
      </c>
      <c r="AZ54" t="s">
        <v>8359</v>
      </c>
      <c r="BA54" s="238" t="s">
        <v>39</v>
      </c>
      <c r="BB54" s="238" t="s">
        <v>39</v>
      </c>
      <c r="BC54" t="s">
        <v>8950</v>
      </c>
      <c r="BD54" t="s">
        <v>1167</v>
      </c>
      <c r="BE54" t="s">
        <v>8962</v>
      </c>
      <c r="BF54" t="s">
        <v>8972</v>
      </c>
      <c r="BG54" t="b">
        <v>1</v>
      </c>
      <c r="BH54">
        <v>4797600</v>
      </c>
      <c r="BI54" t="s">
        <v>9002</v>
      </c>
      <c r="BJ54">
        <v>0</v>
      </c>
      <c r="BK54">
        <v>4797600</v>
      </c>
      <c r="BL54">
        <v>0</v>
      </c>
      <c r="BM54" t="s">
        <v>36</v>
      </c>
      <c r="BN54" t="b">
        <v>1</v>
      </c>
      <c r="BO54" t="s">
        <v>8113</v>
      </c>
    </row>
    <row r="55" spans="1:67" x14ac:dyDescent="0.25">
      <c r="A55" s="238">
        <v>54</v>
      </c>
      <c r="B55" s="238">
        <v>1</v>
      </c>
      <c r="C55" s="238">
        <v>10</v>
      </c>
      <c r="D55" s="238">
        <v>6</v>
      </c>
      <c r="E55" s="238">
        <v>1</v>
      </c>
      <c r="F55" s="238">
        <v>14.57</v>
      </c>
      <c r="G55" s="238"/>
      <c r="H55" s="238"/>
      <c r="I55" s="238">
        <v>14.57</v>
      </c>
      <c r="J55" s="238">
        <v>16.850000000000001</v>
      </c>
      <c r="K55" s="238">
        <v>4.46</v>
      </c>
      <c r="L55" s="238"/>
      <c r="M55" s="238">
        <v>7.75</v>
      </c>
      <c r="N55" s="238"/>
      <c r="O55" s="238">
        <v>3.1</v>
      </c>
      <c r="R55" s="238">
        <v>3.1</v>
      </c>
      <c r="S55" s="238">
        <v>46.73</v>
      </c>
      <c r="T55" s="238">
        <v>43.63</v>
      </c>
      <c r="U55" s="238">
        <v>45.18</v>
      </c>
      <c r="V55" s="238">
        <v>122837.8</v>
      </c>
      <c r="X55">
        <v>122837.8</v>
      </c>
      <c r="Y55">
        <v>1000</v>
      </c>
      <c r="Z55">
        <v>123837.8</v>
      </c>
      <c r="AA55">
        <v>215</v>
      </c>
      <c r="AB55">
        <v>124052.8</v>
      </c>
      <c r="AC55">
        <v>17.5</v>
      </c>
      <c r="AD55">
        <v>124070.3</v>
      </c>
      <c r="AE55">
        <v>620.35149999999999</v>
      </c>
      <c r="AF55">
        <v>124690.65150000001</v>
      </c>
      <c r="AG55">
        <v>1246.9065149999999</v>
      </c>
      <c r="AH55">
        <v>125937.558015</v>
      </c>
      <c r="AI55">
        <v>1259.3755801499999</v>
      </c>
      <c r="AJ55">
        <v>127196.93359515</v>
      </c>
      <c r="AK55">
        <v>2543.9386719029999</v>
      </c>
      <c r="AL55">
        <v>129740.872267053</v>
      </c>
      <c r="AM55" s="238">
        <v>129740.87</v>
      </c>
      <c r="AN55" s="238">
        <v>5861700</v>
      </c>
      <c r="AP55" s="238"/>
      <c r="AQ55" s="238">
        <v>0</v>
      </c>
      <c r="AR55" s="238">
        <v>129741.03585657373</v>
      </c>
      <c r="AS55" s="238">
        <v>5861700</v>
      </c>
      <c r="AT55" s="238" t="s">
        <v>36</v>
      </c>
      <c r="AU55" s="238"/>
      <c r="AW55">
        <v>129741.03585657373</v>
      </c>
      <c r="AX55" s="238">
        <v>0</v>
      </c>
      <c r="AY55" s="238">
        <v>5861700</v>
      </c>
      <c r="BA55" s="238" t="s">
        <v>35</v>
      </c>
      <c r="BB55" s="238" t="s">
        <v>35</v>
      </c>
      <c r="BC55" t="s">
        <v>8953</v>
      </c>
      <c r="BD55" t="s">
        <v>8954</v>
      </c>
      <c r="BE55" t="s">
        <v>8962</v>
      </c>
      <c r="BF55" t="s">
        <v>8972</v>
      </c>
      <c r="BG55" t="b">
        <v>1</v>
      </c>
      <c r="BH55">
        <v>5861700</v>
      </c>
      <c r="BI55">
        <v>5861700</v>
      </c>
      <c r="BJ55">
        <v>0</v>
      </c>
      <c r="BK55">
        <v>0</v>
      </c>
      <c r="BL55">
        <v>0</v>
      </c>
      <c r="BM55" t="s">
        <v>36</v>
      </c>
      <c r="BN55" t="b">
        <v>1</v>
      </c>
      <c r="BO55" t="s">
        <v>8114</v>
      </c>
    </row>
    <row r="56" spans="1:67" x14ac:dyDescent="0.25">
      <c r="A56" s="238">
        <v>55</v>
      </c>
      <c r="B56" s="238">
        <v>1</v>
      </c>
      <c r="C56" s="238">
        <v>11</v>
      </c>
      <c r="D56" s="238">
        <v>1</v>
      </c>
      <c r="E56" s="238">
        <v>0</v>
      </c>
      <c r="F56" s="238">
        <v>14.66</v>
      </c>
      <c r="G56" s="238"/>
      <c r="H56" s="238"/>
      <c r="I56" s="238">
        <v>14.66</v>
      </c>
      <c r="J56" s="238">
        <v>6.15</v>
      </c>
      <c r="K56" s="238">
        <v>4.95</v>
      </c>
      <c r="L56" s="238"/>
      <c r="M56" s="238">
        <v>3.86</v>
      </c>
      <c r="N56" s="238"/>
      <c r="O56" s="238"/>
      <c r="R56" s="238">
        <v>0</v>
      </c>
      <c r="S56" s="238">
        <v>29.62</v>
      </c>
      <c r="T56" s="238">
        <v>29.62</v>
      </c>
      <c r="U56" s="238">
        <v>29.62</v>
      </c>
      <c r="V56" s="238">
        <v>139730</v>
      </c>
      <c r="W56">
        <v>200</v>
      </c>
      <c r="X56">
        <v>139930</v>
      </c>
      <c r="Y56">
        <v>1000</v>
      </c>
      <c r="Z56">
        <v>140930</v>
      </c>
      <c r="AB56">
        <v>140930</v>
      </c>
      <c r="AD56">
        <v>140930</v>
      </c>
      <c r="AF56">
        <v>140930</v>
      </c>
      <c r="AH56">
        <v>140930</v>
      </c>
      <c r="AJ56">
        <v>140930</v>
      </c>
      <c r="AL56">
        <v>140930</v>
      </c>
      <c r="AM56" s="238">
        <v>140930</v>
      </c>
      <c r="AN56" s="238">
        <v>4174400</v>
      </c>
      <c r="AP56" s="238"/>
      <c r="AQ56" s="238">
        <v>0</v>
      </c>
      <c r="AR56" s="238">
        <v>140931.80283592167</v>
      </c>
      <c r="AS56" s="238">
        <v>4174400</v>
      </c>
      <c r="AT56" s="238" t="s">
        <v>36</v>
      </c>
      <c r="AU56" s="238"/>
      <c r="AW56">
        <v>140931.80283592167</v>
      </c>
      <c r="AX56" s="238">
        <v>0</v>
      </c>
      <c r="AY56" s="238">
        <v>4174400</v>
      </c>
      <c r="BA56" s="238" t="s">
        <v>39</v>
      </c>
      <c r="BB56" s="238" t="s">
        <v>39</v>
      </c>
      <c r="BC56" t="s">
        <v>8950</v>
      </c>
      <c r="BD56" t="s">
        <v>1167</v>
      </c>
      <c r="BE56" t="s">
        <v>8962</v>
      </c>
      <c r="BF56" t="s">
        <v>8970</v>
      </c>
      <c r="BG56" t="b">
        <v>1</v>
      </c>
      <c r="BH56">
        <v>4174400</v>
      </c>
      <c r="BI56" t="s">
        <v>9002</v>
      </c>
      <c r="BJ56">
        <v>0</v>
      </c>
      <c r="BK56">
        <v>4174400</v>
      </c>
      <c r="BL56">
        <v>0</v>
      </c>
      <c r="BM56" t="s">
        <v>36</v>
      </c>
      <c r="BN56" t="b">
        <v>1</v>
      </c>
      <c r="BO56" t="s">
        <v>8115</v>
      </c>
    </row>
    <row r="57" spans="1:67" x14ac:dyDescent="0.25">
      <c r="A57" s="238">
        <v>56</v>
      </c>
      <c r="B57" s="238">
        <v>1</v>
      </c>
      <c r="C57" s="238">
        <v>11</v>
      </c>
      <c r="D57" s="238">
        <v>2</v>
      </c>
      <c r="E57" s="238">
        <v>2</v>
      </c>
      <c r="F57" s="238">
        <v>16.100000000000001</v>
      </c>
      <c r="G57" s="238">
        <v>10.8</v>
      </c>
      <c r="H57" s="238"/>
      <c r="I57" s="238">
        <v>26.9</v>
      </c>
      <c r="J57" s="238">
        <v>17.61</v>
      </c>
      <c r="K57" s="238">
        <v>4.25</v>
      </c>
      <c r="L57" s="238"/>
      <c r="M57" s="238">
        <v>9.68</v>
      </c>
      <c r="N57" s="238"/>
      <c r="O57" s="238">
        <v>3.15</v>
      </c>
      <c r="R57" s="238">
        <v>3.15</v>
      </c>
      <c r="S57" s="238">
        <v>61.59</v>
      </c>
      <c r="T57" s="238">
        <v>58.44</v>
      </c>
      <c r="U57" s="238">
        <v>60.02</v>
      </c>
      <c r="V57" s="238">
        <v>117551.2</v>
      </c>
      <c r="X57">
        <v>117551.2</v>
      </c>
      <c r="Y57">
        <v>1000</v>
      </c>
      <c r="Z57">
        <v>118551.2</v>
      </c>
      <c r="AA57">
        <v>215</v>
      </c>
      <c r="AB57">
        <v>118766.2</v>
      </c>
      <c r="AC57">
        <v>17.5</v>
      </c>
      <c r="AD57">
        <v>118783.7</v>
      </c>
      <c r="AE57">
        <v>593.91849999999999</v>
      </c>
      <c r="AF57">
        <v>119377.6185</v>
      </c>
      <c r="AH57">
        <v>119377.6185</v>
      </c>
      <c r="AJ57">
        <v>119377.6185</v>
      </c>
      <c r="AK57">
        <v>3581.3285549999996</v>
      </c>
      <c r="AL57">
        <v>122958.947055</v>
      </c>
      <c r="AM57" s="238">
        <v>122958.95</v>
      </c>
      <c r="AN57" s="238">
        <v>7380000</v>
      </c>
      <c r="AP57" s="238"/>
      <c r="AQ57" s="238">
        <v>0</v>
      </c>
      <c r="AR57" s="238">
        <v>122959.01366211264</v>
      </c>
      <c r="AS57" s="238">
        <v>7380000</v>
      </c>
      <c r="AT57" s="238" t="s">
        <v>36</v>
      </c>
      <c r="AU57" s="238"/>
      <c r="AW57">
        <v>122959.01366211264</v>
      </c>
      <c r="AX57" s="238">
        <v>0</v>
      </c>
      <c r="AY57" s="238">
        <v>7380000</v>
      </c>
      <c r="BA57" s="238" t="s">
        <v>3</v>
      </c>
      <c r="BB57" s="238" t="s">
        <v>3</v>
      </c>
      <c r="BC57" t="s">
        <v>8951</v>
      </c>
      <c r="BD57" t="s">
        <v>1167</v>
      </c>
      <c r="BE57" t="s">
        <v>8962</v>
      </c>
      <c r="BF57" t="s">
        <v>8971</v>
      </c>
      <c r="BG57" t="b">
        <v>1</v>
      </c>
      <c r="BH57">
        <v>7380000</v>
      </c>
      <c r="BI57">
        <v>7380000</v>
      </c>
      <c r="BJ57">
        <v>0</v>
      </c>
      <c r="BK57">
        <v>0</v>
      </c>
      <c r="BL57">
        <v>0</v>
      </c>
      <c r="BM57" t="s">
        <v>36</v>
      </c>
      <c r="BN57" t="b">
        <v>1</v>
      </c>
      <c r="BO57" t="s">
        <v>8116</v>
      </c>
    </row>
    <row r="58" spans="1:67" x14ac:dyDescent="0.25">
      <c r="A58" s="238">
        <v>57</v>
      </c>
      <c r="B58" s="238">
        <v>1</v>
      </c>
      <c r="C58" s="238">
        <v>11</v>
      </c>
      <c r="D58" s="238">
        <v>3</v>
      </c>
      <c r="E58" s="238">
        <v>2</v>
      </c>
      <c r="F58" s="238">
        <v>16.41</v>
      </c>
      <c r="G58" s="238">
        <v>12.19</v>
      </c>
      <c r="H58" s="238"/>
      <c r="I58" s="238">
        <v>28.6</v>
      </c>
      <c r="J58" s="238">
        <v>14.53</v>
      </c>
      <c r="K58" s="238">
        <v>3.86</v>
      </c>
      <c r="L58" s="238"/>
      <c r="M58" s="238">
        <v>6.1</v>
      </c>
      <c r="N58" s="238"/>
      <c r="O58" s="238">
        <v>3.33</v>
      </c>
      <c r="R58" s="238">
        <v>3.33</v>
      </c>
      <c r="S58" s="238">
        <v>56.42</v>
      </c>
      <c r="T58" s="238">
        <v>53.09</v>
      </c>
      <c r="U58" s="238">
        <v>54.76</v>
      </c>
      <c r="V58" s="238">
        <v>117551.2</v>
      </c>
      <c r="X58">
        <v>117551.2</v>
      </c>
      <c r="Y58">
        <v>1000</v>
      </c>
      <c r="Z58">
        <v>118551.2</v>
      </c>
      <c r="AA58">
        <v>215</v>
      </c>
      <c r="AB58">
        <v>118766.2</v>
      </c>
      <c r="AC58">
        <v>17.5</v>
      </c>
      <c r="AD58">
        <v>118783.7</v>
      </c>
      <c r="AE58">
        <v>593.91849999999999</v>
      </c>
      <c r="AF58">
        <v>119377.6185</v>
      </c>
      <c r="AH58">
        <v>119377.6185</v>
      </c>
      <c r="AJ58">
        <v>119377.6185</v>
      </c>
      <c r="AL58">
        <v>119377.6185</v>
      </c>
      <c r="AM58" s="238">
        <v>119377.62</v>
      </c>
      <c r="AN58" s="238">
        <v>6537200</v>
      </c>
      <c r="AP58" s="238"/>
      <c r="AQ58" s="238">
        <v>0</v>
      </c>
      <c r="AR58" s="238">
        <v>119379.1088385683</v>
      </c>
      <c r="AS58" s="238">
        <v>6537200</v>
      </c>
      <c r="AT58" s="238" t="s">
        <v>36</v>
      </c>
      <c r="AU58" s="238"/>
      <c r="AW58">
        <v>119379.1088385683</v>
      </c>
      <c r="AX58" s="238">
        <v>0</v>
      </c>
      <c r="AY58" s="238">
        <v>6537200</v>
      </c>
      <c r="BA58" s="238" t="s">
        <v>35</v>
      </c>
      <c r="BB58" s="238" t="s">
        <v>35</v>
      </c>
      <c r="BC58" t="s">
        <v>8953</v>
      </c>
      <c r="BD58" t="s">
        <v>8954</v>
      </c>
      <c r="BE58" t="s">
        <v>8962</v>
      </c>
      <c r="BF58" t="s">
        <v>8971</v>
      </c>
      <c r="BG58" t="b">
        <v>1</v>
      </c>
      <c r="BH58">
        <v>6537200</v>
      </c>
      <c r="BI58">
        <v>6537200</v>
      </c>
      <c r="BJ58">
        <v>0</v>
      </c>
      <c r="BK58">
        <v>0</v>
      </c>
      <c r="BL58">
        <v>0</v>
      </c>
      <c r="BM58" t="s">
        <v>36</v>
      </c>
      <c r="BN58" t="b">
        <v>1</v>
      </c>
      <c r="BO58" t="s">
        <v>8117</v>
      </c>
    </row>
    <row r="59" spans="1:67" x14ac:dyDescent="0.25">
      <c r="A59" s="238">
        <v>58</v>
      </c>
      <c r="B59" s="238">
        <v>1</v>
      </c>
      <c r="C59" s="238">
        <v>11</v>
      </c>
      <c r="D59" s="238">
        <v>4</v>
      </c>
      <c r="E59" s="238">
        <v>2</v>
      </c>
      <c r="F59" s="238">
        <v>14.98</v>
      </c>
      <c r="G59" s="238">
        <v>12.28</v>
      </c>
      <c r="H59" s="238"/>
      <c r="I59" s="238">
        <v>27.26</v>
      </c>
      <c r="J59" s="238">
        <v>15.07</v>
      </c>
      <c r="K59" s="238">
        <v>4.4400000000000004</v>
      </c>
      <c r="L59" s="238"/>
      <c r="M59" s="238">
        <v>6.25</v>
      </c>
      <c r="N59" s="238"/>
      <c r="O59" s="238">
        <v>3.33</v>
      </c>
      <c r="R59" s="238">
        <v>3.33</v>
      </c>
      <c r="S59" s="238">
        <v>56.35</v>
      </c>
      <c r="T59" s="238">
        <v>53.02</v>
      </c>
      <c r="U59" s="238">
        <v>54.69</v>
      </c>
      <c r="V59" s="238">
        <v>119811.8</v>
      </c>
      <c r="X59">
        <v>119811.8</v>
      </c>
      <c r="Y59">
        <v>1000</v>
      </c>
      <c r="Z59">
        <v>120811.8</v>
      </c>
      <c r="AA59">
        <v>215</v>
      </c>
      <c r="AB59">
        <v>121026.8</v>
      </c>
      <c r="AC59">
        <v>17.5</v>
      </c>
      <c r="AD59">
        <v>121044.3</v>
      </c>
      <c r="AE59">
        <v>605.22149999999999</v>
      </c>
      <c r="AF59">
        <v>121649.5215</v>
      </c>
      <c r="AH59">
        <v>121649.5215</v>
      </c>
      <c r="AJ59">
        <v>121649.5215</v>
      </c>
      <c r="AL59">
        <v>121649.5215</v>
      </c>
      <c r="AM59" s="238">
        <v>121649.52</v>
      </c>
      <c r="AN59" s="238">
        <v>6653100</v>
      </c>
      <c r="AP59" s="238"/>
      <c r="AQ59" s="238">
        <v>0</v>
      </c>
      <c r="AR59" s="238">
        <v>121651.12452002194</v>
      </c>
      <c r="AS59" s="238">
        <v>6653100</v>
      </c>
      <c r="AT59" s="238" t="s">
        <v>36</v>
      </c>
      <c r="AU59" s="238"/>
      <c r="AW59">
        <v>121651.12452002194</v>
      </c>
      <c r="AX59" s="238">
        <v>0</v>
      </c>
      <c r="AY59" s="238">
        <v>6653100</v>
      </c>
      <c r="BA59" s="238" t="s">
        <v>35</v>
      </c>
      <c r="BB59" s="238" t="s">
        <v>35</v>
      </c>
      <c r="BC59" t="s">
        <v>8953</v>
      </c>
      <c r="BD59" t="s">
        <v>8954</v>
      </c>
      <c r="BE59" t="s">
        <v>8962</v>
      </c>
      <c r="BF59" t="s">
        <v>8971</v>
      </c>
      <c r="BG59" t="b">
        <v>1</v>
      </c>
      <c r="BH59">
        <v>6653100</v>
      </c>
      <c r="BI59">
        <v>6653100</v>
      </c>
      <c r="BJ59">
        <v>0</v>
      </c>
      <c r="BK59">
        <v>0</v>
      </c>
      <c r="BL59">
        <v>0</v>
      </c>
      <c r="BM59" t="s">
        <v>36</v>
      </c>
      <c r="BN59" t="b">
        <v>1</v>
      </c>
      <c r="BO59" t="s">
        <v>8118</v>
      </c>
    </row>
    <row r="60" spans="1:67" x14ac:dyDescent="0.25">
      <c r="A60" s="238">
        <v>59</v>
      </c>
      <c r="B60" s="238">
        <v>1</v>
      </c>
      <c r="C60" s="238">
        <v>11</v>
      </c>
      <c r="D60" s="238">
        <v>5</v>
      </c>
      <c r="E60" s="238">
        <v>1</v>
      </c>
      <c r="F60" s="238">
        <v>13.06</v>
      </c>
      <c r="G60" s="238"/>
      <c r="H60" s="238"/>
      <c r="I60" s="238">
        <v>13.06</v>
      </c>
      <c r="J60" s="238">
        <v>15.01</v>
      </c>
      <c r="K60" s="238">
        <v>4.4400000000000004</v>
      </c>
      <c r="L60" s="238"/>
      <c r="M60" s="238">
        <v>2.9</v>
      </c>
      <c r="N60" s="238"/>
      <c r="O60" s="238">
        <v>3.02</v>
      </c>
      <c r="R60" s="238">
        <v>3.02</v>
      </c>
      <c r="S60" s="238">
        <v>38.43</v>
      </c>
      <c r="T60" s="238">
        <v>35.409999999999997</v>
      </c>
      <c r="U60" s="238">
        <v>36.92</v>
      </c>
      <c r="V60" s="238">
        <v>126415.6</v>
      </c>
      <c r="W60">
        <v>2528.3120000000004</v>
      </c>
      <c r="X60">
        <v>128943.912</v>
      </c>
      <c r="Y60">
        <v>1000</v>
      </c>
      <c r="Z60">
        <v>129943.912</v>
      </c>
      <c r="AB60">
        <v>129943.912</v>
      </c>
      <c r="AD60">
        <v>129943.912</v>
      </c>
      <c r="AF60">
        <v>129943.912</v>
      </c>
      <c r="AH60">
        <v>129943.912</v>
      </c>
      <c r="AJ60">
        <v>129943.912</v>
      </c>
      <c r="AL60">
        <v>129943.912</v>
      </c>
      <c r="AM60" s="238">
        <v>129943.91</v>
      </c>
      <c r="AN60" s="238">
        <v>4797600</v>
      </c>
      <c r="AP60" s="238"/>
      <c r="AQ60" s="238">
        <v>0</v>
      </c>
      <c r="AR60" s="238">
        <v>129945.82881906824</v>
      </c>
      <c r="AS60" s="238">
        <v>4797600</v>
      </c>
      <c r="AT60" s="238" t="s">
        <v>36</v>
      </c>
      <c r="AU60" s="238"/>
      <c r="AW60">
        <v>129945.82881906824</v>
      </c>
      <c r="AX60" s="238">
        <v>0</v>
      </c>
      <c r="AY60" s="238">
        <v>4797600</v>
      </c>
      <c r="BA60" s="238" t="s">
        <v>39</v>
      </c>
      <c r="BB60" s="238" t="s">
        <v>39</v>
      </c>
      <c r="BC60" t="s">
        <v>8950</v>
      </c>
      <c r="BD60" t="s">
        <v>1167</v>
      </c>
      <c r="BE60" t="s">
        <v>8962</v>
      </c>
      <c r="BF60" t="s">
        <v>8972</v>
      </c>
      <c r="BG60" t="b">
        <v>1</v>
      </c>
      <c r="BH60">
        <v>4797600</v>
      </c>
      <c r="BI60" t="s">
        <v>9002</v>
      </c>
      <c r="BJ60">
        <v>0</v>
      </c>
      <c r="BK60">
        <v>4797600</v>
      </c>
      <c r="BL60">
        <v>0</v>
      </c>
      <c r="BM60" t="s">
        <v>36</v>
      </c>
      <c r="BN60" t="b">
        <v>1</v>
      </c>
      <c r="BO60" t="s">
        <v>8119</v>
      </c>
    </row>
    <row r="61" spans="1:67" x14ac:dyDescent="0.25">
      <c r="A61" s="238">
        <v>60</v>
      </c>
      <c r="B61" s="238">
        <v>1</v>
      </c>
      <c r="C61" s="238">
        <v>11</v>
      </c>
      <c r="D61" s="238">
        <v>6</v>
      </c>
      <c r="E61" s="238">
        <v>1</v>
      </c>
      <c r="F61" s="238">
        <v>14.57</v>
      </c>
      <c r="G61" s="238"/>
      <c r="H61" s="238"/>
      <c r="I61" s="238">
        <v>14.57</v>
      </c>
      <c r="J61" s="238">
        <v>16.850000000000001</v>
      </c>
      <c r="K61" s="238">
        <v>4.46</v>
      </c>
      <c r="L61" s="238"/>
      <c r="M61" s="238">
        <v>7.75</v>
      </c>
      <c r="N61" s="238"/>
      <c r="O61" s="238">
        <v>3.1</v>
      </c>
      <c r="R61" s="238">
        <v>3.1</v>
      </c>
      <c r="S61" s="238">
        <v>46.73</v>
      </c>
      <c r="T61" s="238">
        <v>43.63</v>
      </c>
      <c r="U61" s="238">
        <v>45.18</v>
      </c>
      <c r="V61" s="238">
        <v>122837.8</v>
      </c>
      <c r="X61">
        <v>122837.8</v>
      </c>
      <c r="Y61">
        <v>1000</v>
      </c>
      <c r="Z61">
        <v>123837.8</v>
      </c>
      <c r="AA61">
        <v>215</v>
      </c>
      <c r="AB61">
        <v>124052.8</v>
      </c>
      <c r="AC61">
        <v>17.5</v>
      </c>
      <c r="AD61">
        <v>124070.3</v>
      </c>
      <c r="AE61">
        <v>620.35149999999999</v>
      </c>
      <c r="AF61">
        <v>124690.65150000001</v>
      </c>
      <c r="AG61">
        <v>1246.9065149999999</v>
      </c>
      <c r="AH61">
        <v>125937.558015</v>
      </c>
      <c r="AI61">
        <v>1259.3755801499999</v>
      </c>
      <c r="AJ61">
        <v>127196.93359515</v>
      </c>
      <c r="AK61">
        <v>2543.9386719029999</v>
      </c>
      <c r="AL61">
        <v>129740.872267053</v>
      </c>
      <c r="AM61" s="238">
        <v>129740.87</v>
      </c>
      <c r="AN61" s="238">
        <v>5861700</v>
      </c>
      <c r="AP61" s="238"/>
      <c r="AQ61" s="238">
        <v>0</v>
      </c>
      <c r="AR61" s="238">
        <v>129741.03585657373</v>
      </c>
      <c r="AS61" s="238">
        <v>5861700</v>
      </c>
      <c r="AT61" s="238" t="s">
        <v>36</v>
      </c>
      <c r="AU61" s="238"/>
      <c r="AW61">
        <v>129741.03585657373</v>
      </c>
      <c r="AX61" s="238">
        <v>0</v>
      </c>
      <c r="AY61" s="238">
        <v>5861700</v>
      </c>
      <c r="BA61" s="238" t="s">
        <v>3</v>
      </c>
      <c r="BB61" s="238" t="s">
        <v>3</v>
      </c>
      <c r="BC61" t="s">
        <v>8951</v>
      </c>
      <c r="BD61" t="s">
        <v>1167</v>
      </c>
      <c r="BE61" t="s">
        <v>8962</v>
      </c>
      <c r="BF61" t="s">
        <v>8972</v>
      </c>
      <c r="BG61" t="b">
        <v>1</v>
      </c>
      <c r="BH61">
        <v>5861700</v>
      </c>
      <c r="BI61">
        <v>5861700</v>
      </c>
      <c r="BJ61">
        <v>0</v>
      </c>
      <c r="BK61">
        <v>0</v>
      </c>
      <c r="BL61">
        <v>0</v>
      </c>
      <c r="BM61" t="s">
        <v>36</v>
      </c>
      <c r="BN61" t="b">
        <v>1</v>
      </c>
      <c r="BO61" t="s">
        <v>8120</v>
      </c>
    </row>
    <row r="62" spans="1:67" x14ac:dyDescent="0.25">
      <c r="A62" s="238">
        <v>61</v>
      </c>
      <c r="B62" s="238">
        <v>1</v>
      </c>
      <c r="C62" s="238">
        <v>12</v>
      </c>
      <c r="D62" s="238">
        <v>1</v>
      </c>
      <c r="E62" s="238">
        <v>0</v>
      </c>
      <c r="F62" s="238">
        <v>14.66</v>
      </c>
      <c r="G62" s="238"/>
      <c r="H62" s="238"/>
      <c r="I62" s="238">
        <v>14.66</v>
      </c>
      <c r="J62" s="238">
        <v>6.15</v>
      </c>
      <c r="K62" s="238">
        <v>4.95</v>
      </c>
      <c r="L62" s="238"/>
      <c r="M62" s="238">
        <v>3.86</v>
      </c>
      <c r="N62" s="238"/>
      <c r="O62" s="238"/>
      <c r="R62" s="238">
        <v>0</v>
      </c>
      <c r="S62" s="238">
        <v>29.62</v>
      </c>
      <c r="T62" s="238">
        <v>29.62</v>
      </c>
      <c r="U62" s="238">
        <v>29.62</v>
      </c>
      <c r="V62" s="238">
        <v>139730</v>
      </c>
      <c r="W62">
        <v>200</v>
      </c>
      <c r="X62">
        <v>139930</v>
      </c>
      <c r="Y62">
        <v>1000</v>
      </c>
      <c r="Z62">
        <v>140930</v>
      </c>
      <c r="AA62">
        <v>215</v>
      </c>
      <c r="AB62">
        <v>141145</v>
      </c>
      <c r="AC62">
        <v>17.5</v>
      </c>
      <c r="AD62">
        <v>141162.5</v>
      </c>
      <c r="AF62">
        <v>141162.5</v>
      </c>
      <c r="AH62">
        <v>141162.5</v>
      </c>
      <c r="AJ62">
        <v>141162.5</v>
      </c>
      <c r="AL62">
        <v>141162.5</v>
      </c>
      <c r="AM62" s="238">
        <v>141162.5</v>
      </c>
      <c r="AN62" s="238">
        <v>4181300</v>
      </c>
      <c r="AP62" s="238"/>
      <c r="AQ62" s="238">
        <v>0</v>
      </c>
      <c r="AR62" s="238">
        <v>141164.75354490208</v>
      </c>
      <c r="AS62" s="238">
        <v>4181300</v>
      </c>
      <c r="AT62" s="238" t="s">
        <v>36</v>
      </c>
      <c r="AU62" s="238"/>
      <c r="AW62">
        <v>141164.75354490208</v>
      </c>
      <c r="AX62" s="238">
        <v>0</v>
      </c>
      <c r="AY62" s="238">
        <v>4181299.9999999991</v>
      </c>
      <c r="BA62" s="238" t="s">
        <v>35</v>
      </c>
      <c r="BB62" s="238" t="s">
        <v>35</v>
      </c>
      <c r="BC62" t="s">
        <v>8953</v>
      </c>
      <c r="BD62" t="s">
        <v>8954</v>
      </c>
      <c r="BE62" t="s">
        <v>8962</v>
      </c>
      <c r="BF62" t="s">
        <v>8970</v>
      </c>
      <c r="BG62" t="b">
        <v>1</v>
      </c>
      <c r="BH62">
        <v>4181300</v>
      </c>
      <c r="BI62">
        <v>4181300</v>
      </c>
      <c r="BJ62">
        <v>0</v>
      </c>
      <c r="BK62">
        <v>0</v>
      </c>
      <c r="BL62">
        <v>0</v>
      </c>
      <c r="BM62" t="s">
        <v>36</v>
      </c>
      <c r="BN62" t="b">
        <v>1</v>
      </c>
      <c r="BO62" t="s">
        <v>8121</v>
      </c>
    </row>
    <row r="63" spans="1:67" x14ac:dyDescent="0.25">
      <c r="A63" s="238">
        <v>62</v>
      </c>
      <c r="B63" s="238">
        <v>1</v>
      </c>
      <c r="C63" s="238">
        <v>12</v>
      </c>
      <c r="D63" s="238">
        <v>2</v>
      </c>
      <c r="E63" s="238">
        <v>2</v>
      </c>
      <c r="F63" s="238">
        <v>16.100000000000001</v>
      </c>
      <c r="G63" s="238">
        <v>10.8</v>
      </c>
      <c r="H63" s="238"/>
      <c r="I63" s="238">
        <v>26.9</v>
      </c>
      <c r="J63" s="238">
        <v>17.61</v>
      </c>
      <c r="K63" s="238">
        <v>4.25</v>
      </c>
      <c r="L63" s="238"/>
      <c r="M63" s="238">
        <v>9.68</v>
      </c>
      <c r="N63" s="238"/>
      <c r="O63" s="238">
        <v>3.15</v>
      </c>
      <c r="R63" s="238">
        <v>3.15</v>
      </c>
      <c r="S63" s="238">
        <v>61.59</v>
      </c>
      <c r="T63" s="238">
        <v>58.44</v>
      </c>
      <c r="U63" s="238">
        <v>60.02</v>
      </c>
      <c r="V63" s="238">
        <v>119811.8</v>
      </c>
      <c r="X63">
        <v>119811.8</v>
      </c>
      <c r="Y63">
        <v>1000</v>
      </c>
      <c r="Z63">
        <v>120811.8</v>
      </c>
      <c r="AA63">
        <v>215</v>
      </c>
      <c r="AB63">
        <v>121026.8</v>
      </c>
      <c r="AC63">
        <v>17.5</v>
      </c>
      <c r="AD63">
        <v>121044.3</v>
      </c>
      <c r="AE63">
        <v>605.22149999999999</v>
      </c>
      <c r="AF63">
        <v>121649.5215</v>
      </c>
      <c r="AH63">
        <v>121649.5215</v>
      </c>
      <c r="AJ63">
        <v>121649.5215</v>
      </c>
      <c r="AK63">
        <v>3649.4856450000002</v>
      </c>
      <c r="AL63">
        <v>125299.007145</v>
      </c>
      <c r="AM63" s="238">
        <v>125299.01</v>
      </c>
      <c r="AN63" s="238">
        <v>7520500</v>
      </c>
      <c r="AP63" s="238"/>
      <c r="AQ63" s="238">
        <v>0</v>
      </c>
      <c r="AR63" s="238">
        <v>125299.90003332222</v>
      </c>
      <c r="AS63" s="238">
        <v>7520500</v>
      </c>
      <c r="AT63" s="238" t="s">
        <v>36</v>
      </c>
      <c r="AU63" s="238"/>
      <c r="AW63">
        <v>125299.90003332222</v>
      </c>
      <c r="AX63" s="238">
        <v>0</v>
      </c>
      <c r="AY63" s="238">
        <v>7520500</v>
      </c>
      <c r="BA63" s="238" t="s">
        <v>35</v>
      </c>
      <c r="BB63" s="238" t="s">
        <v>35</v>
      </c>
      <c r="BC63" t="s">
        <v>8953</v>
      </c>
      <c r="BD63" t="s">
        <v>8954</v>
      </c>
      <c r="BE63" t="s">
        <v>8962</v>
      </c>
      <c r="BF63" t="s">
        <v>8971</v>
      </c>
      <c r="BG63" t="b">
        <v>1</v>
      </c>
      <c r="BH63">
        <v>7520500</v>
      </c>
      <c r="BI63">
        <v>7520500</v>
      </c>
      <c r="BJ63">
        <v>0</v>
      </c>
      <c r="BK63">
        <v>0</v>
      </c>
      <c r="BL63">
        <v>0</v>
      </c>
      <c r="BM63" t="s">
        <v>36</v>
      </c>
      <c r="BN63" t="b">
        <v>1</v>
      </c>
      <c r="BO63" t="s">
        <v>8122</v>
      </c>
    </row>
    <row r="64" spans="1:67" x14ac:dyDescent="0.25">
      <c r="A64" s="238">
        <v>63</v>
      </c>
      <c r="B64" s="238">
        <v>1</v>
      </c>
      <c r="C64" s="238">
        <v>12</v>
      </c>
      <c r="D64" s="238">
        <v>3</v>
      </c>
      <c r="E64" s="238">
        <v>2</v>
      </c>
      <c r="F64" s="238">
        <v>16.41</v>
      </c>
      <c r="G64" s="238">
        <v>12.19</v>
      </c>
      <c r="H64" s="238"/>
      <c r="I64" s="238">
        <v>28.6</v>
      </c>
      <c r="J64" s="238">
        <v>14.53</v>
      </c>
      <c r="K64" s="238">
        <v>3.86</v>
      </c>
      <c r="L64" s="238"/>
      <c r="M64" s="238">
        <v>6.1</v>
      </c>
      <c r="N64" s="238"/>
      <c r="O64" s="238">
        <v>3.33</v>
      </c>
      <c r="R64" s="238">
        <v>3.33</v>
      </c>
      <c r="S64" s="238">
        <v>56.42</v>
      </c>
      <c r="T64" s="238">
        <v>53.09</v>
      </c>
      <c r="U64" s="238">
        <v>54.76</v>
      </c>
      <c r="V64" s="238">
        <v>118681.5</v>
      </c>
      <c r="X64">
        <v>118681.5</v>
      </c>
      <c r="Y64">
        <v>1000</v>
      </c>
      <c r="Z64">
        <v>119681.5</v>
      </c>
      <c r="AA64">
        <v>215</v>
      </c>
      <c r="AB64">
        <v>119896.5</v>
      </c>
      <c r="AC64">
        <v>17.5</v>
      </c>
      <c r="AD64">
        <v>119914</v>
      </c>
      <c r="AE64">
        <v>599.57000000000005</v>
      </c>
      <c r="AF64">
        <v>120513.57</v>
      </c>
      <c r="AH64">
        <v>120513.57</v>
      </c>
      <c r="AJ64">
        <v>120513.57</v>
      </c>
      <c r="AL64">
        <v>120513.57</v>
      </c>
      <c r="AM64" s="238">
        <v>120513.57</v>
      </c>
      <c r="AN64" s="238">
        <v>6599400</v>
      </c>
      <c r="AP64" s="238"/>
      <c r="AQ64" s="238">
        <v>0</v>
      </c>
      <c r="AR64" s="238">
        <v>120514.97443389337</v>
      </c>
      <c r="AS64" s="238">
        <v>6599400</v>
      </c>
      <c r="AT64" s="238" t="s">
        <v>36</v>
      </c>
      <c r="AU64" s="238"/>
      <c r="AW64">
        <v>120514.97443389337</v>
      </c>
      <c r="AX64" s="238">
        <v>0</v>
      </c>
      <c r="AY64" s="238">
        <v>6599400</v>
      </c>
      <c r="BA64" s="238" t="s">
        <v>35</v>
      </c>
      <c r="BB64" s="238" t="s">
        <v>35</v>
      </c>
      <c r="BC64" t="s">
        <v>8953</v>
      </c>
      <c r="BD64" t="s">
        <v>8954</v>
      </c>
      <c r="BE64" t="s">
        <v>8962</v>
      </c>
      <c r="BF64" t="s">
        <v>8971</v>
      </c>
      <c r="BG64" t="b">
        <v>1</v>
      </c>
      <c r="BH64">
        <v>6599400</v>
      </c>
      <c r="BI64">
        <v>6599400</v>
      </c>
      <c r="BJ64">
        <v>0</v>
      </c>
      <c r="BK64">
        <v>0</v>
      </c>
      <c r="BL64">
        <v>0</v>
      </c>
      <c r="BM64" t="s">
        <v>36</v>
      </c>
      <c r="BN64" t="b">
        <v>1</v>
      </c>
      <c r="BO64" t="s">
        <v>8123</v>
      </c>
    </row>
    <row r="65" spans="1:67" x14ac:dyDescent="0.25">
      <c r="A65" s="238">
        <v>64</v>
      </c>
      <c r="B65" s="238">
        <v>1</v>
      </c>
      <c r="C65" s="238">
        <v>12</v>
      </c>
      <c r="D65" s="238">
        <v>4</v>
      </c>
      <c r="E65" s="238">
        <v>2</v>
      </c>
      <c r="F65" s="238">
        <v>14.98</v>
      </c>
      <c r="G65" s="238">
        <v>12.28</v>
      </c>
      <c r="H65" s="238"/>
      <c r="I65" s="238">
        <v>27.26</v>
      </c>
      <c r="J65" s="238">
        <v>15.07</v>
      </c>
      <c r="K65" s="238">
        <v>4.4400000000000004</v>
      </c>
      <c r="L65" s="238"/>
      <c r="M65" s="238">
        <v>6.25</v>
      </c>
      <c r="N65" s="238"/>
      <c r="O65" s="238">
        <v>3.33</v>
      </c>
      <c r="R65" s="238">
        <v>3.33</v>
      </c>
      <c r="S65" s="238">
        <v>56.35</v>
      </c>
      <c r="T65" s="238">
        <v>53.02</v>
      </c>
      <c r="U65" s="238">
        <v>54.69</v>
      </c>
      <c r="V65" s="238">
        <v>120942.1</v>
      </c>
      <c r="X65">
        <v>120942.1</v>
      </c>
      <c r="Y65">
        <v>1000</v>
      </c>
      <c r="Z65">
        <v>121942.1</v>
      </c>
      <c r="AA65">
        <v>215</v>
      </c>
      <c r="AB65">
        <v>122157.1</v>
      </c>
      <c r="AC65">
        <v>17.5</v>
      </c>
      <c r="AD65">
        <v>122174.6</v>
      </c>
      <c r="AE65">
        <v>610.87300000000005</v>
      </c>
      <c r="AF65">
        <v>122785.473</v>
      </c>
      <c r="AH65">
        <v>122785.473</v>
      </c>
      <c r="AJ65">
        <v>122785.473</v>
      </c>
      <c r="AL65">
        <v>122785.473</v>
      </c>
      <c r="AM65" s="238">
        <v>122785.47</v>
      </c>
      <c r="AN65" s="238">
        <v>6715200</v>
      </c>
      <c r="AP65" s="238"/>
      <c r="AQ65" s="238">
        <v>0</v>
      </c>
      <c r="AR65" s="238">
        <v>122786.61546900714</v>
      </c>
      <c r="AS65" s="238">
        <v>6715200</v>
      </c>
      <c r="AT65" s="238" t="s">
        <v>36</v>
      </c>
      <c r="AU65" s="238"/>
      <c r="AW65">
        <v>122786.61546900714</v>
      </c>
      <c r="AX65" s="238">
        <v>0</v>
      </c>
      <c r="AY65" s="238">
        <v>6715200</v>
      </c>
      <c r="BA65" s="238" t="s">
        <v>35</v>
      </c>
      <c r="BB65" s="238" t="s">
        <v>35</v>
      </c>
      <c r="BC65" t="s">
        <v>8953</v>
      </c>
      <c r="BD65" t="s">
        <v>8954</v>
      </c>
      <c r="BE65" t="s">
        <v>8962</v>
      </c>
      <c r="BF65" t="s">
        <v>8971</v>
      </c>
      <c r="BG65" t="b">
        <v>1</v>
      </c>
      <c r="BH65">
        <v>6715200</v>
      </c>
      <c r="BI65">
        <v>6715200</v>
      </c>
      <c r="BJ65">
        <v>0</v>
      </c>
      <c r="BK65">
        <v>0</v>
      </c>
      <c r="BL65">
        <v>0</v>
      </c>
      <c r="BM65" t="s">
        <v>36</v>
      </c>
      <c r="BN65" t="b">
        <v>1</v>
      </c>
      <c r="BO65" t="s">
        <v>8124</v>
      </c>
    </row>
    <row r="66" spans="1:67" x14ac:dyDescent="0.25">
      <c r="A66" s="238">
        <v>65</v>
      </c>
      <c r="B66" s="238">
        <v>1</v>
      </c>
      <c r="C66" s="238">
        <v>12</v>
      </c>
      <c r="D66" s="238">
        <v>5</v>
      </c>
      <c r="E66" s="238">
        <v>1</v>
      </c>
      <c r="F66" s="238">
        <v>13.06</v>
      </c>
      <c r="G66" s="238"/>
      <c r="H66" s="238"/>
      <c r="I66" s="238">
        <v>13.06</v>
      </c>
      <c r="J66" s="238">
        <v>15.01</v>
      </c>
      <c r="K66" s="238">
        <v>4.4400000000000004</v>
      </c>
      <c r="L66" s="238"/>
      <c r="M66" s="238">
        <v>2.9</v>
      </c>
      <c r="N66" s="238"/>
      <c r="O66" s="238">
        <v>3.02</v>
      </c>
      <c r="R66" s="238">
        <v>3.02</v>
      </c>
      <c r="S66" s="238">
        <v>38.43</v>
      </c>
      <c r="T66" s="238">
        <v>35.409999999999997</v>
      </c>
      <c r="U66" s="238">
        <v>36.92</v>
      </c>
      <c r="V66" s="238">
        <v>126415.6</v>
      </c>
      <c r="W66">
        <v>2528.3120000000004</v>
      </c>
      <c r="X66">
        <v>128943.912</v>
      </c>
      <c r="Y66">
        <v>1000</v>
      </c>
      <c r="Z66">
        <v>129943.912</v>
      </c>
      <c r="AA66">
        <v>215</v>
      </c>
      <c r="AB66">
        <v>130158.912</v>
      </c>
      <c r="AC66">
        <v>17.5</v>
      </c>
      <c r="AD66">
        <v>130176.412</v>
      </c>
      <c r="AE66">
        <v>1952.64618</v>
      </c>
      <c r="AF66">
        <v>132129.05818000002</v>
      </c>
      <c r="AG66">
        <v>1321.2905818000002</v>
      </c>
      <c r="AH66">
        <v>133450.34876180004</v>
      </c>
      <c r="AI66">
        <v>1334.5034876180005</v>
      </c>
      <c r="AJ66">
        <v>134784.85224941804</v>
      </c>
      <c r="AL66">
        <v>134784.85224941804</v>
      </c>
      <c r="AM66" s="238">
        <v>134784.85</v>
      </c>
      <c r="AN66" s="238">
        <v>4976300</v>
      </c>
      <c r="AP66" s="238">
        <v>0.02</v>
      </c>
      <c r="AQ66" s="238">
        <v>99526</v>
      </c>
      <c r="AR66" s="238">
        <v>132090.30335861322</v>
      </c>
      <c r="AS66" s="238">
        <v>4876774</v>
      </c>
      <c r="AT66" s="238" t="s">
        <v>36</v>
      </c>
      <c r="AU66" s="238"/>
      <c r="AW66">
        <v>132090.30335861322</v>
      </c>
      <c r="AX66" s="238">
        <v>0</v>
      </c>
      <c r="AY66" s="238">
        <v>4876774</v>
      </c>
      <c r="AZ66" t="s">
        <v>321</v>
      </c>
      <c r="BA66" s="238" t="s">
        <v>39</v>
      </c>
      <c r="BB66" s="238" t="s">
        <v>39</v>
      </c>
      <c r="BC66" t="s">
        <v>8950</v>
      </c>
      <c r="BD66" t="s">
        <v>1167</v>
      </c>
      <c r="BE66" t="s">
        <v>8962</v>
      </c>
      <c r="BF66" t="s">
        <v>8972</v>
      </c>
      <c r="BG66" t="b">
        <v>1</v>
      </c>
      <c r="BH66">
        <v>4976300</v>
      </c>
      <c r="BI66" t="s">
        <v>9002</v>
      </c>
      <c r="BJ66">
        <v>0</v>
      </c>
      <c r="BK66">
        <v>4976300</v>
      </c>
      <c r="BL66">
        <v>0</v>
      </c>
      <c r="BM66" t="s">
        <v>36</v>
      </c>
      <c r="BN66" t="b">
        <v>1</v>
      </c>
      <c r="BO66" t="s">
        <v>8125</v>
      </c>
    </row>
    <row r="67" spans="1:67" x14ac:dyDescent="0.25">
      <c r="A67" s="238">
        <v>66</v>
      </c>
      <c r="B67" s="238">
        <v>1</v>
      </c>
      <c r="C67" s="238">
        <v>12</v>
      </c>
      <c r="D67" s="238">
        <v>6</v>
      </c>
      <c r="E67" s="238">
        <v>1</v>
      </c>
      <c r="F67" s="238">
        <v>14.57</v>
      </c>
      <c r="G67" s="238"/>
      <c r="H67" s="238"/>
      <c r="I67" s="238">
        <v>14.57</v>
      </c>
      <c r="J67" s="238">
        <v>16.850000000000001</v>
      </c>
      <c r="K67" s="238">
        <v>4.46</v>
      </c>
      <c r="L67" s="238"/>
      <c r="M67" s="238">
        <v>7.75</v>
      </c>
      <c r="N67" s="238"/>
      <c r="O67" s="238">
        <v>3.1</v>
      </c>
      <c r="R67" s="238">
        <v>3.1</v>
      </c>
      <c r="S67" s="238">
        <v>46.73</v>
      </c>
      <c r="T67" s="238">
        <v>43.63</v>
      </c>
      <c r="U67" s="238">
        <v>45.18</v>
      </c>
      <c r="V67" s="238">
        <v>122837.8</v>
      </c>
      <c r="X67">
        <v>122837.8</v>
      </c>
      <c r="Y67">
        <v>1000</v>
      </c>
      <c r="Z67">
        <v>123837.8</v>
      </c>
      <c r="AA67">
        <v>215</v>
      </c>
      <c r="AB67">
        <v>124052.8</v>
      </c>
      <c r="AC67">
        <v>17.5</v>
      </c>
      <c r="AD67">
        <v>124070.3</v>
      </c>
      <c r="AE67">
        <v>620.35149999999999</v>
      </c>
      <c r="AF67">
        <v>124690.65150000001</v>
      </c>
      <c r="AG67">
        <v>1246.9065149999999</v>
      </c>
      <c r="AH67">
        <v>125937.558015</v>
      </c>
      <c r="AI67">
        <v>1259.3755801499999</v>
      </c>
      <c r="AJ67">
        <v>127196.93359515</v>
      </c>
      <c r="AK67">
        <v>2543.9386719029999</v>
      </c>
      <c r="AL67">
        <v>129740.872267053</v>
      </c>
      <c r="AM67" s="238">
        <v>129740.87</v>
      </c>
      <c r="AN67" s="238">
        <v>5861700</v>
      </c>
      <c r="AP67" s="238"/>
      <c r="AQ67" s="238">
        <v>0</v>
      </c>
      <c r="AR67" s="238">
        <v>129741.03585657373</v>
      </c>
      <c r="AS67" s="238">
        <v>5861700</v>
      </c>
      <c r="AT67" s="238" t="s">
        <v>36</v>
      </c>
      <c r="AU67" s="238"/>
      <c r="AW67">
        <v>129741.03585657373</v>
      </c>
      <c r="AX67" s="238">
        <v>0</v>
      </c>
      <c r="AY67" s="238">
        <v>5861700</v>
      </c>
      <c r="BA67" s="238" t="s">
        <v>35</v>
      </c>
      <c r="BB67" s="238" t="s">
        <v>35</v>
      </c>
      <c r="BC67" t="s">
        <v>8953</v>
      </c>
      <c r="BD67" t="s">
        <v>8954</v>
      </c>
      <c r="BE67" t="s">
        <v>8962</v>
      </c>
      <c r="BF67" t="s">
        <v>8972</v>
      </c>
      <c r="BG67" t="b">
        <v>1</v>
      </c>
      <c r="BH67">
        <v>5861700</v>
      </c>
      <c r="BI67">
        <v>5861700</v>
      </c>
      <c r="BJ67">
        <v>0</v>
      </c>
      <c r="BK67">
        <v>0</v>
      </c>
      <c r="BL67">
        <v>0</v>
      </c>
      <c r="BM67" t="s">
        <v>36</v>
      </c>
      <c r="BN67" t="b">
        <v>1</v>
      </c>
      <c r="BO67" t="s">
        <v>8126</v>
      </c>
    </row>
    <row r="68" spans="1:67" x14ac:dyDescent="0.25">
      <c r="A68" s="238">
        <v>67</v>
      </c>
      <c r="B68" s="238">
        <v>1</v>
      </c>
      <c r="C68" s="238">
        <v>13</v>
      </c>
      <c r="D68" s="238">
        <v>1</v>
      </c>
      <c r="E68" s="238">
        <v>0</v>
      </c>
      <c r="F68" s="238">
        <v>14.66</v>
      </c>
      <c r="G68" s="238"/>
      <c r="H68" s="238"/>
      <c r="I68" s="238">
        <v>14.66</v>
      </c>
      <c r="J68" s="238">
        <v>6.15</v>
      </c>
      <c r="K68" s="238">
        <v>4.95</v>
      </c>
      <c r="L68" s="238"/>
      <c r="M68" s="238">
        <v>3.86</v>
      </c>
      <c r="N68" s="238"/>
      <c r="O68" s="238"/>
      <c r="R68" s="238">
        <v>0</v>
      </c>
      <c r="S68" s="238">
        <v>29.62</v>
      </c>
      <c r="T68" s="238">
        <v>29.62</v>
      </c>
      <c r="U68" s="238">
        <v>29.62</v>
      </c>
      <c r="V68" s="238">
        <v>139730</v>
      </c>
      <c r="W68">
        <v>200</v>
      </c>
      <c r="X68">
        <v>139930</v>
      </c>
      <c r="Y68">
        <v>1000</v>
      </c>
      <c r="Z68">
        <v>140930</v>
      </c>
      <c r="AA68">
        <v>215</v>
      </c>
      <c r="AB68">
        <v>141145</v>
      </c>
      <c r="AC68">
        <v>17.5</v>
      </c>
      <c r="AD68">
        <v>141162.5</v>
      </c>
      <c r="AF68">
        <v>141162.5</v>
      </c>
      <c r="AH68">
        <v>141162.5</v>
      </c>
      <c r="AJ68">
        <v>141162.5</v>
      </c>
      <c r="AL68">
        <v>141162.5</v>
      </c>
      <c r="AM68" s="238">
        <v>141162.5</v>
      </c>
      <c r="AN68" s="238">
        <v>4181300</v>
      </c>
      <c r="AP68" s="238"/>
      <c r="AQ68" s="238">
        <v>0</v>
      </c>
      <c r="AR68" s="238">
        <v>141164.75354490208</v>
      </c>
      <c r="AS68" s="238">
        <v>4181300</v>
      </c>
      <c r="AT68" s="238" t="s">
        <v>36</v>
      </c>
      <c r="AU68" s="238"/>
      <c r="AW68">
        <v>141164.75354490208</v>
      </c>
      <c r="AX68" s="238">
        <v>0</v>
      </c>
      <c r="AY68" s="238">
        <v>4181299.9999999991</v>
      </c>
      <c r="BA68" s="238" t="s">
        <v>3</v>
      </c>
      <c r="BB68" s="238" t="s">
        <v>3</v>
      </c>
      <c r="BC68" t="s">
        <v>8951</v>
      </c>
      <c r="BD68" t="s">
        <v>1167</v>
      </c>
      <c r="BE68" t="s">
        <v>8962</v>
      </c>
      <c r="BF68" t="s">
        <v>8970</v>
      </c>
      <c r="BG68" t="b">
        <v>1</v>
      </c>
      <c r="BH68">
        <v>4181300</v>
      </c>
      <c r="BI68">
        <v>4181300</v>
      </c>
      <c r="BJ68">
        <v>0</v>
      </c>
      <c r="BK68">
        <v>0</v>
      </c>
      <c r="BL68">
        <v>0</v>
      </c>
      <c r="BM68" t="s">
        <v>36</v>
      </c>
      <c r="BN68" t="b">
        <v>1</v>
      </c>
      <c r="BO68" t="s">
        <v>8127</v>
      </c>
    </row>
    <row r="69" spans="1:67" x14ac:dyDescent="0.25">
      <c r="A69" s="238">
        <v>68</v>
      </c>
      <c r="B69" s="238">
        <v>1</v>
      </c>
      <c r="C69" s="238">
        <v>13</v>
      </c>
      <c r="D69" s="238">
        <v>2</v>
      </c>
      <c r="E69" s="238">
        <v>2</v>
      </c>
      <c r="F69" s="238">
        <v>16.100000000000001</v>
      </c>
      <c r="G69" s="238">
        <v>10.8</v>
      </c>
      <c r="H69" s="238"/>
      <c r="I69" s="238">
        <v>26.9</v>
      </c>
      <c r="J69" s="238">
        <v>17.61</v>
      </c>
      <c r="K69" s="238">
        <v>4.25</v>
      </c>
      <c r="L69" s="238"/>
      <c r="M69" s="238">
        <v>9.68</v>
      </c>
      <c r="N69" s="238"/>
      <c r="O69" s="238">
        <v>3.15</v>
      </c>
      <c r="R69" s="238">
        <v>3.15</v>
      </c>
      <c r="S69" s="238">
        <v>61.59</v>
      </c>
      <c r="T69" s="238">
        <v>58.44</v>
      </c>
      <c r="U69" s="238">
        <v>60.02</v>
      </c>
      <c r="V69" s="238">
        <v>119811.8</v>
      </c>
      <c r="X69">
        <v>119811.8</v>
      </c>
      <c r="Y69">
        <v>1000</v>
      </c>
      <c r="Z69">
        <v>120811.8</v>
      </c>
      <c r="AA69">
        <v>215</v>
      </c>
      <c r="AB69">
        <v>121026.8</v>
      </c>
      <c r="AC69">
        <v>17.5</v>
      </c>
      <c r="AD69">
        <v>121044.3</v>
      </c>
      <c r="AE69">
        <v>605.22149999999999</v>
      </c>
      <c r="AF69">
        <v>121649.5215</v>
      </c>
      <c r="AH69">
        <v>121649.5215</v>
      </c>
      <c r="AJ69">
        <v>121649.5215</v>
      </c>
      <c r="AK69">
        <v>3649.4856450000002</v>
      </c>
      <c r="AL69">
        <v>125299.007145</v>
      </c>
      <c r="AM69" s="238">
        <v>125299.01</v>
      </c>
      <c r="AN69" s="238">
        <v>7520500</v>
      </c>
      <c r="AP69" s="238"/>
      <c r="AQ69" s="238">
        <v>0</v>
      </c>
      <c r="AR69" s="238">
        <v>125299.90003332222</v>
      </c>
      <c r="AS69" s="238">
        <v>7520500</v>
      </c>
      <c r="AT69" s="238" t="s">
        <v>36</v>
      </c>
      <c r="AU69" s="238"/>
      <c r="AW69">
        <v>125299.90003332222</v>
      </c>
      <c r="AX69" s="238">
        <v>0</v>
      </c>
      <c r="AY69" s="238">
        <v>7520500</v>
      </c>
      <c r="BA69" s="238" t="s">
        <v>35</v>
      </c>
      <c r="BB69" s="238" t="s">
        <v>35</v>
      </c>
      <c r="BC69" t="s">
        <v>8953</v>
      </c>
      <c r="BD69" t="s">
        <v>8954</v>
      </c>
      <c r="BE69" t="s">
        <v>8962</v>
      </c>
      <c r="BF69" t="s">
        <v>8971</v>
      </c>
      <c r="BG69" t="b">
        <v>1</v>
      </c>
      <c r="BH69">
        <v>7520500</v>
      </c>
      <c r="BI69">
        <v>7520500</v>
      </c>
      <c r="BJ69">
        <v>0</v>
      </c>
      <c r="BK69">
        <v>0</v>
      </c>
      <c r="BL69">
        <v>0</v>
      </c>
      <c r="BM69" t="s">
        <v>36</v>
      </c>
      <c r="BN69" t="b">
        <v>1</v>
      </c>
      <c r="BO69" t="s">
        <v>8128</v>
      </c>
    </row>
    <row r="70" spans="1:67" x14ac:dyDescent="0.25">
      <c r="A70" s="238">
        <v>69</v>
      </c>
      <c r="B70" s="238">
        <v>1</v>
      </c>
      <c r="C70" s="238">
        <v>13</v>
      </c>
      <c r="D70" s="238">
        <v>3</v>
      </c>
      <c r="E70" s="238">
        <v>2</v>
      </c>
      <c r="F70" s="238">
        <v>16.41</v>
      </c>
      <c r="G70" s="238">
        <v>12.19</v>
      </c>
      <c r="H70" s="238"/>
      <c r="I70" s="238">
        <v>28.6</v>
      </c>
      <c r="J70" s="238">
        <v>14.53</v>
      </c>
      <c r="K70" s="238">
        <v>3.86</v>
      </c>
      <c r="L70" s="238"/>
      <c r="M70" s="238">
        <v>6.1</v>
      </c>
      <c r="N70" s="238"/>
      <c r="O70" s="238">
        <v>3.33</v>
      </c>
      <c r="R70" s="238">
        <v>3.33</v>
      </c>
      <c r="S70" s="238">
        <v>56.42</v>
      </c>
      <c r="T70" s="238">
        <v>53.09</v>
      </c>
      <c r="U70" s="238">
        <v>54.76</v>
      </c>
      <c r="V70" s="238">
        <v>117551.2</v>
      </c>
      <c r="X70">
        <v>117551.2</v>
      </c>
      <c r="Y70">
        <v>1000</v>
      </c>
      <c r="Z70">
        <v>118551.2</v>
      </c>
      <c r="AA70">
        <v>215</v>
      </c>
      <c r="AB70">
        <v>118766.2</v>
      </c>
      <c r="AC70">
        <v>17.5</v>
      </c>
      <c r="AD70">
        <v>118783.7</v>
      </c>
      <c r="AE70">
        <v>593.91849999999999</v>
      </c>
      <c r="AF70">
        <v>119377.6185</v>
      </c>
      <c r="AH70">
        <v>119377.6185</v>
      </c>
      <c r="AJ70">
        <v>119377.6185</v>
      </c>
      <c r="AL70">
        <v>119377.6185</v>
      </c>
      <c r="AM70" s="238">
        <v>119377.62</v>
      </c>
      <c r="AN70" s="238">
        <v>6537200</v>
      </c>
      <c r="AP70" s="238"/>
      <c r="AQ70" s="238">
        <v>0</v>
      </c>
      <c r="AR70" s="238">
        <v>119379.1088385683</v>
      </c>
      <c r="AS70" s="238">
        <v>6537200</v>
      </c>
      <c r="AT70" s="238" t="s">
        <v>36</v>
      </c>
      <c r="AU70" s="238"/>
      <c r="AW70">
        <v>119379.1088385683</v>
      </c>
      <c r="AX70" s="238">
        <v>0</v>
      </c>
      <c r="AY70" s="238">
        <v>6537200</v>
      </c>
      <c r="BA70" s="238" t="s">
        <v>3</v>
      </c>
      <c r="BB70" s="238" t="s">
        <v>3</v>
      </c>
      <c r="BC70" t="s">
        <v>8951</v>
      </c>
      <c r="BD70" t="s">
        <v>1167</v>
      </c>
      <c r="BE70" t="s">
        <v>8962</v>
      </c>
      <c r="BF70" t="s">
        <v>8971</v>
      </c>
      <c r="BG70" t="b">
        <v>1</v>
      </c>
      <c r="BH70">
        <v>6537200</v>
      </c>
      <c r="BI70">
        <v>6537200</v>
      </c>
      <c r="BJ70">
        <v>0</v>
      </c>
      <c r="BK70">
        <v>0</v>
      </c>
      <c r="BL70">
        <v>0</v>
      </c>
      <c r="BM70" t="s">
        <v>36</v>
      </c>
      <c r="BN70" t="b">
        <v>1</v>
      </c>
      <c r="BO70" t="s">
        <v>8129</v>
      </c>
    </row>
    <row r="71" spans="1:67" x14ac:dyDescent="0.25">
      <c r="A71" s="238">
        <v>70</v>
      </c>
      <c r="B71" s="238">
        <v>1</v>
      </c>
      <c r="C71" s="238">
        <v>13</v>
      </c>
      <c r="D71" s="238">
        <v>4</v>
      </c>
      <c r="E71" s="238">
        <v>2</v>
      </c>
      <c r="F71" s="238">
        <v>14.98</v>
      </c>
      <c r="G71" s="238">
        <v>12.28</v>
      </c>
      <c r="H71" s="238"/>
      <c r="I71" s="238">
        <v>27.26</v>
      </c>
      <c r="J71" s="238">
        <v>15.07</v>
      </c>
      <c r="K71" s="238">
        <v>4.4400000000000004</v>
      </c>
      <c r="L71" s="238"/>
      <c r="M71" s="238">
        <v>6.25</v>
      </c>
      <c r="N71" s="238"/>
      <c r="O71" s="238">
        <v>3.33</v>
      </c>
      <c r="R71" s="238">
        <v>3.33</v>
      </c>
      <c r="S71" s="238">
        <v>56.35</v>
      </c>
      <c r="T71" s="238">
        <v>53.02</v>
      </c>
      <c r="U71" s="238">
        <v>54.69</v>
      </c>
      <c r="V71" s="238">
        <v>119811.8</v>
      </c>
      <c r="X71">
        <v>119811.8</v>
      </c>
      <c r="Y71">
        <v>1000</v>
      </c>
      <c r="Z71">
        <v>120811.8</v>
      </c>
      <c r="AA71">
        <v>215</v>
      </c>
      <c r="AB71">
        <v>121026.8</v>
      </c>
      <c r="AC71">
        <v>17.5</v>
      </c>
      <c r="AD71">
        <v>121044.3</v>
      </c>
      <c r="AE71">
        <v>605.22149999999999</v>
      </c>
      <c r="AF71">
        <v>121649.5215</v>
      </c>
      <c r="AH71">
        <v>121649.5215</v>
      </c>
      <c r="AJ71">
        <v>121649.5215</v>
      </c>
      <c r="AL71">
        <v>121649.5215</v>
      </c>
      <c r="AM71" s="238">
        <v>121649.52</v>
      </c>
      <c r="AN71" s="238">
        <v>6653100</v>
      </c>
      <c r="AP71" s="238"/>
      <c r="AQ71" s="238">
        <v>0</v>
      </c>
      <c r="AR71" s="238">
        <v>121651.12452002194</v>
      </c>
      <c r="AS71" s="238">
        <v>6653100</v>
      </c>
      <c r="AT71" s="238" t="s">
        <v>38</v>
      </c>
      <c r="AU71" s="238">
        <v>30000</v>
      </c>
      <c r="AV71" t="s">
        <v>8816</v>
      </c>
      <c r="AW71">
        <v>151651.12452002196</v>
      </c>
      <c r="AX71" s="238">
        <v>1640700</v>
      </c>
      <c r="AY71" s="238">
        <v>8293800</v>
      </c>
      <c r="BA71" s="238" t="s">
        <v>35</v>
      </c>
      <c r="BB71" s="238" t="s">
        <v>35</v>
      </c>
      <c r="BC71" t="s">
        <v>8953</v>
      </c>
      <c r="BD71" t="s">
        <v>8954</v>
      </c>
      <c r="BE71" t="s">
        <v>8962</v>
      </c>
      <c r="BF71" t="s">
        <v>8971</v>
      </c>
      <c r="BG71" t="b">
        <v>1</v>
      </c>
      <c r="BH71">
        <v>6653100</v>
      </c>
      <c r="BI71">
        <v>6653100</v>
      </c>
      <c r="BJ71">
        <v>0</v>
      </c>
      <c r="BK71">
        <v>0</v>
      </c>
      <c r="BL71">
        <v>0</v>
      </c>
      <c r="BM71" t="s">
        <v>38</v>
      </c>
      <c r="BN71" t="b">
        <v>1</v>
      </c>
      <c r="BO71" t="s">
        <v>8130</v>
      </c>
    </row>
    <row r="72" spans="1:67" x14ac:dyDescent="0.25">
      <c r="A72" s="238">
        <v>71</v>
      </c>
      <c r="B72" s="238">
        <v>1</v>
      </c>
      <c r="C72" s="238">
        <v>13</v>
      </c>
      <c r="D72" s="238">
        <v>5</v>
      </c>
      <c r="E72" s="238">
        <v>1</v>
      </c>
      <c r="F72" s="238">
        <v>13.06</v>
      </c>
      <c r="G72" s="238"/>
      <c r="H72" s="238"/>
      <c r="I72" s="238">
        <v>13.06</v>
      </c>
      <c r="J72" s="238">
        <v>15.01</v>
      </c>
      <c r="K72" s="238">
        <v>4.4400000000000004</v>
      </c>
      <c r="L72" s="238"/>
      <c r="M72" s="238">
        <v>2.9</v>
      </c>
      <c r="N72" s="238"/>
      <c r="O72" s="238">
        <v>3.02</v>
      </c>
      <c r="R72" s="238">
        <v>3.02</v>
      </c>
      <c r="S72" s="238">
        <v>38.43</v>
      </c>
      <c r="T72" s="238">
        <v>35.409999999999997</v>
      </c>
      <c r="U72" s="238">
        <v>36.92</v>
      </c>
      <c r="V72" s="238">
        <v>124030.39999999999</v>
      </c>
      <c r="W72">
        <v>2480.6079999999997</v>
      </c>
      <c r="X72">
        <v>126511.008</v>
      </c>
      <c r="Y72">
        <v>1000</v>
      </c>
      <c r="Z72">
        <v>127511.008</v>
      </c>
      <c r="AB72">
        <v>127511.008</v>
      </c>
      <c r="AD72">
        <v>127511.008</v>
      </c>
      <c r="AF72">
        <v>127511.008</v>
      </c>
      <c r="AH72">
        <v>127511.008</v>
      </c>
      <c r="AJ72">
        <v>127511.008</v>
      </c>
      <c r="AL72">
        <v>127511.008</v>
      </c>
      <c r="AM72" s="238">
        <v>127511.01</v>
      </c>
      <c r="AN72" s="238">
        <v>4707800</v>
      </c>
      <c r="AP72" s="238">
        <v>0.02</v>
      </c>
      <c r="AQ72" s="238">
        <v>94156</v>
      </c>
      <c r="AR72" s="238">
        <v>124963.27193932828</v>
      </c>
      <c r="AS72" s="238">
        <v>4613644</v>
      </c>
      <c r="AT72" s="238" t="s">
        <v>8787</v>
      </c>
      <c r="AU72" s="238">
        <v>10000</v>
      </c>
      <c r="AW72">
        <v>134963.27193932829</v>
      </c>
      <c r="AX72" s="238">
        <v>369200.00000000093</v>
      </c>
      <c r="AY72" s="238">
        <v>4982844.0000000009</v>
      </c>
      <c r="AZ72" t="s">
        <v>3566</v>
      </c>
      <c r="BA72" s="238" t="s">
        <v>39</v>
      </c>
      <c r="BB72" s="238" t="s">
        <v>39</v>
      </c>
      <c r="BC72" t="s">
        <v>8950</v>
      </c>
      <c r="BD72" t="s">
        <v>1167</v>
      </c>
      <c r="BE72" t="s">
        <v>8962</v>
      </c>
      <c r="BF72" t="s">
        <v>8972</v>
      </c>
      <c r="BG72" t="b">
        <v>1</v>
      </c>
      <c r="BH72">
        <v>4707800</v>
      </c>
      <c r="BI72" t="s">
        <v>9002</v>
      </c>
      <c r="BJ72">
        <v>4707800</v>
      </c>
      <c r="BK72">
        <v>4707800</v>
      </c>
      <c r="BL72">
        <v>0</v>
      </c>
      <c r="BM72" t="s">
        <v>8787</v>
      </c>
      <c r="BN72" t="b">
        <v>1</v>
      </c>
      <c r="BO72" t="s">
        <v>8131</v>
      </c>
    </row>
    <row r="73" spans="1:67" x14ac:dyDescent="0.25">
      <c r="A73" s="238">
        <v>72</v>
      </c>
      <c r="B73" s="238">
        <v>1</v>
      </c>
      <c r="C73" s="238">
        <v>13</v>
      </c>
      <c r="D73" s="238">
        <v>6</v>
      </c>
      <c r="E73" s="238">
        <v>1</v>
      </c>
      <c r="F73" s="238">
        <v>14.57</v>
      </c>
      <c r="G73" s="238"/>
      <c r="H73" s="238"/>
      <c r="I73" s="238">
        <v>14.57</v>
      </c>
      <c r="J73" s="238">
        <v>16.850000000000001</v>
      </c>
      <c r="K73" s="238">
        <v>4.46</v>
      </c>
      <c r="L73" s="238"/>
      <c r="M73" s="238">
        <v>7.75</v>
      </c>
      <c r="N73" s="238"/>
      <c r="O73" s="238">
        <v>3.1</v>
      </c>
      <c r="R73" s="238">
        <v>3.1</v>
      </c>
      <c r="S73" s="238">
        <v>46.73</v>
      </c>
      <c r="T73" s="238">
        <v>43.63</v>
      </c>
      <c r="U73" s="238">
        <v>45.18</v>
      </c>
      <c r="V73" s="238">
        <v>122837.8</v>
      </c>
      <c r="X73">
        <v>122837.8</v>
      </c>
      <c r="Y73">
        <v>1000</v>
      </c>
      <c r="Z73">
        <v>123837.8</v>
      </c>
      <c r="AA73">
        <v>215</v>
      </c>
      <c r="AB73">
        <v>124052.8</v>
      </c>
      <c r="AC73">
        <v>17.5</v>
      </c>
      <c r="AD73">
        <v>124070.3</v>
      </c>
      <c r="AE73">
        <v>620.35149999999999</v>
      </c>
      <c r="AF73">
        <v>124690.65150000001</v>
      </c>
      <c r="AG73">
        <v>1246.9065149999999</v>
      </c>
      <c r="AH73">
        <v>125937.558015</v>
      </c>
      <c r="AI73">
        <v>1259.3755801499999</v>
      </c>
      <c r="AJ73">
        <v>127196.93359515</v>
      </c>
      <c r="AK73">
        <v>2543.9386719029999</v>
      </c>
      <c r="AL73">
        <v>129740.872267053</v>
      </c>
      <c r="AM73" s="238">
        <v>129740.87</v>
      </c>
      <c r="AN73" s="238">
        <v>5861700</v>
      </c>
      <c r="AP73" s="238"/>
      <c r="AQ73" s="238">
        <v>0</v>
      </c>
      <c r="AR73" s="238">
        <v>129741.03585657373</v>
      </c>
      <c r="AS73" s="238">
        <v>5861700</v>
      </c>
      <c r="AT73" s="238" t="s">
        <v>36</v>
      </c>
      <c r="AU73" s="238"/>
      <c r="AW73">
        <v>129741.03585657373</v>
      </c>
      <c r="AX73" s="238">
        <v>0</v>
      </c>
      <c r="AY73" s="238">
        <v>5861700</v>
      </c>
      <c r="BA73" s="238" t="s">
        <v>3</v>
      </c>
      <c r="BB73" s="238" t="s">
        <v>3</v>
      </c>
      <c r="BC73" t="s">
        <v>8951</v>
      </c>
      <c r="BD73" t="s">
        <v>1167</v>
      </c>
      <c r="BE73" t="s">
        <v>8962</v>
      </c>
      <c r="BF73" t="s">
        <v>8972</v>
      </c>
      <c r="BG73" t="b">
        <v>1</v>
      </c>
      <c r="BH73">
        <v>5861700</v>
      </c>
      <c r="BI73">
        <v>5861700</v>
      </c>
      <c r="BJ73">
        <v>0</v>
      </c>
      <c r="BK73">
        <v>0</v>
      </c>
      <c r="BL73">
        <v>0</v>
      </c>
      <c r="BM73" t="s">
        <v>36</v>
      </c>
      <c r="BN73" t="b">
        <v>1</v>
      </c>
      <c r="BO73" t="s">
        <v>8132</v>
      </c>
    </row>
    <row r="74" spans="1:67" x14ac:dyDescent="0.25">
      <c r="A74" s="238">
        <v>73</v>
      </c>
      <c r="B74" s="238">
        <v>1</v>
      </c>
      <c r="C74" s="238">
        <v>14</v>
      </c>
      <c r="D74" s="238">
        <v>1</v>
      </c>
      <c r="E74" s="238">
        <v>0</v>
      </c>
      <c r="F74" s="238">
        <v>14.66</v>
      </c>
      <c r="G74" s="238"/>
      <c r="H74" s="238"/>
      <c r="I74" s="238">
        <v>14.66</v>
      </c>
      <c r="J74" s="238">
        <v>6.15</v>
      </c>
      <c r="K74" s="238">
        <v>4.7300000000000004</v>
      </c>
      <c r="L74" s="238"/>
      <c r="M74" s="238">
        <v>3.86</v>
      </c>
      <c r="N74" s="238"/>
      <c r="O74" s="238"/>
      <c r="R74" s="238">
        <v>0</v>
      </c>
      <c r="S74" s="238">
        <v>29.4</v>
      </c>
      <c r="T74" s="238">
        <v>29.4</v>
      </c>
      <c r="U74" s="238">
        <v>29.4</v>
      </c>
      <c r="V74" s="238">
        <v>139730</v>
      </c>
      <c r="W74">
        <v>200</v>
      </c>
      <c r="X74">
        <v>139930</v>
      </c>
      <c r="Y74">
        <v>1000</v>
      </c>
      <c r="Z74">
        <v>140930</v>
      </c>
      <c r="AA74">
        <v>215</v>
      </c>
      <c r="AB74">
        <v>141145</v>
      </c>
      <c r="AC74">
        <v>17.5</v>
      </c>
      <c r="AD74">
        <v>141162.5</v>
      </c>
      <c r="AF74">
        <v>141162.5</v>
      </c>
      <c r="AH74">
        <v>141162.5</v>
      </c>
      <c r="AJ74">
        <v>141162.5</v>
      </c>
      <c r="AL74">
        <v>141162.5</v>
      </c>
      <c r="AM74" s="238">
        <v>141162.5</v>
      </c>
      <c r="AN74" s="238">
        <v>4150200</v>
      </c>
      <c r="AP74" s="238"/>
      <c r="AQ74" s="238">
        <v>0</v>
      </c>
      <c r="AR74" s="238">
        <v>141163.26530612246</v>
      </c>
      <c r="AS74" s="238">
        <v>4150200</v>
      </c>
      <c r="AT74" s="238" t="s">
        <v>36</v>
      </c>
      <c r="AU74" s="238"/>
      <c r="AW74">
        <v>141163.26530612246</v>
      </c>
      <c r="AX74" s="238">
        <v>0</v>
      </c>
      <c r="AY74" s="238">
        <v>4150200</v>
      </c>
      <c r="BA74" s="238" t="s">
        <v>3</v>
      </c>
      <c r="BB74" s="238" t="s">
        <v>3</v>
      </c>
      <c r="BC74" t="s">
        <v>8951</v>
      </c>
      <c r="BD74" t="s">
        <v>1167</v>
      </c>
      <c r="BE74" t="s">
        <v>8962</v>
      </c>
      <c r="BF74" t="s">
        <v>8970</v>
      </c>
      <c r="BG74" t="b">
        <v>1</v>
      </c>
      <c r="BH74">
        <v>4150200</v>
      </c>
      <c r="BI74">
        <v>4150200</v>
      </c>
      <c r="BJ74">
        <v>0</v>
      </c>
      <c r="BK74">
        <v>0</v>
      </c>
      <c r="BL74">
        <v>0</v>
      </c>
      <c r="BM74" t="s">
        <v>36</v>
      </c>
      <c r="BN74" t="b">
        <v>1</v>
      </c>
      <c r="BO74" t="s">
        <v>8133</v>
      </c>
    </row>
    <row r="75" spans="1:67" x14ac:dyDescent="0.25">
      <c r="A75" s="238">
        <v>74</v>
      </c>
      <c r="B75" s="238">
        <v>1</v>
      </c>
      <c r="C75" s="238">
        <v>14</v>
      </c>
      <c r="D75" s="238">
        <v>2</v>
      </c>
      <c r="E75" s="238">
        <v>2</v>
      </c>
      <c r="F75" s="238">
        <v>16.100000000000001</v>
      </c>
      <c r="G75" s="238">
        <v>10.8</v>
      </c>
      <c r="H75" s="238"/>
      <c r="I75" s="238">
        <v>26.9</v>
      </c>
      <c r="J75" s="238">
        <v>17.32</v>
      </c>
      <c r="K75" s="238">
        <v>4.25</v>
      </c>
      <c r="L75" s="238"/>
      <c r="M75" s="238">
        <v>9.68</v>
      </c>
      <c r="N75" s="238"/>
      <c r="O75" s="238">
        <v>3.15</v>
      </c>
      <c r="R75" s="238">
        <v>3.15</v>
      </c>
      <c r="S75" s="238">
        <v>61.3</v>
      </c>
      <c r="T75" s="238">
        <v>58.15</v>
      </c>
      <c r="U75" s="238">
        <v>59.73</v>
      </c>
      <c r="V75" s="238">
        <v>117551.2</v>
      </c>
      <c r="X75">
        <v>117551.2</v>
      </c>
      <c r="Y75">
        <v>1000</v>
      </c>
      <c r="Z75">
        <v>118551.2</v>
      </c>
      <c r="AA75">
        <v>215</v>
      </c>
      <c r="AB75">
        <v>118766.2</v>
      </c>
      <c r="AC75">
        <v>17.5</v>
      </c>
      <c r="AD75">
        <v>118783.7</v>
      </c>
      <c r="AE75">
        <v>593.91849999999999</v>
      </c>
      <c r="AF75">
        <v>119377.6185</v>
      </c>
      <c r="AH75">
        <v>119377.6185</v>
      </c>
      <c r="AJ75">
        <v>119377.6185</v>
      </c>
      <c r="AK75">
        <v>3581.3285549999996</v>
      </c>
      <c r="AL75">
        <v>122958.947055</v>
      </c>
      <c r="AM75" s="238">
        <v>122958.95</v>
      </c>
      <c r="AN75" s="238">
        <v>7344400</v>
      </c>
      <c r="AP75" s="238"/>
      <c r="AQ75" s="238">
        <v>0</v>
      </c>
      <c r="AR75" s="238">
        <v>122959.98660639544</v>
      </c>
      <c r="AS75" s="238">
        <v>7344400</v>
      </c>
      <c r="AT75" s="238" t="s">
        <v>36</v>
      </c>
      <c r="AU75" s="238"/>
      <c r="AW75">
        <v>122959.98660639544</v>
      </c>
      <c r="AX75" s="238">
        <v>0</v>
      </c>
      <c r="AY75" s="238">
        <v>7344400</v>
      </c>
      <c r="BA75" s="238" t="s">
        <v>35</v>
      </c>
      <c r="BB75" s="238" t="s">
        <v>35</v>
      </c>
      <c r="BC75" t="s">
        <v>8953</v>
      </c>
      <c r="BD75" t="s">
        <v>8954</v>
      </c>
      <c r="BE75" t="s">
        <v>8962</v>
      </c>
      <c r="BF75" t="s">
        <v>8971</v>
      </c>
      <c r="BG75" t="b">
        <v>1</v>
      </c>
      <c r="BH75">
        <v>7344400</v>
      </c>
      <c r="BI75">
        <v>7344400</v>
      </c>
      <c r="BJ75">
        <v>0</v>
      </c>
      <c r="BK75">
        <v>0</v>
      </c>
      <c r="BL75">
        <v>0</v>
      </c>
      <c r="BM75" t="s">
        <v>36</v>
      </c>
      <c r="BN75" t="b">
        <v>1</v>
      </c>
      <c r="BO75" t="s">
        <v>8134</v>
      </c>
    </row>
    <row r="76" spans="1:67" x14ac:dyDescent="0.25">
      <c r="A76" s="238">
        <v>75</v>
      </c>
      <c r="B76" s="238">
        <v>1</v>
      </c>
      <c r="C76" s="238">
        <v>14</v>
      </c>
      <c r="D76" s="238">
        <v>3</v>
      </c>
      <c r="E76" s="238">
        <v>2</v>
      </c>
      <c r="F76" s="238">
        <v>16.41</v>
      </c>
      <c r="G76" s="238">
        <v>12.19</v>
      </c>
      <c r="H76" s="238"/>
      <c r="I76" s="238">
        <v>28.6</v>
      </c>
      <c r="J76" s="238">
        <v>14.24</v>
      </c>
      <c r="K76" s="238">
        <v>3.86</v>
      </c>
      <c r="L76" s="238"/>
      <c r="M76" s="238">
        <v>6.1</v>
      </c>
      <c r="N76" s="238"/>
      <c r="O76" s="238">
        <v>3.33</v>
      </c>
      <c r="R76" s="238">
        <v>3.33</v>
      </c>
      <c r="S76" s="238">
        <v>56.13</v>
      </c>
      <c r="T76" s="238">
        <v>52.8</v>
      </c>
      <c r="U76" s="238">
        <v>54.47</v>
      </c>
      <c r="V76" s="238">
        <v>118681.5</v>
      </c>
      <c r="X76">
        <v>118681.5</v>
      </c>
      <c r="Y76">
        <v>1000</v>
      </c>
      <c r="Z76">
        <v>119681.5</v>
      </c>
      <c r="AA76">
        <v>215</v>
      </c>
      <c r="AB76">
        <v>119896.5</v>
      </c>
      <c r="AC76">
        <v>17.5</v>
      </c>
      <c r="AD76">
        <v>119914</v>
      </c>
      <c r="AE76">
        <v>599.57000000000005</v>
      </c>
      <c r="AF76">
        <v>120513.57</v>
      </c>
      <c r="AH76">
        <v>120513.57</v>
      </c>
      <c r="AJ76">
        <v>120513.57</v>
      </c>
      <c r="AL76">
        <v>120513.57</v>
      </c>
      <c r="AM76" s="238">
        <v>120513.57</v>
      </c>
      <c r="AN76" s="238">
        <v>6564400</v>
      </c>
      <c r="AP76" s="238"/>
      <c r="AQ76" s="238">
        <v>0</v>
      </c>
      <c r="AR76" s="238">
        <v>120514.04442812558</v>
      </c>
      <c r="AS76" s="238">
        <v>6564400</v>
      </c>
      <c r="AT76" s="238" t="s">
        <v>36</v>
      </c>
      <c r="AU76" s="238"/>
      <c r="AW76">
        <v>120514.04442812558</v>
      </c>
      <c r="AX76" s="238">
        <v>0</v>
      </c>
      <c r="AY76" s="238">
        <v>6564400</v>
      </c>
      <c r="BA76" s="238" t="s">
        <v>35</v>
      </c>
      <c r="BB76" s="238" t="s">
        <v>35</v>
      </c>
      <c r="BC76" t="s">
        <v>8953</v>
      </c>
      <c r="BD76" t="s">
        <v>8954</v>
      </c>
      <c r="BE76" t="s">
        <v>8962</v>
      </c>
      <c r="BF76" t="s">
        <v>8971</v>
      </c>
      <c r="BG76" t="b">
        <v>1</v>
      </c>
      <c r="BH76">
        <v>6564400</v>
      </c>
      <c r="BI76">
        <v>6564400</v>
      </c>
      <c r="BJ76">
        <v>0</v>
      </c>
      <c r="BK76">
        <v>0</v>
      </c>
      <c r="BL76">
        <v>0</v>
      </c>
      <c r="BM76" t="s">
        <v>36</v>
      </c>
      <c r="BN76" t="b">
        <v>1</v>
      </c>
      <c r="BO76" t="s">
        <v>8135</v>
      </c>
    </row>
    <row r="77" spans="1:67" x14ac:dyDescent="0.25">
      <c r="A77" s="238">
        <v>76</v>
      </c>
      <c r="B77" s="238">
        <v>1</v>
      </c>
      <c r="C77" s="238">
        <v>14</v>
      </c>
      <c r="D77" s="238">
        <v>4</v>
      </c>
      <c r="E77" s="238">
        <v>2</v>
      </c>
      <c r="F77" s="238">
        <v>14.98</v>
      </c>
      <c r="G77" s="238">
        <v>12.28</v>
      </c>
      <c r="H77" s="238"/>
      <c r="I77" s="238">
        <v>27.26</v>
      </c>
      <c r="J77" s="238">
        <v>14.78</v>
      </c>
      <c r="K77" s="238">
        <v>4.4400000000000004</v>
      </c>
      <c r="L77" s="238"/>
      <c r="M77" s="238">
        <v>6.25</v>
      </c>
      <c r="N77" s="238"/>
      <c r="O77" s="238">
        <v>3.33</v>
      </c>
      <c r="R77" s="238">
        <v>3.33</v>
      </c>
      <c r="S77" s="238">
        <v>56.06</v>
      </c>
      <c r="T77" s="238">
        <v>52.73</v>
      </c>
      <c r="U77" s="238">
        <v>54.4</v>
      </c>
      <c r="V77" s="238">
        <v>120942.1</v>
      </c>
      <c r="X77">
        <v>120942.1</v>
      </c>
      <c r="Y77">
        <v>1000</v>
      </c>
      <c r="Z77">
        <v>121942.1</v>
      </c>
      <c r="AA77">
        <v>215</v>
      </c>
      <c r="AB77">
        <v>122157.1</v>
      </c>
      <c r="AC77">
        <v>17.5</v>
      </c>
      <c r="AD77">
        <v>122174.6</v>
      </c>
      <c r="AE77">
        <v>610.87300000000005</v>
      </c>
      <c r="AF77">
        <v>122785.473</v>
      </c>
      <c r="AH77">
        <v>122785.473</v>
      </c>
      <c r="AJ77">
        <v>122785.473</v>
      </c>
      <c r="AL77">
        <v>122785.473</v>
      </c>
      <c r="AM77" s="238">
        <v>122785.47</v>
      </c>
      <c r="AN77" s="238">
        <v>6679600</v>
      </c>
      <c r="AP77" s="238"/>
      <c r="AQ77" s="238">
        <v>0</v>
      </c>
      <c r="AR77" s="238">
        <v>122786.76470588236</v>
      </c>
      <c r="AS77" s="238">
        <v>6679600</v>
      </c>
      <c r="AT77" s="238" t="s">
        <v>36</v>
      </c>
      <c r="AU77" s="238"/>
      <c r="AW77">
        <v>122786.76470588236</v>
      </c>
      <c r="AX77" s="238">
        <v>0</v>
      </c>
      <c r="AY77" s="238">
        <v>6679600</v>
      </c>
      <c r="BA77" s="238" t="s">
        <v>3</v>
      </c>
      <c r="BB77" s="238" t="s">
        <v>3</v>
      </c>
      <c r="BC77" t="s">
        <v>8951</v>
      </c>
      <c r="BD77" t="s">
        <v>1167</v>
      </c>
      <c r="BE77" t="s">
        <v>8962</v>
      </c>
      <c r="BF77" t="s">
        <v>8971</v>
      </c>
      <c r="BG77" t="b">
        <v>1</v>
      </c>
      <c r="BH77">
        <v>6679600</v>
      </c>
      <c r="BI77">
        <v>6679600</v>
      </c>
      <c r="BJ77">
        <v>0</v>
      </c>
      <c r="BK77">
        <v>0</v>
      </c>
      <c r="BL77">
        <v>0</v>
      </c>
      <c r="BM77" t="s">
        <v>36</v>
      </c>
      <c r="BN77" t="b">
        <v>1</v>
      </c>
      <c r="BO77" t="s">
        <v>8136</v>
      </c>
    </row>
    <row r="78" spans="1:67" x14ac:dyDescent="0.25">
      <c r="A78" s="238">
        <v>77</v>
      </c>
      <c r="B78" s="238">
        <v>1</v>
      </c>
      <c r="C78" s="238">
        <v>14</v>
      </c>
      <c r="D78" s="238">
        <v>5</v>
      </c>
      <c r="E78" s="238">
        <v>1</v>
      </c>
      <c r="F78" s="238">
        <v>13.06</v>
      </c>
      <c r="G78" s="238"/>
      <c r="H78" s="238"/>
      <c r="I78" s="238">
        <v>13.06</v>
      </c>
      <c r="J78" s="238">
        <v>14.73</v>
      </c>
      <c r="K78" s="238">
        <v>4.4400000000000004</v>
      </c>
      <c r="L78" s="238"/>
      <c r="M78" s="238">
        <v>2.9</v>
      </c>
      <c r="N78" s="238"/>
      <c r="O78" s="238">
        <v>3.02</v>
      </c>
      <c r="R78" s="238">
        <v>3.02</v>
      </c>
      <c r="S78" s="238">
        <v>38.15</v>
      </c>
      <c r="T78" s="238">
        <v>35.130000000000003</v>
      </c>
      <c r="U78" s="238">
        <v>36.64</v>
      </c>
      <c r="V78" s="238">
        <v>126415.6</v>
      </c>
      <c r="W78">
        <v>2528.3120000000004</v>
      </c>
      <c r="X78">
        <v>128943.912</v>
      </c>
      <c r="Y78">
        <v>1000</v>
      </c>
      <c r="Z78">
        <v>129943.912</v>
      </c>
      <c r="AA78">
        <v>215</v>
      </c>
      <c r="AB78">
        <v>130158.912</v>
      </c>
      <c r="AC78">
        <v>17.5</v>
      </c>
      <c r="AD78">
        <v>130176.412</v>
      </c>
      <c r="AF78">
        <v>130176.412</v>
      </c>
      <c r="AH78">
        <v>130176.412</v>
      </c>
      <c r="AJ78">
        <v>130176.412</v>
      </c>
      <c r="AL78">
        <v>130176.412</v>
      </c>
      <c r="AM78" s="238">
        <v>130176.41</v>
      </c>
      <c r="AN78" s="238">
        <v>4769700</v>
      </c>
      <c r="AP78" s="238"/>
      <c r="AQ78" s="238">
        <v>0</v>
      </c>
      <c r="AR78" s="238">
        <v>130177.40174672488</v>
      </c>
      <c r="AS78" s="238">
        <v>4769700</v>
      </c>
      <c r="AT78" s="238" t="s">
        <v>36</v>
      </c>
      <c r="AU78" s="238"/>
      <c r="AW78">
        <v>130177.40174672488</v>
      </c>
      <c r="AX78" s="238">
        <v>0</v>
      </c>
      <c r="AY78" s="238">
        <v>4769700</v>
      </c>
      <c r="BA78" s="238" t="s">
        <v>39</v>
      </c>
      <c r="BB78" s="238" t="s">
        <v>39</v>
      </c>
      <c r="BC78" t="s">
        <v>8950</v>
      </c>
      <c r="BD78" t="s">
        <v>1167</v>
      </c>
      <c r="BE78" t="s">
        <v>8962</v>
      </c>
      <c r="BF78" t="s">
        <v>8972</v>
      </c>
      <c r="BG78" t="b">
        <v>1</v>
      </c>
      <c r="BH78">
        <v>4769700</v>
      </c>
      <c r="BI78" t="s">
        <v>9002</v>
      </c>
      <c r="BJ78">
        <v>0</v>
      </c>
      <c r="BK78">
        <v>4769700</v>
      </c>
      <c r="BL78">
        <v>0</v>
      </c>
      <c r="BM78" t="s">
        <v>36</v>
      </c>
      <c r="BN78" t="b">
        <v>1</v>
      </c>
      <c r="BO78" t="s">
        <v>8137</v>
      </c>
    </row>
    <row r="79" spans="1:67" x14ac:dyDescent="0.25">
      <c r="A79" s="238">
        <v>78</v>
      </c>
      <c r="B79" s="238">
        <v>1</v>
      </c>
      <c r="C79" s="238">
        <v>14</v>
      </c>
      <c r="D79" s="238">
        <v>6</v>
      </c>
      <c r="E79" s="238">
        <v>1</v>
      </c>
      <c r="F79" s="238">
        <v>14.57</v>
      </c>
      <c r="G79" s="238"/>
      <c r="H79" s="238"/>
      <c r="I79" s="238">
        <v>14.57</v>
      </c>
      <c r="J79" s="238">
        <v>16.57</v>
      </c>
      <c r="K79" s="238">
        <v>4.46</v>
      </c>
      <c r="L79" s="238"/>
      <c r="M79" s="238">
        <v>7.75</v>
      </c>
      <c r="N79" s="238"/>
      <c r="O79" s="238">
        <v>3.1</v>
      </c>
      <c r="R79" s="238">
        <v>3.1</v>
      </c>
      <c r="S79" s="238">
        <v>46.45</v>
      </c>
      <c r="T79" s="238">
        <v>43.35</v>
      </c>
      <c r="U79" s="238">
        <v>44.9</v>
      </c>
      <c r="V79" s="238">
        <v>120452.6</v>
      </c>
      <c r="X79">
        <v>120452.6</v>
      </c>
      <c r="Y79">
        <v>1000</v>
      </c>
      <c r="Z79">
        <v>121452.6</v>
      </c>
      <c r="AA79">
        <v>215</v>
      </c>
      <c r="AB79">
        <v>121667.6</v>
      </c>
      <c r="AC79">
        <v>17.5</v>
      </c>
      <c r="AD79">
        <v>121685.1</v>
      </c>
      <c r="AE79">
        <v>608.42550000000006</v>
      </c>
      <c r="AF79">
        <v>122293.5255</v>
      </c>
      <c r="AG79">
        <v>1222.9352550000001</v>
      </c>
      <c r="AH79">
        <v>123516.46075499999</v>
      </c>
      <c r="AI79">
        <v>1235.16460755</v>
      </c>
      <c r="AJ79">
        <v>124751.62536255</v>
      </c>
      <c r="AK79">
        <v>2495.0325072510004</v>
      </c>
      <c r="AL79">
        <v>127246.657869801</v>
      </c>
      <c r="AM79" s="238">
        <v>127246.66</v>
      </c>
      <c r="AN79" s="238">
        <v>5713400</v>
      </c>
      <c r="AP79" s="238"/>
      <c r="AQ79" s="238">
        <v>0</v>
      </c>
      <c r="AR79" s="238">
        <v>127247.21603563474</v>
      </c>
      <c r="AS79" s="238">
        <v>5713400</v>
      </c>
      <c r="AT79" s="238" t="s">
        <v>36</v>
      </c>
      <c r="AU79" s="238"/>
      <c r="AW79">
        <v>127247.21603563474</v>
      </c>
      <c r="AX79" s="238">
        <v>0</v>
      </c>
      <c r="AY79" s="238">
        <v>5713400</v>
      </c>
      <c r="BA79" s="238" t="s">
        <v>35</v>
      </c>
      <c r="BB79" s="238" t="s">
        <v>35</v>
      </c>
      <c r="BC79" t="s">
        <v>8953</v>
      </c>
      <c r="BD79" t="s">
        <v>8954</v>
      </c>
      <c r="BE79" t="s">
        <v>8962</v>
      </c>
      <c r="BF79" t="s">
        <v>8972</v>
      </c>
      <c r="BG79" t="b">
        <v>1</v>
      </c>
      <c r="BH79">
        <v>5713400</v>
      </c>
      <c r="BI79">
        <v>5713400</v>
      </c>
      <c r="BJ79">
        <v>0</v>
      </c>
      <c r="BK79">
        <v>0</v>
      </c>
      <c r="BL79">
        <v>0</v>
      </c>
      <c r="BM79" t="s">
        <v>36</v>
      </c>
      <c r="BN79" t="b">
        <v>1</v>
      </c>
      <c r="BO79" t="s">
        <v>8138</v>
      </c>
    </row>
    <row r="80" spans="1:67" x14ac:dyDescent="0.25">
      <c r="A80" s="238">
        <v>79</v>
      </c>
      <c r="B80" s="238">
        <v>1</v>
      </c>
      <c r="C80" s="238">
        <v>15</v>
      </c>
      <c r="D80" s="238">
        <v>1</v>
      </c>
      <c r="E80" s="238">
        <v>0</v>
      </c>
      <c r="F80" s="238">
        <v>14.66</v>
      </c>
      <c r="G80" s="238"/>
      <c r="H80" s="238"/>
      <c r="I80" s="238">
        <v>14.66</v>
      </c>
      <c r="J80" s="238">
        <v>6.15</v>
      </c>
      <c r="K80" s="238">
        <v>4.7300000000000004</v>
      </c>
      <c r="L80" s="238"/>
      <c r="M80" s="238">
        <v>3.86</v>
      </c>
      <c r="N80" s="238"/>
      <c r="O80" s="238"/>
      <c r="R80" s="238">
        <v>0</v>
      </c>
      <c r="S80" s="238">
        <v>29.4</v>
      </c>
      <c r="T80" s="238">
        <v>29.4</v>
      </c>
      <c r="U80" s="238">
        <v>29.4</v>
      </c>
      <c r="V80" s="238">
        <v>139730</v>
      </c>
      <c r="W80">
        <v>200</v>
      </c>
      <c r="X80">
        <v>139930</v>
      </c>
      <c r="Y80">
        <v>1000</v>
      </c>
      <c r="Z80">
        <v>140930</v>
      </c>
      <c r="AB80">
        <v>140930</v>
      </c>
      <c r="AD80">
        <v>140930</v>
      </c>
      <c r="AF80">
        <v>140930</v>
      </c>
      <c r="AH80">
        <v>140930</v>
      </c>
      <c r="AJ80">
        <v>140930</v>
      </c>
      <c r="AL80">
        <v>140930</v>
      </c>
      <c r="AM80" s="238">
        <v>140930</v>
      </c>
      <c r="AN80" s="238">
        <v>4143400</v>
      </c>
      <c r="AP80" s="238">
        <v>0.02</v>
      </c>
      <c r="AQ80" s="238">
        <v>82868</v>
      </c>
      <c r="AR80" s="238">
        <v>138113.33333333334</v>
      </c>
      <c r="AS80" s="238">
        <v>4060532</v>
      </c>
      <c r="AT80" s="238" t="s">
        <v>36</v>
      </c>
      <c r="AU80" s="238"/>
      <c r="AW80">
        <v>138113.33333333334</v>
      </c>
      <c r="AX80" s="238">
        <v>0</v>
      </c>
      <c r="AY80" s="238">
        <v>4060532</v>
      </c>
      <c r="AZ80" t="s">
        <v>321</v>
      </c>
      <c r="BA80" s="238" t="s">
        <v>39</v>
      </c>
      <c r="BB80" s="238" t="s">
        <v>39</v>
      </c>
      <c r="BC80" t="s">
        <v>8950</v>
      </c>
      <c r="BD80" t="s">
        <v>1167</v>
      </c>
      <c r="BE80" t="s">
        <v>8962</v>
      </c>
      <c r="BF80" t="s">
        <v>8970</v>
      </c>
      <c r="BG80" t="b">
        <v>1</v>
      </c>
      <c r="BH80">
        <v>4143400</v>
      </c>
      <c r="BI80" t="s">
        <v>9002</v>
      </c>
      <c r="BJ80">
        <v>0</v>
      </c>
      <c r="BK80">
        <v>4143400</v>
      </c>
      <c r="BL80">
        <v>0</v>
      </c>
      <c r="BM80" t="s">
        <v>36</v>
      </c>
      <c r="BN80" t="b">
        <v>1</v>
      </c>
      <c r="BO80" t="s">
        <v>8139</v>
      </c>
    </row>
    <row r="81" spans="1:67" x14ac:dyDescent="0.25">
      <c r="A81" s="238">
        <v>80</v>
      </c>
      <c r="B81" s="238">
        <v>1</v>
      </c>
      <c r="C81" s="238">
        <v>15</v>
      </c>
      <c r="D81" s="238">
        <v>2</v>
      </c>
      <c r="E81" s="238">
        <v>2</v>
      </c>
      <c r="F81" s="238">
        <v>16.100000000000001</v>
      </c>
      <c r="G81" s="238">
        <v>10.8</v>
      </c>
      <c r="H81" s="238"/>
      <c r="I81" s="238">
        <v>26.9</v>
      </c>
      <c r="J81" s="238">
        <v>17.32</v>
      </c>
      <c r="K81" s="238">
        <v>4.25</v>
      </c>
      <c r="L81" s="238"/>
      <c r="M81" s="238">
        <v>9.68</v>
      </c>
      <c r="N81" s="238"/>
      <c r="O81" s="238">
        <v>3.15</v>
      </c>
      <c r="R81" s="238">
        <v>3.15</v>
      </c>
      <c r="S81" s="238">
        <v>61.3</v>
      </c>
      <c r="T81" s="238">
        <v>58.15</v>
      </c>
      <c r="U81" s="238">
        <v>59.73</v>
      </c>
      <c r="V81" s="238">
        <v>119811.8</v>
      </c>
      <c r="X81">
        <v>119811.8</v>
      </c>
      <c r="Y81">
        <v>1000</v>
      </c>
      <c r="Z81">
        <v>120811.8</v>
      </c>
      <c r="AA81">
        <v>215</v>
      </c>
      <c r="AB81">
        <v>121026.8</v>
      </c>
      <c r="AC81">
        <v>17.5</v>
      </c>
      <c r="AD81">
        <v>121044.3</v>
      </c>
      <c r="AE81">
        <v>605.22149999999999</v>
      </c>
      <c r="AF81">
        <v>121649.5215</v>
      </c>
      <c r="AH81">
        <v>121649.5215</v>
      </c>
      <c r="AJ81">
        <v>121649.5215</v>
      </c>
      <c r="AK81">
        <v>3649.4856450000002</v>
      </c>
      <c r="AL81">
        <v>125299.007145</v>
      </c>
      <c r="AM81" s="238">
        <v>125299.01</v>
      </c>
      <c r="AN81" s="238">
        <v>7484200</v>
      </c>
      <c r="AP81" s="238"/>
      <c r="AQ81" s="238">
        <v>0</v>
      </c>
      <c r="AR81" s="238">
        <v>125300.51900217649</v>
      </c>
      <c r="AS81" s="238">
        <v>7484200</v>
      </c>
      <c r="AT81" s="238" t="s">
        <v>36</v>
      </c>
      <c r="AU81" s="238"/>
      <c r="AW81">
        <v>125300.51900217649</v>
      </c>
      <c r="AX81" s="238">
        <v>0</v>
      </c>
      <c r="AY81" s="238">
        <v>7484200</v>
      </c>
      <c r="BA81" s="238" t="s">
        <v>3</v>
      </c>
      <c r="BB81" s="238" t="s">
        <v>3</v>
      </c>
      <c r="BC81" t="s">
        <v>8951</v>
      </c>
      <c r="BD81" t="s">
        <v>1167</v>
      </c>
      <c r="BE81" t="s">
        <v>8962</v>
      </c>
      <c r="BF81" t="s">
        <v>8971</v>
      </c>
      <c r="BG81" t="b">
        <v>1</v>
      </c>
      <c r="BH81">
        <v>7484200</v>
      </c>
      <c r="BI81">
        <v>7484200</v>
      </c>
      <c r="BJ81">
        <v>0</v>
      </c>
      <c r="BK81">
        <v>0</v>
      </c>
      <c r="BL81">
        <v>0</v>
      </c>
      <c r="BM81" t="s">
        <v>36</v>
      </c>
      <c r="BN81" t="b">
        <v>1</v>
      </c>
      <c r="BO81" t="s">
        <v>8140</v>
      </c>
    </row>
    <row r="82" spans="1:67" x14ac:dyDescent="0.25">
      <c r="A82" s="238">
        <v>81</v>
      </c>
      <c r="B82" s="238">
        <v>1</v>
      </c>
      <c r="C82" s="238">
        <v>15</v>
      </c>
      <c r="D82" s="238">
        <v>3</v>
      </c>
      <c r="E82" s="238">
        <v>2</v>
      </c>
      <c r="F82" s="238">
        <v>16.41</v>
      </c>
      <c r="G82" s="238">
        <v>12.19</v>
      </c>
      <c r="H82" s="238"/>
      <c r="I82" s="238">
        <v>28.6</v>
      </c>
      <c r="J82" s="238">
        <v>14.24</v>
      </c>
      <c r="K82" s="238">
        <v>3.86</v>
      </c>
      <c r="L82" s="238"/>
      <c r="M82" s="238">
        <v>6.1</v>
      </c>
      <c r="N82" s="238"/>
      <c r="O82" s="238">
        <v>3.33</v>
      </c>
      <c r="R82" s="238">
        <v>3.33</v>
      </c>
      <c r="S82" s="238">
        <v>56.13</v>
      </c>
      <c r="T82" s="238">
        <v>52.8</v>
      </c>
      <c r="U82" s="238">
        <v>54.47</v>
      </c>
      <c r="V82" s="238">
        <v>118681.5</v>
      </c>
      <c r="X82">
        <v>118681.5</v>
      </c>
      <c r="Y82">
        <v>1000</v>
      </c>
      <c r="Z82">
        <v>119681.5</v>
      </c>
      <c r="AA82">
        <v>215</v>
      </c>
      <c r="AB82">
        <v>119896.5</v>
      </c>
      <c r="AC82">
        <v>17.5</v>
      </c>
      <c r="AD82">
        <v>119914</v>
      </c>
      <c r="AE82">
        <v>599.57000000000005</v>
      </c>
      <c r="AF82">
        <v>120513.57</v>
      </c>
      <c r="AH82">
        <v>120513.57</v>
      </c>
      <c r="AJ82">
        <v>120513.57</v>
      </c>
      <c r="AL82">
        <v>120513.57</v>
      </c>
      <c r="AM82" s="238">
        <v>120513.57</v>
      </c>
      <c r="AN82" s="238">
        <v>6564400</v>
      </c>
      <c r="AP82" s="238"/>
      <c r="AQ82" s="238">
        <v>0</v>
      </c>
      <c r="AR82" s="238">
        <v>120514.04442812558</v>
      </c>
      <c r="AS82" s="238">
        <v>6564400</v>
      </c>
      <c r="AT82" s="238" t="s">
        <v>38</v>
      </c>
      <c r="AU82" s="238">
        <v>30000</v>
      </c>
      <c r="AV82" t="s">
        <v>8816</v>
      </c>
      <c r="AW82">
        <v>150514.04442812558</v>
      </c>
      <c r="AX82" s="238">
        <v>1634100</v>
      </c>
      <c r="AY82" s="238">
        <v>8198500</v>
      </c>
      <c r="BA82" s="238" t="s">
        <v>35</v>
      </c>
      <c r="BB82" s="238" t="s">
        <v>35</v>
      </c>
      <c r="BC82" t="s">
        <v>8953</v>
      </c>
      <c r="BD82" t="s">
        <v>8954</v>
      </c>
      <c r="BE82" t="s">
        <v>8962</v>
      </c>
      <c r="BF82" t="s">
        <v>8971</v>
      </c>
      <c r="BG82" t="b">
        <v>1</v>
      </c>
      <c r="BH82">
        <v>6564400</v>
      </c>
      <c r="BI82">
        <v>6564400</v>
      </c>
      <c r="BJ82">
        <v>0</v>
      </c>
      <c r="BK82">
        <v>0</v>
      </c>
      <c r="BL82">
        <v>0</v>
      </c>
      <c r="BM82" t="s">
        <v>38</v>
      </c>
      <c r="BN82" t="b">
        <v>1</v>
      </c>
      <c r="BO82" t="s">
        <v>8141</v>
      </c>
    </row>
    <row r="83" spans="1:67" x14ac:dyDescent="0.25">
      <c r="A83" s="238">
        <v>82</v>
      </c>
      <c r="B83" s="238">
        <v>1</v>
      </c>
      <c r="C83" s="238">
        <v>15</v>
      </c>
      <c r="D83" s="238">
        <v>4</v>
      </c>
      <c r="E83" s="238">
        <v>2</v>
      </c>
      <c r="F83" s="238">
        <v>14.98</v>
      </c>
      <c r="G83" s="238">
        <v>12.28</v>
      </c>
      <c r="H83" s="238"/>
      <c r="I83" s="238">
        <v>27.26</v>
      </c>
      <c r="J83" s="238">
        <v>14.78</v>
      </c>
      <c r="K83" s="238">
        <v>4.4400000000000004</v>
      </c>
      <c r="L83" s="238"/>
      <c r="M83" s="238">
        <v>6.25</v>
      </c>
      <c r="N83" s="238"/>
      <c r="O83" s="238">
        <v>3.33</v>
      </c>
      <c r="R83" s="238">
        <v>3.33</v>
      </c>
      <c r="S83" s="238">
        <v>56.06</v>
      </c>
      <c r="T83" s="238">
        <v>52.73</v>
      </c>
      <c r="U83" s="238">
        <v>54.4</v>
      </c>
      <c r="V83" s="238">
        <v>120942.1</v>
      </c>
      <c r="X83">
        <v>120942.1</v>
      </c>
      <c r="Y83">
        <v>1000</v>
      </c>
      <c r="Z83">
        <v>121942.1</v>
      </c>
      <c r="AA83">
        <v>215</v>
      </c>
      <c r="AB83">
        <v>122157.1</v>
      </c>
      <c r="AC83">
        <v>17.5</v>
      </c>
      <c r="AD83">
        <v>122174.6</v>
      </c>
      <c r="AE83">
        <v>610.87300000000005</v>
      </c>
      <c r="AF83">
        <v>122785.473</v>
      </c>
      <c r="AH83">
        <v>122785.473</v>
      </c>
      <c r="AJ83">
        <v>122785.473</v>
      </c>
      <c r="AL83">
        <v>122785.473</v>
      </c>
      <c r="AM83" s="238">
        <v>122785.47</v>
      </c>
      <c r="AN83" s="238">
        <v>6679600</v>
      </c>
      <c r="AP83" s="238"/>
      <c r="AQ83" s="238">
        <v>0</v>
      </c>
      <c r="AR83" s="238">
        <v>122786.76470588236</v>
      </c>
      <c r="AS83" s="238">
        <v>6679600</v>
      </c>
      <c r="AT83" s="238" t="s">
        <v>36</v>
      </c>
      <c r="AU83" s="238"/>
      <c r="AW83">
        <v>122786.76470588236</v>
      </c>
      <c r="AX83" s="238">
        <v>0</v>
      </c>
      <c r="AY83" s="238">
        <v>6679600</v>
      </c>
      <c r="BA83" s="238" t="s">
        <v>35</v>
      </c>
      <c r="BB83" s="238" t="s">
        <v>35</v>
      </c>
      <c r="BC83" t="s">
        <v>8953</v>
      </c>
      <c r="BD83" t="s">
        <v>8954</v>
      </c>
      <c r="BE83" t="s">
        <v>8962</v>
      </c>
      <c r="BF83" t="s">
        <v>8971</v>
      </c>
      <c r="BG83" t="b">
        <v>1</v>
      </c>
      <c r="BH83">
        <v>6679600</v>
      </c>
      <c r="BI83">
        <v>6679600</v>
      </c>
      <c r="BJ83">
        <v>0</v>
      </c>
      <c r="BK83">
        <v>0</v>
      </c>
      <c r="BL83">
        <v>0</v>
      </c>
      <c r="BM83" t="s">
        <v>36</v>
      </c>
      <c r="BN83" t="b">
        <v>1</v>
      </c>
      <c r="BO83" t="s">
        <v>8142</v>
      </c>
    </row>
    <row r="84" spans="1:67" x14ac:dyDescent="0.25">
      <c r="A84" s="238">
        <v>83</v>
      </c>
      <c r="B84" s="238">
        <v>1</v>
      </c>
      <c r="C84" s="238">
        <v>15</v>
      </c>
      <c r="D84" s="238">
        <v>5</v>
      </c>
      <c r="E84" s="238">
        <v>1</v>
      </c>
      <c r="F84" s="238">
        <v>13.06</v>
      </c>
      <c r="G84" s="238"/>
      <c r="H84" s="238"/>
      <c r="I84" s="238">
        <v>13.06</v>
      </c>
      <c r="J84" s="238">
        <v>14.73</v>
      </c>
      <c r="K84" s="238">
        <v>4.4400000000000004</v>
      </c>
      <c r="L84" s="238"/>
      <c r="M84" s="238">
        <v>2.9</v>
      </c>
      <c r="N84" s="238"/>
      <c r="O84" s="238">
        <v>3.02</v>
      </c>
      <c r="R84" s="238">
        <v>3.02</v>
      </c>
      <c r="S84" s="238">
        <v>38.15</v>
      </c>
      <c r="T84" s="238">
        <v>35.130000000000003</v>
      </c>
      <c r="U84" s="238">
        <v>36.64</v>
      </c>
      <c r="V84" s="238">
        <v>126415.6</v>
      </c>
      <c r="W84">
        <v>2528.3120000000004</v>
      </c>
      <c r="X84">
        <v>128943.912</v>
      </c>
      <c r="Y84">
        <v>1000</v>
      </c>
      <c r="Z84">
        <v>129943.912</v>
      </c>
      <c r="AA84">
        <v>215</v>
      </c>
      <c r="AB84">
        <v>130158.912</v>
      </c>
      <c r="AD84">
        <v>130158.912</v>
      </c>
      <c r="AF84">
        <v>130158.912</v>
      </c>
      <c r="AH84">
        <v>130158.912</v>
      </c>
      <c r="AJ84">
        <v>130158.912</v>
      </c>
      <c r="AL84">
        <v>130158.912</v>
      </c>
      <c r="AM84" s="238">
        <v>130158.91</v>
      </c>
      <c r="AN84" s="238">
        <v>4769100</v>
      </c>
      <c r="AP84" s="238">
        <v>0.02</v>
      </c>
      <c r="AQ84" s="238">
        <v>95382</v>
      </c>
      <c r="AR84" s="238">
        <v>127557.80567685587</v>
      </c>
      <c r="AS84" s="238">
        <v>4673718</v>
      </c>
      <c r="AT84" s="238" t="s">
        <v>36</v>
      </c>
      <c r="AU84" s="238"/>
      <c r="AW84">
        <v>127557.80567685587</v>
      </c>
      <c r="AX84" s="238">
        <v>0</v>
      </c>
      <c r="AY84" s="238">
        <v>4673718</v>
      </c>
      <c r="AZ84" t="s">
        <v>3540</v>
      </c>
      <c r="BA84" s="238" t="s">
        <v>39</v>
      </c>
      <c r="BB84" s="238" t="s">
        <v>39</v>
      </c>
      <c r="BC84" t="s">
        <v>8950</v>
      </c>
      <c r="BD84" t="s">
        <v>1167</v>
      </c>
      <c r="BE84" t="s">
        <v>8962</v>
      </c>
      <c r="BF84" t="s">
        <v>8972</v>
      </c>
      <c r="BG84" t="b">
        <v>1</v>
      </c>
      <c r="BH84">
        <v>4769100</v>
      </c>
      <c r="BI84" t="s">
        <v>9002</v>
      </c>
      <c r="BJ84">
        <v>4769100</v>
      </c>
      <c r="BK84">
        <v>4769100</v>
      </c>
      <c r="BL84">
        <v>0</v>
      </c>
      <c r="BM84" t="s">
        <v>36</v>
      </c>
      <c r="BN84" t="b">
        <v>1</v>
      </c>
      <c r="BO84" t="s">
        <v>8143</v>
      </c>
    </row>
    <row r="85" spans="1:67" x14ac:dyDescent="0.25">
      <c r="A85" s="238">
        <v>84</v>
      </c>
      <c r="B85" s="238">
        <v>1</v>
      </c>
      <c r="C85" s="238">
        <v>15</v>
      </c>
      <c r="D85" s="238">
        <v>6</v>
      </c>
      <c r="E85" s="238">
        <v>1</v>
      </c>
      <c r="F85" s="238">
        <v>14.57</v>
      </c>
      <c r="G85" s="238"/>
      <c r="H85" s="238"/>
      <c r="I85" s="238">
        <v>14.57</v>
      </c>
      <c r="J85" s="238">
        <v>16.57</v>
      </c>
      <c r="K85" s="238">
        <v>4.46</v>
      </c>
      <c r="L85" s="238"/>
      <c r="M85" s="238">
        <v>7.75</v>
      </c>
      <c r="N85" s="238"/>
      <c r="O85" s="238">
        <v>3.1</v>
      </c>
      <c r="R85" s="238">
        <v>3.1</v>
      </c>
      <c r="S85" s="238">
        <v>46.45</v>
      </c>
      <c r="T85" s="238">
        <v>43.35</v>
      </c>
      <c r="U85" s="238">
        <v>44.9</v>
      </c>
      <c r="V85" s="238">
        <v>122837.8</v>
      </c>
      <c r="X85">
        <v>122837.8</v>
      </c>
      <c r="Y85">
        <v>1000</v>
      </c>
      <c r="Z85">
        <v>123837.8</v>
      </c>
      <c r="AA85">
        <v>215</v>
      </c>
      <c r="AB85">
        <v>124052.8</v>
      </c>
      <c r="AC85">
        <v>17.5</v>
      </c>
      <c r="AD85">
        <v>124070.3</v>
      </c>
      <c r="AE85">
        <v>620.35149999999999</v>
      </c>
      <c r="AF85">
        <v>124690.65150000001</v>
      </c>
      <c r="AG85">
        <v>1246.9065149999999</v>
      </c>
      <c r="AH85">
        <v>125937.558015</v>
      </c>
      <c r="AI85">
        <v>1259.3755801499999</v>
      </c>
      <c r="AJ85">
        <v>127196.93359515</v>
      </c>
      <c r="AL85">
        <v>127196.93359515</v>
      </c>
      <c r="AM85" s="238">
        <v>127196.93</v>
      </c>
      <c r="AN85" s="238">
        <v>5711200</v>
      </c>
      <c r="AP85" s="238">
        <v>0.02</v>
      </c>
      <c r="AQ85" s="238">
        <v>114224</v>
      </c>
      <c r="AR85" s="238">
        <v>124654.25389755012</v>
      </c>
      <c r="AS85" s="238">
        <v>5596976</v>
      </c>
      <c r="AT85" s="238" t="s">
        <v>36</v>
      </c>
      <c r="AU85" s="238"/>
      <c r="AW85">
        <v>124654.25389755012</v>
      </c>
      <c r="AX85" s="238">
        <v>0</v>
      </c>
      <c r="AY85" s="238">
        <v>5596976</v>
      </c>
      <c r="AZ85" t="s">
        <v>4518</v>
      </c>
      <c r="BA85" s="238" t="s">
        <v>39</v>
      </c>
      <c r="BB85" s="238" t="s">
        <v>39</v>
      </c>
      <c r="BC85" t="s">
        <v>8950</v>
      </c>
      <c r="BD85" t="s">
        <v>1167</v>
      </c>
      <c r="BE85" t="s">
        <v>8962</v>
      </c>
      <c r="BF85" t="s">
        <v>8972</v>
      </c>
      <c r="BG85" t="b">
        <v>1</v>
      </c>
      <c r="BH85">
        <v>5711200</v>
      </c>
      <c r="BI85" t="s">
        <v>9002</v>
      </c>
      <c r="BJ85">
        <v>0</v>
      </c>
      <c r="BK85">
        <v>5711200</v>
      </c>
      <c r="BL85">
        <v>0</v>
      </c>
      <c r="BM85" t="s">
        <v>36</v>
      </c>
      <c r="BN85" t="b">
        <v>1</v>
      </c>
      <c r="BO85" t="s">
        <v>8144</v>
      </c>
    </row>
    <row r="86" spans="1:67" x14ac:dyDescent="0.25">
      <c r="A86" s="238">
        <v>85</v>
      </c>
      <c r="B86" s="238">
        <v>1</v>
      </c>
      <c r="C86" s="238">
        <v>16</v>
      </c>
      <c r="D86" s="238">
        <v>1</v>
      </c>
      <c r="E86" s="238">
        <v>0</v>
      </c>
      <c r="F86" s="238">
        <v>14.66</v>
      </c>
      <c r="G86" s="238"/>
      <c r="H86" s="238"/>
      <c r="I86" s="238">
        <v>14.66</v>
      </c>
      <c r="J86" s="238">
        <v>6.15</v>
      </c>
      <c r="K86" s="238">
        <v>4.7300000000000004</v>
      </c>
      <c r="L86" s="238"/>
      <c r="M86" s="238">
        <v>3.86</v>
      </c>
      <c r="N86" s="238"/>
      <c r="O86" s="238"/>
      <c r="R86" s="238">
        <v>0</v>
      </c>
      <c r="S86" s="238">
        <v>29.4</v>
      </c>
      <c r="T86" s="238">
        <v>29.4</v>
      </c>
      <c r="U86" s="238">
        <v>29.4</v>
      </c>
      <c r="V86" s="238">
        <v>139730</v>
      </c>
      <c r="W86">
        <v>200</v>
      </c>
      <c r="X86">
        <v>139930</v>
      </c>
      <c r="Y86">
        <v>1000</v>
      </c>
      <c r="Z86">
        <v>140930</v>
      </c>
      <c r="AA86">
        <v>215</v>
      </c>
      <c r="AB86">
        <v>141145</v>
      </c>
      <c r="AC86">
        <v>17.5</v>
      </c>
      <c r="AD86">
        <v>141162.5</v>
      </c>
      <c r="AF86">
        <v>141162.5</v>
      </c>
      <c r="AH86">
        <v>141162.5</v>
      </c>
      <c r="AJ86">
        <v>141162.5</v>
      </c>
      <c r="AL86">
        <v>141162.5</v>
      </c>
      <c r="AM86" s="238">
        <v>141162.5</v>
      </c>
      <c r="AN86" s="238">
        <v>4150200</v>
      </c>
      <c r="AP86" s="238"/>
      <c r="AQ86" s="238">
        <v>0</v>
      </c>
      <c r="AR86" s="238">
        <v>141163.26530612246</v>
      </c>
      <c r="AS86" s="238">
        <v>4150200</v>
      </c>
      <c r="AT86" s="238" t="s">
        <v>38</v>
      </c>
      <c r="AU86" s="238">
        <v>30000</v>
      </c>
      <c r="AV86" t="s">
        <v>8816</v>
      </c>
      <c r="AW86">
        <v>171163.26530612246</v>
      </c>
      <c r="AX86" s="238">
        <v>882000</v>
      </c>
      <c r="AY86" s="238">
        <v>5032200</v>
      </c>
      <c r="BA86" s="238" t="s">
        <v>3</v>
      </c>
      <c r="BB86" s="238" t="s">
        <v>3</v>
      </c>
      <c r="BC86" t="s">
        <v>8951</v>
      </c>
      <c r="BD86" t="s">
        <v>1167</v>
      </c>
      <c r="BE86" t="s">
        <v>8962</v>
      </c>
      <c r="BF86" t="s">
        <v>8970</v>
      </c>
      <c r="BG86" t="b">
        <v>1</v>
      </c>
      <c r="BH86">
        <v>4150200</v>
      </c>
      <c r="BI86">
        <v>4150200</v>
      </c>
      <c r="BJ86">
        <v>0</v>
      </c>
      <c r="BK86">
        <v>0</v>
      </c>
      <c r="BL86">
        <v>0</v>
      </c>
      <c r="BM86" t="s">
        <v>38</v>
      </c>
      <c r="BN86" t="b">
        <v>1</v>
      </c>
      <c r="BO86" t="s">
        <v>8145</v>
      </c>
    </row>
    <row r="87" spans="1:67" x14ac:dyDescent="0.25">
      <c r="A87" s="238">
        <v>86</v>
      </c>
      <c r="B87" s="238">
        <v>1</v>
      </c>
      <c r="C87" s="238">
        <v>16</v>
      </c>
      <c r="D87" s="238">
        <v>2</v>
      </c>
      <c r="E87" s="238">
        <v>2</v>
      </c>
      <c r="F87" s="238">
        <v>16.100000000000001</v>
      </c>
      <c r="G87" s="238">
        <v>10.8</v>
      </c>
      <c r="H87" s="238"/>
      <c r="I87" s="238">
        <v>26.9</v>
      </c>
      <c r="J87" s="238">
        <v>17.32</v>
      </c>
      <c r="K87" s="238">
        <v>4.25</v>
      </c>
      <c r="L87" s="238"/>
      <c r="M87" s="238">
        <v>9.68</v>
      </c>
      <c r="N87" s="238"/>
      <c r="O87" s="238">
        <v>3.15</v>
      </c>
      <c r="R87" s="238">
        <v>3.15</v>
      </c>
      <c r="S87" s="238">
        <v>61.3</v>
      </c>
      <c r="T87" s="238">
        <v>58.15</v>
      </c>
      <c r="U87" s="238">
        <v>59.73</v>
      </c>
      <c r="V87" s="238">
        <v>119811.8</v>
      </c>
      <c r="X87">
        <v>119811.8</v>
      </c>
      <c r="Y87">
        <v>1000</v>
      </c>
      <c r="Z87">
        <v>120811.8</v>
      </c>
      <c r="AA87">
        <v>215</v>
      </c>
      <c r="AB87">
        <v>121026.8</v>
      </c>
      <c r="AC87">
        <v>17.5</v>
      </c>
      <c r="AD87">
        <v>121044.3</v>
      </c>
      <c r="AE87">
        <v>605.22149999999999</v>
      </c>
      <c r="AF87">
        <v>121649.5215</v>
      </c>
      <c r="AH87">
        <v>121649.5215</v>
      </c>
      <c r="AJ87">
        <v>121649.5215</v>
      </c>
      <c r="AK87">
        <v>3649.4856450000002</v>
      </c>
      <c r="AL87">
        <v>125299.007145</v>
      </c>
      <c r="AM87" s="238">
        <v>125299.01</v>
      </c>
      <c r="AN87" s="238">
        <v>7484200</v>
      </c>
      <c r="AP87" s="238"/>
      <c r="AQ87" s="238">
        <v>0</v>
      </c>
      <c r="AR87" s="238">
        <v>125300.51900217649</v>
      </c>
      <c r="AS87" s="238">
        <v>7484200</v>
      </c>
      <c r="AT87" s="238" t="s">
        <v>36</v>
      </c>
      <c r="AU87" s="238"/>
      <c r="AW87">
        <v>125300.51900217649</v>
      </c>
      <c r="AX87" s="238">
        <v>0</v>
      </c>
      <c r="AY87" s="238">
        <v>7484200</v>
      </c>
      <c r="BA87" s="238" t="s">
        <v>35</v>
      </c>
      <c r="BB87" s="238" t="s">
        <v>35</v>
      </c>
      <c r="BC87" t="s">
        <v>8953</v>
      </c>
      <c r="BD87" t="s">
        <v>8954</v>
      </c>
      <c r="BE87" t="s">
        <v>8962</v>
      </c>
      <c r="BF87" t="s">
        <v>8971</v>
      </c>
      <c r="BG87" t="b">
        <v>1</v>
      </c>
      <c r="BH87">
        <v>7484200</v>
      </c>
      <c r="BI87">
        <v>7484200</v>
      </c>
      <c r="BJ87">
        <v>0</v>
      </c>
      <c r="BK87">
        <v>0</v>
      </c>
      <c r="BL87">
        <v>0</v>
      </c>
      <c r="BM87" t="s">
        <v>36</v>
      </c>
      <c r="BN87" t="b">
        <v>1</v>
      </c>
      <c r="BO87" t="s">
        <v>8146</v>
      </c>
    </row>
    <row r="88" spans="1:67" x14ac:dyDescent="0.25">
      <c r="A88" s="238">
        <v>87</v>
      </c>
      <c r="B88" s="238">
        <v>1</v>
      </c>
      <c r="C88" s="238">
        <v>16</v>
      </c>
      <c r="D88" s="238">
        <v>3</v>
      </c>
      <c r="E88" s="238">
        <v>2</v>
      </c>
      <c r="F88" s="238">
        <v>16.41</v>
      </c>
      <c r="G88" s="238">
        <v>12.19</v>
      </c>
      <c r="H88" s="238"/>
      <c r="I88" s="238">
        <v>28.6</v>
      </c>
      <c r="J88" s="238">
        <v>14.24</v>
      </c>
      <c r="K88" s="238">
        <v>3.86</v>
      </c>
      <c r="L88" s="238"/>
      <c r="M88" s="238">
        <v>6.1</v>
      </c>
      <c r="N88" s="238"/>
      <c r="O88" s="238">
        <v>3.33</v>
      </c>
      <c r="R88" s="238">
        <v>3.33</v>
      </c>
      <c r="S88" s="238">
        <v>56.13</v>
      </c>
      <c r="T88" s="238">
        <v>52.8</v>
      </c>
      <c r="U88" s="238">
        <v>54.47</v>
      </c>
      <c r="V88" s="238">
        <v>116420.9</v>
      </c>
      <c r="X88">
        <v>116420.9</v>
      </c>
      <c r="Y88">
        <v>1000</v>
      </c>
      <c r="Z88">
        <v>117420.9</v>
      </c>
      <c r="AA88">
        <v>215</v>
      </c>
      <c r="AB88">
        <v>117635.9</v>
      </c>
      <c r="AC88">
        <v>17.5</v>
      </c>
      <c r="AD88">
        <v>117653.4</v>
      </c>
      <c r="AE88">
        <v>588.26699999999994</v>
      </c>
      <c r="AF88">
        <v>118241.667</v>
      </c>
      <c r="AH88">
        <v>118241.667</v>
      </c>
      <c r="AJ88">
        <v>118241.667</v>
      </c>
      <c r="AL88">
        <v>118241.667</v>
      </c>
      <c r="AM88" s="238">
        <v>118241.67</v>
      </c>
      <c r="AN88" s="238">
        <v>6440700</v>
      </c>
      <c r="AP88" s="238"/>
      <c r="AQ88" s="238">
        <v>0</v>
      </c>
      <c r="AR88" s="238">
        <v>118243.06957958508</v>
      </c>
      <c r="AS88" s="238">
        <v>6440700</v>
      </c>
      <c r="AT88" s="238" t="s">
        <v>36</v>
      </c>
      <c r="AU88" s="238"/>
      <c r="AW88">
        <v>118243.06957958508</v>
      </c>
      <c r="AX88" s="238">
        <v>0</v>
      </c>
      <c r="AY88" s="238">
        <v>6440700</v>
      </c>
      <c r="BA88" s="238" t="s">
        <v>35</v>
      </c>
      <c r="BB88" s="238" t="s">
        <v>35</v>
      </c>
      <c r="BC88" t="s">
        <v>8953</v>
      </c>
      <c r="BD88" t="s">
        <v>8954</v>
      </c>
      <c r="BE88" t="s">
        <v>8962</v>
      </c>
      <c r="BF88" t="s">
        <v>8971</v>
      </c>
      <c r="BG88" t="b">
        <v>1</v>
      </c>
      <c r="BH88">
        <v>6440700</v>
      </c>
      <c r="BI88">
        <v>6440700</v>
      </c>
      <c r="BJ88">
        <v>0</v>
      </c>
      <c r="BK88">
        <v>0</v>
      </c>
      <c r="BL88">
        <v>0</v>
      </c>
      <c r="BM88" t="s">
        <v>36</v>
      </c>
      <c r="BN88" t="b">
        <v>1</v>
      </c>
      <c r="BO88" t="s">
        <v>8147</v>
      </c>
    </row>
    <row r="89" spans="1:67" x14ac:dyDescent="0.25">
      <c r="A89" s="238">
        <v>88</v>
      </c>
      <c r="B89" s="238">
        <v>1</v>
      </c>
      <c r="C89" s="238">
        <v>16</v>
      </c>
      <c r="D89" s="238">
        <v>4</v>
      </c>
      <c r="E89" s="238">
        <v>2</v>
      </c>
      <c r="F89" s="238">
        <v>14.98</v>
      </c>
      <c r="G89" s="238">
        <v>12.28</v>
      </c>
      <c r="H89" s="238"/>
      <c r="I89" s="238">
        <v>27.26</v>
      </c>
      <c r="J89" s="238">
        <v>14.78</v>
      </c>
      <c r="K89" s="238">
        <v>4.4400000000000004</v>
      </c>
      <c r="L89" s="238"/>
      <c r="M89" s="238">
        <v>6.25</v>
      </c>
      <c r="N89" s="238"/>
      <c r="O89" s="238">
        <v>3.33</v>
      </c>
      <c r="R89" s="238">
        <v>3.33</v>
      </c>
      <c r="S89" s="238">
        <v>56.06</v>
      </c>
      <c r="T89" s="238">
        <v>52.73</v>
      </c>
      <c r="U89" s="238">
        <v>54.4</v>
      </c>
      <c r="V89" s="238">
        <v>118681.5</v>
      </c>
      <c r="X89">
        <v>118681.5</v>
      </c>
      <c r="Y89">
        <v>1000</v>
      </c>
      <c r="Z89">
        <v>119681.5</v>
      </c>
      <c r="AA89">
        <v>215</v>
      </c>
      <c r="AB89">
        <v>119896.5</v>
      </c>
      <c r="AC89">
        <v>17.5</v>
      </c>
      <c r="AD89">
        <v>119914</v>
      </c>
      <c r="AE89">
        <v>599.57000000000005</v>
      </c>
      <c r="AF89">
        <v>120513.57</v>
      </c>
      <c r="AH89">
        <v>120513.57</v>
      </c>
      <c r="AJ89">
        <v>120513.57</v>
      </c>
      <c r="AL89">
        <v>120513.57</v>
      </c>
      <c r="AM89" s="238">
        <v>120513.57</v>
      </c>
      <c r="AN89" s="238">
        <v>6556000</v>
      </c>
      <c r="AP89" s="238"/>
      <c r="AQ89" s="238">
        <v>0</v>
      </c>
      <c r="AR89" s="238">
        <v>120514.70588235297</v>
      </c>
      <c r="AS89" s="238">
        <v>6556000</v>
      </c>
      <c r="AT89" s="238" t="s">
        <v>36</v>
      </c>
      <c r="AU89" s="238"/>
      <c r="AW89">
        <v>120514.70588235297</v>
      </c>
      <c r="AX89" s="238">
        <v>0</v>
      </c>
      <c r="AY89" s="238">
        <v>6556000</v>
      </c>
      <c r="BA89" s="238" t="s">
        <v>35</v>
      </c>
      <c r="BB89" s="238" t="s">
        <v>35</v>
      </c>
      <c r="BC89" t="s">
        <v>8953</v>
      </c>
      <c r="BD89" t="s">
        <v>8954</v>
      </c>
      <c r="BE89" t="s">
        <v>8962</v>
      </c>
      <c r="BF89" t="s">
        <v>8971</v>
      </c>
      <c r="BG89" t="b">
        <v>1</v>
      </c>
      <c r="BH89">
        <v>6556000</v>
      </c>
      <c r="BI89">
        <v>6556000</v>
      </c>
      <c r="BJ89">
        <v>0</v>
      </c>
      <c r="BK89">
        <v>0</v>
      </c>
      <c r="BL89">
        <v>0</v>
      </c>
      <c r="BM89" t="s">
        <v>36</v>
      </c>
      <c r="BN89" t="b">
        <v>1</v>
      </c>
      <c r="BO89" t="s">
        <v>8148</v>
      </c>
    </row>
    <row r="90" spans="1:67" x14ac:dyDescent="0.25">
      <c r="A90" s="238">
        <v>89</v>
      </c>
      <c r="B90" s="238">
        <v>1</v>
      </c>
      <c r="C90" s="238">
        <v>16</v>
      </c>
      <c r="D90" s="238">
        <v>5</v>
      </c>
      <c r="E90" s="238">
        <v>1</v>
      </c>
      <c r="F90" s="238">
        <v>13.06</v>
      </c>
      <c r="G90" s="238"/>
      <c r="H90" s="238"/>
      <c r="I90" s="238">
        <v>13.06</v>
      </c>
      <c r="J90" s="238">
        <v>14.73</v>
      </c>
      <c r="K90" s="238">
        <v>4.4400000000000004</v>
      </c>
      <c r="L90" s="238"/>
      <c r="M90" s="238">
        <v>2.9</v>
      </c>
      <c r="N90" s="238"/>
      <c r="O90" s="238">
        <v>3.02</v>
      </c>
      <c r="R90" s="238">
        <v>3.02</v>
      </c>
      <c r="S90" s="238">
        <v>38.15</v>
      </c>
      <c r="T90" s="238">
        <v>35.130000000000003</v>
      </c>
      <c r="U90" s="238">
        <v>36.64</v>
      </c>
      <c r="V90" s="238">
        <v>124030.39999999999</v>
      </c>
      <c r="W90">
        <v>2480.6079999999997</v>
      </c>
      <c r="X90">
        <v>126511.008</v>
      </c>
      <c r="Y90">
        <v>1000</v>
      </c>
      <c r="Z90">
        <v>127511.008</v>
      </c>
      <c r="AA90">
        <v>215</v>
      </c>
      <c r="AB90">
        <v>127726.008</v>
      </c>
      <c r="AC90">
        <v>17.5</v>
      </c>
      <c r="AD90">
        <v>127743.508</v>
      </c>
      <c r="AE90">
        <v>1916.1526200000001</v>
      </c>
      <c r="AF90">
        <v>129659.66061999998</v>
      </c>
      <c r="AG90">
        <v>1296.5966061999998</v>
      </c>
      <c r="AH90">
        <v>130956.25722619996</v>
      </c>
      <c r="AI90">
        <v>1309.5625722619998</v>
      </c>
      <c r="AJ90">
        <v>132265.81979846198</v>
      </c>
      <c r="AL90">
        <v>132265.81979846198</v>
      </c>
      <c r="AM90" s="238">
        <v>132265.82</v>
      </c>
      <c r="AN90" s="238">
        <v>4846300</v>
      </c>
      <c r="AP90" s="238">
        <v>0.02</v>
      </c>
      <c r="AQ90" s="238">
        <v>96926</v>
      </c>
      <c r="AR90" s="238">
        <v>129622.65283842797</v>
      </c>
      <c r="AS90" s="238">
        <v>4749374</v>
      </c>
      <c r="AT90" s="238" t="s">
        <v>36</v>
      </c>
      <c r="AU90" s="238"/>
      <c r="AW90">
        <v>129622.65283842797</v>
      </c>
      <c r="AX90" s="238">
        <v>0</v>
      </c>
      <c r="AY90" s="238">
        <v>4749374</v>
      </c>
      <c r="AZ90" t="s">
        <v>3540</v>
      </c>
      <c r="BA90" s="238" t="s">
        <v>39</v>
      </c>
      <c r="BB90" s="238" t="s">
        <v>39</v>
      </c>
      <c r="BC90" t="s">
        <v>8950</v>
      </c>
      <c r="BD90" t="s">
        <v>1167</v>
      </c>
      <c r="BE90" t="s">
        <v>8962</v>
      </c>
      <c r="BF90" t="s">
        <v>8972</v>
      </c>
      <c r="BG90" t="b">
        <v>1</v>
      </c>
      <c r="BH90">
        <v>4846300</v>
      </c>
      <c r="BI90" t="s">
        <v>9002</v>
      </c>
      <c r="BJ90">
        <v>0</v>
      </c>
      <c r="BK90">
        <v>4846300</v>
      </c>
      <c r="BL90">
        <v>0</v>
      </c>
      <c r="BM90" t="s">
        <v>36</v>
      </c>
      <c r="BN90" t="b">
        <v>1</v>
      </c>
      <c r="BO90" t="s">
        <v>8149</v>
      </c>
    </row>
    <row r="91" spans="1:67" x14ac:dyDescent="0.25">
      <c r="A91" s="238">
        <v>90</v>
      </c>
      <c r="B91" s="238">
        <v>1</v>
      </c>
      <c r="C91" s="238">
        <v>16</v>
      </c>
      <c r="D91" s="238">
        <v>6</v>
      </c>
      <c r="E91" s="238">
        <v>1</v>
      </c>
      <c r="F91" s="238">
        <v>14.57</v>
      </c>
      <c r="G91" s="238"/>
      <c r="H91" s="238"/>
      <c r="I91" s="238">
        <v>14.57</v>
      </c>
      <c r="J91" s="238">
        <v>16.57</v>
      </c>
      <c r="K91" s="238">
        <v>4.46</v>
      </c>
      <c r="L91" s="238"/>
      <c r="M91" s="238">
        <v>7.75</v>
      </c>
      <c r="N91" s="238"/>
      <c r="O91" s="238">
        <v>3.1</v>
      </c>
      <c r="R91" s="238">
        <v>3.1</v>
      </c>
      <c r="S91" s="238">
        <v>46.45</v>
      </c>
      <c r="T91" s="238">
        <v>43.35</v>
      </c>
      <c r="U91" s="238">
        <v>44.9</v>
      </c>
      <c r="V91" s="238">
        <v>122837.8</v>
      </c>
      <c r="X91">
        <v>122837.8</v>
      </c>
      <c r="Y91">
        <v>1000</v>
      </c>
      <c r="Z91">
        <v>123837.8</v>
      </c>
      <c r="AA91">
        <v>215</v>
      </c>
      <c r="AB91">
        <v>124052.8</v>
      </c>
      <c r="AC91">
        <v>17.5</v>
      </c>
      <c r="AD91">
        <v>124070.3</v>
      </c>
      <c r="AE91">
        <v>620.35149999999999</v>
      </c>
      <c r="AF91">
        <v>124690.65150000001</v>
      </c>
      <c r="AG91">
        <v>1246.9065149999999</v>
      </c>
      <c r="AH91">
        <v>125937.558015</v>
      </c>
      <c r="AI91">
        <v>1259.3755801499999</v>
      </c>
      <c r="AJ91">
        <v>127196.93359515</v>
      </c>
      <c r="AK91">
        <v>2543.9386719029999</v>
      </c>
      <c r="AL91">
        <v>129740.872267053</v>
      </c>
      <c r="AM91" s="238">
        <v>129740.87</v>
      </c>
      <c r="AN91" s="238">
        <v>5825400</v>
      </c>
      <c r="AP91" s="238"/>
      <c r="AQ91" s="238">
        <v>0</v>
      </c>
      <c r="AR91" s="238">
        <v>129741.64810690423</v>
      </c>
      <c r="AS91" s="238">
        <v>5825400</v>
      </c>
      <c r="AT91" s="238" t="s">
        <v>36</v>
      </c>
      <c r="AU91" s="238"/>
      <c r="AW91">
        <v>129741.64810690423</v>
      </c>
      <c r="AX91" s="238">
        <v>0</v>
      </c>
      <c r="AY91" s="238">
        <v>5825400</v>
      </c>
      <c r="BA91" s="238" t="s">
        <v>35</v>
      </c>
      <c r="BB91" s="238" t="s">
        <v>35</v>
      </c>
      <c r="BC91" t="s">
        <v>8953</v>
      </c>
      <c r="BD91" t="s">
        <v>8954</v>
      </c>
      <c r="BE91" t="s">
        <v>8962</v>
      </c>
      <c r="BF91" t="s">
        <v>8972</v>
      </c>
      <c r="BG91" t="b">
        <v>1</v>
      </c>
      <c r="BH91">
        <v>5825400</v>
      </c>
      <c r="BI91">
        <v>5825400</v>
      </c>
      <c r="BJ91">
        <v>0</v>
      </c>
      <c r="BK91">
        <v>0</v>
      </c>
      <c r="BL91">
        <v>0</v>
      </c>
      <c r="BM91" t="s">
        <v>36</v>
      </c>
      <c r="BN91" t="b">
        <v>1</v>
      </c>
      <c r="BO91" t="s">
        <v>8150</v>
      </c>
    </row>
    <row r="92" spans="1:67" x14ac:dyDescent="0.25">
      <c r="A92" s="238">
        <v>91</v>
      </c>
      <c r="B92" s="238">
        <v>1</v>
      </c>
      <c r="C92" s="238">
        <v>17</v>
      </c>
      <c r="D92" s="238">
        <v>1</v>
      </c>
      <c r="E92" s="238">
        <v>0</v>
      </c>
      <c r="F92" s="238">
        <v>14.66</v>
      </c>
      <c r="G92" s="238"/>
      <c r="H92" s="238"/>
      <c r="I92" s="238">
        <v>14.66</v>
      </c>
      <c r="J92" s="238">
        <v>6.15</v>
      </c>
      <c r="K92" s="238">
        <v>4.7300000000000004</v>
      </c>
      <c r="L92" s="238"/>
      <c r="M92" s="238">
        <v>3.86</v>
      </c>
      <c r="N92" s="238"/>
      <c r="O92" s="238"/>
      <c r="R92" s="238">
        <v>0</v>
      </c>
      <c r="S92" s="238">
        <v>29.4</v>
      </c>
      <c r="T92" s="238">
        <v>29.4</v>
      </c>
      <c r="U92" s="238">
        <v>29.4</v>
      </c>
      <c r="V92" s="238">
        <v>139730</v>
      </c>
      <c r="W92">
        <v>200</v>
      </c>
      <c r="X92">
        <v>139930</v>
      </c>
      <c r="Y92">
        <v>1000</v>
      </c>
      <c r="Z92">
        <v>140930</v>
      </c>
      <c r="AA92">
        <v>215</v>
      </c>
      <c r="AB92">
        <v>141145</v>
      </c>
      <c r="AC92">
        <v>17.5</v>
      </c>
      <c r="AD92">
        <v>141162.5</v>
      </c>
      <c r="AF92">
        <v>141162.5</v>
      </c>
      <c r="AH92">
        <v>141162.5</v>
      </c>
      <c r="AJ92">
        <v>141162.5</v>
      </c>
      <c r="AL92">
        <v>141162.5</v>
      </c>
      <c r="AM92" s="238">
        <v>141162.5</v>
      </c>
      <c r="AN92" s="238">
        <v>4150200</v>
      </c>
      <c r="AP92" s="238"/>
      <c r="AQ92" s="238">
        <v>0</v>
      </c>
      <c r="AR92" s="238">
        <v>141163.26530612246</v>
      </c>
      <c r="AS92" s="238">
        <v>4150200</v>
      </c>
      <c r="AT92" s="238" t="s">
        <v>36</v>
      </c>
      <c r="AU92" s="238"/>
      <c r="AW92">
        <v>141163.26530612246</v>
      </c>
      <c r="AX92" s="238">
        <v>0</v>
      </c>
      <c r="AY92" s="238">
        <v>4150200</v>
      </c>
      <c r="BA92" s="238" t="s">
        <v>3</v>
      </c>
      <c r="BB92" s="238" t="s">
        <v>3</v>
      </c>
      <c r="BC92" t="s">
        <v>8951</v>
      </c>
      <c r="BD92" t="s">
        <v>1167</v>
      </c>
      <c r="BE92" t="s">
        <v>8962</v>
      </c>
      <c r="BF92" t="s">
        <v>8970</v>
      </c>
      <c r="BG92" t="b">
        <v>1</v>
      </c>
      <c r="BH92">
        <v>4150200</v>
      </c>
      <c r="BI92">
        <v>4150200</v>
      </c>
      <c r="BJ92">
        <v>0</v>
      </c>
      <c r="BK92">
        <v>0</v>
      </c>
      <c r="BL92">
        <v>0</v>
      </c>
      <c r="BM92" t="s">
        <v>8787</v>
      </c>
      <c r="BN92" t="b">
        <v>0</v>
      </c>
      <c r="BO92" t="s">
        <v>8151</v>
      </c>
    </row>
    <row r="93" spans="1:67" x14ac:dyDescent="0.25">
      <c r="A93" s="238">
        <v>92</v>
      </c>
      <c r="B93" s="238">
        <v>1</v>
      </c>
      <c r="C93" s="238">
        <v>17</v>
      </c>
      <c r="D93" s="238">
        <v>2</v>
      </c>
      <c r="E93" s="238">
        <v>2</v>
      </c>
      <c r="F93" s="238">
        <v>16.100000000000001</v>
      </c>
      <c r="G93" s="238">
        <v>10.8</v>
      </c>
      <c r="H93" s="238"/>
      <c r="I93" s="238">
        <v>26.9</v>
      </c>
      <c r="J93" s="238">
        <v>17.32</v>
      </c>
      <c r="K93" s="238">
        <v>4.25</v>
      </c>
      <c r="L93" s="238"/>
      <c r="M93" s="238">
        <v>9.68</v>
      </c>
      <c r="N93" s="238"/>
      <c r="O93" s="238">
        <v>3.15</v>
      </c>
      <c r="R93" s="238">
        <v>3.15</v>
      </c>
      <c r="S93" s="238">
        <v>61.3</v>
      </c>
      <c r="T93" s="238">
        <v>58.15</v>
      </c>
      <c r="U93" s="238">
        <v>59.73</v>
      </c>
      <c r="V93" s="238">
        <v>119811.8</v>
      </c>
      <c r="X93">
        <v>119811.8</v>
      </c>
      <c r="Y93">
        <v>1000</v>
      </c>
      <c r="Z93">
        <v>120811.8</v>
      </c>
      <c r="AA93">
        <v>215</v>
      </c>
      <c r="AB93">
        <v>121026.8</v>
      </c>
      <c r="AC93">
        <v>17.5</v>
      </c>
      <c r="AD93">
        <v>121044.3</v>
      </c>
      <c r="AE93">
        <v>605.22149999999999</v>
      </c>
      <c r="AF93">
        <v>121649.5215</v>
      </c>
      <c r="AH93">
        <v>121649.5215</v>
      </c>
      <c r="AJ93">
        <v>121649.5215</v>
      </c>
      <c r="AK93">
        <v>3649.4856450000002</v>
      </c>
      <c r="AL93">
        <v>125299.007145</v>
      </c>
      <c r="AM93" s="238">
        <v>125299.01</v>
      </c>
      <c r="AN93" s="238">
        <v>7484200</v>
      </c>
      <c r="AP93" s="238"/>
      <c r="AQ93" s="238">
        <v>0</v>
      </c>
      <c r="AR93" s="238">
        <v>125300.51900217649</v>
      </c>
      <c r="AS93" s="238">
        <v>7484200</v>
      </c>
      <c r="AT93" s="238" t="s">
        <v>38</v>
      </c>
      <c r="AU93" s="238">
        <v>30000</v>
      </c>
      <c r="AV93" t="s">
        <v>8816</v>
      </c>
      <c r="AW93">
        <v>155300.51900217647</v>
      </c>
      <c r="AX93" s="238">
        <v>1791900</v>
      </c>
      <c r="AY93" s="238">
        <v>9276100</v>
      </c>
      <c r="BA93" s="238" t="s">
        <v>3</v>
      </c>
      <c r="BB93" s="238" t="s">
        <v>3</v>
      </c>
      <c r="BC93" t="s">
        <v>8951</v>
      </c>
      <c r="BD93" t="s">
        <v>1167</v>
      </c>
      <c r="BE93" t="s">
        <v>8962</v>
      </c>
      <c r="BF93" t="s">
        <v>8971</v>
      </c>
      <c r="BG93" t="b">
        <v>1</v>
      </c>
      <c r="BH93">
        <v>7484200</v>
      </c>
      <c r="BI93">
        <v>7484200</v>
      </c>
      <c r="BJ93">
        <v>0</v>
      </c>
      <c r="BK93">
        <v>0</v>
      </c>
      <c r="BL93">
        <v>0</v>
      </c>
      <c r="BM93" t="s">
        <v>38</v>
      </c>
      <c r="BN93" t="b">
        <v>1</v>
      </c>
      <c r="BO93" t="s">
        <v>8152</v>
      </c>
    </row>
    <row r="94" spans="1:67" x14ac:dyDescent="0.25">
      <c r="A94" s="238">
        <v>93</v>
      </c>
      <c r="B94" s="238">
        <v>1</v>
      </c>
      <c r="C94" s="238">
        <v>17</v>
      </c>
      <c r="D94" s="238">
        <v>3</v>
      </c>
      <c r="E94" s="238">
        <v>2</v>
      </c>
      <c r="F94" s="238">
        <v>16.41</v>
      </c>
      <c r="G94" s="238">
        <v>12.19</v>
      </c>
      <c r="H94" s="238"/>
      <c r="I94" s="238">
        <v>28.6</v>
      </c>
      <c r="J94" s="238">
        <v>14.24</v>
      </c>
      <c r="K94" s="238">
        <v>3.86</v>
      </c>
      <c r="L94" s="238"/>
      <c r="M94" s="238">
        <v>6.1</v>
      </c>
      <c r="N94" s="238"/>
      <c r="O94" s="238">
        <v>3.33</v>
      </c>
      <c r="R94" s="238">
        <v>3.33</v>
      </c>
      <c r="S94" s="238">
        <v>56.13</v>
      </c>
      <c r="T94" s="238">
        <v>52.8</v>
      </c>
      <c r="U94" s="238">
        <v>54.47</v>
      </c>
      <c r="V94" s="238">
        <v>117551.2</v>
      </c>
      <c r="X94">
        <v>117551.2</v>
      </c>
      <c r="Y94">
        <v>1000</v>
      </c>
      <c r="Z94">
        <v>118551.2</v>
      </c>
      <c r="AA94">
        <v>215</v>
      </c>
      <c r="AB94">
        <v>118766.2</v>
      </c>
      <c r="AC94">
        <v>17.5</v>
      </c>
      <c r="AD94">
        <v>118783.7</v>
      </c>
      <c r="AE94">
        <v>593.91849999999999</v>
      </c>
      <c r="AF94">
        <v>119377.6185</v>
      </c>
      <c r="AH94">
        <v>119377.6185</v>
      </c>
      <c r="AJ94">
        <v>119377.6185</v>
      </c>
      <c r="AL94">
        <v>119377.6185</v>
      </c>
      <c r="AM94" s="238">
        <v>119377.62</v>
      </c>
      <c r="AN94" s="238">
        <v>6502500</v>
      </c>
      <c r="AP94" s="238"/>
      <c r="AQ94" s="238">
        <v>0</v>
      </c>
      <c r="AR94" s="238">
        <v>119377.63906737654</v>
      </c>
      <c r="AS94" s="238">
        <v>6502500</v>
      </c>
      <c r="AT94" s="238" t="s">
        <v>36</v>
      </c>
      <c r="AU94" s="238"/>
      <c r="AW94">
        <v>119377.63906737654</v>
      </c>
      <c r="AX94" s="238">
        <v>0</v>
      </c>
      <c r="AY94" s="238">
        <v>6502500</v>
      </c>
      <c r="BA94" s="238" t="s">
        <v>35</v>
      </c>
      <c r="BB94" s="238" t="s">
        <v>35</v>
      </c>
      <c r="BC94" t="s">
        <v>8953</v>
      </c>
      <c r="BD94" t="s">
        <v>8954</v>
      </c>
      <c r="BE94" t="s">
        <v>8962</v>
      </c>
      <c r="BF94" t="s">
        <v>8971</v>
      </c>
      <c r="BG94" t="b">
        <v>1</v>
      </c>
      <c r="BH94">
        <v>6502500</v>
      </c>
      <c r="BI94">
        <v>6502500</v>
      </c>
      <c r="BJ94">
        <v>0</v>
      </c>
      <c r="BK94">
        <v>0</v>
      </c>
      <c r="BL94">
        <v>0</v>
      </c>
      <c r="BM94" t="s">
        <v>36</v>
      </c>
      <c r="BN94" t="b">
        <v>1</v>
      </c>
      <c r="BO94" t="s">
        <v>8153</v>
      </c>
    </row>
    <row r="95" spans="1:67" x14ac:dyDescent="0.25">
      <c r="A95" s="238">
        <v>94</v>
      </c>
      <c r="B95" s="238">
        <v>1</v>
      </c>
      <c r="C95" s="238">
        <v>17</v>
      </c>
      <c r="D95" s="238">
        <v>4</v>
      </c>
      <c r="E95" s="238">
        <v>2</v>
      </c>
      <c r="F95" s="238">
        <v>14.98</v>
      </c>
      <c r="G95" s="238">
        <v>12.28</v>
      </c>
      <c r="H95" s="238"/>
      <c r="I95" s="238">
        <v>27.26</v>
      </c>
      <c r="J95" s="238">
        <v>14.78</v>
      </c>
      <c r="K95" s="238">
        <v>4.4400000000000004</v>
      </c>
      <c r="L95" s="238"/>
      <c r="M95" s="238">
        <v>6.25</v>
      </c>
      <c r="N95" s="238"/>
      <c r="O95" s="238">
        <v>3.33</v>
      </c>
      <c r="R95" s="238">
        <v>3.33</v>
      </c>
      <c r="S95" s="238">
        <v>56.06</v>
      </c>
      <c r="T95" s="238">
        <v>52.73</v>
      </c>
      <c r="U95" s="238">
        <v>54.4</v>
      </c>
      <c r="V95" s="238">
        <v>119811.8</v>
      </c>
      <c r="X95">
        <v>119811.8</v>
      </c>
      <c r="Y95">
        <v>1000</v>
      </c>
      <c r="Z95">
        <v>120811.8</v>
      </c>
      <c r="AA95">
        <v>215</v>
      </c>
      <c r="AB95">
        <v>121026.8</v>
      </c>
      <c r="AC95">
        <v>17.5</v>
      </c>
      <c r="AD95">
        <v>121044.3</v>
      </c>
      <c r="AE95">
        <v>605.22149999999999</v>
      </c>
      <c r="AF95">
        <v>121649.5215</v>
      </c>
      <c r="AH95">
        <v>121649.5215</v>
      </c>
      <c r="AJ95">
        <v>121649.5215</v>
      </c>
      <c r="AL95">
        <v>121649.5215</v>
      </c>
      <c r="AM95" s="238">
        <v>121649.52</v>
      </c>
      <c r="AN95" s="238">
        <v>6617800</v>
      </c>
      <c r="AP95" s="238"/>
      <c r="AQ95" s="238">
        <v>0</v>
      </c>
      <c r="AR95" s="238">
        <v>121650.73529411764</v>
      </c>
      <c r="AS95" s="238">
        <v>6617800</v>
      </c>
      <c r="AT95" s="238" t="s">
        <v>36</v>
      </c>
      <c r="AU95" s="238"/>
      <c r="AW95">
        <v>121650.73529411764</v>
      </c>
      <c r="AX95" s="238">
        <v>0</v>
      </c>
      <c r="AY95" s="238">
        <v>6617800</v>
      </c>
      <c r="BA95" s="238" t="s">
        <v>35</v>
      </c>
      <c r="BB95" s="238" t="s">
        <v>35</v>
      </c>
      <c r="BC95" t="s">
        <v>8953</v>
      </c>
      <c r="BD95" t="s">
        <v>8954</v>
      </c>
      <c r="BE95" t="s">
        <v>8962</v>
      </c>
      <c r="BF95" t="s">
        <v>8971</v>
      </c>
      <c r="BG95" t="b">
        <v>1</v>
      </c>
      <c r="BH95">
        <v>6617800</v>
      </c>
      <c r="BI95">
        <v>6617800</v>
      </c>
      <c r="BJ95">
        <v>0</v>
      </c>
      <c r="BK95">
        <v>0</v>
      </c>
      <c r="BL95">
        <v>0</v>
      </c>
      <c r="BM95" t="s">
        <v>36</v>
      </c>
      <c r="BN95" t="b">
        <v>1</v>
      </c>
      <c r="BO95" t="s">
        <v>8154</v>
      </c>
    </row>
    <row r="96" spans="1:67" x14ac:dyDescent="0.25">
      <c r="A96" s="238">
        <v>95</v>
      </c>
      <c r="B96" s="238">
        <v>1</v>
      </c>
      <c r="C96" s="238">
        <v>17</v>
      </c>
      <c r="D96" s="238">
        <v>5</v>
      </c>
      <c r="E96" s="238">
        <v>1</v>
      </c>
      <c r="F96" s="238">
        <v>13.06</v>
      </c>
      <c r="G96" s="238"/>
      <c r="H96" s="238"/>
      <c r="I96" s="238">
        <v>13.06</v>
      </c>
      <c r="J96" s="238">
        <v>14.73</v>
      </c>
      <c r="K96" s="238">
        <v>4.4400000000000004</v>
      </c>
      <c r="L96" s="238"/>
      <c r="M96" s="238">
        <v>2.9</v>
      </c>
      <c r="N96" s="238"/>
      <c r="O96" s="238">
        <v>3.02</v>
      </c>
      <c r="R96" s="238">
        <v>3.02</v>
      </c>
      <c r="S96" s="238">
        <v>38.15</v>
      </c>
      <c r="T96" s="238">
        <v>35.130000000000003</v>
      </c>
      <c r="U96" s="238">
        <v>36.64</v>
      </c>
      <c r="V96" s="238">
        <v>126415.6</v>
      </c>
      <c r="W96">
        <v>2528.3120000000004</v>
      </c>
      <c r="X96">
        <v>128943.912</v>
      </c>
      <c r="Y96">
        <v>1000</v>
      </c>
      <c r="Z96">
        <v>129943.912</v>
      </c>
      <c r="AA96">
        <v>215</v>
      </c>
      <c r="AB96">
        <v>130158.912</v>
      </c>
      <c r="AC96">
        <v>17.5</v>
      </c>
      <c r="AD96">
        <v>130176.412</v>
      </c>
      <c r="AF96">
        <v>130176.412</v>
      </c>
      <c r="AH96">
        <v>130176.412</v>
      </c>
      <c r="AJ96">
        <v>130176.412</v>
      </c>
      <c r="AL96">
        <v>130176.412</v>
      </c>
      <c r="AM96" s="238">
        <v>130176.41</v>
      </c>
      <c r="AN96" s="238">
        <v>4769700</v>
      </c>
      <c r="AP96" s="238">
        <v>0.02</v>
      </c>
      <c r="AQ96" s="238">
        <v>95394</v>
      </c>
      <c r="AR96" s="238">
        <v>127573.85371179041</v>
      </c>
      <c r="AS96" s="238">
        <v>4674306</v>
      </c>
      <c r="AT96" s="238" t="s">
        <v>8787</v>
      </c>
      <c r="AU96" s="238">
        <v>10000</v>
      </c>
      <c r="AW96">
        <v>137573.85371179041</v>
      </c>
      <c r="AX96" s="238">
        <v>366400.00000000093</v>
      </c>
      <c r="AY96" s="238">
        <v>5040706.0000000009</v>
      </c>
      <c r="AZ96" t="s">
        <v>3540</v>
      </c>
      <c r="BA96" s="238" t="s">
        <v>39</v>
      </c>
      <c r="BB96" s="238" t="s">
        <v>39</v>
      </c>
      <c r="BC96" t="s">
        <v>8950</v>
      </c>
      <c r="BD96" t="s">
        <v>1167</v>
      </c>
      <c r="BE96" t="s">
        <v>8962</v>
      </c>
      <c r="BF96" t="s">
        <v>8972</v>
      </c>
      <c r="BG96" t="b">
        <v>1</v>
      </c>
      <c r="BH96">
        <v>4769700</v>
      </c>
      <c r="BI96" t="s">
        <v>9002</v>
      </c>
      <c r="BJ96">
        <v>4769700</v>
      </c>
      <c r="BK96">
        <v>4769700</v>
      </c>
      <c r="BL96">
        <v>0</v>
      </c>
      <c r="BM96" t="s">
        <v>8787</v>
      </c>
      <c r="BN96" t="b">
        <v>1</v>
      </c>
      <c r="BO96" t="s">
        <v>8155</v>
      </c>
    </row>
    <row r="97" spans="1:67" x14ac:dyDescent="0.25">
      <c r="A97" s="238">
        <v>96</v>
      </c>
      <c r="B97" s="238">
        <v>1</v>
      </c>
      <c r="C97" s="238">
        <v>17</v>
      </c>
      <c r="D97" s="238">
        <v>6</v>
      </c>
      <c r="E97" s="238">
        <v>1</v>
      </c>
      <c r="F97" s="238">
        <v>14.57</v>
      </c>
      <c r="G97" s="238"/>
      <c r="H97" s="238"/>
      <c r="I97" s="238">
        <v>14.57</v>
      </c>
      <c r="J97" s="238">
        <v>16.57</v>
      </c>
      <c r="K97" s="238">
        <v>4.46</v>
      </c>
      <c r="L97" s="238"/>
      <c r="M97" s="238">
        <v>7.75</v>
      </c>
      <c r="N97" s="238"/>
      <c r="O97" s="238">
        <v>3.1</v>
      </c>
      <c r="R97" s="238">
        <v>3.1</v>
      </c>
      <c r="S97" s="238">
        <v>46.45</v>
      </c>
      <c r="T97" s="238">
        <v>43.35</v>
      </c>
      <c r="U97" s="238">
        <v>44.9</v>
      </c>
      <c r="V97" s="238">
        <v>120452.6</v>
      </c>
      <c r="X97">
        <v>120452.6</v>
      </c>
      <c r="Y97">
        <v>1000</v>
      </c>
      <c r="Z97">
        <v>121452.6</v>
      </c>
      <c r="AA97">
        <v>215</v>
      </c>
      <c r="AB97">
        <v>121667.6</v>
      </c>
      <c r="AC97">
        <v>17.5</v>
      </c>
      <c r="AD97">
        <v>121685.1</v>
      </c>
      <c r="AE97">
        <v>608.42550000000006</v>
      </c>
      <c r="AF97">
        <v>122293.5255</v>
      </c>
      <c r="AG97">
        <v>1222.9352550000001</v>
      </c>
      <c r="AH97">
        <v>123516.46075499999</v>
      </c>
      <c r="AI97">
        <v>1235.16460755</v>
      </c>
      <c r="AJ97">
        <v>124751.62536255</v>
      </c>
      <c r="AK97">
        <v>2495.0325072510004</v>
      </c>
      <c r="AL97">
        <v>127246.657869801</v>
      </c>
      <c r="AM97" s="238">
        <v>127246.66</v>
      </c>
      <c r="AN97" s="238">
        <v>5713400</v>
      </c>
      <c r="AP97" s="238"/>
      <c r="AQ97" s="238">
        <v>0</v>
      </c>
      <c r="AR97" s="238">
        <v>127247.21603563474</v>
      </c>
      <c r="AS97" s="238">
        <v>5713400</v>
      </c>
      <c r="AT97" s="238" t="s">
        <v>38</v>
      </c>
      <c r="AU97" s="238">
        <v>30000</v>
      </c>
      <c r="AV97" t="s">
        <v>8816</v>
      </c>
      <c r="AW97">
        <v>157247.21603563474</v>
      </c>
      <c r="AX97" s="238">
        <v>1347000</v>
      </c>
      <c r="AY97" s="238">
        <v>7060400</v>
      </c>
      <c r="BA97" s="238" t="s">
        <v>3</v>
      </c>
      <c r="BB97" s="238" t="s">
        <v>3</v>
      </c>
      <c r="BC97" t="s">
        <v>8951</v>
      </c>
      <c r="BD97" t="s">
        <v>1167</v>
      </c>
      <c r="BE97" t="s">
        <v>8962</v>
      </c>
      <c r="BF97" t="s">
        <v>8972</v>
      </c>
      <c r="BG97" t="b">
        <v>1</v>
      </c>
      <c r="BH97">
        <v>5713400</v>
      </c>
      <c r="BI97">
        <v>5713400</v>
      </c>
      <c r="BJ97">
        <v>0</v>
      </c>
      <c r="BK97">
        <v>0</v>
      </c>
      <c r="BL97">
        <v>0</v>
      </c>
      <c r="BM97" t="s">
        <v>38</v>
      </c>
      <c r="BN97" t="b">
        <v>1</v>
      </c>
      <c r="BO97" t="s">
        <v>8156</v>
      </c>
    </row>
    <row r="98" spans="1:67" x14ac:dyDescent="0.25">
      <c r="A98" s="238">
        <v>97</v>
      </c>
      <c r="B98" s="238">
        <v>1</v>
      </c>
      <c r="C98" s="238">
        <v>18</v>
      </c>
      <c r="D98" s="238">
        <v>1</v>
      </c>
      <c r="E98" s="238">
        <v>0</v>
      </c>
      <c r="F98" s="238">
        <v>14.66</v>
      </c>
      <c r="G98" s="238"/>
      <c r="H98" s="238"/>
      <c r="I98" s="238">
        <v>14.66</v>
      </c>
      <c r="J98" s="238">
        <v>6.15</v>
      </c>
      <c r="K98" s="238">
        <v>4.7300000000000004</v>
      </c>
      <c r="L98" s="238"/>
      <c r="M98" s="238">
        <v>3.86</v>
      </c>
      <c r="N98" s="238"/>
      <c r="O98" s="238"/>
      <c r="R98" s="238">
        <v>0</v>
      </c>
      <c r="S98" s="238">
        <v>29.4</v>
      </c>
      <c r="T98" s="238">
        <v>29.4</v>
      </c>
      <c r="U98" s="238">
        <v>29.4</v>
      </c>
      <c r="V98" s="238">
        <v>142524.6</v>
      </c>
      <c r="W98">
        <v>200</v>
      </c>
      <c r="X98">
        <v>142724.6</v>
      </c>
      <c r="Y98">
        <v>1000</v>
      </c>
      <c r="Z98">
        <v>143724.6</v>
      </c>
      <c r="AA98">
        <v>215</v>
      </c>
      <c r="AB98">
        <v>143939.6</v>
      </c>
      <c r="AC98">
        <v>17.5</v>
      </c>
      <c r="AD98">
        <v>143957.1</v>
      </c>
      <c r="AF98">
        <v>143957.1</v>
      </c>
      <c r="AH98">
        <v>143957.1</v>
      </c>
      <c r="AJ98">
        <v>143957.1</v>
      </c>
      <c r="AL98">
        <v>143957.1</v>
      </c>
      <c r="AM98" s="238">
        <v>143957.1</v>
      </c>
      <c r="AN98" s="238">
        <v>4232400</v>
      </c>
      <c r="AP98" s="238"/>
      <c r="AQ98" s="238">
        <v>0</v>
      </c>
      <c r="AR98" s="238">
        <v>143959.18367346941</v>
      </c>
      <c r="AS98" s="238">
        <v>4232400</v>
      </c>
      <c r="AT98" s="238" t="s">
        <v>36</v>
      </c>
      <c r="AU98" s="238"/>
      <c r="AW98">
        <v>143959.18367346941</v>
      </c>
      <c r="AX98" s="238">
        <v>0</v>
      </c>
      <c r="AY98" s="238">
        <v>4232400</v>
      </c>
      <c r="BA98" s="238" t="s">
        <v>3</v>
      </c>
      <c r="BB98" s="238" t="s">
        <v>3</v>
      </c>
      <c r="BC98" t="s">
        <v>8951</v>
      </c>
      <c r="BD98" t="s">
        <v>1167</v>
      </c>
      <c r="BE98" t="s">
        <v>8962</v>
      </c>
      <c r="BF98" t="s">
        <v>8970</v>
      </c>
      <c r="BG98" t="b">
        <v>1</v>
      </c>
      <c r="BH98">
        <v>4232400</v>
      </c>
      <c r="BI98">
        <v>4232400</v>
      </c>
      <c r="BJ98">
        <v>0</v>
      </c>
      <c r="BK98">
        <v>0</v>
      </c>
      <c r="BL98">
        <v>0</v>
      </c>
      <c r="BM98" t="s">
        <v>36</v>
      </c>
      <c r="BN98" t="b">
        <v>1</v>
      </c>
      <c r="BO98" t="s">
        <v>8157</v>
      </c>
    </row>
    <row r="99" spans="1:67" x14ac:dyDescent="0.25">
      <c r="A99" s="238">
        <v>98</v>
      </c>
      <c r="B99" s="238">
        <v>1</v>
      </c>
      <c r="C99" s="238">
        <v>18</v>
      </c>
      <c r="D99" s="238">
        <v>2</v>
      </c>
      <c r="E99" s="238">
        <v>2</v>
      </c>
      <c r="F99" s="238">
        <v>16.100000000000001</v>
      </c>
      <c r="G99" s="238">
        <v>10.8</v>
      </c>
      <c r="H99" s="238"/>
      <c r="I99" s="238">
        <v>26.9</v>
      </c>
      <c r="J99" s="238">
        <v>17.32</v>
      </c>
      <c r="K99" s="238">
        <v>4.25</v>
      </c>
      <c r="L99" s="238"/>
      <c r="M99" s="238">
        <v>9.68</v>
      </c>
      <c r="N99" s="238"/>
      <c r="O99" s="238">
        <v>3.15</v>
      </c>
      <c r="R99" s="238">
        <v>3.15</v>
      </c>
      <c r="S99" s="238">
        <v>61.3</v>
      </c>
      <c r="T99" s="238">
        <v>58.15</v>
      </c>
      <c r="U99" s="238">
        <v>59.73</v>
      </c>
      <c r="V99" s="238">
        <v>122072.4</v>
      </c>
      <c r="X99">
        <v>122072.4</v>
      </c>
      <c r="Y99">
        <v>1000</v>
      </c>
      <c r="Z99">
        <v>123072.4</v>
      </c>
      <c r="AA99">
        <v>215</v>
      </c>
      <c r="AB99">
        <v>123287.4</v>
      </c>
      <c r="AC99">
        <v>17.5</v>
      </c>
      <c r="AD99">
        <v>123304.9</v>
      </c>
      <c r="AE99">
        <v>616.52449999999999</v>
      </c>
      <c r="AF99">
        <v>123921.42449999999</v>
      </c>
      <c r="AH99">
        <v>123921.42449999999</v>
      </c>
      <c r="AJ99">
        <v>123921.42449999999</v>
      </c>
      <c r="AK99">
        <v>3717.642734999999</v>
      </c>
      <c r="AL99">
        <v>127639.06723499999</v>
      </c>
      <c r="AM99" s="238">
        <v>127639.07</v>
      </c>
      <c r="AN99" s="238">
        <v>7623900</v>
      </c>
      <c r="AP99" s="238"/>
      <c r="AQ99" s="238">
        <v>0</v>
      </c>
      <c r="AR99" s="238">
        <v>127639.37719738824</v>
      </c>
      <c r="AS99" s="238">
        <v>7623900</v>
      </c>
      <c r="AT99" s="238" t="s">
        <v>36</v>
      </c>
      <c r="AU99" s="238"/>
      <c r="AW99">
        <v>127639.37719738824</v>
      </c>
      <c r="AX99" s="238">
        <v>0</v>
      </c>
      <c r="AY99" s="238">
        <v>7623900</v>
      </c>
      <c r="BA99" s="238" t="s">
        <v>35</v>
      </c>
      <c r="BB99" s="238" t="s">
        <v>35</v>
      </c>
      <c r="BC99" t="s">
        <v>8953</v>
      </c>
      <c r="BD99" t="s">
        <v>8954</v>
      </c>
      <c r="BE99" t="s">
        <v>8962</v>
      </c>
      <c r="BF99" t="s">
        <v>8971</v>
      </c>
      <c r="BG99" t="b">
        <v>1</v>
      </c>
      <c r="BH99">
        <v>7623900</v>
      </c>
      <c r="BI99">
        <v>7623900</v>
      </c>
      <c r="BJ99">
        <v>0</v>
      </c>
      <c r="BK99">
        <v>0</v>
      </c>
      <c r="BL99">
        <v>0</v>
      </c>
      <c r="BM99" t="s">
        <v>36</v>
      </c>
      <c r="BN99" t="b">
        <v>1</v>
      </c>
      <c r="BO99" t="s">
        <v>8158</v>
      </c>
    </row>
    <row r="100" spans="1:67" x14ac:dyDescent="0.25">
      <c r="A100" s="238">
        <v>99</v>
      </c>
      <c r="B100" s="238">
        <v>1</v>
      </c>
      <c r="C100" s="238">
        <v>18</v>
      </c>
      <c r="D100" s="238">
        <v>3</v>
      </c>
      <c r="E100" s="238">
        <v>2</v>
      </c>
      <c r="F100" s="238">
        <v>16.41</v>
      </c>
      <c r="G100" s="238">
        <v>12.19</v>
      </c>
      <c r="H100" s="238"/>
      <c r="I100" s="238">
        <v>28.6</v>
      </c>
      <c r="J100" s="238">
        <v>14.24</v>
      </c>
      <c r="K100" s="238">
        <v>3.86</v>
      </c>
      <c r="L100" s="238"/>
      <c r="M100" s="238">
        <v>6.1</v>
      </c>
      <c r="N100" s="238"/>
      <c r="O100" s="238">
        <v>3.33</v>
      </c>
      <c r="R100" s="238">
        <v>3.33</v>
      </c>
      <c r="S100" s="238">
        <v>56.13</v>
      </c>
      <c r="T100" s="238">
        <v>52.8</v>
      </c>
      <c r="U100" s="238">
        <v>54.47</v>
      </c>
      <c r="V100" s="238">
        <v>120942.1</v>
      </c>
      <c r="X100">
        <v>120942.1</v>
      </c>
      <c r="Y100">
        <v>1000</v>
      </c>
      <c r="Z100">
        <v>121942.1</v>
      </c>
      <c r="AA100">
        <v>215</v>
      </c>
      <c r="AB100">
        <v>122157.1</v>
      </c>
      <c r="AC100">
        <v>17.5</v>
      </c>
      <c r="AD100">
        <v>122174.6</v>
      </c>
      <c r="AE100">
        <v>610.87300000000005</v>
      </c>
      <c r="AF100">
        <v>122785.473</v>
      </c>
      <c r="AH100">
        <v>122785.473</v>
      </c>
      <c r="AJ100">
        <v>122785.473</v>
      </c>
      <c r="AL100">
        <v>122785.473</v>
      </c>
      <c r="AM100" s="238">
        <v>122785.47</v>
      </c>
      <c r="AN100" s="238">
        <v>6688200</v>
      </c>
      <c r="AP100" s="238"/>
      <c r="AQ100" s="238">
        <v>0</v>
      </c>
      <c r="AR100" s="238">
        <v>122786.85514962365</v>
      </c>
      <c r="AS100" s="238">
        <v>6688200</v>
      </c>
      <c r="AT100" s="238" t="s">
        <v>36</v>
      </c>
      <c r="AU100" s="238"/>
      <c r="AW100">
        <v>122786.85514962365</v>
      </c>
      <c r="AX100" s="238">
        <v>0</v>
      </c>
      <c r="AY100" s="238">
        <v>6688200</v>
      </c>
      <c r="BA100" s="238" t="s">
        <v>35</v>
      </c>
      <c r="BB100" s="238" t="s">
        <v>35</v>
      </c>
      <c r="BC100" t="s">
        <v>8953</v>
      </c>
      <c r="BD100" t="s">
        <v>8954</v>
      </c>
      <c r="BE100" t="s">
        <v>8962</v>
      </c>
      <c r="BF100" t="s">
        <v>8971</v>
      </c>
      <c r="BG100" t="b">
        <v>1</v>
      </c>
      <c r="BH100">
        <v>6688200</v>
      </c>
      <c r="BI100">
        <v>6688200</v>
      </c>
      <c r="BJ100">
        <v>0</v>
      </c>
      <c r="BK100">
        <v>0</v>
      </c>
      <c r="BL100">
        <v>0</v>
      </c>
      <c r="BM100" t="s">
        <v>36</v>
      </c>
      <c r="BN100" t="b">
        <v>1</v>
      </c>
      <c r="BO100" t="s">
        <v>8159</v>
      </c>
    </row>
    <row r="101" spans="1:67" x14ac:dyDescent="0.25">
      <c r="A101" s="238">
        <v>100</v>
      </c>
      <c r="B101" s="238">
        <v>1</v>
      </c>
      <c r="C101" s="238">
        <v>18</v>
      </c>
      <c r="D101" s="238">
        <v>4</v>
      </c>
      <c r="E101" s="238">
        <v>2</v>
      </c>
      <c r="F101" s="238">
        <v>14.98</v>
      </c>
      <c r="G101" s="238">
        <v>12.28</v>
      </c>
      <c r="H101" s="238"/>
      <c r="I101" s="238">
        <v>27.26</v>
      </c>
      <c r="J101" s="238">
        <v>14.78</v>
      </c>
      <c r="K101" s="238">
        <v>4.4400000000000004</v>
      </c>
      <c r="L101" s="238"/>
      <c r="M101" s="238">
        <v>6.25</v>
      </c>
      <c r="N101" s="238"/>
      <c r="O101" s="238">
        <v>3.33</v>
      </c>
      <c r="R101" s="238">
        <v>3.33</v>
      </c>
      <c r="S101" s="238">
        <v>56.06</v>
      </c>
      <c r="T101" s="238">
        <v>52.73</v>
      </c>
      <c r="U101" s="238">
        <v>54.4</v>
      </c>
      <c r="V101" s="238">
        <v>123202.7</v>
      </c>
      <c r="X101">
        <v>123202.7</v>
      </c>
      <c r="Y101">
        <v>1000</v>
      </c>
      <c r="Z101">
        <v>124202.7</v>
      </c>
      <c r="AA101">
        <v>215</v>
      </c>
      <c r="AB101">
        <v>124417.7</v>
      </c>
      <c r="AC101">
        <v>17.5</v>
      </c>
      <c r="AD101">
        <v>124435.2</v>
      </c>
      <c r="AE101">
        <v>622.17600000000004</v>
      </c>
      <c r="AF101">
        <v>125057.376</v>
      </c>
      <c r="AH101">
        <v>125057.376</v>
      </c>
      <c r="AJ101">
        <v>125057.376</v>
      </c>
      <c r="AL101">
        <v>125057.376</v>
      </c>
      <c r="AM101" s="238">
        <v>125057.38</v>
      </c>
      <c r="AN101" s="238">
        <v>6803200</v>
      </c>
      <c r="AP101" s="238"/>
      <c r="AQ101" s="238">
        <v>0</v>
      </c>
      <c r="AR101" s="238">
        <v>125058.82352941176</v>
      </c>
      <c r="AS101" s="238">
        <v>6803200</v>
      </c>
      <c r="AT101" s="238" t="s">
        <v>38</v>
      </c>
      <c r="AU101" s="238">
        <v>30000</v>
      </c>
      <c r="AV101" t="s">
        <v>8816</v>
      </c>
      <c r="AW101">
        <v>155058.82352941175</v>
      </c>
      <c r="AX101" s="238">
        <v>1631999.9999999979</v>
      </c>
      <c r="AY101" s="238">
        <v>8435199.9999999981</v>
      </c>
      <c r="BA101" s="238" t="s">
        <v>3</v>
      </c>
      <c r="BB101" s="238" t="s">
        <v>3</v>
      </c>
      <c r="BC101" t="s">
        <v>8951</v>
      </c>
      <c r="BD101" t="s">
        <v>1167</v>
      </c>
      <c r="BE101" t="s">
        <v>8962</v>
      </c>
      <c r="BF101" t="s">
        <v>8971</v>
      </c>
      <c r="BG101" t="b">
        <v>1</v>
      </c>
      <c r="BH101">
        <v>6803200</v>
      </c>
      <c r="BI101">
        <v>6803200</v>
      </c>
      <c r="BJ101">
        <v>0</v>
      </c>
      <c r="BK101">
        <v>0</v>
      </c>
      <c r="BL101">
        <v>0</v>
      </c>
      <c r="BM101" t="s">
        <v>38</v>
      </c>
      <c r="BN101" t="b">
        <v>1</v>
      </c>
      <c r="BO101" t="s">
        <v>8160</v>
      </c>
    </row>
    <row r="102" spans="1:67" x14ac:dyDescent="0.25">
      <c r="A102" s="238">
        <v>101</v>
      </c>
      <c r="B102" s="238">
        <v>1</v>
      </c>
      <c r="C102" s="238">
        <v>18</v>
      </c>
      <c r="D102" s="238">
        <v>5</v>
      </c>
      <c r="E102" s="238">
        <v>1</v>
      </c>
      <c r="F102" s="238">
        <v>13.06</v>
      </c>
      <c r="G102" s="238"/>
      <c r="H102" s="238"/>
      <c r="I102" s="238">
        <v>13.06</v>
      </c>
      <c r="J102" s="238">
        <v>14.73</v>
      </c>
      <c r="K102" s="238">
        <v>4.4400000000000004</v>
      </c>
      <c r="L102" s="238"/>
      <c r="M102" s="238">
        <v>2.9</v>
      </c>
      <c r="N102" s="238"/>
      <c r="O102" s="238">
        <v>3.02</v>
      </c>
      <c r="R102" s="238">
        <v>3.02</v>
      </c>
      <c r="S102" s="238">
        <v>38.15</v>
      </c>
      <c r="T102" s="238">
        <v>35.130000000000003</v>
      </c>
      <c r="U102" s="238">
        <v>36.64</v>
      </c>
      <c r="V102" s="238">
        <v>128800.8</v>
      </c>
      <c r="W102">
        <v>2576.0160000000001</v>
      </c>
      <c r="X102">
        <v>131376.81599999999</v>
      </c>
      <c r="Y102">
        <v>1000</v>
      </c>
      <c r="Z102">
        <v>132376.81599999999</v>
      </c>
      <c r="AA102">
        <v>215</v>
      </c>
      <c r="AB102">
        <v>132591.81599999999</v>
      </c>
      <c r="AC102">
        <v>17.5</v>
      </c>
      <c r="AD102">
        <v>132609.31599999999</v>
      </c>
      <c r="AE102">
        <v>1989.1397400000001</v>
      </c>
      <c r="AF102">
        <v>134598.45574</v>
      </c>
      <c r="AG102">
        <v>1345.9845574000001</v>
      </c>
      <c r="AH102">
        <v>135944.4402974</v>
      </c>
      <c r="AI102">
        <v>1359.444402974</v>
      </c>
      <c r="AJ102">
        <v>137303.88470037401</v>
      </c>
      <c r="AL102">
        <v>137303.88470037401</v>
      </c>
      <c r="AM102" s="238">
        <v>137303.88</v>
      </c>
      <c r="AN102" s="238">
        <v>5030900</v>
      </c>
      <c r="AP102" s="238">
        <v>0.02</v>
      </c>
      <c r="AQ102" s="238">
        <v>100618</v>
      </c>
      <c r="AR102" s="238">
        <v>134560.09825327509</v>
      </c>
      <c r="AS102" s="238">
        <v>4930282</v>
      </c>
      <c r="AT102" s="238" t="s">
        <v>36</v>
      </c>
      <c r="AU102" s="238"/>
      <c r="AW102">
        <v>134560.09825327509</v>
      </c>
      <c r="AX102" s="238">
        <v>0</v>
      </c>
      <c r="AY102" s="238">
        <v>4930281.9999999991</v>
      </c>
      <c r="AZ102" t="s">
        <v>8705</v>
      </c>
      <c r="BA102" s="238" t="s">
        <v>39</v>
      </c>
      <c r="BB102" s="238" t="s">
        <v>39</v>
      </c>
      <c r="BC102" t="s">
        <v>8950</v>
      </c>
      <c r="BD102" t="s">
        <v>1167</v>
      </c>
      <c r="BE102" t="s">
        <v>8962</v>
      </c>
      <c r="BF102" t="s">
        <v>8972</v>
      </c>
      <c r="BG102" t="b">
        <v>1</v>
      </c>
      <c r="BH102">
        <v>5030900</v>
      </c>
      <c r="BI102" t="s">
        <v>9002</v>
      </c>
      <c r="BJ102">
        <v>5030900</v>
      </c>
      <c r="BK102">
        <v>5030900</v>
      </c>
      <c r="BL102">
        <v>0</v>
      </c>
      <c r="BM102" t="s">
        <v>36</v>
      </c>
      <c r="BN102" t="b">
        <v>1</v>
      </c>
      <c r="BO102" t="s">
        <v>8161</v>
      </c>
    </row>
    <row r="103" spans="1:67" x14ac:dyDescent="0.25">
      <c r="A103" s="238">
        <v>102</v>
      </c>
      <c r="B103" s="238">
        <v>1</v>
      </c>
      <c r="C103" s="238">
        <v>18</v>
      </c>
      <c r="D103" s="238">
        <v>6</v>
      </c>
      <c r="E103" s="238">
        <v>1</v>
      </c>
      <c r="F103" s="238">
        <v>14.57</v>
      </c>
      <c r="G103" s="238"/>
      <c r="H103" s="238"/>
      <c r="I103" s="238">
        <v>14.57</v>
      </c>
      <c r="J103" s="238">
        <v>16.57</v>
      </c>
      <c r="K103" s="238">
        <v>4.46</v>
      </c>
      <c r="L103" s="238"/>
      <c r="M103" s="238">
        <v>7.75</v>
      </c>
      <c r="N103" s="238"/>
      <c r="O103" s="238">
        <v>3.1</v>
      </c>
      <c r="R103" s="238">
        <v>3.1</v>
      </c>
      <c r="S103" s="238">
        <v>46.45</v>
      </c>
      <c r="T103" s="238">
        <v>43.35</v>
      </c>
      <c r="U103" s="238">
        <v>44.9</v>
      </c>
      <c r="V103" s="238">
        <v>125223</v>
      </c>
      <c r="X103">
        <v>125223</v>
      </c>
      <c r="Y103">
        <v>1000</v>
      </c>
      <c r="Z103">
        <v>126223</v>
      </c>
      <c r="AA103">
        <v>215</v>
      </c>
      <c r="AB103">
        <v>126438</v>
      </c>
      <c r="AC103">
        <v>17.5</v>
      </c>
      <c r="AD103">
        <v>126455.5</v>
      </c>
      <c r="AE103">
        <v>632.27750000000003</v>
      </c>
      <c r="AF103">
        <v>127087.7775</v>
      </c>
      <c r="AG103">
        <v>1270.8777749999999</v>
      </c>
      <c r="AH103">
        <v>128358.655275</v>
      </c>
      <c r="AI103">
        <v>1283.58655275</v>
      </c>
      <c r="AJ103">
        <v>129642.24182775</v>
      </c>
      <c r="AK103">
        <v>2592.8448365549998</v>
      </c>
      <c r="AL103">
        <v>132235.08666430501</v>
      </c>
      <c r="AM103" s="238">
        <v>132235.09</v>
      </c>
      <c r="AN103" s="238">
        <v>5937400</v>
      </c>
      <c r="AP103" s="238"/>
      <c r="AQ103" s="238">
        <v>0</v>
      </c>
      <c r="AR103" s="238">
        <v>132236.08017817372</v>
      </c>
      <c r="AS103" s="238">
        <v>5937400</v>
      </c>
      <c r="AT103" s="238" t="s">
        <v>36</v>
      </c>
      <c r="AU103" s="238"/>
      <c r="AW103">
        <v>132236.08017817372</v>
      </c>
      <c r="AX103" s="238">
        <v>0</v>
      </c>
      <c r="AY103" s="238">
        <v>5937400</v>
      </c>
      <c r="BA103" s="238" t="s">
        <v>35</v>
      </c>
      <c r="BB103" s="238" t="s">
        <v>35</v>
      </c>
      <c r="BC103" t="s">
        <v>8953</v>
      </c>
      <c r="BD103" t="s">
        <v>8954</v>
      </c>
      <c r="BE103" t="s">
        <v>8962</v>
      </c>
      <c r="BF103" t="s">
        <v>8972</v>
      </c>
      <c r="BG103" t="b">
        <v>1</v>
      </c>
      <c r="BH103">
        <v>5937400</v>
      </c>
      <c r="BI103">
        <v>5937400</v>
      </c>
      <c r="BJ103">
        <v>0</v>
      </c>
      <c r="BK103">
        <v>0</v>
      </c>
      <c r="BL103">
        <v>0</v>
      </c>
      <c r="BM103" t="s">
        <v>36</v>
      </c>
      <c r="BN103" t="b">
        <v>1</v>
      </c>
      <c r="BO103" t="s">
        <v>8162</v>
      </c>
    </row>
    <row r="104" spans="1:67" x14ac:dyDescent="0.25">
      <c r="A104" s="238">
        <v>103</v>
      </c>
      <c r="B104" s="238">
        <v>1</v>
      </c>
      <c r="C104" s="238">
        <v>19</v>
      </c>
      <c r="D104" s="238">
        <v>1</v>
      </c>
      <c r="E104" s="238">
        <v>0</v>
      </c>
      <c r="F104" s="238">
        <v>14.66</v>
      </c>
      <c r="G104" s="238"/>
      <c r="H104" s="238"/>
      <c r="I104" s="238">
        <v>14.66</v>
      </c>
      <c r="J104" s="238">
        <v>6.15</v>
      </c>
      <c r="K104" s="238">
        <v>4.7300000000000004</v>
      </c>
      <c r="L104" s="238"/>
      <c r="M104" s="238">
        <v>3.86</v>
      </c>
      <c r="N104" s="238"/>
      <c r="O104" s="238"/>
      <c r="R104" s="238">
        <v>0</v>
      </c>
      <c r="S104" s="238">
        <v>29.4</v>
      </c>
      <c r="T104" s="238">
        <v>29.4</v>
      </c>
      <c r="U104" s="238">
        <v>29.4</v>
      </c>
      <c r="V104" s="238">
        <v>142524.6</v>
      </c>
      <c r="W104">
        <v>200</v>
      </c>
      <c r="X104">
        <v>142724.6</v>
      </c>
      <c r="Y104">
        <v>1000</v>
      </c>
      <c r="Z104">
        <v>143724.6</v>
      </c>
      <c r="AA104">
        <v>215</v>
      </c>
      <c r="AB104">
        <v>143939.6</v>
      </c>
      <c r="AC104">
        <v>17.5</v>
      </c>
      <c r="AD104">
        <v>143957.1</v>
      </c>
      <c r="AF104">
        <v>143957.1</v>
      </c>
      <c r="AH104">
        <v>143957.1</v>
      </c>
      <c r="AJ104">
        <v>143957.1</v>
      </c>
      <c r="AL104">
        <v>143957.1</v>
      </c>
      <c r="AM104" s="238">
        <v>143957.1</v>
      </c>
      <c r="AN104" s="238">
        <v>4232400</v>
      </c>
      <c r="AP104" s="238"/>
      <c r="AQ104" s="238">
        <v>0</v>
      </c>
      <c r="AR104" s="238">
        <v>143959.18367346941</v>
      </c>
      <c r="AS104" s="238">
        <v>4232400</v>
      </c>
      <c r="AT104" s="238" t="s">
        <v>36</v>
      </c>
      <c r="AU104" s="238"/>
      <c r="AW104">
        <v>143959.18367346941</v>
      </c>
      <c r="AX104" s="238">
        <v>0</v>
      </c>
      <c r="AY104" s="238">
        <v>4232400</v>
      </c>
      <c r="BA104" s="238" t="s">
        <v>8956</v>
      </c>
      <c r="BB104" s="238" t="s">
        <v>8956</v>
      </c>
      <c r="BC104" t="s">
        <v>8953</v>
      </c>
      <c r="BD104" t="s">
        <v>8957</v>
      </c>
      <c r="BE104" t="s">
        <v>8962</v>
      </c>
      <c r="BF104" t="s">
        <v>8970</v>
      </c>
      <c r="BG104" t="b">
        <v>1</v>
      </c>
      <c r="BH104">
        <v>4232400</v>
      </c>
      <c r="BI104">
        <v>4232400</v>
      </c>
      <c r="BJ104">
        <v>0</v>
      </c>
      <c r="BK104">
        <v>0</v>
      </c>
      <c r="BL104">
        <v>0</v>
      </c>
      <c r="BM104" t="s">
        <v>36</v>
      </c>
      <c r="BN104" t="b">
        <v>1</v>
      </c>
      <c r="BO104" t="s">
        <v>8163</v>
      </c>
    </row>
    <row r="105" spans="1:67" x14ac:dyDescent="0.25">
      <c r="A105" s="238">
        <v>104</v>
      </c>
      <c r="B105" s="238">
        <v>1</v>
      </c>
      <c r="C105" s="238">
        <v>19</v>
      </c>
      <c r="D105" s="238">
        <v>2</v>
      </c>
      <c r="E105" s="238">
        <v>2</v>
      </c>
      <c r="F105" s="238">
        <v>16.100000000000001</v>
      </c>
      <c r="G105" s="238">
        <v>10.8</v>
      </c>
      <c r="H105" s="238"/>
      <c r="I105" s="238">
        <v>26.9</v>
      </c>
      <c r="J105" s="238">
        <v>17.32</v>
      </c>
      <c r="K105" s="238">
        <v>4.25</v>
      </c>
      <c r="L105" s="238"/>
      <c r="M105" s="238">
        <v>9.68</v>
      </c>
      <c r="N105" s="238"/>
      <c r="O105" s="238">
        <v>3.15</v>
      </c>
      <c r="R105" s="238">
        <v>3.15</v>
      </c>
      <c r="S105" s="238">
        <v>61.3</v>
      </c>
      <c r="T105" s="238">
        <v>58.15</v>
      </c>
      <c r="U105" s="238">
        <v>59.73</v>
      </c>
      <c r="V105" s="238">
        <v>122072.4</v>
      </c>
      <c r="X105">
        <v>122072.4</v>
      </c>
      <c r="Y105">
        <v>1000</v>
      </c>
      <c r="Z105">
        <v>123072.4</v>
      </c>
      <c r="AA105">
        <v>215</v>
      </c>
      <c r="AB105">
        <v>123287.4</v>
      </c>
      <c r="AC105">
        <v>17.5</v>
      </c>
      <c r="AD105">
        <v>123304.9</v>
      </c>
      <c r="AE105">
        <v>616.52449999999999</v>
      </c>
      <c r="AF105">
        <v>123921.42449999999</v>
      </c>
      <c r="AH105">
        <v>123921.42449999999</v>
      </c>
      <c r="AJ105">
        <v>123921.42449999999</v>
      </c>
      <c r="AK105">
        <v>3717.642734999999</v>
      </c>
      <c r="AL105">
        <v>127639.06723499999</v>
      </c>
      <c r="AM105" s="238">
        <v>127639.07</v>
      </c>
      <c r="AN105" s="238">
        <v>7623900</v>
      </c>
      <c r="AP105" s="238"/>
      <c r="AQ105" s="238">
        <v>0</v>
      </c>
      <c r="AR105" s="238">
        <v>127639.37719738824</v>
      </c>
      <c r="AS105" s="238">
        <v>7623900</v>
      </c>
      <c r="AT105" s="238" t="s">
        <v>36</v>
      </c>
      <c r="AU105" s="238"/>
      <c r="AW105">
        <v>127639.37719738824</v>
      </c>
      <c r="AX105" s="238">
        <v>0</v>
      </c>
      <c r="AY105" s="238">
        <v>7623900</v>
      </c>
      <c r="BA105" s="238" t="s">
        <v>35</v>
      </c>
      <c r="BB105" s="238" t="s">
        <v>35</v>
      </c>
      <c r="BC105" t="s">
        <v>8953</v>
      </c>
      <c r="BD105" t="s">
        <v>8954</v>
      </c>
      <c r="BE105" t="s">
        <v>8962</v>
      </c>
      <c r="BF105" t="s">
        <v>8971</v>
      </c>
      <c r="BG105" t="b">
        <v>1</v>
      </c>
      <c r="BH105">
        <v>7623900</v>
      </c>
      <c r="BI105">
        <v>7623900</v>
      </c>
      <c r="BJ105">
        <v>0</v>
      </c>
      <c r="BK105">
        <v>0</v>
      </c>
      <c r="BL105">
        <v>0</v>
      </c>
      <c r="BM105" t="s">
        <v>36</v>
      </c>
      <c r="BN105" t="b">
        <v>1</v>
      </c>
      <c r="BO105" t="s">
        <v>8164</v>
      </c>
    </row>
    <row r="106" spans="1:67" x14ac:dyDescent="0.25">
      <c r="A106" s="238">
        <v>105</v>
      </c>
      <c r="B106" s="238">
        <v>1</v>
      </c>
      <c r="C106" s="238">
        <v>19</v>
      </c>
      <c r="D106" s="238">
        <v>3</v>
      </c>
      <c r="E106" s="238">
        <v>2</v>
      </c>
      <c r="F106" s="238">
        <v>16.41</v>
      </c>
      <c r="G106" s="238">
        <v>12.19</v>
      </c>
      <c r="H106" s="238"/>
      <c r="I106" s="238">
        <v>28.6</v>
      </c>
      <c r="J106" s="238">
        <v>14.24</v>
      </c>
      <c r="K106" s="238">
        <v>3.86</v>
      </c>
      <c r="L106" s="238"/>
      <c r="M106" s="238">
        <v>6.1</v>
      </c>
      <c r="N106" s="238"/>
      <c r="O106" s="238">
        <v>3.33</v>
      </c>
      <c r="R106" s="238">
        <v>3.33</v>
      </c>
      <c r="S106" s="238">
        <v>56.13</v>
      </c>
      <c r="T106" s="238">
        <v>52.8</v>
      </c>
      <c r="U106" s="238">
        <v>54.47</v>
      </c>
      <c r="V106" s="238">
        <v>119811.8</v>
      </c>
      <c r="X106">
        <v>119811.8</v>
      </c>
      <c r="Y106">
        <v>1000</v>
      </c>
      <c r="Z106">
        <v>120811.8</v>
      </c>
      <c r="AA106">
        <v>215</v>
      </c>
      <c r="AB106">
        <v>121026.8</v>
      </c>
      <c r="AC106">
        <v>17.5</v>
      </c>
      <c r="AD106">
        <v>121044.3</v>
      </c>
      <c r="AE106">
        <v>605.22149999999999</v>
      </c>
      <c r="AF106">
        <v>121649.5215</v>
      </c>
      <c r="AH106">
        <v>121649.5215</v>
      </c>
      <c r="AJ106">
        <v>121649.5215</v>
      </c>
      <c r="AL106">
        <v>121649.5215</v>
      </c>
      <c r="AM106" s="238">
        <v>121649.52</v>
      </c>
      <c r="AN106" s="238">
        <v>6626300</v>
      </c>
      <c r="AP106" s="238"/>
      <c r="AQ106" s="238">
        <v>0</v>
      </c>
      <c r="AR106" s="238">
        <v>121650.4497888746</v>
      </c>
      <c r="AS106" s="238">
        <v>6626300</v>
      </c>
      <c r="AT106" s="238" t="s">
        <v>38</v>
      </c>
      <c r="AU106" s="238">
        <v>30000</v>
      </c>
      <c r="AV106" t="s">
        <v>8816</v>
      </c>
      <c r="AW106">
        <v>151650.4497888746</v>
      </c>
      <c r="AX106" s="238">
        <v>1634099.9999999993</v>
      </c>
      <c r="AY106" s="238">
        <v>8260399.9999999981</v>
      </c>
      <c r="BA106" s="238" t="s">
        <v>3</v>
      </c>
      <c r="BB106" s="238" t="s">
        <v>3</v>
      </c>
      <c r="BC106" t="s">
        <v>8951</v>
      </c>
      <c r="BD106" t="s">
        <v>1167</v>
      </c>
      <c r="BE106" t="s">
        <v>8962</v>
      </c>
      <c r="BF106" t="s">
        <v>8971</v>
      </c>
      <c r="BG106" t="b">
        <v>1</v>
      </c>
      <c r="BH106">
        <v>6626300</v>
      </c>
      <c r="BI106">
        <v>6626300</v>
      </c>
      <c r="BJ106">
        <v>0</v>
      </c>
      <c r="BK106">
        <v>0</v>
      </c>
      <c r="BL106">
        <v>0</v>
      </c>
      <c r="BM106" t="s">
        <v>38</v>
      </c>
      <c r="BN106" t="b">
        <v>1</v>
      </c>
      <c r="BO106" t="s">
        <v>8165</v>
      </c>
    </row>
    <row r="107" spans="1:67" x14ac:dyDescent="0.25">
      <c r="A107" s="238">
        <v>106</v>
      </c>
      <c r="B107" s="238">
        <v>1</v>
      </c>
      <c r="C107" s="238">
        <v>19</v>
      </c>
      <c r="D107" s="238">
        <v>4</v>
      </c>
      <c r="E107" s="238">
        <v>2</v>
      </c>
      <c r="F107" s="238">
        <v>14.98</v>
      </c>
      <c r="G107" s="238">
        <v>12.28</v>
      </c>
      <c r="H107" s="238"/>
      <c r="I107" s="238">
        <v>27.26</v>
      </c>
      <c r="J107" s="238">
        <v>14.78</v>
      </c>
      <c r="K107" s="238">
        <v>4.4400000000000004</v>
      </c>
      <c r="L107" s="238"/>
      <c r="M107" s="238">
        <v>6.25</v>
      </c>
      <c r="N107" s="238"/>
      <c r="O107" s="238">
        <v>3.33</v>
      </c>
      <c r="R107" s="238">
        <v>3.33</v>
      </c>
      <c r="S107" s="238">
        <v>56.06</v>
      </c>
      <c r="T107" s="238">
        <v>52.73</v>
      </c>
      <c r="U107" s="238">
        <v>54.4</v>
      </c>
      <c r="V107" s="238">
        <v>122072.4</v>
      </c>
      <c r="X107">
        <v>122072.4</v>
      </c>
      <c r="Y107">
        <v>1000</v>
      </c>
      <c r="Z107">
        <v>123072.4</v>
      </c>
      <c r="AA107">
        <v>215</v>
      </c>
      <c r="AB107">
        <v>123287.4</v>
      </c>
      <c r="AC107">
        <v>17.5</v>
      </c>
      <c r="AD107">
        <v>123304.9</v>
      </c>
      <c r="AE107">
        <v>616.52449999999999</v>
      </c>
      <c r="AF107">
        <v>123921.42449999999</v>
      </c>
      <c r="AH107">
        <v>123921.42449999999</v>
      </c>
      <c r="AJ107">
        <v>123921.42449999999</v>
      </c>
      <c r="AL107">
        <v>123921.42449999999</v>
      </c>
      <c r="AM107" s="238">
        <v>123921.42</v>
      </c>
      <c r="AN107" s="238">
        <v>6741400</v>
      </c>
      <c r="AP107" s="238"/>
      <c r="AQ107" s="238">
        <v>0</v>
      </c>
      <c r="AR107" s="238">
        <v>123922.79411764706</v>
      </c>
      <c r="AS107" s="238">
        <v>6741400</v>
      </c>
      <c r="AT107" s="238" t="s">
        <v>36</v>
      </c>
      <c r="AU107" s="238"/>
      <c r="AW107">
        <v>123922.79411764706</v>
      </c>
      <c r="AX107" s="238">
        <v>0</v>
      </c>
      <c r="AY107" s="238">
        <v>6741400</v>
      </c>
      <c r="BA107" s="238" t="s">
        <v>35</v>
      </c>
      <c r="BB107" s="238" t="s">
        <v>35</v>
      </c>
      <c r="BC107" t="s">
        <v>8953</v>
      </c>
      <c r="BD107" t="s">
        <v>8954</v>
      </c>
      <c r="BE107" t="s">
        <v>8962</v>
      </c>
      <c r="BF107" t="s">
        <v>8971</v>
      </c>
      <c r="BG107" t="b">
        <v>1</v>
      </c>
      <c r="BH107">
        <v>6741400</v>
      </c>
      <c r="BI107">
        <v>6741400</v>
      </c>
      <c r="BJ107">
        <v>0</v>
      </c>
      <c r="BK107">
        <v>0</v>
      </c>
      <c r="BL107">
        <v>0</v>
      </c>
      <c r="BM107" t="s">
        <v>36</v>
      </c>
      <c r="BN107" t="b">
        <v>1</v>
      </c>
      <c r="BO107" t="s">
        <v>8166</v>
      </c>
    </row>
    <row r="108" spans="1:67" x14ac:dyDescent="0.25">
      <c r="A108" s="238">
        <v>107</v>
      </c>
      <c r="B108" s="238">
        <v>1</v>
      </c>
      <c r="C108" s="238">
        <v>19</v>
      </c>
      <c r="D108" s="238">
        <v>5</v>
      </c>
      <c r="E108" s="238">
        <v>1</v>
      </c>
      <c r="F108" s="238">
        <v>13.06</v>
      </c>
      <c r="G108" s="238"/>
      <c r="H108" s="238"/>
      <c r="I108" s="238">
        <v>13.06</v>
      </c>
      <c r="J108" s="238">
        <v>14.73</v>
      </c>
      <c r="K108" s="238">
        <v>4.4400000000000004</v>
      </c>
      <c r="L108" s="238"/>
      <c r="M108" s="238">
        <v>2.9</v>
      </c>
      <c r="N108" s="238"/>
      <c r="O108" s="238">
        <v>3.02</v>
      </c>
      <c r="R108" s="238">
        <v>3.02</v>
      </c>
      <c r="S108" s="238">
        <v>38.15</v>
      </c>
      <c r="T108" s="238">
        <v>35.130000000000003</v>
      </c>
      <c r="U108" s="238">
        <v>36.64</v>
      </c>
      <c r="V108" s="238">
        <v>128800.8</v>
      </c>
      <c r="W108">
        <v>2576.0160000000001</v>
      </c>
      <c r="X108">
        <v>131376.81599999999</v>
      </c>
      <c r="Y108">
        <v>1000</v>
      </c>
      <c r="Z108">
        <v>132376.81599999999</v>
      </c>
      <c r="AA108">
        <v>215</v>
      </c>
      <c r="AB108">
        <v>132591.81599999999</v>
      </c>
      <c r="AC108">
        <v>17.5</v>
      </c>
      <c r="AD108">
        <v>132609.31599999999</v>
      </c>
      <c r="AE108">
        <v>1989.1397400000001</v>
      </c>
      <c r="AF108">
        <v>134598.45574</v>
      </c>
      <c r="AG108">
        <v>1345.9845574000001</v>
      </c>
      <c r="AH108">
        <v>135944.4402974</v>
      </c>
      <c r="AI108">
        <v>1359.444402974</v>
      </c>
      <c r="AJ108">
        <v>137303.88470037401</v>
      </c>
      <c r="AL108">
        <v>137303.88470037401</v>
      </c>
      <c r="AM108" s="238">
        <v>137303.88</v>
      </c>
      <c r="AN108" s="238">
        <v>5030900</v>
      </c>
      <c r="AP108" s="238"/>
      <c r="AQ108" s="238">
        <v>0</v>
      </c>
      <c r="AR108" s="238">
        <v>137306.22270742361</v>
      </c>
      <c r="AS108" s="238">
        <v>5030900</v>
      </c>
      <c r="AT108" s="238" t="s">
        <v>36</v>
      </c>
      <c r="AU108" s="238"/>
      <c r="AW108">
        <v>137306.22270742361</v>
      </c>
      <c r="AX108" s="238">
        <v>0</v>
      </c>
      <c r="AY108" s="238">
        <v>5030900</v>
      </c>
      <c r="BA108" s="238" t="s">
        <v>3</v>
      </c>
      <c r="BB108" s="238" t="s">
        <v>3</v>
      </c>
      <c r="BC108" t="s">
        <v>8951</v>
      </c>
      <c r="BD108" t="s">
        <v>1167</v>
      </c>
      <c r="BE108" t="s">
        <v>8962</v>
      </c>
      <c r="BF108" t="s">
        <v>8972</v>
      </c>
      <c r="BG108" t="b">
        <v>1</v>
      </c>
      <c r="BH108">
        <v>5030900</v>
      </c>
      <c r="BI108">
        <v>5030900</v>
      </c>
      <c r="BJ108">
        <v>0</v>
      </c>
      <c r="BK108">
        <v>0</v>
      </c>
      <c r="BL108">
        <v>0</v>
      </c>
      <c r="BM108" t="s">
        <v>36</v>
      </c>
      <c r="BN108" t="b">
        <v>1</v>
      </c>
      <c r="BO108" t="s">
        <v>8167</v>
      </c>
    </row>
    <row r="109" spans="1:67" x14ac:dyDescent="0.25">
      <c r="A109" s="238">
        <v>108</v>
      </c>
      <c r="B109" s="238">
        <v>1</v>
      </c>
      <c r="C109" s="238">
        <v>19</v>
      </c>
      <c r="D109" s="238">
        <v>6</v>
      </c>
      <c r="E109" s="238">
        <v>1</v>
      </c>
      <c r="F109" s="238">
        <v>14.57</v>
      </c>
      <c r="G109" s="238"/>
      <c r="H109" s="238"/>
      <c r="I109" s="238">
        <v>14.57</v>
      </c>
      <c r="J109" s="238">
        <v>16.57</v>
      </c>
      <c r="K109" s="238">
        <v>4.46</v>
      </c>
      <c r="L109" s="238"/>
      <c r="M109" s="238">
        <v>7.75</v>
      </c>
      <c r="N109" s="238"/>
      <c r="O109" s="238">
        <v>3.1</v>
      </c>
      <c r="R109" s="238">
        <v>3.1</v>
      </c>
      <c r="S109" s="238">
        <v>46.45</v>
      </c>
      <c r="T109" s="238">
        <v>43.35</v>
      </c>
      <c r="U109" s="238">
        <v>44.9</v>
      </c>
      <c r="V109" s="238">
        <v>125223</v>
      </c>
      <c r="X109">
        <v>125223</v>
      </c>
      <c r="Y109">
        <v>1000</v>
      </c>
      <c r="Z109">
        <v>126223</v>
      </c>
      <c r="AA109">
        <v>215</v>
      </c>
      <c r="AB109">
        <v>126438</v>
      </c>
      <c r="AC109">
        <v>17.5</v>
      </c>
      <c r="AD109">
        <v>126455.5</v>
      </c>
      <c r="AE109">
        <v>632.27750000000003</v>
      </c>
      <c r="AF109">
        <v>127087.7775</v>
      </c>
      <c r="AG109">
        <v>1270.8777749999999</v>
      </c>
      <c r="AH109">
        <v>128358.655275</v>
      </c>
      <c r="AI109">
        <v>1283.58655275</v>
      </c>
      <c r="AJ109">
        <v>129642.24182775</v>
      </c>
      <c r="AK109">
        <v>2592.8448365549998</v>
      </c>
      <c r="AL109">
        <v>132235.08666430501</v>
      </c>
      <c r="AM109" s="238">
        <v>132235.09</v>
      </c>
      <c r="AN109" s="238">
        <v>5937400</v>
      </c>
      <c r="AP109" s="238"/>
      <c r="AQ109" s="238">
        <v>0</v>
      </c>
      <c r="AR109" s="238">
        <v>132236.08017817372</v>
      </c>
      <c r="AS109" s="238">
        <v>5937400</v>
      </c>
      <c r="AT109" s="238" t="s">
        <v>36</v>
      </c>
      <c r="AU109" s="238"/>
      <c r="AW109">
        <v>132236.08017817372</v>
      </c>
      <c r="AX109" s="238">
        <v>0</v>
      </c>
      <c r="AY109" s="238">
        <v>5937400</v>
      </c>
      <c r="BA109" s="238" t="s">
        <v>35</v>
      </c>
      <c r="BB109" s="238" t="s">
        <v>35</v>
      </c>
      <c r="BC109" t="s">
        <v>8953</v>
      </c>
      <c r="BD109" t="s">
        <v>8954</v>
      </c>
      <c r="BE109" t="s">
        <v>8962</v>
      </c>
      <c r="BF109" t="s">
        <v>8972</v>
      </c>
      <c r="BG109" t="b">
        <v>1</v>
      </c>
      <c r="BH109">
        <v>5937400</v>
      </c>
      <c r="BI109">
        <v>5937400</v>
      </c>
      <c r="BJ109">
        <v>0</v>
      </c>
      <c r="BK109">
        <v>0</v>
      </c>
      <c r="BL109">
        <v>0</v>
      </c>
      <c r="BM109" t="s">
        <v>36</v>
      </c>
      <c r="BN109" t="b">
        <v>1</v>
      </c>
      <c r="BO109" t="s">
        <v>8168</v>
      </c>
    </row>
    <row r="110" spans="1:67" x14ac:dyDescent="0.25">
      <c r="A110" s="238">
        <v>109</v>
      </c>
      <c r="B110" s="238">
        <v>2</v>
      </c>
      <c r="C110" s="238">
        <v>2</v>
      </c>
      <c r="D110" s="238">
        <v>1</v>
      </c>
      <c r="E110" s="238">
        <v>2</v>
      </c>
      <c r="F110" s="238">
        <v>17.579999999999998</v>
      </c>
      <c r="G110" s="238">
        <v>14.37</v>
      </c>
      <c r="H110" s="238"/>
      <c r="I110" s="238">
        <v>31.949999999999996</v>
      </c>
      <c r="J110" s="238">
        <v>14.29</v>
      </c>
      <c r="K110" s="238">
        <v>4.5199999999999996</v>
      </c>
      <c r="L110" s="238"/>
      <c r="M110" s="238">
        <v>8.64</v>
      </c>
      <c r="N110" s="238">
        <v>4.76</v>
      </c>
      <c r="O110" s="238">
        <v>3.11</v>
      </c>
      <c r="R110" s="238">
        <v>3.11</v>
      </c>
      <c r="S110" s="238">
        <v>67.27</v>
      </c>
      <c r="T110" s="238">
        <v>64.16</v>
      </c>
      <c r="U110" s="238">
        <v>65.72</v>
      </c>
      <c r="V110" s="238">
        <v>117551.2</v>
      </c>
      <c r="X110">
        <v>117551.2</v>
      </c>
      <c r="Y110">
        <v>1000</v>
      </c>
      <c r="Z110">
        <v>118551.2</v>
      </c>
      <c r="AA110">
        <v>215</v>
      </c>
      <c r="AB110">
        <v>118766.2</v>
      </c>
      <c r="AC110">
        <v>17.5</v>
      </c>
      <c r="AD110">
        <v>118783.7</v>
      </c>
      <c r="AF110">
        <v>118783.7</v>
      </c>
      <c r="AH110">
        <v>118783.7</v>
      </c>
      <c r="AJ110">
        <v>118783.7</v>
      </c>
      <c r="AL110">
        <v>118783.7</v>
      </c>
      <c r="AM110" s="238">
        <v>118783.7</v>
      </c>
      <c r="AN110" s="238">
        <v>7806500</v>
      </c>
      <c r="AP110" s="238">
        <v>0.02</v>
      </c>
      <c r="AQ110" s="238">
        <v>156130</v>
      </c>
      <c r="AR110" s="238">
        <v>116408.5514303104</v>
      </c>
      <c r="AS110" s="238">
        <v>7650370</v>
      </c>
      <c r="AT110" s="238" t="s">
        <v>36</v>
      </c>
      <c r="AU110" s="238"/>
      <c r="AW110">
        <v>116408.5514303104</v>
      </c>
      <c r="AX110" s="238">
        <v>0</v>
      </c>
      <c r="AY110" s="238">
        <v>7650370</v>
      </c>
      <c r="AZ110" t="s">
        <v>3540</v>
      </c>
      <c r="BA110" s="238" t="s">
        <v>39</v>
      </c>
      <c r="BB110" s="238" t="s">
        <v>39</v>
      </c>
      <c r="BC110" t="s">
        <v>8950</v>
      </c>
      <c r="BD110" t="s">
        <v>1167</v>
      </c>
      <c r="BE110" t="s">
        <v>8962</v>
      </c>
      <c r="BF110" t="s">
        <v>8971</v>
      </c>
      <c r="BG110" t="b">
        <v>1</v>
      </c>
      <c r="BH110">
        <v>7806500</v>
      </c>
      <c r="BI110" t="s">
        <v>9002</v>
      </c>
      <c r="BJ110">
        <v>7806500</v>
      </c>
      <c r="BK110">
        <v>7806500</v>
      </c>
      <c r="BL110">
        <v>0</v>
      </c>
      <c r="BM110" t="s">
        <v>36</v>
      </c>
      <c r="BN110" t="b">
        <v>1</v>
      </c>
      <c r="BO110" t="s">
        <v>8169</v>
      </c>
    </row>
    <row r="111" spans="1:67" x14ac:dyDescent="0.25">
      <c r="A111" s="238">
        <v>110</v>
      </c>
      <c r="B111" s="238">
        <v>2</v>
      </c>
      <c r="C111" s="238">
        <v>2</v>
      </c>
      <c r="D111" s="238">
        <v>2</v>
      </c>
      <c r="E111" s="238">
        <v>1</v>
      </c>
      <c r="F111" s="238">
        <v>14.77</v>
      </c>
      <c r="G111" s="238"/>
      <c r="H111" s="238"/>
      <c r="I111" s="238">
        <v>14.77</v>
      </c>
      <c r="J111" s="238">
        <v>11.88</v>
      </c>
      <c r="K111" s="238">
        <v>4.1399999999999997</v>
      </c>
      <c r="L111" s="238"/>
      <c r="M111" s="238">
        <v>4.28</v>
      </c>
      <c r="N111" s="238"/>
      <c r="O111" s="238">
        <v>3.11</v>
      </c>
      <c r="R111" s="238">
        <v>3.11</v>
      </c>
      <c r="S111" s="238">
        <v>38.18</v>
      </c>
      <c r="T111" s="238">
        <v>35.07</v>
      </c>
      <c r="U111" s="238">
        <v>36.630000000000003</v>
      </c>
      <c r="V111" s="238">
        <v>124030.39999999999</v>
      </c>
      <c r="X111">
        <v>124030.39999999999</v>
      </c>
      <c r="Y111">
        <v>1000</v>
      </c>
      <c r="Z111">
        <v>125030.39999999999</v>
      </c>
      <c r="AA111">
        <v>215</v>
      </c>
      <c r="AB111">
        <v>125245.4</v>
      </c>
      <c r="AC111">
        <v>17.5</v>
      </c>
      <c r="AD111">
        <v>125262.9</v>
      </c>
      <c r="AE111">
        <v>1878.9435000000001</v>
      </c>
      <c r="AF111">
        <v>127141.8435</v>
      </c>
      <c r="AG111">
        <v>1271.4184349999998</v>
      </c>
      <c r="AH111">
        <v>128413.261935</v>
      </c>
      <c r="AI111">
        <v>1284.1326193499999</v>
      </c>
      <c r="AJ111">
        <v>129697.39455435</v>
      </c>
      <c r="AL111">
        <v>129697.39455435</v>
      </c>
      <c r="AM111" s="238">
        <v>129697.39</v>
      </c>
      <c r="AN111" s="238">
        <v>4750900</v>
      </c>
      <c r="AP111" s="238"/>
      <c r="AQ111" s="238">
        <v>0</v>
      </c>
      <c r="AR111" s="238">
        <v>129699.69969969967</v>
      </c>
      <c r="AS111" s="238">
        <v>4750900</v>
      </c>
      <c r="AT111" s="238" t="s">
        <v>36</v>
      </c>
      <c r="AU111" s="238"/>
      <c r="AW111">
        <v>129699.69969969967</v>
      </c>
      <c r="AX111" s="238">
        <v>0</v>
      </c>
      <c r="AY111" s="238">
        <v>4750900</v>
      </c>
      <c r="BA111" s="238" t="s">
        <v>35</v>
      </c>
      <c r="BB111" s="238" t="s">
        <v>35</v>
      </c>
      <c r="BC111" t="s">
        <v>8953</v>
      </c>
      <c r="BD111" t="s">
        <v>8954</v>
      </c>
      <c r="BE111" t="s">
        <v>8962</v>
      </c>
      <c r="BF111" t="s">
        <v>8973</v>
      </c>
      <c r="BG111" t="b">
        <v>1</v>
      </c>
      <c r="BH111">
        <v>4750900</v>
      </c>
      <c r="BI111">
        <v>4750900</v>
      </c>
      <c r="BJ111">
        <v>0</v>
      </c>
      <c r="BK111">
        <v>0</v>
      </c>
      <c r="BL111">
        <v>0</v>
      </c>
      <c r="BM111" t="s">
        <v>36</v>
      </c>
      <c r="BN111" t="b">
        <v>1</v>
      </c>
      <c r="BO111" t="s">
        <v>8170</v>
      </c>
    </row>
    <row r="112" spans="1:67" x14ac:dyDescent="0.25">
      <c r="A112" s="238">
        <v>111</v>
      </c>
      <c r="B112" s="238">
        <v>2</v>
      </c>
      <c r="C112" s="238">
        <v>2</v>
      </c>
      <c r="D112" s="238">
        <v>3</v>
      </c>
      <c r="E112" s="238">
        <v>0</v>
      </c>
      <c r="F112" s="238">
        <v>13.94</v>
      </c>
      <c r="G112" s="238"/>
      <c r="H112" s="238"/>
      <c r="I112" s="238">
        <v>13.94</v>
      </c>
      <c r="J112" s="238">
        <v>5.98</v>
      </c>
      <c r="K112" s="238">
        <v>4.54</v>
      </c>
      <c r="L112" s="238"/>
      <c r="M112" s="238">
        <v>5.04</v>
      </c>
      <c r="N112" s="238"/>
      <c r="O112" s="238"/>
      <c r="R112" s="238">
        <v>0</v>
      </c>
      <c r="S112" s="238">
        <v>29.5</v>
      </c>
      <c r="T112" s="238">
        <v>29.5</v>
      </c>
      <c r="U112" s="238">
        <v>29.5</v>
      </c>
      <c r="V112" s="238">
        <v>141127.29999999999</v>
      </c>
      <c r="X112">
        <v>141127.29999999999</v>
      </c>
      <c r="Y112">
        <v>1000</v>
      </c>
      <c r="Z112">
        <v>142127.29999999999</v>
      </c>
      <c r="AA112">
        <v>215</v>
      </c>
      <c r="AB112">
        <v>142342.29999999999</v>
      </c>
      <c r="AC112">
        <v>17.5</v>
      </c>
      <c r="AD112">
        <v>142359.79999999999</v>
      </c>
      <c r="AF112">
        <v>142359.79999999999</v>
      </c>
      <c r="AH112">
        <v>142359.79999999999</v>
      </c>
      <c r="AJ112">
        <v>142359.79999999999</v>
      </c>
      <c r="AL112">
        <v>142359.79999999999</v>
      </c>
      <c r="AM112" s="238">
        <v>142359.79999999999</v>
      </c>
      <c r="AN112" s="238">
        <v>4199700</v>
      </c>
      <c r="AP112" s="238"/>
      <c r="AQ112" s="238">
        <v>0</v>
      </c>
      <c r="AR112" s="238">
        <v>142362.71186440677</v>
      </c>
      <c r="AS112" s="238">
        <v>4199700</v>
      </c>
      <c r="AT112" s="238" t="s">
        <v>36</v>
      </c>
      <c r="AU112" s="238"/>
      <c r="AW112">
        <v>142362.71186440677</v>
      </c>
      <c r="AX112" s="238">
        <v>0</v>
      </c>
      <c r="AY112" s="238">
        <v>4199700</v>
      </c>
      <c r="BA112" s="238" t="s">
        <v>35</v>
      </c>
      <c r="BB112" s="238" t="s">
        <v>35</v>
      </c>
      <c r="BC112" t="s">
        <v>8953</v>
      </c>
      <c r="BD112" t="s">
        <v>8954</v>
      </c>
      <c r="BE112" t="s">
        <v>8962</v>
      </c>
      <c r="BF112" t="s">
        <v>8970</v>
      </c>
      <c r="BG112" t="b">
        <v>1</v>
      </c>
      <c r="BH112">
        <v>4199700</v>
      </c>
      <c r="BI112">
        <v>4199700</v>
      </c>
      <c r="BJ112">
        <v>0</v>
      </c>
      <c r="BK112">
        <v>0</v>
      </c>
      <c r="BL112">
        <v>0</v>
      </c>
      <c r="BM112" t="s">
        <v>36</v>
      </c>
      <c r="BN112" t="b">
        <v>1</v>
      </c>
      <c r="BO112" t="s">
        <v>8171</v>
      </c>
    </row>
    <row r="113" spans="1:67" x14ac:dyDescent="0.25">
      <c r="A113" s="238">
        <v>112</v>
      </c>
      <c r="B113" s="238">
        <v>2</v>
      </c>
      <c r="C113" s="238">
        <v>2</v>
      </c>
      <c r="D113" s="238">
        <v>4</v>
      </c>
      <c r="E113" s="238">
        <v>0</v>
      </c>
      <c r="F113" s="238">
        <v>13.39</v>
      </c>
      <c r="G113" s="238"/>
      <c r="H113" s="238"/>
      <c r="I113" s="238">
        <v>13.39</v>
      </c>
      <c r="J113" s="238">
        <v>5.98</v>
      </c>
      <c r="K113" s="238">
        <v>4.54</v>
      </c>
      <c r="L113" s="238"/>
      <c r="M113" s="238">
        <v>4.08</v>
      </c>
      <c r="N113" s="238"/>
      <c r="O113" s="238"/>
      <c r="R113" s="238">
        <v>0</v>
      </c>
      <c r="S113" s="238">
        <v>27.99</v>
      </c>
      <c r="T113" s="238">
        <v>27.99</v>
      </c>
      <c r="U113" s="238">
        <v>27.99</v>
      </c>
      <c r="V113" s="238">
        <v>142524.6</v>
      </c>
      <c r="X113">
        <v>142524.6</v>
      </c>
      <c r="Y113">
        <v>1000</v>
      </c>
      <c r="Z113">
        <v>143524.6</v>
      </c>
      <c r="AA113">
        <v>215</v>
      </c>
      <c r="AB113">
        <v>143739.6</v>
      </c>
      <c r="AC113">
        <v>17.5</v>
      </c>
      <c r="AD113">
        <v>143757.1</v>
      </c>
      <c r="AF113">
        <v>143757.1</v>
      </c>
      <c r="AH113">
        <v>143757.1</v>
      </c>
      <c r="AJ113">
        <v>143757.1</v>
      </c>
      <c r="AL113">
        <v>143757.1</v>
      </c>
      <c r="AM113" s="238">
        <v>143757.1</v>
      </c>
      <c r="AN113" s="238">
        <v>4023800</v>
      </c>
      <c r="AP113" s="238"/>
      <c r="AQ113" s="238">
        <v>0</v>
      </c>
      <c r="AR113" s="238">
        <v>143758.48517327619</v>
      </c>
      <c r="AS113" s="238">
        <v>4023800</v>
      </c>
      <c r="AT113" s="238" t="s">
        <v>36</v>
      </c>
      <c r="AU113" s="238"/>
      <c r="AW113">
        <v>143758.48517327619</v>
      </c>
      <c r="AX113" s="238">
        <v>0</v>
      </c>
      <c r="AY113" s="238">
        <v>4023800.0000000009</v>
      </c>
      <c r="BA113" s="238" t="s">
        <v>35</v>
      </c>
      <c r="BB113" s="238" t="s">
        <v>35</v>
      </c>
      <c r="BC113" t="s">
        <v>8953</v>
      </c>
      <c r="BD113" t="s">
        <v>8954</v>
      </c>
      <c r="BE113" t="s">
        <v>8962</v>
      </c>
      <c r="BF113" t="s">
        <v>8970</v>
      </c>
      <c r="BG113" t="b">
        <v>1</v>
      </c>
      <c r="BH113">
        <v>4023800</v>
      </c>
      <c r="BI113">
        <v>4023800</v>
      </c>
      <c r="BJ113">
        <v>0</v>
      </c>
      <c r="BK113">
        <v>0</v>
      </c>
      <c r="BL113">
        <v>0</v>
      </c>
      <c r="BM113" t="s">
        <v>36</v>
      </c>
      <c r="BN113" t="b">
        <v>1</v>
      </c>
      <c r="BO113" t="s">
        <v>8172</v>
      </c>
    </row>
    <row r="114" spans="1:67" x14ac:dyDescent="0.25">
      <c r="A114" s="238">
        <v>113</v>
      </c>
      <c r="B114" s="238">
        <v>2</v>
      </c>
      <c r="C114" s="238">
        <v>2</v>
      </c>
      <c r="D114" s="238">
        <v>5</v>
      </c>
      <c r="E114" s="238">
        <v>2</v>
      </c>
      <c r="F114" s="238">
        <v>20.9</v>
      </c>
      <c r="G114" s="238">
        <v>14.14</v>
      </c>
      <c r="H114" s="238"/>
      <c r="I114" s="238">
        <v>35.04</v>
      </c>
      <c r="J114" s="238">
        <v>12.38</v>
      </c>
      <c r="K114" s="238">
        <v>4.1399999999999997</v>
      </c>
      <c r="L114" s="238"/>
      <c r="M114" s="238">
        <v>7.61</v>
      </c>
      <c r="N114" s="238">
        <v>7.03</v>
      </c>
      <c r="O114" s="238"/>
      <c r="R114" s="238">
        <v>0</v>
      </c>
      <c r="S114" s="238">
        <v>66.2</v>
      </c>
      <c r="T114" s="238">
        <v>66.2</v>
      </c>
      <c r="U114" s="238">
        <v>66.2</v>
      </c>
      <c r="V114" s="238">
        <v>116420.9</v>
      </c>
      <c r="X114">
        <v>116420.9</v>
      </c>
      <c r="Y114">
        <v>1000</v>
      </c>
      <c r="Z114">
        <v>117420.9</v>
      </c>
      <c r="AA114">
        <v>215</v>
      </c>
      <c r="AB114">
        <v>117635.9</v>
      </c>
      <c r="AC114">
        <v>17.5</v>
      </c>
      <c r="AD114">
        <v>117653.4</v>
      </c>
      <c r="AE114">
        <v>588.26699999999994</v>
      </c>
      <c r="AF114">
        <v>118241.667</v>
      </c>
      <c r="AH114">
        <v>118241.667</v>
      </c>
      <c r="AJ114">
        <v>118241.667</v>
      </c>
      <c r="AL114">
        <v>118241.667</v>
      </c>
      <c r="AM114" s="238">
        <v>118241.67</v>
      </c>
      <c r="AN114" s="238">
        <v>7827600</v>
      </c>
      <c r="AP114" s="238"/>
      <c r="AQ114" s="238">
        <v>0</v>
      </c>
      <c r="AR114" s="238">
        <v>118241.6918429003</v>
      </c>
      <c r="AS114" s="238">
        <v>7827600</v>
      </c>
      <c r="AT114" s="238" t="s">
        <v>36</v>
      </c>
      <c r="AU114" s="238"/>
      <c r="AW114">
        <v>118241.6918429003</v>
      </c>
      <c r="AX114" s="238">
        <v>0</v>
      </c>
      <c r="AY114" s="238">
        <v>7827600</v>
      </c>
      <c r="BA114" s="238" t="s">
        <v>35</v>
      </c>
      <c r="BB114" s="238" t="s">
        <v>35</v>
      </c>
      <c r="BC114" t="s">
        <v>8953</v>
      </c>
      <c r="BD114" t="s">
        <v>8954</v>
      </c>
      <c r="BE114" t="s">
        <v>8962</v>
      </c>
      <c r="BF114" t="s">
        <v>8974</v>
      </c>
      <c r="BG114" t="b">
        <v>1</v>
      </c>
      <c r="BH114">
        <v>7827600</v>
      </c>
      <c r="BI114">
        <v>7827600</v>
      </c>
      <c r="BJ114">
        <v>0</v>
      </c>
      <c r="BK114">
        <v>0</v>
      </c>
      <c r="BL114">
        <v>0</v>
      </c>
      <c r="BM114" t="s">
        <v>36</v>
      </c>
      <c r="BN114" t="b">
        <v>1</v>
      </c>
      <c r="BO114" t="s">
        <v>8173</v>
      </c>
    </row>
    <row r="115" spans="1:67" x14ac:dyDescent="0.25">
      <c r="A115" s="238">
        <v>114</v>
      </c>
      <c r="B115" s="238">
        <v>2</v>
      </c>
      <c r="C115" s="238">
        <v>2</v>
      </c>
      <c r="D115" s="238">
        <v>6</v>
      </c>
      <c r="E115" s="238">
        <v>2</v>
      </c>
      <c r="F115" s="238">
        <v>17.73</v>
      </c>
      <c r="G115" s="238">
        <v>12.22</v>
      </c>
      <c r="H115" s="238"/>
      <c r="I115" s="238">
        <v>29.950000000000003</v>
      </c>
      <c r="J115" s="238">
        <v>13.65</v>
      </c>
      <c r="K115" s="238">
        <v>5.22</v>
      </c>
      <c r="L115" s="238">
        <v>2.5</v>
      </c>
      <c r="M115" s="238">
        <v>8.06</v>
      </c>
      <c r="N115" s="238"/>
      <c r="O115" s="238">
        <v>3.11</v>
      </c>
      <c r="R115" s="238">
        <v>3.11</v>
      </c>
      <c r="S115" s="238">
        <v>62.49</v>
      </c>
      <c r="T115" s="238">
        <v>59.38</v>
      </c>
      <c r="U115" s="238">
        <v>60.94</v>
      </c>
      <c r="V115" s="238">
        <v>124333</v>
      </c>
      <c r="X115">
        <v>124333</v>
      </c>
      <c r="Y115">
        <v>1000</v>
      </c>
      <c r="Z115">
        <v>125333</v>
      </c>
      <c r="AA115">
        <v>215</v>
      </c>
      <c r="AB115">
        <v>125548</v>
      </c>
      <c r="AC115">
        <v>17.5</v>
      </c>
      <c r="AD115">
        <v>125565.5</v>
      </c>
      <c r="AE115">
        <v>627.82749999999999</v>
      </c>
      <c r="AF115">
        <v>126193.3275</v>
      </c>
      <c r="AH115">
        <v>126193.3275</v>
      </c>
      <c r="AJ115">
        <v>126193.3275</v>
      </c>
      <c r="AK115">
        <v>3785.7998250000001</v>
      </c>
      <c r="AL115">
        <v>129979.12732499999</v>
      </c>
      <c r="AM115" s="238">
        <v>129979.13</v>
      </c>
      <c r="AN115" s="238">
        <v>7921000</v>
      </c>
      <c r="AP115" s="238"/>
      <c r="AQ115" s="238">
        <v>0</v>
      </c>
      <c r="AR115" s="238">
        <v>129980.3085001641</v>
      </c>
      <c r="AS115" s="238">
        <v>7921000</v>
      </c>
      <c r="AT115" s="238" t="s">
        <v>36</v>
      </c>
      <c r="AU115" s="238"/>
      <c r="AW115">
        <v>129980.3085001641</v>
      </c>
      <c r="AX115" s="238">
        <v>0</v>
      </c>
      <c r="AY115" s="238">
        <v>7921000</v>
      </c>
      <c r="BA115" s="238" t="s">
        <v>35</v>
      </c>
      <c r="BB115" s="238" t="s">
        <v>35</v>
      </c>
      <c r="BC115" t="s">
        <v>8953</v>
      </c>
      <c r="BD115" t="s">
        <v>8954</v>
      </c>
      <c r="BE115" t="s">
        <v>8962</v>
      </c>
      <c r="BF115" t="s">
        <v>8974</v>
      </c>
      <c r="BG115" t="b">
        <v>1</v>
      </c>
      <c r="BH115">
        <v>7921000</v>
      </c>
      <c r="BI115">
        <v>7921000</v>
      </c>
      <c r="BJ115">
        <v>0</v>
      </c>
      <c r="BK115">
        <v>0</v>
      </c>
      <c r="BL115">
        <v>0</v>
      </c>
      <c r="BM115" t="s">
        <v>36</v>
      </c>
      <c r="BN115" t="b">
        <v>1</v>
      </c>
      <c r="BO115" t="s">
        <v>8174</v>
      </c>
    </row>
    <row r="116" spans="1:67" x14ac:dyDescent="0.25">
      <c r="A116" s="238">
        <v>115</v>
      </c>
      <c r="B116" s="238">
        <v>2</v>
      </c>
      <c r="C116" s="238">
        <v>3</v>
      </c>
      <c r="D116" s="238">
        <v>1</v>
      </c>
      <c r="E116" s="238">
        <v>2</v>
      </c>
      <c r="F116" s="238">
        <v>17.579999999999998</v>
      </c>
      <c r="G116" s="238">
        <v>14.37</v>
      </c>
      <c r="H116" s="238"/>
      <c r="I116" s="238">
        <v>31.949999999999996</v>
      </c>
      <c r="J116" s="238">
        <v>14.29</v>
      </c>
      <c r="K116" s="238">
        <v>4.5199999999999996</v>
      </c>
      <c r="L116" s="238"/>
      <c r="M116" s="238">
        <v>8.64</v>
      </c>
      <c r="N116" s="238">
        <v>4.76</v>
      </c>
      <c r="O116" s="238">
        <v>3.11</v>
      </c>
      <c r="R116" s="238">
        <v>3.11</v>
      </c>
      <c r="S116" s="238">
        <v>67.27</v>
      </c>
      <c r="T116" s="238">
        <v>64.16</v>
      </c>
      <c r="U116" s="238">
        <v>65.72</v>
      </c>
      <c r="V116" s="238">
        <v>119811.8</v>
      </c>
      <c r="X116">
        <v>119811.8</v>
      </c>
      <c r="Y116">
        <v>1000</v>
      </c>
      <c r="Z116">
        <v>120811.8</v>
      </c>
      <c r="AA116">
        <v>215</v>
      </c>
      <c r="AB116">
        <v>121026.8</v>
      </c>
      <c r="AC116">
        <v>17.5</v>
      </c>
      <c r="AD116">
        <v>121044.3</v>
      </c>
      <c r="AE116">
        <v>605.22149999999999</v>
      </c>
      <c r="AF116">
        <v>121649.5215</v>
      </c>
      <c r="AH116">
        <v>121649.5215</v>
      </c>
      <c r="AJ116">
        <v>121649.5215</v>
      </c>
      <c r="AL116">
        <v>121649.5215</v>
      </c>
      <c r="AM116" s="238">
        <v>121649.52</v>
      </c>
      <c r="AN116" s="238">
        <v>7994900</v>
      </c>
      <c r="AP116" s="238"/>
      <c r="AQ116" s="238">
        <v>0</v>
      </c>
      <c r="AR116" s="238">
        <v>121650.94339622642</v>
      </c>
      <c r="AS116" s="238">
        <v>7994900</v>
      </c>
      <c r="AT116" s="238" t="s">
        <v>36</v>
      </c>
      <c r="AU116" s="238"/>
      <c r="AW116">
        <v>121650.94339622642</v>
      </c>
      <c r="AX116" s="238">
        <v>0</v>
      </c>
      <c r="AY116" s="238">
        <v>7994900</v>
      </c>
      <c r="BA116" s="238" t="s">
        <v>35</v>
      </c>
      <c r="BB116" s="238" t="s">
        <v>35</v>
      </c>
      <c r="BC116" t="s">
        <v>8953</v>
      </c>
      <c r="BD116" t="s">
        <v>8954</v>
      </c>
      <c r="BE116" t="s">
        <v>8962</v>
      </c>
      <c r="BF116" t="s">
        <v>8971</v>
      </c>
      <c r="BG116" t="b">
        <v>1</v>
      </c>
      <c r="BH116">
        <v>7994900</v>
      </c>
      <c r="BI116">
        <v>7994900</v>
      </c>
      <c r="BJ116">
        <v>0</v>
      </c>
      <c r="BK116">
        <v>0</v>
      </c>
      <c r="BL116">
        <v>0</v>
      </c>
      <c r="BM116" t="s">
        <v>36</v>
      </c>
      <c r="BN116" t="b">
        <v>1</v>
      </c>
      <c r="BO116" t="s">
        <v>8175</v>
      </c>
    </row>
    <row r="117" spans="1:67" x14ac:dyDescent="0.25">
      <c r="A117" s="238">
        <v>116</v>
      </c>
      <c r="B117" s="238">
        <v>2</v>
      </c>
      <c r="C117" s="238">
        <v>3</v>
      </c>
      <c r="D117" s="238">
        <v>2</v>
      </c>
      <c r="E117" s="238">
        <v>1</v>
      </c>
      <c r="F117" s="238">
        <v>14.77</v>
      </c>
      <c r="G117" s="238"/>
      <c r="H117" s="238"/>
      <c r="I117" s="238">
        <v>14.77</v>
      </c>
      <c r="J117" s="238">
        <v>11.88</v>
      </c>
      <c r="K117" s="238">
        <v>4.1399999999999997</v>
      </c>
      <c r="L117" s="238"/>
      <c r="M117" s="238">
        <v>4.28</v>
      </c>
      <c r="N117" s="238"/>
      <c r="O117" s="238">
        <v>3.11</v>
      </c>
      <c r="R117" s="238">
        <v>3.11</v>
      </c>
      <c r="S117" s="238">
        <v>38.18</v>
      </c>
      <c r="T117" s="238">
        <v>35.07</v>
      </c>
      <c r="U117" s="238">
        <v>36.630000000000003</v>
      </c>
      <c r="V117" s="238">
        <v>124030.39999999999</v>
      </c>
      <c r="X117">
        <v>124030.39999999999</v>
      </c>
      <c r="Y117">
        <v>1000</v>
      </c>
      <c r="Z117">
        <v>125030.39999999999</v>
      </c>
      <c r="AA117">
        <v>215</v>
      </c>
      <c r="AB117">
        <v>125245.4</v>
      </c>
      <c r="AC117">
        <v>17.5</v>
      </c>
      <c r="AD117">
        <v>125262.9</v>
      </c>
      <c r="AE117">
        <v>1878.9435000000001</v>
      </c>
      <c r="AF117">
        <v>127141.8435</v>
      </c>
      <c r="AG117">
        <v>1271.4184349999998</v>
      </c>
      <c r="AH117">
        <v>128413.261935</v>
      </c>
      <c r="AI117">
        <v>1284.1326193499999</v>
      </c>
      <c r="AJ117">
        <v>129697.39455435</v>
      </c>
      <c r="AL117">
        <v>129697.39455435</v>
      </c>
      <c r="AM117" s="238">
        <v>129697.39</v>
      </c>
      <c r="AN117" s="238">
        <v>4750900</v>
      </c>
      <c r="AP117" s="238"/>
      <c r="AQ117" s="238">
        <v>0</v>
      </c>
      <c r="AR117" s="238">
        <v>129699.69969969967</v>
      </c>
      <c r="AS117" s="238">
        <v>4750900</v>
      </c>
      <c r="AT117" s="238" t="s">
        <v>36</v>
      </c>
      <c r="AU117" s="238"/>
      <c r="AW117">
        <v>129699.69969969967</v>
      </c>
      <c r="AX117" s="238">
        <v>0</v>
      </c>
      <c r="AY117" s="238">
        <v>4750900</v>
      </c>
      <c r="BA117" s="238" t="s">
        <v>35</v>
      </c>
      <c r="BB117" s="238" t="s">
        <v>35</v>
      </c>
      <c r="BC117" t="s">
        <v>8953</v>
      </c>
      <c r="BD117" t="s">
        <v>8954</v>
      </c>
      <c r="BE117" t="s">
        <v>8962</v>
      </c>
      <c r="BF117" t="s">
        <v>8973</v>
      </c>
      <c r="BG117" t="b">
        <v>1</v>
      </c>
      <c r="BH117">
        <v>4750900</v>
      </c>
      <c r="BI117">
        <v>4750900</v>
      </c>
      <c r="BJ117">
        <v>0</v>
      </c>
      <c r="BK117">
        <v>0</v>
      </c>
      <c r="BL117">
        <v>0</v>
      </c>
      <c r="BM117" t="s">
        <v>36</v>
      </c>
      <c r="BN117" t="b">
        <v>1</v>
      </c>
      <c r="BO117" t="s">
        <v>8176</v>
      </c>
    </row>
    <row r="118" spans="1:67" x14ac:dyDescent="0.25">
      <c r="A118" s="238">
        <v>117</v>
      </c>
      <c r="B118" s="238">
        <v>2</v>
      </c>
      <c r="C118" s="238">
        <v>3</v>
      </c>
      <c r="D118" s="238">
        <v>3</v>
      </c>
      <c r="E118" s="238">
        <v>0</v>
      </c>
      <c r="F118" s="238">
        <v>13.94</v>
      </c>
      <c r="G118" s="238"/>
      <c r="H118" s="238"/>
      <c r="I118" s="238">
        <v>13.94</v>
      </c>
      <c r="J118" s="238">
        <v>5.98</v>
      </c>
      <c r="K118" s="238">
        <v>4.54</v>
      </c>
      <c r="L118" s="238"/>
      <c r="M118" s="238">
        <v>5.04</v>
      </c>
      <c r="N118" s="238"/>
      <c r="O118" s="238"/>
      <c r="R118" s="238">
        <v>0</v>
      </c>
      <c r="S118" s="238">
        <v>29.5</v>
      </c>
      <c r="T118" s="238">
        <v>29.5</v>
      </c>
      <c r="U118" s="238">
        <v>29.5</v>
      </c>
      <c r="V118" s="238">
        <v>142524.6</v>
      </c>
      <c r="X118">
        <v>142524.6</v>
      </c>
      <c r="Y118">
        <v>1000</v>
      </c>
      <c r="Z118">
        <v>143524.6</v>
      </c>
      <c r="AA118">
        <v>215</v>
      </c>
      <c r="AB118">
        <v>143739.6</v>
      </c>
      <c r="AC118">
        <v>17.5</v>
      </c>
      <c r="AD118">
        <v>143757.1</v>
      </c>
      <c r="AF118">
        <v>143757.1</v>
      </c>
      <c r="AH118">
        <v>143757.1</v>
      </c>
      <c r="AJ118">
        <v>143757.1</v>
      </c>
      <c r="AL118">
        <v>143757.1</v>
      </c>
      <c r="AM118" s="238">
        <v>143757.1</v>
      </c>
      <c r="AN118" s="238">
        <v>4240900</v>
      </c>
      <c r="AP118" s="238"/>
      <c r="AQ118" s="238">
        <v>0</v>
      </c>
      <c r="AR118" s="238">
        <v>143759.32203389829</v>
      </c>
      <c r="AS118" s="238">
        <v>4240900</v>
      </c>
      <c r="AT118" s="238" t="s">
        <v>36</v>
      </c>
      <c r="AU118" s="238"/>
      <c r="AW118">
        <v>143759.32203389829</v>
      </c>
      <c r="AX118" s="238">
        <v>0</v>
      </c>
      <c r="AY118" s="238">
        <v>4240900</v>
      </c>
      <c r="BA118" s="238" t="s">
        <v>35</v>
      </c>
      <c r="BB118" s="238" t="s">
        <v>35</v>
      </c>
      <c r="BC118" t="s">
        <v>8953</v>
      </c>
      <c r="BD118" t="s">
        <v>8954</v>
      </c>
      <c r="BE118" t="s">
        <v>8962</v>
      </c>
      <c r="BF118" t="s">
        <v>8970</v>
      </c>
      <c r="BG118" t="b">
        <v>1</v>
      </c>
      <c r="BH118">
        <v>4240900</v>
      </c>
      <c r="BI118">
        <v>4240900</v>
      </c>
      <c r="BJ118">
        <v>0</v>
      </c>
      <c r="BK118">
        <v>0</v>
      </c>
      <c r="BL118">
        <v>0</v>
      </c>
      <c r="BM118" t="s">
        <v>36</v>
      </c>
      <c r="BN118" t="b">
        <v>1</v>
      </c>
      <c r="BO118" t="s">
        <v>8177</v>
      </c>
    </row>
    <row r="119" spans="1:67" x14ac:dyDescent="0.25">
      <c r="A119" s="238">
        <v>118</v>
      </c>
      <c r="B119" s="238">
        <v>2</v>
      </c>
      <c r="C119" s="238">
        <v>3</v>
      </c>
      <c r="D119" s="238">
        <v>4</v>
      </c>
      <c r="E119" s="238">
        <v>0</v>
      </c>
      <c r="F119" s="238">
        <v>13.39</v>
      </c>
      <c r="G119" s="238"/>
      <c r="H119" s="238"/>
      <c r="I119" s="238">
        <v>13.39</v>
      </c>
      <c r="J119" s="238">
        <v>5.98</v>
      </c>
      <c r="K119" s="238">
        <v>4.54</v>
      </c>
      <c r="L119" s="238"/>
      <c r="M119" s="238">
        <v>4.08</v>
      </c>
      <c r="N119" s="238"/>
      <c r="O119" s="238"/>
      <c r="R119" s="238">
        <v>0</v>
      </c>
      <c r="S119" s="238">
        <v>27.99</v>
      </c>
      <c r="T119" s="238">
        <v>27.99</v>
      </c>
      <c r="U119" s="238">
        <v>27.99</v>
      </c>
      <c r="V119" s="238">
        <v>142524.6</v>
      </c>
      <c r="X119">
        <v>142524.6</v>
      </c>
      <c r="Y119">
        <v>1000</v>
      </c>
      <c r="Z119">
        <v>143524.6</v>
      </c>
      <c r="AA119">
        <v>215</v>
      </c>
      <c r="AB119">
        <v>143739.6</v>
      </c>
      <c r="AC119">
        <v>17.5</v>
      </c>
      <c r="AD119">
        <v>143757.1</v>
      </c>
      <c r="AF119">
        <v>143757.1</v>
      </c>
      <c r="AH119">
        <v>143757.1</v>
      </c>
      <c r="AJ119">
        <v>143757.1</v>
      </c>
      <c r="AL119">
        <v>143757.1</v>
      </c>
      <c r="AM119" s="238">
        <v>143757.1</v>
      </c>
      <c r="AN119" s="238">
        <v>4023800</v>
      </c>
      <c r="AP119" s="238"/>
      <c r="AQ119" s="238">
        <v>0</v>
      </c>
      <c r="AR119" s="238">
        <v>143758.48517327619</v>
      </c>
      <c r="AS119" s="238">
        <v>4023800</v>
      </c>
      <c r="AT119" s="238" t="s">
        <v>36</v>
      </c>
      <c r="AU119" s="238"/>
      <c r="AW119">
        <v>143758.48517327619</v>
      </c>
      <c r="AX119" s="238">
        <v>0</v>
      </c>
      <c r="AY119" s="238">
        <v>4023800.0000000009</v>
      </c>
      <c r="BA119" s="238" t="s">
        <v>35</v>
      </c>
      <c r="BB119" s="238" t="s">
        <v>35</v>
      </c>
      <c r="BC119" t="s">
        <v>8953</v>
      </c>
      <c r="BD119" t="s">
        <v>8954</v>
      </c>
      <c r="BE119" t="s">
        <v>8962</v>
      </c>
      <c r="BF119" t="s">
        <v>8970</v>
      </c>
      <c r="BG119" t="b">
        <v>1</v>
      </c>
      <c r="BH119">
        <v>4023800</v>
      </c>
      <c r="BI119">
        <v>4023800</v>
      </c>
      <c r="BJ119">
        <v>0</v>
      </c>
      <c r="BK119">
        <v>0</v>
      </c>
      <c r="BL119">
        <v>0</v>
      </c>
      <c r="BM119" t="s">
        <v>36</v>
      </c>
      <c r="BN119" t="b">
        <v>1</v>
      </c>
      <c r="BO119" t="s">
        <v>8178</v>
      </c>
    </row>
    <row r="120" spans="1:67" x14ac:dyDescent="0.25">
      <c r="A120" s="238">
        <v>119</v>
      </c>
      <c r="B120" s="238">
        <v>2</v>
      </c>
      <c r="C120" s="238">
        <v>3</v>
      </c>
      <c r="D120" s="238">
        <v>5</v>
      </c>
      <c r="E120" s="238">
        <v>2</v>
      </c>
      <c r="F120" s="238">
        <v>16.579999999999998</v>
      </c>
      <c r="G120" s="238">
        <v>14.14</v>
      </c>
      <c r="H120" s="238"/>
      <c r="I120" s="238">
        <v>30.72</v>
      </c>
      <c r="J120" s="238">
        <v>12.38</v>
      </c>
      <c r="K120" s="238">
        <v>4.1399999999999997</v>
      </c>
      <c r="L120" s="238"/>
      <c r="M120" s="238">
        <v>7.61</v>
      </c>
      <c r="N120" s="238">
        <v>7.03</v>
      </c>
      <c r="O120" s="238">
        <v>3.11</v>
      </c>
      <c r="R120" s="238">
        <v>3.11</v>
      </c>
      <c r="S120" s="238">
        <v>64.989999999999995</v>
      </c>
      <c r="T120" s="238">
        <v>61.88</v>
      </c>
      <c r="U120" s="238">
        <v>63.44</v>
      </c>
      <c r="V120" s="238">
        <v>122072.4</v>
      </c>
      <c r="W120">
        <v>-7000</v>
      </c>
      <c r="X120">
        <v>115072.4</v>
      </c>
      <c r="Y120">
        <v>1000</v>
      </c>
      <c r="Z120">
        <v>116072.4</v>
      </c>
      <c r="AA120">
        <v>215</v>
      </c>
      <c r="AB120">
        <v>116287.4</v>
      </c>
      <c r="AC120">
        <v>17.5</v>
      </c>
      <c r="AD120">
        <v>116304.9</v>
      </c>
      <c r="AE120">
        <v>581.52449999999999</v>
      </c>
      <c r="AF120">
        <v>116886.42449999999</v>
      </c>
      <c r="AH120">
        <v>116886.42449999999</v>
      </c>
      <c r="AJ120">
        <v>116886.42449999999</v>
      </c>
      <c r="AK120">
        <v>3506.5927349999997</v>
      </c>
      <c r="AL120">
        <v>120393.01723500001</v>
      </c>
      <c r="AM120" s="238">
        <v>120393.02</v>
      </c>
      <c r="AN120" s="238">
        <v>7637800</v>
      </c>
      <c r="AP120" s="238"/>
      <c r="AQ120" s="238">
        <v>0</v>
      </c>
      <c r="AR120" s="238">
        <v>120394.0731399748</v>
      </c>
      <c r="AS120" s="238">
        <v>7637800</v>
      </c>
      <c r="AT120" s="238" t="s">
        <v>36</v>
      </c>
      <c r="AU120" s="238"/>
      <c r="AW120">
        <v>120394.0731399748</v>
      </c>
      <c r="AX120" s="238">
        <v>0</v>
      </c>
      <c r="AY120" s="238">
        <v>7637800</v>
      </c>
      <c r="BA120" s="238" t="s">
        <v>3</v>
      </c>
      <c r="BB120" s="238" t="s">
        <v>3</v>
      </c>
      <c r="BC120" t="s">
        <v>8951</v>
      </c>
      <c r="BD120" t="s">
        <v>1167</v>
      </c>
      <c r="BE120" t="s">
        <v>8962</v>
      </c>
      <c r="BF120" t="s">
        <v>8974</v>
      </c>
      <c r="BG120" t="b">
        <v>1</v>
      </c>
      <c r="BH120">
        <v>7637800</v>
      </c>
      <c r="BI120">
        <v>7637800</v>
      </c>
      <c r="BJ120">
        <v>0</v>
      </c>
      <c r="BK120">
        <v>0</v>
      </c>
      <c r="BL120">
        <v>0</v>
      </c>
      <c r="BM120" t="s">
        <v>36</v>
      </c>
      <c r="BN120" t="b">
        <v>1</v>
      </c>
      <c r="BO120" t="s">
        <v>8179</v>
      </c>
    </row>
    <row r="121" spans="1:67" x14ac:dyDescent="0.25">
      <c r="A121" s="238">
        <v>120</v>
      </c>
      <c r="B121" s="238">
        <v>2</v>
      </c>
      <c r="C121" s="238">
        <v>3</v>
      </c>
      <c r="D121" s="238">
        <v>6</v>
      </c>
      <c r="E121" s="238">
        <v>2</v>
      </c>
      <c r="F121" s="238">
        <v>17.73</v>
      </c>
      <c r="G121" s="238">
        <v>12.22</v>
      </c>
      <c r="H121" s="238"/>
      <c r="I121" s="238">
        <v>29.950000000000003</v>
      </c>
      <c r="J121" s="238">
        <v>13.65</v>
      </c>
      <c r="K121" s="238">
        <v>5.22</v>
      </c>
      <c r="L121" s="238">
        <v>2.5</v>
      </c>
      <c r="M121" s="238">
        <v>8.06</v>
      </c>
      <c r="N121" s="238"/>
      <c r="O121" s="238">
        <v>3.11</v>
      </c>
      <c r="R121" s="238">
        <v>3.11</v>
      </c>
      <c r="S121" s="238">
        <v>62.49</v>
      </c>
      <c r="T121" s="238">
        <v>59.38</v>
      </c>
      <c r="U121" s="238">
        <v>60.94</v>
      </c>
      <c r="V121" s="238">
        <v>126593.60000000001</v>
      </c>
      <c r="W121">
        <v>-10000</v>
      </c>
      <c r="X121">
        <v>116593.60000000001</v>
      </c>
      <c r="Y121">
        <v>1000</v>
      </c>
      <c r="Z121">
        <v>117593.60000000001</v>
      </c>
      <c r="AA121">
        <v>215</v>
      </c>
      <c r="AB121">
        <v>117808.6</v>
      </c>
      <c r="AC121">
        <v>17.5</v>
      </c>
      <c r="AD121">
        <v>117826.1</v>
      </c>
      <c r="AE121">
        <v>589.1305000000001</v>
      </c>
      <c r="AF121">
        <v>118415.23050000001</v>
      </c>
      <c r="AH121">
        <v>118415.23050000001</v>
      </c>
      <c r="AJ121">
        <v>118415.23050000001</v>
      </c>
      <c r="AK121">
        <v>3552.4569150000002</v>
      </c>
      <c r="AL121">
        <v>121967.68741499999</v>
      </c>
      <c r="AM121" s="238">
        <v>121967.69</v>
      </c>
      <c r="AN121" s="238">
        <v>7432800</v>
      </c>
      <c r="AP121" s="238"/>
      <c r="AQ121" s="238">
        <v>0</v>
      </c>
      <c r="AR121" s="238">
        <v>121969.14998359044</v>
      </c>
      <c r="AS121" s="238">
        <v>7432800</v>
      </c>
      <c r="AT121" s="238" t="s">
        <v>38</v>
      </c>
      <c r="AU121" s="238">
        <v>30000</v>
      </c>
      <c r="AV121" t="s">
        <v>8816</v>
      </c>
      <c r="AW121">
        <v>151969.14998359041</v>
      </c>
      <c r="AX121" s="238">
        <v>1828200</v>
      </c>
      <c r="AY121" s="238">
        <v>9261000</v>
      </c>
      <c r="BA121" s="238" t="s">
        <v>35</v>
      </c>
      <c r="BB121" s="238" t="s">
        <v>35</v>
      </c>
      <c r="BC121" t="s">
        <v>8953</v>
      </c>
      <c r="BD121" t="s">
        <v>8954</v>
      </c>
      <c r="BE121" t="s">
        <v>8962</v>
      </c>
      <c r="BF121" t="s">
        <v>8974</v>
      </c>
      <c r="BG121" t="b">
        <v>1</v>
      </c>
      <c r="BH121">
        <v>7432800</v>
      </c>
      <c r="BI121">
        <v>7432800</v>
      </c>
      <c r="BJ121">
        <v>0</v>
      </c>
      <c r="BK121">
        <v>0</v>
      </c>
      <c r="BL121">
        <v>0</v>
      </c>
      <c r="BM121" t="s">
        <v>38</v>
      </c>
      <c r="BN121" t="b">
        <v>1</v>
      </c>
      <c r="BO121" t="s">
        <v>8180</v>
      </c>
    </row>
    <row r="122" spans="1:67" x14ac:dyDescent="0.25">
      <c r="A122" s="238">
        <v>121</v>
      </c>
      <c r="B122" s="238">
        <v>2</v>
      </c>
      <c r="C122" s="238">
        <v>4</v>
      </c>
      <c r="D122" s="238">
        <v>1</v>
      </c>
      <c r="E122" s="238">
        <v>2</v>
      </c>
      <c r="F122" s="238">
        <v>17.579999999999998</v>
      </c>
      <c r="G122" s="238">
        <v>14.37</v>
      </c>
      <c r="H122" s="238"/>
      <c r="I122" s="238">
        <v>31.949999999999996</v>
      </c>
      <c r="J122" s="238">
        <v>14.29</v>
      </c>
      <c r="K122" s="238">
        <v>4.5199999999999996</v>
      </c>
      <c r="L122" s="238"/>
      <c r="M122" s="238">
        <v>8.64</v>
      </c>
      <c r="N122" s="238">
        <v>4.76</v>
      </c>
      <c r="O122" s="238">
        <v>3.11</v>
      </c>
      <c r="R122" s="238">
        <v>3.11</v>
      </c>
      <c r="S122" s="238">
        <v>67.27</v>
      </c>
      <c r="T122" s="238">
        <v>64.16</v>
      </c>
      <c r="U122" s="238">
        <v>65.72</v>
      </c>
      <c r="V122" s="238">
        <v>119811.8</v>
      </c>
      <c r="X122">
        <v>119811.8</v>
      </c>
      <c r="Y122">
        <v>1000</v>
      </c>
      <c r="Z122">
        <v>120811.8</v>
      </c>
      <c r="AA122">
        <v>215</v>
      </c>
      <c r="AB122">
        <v>121026.8</v>
      </c>
      <c r="AC122">
        <v>17.5</v>
      </c>
      <c r="AD122">
        <v>121044.3</v>
      </c>
      <c r="AE122">
        <v>605.22149999999999</v>
      </c>
      <c r="AF122">
        <v>121649.5215</v>
      </c>
      <c r="AH122">
        <v>121649.5215</v>
      </c>
      <c r="AJ122">
        <v>121649.5215</v>
      </c>
      <c r="AL122">
        <v>121649.5215</v>
      </c>
      <c r="AM122" s="238">
        <v>121649.52</v>
      </c>
      <c r="AN122" s="238">
        <v>7994900</v>
      </c>
      <c r="AP122" s="238"/>
      <c r="AQ122" s="238">
        <v>0</v>
      </c>
      <c r="AR122" s="238">
        <v>121650.94339622642</v>
      </c>
      <c r="AS122" s="238">
        <v>7994900</v>
      </c>
      <c r="AT122" s="238" t="s">
        <v>36</v>
      </c>
      <c r="AU122" s="238"/>
      <c r="AW122">
        <v>121650.94339622642</v>
      </c>
      <c r="AX122" s="238">
        <v>0</v>
      </c>
      <c r="AY122" s="238">
        <v>7994900</v>
      </c>
      <c r="BA122" s="238" t="s">
        <v>35</v>
      </c>
      <c r="BB122" s="238" t="s">
        <v>35</v>
      </c>
      <c r="BC122" t="s">
        <v>8953</v>
      </c>
      <c r="BD122" t="s">
        <v>8954</v>
      </c>
      <c r="BE122" t="s">
        <v>8962</v>
      </c>
      <c r="BF122" t="s">
        <v>8971</v>
      </c>
      <c r="BG122" t="b">
        <v>1</v>
      </c>
      <c r="BH122">
        <v>7994900</v>
      </c>
      <c r="BI122">
        <v>7994900</v>
      </c>
      <c r="BJ122">
        <v>0</v>
      </c>
      <c r="BK122">
        <v>0</v>
      </c>
      <c r="BL122">
        <v>0</v>
      </c>
      <c r="BM122" t="s">
        <v>36</v>
      </c>
      <c r="BN122" t="b">
        <v>1</v>
      </c>
      <c r="BO122" t="s">
        <v>8181</v>
      </c>
    </row>
    <row r="123" spans="1:67" x14ac:dyDescent="0.25">
      <c r="A123" s="238">
        <v>122</v>
      </c>
      <c r="B123" s="238">
        <v>2</v>
      </c>
      <c r="C123" s="238">
        <v>4</v>
      </c>
      <c r="D123" s="238">
        <v>2</v>
      </c>
      <c r="E123" s="238">
        <v>1</v>
      </c>
      <c r="F123" s="238">
        <v>14.77</v>
      </c>
      <c r="G123" s="238"/>
      <c r="H123" s="238"/>
      <c r="I123" s="238">
        <v>14.77</v>
      </c>
      <c r="J123" s="238">
        <v>11.88</v>
      </c>
      <c r="K123" s="238">
        <v>4.1399999999999997</v>
      </c>
      <c r="L123" s="238"/>
      <c r="M123" s="238">
        <v>4.28</v>
      </c>
      <c r="N123" s="238"/>
      <c r="O123" s="238">
        <v>3.11</v>
      </c>
      <c r="R123" s="238">
        <v>3.11</v>
      </c>
      <c r="S123" s="238">
        <v>38.18</v>
      </c>
      <c r="T123" s="238">
        <v>35.07</v>
      </c>
      <c r="U123" s="238">
        <v>36.630000000000003</v>
      </c>
      <c r="V123" s="238">
        <v>124030.39999999999</v>
      </c>
      <c r="X123">
        <v>124030.39999999999</v>
      </c>
      <c r="Y123">
        <v>1000</v>
      </c>
      <c r="Z123">
        <v>125030.39999999999</v>
      </c>
      <c r="AA123">
        <v>215</v>
      </c>
      <c r="AB123">
        <v>125245.4</v>
      </c>
      <c r="AC123">
        <v>17.5</v>
      </c>
      <c r="AD123">
        <v>125262.9</v>
      </c>
      <c r="AE123">
        <v>1878.9435000000001</v>
      </c>
      <c r="AF123">
        <v>127141.8435</v>
      </c>
      <c r="AG123">
        <v>1271.4184349999998</v>
      </c>
      <c r="AH123">
        <v>128413.261935</v>
      </c>
      <c r="AI123">
        <v>1284.1326193499999</v>
      </c>
      <c r="AJ123">
        <v>129697.39455435</v>
      </c>
      <c r="AL123">
        <v>129697.39455435</v>
      </c>
      <c r="AM123" s="238">
        <v>129697.39</v>
      </c>
      <c r="AN123" s="238">
        <v>4750900</v>
      </c>
      <c r="AP123" s="238"/>
      <c r="AQ123" s="238">
        <v>0</v>
      </c>
      <c r="AR123" s="238">
        <v>129699.69969969967</v>
      </c>
      <c r="AS123" s="238">
        <v>4750900</v>
      </c>
      <c r="AT123" s="238" t="s">
        <v>36</v>
      </c>
      <c r="AU123" s="238"/>
      <c r="AW123">
        <v>129699.69969969967</v>
      </c>
      <c r="AX123" s="238">
        <v>0</v>
      </c>
      <c r="AY123" s="238">
        <v>4750900</v>
      </c>
      <c r="BA123" s="238" t="s">
        <v>35</v>
      </c>
      <c r="BB123" s="238" t="s">
        <v>35</v>
      </c>
      <c r="BC123" t="s">
        <v>8953</v>
      </c>
      <c r="BD123" t="s">
        <v>8954</v>
      </c>
      <c r="BE123" t="s">
        <v>8962</v>
      </c>
      <c r="BF123" t="s">
        <v>8973</v>
      </c>
      <c r="BG123" t="b">
        <v>1</v>
      </c>
      <c r="BH123">
        <v>4750900</v>
      </c>
      <c r="BI123">
        <v>4750900</v>
      </c>
      <c r="BJ123">
        <v>0</v>
      </c>
      <c r="BK123">
        <v>0</v>
      </c>
      <c r="BL123">
        <v>0</v>
      </c>
      <c r="BM123" t="s">
        <v>36</v>
      </c>
      <c r="BN123" t="b">
        <v>1</v>
      </c>
      <c r="BO123" t="s">
        <v>8182</v>
      </c>
    </row>
    <row r="124" spans="1:67" x14ac:dyDescent="0.25">
      <c r="A124" s="238">
        <v>123</v>
      </c>
      <c r="B124" s="238">
        <v>2</v>
      </c>
      <c r="C124" s="238">
        <v>4</v>
      </c>
      <c r="D124" s="238">
        <v>3</v>
      </c>
      <c r="E124" s="238">
        <v>0</v>
      </c>
      <c r="F124" s="238">
        <v>13.94</v>
      </c>
      <c r="G124" s="238"/>
      <c r="H124" s="238"/>
      <c r="I124" s="238">
        <v>13.94</v>
      </c>
      <c r="J124" s="238">
        <v>5.98</v>
      </c>
      <c r="K124" s="238">
        <v>4.54</v>
      </c>
      <c r="L124" s="238"/>
      <c r="M124" s="238">
        <v>5.04</v>
      </c>
      <c r="N124" s="238"/>
      <c r="O124" s="238"/>
      <c r="R124" s="238">
        <v>0</v>
      </c>
      <c r="S124" s="238">
        <v>29.5</v>
      </c>
      <c r="T124" s="238">
        <v>29.5</v>
      </c>
      <c r="U124" s="238">
        <v>29.5</v>
      </c>
      <c r="V124" s="238">
        <v>145319.20000000001</v>
      </c>
      <c r="X124">
        <v>145319.20000000001</v>
      </c>
      <c r="Y124">
        <v>1000</v>
      </c>
      <c r="Z124">
        <v>146319.20000000001</v>
      </c>
      <c r="AA124">
        <v>215</v>
      </c>
      <c r="AB124">
        <v>146534.20000000001</v>
      </c>
      <c r="AC124">
        <v>17.5</v>
      </c>
      <c r="AD124">
        <v>146551.70000000001</v>
      </c>
      <c r="AF124">
        <v>146551.70000000001</v>
      </c>
      <c r="AH124">
        <v>146551.70000000001</v>
      </c>
      <c r="AJ124">
        <v>146551.70000000001</v>
      </c>
      <c r="AL124">
        <v>146551.70000000001</v>
      </c>
      <c r="AM124" s="238">
        <v>146551.70000000001</v>
      </c>
      <c r="AN124" s="238">
        <v>4323300</v>
      </c>
      <c r="AP124" s="238"/>
      <c r="AQ124" s="238">
        <v>0</v>
      </c>
      <c r="AR124" s="238">
        <v>146552.54237288135</v>
      </c>
      <c r="AS124" s="238">
        <v>4323300</v>
      </c>
      <c r="AT124" s="238" t="s">
        <v>36</v>
      </c>
      <c r="AU124" s="238"/>
      <c r="AW124">
        <v>146552.54237288135</v>
      </c>
      <c r="AX124" s="238">
        <v>0</v>
      </c>
      <c r="AY124" s="238">
        <v>4323300</v>
      </c>
      <c r="BA124" s="238" t="s">
        <v>35</v>
      </c>
      <c r="BB124" s="238" t="s">
        <v>35</v>
      </c>
      <c r="BC124" t="s">
        <v>8953</v>
      </c>
      <c r="BD124" t="s">
        <v>8954</v>
      </c>
      <c r="BE124" t="s">
        <v>8962</v>
      </c>
      <c r="BF124" t="s">
        <v>8970</v>
      </c>
      <c r="BG124" t="b">
        <v>1</v>
      </c>
      <c r="BH124">
        <v>4323300</v>
      </c>
      <c r="BI124">
        <v>4323300</v>
      </c>
      <c r="BJ124">
        <v>0</v>
      </c>
      <c r="BK124">
        <v>0</v>
      </c>
      <c r="BL124">
        <v>0</v>
      </c>
      <c r="BM124" t="s">
        <v>36</v>
      </c>
      <c r="BN124" t="b">
        <v>1</v>
      </c>
      <c r="BO124" t="s">
        <v>8183</v>
      </c>
    </row>
    <row r="125" spans="1:67" x14ac:dyDescent="0.25">
      <c r="A125" s="238">
        <v>124</v>
      </c>
      <c r="B125" s="238">
        <v>2</v>
      </c>
      <c r="C125" s="238">
        <v>4</v>
      </c>
      <c r="D125" s="238">
        <v>4</v>
      </c>
      <c r="E125" s="238">
        <v>0</v>
      </c>
      <c r="F125" s="238">
        <v>13.39</v>
      </c>
      <c r="G125" s="238"/>
      <c r="H125" s="238"/>
      <c r="I125" s="238">
        <v>13.39</v>
      </c>
      <c r="J125" s="238">
        <v>5.98</v>
      </c>
      <c r="K125" s="238">
        <v>4.54</v>
      </c>
      <c r="L125" s="238"/>
      <c r="M125" s="238">
        <v>4.08</v>
      </c>
      <c r="N125" s="238"/>
      <c r="O125" s="238"/>
      <c r="R125" s="238">
        <v>0</v>
      </c>
      <c r="S125" s="238">
        <v>27.99</v>
      </c>
      <c r="T125" s="238">
        <v>27.99</v>
      </c>
      <c r="U125" s="238">
        <v>27.99</v>
      </c>
      <c r="V125" s="238">
        <v>142524.6</v>
      </c>
      <c r="X125">
        <v>142524.6</v>
      </c>
      <c r="Y125">
        <v>1000</v>
      </c>
      <c r="Z125">
        <v>143524.6</v>
      </c>
      <c r="AA125">
        <v>215</v>
      </c>
      <c r="AB125">
        <v>143739.6</v>
      </c>
      <c r="AC125">
        <v>17.5</v>
      </c>
      <c r="AD125">
        <v>143757.1</v>
      </c>
      <c r="AF125">
        <v>143757.1</v>
      </c>
      <c r="AH125">
        <v>143757.1</v>
      </c>
      <c r="AJ125">
        <v>143757.1</v>
      </c>
      <c r="AL125">
        <v>143757.1</v>
      </c>
      <c r="AM125" s="238">
        <v>143757.1</v>
      </c>
      <c r="AN125" s="238">
        <v>4023800</v>
      </c>
      <c r="AP125" s="238"/>
      <c r="AQ125" s="238">
        <v>0</v>
      </c>
      <c r="AR125" s="238">
        <v>143758.48517327619</v>
      </c>
      <c r="AS125" s="238">
        <v>4023800</v>
      </c>
      <c r="AT125" s="238" t="s">
        <v>36</v>
      </c>
      <c r="AU125" s="238"/>
      <c r="AW125">
        <v>143758.48517327619</v>
      </c>
      <c r="AX125" s="238">
        <v>0</v>
      </c>
      <c r="AY125" s="238">
        <v>4023800.0000000009</v>
      </c>
      <c r="BA125" s="238" t="s">
        <v>35</v>
      </c>
      <c r="BB125" s="238" t="s">
        <v>35</v>
      </c>
      <c r="BC125" t="s">
        <v>8953</v>
      </c>
      <c r="BD125" t="s">
        <v>8954</v>
      </c>
      <c r="BE125" t="s">
        <v>8962</v>
      </c>
      <c r="BF125" t="s">
        <v>8970</v>
      </c>
      <c r="BG125" t="b">
        <v>1</v>
      </c>
      <c r="BH125">
        <v>4023800</v>
      </c>
      <c r="BI125">
        <v>4023800</v>
      </c>
      <c r="BJ125">
        <v>0</v>
      </c>
      <c r="BK125">
        <v>0</v>
      </c>
      <c r="BL125">
        <v>0</v>
      </c>
      <c r="BM125" t="s">
        <v>36</v>
      </c>
      <c r="BN125" t="b">
        <v>1</v>
      </c>
      <c r="BO125" t="s">
        <v>8184</v>
      </c>
    </row>
    <row r="126" spans="1:67" x14ac:dyDescent="0.25">
      <c r="A126" s="238">
        <v>125</v>
      </c>
      <c r="B126" s="238">
        <v>2</v>
      </c>
      <c r="C126" s="238">
        <v>4</v>
      </c>
      <c r="D126" s="238">
        <v>5</v>
      </c>
      <c r="E126" s="238">
        <v>2</v>
      </c>
      <c r="F126" s="238">
        <v>16.579999999999998</v>
      </c>
      <c r="G126" s="238">
        <v>14.14</v>
      </c>
      <c r="H126" s="238"/>
      <c r="I126" s="238">
        <v>30.72</v>
      </c>
      <c r="J126" s="238">
        <v>12.38</v>
      </c>
      <c r="K126" s="238">
        <v>4.1399999999999997</v>
      </c>
      <c r="L126" s="238"/>
      <c r="M126" s="238">
        <v>7.61</v>
      </c>
      <c r="N126" s="238">
        <v>7.03</v>
      </c>
      <c r="O126" s="238">
        <v>3.11</v>
      </c>
      <c r="R126" s="238">
        <v>3.11</v>
      </c>
      <c r="S126" s="238">
        <v>64.989999999999995</v>
      </c>
      <c r="T126" s="238">
        <v>61.88</v>
      </c>
      <c r="U126" s="238">
        <v>63.44</v>
      </c>
      <c r="V126" s="238">
        <v>122072.4</v>
      </c>
      <c r="W126">
        <v>-7000</v>
      </c>
      <c r="X126">
        <v>115072.4</v>
      </c>
      <c r="Y126">
        <v>1000</v>
      </c>
      <c r="Z126">
        <v>116072.4</v>
      </c>
      <c r="AA126">
        <v>215</v>
      </c>
      <c r="AB126">
        <v>116287.4</v>
      </c>
      <c r="AC126">
        <v>17.5</v>
      </c>
      <c r="AD126">
        <v>116304.9</v>
      </c>
      <c r="AE126">
        <v>581.52449999999999</v>
      </c>
      <c r="AF126">
        <v>116886.42449999999</v>
      </c>
      <c r="AH126">
        <v>116886.42449999999</v>
      </c>
      <c r="AJ126">
        <v>116886.42449999999</v>
      </c>
      <c r="AK126">
        <v>3506.5927349999997</v>
      </c>
      <c r="AL126">
        <v>120393.01723500001</v>
      </c>
      <c r="AM126" s="238">
        <v>120393.02</v>
      </c>
      <c r="AN126" s="238">
        <v>7637800</v>
      </c>
      <c r="AP126" s="238"/>
      <c r="AQ126" s="238">
        <v>0</v>
      </c>
      <c r="AR126" s="238">
        <v>120394.0731399748</v>
      </c>
      <c r="AS126" s="238">
        <v>7637800</v>
      </c>
      <c r="AT126" s="238" t="s">
        <v>36</v>
      </c>
      <c r="AU126" s="238"/>
      <c r="AW126">
        <v>120394.0731399748</v>
      </c>
      <c r="AX126" s="238">
        <v>0</v>
      </c>
      <c r="AY126" s="238">
        <v>7637800</v>
      </c>
      <c r="BA126" s="238" t="s">
        <v>35</v>
      </c>
      <c r="BB126" s="238" t="s">
        <v>35</v>
      </c>
      <c r="BC126" t="s">
        <v>8953</v>
      </c>
      <c r="BD126" t="s">
        <v>8954</v>
      </c>
      <c r="BE126" t="s">
        <v>8962</v>
      </c>
      <c r="BF126" t="s">
        <v>8974</v>
      </c>
      <c r="BG126" t="b">
        <v>1</v>
      </c>
      <c r="BH126">
        <v>7637800</v>
      </c>
      <c r="BI126">
        <v>7637800</v>
      </c>
      <c r="BJ126">
        <v>0</v>
      </c>
      <c r="BK126">
        <v>0</v>
      </c>
      <c r="BL126">
        <v>0</v>
      </c>
      <c r="BM126" t="s">
        <v>36</v>
      </c>
      <c r="BN126" t="b">
        <v>1</v>
      </c>
      <c r="BO126" t="s">
        <v>8185</v>
      </c>
    </row>
    <row r="127" spans="1:67" x14ac:dyDescent="0.25">
      <c r="A127" s="238">
        <v>126</v>
      </c>
      <c r="B127" s="238">
        <v>2</v>
      </c>
      <c r="C127" s="238">
        <v>4</v>
      </c>
      <c r="D127" s="238">
        <v>6</v>
      </c>
      <c r="E127" s="238">
        <v>2</v>
      </c>
      <c r="F127" s="238">
        <v>17.73</v>
      </c>
      <c r="G127" s="238">
        <v>12.22</v>
      </c>
      <c r="H127" s="238"/>
      <c r="I127" s="238">
        <v>29.950000000000003</v>
      </c>
      <c r="J127" s="238">
        <v>13.65</v>
      </c>
      <c r="K127" s="238">
        <v>5.22</v>
      </c>
      <c r="L127" s="238">
        <v>2.5</v>
      </c>
      <c r="M127" s="238">
        <v>8.06</v>
      </c>
      <c r="N127" s="238"/>
      <c r="O127" s="238">
        <v>3.11</v>
      </c>
      <c r="R127" s="238">
        <v>3.11</v>
      </c>
      <c r="S127" s="238">
        <v>62.49</v>
      </c>
      <c r="T127" s="238">
        <v>59.38</v>
      </c>
      <c r="U127" s="238">
        <v>60.94</v>
      </c>
      <c r="V127" s="238">
        <v>126593.60000000001</v>
      </c>
      <c r="W127">
        <v>-10000</v>
      </c>
      <c r="X127">
        <v>116593.60000000001</v>
      </c>
      <c r="Y127">
        <v>1000</v>
      </c>
      <c r="Z127">
        <v>117593.60000000001</v>
      </c>
      <c r="AA127">
        <v>215</v>
      </c>
      <c r="AB127">
        <v>117808.6</v>
      </c>
      <c r="AC127">
        <v>17.5</v>
      </c>
      <c r="AD127">
        <v>117826.1</v>
      </c>
      <c r="AE127">
        <v>589.1305000000001</v>
      </c>
      <c r="AF127">
        <v>118415.23050000001</v>
      </c>
      <c r="AH127">
        <v>118415.23050000001</v>
      </c>
      <c r="AJ127">
        <v>118415.23050000001</v>
      </c>
      <c r="AL127">
        <v>118415.23050000001</v>
      </c>
      <c r="AM127" s="238">
        <v>118415.23</v>
      </c>
      <c r="AN127" s="238">
        <v>7216300</v>
      </c>
      <c r="AP127" s="238">
        <v>0.02</v>
      </c>
      <c r="AQ127" s="238">
        <v>144326</v>
      </c>
      <c r="AR127" s="238">
        <v>116048.1457170988</v>
      </c>
      <c r="AS127" s="238">
        <v>7071974</v>
      </c>
      <c r="AT127" s="238" t="s">
        <v>8787</v>
      </c>
      <c r="AU127" s="238">
        <v>10000</v>
      </c>
      <c r="AW127">
        <v>126048.1457170988</v>
      </c>
      <c r="AX127" s="238">
        <v>609400</v>
      </c>
      <c r="AY127" s="238">
        <v>7681374</v>
      </c>
      <c r="AZ127" t="s">
        <v>8359</v>
      </c>
      <c r="BA127" s="238" t="s">
        <v>39</v>
      </c>
      <c r="BB127" s="238" t="s">
        <v>39</v>
      </c>
      <c r="BC127" t="s">
        <v>8950</v>
      </c>
      <c r="BD127" t="s">
        <v>1167</v>
      </c>
      <c r="BE127" t="s">
        <v>8962</v>
      </c>
      <c r="BF127" t="s">
        <v>8974</v>
      </c>
      <c r="BG127" t="b">
        <v>1</v>
      </c>
      <c r="BH127">
        <v>7216300</v>
      </c>
      <c r="BI127" t="s">
        <v>9002</v>
      </c>
      <c r="BJ127">
        <v>0</v>
      </c>
      <c r="BK127">
        <v>7216300</v>
      </c>
      <c r="BL127">
        <v>0</v>
      </c>
      <c r="BM127" t="s">
        <v>8787</v>
      </c>
      <c r="BN127" t="b">
        <v>1</v>
      </c>
      <c r="BO127" t="s">
        <v>8186</v>
      </c>
    </row>
    <row r="128" spans="1:67" x14ac:dyDescent="0.25">
      <c r="A128" s="238">
        <v>127</v>
      </c>
      <c r="B128" s="238">
        <v>2</v>
      </c>
      <c r="C128" s="238">
        <v>5</v>
      </c>
      <c r="D128" s="238">
        <v>1</v>
      </c>
      <c r="E128" s="238">
        <v>2</v>
      </c>
      <c r="F128" s="238">
        <v>17.579999999999998</v>
      </c>
      <c r="G128" s="238">
        <v>14.37</v>
      </c>
      <c r="H128" s="238"/>
      <c r="I128" s="238">
        <v>31.949999999999996</v>
      </c>
      <c r="J128" s="238">
        <v>14.29</v>
      </c>
      <c r="K128" s="238">
        <v>4.5199999999999996</v>
      </c>
      <c r="L128" s="238"/>
      <c r="M128" s="238">
        <v>8.64</v>
      </c>
      <c r="N128" s="238">
        <v>4.76</v>
      </c>
      <c r="O128" s="238">
        <v>3.11</v>
      </c>
      <c r="R128" s="238">
        <v>3.11</v>
      </c>
      <c r="S128" s="238">
        <v>67.27</v>
      </c>
      <c r="T128" s="238">
        <v>64.16</v>
      </c>
      <c r="U128" s="238">
        <v>65.72</v>
      </c>
      <c r="V128" s="238">
        <v>119811.8</v>
      </c>
      <c r="X128">
        <v>119811.8</v>
      </c>
      <c r="Y128">
        <v>1000</v>
      </c>
      <c r="Z128">
        <v>120811.8</v>
      </c>
      <c r="AA128">
        <v>215</v>
      </c>
      <c r="AB128">
        <v>121026.8</v>
      </c>
      <c r="AC128">
        <v>17.5</v>
      </c>
      <c r="AD128">
        <v>121044.3</v>
      </c>
      <c r="AE128">
        <v>605.22149999999999</v>
      </c>
      <c r="AF128">
        <v>121649.5215</v>
      </c>
      <c r="AH128">
        <v>121649.5215</v>
      </c>
      <c r="AJ128">
        <v>121649.5215</v>
      </c>
      <c r="AL128">
        <v>121649.5215</v>
      </c>
      <c r="AM128" s="238">
        <v>121649.52</v>
      </c>
      <c r="AN128" s="238">
        <v>7994900</v>
      </c>
      <c r="AP128" s="238"/>
      <c r="AQ128" s="238">
        <v>0</v>
      </c>
      <c r="AR128" s="238">
        <v>121650.94339622642</v>
      </c>
      <c r="AS128" s="238">
        <v>7994900</v>
      </c>
      <c r="AT128" s="238" t="s">
        <v>36</v>
      </c>
      <c r="AU128" s="238"/>
      <c r="AW128">
        <v>121650.94339622642</v>
      </c>
      <c r="AX128" s="238">
        <v>0</v>
      </c>
      <c r="AY128" s="238">
        <v>7994900</v>
      </c>
      <c r="BA128" s="238" t="s">
        <v>35</v>
      </c>
      <c r="BB128" s="238" t="s">
        <v>35</v>
      </c>
      <c r="BC128" t="s">
        <v>8953</v>
      </c>
      <c r="BD128" t="s">
        <v>8954</v>
      </c>
      <c r="BE128" t="s">
        <v>8962</v>
      </c>
      <c r="BF128" t="s">
        <v>8971</v>
      </c>
      <c r="BG128" t="b">
        <v>1</v>
      </c>
      <c r="BH128">
        <v>7994900</v>
      </c>
      <c r="BI128">
        <v>7994900</v>
      </c>
      <c r="BJ128">
        <v>0</v>
      </c>
      <c r="BK128">
        <v>0</v>
      </c>
      <c r="BL128">
        <v>0</v>
      </c>
      <c r="BM128" t="s">
        <v>36</v>
      </c>
      <c r="BN128" t="b">
        <v>1</v>
      </c>
      <c r="BO128" t="s">
        <v>8187</v>
      </c>
    </row>
    <row r="129" spans="1:67" x14ac:dyDescent="0.25">
      <c r="A129" s="238">
        <v>128</v>
      </c>
      <c r="B129" s="238">
        <v>2</v>
      </c>
      <c r="C129" s="238">
        <v>5</v>
      </c>
      <c r="D129" s="238">
        <v>2</v>
      </c>
      <c r="E129" s="238">
        <v>1</v>
      </c>
      <c r="F129" s="238">
        <v>14.77</v>
      </c>
      <c r="G129" s="238"/>
      <c r="H129" s="238"/>
      <c r="I129" s="238">
        <v>14.77</v>
      </c>
      <c r="J129" s="238">
        <v>11.88</v>
      </c>
      <c r="K129" s="238">
        <v>4.1399999999999997</v>
      </c>
      <c r="L129" s="238"/>
      <c r="M129" s="238">
        <v>4.28</v>
      </c>
      <c r="N129" s="238"/>
      <c r="O129" s="238">
        <v>3.11</v>
      </c>
      <c r="R129" s="238">
        <v>3.11</v>
      </c>
      <c r="S129" s="238">
        <v>38.18</v>
      </c>
      <c r="T129" s="238">
        <v>35.07</v>
      </c>
      <c r="U129" s="238">
        <v>36.630000000000003</v>
      </c>
      <c r="V129" s="238">
        <v>125223</v>
      </c>
      <c r="X129">
        <v>125223</v>
      </c>
      <c r="Y129">
        <v>1000</v>
      </c>
      <c r="Z129">
        <v>126223</v>
      </c>
      <c r="AA129">
        <v>215</v>
      </c>
      <c r="AB129">
        <v>126438</v>
      </c>
      <c r="AC129">
        <v>17.5</v>
      </c>
      <c r="AD129">
        <v>126455.5</v>
      </c>
      <c r="AE129">
        <v>1896.8325</v>
      </c>
      <c r="AF129">
        <v>128352.3325</v>
      </c>
      <c r="AG129">
        <v>1283.5233250000001</v>
      </c>
      <c r="AH129">
        <v>129635.85582500001</v>
      </c>
      <c r="AI129">
        <v>1296.35855825</v>
      </c>
      <c r="AJ129">
        <v>130932.21438325</v>
      </c>
      <c r="AL129">
        <v>130932.21438325</v>
      </c>
      <c r="AM129" s="238">
        <v>130932.21</v>
      </c>
      <c r="AN129" s="238">
        <v>4796100</v>
      </c>
      <c r="AP129" s="238"/>
      <c r="AQ129" s="238">
        <v>0</v>
      </c>
      <c r="AR129" s="238">
        <v>130933.66093366093</v>
      </c>
      <c r="AS129" s="238">
        <v>4796100</v>
      </c>
      <c r="AT129" s="238" t="s">
        <v>36</v>
      </c>
      <c r="AU129" s="238"/>
      <c r="AW129">
        <v>130933.66093366093</v>
      </c>
      <c r="AX129" s="238">
        <v>0</v>
      </c>
      <c r="AY129" s="238">
        <v>4796100</v>
      </c>
      <c r="BA129" s="238" t="s">
        <v>35</v>
      </c>
      <c r="BB129" s="238" t="s">
        <v>35</v>
      </c>
      <c r="BC129" t="s">
        <v>8953</v>
      </c>
      <c r="BD129" t="s">
        <v>8954</v>
      </c>
      <c r="BE129" t="s">
        <v>8962</v>
      </c>
      <c r="BF129" t="s">
        <v>8973</v>
      </c>
      <c r="BG129" t="b">
        <v>1</v>
      </c>
      <c r="BH129">
        <v>4796100</v>
      </c>
      <c r="BI129">
        <v>4796100</v>
      </c>
      <c r="BJ129">
        <v>0</v>
      </c>
      <c r="BK129">
        <v>0</v>
      </c>
      <c r="BL129">
        <v>0</v>
      </c>
      <c r="BM129" t="s">
        <v>36</v>
      </c>
      <c r="BN129" t="b">
        <v>1</v>
      </c>
      <c r="BO129" t="s">
        <v>8188</v>
      </c>
    </row>
    <row r="130" spans="1:67" x14ac:dyDescent="0.25">
      <c r="A130" s="238">
        <v>129</v>
      </c>
      <c r="B130" s="238">
        <v>2</v>
      </c>
      <c r="C130" s="238">
        <v>5</v>
      </c>
      <c r="D130" s="238">
        <v>3</v>
      </c>
      <c r="E130" s="238">
        <v>0</v>
      </c>
      <c r="F130" s="238">
        <v>13.94</v>
      </c>
      <c r="G130" s="238"/>
      <c r="H130" s="238"/>
      <c r="I130" s="238">
        <v>13.94</v>
      </c>
      <c r="J130" s="238">
        <v>5.98</v>
      </c>
      <c r="K130" s="238">
        <v>4.54</v>
      </c>
      <c r="L130" s="238"/>
      <c r="M130" s="238">
        <v>5.04</v>
      </c>
      <c r="N130" s="238"/>
      <c r="O130" s="238"/>
      <c r="R130" s="238">
        <v>0</v>
      </c>
      <c r="S130" s="238">
        <v>29.5</v>
      </c>
      <c r="T130" s="238">
        <v>29.5</v>
      </c>
      <c r="U130" s="238">
        <v>29.5</v>
      </c>
      <c r="V130" s="238">
        <v>142524.6</v>
      </c>
      <c r="X130">
        <v>142524.6</v>
      </c>
      <c r="Y130">
        <v>1000</v>
      </c>
      <c r="Z130">
        <v>143524.6</v>
      </c>
      <c r="AA130">
        <v>215</v>
      </c>
      <c r="AB130">
        <v>143739.6</v>
      </c>
      <c r="AC130">
        <v>17.5</v>
      </c>
      <c r="AD130">
        <v>143757.1</v>
      </c>
      <c r="AF130">
        <v>143757.1</v>
      </c>
      <c r="AH130">
        <v>143757.1</v>
      </c>
      <c r="AJ130">
        <v>143757.1</v>
      </c>
      <c r="AL130">
        <v>143757.1</v>
      </c>
      <c r="AM130" s="238">
        <v>143757.1</v>
      </c>
      <c r="AN130" s="238">
        <v>4240900</v>
      </c>
      <c r="AP130" s="238"/>
      <c r="AQ130" s="238">
        <v>0</v>
      </c>
      <c r="AR130" s="238">
        <v>143759.32203389829</v>
      </c>
      <c r="AS130" s="238">
        <v>4240900</v>
      </c>
      <c r="AT130" s="238" t="s">
        <v>38</v>
      </c>
      <c r="AU130" s="238">
        <v>30000</v>
      </c>
      <c r="AV130" t="s">
        <v>8816</v>
      </c>
      <c r="AW130">
        <v>173759.32203389829</v>
      </c>
      <c r="AX130" s="238">
        <v>885000</v>
      </c>
      <c r="AY130" s="238">
        <v>5125900</v>
      </c>
      <c r="BA130" s="238" t="s">
        <v>35</v>
      </c>
      <c r="BB130" s="238" t="s">
        <v>35</v>
      </c>
      <c r="BC130" t="s">
        <v>8953</v>
      </c>
      <c r="BD130" t="s">
        <v>8954</v>
      </c>
      <c r="BE130" t="s">
        <v>8962</v>
      </c>
      <c r="BF130" t="s">
        <v>8970</v>
      </c>
      <c r="BG130" t="b">
        <v>1</v>
      </c>
      <c r="BH130">
        <v>4240900</v>
      </c>
      <c r="BI130">
        <v>4240900</v>
      </c>
      <c r="BJ130">
        <v>0</v>
      </c>
      <c r="BK130">
        <v>0</v>
      </c>
      <c r="BL130">
        <v>0</v>
      </c>
      <c r="BM130" t="s">
        <v>38</v>
      </c>
      <c r="BN130" t="b">
        <v>1</v>
      </c>
      <c r="BO130" t="s">
        <v>8189</v>
      </c>
    </row>
    <row r="131" spans="1:67" x14ac:dyDescent="0.25">
      <c r="A131" s="238">
        <v>130</v>
      </c>
      <c r="B131" s="238">
        <v>2</v>
      </c>
      <c r="C131" s="238">
        <v>5</v>
      </c>
      <c r="D131" s="238">
        <v>4</v>
      </c>
      <c r="E131" s="238">
        <v>0</v>
      </c>
      <c r="F131" s="238">
        <v>13.39</v>
      </c>
      <c r="G131" s="238"/>
      <c r="H131" s="238"/>
      <c r="I131" s="238">
        <v>13.39</v>
      </c>
      <c r="J131" s="238">
        <v>5.98</v>
      </c>
      <c r="K131" s="238">
        <v>4.54</v>
      </c>
      <c r="L131" s="238"/>
      <c r="M131" s="238">
        <v>4.08</v>
      </c>
      <c r="N131" s="238"/>
      <c r="O131" s="238"/>
      <c r="R131" s="238">
        <v>0</v>
      </c>
      <c r="S131" s="238">
        <v>27.99</v>
      </c>
      <c r="T131" s="238">
        <v>27.99</v>
      </c>
      <c r="U131" s="238">
        <v>27.99</v>
      </c>
      <c r="V131" s="238">
        <v>142524.6</v>
      </c>
      <c r="X131">
        <v>142524.6</v>
      </c>
      <c r="Y131">
        <v>1000</v>
      </c>
      <c r="Z131">
        <v>143524.6</v>
      </c>
      <c r="AA131">
        <v>215</v>
      </c>
      <c r="AB131">
        <v>143739.6</v>
      </c>
      <c r="AC131">
        <v>17.5</v>
      </c>
      <c r="AD131">
        <v>143757.1</v>
      </c>
      <c r="AF131">
        <v>143757.1</v>
      </c>
      <c r="AH131">
        <v>143757.1</v>
      </c>
      <c r="AJ131">
        <v>143757.1</v>
      </c>
      <c r="AL131">
        <v>143757.1</v>
      </c>
      <c r="AM131" s="238">
        <v>143757.1</v>
      </c>
      <c r="AN131" s="238">
        <v>4023800</v>
      </c>
      <c r="AP131" s="238"/>
      <c r="AQ131" s="238">
        <v>0</v>
      </c>
      <c r="AR131" s="238">
        <v>143758.48517327619</v>
      </c>
      <c r="AS131" s="238">
        <v>4023800</v>
      </c>
      <c r="AT131" s="238" t="s">
        <v>36</v>
      </c>
      <c r="AU131" s="238"/>
      <c r="AW131">
        <v>143758.48517327619</v>
      </c>
      <c r="AX131" s="238">
        <v>0</v>
      </c>
      <c r="AY131" s="238">
        <v>4023800.0000000009</v>
      </c>
      <c r="BA131" s="238" t="s">
        <v>35</v>
      </c>
      <c r="BB131" s="238" t="s">
        <v>35</v>
      </c>
      <c r="BC131" t="s">
        <v>8953</v>
      </c>
      <c r="BD131" t="s">
        <v>8954</v>
      </c>
      <c r="BE131" t="s">
        <v>8962</v>
      </c>
      <c r="BF131" t="s">
        <v>8970</v>
      </c>
      <c r="BG131" t="b">
        <v>1</v>
      </c>
      <c r="BH131">
        <v>4023800</v>
      </c>
      <c r="BI131">
        <v>4023800</v>
      </c>
      <c r="BJ131">
        <v>0</v>
      </c>
      <c r="BK131">
        <v>0</v>
      </c>
      <c r="BL131">
        <v>0</v>
      </c>
      <c r="BM131" t="s">
        <v>36</v>
      </c>
      <c r="BN131" t="b">
        <v>1</v>
      </c>
      <c r="BO131" t="s">
        <v>8190</v>
      </c>
    </row>
    <row r="132" spans="1:67" x14ac:dyDescent="0.25">
      <c r="A132" s="238">
        <v>131</v>
      </c>
      <c r="B132" s="238">
        <v>2</v>
      </c>
      <c r="C132" s="238">
        <v>5</v>
      </c>
      <c r="D132" s="238">
        <v>5</v>
      </c>
      <c r="E132" s="238">
        <v>2</v>
      </c>
      <c r="F132" s="238">
        <v>16.579999999999998</v>
      </c>
      <c r="G132" s="238">
        <v>14.14</v>
      </c>
      <c r="H132" s="238"/>
      <c r="I132" s="238">
        <v>30.72</v>
      </c>
      <c r="J132" s="238">
        <v>12.38</v>
      </c>
      <c r="K132" s="238">
        <v>4.1399999999999997</v>
      </c>
      <c r="L132" s="238"/>
      <c r="M132" s="238">
        <v>7.61</v>
      </c>
      <c r="N132" s="238">
        <v>7.03</v>
      </c>
      <c r="O132" s="238">
        <v>3.11</v>
      </c>
      <c r="R132" s="238">
        <v>3.11</v>
      </c>
      <c r="S132" s="238">
        <v>64.989999999999995</v>
      </c>
      <c r="T132" s="238">
        <v>61.88</v>
      </c>
      <c r="U132" s="238">
        <v>63.44</v>
      </c>
      <c r="V132" s="238">
        <v>122072.4</v>
      </c>
      <c r="W132">
        <v>-7000</v>
      </c>
      <c r="X132">
        <v>115072.4</v>
      </c>
      <c r="Y132">
        <v>1000</v>
      </c>
      <c r="Z132">
        <v>116072.4</v>
      </c>
      <c r="AA132">
        <v>215</v>
      </c>
      <c r="AB132">
        <v>116287.4</v>
      </c>
      <c r="AC132">
        <v>17.5</v>
      </c>
      <c r="AD132">
        <v>116304.9</v>
      </c>
      <c r="AE132">
        <v>581.52449999999999</v>
      </c>
      <c r="AF132">
        <v>116886.42449999999</v>
      </c>
      <c r="AH132">
        <v>116886.42449999999</v>
      </c>
      <c r="AJ132">
        <v>116886.42449999999</v>
      </c>
      <c r="AK132">
        <v>3506.5927349999997</v>
      </c>
      <c r="AL132">
        <v>120393.01723500001</v>
      </c>
      <c r="AM132" s="238">
        <v>120393.02</v>
      </c>
      <c r="AN132" s="238">
        <v>7637800</v>
      </c>
      <c r="AP132" s="238"/>
      <c r="AQ132" s="238">
        <v>0</v>
      </c>
      <c r="AR132" s="238">
        <v>120394.0731399748</v>
      </c>
      <c r="AS132" s="238">
        <v>7637800</v>
      </c>
      <c r="AT132" s="238" t="s">
        <v>36</v>
      </c>
      <c r="AU132" s="238"/>
      <c r="AW132">
        <v>120394.0731399748</v>
      </c>
      <c r="AX132" s="238">
        <v>0</v>
      </c>
      <c r="AY132" s="238">
        <v>7637800</v>
      </c>
      <c r="BA132" s="238" t="s">
        <v>35</v>
      </c>
      <c r="BB132" s="238" t="s">
        <v>35</v>
      </c>
      <c r="BC132" t="s">
        <v>8953</v>
      </c>
      <c r="BD132" t="s">
        <v>8954</v>
      </c>
      <c r="BE132" t="s">
        <v>8962</v>
      </c>
      <c r="BF132" t="s">
        <v>8974</v>
      </c>
      <c r="BG132" t="b">
        <v>1</v>
      </c>
      <c r="BH132">
        <v>7637800</v>
      </c>
      <c r="BI132">
        <v>7637800</v>
      </c>
      <c r="BJ132">
        <v>0</v>
      </c>
      <c r="BK132">
        <v>0</v>
      </c>
      <c r="BL132">
        <v>0</v>
      </c>
      <c r="BM132" t="s">
        <v>36</v>
      </c>
      <c r="BN132" t="b">
        <v>1</v>
      </c>
      <c r="BO132" t="s">
        <v>8191</v>
      </c>
    </row>
    <row r="133" spans="1:67" x14ac:dyDescent="0.25">
      <c r="A133" s="238">
        <v>132</v>
      </c>
      <c r="B133" s="238">
        <v>2</v>
      </c>
      <c r="C133" s="238">
        <v>5</v>
      </c>
      <c r="D133" s="238">
        <v>6</v>
      </c>
      <c r="E133" s="238">
        <v>2</v>
      </c>
      <c r="F133" s="238">
        <v>17.73</v>
      </c>
      <c r="G133" s="238">
        <v>12.22</v>
      </c>
      <c r="H133" s="238"/>
      <c r="I133" s="238">
        <v>29.950000000000003</v>
      </c>
      <c r="J133" s="238">
        <v>13.65</v>
      </c>
      <c r="K133" s="238">
        <v>5.22</v>
      </c>
      <c r="L133" s="238">
        <v>2.5</v>
      </c>
      <c r="M133" s="238">
        <v>8.06</v>
      </c>
      <c r="N133" s="238"/>
      <c r="O133" s="238">
        <v>3.11</v>
      </c>
      <c r="R133" s="238">
        <v>3.11</v>
      </c>
      <c r="S133" s="238">
        <v>62.49</v>
      </c>
      <c r="T133" s="238">
        <v>59.38</v>
      </c>
      <c r="U133" s="238">
        <v>60.94</v>
      </c>
      <c r="V133" s="238">
        <v>126593.60000000001</v>
      </c>
      <c r="W133">
        <v>-10000</v>
      </c>
      <c r="X133">
        <v>116593.60000000001</v>
      </c>
      <c r="Y133">
        <v>1000</v>
      </c>
      <c r="Z133">
        <v>117593.60000000001</v>
      </c>
      <c r="AA133">
        <v>215</v>
      </c>
      <c r="AB133">
        <v>117808.6</v>
      </c>
      <c r="AC133">
        <v>17.5</v>
      </c>
      <c r="AD133">
        <v>117826.1</v>
      </c>
      <c r="AE133">
        <v>589.1305000000001</v>
      </c>
      <c r="AF133">
        <v>118415.23050000001</v>
      </c>
      <c r="AH133">
        <v>118415.23050000001</v>
      </c>
      <c r="AJ133">
        <v>118415.23050000001</v>
      </c>
      <c r="AK133">
        <v>3552.4569150000002</v>
      </c>
      <c r="AL133">
        <v>121967.68741499999</v>
      </c>
      <c r="AM133" s="238">
        <v>121967.69</v>
      </c>
      <c r="AN133" s="238">
        <v>7432800</v>
      </c>
      <c r="AP133" s="238"/>
      <c r="AQ133" s="238">
        <v>0</v>
      </c>
      <c r="AR133" s="238">
        <v>121969.14998359044</v>
      </c>
      <c r="AS133" s="238">
        <v>7432800</v>
      </c>
      <c r="AT133" s="238" t="s">
        <v>36</v>
      </c>
      <c r="AU133" s="238"/>
      <c r="AW133">
        <v>121969.14998359044</v>
      </c>
      <c r="AX133" s="238">
        <v>0</v>
      </c>
      <c r="AY133" s="238">
        <v>7432800</v>
      </c>
      <c r="BA133" s="238" t="s">
        <v>35</v>
      </c>
      <c r="BB133" s="238" t="s">
        <v>35</v>
      </c>
      <c r="BC133" t="s">
        <v>8953</v>
      </c>
      <c r="BD133" t="s">
        <v>8954</v>
      </c>
      <c r="BE133" t="s">
        <v>8962</v>
      </c>
      <c r="BF133" t="s">
        <v>8974</v>
      </c>
      <c r="BG133" t="b">
        <v>1</v>
      </c>
      <c r="BH133">
        <v>7432800</v>
      </c>
      <c r="BI133">
        <v>7432800</v>
      </c>
      <c r="BJ133">
        <v>0</v>
      </c>
      <c r="BK133">
        <v>0</v>
      </c>
      <c r="BL133">
        <v>0</v>
      </c>
      <c r="BM133" t="s">
        <v>36</v>
      </c>
      <c r="BN133" t="b">
        <v>1</v>
      </c>
      <c r="BO133" t="s">
        <v>8192</v>
      </c>
    </row>
    <row r="134" spans="1:67" x14ac:dyDescent="0.25">
      <c r="A134" s="238">
        <v>133</v>
      </c>
      <c r="B134" s="238">
        <v>2</v>
      </c>
      <c r="C134" s="238">
        <v>6</v>
      </c>
      <c r="D134" s="238">
        <v>1</v>
      </c>
      <c r="E134" s="238">
        <v>2</v>
      </c>
      <c r="F134" s="238">
        <v>17.579999999999998</v>
      </c>
      <c r="G134" s="238">
        <v>14.37</v>
      </c>
      <c r="H134" s="238"/>
      <c r="I134" s="238">
        <v>31.949999999999996</v>
      </c>
      <c r="J134" s="238">
        <v>14.29</v>
      </c>
      <c r="K134" s="238">
        <v>4.5199999999999996</v>
      </c>
      <c r="L134" s="238"/>
      <c r="M134" s="238">
        <v>8.64</v>
      </c>
      <c r="N134" s="238">
        <v>4.76</v>
      </c>
      <c r="O134" s="238">
        <v>3.11</v>
      </c>
      <c r="R134" s="238">
        <v>3.11</v>
      </c>
      <c r="S134" s="238">
        <v>67.27</v>
      </c>
      <c r="T134" s="238">
        <v>64.16</v>
      </c>
      <c r="U134" s="238">
        <v>65.72</v>
      </c>
      <c r="V134" s="238">
        <v>119811.8</v>
      </c>
      <c r="X134">
        <v>119811.8</v>
      </c>
      <c r="Y134">
        <v>1000</v>
      </c>
      <c r="Z134">
        <v>120811.8</v>
      </c>
      <c r="AA134">
        <v>215</v>
      </c>
      <c r="AB134">
        <v>121026.8</v>
      </c>
      <c r="AC134">
        <v>17.5</v>
      </c>
      <c r="AD134">
        <v>121044.3</v>
      </c>
      <c r="AE134">
        <v>605.22149999999999</v>
      </c>
      <c r="AF134">
        <v>121649.5215</v>
      </c>
      <c r="AH134">
        <v>121649.5215</v>
      </c>
      <c r="AJ134">
        <v>121649.5215</v>
      </c>
      <c r="AL134">
        <v>121649.5215</v>
      </c>
      <c r="AM134" s="238">
        <v>121649.52</v>
      </c>
      <c r="AN134" s="238">
        <v>7994900</v>
      </c>
      <c r="AP134" s="238"/>
      <c r="AQ134" s="238">
        <v>0</v>
      </c>
      <c r="AR134" s="238">
        <v>121650.94339622642</v>
      </c>
      <c r="AS134" s="238">
        <v>7994900</v>
      </c>
      <c r="AT134" s="238" t="s">
        <v>38</v>
      </c>
      <c r="AU134" s="238">
        <v>30000</v>
      </c>
      <c r="AV134" t="s">
        <v>8816</v>
      </c>
      <c r="AW134">
        <v>151650.94339622642</v>
      </c>
      <c r="AX134" s="238">
        <v>1971600</v>
      </c>
      <c r="AY134" s="238">
        <v>9966500</v>
      </c>
      <c r="BA134" s="238" t="s">
        <v>35</v>
      </c>
      <c r="BB134" s="238" t="s">
        <v>35</v>
      </c>
      <c r="BC134" t="s">
        <v>8953</v>
      </c>
      <c r="BD134" t="s">
        <v>8954</v>
      </c>
      <c r="BE134" t="s">
        <v>8962</v>
      </c>
      <c r="BF134" t="s">
        <v>8971</v>
      </c>
      <c r="BG134" t="b">
        <v>1</v>
      </c>
      <c r="BH134">
        <v>7994900</v>
      </c>
      <c r="BI134">
        <v>7994900</v>
      </c>
      <c r="BJ134">
        <v>0</v>
      </c>
      <c r="BK134">
        <v>0</v>
      </c>
      <c r="BL134">
        <v>0</v>
      </c>
      <c r="BM134" t="s">
        <v>38</v>
      </c>
      <c r="BN134" t="b">
        <v>1</v>
      </c>
      <c r="BO134" t="s">
        <v>8193</v>
      </c>
    </row>
    <row r="135" spans="1:67" x14ac:dyDescent="0.25">
      <c r="A135" s="238">
        <v>134</v>
      </c>
      <c r="B135" s="238">
        <v>2</v>
      </c>
      <c r="C135" s="238">
        <v>6</v>
      </c>
      <c r="D135" s="238">
        <v>2</v>
      </c>
      <c r="E135" s="238">
        <v>1</v>
      </c>
      <c r="F135" s="238">
        <v>14.77</v>
      </c>
      <c r="G135" s="238"/>
      <c r="H135" s="238"/>
      <c r="I135" s="238">
        <v>14.77</v>
      </c>
      <c r="J135" s="238">
        <v>11.88</v>
      </c>
      <c r="K135" s="238">
        <v>4.1399999999999997</v>
      </c>
      <c r="L135" s="238"/>
      <c r="M135" s="238">
        <v>4.28</v>
      </c>
      <c r="N135" s="238"/>
      <c r="O135" s="238">
        <v>3.11</v>
      </c>
      <c r="R135" s="238">
        <v>3.11</v>
      </c>
      <c r="S135" s="238">
        <v>38.18</v>
      </c>
      <c r="T135" s="238">
        <v>35.07</v>
      </c>
      <c r="U135" s="238">
        <v>36.630000000000003</v>
      </c>
      <c r="V135" s="238">
        <v>125223</v>
      </c>
      <c r="X135">
        <v>125223</v>
      </c>
      <c r="Y135">
        <v>1000</v>
      </c>
      <c r="Z135">
        <v>126223</v>
      </c>
      <c r="AA135">
        <v>215</v>
      </c>
      <c r="AB135">
        <v>126438</v>
      </c>
      <c r="AC135">
        <v>17.5</v>
      </c>
      <c r="AD135">
        <v>126455.5</v>
      </c>
      <c r="AE135">
        <v>1896.8325</v>
      </c>
      <c r="AF135">
        <v>128352.3325</v>
      </c>
      <c r="AG135">
        <v>1283.5233250000001</v>
      </c>
      <c r="AH135">
        <v>129635.85582500001</v>
      </c>
      <c r="AI135">
        <v>1296.35855825</v>
      </c>
      <c r="AJ135">
        <v>130932.21438325</v>
      </c>
      <c r="AL135">
        <v>130932.21438325</v>
      </c>
      <c r="AM135" s="238">
        <v>130932.21</v>
      </c>
      <c r="AN135" s="238">
        <v>4796100</v>
      </c>
      <c r="AP135" s="238">
        <v>0.02</v>
      </c>
      <c r="AQ135" s="238">
        <v>95922</v>
      </c>
      <c r="AR135" s="238">
        <v>128314.9877149877</v>
      </c>
      <c r="AS135" s="238">
        <v>4700178</v>
      </c>
      <c r="AT135" s="238" t="s">
        <v>38</v>
      </c>
      <c r="AU135" s="238">
        <v>30000</v>
      </c>
      <c r="AV135" t="s">
        <v>8816</v>
      </c>
      <c r="AW135">
        <v>158314.98771498771</v>
      </c>
      <c r="AX135" s="238">
        <v>1098900</v>
      </c>
      <c r="AY135" s="238">
        <v>5799078</v>
      </c>
      <c r="BA135" s="238" t="s">
        <v>8956</v>
      </c>
      <c r="BB135" s="238" t="s">
        <v>8956</v>
      </c>
      <c r="BC135" t="s">
        <v>8953</v>
      </c>
      <c r="BD135" t="s">
        <v>8957</v>
      </c>
      <c r="BE135" t="s">
        <v>8962</v>
      </c>
      <c r="BF135" t="s">
        <v>8973</v>
      </c>
      <c r="BG135" t="b">
        <v>1</v>
      </c>
      <c r="BH135">
        <v>4796100</v>
      </c>
      <c r="BI135">
        <v>4796100</v>
      </c>
      <c r="BJ135">
        <v>0</v>
      </c>
      <c r="BK135">
        <v>0</v>
      </c>
      <c r="BL135">
        <v>0</v>
      </c>
      <c r="BM135" t="s">
        <v>38</v>
      </c>
      <c r="BN135" t="b">
        <v>1</v>
      </c>
      <c r="BO135" t="s">
        <v>8194</v>
      </c>
    </row>
    <row r="136" spans="1:67" x14ac:dyDescent="0.25">
      <c r="A136" s="238">
        <v>135</v>
      </c>
      <c r="B136" s="238">
        <v>2</v>
      </c>
      <c r="C136" s="238">
        <v>6</v>
      </c>
      <c r="D136" s="238">
        <v>3</v>
      </c>
      <c r="E136" s="238">
        <v>0</v>
      </c>
      <c r="F136" s="238">
        <v>13.94</v>
      </c>
      <c r="G136" s="238"/>
      <c r="H136" s="238"/>
      <c r="I136" s="238">
        <v>13.94</v>
      </c>
      <c r="J136" s="238">
        <v>5.98</v>
      </c>
      <c r="K136" s="238">
        <v>4.54</v>
      </c>
      <c r="L136" s="238"/>
      <c r="M136" s="238">
        <v>5.04</v>
      </c>
      <c r="N136" s="238"/>
      <c r="O136" s="238"/>
      <c r="R136" s="238">
        <v>0</v>
      </c>
      <c r="S136" s="238">
        <v>29.5</v>
      </c>
      <c r="T136" s="238">
        <v>29.5</v>
      </c>
      <c r="U136" s="238">
        <v>29.5</v>
      </c>
      <c r="V136" s="238">
        <v>145319.20000000001</v>
      </c>
      <c r="X136">
        <v>145319.20000000001</v>
      </c>
      <c r="Y136">
        <v>1000</v>
      </c>
      <c r="Z136">
        <v>146319.20000000001</v>
      </c>
      <c r="AA136">
        <v>215</v>
      </c>
      <c r="AB136">
        <v>146534.20000000001</v>
      </c>
      <c r="AC136">
        <v>17.5</v>
      </c>
      <c r="AD136">
        <v>146551.70000000001</v>
      </c>
      <c r="AF136">
        <v>146551.70000000001</v>
      </c>
      <c r="AH136">
        <v>146551.70000000001</v>
      </c>
      <c r="AJ136">
        <v>146551.70000000001</v>
      </c>
      <c r="AL136">
        <v>146551.70000000001</v>
      </c>
      <c r="AM136" s="238">
        <v>146551.70000000001</v>
      </c>
      <c r="AN136" s="238">
        <v>4323300</v>
      </c>
      <c r="AP136" s="238"/>
      <c r="AQ136" s="238">
        <v>0</v>
      </c>
      <c r="AR136" s="238">
        <v>146552.54237288135</v>
      </c>
      <c r="AS136" s="238">
        <v>4323300</v>
      </c>
      <c r="AT136" s="238" t="s">
        <v>36</v>
      </c>
      <c r="AU136" s="238"/>
      <c r="AW136">
        <v>146552.54237288135</v>
      </c>
      <c r="AX136" s="238">
        <v>0</v>
      </c>
      <c r="AY136" s="238">
        <v>4323300</v>
      </c>
      <c r="BA136" s="238" t="s">
        <v>35</v>
      </c>
      <c r="BB136" s="238" t="s">
        <v>35</v>
      </c>
      <c r="BC136" t="s">
        <v>8953</v>
      </c>
      <c r="BD136" t="s">
        <v>8954</v>
      </c>
      <c r="BE136" t="s">
        <v>8962</v>
      </c>
      <c r="BF136" t="s">
        <v>8970</v>
      </c>
      <c r="BG136" t="b">
        <v>1</v>
      </c>
      <c r="BH136">
        <v>4323300</v>
      </c>
      <c r="BI136">
        <v>4323300</v>
      </c>
      <c r="BJ136">
        <v>0</v>
      </c>
      <c r="BK136">
        <v>0</v>
      </c>
      <c r="BL136">
        <v>0</v>
      </c>
      <c r="BM136" t="s">
        <v>36</v>
      </c>
      <c r="BN136" t="b">
        <v>1</v>
      </c>
      <c r="BO136" t="s">
        <v>8195</v>
      </c>
    </row>
    <row r="137" spans="1:67" x14ac:dyDescent="0.25">
      <c r="A137" s="238">
        <v>136</v>
      </c>
      <c r="B137" s="238">
        <v>2</v>
      </c>
      <c r="C137" s="238">
        <v>6</v>
      </c>
      <c r="D137" s="238">
        <v>4</v>
      </c>
      <c r="E137" s="238">
        <v>0</v>
      </c>
      <c r="F137" s="238">
        <v>13.39</v>
      </c>
      <c r="G137" s="238"/>
      <c r="H137" s="238"/>
      <c r="I137" s="238">
        <v>13.39</v>
      </c>
      <c r="J137" s="238">
        <v>5.98</v>
      </c>
      <c r="K137" s="238">
        <v>4.54</v>
      </c>
      <c r="L137" s="238"/>
      <c r="M137" s="238">
        <v>4.08</v>
      </c>
      <c r="N137" s="238"/>
      <c r="O137" s="238"/>
      <c r="R137" s="238">
        <v>0</v>
      </c>
      <c r="S137" s="238">
        <v>27.99</v>
      </c>
      <c r="T137" s="238">
        <v>27.99</v>
      </c>
      <c r="U137" s="238">
        <v>27.99</v>
      </c>
      <c r="V137" s="238">
        <v>142524.6</v>
      </c>
      <c r="X137">
        <v>142524.6</v>
      </c>
      <c r="Y137">
        <v>1000</v>
      </c>
      <c r="Z137">
        <v>143524.6</v>
      </c>
      <c r="AA137">
        <v>215</v>
      </c>
      <c r="AB137">
        <v>143739.6</v>
      </c>
      <c r="AC137">
        <v>17.5</v>
      </c>
      <c r="AD137">
        <v>143757.1</v>
      </c>
      <c r="AF137">
        <v>143757.1</v>
      </c>
      <c r="AH137">
        <v>143757.1</v>
      </c>
      <c r="AJ137">
        <v>143757.1</v>
      </c>
      <c r="AL137">
        <v>143757.1</v>
      </c>
      <c r="AM137" s="238">
        <v>143757.1</v>
      </c>
      <c r="AN137" s="238">
        <v>4023800</v>
      </c>
      <c r="AP137" s="238"/>
      <c r="AQ137" s="238">
        <v>0</v>
      </c>
      <c r="AR137" s="238">
        <v>143758.48517327619</v>
      </c>
      <c r="AS137" s="238">
        <v>4023800</v>
      </c>
      <c r="AT137" s="238" t="s">
        <v>36</v>
      </c>
      <c r="AU137" s="238"/>
      <c r="AW137">
        <v>143758.48517327619</v>
      </c>
      <c r="AX137" s="238">
        <v>0</v>
      </c>
      <c r="AY137" s="238">
        <v>4023800.0000000009</v>
      </c>
      <c r="BA137" s="238" t="s">
        <v>35</v>
      </c>
      <c r="BB137" s="238" t="s">
        <v>35</v>
      </c>
      <c r="BC137" t="s">
        <v>8953</v>
      </c>
      <c r="BD137" t="s">
        <v>8954</v>
      </c>
      <c r="BE137" t="s">
        <v>8962</v>
      </c>
      <c r="BF137" t="s">
        <v>8970</v>
      </c>
      <c r="BG137" t="b">
        <v>1</v>
      </c>
      <c r="BH137">
        <v>4023800</v>
      </c>
      <c r="BI137">
        <v>4023800</v>
      </c>
      <c r="BJ137">
        <v>0</v>
      </c>
      <c r="BK137">
        <v>0</v>
      </c>
      <c r="BL137">
        <v>0</v>
      </c>
      <c r="BM137" t="s">
        <v>36</v>
      </c>
      <c r="BN137" t="b">
        <v>1</v>
      </c>
      <c r="BO137" t="s">
        <v>8196</v>
      </c>
    </row>
    <row r="138" spans="1:67" x14ac:dyDescent="0.25">
      <c r="A138" s="238">
        <v>137</v>
      </c>
      <c r="B138" s="238">
        <v>2</v>
      </c>
      <c r="C138" s="238">
        <v>6</v>
      </c>
      <c r="D138" s="238">
        <v>5</v>
      </c>
      <c r="E138" s="238">
        <v>2</v>
      </c>
      <c r="F138" s="238">
        <v>16.579999999999998</v>
      </c>
      <c r="G138" s="238">
        <v>14.14</v>
      </c>
      <c r="H138" s="238"/>
      <c r="I138" s="238">
        <v>30.72</v>
      </c>
      <c r="J138" s="238">
        <v>12.38</v>
      </c>
      <c r="K138" s="238">
        <v>4.1399999999999997</v>
      </c>
      <c r="L138" s="238"/>
      <c r="M138" s="238">
        <v>7.61</v>
      </c>
      <c r="N138" s="238">
        <v>7.03</v>
      </c>
      <c r="O138" s="238">
        <v>3.11</v>
      </c>
      <c r="R138" s="238">
        <v>3.11</v>
      </c>
      <c r="S138" s="238">
        <v>64.989999999999995</v>
      </c>
      <c r="T138" s="238">
        <v>61.88</v>
      </c>
      <c r="U138" s="238">
        <v>63.44</v>
      </c>
      <c r="V138" s="238">
        <v>122072.4</v>
      </c>
      <c r="W138">
        <v>-7000</v>
      </c>
      <c r="X138">
        <v>115072.4</v>
      </c>
      <c r="Y138">
        <v>1000</v>
      </c>
      <c r="Z138">
        <v>116072.4</v>
      </c>
      <c r="AA138">
        <v>215</v>
      </c>
      <c r="AB138">
        <v>116287.4</v>
      </c>
      <c r="AC138">
        <v>17.5</v>
      </c>
      <c r="AD138">
        <v>116304.9</v>
      </c>
      <c r="AE138">
        <v>581.52449999999999</v>
      </c>
      <c r="AF138">
        <v>116886.42449999999</v>
      </c>
      <c r="AH138">
        <v>116886.42449999999</v>
      </c>
      <c r="AJ138">
        <v>116886.42449999999</v>
      </c>
      <c r="AK138">
        <v>3506.5927349999997</v>
      </c>
      <c r="AL138">
        <v>120393.01723500001</v>
      </c>
      <c r="AM138" s="238">
        <v>120393.02</v>
      </c>
      <c r="AN138" s="238">
        <v>7637800</v>
      </c>
      <c r="AP138" s="238"/>
      <c r="AQ138" s="238">
        <v>0</v>
      </c>
      <c r="AR138" s="238">
        <v>120394.0731399748</v>
      </c>
      <c r="AS138" s="238">
        <v>7637800</v>
      </c>
      <c r="AT138" s="238" t="s">
        <v>36</v>
      </c>
      <c r="AU138" s="238"/>
      <c r="AW138">
        <v>120394.0731399748</v>
      </c>
      <c r="AX138" s="238">
        <v>0</v>
      </c>
      <c r="AY138" s="238">
        <v>7637800</v>
      </c>
      <c r="BA138" s="238" t="s">
        <v>35</v>
      </c>
      <c r="BB138" s="238" t="s">
        <v>35</v>
      </c>
      <c r="BC138" t="s">
        <v>8953</v>
      </c>
      <c r="BD138" t="s">
        <v>8954</v>
      </c>
      <c r="BE138" t="s">
        <v>8962</v>
      </c>
      <c r="BF138" t="s">
        <v>8974</v>
      </c>
      <c r="BG138" t="b">
        <v>1</v>
      </c>
      <c r="BH138">
        <v>7637800</v>
      </c>
      <c r="BI138">
        <v>7637800</v>
      </c>
      <c r="BJ138">
        <v>0</v>
      </c>
      <c r="BK138">
        <v>0</v>
      </c>
      <c r="BL138">
        <v>0</v>
      </c>
      <c r="BM138" t="s">
        <v>36</v>
      </c>
      <c r="BN138" t="b">
        <v>1</v>
      </c>
      <c r="BO138" t="s">
        <v>8197</v>
      </c>
    </row>
    <row r="139" spans="1:67" x14ac:dyDescent="0.25">
      <c r="A139" s="238">
        <v>138</v>
      </c>
      <c r="B139" s="238">
        <v>2</v>
      </c>
      <c r="C139" s="238">
        <v>6</v>
      </c>
      <c r="D139" s="238">
        <v>6</v>
      </c>
      <c r="E139" s="238">
        <v>2</v>
      </c>
      <c r="F139" s="238">
        <v>17.73</v>
      </c>
      <c r="G139" s="238">
        <v>12.22</v>
      </c>
      <c r="H139" s="238"/>
      <c r="I139" s="238">
        <v>29.950000000000003</v>
      </c>
      <c r="J139" s="238">
        <v>13.65</v>
      </c>
      <c r="K139" s="238">
        <v>5.22</v>
      </c>
      <c r="L139" s="238">
        <v>2.5</v>
      </c>
      <c r="M139" s="238">
        <v>8.06</v>
      </c>
      <c r="N139" s="238"/>
      <c r="O139" s="238">
        <v>3.11</v>
      </c>
      <c r="R139" s="238">
        <v>3.11</v>
      </c>
      <c r="S139" s="238">
        <v>62.49</v>
      </c>
      <c r="T139" s="238">
        <v>59.38</v>
      </c>
      <c r="U139" s="238">
        <v>60.94</v>
      </c>
      <c r="V139" s="238">
        <v>124333</v>
      </c>
      <c r="W139">
        <v>-10000</v>
      </c>
      <c r="X139">
        <v>114333</v>
      </c>
      <c r="Y139">
        <v>1000</v>
      </c>
      <c r="Z139">
        <v>115333</v>
      </c>
      <c r="AB139">
        <v>115333</v>
      </c>
      <c r="AD139">
        <v>115333</v>
      </c>
      <c r="AF139">
        <v>115333</v>
      </c>
      <c r="AH139">
        <v>115333</v>
      </c>
      <c r="AJ139">
        <v>115333</v>
      </c>
      <c r="AL139">
        <v>115333</v>
      </c>
      <c r="AM139" s="238">
        <v>115333</v>
      </c>
      <c r="AN139" s="238">
        <v>7028400</v>
      </c>
      <c r="AP139" s="238">
        <v>0.03</v>
      </c>
      <c r="AQ139" s="238">
        <v>210852</v>
      </c>
      <c r="AR139" s="238">
        <v>111873.12110272401</v>
      </c>
      <c r="AS139" s="238">
        <v>6817548</v>
      </c>
      <c r="AT139" s="238" t="s">
        <v>36</v>
      </c>
      <c r="AU139" s="238"/>
      <c r="AW139">
        <v>111873.12110272401</v>
      </c>
      <c r="AX139" s="238">
        <v>0</v>
      </c>
      <c r="AY139" s="238">
        <v>6817548</v>
      </c>
      <c r="AZ139" t="s">
        <v>3538</v>
      </c>
      <c r="BA139" s="238" t="s">
        <v>39</v>
      </c>
      <c r="BB139" s="238" t="s">
        <v>39</v>
      </c>
      <c r="BC139" t="s">
        <v>8950</v>
      </c>
      <c r="BD139" t="s">
        <v>1167</v>
      </c>
      <c r="BE139" t="s">
        <v>8962</v>
      </c>
      <c r="BF139" t="s">
        <v>8974</v>
      </c>
      <c r="BG139" t="b">
        <v>1</v>
      </c>
      <c r="BH139">
        <v>7028400</v>
      </c>
      <c r="BI139" t="s">
        <v>9002</v>
      </c>
      <c r="BJ139">
        <v>0</v>
      </c>
      <c r="BK139">
        <v>7028400</v>
      </c>
      <c r="BL139">
        <v>0</v>
      </c>
      <c r="BM139" t="s">
        <v>36</v>
      </c>
      <c r="BN139" t="b">
        <v>1</v>
      </c>
      <c r="BO139" t="s">
        <v>8198</v>
      </c>
    </row>
    <row r="140" spans="1:67" x14ac:dyDescent="0.25">
      <c r="A140" s="238">
        <v>139</v>
      </c>
      <c r="B140" s="238">
        <v>2</v>
      </c>
      <c r="C140" s="238">
        <v>7</v>
      </c>
      <c r="D140" s="238">
        <v>1</v>
      </c>
      <c r="E140" s="238">
        <v>2</v>
      </c>
      <c r="F140" s="238">
        <v>17.579999999999998</v>
      </c>
      <c r="G140" s="238">
        <v>14.37</v>
      </c>
      <c r="H140" s="238"/>
      <c r="I140" s="238">
        <v>31.949999999999996</v>
      </c>
      <c r="J140" s="238">
        <v>14.29</v>
      </c>
      <c r="K140" s="238">
        <v>4.5199999999999996</v>
      </c>
      <c r="L140" s="238"/>
      <c r="M140" s="238">
        <v>8.64</v>
      </c>
      <c r="N140" s="238">
        <v>4.76</v>
      </c>
      <c r="O140" s="238">
        <v>3.11</v>
      </c>
      <c r="R140" s="238">
        <v>3.11</v>
      </c>
      <c r="S140" s="238">
        <v>67.27</v>
      </c>
      <c r="T140" s="238">
        <v>64.16</v>
      </c>
      <c r="U140" s="238">
        <v>65.72</v>
      </c>
      <c r="V140" s="238">
        <v>117551.2</v>
      </c>
      <c r="X140">
        <v>117551.2</v>
      </c>
      <c r="Y140">
        <v>1000</v>
      </c>
      <c r="Z140">
        <v>118551.2</v>
      </c>
      <c r="AA140">
        <v>215</v>
      </c>
      <c r="AB140">
        <v>118766.2</v>
      </c>
      <c r="AC140">
        <v>17.5</v>
      </c>
      <c r="AD140">
        <v>118783.7</v>
      </c>
      <c r="AE140">
        <v>593.91849999999999</v>
      </c>
      <c r="AF140">
        <v>119377.6185</v>
      </c>
      <c r="AH140">
        <v>119377.6185</v>
      </c>
      <c r="AJ140">
        <v>119377.6185</v>
      </c>
      <c r="AL140">
        <v>119377.6185</v>
      </c>
      <c r="AM140" s="238">
        <v>119377.62</v>
      </c>
      <c r="AN140" s="238">
        <v>7845500</v>
      </c>
      <c r="AP140" s="238"/>
      <c r="AQ140" s="238">
        <v>0</v>
      </c>
      <c r="AR140" s="238">
        <v>119377.6628119294</v>
      </c>
      <c r="AS140" s="238">
        <v>7845500</v>
      </c>
      <c r="AT140" s="238" t="s">
        <v>36</v>
      </c>
      <c r="AU140" s="238"/>
      <c r="AW140">
        <v>119377.6628119294</v>
      </c>
      <c r="AX140" s="238">
        <v>0</v>
      </c>
      <c r="AY140" s="238">
        <v>7845500</v>
      </c>
      <c r="BA140" s="238" t="s">
        <v>35</v>
      </c>
      <c r="BB140" s="238" t="s">
        <v>35</v>
      </c>
      <c r="BC140" t="s">
        <v>8953</v>
      </c>
      <c r="BD140" t="s">
        <v>8954</v>
      </c>
      <c r="BE140" t="s">
        <v>8962</v>
      </c>
      <c r="BF140" t="s">
        <v>8971</v>
      </c>
      <c r="BG140" t="b">
        <v>1</v>
      </c>
      <c r="BH140">
        <v>7845500</v>
      </c>
      <c r="BI140">
        <v>7845500</v>
      </c>
      <c r="BJ140">
        <v>0</v>
      </c>
      <c r="BK140">
        <v>0</v>
      </c>
      <c r="BL140">
        <v>0</v>
      </c>
      <c r="BM140" t="s">
        <v>36</v>
      </c>
      <c r="BN140" t="b">
        <v>1</v>
      </c>
      <c r="BO140" t="s">
        <v>8199</v>
      </c>
    </row>
    <row r="141" spans="1:67" x14ac:dyDescent="0.25">
      <c r="A141" s="238">
        <v>140</v>
      </c>
      <c r="B141" s="238">
        <v>2</v>
      </c>
      <c r="C141" s="238">
        <v>7</v>
      </c>
      <c r="D141" s="238">
        <v>2</v>
      </c>
      <c r="E141" s="238">
        <v>1</v>
      </c>
      <c r="F141" s="238">
        <v>14.77</v>
      </c>
      <c r="G141" s="238"/>
      <c r="H141" s="238"/>
      <c r="I141" s="238">
        <v>14.77</v>
      </c>
      <c r="J141" s="238">
        <v>11.88</v>
      </c>
      <c r="K141" s="238">
        <v>4.1399999999999997</v>
      </c>
      <c r="L141" s="238"/>
      <c r="M141" s="238">
        <v>4.28</v>
      </c>
      <c r="N141" s="238"/>
      <c r="O141" s="238">
        <v>3.11</v>
      </c>
      <c r="R141" s="238">
        <v>3.11</v>
      </c>
      <c r="S141" s="238">
        <v>38.18</v>
      </c>
      <c r="T141" s="238">
        <v>35.07</v>
      </c>
      <c r="U141" s="238">
        <v>36.630000000000003</v>
      </c>
      <c r="V141" s="238">
        <v>125223</v>
      </c>
      <c r="X141">
        <v>125223</v>
      </c>
      <c r="Y141">
        <v>1000</v>
      </c>
      <c r="Z141">
        <v>126223</v>
      </c>
      <c r="AA141">
        <v>215</v>
      </c>
      <c r="AB141">
        <v>126438</v>
      </c>
      <c r="AC141">
        <v>17.5</v>
      </c>
      <c r="AD141">
        <v>126455.5</v>
      </c>
      <c r="AE141">
        <v>1896.8325</v>
      </c>
      <c r="AF141">
        <v>128352.3325</v>
      </c>
      <c r="AG141">
        <v>1283.5233250000001</v>
      </c>
      <c r="AH141">
        <v>129635.85582500001</v>
      </c>
      <c r="AI141">
        <v>1296.35855825</v>
      </c>
      <c r="AJ141">
        <v>130932.21438325</v>
      </c>
      <c r="AL141">
        <v>130932.21438325</v>
      </c>
      <c r="AM141" s="238">
        <v>130932.21</v>
      </c>
      <c r="AN141" s="238">
        <v>4796100</v>
      </c>
      <c r="AP141" s="238"/>
      <c r="AQ141" s="238">
        <v>0</v>
      </c>
      <c r="AR141" s="238">
        <v>130933.66093366093</v>
      </c>
      <c r="AS141" s="238">
        <v>4796100</v>
      </c>
      <c r="AT141" s="238" t="s">
        <v>36</v>
      </c>
      <c r="AU141" s="238"/>
      <c r="AW141">
        <v>130933.66093366093</v>
      </c>
      <c r="AX141" s="238">
        <v>0</v>
      </c>
      <c r="AY141" s="238">
        <v>4796100</v>
      </c>
      <c r="BA141" s="238" t="s">
        <v>35</v>
      </c>
      <c r="BB141" s="238" t="s">
        <v>35</v>
      </c>
      <c r="BC141" t="s">
        <v>8953</v>
      </c>
      <c r="BD141" t="s">
        <v>8954</v>
      </c>
      <c r="BE141" t="s">
        <v>8962</v>
      </c>
      <c r="BF141" t="s">
        <v>8973</v>
      </c>
      <c r="BG141" t="b">
        <v>1</v>
      </c>
      <c r="BH141">
        <v>4796100</v>
      </c>
      <c r="BI141">
        <v>4796100</v>
      </c>
      <c r="BJ141">
        <v>0</v>
      </c>
      <c r="BK141">
        <v>0</v>
      </c>
      <c r="BL141">
        <v>0</v>
      </c>
      <c r="BM141" t="s">
        <v>36</v>
      </c>
      <c r="BN141" t="b">
        <v>1</v>
      </c>
      <c r="BO141" t="s">
        <v>8200</v>
      </c>
    </row>
    <row r="142" spans="1:67" x14ac:dyDescent="0.25">
      <c r="A142" s="238">
        <v>141</v>
      </c>
      <c r="B142" s="238">
        <v>2</v>
      </c>
      <c r="C142" s="238">
        <v>7</v>
      </c>
      <c r="D142" s="238">
        <v>3</v>
      </c>
      <c r="E142" s="238">
        <v>0</v>
      </c>
      <c r="F142" s="238">
        <v>13.94</v>
      </c>
      <c r="G142" s="238"/>
      <c r="H142" s="238"/>
      <c r="I142" s="238">
        <v>13.94</v>
      </c>
      <c r="J142" s="238">
        <v>5.98</v>
      </c>
      <c r="K142" s="238">
        <v>4.54</v>
      </c>
      <c r="L142" s="238"/>
      <c r="M142" s="238">
        <v>5.04</v>
      </c>
      <c r="N142" s="238"/>
      <c r="O142" s="238"/>
      <c r="R142" s="238">
        <v>0</v>
      </c>
      <c r="S142" s="238">
        <v>29.5</v>
      </c>
      <c r="T142" s="238">
        <v>29.5</v>
      </c>
      <c r="U142" s="238">
        <v>29.5</v>
      </c>
      <c r="V142" s="238">
        <v>142524.6</v>
      </c>
      <c r="X142">
        <v>142524.6</v>
      </c>
      <c r="Y142">
        <v>1000</v>
      </c>
      <c r="Z142">
        <v>143524.6</v>
      </c>
      <c r="AA142">
        <v>215</v>
      </c>
      <c r="AB142">
        <v>143739.6</v>
      </c>
      <c r="AC142">
        <v>17.5</v>
      </c>
      <c r="AD142">
        <v>143757.1</v>
      </c>
      <c r="AF142">
        <v>143757.1</v>
      </c>
      <c r="AH142">
        <v>143757.1</v>
      </c>
      <c r="AJ142">
        <v>143757.1</v>
      </c>
      <c r="AL142">
        <v>143757.1</v>
      </c>
      <c r="AM142" s="238">
        <v>143757.1</v>
      </c>
      <c r="AN142" s="238">
        <v>4240900</v>
      </c>
      <c r="AP142" s="238"/>
      <c r="AQ142" s="238">
        <v>0</v>
      </c>
      <c r="AR142" s="238">
        <v>143759.32203389829</v>
      </c>
      <c r="AS142" s="238">
        <v>4240900</v>
      </c>
      <c r="AT142" s="238" t="s">
        <v>36</v>
      </c>
      <c r="AU142" s="238"/>
      <c r="AW142">
        <v>143759.32203389829</v>
      </c>
      <c r="AX142" s="238">
        <v>0</v>
      </c>
      <c r="AY142" s="238">
        <v>4240900</v>
      </c>
      <c r="BA142" s="238" t="s">
        <v>35</v>
      </c>
      <c r="BB142" s="238" t="s">
        <v>35</v>
      </c>
      <c r="BC142" t="s">
        <v>8953</v>
      </c>
      <c r="BD142" t="s">
        <v>8954</v>
      </c>
      <c r="BE142" t="s">
        <v>8962</v>
      </c>
      <c r="BF142" t="s">
        <v>8970</v>
      </c>
      <c r="BG142" t="b">
        <v>1</v>
      </c>
      <c r="BH142">
        <v>4240900</v>
      </c>
      <c r="BI142">
        <v>4240900</v>
      </c>
      <c r="BJ142">
        <v>0</v>
      </c>
      <c r="BK142">
        <v>0</v>
      </c>
      <c r="BL142">
        <v>0</v>
      </c>
      <c r="BM142" t="s">
        <v>36</v>
      </c>
      <c r="BN142" t="b">
        <v>1</v>
      </c>
      <c r="BO142" t="s">
        <v>8201</v>
      </c>
    </row>
    <row r="143" spans="1:67" x14ac:dyDescent="0.25">
      <c r="A143" s="238">
        <v>142</v>
      </c>
      <c r="B143" s="238">
        <v>2</v>
      </c>
      <c r="C143" s="238">
        <v>7</v>
      </c>
      <c r="D143" s="238">
        <v>4</v>
      </c>
      <c r="E143" s="238">
        <v>0</v>
      </c>
      <c r="F143" s="238">
        <v>13.39</v>
      </c>
      <c r="G143" s="238"/>
      <c r="H143" s="238"/>
      <c r="I143" s="238">
        <v>13.39</v>
      </c>
      <c r="J143" s="238">
        <v>5.98</v>
      </c>
      <c r="K143" s="238">
        <v>4.54</v>
      </c>
      <c r="L143" s="238"/>
      <c r="M143" s="238">
        <v>4.08</v>
      </c>
      <c r="N143" s="238"/>
      <c r="O143" s="238"/>
      <c r="R143" s="238">
        <v>0</v>
      </c>
      <c r="S143" s="238">
        <v>27.99</v>
      </c>
      <c r="T143" s="238">
        <v>27.99</v>
      </c>
      <c r="U143" s="238">
        <v>27.99</v>
      </c>
      <c r="V143" s="238">
        <v>142524.6</v>
      </c>
      <c r="X143">
        <v>142524.6</v>
      </c>
      <c r="Y143">
        <v>1000</v>
      </c>
      <c r="Z143">
        <v>143524.6</v>
      </c>
      <c r="AA143">
        <v>215</v>
      </c>
      <c r="AB143">
        <v>143739.6</v>
      </c>
      <c r="AC143">
        <v>17.5</v>
      </c>
      <c r="AD143">
        <v>143757.1</v>
      </c>
      <c r="AF143">
        <v>143757.1</v>
      </c>
      <c r="AH143">
        <v>143757.1</v>
      </c>
      <c r="AJ143">
        <v>143757.1</v>
      </c>
      <c r="AL143">
        <v>143757.1</v>
      </c>
      <c r="AM143" s="238">
        <v>143757.1</v>
      </c>
      <c r="AN143" s="238">
        <v>4023800</v>
      </c>
      <c r="AP143" s="238"/>
      <c r="AQ143" s="238">
        <v>0</v>
      </c>
      <c r="AR143" s="238">
        <v>143758.48517327619</v>
      </c>
      <c r="AS143" s="238">
        <v>4023800</v>
      </c>
      <c r="AT143" s="238" t="s">
        <v>36</v>
      </c>
      <c r="AU143" s="238"/>
      <c r="AW143">
        <v>143758.48517327619</v>
      </c>
      <c r="AX143" s="238">
        <v>0</v>
      </c>
      <c r="AY143" s="238">
        <v>4023800.0000000009</v>
      </c>
      <c r="BA143" s="238" t="s">
        <v>35</v>
      </c>
      <c r="BB143" s="238" t="s">
        <v>35</v>
      </c>
      <c r="BC143" t="s">
        <v>8953</v>
      </c>
      <c r="BD143" t="s">
        <v>8954</v>
      </c>
      <c r="BE143" t="s">
        <v>8962</v>
      </c>
      <c r="BF143" t="s">
        <v>8970</v>
      </c>
      <c r="BG143" t="b">
        <v>1</v>
      </c>
      <c r="BH143">
        <v>4023800</v>
      </c>
      <c r="BI143">
        <v>4023800</v>
      </c>
      <c r="BJ143">
        <v>0</v>
      </c>
      <c r="BK143">
        <v>0</v>
      </c>
      <c r="BL143">
        <v>0</v>
      </c>
      <c r="BM143" t="s">
        <v>36</v>
      </c>
      <c r="BN143" t="b">
        <v>1</v>
      </c>
      <c r="BO143" t="s">
        <v>8202</v>
      </c>
    </row>
    <row r="144" spans="1:67" x14ac:dyDescent="0.25">
      <c r="A144" s="238">
        <v>143</v>
      </c>
      <c r="B144" s="238">
        <v>2</v>
      </c>
      <c r="C144" s="238">
        <v>7</v>
      </c>
      <c r="D144" s="238">
        <v>5</v>
      </c>
      <c r="E144" s="238">
        <v>2</v>
      </c>
      <c r="F144" s="238">
        <v>16.579999999999998</v>
      </c>
      <c r="G144" s="238">
        <v>14.14</v>
      </c>
      <c r="H144" s="238"/>
      <c r="I144" s="238">
        <v>30.72</v>
      </c>
      <c r="J144" s="238">
        <v>12.38</v>
      </c>
      <c r="K144" s="238">
        <v>4.1399999999999997</v>
      </c>
      <c r="L144" s="238"/>
      <c r="M144" s="238">
        <v>7.61</v>
      </c>
      <c r="N144" s="238">
        <v>7.03</v>
      </c>
      <c r="O144" s="238">
        <v>3.11</v>
      </c>
      <c r="R144" s="238">
        <v>3.11</v>
      </c>
      <c r="S144" s="238">
        <v>64.989999999999995</v>
      </c>
      <c r="T144" s="238">
        <v>61.88</v>
      </c>
      <c r="U144" s="238">
        <v>63.44</v>
      </c>
      <c r="V144" s="238">
        <v>119811.8</v>
      </c>
      <c r="W144">
        <v>-7000</v>
      </c>
      <c r="X144">
        <v>112811.8</v>
      </c>
      <c r="Y144">
        <v>1000</v>
      </c>
      <c r="Z144">
        <v>113811.8</v>
      </c>
      <c r="AA144">
        <v>215</v>
      </c>
      <c r="AB144">
        <v>114026.8</v>
      </c>
      <c r="AC144">
        <v>17.5</v>
      </c>
      <c r="AD144">
        <v>114044.3</v>
      </c>
      <c r="AE144">
        <v>570.22149999999999</v>
      </c>
      <c r="AF144">
        <v>114614.5215</v>
      </c>
      <c r="AH144">
        <v>114614.5215</v>
      </c>
      <c r="AJ144">
        <v>114614.5215</v>
      </c>
      <c r="AK144">
        <v>3438.435645</v>
      </c>
      <c r="AL144">
        <v>118052.95714499999</v>
      </c>
      <c r="AM144" s="238">
        <v>118052.96</v>
      </c>
      <c r="AN144" s="238">
        <v>7489300</v>
      </c>
      <c r="AP144" s="238"/>
      <c r="AQ144" s="238">
        <v>0</v>
      </c>
      <c r="AR144" s="238">
        <v>118053.2786885246</v>
      </c>
      <c r="AS144" s="238">
        <v>7489300</v>
      </c>
      <c r="AT144" s="238" t="s">
        <v>38</v>
      </c>
      <c r="AU144" s="238">
        <v>30000</v>
      </c>
      <c r="AV144" t="s">
        <v>8816</v>
      </c>
      <c r="AW144">
        <v>148053.27868852459</v>
      </c>
      <c r="AX144" s="238">
        <v>1903200</v>
      </c>
      <c r="AY144" s="238">
        <v>9392500</v>
      </c>
      <c r="BA144" s="238" t="s">
        <v>3</v>
      </c>
      <c r="BB144" s="238" t="s">
        <v>3</v>
      </c>
      <c r="BC144" t="s">
        <v>8951</v>
      </c>
      <c r="BD144" t="s">
        <v>1167</v>
      </c>
      <c r="BE144" t="s">
        <v>8962</v>
      </c>
      <c r="BF144" t="s">
        <v>8974</v>
      </c>
      <c r="BG144" t="b">
        <v>1</v>
      </c>
      <c r="BH144">
        <v>7489300</v>
      </c>
      <c r="BI144">
        <v>7489300</v>
      </c>
      <c r="BJ144">
        <v>0</v>
      </c>
      <c r="BK144">
        <v>0</v>
      </c>
      <c r="BL144">
        <v>0</v>
      </c>
      <c r="BM144" t="s">
        <v>38</v>
      </c>
      <c r="BN144" t="b">
        <v>1</v>
      </c>
      <c r="BO144" t="s">
        <v>8203</v>
      </c>
    </row>
    <row r="145" spans="1:67" x14ac:dyDescent="0.25">
      <c r="A145" s="238">
        <v>144</v>
      </c>
      <c r="B145" s="238">
        <v>2</v>
      </c>
      <c r="C145" s="238">
        <v>7</v>
      </c>
      <c r="D145" s="238">
        <v>6</v>
      </c>
      <c r="E145" s="238">
        <v>2</v>
      </c>
      <c r="F145" s="238">
        <v>17.73</v>
      </c>
      <c r="G145" s="238">
        <v>12.22</v>
      </c>
      <c r="H145" s="238"/>
      <c r="I145" s="238">
        <v>29.950000000000003</v>
      </c>
      <c r="J145" s="238">
        <v>13.65</v>
      </c>
      <c r="K145" s="238">
        <v>5.22</v>
      </c>
      <c r="L145" s="238">
        <v>2.5</v>
      </c>
      <c r="M145" s="238">
        <v>8.06</v>
      </c>
      <c r="N145" s="238"/>
      <c r="O145" s="238">
        <v>3.11</v>
      </c>
      <c r="R145" s="238">
        <v>3.11</v>
      </c>
      <c r="S145" s="238">
        <v>62.49</v>
      </c>
      <c r="T145" s="238">
        <v>59.38</v>
      </c>
      <c r="U145" s="238">
        <v>60.94</v>
      </c>
      <c r="V145" s="238">
        <v>126593.60000000001</v>
      </c>
      <c r="W145">
        <v>-10000</v>
      </c>
      <c r="X145">
        <v>116593.60000000001</v>
      </c>
      <c r="Y145">
        <v>1000</v>
      </c>
      <c r="Z145">
        <v>117593.60000000001</v>
      </c>
      <c r="AA145">
        <v>215</v>
      </c>
      <c r="AB145">
        <v>117808.6</v>
      </c>
      <c r="AC145">
        <v>17.5</v>
      </c>
      <c r="AD145">
        <v>117826.1</v>
      </c>
      <c r="AE145">
        <v>589.1305000000001</v>
      </c>
      <c r="AF145">
        <v>118415.23050000001</v>
      </c>
      <c r="AH145">
        <v>118415.23050000001</v>
      </c>
      <c r="AJ145">
        <v>118415.23050000001</v>
      </c>
      <c r="AK145">
        <v>3552.4569150000002</v>
      </c>
      <c r="AL145">
        <v>121967.68741499999</v>
      </c>
      <c r="AM145" s="238">
        <v>121967.69</v>
      </c>
      <c r="AN145" s="238">
        <v>7432800</v>
      </c>
      <c r="AP145" s="238"/>
      <c r="AQ145" s="238">
        <v>0</v>
      </c>
      <c r="AR145" s="238">
        <v>121969.14998359044</v>
      </c>
      <c r="AS145" s="238">
        <v>7432800</v>
      </c>
      <c r="AT145" s="238" t="s">
        <v>36</v>
      </c>
      <c r="AU145" s="238"/>
      <c r="AW145">
        <v>121969.14998359044</v>
      </c>
      <c r="AX145" s="238">
        <v>0</v>
      </c>
      <c r="AY145" s="238">
        <v>7432800</v>
      </c>
      <c r="BA145" s="238" t="s">
        <v>35</v>
      </c>
      <c r="BB145" s="238" t="s">
        <v>35</v>
      </c>
      <c r="BC145" t="s">
        <v>8953</v>
      </c>
      <c r="BD145" t="s">
        <v>8954</v>
      </c>
      <c r="BE145" t="s">
        <v>8962</v>
      </c>
      <c r="BF145" t="s">
        <v>8974</v>
      </c>
      <c r="BG145" t="b">
        <v>1</v>
      </c>
      <c r="BH145">
        <v>7432800</v>
      </c>
      <c r="BI145">
        <v>7432800</v>
      </c>
      <c r="BJ145">
        <v>0</v>
      </c>
      <c r="BK145">
        <v>0</v>
      </c>
      <c r="BL145">
        <v>0</v>
      </c>
      <c r="BM145" t="s">
        <v>36</v>
      </c>
      <c r="BN145" t="b">
        <v>1</v>
      </c>
      <c r="BO145" t="s">
        <v>8204</v>
      </c>
    </row>
    <row r="146" spans="1:67" x14ac:dyDescent="0.25">
      <c r="A146" s="238">
        <v>145</v>
      </c>
      <c r="B146" s="238">
        <v>2</v>
      </c>
      <c r="C146" s="238">
        <v>8</v>
      </c>
      <c r="D146" s="238">
        <v>1</v>
      </c>
      <c r="E146" s="238">
        <v>2</v>
      </c>
      <c r="F146" s="238">
        <v>17.579999999999998</v>
      </c>
      <c r="G146" s="238">
        <v>14.37</v>
      </c>
      <c r="H146" s="238"/>
      <c r="I146" s="238">
        <v>31.949999999999996</v>
      </c>
      <c r="J146" s="238">
        <v>14.29</v>
      </c>
      <c r="K146" s="238">
        <v>4.5199999999999996</v>
      </c>
      <c r="L146" s="238"/>
      <c r="M146" s="238">
        <v>8.64</v>
      </c>
      <c r="N146" s="238">
        <v>4.76</v>
      </c>
      <c r="O146" s="238">
        <v>3.11</v>
      </c>
      <c r="R146" s="238">
        <v>3.11</v>
      </c>
      <c r="S146" s="238">
        <v>67.27</v>
      </c>
      <c r="T146" s="238">
        <v>64.16</v>
      </c>
      <c r="U146" s="238">
        <v>65.72</v>
      </c>
      <c r="V146" s="238">
        <v>119811.8</v>
      </c>
      <c r="X146">
        <v>119811.8</v>
      </c>
      <c r="Y146">
        <v>1000</v>
      </c>
      <c r="Z146">
        <v>120811.8</v>
      </c>
      <c r="AA146">
        <v>215</v>
      </c>
      <c r="AB146">
        <v>121026.8</v>
      </c>
      <c r="AC146">
        <v>17.5</v>
      </c>
      <c r="AD146">
        <v>121044.3</v>
      </c>
      <c r="AE146">
        <v>605.22149999999999</v>
      </c>
      <c r="AF146">
        <v>121649.5215</v>
      </c>
      <c r="AH146">
        <v>121649.5215</v>
      </c>
      <c r="AJ146">
        <v>121649.5215</v>
      </c>
      <c r="AL146">
        <v>121649.5215</v>
      </c>
      <c r="AM146" s="238">
        <v>121649.52</v>
      </c>
      <c r="AN146" s="238">
        <v>7994900</v>
      </c>
      <c r="AP146" s="238"/>
      <c r="AQ146" s="238">
        <v>0</v>
      </c>
      <c r="AR146" s="238">
        <v>121650.94339622642</v>
      </c>
      <c r="AS146" s="238">
        <v>7994900</v>
      </c>
      <c r="AT146" s="238" t="s">
        <v>36</v>
      </c>
      <c r="AU146" s="238"/>
      <c r="AW146">
        <v>121650.94339622642</v>
      </c>
      <c r="AX146" s="238">
        <v>0</v>
      </c>
      <c r="AY146" s="238">
        <v>7994900</v>
      </c>
      <c r="BA146" s="238" t="s">
        <v>35</v>
      </c>
      <c r="BB146" s="238" t="s">
        <v>35</v>
      </c>
      <c r="BC146" t="s">
        <v>8953</v>
      </c>
      <c r="BD146" t="s">
        <v>8954</v>
      </c>
      <c r="BE146" t="s">
        <v>8962</v>
      </c>
      <c r="BF146" t="s">
        <v>8971</v>
      </c>
      <c r="BG146" t="b">
        <v>1</v>
      </c>
      <c r="BH146">
        <v>7994900</v>
      </c>
      <c r="BI146">
        <v>7994900</v>
      </c>
      <c r="BJ146">
        <v>0</v>
      </c>
      <c r="BK146">
        <v>0</v>
      </c>
      <c r="BL146">
        <v>0</v>
      </c>
      <c r="BM146" t="s">
        <v>36</v>
      </c>
      <c r="BN146" t="b">
        <v>1</v>
      </c>
      <c r="BO146" t="s">
        <v>8205</v>
      </c>
    </row>
    <row r="147" spans="1:67" x14ac:dyDescent="0.25">
      <c r="A147" s="238">
        <v>146</v>
      </c>
      <c r="B147" s="238">
        <v>2</v>
      </c>
      <c r="C147" s="238">
        <v>8</v>
      </c>
      <c r="D147" s="238">
        <v>2</v>
      </c>
      <c r="E147" s="238">
        <v>1</v>
      </c>
      <c r="F147" s="238">
        <v>14.77</v>
      </c>
      <c r="G147" s="238"/>
      <c r="H147" s="238"/>
      <c r="I147" s="238">
        <v>14.77</v>
      </c>
      <c r="J147" s="238">
        <v>11.88</v>
      </c>
      <c r="K147" s="238">
        <v>4.1399999999999997</v>
      </c>
      <c r="L147" s="238"/>
      <c r="M147" s="238">
        <v>4.28</v>
      </c>
      <c r="N147" s="238"/>
      <c r="O147" s="238">
        <v>3.11</v>
      </c>
      <c r="R147" s="238">
        <v>3.11</v>
      </c>
      <c r="S147" s="238">
        <v>38.18</v>
      </c>
      <c r="T147" s="238">
        <v>35.07</v>
      </c>
      <c r="U147" s="238">
        <v>36.630000000000003</v>
      </c>
      <c r="V147" s="238">
        <v>122837.8</v>
      </c>
      <c r="X147">
        <v>122837.8</v>
      </c>
      <c r="Y147">
        <v>1000</v>
      </c>
      <c r="Z147">
        <v>123837.8</v>
      </c>
      <c r="AA147">
        <v>215</v>
      </c>
      <c r="AB147">
        <v>124052.8</v>
      </c>
      <c r="AC147">
        <v>17.5</v>
      </c>
      <c r="AD147">
        <v>124070.3</v>
      </c>
      <c r="AE147">
        <v>1861.0545</v>
      </c>
      <c r="AF147">
        <v>125931.3545</v>
      </c>
      <c r="AG147">
        <v>1259.313545</v>
      </c>
      <c r="AH147">
        <v>127190.668045</v>
      </c>
      <c r="AI147">
        <v>1271.9066804500001</v>
      </c>
      <c r="AJ147">
        <v>128462.57472545</v>
      </c>
      <c r="AL147">
        <v>128462.57472545</v>
      </c>
      <c r="AM147" s="238">
        <v>128462.57</v>
      </c>
      <c r="AN147" s="238">
        <v>4705600</v>
      </c>
      <c r="AP147" s="238">
        <v>0.02</v>
      </c>
      <c r="AQ147" s="238">
        <v>94112</v>
      </c>
      <c r="AR147" s="238">
        <v>125893.74829374829</v>
      </c>
      <c r="AS147" s="238">
        <v>4611488</v>
      </c>
      <c r="AT147" s="238" t="s">
        <v>36</v>
      </c>
      <c r="AU147" s="238"/>
      <c r="AW147">
        <v>125893.74829374829</v>
      </c>
      <c r="AX147" s="238">
        <v>0</v>
      </c>
      <c r="AY147" s="238">
        <v>4611488</v>
      </c>
      <c r="AZ147" t="s">
        <v>4518</v>
      </c>
      <c r="BA147" s="238" t="s">
        <v>39</v>
      </c>
      <c r="BB147" s="238" t="s">
        <v>39</v>
      </c>
      <c r="BC147" t="s">
        <v>8950</v>
      </c>
      <c r="BD147" t="s">
        <v>1167</v>
      </c>
      <c r="BE147" t="s">
        <v>8962</v>
      </c>
      <c r="BF147" t="s">
        <v>8973</v>
      </c>
      <c r="BG147" t="b">
        <v>1</v>
      </c>
      <c r="BH147">
        <v>4705600</v>
      </c>
      <c r="BI147" t="s">
        <v>9002</v>
      </c>
      <c r="BJ147">
        <v>0</v>
      </c>
      <c r="BK147">
        <v>4705600</v>
      </c>
      <c r="BL147">
        <v>0</v>
      </c>
      <c r="BM147" t="s">
        <v>36</v>
      </c>
      <c r="BN147" t="b">
        <v>1</v>
      </c>
      <c r="BO147" t="s">
        <v>8206</v>
      </c>
    </row>
    <row r="148" spans="1:67" x14ac:dyDescent="0.25">
      <c r="A148" s="238">
        <v>147</v>
      </c>
      <c r="B148" s="238">
        <v>2</v>
      </c>
      <c r="C148" s="238">
        <v>8</v>
      </c>
      <c r="D148" s="238">
        <v>3</v>
      </c>
      <c r="E148" s="238">
        <v>0</v>
      </c>
      <c r="F148" s="238">
        <v>13.94</v>
      </c>
      <c r="G148" s="238"/>
      <c r="H148" s="238"/>
      <c r="I148" s="238">
        <v>13.94</v>
      </c>
      <c r="J148" s="238">
        <v>5.98</v>
      </c>
      <c r="K148" s="238">
        <v>4.54</v>
      </c>
      <c r="L148" s="238"/>
      <c r="M148" s="238">
        <v>5.04</v>
      </c>
      <c r="N148" s="238"/>
      <c r="O148" s="238"/>
      <c r="R148" s="238">
        <v>0</v>
      </c>
      <c r="S148" s="238">
        <v>29.5</v>
      </c>
      <c r="T148" s="238">
        <v>29.5</v>
      </c>
      <c r="U148" s="238">
        <v>29.5</v>
      </c>
      <c r="V148" s="238">
        <v>145319.20000000001</v>
      </c>
      <c r="X148">
        <v>145319.20000000001</v>
      </c>
      <c r="Y148">
        <v>1000</v>
      </c>
      <c r="Z148">
        <v>146319.20000000001</v>
      </c>
      <c r="AA148">
        <v>215</v>
      </c>
      <c r="AB148">
        <v>146534.20000000001</v>
      </c>
      <c r="AC148">
        <v>17.5</v>
      </c>
      <c r="AD148">
        <v>146551.70000000001</v>
      </c>
      <c r="AF148">
        <v>146551.70000000001</v>
      </c>
      <c r="AH148">
        <v>146551.70000000001</v>
      </c>
      <c r="AJ148">
        <v>146551.70000000001</v>
      </c>
      <c r="AL148">
        <v>146551.70000000001</v>
      </c>
      <c r="AM148" s="238">
        <v>146551.70000000001</v>
      </c>
      <c r="AN148" s="238">
        <v>4323300</v>
      </c>
      <c r="AP148" s="238"/>
      <c r="AQ148" s="238">
        <v>0</v>
      </c>
      <c r="AR148" s="238">
        <v>146552.54237288135</v>
      </c>
      <c r="AS148" s="238">
        <v>4323300</v>
      </c>
      <c r="AT148" s="238" t="s">
        <v>36</v>
      </c>
      <c r="AU148" s="238"/>
      <c r="AW148">
        <v>146552.54237288135</v>
      </c>
      <c r="AX148" s="238">
        <v>0</v>
      </c>
      <c r="AY148" s="238">
        <v>4323300</v>
      </c>
      <c r="BA148" s="238" t="s">
        <v>35</v>
      </c>
      <c r="BB148" s="238" t="s">
        <v>35</v>
      </c>
      <c r="BC148" t="s">
        <v>8953</v>
      </c>
      <c r="BD148" t="s">
        <v>8954</v>
      </c>
      <c r="BE148" t="s">
        <v>8962</v>
      </c>
      <c r="BF148" t="s">
        <v>8970</v>
      </c>
      <c r="BG148" t="b">
        <v>1</v>
      </c>
      <c r="BH148">
        <v>4323300</v>
      </c>
      <c r="BI148">
        <v>4323300</v>
      </c>
      <c r="BJ148">
        <v>0</v>
      </c>
      <c r="BK148">
        <v>0</v>
      </c>
      <c r="BL148">
        <v>0</v>
      </c>
      <c r="BM148" t="s">
        <v>36</v>
      </c>
      <c r="BN148" t="b">
        <v>1</v>
      </c>
      <c r="BO148" t="s">
        <v>8207</v>
      </c>
    </row>
    <row r="149" spans="1:67" x14ac:dyDescent="0.25">
      <c r="A149" s="238">
        <v>148</v>
      </c>
      <c r="B149" s="238">
        <v>2</v>
      </c>
      <c r="C149" s="238">
        <v>8</v>
      </c>
      <c r="D149" s="238">
        <v>4</v>
      </c>
      <c r="E149" s="238">
        <v>0</v>
      </c>
      <c r="F149" s="238">
        <v>13.39</v>
      </c>
      <c r="G149" s="238"/>
      <c r="H149" s="238"/>
      <c r="I149" s="238">
        <v>13.39</v>
      </c>
      <c r="J149" s="238">
        <v>5.98</v>
      </c>
      <c r="K149" s="238">
        <v>4.54</v>
      </c>
      <c r="L149" s="238"/>
      <c r="M149" s="238">
        <v>4.08</v>
      </c>
      <c r="N149" s="238"/>
      <c r="O149" s="238"/>
      <c r="R149" s="238">
        <v>0</v>
      </c>
      <c r="S149" s="238">
        <v>27.99</v>
      </c>
      <c r="T149" s="238">
        <v>27.99</v>
      </c>
      <c r="U149" s="238">
        <v>27.99</v>
      </c>
      <c r="V149" s="238">
        <v>142524.6</v>
      </c>
      <c r="X149">
        <v>142524.6</v>
      </c>
      <c r="Y149">
        <v>1000</v>
      </c>
      <c r="Z149">
        <v>143524.6</v>
      </c>
      <c r="AA149">
        <v>215</v>
      </c>
      <c r="AB149">
        <v>143739.6</v>
      </c>
      <c r="AC149">
        <v>17.5</v>
      </c>
      <c r="AD149">
        <v>143757.1</v>
      </c>
      <c r="AF149">
        <v>143757.1</v>
      </c>
      <c r="AH149">
        <v>143757.1</v>
      </c>
      <c r="AJ149">
        <v>143757.1</v>
      </c>
      <c r="AL149">
        <v>143757.1</v>
      </c>
      <c r="AM149" s="238">
        <v>143757.1</v>
      </c>
      <c r="AN149" s="238">
        <v>4023800</v>
      </c>
      <c r="AP149" s="238"/>
      <c r="AQ149" s="238">
        <v>0</v>
      </c>
      <c r="AR149" s="238">
        <v>143758.48517327619</v>
      </c>
      <c r="AS149" s="238">
        <v>4023800</v>
      </c>
      <c r="AT149" s="238" t="s">
        <v>36</v>
      </c>
      <c r="AU149" s="238"/>
      <c r="AW149">
        <v>143758.48517327619</v>
      </c>
      <c r="AX149" s="238">
        <v>0</v>
      </c>
      <c r="AY149" s="238">
        <v>4023800.0000000009</v>
      </c>
      <c r="BA149" s="238" t="s">
        <v>35</v>
      </c>
      <c r="BB149" s="238" t="s">
        <v>35</v>
      </c>
      <c r="BC149" t="s">
        <v>8953</v>
      </c>
      <c r="BD149" t="s">
        <v>8954</v>
      </c>
      <c r="BE149" t="s">
        <v>8962</v>
      </c>
      <c r="BF149" t="s">
        <v>8970</v>
      </c>
      <c r="BG149" t="b">
        <v>1</v>
      </c>
      <c r="BH149">
        <v>4023800</v>
      </c>
      <c r="BI149">
        <v>4023800</v>
      </c>
      <c r="BJ149">
        <v>0</v>
      </c>
      <c r="BK149">
        <v>0</v>
      </c>
      <c r="BL149">
        <v>0</v>
      </c>
      <c r="BM149" t="s">
        <v>36</v>
      </c>
      <c r="BN149" t="b">
        <v>1</v>
      </c>
      <c r="BO149" t="s">
        <v>8208</v>
      </c>
    </row>
    <row r="150" spans="1:67" x14ac:dyDescent="0.25">
      <c r="A150" s="238">
        <v>149</v>
      </c>
      <c r="B150" s="238">
        <v>2</v>
      </c>
      <c r="C150" s="238">
        <v>8</v>
      </c>
      <c r="D150" s="238">
        <v>5</v>
      </c>
      <c r="E150" s="238">
        <v>2</v>
      </c>
      <c r="F150" s="238">
        <v>16.579999999999998</v>
      </c>
      <c r="G150" s="238">
        <v>14.14</v>
      </c>
      <c r="H150" s="238"/>
      <c r="I150" s="238">
        <v>30.72</v>
      </c>
      <c r="J150" s="238">
        <v>12.38</v>
      </c>
      <c r="K150" s="238">
        <v>4.1399999999999997</v>
      </c>
      <c r="L150" s="238"/>
      <c r="M150" s="238">
        <v>7.61</v>
      </c>
      <c r="N150" s="238">
        <v>7.03</v>
      </c>
      <c r="O150" s="238">
        <v>3.11</v>
      </c>
      <c r="R150" s="238">
        <v>3.11</v>
      </c>
      <c r="S150" s="238">
        <v>64.989999999999995</v>
      </c>
      <c r="T150" s="238">
        <v>61.88</v>
      </c>
      <c r="U150" s="238">
        <v>63.44</v>
      </c>
      <c r="V150" s="238">
        <v>119811.8</v>
      </c>
      <c r="W150">
        <v>-7000</v>
      </c>
      <c r="X150">
        <v>112811.8</v>
      </c>
      <c r="Y150">
        <v>1000</v>
      </c>
      <c r="Z150">
        <v>113811.8</v>
      </c>
      <c r="AA150">
        <v>215</v>
      </c>
      <c r="AB150">
        <v>114026.8</v>
      </c>
      <c r="AC150">
        <v>17.5</v>
      </c>
      <c r="AD150">
        <v>114044.3</v>
      </c>
      <c r="AE150">
        <v>570.22149999999999</v>
      </c>
      <c r="AF150">
        <v>114614.5215</v>
      </c>
      <c r="AH150">
        <v>114614.5215</v>
      </c>
      <c r="AJ150">
        <v>114614.5215</v>
      </c>
      <c r="AK150">
        <v>3438.435645</v>
      </c>
      <c r="AL150">
        <v>118052.95714499999</v>
      </c>
      <c r="AM150" s="238">
        <v>118052.96</v>
      </c>
      <c r="AN150" s="238">
        <v>7489300</v>
      </c>
      <c r="AP150" s="238"/>
      <c r="AQ150" s="238">
        <v>0</v>
      </c>
      <c r="AR150" s="238">
        <v>118053.2786885246</v>
      </c>
      <c r="AS150" s="238">
        <v>7489300</v>
      </c>
      <c r="AT150" s="238" t="s">
        <v>36</v>
      </c>
      <c r="AU150" s="238"/>
      <c r="AW150">
        <v>118053.2786885246</v>
      </c>
      <c r="AX150" s="238">
        <v>0</v>
      </c>
      <c r="AY150" s="238">
        <v>7489300</v>
      </c>
      <c r="BA150" s="238" t="s">
        <v>35</v>
      </c>
      <c r="BB150" s="238" t="s">
        <v>35</v>
      </c>
      <c r="BC150" t="s">
        <v>8953</v>
      </c>
      <c r="BD150" t="s">
        <v>8954</v>
      </c>
      <c r="BE150" t="s">
        <v>8962</v>
      </c>
      <c r="BF150" t="s">
        <v>8974</v>
      </c>
      <c r="BG150" t="b">
        <v>1</v>
      </c>
      <c r="BH150">
        <v>7489300</v>
      </c>
      <c r="BI150">
        <v>7489300</v>
      </c>
      <c r="BJ150">
        <v>0</v>
      </c>
      <c r="BK150">
        <v>0</v>
      </c>
      <c r="BL150">
        <v>0</v>
      </c>
      <c r="BM150" t="s">
        <v>36</v>
      </c>
      <c r="BN150" t="b">
        <v>1</v>
      </c>
      <c r="BO150" t="s">
        <v>8209</v>
      </c>
    </row>
    <row r="151" spans="1:67" x14ac:dyDescent="0.25">
      <c r="A151" s="238">
        <v>150</v>
      </c>
      <c r="B151" s="238">
        <v>2</v>
      </c>
      <c r="C151" s="238">
        <v>8</v>
      </c>
      <c r="D151" s="238">
        <v>6</v>
      </c>
      <c r="E151" s="238">
        <v>2</v>
      </c>
      <c r="F151" s="238">
        <v>17.73</v>
      </c>
      <c r="G151" s="238">
        <v>12.22</v>
      </c>
      <c r="H151" s="238"/>
      <c r="I151" s="238">
        <v>29.950000000000003</v>
      </c>
      <c r="J151" s="238">
        <v>13.65</v>
      </c>
      <c r="K151" s="238">
        <v>5.22</v>
      </c>
      <c r="L151" s="238">
        <v>2.5</v>
      </c>
      <c r="M151" s="238">
        <v>8.06</v>
      </c>
      <c r="N151" s="238"/>
      <c r="O151" s="238">
        <v>3.11</v>
      </c>
      <c r="R151" s="238">
        <v>3.11</v>
      </c>
      <c r="S151" s="238">
        <v>62.49</v>
      </c>
      <c r="T151" s="238">
        <v>59.38</v>
      </c>
      <c r="U151" s="238">
        <v>60.94</v>
      </c>
      <c r="V151" s="238">
        <v>126593.60000000001</v>
      </c>
      <c r="W151">
        <v>-10000</v>
      </c>
      <c r="X151">
        <v>116593.60000000001</v>
      </c>
      <c r="Y151">
        <v>1000</v>
      </c>
      <c r="Z151">
        <v>117593.60000000001</v>
      </c>
      <c r="AA151">
        <v>215</v>
      </c>
      <c r="AB151">
        <v>117808.6</v>
      </c>
      <c r="AC151">
        <v>17.5</v>
      </c>
      <c r="AD151">
        <v>117826.1</v>
      </c>
      <c r="AE151">
        <v>589.1305000000001</v>
      </c>
      <c r="AF151">
        <v>118415.23050000001</v>
      </c>
      <c r="AH151">
        <v>118415.23050000001</v>
      </c>
      <c r="AJ151">
        <v>118415.23050000001</v>
      </c>
      <c r="AK151">
        <v>3552.4569150000002</v>
      </c>
      <c r="AL151">
        <v>121967.68741499999</v>
      </c>
      <c r="AM151" s="238">
        <v>121967.69</v>
      </c>
      <c r="AN151" s="238">
        <v>7432800</v>
      </c>
      <c r="AP151" s="238"/>
      <c r="AQ151" s="238">
        <v>0</v>
      </c>
      <c r="AR151" s="238">
        <v>121969.14998359044</v>
      </c>
      <c r="AS151" s="238">
        <v>7432800</v>
      </c>
      <c r="AT151" s="238" t="s">
        <v>8787</v>
      </c>
      <c r="AU151" s="238">
        <v>10000</v>
      </c>
      <c r="AW151">
        <v>131969.14998359041</v>
      </c>
      <c r="AX151" s="238">
        <v>609399.99999999907</v>
      </c>
      <c r="AY151" s="238">
        <v>8042199.9999999981</v>
      </c>
      <c r="BA151" s="238" t="s">
        <v>3</v>
      </c>
      <c r="BB151" s="238" t="s">
        <v>3</v>
      </c>
      <c r="BC151" t="s">
        <v>8951</v>
      </c>
      <c r="BD151" t="s">
        <v>1167</v>
      </c>
      <c r="BE151" t="s">
        <v>8962</v>
      </c>
      <c r="BF151" t="s">
        <v>8974</v>
      </c>
      <c r="BG151" t="b">
        <v>1</v>
      </c>
      <c r="BH151">
        <v>7432800</v>
      </c>
      <c r="BI151">
        <v>7432800</v>
      </c>
      <c r="BJ151">
        <v>0</v>
      </c>
      <c r="BK151">
        <v>0</v>
      </c>
      <c r="BL151">
        <v>0</v>
      </c>
      <c r="BM151" t="s">
        <v>8787</v>
      </c>
      <c r="BN151" t="b">
        <v>1</v>
      </c>
      <c r="BO151" t="s">
        <v>8210</v>
      </c>
    </row>
    <row r="152" spans="1:67" x14ac:dyDescent="0.25">
      <c r="A152" s="238">
        <v>151</v>
      </c>
      <c r="B152" s="238">
        <v>2</v>
      </c>
      <c r="C152" s="238">
        <v>9</v>
      </c>
      <c r="D152" s="238">
        <v>1</v>
      </c>
      <c r="E152" s="238">
        <v>2</v>
      </c>
      <c r="F152" s="238">
        <v>17.579999999999998</v>
      </c>
      <c r="G152" s="238">
        <v>14.37</v>
      </c>
      <c r="H152" s="238"/>
      <c r="I152" s="238">
        <v>31.949999999999996</v>
      </c>
      <c r="J152" s="238">
        <v>14.29</v>
      </c>
      <c r="K152" s="238">
        <v>4.5199999999999996</v>
      </c>
      <c r="L152" s="238"/>
      <c r="M152" s="238">
        <v>8.64</v>
      </c>
      <c r="N152" s="238">
        <v>4.76</v>
      </c>
      <c r="O152" s="238">
        <v>3.11</v>
      </c>
      <c r="R152" s="238">
        <v>3.11</v>
      </c>
      <c r="S152" s="238">
        <v>67.27</v>
      </c>
      <c r="T152" s="238">
        <v>64.16</v>
      </c>
      <c r="U152" s="238">
        <v>65.72</v>
      </c>
      <c r="V152" s="238">
        <v>119811.8</v>
      </c>
      <c r="X152">
        <v>119811.8</v>
      </c>
      <c r="Y152">
        <v>1000</v>
      </c>
      <c r="Z152">
        <v>120811.8</v>
      </c>
      <c r="AA152">
        <v>215</v>
      </c>
      <c r="AB152">
        <v>121026.8</v>
      </c>
      <c r="AC152">
        <v>17.5</v>
      </c>
      <c r="AD152">
        <v>121044.3</v>
      </c>
      <c r="AE152">
        <v>605.22149999999999</v>
      </c>
      <c r="AF152">
        <v>121649.5215</v>
      </c>
      <c r="AH152">
        <v>121649.5215</v>
      </c>
      <c r="AJ152">
        <v>121649.5215</v>
      </c>
      <c r="AL152">
        <v>121649.5215</v>
      </c>
      <c r="AM152" s="238">
        <v>121649.52</v>
      </c>
      <c r="AN152" s="238">
        <v>7994900</v>
      </c>
      <c r="AP152" s="238"/>
      <c r="AQ152" s="238">
        <v>0</v>
      </c>
      <c r="AR152" s="238">
        <v>121650.94339622642</v>
      </c>
      <c r="AS152" s="238">
        <v>7994900</v>
      </c>
      <c r="AT152" s="238" t="s">
        <v>36</v>
      </c>
      <c r="AU152" s="238"/>
      <c r="AW152">
        <v>121650.94339622642</v>
      </c>
      <c r="AX152" s="238">
        <v>0</v>
      </c>
      <c r="AY152" s="238">
        <v>7994900</v>
      </c>
      <c r="BA152" s="238" t="s">
        <v>35</v>
      </c>
      <c r="BB152" s="238" t="s">
        <v>35</v>
      </c>
      <c r="BC152" t="s">
        <v>8953</v>
      </c>
      <c r="BD152" t="s">
        <v>8954</v>
      </c>
      <c r="BE152" t="s">
        <v>8962</v>
      </c>
      <c r="BF152" t="s">
        <v>8971</v>
      </c>
      <c r="BG152" t="b">
        <v>1</v>
      </c>
      <c r="BH152">
        <v>7994900</v>
      </c>
      <c r="BI152">
        <v>7994900</v>
      </c>
      <c r="BJ152">
        <v>0</v>
      </c>
      <c r="BK152">
        <v>0</v>
      </c>
      <c r="BL152">
        <v>0</v>
      </c>
      <c r="BM152" t="s">
        <v>36</v>
      </c>
      <c r="BN152" t="b">
        <v>1</v>
      </c>
      <c r="BO152" t="s">
        <v>8211</v>
      </c>
    </row>
    <row r="153" spans="1:67" x14ac:dyDescent="0.25">
      <c r="A153" s="238">
        <v>152</v>
      </c>
      <c r="B153" s="238">
        <v>2</v>
      </c>
      <c r="C153" s="238">
        <v>9</v>
      </c>
      <c r="D153" s="238">
        <v>2</v>
      </c>
      <c r="E153" s="238">
        <v>1</v>
      </c>
      <c r="F153" s="238">
        <v>14.77</v>
      </c>
      <c r="G153" s="238"/>
      <c r="H153" s="238"/>
      <c r="I153" s="238">
        <v>14.77</v>
      </c>
      <c r="J153" s="238">
        <v>11.88</v>
      </c>
      <c r="K153" s="238">
        <v>4.1399999999999997</v>
      </c>
      <c r="L153" s="238"/>
      <c r="M153" s="238">
        <v>4.28</v>
      </c>
      <c r="N153" s="238"/>
      <c r="O153" s="238">
        <v>3.11</v>
      </c>
      <c r="R153" s="238">
        <v>3.11</v>
      </c>
      <c r="S153" s="238">
        <v>38.18</v>
      </c>
      <c r="T153" s="238">
        <v>35.07</v>
      </c>
      <c r="U153" s="238">
        <v>36.630000000000003</v>
      </c>
      <c r="V153" s="238">
        <v>122837.8</v>
      </c>
      <c r="X153">
        <v>122837.8</v>
      </c>
      <c r="Y153">
        <v>1000</v>
      </c>
      <c r="Z153">
        <v>123837.8</v>
      </c>
      <c r="AA153">
        <v>215</v>
      </c>
      <c r="AB153">
        <v>124052.8</v>
      </c>
      <c r="AC153">
        <v>17.5</v>
      </c>
      <c r="AD153">
        <v>124070.3</v>
      </c>
      <c r="AE153">
        <v>1861.0545</v>
      </c>
      <c r="AF153">
        <v>125931.3545</v>
      </c>
      <c r="AG153">
        <v>1259.313545</v>
      </c>
      <c r="AH153">
        <v>127190.668045</v>
      </c>
      <c r="AI153">
        <v>1271.9066804500001</v>
      </c>
      <c r="AJ153">
        <v>128462.57472545</v>
      </c>
      <c r="AL153">
        <v>128462.57472545</v>
      </c>
      <c r="AM153" s="238">
        <v>128462.57</v>
      </c>
      <c r="AN153" s="238">
        <v>4705600</v>
      </c>
      <c r="AP153" s="238">
        <v>0.02</v>
      </c>
      <c r="AQ153" s="238">
        <v>94112</v>
      </c>
      <c r="AR153" s="238">
        <v>125893.74829374829</v>
      </c>
      <c r="AS153" s="238">
        <v>4611488</v>
      </c>
      <c r="AT153" s="238" t="s">
        <v>38</v>
      </c>
      <c r="AU153" s="238">
        <v>25000</v>
      </c>
      <c r="AV153" t="s">
        <v>8816</v>
      </c>
      <c r="AW153">
        <v>150893.7482937483</v>
      </c>
      <c r="AX153" s="238">
        <v>915750.00000000093</v>
      </c>
      <c r="AY153" s="238">
        <v>5527238.0000000009</v>
      </c>
      <c r="AZ153" t="s">
        <v>8705</v>
      </c>
      <c r="BA153" s="238" t="s">
        <v>39</v>
      </c>
      <c r="BB153" s="238" t="s">
        <v>39</v>
      </c>
      <c r="BC153" t="s">
        <v>8950</v>
      </c>
      <c r="BD153" t="s">
        <v>1167</v>
      </c>
      <c r="BE153" t="s">
        <v>8962</v>
      </c>
      <c r="BF153" t="s">
        <v>8973</v>
      </c>
      <c r="BG153" t="b">
        <v>1</v>
      </c>
      <c r="BH153">
        <v>4705600</v>
      </c>
      <c r="BI153" t="s">
        <v>9002</v>
      </c>
      <c r="BJ153">
        <v>0</v>
      </c>
      <c r="BK153">
        <v>4705600</v>
      </c>
      <c r="BL153">
        <v>0</v>
      </c>
      <c r="BM153" t="s">
        <v>38</v>
      </c>
      <c r="BN153" t="b">
        <v>1</v>
      </c>
      <c r="BO153" t="s">
        <v>8212</v>
      </c>
    </row>
    <row r="154" spans="1:67" x14ac:dyDescent="0.25">
      <c r="A154" s="238">
        <v>153</v>
      </c>
      <c r="B154" s="238">
        <v>2</v>
      </c>
      <c r="C154" s="238">
        <v>9</v>
      </c>
      <c r="D154" s="238">
        <v>3</v>
      </c>
      <c r="E154" s="238">
        <v>0</v>
      </c>
      <c r="F154" s="238">
        <v>13.94</v>
      </c>
      <c r="G154" s="238"/>
      <c r="H154" s="238"/>
      <c r="I154" s="238">
        <v>13.94</v>
      </c>
      <c r="J154" s="238">
        <v>5.98</v>
      </c>
      <c r="K154" s="238">
        <v>4.54</v>
      </c>
      <c r="L154" s="238"/>
      <c r="M154" s="238">
        <v>5.04</v>
      </c>
      <c r="N154" s="238"/>
      <c r="O154" s="238"/>
      <c r="R154" s="238">
        <v>0</v>
      </c>
      <c r="S154" s="238">
        <v>29.5</v>
      </c>
      <c r="T154" s="238">
        <v>29.5</v>
      </c>
      <c r="U154" s="238">
        <v>29.5</v>
      </c>
      <c r="V154" s="238">
        <v>145319.20000000001</v>
      </c>
      <c r="X154">
        <v>145319.20000000001</v>
      </c>
      <c r="Y154">
        <v>1000</v>
      </c>
      <c r="Z154">
        <v>146319.20000000001</v>
      </c>
      <c r="AA154">
        <v>215</v>
      </c>
      <c r="AB154">
        <v>146534.20000000001</v>
      </c>
      <c r="AC154">
        <v>17.5</v>
      </c>
      <c r="AD154">
        <v>146551.70000000001</v>
      </c>
      <c r="AF154">
        <v>146551.70000000001</v>
      </c>
      <c r="AH154">
        <v>146551.70000000001</v>
      </c>
      <c r="AJ154">
        <v>146551.70000000001</v>
      </c>
      <c r="AL154">
        <v>146551.70000000001</v>
      </c>
      <c r="AM154" s="238">
        <v>146551.70000000001</v>
      </c>
      <c r="AN154" s="238">
        <v>4323300</v>
      </c>
      <c r="AP154" s="238"/>
      <c r="AQ154" s="238">
        <v>0</v>
      </c>
      <c r="AR154" s="238">
        <v>146552.54237288135</v>
      </c>
      <c r="AS154" s="238">
        <v>4323300</v>
      </c>
      <c r="AT154" s="238" t="s">
        <v>36</v>
      </c>
      <c r="AU154" s="238"/>
      <c r="AW154">
        <v>146552.54237288135</v>
      </c>
      <c r="AX154" s="238">
        <v>0</v>
      </c>
      <c r="AY154" s="238">
        <v>4323300</v>
      </c>
      <c r="BA154" s="238" t="s">
        <v>35</v>
      </c>
      <c r="BB154" s="238" t="s">
        <v>35</v>
      </c>
      <c r="BC154" t="s">
        <v>8953</v>
      </c>
      <c r="BD154" t="s">
        <v>8954</v>
      </c>
      <c r="BE154" t="s">
        <v>8962</v>
      </c>
      <c r="BF154" t="s">
        <v>8970</v>
      </c>
      <c r="BG154" t="b">
        <v>1</v>
      </c>
      <c r="BH154">
        <v>4323300</v>
      </c>
      <c r="BI154">
        <v>4323300</v>
      </c>
      <c r="BJ154">
        <v>0</v>
      </c>
      <c r="BK154">
        <v>0</v>
      </c>
      <c r="BL154">
        <v>0</v>
      </c>
      <c r="BM154" t="s">
        <v>36</v>
      </c>
      <c r="BN154" t="b">
        <v>1</v>
      </c>
      <c r="BO154" t="s">
        <v>8213</v>
      </c>
    </row>
    <row r="155" spans="1:67" x14ac:dyDescent="0.25">
      <c r="A155" s="238">
        <v>154</v>
      </c>
      <c r="B155" s="238">
        <v>2</v>
      </c>
      <c r="C155" s="238">
        <v>9</v>
      </c>
      <c r="D155" s="238">
        <v>4</v>
      </c>
      <c r="E155" s="238">
        <v>0</v>
      </c>
      <c r="F155" s="238">
        <v>13.39</v>
      </c>
      <c r="G155" s="238"/>
      <c r="H155" s="238"/>
      <c r="I155" s="238">
        <v>13.39</v>
      </c>
      <c r="J155" s="238">
        <v>5.98</v>
      </c>
      <c r="K155" s="238">
        <v>4.54</v>
      </c>
      <c r="L155" s="238"/>
      <c r="M155" s="238">
        <v>4.08</v>
      </c>
      <c r="N155" s="238"/>
      <c r="O155" s="238"/>
      <c r="R155" s="238">
        <v>0</v>
      </c>
      <c r="S155" s="238">
        <v>27.99</v>
      </c>
      <c r="T155" s="238">
        <v>27.99</v>
      </c>
      <c r="U155" s="238">
        <v>27.99</v>
      </c>
      <c r="V155" s="238">
        <v>142524.6</v>
      </c>
      <c r="X155">
        <v>142524.6</v>
      </c>
      <c r="Y155">
        <v>1000</v>
      </c>
      <c r="Z155">
        <v>143524.6</v>
      </c>
      <c r="AA155">
        <v>215</v>
      </c>
      <c r="AB155">
        <v>143739.6</v>
      </c>
      <c r="AC155">
        <v>17.5</v>
      </c>
      <c r="AD155">
        <v>143757.1</v>
      </c>
      <c r="AF155">
        <v>143757.1</v>
      </c>
      <c r="AH155">
        <v>143757.1</v>
      </c>
      <c r="AJ155">
        <v>143757.1</v>
      </c>
      <c r="AL155">
        <v>143757.1</v>
      </c>
      <c r="AM155" s="238">
        <v>143757.1</v>
      </c>
      <c r="AN155" s="238">
        <v>4023800</v>
      </c>
      <c r="AP155" s="238"/>
      <c r="AQ155" s="238">
        <v>0</v>
      </c>
      <c r="AR155" s="238">
        <v>143758.48517327619</v>
      </c>
      <c r="AS155" s="238">
        <v>4023800</v>
      </c>
      <c r="AT155" s="238" t="s">
        <v>38</v>
      </c>
      <c r="AU155" s="238">
        <v>30000</v>
      </c>
      <c r="AV155" t="s">
        <v>8816</v>
      </c>
      <c r="AW155">
        <v>173758.48517327619</v>
      </c>
      <c r="AX155" s="238">
        <v>839700</v>
      </c>
      <c r="AY155" s="238">
        <v>4863500</v>
      </c>
      <c r="BA155" s="238" t="s">
        <v>35</v>
      </c>
      <c r="BB155" s="238" t="s">
        <v>35</v>
      </c>
      <c r="BC155" t="s">
        <v>8953</v>
      </c>
      <c r="BD155" t="s">
        <v>8954</v>
      </c>
      <c r="BE155" t="s">
        <v>8962</v>
      </c>
      <c r="BF155" t="s">
        <v>8970</v>
      </c>
      <c r="BG155" t="b">
        <v>1</v>
      </c>
      <c r="BH155">
        <v>4023800</v>
      </c>
      <c r="BI155">
        <v>4023800</v>
      </c>
      <c r="BJ155">
        <v>0</v>
      </c>
      <c r="BK155">
        <v>0</v>
      </c>
      <c r="BL155">
        <v>0</v>
      </c>
      <c r="BM155" t="s">
        <v>38</v>
      </c>
      <c r="BN155" t="b">
        <v>1</v>
      </c>
      <c r="BO155" t="s">
        <v>8214</v>
      </c>
    </row>
    <row r="156" spans="1:67" x14ac:dyDescent="0.25">
      <c r="A156" s="238">
        <v>155</v>
      </c>
      <c r="B156" s="238">
        <v>2</v>
      </c>
      <c r="C156" s="238">
        <v>9</v>
      </c>
      <c r="D156" s="238">
        <v>5</v>
      </c>
      <c r="E156" s="238">
        <v>2</v>
      </c>
      <c r="F156" s="238">
        <v>16.579999999999998</v>
      </c>
      <c r="G156" s="238">
        <v>14.14</v>
      </c>
      <c r="H156" s="238"/>
      <c r="I156" s="238">
        <v>30.72</v>
      </c>
      <c r="J156" s="238">
        <v>12.38</v>
      </c>
      <c r="K156" s="238">
        <v>4.1399999999999997</v>
      </c>
      <c r="L156" s="238"/>
      <c r="M156" s="238">
        <v>7.61</v>
      </c>
      <c r="N156" s="238">
        <v>7.03</v>
      </c>
      <c r="O156" s="238">
        <v>3.11</v>
      </c>
      <c r="R156" s="238">
        <v>3.11</v>
      </c>
      <c r="S156" s="238">
        <v>64.989999999999995</v>
      </c>
      <c r="T156" s="238">
        <v>61.88</v>
      </c>
      <c r="U156" s="238">
        <v>63.44</v>
      </c>
      <c r="V156" s="238">
        <v>119811.8</v>
      </c>
      <c r="W156">
        <v>-7000</v>
      </c>
      <c r="X156">
        <v>112811.8</v>
      </c>
      <c r="Y156">
        <v>1000</v>
      </c>
      <c r="Z156">
        <v>113811.8</v>
      </c>
      <c r="AA156">
        <v>215</v>
      </c>
      <c r="AB156">
        <v>114026.8</v>
      </c>
      <c r="AC156">
        <v>17.5</v>
      </c>
      <c r="AD156">
        <v>114044.3</v>
      </c>
      <c r="AE156">
        <v>570.22149999999999</v>
      </c>
      <c r="AF156">
        <v>114614.5215</v>
      </c>
      <c r="AH156">
        <v>114614.5215</v>
      </c>
      <c r="AJ156">
        <v>114614.5215</v>
      </c>
      <c r="AL156">
        <v>114614.5215</v>
      </c>
      <c r="AM156" s="238">
        <v>114614.52</v>
      </c>
      <c r="AN156" s="238">
        <v>7271200</v>
      </c>
      <c r="AP156" s="238">
        <v>0.02</v>
      </c>
      <c r="AQ156" s="238">
        <v>145424</v>
      </c>
      <c r="AR156" s="238">
        <v>112323.07692307692</v>
      </c>
      <c r="AS156" s="238">
        <v>7125776</v>
      </c>
      <c r="AT156" s="238" t="s">
        <v>8787</v>
      </c>
      <c r="AU156" s="238">
        <v>10000</v>
      </c>
      <c r="AW156">
        <v>122323.07692307692</v>
      </c>
      <c r="AX156" s="238">
        <v>634400</v>
      </c>
      <c r="AY156" s="238">
        <v>7760176</v>
      </c>
      <c r="AZ156" t="s">
        <v>8770</v>
      </c>
      <c r="BA156" s="238" t="s">
        <v>39</v>
      </c>
      <c r="BB156" s="238" t="s">
        <v>39</v>
      </c>
      <c r="BC156" t="s">
        <v>8950</v>
      </c>
      <c r="BD156" t="s">
        <v>1167</v>
      </c>
      <c r="BE156" t="s">
        <v>8962</v>
      </c>
      <c r="BF156" t="s">
        <v>8974</v>
      </c>
      <c r="BG156" t="b">
        <v>1</v>
      </c>
      <c r="BH156">
        <v>7271200</v>
      </c>
      <c r="BI156" t="s">
        <v>9002</v>
      </c>
      <c r="BJ156">
        <v>0</v>
      </c>
      <c r="BK156">
        <v>7271200</v>
      </c>
      <c r="BL156">
        <v>0</v>
      </c>
      <c r="BM156" t="s">
        <v>8787</v>
      </c>
      <c r="BN156" t="b">
        <v>1</v>
      </c>
      <c r="BO156" t="s">
        <v>8215</v>
      </c>
    </row>
    <row r="157" spans="1:67" x14ac:dyDescent="0.25">
      <c r="A157" s="238">
        <v>156</v>
      </c>
      <c r="B157" s="238">
        <v>2</v>
      </c>
      <c r="C157" s="238">
        <v>9</v>
      </c>
      <c r="D157" s="238">
        <v>6</v>
      </c>
      <c r="E157" s="238">
        <v>2</v>
      </c>
      <c r="F157" s="238">
        <v>17.73</v>
      </c>
      <c r="G157" s="238">
        <v>12.22</v>
      </c>
      <c r="H157" s="238"/>
      <c r="I157" s="238">
        <v>29.950000000000003</v>
      </c>
      <c r="J157" s="238">
        <v>13.65</v>
      </c>
      <c r="K157" s="238">
        <v>5.22</v>
      </c>
      <c r="L157" s="238">
        <v>2.5</v>
      </c>
      <c r="M157" s="238">
        <v>8.06</v>
      </c>
      <c r="N157" s="238"/>
      <c r="O157" s="238">
        <v>3.11</v>
      </c>
      <c r="R157" s="238">
        <v>3.11</v>
      </c>
      <c r="S157" s="238">
        <v>62.49</v>
      </c>
      <c r="T157" s="238">
        <v>59.38</v>
      </c>
      <c r="U157" s="238">
        <v>60.94</v>
      </c>
      <c r="V157" s="238">
        <v>124333</v>
      </c>
      <c r="W157">
        <v>-10000</v>
      </c>
      <c r="X157">
        <v>114333</v>
      </c>
      <c r="Y157">
        <v>1000</v>
      </c>
      <c r="Z157">
        <v>115333</v>
      </c>
      <c r="AA157">
        <v>215</v>
      </c>
      <c r="AB157">
        <v>115548</v>
      </c>
      <c r="AC157">
        <v>17.5</v>
      </c>
      <c r="AD157">
        <v>115565.5</v>
      </c>
      <c r="AE157">
        <v>577.82749999999999</v>
      </c>
      <c r="AF157">
        <v>116143.3275</v>
      </c>
      <c r="AH157">
        <v>116143.3275</v>
      </c>
      <c r="AJ157">
        <v>116143.3275</v>
      </c>
      <c r="AK157">
        <v>3484.2998250000001</v>
      </c>
      <c r="AL157">
        <v>119627.62732499999</v>
      </c>
      <c r="AM157" s="238">
        <v>119627.63</v>
      </c>
      <c r="AN157" s="238">
        <v>7290200</v>
      </c>
      <c r="AP157" s="238"/>
      <c r="AQ157" s="238">
        <v>0</v>
      </c>
      <c r="AR157" s="238">
        <v>119629.14341975714</v>
      </c>
      <c r="AS157" s="238">
        <v>7290200</v>
      </c>
      <c r="AT157" s="238" t="s">
        <v>36</v>
      </c>
      <c r="AU157" s="238"/>
      <c r="AW157">
        <v>119629.14341975714</v>
      </c>
      <c r="AX157" s="238">
        <v>0</v>
      </c>
      <c r="AY157" s="238">
        <v>7290200</v>
      </c>
      <c r="BA157" s="238" t="s">
        <v>35</v>
      </c>
      <c r="BB157" s="238" t="s">
        <v>35</v>
      </c>
      <c r="BC157" t="s">
        <v>8953</v>
      </c>
      <c r="BD157" t="s">
        <v>8954</v>
      </c>
      <c r="BE157" t="s">
        <v>8962</v>
      </c>
      <c r="BF157" t="s">
        <v>8974</v>
      </c>
      <c r="BG157" t="b">
        <v>1</v>
      </c>
      <c r="BH157">
        <v>7290200</v>
      </c>
      <c r="BI157">
        <v>7290200</v>
      </c>
      <c r="BJ157">
        <v>0</v>
      </c>
      <c r="BK157">
        <v>0</v>
      </c>
      <c r="BL157">
        <v>0</v>
      </c>
      <c r="BM157" t="s">
        <v>36</v>
      </c>
      <c r="BN157" t="b">
        <v>1</v>
      </c>
      <c r="BO157" t="s">
        <v>8216</v>
      </c>
    </row>
    <row r="158" spans="1:67" x14ac:dyDescent="0.25">
      <c r="A158" s="238">
        <v>157</v>
      </c>
      <c r="B158" s="238">
        <v>2</v>
      </c>
      <c r="C158" s="238">
        <v>10</v>
      </c>
      <c r="D158" s="238">
        <v>1</v>
      </c>
      <c r="E158" s="238">
        <v>2</v>
      </c>
      <c r="F158" s="238">
        <v>17.579999999999998</v>
      </c>
      <c r="G158" s="238">
        <v>14.37</v>
      </c>
      <c r="H158" s="238"/>
      <c r="I158" s="238">
        <v>31.949999999999996</v>
      </c>
      <c r="J158" s="238">
        <v>14.29</v>
      </c>
      <c r="K158" s="238">
        <v>4.45</v>
      </c>
      <c r="L158" s="238"/>
      <c r="M158" s="238">
        <v>8.64</v>
      </c>
      <c r="N158" s="238">
        <v>4.76</v>
      </c>
      <c r="O158" s="238">
        <v>3.11</v>
      </c>
      <c r="R158" s="238">
        <v>3.11</v>
      </c>
      <c r="S158" s="238">
        <v>67.2</v>
      </c>
      <c r="T158" s="238">
        <v>64.09</v>
      </c>
      <c r="U158" s="238">
        <v>65.650000000000006</v>
      </c>
      <c r="V158" s="238">
        <v>117551.2</v>
      </c>
      <c r="X158">
        <v>117551.2</v>
      </c>
      <c r="Y158">
        <v>1000</v>
      </c>
      <c r="Z158">
        <v>118551.2</v>
      </c>
      <c r="AB158">
        <v>118551.2</v>
      </c>
      <c r="AD158">
        <v>118551.2</v>
      </c>
      <c r="AF158">
        <v>118551.2</v>
      </c>
      <c r="AH158">
        <v>118551.2</v>
      </c>
      <c r="AJ158">
        <v>118551.2</v>
      </c>
      <c r="AL158">
        <v>118551.2</v>
      </c>
      <c r="AM158" s="238">
        <v>118551.2</v>
      </c>
      <c r="AN158" s="238">
        <v>7782900</v>
      </c>
      <c r="AP158" s="238">
        <v>0.03</v>
      </c>
      <c r="AQ158" s="238">
        <v>233487</v>
      </c>
      <c r="AR158" s="238">
        <v>114994.86671744096</v>
      </c>
      <c r="AS158" s="238">
        <v>7549413</v>
      </c>
      <c r="AT158" s="238" t="s">
        <v>36</v>
      </c>
      <c r="AU158" s="238"/>
      <c r="AW158">
        <v>114994.86671744096</v>
      </c>
      <c r="AX158" s="238">
        <v>0</v>
      </c>
      <c r="AY158" s="238">
        <v>7549413</v>
      </c>
      <c r="AZ158" t="s">
        <v>3538</v>
      </c>
      <c r="BA158" s="238" t="s">
        <v>39</v>
      </c>
      <c r="BB158" s="238" t="s">
        <v>39</v>
      </c>
      <c r="BC158" t="s">
        <v>8950</v>
      </c>
      <c r="BD158" t="s">
        <v>1167</v>
      </c>
      <c r="BE158" t="s">
        <v>8962</v>
      </c>
      <c r="BF158" t="s">
        <v>8971</v>
      </c>
      <c r="BG158" t="b">
        <v>1</v>
      </c>
      <c r="BH158">
        <v>7782900</v>
      </c>
      <c r="BI158" t="s">
        <v>9002</v>
      </c>
      <c r="BJ158">
        <v>0</v>
      </c>
      <c r="BK158">
        <v>7782900</v>
      </c>
      <c r="BL158">
        <v>0</v>
      </c>
      <c r="BM158" t="s">
        <v>36</v>
      </c>
      <c r="BN158" t="b">
        <v>1</v>
      </c>
      <c r="BO158" t="s">
        <v>8217</v>
      </c>
    </row>
    <row r="159" spans="1:67" x14ac:dyDescent="0.25">
      <c r="A159" s="238">
        <v>158</v>
      </c>
      <c r="B159" s="238">
        <v>2</v>
      </c>
      <c r="C159" s="238">
        <v>10</v>
      </c>
      <c r="D159" s="238">
        <v>2</v>
      </c>
      <c r="E159" s="238">
        <v>1</v>
      </c>
      <c r="F159" s="238">
        <v>14.77</v>
      </c>
      <c r="G159" s="238"/>
      <c r="H159" s="238"/>
      <c r="I159" s="238">
        <v>14.77</v>
      </c>
      <c r="J159" s="238">
        <v>11.88</v>
      </c>
      <c r="K159" s="238">
        <v>4.07</v>
      </c>
      <c r="L159" s="238"/>
      <c r="M159" s="238">
        <v>4.28</v>
      </c>
      <c r="N159" s="238"/>
      <c r="O159" s="238">
        <v>3.11</v>
      </c>
      <c r="R159" s="238">
        <v>3.11</v>
      </c>
      <c r="S159" s="238">
        <v>38.11</v>
      </c>
      <c r="T159" s="238">
        <v>35</v>
      </c>
      <c r="U159" s="238">
        <v>36.56</v>
      </c>
      <c r="V159" s="238">
        <v>122837.8</v>
      </c>
      <c r="X159">
        <v>122837.8</v>
      </c>
      <c r="Y159">
        <v>1000</v>
      </c>
      <c r="Z159">
        <v>123837.8</v>
      </c>
      <c r="AB159">
        <v>123837.8</v>
      </c>
      <c r="AD159">
        <v>123837.8</v>
      </c>
      <c r="AF159">
        <v>123837.8</v>
      </c>
      <c r="AH159">
        <v>123837.8</v>
      </c>
      <c r="AJ159">
        <v>123837.8</v>
      </c>
      <c r="AL159">
        <v>123837.8</v>
      </c>
      <c r="AM159" s="238">
        <v>123837.8</v>
      </c>
      <c r="AN159" s="238">
        <v>4527600</v>
      </c>
      <c r="AP159" s="238">
        <v>0.03</v>
      </c>
      <c r="AQ159" s="238">
        <v>135828</v>
      </c>
      <c r="AR159" s="238">
        <v>120125.05470459518</v>
      </c>
      <c r="AS159" s="238">
        <v>4391772</v>
      </c>
      <c r="AT159" s="238" t="s">
        <v>36</v>
      </c>
      <c r="AU159" s="238"/>
      <c r="AW159">
        <v>120125.05470459518</v>
      </c>
      <c r="AX159" s="238">
        <v>0</v>
      </c>
      <c r="AY159" s="238">
        <v>4391772</v>
      </c>
      <c r="AZ159" t="s">
        <v>3538</v>
      </c>
      <c r="BA159" s="238" t="s">
        <v>39</v>
      </c>
      <c r="BB159" s="238" t="s">
        <v>39</v>
      </c>
      <c r="BC159" t="s">
        <v>8950</v>
      </c>
      <c r="BD159" t="s">
        <v>1167</v>
      </c>
      <c r="BE159" t="s">
        <v>8962</v>
      </c>
      <c r="BF159" t="s">
        <v>8973</v>
      </c>
      <c r="BG159" t="b">
        <v>1</v>
      </c>
      <c r="BH159">
        <v>4527600</v>
      </c>
      <c r="BI159" t="s">
        <v>9002</v>
      </c>
      <c r="BJ159">
        <v>0</v>
      </c>
      <c r="BK159">
        <v>4527600</v>
      </c>
      <c r="BL159">
        <v>0</v>
      </c>
      <c r="BM159" t="s">
        <v>36</v>
      </c>
      <c r="BN159" t="b">
        <v>1</v>
      </c>
      <c r="BO159" t="s">
        <v>8218</v>
      </c>
    </row>
    <row r="160" spans="1:67" x14ac:dyDescent="0.25">
      <c r="A160" s="238">
        <v>159</v>
      </c>
      <c r="B160" s="238">
        <v>2</v>
      </c>
      <c r="C160" s="238">
        <v>10</v>
      </c>
      <c r="D160" s="238">
        <v>3</v>
      </c>
      <c r="E160" s="238">
        <v>0</v>
      </c>
      <c r="F160" s="238">
        <v>13.94</v>
      </c>
      <c r="G160" s="238"/>
      <c r="H160" s="238"/>
      <c r="I160" s="238">
        <v>13.94</v>
      </c>
      <c r="J160" s="238">
        <v>5.98</v>
      </c>
      <c r="K160" s="238">
        <v>4.47</v>
      </c>
      <c r="L160" s="238"/>
      <c r="M160" s="238">
        <v>5.04</v>
      </c>
      <c r="N160" s="238"/>
      <c r="O160" s="238"/>
      <c r="R160" s="238">
        <v>0</v>
      </c>
      <c r="S160" s="238">
        <v>29.43</v>
      </c>
      <c r="T160" s="238">
        <v>29.43</v>
      </c>
      <c r="U160" s="238">
        <v>29.43</v>
      </c>
      <c r="V160" s="238">
        <v>142524.6</v>
      </c>
      <c r="X160">
        <v>142524.6</v>
      </c>
      <c r="Y160">
        <v>1000</v>
      </c>
      <c r="Z160">
        <v>143524.6</v>
      </c>
      <c r="AA160">
        <v>215</v>
      </c>
      <c r="AB160">
        <v>143739.6</v>
      </c>
      <c r="AC160">
        <v>17.5</v>
      </c>
      <c r="AD160">
        <v>143757.1</v>
      </c>
      <c r="AF160">
        <v>143757.1</v>
      </c>
      <c r="AH160">
        <v>143757.1</v>
      </c>
      <c r="AJ160">
        <v>143757.1</v>
      </c>
      <c r="AL160">
        <v>143757.1</v>
      </c>
      <c r="AM160" s="238">
        <v>143757.1</v>
      </c>
      <c r="AN160" s="238">
        <v>4230800</v>
      </c>
      <c r="AP160" s="238"/>
      <c r="AQ160" s="238">
        <v>0</v>
      </c>
      <c r="AR160" s="238">
        <v>143758.06999660211</v>
      </c>
      <c r="AS160" s="238">
        <v>4230800</v>
      </c>
      <c r="AT160" s="238" t="s">
        <v>36</v>
      </c>
      <c r="AU160" s="238"/>
      <c r="AW160">
        <v>143758.06999660211</v>
      </c>
      <c r="AX160" s="238">
        <v>0</v>
      </c>
      <c r="AY160" s="238">
        <v>4230800</v>
      </c>
      <c r="BA160" s="238" t="s">
        <v>35</v>
      </c>
      <c r="BB160" s="238" t="s">
        <v>35</v>
      </c>
      <c r="BC160" t="s">
        <v>8953</v>
      </c>
      <c r="BD160" t="s">
        <v>8954</v>
      </c>
      <c r="BE160" t="s">
        <v>8962</v>
      </c>
      <c r="BF160" t="s">
        <v>8970</v>
      </c>
      <c r="BG160" t="b">
        <v>1</v>
      </c>
      <c r="BH160">
        <v>4230800</v>
      </c>
      <c r="BI160">
        <v>4230800</v>
      </c>
      <c r="BJ160">
        <v>0</v>
      </c>
      <c r="BK160">
        <v>0</v>
      </c>
      <c r="BL160">
        <v>0</v>
      </c>
      <c r="BM160" t="s">
        <v>36</v>
      </c>
      <c r="BN160" t="b">
        <v>1</v>
      </c>
      <c r="BO160" t="s">
        <v>8219</v>
      </c>
    </row>
    <row r="161" spans="1:67" x14ac:dyDescent="0.25">
      <c r="A161" s="238">
        <v>160</v>
      </c>
      <c r="B161" s="238">
        <v>2</v>
      </c>
      <c r="C161" s="238">
        <v>10</v>
      </c>
      <c r="D161" s="238">
        <v>4</v>
      </c>
      <c r="E161" s="238">
        <v>0</v>
      </c>
      <c r="F161" s="238">
        <v>13.39</v>
      </c>
      <c r="G161" s="238"/>
      <c r="H161" s="238"/>
      <c r="I161" s="238">
        <v>13.39</v>
      </c>
      <c r="J161" s="238">
        <v>5.98</v>
      </c>
      <c r="K161" s="238">
        <v>4.47</v>
      </c>
      <c r="L161" s="238"/>
      <c r="M161" s="238">
        <v>4.08</v>
      </c>
      <c r="N161" s="238"/>
      <c r="O161" s="238"/>
      <c r="R161" s="238">
        <v>0</v>
      </c>
      <c r="S161" s="238">
        <v>27.92</v>
      </c>
      <c r="T161" s="238">
        <v>27.92</v>
      </c>
      <c r="U161" s="238">
        <v>27.92</v>
      </c>
      <c r="V161" s="238">
        <v>142524.6</v>
      </c>
      <c r="X161">
        <v>142524.6</v>
      </c>
      <c r="Y161">
        <v>1000</v>
      </c>
      <c r="Z161">
        <v>143524.6</v>
      </c>
      <c r="AA161">
        <v>215</v>
      </c>
      <c r="AB161">
        <v>143739.6</v>
      </c>
      <c r="AC161">
        <v>17.5</v>
      </c>
      <c r="AD161">
        <v>143757.1</v>
      </c>
      <c r="AF161">
        <v>143757.1</v>
      </c>
      <c r="AH161">
        <v>143757.1</v>
      </c>
      <c r="AJ161">
        <v>143757.1</v>
      </c>
      <c r="AL161">
        <v>143757.1</v>
      </c>
      <c r="AM161" s="238">
        <v>143757.1</v>
      </c>
      <c r="AN161" s="238">
        <v>4013700</v>
      </c>
      <c r="AP161" s="238"/>
      <c r="AQ161" s="238">
        <v>0</v>
      </c>
      <c r="AR161" s="238">
        <v>143757.16332378224</v>
      </c>
      <c r="AS161" s="238">
        <v>4013700</v>
      </c>
      <c r="AT161" s="238" t="s">
        <v>38</v>
      </c>
      <c r="AU161" s="238">
        <v>30000</v>
      </c>
      <c r="AV161" t="s">
        <v>8816</v>
      </c>
      <c r="AW161">
        <v>173757.16332378224</v>
      </c>
      <c r="AX161" s="238">
        <v>837600</v>
      </c>
      <c r="AY161" s="238">
        <v>4851300</v>
      </c>
      <c r="BA161" s="238" t="s">
        <v>35</v>
      </c>
      <c r="BB161" s="238" t="s">
        <v>35</v>
      </c>
      <c r="BC161" t="s">
        <v>8953</v>
      </c>
      <c r="BD161" t="s">
        <v>8954</v>
      </c>
      <c r="BE161" t="s">
        <v>8962</v>
      </c>
      <c r="BF161" t="s">
        <v>8970</v>
      </c>
      <c r="BG161" t="b">
        <v>1</v>
      </c>
      <c r="BH161">
        <v>4013700</v>
      </c>
      <c r="BI161">
        <v>4013700</v>
      </c>
      <c r="BJ161">
        <v>0</v>
      </c>
      <c r="BK161">
        <v>0</v>
      </c>
      <c r="BL161">
        <v>0</v>
      </c>
      <c r="BM161" t="s">
        <v>38</v>
      </c>
      <c r="BN161" t="b">
        <v>1</v>
      </c>
      <c r="BO161" t="s">
        <v>8220</v>
      </c>
    </row>
    <row r="162" spans="1:67" x14ac:dyDescent="0.25">
      <c r="A162" s="238">
        <v>161</v>
      </c>
      <c r="B162" s="238">
        <v>2</v>
      </c>
      <c r="C162" s="238">
        <v>10</v>
      </c>
      <c r="D162" s="238">
        <v>5</v>
      </c>
      <c r="E162" s="238">
        <v>2</v>
      </c>
      <c r="F162" s="238">
        <v>16.579999999999998</v>
      </c>
      <c r="G162" s="238">
        <v>14.14</v>
      </c>
      <c r="H162" s="238"/>
      <c r="I162" s="238">
        <v>30.72</v>
      </c>
      <c r="J162" s="238">
        <v>12.38</v>
      </c>
      <c r="K162" s="238">
        <v>4.07</v>
      </c>
      <c r="L162" s="238"/>
      <c r="M162" s="238">
        <v>7.61</v>
      </c>
      <c r="N162" s="238">
        <v>7.03</v>
      </c>
      <c r="O162" s="238">
        <v>3.11</v>
      </c>
      <c r="R162" s="238">
        <v>3.11</v>
      </c>
      <c r="S162" s="238">
        <v>64.92</v>
      </c>
      <c r="T162" s="238">
        <v>61.81</v>
      </c>
      <c r="U162" s="238">
        <v>63.37</v>
      </c>
      <c r="V162" s="238">
        <v>122072.4</v>
      </c>
      <c r="W162">
        <v>-7000</v>
      </c>
      <c r="X162">
        <v>115072.4</v>
      </c>
      <c r="Y162">
        <v>1000</v>
      </c>
      <c r="Z162">
        <v>116072.4</v>
      </c>
      <c r="AA162">
        <v>215</v>
      </c>
      <c r="AB162">
        <v>116287.4</v>
      </c>
      <c r="AC162">
        <v>17.5</v>
      </c>
      <c r="AD162">
        <v>116304.9</v>
      </c>
      <c r="AE162">
        <v>581.52449999999999</v>
      </c>
      <c r="AF162">
        <v>116886.42449999999</v>
      </c>
      <c r="AH162">
        <v>116886.42449999999</v>
      </c>
      <c r="AJ162">
        <v>116886.42449999999</v>
      </c>
      <c r="AK162">
        <v>3506.5927349999997</v>
      </c>
      <c r="AL162">
        <v>120393.01723500001</v>
      </c>
      <c r="AM162" s="238">
        <v>120393.02</v>
      </c>
      <c r="AN162" s="238">
        <v>7629400</v>
      </c>
      <c r="AP162" s="238"/>
      <c r="AQ162" s="238">
        <v>0</v>
      </c>
      <c r="AR162" s="238">
        <v>120394.50844248068</v>
      </c>
      <c r="AS162" s="238">
        <v>7629400</v>
      </c>
      <c r="AT162" s="238" t="s">
        <v>36</v>
      </c>
      <c r="AU162" s="238"/>
      <c r="AW162">
        <v>120394.50844248068</v>
      </c>
      <c r="AX162" s="238">
        <v>0</v>
      </c>
      <c r="AY162" s="238">
        <v>7629400</v>
      </c>
      <c r="BA162" s="238" t="s">
        <v>35</v>
      </c>
      <c r="BB162" s="238" t="s">
        <v>35</v>
      </c>
      <c r="BC162" t="s">
        <v>8953</v>
      </c>
      <c r="BD162" t="s">
        <v>8954</v>
      </c>
      <c r="BE162" t="s">
        <v>8962</v>
      </c>
      <c r="BF162" t="s">
        <v>8974</v>
      </c>
      <c r="BG162" t="b">
        <v>1</v>
      </c>
      <c r="BH162">
        <v>7629400</v>
      </c>
      <c r="BI162">
        <v>7629400</v>
      </c>
      <c r="BJ162">
        <v>0</v>
      </c>
      <c r="BK162">
        <v>0</v>
      </c>
      <c r="BL162">
        <v>0</v>
      </c>
      <c r="BM162" t="s">
        <v>36</v>
      </c>
      <c r="BN162" t="b">
        <v>1</v>
      </c>
      <c r="BO162" t="s">
        <v>8221</v>
      </c>
    </row>
    <row r="163" spans="1:67" x14ac:dyDescent="0.25">
      <c r="A163" s="238">
        <v>162</v>
      </c>
      <c r="B163" s="238">
        <v>2</v>
      </c>
      <c r="C163" s="238">
        <v>10</v>
      </c>
      <c r="D163" s="238">
        <v>6</v>
      </c>
      <c r="E163" s="238">
        <v>2</v>
      </c>
      <c r="F163" s="238">
        <v>17.73</v>
      </c>
      <c r="G163" s="238">
        <v>12.22</v>
      </c>
      <c r="H163" s="238"/>
      <c r="I163" s="238">
        <v>29.950000000000003</v>
      </c>
      <c r="J163" s="238">
        <v>13.65</v>
      </c>
      <c r="K163" s="238">
        <v>5.15</v>
      </c>
      <c r="L163" s="238">
        <v>2.5</v>
      </c>
      <c r="M163" s="238">
        <v>8.06</v>
      </c>
      <c r="N163" s="238"/>
      <c r="O163" s="238">
        <v>3.11</v>
      </c>
      <c r="R163" s="238">
        <v>3.11</v>
      </c>
      <c r="S163" s="238">
        <v>62.42</v>
      </c>
      <c r="T163" s="238">
        <v>59.31</v>
      </c>
      <c r="U163" s="238">
        <v>60.87</v>
      </c>
      <c r="V163" s="238">
        <v>126593.60000000001</v>
      </c>
      <c r="W163">
        <v>-10000</v>
      </c>
      <c r="X163">
        <v>116593.60000000001</v>
      </c>
      <c r="Y163">
        <v>1000</v>
      </c>
      <c r="Z163">
        <v>117593.60000000001</v>
      </c>
      <c r="AA163">
        <v>215</v>
      </c>
      <c r="AB163">
        <v>117808.6</v>
      </c>
      <c r="AC163">
        <v>17.5</v>
      </c>
      <c r="AD163">
        <v>117826.1</v>
      </c>
      <c r="AE163">
        <v>589.1305000000001</v>
      </c>
      <c r="AF163">
        <v>118415.23050000001</v>
      </c>
      <c r="AH163">
        <v>118415.23050000001</v>
      </c>
      <c r="AJ163">
        <v>118415.23050000001</v>
      </c>
      <c r="AL163">
        <v>118415.23050000001</v>
      </c>
      <c r="AM163" s="238">
        <v>118415.23</v>
      </c>
      <c r="AN163" s="238">
        <v>7208000</v>
      </c>
      <c r="AP163" s="238">
        <v>0.02</v>
      </c>
      <c r="AQ163" s="238">
        <v>144160</v>
      </c>
      <c r="AR163" s="238">
        <v>116047.9710859208</v>
      </c>
      <c r="AS163" s="238">
        <v>7063840</v>
      </c>
      <c r="AT163" s="238" t="s">
        <v>8787</v>
      </c>
      <c r="AU163" s="238">
        <v>10000</v>
      </c>
      <c r="AW163">
        <v>126047.9710859208</v>
      </c>
      <c r="AX163" s="238">
        <v>608700</v>
      </c>
      <c r="AY163" s="238">
        <v>7672540</v>
      </c>
      <c r="AZ163" t="s">
        <v>3540</v>
      </c>
      <c r="BA163" s="238" t="s">
        <v>39</v>
      </c>
      <c r="BB163" s="238" t="s">
        <v>39</v>
      </c>
      <c r="BC163" t="s">
        <v>8950</v>
      </c>
      <c r="BD163" t="s">
        <v>1167</v>
      </c>
      <c r="BE163" t="s">
        <v>8962</v>
      </c>
      <c r="BF163" t="s">
        <v>8974</v>
      </c>
      <c r="BG163" t="b">
        <v>1</v>
      </c>
      <c r="BH163">
        <v>7208000</v>
      </c>
      <c r="BI163" t="s">
        <v>9002</v>
      </c>
      <c r="BJ163">
        <v>0</v>
      </c>
      <c r="BK163">
        <v>7208000</v>
      </c>
      <c r="BL163">
        <v>0</v>
      </c>
      <c r="BM163" t="s">
        <v>8787</v>
      </c>
      <c r="BN163" t="b">
        <v>1</v>
      </c>
      <c r="BO163" t="s">
        <v>8222</v>
      </c>
    </row>
    <row r="164" spans="1:67" x14ac:dyDescent="0.25">
      <c r="A164" s="238">
        <v>163</v>
      </c>
      <c r="B164" s="238">
        <v>2</v>
      </c>
      <c r="C164" s="238">
        <v>11</v>
      </c>
      <c r="D164" s="238">
        <v>1</v>
      </c>
      <c r="E164" s="238">
        <v>2</v>
      </c>
      <c r="F164" s="238">
        <v>17.579999999999998</v>
      </c>
      <c r="G164" s="238">
        <v>14.37</v>
      </c>
      <c r="H164" s="238"/>
      <c r="I164" s="238">
        <v>31.949999999999996</v>
      </c>
      <c r="J164" s="238">
        <v>14.29</v>
      </c>
      <c r="K164" s="238">
        <v>4.45</v>
      </c>
      <c r="L164" s="238"/>
      <c r="M164" s="238">
        <v>8.64</v>
      </c>
      <c r="N164" s="238">
        <v>4.76</v>
      </c>
      <c r="O164" s="238">
        <v>3.11</v>
      </c>
      <c r="R164" s="238">
        <v>3.11</v>
      </c>
      <c r="S164" s="238">
        <v>67.2</v>
      </c>
      <c r="T164" s="238">
        <v>64.09</v>
      </c>
      <c r="U164" s="238">
        <v>65.650000000000006</v>
      </c>
      <c r="V164" s="238">
        <v>119811.8</v>
      </c>
      <c r="X164">
        <v>119811.8</v>
      </c>
      <c r="Y164">
        <v>1000</v>
      </c>
      <c r="Z164">
        <v>120811.8</v>
      </c>
      <c r="AA164">
        <v>215</v>
      </c>
      <c r="AB164">
        <v>121026.8</v>
      </c>
      <c r="AC164">
        <v>17.5</v>
      </c>
      <c r="AD164">
        <v>121044.3</v>
      </c>
      <c r="AE164">
        <v>605.22149999999999</v>
      </c>
      <c r="AF164">
        <v>121649.5215</v>
      </c>
      <c r="AH164">
        <v>121649.5215</v>
      </c>
      <c r="AJ164">
        <v>121649.5215</v>
      </c>
      <c r="AL164">
        <v>121649.5215</v>
      </c>
      <c r="AM164" s="238">
        <v>121649.52</v>
      </c>
      <c r="AN164" s="238">
        <v>7986300</v>
      </c>
      <c r="AP164" s="238"/>
      <c r="AQ164" s="238">
        <v>0</v>
      </c>
      <c r="AR164" s="238">
        <v>121649.65727341964</v>
      </c>
      <c r="AS164" s="238">
        <v>7986300</v>
      </c>
      <c r="AT164" s="238" t="s">
        <v>36</v>
      </c>
      <c r="AU164" s="238"/>
      <c r="AW164">
        <v>121649.65727341964</v>
      </c>
      <c r="AX164" s="238">
        <v>0</v>
      </c>
      <c r="AY164" s="238">
        <v>7986300</v>
      </c>
      <c r="BA164" s="238" t="s">
        <v>35</v>
      </c>
      <c r="BB164" s="238" t="s">
        <v>35</v>
      </c>
      <c r="BC164" t="s">
        <v>8953</v>
      </c>
      <c r="BD164" t="s">
        <v>8954</v>
      </c>
      <c r="BE164" t="s">
        <v>8962</v>
      </c>
      <c r="BF164" t="s">
        <v>8971</v>
      </c>
      <c r="BG164" t="b">
        <v>1</v>
      </c>
      <c r="BH164">
        <v>7986300</v>
      </c>
      <c r="BI164">
        <v>7986300</v>
      </c>
      <c r="BJ164">
        <v>0</v>
      </c>
      <c r="BK164">
        <v>0</v>
      </c>
      <c r="BL164">
        <v>0</v>
      </c>
      <c r="BM164" t="s">
        <v>36</v>
      </c>
      <c r="BN164" t="b">
        <v>1</v>
      </c>
      <c r="BO164" t="s">
        <v>8223</v>
      </c>
    </row>
    <row r="165" spans="1:67" x14ac:dyDescent="0.25">
      <c r="A165" s="238">
        <v>164</v>
      </c>
      <c r="B165" s="238">
        <v>2</v>
      </c>
      <c r="C165" s="238">
        <v>11</v>
      </c>
      <c r="D165" s="238">
        <v>2</v>
      </c>
      <c r="E165" s="238">
        <v>1</v>
      </c>
      <c r="F165" s="238">
        <v>14.77</v>
      </c>
      <c r="G165" s="238"/>
      <c r="H165" s="238"/>
      <c r="I165" s="238">
        <v>14.77</v>
      </c>
      <c r="J165" s="238">
        <v>11.88</v>
      </c>
      <c r="K165" s="238">
        <v>4.07</v>
      </c>
      <c r="L165" s="238"/>
      <c r="M165" s="238">
        <v>4.28</v>
      </c>
      <c r="N165" s="238"/>
      <c r="O165" s="238">
        <v>3.11</v>
      </c>
      <c r="R165" s="238">
        <v>3.11</v>
      </c>
      <c r="S165" s="238">
        <v>38.11</v>
      </c>
      <c r="T165" s="238">
        <v>35</v>
      </c>
      <c r="U165" s="238">
        <v>36.56</v>
      </c>
      <c r="V165" s="238">
        <v>125223</v>
      </c>
      <c r="X165">
        <v>125223</v>
      </c>
      <c r="Y165">
        <v>1000</v>
      </c>
      <c r="Z165">
        <v>126223</v>
      </c>
      <c r="AA165">
        <v>215</v>
      </c>
      <c r="AB165">
        <v>126438</v>
      </c>
      <c r="AC165">
        <v>17.5</v>
      </c>
      <c r="AD165">
        <v>126455.5</v>
      </c>
      <c r="AE165">
        <v>1896.8325</v>
      </c>
      <c r="AF165">
        <v>128352.3325</v>
      </c>
      <c r="AG165">
        <v>1283.5233250000001</v>
      </c>
      <c r="AH165">
        <v>129635.85582500001</v>
      </c>
      <c r="AI165">
        <v>1296.35855825</v>
      </c>
      <c r="AJ165">
        <v>130932.21438325</v>
      </c>
      <c r="AL165">
        <v>130932.21438325</v>
      </c>
      <c r="AM165" s="238">
        <v>130932.21</v>
      </c>
      <c r="AN165" s="238">
        <v>4786900</v>
      </c>
      <c r="AP165" s="238"/>
      <c r="AQ165" s="238">
        <v>0</v>
      </c>
      <c r="AR165" s="238">
        <v>130932.71334792122</v>
      </c>
      <c r="AS165" s="238">
        <v>4786900</v>
      </c>
      <c r="AT165" s="238" t="s">
        <v>38</v>
      </c>
      <c r="AU165" s="238">
        <v>30000</v>
      </c>
      <c r="AV165" t="s">
        <v>8816</v>
      </c>
      <c r="AW165">
        <v>160932.71334792121</v>
      </c>
      <c r="AX165" s="238">
        <v>1096800</v>
      </c>
      <c r="AY165" s="238">
        <v>5883700</v>
      </c>
      <c r="BA165" s="238" t="s">
        <v>35</v>
      </c>
      <c r="BB165" s="238" t="s">
        <v>35</v>
      </c>
      <c r="BC165" t="s">
        <v>8953</v>
      </c>
      <c r="BD165" t="s">
        <v>8954</v>
      </c>
      <c r="BE165" t="s">
        <v>8962</v>
      </c>
      <c r="BF165" t="s">
        <v>8973</v>
      </c>
      <c r="BG165" t="b">
        <v>1</v>
      </c>
      <c r="BH165">
        <v>4786900</v>
      </c>
      <c r="BI165">
        <v>4786900</v>
      </c>
      <c r="BJ165">
        <v>0</v>
      </c>
      <c r="BK165">
        <v>0</v>
      </c>
      <c r="BL165">
        <v>0</v>
      </c>
      <c r="BM165" t="s">
        <v>38</v>
      </c>
      <c r="BN165" t="b">
        <v>1</v>
      </c>
      <c r="BO165" t="s">
        <v>8224</v>
      </c>
    </row>
    <row r="166" spans="1:67" x14ac:dyDescent="0.25">
      <c r="A166" s="238">
        <v>165</v>
      </c>
      <c r="B166" s="238">
        <v>2</v>
      </c>
      <c r="C166" s="238">
        <v>11</v>
      </c>
      <c r="D166" s="238">
        <v>3</v>
      </c>
      <c r="E166" s="238">
        <v>0</v>
      </c>
      <c r="F166" s="238">
        <v>13.94</v>
      </c>
      <c r="G166" s="238"/>
      <c r="H166" s="238"/>
      <c r="I166" s="238">
        <v>13.94</v>
      </c>
      <c r="J166" s="238">
        <v>5.98</v>
      </c>
      <c r="K166" s="238">
        <v>4.47</v>
      </c>
      <c r="L166" s="238"/>
      <c r="M166" s="238">
        <v>5.04</v>
      </c>
      <c r="N166" s="238"/>
      <c r="O166" s="238"/>
      <c r="R166" s="238">
        <v>0</v>
      </c>
      <c r="S166" s="238">
        <v>29.43</v>
      </c>
      <c r="T166" s="238">
        <v>29.43</v>
      </c>
      <c r="U166" s="238">
        <v>29.43</v>
      </c>
      <c r="V166" s="238">
        <v>142524.6</v>
      </c>
      <c r="X166">
        <v>142524.6</v>
      </c>
      <c r="Y166">
        <v>1000</v>
      </c>
      <c r="Z166">
        <v>143524.6</v>
      </c>
      <c r="AA166">
        <v>215</v>
      </c>
      <c r="AB166">
        <v>143739.6</v>
      </c>
      <c r="AC166">
        <v>17.5</v>
      </c>
      <c r="AD166">
        <v>143757.1</v>
      </c>
      <c r="AF166">
        <v>143757.1</v>
      </c>
      <c r="AH166">
        <v>143757.1</v>
      </c>
      <c r="AJ166">
        <v>143757.1</v>
      </c>
      <c r="AL166">
        <v>143757.1</v>
      </c>
      <c r="AM166" s="238">
        <v>143757.1</v>
      </c>
      <c r="AN166" s="238">
        <v>4230800</v>
      </c>
      <c r="AP166" s="238"/>
      <c r="AQ166" s="238">
        <v>0</v>
      </c>
      <c r="AR166" s="238">
        <v>143758.06999660211</v>
      </c>
      <c r="AS166" s="238">
        <v>4230800</v>
      </c>
      <c r="AT166" s="238" t="s">
        <v>36</v>
      </c>
      <c r="AU166" s="238"/>
      <c r="AW166">
        <v>143758.06999660211</v>
      </c>
      <c r="AX166" s="238">
        <v>0</v>
      </c>
      <c r="AY166" s="238">
        <v>4230800</v>
      </c>
      <c r="BA166" s="238" t="s">
        <v>35</v>
      </c>
      <c r="BB166" s="238" t="s">
        <v>35</v>
      </c>
      <c r="BC166" t="s">
        <v>8953</v>
      </c>
      <c r="BD166" t="s">
        <v>8954</v>
      </c>
      <c r="BE166" t="s">
        <v>8962</v>
      </c>
      <c r="BF166" t="s">
        <v>8970</v>
      </c>
      <c r="BG166" t="b">
        <v>1</v>
      </c>
      <c r="BH166">
        <v>4230800</v>
      </c>
      <c r="BI166">
        <v>4230800</v>
      </c>
      <c r="BJ166">
        <v>0</v>
      </c>
      <c r="BK166">
        <v>0</v>
      </c>
      <c r="BL166">
        <v>0</v>
      </c>
      <c r="BM166" t="s">
        <v>36</v>
      </c>
      <c r="BN166" t="b">
        <v>1</v>
      </c>
      <c r="BO166" t="s">
        <v>8225</v>
      </c>
    </row>
    <row r="167" spans="1:67" x14ac:dyDescent="0.25">
      <c r="A167" s="238">
        <v>166</v>
      </c>
      <c r="B167" s="238">
        <v>2</v>
      </c>
      <c r="C167" s="238">
        <v>11</v>
      </c>
      <c r="D167" s="238">
        <v>4</v>
      </c>
      <c r="E167" s="238">
        <v>0</v>
      </c>
      <c r="F167" s="238">
        <v>13.39</v>
      </c>
      <c r="G167" s="238"/>
      <c r="H167" s="238"/>
      <c r="I167" s="238">
        <v>13.39</v>
      </c>
      <c r="J167" s="238">
        <v>5.98</v>
      </c>
      <c r="K167" s="238">
        <v>4.47</v>
      </c>
      <c r="L167" s="238"/>
      <c r="M167" s="238">
        <v>4.08</v>
      </c>
      <c r="N167" s="238"/>
      <c r="O167" s="238"/>
      <c r="R167" s="238">
        <v>0</v>
      </c>
      <c r="S167" s="238">
        <v>27.92</v>
      </c>
      <c r="T167" s="238">
        <v>27.92</v>
      </c>
      <c r="U167" s="238">
        <v>27.92</v>
      </c>
      <c r="V167" s="238">
        <v>142524.6</v>
      </c>
      <c r="X167">
        <v>142524.6</v>
      </c>
      <c r="Y167">
        <v>1000</v>
      </c>
      <c r="Z167">
        <v>143524.6</v>
      </c>
      <c r="AA167">
        <v>215</v>
      </c>
      <c r="AB167">
        <v>143739.6</v>
      </c>
      <c r="AC167">
        <v>17.5</v>
      </c>
      <c r="AD167">
        <v>143757.1</v>
      </c>
      <c r="AF167">
        <v>143757.1</v>
      </c>
      <c r="AH167">
        <v>143757.1</v>
      </c>
      <c r="AJ167">
        <v>143757.1</v>
      </c>
      <c r="AL167">
        <v>143757.1</v>
      </c>
      <c r="AM167" s="238">
        <v>143757.1</v>
      </c>
      <c r="AN167" s="238">
        <v>4013700</v>
      </c>
      <c r="AP167" s="238"/>
      <c r="AQ167" s="238">
        <v>0</v>
      </c>
      <c r="AR167" s="238">
        <v>143757.16332378224</v>
      </c>
      <c r="AS167" s="238">
        <v>4013700</v>
      </c>
      <c r="AT167" s="238" t="s">
        <v>36</v>
      </c>
      <c r="AU167" s="238"/>
      <c r="AW167">
        <v>143757.16332378224</v>
      </c>
      <c r="AX167" s="238">
        <v>0</v>
      </c>
      <c r="AY167" s="238">
        <v>4013700.0000000009</v>
      </c>
      <c r="BA167" s="238" t="s">
        <v>35</v>
      </c>
      <c r="BB167" s="238" t="s">
        <v>35</v>
      </c>
      <c r="BC167" t="s">
        <v>8953</v>
      </c>
      <c r="BD167" t="s">
        <v>8954</v>
      </c>
      <c r="BE167" t="s">
        <v>8962</v>
      </c>
      <c r="BF167" t="s">
        <v>8970</v>
      </c>
      <c r="BG167" t="b">
        <v>1</v>
      </c>
      <c r="BH167">
        <v>4013700</v>
      </c>
      <c r="BI167">
        <v>4013700</v>
      </c>
      <c r="BJ167">
        <v>0</v>
      </c>
      <c r="BK167">
        <v>0</v>
      </c>
      <c r="BL167">
        <v>0</v>
      </c>
      <c r="BM167" t="s">
        <v>36</v>
      </c>
      <c r="BN167" t="b">
        <v>1</v>
      </c>
      <c r="BO167" t="s">
        <v>8226</v>
      </c>
    </row>
    <row r="168" spans="1:67" x14ac:dyDescent="0.25">
      <c r="A168" s="238">
        <v>167</v>
      </c>
      <c r="B168" s="238">
        <v>2</v>
      </c>
      <c r="C168" s="238">
        <v>11</v>
      </c>
      <c r="D168" s="238">
        <v>5</v>
      </c>
      <c r="E168" s="238">
        <v>2</v>
      </c>
      <c r="F168" s="238">
        <v>16.579999999999998</v>
      </c>
      <c r="G168" s="238">
        <v>14.14</v>
      </c>
      <c r="H168" s="238"/>
      <c r="I168" s="238">
        <v>30.72</v>
      </c>
      <c r="J168" s="238">
        <v>12.38</v>
      </c>
      <c r="K168" s="238">
        <v>4.07</v>
      </c>
      <c r="L168" s="238"/>
      <c r="M168" s="238">
        <v>7.61</v>
      </c>
      <c r="N168" s="238">
        <v>7.03</v>
      </c>
      <c r="O168" s="238">
        <v>3.11</v>
      </c>
      <c r="R168" s="238">
        <v>3.11</v>
      </c>
      <c r="S168" s="238">
        <v>64.92</v>
      </c>
      <c r="T168" s="238">
        <v>61.81</v>
      </c>
      <c r="U168" s="238">
        <v>63.37</v>
      </c>
      <c r="V168" s="238">
        <v>122072.4</v>
      </c>
      <c r="W168">
        <v>-7000</v>
      </c>
      <c r="X168">
        <v>115072.4</v>
      </c>
      <c r="Y168">
        <v>1000</v>
      </c>
      <c r="Z168">
        <v>116072.4</v>
      </c>
      <c r="AA168">
        <v>215</v>
      </c>
      <c r="AB168">
        <v>116287.4</v>
      </c>
      <c r="AC168">
        <v>17.5</v>
      </c>
      <c r="AD168">
        <v>116304.9</v>
      </c>
      <c r="AE168">
        <v>581.52449999999999</v>
      </c>
      <c r="AF168">
        <v>116886.42449999999</v>
      </c>
      <c r="AH168">
        <v>116886.42449999999</v>
      </c>
      <c r="AJ168">
        <v>116886.42449999999</v>
      </c>
      <c r="AK168">
        <v>3506.5927349999997</v>
      </c>
      <c r="AL168">
        <v>120393.01723500001</v>
      </c>
      <c r="AM168" s="238">
        <v>120393.02</v>
      </c>
      <c r="AN168" s="238">
        <v>7629400</v>
      </c>
      <c r="AP168" s="238"/>
      <c r="AQ168" s="238">
        <v>0</v>
      </c>
      <c r="AR168" s="238">
        <v>120394.50844248068</v>
      </c>
      <c r="AS168" s="238">
        <v>7629400</v>
      </c>
      <c r="AT168" s="238" t="s">
        <v>38</v>
      </c>
      <c r="AU168" s="238">
        <v>30000</v>
      </c>
      <c r="AV168" t="s">
        <v>8816</v>
      </c>
      <c r="AW168">
        <v>150394.50844248067</v>
      </c>
      <c r="AX168" s="238">
        <v>1901100</v>
      </c>
      <c r="AY168" s="238">
        <v>9530500</v>
      </c>
      <c r="BA168" s="238" t="s">
        <v>3</v>
      </c>
      <c r="BB168" s="238" t="s">
        <v>3</v>
      </c>
      <c r="BC168" t="s">
        <v>8951</v>
      </c>
      <c r="BD168" t="s">
        <v>1167</v>
      </c>
      <c r="BE168" t="s">
        <v>8962</v>
      </c>
      <c r="BF168" t="s">
        <v>8974</v>
      </c>
      <c r="BG168" t="b">
        <v>1</v>
      </c>
      <c r="BH168">
        <v>7629400</v>
      </c>
      <c r="BI168">
        <v>7629400</v>
      </c>
      <c r="BJ168">
        <v>0</v>
      </c>
      <c r="BK168">
        <v>0</v>
      </c>
      <c r="BL168">
        <v>0</v>
      </c>
      <c r="BM168" t="s">
        <v>38</v>
      </c>
      <c r="BN168" t="b">
        <v>1</v>
      </c>
      <c r="BO168" t="s">
        <v>8227</v>
      </c>
    </row>
    <row r="169" spans="1:67" x14ac:dyDescent="0.25">
      <c r="A169" s="238">
        <v>168</v>
      </c>
      <c r="B169" s="238">
        <v>2</v>
      </c>
      <c r="C169" s="238">
        <v>11</v>
      </c>
      <c r="D169" s="238">
        <v>6</v>
      </c>
      <c r="E169" s="238">
        <v>2</v>
      </c>
      <c r="F169" s="238">
        <v>17.73</v>
      </c>
      <c r="G169" s="238">
        <v>12.22</v>
      </c>
      <c r="H169" s="238"/>
      <c r="I169" s="238">
        <v>29.950000000000003</v>
      </c>
      <c r="J169" s="238">
        <v>13.65</v>
      </c>
      <c r="K169" s="238">
        <v>5.15</v>
      </c>
      <c r="L169" s="238">
        <v>2.5</v>
      </c>
      <c r="M169" s="238">
        <v>8.06</v>
      </c>
      <c r="N169" s="238"/>
      <c r="O169" s="238">
        <v>3.11</v>
      </c>
      <c r="R169" s="238">
        <v>3.11</v>
      </c>
      <c r="S169" s="238">
        <v>62.42</v>
      </c>
      <c r="T169" s="238">
        <v>59.31</v>
      </c>
      <c r="U169" s="238">
        <v>60.87</v>
      </c>
      <c r="V169" s="238">
        <v>126593.60000000001</v>
      </c>
      <c r="W169">
        <v>-10000</v>
      </c>
      <c r="X169">
        <v>116593.60000000001</v>
      </c>
      <c r="Y169">
        <v>1000</v>
      </c>
      <c r="Z169">
        <v>117593.60000000001</v>
      </c>
      <c r="AA169">
        <v>215</v>
      </c>
      <c r="AB169">
        <v>117808.6</v>
      </c>
      <c r="AC169">
        <v>17.5</v>
      </c>
      <c r="AD169">
        <v>117826.1</v>
      </c>
      <c r="AE169">
        <v>589.1305000000001</v>
      </c>
      <c r="AF169">
        <v>118415.23050000001</v>
      </c>
      <c r="AH169">
        <v>118415.23050000001</v>
      </c>
      <c r="AJ169">
        <v>118415.23050000001</v>
      </c>
      <c r="AK169">
        <v>3552.4569150000002</v>
      </c>
      <c r="AL169">
        <v>121967.68741499999</v>
      </c>
      <c r="AM169" s="238">
        <v>121967.69</v>
      </c>
      <c r="AN169" s="238">
        <v>7424200</v>
      </c>
      <c r="AP169" s="238"/>
      <c r="AQ169" s="238">
        <v>0</v>
      </c>
      <c r="AR169" s="238">
        <v>121968.12879908</v>
      </c>
      <c r="AS169" s="238">
        <v>7424200</v>
      </c>
      <c r="AT169" s="238" t="s">
        <v>36</v>
      </c>
      <c r="AU169" s="238"/>
      <c r="AW169">
        <v>121968.12879908</v>
      </c>
      <c r="AX169" s="238">
        <v>0</v>
      </c>
      <c r="AY169" s="238">
        <v>7424200</v>
      </c>
      <c r="BA169" s="238" t="s">
        <v>35</v>
      </c>
      <c r="BB169" s="238" t="s">
        <v>35</v>
      </c>
      <c r="BC169" t="s">
        <v>8953</v>
      </c>
      <c r="BD169" t="s">
        <v>8954</v>
      </c>
      <c r="BE169" t="s">
        <v>8962</v>
      </c>
      <c r="BF169" t="s">
        <v>8974</v>
      </c>
      <c r="BG169" t="b">
        <v>1</v>
      </c>
      <c r="BH169">
        <v>7424200</v>
      </c>
      <c r="BI169">
        <v>7424200</v>
      </c>
      <c r="BJ169">
        <v>0</v>
      </c>
      <c r="BK169">
        <v>0</v>
      </c>
      <c r="BL169">
        <v>0</v>
      </c>
      <c r="BM169" t="s">
        <v>36</v>
      </c>
      <c r="BN169" t="b">
        <v>1</v>
      </c>
      <c r="BO169" t="s">
        <v>8228</v>
      </c>
    </row>
    <row r="170" spans="1:67" x14ac:dyDescent="0.25">
      <c r="A170" s="238">
        <v>169</v>
      </c>
      <c r="B170" s="238">
        <v>2</v>
      </c>
      <c r="C170" s="238">
        <v>12</v>
      </c>
      <c r="D170" s="238">
        <v>1</v>
      </c>
      <c r="E170" s="238">
        <v>2</v>
      </c>
      <c r="F170" s="238">
        <v>17.579999999999998</v>
      </c>
      <c r="G170" s="238">
        <v>14.37</v>
      </c>
      <c r="H170" s="238"/>
      <c r="I170" s="238">
        <v>31.949999999999996</v>
      </c>
      <c r="J170" s="238">
        <v>14.29</v>
      </c>
      <c r="K170" s="238">
        <v>4.45</v>
      </c>
      <c r="L170" s="238"/>
      <c r="M170" s="238">
        <v>8.64</v>
      </c>
      <c r="N170" s="238">
        <v>4.76</v>
      </c>
      <c r="O170" s="238">
        <v>3.11</v>
      </c>
      <c r="R170" s="238">
        <v>3.11</v>
      </c>
      <c r="S170" s="238">
        <v>67.2</v>
      </c>
      <c r="T170" s="238">
        <v>64.09</v>
      </c>
      <c r="U170" s="238">
        <v>65.650000000000006</v>
      </c>
      <c r="V170" s="238">
        <v>119811.8</v>
      </c>
      <c r="X170">
        <v>119811.8</v>
      </c>
      <c r="Y170">
        <v>1000</v>
      </c>
      <c r="Z170">
        <v>120811.8</v>
      </c>
      <c r="AA170">
        <v>215</v>
      </c>
      <c r="AB170">
        <v>121026.8</v>
      </c>
      <c r="AC170">
        <v>17.5</v>
      </c>
      <c r="AD170">
        <v>121044.3</v>
      </c>
      <c r="AE170">
        <v>605.22149999999999</v>
      </c>
      <c r="AF170">
        <v>121649.5215</v>
      </c>
      <c r="AH170">
        <v>121649.5215</v>
      </c>
      <c r="AJ170">
        <v>121649.5215</v>
      </c>
      <c r="AL170">
        <v>121649.5215</v>
      </c>
      <c r="AM170" s="238">
        <v>121649.52</v>
      </c>
      <c r="AN170" s="238">
        <v>7986300</v>
      </c>
      <c r="AP170" s="238"/>
      <c r="AQ170" s="238">
        <v>0</v>
      </c>
      <c r="AR170" s="238">
        <v>121649.65727341964</v>
      </c>
      <c r="AS170" s="238">
        <v>7986300</v>
      </c>
      <c r="AT170" s="238" t="s">
        <v>38</v>
      </c>
      <c r="AU170" s="238">
        <v>30000</v>
      </c>
      <c r="AV170" t="s">
        <v>8816</v>
      </c>
      <c r="AW170">
        <v>151649.65727341964</v>
      </c>
      <c r="AX170" s="238">
        <v>1969500</v>
      </c>
      <c r="AY170" s="238">
        <v>9955800</v>
      </c>
      <c r="BA170" s="238" t="s">
        <v>35</v>
      </c>
      <c r="BB170" s="238" t="s">
        <v>35</v>
      </c>
      <c r="BC170" t="s">
        <v>8953</v>
      </c>
      <c r="BD170" t="s">
        <v>8954</v>
      </c>
      <c r="BE170" t="s">
        <v>8962</v>
      </c>
      <c r="BF170" t="s">
        <v>8971</v>
      </c>
      <c r="BG170" t="b">
        <v>1</v>
      </c>
      <c r="BH170">
        <v>7986300</v>
      </c>
      <c r="BI170">
        <v>7986300</v>
      </c>
      <c r="BJ170">
        <v>0</v>
      </c>
      <c r="BK170">
        <v>0</v>
      </c>
      <c r="BL170">
        <v>0</v>
      </c>
      <c r="BM170" t="s">
        <v>38</v>
      </c>
      <c r="BN170" t="b">
        <v>1</v>
      </c>
      <c r="BO170" t="s">
        <v>8229</v>
      </c>
    </row>
    <row r="171" spans="1:67" x14ac:dyDescent="0.25">
      <c r="A171" s="238">
        <v>170</v>
      </c>
      <c r="B171" s="238">
        <v>2</v>
      </c>
      <c r="C171" s="238">
        <v>12</v>
      </c>
      <c r="D171" s="238">
        <v>2</v>
      </c>
      <c r="E171" s="238">
        <v>1</v>
      </c>
      <c r="F171" s="238">
        <v>14.77</v>
      </c>
      <c r="G171" s="238"/>
      <c r="H171" s="238"/>
      <c r="I171" s="238">
        <v>14.77</v>
      </c>
      <c r="J171" s="238">
        <v>11.88</v>
      </c>
      <c r="K171" s="238">
        <v>4.07</v>
      </c>
      <c r="L171" s="238"/>
      <c r="M171" s="238">
        <v>4.28</v>
      </c>
      <c r="N171" s="238"/>
      <c r="O171" s="238">
        <v>3.11</v>
      </c>
      <c r="R171" s="238">
        <v>3.11</v>
      </c>
      <c r="S171" s="238">
        <v>38.11</v>
      </c>
      <c r="T171" s="238">
        <v>35</v>
      </c>
      <c r="U171" s="238">
        <v>36.56</v>
      </c>
      <c r="V171" s="238">
        <v>125223</v>
      </c>
      <c r="X171">
        <v>125223</v>
      </c>
      <c r="Y171">
        <v>1000</v>
      </c>
      <c r="Z171">
        <v>126223</v>
      </c>
      <c r="AA171">
        <v>215</v>
      </c>
      <c r="AB171">
        <v>126438</v>
      </c>
      <c r="AC171">
        <v>17.5</v>
      </c>
      <c r="AD171">
        <v>126455.5</v>
      </c>
      <c r="AE171">
        <v>1896.8325</v>
      </c>
      <c r="AF171">
        <v>128352.3325</v>
      </c>
      <c r="AG171">
        <v>1283.5233250000001</v>
      </c>
      <c r="AH171">
        <v>129635.85582500001</v>
      </c>
      <c r="AI171">
        <v>1296.35855825</v>
      </c>
      <c r="AJ171">
        <v>130932.21438325</v>
      </c>
      <c r="AL171">
        <v>130932.21438325</v>
      </c>
      <c r="AM171" s="238">
        <v>130932.21</v>
      </c>
      <c r="AN171" s="238">
        <v>4786900</v>
      </c>
      <c r="AP171" s="238"/>
      <c r="AQ171" s="238">
        <v>0</v>
      </c>
      <c r="AR171" s="238">
        <v>130932.71334792122</v>
      </c>
      <c r="AS171" s="238">
        <v>4786900</v>
      </c>
      <c r="AT171" s="238" t="s">
        <v>36</v>
      </c>
      <c r="AU171" s="238"/>
      <c r="AW171">
        <v>130932.71334792122</v>
      </c>
      <c r="AX171" s="238">
        <v>0</v>
      </c>
      <c r="AY171" s="238">
        <v>4786900</v>
      </c>
      <c r="BA171" s="238" t="s">
        <v>35</v>
      </c>
      <c r="BB171" s="238" t="s">
        <v>35</v>
      </c>
      <c r="BC171" t="s">
        <v>8953</v>
      </c>
      <c r="BD171" t="s">
        <v>8954</v>
      </c>
      <c r="BE171" t="s">
        <v>8962</v>
      </c>
      <c r="BF171" t="s">
        <v>8973</v>
      </c>
      <c r="BG171" t="b">
        <v>1</v>
      </c>
      <c r="BH171">
        <v>4786900</v>
      </c>
      <c r="BI171">
        <v>4786900</v>
      </c>
      <c r="BJ171">
        <v>0</v>
      </c>
      <c r="BK171">
        <v>0</v>
      </c>
      <c r="BL171">
        <v>0</v>
      </c>
      <c r="BM171" t="s">
        <v>36</v>
      </c>
      <c r="BN171" t="b">
        <v>1</v>
      </c>
      <c r="BO171" t="s">
        <v>8230</v>
      </c>
    </row>
    <row r="172" spans="1:67" x14ac:dyDescent="0.25">
      <c r="A172" s="238">
        <v>171</v>
      </c>
      <c r="B172" s="238">
        <v>2</v>
      </c>
      <c r="C172" s="238">
        <v>12</v>
      </c>
      <c r="D172" s="238">
        <v>3</v>
      </c>
      <c r="E172" s="238">
        <v>0</v>
      </c>
      <c r="F172" s="238">
        <v>13.94</v>
      </c>
      <c r="G172" s="238"/>
      <c r="H172" s="238"/>
      <c r="I172" s="238">
        <v>13.94</v>
      </c>
      <c r="J172" s="238">
        <v>5.98</v>
      </c>
      <c r="K172" s="238">
        <v>4.47</v>
      </c>
      <c r="L172" s="238"/>
      <c r="M172" s="238">
        <v>5.04</v>
      </c>
      <c r="N172" s="238"/>
      <c r="O172" s="238"/>
      <c r="R172" s="238">
        <v>0</v>
      </c>
      <c r="S172" s="238">
        <v>29.43</v>
      </c>
      <c r="T172" s="238">
        <v>29.43</v>
      </c>
      <c r="U172" s="238">
        <v>29.43</v>
      </c>
      <c r="V172" s="238">
        <v>145319.20000000001</v>
      </c>
      <c r="X172">
        <v>145319.20000000001</v>
      </c>
      <c r="Y172">
        <v>1000</v>
      </c>
      <c r="Z172">
        <v>146319.20000000001</v>
      </c>
      <c r="AA172">
        <v>215</v>
      </c>
      <c r="AB172">
        <v>146534.20000000001</v>
      </c>
      <c r="AC172">
        <v>17.5</v>
      </c>
      <c r="AD172">
        <v>146551.70000000001</v>
      </c>
      <c r="AF172">
        <v>146551.70000000001</v>
      </c>
      <c r="AH172">
        <v>146551.70000000001</v>
      </c>
      <c r="AJ172">
        <v>146551.70000000001</v>
      </c>
      <c r="AL172">
        <v>146551.70000000001</v>
      </c>
      <c r="AM172" s="238">
        <v>146551.70000000001</v>
      </c>
      <c r="AN172" s="238">
        <v>4313100</v>
      </c>
      <c r="AP172" s="238"/>
      <c r="AQ172" s="238">
        <v>0</v>
      </c>
      <c r="AR172" s="238">
        <v>146554.5361875637</v>
      </c>
      <c r="AS172" s="238">
        <v>4313100</v>
      </c>
      <c r="AT172" s="238" t="s">
        <v>38</v>
      </c>
      <c r="AU172" s="238">
        <v>30000</v>
      </c>
      <c r="AV172" t="s">
        <v>8816</v>
      </c>
      <c r="AW172">
        <v>176554.5361875637</v>
      </c>
      <c r="AX172" s="238">
        <v>882900</v>
      </c>
      <c r="AY172" s="238">
        <v>5196000</v>
      </c>
      <c r="BA172" s="238" t="s">
        <v>35</v>
      </c>
      <c r="BB172" s="238" t="s">
        <v>35</v>
      </c>
      <c r="BC172" t="s">
        <v>8953</v>
      </c>
      <c r="BD172" t="s">
        <v>8954</v>
      </c>
      <c r="BE172" t="s">
        <v>8962</v>
      </c>
      <c r="BF172" t="s">
        <v>8970</v>
      </c>
      <c r="BG172" t="b">
        <v>1</v>
      </c>
      <c r="BH172">
        <v>4313100</v>
      </c>
      <c r="BI172">
        <v>4313100</v>
      </c>
      <c r="BJ172">
        <v>0</v>
      </c>
      <c r="BK172">
        <v>0</v>
      </c>
      <c r="BL172">
        <v>0</v>
      </c>
      <c r="BM172" t="s">
        <v>38</v>
      </c>
      <c r="BN172" t="b">
        <v>1</v>
      </c>
      <c r="BO172" t="s">
        <v>8231</v>
      </c>
    </row>
    <row r="173" spans="1:67" x14ac:dyDescent="0.25">
      <c r="A173" s="238">
        <v>172</v>
      </c>
      <c r="B173" s="238">
        <v>2</v>
      </c>
      <c r="C173" s="238">
        <v>12</v>
      </c>
      <c r="D173" s="238">
        <v>4</v>
      </c>
      <c r="E173" s="238">
        <v>0</v>
      </c>
      <c r="F173" s="238">
        <v>13.39</v>
      </c>
      <c r="G173" s="238"/>
      <c r="H173" s="238"/>
      <c r="I173" s="238">
        <v>13.39</v>
      </c>
      <c r="J173" s="238">
        <v>5.98</v>
      </c>
      <c r="K173" s="238">
        <v>4.47</v>
      </c>
      <c r="L173" s="238"/>
      <c r="M173" s="238">
        <v>4.08</v>
      </c>
      <c r="N173" s="238"/>
      <c r="O173" s="238"/>
      <c r="R173" s="238">
        <v>0</v>
      </c>
      <c r="S173" s="238">
        <v>27.92</v>
      </c>
      <c r="T173" s="238">
        <v>27.92</v>
      </c>
      <c r="U173" s="238">
        <v>27.92</v>
      </c>
      <c r="V173" s="238">
        <v>142524.6</v>
      </c>
      <c r="X173">
        <v>142524.6</v>
      </c>
      <c r="Y173">
        <v>1000</v>
      </c>
      <c r="Z173">
        <v>143524.6</v>
      </c>
      <c r="AA173">
        <v>215</v>
      </c>
      <c r="AB173">
        <v>143739.6</v>
      </c>
      <c r="AC173">
        <v>17.5</v>
      </c>
      <c r="AD173">
        <v>143757.1</v>
      </c>
      <c r="AF173">
        <v>143757.1</v>
      </c>
      <c r="AH173">
        <v>143757.1</v>
      </c>
      <c r="AJ173">
        <v>143757.1</v>
      </c>
      <c r="AL173">
        <v>143757.1</v>
      </c>
      <c r="AM173" s="238">
        <v>143757.1</v>
      </c>
      <c r="AN173" s="238">
        <v>4013700</v>
      </c>
      <c r="AP173" s="238"/>
      <c r="AQ173" s="238">
        <v>0</v>
      </c>
      <c r="AR173" s="238">
        <v>143757.16332378224</v>
      </c>
      <c r="AS173" s="238">
        <v>4013700</v>
      </c>
      <c r="AT173" s="238" t="s">
        <v>36</v>
      </c>
      <c r="AU173" s="238"/>
      <c r="AW173">
        <v>143757.16332378224</v>
      </c>
      <c r="AX173" s="238">
        <v>0</v>
      </c>
      <c r="AY173" s="238">
        <v>4013700.0000000009</v>
      </c>
      <c r="BA173" s="238" t="s">
        <v>35</v>
      </c>
      <c r="BB173" s="238" t="s">
        <v>35</v>
      </c>
      <c r="BC173" t="s">
        <v>8953</v>
      </c>
      <c r="BD173" t="s">
        <v>8954</v>
      </c>
      <c r="BE173" t="s">
        <v>8962</v>
      </c>
      <c r="BF173" t="s">
        <v>8970</v>
      </c>
      <c r="BG173" t="b">
        <v>1</v>
      </c>
      <c r="BH173">
        <v>4013700</v>
      </c>
      <c r="BI173">
        <v>4013700</v>
      </c>
      <c r="BJ173">
        <v>0</v>
      </c>
      <c r="BK173">
        <v>0</v>
      </c>
      <c r="BL173">
        <v>0</v>
      </c>
      <c r="BM173" t="s">
        <v>36</v>
      </c>
      <c r="BN173" t="b">
        <v>1</v>
      </c>
      <c r="BO173" t="s">
        <v>8232</v>
      </c>
    </row>
    <row r="174" spans="1:67" x14ac:dyDescent="0.25">
      <c r="A174" s="238">
        <v>173</v>
      </c>
      <c r="B174" s="238">
        <v>2</v>
      </c>
      <c r="C174" s="238">
        <v>12</v>
      </c>
      <c r="D174" s="238">
        <v>5</v>
      </c>
      <c r="E174" s="238">
        <v>2</v>
      </c>
      <c r="F174" s="238">
        <v>16.579999999999998</v>
      </c>
      <c r="G174" s="238">
        <v>14.14</v>
      </c>
      <c r="H174" s="238"/>
      <c r="I174" s="238">
        <v>30.72</v>
      </c>
      <c r="J174" s="238">
        <v>12.38</v>
      </c>
      <c r="K174" s="238">
        <v>4.07</v>
      </c>
      <c r="L174" s="238"/>
      <c r="M174" s="238">
        <v>7.61</v>
      </c>
      <c r="N174" s="238">
        <v>7.03</v>
      </c>
      <c r="O174" s="238">
        <v>3.11</v>
      </c>
      <c r="R174" s="238">
        <v>3.11</v>
      </c>
      <c r="S174" s="238">
        <v>64.92</v>
      </c>
      <c r="T174" s="238">
        <v>61.81</v>
      </c>
      <c r="U174" s="238">
        <v>63.37</v>
      </c>
      <c r="V174" s="238">
        <v>122072.4</v>
      </c>
      <c r="W174">
        <v>-7000</v>
      </c>
      <c r="X174">
        <v>115072.4</v>
      </c>
      <c r="Y174">
        <v>1000</v>
      </c>
      <c r="Z174">
        <v>116072.4</v>
      </c>
      <c r="AA174">
        <v>215</v>
      </c>
      <c r="AB174">
        <v>116287.4</v>
      </c>
      <c r="AC174">
        <v>17.5</v>
      </c>
      <c r="AD174">
        <v>116304.9</v>
      </c>
      <c r="AE174">
        <v>581.52449999999999</v>
      </c>
      <c r="AF174">
        <v>116886.42449999999</v>
      </c>
      <c r="AH174">
        <v>116886.42449999999</v>
      </c>
      <c r="AJ174">
        <v>116886.42449999999</v>
      </c>
      <c r="AK174">
        <v>3506.5927349999997</v>
      </c>
      <c r="AL174">
        <v>120393.01723500001</v>
      </c>
      <c r="AM174" s="238">
        <v>120393.02</v>
      </c>
      <c r="AN174" s="238">
        <v>7629400</v>
      </c>
      <c r="AP174" s="238"/>
      <c r="AQ174" s="238">
        <v>0</v>
      </c>
      <c r="AR174" s="238">
        <v>120394.50844248068</v>
      </c>
      <c r="AS174" s="238">
        <v>7629400</v>
      </c>
      <c r="AT174" s="238" t="s">
        <v>36</v>
      </c>
      <c r="AU174" s="238"/>
      <c r="AW174">
        <v>120394.50844248068</v>
      </c>
      <c r="AX174" s="238">
        <v>0</v>
      </c>
      <c r="AY174" s="238">
        <v>7629400</v>
      </c>
      <c r="BA174" s="238" t="s">
        <v>35</v>
      </c>
      <c r="BB174" s="238" t="s">
        <v>35</v>
      </c>
      <c r="BC174" t="s">
        <v>8953</v>
      </c>
      <c r="BD174" t="s">
        <v>8954</v>
      </c>
      <c r="BE174" t="s">
        <v>8962</v>
      </c>
      <c r="BF174" t="s">
        <v>8974</v>
      </c>
      <c r="BG174" t="b">
        <v>1</v>
      </c>
      <c r="BH174">
        <v>7629400</v>
      </c>
      <c r="BI174">
        <v>7629400</v>
      </c>
      <c r="BJ174">
        <v>0</v>
      </c>
      <c r="BK174">
        <v>0</v>
      </c>
      <c r="BL174">
        <v>0</v>
      </c>
      <c r="BM174" t="s">
        <v>36</v>
      </c>
      <c r="BN174" t="b">
        <v>1</v>
      </c>
      <c r="BO174" t="s">
        <v>8233</v>
      </c>
    </row>
    <row r="175" spans="1:67" x14ac:dyDescent="0.25">
      <c r="A175" s="238">
        <v>174</v>
      </c>
      <c r="B175" s="238">
        <v>2</v>
      </c>
      <c r="C175" s="238">
        <v>12</v>
      </c>
      <c r="D175" s="238">
        <v>6</v>
      </c>
      <c r="E175" s="238">
        <v>2</v>
      </c>
      <c r="F175" s="238">
        <v>17.73</v>
      </c>
      <c r="G175" s="238">
        <v>12.22</v>
      </c>
      <c r="H175" s="238"/>
      <c r="I175" s="238">
        <v>29.950000000000003</v>
      </c>
      <c r="J175" s="238">
        <v>13.65</v>
      </c>
      <c r="K175" s="238">
        <v>5.15</v>
      </c>
      <c r="L175" s="238">
        <v>2.5</v>
      </c>
      <c r="M175" s="238">
        <v>8.06</v>
      </c>
      <c r="N175" s="238"/>
      <c r="O175" s="238">
        <v>3.11</v>
      </c>
      <c r="R175" s="238">
        <v>3.11</v>
      </c>
      <c r="S175" s="238">
        <v>62.42</v>
      </c>
      <c r="T175" s="238">
        <v>59.31</v>
      </c>
      <c r="U175" s="238">
        <v>60.87</v>
      </c>
      <c r="V175" s="238">
        <v>126593.60000000001</v>
      </c>
      <c r="W175">
        <v>-10000</v>
      </c>
      <c r="X175">
        <v>116593.60000000001</v>
      </c>
      <c r="Y175">
        <v>1000</v>
      </c>
      <c r="Z175">
        <v>117593.60000000001</v>
      </c>
      <c r="AA175">
        <v>215</v>
      </c>
      <c r="AB175">
        <v>117808.6</v>
      </c>
      <c r="AC175">
        <v>17.5</v>
      </c>
      <c r="AD175">
        <v>117826.1</v>
      </c>
      <c r="AE175">
        <v>589.1305000000001</v>
      </c>
      <c r="AF175">
        <v>118415.23050000001</v>
      </c>
      <c r="AH175">
        <v>118415.23050000001</v>
      </c>
      <c r="AJ175">
        <v>118415.23050000001</v>
      </c>
      <c r="AL175">
        <v>118415.23050000001</v>
      </c>
      <c r="AM175" s="238">
        <v>118415.23</v>
      </c>
      <c r="AN175" s="238">
        <v>7208000</v>
      </c>
      <c r="AP175" s="238">
        <v>0.03</v>
      </c>
      <c r="AQ175" s="238">
        <v>216240</v>
      </c>
      <c r="AR175" s="238">
        <v>114863.80811565631</v>
      </c>
      <c r="AS175" s="238">
        <v>6991760</v>
      </c>
      <c r="AT175" s="238" t="s">
        <v>36</v>
      </c>
      <c r="AU175" s="238"/>
      <c r="AW175">
        <v>114863.80811565631</v>
      </c>
      <c r="AX175" s="238">
        <v>0</v>
      </c>
      <c r="AY175" s="238">
        <v>6991760</v>
      </c>
      <c r="AZ175" t="s">
        <v>8773</v>
      </c>
      <c r="BA175" s="238" t="s">
        <v>39</v>
      </c>
      <c r="BB175" s="238" t="s">
        <v>39</v>
      </c>
      <c r="BC175" t="s">
        <v>8950</v>
      </c>
      <c r="BD175" t="s">
        <v>1167</v>
      </c>
      <c r="BE175" t="s">
        <v>8962</v>
      </c>
      <c r="BF175" t="s">
        <v>8974</v>
      </c>
      <c r="BG175" t="b">
        <v>1</v>
      </c>
      <c r="BH175">
        <v>7208000</v>
      </c>
      <c r="BI175" t="s">
        <v>9002</v>
      </c>
      <c r="BJ175">
        <v>0</v>
      </c>
      <c r="BK175">
        <v>7208000</v>
      </c>
      <c r="BL175">
        <v>0</v>
      </c>
      <c r="BM175" t="s">
        <v>36</v>
      </c>
      <c r="BN175" t="b">
        <v>1</v>
      </c>
      <c r="BO175" t="s">
        <v>8234</v>
      </c>
    </row>
    <row r="176" spans="1:67" x14ac:dyDescent="0.25">
      <c r="A176" s="238">
        <v>175</v>
      </c>
      <c r="B176" s="238">
        <v>2</v>
      </c>
      <c r="C176" s="238">
        <v>13</v>
      </c>
      <c r="D176" s="238">
        <v>1</v>
      </c>
      <c r="E176" s="238">
        <v>2</v>
      </c>
      <c r="F176" s="238">
        <v>17.579999999999998</v>
      </c>
      <c r="G176" s="238">
        <v>14.37</v>
      </c>
      <c r="H176" s="238"/>
      <c r="I176" s="238">
        <v>31.949999999999996</v>
      </c>
      <c r="J176" s="238">
        <v>14.29</v>
      </c>
      <c r="K176" s="238">
        <v>4.45</v>
      </c>
      <c r="L176" s="238"/>
      <c r="M176" s="238">
        <v>8.64</v>
      </c>
      <c r="N176" s="238">
        <v>4.76</v>
      </c>
      <c r="O176" s="238">
        <v>3.11</v>
      </c>
      <c r="R176" s="238">
        <v>3.11</v>
      </c>
      <c r="S176" s="238">
        <v>67.2</v>
      </c>
      <c r="T176" s="238">
        <v>64.09</v>
      </c>
      <c r="U176" s="238">
        <v>65.650000000000006</v>
      </c>
      <c r="V176" s="238">
        <v>119811.8</v>
      </c>
      <c r="X176">
        <v>119811.8</v>
      </c>
      <c r="Y176">
        <v>1000</v>
      </c>
      <c r="Z176">
        <v>120811.8</v>
      </c>
      <c r="AA176">
        <v>215</v>
      </c>
      <c r="AB176">
        <v>121026.8</v>
      </c>
      <c r="AC176">
        <v>17.5</v>
      </c>
      <c r="AD176">
        <v>121044.3</v>
      </c>
      <c r="AE176">
        <v>605.22149999999999</v>
      </c>
      <c r="AF176">
        <v>121649.5215</v>
      </c>
      <c r="AH176">
        <v>121649.5215</v>
      </c>
      <c r="AJ176">
        <v>121649.5215</v>
      </c>
      <c r="AL176">
        <v>121649.5215</v>
      </c>
      <c r="AM176" s="238">
        <v>121649.52</v>
      </c>
      <c r="AN176" s="238">
        <v>7986300</v>
      </c>
      <c r="AP176" s="238"/>
      <c r="AQ176" s="238">
        <v>0</v>
      </c>
      <c r="AR176" s="238">
        <v>121649.65727341964</v>
      </c>
      <c r="AS176" s="238">
        <v>7986300</v>
      </c>
      <c r="AT176" s="238" t="s">
        <v>36</v>
      </c>
      <c r="AU176" s="238"/>
      <c r="AW176">
        <v>121649.65727341964</v>
      </c>
      <c r="AX176" s="238">
        <v>0</v>
      </c>
      <c r="AY176" s="238">
        <v>7986300</v>
      </c>
      <c r="BA176" s="238" t="s">
        <v>35</v>
      </c>
      <c r="BB176" s="238" t="s">
        <v>35</v>
      </c>
      <c r="BC176" t="s">
        <v>8953</v>
      </c>
      <c r="BD176" t="s">
        <v>8954</v>
      </c>
      <c r="BE176" t="s">
        <v>8962</v>
      </c>
      <c r="BF176" t="s">
        <v>8971</v>
      </c>
      <c r="BG176" t="b">
        <v>1</v>
      </c>
      <c r="BH176">
        <v>7986300</v>
      </c>
      <c r="BI176">
        <v>7986300</v>
      </c>
      <c r="BJ176">
        <v>0</v>
      </c>
      <c r="BK176">
        <v>0</v>
      </c>
      <c r="BL176">
        <v>0</v>
      </c>
      <c r="BM176" t="s">
        <v>36</v>
      </c>
      <c r="BN176" t="b">
        <v>1</v>
      </c>
      <c r="BO176" t="s">
        <v>8235</v>
      </c>
    </row>
    <row r="177" spans="1:67" x14ac:dyDescent="0.25">
      <c r="A177" s="238">
        <v>176</v>
      </c>
      <c r="B177" s="238">
        <v>2</v>
      </c>
      <c r="C177" s="238">
        <v>13</v>
      </c>
      <c r="D177" s="238">
        <v>2</v>
      </c>
      <c r="E177" s="238">
        <v>1</v>
      </c>
      <c r="F177" s="238">
        <v>14.77</v>
      </c>
      <c r="G177" s="238"/>
      <c r="H177" s="238"/>
      <c r="I177" s="238">
        <v>14.77</v>
      </c>
      <c r="J177" s="238">
        <v>11.88</v>
      </c>
      <c r="K177" s="238">
        <v>4.07</v>
      </c>
      <c r="L177" s="238"/>
      <c r="M177" s="238">
        <v>4.28</v>
      </c>
      <c r="N177" s="238"/>
      <c r="O177" s="238">
        <v>3.11</v>
      </c>
      <c r="R177" s="238">
        <v>3.11</v>
      </c>
      <c r="S177" s="238">
        <v>38.11</v>
      </c>
      <c r="T177" s="238">
        <v>35</v>
      </c>
      <c r="U177" s="238">
        <v>36.56</v>
      </c>
      <c r="V177" s="238">
        <v>125223</v>
      </c>
      <c r="X177">
        <v>125223</v>
      </c>
      <c r="Y177">
        <v>1000</v>
      </c>
      <c r="Z177">
        <v>126223</v>
      </c>
      <c r="AA177">
        <v>215</v>
      </c>
      <c r="AB177">
        <v>126438</v>
      </c>
      <c r="AC177">
        <v>17.5</v>
      </c>
      <c r="AD177">
        <v>126455.5</v>
      </c>
      <c r="AE177">
        <v>1896.8325</v>
      </c>
      <c r="AF177">
        <v>128352.3325</v>
      </c>
      <c r="AG177">
        <v>1283.5233250000001</v>
      </c>
      <c r="AH177">
        <v>129635.85582500001</v>
      </c>
      <c r="AI177">
        <v>1296.35855825</v>
      </c>
      <c r="AJ177">
        <v>130932.21438325</v>
      </c>
      <c r="AL177">
        <v>130932.21438325</v>
      </c>
      <c r="AM177" s="238">
        <v>130932.21</v>
      </c>
      <c r="AN177" s="238">
        <v>4786900</v>
      </c>
      <c r="AP177" s="238"/>
      <c r="AQ177" s="238">
        <v>0</v>
      </c>
      <c r="AR177" s="238">
        <v>130932.71334792122</v>
      </c>
      <c r="AS177" s="238">
        <v>4786900</v>
      </c>
      <c r="AT177" s="238" t="s">
        <v>36</v>
      </c>
      <c r="AU177" s="238"/>
      <c r="AW177">
        <v>130932.71334792122</v>
      </c>
      <c r="AX177" s="238">
        <v>0</v>
      </c>
      <c r="AY177" s="238">
        <v>4786900</v>
      </c>
      <c r="BA177" s="238" t="s">
        <v>3</v>
      </c>
      <c r="BB177" s="238" t="s">
        <v>3</v>
      </c>
      <c r="BC177" t="s">
        <v>8951</v>
      </c>
      <c r="BD177" t="s">
        <v>1167</v>
      </c>
      <c r="BE177" t="s">
        <v>8962</v>
      </c>
      <c r="BF177" t="s">
        <v>8973</v>
      </c>
      <c r="BG177" t="b">
        <v>1</v>
      </c>
      <c r="BH177">
        <v>4786900</v>
      </c>
      <c r="BI177">
        <v>4786900</v>
      </c>
      <c r="BJ177">
        <v>0</v>
      </c>
      <c r="BK177">
        <v>0</v>
      </c>
      <c r="BL177">
        <v>0</v>
      </c>
      <c r="BM177" t="s">
        <v>36</v>
      </c>
      <c r="BN177" t="b">
        <v>1</v>
      </c>
      <c r="BO177" t="s">
        <v>8236</v>
      </c>
    </row>
    <row r="178" spans="1:67" x14ac:dyDescent="0.25">
      <c r="A178" s="238">
        <v>177</v>
      </c>
      <c r="B178" s="238">
        <v>2</v>
      </c>
      <c r="C178" s="238">
        <v>13</v>
      </c>
      <c r="D178" s="238">
        <v>3</v>
      </c>
      <c r="E178" s="238">
        <v>0</v>
      </c>
      <c r="F178" s="238">
        <v>13.94</v>
      </c>
      <c r="G178" s="238"/>
      <c r="H178" s="238"/>
      <c r="I178" s="238">
        <v>13.94</v>
      </c>
      <c r="J178" s="238">
        <v>5.98</v>
      </c>
      <c r="K178" s="238">
        <v>4.47</v>
      </c>
      <c r="L178" s="238"/>
      <c r="M178" s="238">
        <v>5.04</v>
      </c>
      <c r="N178" s="238"/>
      <c r="O178" s="238"/>
      <c r="R178" s="238">
        <v>0</v>
      </c>
      <c r="S178" s="238">
        <v>29.43</v>
      </c>
      <c r="T178" s="238">
        <v>29.43</v>
      </c>
      <c r="U178" s="238">
        <v>29.43</v>
      </c>
      <c r="V178" s="238">
        <v>145319.20000000001</v>
      </c>
      <c r="X178">
        <v>145319.20000000001</v>
      </c>
      <c r="Y178">
        <v>1000</v>
      </c>
      <c r="Z178">
        <v>146319.20000000001</v>
      </c>
      <c r="AA178">
        <v>215</v>
      </c>
      <c r="AB178">
        <v>146534.20000000001</v>
      </c>
      <c r="AC178">
        <v>17.5</v>
      </c>
      <c r="AD178">
        <v>146551.70000000001</v>
      </c>
      <c r="AF178">
        <v>146551.70000000001</v>
      </c>
      <c r="AH178">
        <v>146551.70000000001</v>
      </c>
      <c r="AJ178">
        <v>146551.70000000001</v>
      </c>
      <c r="AL178">
        <v>146551.70000000001</v>
      </c>
      <c r="AM178" s="238">
        <v>146551.70000000001</v>
      </c>
      <c r="AN178" s="238">
        <v>4313100</v>
      </c>
      <c r="AP178" s="238"/>
      <c r="AQ178" s="238">
        <v>0</v>
      </c>
      <c r="AR178" s="238">
        <v>146554.5361875637</v>
      </c>
      <c r="AS178" s="238">
        <v>4313100</v>
      </c>
      <c r="AT178" s="238" t="s">
        <v>36</v>
      </c>
      <c r="AU178" s="238"/>
      <c r="AW178">
        <v>146554.5361875637</v>
      </c>
      <c r="AX178" s="238">
        <v>0</v>
      </c>
      <c r="AY178" s="238">
        <v>4313100</v>
      </c>
      <c r="BA178" s="238" t="s">
        <v>35</v>
      </c>
      <c r="BB178" s="238" t="s">
        <v>35</v>
      </c>
      <c r="BC178" t="s">
        <v>8953</v>
      </c>
      <c r="BD178" t="s">
        <v>8954</v>
      </c>
      <c r="BE178" t="s">
        <v>8962</v>
      </c>
      <c r="BF178" t="s">
        <v>8970</v>
      </c>
      <c r="BG178" t="b">
        <v>1</v>
      </c>
      <c r="BH178">
        <v>4313100</v>
      </c>
      <c r="BI178">
        <v>4313100</v>
      </c>
      <c r="BJ178">
        <v>0</v>
      </c>
      <c r="BK178">
        <v>0</v>
      </c>
      <c r="BL178">
        <v>0</v>
      </c>
      <c r="BM178" t="s">
        <v>36</v>
      </c>
      <c r="BN178" t="b">
        <v>1</v>
      </c>
      <c r="BO178" t="s">
        <v>8237</v>
      </c>
    </row>
    <row r="179" spans="1:67" x14ac:dyDescent="0.25">
      <c r="A179" s="238">
        <v>178</v>
      </c>
      <c r="B179" s="238">
        <v>2</v>
      </c>
      <c r="C179" s="238">
        <v>13</v>
      </c>
      <c r="D179" s="238">
        <v>4</v>
      </c>
      <c r="E179" s="238">
        <v>0</v>
      </c>
      <c r="F179" s="238">
        <v>13.39</v>
      </c>
      <c r="G179" s="238"/>
      <c r="H179" s="238"/>
      <c r="I179" s="238">
        <v>13.39</v>
      </c>
      <c r="J179" s="238">
        <v>5.98</v>
      </c>
      <c r="K179" s="238">
        <v>4.47</v>
      </c>
      <c r="L179" s="238"/>
      <c r="M179" s="238">
        <v>4.08</v>
      </c>
      <c r="N179" s="238"/>
      <c r="O179" s="238"/>
      <c r="R179" s="238">
        <v>0</v>
      </c>
      <c r="S179" s="238">
        <v>27.92</v>
      </c>
      <c r="T179" s="238">
        <v>27.92</v>
      </c>
      <c r="U179" s="238">
        <v>27.92</v>
      </c>
      <c r="V179" s="238">
        <v>145319.20000000001</v>
      </c>
      <c r="X179">
        <v>145319.20000000001</v>
      </c>
      <c r="Y179">
        <v>1000</v>
      </c>
      <c r="Z179">
        <v>146319.20000000001</v>
      </c>
      <c r="AA179">
        <v>215</v>
      </c>
      <c r="AB179">
        <v>146534.20000000001</v>
      </c>
      <c r="AC179">
        <v>17.5</v>
      </c>
      <c r="AD179">
        <v>146551.70000000001</v>
      </c>
      <c r="AF179">
        <v>146551.70000000001</v>
      </c>
      <c r="AH179">
        <v>146551.70000000001</v>
      </c>
      <c r="AJ179">
        <v>146551.70000000001</v>
      </c>
      <c r="AL179">
        <v>146551.70000000001</v>
      </c>
      <c r="AM179" s="238">
        <v>146551.70000000001</v>
      </c>
      <c r="AN179" s="238">
        <v>4091800</v>
      </c>
      <c r="AP179" s="238"/>
      <c r="AQ179" s="238">
        <v>0</v>
      </c>
      <c r="AR179" s="238">
        <v>146554.44126074496</v>
      </c>
      <c r="AS179" s="238">
        <v>4091800</v>
      </c>
      <c r="AT179" s="238" t="s">
        <v>36</v>
      </c>
      <c r="AU179" s="238"/>
      <c r="AW179">
        <v>146554.44126074496</v>
      </c>
      <c r="AX179" s="238">
        <v>0</v>
      </c>
      <c r="AY179" s="238">
        <v>4091799.9999999991</v>
      </c>
      <c r="BA179" s="238" t="s">
        <v>35</v>
      </c>
      <c r="BB179" s="238" t="s">
        <v>35</v>
      </c>
      <c r="BC179" t="s">
        <v>8953</v>
      </c>
      <c r="BD179" t="s">
        <v>8954</v>
      </c>
      <c r="BE179" t="s">
        <v>8962</v>
      </c>
      <c r="BF179" t="s">
        <v>8970</v>
      </c>
      <c r="BG179" t="b">
        <v>1</v>
      </c>
      <c r="BH179">
        <v>4091800</v>
      </c>
      <c r="BI179">
        <v>4091800</v>
      </c>
      <c r="BJ179">
        <v>0</v>
      </c>
      <c r="BK179">
        <v>0</v>
      </c>
      <c r="BL179">
        <v>0</v>
      </c>
      <c r="BM179" t="s">
        <v>36</v>
      </c>
      <c r="BN179" t="b">
        <v>1</v>
      </c>
      <c r="BO179" t="s">
        <v>8238</v>
      </c>
    </row>
    <row r="180" spans="1:67" x14ac:dyDescent="0.25">
      <c r="A180" s="238">
        <v>179</v>
      </c>
      <c r="B180" s="238">
        <v>2</v>
      </c>
      <c r="C180" s="238">
        <v>13</v>
      </c>
      <c r="D180" s="238">
        <v>5</v>
      </c>
      <c r="E180" s="238">
        <v>2</v>
      </c>
      <c r="F180" s="238">
        <v>16.579999999999998</v>
      </c>
      <c r="G180" s="238">
        <v>14.14</v>
      </c>
      <c r="H180" s="238"/>
      <c r="I180" s="238">
        <v>30.72</v>
      </c>
      <c r="J180" s="238">
        <v>12.38</v>
      </c>
      <c r="K180" s="238">
        <v>4.07</v>
      </c>
      <c r="L180" s="238"/>
      <c r="M180" s="238">
        <v>7.61</v>
      </c>
      <c r="N180" s="238">
        <v>7.03</v>
      </c>
      <c r="O180" s="238">
        <v>3.11</v>
      </c>
      <c r="R180" s="238">
        <v>3.11</v>
      </c>
      <c r="S180" s="238">
        <v>64.92</v>
      </c>
      <c r="T180" s="238">
        <v>61.81</v>
      </c>
      <c r="U180" s="238">
        <v>63.37</v>
      </c>
      <c r="V180" s="238">
        <v>122072.4</v>
      </c>
      <c r="W180">
        <v>-7000</v>
      </c>
      <c r="X180">
        <v>115072.4</v>
      </c>
      <c r="Y180">
        <v>1000</v>
      </c>
      <c r="Z180">
        <v>116072.4</v>
      </c>
      <c r="AA180">
        <v>215</v>
      </c>
      <c r="AB180">
        <v>116287.4</v>
      </c>
      <c r="AC180">
        <v>17.5</v>
      </c>
      <c r="AD180">
        <v>116304.9</v>
      </c>
      <c r="AE180">
        <v>581.52449999999999</v>
      </c>
      <c r="AF180">
        <v>116886.42449999999</v>
      </c>
      <c r="AH180">
        <v>116886.42449999999</v>
      </c>
      <c r="AJ180">
        <v>116886.42449999999</v>
      </c>
      <c r="AK180">
        <v>3506.5927349999997</v>
      </c>
      <c r="AL180">
        <v>120393.01723500001</v>
      </c>
      <c r="AM180" s="238">
        <v>120393.02</v>
      </c>
      <c r="AN180" s="238">
        <v>7629400</v>
      </c>
      <c r="AP180" s="238"/>
      <c r="AQ180" s="238">
        <v>0</v>
      </c>
      <c r="AR180" s="238">
        <v>120394.50844248068</v>
      </c>
      <c r="AS180" s="238">
        <v>7629400</v>
      </c>
      <c r="AT180" s="238" t="s">
        <v>36</v>
      </c>
      <c r="AU180" s="238"/>
      <c r="AW180">
        <v>120394.50844248068</v>
      </c>
      <c r="AX180" s="238">
        <v>0</v>
      </c>
      <c r="AY180" s="238">
        <v>7629400</v>
      </c>
      <c r="BA180" s="238" t="s">
        <v>3</v>
      </c>
      <c r="BB180" s="238" t="s">
        <v>3</v>
      </c>
      <c r="BC180" t="s">
        <v>8951</v>
      </c>
      <c r="BD180" t="s">
        <v>1167</v>
      </c>
      <c r="BE180" t="s">
        <v>8962</v>
      </c>
      <c r="BF180" t="s">
        <v>8974</v>
      </c>
      <c r="BG180" t="b">
        <v>1</v>
      </c>
      <c r="BH180">
        <v>7629400</v>
      </c>
      <c r="BI180">
        <v>7629400</v>
      </c>
      <c r="BJ180">
        <v>0</v>
      </c>
      <c r="BK180">
        <v>0</v>
      </c>
      <c r="BL180">
        <v>0</v>
      </c>
      <c r="BM180" t="s">
        <v>36</v>
      </c>
      <c r="BN180" t="b">
        <v>1</v>
      </c>
      <c r="BO180" t="s">
        <v>8239</v>
      </c>
    </row>
    <row r="181" spans="1:67" x14ac:dyDescent="0.25">
      <c r="A181" s="238">
        <v>180</v>
      </c>
      <c r="B181" s="238">
        <v>2</v>
      </c>
      <c r="C181" s="238">
        <v>13</v>
      </c>
      <c r="D181" s="238">
        <v>6</v>
      </c>
      <c r="E181" s="238">
        <v>2</v>
      </c>
      <c r="F181" s="238">
        <v>17.73</v>
      </c>
      <c r="G181" s="238">
        <v>12.22</v>
      </c>
      <c r="H181" s="238"/>
      <c r="I181" s="238">
        <v>29.950000000000003</v>
      </c>
      <c r="J181" s="238">
        <v>13.65</v>
      </c>
      <c r="K181" s="238">
        <v>5.15</v>
      </c>
      <c r="L181" s="238">
        <v>2.5</v>
      </c>
      <c r="M181" s="238">
        <v>8.06</v>
      </c>
      <c r="N181" s="238"/>
      <c r="O181" s="238">
        <v>3.11</v>
      </c>
      <c r="R181" s="238">
        <v>3.11</v>
      </c>
      <c r="S181" s="238">
        <v>62.42</v>
      </c>
      <c r="T181" s="238">
        <v>59.31</v>
      </c>
      <c r="U181" s="238">
        <v>60.87</v>
      </c>
      <c r="V181" s="238">
        <v>126593.60000000001</v>
      </c>
      <c r="W181">
        <v>-10000</v>
      </c>
      <c r="X181">
        <v>116593.60000000001</v>
      </c>
      <c r="Y181">
        <v>1000</v>
      </c>
      <c r="Z181">
        <v>117593.60000000001</v>
      </c>
      <c r="AA181">
        <v>215</v>
      </c>
      <c r="AB181">
        <v>117808.6</v>
      </c>
      <c r="AC181">
        <v>17.5</v>
      </c>
      <c r="AD181">
        <v>117826.1</v>
      </c>
      <c r="AE181">
        <v>589.1305000000001</v>
      </c>
      <c r="AF181">
        <v>118415.23050000001</v>
      </c>
      <c r="AH181">
        <v>118415.23050000001</v>
      </c>
      <c r="AJ181">
        <v>118415.23050000001</v>
      </c>
      <c r="AK181">
        <v>3552.4569150000002</v>
      </c>
      <c r="AL181">
        <v>121967.68741499999</v>
      </c>
      <c r="AM181" s="238">
        <v>121967.69</v>
      </c>
      <c r="AN181" s="238">
        <v>7424200</v>
      </c>
      <c r="AP181" s="238"/>
      <c r="AQ181" s="238">
        <v>0</v>
      </c>
      <c r="AR181" s="238">
        <v>121968.12879908</v>
      </c>
      <c r="AS181" s="238">
        <v>7424200</v>
      </c>
      <c r="AT181" s="238" t="s">
        <v>38</v>
      </c>
      <c r="AU181" s="238">
        <v>30000</v>
      </c>
      <c r="AV181" t="s">
        <v>8816</v>
      </c>
      <c r="AW181">
        <v>151968.12879908</v>
      </c>
      <c r="AX181" s="238">
        <v>1826100</v>
      </c>
      <c r="AY181" s="238">
        <v>9250300</v>
      </c>
      <c r="BA181" s="238" t="s">
        <v>35</v>
      </c>
      <c r="BB181" s="238" t="s">
        <v>35</v>
      </c>
      <c r="BC181" t="s">
        <v>8953</v>
      </c>
      <c r="BD181" t="s">
        <v>8954</v>
      </c>
      <c r="BE181" t="s">
        <v>8962</v>
      </c>
      <c r="BF181" t="s">
        <v>8974</v>
      </c>
      <c r="BG181" t="b">
        <v>1</v>
      </c>
      <c r="BH181">
        <v>7424200</v>
      </c>
      <c r="BI181">
        <v>7424200</v>
      </c>
      <c r="BJ181">
        <v>0</v>
      </c>
      <c r="BK181">
        <v>0</v>
      </c>
      <c r="BL181">
        <v>0</v>
      </c>
      <c r="BM181" t="s">
        <v>38</v>
      </c>
      <c r="BN181" t="b">
        <v>1</v>
      </c>
      <c r="BO181" t="s">
        <v>8240</v>
      </c>
    </row>
    <row r="182" spans="1:67" x14ac:dyDescent="0.25">
      <c r="A182" s="238">
        <v>181</v>
      </c>
      <c r="B182" s="238">
        <v>3</v>
      </c>
      <c r="C182" s="238">
        <v>2</v>
      </c>
      <c r="D182" s="238">
        <v>1</v>
      </c>
      <c r="E182" s="238">
        <v>1</v>
      </c>
      <c r="F182" s="238">
        <v>14.42</v>
      </c>
      <c r="G182" s="238"/>
      <c r="H182" s="238"/>
      <c r="I182" s="238">
        <v>14.42</v>
      </c>
      <c r="J182" s="238">
        <v>16.2</v>
      </c>
      <c r="K182" s="238">
        <v>4.09</v>
      </c>
      <c r="L182" s="238"/>
      <c r="M182" s="238">
        <v>8.0299999999999994</v>
      </c>
      <c r="N182" s="238"/>
      <c r="O182" s="238">
        <v>3.01</v>
      </c>
      <c r="R182" s="238">
        <v>3.01</v>
      </c>
      <c r="S182" s="238">
        <v>45.75</v>
      </c>
      <c r="T182" s="238">
        <v>42.74</v>
      </c>
      <c r="U182" s="238">
        <v>44.25</v>
      </c>
      <c r="V182" s="238">
        <v>121645.2</v>
      </c>
      <c r="X182">
        <v>121645.2</v>
      </c>
      <c r="Y182">
        <v>1000</v>
      </c>
      <c r="Z182">
        <v>122645.2</v>
      </c>
      <c r="AA182">
        <v>215</v>
      </c>
      <c r="AB182">
        <v>122860.2</v>
      </c>
      <c r="AC182">
        <v>17.5</v>
      </c>
      <c r="AD182">
        <v>122877.7</v>
      </c>
      <c r="AE182">
        <v>614.38850000000002</v>
      </c>
      <c r="AF182">
        <v>123492.0885</v>
      </c>
      <c r="AG182">
        <v>1234.920885</v>
      </c>
      <c r="AH182">
        <v>124727.009385</v>
      </c>
      <c r="AI182">
        <v>1247.27009385</v>
      </c>
      <c r="AJ182">
        <v>125974.27947885</v>
      </c>
      <c r="AK182">
        <v>2519.4855895770002</v>
      </c>
      <c r="AL182">
        <v>128493.765068427</v>
      </c>
      <c r="AM182" s="238">
        <v>128493.77</v>
      </c>
      <c r="AN182" s="238">
        <v>5685900</v>
      </c>
      <c r="AP182" s="238"/>
      <c r="AQ182" s="238">
        <v>0</v>
      </c>
      <c r="AR182" s="238">
        <v>128494.91525423728</v>
      </c>
      <c r="AS182" s="238">
        <v>5685900</v>
      </c>
      <c r="AT182" s="238" t="s">
        <v>36</v>
      </c>
      <c r="AU182" s="238"/>
      <c r="AW182">
        <v>128494.91525423728</v>
      </c>
      <c r="AX182" s="238">
        <v>0</v>
      </c>
      <c r="AY182" s="238">
        <v>5685900</v>
      </c>
      <c r="BA182" s="238" t="s">
        <v>35</v>
      </c>
      <c r="BB182" s="238" t="s">
        <v>35</v>
      </c>
      <c r="BC182" t="s">
        <v>8953</v>
      </c>
      <c r="BD182" t="s">
        <v>8954</v>
      </c>
      <c r="BE182" t="s">
        <v>8962</v>
      </c>
      <c r="BF182" t="s">
        <v>8972</v>
      </c>
      <c r="BG182" t="b">
        <v>1</v>
      </c>
      <c r="BH182">
        <v>5685900</v>
      </c>
      <c r="BI182">
        <v>5685900</v>
      </c>
      <c r="BJ182">
        <v>0</v>
      </c>
      <c r="BK182">
        <v>0</v>
      </c>
      <c r="BL182">
        <v>0</v>
      </c>
      <c r="BM182" t="s">
        <v>36</v>
      </c>
      <c r="BN182" t="b">
        <v>1</v>
      </c>
      <c r="BO182" t="s">
        <v>8241</v>
      </c>
    </row>
    <row r="183" spans="1:67" x14ac:dyDescent="0.25">
      <c r="A183" s="238">
        <v>182</v>
      </c>
      <c r="B183" s="238">
        <v>3</v>
      </c>
      <c r="C183" s="238">
        <v>2</v>
      </c>
      <c r="D183" s="238">
        <v>2</v>
      </c>
      <c r="E183" s="238">
        <v>1</v>
      </c>
      <c r="F183" s="238">
        <v>12.76</v>
      </c>
      <c r="G183" s="238"/>
      <c r="H183" s="238"/>
      <c r="I183" s="238">
        <v>12.76</v>
      </c>
      <c r="J183" s="238">
        <v>15.1</v>
      </c>
      <c r="K183" s="238">
        <v>4.22</v>
      </c>
      <c r="L183" s="238"/>
      <c r="M183" s="238">
        <v>3.09</v>
      </c>
      <c r="N183" s="238"/>
      <c r="O183" s="238">
        <v>2.93</v>
      </c>
      <c r="R183" s="238">
        <v>2.93</v>
      </c>
      <c r="S183" s="238">
        <v>38.1</v>
      </c>
      <c r="T183" s="238">
        <v>35.17</v>
      </c>
      <c r="U183" s="238">
        <v>36.64</v>
      </c>
      <c r="V183" s="238">
        <v>125223</v>
      </c>
      <c r="X183">
        <v>125223</v>
      </c>
      <c r="Y183">
        <v>1000</v>
      </c>
      <c r="Z183">
        <v>126223</v>
      </c>
      <c r="AA183">
        <v>215</v>
      </c>
      <c r="AB183">
        <v>126438</v>
      </c>
      <c r="AC183">
        <v>17.5</v>
      </c>
      <c r="AD183">
        <v>126455.5</v>
      </c>
      <c r="AE183">
        <v>1896.8325</v>
      </c>
      <c r="AF183">
        <v>128352.3325</v>
      </c>
      <c r="AG183">
        <v>1283.5233250000001</v>
      </c>
      <c r="AH183">
        <v>129635.85582500001</v>
      </c>
      <c r="AI183">
        <v>1296.35855825</v>
      </c>
      <c r="AJ183">
        <v>130932.21438325</v>
      </c>
      <c r="AL183">
        <v>130932.21438325</v>
      </c>
      <c r="AM183" s="238">
        <v>130932.21</v>
      </c>
      <c r="AN183" s="238">
        <v>4797400</v>
      </c>
      <c r="AP183" s="238"/>
      <c r="AQ183" s="238">
        <v>0</v>
      </c>
      <c r="AR183" s="238">
        <v>130933.40611353712</v>
      </c>
      <c r="AS183" s="238">
        <v>4797400</v>
      </c>
      <c r="AT183" s="238" t="s">
        <v>36</v>
      </c>
      <c r="AU183" s="238"/>
      <c r="AW183">
        <v>130933.40611353712</v>
      </c>
      <c r="AX183" s="238">
        <v>0</v>
      </c>
      <c r="AY183" s="238">
        <v>4797400</v>
      </c>
      <c r="BA183" s="238" t="s">
        <v>35</v>
      </c>
      <c r="BB183" s="238" t="s">
        <v>35</v>
      </c>
      <c r="BC183" t="s">
        <v>8953</v>
      </c>
      <c r="BD183" t="s">
        <v>8954</v>
      </c>
      <c r="BE183" t="s">
        <v>8962</v>
      </c>
      <c r="BF183" t="s">
        <v>8972</v>
      </c>
      <c r="BG183" t="b">
        <v>1</v>
      </c>
      <c r="BH183">
        <v>4797400</v>
      </c>
      <c r="BI183">
        <v>4797400</v>
      </c>
      <c r="BJ183">
        <v>0</v>
      </c>
      <c r="BK183">
        <v>0</v>
      </c>
      <c r="BL183">
        <v>0</v>
      </c>
      <c r="BM183" t="s">
        <v>36</v>
      </c>
      <c r="BN183" t="b">
        <v>1</v>
      </c>
      <c r="BO183" t="s">
        <v>8242</v>
      </c>
    </row>
    <row r="184" spans="1:67" x14ac:dyDescent="0.25">
      <c r="A184" s="238">
        <v>183</v>
      </c>
      <c r="B184" s="238">
        <v>3</v>
      </c>
      <c r="C184" s="238">
        <v>2</v>
      </c>
      <c r="D184" s="238">
        <v>3</v>
      </c>
      <c r="E184" s="238">
        <v>2</v>
      </c>
      <c r="F184" s="238">
        <v>15.36</v>
      </c>
      <c r="G184" s="238">
        <v>11.95</v>
      </c>
      <c r="H184" s="238"/>
      <c r="I184" s="238">
        <v>27.31</v>
      </c>
      <c r="J184" s="238">
        <v>18.87</v>
      </c>
      <c r="K184" s="238">
        <v>4.21</v>
      </c>
      <c r="L184" s="238"/>
      <c r="M184" s="238">
        <v>6.6</v>
      </c>
      <c r="N184" s="238"/>
      <c r="O184" s="238"/>
      <c r="R184" s="238">
        <v>0</v>
      </c>
      <c r="S184" s="238">
        <v>56.99</v>
      </c>
      <c r="T184" s="238">
        <v>56.99</v>
      </c>
      <c r="U184" s="238">
        <v>56.99</v>
      </c>
      <c r="V184" s="238">
        <v>116420.9</v>
      </c>
      <c r="X184">
        <v>116420.9</v>
      </c>
      <c r="Y184">
        <v>1000</v>
      </c>
      <c r="Z184">
        <v>117420.9</v>
      </c>
      <c r="AA184">
        <v>215</v>
      </c>
      <c r="AB184">
        <v>117635.9</v>
      </c>
      <c r="AC184">
        <v>17.5</v>
      </c>
      <c r="AD184">
        <v>117653.4</v>
      </c>
      <c r="AE184">
        <v>588.26699999999994</v>
      </c>
      <c r="AF184">
        <v>118241.667</v>
      </c>
      <c r="AH184">
        <v>118241.667</v>
      </c>
      <c r="AJ184">
        <v>118241.667</v>
      </c>
      <c r="AK184">
        <v>2364.8333400000001</v>
      </c>
      <c r="AL184">
        <v>120606.50034</v>
      </c>
      <c r="AM184" s="238">
        <v>120606.5</v>
      </c>
      <c r="AN184" s="238">
        <v>6873400</v>
      </c>
      <c r="AP184" s="238"/>
      <c r="AQ184" s="238">
        <v>0</v>
      </c>
      <c r="AR184" s="238">
        <v>120607.12405685207</v>
      </c>
      <c r="AS184" s="238">
        <v>6873400</v>
      </c>
      <c r="AT184" s="238" t="s">
        <v>36</v>
      </c>
      <c r="AU184" s="238"/>
      <c r="AW184">
        <v>120607.12405685207</v>
      </c>
      <c r="AX184" s="238">
        <v>0</v>
      </c>
      <c r="AY184" s="238">
        <v>6873400</v>
      </c>
      <c r="BA184" s="238" t="s">
        <v>35</v>
      </c>
      <c r="BB184" s="238" t="s">
        <v>35</v>
      </c>
      <c r="BC184" t="s">
        <v>8953</v>
      </c>
      <c r="BD184" t="s">
        <v>8954</v>
      </c>
      <c r="BE184" t="s">
        <v>8962</v>
      </c>
      <c r="BF184" t="s">
        <v>8971</v>
      </c>
      <c r="BG184" t="b">
        <v>1</v>
      </c>
      <c r="BH184">
        <v>6873400</v>
      </c>
      <c r="BI184">
        <v>6873400</v>
      </c>
      <c r="BJ184">
        <v>0</v>
      </c>
      <c r="BK184">
        <v>0</v>
      </c>
      <c r="BL184">
        <v>0</v>
      </c>
      <c r="BM184" t="s">
        <v>36</v>
      </c>
      <c r="BN184" t="b">
        <v>1</v>
      </c>
      <c r="BO184" t="s">
        <v>8243</v>
      </c>
    </row>
    <row r="185" spans="1:67" x14ac:dyDescent="0.25">
      <c r="A185" s="238">
        <v>184</v>
      </c>
      <c r="B185" s="238">
        <v>3</v>
      </c>
      <c r="C185" s="238">
        <v>2</v>
      </c>
      <c r="D185" s="238">
        <v>4</v>
      </c>
      <c r="E185" s="238">
        <v>1</v>
      </c>
      <c r="F185" s="238">
        <v>14.28</v>
      </c>
      <c r="G185" s="238"/>
      <c r="H185" s="238"/>
      <c r="I185" s="238">
        <v>14.28</v>
      </c>
      <c r="J185" s="238">
        <v>13.99</v>
      </c>
      <c r="K185" s="238">
        <v>3.9</v>
      </c>
      <c r="L185" s="238"/>
      <c r="M185" s="238">
        <v>2.6</v>
      </c>
      <c r="N185" s="238"/>
      <c r="O185" s="238">
        <v>3.23</v>
      </c>
      <c r="R185" s="238">
        <v>3.23</v>
      </c>
      <c r="S185" s="238">
        <v>38</v>
      </c>
      <c r="T185" s="238">
        <v>34.770000000000003</v>
      </c>
      <c r="U185" s="238">
        <v>36.39</v>
      </c>
      <c r="V185" s="238">
        <v>124030.39999999999</v>
      </c>
      <c r="X185">
        <v>124030.39999999999</v>
      </c>
      <c r="Y185">
        <v>1000</v>
      </c>
      <c r="Z185">
        <v>125030.39999999999</v>
      </c>
      <c r="AA185">
        <v>215</v>
      </c>
      <c r="AB185">
        <v>125245.4</v>
      </c>
      <c r="AC185">
        <v>17.5</v>
      </c>
      <c r="AD185">
        <v>125262.9</v>
      </c>
      <c r="AE185">
        <v>1878.9435000000001</v>
      </c>
      <c r="AF185">
        <v>127141.8435</v>
      </c>
      <c r="AG185">
        <v>1271.4184349999998</v>
      </c>
      <c r="AH185">
        <v>128413.261935</v>
      </c>
      <c r="AI185">
        <v>1284.1326193499999</v>
      </c>
      <c r="AJ185">
        <v>129697.39455435</v>
      </c>
      <c r="AL185">
        <v>129697.39455435</v>
      </c>
      <c r="AM185" s="238">
        <v>129697.39</v>
      </c>
      <c r="AN185" s="238">
        <v>4719700</v>
      </c>
      <c r="AP185" s="238"/>
      <c r="AQ185" s="238">
        <v>0</v>
      </c>
      <c r="AR185" s="238">
        <v>129697.71915361362</v>
      </c>
      <c r="AS185" s="238">
        <v>4719700</v>
      </c>
      <c r="AT185" s="238" t="s">
        <v>36</v>
      </c>
      <c r="AU185" s="238"/>
      <c r="AW185">
        <v>129697.71915361362</v>
      </c>
      <c r="AX185" s="238">
        <v>0</v>
      </c>
      <c r="AY185" s="238">
        <v>4719700</v>
      </c>
      <c r="BA185" s="238" t="s">
        <v>35</v>
      </c>
      <c r="BB185" s="238" t="s">
        <v>35</v>
      </c>
      <c r="BC185" t="s">
        <v>8953</v>
      </c>
      <c r="BD185" t="s">
        <v>8954</v>
      </c>
      <c r="BE185" t="s">
        <v>8962</v>
      </c>
      <c r="BF185" t="s">
        <v>8973</v>
      </c>
      <c r="BG185" t="b">
        <v>1</v>
      </c>
      <c r="BH185">
        <v>4719700</v>
      </c>
      <c r="BI185">
        <v>4719700</v>
      </c>
      <c r="BJ185">
        <v>0</v>
      </c>
      <c r="BK185">
        <v>0</v>
      </c>
      <c r="BL185">
        <v>0</v>
      </c>
      <c r="BM185" t="s">
        <v>36</v>
      </c>
      <c r="BN185" t="b">
        <v>1</v>
      </c>
      <c r="BO185" t="s">
        <v>8244</v>
      </c>
    </row>
    <row r="186" spans="1:67" x14ac:dyDescent="0.25">
      <c r="A186" s="238">
        <v>185</v>
      </c>
      <c r="B186" s="238">
        <v>3</v>
      </c>
      <c r="C186" s="238">
        <v>2</v>
      </c>
      <c r="D186" s="238">
        <v>5</v>
      </c>
      <c r="E186" s="238">
        <v>3</v>
      </c>
      <c r="F186" s="238">
        <v>15.96</v>
      </c>
      <c r="G186" s="238">
        <v>11.55</v>
      </c>
      <c r="H186" s="238">
        <v>18.350000000000001</v>
      </c>
      <c r="I186" s="238">
        <v>45.86</v>
      </c>
      <c r="J186" s="238">
        <v>11.42</v>
      </c>
      <c r="K186" s="238">
        <v>3.9</v>
      </c>
      <c r="L186" s="238">
        <v>4.37</v>
      </c>
      <c r="M186" s="238">
        <v>11.06</v>
      </c>
      <c r="N186" s="238"/>
      <c r="O186" s="238">
        <v>3.1</v>
      </c>
      <c r="R186" s="238">
        <v>3.1</v>
      </c>
      <c r="S186" s="238">
        <v>79.709999999999994</v>
      </c>
      <c r="T186" s="238">
        <v>76.61</v>
      </c>
      <c r="U186" s="238">
        <v>78.16</v>
      </c>
      <c r="V186" s="238">
        <v>109434.4</v>
      </c>
      <c r="X186">
        <v>109434.4</v>
      </c>
      <c r="Y186">
        <v>1000</v>
      </c>
      <c r="Z186">
        <v>110434.4</v>
      </c>
      <c r="AA186">
        <v>215</v>
      </c>
      <c r="AB186">
        <v>110649.4</v>
      </c>
      <c r="AC186">
        <v>17.5</v>
      </c>
      <c r="AD186">
        <v>110666.9</v>
      </c>
      <c r="AF186">
        <v>110666.9</v>
      </c>
      <c r="AH186">
        <v>110666.9</v>
      </c>
      <c r="AJ186">
        <v>110666.9</v>
      </c>
      <c r="AL186">
        <v>110666.9</v>
      </c>
      <c r="AM186" s="238">
        <v>110666.9</v>
      </c>
      <c r="AN186" s="238">
        <v>8649800</v>
      </c>
      <c r="AP186" s="238"/>
      <c r="AQ186" s="238">
        <v>0</v>
      </c>
      <c r="AR186" s="238">
        <v>110667.86079836234</v>
      </c>
      <c r="AS186" s="238">
        <v>8649800</v>
      </c>
      <c r="AT186" s="238" t="s">
        <v>36</v>
      </c>
      <c r="AU186" s="238"/>
      <c r="AW186">
        <v>110667.86079836234</v>
      </c>
      <c r="AX186" s="238">
        <v>0</v>
      </c>
      <c r="AY186" s="238">
        <v>8649800</v>
      </c>
      <c r="BA186" s="238" t="s">
        <v>3</v>
      </c>
      <c r="BB186" s="238" t="s">
        <v>3</v>
      </c>
      <c r="BC186" t="s">
        <v>8951</v>
      </c>
      <c r="BD186" t="s">
        <v>1167</v>
      </c>
      <c r="BE186" t="s">
        <v>8962</v>
      </c>
      <c r="BF186" t="s">
        <v>8975</v>
      </c>
      <c r="BG186" t="b">
        <v>1</v>
      </c>
      <c r="BH186">
        <v>8649800</v>
      </c>
      <c r="BI186">
        <v>8649800</v>
      </c>
      <c r="BJ186">
        <v>0</v>
      </c>
      <c r="BK186">
        <v>0</v>
      </c>
      <c r="BL186">
        <v>0</v>
      </c>
      <c r="BM186" t="s">
        <v>36</v>
      </c>
      <c r="BN186" t="b">
        <v>1</v>
      </c>
      <c r="BO186" t="s">
        <v>8245</v>
      </c>
    </row>
    <row r="187" spans="1:67" x14ac:dyDescent="0.25">
      <c r="A187" s="238">
        <v>186</v>
      </c>
      <c r="B187" s="238">
        <v>3</v>
      </c>
      <c r="C187" s="238">
        <v>2</v>
      </c>
      <c r="D187" s="238">
        <v>6</v>
      </c>
      <c r="E187" s="238">
        <v>0</v>
      </c>
      <c r="F187" s="238">
        <v>16.25</v>
      </c>
      <c r="G187" s="238"/>
      <c r="H187" s="238"/>
      <c r="I187" s="238">
        <v>16.25</v>
      </c>
      <c r="J187" s="238">
        <v>5</v>
      </c>
      <c r="K187" s="238">
        <v>4.2699999999999996</v>
      </c>
      <c r="L187" s="238"/>
      <c r="M187" s="238">
        <v>4.21</v>
      </c>
      <c r="N187" s="238"/>
      <c r="O187" s="238"/>
      <c r="R187" s="238">
        <v>0</v>
      </c>
      <c r="S187" s="238">
        <v>29.73</v>
      </c>
      <c r="T187" s="238">
        <v>29.73</v>
      </c>
      <c r="U187" s="238">
        <v>29.73</v>
      </c>
      <c r="V187" s="238">
        <v>139730</v>
      </c>
      <c r="X187">
        <v>139730</v>
      </c>
      <c r="Y187">
        <v>1000</v>
      </c>
      <c r="Z187">
        <v>140730</v>
      </c>
      <c r="AA187">
        <v>215</v>
      </c>
      <c r="AB187">
        <v>140945</v>
      </c>
      <c r="AC187">
        <v>17.5</v>
      </c>
      <c r="AD187">
        <v>140962.5</v>
      </c>
      <c r="AF187">
        <v>140962.5</v>
      </c>
      <c r="AH187">
        <v>140962.5</v>
      </c>
      <c r="AJ187">
        <v>140962.5</v>
      </c>
      <c r="AL187">
        <v>140962.5</v>
      </c>
      <c r="AM187" s="238">
        <v>140962.5</v>
      </c>
      <c r="AN187" s="238">
        <v>4190900</v>
      </c>
      <c r="AP187" s="238"/>
      <c r="AQ187" s="238">
        <v>0</v>
      </c>
      <c r="AR187" s="238">
        <v>140965.35486041036</v>
      </c>
      <c r="AS187" s="238">
        <v>4190900</v>
      </c>
      <c r="AT187" s="238" t="s">
        <v>36</v>
      </c>
      <c r="AU187" s="238"/>
      <c r="AW187">
        <v>140965.35486041036</v>
      </c>
      <c r="AX187" s="238">
        <v>0</v>
      </c>
      <c r="AY187" s="238">
        <v>4190900</v>
      </c>
      <c r="BA187" s="238" t="s">
        <v>35</v>
      </c>
      <c r="BB187" s="238" t="s">
        <v>35</v>
      </c>
      <c r="BC187" t="s">
        <v>8953</v>
      </c>
      <c r="BD187" t="s">
        <v>8954</v>
      </c>
      <c r="BE187" t="s">
        <v>8962</v>
      </c>
      <c r="BF187" t="s">
        <v>8970</v>
      </c>
      <c r="BG187" t="b">
        <v>1</v>
      </c>
      <c r="BH187">
        <v>4190900</v>
      </c>
      <c r="BI187">
        <v>4190900</v>
      </c>
      <c r="BJ187">
        <v>0</v>
      </c>
      <c r="BK187">
        <v>0</v>
      </c>
      <c r="BL187">
        <v>0</v>
      </c>
      <c r="BM187" t="s">
        <v>36</v>
      </c>
      <c r="BN187" t="b">
        <v>1</v>
      </c>
      <c r="BO187" t="s">
        <v>8246</v>
      </c>
    </row>
    <row r="188" spans="1:67" x14ac:dyDescent="0.25">
      <c r="A188" s="238">
        <v>187</v>
      </c>
      <c r="B188" s="238">
        <v>3</v>
      </c>
      <c r="C188" s="238">
        <v>3</v>
      </c>
      <c r="D188" s="238">
        <v>1</v>
      </c>
      <c r="E188" s="238">
        <v>1</v>
      </c>
      <c r="F188" s="238">
        <v>14.42</v>
      </c>
      <c r="G188" s="238"/>
      <c r="H188" s="238"/>
      <c r="I188" s="238">
        <v>14.42</v>
      </c>
      <c r="J188" s="238">
        <v>16.2</v>
      </c>
      <c r="K188" s="238">
        <v>4.09</v>
      </c>
      <c r="L188" s="238"/>
      <c r="M188" s="238">
        <v>8.0299999999999994</v>
      </c>
      <c r="N188" s="238"/>
      <c r="O188" s="238">
        <v>3.01</v>
      </c>
      <c r="R188" s="238">
        <v>3.01</v>
      </c>
      <c r="S188" s="238">
        <v>45.75</v>
      </c>
      <c r="T188" s="238">
        <v>42.74</v>
      </c>
      <c r="U188" s="238">
        <v>44.25</v>
      </c>
      <c r="V188" s="238">
        <v>121645.2</v>
      </c>
      <c r="W188">
        <v>2432.904</v>
      </c>
      <c r="X188">
        <v>124078.10400000001</v>
      </c>
      <c r="Y188">
        <v>1000</v>
      </c>
      <c r="Z188">
        <v>125078.10400000001</v>
      </c>
      <c r="AA188">
        <v>215</v>
      </c>
      <c r="AB188">
        <v>125293.10400000001</v>
      </c>
      <c r="AC188">
        <v>17.5</v>
      </c>
      <c r="AD188">
        <v>125310.60400000001</v>
      </c>
      <c r="AF188">
        <v>125310.60400000001</v>
      </c>
      <c r="AH188">
        <v>125310.60400000001</v>
      </c>
      <c r="AJ188">
        <v>125310.60400000001</v>
      </c>
      <c r="AL188">
        <v>125310.60400000001</v>
      </c>
      <c r="AM188" s="238">
        <v>125310.6</v>
      </c>
      <c r="AN188" s="238">
        <v>5545000</v>
      </c>
      <c r="AP188" s="238">
        <v>0.02</v>
      </c>
      <c r="AQ188" s="238">
        <v>110900</v>
      </c>
      <c r="AR188" s="238">
        <v>122804.51977401128</v>
      </c>
      <c r="AS188" s="238">
        <v>5434100</v>
      </c>
      <c r="AT188" s="238" t="s">
        <v>36</v>
      </c>
      <c r="AU188" s="238"/>
      <c r="AW188">
        <v>122804.51977401128</v>
      </c>
      <c r="AX188" s="238">
        <v>0</v>
      </c>
      <c r="AY188" s="238">
        <v>5434100</v>
      </c>
      <c r="AZ188" t="s">
        <v>3540</v>
      </c>
      <c r="BA188" s="238" t="s">
        <v>39</v>
      </c>
      <c r="BB188" s="238" t="s">
        <v>39</v>
      </c>
      <c r="BC188" t="s">
        <v>8950</v>
      </c>
      <c r="BD188" t="s">
        <v>1167</v>
      </c>
      <c r="BE188" t="s">
        <v>8962</v>
      </c>
      <c r="BF188" t="s">
        <v>8972</v>
      </c>
      <c r="BG188" t="b">
        <v>1</v>
      </c>
      <c r="BH188">
        <v>5545000</v>
      </c>
      <c r="BI188" t="s">
        <v>9002</v>
      </c>
      <c r="BJ188">
        <v>0</v>
      </c>
      <c r="BK188">
        <v>5545000</v>
      </c>
      <c r="BL188">
        <v>0</v>
      </c>
      <c r="BM188" t="s">
        <v>36</v>
      </c>
      <c r="BN188" t="b">
        <v>1</v>
      </c>
      <c r="BO188" t="s">
        <v>8247</v>
      </c>
    </row>
    <row r="189" spans="1:67" x14ac:dyDescent="0.25">
      <c r="A189" s="238">
        <v>188</v>
      </c>
      <c r="B189" s="238">
        <v>3</v>
      </c>
      <c r="C189" s="238">
        <v>3</v>
      </c>
      <c r="D189" s="238">
        <v>2</v>
      </c>
      <c r="E189" s="238">
        <v>1</v>
      </c>
      <c r="F189" s="238">
        <v>12.76</v>
      </c>
      <c r="G189" s="238"/>
      <c r="H189" s="238"/>
      <c r="I189" s="238">
        <v>12.76</v>
      </c>
      <c r="J189" s="238">
        <v>15.1</v>
      </c>
      <c r="K189" s="238">
        <v>4.22</v>
      </c>
      <c r="L189" s="238"/>
      <c r="M189" s="238">
        <v>3.09</v>
      </c>
      <c r="N189" s="238"/>
      <c r="O189" s="238">
        <v>2.93</v>
      </c>
      <c r="R189" s="238">
        <v>2.93</v>
      </c>
      <c r="S189" s="238">
        <v>38.1</v>
      </c>
      <c r="T189" s="238">
        <v>35.17</v>
      </c>
      <c r="U189" s="238">
        <v>36.64</v>
      </c>
      <c r="V189" s="238">
        <v>125223</v>
      </c>
      <c r="W189">
        <v>2504.46</v>
      </c>
      <c r="X189">
        <v>127727.46</v>
      </c>
      <c r="Y189">
        <v>1000</v>
      </c>
      <c r="Z189">
        <v>128727.46</v>
      </c>
      <c r="AA189">
        <v>215</v>
      </c>
      <c r="AB189">
        <v>128942.46</v>
      </c>
      <c r="AC189">
        <v>17.5</v>
      </c>
      <c r="AD189">
        <v>128959.96</v>
      </c>
      <c r="AE189">
        <v>1934.3994</v>
      </c>
      <c r="AF189">
        <v>130894.3594</v>
      </c>
      <c r="AG189">
        <v>1308.9435940000001</v>
      </c>
      <c r="AH189">
        <v>132203.302994</v>
      </c>
      <c r="AI189">
        <v>1322.03302994</v>
      </c>
      <c r="AJ189">
        <v>133525.33602394001</v>
      </c>
      <c r="AL189">
        <v>133525.33602394001</v>
      </c>
      <c r="AM189" s="238">
        <v>133525.34</v>
      </c>
      <c r="AN189" s="238">
        <v>4892400</v>
      </c>
      <c r="AP189" s="238"/>
      <c r="AQ189" s="238">
        <v>0</v>
      </c>
      <c r="AR189" s="238">
        <v>133526.20087336245</v>
      </c>
      <c r="AS189" s="238">
        <v>4892400</v>
      </c>
      <c r="AT189" s="238" t="s">
        <v>36</v>
      </c>
      <c r="AU189" s="238"/>
      <c r="AW189">
        <v>133526.20087336245</v>
      </c>
      <c r="AX189" s="238">
        <v>0</v>
      </c>
      <c r="AY189" s="238">
        <v>4892400</v>
      </c>
      <c r="BA189" s="238" t="s">
        <v>35</v>
      </c>
      <c r="BB189" s="238" t="s">
        <v>35</v>
      </c>
      <c r="BC189" t="s">
        <v>8953</v>
      </c>
      <c r="BD189" t="s">
        <v>8954</v>
      </c>
      <c r="BE189" t="s">
        <v>8962</v>
      </c>
      <c r="BF189" t="s">
        <v>8972</v>
      </c>
      <c r="BG189" t="b">
        <v>1</v>
      </c>
      <c r="BH189">
        <v>4892400</v>
      </c>
      <c r="BI189">
        <v>4892400</v>
      </c>
      <c r="BJ189">
        <v>0</v>
      </c>
      <c r="BK189">
        <v>0</v>
      </c>
      <c r="BL189">
        <v>0</v>
      </c>
      <c r="BM189" t="s">
        <v>36</v>
      </c>
      <c r="BN189" t="b">
        <v>1</v>
      </c>
      <c r="BO189" t="s">
        <v>8248</v>
      </c>
    </row>
    <row r="190" spans="1:67" x14ac:dyDescent="0.25">
      <c r="A190" s="238">
        <v>189</v>
      </c>
      <c r="B190" s="238">
        <v>3</v>
      </c>
      <c r="C190" s="238">
        <v>3</v>
      </c>
      <c r="D190" s="238">
        <v>3</v>
      </c>
      <c r="E190" s="238">
        <v>2</v>
      </c>
      <c r="F190" s="238">
        <v>15.36</v>
      </c>
      <c r="G190" s="238">
        <v>11.95</v>
      </c>
      <c r="H190" s="238"/>
      <c r="I190" s="238">
        <v>27.31</v>
      </c>
      <c r="J190" s="238">
        <v>14.7</v>
      </c>
      <c r="K190" s="238">
        <v>4.21</v>
      </c>
      <c r="L190" s="238"/>
      <c r="M190" s="238">
        <v>6.6</v>
      </c>
      <c r="N190" s="238"/>
      <c r="O190" s="238">
        <v>3.23</v>
      </c>
      <c r="R190" s="238">
        <v>3.23</v>
      </c>
      <c r="S190" s="238">
        <v>56.05</v>
      </c>
      <c r="T190" s="238">
        <v>52.82</v>
      </c>
      <c r="U190" s="238">
        <v>54.44</v>
      </c>
      <c r="V190" s="238">
        <v>119811.8</v>
      </c>
      <c r="W190">
        <v>2516.0478000000003</v>
      </c>
      <c r="X190">
        <v>122327.8478</v>
      </c>
      <c r="Y190">
        <v>1000</v>
      </c>
      <c r="Z190">
        <v>123327.8478</v>
      </c>
      <c r="AA190">
        <v>215</v>
      </c>
      <c r="AB190">
        <v>123542.8478</v>
      </c>
      <c r="AC190">
        <v>17.5</v>
      </c>
      <c r="AD190">
        <v>123560.3478</v>
      </c>
      <c r="AE190">
        <v>617.801739</v>
      </c>
      <c r="AF190">
        <v>124178.14953900001</v>
      </c>
      <c r="AH190">
        <v>124178.14953900001</v>
      </c>
      <c r="AJ190">
        <v>124178.14953900001</v>
      </c>
      <c r="AL190">
        <v>124178.14953900001</v>
      </c>
      <c r="AM190" s="238">
        <v>124178.15</v>
      </c>
      <c r="AN190" s="238">
        <v>6760300</v>
      </c>
      <c r="AP190" s="238"/>
      <c r="AQ190" s="238">
        <v>0</v>
      </c>
      <c r="AR190" s="238">
        <v>124178.91256429096</v>
      </c>
      <c r="AS190" s="238">
        <v>6760300</v>
      </c>
      <c r="AT190" s="238" t="s">
        <v>36</v>
      </c>
      <c r="AU190" s="238"/>
      <c r="AW190">
        <v>124178.91256429096</v>
      </c>
      <c r="AX190" s="238">
        <v>0</v>
      </c>
      <c r="AY190" s="238">
        <v>6760300</v>
      </c>
      <c r="BA190" s="238" t="s">
        <v>35</v>
      </c>
      <c r="BB190" s="238" t="s">
        <v>35</v>
      </c>
      <c r="BC190" t="s">
        <v>8953</v>
      </c>
      <c r="BD190" t="s">
        <v>8954</v>
      </c>
      <c r="BE190" t="s">
        <v>8962</v>
      </c>
      <c r="BF190" t="s">
        <v>8971</v>
      </c>
      <c r="BG190" t="b">
        <v>1</v>
      </c>
      <c r="BH190">
        <v>6760300</v>
      </c>
      <c r="BI190">
        <v>6760300</v>
      </c>
      <c r="BJ190">
        <v>0</v>
      </c>
      <c r="BK190">
        <v>0</v>
      </c>
      <c r="BL190">
        <v>0</v>
      </c>
      <c r="BM190" t="s">
        <v>36</v>
      </c>
      <c r="BN190" t="b">
        <v>1</v>
      </c>
      <c r="BO190" t="s">
        <v>8249</v>
      </c>
    </row>
    <row r="191" spans="1:67" x14ac:dyDescent="0.25">
      <c r="A191" s="238">
        <v>190</v>
      </c>
      <c r="B191" s="238">
        <v>3</v>
      </c>
      <c r="C191" s="238">
        <v>3</v>
      </c>
      <c r="D191" s="238">
        <v>4</v>
      </c>
      <c r="E191" s="238">
        <v>1</v>
      </c>
      <c r="F191" s="238">
        <v>14.28</v>
      </c>
      <c r="G191" s="238"/>
      <c r="H191" s="238"/>
      <c r="I191" s="238">
        <v>14.28</v>
      </c>
      <c r="J191" s="238">
        <v>13.99</v>
      </c>
      <c r="K191" s="238">
        <v>3.9</v>
      </c>
      <c r="L191" s="238"/>
      <c r="M191" s="238">
        <v>2.6</v>
      </c>
      <c r="N191" s="238"/>
      <c r="O191" s="238">
        <v>3.23</v>
      </c>
      <c r="R191" s="238">
        <v>3.23</v>
      </c>
      <c r="S191" s="238">
        <v>38</v>
      </c>
      <c r="T191" s="238">
        <v>34.770000000000003</v>
      </c>
      <c r="U191" s="238">
        <v>36.39</v>
      </c>
      <c r="V191" s="238">
        <v>124030.39999999999</v>
      </c>
      <c r="X191">
        <v>124030.39999999999</v>
      </c>
      <c r="Y191">
        <v>1000</v>
      </c>
      <c r="Z191">
        <v>125030.39999999999</v>
      </c>
      <c r="AA191">
        <v>215</v>
      </c>
      <c r="AB191">
        <v>125245.4</v>
      </c>
      <c r="AC191">
        <v>17.5</v>
      </c>
      <c r="AD191">
        <v>125262.9</v>
      </c>
      <c r="AE191">
        <v>1878.9435000000001</v>
      </c>
      <c r="AF191">
        <v>127141.8435</v>
      </c>
      <c r="AG191">
        <v>1271.4184349999998</v>
      </c>
      <c r="AH191">
        <v>128413.261935</v>
      </c>
      <c r="AI191">
        <v>1284.1326193499999</v>
      </c>
      <c r="AJ191">
        <v>129697.39455435</v>
      </c>
      <c r="AL191">
        <v>129697.39455435</v>
      </c>
      <c r="AM191" s="238">
        <v>129697.39</v>
      </c>
      <c r="AN191" s="238">
        <v>4719700</v>
      </c>
      <c r="AP191" s="238"/>
      <c r="AQ191" s="238">
        <v>0</v>
      </c>
      <c r="AR191" s="238">
        <v>129697.71915361362</v>
      </c>
      <c r="AS191" s="238">
        <v>4719700</v>
      </c>
      <c r="AT191" s="238" t="s">
        <v>36</v>
      </c>
      <c r="AU191" s="238"/>
      <c r="AW191">
        <v>129697.71915361362</v>
      </c>
      <c r="AX191" s="238">
        <v>0</v>
      </c>
      <c r="AY191" s="238">
        <v>4719700</v>
      </c>
      <c r="BA191" s="238" t="s">
        <v>35</v>
      </c>
      <c r="BB191" s="238" t="s">
        <v>35</v>
      </c>
      <c r="BC191" t="s">
        <v>8953</v>
      </c>
      <c r="BD191" t="s">
        <v>8954</v>
      </c>
      <c r="BE191" t="s">
        <v>8962</v>
      </c>
      <c r="BF191" t="s">
        <v>8973</v>
      </c>
      <c r="BG191" t="b">
        <v>1</v>
      </c>
      <c r="BH191">
        <v>4719700</v>
      </c>
      <c r="BI191">
        <v>4719700</v>
      </c>
      <c r="BJ191">
        <v>0</v>
      </c>
      <c r="BK191">
        <v>0</v>
      </c>
      <c r="BL191">
        <v>0</v>
      </c>
      <c r="BM191" t="s">
        <v>36</v>
      </c>
      <c r="BN191" t="b">
        <v>1</v>
      </c>
      <c r="BO191" t="s">
        <v>8250</v>
      </c>
    </row>
    <row r="192" spans="1:67" x14ac:dyDescent="0.25">
      <c r="A192" s="238">
        <v>191</v>
      </c>
      <c r="B192" s="238">
        <v>3</v>
      </c>
      <c r="C192" s="238">
        <v>3</v>
      </c>
      <c r="D192" s="238">
        <v>5</v>
      </c>
      <c r="E192" s="238">
        <v>3</v>
      </c>
      <c r="F192" s="238">
        <v>18.350000000000001</v>
      </c>
      <c r="G192" s="238">
        <v>15.96</v>
      </c>
      <c r="H192" s="238">
        <v>11.55</v>
      </c>
      <c r="I192" s="238">
        <v>45.86</v>
      </c>
      <c r="J192" s="238">
        <v>11.42</v>
      </c>
      <c r="K192" s="238">
        <v>3.9</v>
      </c>
      <c r="L192" s="238">
        <v>4.37</v>
      </c>
      <c r="M192" s="238">
        <v>11.06</v>
      </c>
      <c r="N192" s="238"/>
      <c r="O192" s="238">
        <v>3.1</v>
      </c>
      <c r="R192" s="238">
        <v>3.1</v>
      </c>
      <c r="S192" s="238">
        <v>79.709999999999994</v>
      </c>
      <c r="T192" s="238">
        <v>76.61</v>
      </c>
      <c r="U192" s="238">
        <v>78.16</v>
      </c>
      <c r="V192" s="238">
        <v>109434.4</v>
      </c>
      <c r="X192">
        <v>109434.4</v>
      </c>
      <c r="Y192">
        <v>1000</v>
      </c>
      <c r="Z192">
        <v>110434.4</v>
      </c>
      <c r="AA192">
        <v>215</v>
      </c>
      <c r="AB192">
        <v>110649.4</v>
      </c>
      <c r="AC192">
        <v>17.5</v>
      </c>
      <c r="AD192">
        <v>110666.9</v>
      </c>
      <c r="AF192">
        <v>110666.9</v>
      </c>
      <c r="AH192">
        <v>110666.9</v>
      </c>
      <c r="AJ192">
        <v>110666.9</v>
      </c>
      <c r="AK192">
        <v>2213.3379999999997</v>
      </c>
      <c r="AL192">
        <v>112880.238</v>
      </c>
      <c r="AM192" s="238">
        <v>112880.24</v>
      </c>
      <c r="AN192" s="238">
        <v>8822800</v>
      </c>
      <c r="AP192" s="238"/>
      <c r="AQ192" s="238">
        <v>0</v>
      </c>
      <c r="AR192" s="238">
        <v>112881.26919140226</v>
      </c>
      <c r="AS192" s="238">
        <v>8822800</v>
      </c>
      <c r="AT192" s="238" t="s">
        <v>36</v>
      </c>
      <c r="AU192" s="238"/>
      <c r="AW192">
        <v>112881.26919140226</v>
      </c>
      <c r="AX192" s="238">
        <v>0</v>
      </c>
      <c r="AY192" s="238">
        <v>8822800</v>
      </c>
      <c r="BA192" s="238" t="s">
        <v>35</v>
      </c>
      <c r="BB192" s="238" t="s">
        <v>35</v>
      </c>
      <c r="BC192" t="s">
        <v>8953</v>
      </c>
      <c r="BD192" t="s">
        <v>8954</v>
      </c>
      <c r="BE192" t="s">
        <v>8962</v>
      </c>
      <c r="BF192" t="s">
        <v>8975</v>
      </c>
      <c r="BG192" t="b">
        <v>1</v>
      </c>
      <c r="BH192">
        <v>8822800</v>
      </c>
      <c r="BI192">
        <v>8822800</v>
      </c>
      <c r="BJ192">
        <v>0</v>
      </c>
      <c r="BK192">
        <v>0</v>
      </c>
      <c r="BL192">
        <v>0</v>
      </c>
      <c r="BM192" t="s">
        <v>36</v>
      </c>
      <c r="BN192" t="b">
        <v>1</v>
      </c>
      <c r="BO192" t="s">
        <v>8251</v>
      </c>
    </row>
    <row r="193" spans="1:67" x14ac:dyDescent="0.25">
      <c r="A193" s="238">
        <v>192</v>
      </c>
      <c r="B193" s="238">
        <v>3</v>
      </c>
      <c r="C193" s="238">
        <v>3</v>
      </c>
      <c r="D193" s="238">
        <v>6</v>
      </c>
      <c r="E193" s="238">
        <v>0</v>
      </c>
      <c r="F193" s="238">
        <v>16.25</v>
      </c>
      <c r="G193" s="238"/>
      <c r="H193" s="238"/>
      <c r="I193" s="238">
        <v>16.25</v>
      </c>
      <c r="J193" s="238">
        <v>5</v>
      </c>
      <c r="K193" s="238">
        <v>4.2699999999999996</v>
      </c>
      <c r="L193" s="238"/>
      <c r="M193" s="238">
        <v>4.21</v>
      </c>
      <c r="N193" s="238"/>
      <c r="O193" s="238"/>
      <c r="R193" s="238">
        <v>0</v>
      </c>
      <c r="S193" s="238">
        <v>29.73</v>
      </c>
      <c r="T193" s="238">
        <v>29.73</v>
      </c>
      <c r="U193" s="238">
        <v>29.73</v>
      </c>
      <c r="V193" s="238">
        <v>138332.70000000001</v>
      </c>
      <c r="X193">
        <v>138332.70000000001</v>
      </c>
      <c r="Y193">
        <v>1000</v>
      </c>
      <c r="Z193">
        <v>139332.70000000001</v>
      </c>
      <c r="AA193">
        <v>215</v>
      </c>
      <c r="AB193">
        <v>139547.70000000001</v>
      </c>
      <c r="AC193">
        <v>17.5</v>
      </c>
      <c r="AD193">
        <v>139565.20000000001</v>
      </c>
      <c r="AF193">
        <v>139565.20000000001</v>
      </c>
      <c r="AH193">
        <v>139565.20000000001</v>
      </c>
      <c r="AJ193">
        <v>139565.20000000001</v>
      </c>
      <c r="AL193">
        <v>139565.20000000001</v>
      </c>
      <c r="AM193" s="238">
        <v>139565.20000000001</v>
      </c>
      <c r="AN193" s="238">
        <v>4149300</v>
      </c>
      <c r="AP193" s="238"/>
      <c r="AQ193" s="238">
        <v>0</v>
      </c>
      <c r="AR193" s="238">
        <v>139566.09485368314</v>
      </c>
      <c r="AS193" s="238">
        <v>4149300</v>
      </c>
      <c r="AT193" s="238" t="s">
        <v>36</v>
      </c>
      <c r="AU193" s="238"/>
      <c r="AW193">
        <v>139566.09485368314</v>
      </c>
      <c r="AX193" s="238">
        <v>0</v>
      </c>
      <c r="AY193" s="238">
        <v>4149300</v>
      </c>
      <c r="BA193" s="238" t="s">
        <v>35</v>
      </c>
      <c r="BB193" s="238" t="s">
        <v>35</v>
      </c>
      <c r="BC193" t="s">
        <v>8953</v>
      </c>
      <c r="BD193" t="s">
        <v>8954</v>
      </c>
      <c r="BE193" t="s">
        <v>8962</v>
      </c>
      <c r="BF193" t="s">
        <v>8970</v>
      </c>
      <c r="BG193" t="b">
        <v>1</v>
      </c>
      <c r="BH193">
        <v>4149300</v>
      </c>
      <c r="BI193">
        <v>4149300</v>
      </c>
      <c r="BJ193">
        <v>0</v>
      </c>
      <c r="BK193">
        <v>0</v>
      </c>
      <c r="BL193">
        <v>0</v>
      </c>
      <c r="BM193" t="s">
        <v>36</v>
      </c>
      <c r="BN193" t="b">
        <v>1</v>
      </c>
      <c r="BO193" t="s">
        <v>8252</v>
      </c>
    </row>
    <row r="194" spans="1:67" x14ac:dyDescent="0.25">
      <c r="A194" s="238">
        <v>193</v>
      </c>
      <c r="B194" s="238">
        <v>3</v>
      </c>
      <c r="C194" s="238">
        <v>4</v>
      </c>
      <c r="D194" s="238">
        <v>1</v>
      </c>
      <c r="E194" s="238">
        <v>1</v>
      </c>
      <c r="F194" s="238">
        <v>14.42</v>
      </c>
      <c r="G194" s="238"/>
      <c r="H194" s="238"/>
      <c r="I194" s="238">
        <v>14.42</v>
      </c>
      <c r="J194" s="238">
        <v>16.2</v>
      </c>
      <c r="K194" s="238">
        <v>4.09</v>
      </c>
      <c r="L194" s="238"/>
      <c r="M194" s="238">
        <v>8.0299999999999994</v>
      </c>
      <c r="N194" s="238"/>
      <c r="O194" s="238">
        <v>3.01</v>
      </c>
      <c r="R194" s="238">
        <v>3.01</v>
      </c>
      <c r="S194" s="238">
        <v>45.75</v>
      </c>
      <c r="T194" s="238">
        <v>42.74</v>
      </c>
      <c r="U194" s="238">
        <v>44.25</v>
      </c>
      <c r="V194" s="238">
        <v>121645.2</v>
      </c>
      <c r="W194">
        <v>2432.904</v>
      </c>
      <c r="X194">
        <v>124078.10400000001</v>
      </c>
      <c r="Y194">
        <v>1000</v>
      </c>
      <c r="Z194">
        <v>125078.10400000001</v>
      </c>
      <c r="AA194">
        <v>215</v>
      </c>
      <c r="AB194">
        <v>125293.10400000001</v>
      </c>
      <c r="AC194">
        <v>17.5</v>
      </c>
      <c r="AD194">
        <v>125310.60400000001</v>
      </c>
      <c r="AE194">
        <v>626.55301999999995</v>
      </c>
      <c r="AF194">
        <v>125937.15702</v>
      </c>
      <c r="AG194">
        <v>1259.3715702</v>
      </c>
      <c r="AH194">
        <v>127196.5285902</v>
      </c>
      <c r="AJ194">
        <v>127196.5285902</v>
      </c>
      <c r="AL194">
        <v>127196.5285902</v>
      </c>
      <c r="AM194" s="238">
        <v>127196.53</v>
      </c>
      <c r="AN194" s="238">
        <v>5628500</v>
      </c>
      <c r="AP194" s="238">
        <v>0.02</v>
      </c>
      <c r="AQ194" s="238">
        <v>112570</v>
      </c>
      <c r="AR194" s="238">
        <v>124653.78531073446</v>
      </c>
      <c r="AS194" s="238">
        <v>5515930</v>
      </c>
      <c r="AT194" s="238" t="s">
        <v>8787</v>
      </c>
      <c r="AU194" s="238">
        <v>10000</v>
      </c>
      <c r="AW194">
        <v>134653.78531073447</v>
      </c>
      <c r="AX194" s="238">
        <v>442500</v>
      </c>
      <c r="AY194" s="238">
        <v>5958430</v>
      </c>
      <c r="AZ194" t="s">
        <v>3540</v>
      </c>
      <c r="BA194" s="238" t="s">
        <v>39</v>
      </c>
      <c r="BB194" s="238" t="s">
        <v>39</v>
      </c>
      <c r="BC194" t="s">
        <v>8950</v>
      </c>
      <c r="BD194" t="s">
        <v>1167</v>
      </c>
      <c r="BE194" t="s">
        <v>8962</v>
      </c>
      <c r="BF194" t="s">
        <v>8972</v>
      </c>
      <c r="BG194" t="b">
        <v>1</v>
      </c>
      <c r="BH194">
        <v>5628500</v>
      </c>
      <c r="BI194" t="s">
        <v>9002</v>
      </c>
      <c r="BJ194">
        <v>0</v>
      </c>
      <c r="BK194">
        <v>5628500</v>
      </c>
      <c r="BL194">
        <v>0</v>
      </c>
      <c r="BM194" t="s">
        <v>8787</v>
      </c>
      <c r="BN194" t="b">
        <v>1</v>
      </c>
      <c r="BO194" t="s">
        <v>8253</v>
      </c>
    </row>
    <row r="195" spans="1:67" x14ac:dyDescent="0.25">
      <c r="A195" s="238">
        <v>194</v>
      </c>
      <c r="B195" s="238">
        <v>3</v>
      </c>
      <c r="C195" s="238">
        <v>4</v>
      </c>
      <c r="D195" s="238">
        <v>2</v>
      </c>
      <c r="E195" s="238">
        <v>1</v>
      </c>
      <c r="F195" s="238">
        <v>12.76</v>
      </c>
      <c r="G195" s="238"/>
      <c r="H195" s="238"/>
      <c r="I195" s="238">
        <v>12.76</v>
      </c>
      <c r="J195" s="238">
        <v>15.1</v>
      </c>
      <c r="K195" s="238">
        <v>4.22</v>
      </c>
      <c r="L195" s="238"/>
      <c r="M195" s="238">
        <v>3.09</v>
      </c>
      <c r="N195" s="238"/>
      <c r="O195" s="238">
        <v>2.93</v>
      </c>
      <c r="R195" s="238">
        <v>2.93</v>
      </c>
      <c r="S195" s="238">
        <v>38.1</v>
      </c>
      <c r="T195" s="238">
        <v>35.17</v>
      </c>
      <c r="U195" s="238">
        <v>36.64</v>
      </c>
      <c r="V195" s="238">
        <v>125223</v>
      </c>
      <c r="W195">
        <v>2504.46</v>
      </c>
      <c r="X195">
        <v>127727.46</v>
      </c>
      <c r="Y195">
        <v>1000</v>
      </c>
      <c r="Z195">
        <v>128727.46</v>
      </c>
      <c r="AB195">
        <v>128727.46</v>
      </c>
      <c r="AD195">
        <v>128727.46</v>
      </c>
      <c r="AF195">
        <v>128727.46</v>
      </c>
      <c r="AH195">
        <v>128727.46</v>
      </c>
      <c r="AJ195">
        <v>128727.46</v>
      </c>
      <c r="AL195">
        <v>128727.46</v>
      </c>
      <c r="AM195" s="238">
        <v>128727.46</v>
      </c>
      <c r="AN195" s="238">
        <v>4716600</v>
      </c>
      <c r="AP195" s="238">
        <v>0.02</v>
      </c>
      <c r="AQ195" s="238">
        <v>94332</v>
      </c>
      <c r="AR195" s="238">
        <v>126153.60262008732</v>
      </c>
      <c r="AS195" s="238">
        <v>4622268</v>
      </c>
      <c r="AT195" s="238" t="s">
        <v>36</v>
      </c>
      <c r="AU195" s="238"/>
      <c r="AW195">
        <v>126153.60262008732</v>
      </c>
      <c r="AX195" s="238">
        <v>0</v>
      </c>
      <c r="AY195" s="238">
        <v>4622268</v>
      </c>
      <c r="AZ195" t="s">
        <v>8359</v>
      </c>
      <c r="BA195" s="238" t="s">
        <v>39</v>
      </c>
      <c r="BB195" s="238" t="s">
        <v>39</v>
      </c>
      <c r="BC195" t="s">
        <v>8950</v>
      </c>
      <c r="BD195" t="s">
        <v>1167</v>
      </c>
      <c r="BE195" t="s">
        <v>8962</v>
      </c>
      <c r="BF195" t="s">
        <v>8972</v>
      </c>
      <c r="BG195" t="b">
        <v>1</v>
      </c>
      <c r="BH195">
        <v>4716600</v>
      </c>
      <c r="BI195" t="s">
        <v>9002</v>
      </c>
      <c r="BJ195">
        <v>0</v>
      </c>
      <c r="BK195">
        <v>4716600</v>
      </c>
      <c r="BL195">
        <v>0</v>
      </c>
      <c r="BM195" t="s">
        <v>36</v>
      </c>
      <c r="BN195" t="b">
        <v>1</v>
      </c>
      <c r="BO195" t="s">
        <v>8254</v>
      </c>
    </row>
    <row r="196" spans="1:67" x14ac:dyDescent="0.25">
      <c r="A196" s="238">
        <v>195</v>
      </c>
      <c r="B196" s="238">
        <v>3</v>
      </c>
      <c r="C196" s="238">
        <v>4</v>
      </c>
      <c r="D196" s="238">
        <v>3</v>
      </c>
      <c r="E196" s="238">
        <v>2</v>
      </c>
      <c r="F196" s="238">
        <v>15.36</v>
      </c>
      <c r="G196" s="238">
        <v>11.95</v>
      </c>
      <c r="H196" s="238"/>
      <c r="I196" s="238">
        <v>27.31</v>
      </c>
      <c r="J196" s="238">
        <v>14.7</v>
      </c>
      <c r="K196" s="238">
        <v>4.21</v>
      </c>
      <c r="L196" s="238"/>
      <c r="M196" s="238">
        <v>6.6</v>
      </c>
      <c r="N196" s="238"/>
      <c r="O196" s="238">
        <v>3.23</v>
      </c>
      <c r="R196" s="238">
        <v>3.23</v>
      </c>
      <c r="S196" s="238">
        <v>56.05</v>
      </c>
      <c r="T196" s="238">
        <v>52.82</v>
      </c>
      <c r="U196" s="238">
        <v>54.44</v>
      </c>
      <c r="V196" s="238">
        <v>119811.8</v>
      </c>
      <c r="W196">
        <v>2516.0478000000003</v>
      </c>
      <c r="X196">
        <v>122327.8478</v>
      </c>
      <c r="Y196">
        <v>1000</v>
      </c>
      <c r="Z196">
        <v>123327.8478</v>
      </c>
      <c r="AA196">
        <v>215</v>
      </c>
      <c r="AB196">
        <v>123542.8478</v>
      </c>
      <c r="AC196">
        <v>17.5</v>
      </c>
      <c r="AD196">
        <v>123560.3478</v>
      </c>
      <c r="AE196">
        <v>617.801739</v>
      </c>
      <c r="AF196">
        <v>124178.14953900001</v>
      </c>
      <c r="AH196">
        <v>124178.14953900001</v>
      </c>
      <c r="AJ196">
        <v>124178.14953900001</v>
      </c>
      <c r="AL196">
        <v>124178.14953900001</v>
      </c>
      <c r="AM196" s="238">
        <v>124178.15</v>
      </c>
      <c r="AN196" s="238">
        <v>6760300</v>
      </c>
      <c r="AP196" s="238"/>
      <c r="AQ196" s="238">
        <v>0</v>
      </c>
      <c r="AR196" s="238">
        <v>124178.91256429096</v>
      </c>
      <c r="AS196" s="238">
        <v>6760300</v>
      </c>
      <c r="AT196" s="238" t="s">
        <v>36</v>
      </c>
      <c r="AU196" s="238"/>
      <c r="AW196">
        <v>124178.91256429096</v>
      </c>
      <c r="AX196" s="238">
        <v>0</v>
      </c>
      <c r="AY196" s="238">
        <v>6760300</v>
      </c>
      <c r="BA196" s="238" t="s">
        <v>35</v>
      </c>
      <c r="BB196" s="238" t="s">
        <v>35</v>
      </c>
      <c r="BC196" t="s">
        <v>8953</v>
      </c>
      <c r="BD196" t="s">
        <v>8954</v>
      </c>
      <c r="BE196" t="s">
        <v>8962</v>
      </c>
      <c r="BF196" t="s">
        <v>8971</v>
      </c>
      <c r="BG196" t="b">
        <v>1</v>
      </c>
      <c r="BH196">
        <v>6760300</v>
      </c>
      <c r="BI196">
        <v>6760300</v>
      </c>
      <c r="BJ196">
        <v>0</v>
      </c>
      <c r="BK196">
        <v>0</v>
      </c>
      <c r="BL196">
        <v>0</v>
      </c>
      <c r="BM196" t="s">
        <v>36</v>
      </c>
      <c r="BN196" t="b">
        <v>1</v>
      </c>
      <c r="BO196" t="s">
        <v>8255</v>
      </c>
    </row>
    <row r="197" spans="1:67" x14ac:dyDescent="0.25">
      <c r="A197" s="238">
        <v>196</v>
      </c>
      <c r="B197" s="238">
        <v>3</v>
      </c>
      <c r="C197" s="238">
        <v>4</v>
      </c>
      <c r="D197" s="238">
        <v>4</v>
      </c>
      <c r="E197" s="238">
        <v>1</v>
      </c>
      <c r="F197" s="238">
        <v>14.28</v>
      </c>
      <c r="G197" s="238"/>
      <c r="H197" s="238"/>
      <c r="I197" s="238">
        <v>14.28</v>
      </c>
      <c r="J197" s="238">
        <v>13.99</v>
      </c>
      <c r="K197" s="238">
        <v>3.9</v>
      </c>
      <c r="L197" s="238"/>
      <c r="M197" s="238">
        <v>2.6</v>
      </c>
      <c r="N197" s="238"/>
      <c r="O197" s="238">
        <v>3.23</v>
      </c>
      <c r="R197" s="238">
        <v>3.23</v>
      </c>
      <c r="S197" s="238">
        <v>38</v>
      </c>
      <c r="T197" s="238">
        <v>34.770000000000003</v>
      </c>
      <c r="U197" s="238">
        <v>36.39</v>
      </c>
      <c r="V197" s="238">
        <v>124030.39999999999</v>
      </c>
      <c r="X197">
        <v>124030.39999999999</v>
      </c>
      <c r="Y197">
        <v>1000</v>
      </c>
      <c r="Z197">
        <v>125030.39999999999</v>
      </c>
      <c r="AA197">
        <v>215</v>
      </c>
      <c r="AB197">
        <v>125245.4</v>
      </c>
      <c r="AC197">
        <v>17.5</v>
      </c>
      <c r="AD197">
        <v>125262.9</v>
      </c>
      <c r="AE197">
        <v>1878.9435000000001</v>
      </c>
      <c r="AF197">
        <v>127141.8435</v>
      </c>
      <c r="AG197">
        <v>1271.4184349999998</v>
      </c>
      <c r="AH197">
        <v>128413.261935</v>
      </c>
      <c r="AI197">
        <v>1284.1326193499999</v>
      </c>
      <c r="AJ197">
        <v>129697.39455435</v>
      </c>
      <c r="AL197">
        <v>129697.39455435</v>
      </c>
      <c r="AM197" s="238">
        <v>129697.39</v>
      </c>
      <c r="AN197" s="238">
        <v>4719700</v>
      </c>
      <c r="AP197" s="238"/>
      <c r="AQ197" s="238">
        <v>0</v>
      </c>
      <c r="AR197" s="238">
        <v>129697.71915361362</v>
      </c>
      <c r="AS197" s="238">
        <v>4719700</v>
      </c>
      <c r="AT197" s="238" t="s">
        <v>38</v>
      </c>
      <c r="AU197" s="238">
        <v>30000</v>
      </c>
      <c r="AV197" t="s">
        <v>8816</v>
      </c>
      <c r="AW197">
        <v>159697.71915361361</v>
      </c>
      <c r="AX197" s="238">
        <v>1091699.9999999993</v>
      </c>
      <c r="AY197" s="238">
        <v>5811399.9999999991</v>
      </c>
      <c r="BA197" s="238" t="s">
        <v>35</v>
      </c>
      <c r="BB197" s="238" t="s">
        <v>35</v>
      </c>
      <c r="BC197" t="s">
        <v>8953</v>
      </c>
      <c r="BD197" t="s">
        <v>8954</v>
      </c>
      <c r="BE197" t="s">
        <v>8962</v>
      </c>
      <c r="BF197" t="s">
        <v>8973</v>
      </c>
      <c r="BG197" t="b">
        <v>1</v>
      </c>
      <c r="BH197">
        <v>4719700</v>
      </c>
      <c r="BI197">
        <v>4719700</v>
      </c>
      <c r="BJ197">
        <v>0</v>
      </c>
      <c r="BK197">
        <v>0</v>
      </c>
      <c r="BL197">
        <v>0</v>
      </c>
      <c r="BM197" t="s">
        <v>38</v>
      </c>
      <c r="BN197" t="b">
        <v>1</v>
      </c>
      <c r="BO197" t="s">
        <v>8256</v>
      </c>
    </row>
    <row r="198" spans="1:67" x14ac:dyDescent="0.25">
      <c r="A198" s="238">
        <v>197</v>
      </c>
      <c r="B198" s="238">
        <v>3</v>
      </c>
      <c r="C198" s="238">
        <v>4</v>
      </c>
      <c r="D198" s="238">
        <v>5</v>
      </c>
      <c r="E198" s="238">
        <v>3</v>
      </c>
      <c r="F198" s="238">
        <v>18.350000000000001</v>
      </c>
      <c r="G198" s="238">
        <v>15.96</v>
      </c>
      <c r="H198" s="238">
        <v>11.55</v>
      </c>
      <c r="I198" s="238">
        <v>45.86</v>
      </c>
      <c r="J198" s="238">
        <v>11.42</v>
      </c>
      <c r="K198" s="238">
        <v>3.9</v>
      </c>
      <c r="L198" s="238">
        <v>4.37</v>
      </c>
      <c r="M198" s="238">
        <v>11.06</v>
      </c>
      <c r="N198" s="238"/>
      <c r="O198" s="238">
        <v>3.1</v>
      </c>
      <c r="R198" s="238">
        <v>3.1</v>
      </c>
      <c r="S198" s="238">
        <v>79.709999999999994</v>
      </c>
      <c r="T198" s="238">
        <v>76.61</v>
      </c>
      <c r="U198" s="238">
        <v>78.16</v>
      </c>
      <c r="V198" s="238">
        <v>109434.4</v>
      </c>
      <c r="X198">
        <v>109434.4</v>
      </c>
      <c r="Y198">
        <v>1000</v>
      </c>
      <c r="Z198">
        <v>110434.4</v>
      </c>
      <c r="AA198">
        <v>215</v>
      </c>
      <c r="AB198">
        <v>110649.4</v>
      </c>
      <c r="AC198">
        <v>17.5</v>
      </c>
      <c r="AD198">
        <v>110666.9</v>
      </c>
      <c r="AF198">
        <v>110666.9</v>
      </c>
      <c r="AH198">
        <v>110666.9</v>
      </c>
      <c r="AJ198">
        <v>110666.9</v>
      </c>
      <c r="AK198">
        <v>2213.3379999999997</v>
      </c>
      <c r="AL198">
        <v>112880.238</v>
      </c>
      <c r="AM198" s="238">
        <v>112880.24</v>
      </c>
      <c r="AN198" s="238">
        <v>8822800</v>
      </c>
      <c r="AP198" s="238"/>
      <c r="AQ198" s="238">
        <v>0</v>
      </c>
      <c r="AR198" s="238">
        <v>112881.26919140226</v>
      </c>
      <c r="AS198" s="238">
        <v>8822800</v>
      </c>
      <c r="AT198" s="238" t="s">
        <v>36</v>
      </c>
      <c r="AU198" s="238"/>
      <c r="AW198">
        <v>112881.26919140226</v>
      </c>
      <c r="AX198" s="238">
        <v>0</v>
      </c>
      <c r="AY198" s="238">
        <v>8822800</v>
      </c>
      <c r="BA198" s="238" t="s">
        <v>35</v>
      </c>
      <c r="BB198" s="238" t="s">
        <v>35</v>
      </c>
      <c r="BC198" t="s">
        <v>8953</v>
      </c>
      <c r="BD198" t="s">
        <v>8954</v>
      </c>
      <c r="BE198" t="s">
        <v>8962</v>
      </c>
      <c r="BF198" t="s">
        <v>8975</v>
      </c>
      <c r="BG198" t="b">
        <v>1</v>
      </c>
      <c r="BH198">
        <v>8822800</v>
      </c>
      <c r="BI198">
        <v>8822800</v>
      </c>
      <c r="BJ198">
        <v>0</v>
      </c>
      <c r="BK198">
        <v>0</v>
      </c>
      <c r="BL198">
        <v>0</v>
      </c>
      <c r="BM198" t="s">
        <v>36</v>
      </c>
      <c r="BN198" t="b">
        <v>1</v>
      </c>
      <c r="BO198" t="s">
        <v>8257</v>
      </c>
    </row>
    <row r="199" spans="1:67" x14ac:dyDescent="0.25">
      <c r="A199" s="238">
        <v>198</v>
      </c>
      <c r="B199" s="238">
        <v>3</v>
      </c>
      <c r="C199" s="238">
        <v>4</v>
      </c>
      <c r="D199" s="238">
        <v>6</v>
      </c>
      <c r="E199" s="238">
        <v>0</v>
      </c>
      <c r="F199" s="238">
        <v>16.25</v>
      </c>
      <c r="G199" s="238"/>
      <c r="H199" s="238"/>
      <c r="I199" s="238">
        <v>16.25</v>
      </c>
      <c r="J199" s="238">
        <v>5</v>
      </c>
      <c r="K199" s="238">
        <v>4.2699999999999996</v>
      </c>
      <c r="L199" s="238"/>
      <c r="M199" s="238">
        <v>4.21</v>
      </c>
      <c r="N199" s="238"/>
      <c r="O199" s="238"/>
      <c r="R199" s="238">
        <v>0</v>
      </c>
      <c r="S199" s="238">
        <v>29.73</v>
      </c>
      <c r="T199" s="238">
        <v>29.73</v>
      </c>
      <c r="U199" s="238">
        <v>29.73</v>
      </c>
      <c r="V199" s="238">
        <v>139730</v>
      </c>
      <c r="X199">
        <v>139730</v>
      </c>
      <c r="Y199">
        <v>1000</v>
      </c>
      <c r="Z199">
        <v>140730</v>
      </c>
      <c r="AA199">
        <v>215</v>
      </c>
      <c r="AB199">
        <v>140945</v>
      </c>
      <c r="AC199">
        <v>17.5</v>
      </c>
      <c r="AD199">
        <v>140962.5</v>
      </c>
      <c r="AF199">
        <v>140962.5</v>
      </c>
      <c r="AH199">
        <v>140962.5</v>
      </c>
      <c r="AJ199">
        <v>140962.5</v>
      </c>
      <c r="AL199">
        <v>140962.5</v>
      </c>
      <c r="AM199" s="238">
        <v>140962.5</v>
      </c>
      <c r="AN199" s="238">
        <v>4190900</v>
      </c>
      <c r="AP199" s="238"/>
      <c r="AQ199" s="238">
        <v>0</v>
      </c>
      <c r="AR199" s="238">
        <v>140965.35486041036</v>
      </c>
      <c r="AS199" s="238">
        <v>4190900</v>
      </c>
      <c r="AT199" s="238" t="s">
        <v>36</v>
      </c>
      <c r="AU199" s="238"/>
      <c r="AW199">
        <v>140965.35486041036</v>
      </c>
      <c r="AX199" s="238">
        <v>0</v>
      </c>
      <c r="AY199" s="238">
        <v>4190900</v>
      </c>
      <c r="BA199" s="238" t="s">
        <v>35</v>
      </c>
      <c r="BB199" s="238" t="s">
        <v>35</v>
      </c>
      <c r="BC199" t="s">
        <v>8953</v>
      </c>
      <c r="BD199" t="s">
        <v>8954</v>
      </c>
      <c r="BE199" t="s">
        <v>8962</v>
      </c>
      <c r="BF199" t="s">
        <v>8970</v>
      </c>
      <c r="BG199" t="b">
        <v>1</v>
      </c>
      <c r="BH199">
        <v>4190900</v>
      </c>
      <c r="BI199">
        <v>4190900</v>
      </c>
      <c r="BJ199">
        <v>0</v>
      </c>
      <c r="BK199">
        <v>0</v>
      </c>
      <c r="BL199">
        <v>0</v>
      </c>
      <c r="BM199" t="s">
        <v>36</v>
      </c>
      <c r="BN199" t="b">
        <v>1</v>
      </c>
      <c r="BO199" t="s">
        <v>8258</v>
      </c>
    </row>
    <row r="200" spans="1:67" x14ac:dyDescent="0.25">
      <c r="A200" s="238">
        <v>199</v>
      </c>
      <c r="B200" s="238">
        <v>3</v>
      </c>
      <c r="C200" s="238">
        <v>5</v>
      </c>
      <c r="D200" s="238">
        <v>1</v>
      </c>
      <c r="E200" s="238">
        <v>1</v>
      </c>
      <c r="F200" s="238">
        <v>14.42</v>
      </c>
      <c r="G200" s="238"/>
      <c r="H200" s="238"/>
      <c r="I200" s="238">
        <v>14.42</v>
      </c>
      <c r="J200" s="238">
        <v>16.2</v>
      </c>
      <c r="K200" s="238">
        <v>4.09</v>
      </c>
      <c r="L200" s="238"/>
      <c r="M200" s="238">
        <v>8.0299999999999994</v>
      </c>
      <c r="N200" s="238"/>
      <c r="O200" s="238">
        <v>3.01</v>
      </c>
      <c r="R200" s="238">
        <v>3.01</v>
      </c>
      <c r="S200" s="238">
        <v>45.75</v>
      </c>
      <c r="T200" s="238">
        <v>42.74</v>
      </c>
      <c r="U200" s="238">
        <v>44.25</v>
      </c>
      <c r="V200" s="238">
        <v>122837.8</v>
      </c>
      <c r="W200">
        <v>2456.7560000000003</v>
      </c>
      <c r="X200">
        <v>125294.556</v>
      </c>
      <c r="Y200">
        <v>1000</v>
      </c>
      <c r="Z200">
        <v>126294.556</v>
      </c>
      <c r="AA200">
        <v>215</v>
      </c>
      <c r="AB200">
        <v>126509.556</v>
      </c>
      <c r="AD200">
        <v>126509.556</v>
      </c>
      <c r="AF200">
        <v>126509.556</v>
      </c>
      <c r="AH200">
        <v>126509.556</v>
      </c>
      <c r="AJ200">
        <v>126509.556</v>
      </c>
      <c r="AL200">
        <v>126509.556</v>
      </c>
      <c r="AM200" s="238">
        <v>126509.56</v>
      </c>
      <c r="AN200" s="238">
        <v>5598100</v>
      </c>
      <c r="AP200" s="238">
        <v>0.02</v>
      </c>
      <c r="AQ200" s="238">
        <v>111962</v>
      </c>
      <c r="AR200" s="238">
        <v>123980.51977401128</v>
      </c>
      <c r="AS200" s="238">
        <v>5486138</v>
      </c>
      <c r="AT200" s="238" t="s">
        <v>8787</v>
      </c>
      <c r="AU200" s="238">
        <v>10000</v>
      </c>
      <c r="AW200">
        <v>133980.51977401128</v>
      </c>
      <c r="AX200" s="238">
        <v>442499.99999999907</v>
      </c>
      <c r="AY200" s="238">
        <v>5928637.9999999991</v>
      </c>
      <c r="AZ200" t="s">
        <v>8518</v>
      </c>
      <c r="BA200" s="238" t="s">
        <v>39</v>
      </c>
      <c r="BB200" s="238" t="s">
        <v>39</v>
      </c>
      <c r="BC200" t="s">
        <v>8950</v>
      </c>
      <c r="BD200" t="s">
        <v>1167</v>
      </c>
      <c r="BE200" t="s">
        <v>8962</v>
      </c>
      <c r="BF200" t="s">
        <v>8972</v>
      </c>
      <c r="BG200" t="b">
        <v>1</v>
      </c>
      <c r="BH200">
        <v>5598100</v>
      </c>
      <c r="BI200" t="s">
        <v>9002</v>
      </c>
      <c r="BJ200">
        <v>5598100</v>
      </c>
      <c r="BK200">
        <v>5598100</v>
      </c>
      <c r="BL200">
        <v>0</v>
      </c>
      <c r="BM200" t="s">
        <v>8787</v>
      </c>
      <c r="BN200" t="b">
        <v>1</v>
      </c>
      <c r="BO200" t="s">
        <v>8259</v>
      </c>
    </row>
    <row r="201" spans="1:67" x14ac:dyDescent="0.25">
      <c r="A201" s="238">
        <v>200</v>
      </c>
      <c r="B201" s="238">
        <v>3</v>
      </c>
      <c r="C201" s="238">
        <v>5</v>
      </c>
      <c r="D201" s="238">
        <v>2</v>
      </c>
      <c r="E201" s="238">
        <v>1</v>
      </c>
      <c r="F201" s="238">
        <v>12.76</v>
      </c>
      <c r="G201" s="238"/>
      <c r="H201" s="238"/>
      <c r="I201" s="238">
        <v>12.76</v>
      </c>
      <c r="J201" s="238">
        <v>15.1</v>
      </c>
      <c r="K201" s="238">
        <v>4.22</v>
      </c>
      <c r="L201" s="238"/>
      <c r="M201" s="238">
        <v>3.09</v>
      </c>
      <c r="N201" s="238"/>
      <c r="O201" s="238">
        <v>2.93</v>
      </c>
      <c r="R201" s="238">
        <v>2.93</v>
      </c>
      <c r="S201" s="238">
        <v>38.1</v>
      </c>
      <c r="T201" s="238">
        <v>35.17</v>
      </c>
      <c r="U201" s="238">
        <v>36.64</v>
      </c>
      <c r="V201" s="238">
        <v>126415.6</v>
      </c>
      <c r="W201">
        <v>2528.3120000000004</v>
      </c>
      <c r="X201">
        <v>128943.912</v>
      </c>
      <c r="Y201">
        <v>1000</v>
      </c>
      <c r="Z201">
        <v>129943.912</v>
      </c>
      <c r="AA201">
        <v>215</v>
      </c>
      <c r="AB201">
        <v>130158.912</v>
      </c>
      <c r="AC201">
        <v>17.5</v>
      </c>
      <c r="AD201">
        <v>130176.412</v>
      </c>
      <c r="AE201">
        <v>1952.64618</v>
      </c>
      <c r="AF201">
        <v>132129.05818000002</v>
      </c>
      <c r="AG201">
        <v>1321.2905818000002</v>
      </c>
      <c r="AH201">
        <v>133450.34876180004</v>
      </c>
      <c r="AI201">
        <v>1334.5034876180005</v>
      </c>
      <c r="AJ201">
        <v>134784.85224941804</v>
      </c>
      <c r="AL201">
        <v>134784.85224941804</v>
      </c>
      <c r="AM201" s="238">
        <v>134784.85</v>
      </c>
      <c r="AN201" s="238">
        <v>4938600</v>
      </c>
      <c r="AP201" s="238"/>
      <c r="AQ201" s="238">
        <v>0</v>
      </c>
      <c r="AR201" s="238">
        <v>134787.11790393014</v>
      </c>
      <c r="AS201" s="238">
        <v>4938600</v>
      </c>
      <c r="AT201" s="238" t="s">
        <v>36</v>
      </c>
      <c r="AU201" s="238"/>
      <c r="AW201">
        <v>134787.11790393014</v>
      </c>
      <c r="AX201" s="238">
        <v>0</v>
      </c>
      <c r="AY201" s="238">
        <v>4938600</v>
      </c>
      <c r="BA201" s="238" t="s">
        <v>35</v>
      </c>
      <c r="BB201" s="238" t="s">
        <v>35</v>
      </c>
      <c r="BC201" t="s">
        <v>8953</v>
      </c>
      <c r="BD201" t="s">
        <v>8954</v>
      </c>
      <c r="BE201" t="s">
        <v>8962</v>
      </c>
      <c r="BF201" t="s">
        <v>8972</v>
      </c>
      <c r="BG201" t="b">
        <v>1</v>
      </c>
      <c r="BH201">
        <v>4938600</v>
      </c>
      <c r="BI201">
        <v>4938600</v>
      </c>
      <c r="BJ201">
        <v>0</v>
      </c>
      <c r="BK201">
        <v>0</v>
      </c>
      <c r="BL201">
        <v>0</v>
      </c>
      <c r="BM201" t="s">
        <v>36</v>
      </c>
      <c r="BN201" t="b">
        <v>1</v>
      </c>
      <c r="BO201" t="s">
        <v>8260</v>
      </c>
    </row>
    <row r="202" spans="1:67" x14ac:dyDescent="0.25">
      <c r="A202" s="238">
        <v>201</v>
      </c>
      <c r="B202" s="238">
        <v>3</v>
      </c>
      <c r="C202" s="238">
        <v>5</v>
      </c>
      <c r="D202" s="238">
        <v>3</v>
      </c>
      <c r="E202" s="238">
        <v>2</v>
      </c>
      <c r="F202" s="238">
        <v>15.36</v>
      </c>
      <c r="G202" s="238">
        <v>11.95</v>
      </c>
      <c r="H202" s="238"/>
      <c r="I202" s="238">
        <v>27.31</v>
      </c>
      <c r="J202" s="238">
        <v>14.7</v>
      </c>
      <c r="K202" s="238">
        <v>4.21</v>
      </c>
      <c r="L202" s="238"/>
      <c r="M202" s="238">
        <v>6.6</v>
      </c>
      <c r="N202" s="238"/>
      <c r="O202" s="238">
        <v>3.23</v>
      </c>
      <c r="R202" s="238">
        <v>3.23</v>
      </c>
      <c r="S202" s="238">
        <v>56.05</v>
      </c>
      <c r="T202" s="238">
        <v>52.82</v>
      </c>
      <c r="U202" s="238">
        <v>54.44</v>
      </c>
      <c r="V202" s="238">
        <v>119811.8</v>
      </c>
      <c r="W202">
        <v>2516.0478000000003</v>
      </c>
      <c r="X202">
        <v>122327.8478</v>
      </c>
      <c r="Y202">
        <v>1000</v>
      </c>
      <c r="Z202">
        <v>123327.8478</v>
      </c>
      <c r="AA202">
        <v>215</v>
      </c>
      <c r="AB202">
        <v>123542.8478</v>
      </c>
      <c r="AC202">
        <v>17.5</v>
      </c>
      <c r="AD202">
        <v>123560.3478</v>
      </c>
      <c r="AE202">
        <v>617.801739</v>
      </c>
      <c r="AF202">
        <v>124178.14953900001</v>
      </c>
      <c r="AH202">
        <v>124178.14953900001</v>
      </c>
      <c r="AJ202">
        <v>124178.14953900001</v>
      </c>
      <c r="AL202">
        <v>124178.14953900001</v>
      </c>
      <c r="AM202" s="238">
        <v>124178.15</v>
      </c>
      <c r="AN202" s="238">
        <v>6760300</v>
      </c>
      <c r="AP202" s="238"/>
      <c r="AQ202" s="238">
        <v>0</v>
      </c>
      <c r="AR202" s="238">
        <v>124178.91256429096</v>
      </c>
      <c r="AS202" s="238">
        <v>6760300</v>
      </c>
      <c r="AT202" s="238" t="s">
        <v>36</v>
      </c>
      <c r="AU202" s="238"/>
      <c r="AW202">
        <v>124178.91256429096</v>
      </c>
      <c r="AX202" s="238">
        <v>0</v>
      </c>
      <c r="AY202" s="238">
        <v>6760300</v>
      </c>
      <c r="BA202" s="238" t="s">
        <v>35</v>
      </c>
      <c r="BB202" s="238" t="s">
        <v>35</v>
      </c>
      <c r="BC202" t="s">
        <v>8953</v>
      </c>
      <c r="BD202" t="s">
        <v>8954</v>
      </c>
      <c r="BE202" t="s">
        <v>8962</v>
      </c>
      <c r="BF202" t="s">
        <v>8971</v>
      </c>
      <c r="BG202" t="b">
        <v>1</v>
      </c>
      <c r="BH202">
        <v>6760300</v>
      </c>
      <c r="BI202">
        <v>6760300</v>
      </c>
      <c r="BJ202">
        <v>0</v>
      </c>
      <c r="BK202">
        <v>0</v>
      </c>
      <c r="BL202">
        <v>0</v>
      </c>
      <c r="BM202" t="s">
        <v>36</v>
      </c>
      <c r="BN202" t="b">
        <v>1</v>
      </c>
      <c r="BO202" t="s">
        <v>8261</v>
      </c>
    </row>
    <row r="203" spans="1:67" x14ac:dyDescent="0.25">
      <c r="A203" s="238">
        <v>202</v>
      </c>
      <c r="B203" s="238">
        <v>3</v>
      </c>
      <c r="C203" s="238">
        <v>5</v>
      </c>
      <c r="D203" s="238">
        <v>4</v>
      </c>
      <c r="E203" s="238">
        <v>1</v>
      </c>
      <c r="F203" s="238">
        <v>14.28</v>
      </c>
      <c r="G203" s="238"/>
      <c r="H203" s="238"/>
      <c r="I203" s="238">
        <v>14.28</v>
      </c>
      <c r="J203" s="238">
        <v>13.99</v>
      </c>
      <c r="K203" s="238">
        <v>3.9</v>
      </c>
      <c r="L203" s="238"/>
      <c r="M203" s="238">
        <v>2.6</v>
      </c>
      <c r="N203" s="238"/>
      <c r="O203" s="238">
        <v>3.23</v>
      </c>
      <c r="R203" s="238">
        <v>3.23</v>
      </c>
      <c r="S203" s="238">
        <v>38</v>
      </c>
      <c r="T203" s="238">
        <v>34.770000000000003</v>
      </c>
      <c r="U203" s="238">
        <v>36.39</v>
      </c>
      <c r="V203" s="238">
        <v>125223</v>
      </c>
      <c r="X203">
        <v>125223</v>
      </c>
      <c r="Y203">
        <v>1000</v>
      </c>
      <c r="Z203">
        <v>126223</v>
      </c>
      <c r="AA203">
        <v>215</v>
      </c>
      <c r="AB203">
        <v>126438</v>
      </c>
      <c r="AC203">
        <v>17.5</v>
      </c>
      <c r="AD203">
        <v>126455.5</v>
      </c>
      <c r="AE203">
        <v>1896.8325</v>
      </c>
      <c r="AF203">
        <v>128352.3325</v>
      </c>
      <c r="AG203">
        <v>1283.5233250000001</v>
      </c>
      <c r="AH203">
        <v>129635.85582500001</v>
      </c>
      <c r="AI203">
        <v>1296.35855825</v>
      </c>
      <c r="AJ203">
        <v>130932.21438325</v>
      </c>
      <c r="AL203">
        <v>130932.21438325</v>
      </c>
      <c r="AM203" s="238">
        <v>130932.21</v>
      </c>
      <c r="AN203" s="238">
        <v>4764700</v>
      </c>
      <c r="AP203" s="238"/>
      <c r="AQ203" s="238">
        <v>0</v>
      </c>
      <c r="AR203" s="238">
        <v>130934.32261610332</v>
      </c>
      <c r="AS203" s="238">
        <v>4764700</v>
      </c>
      <c r="AT203" s="238" t="s">
        <v>36</v>
      </c>
      <c r="AU203" s="238"/>
      <c r="AW203">
        <v>130934.32261610332</v>
      </c>
      <c r="AX203" s="238">
        <v>0</v>
      </c>
      <c r="AY203" s="238">
        <v>4764700</v>
      </c>
      <c r="BA203" s="238" t="s">
        <v>35</v>
      </c>
      <c r="BB203" s="238" t="s">
        <v>35</v>
      </c>
      <c r="BC203" t="s">
        <v>8953</v>
      </c>
      <c r="BD203" t="s">
        <v>8954</v>
      </c>
      <c r="BE203" t="s">
        <v>8962</v>
      </c>
      <c r="BF203" t="s">
        <v>8973</v>
      </c>
      <c r="BG203" t="b">
        <v>1</v>
      </c>
      <c r="BH203">
        <v>4764700</v>
      </c>
      <c r="BI203">
        <v>4764700</v>
      </c>
      <c r="BJ203">
        <v>0</v>
      </c>
      <c r="BK203">
        <v>0</v>
      </c>
      <c r="BL203">
        <v>0</v>
      </c>
      <c r="BM203" t="s">
        <v>36</v>
      </c>
      <c r="BN203" t="b">
        <v>1</v>
      </c>
      <c r="BO203" t="s">
        <v>8262</v>
      </c>
    </row>
    <row r="204" spans="1:67" x14ac:dyDescent="0.25">
      <c r="A204" s="238">
        <v>203</v>
      </c>
      <c r="B204" s="238">
        <v>3</v>
      </c>
      <c r="C204" s="238">
        <v>5</v>
      </c>
      <c r="D204" s="238">
        <v>5</v>
      </c>
      <c r="E204" s="238">
        <v>3</v>
      </c>
      <c r="F204" s="238">
        <v>18.350000000000001</v>
      </c>
      <c r="G204" s="238">
        <v>15.96</v>
      </c>
      <c r="H204" s="238">
        <v>11.55</v>
      </c>
      <c r="I204" s="238">
        <v>45.86</v>
      </c>
      <c r="J204" s="238">
        <v>11.42</v>
      </c>
      <c r="K204" s="238">
        <v>3.9</v>
      </c>
      <c r="L204" s="238">
        <v>4.37</v>
      </c>
      <c r="M204" s="238">
        <v>11.06</v>
      </c>
      <c r="N204" s="238"/>
      <c r="O204" s="238">
        <v>3.1</v>
      </c>
      <c r="R204" s="238">
        <v>3.1</v>
      </c>
      <c r="S204" s="238">
        <v>79.709999999999994</v>
      </c>
      <c r="T204" s="238">
        <v>76.61</v>
      </c>
      <c r="U204" s="238">
        <v>78.16</v>
      </c>
      <c r="V204" s="238">
        <v>108402</v>
      </c>
      <c r="X204">
        <v>108402</v>
      </c>
      <c r="Y204">
        <v>1000</v>
      </c>
      <c r="Z204">
        <v>109402</v>
      </c>
      <c r="AA204">
        <v>215</v>
      </c>
      <c r="AB204">
        <v>109617</v>
      </c>
      <c r="AC204">
        <v>17.5</v>
      </c>
      <c r="AD204">
        <v>109634.5</v>
      </c>
      <c r="AF204">
        <v>109634.5</v>
      </c>
      <c r="AH204">
        <v>109634.5</v>
      </c>
      <c r="AJ204">
        <v>109634.5</v>
      </c>
      <c r="AK204">
        <v>2192.69</v>
      </c>
      <c r="AL204">
        <v>111827.19</v>
      </c>
      <c r="AM204" s="238">
        <v>111827.19</v>
      </c>
      <c r="AN204" s="238">
        <v>8740500</v>
      </c>
      <c r="AP204" s="238"/>
      <c r="AQ204" s="238">
        <v>0</v>
      </c>
      <c r="AR204" s="238">
        <v>111828.30092118731</v>
      </c>
      <c r="AS204" s="238">
        <v>8740500</v>
      </c>
      <c r="AT204" s="238" t="s">
        <v>36</v>
      </c>
      <c r="AU204" s="238"/>
      <c r="AW204">
        <v>111828.30092118731</v>
      </c>
      <c r="AX204" s="238">
        <v>0</v>
      </c>
      <c r="AY204" s="238">
        <v>8740500</v>
      </c>
      <c r="BA204" s="238" t="s">
        <v>35</v>
      </c>
      <c r="BB204" s="238" t="s">
        <v>35</v>
      </c>
      <c r="BC204" t="s">
        <v>8953</v>
      </c>
      <c r="BD204" t="s">
        <v>8954</v>
      </c>
      <c r="BE204" t="s">
        <v>8962</v>
      </c>
      <c r="BF204" t="s">
        <v>8975</v>
      </c>
      <c r="BG204" t="b">
        <v>1</v>
      </c>
      <c r="BH204">
        <v>8740500</v>
      </c>
      <c r="BI204">
        <v>8740500</v>
      </c>
      <c r="BJ204">
        <v>0</v>
      </c>
      <c r="BK204">
        <v>0</v>
      </c>
      <c r="BL204">
        <v>0</v>
      </c>
      <c r="BM204" t="s">
        <v>36</v>
      </c>
      <c r="BN204" t="b">
        <v>1</v>
      </c>
      <c r="BO204" t="s">
        <v>8263</v>
      </c>
    </row>
    <row r="205" spans="1:67" x14ac:dyDescent="0.25">
      <c r="A205" s="238">
        <v>204</v>
      </c>
      <c r="B205" s="238">
        <v>3</v>
      </c>
      <c r="C205" s="238">
        <v>5</v>
      </c>
      <c r="D205" s="238">
        <v>6</v>
      </c>
      <c r="E205" s="238">
        <v>0</v>
      </c>
      <c r="F205" s="238">
        <v>16.25</v>
      </c>
      <c r="G205" s="238"/>
      <c r="H205" s="238"/>
      <c r="I205" s="238">
        <v>16.25</v>
      </c>
      <c r="J205" s="238">
        <v>5</v>
      </c>
      <c r="K205" s="238">
        <v>4.2699999999999996</v>
      </c>
      <c r="L205" s="238"/>
      <c r="M205" s="238">
        <v>4.21</v>
      </c>
      <c r="N205" s="238"/>
      <c r="O205" s="238"/>
      <c r="R205" s="238">
        <v>0</v>
      </c>
      <c r="S205" s="238">
        <v>29.73</v>
      </c>
      <c r="T205" s="238">
        <v>29.73</v>
      </c>
      <c r="U205" s="238">
        <v>29.73</v>
      </c>
      <c r="V205" s="238">
        <v>138332.70000000001</v>
      </c>
      <c r="X205">
        <v>138332.70000000001</v>
      </c>
      <c r="Y205">
        <v>1000</v>
      </c>
      <c r="Z205">
        <v>139332.70000000001</v>
      </c>
      <c r="AA205">
        <v>215</v>
      </c>
      <c r="AB205">
        <v>139547.70000000001</v>
      </c>
      <c r="AC205">
        <v>17.5</v>
      </c>
      <c r="AD205">
        <v>139565.20000000001</v>
      </c>
      <c r="AF205">
        <v>139565.20000000001</v>
      </c>
      <c r="AH205">
        <v>139565.20000000001</v>
      </c>
      <c r="AJ205">
        <v>139565.20000000001</v>
      </c>
      <c r="AL205">
        <v>139565.20000000001</v>
      </c>
      <c r="AM205" s="238">
        <v>139565.20000000001</v>
      </c>
      <c r="AN205" s="238">
        <v>4149300</v>
      </c>
      <c r="AP205" s="238"/>
      <c r="AQ205" s="238">
        <v>0</v>
      </c>
      <c r="AR205" s="238">
        <v>139566.09485368314</v>
      </c>
      <c r="AS205" s="238">
        <v>4149300</v>
      </c>
      <c r="AT205" s="238" t="s">
        <v>36</v>
      </c>
      <c r="AU205" s="238"/>
      <c r="AW205">
        <v>139566.09485368314</v>
      </c>
      <c r="AX205" s="238">
        <v>0</v>
      </c>
      <c r="AY205" s="238">
        <v>4149300</v>
      </c>
      <c r="BA205" s="238" t="s">
        <v>35</v>
      </c>
      <c r="BB205" s="238" t="s">
        <v>35</v>
      </c>
      <c r="BC205" t="s">
        <v>8953</v>
      </c>
      <c r="BD205" t="s">
        <v>8954</v>
      </c>
      <c r="BE205" t="s">
        <v>8962</v>
      </c>
      <c r="BF205" t="s">
        <v>8970</v>
      </c>
      <c r="BG205" t="b">
        <v>1</v>
      </c>
      <c r="BH205">
        <v>4149300</v>
      </c>
      <c r="BI205">
        <v>4149300</v>
      </c>
      <c r="BJ205">
        <v>0</v>
      </c>
      <c r="BK205">
        <v>0</v>
      </c>
      <c r="BL205">
        <v>0</v>
      </c>
      <c r="BM205" t="s">
        <v>36</v>
      </c>
      <c r="BN205" t="b">
        <v>1</v>
      </c>
      <c r="BO205" t="s">
        <v>8264</v>
      </c>
    </row>
    <row r="206" spans="1:67" x14ac:dyDescent="0.25">
      <c r="A206" s="238">
        <v>205</v>
      </c>
      <c r="B206" s="238">
        <v>3</v>
      </c>
      <c r="C206" s="238">
        <v>6</v>
      </c>
      <c r="D206" s="238">
        <v>1</v>
      </c>
      <c r="E206" s="238">
        <v>1</v>
      </c>
      <c r="F206" s="238">
        <v>14.42</v>
      </c>
      <c r="G206" s="238"/>
      <c r="H206" s="238"/>
      <c r="I206" s="238">
        <v>14.42</v>
      </c>
      <c r="J206" s="238">
        <v>16.2</v>
      </c>
      <c r="K206" s="238">
        <v>4.09</v>
      </c>
      <c r="L206" s="238"/>
      <c r="M206" s="238">
        <v>8.0299999999999994</v>
      </c>
      <c r="N206" s="238"/>
      <c r="O206" s="238">
        <v>3.01</v>
      </c>
      <c r="R206" s="238">
        <v>3.01</v>
      </c>
      <c r="S206" s="238">
        <v>45.75</v>
      </c>
      <c r="T206" s="238">
        <v>42.74</v>
      </c>
      <c r="U206" s="238">
        <v>44.25</v>
      </c>
      <c r="V206" s="238">
        <v>122837.8</v>
      </c>
      <c r="W206">
        <v>2456.7560000000003</v>
      </c>
      <c r="X206">
        <v>125294.556</v>
      </c>
      <c r="Y206">
        <v>1000</v>
      </c>
      <c r="Z206">
        <v>126294.556</v>
      </c>
      <c r="AA206">
        <v>215</v>
      </c>
      <c r="AB206">
        <v>126509.556</v>
      </c>
      <c r="AC206">
        <v>17.5</v>
      </c>
      <c r="AD206">
        <v>126527.056</v>
      </c>
      <c r="AE206">
        <v>632.63527999999997</v>
      </c>
      <c r="AF206">
        <v>127159.69128</v>
      </c>
      <c r="AG206">
        <v>1271.5969127999999</v>
      </c>
      <c r="AH206">
        <v>128431.2881928</v>
      </c>
      <c r="AI206">
        <v>1284.312881928</v>
      </c>
      <c r="AJ206">
        <v>129715.60107472799</v>
      </c>
      <c r="AL206">
        <v>129715.60107472799</v>
      </c>
      <c r="AM206" s="238">
        <v>129715.6</v>
      </c>
      <c r="AN206" s="238">
        <v>5740000</v>
      </c>
      <c r="AP206" s="238">
        <v>0.02</v>
      </c>
      <c r="AQ206" s="238">
        <v>114800</v>
      </c>
      <c r="AR206" s="238">
        <v>127123.16384180792</v>
      </c>
      <c r="AS206" s="238">
        <v>5625200</v>
      </c>
      <c r="AT206" s="238" t="s">
        <v>36</v>
      </c>
      <c r="AU206" s="238"/>
      <c r="AW206">
        <v>127123.16384180792</v>
      </c>
      <c r="AX206" s="238">
        <v>0</v>
      </c>
      <c r="AY206" s="238">
        <v>5625200</v>
      </c>
      <c r="AZ206" t="s">
        <v>8803</v>
      </c>
      <c r="BA206" s="238" t="s">
        <v>39</v>
      </c>
      <c r="BB206" s="238" t="s">
        <v>39</v>
      </c>
      <c r="BC206" t="s">
        <v>8950</v>
      </c>
      <c r="BD206" t="s">
        <v>1167</v>
      </c>
      <c r="BE206" t="s">
        <v>8962</v>
      </c>
      <c r="BF206" t="s">
        <v>8972</v>
      </c>
      <c r="BG206" t="b">
        <v>1</v>
      </c>
      <c r="BH206">
        <v>5740000</v>
      </c>
      <c r="BI206" t="s">
        <v>9002</v>
      </c>
      <c r="BJ206">
        <v>0</v>
      </c>
      <c r="BK206">
        <v>5740000</v>
      </c>
      <c r="BL206">
        <v>0</v>
      </c>
      <c r="BM206" t="s">
        <v>36</v>
      </c>
      <c r="BN206" t="b">
        <v>1</v>
      </c>
      <c r="BO206" t="s">
        <v>8265</v>
      </c>
    </row>
    <row r="207" spans="1:67" x14ac:dyDescent="0.25">
      <c r="A207" s="238">
        <v>206</v>
      </c>
      <c r="B207" s="238">
        <v>3</v>
      </c>
      <c r="C207" s="238">
        <v>6</v>
      </c>
      <c r="D207" s="238">
        <v>2</v>
      </c>
      <c r="E207" s="238">
        <v>1</v>
      </c>
      <c r="F207" s="238">
        <v>12.76</v>
      </c>
      <c r="G207" s="238"/>
      <c r="H207" s="238"/>
      <c r="I207" s="238">
        <v>12.76</v>
      </c>
      <c r="J207" s="238">
        <v>15.1</v>
      </c>
      <c r="K207" s="238">
        <v>4.22</v>
      </c>
      <c r="L207" s="238"/>
      <c r="M207" s="238">
        <v>3.09</v>
      </c>
      <c r="N207" s="238"/>
      <c r="O207" s="238">
        <v>2.93</v>
      </c>
      <c r="R207" s="238">
        <v>2.93</v>
      </c>
      <c r="S207" s="238">
        <v>38.1</v>
      </c>
      <c r="T207" s="238">
        <v>35.17</v>
      </c>
      <c r="U207" s="238">
        <v>36.64</v>
      </c>
      <c r="V207" s="238">
        <v>126415.6</v>
      </c>
      <c r="W207">
        <v>2528.3120000000004</v>
      </c>
      <c r="X207">
        <v>128943.912</v>
      </c>
      <c r="Y207">
        <v>1000</v>
      </c>
      <c r="Z207">
        <v>129943.912</v>
      </c>
      <c r="AB207">
        <v>129943.912</v>
      </c>
      <c r="AD207">
        <v>129943.912</v>
      </c>
      <c r="AF207">
        <v>129943.912</v>
      </c>
      <c r="AH207">
        <v>129943.912</v>
      </c>
      <c r="AJ207">
        <v>129943.912</v>
      </c>
      <c r="AL207">
        <v>129943.912</v>
      </c>
      <c r="AM207" s="238">
        <v>129943.91</v>
      </c>
      <c r="AN207" s="238">
        <v>4761200</v>
      </c>
      <c r="AP207" s="238">
        <v>0.02</v>
      </c>
      <c r="AQ207" s="238">
        <v>95224</v>
      </c>
      <c r="AR207" s="238">
        <v>127346.50655021834</v>
      </c>
      <c r="AS207" s="238">
        <v>4665976</v>
      </c>
      <c r="AT207" s="238" t="s">
        <v>36</v>
      </c>
      <c r="AU207" s="238"/>
      <c r="AW207">
        <v>127346.50655021834</v>
      </c>
      <c r="AX207" s="238">
        <v>0</v>
      </c>
      <c r="AY207" s="238">
        <v>4665976</v>
      </c>
      <c r="AZ207" t="s">
        <v>8359</v>
      </c>
      <c r="BA207" s="238" t="s">
        <v>39</v>
      </c>
      <c r="BB207" s="238" t="s">
        <v>39</v>
      </c>
      <c r="BC207" t="s">
        <v>8950</v>
      </c>
      <c r="BD207" t="s">
        <v>1167</v>
      </c>
      <c r="BE207" t="s">
        <v>8962</v>
      </c>
      <c r="BF207" t="s">
        <v>8972</v>
      </c>
      <c r="BG207" t="b">
        <v>1</v>
      </c>
      <c r="BH207">
        <v>4761200</v>
      </c>
      <c r="BI207" t="s">
        <v>9002</v>
      </c>
      <c r="BJ207">
        <v>0</v>
      </c>
      <c r="BK207">
        <v>4761200</v>
      </c>
      <c r="BL207">
        <v>0</v>
      </c>
      <c r="BM207" t="s">
        <v>36</v>
      </c>
      <c r="BN207" t="b">
        <v>1</v>
      </c>
      <c r="BO207" t="s">
        <v>8266</v>
      </c>
    </row>
    <row r="208" spans="1:67" x14ac:dyDescent="0.25">
      <c r="A208" s="238">
        <v>207</v>
      </c>
      <c r="B208" s="238">
        <v>3</v>
      </c>
      <c r="C208" s="238">
        <v>6</v>
      </c>
      <c r="D208" s="238">
        <v>3</v>
      </c>
      <c r="E208" s="238">
        <v>2</v>
      </c>
      <c r="F208" s="238">
        <v>15.36</v>
      </c>
      <c r="G208" s="238">
        <v>11.95</v>
      </c>
      <c r="H208" s="238"/>
      <c r="I208" s="238">
        <v>27.31</v>
      </c>
      <c r="J208" s="238">
        <v>14.7</v>
      </c>
      <c r="K208" s="238">
        <v>4.21</v>
      </c>
      <c r="L208" s="238"/>
      <c r="M208" s="238">
        <v>6.6</v>
      </c>
      <c r="N208" s="238"/>
      <c r="O208" s="238">
        <v>3.23</v>
      </c>
      <c r="R208" s="238">
        <v>3.23</v>
      </c>
      <c r="S208" s="238">
        <v>56.05</v>
      </c>
      <c r="T208" s="238">
        <v>52.82</v>
      </c>
      <c r="U208" s="238">
        <v>54.44</v>
      </c>
      <c r="V208" s="238">
        <v>119811.8</v>
      </c>
      <c r="W208">
        <v>2516.0478000000003</v>
      </c>
      <c r="X208">
        <v>122327.8478</v>
      </c>
      <c r="Y208">
        <v>1000</v>
      </c>
      <c r="Z208">
        <v>123327.8478</v>
      </c>
      <c r="AA208">
        <v>215</v>
      </c>
      <c r="AB208">
        <v>123542.8478</v>
      </c>
      <c r="AC208">
        <v>17.5</v>
      </c>
      <c r="AD208">
        <v>123560.3478</v>
      </c>
      <c r="AE208">
        <v>617.801739</v>
      </c>
      <c r="AF208">
        <v>124178.14953900001</v>
      </c>
      <c r="AH208">
        <v>124178.14953900001</v>
      </c>
      <c r="AJ208">
        <v>124178.14953900001</v>
      </c>
      <c r="AL208">
        <v>124178.14953900001</v>
      </c>
      <c r="AM208" s="238">
        <v>124178.15</v>
      </c>
      <c r="AN208" s="238">
        <v>6760300</v>
      </c>
      <c r="AP208" s="238">
        <v>0.02</v>
      </c>
      <c r="AQ208" s="238">
        <v>135206</v>
      </c>
      <c r="AR208" s="238">
        <v>121695.33431300517</v>
      </c>
      <c r="AS208" s="238">
        <v>6625094</v>
      </c>
      <c r="AT208" s="238" t="s">
        <v>8787</v>
      </c>
      <c r="AU208" s="238">
        <v>10000</v>
      </c>
      <c r="AW208">
        <v>131695.33431300515</v>
      </c>
      <c r="AX208" s="238">
        <v>544400</v>
      </c>
      <c r="AY208" s="238">
        <v>7169494</v>
      </c>
      <c r="BA208" s="238" t="s">
        <v>39</v>
      </c>
      <c r="BB208" s="238" t="s">
        <v>39</v>
      </c>
      <c r="BC208" t="s">
        <v>8950</v>
      </c>
      <c r="BD208" t="s">
        <v>1167</v>
      </c>
      <c r="BE208" t="s">
        <v>8962</v>
      </c>
      <c r="BF208" t="s">
        <v>8971</v>
      </c>
      <c r="BG208" t="b">
        <v>1</v>
      </c>
      <c r="BH208">
        <v>6760300</v>
      </c>
      <c r="BI208" t="s">
        <v>9002</v>
      </c>
      <c r="BJ208">
        <v>0</v>
      </c>
      <c r="BK208">
        <v>6760300</v>
      </c>
      <c r="BL208">
        <v>0</v>
      </c>
      <c r="BM208" t="s">
        <v>8787</v>
      </c>
      <c r="BN208" t="b">
        <v>1</v>
      </c>
      <c r="BO208" t="s">
        <v>8267</v>
      </c>
    </row>
    <row r="209" spans="1:67" x14ac:dyDescent="0.25">
      <c r="A209" s="238">
        <v>208</v>
      </c>
      <c r="B209" s="238">
        <v>3</v>
      </c>
      <c r="C209" s="238">
        <v>6</v>
      </c>
      <c r="D209" s="238">
        <v>4</v>
      </c>
      <c r="E209" s="238">
        <v>1</v>
      </c>
      <c r="F209" s="238">
        <v>14.28</v>
      </c>
      <c r="G209" s="238"/>
      <c r="H209" s="238"/>
      <c r="I209" s="238">
        <v>14.28</v>
      </c>
      <c r="J209" s="238">
        <v>13.99</v>
      </c>
      <c r="K209" s="238">
        <v>3.9</v>
      </c>
      <c r="L209" s="238"/>
      <c r="M209" s="238">
        <v>2.6</v>
      </c>
      <c r="N209" s="238"/>
      <c r="O209" s="238">
        <v>3.23</v>
      </c>
      <c r="R209" s="238">
        <v>3.23</v>
      </c>
      <c r="S209" s="238">
        <v>38</v>
      </c>
      <c r="T209" s="238">
        <v>34.770000000000003</v>
      </c>
      <c r="U209" s="238">
        <v>36.39</v>
      </c>
      <c r="V209" s="238">
        <v>125223</v>
      </c>
      <c r="X209">
        <v>125223</v>
      </c>
      <c r="Y209">
        <v>1000</v>
      </c>
      <c r="Z209">
        <v>126223</v>
      </c>
      <c r="AA209">
        <v>215</v>
      </c>
      <c r="AB209">
        <v>126438</v>
      </c>
      <c r="AC209">
        <v>17.5</v>
      </c>
      <c r="AD209">
        <v>126455.5</v>
      </c>
      <c r="AE209">
        <v>1896.8325</v>
      </c>
      <c r="AF209">
        <v>128352.3325</v>
      </c>
      <c r="AG209">
        <v>1283.5233250000001</v>
      </c>
      <c r="AH209">
        <v>129635.85582500001</v>
      </c>
      <c r="AI209">
        <v>1296.35855825</v>
      </c>
      <c r="AJ209">
        <v>130932.21438325</v>
      </c>
      <c r="AL209">
        <v>130932.21438325</v>
      </c>
      <c r="AM209" s="238">
        <v>130932.21</v>
      </c>
      <c r="AN209" s="238">
        <v>4764700</v>
      </c>
      <c r="AP209" s="238"/>
      <c r="AQ209" s="238">
        <v>0</v>
      </c>
      <c r="AR209" s="238">
        <v>130934.32261610332</v>
      </c>
      <c r="AS209" s="238">
        <v>4764700</v>
      </c>
      <c r="AT209" s="238" t="s">
        <v>38</v>
      </c>
      <c r="AU209" s="238">
        <v>30000</v>
      </c>
      <c r="AV209" t="s">
        <v>8816</v>
      </c>
      <c r="AW209">
        <v>160934.32261610334</v>
      </c>
      <c r="AX209" s="238">
        <v>1091700.0000000007</v>
      </c>
      <c r="AY209" s="238">
        <v>5856400.0000000009</v>
      </c>
      <c r="BA209" s="238" t="s">
        <v>35</v>
      </c>
      <c r="BB209" s="238" t="s">
        <v>35</v>
      </c>
      <c r="BC209" t="s">
        <v>8953</v>
      </c>
      <c r="BD209" t="s">
        <v>8954</v>
      </c>
      <c r="BE209" t="s">
        <v>8962</v>
      </c>
      <c r="BF209" t="s">
        <v>8973</v>
      </c>
      <c r="BG209" t="b">
        <v>1</v>
      </c>
      <c r="BH209">
        <v>4764700</v>
      </c>
      <c r="BI209">
        <v>4764700</v>
      </c>
      <c r="BJ209">
        <v>0</v>
      </c>
      <c r="BK209">
        <v>0</v>
      </c>
      <c r="BL209">
        <v>0</v>
      </c>
      <c r="BM209" t="s">
        <v>38</v>
      </c>
      <c r="BN209" t="b">
        <v>1</v>
      </c>
      <c r="BO209" t="s">
        <v>8268</v>
      </c>
    </row>
    <row r="210" spans="1:67" x14ac:dyDescent="0.25">
      <c r="A210" s="238">
        <v>209</v>
      </c>
      <c r="B210" s="238">
        <v>3</v>
      </c>
      <c r="C210" s="238">
        <v>6</v>
      </c>
      <c r="D210" s="238">
        <v>5</v>
      </c>
      <c r="E210" s="238">
        <v>3</v>
      </c>
      <c r="F210" s="238">
        <v>18.350000000000001</v>
      </c>
      <c r="G210" s="238">
        <v>15.96</v>
      </c>
      <c r="H210" s="238">
        <v>11.55</v>
      </c>
      <c r="I210" s="238">
        <v>45.86</v>
      </c>
      <c r="J210" s="238">
        <v>11.42</v>
      </c>
      <c r="K210" s="238">
        <v>3.9</v>
      </c>
      <c r="L210" s="238">
        <v>4.37</v>
      </c>
      <c r="M210" s="238">
        <v>11.06</v>
      </c>
      <c r="N210" s="238"/>
      <c r="O210" s="238">
        <v>3.1</v>
      </c>
      <c r="R210" s="238">
        <v>3.1</v>
      </c>
      <c r="S210" s="238">
        <v>79.709999999999994</v>
      </c>
      <c r="T210" s="238">
        <v>76.61</v>
      </c>
      <c r="U210" s="238">
        <v>78.16</v>
      </c>
      <c r="V210" s="238">
        <v>108402</v>
      </c>
      <c r="X210">
        <v>108402</v>
      </c>
      <c r="Y210">
        <v>1000</v>
      </c>
      <c r="Z210">
        <v>109402</v>
      </c>
      <c r="AA210">
        <v>215</v>
      </c>
      <c r="AB210">
        <v>109617</v>
      </c>
      <c r="AC210">
        <v>17.5</v>
      </c>
      <c r="AD210">
        <v>109634.5</v>
      </c>
      <c r="AF210">
        <v>109634.5</v>
      </c>
      <c r="AH210">
        <v>109634.5</v>
      </c>
      <c r="AJ210">
        <v>109634.5</v>
      </c>
      <c r="AK210">
        <v>2192.69</v>
      </c>
      <c r="AL210">
        <v>111827.19</v>
      </c>
      <c r="AM210" s="238">
        <v>111827.19</v>
      </c>
      <c r="AN210" s="238">
        <v>8740500</v>
      </c>
      <c r="AP210" s="238"/>
      <c r="AQ210" s="238">
        <v>0</v>
      </c>
      <c r="AR210" s="238">
        <v>111828.30092118731</v>
      </c>
      <c r="AS210" s="238">
        <v>8740500</v>
      </c>
      <c r="AT210" s="238" t="s">
        <v>36</v>
      </c>
      <c r="AU210" s="238"/>
      <c r="AW210">
        <v>111828.30092118731</v>
      </c>
      <c r="AX210" s="238">
        <v>0</v>
      </c>
      <c r="AY210" s="238">
        <v>8740500</v>
      </c>
      <c r="BA210" s="238" t="s">
        <v>3</v>
      </c>
      <c r="BB210" s="238" t="s">
        <v>3</v>
      </c>
      <c r="BC210" t="s">
        <v>8951</v>
      </c>
      <c r="BD210" t="s">
        <v>1167</v>
      </c>
      <c r="BE210" t="s">
        <v>8962</v>
      </c>
      <c r="BF210" t="s">
        <v>8975</v>
      </c>
      <c r="BG210" t="b">
        <v>1</v>
      </c>
      <c r="BH210">
        <v>8740500</v>
      </c>
      <c r="BI210">
        <v>8740500</v>
      </c>
      <c r="BJ210">
        <v>0</v>
      </c>
      <c r="BK210">
        <v>0</v>
      </c>
      <c r="BL210">
        <v>0</v>
      </c>
      <c r="BM210" t="s">
        <v>36</v>
      </c>
      <c r="BN210" t="b">
        <v>1</v>
      </c>
      <c r="BO210" t="s">
        <v>8269</v>
      </c>
    </row>
    <row r="211" spans="1:67" x14ac:dyDescent="0.25">
      <c r="A211" s="238">
        <v>210</v>
      </c>
      <c r="B211" s="238">
        <v>3</v>
      </c>
      <c r="C211" s="238">
        <v>6</v>
      </c>
      <c r="D211" s="238">
        <v>6</v>
      </c>
      <c r="E211" s="238">
        <v>0</v>
      </c>
      <c r="F211" s="238">
        <v>16.25</v>
      </c>
      <c r="G211" s="238"/>
      <c r="H211" s="238"/>
      <c r="I211" s="238">
        <v>16.25</v>
      </c>
      <c r="J211" s="238">
        <v>5</v>
      </c>
      <c r="K211" s="238">
        <v>4.2699999999999996</v>
      </c>
      <c r="L211" s="238"/>
      <c r="M211" s="238">
        <v>4.21</v>
      </c>
      <c r="N211" s="238"/>
      <c r="O211" s="238"/>
      <c r="R211" s="238">
        <v>0</v>
      </c>
      <c r="S211" s="238">
        <v>29.73</v>
      </c>
      <c r="T211" s="238">
        <v>29.73</v>
      </c>
      <c r="U211" s="238">
        <v>29.73</v>
      </c>
      <c r="V211" s="238">
        <v>138332.70000000001</v>
      </c>
      <c r="X211">
        <v>138332.70000000001</v>
      </c>
      <c r="Y211">
        <v>1000</v>
      </c>
      <c r="Z211">
        <v>139332.70000000001</v>
      </c>
      <c r="AA211">
        <v>215</v>
      </c>
      <c r="AB211">
        <v>139547.70000000001</v>
      </c>
      <c r="AC211">
        <v>17.5</v>
      </c>
      <c r="AD211">
        <v>139565.20000000001</v>
      </c>
      <c r="AF211">
        <v>139565.20000000001</v>
      </c>
      <c r="AH211">
        <v>139565.20000000001</v>
      </c>
      <c r="AJ211">
        <v>139565.20000000001</v>
      </c>
      <c r="AL211">
        <v>139565.20000000001</v>
      </c>
      <c r="AM211" s="238">
        <v>139565.20000000001</v>
      </c>
      <c r="AN211" s="238">
        <v>4149300</v>
      </c>
      <c r="AP211" s="238"/>
      <c r="AQ211" s="238">
        <v>0</v>
      </c>
      <c r="AR211" s="238">
        <v>139566.09485368314</v>
      </c>
      <c r="AS211" s="238">
        <v>4149300</v>
      </c>
      <c r="AT211" s="238" t="s">
        <v>36</v>
      </c>
      <c r="AU211" s="238"/>
      <c r="AW211">
        <v>139566.09485368314</v>
      </c>
      <c r="AX211" s="238">
        <v>0</v>
      </c>
      <c r="AY211" s="238">
        <v>4149300</v>
      </c>
      <c r="BA211" s="238" t="s">
        <v>35</v>
      </c>
      <c r="BB211" s="238" t="s">
        <v>35</v>
      </c>
      <c r="BC211" t="s">
        <v>8953</v>
      </c>
      <c r="BD211" t="s">
        <v>8954</v>
      </c>
      <c r="BE211" t="s">
        <v>8962</v>
      </c>
      <c r="BF211" t="s">
        <v>8970</v>
      </c>
      <c r="BG211" t="b">
        <v>1</v>
      </c>
      <c r="BH211">
        <v>4149300</v>
      </c>
      <c r="BI211">
        <v>4149300</v>
      </c>
      <c r="BJ211">
        <v>0</v>
      </c>
      <c r="BK211">
        <v>0</v>
      </c>
      <c r="BL211">
        <v>0</v>
      </c>
      <c r="BM211" t="s">
        <v>36</v>
      </c>
      <c r="BN211" t="b">
        <v>1</v>
      </c>
      <c r="BO211" t="s">
        <v>8270</v>
      </c>
    </row>
    <row r="212" spans="1:67" x14ac:dyDescent="0.25">
      <c r="A212" s="238">
        <v>211</v>
      </c>
      <c r="B212" s="238">
        <v>3</v>
      </c>
      <c r="C212" s="238">
        <v>7</v>
      </c>
      <c r="D212" s="238">
        <v>1</v>
      </c>
      <c r="E212" s="238">
        <v>1</v>
      </c>
      <c r="F212" s="238">
        <v>14.42</v>
      </c>
      <c r="G212" s="238"/>
      <c r="H212" s="238"/>
      <c r="I212" s="238">
        <v>14.42</v>
      </c>
      <c r="J212" s="238">
        <v>16.2</v>
      </c>
      <c r="K212" s="238">
        <v>4.09</v>
      </c>
      <c r="L212" s="238"/>
      <c r="M212" s="238">
        <v>8.0299999999999994</v>
      </c>
      <c r="N212" s="238"/>
      <c r="O212" s="238">
        <v>3.01</v>
      </c>
      <c r="R212" s="238">
        <v>3.01</v>
      </c>
      <c r="S212" s="238">
        <v>45.75</v>
      </c>
      <c r="T212" s="238">
        <v>42.74</v>
      </c>
      <c r="U212" s="238">
        <v>44.25</v>
      </c>
      <c r="V212" s="238">
        <v>120452.6</v>
      </c>
      <c r="W212">
        <v>2409.0520000000001</v>
      </c>
      <c r="X212">
        <v>122861.652</v>
      </c>
      <c r="Y212">
        <v>1000</v>
      </c>
      <c r="Z212">
        <v>123861.652</v>
      </c>
      <c r="AB212">
        <v>123861.652</v>
      </c>
      <c r="AD212">
        <v>123861.652</v>
      </c>
      <c r="AF212">
        <v>123861.652</v>
      </c>
      <c r="AH212">
        <v>123861.652</v>
      </c>
      <c r="AJ212">
        <v>123861.652</v>
      </c>
      <c r="AL212">
        <v>123861.652</v>
      </c>
      <c r="AM212" s="238">
        <v>123861.65</v>
      </c>
      <c r="AN212" s="238">
        <v>5480900</v>
      </c>
      <c r="AP212" s="238"/>
      <c r="AQ212" s="238">
        <v>0</v>
      </c>
      <c r="AR212" s="238">
        <v>123862.14689265536</v>
      </c>
      <c r="AS212" s="238">
        <v>5480900</v>
      </c>
      <c r="AT212" s="238" t="s">
        <v>36</v>
      </c>
      <c r="AU212" s="238"/>
      <c r="AW212">
        <v>123862.14689265536</v>
      </c>
      <c r="AX212" s="238">
        <v>0</v>
      </c>
      <c r="AY212" s="238">
        <v>5480900</v>
      </c>
      <c r="BA212" s="238" t="s">
        <v>39</v>
      </c>
      <c r="BB212" s="238" t="s">
        <v>39</v>
      </c>
      <c r="BC212" t="s">
        <v>8950</v>
      </c>
      <c r="BD212" t="s">
        <v>1167</v>
      </c>
      <c r="BE212" t="s">
        <v>8962</v>
      </c>
      <c r="BF212" t="s">
        <v>8972</v>
      </c>
      <c r="BG212" t="b">
        <v>1</v>
      </c>
      <c r="BH212">
        <v>5480900</v>
      </c>
      <c r="BI212" t="s">
        <v>9002</v>
      </c>
      <c r="BJ212">
        <v>0</v>
      </c>
      <c r="BK212">
        <v>5480900</v>
      </c>
      <c r="BL212">
        <v>0</v>
      </c>
      <c r="BM212" t="s">
        <v>36</v>
      </c>
      <c r="BN212" t="b">
        <v>1</v>
      </c>
      <c r="BO212" t="s">
        <v>8271</v>
      </c>
    </row>
    <row r="213" spans="1:67" x14ac:dyDescent="0.25">
      <c r="A213" s="238">
        <v>212</v>
      </c>
      <c r="B213" s="238">
        <v>3</v>
      </c>
      <c r="C213" s="238">
        <v>7</v>
      </c>
      <c r="D213" s="238">
        <v>2</v>
      </c>
      <c r="E213" s="238">
        <v>1</v>
      </c>
      <c r="F213" s="238">
        <v>12.76</v>
      </c>
      <c r="G213" s="238"/>
      <c r="H213" s="238"/>
      <c r="I213" s="238">
        <v>12.76</v>
      </c>
      <c r="J213" s="238">
        <v>15.1</v>
      </c>
      <c r="K213" s="238">
        <v>4.22</v>
      </c>
      <c r="L213" s="238"/>
      <c r="M213" s="238">
        <v>3.09</v>
      </c>
      <c r="N213" s="238"/>
      <c r="O213" s="238">
        <v>2.93</v>
      </c>
      <c r="R213" s="238">
        <v>2.93</v>
      </c>
      <c r="S213" s="238">
        <v>38.1</v>
      </c>
      <c r="T213" s="238">
        <v>35.17</v>
      </c>
      <c r="U213" s="238">
        <v>36.64</v>
      </c>
      <c r="V213" s="238">
        <v>126415.6</v>
      </c>
      <c r="W213">
        <v>2528.3120000000004</v>
      </c>
      <c r="X213">
        <v>128943.912</v>
      </c>
      <c r="Y213">
        <v>1000</v>
      </c>
      <c r="Z213">
        <v>129943.912</v>
      </c>
      <c r="AA213">
        <v>215</v>
      </c>
      <c r="AB213">
        <v>130158.912</v>
      </c>
      <c r="AC213">
        <v>17.5</v>
      </c>
      <c r="AD213">
        <v>130176.412</v>
      </c>
      <c r="AE213">
        <v>1952.64618</v>
      </c>
      <c r="AF213">
        <v>132129.05818000002</v>
      </c>
      <c r="AG213">
        <v>1321.2905818000002</v>
      </c>
      <c r="AH213">
        <v>133450.34876180004</v>
      </c>
      <c r="AJ213">
        <v>133450.34876180004</v>
      </c>
      <c r="AL213">
        <v>133450.34876180004</v>
      </c>
      <c r="AM213" s="238">
        <v>133450.35</v>
      </c>
      <c r="AN213" s="238">
        <v>4889700</v>
      </c>
      <c r="AP213" s="238"/>
      <c r="AQ213" s="238">
        <v>0</v>
      </c>
      <c r="AR213" s="238">
        <v>133452.51091703057</v>
      </c>
      <c r="AS213" s="238">
        <v>4889700</v>
      </c>
      <c r="AT213" s="238" t="s">
        <v>36</v>
      </c>
      <c r="AU213" s="238"/>
      <c r="AW213">
        <v>133452.51091703057</v>
      </c>
      <c r="AX213" s="238">
        <v>0</v>
      </c>
      <c r="AY213" s="238">
        <v>4889700</v>
      </c>
      <c r="BA213" s="238" t="s">
        <v>39</v>
      </c>
      <c r="BB213" s="238" t="s">
        <v>39</v>
      </c>
      <c r="BC213" t="s">
        <v>8950</v>
      </c>
      <c r="BD213" t="s">
        <v>1167</v>
      </c>
      <c r="BE213" t="s">
        <v>8962</v>
      </c>
      <c r="BF213" t="s">
        <v>8972</v>
      </c>
      <c r="BG213" t="b">
        <v>1</v>
      </c>
      <c r="BH213">
        <v>4889700</v>
      </c>
      <c r="BI213" t="s">
        <v>9002</v>
      </c>
      <c r="BJ213">
        <v>4889700</v>
      </c>
      <c r="BK213">
        <v>4889700</v>
      </c>
      <c r="BL213">
        <v>0</v>
      </c>
      <c r="BM213" t="s">
        <v>36</v>
      </c>
      <c r="BN213" t="b">
        <v>1</v>
      </c>
      <c r="BO213" t="s">
        <v>8272</v>
      </c>
    </row>
    <row r="214" spans="1:67" x14ac:dyDescent="0.25">
      <c r="A214" s="238">
        <v>213</v>
      </c>
      <c r="B214" s="238">
        <v>3</v>
      </c>
      <c r="C214" s="238">
        <v>7</v>
      </c>
      <c r="D214" s="238">
        <v>3</v>
      </c>
      <c r="E214" s="238">
        <v>2</v>
      </c>
      <c r="F214" s="238">
        <v>15.36</v>
      </c>
      <c r="G214" s="238">
        <v>11.95</v>
      </c>
      <c r="H214" s="238"/>
      <c r="I214" s="238">
        <v>27.31</v>
      </c>
      <c r="J214" s="238">
        <v>14.7</v>
      </c>
      <c r="K214" s="238">
        <v>4.21</v>
      </c>
      <c r="L214" s="238"/>
      <c r="M214" s="238">
        <v>6.6</v>
      </c>
      <c r="N214" s="238"/>
      <c r="O214" s="238">
        <v>3.23</v>
      </c>
      <c r="R214" s="238">
        <v>3.23</v>
      </c>
      <c r="S214" s="238">
        <v>56.05</v>
      </c>
      <c r="T214" s="238">
        <v>52.82</v>
      </c>
      <c r="U214" s="238">
        <v>54.44</v>
      </c>
      <c r="V214" s="238">
        <v>117551.2</v>
      </c>
      <c r="W214">
        <v>2468.5752000000002</v>
      </c>
      <c r="X214">
        <v>120019.7752</v>
      </c>
      <c r="Y214">
        <v>1000</v>
      </c>
      <c r="Z214">
        <v>121019.7752</v>
      </c>
      <c r="AB214">
        <v>121019.7752</v>
      </c>
      <c r="AD214">
        <v>121019.7752</v>
      </c>
      <c r="AF214">
        <v>121019.7752</v>
      </c>
      <c r="AH214">
        <v>121019.7752</v>
      </c>
      <c r="AJ214">
        <v>121019.7752</v>
      </c>
      <c r="AL214">
        <v>121019.7752</v>
      </c>
      <c r="AM214" s="238">
        <v>121019.78</v>
      </c>
      <c r="AN214" s="238">
        <v>6588400</v>
      </c>
      <c r="AP214" s="238">
        <v>0.03</v>
      </c>
      <c r="AQ214" s="238">
        <v>197652</v>
      </c>
      <c r="AR214" s="238">
        <v>117390.66862601029</v>
      </c>
      <c r="AS214" s="238">
        <v>6390748</v>
      </c>
      <c r="AT214" s="238" t="s">
        <v>36</v>
      </c>
      <c r="AU214" s="238"/>
      <c r="AW214">
        <v>117390.66862601029</v>
      </c>
      <c r="AX214" s="238">
        <v>0</v>
      </c>
      <c r="AY214" s="238">
        <v>6390748</v>
      </c>
      <c r="AZ214" t="s">
        <v>3538</v>
      </c>
      <c r="BA214" s="238" t="s">
        <v>39</v>
      </c>
      <c r="BB214" s="238" t="s">
        <v>39</v>
      </c>
      <c r="BC214" t="s">
        <v>8950</v>
      </c>
      <c r="BD214" t="s">
        <v>1167</v>
      </c>
      <c r="BE214" t="s">
        <v>8962</v>
      </c>
      <c r="BF214" t="s">
        <v>8971</v>
      </c>
      <c r="BG214" t="b">
        <v>1</v>
      </c>
      <c r="BH214">
        <v>6588400</v>
      </c>
      <c r="BI214" t="s">
        <v>9002</v>
      </c>
      <c r="BJ214">
        <v>0</v>
      </c>
      <c r="BK214">
        <v>6588400</v>
      </c>
      <c r="BL214">
        <v>0</v>
      </c>
      <c r="BM214" t="s">
        <v>36</v>
      </c>
      <c r="BN214" t="b">
        <v>1</v>
      </c>
      <c r="BO214" t="s">
        <v>8273</v>
      </c>
    </row>
    <row r="215" spans="1:67" x14ac:dyDescent="0.25">
      <c r="A215" s="238">
        <v>214</v>
      </c>
      <c r="B215" s="238">
        <v>3</v>
      </c>
      <c r="C215" s="238">
        <v>7</v>
      </c>
      <c r="D215" s="238">
        <v>4</v>
      </c>
      <c r="E215" s="238">
        <v>1</v>
      </c>
      <c r="F215" s="238">
        <v>14.28</v>
      </c>
      <c r="G215" s="238"/>
      <c r="H215" s="238"/>
      <c r="I215" s="238">
        <v>14.28</v>
      </c>
      <c r="J215" s="238">
        <v>13.99</v>
      </c>
      <c r="K215" s="238">
        <v>3.9</v>
      </c>
      <c r="L215" s="238"/>
      <c r="M215" s="238">
        <v>2.6</v>
      </c>
      <c r="N215" s="238"/>
      <c r="O215" s="238">
        <v>3.23</v>
      </c>
      <c r="R215" s="238">
        <v>3.23</v>
      </c>
      <c r="S215" s="238">
        <v>38</v>
      </c>
      <c r="T215" s="238">
        <v>34.770000000000003</v>
      </c>
      <c r="U215" s="238">
        <v>36.39</v>
      </c>
      <c r="V215" s="238">
        <v>122837.8</v>
      </c>
      <c r="X215">
        <v>122837.8</v>
      </c>
      <c r="Y215">
        <v>1000</v>
      </c>
      <c r="Z215">
        <v>123837.8</v>
      </c>
      <c r="AA215">
        <v>215</v>
      </c>
      <c r="AB215">
        <v>124052.8</v>
      </c>
      <c r="AC215">
        <v>17.5</v>
      </c>
      <c r="AD215">
        <v>124070.3</v>
      </c>
      <c r="AE215">
        <v>1861.0545</v>
      </c>
      <c r="AF215">
        <v>125931.3545</v>
      </c>
      <c r="AG215">
        <v>1259.313545</v>
      </c>
      <c r="AH215">
        <v>127190.668045</v>
      </c>
      <c r="AI215">
        <v>1271.9066804500001</v>
      </c>
      <c r="AJ215">
        <v>128462.57472545</v>
      </c>
      <c r="AL215">
        <v>128462.57472545</v>
      </c>
      <c r="AM215" s="238">
        <v>128462.57</v>
      </c>
      <c r="AN215" s="238">
        <v>4674800</v>
      </c>
      <c r="AP215" s="238">
        <v>0.03</v>
      </c>
      <c r="AQ215" s="238">
        <v>140244</v>
      </c>
      <c r="AR215" s="238">
        <v>124609.9477878538</v>
      </c>
      <c r="AS215" s="238">
        <v>4534556</v>
      </c>
      <c r="AT215" s="238" t="s">
        <v>36</v>
      </c>
      <c r="AU215" s="238"/>
      <c r="AW215">
        <v>124609.9477878538</v>
      </c>
      <c r="AX215" s="238">
        <v>0</v>
      </c>
      <c r="AY215" s="238">
        <v>4534556</v>
      </c>
      <c r="AZ215" t="s">
        <v>978</v>
      </c>
      <c r="BA215" s="238" t="s">
        <v>39</v>
      </c>
      <c r="BB215" s="238" t="s">
        <v>39</v>
      </c>
      <c r="BC215" t="s">
        <v>8950</v>
      </c>
      <c r="BD215" t="s">
        <v>1167</v>
      </c>
      <c r="BE215" t="s">
        <v>8962</v>
      </c>
      <c r="BF215" t="s">
        <v>8973</v>
      </c>
      <c r="BG215" t="b">
        <v>1</v>
      </c>
      <c r="BH215">
        <v>4674800</v>
      </c>
      <c r="BI215" t="s">
        <v>9002</v>
      </c>
      <c r="BJ215">
        <v>0</v>
      </c>
      <c r="BK215">
        <v>4674800</v>
      </c>
      <c r="BL215">
        <v>0</v>
      </c>
      <c r="BM215" t="s">
        <v>36</v>
      </c>
      <c r="BN215" t="b">
        <v>1</v>
      </c>
      <c r="BO215" t="s">
        <v>8274</v>
      </c>
    </row>
    <row r="216" spans="1:67" x14ac:dyDescent="0.25">
      <c r="A216" s="238">
        <v>215</v>
      </c>
      <c r="B216" s="238">
        <v>3</v>
      </c>
      <c r="C216" s="238">
        <v>7</v>
      </c>
      <c r="D216" s="238">
        <v>5</v>
      </c>
      <c r="E216" s="238">
        <v>3</v>
      </c>
      <c r="F216" s="238">
        <v>18.350000000000001</v>
      </c>
      <c r="G216" s="238">
        <v>15.96</v>
      </c>
      <c r="H216" s="238">
        <v>11.55</v>
      </c>
      <c r="I216" s="238">
        <v>45.86</v>
      </c>
      <c r="J216" s="238">
        <v>11.42</v>
      </c>
      <c r="K216" s="238">
        <v>3.9</v>
      </c>
      <c r="L216" s="238">
        <v>4.37</v>
      </c>
      <c r="M216" s="238">
        <v>11.06</v>
      </c>
      <c r="N216" s="238"/>
      <c r="O216" s="238">
        <v>3.1</v>
      </c>
      <c r="R216" s="238">
        <v>3.1</v>
      </c>
      <c r="S216" s="238">
        <v>79.709999999999994</v>
      </c>
      <c r="T216" s="238">
        <v>76.61</v>
      </c>
      <c r="U216" s="238">
        <v>78.16</v>
      </c>
      <c r="V216" s="238">
        <v>108402</v>
      </c>
      <c r="X216">
        <v>108402</v>
      </c>
      <c r="Y216">
        <v>1000</v>
      </c>
      <c r="Z216">
        <v>109402</v>
      </c>
      <c r="AA216">
        <v>215</v>
      </c>
      <c r="AB216">
        <v>109617</v>
      </c>
      <c r="AC216">
        <v>17.5</v>
      </c>
      <c r="AD216">
        <v>109634.5</v>
      </c>
      <c r="AF216">
        <v>109634.5</v>
      </c>
      <c r="AH216">
        <v>109634.5</v>
      </c>
      <c r="AJ216">
        <v>109634.5</v>
      </c>
      <c r="AK216">
        <v>2192.69</v>
      </c>
      <c r="AL216">
        <v>111827.19</v>
      </c>
      <c r="AM216" s="238">
        <v>111827.19</v>
      </c>
      <c r="AN216" s="238">
        <v>8740500</v>
      </c>
      <c r="AP216" s="238"/>
      <c r="AQ216" s="238">
        <v>0</v>
      </c>
      <c r="AR216" s="238">
        <v>111828.30092118731</v>
      </c>
      <c r="AS216" s="238">
        <v>8740500</v>
      </c>
      <c r="AT216" s="238" t="s">
        <v>36</v>
      </c>
      <c r="AU216" s="238"/>
      <c r="AW216">
        <v>111828.30092118731</v>
      </c>
      <c r="AX216" s="238">
        <v>0</v>
      </c>
      <c r="AY216" s="238">
        <v>8740500</v>
      </c>
      <c r="BA216" s="238" t="s">
        <v>3</v>
      </c>
      <c r="BB216" s="238" t="s">
        <v>3</v>
      </c>
      <c r="BC216" t="s">
        <v>8951</v>
      </c>
      <c r="BD216" t="s">
        <v>1167</v>
      </c>
      <c r="BE216" t="s">
        <v>8962</v>
      </c>
      <c r="BF216" t="s">
        <v>8975</v>
      </c>
      <c r="BG216" t="b">
        <v>1</v>
      </c>
      <c r="BH216">
        <v>8740500</v>
      </c>
      <c r="BI216">
        <v>8740500</v>
      </c>
      <c r="BJ216">
        <v>0</v>
      </c>
      <c r="BK216">
        <v>0</v>
      </c>
      <c r="BL216">
        <v>0</v>
      </c>
      <c r="BM216" t="s">
        <v>36</v>
      </c>
      <c r="BN216" t="b">
        <v>1</v>
      </c>
      <c r="BO216" t="s">
        <v>8275</v>
      </c>
    </row>
    <row r="217" spans="1:67" x14ac:dyDescent="0.25">
      <c r="A217" s="238">
        <v>216</v>
      </c>
      <c r="B217" s="238">
        <v>3</v>
      </c>
      <c r="C217" s="238">
        <v>7</v>
      </c>
      <c r="D217" s="238">
        <v>6</v>
      </c>
      <c r="E217" s="238">
        <v>0</v>
      </c>
      <c r="F217" s="238">
        <v>16.25</v>
      </c>
      <c r="G217" s="238"/>
      <c r="H217" s="238"/>
      <c r="I217" s="238">
        <v>16.25</v>
      </c>
      <c r="J217" s="238">
        <v>5</v>
      </c>
      <c r="K217" s="238">
        <v>4.2699999999999996</v>
      </c>
      <c r="L217" s="238"/>
      <c r="M217" s="238">
        <v>4.21</v>
      </c>
      <c r="N217" s="238"/>
      <c r="O217" s="238"/>
      <c r="R217" s="238">
        <v>0</v>
      </c>
      <c r="S217" s="238">
        <v>29.73</v>
      </c>
      <c r="T217" s="238">
        <v>29.73</v>
      </c>
      <c r="U217" s="238">
        <v>29.73</v>
      </c>
      <c r="V217" s="238">
        <v>139730</v>
      </c>
      <c r="X217">
        <v>139730</v>
      </c>
      <c r="Y217">
        <v>1000</v>
      </c>
      <c r="Z217">
        <v>140730</v>
      </c>
      <c r="AA217">
        <v>215</v>
      </c>
      <c r="AB217">
        <v>140945</v>
      </c>
      <c r="AC217">
        <v>17.5</v>
      </c>
      <c r="AD217">
        <v>140962.5</v>
      </c>
      <c r="AF217">
        <v>140962.5</v>
      </c>
      <c r="AH217">
        <v>140962.5</v>
      </c>
      <c r="AJ217">
        <v>140962.5</v>
      </c>
      <c r="AL217">
        <v>140962.5</v>
      </c>
      <c r="AM217" s="238">
        <v>140962.5</v>
      </c>
      <c r="AN217" s="238">
        <v>4190900</v>
      </c>
      <c r="AP217" s="238"/>
      <c r="AQ217" s="238">
        <v>0</v>
      </c>
      <c r="AR217" s="238">
        <v>140965.35486041036</v>
      </c>
      <c r="AS217" s="238">
        <v>4190900</v>
      </c>
      <c r="AT217" s="238" t="s">
        <v>38</v>
      </c>
      <c r="AU217" s="238">
        <v>30000</v>
      </c>
      <c r="AV217" t="s">
        <v>8816</v>
      </c>
      <c r="AW217">
        <v>170965.35486041036</v>
      </c>
      <c r="AX217" s="238">
        <v>891900</v>
      </c>
      <c r="AY217" s="238">
        <v>5082800</v>
      </c>
      <c r="BA217" s="238" t="s">
        <v>35</v>
      </c>
      <c r="BB217" s="238" t="s">
        <v>35</v>
      </c>
      <c r="BC217" t="s">
        <v>8953</v>
      </c>
      <c r="BD217" t="s">
        <v>8954</v>
      </c>
      <c r="BE217" t="s">
        <v>8962</v>
      </c>
      <c r="BF217" t="s">
        <v>8970</v>
      </c>
      <c r="BG217" t="b">
        <v>1</v>
      </c>
      <c r="BH217">
        <v>4190900</v>
      </c>
      <c r="BI217">
        <v>4190900</v>
      </c>
      <c r="BJ217">
        <v>0</v>
      </c>
      <c r="BK217">
        <v>0</v>
      </c>
      <c r="BL217">
        <v>0</v>
      </c>
      <c r="BM217" t="s">
        <v>38</v>
      </c>
      <c r="BN217" t="b">
        <v>1</v>
      </c>
      <c r="BO217" t="s">
        <v>8276</v>
      </c>
    </row>
    <row r="218" spans="1:67" x14ac:dyDescent="0.25">
      <c r="A218" s="238">
        <v>217</v>
      </c>
      <c r="B218" s="238">
        <v>3</v>
      </c>
      <c r="C218" s="238">
        <v>8</v>
      </c>
      <c r="D218" s="238">
        <v>1</v>
      </c>
      <c r="E218" s="238">
        <v>1</v>
      </c>
      <c r="F218" s="238">
        <v>14.42</v>
      </c>
      <c r="G218" s="238"/>
      <c r="H218" s="238"/>
      <c r="I218" s="238">
        <v>14.42</v>
      </c>
      <c r="J218" s="238">
        <v>16.2</v>
      </c>
      <c r="K218" s="238">
        <v>4.09</v>
      </c>
      <c r="L218" s="238"/>
      <c r="M218" s="238">
        <v>8.0299999999999994</v>
      </c>
      <c r="N218" s="238"/>
      <c r="O218" s="238">
        <v>3.01</v>
      </c>
      <c r="R218" s="238">
        <v>3.01</v>
      </c>
      <c r="S218" s="238">
        <v>45.75</v>
      </c>
      <c r="T218" s="238">
        <v>42.74</v>
      </c>
      <c r="U218" s="238">
        <v>44.25</v>
      </c>
      <c r="V218" s="238">
        <v>122837.8</v>
      </c>
      <c r="W218">
        <v>2456.7560000000003</v>
      </c>
      <c r="X218">
        <v>125294.556</v>
      </c>
      <c r="Y218">
        <v>1000</v>
      </c>
      <c r="Z218">
        <v>126294.556</v>
      </c>
      <c r="AA218">
        <v>215</v>
      </c>
      <c r="AB218">
        <v>126509.556</v>
      </c>
      <c r="AC218">
        <v>17.5</v>
      </c>
      <c r="AD218">
        <v>126527.056</v>
      </c>
      <c r="AE218">
        <v>632.63527999999997</v>
      </c>
      <c r="AF218">
        <v>127159.69128</v>
      </c>
      <c r="AG218">
        <v>1271.5969127999999</v>
      </c>
      <c r="AH218">
        <v>128431.2881928</v>
      </c>
      <c r="AI218">
        <v>1284.312881928</v>
      </c>
      <c r="AJ218">
        <v>129715.60107472799</v>
      </c>
      <c r="AL218">
        <v>129715.60107472799</v>
      </c>
      <c r="AM218" s="238">
        <v>129715.6</v>
      </c>
      <c r="AN218" s="238">
        <v>5740000</v>
      </c>
      <c r="AP218" s="238">
        <v>0.02</v>
      </c>
      <c r="AQ218" s="238">
        <v>114800</v>
      </c>
      <c r="AR218" s="238">
        <v>127123.16384180792</v>
      </c>
      <c r="AS218" s="238">
        <v>5625200</v>
      </c>
      <c r="AT218" s="238" t="s">
        <v>36</v>
      </c>
      <c r="AU218" s="238"/>
      <c r="AW218">
        <v>127123.16384180792</v>
      </c>
      <c r="AX218" s="238">
        <v>0</v>
      </c>
      <c r="AY218" s="238">
        <v>5625200</v>
      </c>
      <c r="AZ218" t="s">
        <v>3540</v>
      </c>
      <c r="BA218" s="238" t="s">
        <v>39</v>
      </c>
      <c r="BB218" s="238" t="s">
        <v>39</v>
      </c>
      <c r="BC218" t="s">
        <v>8950</v>
      </c>
      <c r="BD218" t="s">
        <v>1167</v>
      </c>
      <c r="BE218" t="s">
        <v>8962</v>
      </c>
      <c r="BF218" t="s">
        <v>8972</v>
      </c>
      <c r="BG218" t="b">
        <v>1</v>
      </c>
      <c r="BH218">
        <v>5740000</v>
      </c>
      <c r="BI218" t="s">
        <v>9002</v>
      </c>
      <c r="BJ218">
        <v>5740000</v>
      </c>
      <c r="BK218">
        <v>5740000</v>
      </c>
      <c r="BL218">
        <v>0</v>
      </c>
      <c r="BM218" t="s">
        <v>36</v>
      </c>
      <c r="BN218" t="b">
        <v>1</v>
      </c>
      <c r="BO218" t="s">
        <v>8277</v>
      </c>
    </row>
    <row r="219" spans="1:67" x14ac:dyDescent="0.25">
      <c r="A219" s="238">
        <v>218</v>
      </c>
      <c r="B219" s="238">
        <v>3</v>
      </c>
      <c r="C219" s="238">
        <v>8</v>
      </c>
      <c r="D219" s="238">
        <v>2</v>
      </c>
      <c r="E219" s="238">
        <v>1</v>
      </c>
      <c r="F219" s="238">
        <v>12.76</v>
      </c>
      <c r="G219" s="238"/>
      <c r="H219" s="238"/>
      <c r="I219" s="238">
        <v>12.76</v>
      </c>
      <c r="J219" s="238">
        <v>15.1</v>
      </c>
      <c r="K219" s="238">
        <v>4.22</v>
      </c>
      <c r="L219" s="238"/>
      <c r="M219" s="238">
        <v>3.09</v>
      </c>
      <c r="N219" s="238"/>
      <c r="O219" s="238">
        <v>2.93</v>
      </c>
      <c r="R219" s="238">
        <v>2.93</v>
      </c>
      <c r="S219" s="238">
        <v>38.1</v>
      </c>
      <c r="T219" s="238">
        <v>35.17</v>
      </c>
      <c r="U219" s="238">
        <v>36.64</v>
      </c>
      <c r="V219" s="238">
        <v>126415.6</v>
      </c>
      <c r="W219">
        <v>2528.3120000000004</v>
      </c>
      <c r="X219">
        <v>128943.912</v>
      </c>
      <c r="Y219">
        <v>1000</v>
      </c>
      <c r="Z219">
        <v>129943.912</v>
      </c>
      <c r="AA219">
        <v>215</v>
      </c>
      <c r="AB219">
        <v>130158.912</v>
      </c>
      <c r="AC219">
        <v>17</v>
      </c>
      <c r="AD219">
        <v>130175.912</v>
      </c>
      <c r="AE219">
        <v>1952.63868</v>
      </c>
      <c r="AF219">
        <v>132128.55067999999</v>
      </c>
      <c r="AH219">
        <v>132128.55067999999</v>
      </c>
      <c r="AJ219">
        <v>132128.55067999999</v>
      </c>
      <c r="AL219">
        <v>132128.55067999999</v>
      </c>
      <c r="AM219" s="238">
        <v>132128.54999999999</v>
      </c>
      <c r="AN219" s="238">
        <v>4841200</v>
      </c>
      <c r="AP219" s="238">
        <v>0.02</v>
      </c>
      <c r="AQ219" s="238">
        <v>96824</v>
      </c>
      <c r="AR219" s="238">
        <v>129486.24454148472</v>
      </c>
      <c r="AS219" s="238">
        <v>4744376</v>
      </c>
      <c r="AT219" s="238" t="s">
        <v>8787</v>
      </c>
      <c r="AU219" s="238">
        <v>10000</v>
      </c>
      <c r="AW219">
        <v>139486.24454148472</v>
      </c>
      <c r="AX219" s="238">
        <v>366400</v>
      </c>
      <c r="AY219" s="238">
        <v>5110776</v>
      </c>
      <c r="AZ219" t="s">
        <v>3540</v>
      </c>
      <c r="BA219" s="238" t="s">
        <v>39</v>
      </c>
      <c r="BB219" s="238" t="s">
        <v>39</v>
      </c>
      <c r="BC219" t="s">
        <v>8950</v>
      </c>
      <c r="BD219" t="s">
        <v>1167</v>
      </c>
      <c r="BE219" t="s">
        <v>8962</v>
      </c>
      <c r="BF219" t="s">
        <v>8972</v>
      </c>
      <c r="BG219" t="b">
        <v>1</v>
      </c>
      <c r="BH219">
        <v>4841200</v>
      </c>
      <c r="BI219" t="s">
        <v>9002</v>
      </c>
      <c r="BJ219">
        <v>0</v>
      </c>
      <c r="BK219">
        <v>4841200</v>
      </c>
      <c r="BL219">
        <v>0</v>
      </c>
      <c r="BM219" t="s">
        <v>8787</v>
      </c>
      <c r="BN219" t="b">
        <v>1</v>
      </c>
      <c r="BO219" t="s">
        <v>8278</v>
      </c>
    </row>
    <row r="220" spans="1:67" x14ac:dyDescent="0.25">
      <c r="A220" s="238">
        <v>219</v>
      </c>
      <c r="B220" s="238">
        <v>3</v>
      </c>
      <c r="C220" s="238">
        <v>8</v>
      </c>
      <c r="D220" s="238">
        <v>3</v>
      </c>
      <c r="E220" s="238">
        <v>2</v>
      </c>
      <c r="F220" s="238">
        <v>15.36</v>
      </c>
      <c r="G220" s="238">
        <v>11.95</v>
      </c>
      <c r="H220" s="238"/>
      <c r="I220" s="238">
        <v>27.31</v>
      </c>
      <c r="J220" s="238">
        <v>14.7</v>
      </c>
      <c r="K220" s="238">
        <v>4.21</v>
      </c>
      <c r="L220" s="238"/>
      <c r="M220" s="238">
        <v>6.6</v>
      </c>
      <c r="N220" s="238"/>
      <c r="O220" s="238">
        <v>3.23</v>
      </c>
      <c r="R220" s="238">
        <v>3.23</v>
      </c>
      <c r="S220" s="238">
        <v>56.05</v>
      </c>
      <c r="T220" s="238">
        <v>52.82</v>
      </c>
      <c r="U220" s="238">
        <v>54.44</v>
      </c>
      <c r="V220" s="238">
        <v>119811.8</v>
      </c>
      <c r="W220">
        <v>2516.0478000000003</v>
      </c>
      <c r="X220">
        <v>122327.8478</v>
      </c>
      <c r="Y220">
        <v>1000</v>
      </c>
      <c r="Z220">
        <v>123327.8478</v>
      </c>
      <c r="AA220">
        <v>215</v>
      </c>
      <c r="AB220">
        <v>123542.8478</v>
      </c>
      <c r="AC220">
        <v>17.5</v>
      </c>
      <c r="AD220">
        <v>123560.3478</v>
      </c>
      <c r="AE220">
        <v>617.801739</v>
      </c>
      <c r="AF220">
        <v>124178.14953900001</v>
      </c>
      <c r="AH220">
        <v>124178.14953900001</v>
      </c>
      <c r="AJ220">
        <v>124178.14953900001</v>
      </c>
      <c r="AL220">
        <v>124178.14953900001</v>
      </c>
      <c r="AM220" s="238">
        <v>124178.15</v>
      </c>
      <c r="AN220" s="238">
        <v>6760300</v>
      </c>
      <c r="AP220" s="238">
        <v>0.02</v>
      </c>
      <c r="AQ220" s="238">
        <v>135206</v>
      </c>
      <c r="AR220" s="238">
        <v>121695.33431300517</v>
      </c>
      <c r="AS220" s="238">
        <v>6625094</v>
      </c>
      <c r="AT220" s="238" t="s">
        <v>36</v>
      </c>
      <c r="AU220" s="238"/>
      <c r="AW220">
        <v>121695.33431300517</v>
      </c>
      <c r="AX220" s="238">
        <v>0</v>
      </c>
      <c r="AY220" s="238">
        <v>6625094</v>
      </c>
      <c r="AZ220" t="s">
        <v>3540</v>
      </c>
      <c r="BA220" s="238" t="s">
        <v>39</v>
      </c>
      <c r="BB220" s="238" t="s">
        <v>39</v>
      </c>
      <c r="BC220" t="s">
        <v>8950</v>
      </c>
      <c r="BD220" t="s">
        <v>1167</v>
      </c>
      <c r="BE220" t="s">
        <v>8962</v>
      </c>
      <c r="BF220" t="s">
        <v>8971</v>
      </c>
      <c r="BG220" t="b">
        <v>1</v>
      </c>
      <c r="BH220">
        <v>6760300</v>
      </c>
      <c r="BI220" t="s">
        <v>9002</v>
      </c>
      <c r="BJ220">
        <v>0</v>
      </c>
      <c r="BK220">
        <v>6760300</v>
      </c>
      <c r="BL220">
        <v>0</v>
      </c>
      <c r="BM220" t="s">
        <v>36</v>
      </c>
      <c r="BN220" t="b">
        <v>1</v>
      </c>
      <c r="BO220" t="s">
        <v>8279</v>
      </c>
    </row>
    <row r="221" spans="1:67" x14ac:dyDescent="0.25">
      <c r="A221" s="238">
        <v>220</v>
      </c>
      <c r="B221" s="238">
        <v>3</v>
      </c>
      <c r="C221" s="238">
        <v>8</v>
      </c>
      <c r="D221" s="238">
        <v>4</v>
      </c>
      <c r="E221" s="238">
        <v>1</v>
      </c>
      <c r="F221" s="238">
        <v>14.28</v>
      </c>
      <c r="G221" s="238"/>
      <c r="H221" s="238"/>
      <c r="I221" s="238">
        <v>14.28</v>
      </c>
      <c r="J221" s="238">
        <v>13.99</v>
      </c>
      <c r="K221" s="238">
        <v>3.9</v>
      </c>
      <c r="L221" s="238"/>
      <c r="M221" s="238">
        <v>2.6</v>
      </c>
      <c r="N221" s="238"/>
      <c r="O221" s="238">
        <v>3.23</v>
      </c>
      <c r="R221" s="238">
        <v>3.23</v>
      </c>
      <c r="S221" s="238">
        <v>38</v>
      </c>
      <c r="T221" s="238">
        <v>34.770000000000003</v>
      </c>
      <c r="U221" s="238">
        <v>36.39</v>
      </c>
      <c r="V221" s="238">
        <v>125223</v>
      </c>
      <c r="X221">
        <v>125223</v>
      </c>
      <c r="Y221">
        <v>1000</v>
      </c>
      <c r="Z221">
        <v>126223</v>
      </c>
      <c r="AA221">
        <v>215</v>
      </c>
      <c r="AB221">
        <v>126438</v>
      </c>
      <c r="AC221">
        <v>17.5</v>
      </c>
      <c r="AD221">
        <v>126455.5</v>
      </c>
      <c r="AE221">
        <v>1896.8325</v>
      </c>
      <c r="AF221">
        <v>128352.3325</v>
      </c>
      <c r="AG221">
        <v>1283.5233250000001</v>
      </c>
      <c r="AH221">
        <v>129635.85582500001</v>
      </c>
      <c r="AI221">
        <v>1296.35855825</v>
      </c>
      <c r="AJ221">
        <v>130932.21438325</v>
      </c>
      <c r="AL221">
        <v>130932.21438325</v>
      </c>
      <c r="AM221" s="238">
        <v>130932.21</v>
      </c>
      <c r="AN221" s="238">
        <v>4764700</v>
      </c>
      <c r="AP221" s="238"/>
      <c r="AQ221" s="238">
        <v>0</v>
      </c>
      <c r="AR221" s="238">
        <v>130934.32261610332</v>
      </c>
      <c r="AS221" s="238">
        <v>4764700</v>
      </c>
      <c r="AT221" s="238" t="s">
        <v>36</v>
      </c>
      <c r="AU221" s="238"/>
      <c r="AW221">
        <v>130934.32261610332</v>
      </c>
      <c r="AX221" s="238">
        <v>0</v>
      </c>
      <c r="AY221" s="238">
        <v>4764700</v>
      </c>
      <c r="BA221" s="238" t="s">
        <v>35</v>
      </c>
      <c r="BB221" s="238" t="s">
        <v>35</v>
      </c>
      <c r="BC221" t="s">
        <v>8953</v>
      </c>
      <c r="BD221" t="s">
        <v>8954</v>
      </c>
      <c r="BE221" t="s">
        <v>8962</v>
      </c>
      <c r="BF221" t="s">
        <v>8973</v>
      </c>
      <c r="BG221" t="b">
        <v>1</v>
      </c>
      <c r="BH221">
        <v>4764700</v>
      </c>
      <c r="BI221">
        <v>4764700</v>
      </c>
      <c r="BJ221">
        <v>0</v>
      </c>
      <c r="BK221">
        <v>0</v>
      </c>
      <c r="BL221">
        <v>0</v>
      </c>
      <c r="BM221" t="s">
        <v>36</v>
      </c>
      <c r="BN221" t="b">
        <v>1</v>
      </c>
      <c r="BO221" t="s">
        <v>8280</v>
      </c>
    </row>
    <row r="222" spans="1:67" x14ac:dyDescent="0.25">
      <c r="A222" s="238">
        <v>221</v>
      </c>
      <c r="B222" s="238">
        <v>3</v>
      </c>
      <c r="C222" s="238">
        <v>8</v>
      </c>
      <c r="D222" s="238">
        <v>5</v>
      </c>
      <c r="E222" s="238">
        <v>3</v>
      </c>
      <c r="F222" s="238">
        <v>18.350000000000001</v>
      </c>
      <c r="G222" s="238">
        <v>15.96</v>
      </c>
      <c r="H222" s="238">
        <v>11.55</v>
      </c>
      <c r="I222" s="238">
        <v>45.86</v>
      </c>
      <c r="J222" s="238">
        <v>11.42</v>
      </c>
      <c r="K222" s="238">
        <v>3.9</v>
      </c>
      <c r="L222" s="238">
        <v>4.37</v>
      </c>
      <c r="M222" s="238">
        <v>11.06</v>
      </c>
      <c r="N222" s="238"/>
      <c r="O222" s="238">
        <v>3.1</v>
      </c>
      <c r="R222" s="238">
        <v>3.1</v>
      </c>
      <c r="S222" s="238">
        <v>79.709999999999994</v>
      </c>
      <c r="T222" s="238">
        <v>76.61</v>
      </c>
      <c r="U222" s="238">
        <v>78.16</v>
      </c>
      <c r="V222" s="238">
        <v>108402</v>
      </c>
      <c r="X222">
        <v>108402</v>
      </c>
      <c r="Y222">
        <v>1000</v>
      </c>
      <c r="Z222">
        <v>109402</v>
      </c>
      <c r="AA222">
        <v>215</v>
      </c>
      <c r="AB222">
        <v>109617</v>
      </c>
      <c r="AC222">
        <v>17.5</v>
      </c>
      <c r="AD222">
        <v>109634.5</v>
      </c>
      <c r="AF222">
        <v>109634.5</v>
      </c>
      <c r="AH222">
        <v>109634.5</v>
      </c>
      <c r="AJ222">
        <v>109634.5</v>
      </c>
      <c r="AK222">
        <v>2192.69</v>
      </c>
      <c r="AL222">
        <v>111827.19</v>
      </c>
      <c r="AM222" s="238">
        <v>111827.19</v>
      </c>
      <c r="AN222" s="238">
        <v>8740500</v>
      </c>
      <c r="AP222" s="238"/>
      <c r="AQ222" s="238">
        <v>0</v>
      </c>
      <c r="AR222" s="238">
        <v>111828.30092118731</v>
      </c>
      <c r="AS222" s="238">
        <v>8740500</v>
      </c>
      <c r="AT222" s="238" t="s">
        <v>36</v>
      </c>
      <c r="AU222" s="238"/>
      <c r="AW222">
        <v>111828.30092118731</v>
      </c>
      <c r="AX222" s="238">
        <v>0</v>
      </c>
      <c r="AY222" s="238">
        <v>8740500</v>
      </c>
      <c r="BA222" s="238" t="s">
        <v>3</v>
      </c>
      <c r="BB222" s="238" t="s">
        <v>3</v>
      </c>
      <c r="BC222" t="s">
        <v>8951</v>
      </c>
      <c r="BD222" t="s">
        <v>1167</v>
      </c>
      <c r="BE222" t="s">
        <v>8962</v>
      </c>
      <c r="BF222" t="s">
        <v>8975</v>
      </c>
      <c r="BG222" t="b">
        <v>1</v>
      </c>
      <c r="BH222">
        <v>8740500</v>
      </c>
      <c r="BI222">
        <v>8740500</v>
      </c>
      <c r="BJ222">
        <v>0</v>
      </c>
      <c r="BK222">
        <v>0</v>
      </c>
      <c r="BL222">
        <v>0</v>
      </c>
      <c r="BM222" t="s">
        <v>36</v>
      </c>
      <c r="BN222" t="b">
        <v>1</v>
      </c>
      <c r="BO222" t="s">
        <v>8281</v>
      </c>
    </row>
    <row r="223" spans="1:67" x14ac:dyDescent="0.25">
      <c r="A223" s="238">
        <v>222</v>
      </c>
      <c r="B223" s="238">
        <v>3</v>
      </c>
      <c r="C223" s="238">
        <v>8</v>
      </c>
      <c r="D223" s="238">
        <v>6</v>
      </c>
      <c r="E223" s="238">
        <v>0</v>
      </c>
      <c r="F223" s="238">
        <v>16.25</v>
      </c>
      <c r="G223" s="238"/>
      <c r="H223" s="238"/>
      <c r="I223" s="238">
        <v>16.25</v>
      </c>
      <c r="J223" s="238">
        <v>5</v>
      </c>
      <c r="K223" s="238">
        <v>4.2699999999999996</v>
      </c>
      <c r="L223" s="238"/>
      <c r="M223" s="238">
        <v>4.21</v>
      </c>
      <c r="N223" s="238"/>
      <c r="O223" s="238"/>
      <c r="R223" s="238">
        <v>0</v>
      </c>
      <c r="S223" s="238">
        <v>29.73</v>
      </c>
      <c r="T223" s="238">
        <v>29.73</v>
      </c>
      <c r="U223" s="238">
        <v>29.73</v>
      </c>
      <c r="V223" s="238">
        <v>138332.70000000001</v>
      </c>
      <c r="X223">
        <v>138332.70000000001</v>
      </c>
      <c r="Y223">
        <v>1000</v>
      </c>
      <c r="Z223">
        <v>139332.70000000001</v>
      </c>
      <c r="AA223">
        <v>215</v>
      </c>
      <c r="AB223">
        <v>139547.70000000001</v>
      </c>
      <c r="AC223">
        <v>17.5</v>
      </c>
      <c r="AD223">
        <v>139565.20000000001</v>
      </c>
      <c r="AF223">
        <v>139565.20000000001</v>
      </c>
      <c r="AH223">
        <v>139565.20000000001</v>
      </c>
      <c r="AJ223">
        <v>139565.20000000001</v>
      </c>
      <c r="AL223">
        <v>139565.20000000001</v>
      </c>
      <c r="AM223" s="238">
        <v>139565.20000000001</v>
      </c>
      <c r="AN223" s="238">
        <v>4149300</v>
      </c>
      <c r="AP223" s="238"/>
      <c r="AQ223" s="238">
        <v>0</v>
      </c>
      <c r="AR223" s="238">
        <v>139566.09485368314</v>
      </c>
      <c r="AS223" s="238">
        <v>4149300</v>
      </c>
      <c r="AT223" s="238" t="s">
        <v>36</v>
      </c>
      <c r="AU223" s="238"/>
      <c r="AW223">
        <v>139566.09485368314</v>
      </c>
      <c r="AX223" s="238">
        <v>0</v>
      </c>
      <c r="AY223" s="238">
        <v>4149300</v>
      </c>
      <c r="BA223" s="238" t="s">
        <v>35</v>
      </c>
      <c r="BB223" s="238" t="s">
        <v>35</v>
      </c>
      <c r="BC223" t="s">
        <v>8953</v>
      </c>
      <c r="BD223" t="s">
        <v>8954</v>
      </c>
      <c r="BE223" t="s">
        <v>8962</v>
      </c>
      <c r="BF223" t="s">
        <v>8970</v>
      </c>
      <c r="BG223" t="b">
        <v>1</v>
      </c>
      <c r="BH223">
        <v>4149300</v>
      </c>
      <c r="BI223">
        <v>4149300</v>
      </c>
      <c r="BJ223">
        <v>0</v>
      </c>
      <c r="BK223">
        <v>0</v>
      </c>
      <c r="BL223">
        <v>0</v>
      </c>
      <c r="BM223" t="s">
        <v>36</v>
      </c>
      <c r="BN223" t="b">
        <v>1</v>
      </c>
      <c r="BO223" t="s">
        <v>8282</v>
      </c>
    </row>
    <row r="224" spans="1:67" x14ac:dyDescent="0.25">
      <c r="A224" s="238">
        <v>223</v>
      </c>
      <c r="B224" s="238">
        <v>3</v>
      </c>
      <c r="C224" s="238">
        <v>9</v>
      </c>
      <c r="D224" s="238">
        <v>1</v>
      </c>
      <c r="E224" s="238">
        <v>1</v>
      </c>
      <c r="F224" s="238">
        <v>14.42</v>
      </c>
      <c r="G224" s="238"/>
      <c r="H224" s="238"/>
      <c r="I224" s="238">
        <v>14.42</v>
      </c>
      <c r="J224" s="238">
        <v>16.2</v>
      </c>
      <c r="K224" s="238">
        <v>4.09</v>
      </c>
      <c r="L224" s="238"/>
      <c r="M224" s="238">
        <v>8.0299999999999994</v>
      </c>
      <c r="N224" s="238"/>
      <c r="O224" s="238">
        <v>3.01</v>
      </c>
      <c r="R224" s="238">
        <v>3.01</v>
      </c>
      <c r="S224" s="238">
        <v>45.75</v>
      </c>
      <c r="T224" s="238">
        <v>42.74</v>
      </c>
      <c r="U224" s="238">
        <v>44.25</v>
      </c>
      <c r="V224" s="238">
        <v>122837.8</v>
      </c>
      <c r="W224">
        <v>2456.7560000000003</v>
      </c>
      <c r="X224">
        <v>125294.556</v>
      </c>
      <c r="Y224">
        <v>1000</v>
      </c>
      <c r="Z224">
        <v>126294.556</v>
      </c>
      <c r="AB224">
        <v>126294.556</v>
      </c>
      <c r="AD224">
        <v>126294.556</v>
      </c>
      <c r="AF224">
        <v>126294.556</v>
      </c>
      <c r="AH224">
        <v>126294.556</v>
      </c>
      <c r="AJ224">
        <v>126294.556</v>
      </c>
      <c r="AL224">
        <v>126294.556</v>
      </c>
      <c r="AM224" s="238">
        <v>126294.56</v>
      </c>
      <c r="AN224" s="238">
        <v>5588600</v>
      </c>
      <c r="AP224" s="238"/>
      <c r="AQ224" s="238">
        <v>0</v>
      </c>
      <c r="AR224" s="238">
        <v>126296.04519774012</v>
      </c>
      <c r="AS224" s="238">
        <v>5588600</v>
      </c>
      <c r="AT224" s="238" t="s">
        <v>36</v>
      </c>
      <c r="AU224" s="238"/>
      <c r="AW224">
        <v>126296.04519774012</v>
      </c>
      <c r="AX224" s="238">
        <v>0</v>
      </c>
      <c r="AY224" s="238">
        <v>5588600</v>
      </c>
      <c r="BA224" s="238" t="s">
        <v>39</v>
      </c>
      <c r="BB224" s="238" t="s">
        <v>39</v>
      </c>
      <c r="BC224" t="s">
        <v>8950</v>
      </c>
      <c r="BD224" t="s">
        <v>1167</v>
      </c>
      <c r="BE224" t="s">
        <v>8962</v>
      </c>
      <c r="BF224" t="s">
        <v>8972</v>
      </c>
      <c r="BG224" t="b">
        <v>1</v>
      </c>
      <c r="BH224">
        <v>5588600</v>
      </c>
      <c r="BI224" t="s">
        <v>9002</v>
      </c>
      <c r="BJ224">
        <v>0</v>
      </c>
      <c r="BK224">
        <v>5588600</v>
      </c>
      <c r="BL224">
        <v>0</v>
      </c>
      <c r="BM224" t="s">
        <v>36</v>
      </c>
      <c r="BN224" t="b">
        <v>1</v>
      </c>
      <c r="BO224" t="s">
        <v>8283</v>
      </c>
    </row>
    <row r="225" spans="1:67" x14ac:dyDescent="0.25">
      <c r="A225" s="238">
        <v>224</v>
      </c>
      <c r="B225" s="238">
        <v>3</v>
      </c>
      <c r="C225" s="238">
        <v>9</v>
      </c>
      <c r="D225" s="238">
        <v>2</v>
      </c>
      <c r="E225" s="238">
        <v>1</v>
      </c>
      <c r="F225" s="238">
        <v>12.76</v>
      </c>
      <c r="G225" s="238"/>
      <c r="H225" s="238"/>
      <c r="I225" s="238">
        <v>12.76</v>
      </c>
      <c r="J225" s="238">
        <v>15.1</v>
      </c>
      <c r="K225" s="238">
        <v>4.22</v>
      </c>
      <c r="L225" s="238"/>
      <c r="M225" s="238">
        <v>3.09</v>
      </c>
      <c r="N225" s="238"/>
      <c r="O225" s="238">
        <v>2.93</v>
      </c>
      <c r="R225" s="238">
        <v>2.93</v>
      </c>
      <c r="S225" s="238">
        <v>38.1</v>
      </c>
      <c r="T225" s="238">
        <v>35.17</v>
      </c>
      <c r="U225" s="238">
        <v>36.64</v>
      </c>
      <c r="V225" s="238">
        <v>126415.6</v>
      </c>
      <c r="W225">
        <v>2528.3120000000004</v>
      </c>
      <c r="X225">
        <v>128943.912</v>
      </c>
      <c r="Y225">
        <v>1000</v>
      </c>
      <c r="Z225">
        <v>129943.912</v>
      </c>
      <c r="AA225">
        <v>215</v>
      </c>
      <c r="AB225">
        <v>130158.912</v>
      </c>
      <c r="AC225">
        <v>17.5</v>
      </c>
      <c r="AD225">
        <v>130176.412</v>
      </c>
      <c r="AE225">
        <v>1952.64618</v>
      </c>
      <c r="AF225">
        <v>132129.05818000002</v>
      </c>
      <c r="AG225">
        <v>1321.2905818000002</v>
      </c>
      <c r="AH225">
        <v>133450.34876180004</v>
      </c>
      <c r="AI225">
        <v>1334.5034876180005</v>
      </c>
      <c r="AJ225">
        <v>134784.85224941804</v>
      </c>
      <c r="AL225">
        <v>134784.85224941804</v>
      </c>
      <c r="AM225" s="238">
        <v>134784.85</v>
      </c>
      <c r="AN225" s="238">
        <v>4938600</v>
      </c>
      <c r="AP225" s="238">
        <v>0.02</v>
      </c>
      <c r="AQ225" s="238">
        <v>98772</v>
      </c>
      <c r="AR225" s="238">
        <v>132091.37554585154</v>
      </c>
      <c r="AS225" s="238">
        <v>4839828</v>
      </c>
      <c r="AT225" s="238" t="s">
        <v>8787</v>
      </c>
      <c r="AU225" s="238">
        <v>10000</v>
      </c>
      <c r="AW225">
        <v>142091.37554585154</v>
      </c>
      <c r="AX225" s="238">
        <v>366400</v>
      </c>
      <c r="AY225" s="238">
        <v>5206228</v>
      </c>
      <c r="AZ225" t="s">
        <v>3540</v>
      </c>
      <c r="BA225" s="238" t="s">
        <v>39</v>
      </c>
      <c r="BB225" s="238" t="s">
        <v>39</v>
      </c>
      <c r="BC225" t="s">
        <v>8950</v>
      </c>
      <c r="BD225" t="s">
        <v>1167</v>
      </c>
      <c r="BE225" t="s">
        <v>8962</v>
      </c>
      <c r="BF225" t="s">
        <v>8972</v>
      </c>
      <c r="BG225" t="b">
        <v>1</v>
      </c>
      <c r="BH225">
        <v>4938600</v>
      </c>
      <c r="BI225" t="s">
        <v>9002</v>
      </c>
      <c r="BJ225">
        <v>0</v>
      </c>
      <c r="BK225">
        <v>4938600</v>
      </c>
      <c r="BL225">
        <v>0</v>
      </c>
      <c r="BM225" t="s">
        <v>8787</v>
      </c>
      <c r="BN225" t="b">
        <v>1</v>
      </c>
      <c r="BO225" t="s">
        <v>8284</v>
      </c>
    </row>
    <row r="226" spans="1:67" x14ac:dyDescent="0.25">
      <c r="A226" s="238">
        <v>225</v>
      </c>
      <c r="B226" s="238">
        <v>3</v>
      </c>
      <c r="C226" s="238">
        <v>9</v>
      </c>
      <c r="D226" s="238">
        <v>3</v>
      </c>
      <c r="E226" s="238">
        <v>2</v>
      </c>
      <c r="F226" s="238">
        <v>15.36</v>
      </c>
      <c r="G226" s="238">
        <v>11.95</v>
      </c>
      <c r="H226" s="238"/>
      <c r="I226" s="238">
        <v>27.31</v>
      </c>
      <c r="J226" s="238">
        <v>14.7</v>
      </c>
      <c r="K226" s="238">
        <v>4.21</v>
      </c>
      <c r="L226" s="238"/>
      <c r="M226" s="238">
        <v>6.6</v>
      </c>
      <c r="N226" s="238"/>
      <c r="O226" s="238">
        <v>3.23</v>
      </c>
      <c r="R226" s="238">
        <v>3.23</v>
      </c>
      <c r="S226" s="238">
        <v>56.05</v>
      </c>
      <c r="T226" s="238">
        <v>52.82</v>
      </c>
      <c r="U226" s="238">
        <v>54.44</v>
      </c>
      <c r="V226" s="238">
        <v>119811.8</v>
      </c>
      <c r="W226">
        <v>2516.0478000000003</v>
      </c>
      <c r="X226">
        <v>122327.8478</v>
      </c>
      <c r="Y226">
        <v>1000</v>
      </c>
      <c r="Z226">
        <v>123327.8478</v>
      </c>
      <c r="AA226">
        <v>215</v>
      </c>
      <c r="AB226">
        <v>123542.8478</v>
      </c>
      <c r="AC226">
        <v>17.5</v>
      </c>
      <c r="AD226">
        <v>123560.3478</v>
      </c>
      <c r="AE226">
        <v>617.801739</v>
      </c>
      <c r="AF226">
        <v>124178.14953900001</v>
      </c>
      <c r="AH226">
        <v>124178.14953900001</v>
      </c>
      <c r="AJ226">
        <v>124178.14953900001</v>
      </c>
      <c r="AL226">
        <v>124178.14953900001</v>
      </c>
      <c r="AM226" s="238">
        <v>124178.15</v>
      </c>
      <c r="AN226" s="238">
        <v>6760300</v>
      </c>
      <c r="AP226" s="238"/>
      <c r="AQ226" s="238">
        <v>0</v>
      </c>
      <c r="AR226" s="238">
        <v>124178.91256429096</v>
      </c>
      <c r="AS226" s="238">
        <v>6760300</v>
      </c>
      <c r="AT226" s="238" t="s">
        <v>8787</v>
      </c>
      <c r="AU226" s="238">
        <v>10000</v>
      </c>
      <c r="AW226">
        <v>134178.91256429098</v>
      </c>
      <c r="AX226" s="238">
        <v>544400.00000000093</v>
      </c>
      <c r="AY226" s="238">
        <v>7304700.0000000019</v>
      </c>
      <c r="BA226" s="238" t="s">
        <v>39</v>
      </c>
      <c r="BB226" s="238" t="s">
        <v>39</v>
      </c>
      <c r="BC226" t="s">
        <v>8950</v>
      </c>
      <c r="BD226" t="s">
        <v>1167</v>
      </c>
      <c r="BE226" t="s">
        <v>8962</v>
      </c>
      <c r="BF226" t="s">
        <v>8971</v>
      </c>
      <c r="BG226" t="b">
        <v>1</v>
      </c>
      <c r="BH226">
        <v>6760300</v>
      </c>
      <c r="BI226" t="s">
        <v>9002</v>
      </c>
      <c r="BJ226">
        <v>0</v>
      </c>
      <c r="BK226">
        <v>6760300</v>
      </c>
      <c r="BL226">
        <v>0</v>
      </c>
      <c r="BM226" t="s">
        <v>8787</v>
      </c>
      <c r="BN226" t="b">
        <v>1</v>
      </c>
      <c r="BO226" t="s">
        <v>8285</v>
      </c>
    </row>
    <row r="227" spans="1:67" x14ac:dyDescent="0.25">
      <c r="A227" s="238">
        <v>226</v>
      </c>
      <c r="B227" s="238">
        <v>3</v>
      </c>
      <c r="C227" s="238">
        <v>9</v>
      </c>
      <c r="D227" s="238">
        <v>4</v>
      </c>
      <c r="E227" s="238">
        <v>1</v>
      </c>
      <c r="F227" s="238">
        <v>14.28</v>
      </c>
      <c r="G227" s="238"/>
      <c r="H227" s="238"/>
      <c r="I227" s="238">
        <v>14.28</v>
      </c>
      <c r="J227" s="238">
        <v>13.99</v>
      </c>
      <c r="K227" s="238">
        <v>3.9</v>
      </c>
      <c r="L227" s="238"/>
      <c r="M227" s="238">
        <v>2.6</v>
      </c>
      <c r="N227" s="238"/>
      <c r="O227" s="238">
        <v>3.23</v>
      </c>
      <c r="R227" s="238">
        <v>3.23</v>
      </c>
      <c r="S227" s="238">
        <v>38</v>
      </c>
      <c r="T227" s="238">
        <v>34.770000000000003</v>
      </c>
      <c r="U227" s="238">
        <v>36.39</v>
      </c>
      <c r="V227" s="238">
        <v>125223</v>
      </c>
      <c r="X227">
        <v>125223</v>
      </c>
      <c r="Y227">
        <v>1000</v>
      </c>
      <c r="Z227">
        <v>126223</v>
      </c>
      <c r="AA227">
        <v>215</v>
      </c>
      <c r="AB227">
        <v>126438</v>
      </c>
      <c r="AC227">
        <v>17.5</v>
      </c>
      <c r="AD227">
        <v>126455.5</v>
      </c>
      <c r="AE227">
        <v>1896.8325</v>
      </c>
      <c r="AF227">
        <v>128352.3325</v>
      </c>
      <c r="AG227">
        <v>1283.5233250000001</v>
      </c>
      <c r="AH227">
        <v>129635.85582500001</v>
      </c>
      <c r="AI227">
        <v>1296.35855825</v>
      </c>
      <c r="AJ227">
        <v>130932.21438325</v>
      </c>
      <c r="AL227">
        <v>130932.21438325</v>
      </c>
      <c r="AM227" s="238">
        <v>130932.21</v>
      </c>
      <c r="AN227" s="238">
        <v>4764700</v>
      </c>
      <c r="AP227" s="238"/>
      <c r="AQ227" s="238">
        <v>0</v>
      </c>
      <c r="AR227" s="238">
        <v>130934.32261610332</v>
      </c>
      <c r="AS227" s="238">
        <v>4764700</v>
      </c>
      <c r="AT227" s="238" t="s">
        <v>36</v>
      </c>
      <c r="AU227" s="238"/>
      <c r="AW227">
        <v>130934.32261610332</v>
      </c>
      <c r="AX227" s="238">
        <v>0</v>
      </c>
      <c r="AY227" s="238">
        <v>4764700</v>
      </c>
      <c r="BA227" s="238" t="s">
        <v>8956</v>
      </c>
      <c r="BB227" s="238" t="s">
        <v>8956</v>
      </c>
      <c r="BC227" t="s">
        <v>8953</v>
      </c>
      <c r="BD227" t="s">
        <v>8957</v>
      </c>
      <c r="BE227" t="s">
        <v>8962</v>
      </c>
      <c r="BF227" t="s">
        <v>8973</v>
      </c>
      <c r="BG227" t="b">
        <v>1</v>
      </c>
      <c r="BH227">
        <v>4764700</v>
      </c>
      <c r="BI227">
        <v>4764700</v>
      </c>
      <c r="BJ227">
        <v>0</v>
      </c>
      <c r="BK227">
        <v>0</v>
      </c>
      <c r="BL227">
        <v>0</v>
      </c>
      <c r="BM227" t="s">
        <v>36</v>
      </c>
      <c r="BN227" t="b">
        <v>1</v>
      </c>
      <c r="BO227" t="s">
        <v>8286</v>
      </c>
    </row>
    <row r="228" spans="1:67" x14ac:dyDescent="0.25">
      <c r="A228" s="238">
        <v>227</v>
      </c>
      <c r="B228" s="238">
        <v>3</v>
      </c>
      <c r="C228" s="238">
        <v>9</v>
      </c>
      <c r="D228" s="238">
        <v>5</v>
      </c>
      <c r="E228" s="238">
        <v>3</v>
      </c>
      <c r="F228" s="238">
        <v>18.350000000000001</v>
      </c>
      <c r="G228" s="238">
        <v>15.96</v>
      </c>
      <c r="H228" s="238">
        <v>11.55</v>
      </c>
      <c r="I228" s="238">
        <v>45.86</v>
      </c>
      <c r="J228" s="238">
        <v>11.42</v>
      </c>
      <c r="K228" s="238">
        <v>3.9</v>
      </c>
      <c r="L228" s="238">
        <v>4.37</v>
      </c>
      <c r="M228" s="238">
        <v>11.06</v>
      </c>
      <c r="N228" s="238"/>
      <c r="O228" s="238">
        <v>3.1</v>
      </c>
      <c r="R228" s="238">
        <v>3.1</v>
      </c>
      <c r="S228" s="238">
        <v>79.709999999999994</v>
      </c>
      <c r="T228" s="238">
        <v>76.61</v>
      </c>
      <c r="U228" s="238">
        <v>78.16</v>
      </c>
      <c r="V228" s="238">
        <v>108402</v>
      </c>
      <c r="X228">
        <v>108402</v>
      </c>
      <c r="Y228">
        <v>1000</v>
      </c>
      <c r="Z228">
        <v>109402</v>
      </c>
      <c r="AA228">
        <v>215</v>
      </c>
      <c r="AB228">
        <v>109617</v>
      </c>
      <c r="AC228">
        <v>17.5</v>
      </c>
      <c r="AD228">
        <v>109634.5</v>
      </c>
      <c r="AF228">
        <v>109634.5</v>
      </c>
      <c r="AH228">
        <v>109634.5</v>
      </c>
      <c r="AJ228">
        <v>109634.5</v>
      </c>
      <c r="AK228">
        <v>2192.69</v>
      </c>
      <c r="AL228">
        <v>111827.19</v>
      </c>
      <c r="AM228" s="238">
        <v>111827.19</v>
      </c>
      <c r="AN228" s="238">
        <v>8740500</v>
      </c>
      <c r="AP228" s="238"/>
      <c r="AQ228" s="238">
        <v>0</v>
      </c>
      <c r="AR228" s="238">
        <v>111828.30092118731</v>
      </c>
      <c r="AS228" s="238">
        <v>8740500</v>
      </c>
      <c r="AT228" s="238" t="s">
        <v>36</v>
      </c>
      <c r="AU228" s="238"/>
      <c r="AW228">
        <v>111828.30092118731</v>
      </c>
      <c r="AX228" s="238">
        <v>0</v>
      </c>
      <c r="AY228" s="238">
        <v>8740500</v>
      </c>
      <c r="BA228" s="238" t="s">
        <v>3</v>
      </c>
      <c r="BB228" s="238" t="s">
        <v>3</v>
      </c>
      <c r="BC228" t="s">
        <v>8951</v>
      </c>
      <c r="BD228" t="s">
        <v>1167</v>
      </c>
      <c r="BE228" t="s">
        <v>8962</v>
      </c>
      <c r="BF228" t="s">
        <v>8975</v>
      </c>
      <c r="BG228" t="b">
        <v>1</v>
      </c>
      <c r="BH228">
        <v>8740500</v>
      </c>
      <c r="BI228">
        <v>8740500</v>
      </c>
      <c r="BJ228">
        <v>0</v>
      </c>
      <c r="BK228">
        <v>0</v>
      </c>
      <c r="BL228">
        <v>0</v>
      </c>
      <c r="BM228" t="s">
        <v>36</v>
      </c>
      <c r="BN228" t="b">
        <v>1</v>
      </c>
      <c r="BO228" t="s">
        <v>8287</v>
      </c>
    </row>
    <row r="229" spans="1:67" x14ac:dyDescent="0.25">
      <c r="A229" s="238">
        <v>228</v>
      </c>
      <c r="B229" s="238">
        <v>3</v>
      </c>
      <c r="C229" s="238">
        <v>9</v>
      </c>
      <c r="D229" s="238">
        <v>6</v>
      </c>
      <c r="E229" s="238">
        <v>0</v>
      </c>
      <c r="F229" s="238">
        <v>16.25</v>
      </c>
      <c r="G229" s="238"/>
      <c r="H229" s="238"/>
      <c r="I229" s="238">
        <v>16.25</v>
      </c>
      <c r="J229" s="238">
        <v>5</v>
      </c>
      <c r="K229" s="238">
        <v>4.2699999999999996</v>
      </c>
      <c r="L229" s="238"/>
      <c r="M229" s="238">
        <v>4.21</v>
      </c>
      <c r="N229" s="238"/>
      <c r="O229" s="238"/>
      <c r="R229" s="238">
        <v>0</v>
      </c>
      <c r="S229" s="238">
        <v>29.73</v>
      </c>
      <c r="T229" s="238">
        <v>29.73</v>
      </c>
      <c r="U229" s="238">
        <v>29.73</v>
      </c>
      <c r="V229" s="238">
        <v>139730</v>
      </c>
      <c r="X229">
        <v>139730</v>
      </c>
      <c r="Y229">
        <v>1000</v>
      </c>
      <c r="Z229">
        <v>140730</v>
      </c>
      <c r="AA229">
        <v>215</v>
      </c>
      <c r="AB229">
        <v>140945</v>
      </c>
      <c r="AC229">
        <v>17.5</v>
      </c>
      <c r="AD229">
        <v>140962.5</v>
      </c>
      <c r="AF229">
        <v>140962.5</v>
      </c>
      <c r="AH229">
        <v>140962.5</v>
      </c>
      <c r="AJ229">
        <v>140962.5</v>
      </c>
      <c r="AL229">
        <v>140962.5</v>
      </c>
      <c r="AM229" s="238">
        <v>140962.5</v>
      </c>
      <c r="AN229" s="238">
        <v>4190900</v>
      </c>
      <c r="AP229" s="238"/>
      <c r="AQ229" s="238">
        <v>0</v>
      </c>
      <c r="AR229" s="238">
        <v>140965.35486041036</v>
      </c>
      <c r="AS229" s="238">
        <v>4190900</v>
      </c>
      <c r="AT229" s="238" t="s">
        <v>36</v>
      </c>
      <c r="AU229" s="238"/>
      <c r="AW229">
        <v>140965.35486041036</v>
      </c>
      <c r="AX229" s="238">
        <v>0</v>
      </c>
      <c r="AY229" s="238">
        <v>4190900</v>
      </c>
      <c r="BA229" s="238" t="s">
        <v>35</v>
      </c>
      <c r="BB229" s="238" t="s">
        <v>35</v>
      </c>
      <c r="BC229" t="s">
        <v>8953</v>
      </c>
      <c r="BD229" t="s">
        <v>8954</v>
      </c>
      <c r="BE229" t="s">
        <v>8962</v>
      </c>
      <c r="BF229" t="s">
        <v>8970</v>
      </c>
      <c r="BG229" t="b">
        <v>1</v>
      </c>
      <c r="BH229">
        <v>4190900</v>
      </c>
      <c r="BI229">
        <v>4190900</v>
      </c>
      <c r="BJ229">
        <v>0</v>
      </c>
      <c r="BK229">
        <v>0</v>
      </c>
      <c r="BL229">
        <v>0</v>
      </c>
      <c r="BM229" t="s">
        <v>36</v>
      </c>
      <c r="BN229" t="b">
        <v>1</v>
      </c>
      <c r="BO229" t="s">
        <v>8288</v>
      </c>
    </row>
    <row r="230" spans="1:67" x14ac:dyDescent="0.25">
      <c r="A230" s="238">
        <v>229</v>
      </c>
      <c r="B230" s="238">
        <v>3</v>
      </c>
      <c r="C230" s="238">
        <v>10</v>
      </c>
      <c r="D230" s="238">
        <v>1</v>
      </c>
      <c r="E230" s="238">
        <v>1</v>
      </c>
      <c r="F230" s="238">
        <v>14.42</v>
      </c>
      <c r="G230" s="238"/>
      <c r="H230" s="238"/>
      <c r="I230" s="238">
        <v>14.42</v>
      </c>
      <c r="J230" s="238">
        <v>16.11</v>
      </c>
      <c r="K230" s="238">
        <v>4.09</v>
      </c>
      <c r="L230" s="238"/>
      <c r="M230" s="238">
        <v>8.0299999999999994</v>
      </c>
      <c r="N230" s="238"/>
      <c r="O230" s="238">
        <v>3.01</v>
      </c>
      <c r="R230" s="238">
        <v>3.01</v>
      </c>
      <c r="S230" s="238">
        <v>45.66</v>
      </c>
      <c r="T230" s="238">
        <v>42.65</v>
      </c>
      <c r="U230" s="238">
        <v>44.16</v>
      </c>
      <c r="V230" s="238">
        <v>122837.8</v>
      </c>
      <c r="W230">
        <v>2456.7560000000003</v>
      </c>
      <c r="X230">
        <v>125294.556</v>
      </c>
      <c r="Y230">
        <v>1000</v>
      </c>
      <c r="Z230">
        <v>126294.556</v>
      </c>
      <c r="AA230">
        <v>215</v>
      </c>
      <c r="AB230">
        <v>126509.556</v>
      </c>
      <c r="AC230">
        <v>17.5</v>
      </c>
      <c r="AD230">
        <v>126527.056</v>
      </c>
      <c r="AE230">
        <v>632.63527999999997</v>
      </c>
      <c r="AF230">
        <v>127159.69128</v>
      </c>
      <c r="AH230">
        <v>127159.69128</v>
      </c>
      <c r="AJ230">
        <v>127159.69128</v>
      </c>
      <c r="AL230">
        <v>127159.69128</v>
      </c>
      <c r="AM230" s="238">
        <v>127159.69</v>
      </c>
      <c r="AN230" s="238">
        <v>5615400</v>
      </c>
      <c r="AP230" s="238">
        <v>0.02</v>
      </c>
      <c r="AQ230" s="238">
        <v>112308</v>
      </c>
      <c r="AR230" s="238">
        <v>124617.11956521741</v>
      </c>
      <c r="AS230" s="238">
        <v>5503092</v>
      </c>
      <c r="AT230" s="238" t="s">
        <v>8787</v>
      </c>
      <c r="AU230" s="238">
        <v>10000</v>
      </c>
      <c r="AW230">
        <v>134617.11956521741</v>
      </c>
      <c r="AX230" s="238">
        <v>441600</v>
      </c>
      <c r="AY230" s="238">
        <v>5944692</v>
      </c>
      <c r="AZ230" t="s">
        <v>3540</v>
      </c>
      <c r="BA230" s="238" t="s">
        <v>39</v>
      </c>
      <c r="BB230" s="238" t="s">
        <v>39</v>
      </c>
      <c r="BC230" t="s">
        <v>8950</v>
      </c>
      <c r="BD230" t="s">
        <v>1167</v>
      </c>
      <c r="BE230" t="s">
        <v>8962</v>
      </c>
      <c r="BF230" t="s">
        <v>8972</v>
      </c>
      <c r="BG230" t="b">
        <v>1</v>
      </c>
      <c r="BH230">
        <v>5615400</v>
      </c>
      <c r="BI230" t="s">
        <v>9002</v>
      </c>
      <c r="BJ230">
        <v>5615400</v>
      </c>
      <c r="BK230">
        <v>5615400</v>
      </c>
      <c r="BL230">
        <v>0</v>
      </c>
      <c r="BM230" t="s">
        <v>8787</v>
      </c>
      <c r="BN230" t="b">
        <v>1</v>
      </c>
      <c r="BO230" t="s">
        <v>8289</v>
      </c>
    </row>
    <row r="231" spans="1:67" x14ac:dyDescent="0.25">
      <c r="A231" s="238">
        <v>230</v>
      </c>
      <c r="B231" s="238">
        <v>3</v>
      </c>
      <c r="C231" s="238">
        <v>10</v>
      </c>
      <c r="D231" s="238">
        <v>2</v>
      </c>
      <c r="E231" s="238">
        <v>1</v>
      </c>
      <c r="F231" s="238">
        <v>12.76</v>
      </c>
      <c r="G231" s="238"/>
      <c r="H231" s="238"/>
      <c r="I231" s="238">
        <v>12.76</v>
      </c>
      <c r="J231" s="238">
        <v>15.01</v>
      </c>
      <c r="K231" s="238">
        <v>4.22</v>
      </c>
      <c r="L231" s="238"/>
      <c r="M231" s="238">
        <v>3.09</v>
      </c>
      <c r="N231" s="238"/>
      <c r="O231" s="238">
        <v>2.93</v>
      </c>
      <c r="R231" s="238">
        <v>2.93</v>
      </c>
      <c r="S231" s="238">
        <v>38.01</v>
      </c>
      <c r="T231" s="238">
        <v>35.08</v>
      </c>
      <c r="U231" s="238">
        <v>36.549999999999997</v>
      </c>
      <c r="V231" s="238">
        <v>124030.39999999999</v>
      </c>
      <c r="W231">
        <v>2480.6079999999997</v>
      </c>
      <c r="X231">
        <v>126511.008</v>
      </c>
      <c r="Z231">
        <v>126511.008</v>
      </c>
      <c r="AB231">
        <v>126511.008</v>
      </c>
      <c r="AD231">
        <v>126511.008</v>
      </c>
      <c r="AF231">
        <v>126511.008</v>
      </c>
      <c r="AH231">
        <v>126511.008</v>
      </c>
      <c r="AJ231">
        <v>126511.008</v>
      </c>
      <c r="AL231">
        <v>126511.008</v>
      </c>
      <c r="AM231" s="238">
        <v>126511.01</v>
      </c>
      <c r="AN231" s="238">
        <v>4624000</v>
      </c>
      <c r="AP231" s="238">
        <v>0.02</v>
      </c>
      <c r="AQ231" s="238">
        <v>92480</v>
      </c>
      <c r="AR231" s="238">
        <v>123981.39534883722</v>
      </c>
      <c r="AS231" s="238">
        <v>4531520</v>
      </c>
      <c r="AT231" s="238" t="s">
        <v>36</v>
      </c>
      <c r="AU231" s="238"/>
      <c r="AW231">
        <v>123981.39534883722</v>
      </c>
      <c r="AX231" s="238">
        <v>0</v>
      </c>
      <c r="AY231" s="238">
        <v>4531520</v>
      </c>
      <c r="AZ231" t="s">
        <v>8359</v>
      </c>
      <c r="BA231" s="238" t="s">
        <v>39</v>
      </c>
      <c r="BB231" s="238" t="s">
        <v>39</v>
      </c>
      <c r="BC231" t="s">
        <v>8950</v>
      </c>
      <c r="BD231" t="s">
        <v>1167</v>
      </c>
      <c r="BE231" t="s">
        <v>8962</v>
      </c>
      <c r="BF231" t="s">
        <v>8972</v>
      </c>
      <c r="BG231" t="b">
        <v>1</v>
      </c>
      <c r="BH231">
        <v>4624000</v>
      </c>
      <c r="BI231" t="s">
        <v>9002</v>
      </c>
      <c r="BJ231">
        <v>4624000</v>
      </c>
      <c r="BK231">
        <v>4624000</v>
      </c>
      <c r="BL231">
        <v>0</v>
      </c>
      <c r="BM231" t="s">
        <v>36</v>
      </c>
      <c r="BN231" t="b">
        <v>1</v>
      </c>
      <c r="BO231" t="s">
        <v>8290</v>
      </c>
    </row>
    <row r="232" spans="1:67" x14ac:dyDescent="0.25">
      <c r="A232" s="238">
        <v>231</v>
      </c>
      <c r="B232" s="238">
        <v>3</v>
      </c>
      <c r="C232" s="238">
        <v>10</v>
      </c>
      <c r="D232" s="238">
        <v>3</v>
      </c>
      <c r="E232" s="238">
        <v>2</v>
      </c>
      <c r="F232" s="238">
        <v>15.36</v>
      </c>
      <c r="G232" s="238">
        <v>11.95</v>
      </c>
      <c r="H232" s="238"/>
      <c r="I232" s="238">
        <v>27.31</v>
      </c>
      <c r="J232" s="238">
        <v>14.61</v>
      </c>
      <c r="K232" s="238">
        <v>4.21</v>
      </c>
      <c r="L232" s="238"/>
      <c r="M232" s="238">
        <v>6.6</v>
      </c>
      <c r="N232" s="238"/>
      <c r="O232" s="238">
        <v>3.23</v>
      </c>
      <c r="R232" s="238">
        <v>3.23</v>
      </c>
      <c r="S232" s="238">
        <v>55.96</v>
      </c>
      <c r="T232" s="238">
        <v>52.73</v>
      </c>
      <c r="U232" s="238">
        <v>54.35</v>
      </c>
      <c r="V232" s="238">
        <v>117551.2</v>
      </c>
      <c r="W232">
        <v>2468.5752000000002</v>
      </c>
      <c r="X232">
        <v>120019.7752</v>
      </c>
      <c r="Y232">
        <v>1000</v>
      </c>
      <c r="Z232">
        <v>121019.7752</v>
      </c>
      <c r="AA232">
        <v>215</v>
      </c>
      <c r="AB232">
        <v>121234.7752</v>
      </c>
      <c r="AC232">
        <v>17.5</v>
      </c>
      <c r="AD232">
        <v>121252.2752</v>
      </c>
      <c r="AE232">
        <v>606.26137600000004</v>
      </c>
      <c r="AF232">
        <v>121858.536576</v>
      </c>
      <c r="AH232">
        <v>121858.536576</v>
      </c>
      <c r="AJ232">
        <v>121858.536576</v>
      </c>
      <c r="AL232">
        <v>121858.536576</v>
      </c>
      <c r="AM232" s="238">
        <v>121858.54</v>
      </c>
      <c r="AN232" s="238">
        <v>6623100</v>
      </c>
      <c r="AP232" s="238"/>
      <c r="AQ232" s="238">
        <v>0</v>
      </c>
      <c r="AR232" s="238">
        <v>121860.16559337628</v>
      </c>
      <c r="AS232" s="238">
        <v>6623100</v>
      </c>
      <c r="AT232" s="238" t="s">
        <v>36</v>
      </c>
      <c r="AU232" s="238"/>
      <c r="AW232">
        <v>121860.16559337628</v>
      </c>
      <c r="AX232" s="238">
        <v>0</v>
      </c>
      <c r="AY232" s="238">
        <v>6623100</v>
      </c>
      <c r="BA232" s="238" t="s">
        <v>35</v>
      </c>
      <c r="BB232" s="238" t="s">
        <v>35</v>
      </c>
      <c r="BC232" t="s">
        <v>8953</v>
      </c>
      <c r="BD232" t="s">
        <v>8954</v>
      </c>
      <c r="BE232" t="s">
        <v>8962</v>
      </c>
      <c r="BF232" t="s">
        <v>8971</v>
      </c>
      <c r="BG232" t="b">
        <v>1</v>
      </c>
      <c r="BH232">
        <v>6623100</v>
      </c>
      <c r="BI232">
        <v>6623100</v>
      </c>
      <c r="BJ232">
        <v>0</v>
      </c>
      <c r="BK232">
        <v>0</v>
      </c>
      <c r="BL232">
        <v>0</v>
      </c>
      <c r="BM232" t="s">
        <v>36</v>
      </c>
      <c r="BN232" t="b">
        <v>1</v>
      </c>
      <c r="BO232" t="s">
        <v>8291</v>
      </c>
    </row>
    <row r="233" spans="1:67" x14ac:dyDescent="0.25">
      <c r="A233" s="238">
        <v>232</v>
      </c>
      <c r="B233" s="238">
        <v>3</v>
      </c>
      <c r="C233" s="238">
        <v>10</v>
      </c>
      <c r="D233" s="238">
        <v>4</v>
      </c>
      <c r="E233" s="238">
        <v>2</v>
      </c>
      <c r="F233" s="238">
        <v>15.67</v>
      </c>
      <c r="G233" s="238">
        <v>12.94</v>
      </c>
      <c r="H233" s="238"/>
      <c r="I233" s="238">
        <v>28.61</v>
      </c>
      <c r="J233" s="238">
        <v>13.91</v>
      </c>
      <c r="K233" s="238">
        <v>4.16</v>
      </c>
      <c r="L233" s="238"/>
      <c r="M233" s="238">
        <v>7.7</v>
      </c>
      <c r="N233" s="238"/>
      <c r="O233" s="238">
        <v>3.23</v>
      </c>
      <c r="R233" s="238">
        <v>3.23</v>
      </c>
      <c r="S233" s="238">
        <v>57.61</v>
      </c>
      <c r="T233" s="238">
        <v>54.38</v>
      </c>
      <c r="U233" s="238">
        <v>56</v>
      </c>
      <c r="V233" s="238">
        <v>117551.2</v>
      </c>
      <c r="W233">
        <v>2351.0239999999999</v>
      </c>
      <c r="X233">
        <v>119902.224</v>
      </c>
      <c r="Y233">
        <v>1000</v>
      </c>
      <c r="Z233">
        <v>120902.224</v>
      </c>
      <c r="AA233">
        <v>215</v>
      </c>
      <c r="AB233">
        <v>121117.224</v>
      </c>
      <c r="AC233">
        <v>17.5</v>
      </c>
      <c r="AD233">
        <v>121134.724</v>
      </c>
      <c r="AE233">
        <v>605.67362000000003</v>
      </c>
      <c r="AF233">
        <v>121740.39762</v>
      </c>
      <c r="AH233">
        <v>121740.39762</v>
      </c>
      <c r="AJ233">
        <v>121740.39762</v>
      </c>
      <c r="AK233">
        <v>2434.8079524</v>
      </c>
      <c r="AL233">
        <v>124175.20557239999</v>
      </c>
      <c r="AM233" s="238">
        <v>124175.21</v>
      </c>
      <c r="AN233" s="238">
        <v>6953900</v>
      </c>
      <c r="AP233" s="238"/>
      <c r="AQ233" s="238">
        <v>0</v>
      </c>
      <c r="AR233" s="238">
        <v>124176.78571428572</v>
      </c>
      <c r="AS233" s="238">
        <v>6953900</v>
      </c>
      <c r="AT233" s="238" t="s">
        <v>36</v>
      </c>
      <c r="AU233" s="238"/>
      <c r="AW233">
        <v>124176.78571428572</v>
      </c>
      <c r="AX233" s="238">
        <v>0</v>
      </c>
      <c r="AY233" s="238">
        <v>6953900</v>
      </c>
      <c r="BA233" s="238" t="s">
        <v>3</v>
      </c>
      <c r="BB233" s="238" t="s">
        <v>3</v>
      </c>
      <c r="BC233" t="s">
        <v>8951</v>
      </c>
      <c r="BD233" t="s">
        <v>1167</v>
      </c>
      <c r="BE233" t="s">
        <v>8962</v>
      </c>
      <c r="BF233" t="s">
        <v>8974</v>
      </c>
      <c r="BG233" t="b">
        <v>1</v>
      </c>
      <c r="BH233">
        <v>6953900</v>
      </c>
      <c r="BI233">
        <v>6953900</v>
      </c>
      <c r="BJ233">
        <v>0</v>
      </c>
      <c r="BK233">
        <v>0</v>
      </c>
      <c r="BL233">
        <v>0</v>
      </c>
      <c r="BM233" t="s">
        <v>36</v>
      </c>
      <c r="BN233" t="b">
        <v>1</v>
      </c>
      <c r="BO233" t="s">
        <v>8292</v>
      </c>
    </row>
    <row r="234" spans="1:67" x14ac:dyDescent="0.25">
      <c r="A234" s="238">
        <v>233</v>
      </c>
      <c r="B234" s="238">
        <v>3</v>
      </c>
      <c r="C234" s="238">
        <v>10</v>
      </c>
      <c r="D234" s="238">
        <v>5</v>
      </c>
      <c r="E234" s="238">
        <v>2</v>
      </c>
      <c r="F234" s="238">
        <v>18.350000000000001</v>
      </c>
      <c r="G234" s="238">
        <v>15.96</v>
      </c>
      <c r="H234" s="238"/>
      <c r="I234" s="238">
        <v>34.31</v>
      </c>
      <c r="J234" s="238">
        <v>11.33</v>
      </c>
      <c r="K234" s="238">
        <v>4.41</v>
      </c>
      <c r="L234" s="238"/>
      <c r="M234" s="238">
        <v>7.57</v>
      </c>
      <c r="N234" s="238"/>
      <c r="O234" s="238">
        <v>3.1</v>
      </c>
      <c r="R234" s="238">
        <v>3.1</v>
      </c>
      <c r="S234" s="238">
        <v>60.72</v>
      </c>
      <c r="T234" s="238">
        <v>57.62</v>
      </c>
      <c r="U234" s="238">
        <v>59.17</v>
      </c>
      <c r="V234" s="238">
        <v>118681.5</v>
      </c>
      <c r="X234">
        <v>118681.5</v>
      </c>
      <c r="Y234">
        <v>1000</v>
      </c>
      <c r="Z234">
        <v>119681.5</v>
      </c>
      <c r="AA234">
        <v>215</v>
      </c>
      <c r="AB234">
        <v>119896.5</v>
      </c>
      <c r="AC234">
        <v>17.5</v>
      </c>
      <c r="AD234">
        <v>119914</v>
      </c>
      <c r="AE234">
        <v>599.57000000000005</v>
      </c>
      <c r="AF234">
        <v>120513.57</v>
      </c>
      <c r="AH234">
        <v>120513.57</v>
      </c>
      <c r="AJ234">
        <v>120513.57</v>
      </c>
      <c r="AK234">
        <v>3615.4070999999999</v>
      </c>
      <c r="AL234">
        <v>124128.9771</v>
      </c>
      <c r="AM234" s="238">
        <v>124128.98</v>
      </c>
      <c r="AN234" s="238">
        <v>7344800</v>
      </c>
      <c r="AP234" s="238"/>
      <c r="AQ234" s="238">
        <v>0</v>
      </c>
      <c r="AR234" s="238">
        <v>124130.47152273112</v>
      </c>
      <c r="AS234" s="238">
        <v>7344800</v>
      </c>
      <c r="AT234" s="238" t="s">
        <v>36</v>
      </c>
      <c r="AU234" s="238"/>
      <c r="AW234">
        <v>124130.47152273112</v>
      </c>
      <c r="AX234" s="238">
        <v>0</v>
      </c>
      <c r="AY234" s="238">
        <v>7344800</v>
      </c>
      <c r="BA234" s="238" t="s">
        <v>35</v>
      </c>
      <c r="BB234" s="238" t="s">
        <v>35</v>
      </c>
      <c r="BC234" t="s">
        <v>8953</v>
      </c>
      <c r="BD234" t="s">
        <v>8954</v>
      </c>
      <c r="BE234" t="s">
        <v>8962</v>
      </c>
      <c r="BF234" t="s">
        <v>8974</v>
      </c>
      <c r="BG234" t="b">
        <v>1</v>
      </c>
      <c r="BH234">
        <v>7344800</v>
      </c>
      <c r="BI234">
        <v>7344800</v>
      </c>
      <c r="BJ234">
        <v>0</v>
      </c>
      <c r="BK234">
        <v>0</v>
      </c>
      <c r="BL234">
        <v>0</v>
      </c>
      <c r="BM234" t="s">
        <v>36</v>
      </c>
      <c r="BN234" t="b">
        <v>1</v>
      </c>
      <c r="BO234" t="s">
        <v>8293</v>
      </c>
    </row>
    <row r="235" spans="1:67" x14ac:dyDescent="0.25">
      <c r="A235" s="238">
        <v>234</v>
      </c>
      <c r="B235" s="238">
        <v>3</v>
      </c>
      <c r="C235" s="238">
        <v>10</v>
      </c>
      <c r="D235" s="238">
        <v>6</v>
      </c>
      <c r="E235" s="238">
        <v>0</v>
      </c>
      <c r="F235" s="238">
        <v>16.25</v>
      </c>
      <c r="G235" s="238"/>
      <c r="H235" s="238"/>
      <c r="I235" s="238">
        <v>16.25</v>
      </c>
      <c r="J235" s="238">
        <v>5</v>
      </c>
      <c r="K235" s="238">
        <v>4.2</v>
      </c>
      <c r="L235" s="238"/>
      <c r="M235" s="238">
        <v>4.21</v>
      </c>
      <c r="N235" s="238"/>
      <c r="O235" s="238"/>
      <c r="R235" s="238">
        <v>0</v>
      </c>
      <c r="S235" s="238">
        <v>29.66</v>
      </c>
      <c r="T235" s="238">
        <v>29.66</v>
      </c>
      <c r="U235" s="238">
        <v>29.66</v>
      </c>
      <c r="V235" s="238">
        <v>138332.70000000001</v>
      </c>
      <c r="X235">
        <v>138332.70000000001</v>
      </c>
      <c r="Y235">
        <v>1000</v>
      </c>
      <c r="Z235">
        <v>139332.70000000001</v>
      </c>
      <c r="AA235">
        <v>215</v>
      </c>
      <c r="AB235">
        <v>139547.70000000001</v>
      </c>
      <c r="AC235">
        <v>17.5</v>
      </c>
      <c r="AD235">
        <v>139565.20000000001</v>
      </c>
      <c r="AF235">
        <v>139565.20000000001</v>
      </c>
      <c r="AH235">
        <v>139565.20000000001</v>
      </c>
      <c r="AJ235">
        <v>139565.20000000001</v>
      </c>
      <c r="AL235">
        <v>139565.20000000001</v>
      </c>
      <c r="AM235" s="238">
        <v>139565.20000000001</v>
      </c>
      <c r="AN235" s="238">
        <v>4139600</v>
      </c>
      <c r="AP235" s="238"/>
      <c r="AQ235" s="238">
        <v>0</v>
      </c>
      <c r="AR235" s="238">
        <v>139568.44234659473</v>
      </c>
      <c r="AS235" s="238">
        <v>4139600</v>
      </c>
      <c r="AT235" s="238" t="s">
        <v>36</v>
      </c>
      <c r="AU235" s="238"/>
      <c r="AW235">
        <v>139568.44234659473</v>
      </c>
      <c r="AX235" s="238">
        <v>0</v>
      </c>
      <c r="AY235" s="238">
        <v>4139600</v>
      </c>
      <c r="BA235" s="238" t="s">
        <v>35</v>
      </c>
      <c r="BB235" s="238" t="s">
        <v>35</v>
      </c>
      <c r="BC235" t="s">
        <v>8953</v>
      </c>
      <c r="BD235" t="s">
        <v>8954</v>
      </c>
      <c r="BE235" t="s">
        <v>8962</v>
      </c>
      <c r="BF235" t="s">
        <v>8970</v>
      </c>
      <c r="BG235" t="b">
        <v>1</v>
      </c>
      <c r="BH235">
        <v>4139600</v>
      </c>
      <c r="BI235">
        <v>4139600</v>
      </c>
      <c r="BJ235">
        <v>0</v>
      </c>
      <c r="BK235">
        <v>0</v>
      </c>
      <c r="BL235">
        <v>0</v>
      </c>
      <c r="BM235" t="s">
        <v>36</v>
      </c>
      <c r="BN235" t="b">
        <v>1</v>
      </c>
      <c r="BO235" t="s">
        <v>8294</v>
      </c>
    </row>
    <row r="236" spans="1:67" x14ac:dyDescent="0.25">
      <c r="A236" s="238">
        <v>235</v>
      </c>
      <c r="B236" s="238">
        <v>3</v>
      </c>
      <c r="C236" s="238">
        <v>11</v>
      </c>
      <c r="D236" s="238">
        <v>1</v>
      </c>
      <c r="E236" s="238">
        <v>1</v>
      </c>
      <c r="F236" s="238">
        <v>14.42</v>
      </c>
      <c r="G236" s="238"/>
      <c r="H236" s="238"/>
      <c r="I236" s="238">
        <v>14.42</v>
      </c>
      <c r="J236" s="238">
        <v>16.11</v>
      </c>
      <c r="K236" s="238">
        <v>4.09</v>
      </c>
      <c r="L236" s="238"/>
      <c r="M236" s="238">
        <v>8.0299999999999994</v>
      </c>
      <c r="N236" s="238"/>
      <c r="O236" s="238">
        <v>3.01</v>
      </c>
      <c r="R236" s="238">
        <v>3.01</v>
      </c>
      <c r="S236" s="238">
        <v>45.66</v>
      </c>
      <c r="T236" s="238">
        <v>42.65</v>
      </c>
      <c r="U236" s="238">
        <v>44.16</v>
      </c>
      <c r="V236" s="238">
        <v>122837.8</v>
      </c>
      <c r="W236">
        <v>2456.7560000000003</v>
      </c>
      <c r="X236">
        <v>125294.556</v>
      </c>
      <c r="Y236">
        <v>1000</v>
      </c>
      <c r="Z236">
        <v>126294.556</v>
      </c>
      <c r="AB236">
        <v>126294.556</v>
      </c>
      <c r="AD236">
        <v>126294.556</v>
      </c>
      <c r="AF236">
        <v>126294.556</v>
      </c>
      <c r="AH236">
        <v>126294.556</v>
      </c>
      <c r="AJ236">
        <v>126294.556</v>
      </c>
      <c r="AL236">
        <v>126294.556</v>
      </c>
      <c r="AM236" s="238">
        <v>126294.56</v>
      </c>
      <c r="AN236" s="238">
        <v>5577200</v>
      </c>
      <c r="AP236" s="238">
        <v>0.02</v>
      </c>
      <c r="AQ236" s="238">
        <v>111544</v>
      </c>
      <c r="AR236" s="238">
        <v>123769.38405797102</v>
      </c>
      <c r="AS236" s="238">
        <v>5465656</v>
      </c>
      <c r="AT236" s="238" t="s">
        <v>36</v>
      </c>
      <c r="AU236" s="238"/>
      <c r="AW236">
        <v>123769.38405797102</v>
      </c>
      <c r="AX236" s="238">
        <v>0</v>
      </c>
      <c r="AY236" s="238">
        <v>5465656</v>
      </c>
      <c r="AZ236" t="s">
        <v>4518</v>
      </c>
      <c r="BA236" s="238" t="s">
        <v>39</v>
      </c>
      <c r="BB236" s="238" t="s">
        <v>39</v>
      </c>
      <c r="BC236" t="s">
        <v>8950</v>
      </c>
      <c r="BD236" t="s">
        <v>1167</v>
      </c>
      <c r="BE236" t="s">
        <v>8962</v>
      </c>
      <c r="BF236" t="s">
        <v>8972</v>
      </c>
      <c r="BG236" t="b">
        <v>1</v>
      </c>
      <c r="BH236">
        <v>5577200</v>
      </c>
      <c r="BI236" t="s">
        <v>9002</v>
      </c>
      <c r="BJ236">
        <v>0</v>
      </c>
      <c r="BK236">
        <v>5577200</v>
      </c>
      <c r="BL236">
        <v>0</v>
      </c>
      <c r="BM236" t="s">
        <v>36</v>
      </c>
      <c r="BN236" t="b">
        <v>1</v>
      </c>
      <c r="BO236" t="s">
        <v>8295</v>
      </c>
    </row>
    <row r="237" spans="1:67" x14ac:dyDescent="0.25">
      <c r="A237" s="238">
        <v>236</v>
      </c>
      <c r="B237" s="238">
        <v>3</v>
      </c>
      <c r="C237" s="238">
        <v>11</v>
      </c>
      <c r="D237" s="238">
        <v>2</v>
      </c>
      <c r="E237" s="238">
        <v>1</v>
      </c>
      <c r="F237" s="238">
        <v>12.76</v>
      </c>
      <c r="G237" s="238"/>
      <c r="H237" s="238"/>
      <c r="I237" s="238">
        <v>12.76</v>
      </c>
      <c r="J237" s="238">
        <v>15.01</v>
      </c>
      <c r="K237" s="238">
        <v>4.22</v>
      </c>
      <c r="L237" s="238"/>
      <c r="M237" s="238">
        <v>3.09</v>
      </c>
      <c r="N237" s="238"/>
      <c r="O237" s="238">
        <v>2.93</v>
      </c>
      <c r="R237" s="238">
        <v>2.93</v>
      </c>
      <c r="S237" s="238">
        <v>38.01</v>
      </c>
      <c r="T237" s="238">
        <v>35.08</v>
      </c>
      <c r="U237" s="238">
        <v>36.549999999999997</v>
      </c>
      <c r="V237" s="238">
        <v>126415.6</v>
      </c>
      <c r="W237">
        <v>2528.3120000000004</v>
      </c>
      <c r="X237">
        <v>128943.912</v>
      </c>
      <c r="Y237">
        <v>1000</v>
      </c>
      <c r="Z237">
        <v>129943.912</v>
      </c>
      <c r="AA237">
        <v>215</v>
      </c>
      <c r="AB237">
        <v>130158.912</v>
      </c>
      <c r="AC237">
        <v>17.5</v>
      </c>
      <c r="AD237">
        <v>130176.412</v>
      </c>
      <c r="AE237">
        <v>1952.64618</v>
      </c>
      <c r="AF237">
        <v>132129.05818000002</v>
      </c>
      <c r="AH237">
        <v>132129.05818000002</v>
      </c>
      <c r="AJ237">
        <v>132129.05818000002</v>
      </c>
      <c r="AL237">
        <v>132129.05818000002</v>
      </c>
      <c r="AM237" s="238">
        <v>132129.06</v>
      </c>
      <c r="AN237" s="238">
        <v>4829400</v>
      </c>
      <c r="AP237" s="238">
        <v>0.02</v>
      </c>
      <c r="AQ237" s="238">
        <v>96588</v>
      </c>
      <c r="AR237" s="238">
        <v>129488.70041039672</v>
      </c>
      <c r="AS237" s="238">
        <v>4732812</v>
      </c>
      <c r="AT237" s="238" t="s">
        <v>8787</v>
      </c>
      <c r="AU237" s="238">
        <v>10000</v>
      </c>
      <c r="AW237">
        <v>139488.70041039673</v>
      </c>
      <c r="AX237" s="238">
        <v>365500</v>
      </c>
      <c r="AY237" s="238">
        <v>5098312</v>
      </c>
      <c r="AZ237" t="s">
        <v>4518</v>
      </c>
      <c r="BA237" s="238" t="s">
        <v>39</v>
      </c>
      <c r="BB237" s="238" t="s">
        <v>39</v>
      </c>
      <c r="BC237" t="s">
        <v>8950</v>
      </c>
      <c r="BD237" t="s">
        <v>1167</v>
      </c>
      <c r="BE237" t="s">
        <v>8962</v>
      </c>
      <c r="BF237" t="s">
        <v>8972</v>
      </c>
      <c r="BG237" t="b">
        <v>1</v>
      </c>
      <c r="BH237">
        <v>4829400</v>
      </c>
      <c r="BI237" t="s">
        <v>9002</v>
      </c>
      <c r="BJ237">
        <v>0</v>
      </c>
      <c r="BK237">
        <v>4829400</v>
      </c>
      <c r="BL237">
        <v>0</v>
      </c>
      <c r="BM237" t="s">
        <v>8787</v>
      </c>
      <c r="BN237" t="b">
        <v>1</v>
      </c>
      <c r="BO237" t="s">
        <v>8296</v>
      </c>
    </row>
    <row r="238" spans="1:67" x14ac:dyDescent="0.25">
      <c r="A238" s="238">
        <v>237</v>
      </c>
      <c r="B238" s="238">
        <v>3</v>
      </c>
      <c r="C238" s="238">
        <v>11</v>
      </c>
      <c r="D238" s="238">
        <v>3</v>
      </c>
      <c r="E238" s="238">
        <v>2</v>
      </c>
      <c r="F238" s="238">
        <v>15.36</v>
      </c>
      <c r="G238" s="238">
        <v>11.95</v>
      </c>
      <c r="H238" s="238"/>
      <c r="I238" s="238">
        <v>27.31</v>
      </c>
      <c r="J238" s="238">
        <v>14.61</v>
      </c>
      <c r="K238" s="238">
        <v>4.21</v>
      </c>
      <c r="L238" s="238"/>
      <c r="M238" s="238">
        <v>6.6</v>
      </c>
      <c r="N238" s="238"/>
      <c r="O238" s="238">
        <v>3.23</v>
      </c>
      <c r="R238" s="238">
        <v>3.23</v>
      </c>
      <c r="S238" s="238">
        <v>55.96</v>
      </c>
      <c r="T238" s="238">
        <v>52.73</v>
      </c>
      <c r="U238" s="238">
        <v>54.35</v>
      </c>
      <c r="V238" s="238">
        <v>119811.8</v>
      </c>
      <c r="W238">
        <v>2516.0478000000003</v>
      </c>
      <c r="X238">
        <v>122327.8478</v>
      </c>
      <c r="Y238">
        <v>1000</v>
      </c>
      <c r="Z238">
        <v>123327.8478</v>
      </c>
      <c r="AA238">
        <v>215</v>
      </c>
      <c r="AB238">
        <v>123542.8478</v>
      </c>
      <c r="AC238">
        <v>17.5</v>
      </c>
      <c r="AD238">
        <v>123560.3478</v>
      </c>
      <c r="AF238">
        <v>123560.3478</v>
      </c>
      <c r="AH238">
        <v>123560.3478</v>
      </c>
      <c r="AJ238">
        <v>123560.3478</v>
      </c>
      <c r="AL238">
        <v>123560.3478</v>
      </c>
      <c r="AM238" s="238">
        <v>123560.35</v>
      </c>
      <c r="AN238" s="238">
        <v>6715600</v>
      </c>
      <c r="AP238" s="238">
        <v>0.02</v>
      </c>
      <c r="AQ238" s="238">
        <v>134312</v>
      </c>
      <c r="AR238" s="238">
        <v>121090.85556577735</v>
      </c>
      <c r="AS238" s="238">
        <v>6581288</v>
      </c>
      <c r="AT238" s="238" t="s">
        <v>36</v>
      </c>
      <c r="AU238" s="238"/>
      <c r="AW238">
        <v>121090.85556577735</v>
      </c>
      <c r="AX238" s="238">
        <v>0</v>
      </c>
      <c r="AY238" s="238">
        <v>6581288</v>
      </c>
      <c r="AZ238" t="s">
        <v>3540</v>
      </c>
      <c r="BA238" s="238" t="s">
        <v>39</v>
      </c>
      <c r="BB238" s="238" t="s">
        <v>39</v>
      </c>
      <c r="BC238" t="s">
        <v>8950</v>
      </c>
      <c r="BD238" t="s">
        <v>1167</v>
      </c>
      <c r="BE238" t="s">
        <v>8962</v>
      </c>
      <c r="BF238" t="s">
        <v>8971</v>
      </c>
      <c r="BG238" t="b">
        <v>1</v>
      </c>
      <c r="BH238">
        <v>6715600</v>
      </c>
      <c r="BI238" t="s">
        <v>9002</v>
      </c>
      <c r="BJ238">
        <v>0</v>
      </c>
      <c r="BK238">
        <v>6715600</v>
      </c>
      <c r="BL238">
        <v>0</v>
      </c>
      <c r="BM238" t="s">
        <v>36</v>
      </c>
      <c r="BN238" t="b">
        <v>1</v>
      </c>
      <c r="BO238" t="s">
        <v>8297</v>
      </c>
    </row>
    <row r="239" spans="1:67" x14ac:dyDescent="0.25">
      <c r="A239" s="238">
        <v>238</v>
      </c>
      <c r="B239" s="238">
        <v>3</v>
      </c>
      <c r="C239" s="238">
        <v>11</v>
      </c>
      <c r="D239" s="238">
        <v>4</v>
      </c>
      <c r="E239" s="238">
        <v>2</v>
      </c>
      <c r="F239" s="238">
        <v>15.67</v>
      </c>
      <c r="G239" s="238">
        <v>12.94</v>
      </c>
      <c r="H239" s="238"/>
      <c r="I239" s="238">
        <v>28.61</v>
      </c>
      <c r="J239" s="238">
        <v>13.91</v>
      </c>
      <c r="K239" s="238">
        <v>4.16</v>
      </c>
      <c r="L239" s="238"/>
      <c r="M239" s="238">
        <v>7.7</v>
      </c>
      <c r="N239" s="238"/>
      <c r="O239" s="238">
        <v>3.23</v>
      </c>
      <c r="R239" s="238">
        <v>3.23</v>
      </c>
      <c r="S239" s="238">
        <v>57.61</v>
      </c>
      <c r="T239" s="238">
        <v>54.38</v>
      </c>
      <c r="U239" s="238">
        <v>56</v>
      </c>
      <c r="V239" s="238">
        <v>119811.8</v>
      </c>
      <c r="W239">
        <v>2396.2360000000003</v>
      </c>
      <c r="X239">
        <v>122208.03599999999</v>
      </c>
      <c r="Y239">
        <v>1000</v>
      </c>
      <c r="Z239">
        <v>123208.03599999999</v>
      </c>
      <c r="AA239">
        <v>215</v>
      </c>
      <c r="AB239">
        <v>123423.03599999999</v>
      </c>
      <c r="AC239">
        <v>17.5</v>
      </c>
      <c r="AD239">
        <v>123440.53599999999</v>
      </c>
      <c r="AE239">
        <v>617.2026800000001</v>
      </c>
      <c r="AF239">
        <v>124057.73867999999</v>
      </c>
      <c r="AH239">
        <v>124057.73867999999</v>
      </c>
      <c r="AJ239">
        <v>124057.73867999999</v>
      </c>
      <c r="AK239">
        <v>2481.1547736000002</v>
      </c>
      <c r="AL239">
        <v>126538.89345360002</v>
      </c>
      <c r="AM239" s="238">
        <v>126538.89</v>
      </c>
      <c r="AN239" s="238">
        <v>7086200</v>
      </c>
      <c r="AP239" s="238"/>
      <c r="AQ239" s="238">
        <v>0</v>
      </c>
      <c r="AR239" s="238">
        <v>126539.28571428572</v>
      </c>
      <c r="AS239" s="238">
        <v>7086200</v>
      </c>
      <c r="AT239" s="238" t="s">
        <v>36</v>
      </c>
      <c r="AU239" s="238"/>
      <c r="AW239">
        <v>126539.28571428572</v>
      </c>
      <c r="AX239" s="238">
        <v>0</v>
      </c>
      <c r="AY239" s="238">
        <v>7086200</v>
      </c>
      <c r="BA239" s="238" t="s">
        <v>35</v>
      </c>
      <c r="BB239" s="238" t="s">
        <v>35</v>
      </c>
      <c r="BC239" t="s">
        <v>8953</v>
      </c>
      <c r="BD239" t="s">
        <v>8954</v>
      </c>
      <c r="BE239" t="s">
        <v>8962</v>
      </c>
      <c r="BF239" t="s">
        <v>8974</v>
      </c>
      <c r="BG239" t="b">
        <v>1</v>
      </c>
      <c r="BH239">
        <v>7086200</v>
      </c>
      <c r="BI239">
        <v>7086200</v>
      </c>
      <c r="BJ239">
        <v>0</v>
      </c>
      <c r="BK239">
        <v>0</v>
      </c>
      <c r="BL239">
        <v>0</v>
      </c>
      <c r="BM239" t="s">
        <v>36</v>
      </c>
      <c r="BN239" t="b">
        <v>1</v>
      </c>
      <c r="BO239" t="s">
        <v>8298</v>
      </c>
    </row>
    <row r="240" spans="1:67" x14ac:dyDescent="0.25">
      <c r="A240" s="238">
        <v>239</v>
      </c>
      <c r="B240" s="238">
        <v>3</v>
      </c>
      <c r="C240" s="238">
        <v>11</v>
      </c>
      <c r="D240" s="238">
        <v>5</v>
      </c>
      <c r="E240" s="238">
        <v>2</v>
      </c>
      <c r="F240" s="238">
        <v>18.350000000000001</v>
      </c>
      <c r="G240" s="238">
        <v>15.96</v>
      </c>
      <c r="H240" s="238"/>
      <c r="I240" s="238">
        <v>34.31</v>
      </c>
      <c r="J240" s="238">
        <v>11.33</v>
      </c>
      <c r="K240" s="238">
        <v>4.41</v>
      </c>
      <c r="L240" s="238"/>
      <c r="M240" s="238">
        <v>7.57</v>
      </c>
      <c r="N240" s="238"/>
      <c r="O240" s="238">
        <v>3.1</v>
      </c>
      <c r="R240" s="238">
        <v>3.1</v>
      </c>
      <c r="S240" s="238">
        <v>60.72</v>
      </c>
      <c r="T240" s="238">
        <v>57.62</v>
      </c>
      <c r="U240" s="238">
        <v>59.17</v>
      </c>
      <c r="V240" s="238">
        <v>118681.5</v>
      </c>
      <c r="X240">
        <v>118681.5</v>
      </c>
      <c r="Y240">
        <v>1000</v>
      </c>
      <c r="Z240">
        <v>119681.5</v>
      </c>
      <c r="AA240">
        <v>215</v>
      </c>
      <c r="AB240">
        <v>119896.5</v>
      </c>
      <c r="AC240">
        <v>17.5</v>
      </c>
      <c r="AD240">
        <v>119914</v>
      </c>
      <c r="AE240">
        <v>599.57000000000005</v>
      </c>
      <c r="AF240">
        <v>120513.57</v>
      </c>
      <c r="AH240">
        <v>120513.57</v>
      </c>
      <c r="AJ240">
        <v>120513.57</v>
      </c>
      <c r="AK240">
        <v>3615.4070999999999</v>
      </c>
      <c r="AL240">
        <v>124128.9771</v>
      </c>
      <c r="AM240" s="238">
        <v>124128.98</v>
      </c>
      <c r="AN240" s="238">
        <v>7344800</v>
      </c>
      <c r="AP240" s="238"/>
      <c r="AQ240" s="238">
        <v>0</v>
      </c>
      <c r="AR240" s="238">
        <v>124130.47152273112</v>
      </c>
      <c r="AS240" s="238">
        <v>7344800</v>
      </c>
      <c r="AT240" s="238" t="s">
        <v>38</v>
      </c>
      <c r="AU240" s="238">
        <v>30000</v>
      </c>
      <c r="AV240" t="s">
        <v>8816</v>
      </c>
      <c r="AW240">
        <v>154130.47152273112</v>
      </c>
      <c r="AX240" s="238">
        <v>1775100</v>
      </c>
      <c r="AY240" s="238">
        <v>9119900</v>
      </c>
      <c r="BA240" s="238" t="s">
        <v>3</v>
      </c>
      <c r="BB240" s="238" t="s">
        <v>3</v>
      </c>
      <c r="BC240" t="s">
        <v>8951</v>
      </c>
      <c r="BD240" t="s">
        <v>1167</v>
      </c>
      <c r="BE240" t="s">
        <v>8962</v>
      </c>
      <c r="BF240" t="s">
        <v>8974</v>
      </c>
      <c r="BG240" t="b">
        <v>1</v>
      </c>
      <c r="BH240">
        <v>7344800</v>
      </c>
      <c r="BI240">
        <v>7344800</v>
      </c>
      <c r="BJ240">
        <v>0</v>
      </c>
      <c r="BK240">
        <v>0</v>
      </c>
      <c r="BL240">
        <v>0</v>
      </c>
      <c r="BM240" t="s">
        <v>38</v>
      </c>
      <c r="BN240" t="b">
        <v>1</v>
      </c>
      <c r="BO240" t="s">
        <v>8299</v>
      </c>
    </row>
    <row r="241" spans="1:67" x14ac:dyDescent="0.25">
      <c r="A241" s="238">
        <v>240</v>
      </c>
      <c r="B241" s="238">
        <v>3</v>
      </c>
      <c r="C241" s="238">
        <v>11</v>
      </c>
      <c r="D241" s="238">
        <v>6</v>
      </c>
      <c r="E241" s="238">
        <v>0</v>
      </c>
      <c r="F241" s="238">
        <v>16.25</v>
      </c>
      <c r="G241" s="238"/>
      <c r="H241" s="238"/>
      <c r="I241" s="238">
        <v>16.25</v>
      </c>
      <c r="J241" s="238">
        <v>5</v>
      </c>
      <c r="K241" s="238">
        <v>4.2</v>
      </c>
      <c r="L241" s="238"/>
      <c r="M241" s="238">
        <v>4.21</v>
      </c>
      <c r="N241" s="238"/>
      <c r="O241" s="238"/>
      <c r="R241" s="238">
        <v>0</v>
      </c>
      <c r="S241" s="238">
        <v>29.66</v>
      </c>
      <c r="T241" s="238">
        <v>29.66</v>
      </c>
      <c r="U241" s="238">
        <v>29.66</v>
      </c>
      <c r="V241" s="238">
        <v>139730</v>
      </c>
      <c r="X241">
        <v>139730</v>
      </c>
      <c r="Y241">
        <v>1000</v>
      </c>
      <c r="Z241">
        <v>140730</v>
      </c>
      <c r="AA241">
        <v>215</v>
      </c>
      <c r="AB241">
        <v>140945</v>
      </c>
      <c r="AC241">
        <v>17.5</v>
      </c>
      <c r="AD241">
        <v>140962.5</v>
      </c>
      <c r="AF241">
        <v>140962.5</v>
      </c>
      <c r="AH241">
        <v>140962.5</v>
      </c>
      <c r="AJ241">
        <v>140962.5</v>
      </c>
      <c r="AL241">
        <v>140962.5</v>
      </c>
      <c r="AM241" s="238">
        <v>140962.5</v>
      </c>
      <c r="AN241" s="238">
        <v>4181000</v>
      </c>
      <c r="AP241" s="238"/>
      <c r="AQ241" s="238">
        <v>0</v>
      </c>
      <c r="AR241" s="238">
        <v>140964.26163182736</v>
      </c>
      <c r="AS241" s="238">
        <v>4181000</v>
      </c>
      <c r="AT241" s="238" t="s">
        <v>36</v>
      </c>
      <c r="AU241" s="238"/>
      <c r="AW241">
        <v>140964.26163182736</v>
      </c>
      <c r="AX241" s="238">
        <v>0</v>
      </c>
      <c r="AY241" s="238">
        <v>4180999.9999999991</v>
      </c>
      <c r="BA241" s="238" t="s">
        <v>35</v>
      </c>
      <c r="BB241" s="238" t="s">
        <v>35</v>
      </c>
      <c r="BC241" t="s">
        <v>8953</v>
      </c>
      <c r="BD241" t="s">
        <v>8954</v>
      </c>
      <c r="BE241" t="s">
        <v>8962</v>
      </c>
      <c r="BF241" t="s">
        <v>8970</v>
      </c>
      <c r="BG241" t="b">
        <v>1</v>
      </c>
      <c r="BH241">
        <v>4181000</v>
      </c>
      <c r="BI241">
        <v>4181000</v>
      </c>
      <c r="BJ241">
        <v>0</v>
      </c>
      <c r="BK241">
        <v>0</v>
      </c>
      <c r="BL241">
        <v>0</v>
      </c>
      <c r="BM241" t="s">
        <v>36</v>
      </c>
      <c r="BN241" t="b">
        <v>1</v>
      </c>
      <c r="BO241" t="s">
        <v>8300</v>
      </c>
    </row>
    <row r="242" spans="1:67" x14ac:dyDescent="0.25">
      <c r="A242" s="238">
        <v>241</v>
      </c>
      <c r="B242" s="238">
        <v>3</v>
      </c>
      <c r="C242" s="238">
        <v>12</v>
      </c>
      <c r="D242" s="238">
        <v>1</v>
      </c>
      <c r="E242" s="238">
        <v>1</v>
      </c>
      <c r="F242" s="238">
        <v>14.42</v>
      </c>
      <c r="G242" s="238"/>
      <c r="H242" s="238"/>
      <c r="I242" s="238">
        <v>14.42</v>
      </c>
      <c r="J242" s="238">
        <v>16.11</v>
      </c>
      <c r="K242" s="238">
        <v>4.09</v>
      </c>
      <c r="L242" s="238"/>
      <c r="M242" s="238">
        <v>8.0299999999999994</v>
      </c>
      <c r="N242" s="238"/>
      <c r="O242" s="238">
        <v>3.01</v>
      </c>
      <c r="R242" s="238">
        <v>3.01</v>
      </c>
      <c r="S242" s="238">
        <v>45.66</v>
      </c>
      <c r="T242" s="238">
        <v>42.65</v>
      </c>
      <c r="U242" s="238">
        <v>44.16</v>
      </c>
      <c r="V242" s="238">
        <v>122837.8</v>
      </c>
      <c r="W242">
        <v>2456.7560000000003</v>
      </c>
      <c r="X242">
        <v>125294.556</v>
      </c>
      <c r="Y242">
        <v>1000</v>
      </c>
      <c r="Z242">
        <v>126294.556</v>
      </c>
      <c r="AA242">
        <v>215</v>
      </c>
      <c r="AB242">
        <v>126509.556</v>
      </c>
      <c r="AC242">
        <v>17.5</v>
      </c>
      <c r="AD242">
        <v>126527.056</v>
      </c>
      <c r="AE242">
        <v>632.63527999999997</v>
      </c>
      <c r="AF242">
        <v>127159.69128</v>
      </c>
      <c r="AG242">
        <v>1271.5969127999999</v>
      </c>
      <c r="AH242">
        <v>128431.2881928</v>
      </c>
      <c r="AI242">
        <v>1284.312881928</v>
      </c>
      <c r="AJ242">
        <v>129715.60107472799</v>
      </c>
      <c r="AK242">
        <v>2594.3120214945602</v>
      </c>
      <c r="AL242">
        <v>132309.91309622256</v>
      </c>
      <c r="AM242" s="238">
        <v>132309.91</v>
      </c>
      <c r="AN242" s="238">
        <v>5842900</v>
      </c>
      <c r="AP242" s="238"/>
      <c r="AQ242" s="238">
        <v>0</v>
      </c>
      <c r="AR242" s="238">
        <v>132312.04710144928</v>
      </c>
      <c r="AS242" s="238">
        <v>5842900</v>
      </c>
      <c r="AT242" s="238" t="s">
        <v>38</v>
      </c>
      <c r="AU242" s="238">
        <v>30000</v>
      </c>
      <c r="AV242" t="s">
        <v>8816</v>
      </c>
      <c r="AW242">
        <v>162312.04710144928</v>
      </c>
      <c r="AX242" s="238">
        <v>1324800</v>
      </c>
      <c r="AY242" s="238">
        <v>7167700</v>
      </c>
      <c r="BA242" s="238" t="s">
        <v>35</v>
      </c>
      <c r="BB242" s="238" t="s">
        <v>35</v>
      </c>
      <c r="BC242" t="s">
        <v>8953</v>
      </c>
      <c r="BD242" t="s">
        <v>8954</v>
      </c>
      <c r="BE242" t="s">
        <v>8962</v>
      </c>
      <c r="BF242" t="s">
        <v>8972</v>
      </c>
      <c r="BG242" t="b">
        <v>1</v>
      </c>
      <c r="BH242">
        <v>5842900</v>
      </c>
      <c r="BI242">
        <v>5842900</v>
      </c>
      <c r="BJ242">
        <v>0</v>
      </c>
      <c r="BK242">
        <v>0</v>
      </c>
      <c r="BL242">
        <v>0</v>
      </c>
      <c r="BM242" t="s">
        <v>38</v>
      </c>
      <c r="BN242" t="b">
        <v>1</v>
      </c>
      <c r="BO242" t="s">
        <v>8301</v>
      </c>
    </row>
    <row r="243" spans="1:67" x14ac:dyDescent="0.25">
      <c r="A243" s="238">
        <v>242</v>
      </c>
      <c r="B243" s="238">
        <v>3</v>
      </c>
      <c r="C243" s="238">
        <v>12</v>
      </c>
      <c r="D243" s="238">
        <v>2</v>
      </c>
      <c r="E243" s="238">
        <v>1</v>
      </c>
      <c r="F243" s="238">
        <v>12.76</v>
      </c>
      <c r="G243" s="238"/>
      <c r="H243" s="238"/>
      <c r="I243" s="238">
        <v>12.76</v>
      </c>
      <c r="J243" s="238">
        <v>15.01</v>
      </c>
      <c r="K243" s="238">
        <v>4.22</v>
      </c>
      <c r="L243" s="238"/>
      <c r="M243" s="238">
        <v>3.09</v>
      </c>
      <c r="N243" s="238"/>
      <c r="O243" s="238">
        <v>2.93</v>
      </c>
      <c r="R243" s="238">
        <v>2.93</v>
      </c>
      <c r="S243" s="238">
        <v>38.01</v>
      </c>
      <c r="T243" s="238">
        <v>35.08</v>
      </c>
      <c r="U243" s="238">
        <v>36.549999999999997</v>
      </c>
      <c r="V243" s="238">
        <v>126415.6</v>
      </c>
      <c r="W243">
        <v>2528.3120000000004</v>
      </c>
      <c r="X243">
        <v>128943.912</v>
      </c>
      <c r="Y243">
        <v>1000</v>
      </c>
      <c r="Z243">
        <v>129943.912</v>
      </c>
      <c r="AB243">
        <v>129943.912</v>
      </c>
      <c r="AD243">
        <v>129943.912</v>
      </c>
      <c r="AF243">
        <v>129943.912</v>
      </c>
      <c r="AH243">
        <v>129943.912</v>
      </c>
      <c r="AJ243">
        <v>129943.912</v>
      </c>
      <c r="AL243">
        <v>129943.912</v>
      </c>
      <c r="AM243" s="238">
        <v>129943.91</v>
      </c>
      <c r="AN243" s="238">
        <v>4749500</v>
      </c>
      <c r="AP243" s="238"/>
      <c r="AQ243" s="238">
        <v>0</v>
      </c>
      <c r="AR243" s="238">
        <v>129945.2804377565</v>
      </c>
      <c r="AS243" s="238">
        <v>4749500</v>
      </c>
      <c r="AT243" s="238" t="s">
        <v>36</v>
      </c>
      <c r="AU243" s="238"/>
      <c r="AW243">
        <v>129945.2804377565</v>
      </c>
      <c r="AX243" s="238">
        <v>0</v>
      </c>
      <c r="AY243" s="238">
        <v>4749500</v>
      </c>
      <c r="BA243" s="238" t="s">
        <v>39</v>
      </c>
      <c r="BB243" s="238" t="s">
        <v>39</v>
      </c>
      <c r="BC243" t="s">
        <v>8950</v>
      </c>
      <c r="BD243" t="s">
        <v>1167</v>
      </c>
      <c r="BE243" t="s">
        <v>8962</v>
      </c>
      <c r="BF243" t="s">
        <v>8972</v>
      </c>
      <c r="BG243" t="b">
        <v>1</v>
      </c>
      <c r="BH243">
        <v>4749500</v>
      </c>
      <c r="BI243" t="s">
        <v>9002</v>
      </c>
      <c r="BJ243">
        <v>0</v>
      </c>
      <c r="BK243">
        <v>4749500</v>
      </c>
      <c r="BL243">
        <v>0</v>
      </c>
      <c r="BM243" t="s">
        <v>36</v>
      </c>
      <c r="BN243" t="b">
        <v>1</v>
      </c>
      <c r="BO243" t="s">
        <v>8302</v>
      </c>
    </row>
    <row r="244" spans="1:67" x14ac:dyDescent="0.25">
      <c r="A244" s="238">
        <v>243</v>
      </c>
      <c r="B244" s="238">
        <v>3</v>
      </c>
      <c r="C244" s="238">
        <v>12</v>
      </c>
      <c r="D244" s="238">
        <v>3</v>
      </c>
      <c r="E244" s="238">
        <v>2</v>
      </c>
      <c r="F244" s="238">
        <v>15.36</v>
      </c>
      <c r="G244" s="238">
        <v>11.95</v>
      </c>
      <c r="H244" s="238"/>
      <c r="I244" s="238">
        <v>27.31</v>
      </c>
      <c r="J244" s="238">
        <v>14.61</v>
      </c>
      <c r="K244" s="238">
        <v>4.21</v>
      </c>
      <c r="L244" s="238"/>
      <c r="M244" s="238">
        <v>6.6</v>
      </c>
      <c r="N244" s="238"/>
      <c r="O244" s="238">
        <v>3.23</v>
      </c>
      <c r="R244" s="238">
        <v>3.23</v>
      </c>
      <c r="S244" s="238">
        <v>55.96</v>
      </c>
      <c r="T244" s="238">
        <v>52.73</v>
      </c>
      <c r="U244" s="238">
        <v>54.35</v>
      </c>
      <c r="V244" s="238">
        <v>119811.8</v>
      </c>
      <c r="W244">
        <v>2516.0478000000003</v>
      </c>
      <c r="X244">
        <v>122327.8478</v>
      </c>
      <c r="Y244">
        <v>1000</v>
      </c>
      <c r="Z244">
        <v>123327.8478</v>
      </c>
      <c r="AA244">
        <v>215</v>
      </c>
      <c r="AB244">
        <v>123542.8478</v>
      </c>
      <c r="AC244">
        <v>17.5</v>
      </c>
      <c r="AD244">
        <v>123560.3478</v>
      </c>
      <c r="AE244">
        <v>617.801739</v>
      </c>
      <c r="AF244">
        <v>124178.14953900001</v>
      </c>
      <c r="AH244">
        <v>124178.14953900001</v>
      </c>
      <c r="AJ244">
        <v>124178.14953900001</v>
      </c>
      <c r="AL244">
        <v>124178.14953900001</v>
      </c>
      <c r="AM244" s="238">
        <v>124178.15</v>
      </c>
      <c r="AN244" s="238">
        <v>6749100</v>
      </c>
      <c r="AP244" s="238"/>
      <c r="AQ244" s="238">
        <v>0</v>
      </c>
      <c r="AR244" s="238">
        <v>124178.47286108557</v>
      </c>
      <c r="AS244" s="238">
        <v>6749100</v>
      </c>
      <c r="AT244" s="238" t="s">
        <v>36</v>
      </c>
      <c r="AU244" s="238"/>
      <c r="AW244">
        <v>124178.47286108557</v>
      </c>
      <c r="AX244" s="238">
        <v>0</v>
      </c>
      <c r="AY244" s="238">
        <v>6749100</v>
      </c>
      <c r="BA244" s="238" t="s">
        <v>35</v>
      </c>
      <c r="BB244" s="238" t="s">
        <v>35</v>
      </c>
      <c r="BC244" t="s">
        <v>8953</v>
      </c>
      <c r="BD244" t="s">
        <v>8954</v>
      </c>
      <c r="BE244" t="s">
        <v>8962</v>
      </c>
      <c r="BF244" t="s">
        <v>8971</v>
      </c>
      <c r="BG244" t="b">
        <v>1</v>
      </c>
      <c r="BH244">
        <v>6749100</v>
      </c>
      <c r="BI244">
        <v>6749100</v>
      </c>
      <c r="BJ244">
        <v>0</v>
      </c>
      <c r="BK244">
        <v>0</v>
      </c>
      <c r="BL244">
        <v>0</v>
      </c>
      <c r="BM244" t="s">
        <v>36</v>
      </c>
      <c r="BN244" t="b">
        <v>1</v>
      </c>
      <c r="BO244" t="s">
        <v>8303</v>
      </c>
    </row>
    <row r="245" spans="1:67" x14ac:dyDescent="0.25">
      <c r="A245" s="238">
        <v>244</v>
      </c>
      <c r="B245" s="238">
        <v>3</v>
      </c>
      <c r="C245" s="238">
        <v>12</v>
      </c>
      <c r="D245" s="238">
        <v>4</v>
      </c>
      <c r="E245" s="238">
        <v>2</v>
      </c>
      <c r="F245" s="238">
        <v>15.67</v>
      </c>
      <c r="G245" s="238">
        <v>12.94</v>
      </c>
      <c r="H245" s="238"/>
      <c r="I245" s="238">
        <v>28.61</v>
      </c>
      <c r="J245" s="238">
        <v>13.91</v>
      </c>
      <c r="K245" s="238">
        <v>4.16</v>
      </c>
      <c r="L245" s="238"/>
      <c r="M245" s="238">
        <v>7.7</v>
      </c>
      <c r="N245" s="238"/>
      <c r="O245" s="238">
        <v>3.23</v>
      </c>
      <c r="R245" s="238">
        <v>3.23</v>
      </c>
      <c r="S245" s="238">
        <v>57.61</v>
      </c>
      <c r="T245" s="238">
        <v>54.38</v>
      </c>
      <c r="U245" s="238">
        <v>56</v>
      </c>
      <c r="V245" s="238">
        <v>119811.8</v>
      </c>
      <c r="W245">
        <v>2396.2360000000003</v>
      </c>
      <c r="X245">
        <v>122208.03599999999</v>
      </c>
      <c r="Y245">
        <v>1000</v>
      </c>
      <c r="Z245">
        <v>123208.03599999999</v>
      </c>
      <c r="AA245">
        <v>215</v>
      </c>
      <c r="AB245">
        <v>123423.03599999999</v>
      </c>
      <c r="AC245">
        <v>17.5</v>
      </c>
      <c r="AD245">
        <v>123440.53599999999</v>
      </c>
      <c r="AE245">
        <v>617.2026800000001</v>
      </c>
      <c r="AF245">
        <v>124057.73867999999</v>
      </c>
      <c r="AH245">
        <v>124057.73867999999</v>
      </c>
      <c r="AJ245">
        <v>124057.73867999999</v>
      </c>
      <c r="AK245">
        <v>2481.1547736000002</v>
      </c>
      <c r="AL245">
        <v>126538.89345360002</v>
      </c>
      <c r="AM245" s="238">
        <v>126538.89</v>
      </c>
      <c r="AN245" s="238">
        <v>7086200</v>
      </c>
      <c r="AP245" s="238"/>
      <c r="AQ245" s="238">
        <v>0</v>
      </c>
      <c r="AR245" s="238">
        <v>126539.28571428572</v>
      </c>
      <c r="AS245" s="238">
        <v>7086200</v>
      </c>
      <c r="AT245" s="238" t="s">
        <v>36</v>
      </c>
      <c r="AU245" s="238"/>
      <c r="AW245">
        <v>126539.28571428572</v>
      </c>
      <c r="AX245" s="238">
        <v>0</v>
      </c>
      <c r="AY245" s="238">
        <v>7086200</v>
      </c>
      <c r="BA245" s="238" t="s">
        <v>3</v>
      </c>
      <c r="BB245" s="238" t="s">
        <v>3</v>
      </c>
      <c r="BC245" t="s">
        <v>8951</v>
      </c>
      <c r="BD245" t="s">
        <v>1167</v>
      </c>
      <c r="BE245" t="s">
        <v>8962</v>
      </c>
      <c r="BF245" t="s">
        <v>8974</v>
      </c>
      <c r="BG245" t="b">
        <v>1</v>
      </c>
      <c r="BH245">
        <v>7086200</v>
      </c>
      <c r="BI245">
        <v>7086200</v>
      </c>
      <c r="BJ245">
        <v>0</v>
      </c>
      <c r="BK245">
        <v>0</v>
      </c>
      <c r="BL245">
        <v>0</v>
      </c>
      <c r="BM245" t="s">
        <v>36</v>
      </c>
      <c r="BN245" t="b">
        <v>1</v>
      </c>
      <c r="BO245" t="s">
        <v>8304</v>
      </c>
    </row>
    <row r="246" spans="1:67" x14ac:dyDescent="0.25">
      <c r="A246" s="238">
        <v>245</v>
      </c>
      <c r="B246" s="238">
        <v>3</v>
      </c>
      <c r="C246" s="238">
        <v>12</v>
      </c>
      <c r="D246" s="238">
        <v>5</v>
      </c>
      <c r="E246" s="238">
        <v>2</v>
      </c>
      <c r="F246" s="238">
        <v>18.350000000000001</v>
      </c>
      <c r="G246" s="238">
        <v>15.96</v>
      </c>
      <c r="H246" s="238"/>
      <c r="I246" s="238">
        <v>34.31</v>
      </c>
      <c r="J246" s="238">
        <v>11.33</v>
      </c>
      <c r="K246" s="238">
        <v>4.41</v>
      </c>
      <c r="L246" s="238"/>
      <c r="M246" s="238">
        <v>7.57</v>
      </c>
      <c r="N246" s="238"/>
      <c r="O246" s="238">
        <v>3.1</v>
      </c>
      <c r="R246" s="238">
        <v>3.1</v>
      </c>
      <c r="S246" s="238">
        <v>60.72</v>
      </c>
      <c r="T246" s="238">
        <v>57.62</v>
      </c>
      <c r="U246" s="238">
        <v>59.17</v>
      </c>
      <c r="V246" s="238">
        <v>118681.5</v>
      </c>
      <c r="X246">
        <v>118681.5</v>
      </c>
      <c r="Y246">
        <v>1000</v>
      </c>
      <c r="Z246">
        <v>119681.5</v>
      </c>
      <c r="AA246">
        <v>215</v>
      </c>
      <c r="AB246">
        <v>119896.5</v>
      </c>
      <c r="AC246">
        <v>17.5</v>
      </c>
      <c r="AD246">
        <v>119914</v>
      </c>
      <c r="AE246">
        <v>599.57000000000005</v>
      </c>
      <c r="AF246">
        <v>120513.57</v>
      </c>
      <c r="AH246">
        <v>120513.57</v>
      </c>
      <c r="AJ246">
        <v>120513.57</v>
      </c>
      <c r="AK246">
        <v>3615.4070999999999</v>
      </c>
      <c r="AL246">
        <v>124128.9771</v>
      </c>
      <c r="AM246" s="238">
        <v>124128.98</v>
      </c>
      <c r="AN246" s="238">
        <v>7344800</v>
      </c>
      <c r="AP246" s="238"/>
      <c r="AQ246" s="238">
        <v>0</v>
      </c>
      <c r="AR246" s="238">
        <v>124130.47152273112</v>
      </c>
      <c r="AS246" s="238">
        <v>7344800</v>
      </c>
      <c r="AT246" s="238" t="s">
        <v>36</v>
      </c>
      <c r="AU246" s="238"/>
      <c r="AW246">
        <v>124130.47152273112</v>
      </c>
      <c r="AX246" s="238">
        <v>0</v>
      </c>
      <c r="AY246" s="238">
        <v>7344800</v>
      </c>
      <c r="BA246" s="238" t="s">
        <v>35</v>
      </c>
      <c r="BB246" s="238" t="s">
        <v>35</v>
      </c>
      <c r="BC246" t="s">
        <v>8953</v>
      </c>
      <c r="BD246" t="s">
        <v>8954</v>
      </c>
      <c r="BE246" t="s">
        <v>8962</v>
      </c>
      <c r="BF246" t="s">
        <v>8974</v>
      </c>
      <c r="BG246" t="b">
        <v>1</v>
      </c>
      <c r="BH246">
        <v>7344800</v>
      </c>
      <c r="BI246">
        <v>7344800</v>
      </c>
      <c r="BJ246">
        <v>0</v>
      </c>
      <c r="BK246">
        <v>0</v>
      </c>
      <c r="BL246">
        <v>0</v>
      </c>
      <c r="BM246" t="s">
        <v>36</v>
      </c>
      <c r="BN246" t="b">
        <v>1</v>
      </c>
      <c r="BO246" t="s">
        <v>8305</v>
      </c>
    </row>
    <row r="247" spans="1:67" x14ac:dyDescent="0.25">
      <c r="A247" s="238">
        <v>246</v>
      </c>
      <c r="B247" s="238">
        <v>3</v>
      </c>
      <c r="C247" s="238">
        <v>12</v>
      </c>
      <c r="D247" s="238">
        <v>6</v>
      </c>
      <c r="E247" s="238">
        <v>0</v>
      </c>
      <c r="F247" s="238">
        <v>16.25</v>
      </c>
      <c r="G247" s="238"/>
      <c r="H247" s="238"/>
      <c r="I247" s="238">
        <v>16.25</v>
      </c>
      <c r="J247" s="238">
        <v>5</v>
      </c>
      <c r="K247" s="238">
        <v>4.2</v>
      </c>
      <c r="L247" s="238"/>
      <c r="M247" s="238">
        <v>4.21</v>
      </c>
      <c r="N247" s="238"/>
      <c r="O247" s="238"/>
      <c r="R247" s="238">
        <v>0</v>
      </c>
      <c r="S247" s="238">
        <v>29.66</v>
      </c>
      <c r="T247" s="238">
        <v>29.66</v>
      </c>
      <c r="U247" s="238">
        <v>29.66</v>
      </c>
      <c r="V247" s="238">
        <v>138332.70000000001</v>
      </c>
      <c r="X247">
        <v>138332.70000000001</v>
      </c>
      <c r="Y247">
        <v>1000</v>
      </c>
      <c r="Z247">
        <v>139332.70000000001</v>
      </c>
      <c r="AA247">
        <v>215</v>
      </c>
      <c r="AB247">
        <v>139547.70000000001</v>
      </c>
      <c r="AC247">
        <v>17.5</v>
      </c>
      <c r="AD247">
        <v>139565.20000000001</v>
      </c>
      <c r="AF247">
        <v>139565.20000000001</v>
      </c>
      <c r="AH247">
        <v>139565.20000000001</v>
      </c>
      <c r="AJ247">
        <v>139565.20000000001</v>
      </c>
      <c r="AL247">
        <v>139565.20000000001</v>
      </c>
      <c r="AM247" s="238">
        <v>139565.20000000001</v>
      </c>
      <c r="AN247" s="238">
        <v>4139600</v>
      </c>
      <c r="AP247" s="238"/>
      <c r="AQ247" s="238">
        <v>0</v>
      </c>
      <c r="AR247" s="238">
        <v>139568.44234659473</v>
      </c>
      <c r="AS247" s="238">
        <v>4139600</v>
      </c>
      <c r="AT247" s="238" t="s">
        <v>36</v>
      </c>
      <c r="AU247" s="238"/>
      <c r="AW247">
        <v>139568.44234659473</v>
      </c>
      <c r="AX247" s="238">
        <v>0</v>
      </c>
      <c r="AY247" s="238">
        <v>4139600</v>
      </c>
      <c r="BA247" s="238" t="s">
        <v>35</v>
      </c>
      <c r="BB247" s="238" t="s">
        <v>35</v>
      </c>
      <c r="BC247" t="s">
        <v>8953</v>
      </c>
      <c r="BD247" t="s">
        <v>8954</v>
      </c>
      <c r="BE247" t="s">
        <v>8962</v>
      </c>
      <c r="BF247" t="s">
        <v>8970</v>
      </c>
      <c r="BG247" t="b">
        <v>1</v>
      </c>
      <c r="BH247">
        <v>4139600</v>
      </c>
      <c r="BI247">
        <v>4139600</v>
      </c>
      <c r="BJ247">
        <v>0</v>
      </c>
      <c r="BK247">
        <v>0</v>
      </c>
      <c r="BL247">
        <v>0</v>
      </c>
      <c r="BM247" t="s">
        <v>36</v>
      </c>
      <c r="BN247" t="b">
        <v>1</v>
      </c>
      <c r="BO247" t="s">
        <v>8306</v>
      </c>
    </row>
    <row r="248" spans="1:67" x14ac:dyDescent="0.25">
      <c r="A248" s="238">
        <v>247</v>
      </c>
      <c r="B248" s="238">
        <v>3</v>
      </c>
      <c r="C248" s="238">
        <v>13</v>
      </c>
      <c r="D248" s="238">
        <v>1</v>
      </c>
      <c r="E248" s="238">
        <v>1</v>
      </c>
      <c r="F248" s="238">
        <v>14.42</v>
      </c>
      <c r="G248" s="238"/>
      <c r="H248" s="238"/>
      <c r="I248" s="238">
        <v>14.42</v>
      </c>
      <c r="J248" s="238">
        <v>16.11</v>
      </c>
      <c r="K248" s="238">
        <v>4.09</v>
      </c>
      <c r="L248" s="238"/>
      <c r="M248" s="238">
        <v>8.0299999999999994</v>
      </c>
      <c r="N248" s="238"/>
      <c r="O248" s="238">
        <v>3.01</v>
      </c>
      <c r="R248" s="238">
        <v>3.01</v>
      </c>
      <c r="S248" s="238">
        <v>45.66</v>
      </c>
      <c r="T248" s="238">
        <v>42.65</v>
      </c>
      <c r="U248" s="238">
        <v>44.16</v>
      </c>
      <c r="V248" s="238">
        <v>120452.6</v>
      </c>
      <c r="W248">
        <v>2409.0520000000001</v>
      </c>
      <c r="X248">
        <v>122861.652</v>
      </c>
      <c r="Y248">
        <v>1000</v>
      </c>
      <c r="Z248">
        <v>123861.652</v>
      </c>
      <c r="AA248">
        <v>215</v>
      </c>
      <c r="AB248">
        <v>124076.652</v>
      </c>
      <c r="AC248">
        <v>17.5</v>
      </c>
      <c r="AD248">
        <v>124094.152</v>
      </c>
      <c r="AF248">
        <v>124094.152</v>
      </c>
      <c r="AH248">
        <v>124094.152</v>
      </c>
      <c r="AJ248">
        <v>124094.152</v>
      </c>
      <c r="AL248">
        <v>124094.152</v>
      </c>
      <c r="AM248" s="238">
        <v>124094.15</v>
      </c>
      <c r="AN248" s="238">
        <v>5480000</v>
      </c>
      <c r="AP248" s="238"/>
      <c r="AQ248" s="238">
        <v>0</v>
      </c>
      <c r="AR248" s="238">
        <v>124094.20289855072</v>
      </c>
      <c r="AS248" s="238">
        <v>5480000</v>
      </c>
      <c r="AT248" s="238" t="s">
        <v>36</v>
      </c>
      <c r="AU248" s="238"/>
      <c r="AW248">
        <v>124094.20289855072</v>
      </c>
      <c r="AX248" s="238">
        <v>0</v>
      </c>
      <c r="AY248" s="238">
        <v>5480000</v>
      </c>
      <c r="BA248" s="238" t="s">
        <v>39</v>
      </c>
      <c r="BB248" s="238" t="s">
        <v>39</v>
      </c>
      <c r="BC248" t="s">
        <v>8950</v>
      </c>
      <c r="BD248" t="s">
        <v>1167</v>
      </c>
      <c r="BE248" t="s">
        <v>8962</v>
      </c>
      <c r="BF248" t="s">
        <v>8972</v>
      </c>
      <c r="BG248" t="b">
        <v>1</v>
      </c>
      <c r="BH248">
        <v>5480000</v>
      </c>
      <c r="BI248" t="s">
        <v>9002</v>
      </c>
      <c r="BJ248">
        <v>5480000</v>
      </c>
      <c r="BK248">
        <v>5480000</v>
      </c>
      <c r="BL248">
        <v>0</v>
      </c>
      <c r="BM248" t="s">
        <v>36</v>
      </c>
      <c r="BN248" t="b">
        <v>1</v>
      </c>
      <c r="BO248" t="s">
        <v>8307</v>
      </c>
    </row>
    <row r="249" spans="1:67" x14ac:dyDescent="0.25">
      <c r="A249" s="238">
        <v>248</v>
      </c>
      <c r="B249" s="238">
        <v>3</v>
      </c>
      <c r="C249" s="238">
        <v>13</v>
      </c>
      <c r="D249" s="238">
        <v>2</v>
      </c>
      <c r="E249" s="238">
        <v>1</v>
      </c>
      <c r="F249" s="238">
        <v>12.76</v>
      </c>
      <c r="G249" s="238"/>
      <c r="H249" s="238"/>
      <c r="I249" s="238">
        <v>12.76</v>
      </c>
      <c r="J249" s="238">
        <v>15.01</v>
      </c>
      <c r="K249" s="238">
        <v>4.22</v>
      </c>
      <c r="L249" s="238"/>
      <c r="M249" s="238">
        <v>3.09</v>
      </c>
      <c r="N249" s="238"/>
      <c r="O249" s="238">
        <v>2.93</v>
      </c>
      <c r="R249" s="238">
        <v>2.93</v>
      </c>
      <c r="S249" s="238">
        <v>38.01</v>
      </c>
      <c r="T249" s="238">
        <v>35.08</v>
      </c>
      <c r="U249" s="238">
        <v>36.549999999999997</v>
      </c>
      <c r="V249" s="238">
        <v>124030.39999999999</v>
      </c>
      <c r="W249">
        <v>2480.6079999999997</v>
      </c>
      <c r="X249">
        <v>126511.008</v>
      </c>
      <c r="Y249">
        <v>1000</v>
      </c>
      <c r="Z249">
        <v>127511.008</v>
      </c>
      <c r="AA249">
        <v>215</v>
      </c>
      <c r="AB249">
        <v>127726.008</v>
      </c>
      <c r="AC249">
        <v>17.5</v>
      </c>
      <c r="AD249">
        <v>127743.508</v>
      </c>
      <c r="AE249">
        <v>1916.1526200000001</v>
      </c>
      <c r="AF249">
        <v>129659.66061999998</v>
      </c>
      <c r="AG249">
        <v>1296.5966061999998</v>
      </c>
      <c r="AH249">
        <v>130956.25722619996</v>
      </c>
      <c r="AI249">
        <v>1309.5625722619998</v>
      </c>
      <c r="AJ249">
        <v>132265.81979846198</v>
      </c>
      <c r="AL249">
        <v>132265.81979846198</v>
      </c>
      <c r="AM249" s="238">
        <v>132265.82</v>
      </c>
      <c r="AN249" s="238">
        <v>4834400</v>
      </c>
      <c r="AP249" s="238">
        <v>0.02</v>
      </c>
      <c r="AQ249" s="238">
        <v>96688</v>
      </c>
      <c r="AR249" s="238">
        <v>129622.76333789332</v>
      </c>
      <c r="AS249" s="238">
        <v>4737712</v>
      </c>
      <c r="AT249" s="238" t="s">
        <v>38</v>
      </c>
      <c r="AU249" s="238">
        <v>25000</v>
      </c>
      <c r="AV249" t="s">
        <v>8815</v>
      </c>
      <c r="AW249">
        <v>154622.7633378933</v>
      </c>
      <c r="AX249" s="238">
        <v>913749.99999999907</v>
      </c>
      <c r="AY249" s="238">
        <v>5651461.9999999991</v>
      </c>
      <c r="AZ249" t="s">
        <v>3540</v>
      </c>
      <c r="BA249" s="238" t="s">
        <v>39</v>
      </c>
      <c r="BB249" s="238" t="s">
        <v>39</v>
      </c>
      <c r="BC249" t="s">
        <v>8950</v>
      </c>
      <c r="BD249" t="s">
        <v>1167</v>
      </c>
      <c r="BE249" t="s">
        <v>8962</v>
      </c>
      <c r="BF249" t="s">
        <v>8972</v>
      </c>
      <c r="BG249" t="b">
        <v>1</v>
      </c>
      <c r="BH249">
        <v>4834400</v>
      </c>
      <c r="BI249" t="s">
        <v>9002</v>
      </c>
      <c r="BJ249">
        <v>4834400</v>
      </c>
      <c r="BK249">
        <v>4834400</v>
      </c>
      <c r="BL249">
        <v>0</v>
      </c>
      <c r="BM249" t="s">
        <v>38</v>
      </c>
      <c r="BN249" t="b">
        <v>1</v>
      </c>
      <c r="BO249" t="s">
        <v>8308</v>
      </c>
    </row>
    <row r="250" spans="1:67" x14ac:dyDescent="0.25">
      <c r="A250" s="238">
        <v>249</v>
      </c>
      <c r="B250" s="238">
        <v>3</v>
      </c>
      <c r="C250" s="238">
        <v>13</v>
      </c>
      <c r="D250" s="238">
        <v>3</v>
      </c>
      <c r="E250" s="238">
        <v>2</v>
      </c>
      <c r="F250" s="238">
        <v>15.36</v>
      </c>
      <c r="G250" s="238">
        <v>11.95</v>
      </c>
      <c r="H250" s="238"/>
      <c r="I250" s="238">
        <v>27.31</v>
      </c>
      <c r="J250" s="238">
        <v>14.61</v>
      </c>
      <c r="K250" s="238">
        <v>4.21</v>
      </c>
      <c r="L250" s="238"/>
      <c r="M250" s="238">
        <v>6.6</v>
      </c>
      <c r="N250" s="238"/>
      <c r="O250" s="238">
        <v>3.23</v>
      </c>
      <c r="R250" s="238">
        <v>3.23</v>
      </c>
      <c r="S250" s="238">
        <v>55.96</v>
      </c>
      <c r="T250" s="238">
        <v>52.73</v>
      </c>
      <c r="U250" s="238">
        <v>54.35</v>
      </c>
      <c r="V250" s="238">
        <v>119811.8</v>
      </c>
      <c r="W250">
        <v>2516.0478000000003</v>
      </c>
      <c r="X250">
        <v>122327.8478</v>
      </c>
      <c r="Y250">
        <v>1000</v>
      </c>
      <c r="Z250">
        <v>123327.8478</v>
      </c>
      <c r="AA250">
        <v>215</v>
      </c>
      <c r="AB250">
        <v>123542.8478</v>
      </c>
      <c r="AC250">
        <v>17.5</v>
      </c>
      <c r="AD250">
        <v>123560.3478</v>
      </c>
      <c r="AE250">
        <v>617.801739</v>
      </c>
      <c r="AF250">
        <v>124178.14953900001</v>
      </c>
      <c r="AH250">
        <v>124178.14953900001</v>
      </c>
      <c r="AJ250">
        <v>124178.14953900001</v>
      </c>
      <c r="AL250">
        <v>124178.14953900001</v>
      </c>
      <c r="AM250" s="238">
        <v>124178.15</v>
      </c>
      <c r="AN250" s="238">
        <v>6749100</v>
      </c>
      <c r="AP250" s="238"/>
      <c r="AQ250" s="238">
        <v>0</v>
      </c>
      <c r="AR250" s="238">
        <v>124178.47286108557</v>
      </c>
      <c r="AS250" s="238">
        <v>6749100</v>
      </c>
      <c r="AT250" s="238" t="s">
        <v>36</v>
      </c>
      <c r="AU250" s="238"/>
      <c r="AW250">
        <v>124178.47286108557</v>
      </c>
      <c r="AX250" s="238">
        <v>0</v>
      </c>
      <c r="AY250" s="238">
        <v>6749100</v>
      </c>
      <c r="BA250" s="238" t="s">
        <v>39</v>
      </c>
      <c r="BB250" s="238" t="s">
        <v>39</v>
      </c>
      <c r="BC250" t="s">
        <v>8950</v>
      </c>
      <c r="BD250" t="s">
        <v>1167</v>
      </c>
      <c r="BE250" t="s">
        <v>8962</v>
      </c>
      <c r="BF250" t="s">
        <v>8971</v>
      </c>
      <c r="BG250" t="b">
        <v>1</v>
      </c>
      <c r="BH250">
        <v>6749100</v>
      </c>
      <c r="BI250" t="s">
        <v>9002</v>
      </c>
      <c r="BJ250">
        <v>0</v>
      </c>
      <c r="BK250">
        <v>6749100</v>
      </c>
      <c r="BL250">
        <v>0</v>
      </c>
      <c r="BM250" t="s">
        <v>36</v>
      </c>
      <c r="BN250" t="b">
        <v>1</v>
      </c>
      <c r="BO250" t="s">
        <v>8309</v>
      </c>
    </row>
    <row r="251" spans="1:67" x14ac:dyDescent="0.25">
      <c r="A251" s="238">
        <v>250</v>
      </c>
      <c r="B251" s="238">
        <v>3</v>
      </c>
      <c r="C251" s="238">
        <v>13</v>
      </c>
      <c r="D251" s="238">
        <v>4</v>
      </c>
      <c r="E251" s="238">
        <v>2</v>
      </c>
      <c r="F251" s="238">
        <v>15.67</v>
      </c>
      <c r="G251" s="238">
        <v>12.94</v>
      </c>
      <c r="H251" s="238"/>
      <c r="I251" s="238">
        <v>28.61</v>
      </c>
      <c r="J251" s="238">
        <v>13.91</v>
      </c>
      <c r="K251" s="238">
        <v>4.16</v>
      </c>
      <c r="L251" s="238"/>
      <c r="M251" s="238">
        <v>7.7</v>
      </c>
      <c r="N251" s="238"/>
      <c r="O251" s="238">
        <v>3.23</v>
      </c>
      <c r="R251" s="238">
        <v>3.23</v>
      </c>
      <c r="S251" s="238">
        <v>57.61</v>
      </c>
      <c r="T251" s="238">
        <v>54.38</v>
      </c>
      <c r="U251" s="238">
        <v>56</v>
      </c>
      <c r="V251" s="238">
        <v>119811.8</v>
      </c>
      <c r="W251">
        <v>2396.2360000000003</v>
      </c>
      <c r="X251">
        <v>122208.03599999999</v>
      </c>
      <c r="Y251">
        <v>1000</v>
      </c>
      <c r="Z251">
        <v>123208.03599999999</v>
      </c>
      <c r="AA251">
        <v>215</v>
      </c>
      <c r="AB251">
        <v>123423.03599999999</v>
      </c>
      <c r="AC251">
        <v>17.5</v>
      </c>
      <c r="AD251">
        <v>123440.53599999999</v>
      </c>
      <c r="AE251">
        <v>617.2026800000001</v>
      </c>
      <c r="AF251">
        <v>124057.73867999999</v>
      </c>
      <c r="AH251">
        <v>124057.73867999999</v>
      </c>
      <c r="AJ251">
        <v>124057.73867999999</v>
      </c>
      <c r="AK251">
        <v>2481.1547736000002</v>
      </c>
      <c r="AL251">
        <v>126538.89345360002</v>
      </c>
      <c r="AM251" s="238">
        <v>126538.89</v>
      </c>
      <c r="AN251" s="238">
        <v>7086200</v>
      </c>
      <c r="AP251" s="238"/>
      <c r="AQ251" s="238">
        <v>0</v>
      </c>
      <c r="AR251" s="238">
        <v>126539.28571428572</v>
      </c>
      <c r="AS251" s="238">
        <v>7086200</v>
      </c>
      <c r="AT251" s="238" t="s">
        <v>38</v>
      </c>
      <c r="AU251" s="238">
        <v>30000</v>
      </c>
      <c r="AV251" t="s">
        <v>8816</v>
      </c>
      <c r="AW251">
        <v>156539.28571428571</v>
      </c>
      <c r="AX251" s="238">
        <v>1680000</v>
      </c>
      <c r="AY251" s="238">
        <v>8766200</v>
      </c>
      <c r="BA251" s="238" t="s">
        <v>35</v>
      </c>
      <c r="BB251" s="238" t="s">
        <v>35</v>
      </c>
      <c r="BC251" t="s">
        <v>8953</v>
      </c>
      <c r="BD251" t="s">
        <v>8954</v>
      </c>
      <c r="BE251" t="s">
        <v>8962</v>
      </c>
      <c r="BF251" t="s">
        <v>8974</v>
      </c>
      <c r="BG251" t="b">
        <v>1</v>
      </c>
      <c r="BH251">
        <v>7086200</v>
      </c>
      <c r="BI251">
        <v>7086200</v>
      </c>
      <c r="BJ251">
        <v>0</v>
      </c>
      <c r="BK251">
        <v>0</v>
      </c>
      <c r="BL251">
        <v>0</v>
      </c>
      <c r="BM251" t="s">
        <v>38</v>
      </c>
      <c r="BN251" t="b">
        <v>1</v>
      </c>
      <c r="BO251" t="s">
        <v>8310</v>
      </c>
    </row>
    <row r="252" spans="1:67" x14ac:dyDescent="0.25">
      <c r="A252" s="238">
        <v>251</v>
      </c>
      <c r="B252" s="238">
        <v>3</v>
      </c>
      <c r="C252" s="238">
        <v>13</v>
      </c>
      <c r="D252" s="238">
        <v>5</v>
      </c>
      <c r="E252" s="238">
        <v>2</v>
      </c>
      <c r="F252" s="238">
        <v>18.350000000000001</v>
      </c>
      <c r="G252" s="238">
        <v>15.96</v>
      </c>
      <c r="H252" s="238"/>
      <c r="I252" s="238">
        <v>34.31</v>
      </c>
      <c r="J252" s="238">
        <v>11.33</v>
      </c>
      <c r="K252" s="238">
        <v>4.41</v>
      </c>
      <c r="L252" s="238"/>
      <c r="M252" s="238">
        <v>7.57</v>
      </c>
      <c r="N252" s="238"/>
      <c r="O252" s="238">
        <v>3.1</v>
      </c>
      <c r="R252" s="238">
        <v>3.1</v>
      </c>
      <c r="S252" s="238">
        <v>60.72</v>
      </c>
      <c r="T252" s="238">
        <v>57.62</v>
      </c>
      <c r="U252" s="238">
        <v>59.17</v>
      </c>
      <c r="V252" s="238">
        <v>116420.9</v>
      </c>
      <c r="X252">
        <v>116420.9</v>
      </c>
      <c r="Y252">
        <v>1000</v>
      </c>
      <c r="Z252">
        <v>117420.9</v>
      </c>
      <c r="AA252">
        <v>215</v>
      </c>
      <c r="AB252">
        <v>117635.9</v>
      </c>
      <c r="AC252">
        <v>17.5</v>
      </c>
      <c r="AD252">
        <v>117653.4</v>
      </c>
      <c r="AE252">
        <v>588.26699999999994</v>
      </c>
      <c r="AF252">
        <v>118241.667</v>
      </c>
      <c r="AH252">
        <v>118241.667</v>
      </c>
      <c r="AJ252">
        <v>118241.667</v>
      </c>
      <c r="AK252">
        <v>3547.2500099999997</v>
      </c>
      <c r="AL252">
        <v>121788.91701</v>
      </c>
      <c r="AM252" s="238">
        <v>121788.92</v>
      </c>
      <c r="AN252" s="238">
        <v>7206300</v>
      </c>
      <c r="AP252" s="238"/>
      <c r="AQ252" s="238">
        <v>0</v>
      </c>
      <c r="AR252" s="238">
        <v>121789.75832347471</v>
      </c>
      <c r="AS252" s="238">
        <v>7206300</v>
      </c>
      <c r="AT252" s="238" t="s">
        <v>36</v>
      </c>
      <c r="AU252" s="238"/>
      <c r="AW252">
        <v>121789.75832347471</v>
      </c>
      <c r="AX252" s="238">
        <v>0</v>
      </c>
      <c r="AY252" s="238">
        <v>7206300</v>
      </c>
      <c r="BA252" s="238" t="s">
        <v>35</v>
      </c>
      <c r="BB252" s="238" t="s">
        <v>35</v>
      </c>
      <c r="BC252" t="s">
        <v>8953</v>
      </c>
      <c r="BD252" t="s">
        <v>8954</v>
      </c>
      <c r="BE252" t="s">
        <v>8962</v>
      </c>
      <c r="BF252" t="s">
        <v>8974</v>
      </c>
      <c r="BG252" t="b">
        <v>1</v>
      </c>
      <c r="BH252">
        <v>7206300</v>
      </c>
      <c r="BI252">
        <v>7206300</v>
      </c>
      <c r="BJ252">
        <v>0</v>
      </c>
      <c r="BK252">
        <v>0</v>
      </c>
      <c r="BL252">
        <v>0</v>
      </c>
      <c r="BM252" t="s">
        <v>36</v>
      </c>
      <c r="BN252" t="b">
        <v>1</v>
      </c>
      <c r="BO252" t="s">
        <v>8311</v>
      </c>
    </row>
    <row r="253" spans="1:67" x14ac:dyDescent="0.25">
      <c r="A253" s="238">
        <v>252</v>
      </c>
      <c r="B253" s="238">
        <v>3</v>
      </c>
      <c r="C253" s="238">
        <v>13</v>
      </c>
      <c r="D253" s="238">
        <v>6</v>
      </c>
      <c r="E253" s="238">
        <v>0</v>
      </c>
      <c r="F253" s="238">
        <v>16.25</v>
      </c>
      <c r="G253" s="238"/>
      <c r="H253" s="238"/>
      <c r="I253" s="238">
        <v>16.25</v>
      </c>
      <c r="J253" s="238">
        <v>5</v>
      </c>
      <c r="K253" s="238">
        <v>4.2</v>
      </c>
      <c r="L253" s="238"/>
      <c r="M253" s="238">
        <v>4.21</v>
      </c>
      <c r="N253" s="238"/>
      <c r="O253" s="238"/>
      <c r="R253" s="238">
        <v>0</v>
      </c>
      <c r="S253" s="238">
        <v>29.66</v>
      </c>
      <c r="T253" s="238">
        <v>29.66</v>
      </c>
      <c r="U253" s="238">
        <v>29.66</v>
      </c>
      <c r="V253" s="238">
        <v>138332.70000000001</v>
      </c>
      <c r="X253">
        <v>138332.70000000001</v>
      </c>
      <c r="Y253">
        <v>1000</v>
      </c>
      <c r="Z253">
        <v>139332.70000000001</v>
      </c>
      <c r="AA253">
        <v>215</v>
      </c>
      <c r="AB253">
        <v>139547.70000000001</v>
      </c>
      <c r="AC253">
        <v>17.5</v>
      </c>
      <c r="AD253">
        <v>139565.20000000001</v>
      </c>
      <c r="AF253">
        <v>139565.20000000001</v>
      </c>
      <c r="AH253">
        <v>139565.20000000001</v>
      </c>
      <c r="AJ253">
        <v>139565.20000000001</v>
      </c>
      <c r="AL253">
        <v>139565.20000000001</v>
      </c>
      <c r="AM253" s="238">
        <v>139565.20000000001</v>
      </c>
      <c r="AN253" s="238">
        <v>4139600</v>
      </c>
      <c r="AP253" s="238"/>
      <c r="AQ253" s="238">
        <v>0</v>
      </c>
      <c r="AR253" s="238">
        <v>139568.44234659473</v>
      </c>
      <c r="AS253" s="238">
        <v>4139600</v>
      </c>
      <c r="AT253" s="238" t="s">
        <v>36</v>
      </c>
      <c r="AU253" s="238"/>
      <c r="AW253">
        <v>139568.44234659473</v>
      </c>
      <c r="AX253" s="238">
        <v>0</v>
      </c>
      <c r="AY253" s="238">
        <v>4139600</v>
      </c>
      <c r="BA253" s="238" t="s">
        <v>35</v>
      </c>
      <c r="BB253" s="238" t="s">
        <v>35</v>
      </c>
      <c r="BC253" t="s">
        <v>8953</v>
      </c>
      <c r="BD253" t="s">
        <v>8954</v>
      </c>
      <c r="BE253" t="s">
        <v>8962</v>
      </c>
      <c r="BF253" t="s">
        <v>8970</v>
      </c>
      <c r="BG253" t="b">
        <v>1</v>
      </c>
      <c r="BH253">
        <v>4139600</v>
      </c>
      <c r="BI253">
        <v>4139600</v>
      </c>
      <c r="BJ253">
        <v>0</v>
      </c>
      <c r="BK253">
        <v>0</v>
      </c>
      <c r="BL253">
        <v>0</v>
      </c>
      <c r="BM253" t="s">
        <v>36</v>
      </c>
      <c r="BN253" t="b">
        <v>1</v>
      </c>
      <c r="BO253" t="s">
        <v>8312</v>
      </c>
    </row>
    <row r="254" spans="1:67" x14ac:dyDescent="0.25">
      <c r="A254" s="238">
        <v>253</v>
      </c>
      <c r="B254" s="238">
        <v>3</v>
      </c>
      <c r="C254" s="238">
        <v>14</v>
      </c>
      <c r="D254" s="238">
        <v>1</v>
      </c>
      <c r="E254" s="238">
        <v>1</v>
      </c>
      <c r="F254" s="238">
        <v>14.42</v>
      </c>
      <c r="G254" s="238"/>
      <c r="H254" s="238"/>
      <c r="I254" s="238">
        <v>14.42</v>
      </c>
      <c r="J254" s="238">
        <v>15.83</v>
      </c>
      <c r="K254" s="238">
        <v>4.09</v>
      </c>
      <c r="L254" s="238"/>
      <c r="M254" s="238">
        <v>8.0299999999999994</v>
      </c>
      <c r="N254" s="238"/>
      <c r="O254" s="238">
        <v>3.01</v>
      </c>
      <c r="R254" s="238">
        <v>3.01</v>
      </c>
      <c r="S254" s="238">
        <v>45.38</v>
      </c>
      <c r="T254" s="238">
        <v>42.37</v>
      </c>
      <c r="U254" s="238">
        <v>43.88</v>
      </c>
      <c r="V254" s="238">
        <v>122837.8</v>
      </c>
      <c r="W254">
        <v>2456.7560000000003</v>
      </c>
      <c r="X254">
        <v>125294.556</v>
      </c>
      <c r="Y254">
        <v>1000</v>
      </c>
      <c r="Z254">
        <v>126294.556</v>
      </c>
      <c r="AA254">
        <v>215</v>
      </c>
      <c r="AB254">
        <v>126509.556</v>
      </c>
      <c r="AC254">
        <v>17.5</v>
      </c>
      <c r="AD254">
        <v>126527.056</v>
      </c>
      <c r="AE254">
        <v>632.63527999999997</v>
      </c>
      <c r="AF254">
        <v>127159.69128</v>
      </c>
      <c r="AG254">
        <v>1271.5969127999999</v>
      </c>
      <c r="AH254">
        <v>128431.2881928</v>
      </c>
      <c r="AI254">
        <v>1284.312881928</v>
      </c>
      <c r="AJ254">
        <v>129715.60107472799</v>
      </c>
      <c r="AL254">
        <v>129715.60107472799</v>
      </c>
      <c r="AM254" s="238">
        <v>129715.6</v>
      </c>
      <c r="AN254" s="238">
        <v>5692000</v>
      </c>
      <c r="AP254" s="238">
        <v>0.02</v>
      </c>
      <c r="AQ254" s="238">
        <v>113840</v>
      </c>
      <c r="AR254" s="238">
        <v>127123.06289881494</v>
      </c>
      <c r="AS254" s="238">
        <v>5578160</v>
      </c>
      <c r="AT254" s="238" t="s">
        <v>8787</v>
      </c>
      <c r="AU254" s="238">
        <v>10000</v>
      </c>
      <c r="AW254">
        <v>137123.06289881494</v>
      </c>
      <c r="AX254" s="238">
        <v>438800</v>
      </c>
      <c r="AY254" s="238">
        <v>6016960</v>
      </c>
      <c r="AZ254" t="s">
        <v>8359</v>
      </c>
      <c r="BA254" s="238" t="s">
        <v>39</v>
      </c>
      <c r="BB254" s="238" t="s">
        <v>39</v>
      </c>
      <c r="BC254" t="s">
        <v>8950</v>
      </c>
      <c r="BD254" t="s">
        <v>1167</v>
      </c>
      <c r="BE254" t="s">
        <v>8962</v>
      </c>
      <c r="BF254" t="s">
        <v>8972</v>
      </c>
      <c r="BG254" t="b">
        <v>1</v>
      </c>
      <c r="BH254">
        <v>5692000</v>
      </c>
      <c r="BI254" t="s">
        <v>9002</v>
      </c>
      <c r="BJ254">
        <v>0</v>
      </c>
      <c r="BK254">
        <v>5692000</v>
      </c>
      <c r="BL254">
        <v>0</v>
      </c>
      <c r="BM254" t="s">
        <v>8787</v>
      </c>
      <c r="BN254" t="b">
        <v>1</v>
      </c>
      <c r="BO254" t="s">
        <v>8313</v>
      </c>
    </row>
    <row r="255" spans="1:67" x14ac:dyDescent="0.25">
      <c r="A255" s="238">
        <v>254</v>
      </c>
      <c r="B255" s="238">
        <v>3</v>
      </c>
      <c r="C255" s="238">
        <v>14</v>
      </c>
      <c r="D255" s="238">
        <v>2</v>
      </c>
      <c r="E255" s="238">
        <v>1</v>
      </c>
      <c r="F255" s="238">
        <v>12.76</v>
      </c>
      <c r="G255" s="238"/>
      <c r="H255" s="238"/>
      <c r="I255" s="238">
        <v>12.76</v>
      </c>
      <c r="J255" s="238">
        <v>14.81</v>
      </c>
      <c r="K255" s="238">
        <v>4.22</v>
      </c>
      <c r="L255" s="238"/>
      <c r="M255" s="238">
        <v>3.09</v>
      </c>
      <c r="N255" s="238"/>
      <c r="O255" s="238">
        <v>2.93</v>
      </c>
      <c r="R255" s="238">
        <v>2.93</v>
      </c>
      <c r="S255" s="238">
        <v>37.81</v>
      </c>
      <c r="T255" s="238">
        <v>34.880000000000003</v>
      </c>
      <c r="U255" s="238">
        <v>36.35</v>
      </c>
      <c r="V255" s="238">
        <v>126415.6</v>
      </c>
      <c r="W255">
        <v>2528.3120000000004</v>
      </c>
      <c r="X255">
        <v>128943.912</v>
      </c>
      <c r="Y255">
        <v>1000</v>
      </c>
      <c r="Z255">
        <v>129943.912</v>
      </c>
      <c r="AA255">
        <v>215</v>
      </c>
      <c r="AB255">
        <v>130158.912</v>
      </c>
      <c r="AC255">
        <v>17.5</v>
      </c>
      <c r="AD255">
        <v>130176.412</v>
      </c>
      <c r="AF255">
        <v>130176.412</v>
      </c>
      <c r="AH255">
        <v>130176.412</v>
      </c>
      <c r="AJ255">
        <v>130176.412</v>
      </c>
      <c r="AL255">
        <v>130176.412</v>
      </c>
      <c r="AM255" s="238">
        <v>130176.41</v>
      </c>
      <c r="AN255" s="238">
        <v>4732000</v>
      </c>
      <c r="AP255" s="238">
        <v>0.03</v>
      </c>
      <c r="AQ255" s="238">
        <v>141960</v>
      </c>
      <c r="AR255" s="238">
        <v>126273.45254470424</v>
      </c>
      <c r="AS255" s="238">
        <v>4590040</v>
      </c>
      <c r="AT255" s="238" t="s">
        <v>38</v>
      </c>
      <c r="AU255" s="238">
        <v>25000</v>
      </c>
      <c r="AV255" t="s">
        <v>8816</v>
      </c>
      <c r="AW255">
        <v>151273.45254470425</v>
      </c>
      <c r="AX255" s="238">
        <v>908750</v>
      </c>
      <c r="AY255" s="238">
        <v>5498790</v>
      </c>
      <c r="AZ255" t="s">
        <v>3538</v>
      </c>
      <c r="BA255" s="238" t="s">
        <v>39</v>
      </c>
      <c r="BB255" s="238" t="s">
        <v>39</v>
      </c>
      <c r="BC255" t="s">
        <v>8950</v>
      </c>
      <c r="BD255" t="s">
        <v>1167</v>
      </c>
      <c r="BE255" t="s">
        <v>8962</v>
      </c>
      <c r="BF255" t="s">
        <v>8972</v>
      </c>
      <c r="BG255" t="b">
        <v>1</v>
      </c>
      <c r="BH255">
        <v>4732000</v>
      </c>
      <c r="BI255" t="s">
        <v>9002</v>
      </c>
      <c r="BJ255">
        <v>0</v>
      </c>
      <c r="BK255">
        <v>4732000</v>
      </c>
      <c r="BL255">
        <v>0</v>
      </c>
      <c r="BM255" t="s">
        <v>38</v>
      </c>
      <c r="BN255" t="b">
        <v>1</v>
      </c>
      <c r="BO255" t="s">
        <v>8314</v>
      </c>
    </row>
    <row r="256" spans="1:67" x14ac:dyDescent="0.25">
      <c r="A256" s="238">
        <v>255</v>
      </c>
      <c r="B256" s="238">
        <v>3</v>
      </c>
      <c r="C256" s="238">
        <v>14</v>
      </c>
      <c r="D256" s="238">
        <v>3</v>
      </c>
      <c r="E256" s="238">
        <v>2</v>
      </c>
      <c r="F256" s="238">
        <v>15.36</v>
      </c>
      <c r="G256" s="238">
        <v>11.95</v>
      </c>
      <c r="H256" s="238"/>
      <c r="I256" s="238">
        <v>27.31</v>
      </c>
      <c r="J256" s="238">
        <v>14.34</v>
      </c>
      <c r="K256" s="238">
        <v>4.21</v>
      </c>
      <c r="L256" s="238"/>
      <c r="M256" s="238">
        <v>6.6</v>
      </c>
      <c r="N256" s="238"/>
      <c r="O256" s="238">
        <v>3.23</v>
      </c>
      <c r="R256" s="238">
        <v>3.23</v>
      </c>
      <c r="S256" s="238">
        <v>55.69</v>
      </c>
      <c r="T256" s="238">
        <v>52.46</v>
      </c>
      <c r="U256" s="238">
        <v>54.08</v>
      </c>
      <c r="V256" s="238">
        <v>117551.2</v>
      </c>
      <c r="W256">
        <v>2468.5752000000002</v>
      </c>
      <c r="X256">
        <v>120019.7752</v>
      </c>
      <c r="Z256">
        <v>120019.7752</v>
      </c>
      <c r="AB256">
        <v>120019.7752</v>
      </c>
      <c r="AD256">
        <v>120019.7752</v>
      </c>
      <c r="AF256">
        <v>120019.7752</v>
      </c>
      <c r="AH256">
        <v>120019.7752</v>
      </c>
      <c r="AJ256">
        <v>120019.7752</v>
      </c>
      <c r="AL256">
        <v>120019.7752</v>
      </c>
      <c r="AM256" s="238">
        <v>120019.78</v>
      </c>
      <c r="AN256" s="238">
        <v>6490700</v>
      </c>
      <c r="AP256" s="238">
        <v>0.03</v>
      </c>
      <c r="AQ256" s="238">
        <v>194721</v>
      </c>
      <c r="AR256" s="238">
        <v>116419.7300295858</v>
      </c>
      <c r="AS256" s="238">
        <v>6295979</v>
      </c>
      <c r="AT256" s="238" t="s">
        <v>36</v>
      </c>
      <c r="AU256" s="238"/>
      <c r="AW256">
        <v>116419.7300295858</v>
      </c>
      <c r="AX256" s="238">
        <v>0</v>
      </c>
      <c r="AY256" s="238">
        <v>6295979</v>
      </c>
      <c r="AZ256" t="s">
        <v>978</v>
      </c>
      <c r="BA256" s="238" t="s">
        <v>39</v>
      </c>
      <c r="BB256" s="238" t="s">
        <v>39</v>
      </c>
      <c r="BC256" t="s">
        <v>8950</v>
      </c>
      <c r="BD256" t="s">
        <v>1167</v>
      </c>
      <c r="BE256" t="s">
        <v>8962</v>
      </c>
      <c r="BF256" t="s">
        <v>8971</v>
      </c>
      <c r="BG256" t="b">
        <v>1</v>
      </c>
      <c r="BH256">
        <v>6490700</v>
      </c>
      <c r="BI256" t="s">
        <v>9002</v>
      </c>
      <c r="BJ256">
        <v>0</v>
      </c>
      <c r="BK256">
        <v>6490700</v>
      </c>
      <c r="BL256">
        <v>0</v>
      </c>
      <c r="BM256" t="s">
        <v>36</v>
      </c>
      <c r="BN256" t="b">
        <v>1</v>
      </c>
      <c r="BO256" t="s">
        <v>8315</v>
      </c>
    </row>
    <row r="257" spans="1:67" x14ac:dyDescent="0.25">
      <c r="A257" s="238">
        <v>256</v>
      </c>
      <c r="B257" s="238">
        <v>3</v>
      </c>
      <c r="C257" s="238">
        <v>14</v>
      </c>
      <c r="D257" s="238">
        <v>4</v>
      </c>
      <c r="E257" s="238">
        <v>2</v>
      </c>
      <c r="F257" s="238">
        <v>15.67</v>
      </c>
      <c r="G257" s="238">
        <v>12.94</v>
      </c>
      <c r="H257" s="238"/>
      <c r="I257" s="238">
        <v>28.61</v>
      </c>
      <c r="J257" s="238">
        <v>13.64</v>
      </c>
      <c r="K257" s="238">
        <v>4.16</v>
      </c>
      <c r="L257" s="238"/>
      <c r="M257" s="238">
        <v>7.7</v>
      </c>
      <c r="N257" s="238"/>
      <c r="O257" s="238">
        <v>3.23</v>
      </c>
      <c r="R257" s="238">
        <v>3.23</v>
      </c>
      <c r="S257" s="238">
        <v>57.34</v>
      </c>
      <c r="T257" s="238">
        <v>54.11</v>
      </c>
      <c r="U257" s="238">
        <v>55.73</v>
      </c>
      <c r="V257" s="238">
        <v>117551.2</v>
      </c>
      <c r="W257">
        <v>2351.0239999999999</v>
      </c>
      <c r="X257">
        <v>119902.224</v>
      </c>
      <c r="Y257">
        <v>1000</v>
      </c>
      <c r="Z257">
        <v>120902.224</v>
      </c>
      <c r="AA257">
        <v>215</v>
      </c>
      <c r="AB257">
        <v>121117.224</v>
      </c>
      <c r="AC257">
        <v>17.5</v>
      </c>
      <c r="AD257">
        <v>121134.724</v>
      </c>
      <c r="AE257">
        <v>605.67362000000003</v>
      </c>
      <c r="AF257">
        <v>121740.39762</v>
      </c>
      <c r="AH257">
        <v>121740.39762</v>
      </c>
      <c r="AJ257">
        <v>121740.39762</v>
      </c>
      <c r="AL257">
        <v>121740.39762</v>
      </c>
      <c r="AM257" s="238">
        <v>121740.4</v>
      </c>
      <c r="AN257" s="238">
        <v>6784600</v>
      </c>
      <c r="AP257" s="238"/>
      <c r="AQ257" s="238">
        <v>0</v>
      </c>
      <c r="AR257" s="238">
        <v>121740.53472097614</v>
      </c>
      <c r="AS257" s="238">
        <v>6784600</v>
      </c>
      <c r="AT257" s="238" t="s">
        <v>36</v>
      </c>
      <c r="AU257" s="238"/>
      <c r="AW257">
        <v>121740.53472097614</v>
      </c>
      <c r="AX257" s="238">
        <v>0</v>
      </c>
      <c r="AY257" s="238">
        <v>6784600</v>
      </c>
      <c r="BA257" s="238" t="s">
        <v>39</v>
      </c>
      <c r="BB257" s="238" t="s">
        <v>39</v>
      </c>
      <c r="BC257" t="s">
        <v>8950</v>
      </c>
      <c r="BD257" t="s">
        <v>1167</v>
      </c>
      <c r="BE257" t="s">
        <v>8962</v>
      </c>
      <c r="BF257" t="s">
        <v>8974</v>
      </c>
      <c r="BG257" t="b">
        <v>1</v>
      </c>
      <c r="BH257">
        <v>6784600</v>
      </c>
      <c r="BI257" t="s">
        <v>9002</v>
      </c>
      <c r="BJ257">
        <v>0</v>
      </c>
      <c r="BK257">
        <v>6784600</v>
      </c>
      <c r="BL257">
        <v>0</v>
      </c>
      <c r="BM257" t="s">
        <v>36</v>
      </c>
      <c r="BN257" t="b">
        <v>1</v>
      </c>
      <c r="BO257" t="s">
        <v>8316</v>
      </c>
    </row>
    <row r="258" spans="1:67" x14ac:dyDescent="0.25">
      <c r="A258" s="238">
        <v>257</v>
      </c>
      <c r="B258" s="238">
        <v>3</v>
      </c>
      <c r="C258" s="238">
        <v>14</v>
      </c>
      <c r="D258" s="238">
        <v>5</v>
      </c>
      <c r="E258" s="238">
        <v>2</v>
      </c>
      <c r="F258" s="238">
        <v>18.350000000000001</v>
      </c>
      <c r="G258" s="238">
        <v>15.96</v>
      </c>
      <c r="H258" s="238"/>
      <c r="I258" s="238">
        <v>34.31</v>
      </c>
      <c r="J258" s="238">
        <v>11.11</v>
      </c>
      <c r="K258" s="238">
        <v>4.41</v>
      </c>
      <c r="L258" s="238"/>
      <c r="M258" s="238">
        <v>7.65</v>
      </c>
      <c r="N258" s="238"/>
      <c r="O258" s="238">
        <v>3.1</v>
      </c>
      <c r="R258" s="238">
        <v>3.1</v>
      </c>
      <c r="S258" s="238">
        <v>60.58</v>
      </c>
      <c r="T258" s="238">
        <v>57.48</v>
      </c>
      <c r="U258" s="238">
        <v>59.03</v>
      </c>
      <c r="V258" s="238">
        <v>118681.5</v>
      </c>
      <c r="X258">
        <v>118681.5</v>
      </c>
      <c r="Y258">
        <v>1000</v>
      </c>
      <c r="Z258">
        <v>119681.5</v>
      </c>
      <c r="AA258">
        <v>215</v>
      </c>
      <c r="AB258">
        <v>119896.5</v>
      </c>
      <c r="AC258">
        <v>17.5</v>
      </c>
      <c r="AD258">
        <v>119914</v>
      </c>
      <c r="AE258">
        <v>599.57000000000005</v>
      </c>
      <c r="AF258">
        <v>120513.57</v>
      </c>
      <c r="AH258">
        <v>120513.57</v>
      </c>
      <c r="AJ258">
        <v>120513.57</v>
      </c>
      <c r="AK258">
        <v>3615.4070999999999</v>
      </c>
      <c r="AL258">
        <v>124128.9771</v>
      </c>
      <c r="AM258" s="238">
        <v>124128.98</v>
      </c>
      <c r="AN258" s="238">
        <v>7327400</v>
      </c>
      <c r="AP258" s="238"/>
      <c r="AQ258" s="238">
        <v>0</v>
      </c>
      <c r="AR258" s="238">
        <v>124130.10333728611</v>
      </c>
      <c r="AS258" s="238">
        <v>7327400</v>
      </c>
      <c r="AT258" s="238" t="s">
        <v>36</v>
      </c>
      <c r="AU258" s="238"/>
      <c r="AW258">
        <v>124130.10333728611</v>
      </c>
      <c r="AX258" s="238">
        <v>0</v>
      </c>
      <c r="AY258" s="238">
        <v>7327400</v>
      </c>
      <c r="BA258" s="238" t="s">
        <v>35</v>
      </c>
      <c r="BB258" s="238" t="s">
        <v>35</v>
      </c>
      <c r="BC258" t="s">
        <v>8953</v>
      </c>
      <c r="BD258" t="s">
        <v>8954</v>
      </c>
      <c r="BE258" t="s">
        <v>8962</v>
      </c>
      <c r="BF258" t="s">
        <v>8974</v>
      </c>
      <c r="BG258" t="b">
        <v>1</v>
      </c>
      <c r="BH258">
        <v>7327400</v>
      </c>
      <c r="BI258">
        <v>7327400</v>
      </c>
      <c r="BJ258">
        <v>0</v>
      </c>
      <c r="BK258">
        <v>0</v>
      </c>
      <c r="BL258">
        <v>0</v>
      </c>
      <c r="BM258" t="s">
        <v>36</v>
      </c>
      <c r="BN258" t="b">
        <v>1</v>
      </c>
      <c r="BO258" t="s">
        <v>8317</v>
      </c>
    </row>
    <row r="259" spans="1:67" x14ac:dyDescent="0.25">
      <c r="A259" s="238">
        <v>258</v>
      </c>
      <c r="B259" s="238">
        <v>3</v>
      </c>
      <c r="C259" s="238">
        <v>14</v>
      </c>
      <c r="D259" s="238">
        <v>6</v>
      </c>
      <c r="E259" s="238">
        <v>0</v>
      </c>
      <c r="F259" s="238">
        <v>16.25</v>
      </c>
      <c r="G259" s="238"/>
      <c r="H259" s="238"/>
      <c r="I259" s="238">
        <v>16.25</v>
      </c>
      <c r="J259" s="238">
        <v>5</v>
      </c>
      <c r="K259" s="238">
        <v>3.97</v>
      </c>
      <c r="L259" s="238"/>
      <c r="M259" s="238">
        <v>4.21</v>
      </c>
      <c r="N259" s="238"/>
      <c r="O259" s="238"/>
      <c r="R259" s="238">
        <v>0</v>
      </c>
      <c r="S259" s="238">
        <v>29.43</v>
      </c>
      <c r="T259" s="238">
        <v>29.43</v>
      </c>
      <c r="U259" s="238">
        <v>29.43</v>
      </c>
      <c r="V259" s="238">
        <v>138332.70000000001</v>
      </c>
      <c r="X259">
        <v>138332.70000000001</v>
      </c>
      <c r="Y259">
        <v>1000</v>
      </c>
      <c r="Z259">
        <v>139332.70000000001</v>
      </c>
      <c r="AA259">
        <v>215</v>
      </c>
      <c r="AB259">
        <v>139547.70000000001</v>
      </c>
      <c r="AC259">
        <v>17.5</v>
      </c>
      <c r="AD259">
        <v>139565.20000000001</v>
      </c>
      <c r="AF259">
        <v>139565.20000000001</v>
      </c>
      <c r="AH259">
        <v>139565.20000000001</v>
      </c>
      <c r="AJ259">
        <v>139565.20000000001</v>
      </c>
      <c r="AL259">
        <v>139565.20000000001</v>
      </c>
      <c r="AM259" s="238">
        <v>139565.20000000001</v>
      </c>
      <c r="AN259" s="238">
        <v>4107500</v>
      </c>
      <c r="AP259" s="238"/>
      <c r="AQ259" s="238">
        <v>0</v>
      </c>
      <c r="AR259" s="238">
        <v>139568.46755011892</v>
      </c>
      <c r="AS259" s="238">
        <v>4107500</v>
      </c>
      <c r="AT259" s="238" t="s">
        <v>36</v>
      </c>
      <c r="AU259" s="238"/>
      <c r="AW259">
        <v>139568.46755011892</v>
      </c>
      <c r="AX259" s="238">
        <v>0</v>
      </c>
      <c r="AY259" s="238">
        <v>4107499.9999999991</v>
      </c>
      <c r="BA259" s="238" t="s">
        <v>35</v>
      </c>
      <c r="BB259" s="238" t="s">
        <v>35</v>
      </c>
      <c r="BC259" t="s">
        <v>8953</v>
      </c>
      <c r="BD259" t="s">
        <v>8954</v>
      </c>
      <c r="BE259" t="s">
        <v>8962</v>
      </c>
      <c r="BF259" t="s">
        <v>8970</v>
      </c>
      <c r="BG259" t="b">
        <v>1</v>
      </c>
      <c r="BH259">
        <v>4107500</v>
      </c>
      <c r="BI259">
        <v>4107500</v>
      </c>
      <c r="BJ259">
        <v>0</v>
      </c>
      <c r="BK259">
        <v>0</v>
      </c>
      <c r="BL259">
        <v>0</v>
      </c>
      <c r="BM259" t="s">
        <v>36</v>
      </c>
      <c r="BN259" t="b">
        <v>1</v>
      </c>
      <c r="BO259" t="s">
        <v>8318</v>
      </c>
    </row>
    <row r="260" spans="1:67" x14ac:dyDescent="0.25">
      <c r="A260" s="238">
        <v>259</v>
      </c>
      <c r="B260" s="238">
        <v>3</v>
      </c>
      <c r="C260" s="238">
        <v>15</v>
      </c>
      <c r="D260" s="238">
        <v>1</v>
      </c>
      <c r="E260" s="238">
        <v>1</v>
      </c>
      <c r="F260" s="238">
        <v>14.42</v>
      </c>
      <c r="G260" s="238"/>
      <c r="H260" s="238"/>
      <c r="I260" s="238">
        <v>14.42</v>
      </c>
      <c r="J260" s="238">
        <v>15.83</v>
      </c>
      <c r="K260" s="238">
        <v>4.09</v>
      </c>
      <c r="L260" s="238"/>
      <c r="M260" s="238">
        <v>8.0299999999999994</v>
      </c>
      <c r="N260" s="238"/>
      <c r="O260" s="238">
        <v>3.01</v>
      </c>
      <c r="R260" s="238">
        <v>3.01</v>
      </c>
      <c r="S260" s="238">
        <v>45.38</v>
      </c>
      <c r="T260" s="238">
        <v>42.37</v>
      </c>
      <c r="U260" s="238">
        <v>43.88</v>
      </c>
      <c r="V260" s="238">
        <v>122837.8</v>
      </c>
      <c r="W260">
        <v>2456.7560000000003</v>
      </c>
      <c r="X260">
        <v>125294.556</v>
      </c>
      <c r="Y260">
        <v>1000</v>
      </c>
      <c r="Z260">
        <v>126294.556</v>
      </c>
      <c r="AA260">
        <v>215</v>
      </c>
      <c r="AB260">
        <v>126509.556</v>
      </c>
      <c r="AC260">
        <v>17.5</v>
      </c>
      <c r="AD260">
        <v>126527.056</v>
      </c>
      <c r="AE260">
        <v>632.63527999999997</v>
      </c>
      <c r="AF260">
        <v>127159.69128</v>
      </c>
      <c r="AH260">
        <v>127159.69128</v>
      </c>
      <c r="AJ260">
        <v>127159.69128</v>
      </c>
      <c r="AL260">
        <v>127159.69128</v>
      </c>
      <c r="AM260" s="238">
        <v>127159.69</v>
      </c>
      <c r="AN260" s="238">
        <v>5579800</v>
      </c>
      <c r="AP260" s="238">
        <v>0.02</v>
      </c>
      <c r="AQ260" s="238">
        <v>111596</v>
      </c>
      <c r="AR260" s="238">
        <v>124617.22880583408</v>
      </c>
      <c r="AS260" s="238">
        <v>5468204</v>
      </c>
      <c r="AT260" s="238" t="s">
        <v>36</v>
      </c>
      <c r="AU260" s="238"/>
      <c r="AW260">
        <v>124617.22880583408</v>
      </c>
      <c r="AX260" s="238">
        <v>0</v>
      </c>
      <c r="AY260" s="238">
        <v>5468204</v>
      </c>
      <c r="AZ260" t="s">
        <v>4360</v>
      </c>
      <c r="BA260" s="238" t="s">
        <v>39</v>
      </c>
      <c r="BB260" s="238" t="s">
        <v>39</v>
      </c>
      <c r="BC260" t="s">
        <v>8950</v>
      </c>
      <c r="BD260" t="s">
        <v>1167</v>
      </c>
      <c r="BE260" t="s">
        <v>8962</v>
      </c>
      <c r="BF260" t="s">
        <v>8972</v>
      </c>
      <c r="BG260" t="b">
        <v>1</v>
      </c>
      <c r="BH260">
        <v>5579800</v>
      </c>
      <c r="BI260" t="s">
        <v>9002</v>
      </c>
      <c r="BJ260">
        <v>0</v>
      </c>
      <c r="BK260">
        <v>5579800</v>
      </c>
      <c r="BL260">
        <v>0</v>
      </c>
      <c r="BM260" t="s">
        <v>36</v>
      </c>
      <c r="BN260" t="b">
        <v>1</v>
      </c>
      <c r="BO260" t="s">
        <v>8319</v>
      </c>
    </row>
    <row r="261" spans="1:67" x14ac:dyDescent="0.25">
      <c r="A261" s="238">
        <v>260</v>
      </c>
      <c r="B261" s="238">
        <v>3</v>
      </c>
      <c r="C261" s="238">
        <v>15</v>
      </c>
      <c r="D261" s="238">
        <v>2</v>
      </c>
      <c r="E261" s="238">
        <v>1</v>
      </c>
      <c r="F261" s="238">
        <v>12.76</v>
      </c>
      <c r="G261" s="238"/>
      <c r="H261" s="238"/>
      <c r="I261" s="238">
        <v>12.76</v>
      </c>
      <c r="J261" s="238">
        <v>14.81</v>
      </c>
      <c r="K261" s="238">
        <v>4.22</v>
      </c>
      <c r="L261" s="238"/>
      <c r="M261" s="238">
        <v>3.09</v>
      </c>
      <c r="N261" s="238"/>
      <c r="O261" s="238">
        <v>2.93</v>
      </c>
      <c r="R261" s="238">
        <v>2.93</v>
      </c>
      <c r="S261" s="238">
        <v>37.81</v>
      </c>
      <c r="T261" s="238">
        <v>34.880000000000003</v>
      </c>
      <c r="U261" s="238">
        <v>36.35</v>
      </c>
      <c r="V261" s="238">
        <v>126415.6</v>
      </c>
      <c r="W261">
        <v>2528.3120000000004</v>
      </c>
      <c r="X261">
        <v>128943.912</v>
      </c>
      <c r="Y261">
        <v>1000</v>
      </c>
      <c r="Z261">
        <v>129943.912</v>
      </c>
      <c r="AA261">
        <v>215</v>
      </c>
      <c r="AB261">
        <v>130158.912</v>
      </c>
      <c r="AC261">
        <v>17.5</v>
      </c>
      <c r="AD261">
        <v>130176.412</v>
      </c>
      <c r="AE261">
        <v>1952.64618</v>
      </c>
      <c r="AF261">
        <v>132129.05818000002</v>
      </c>
      <c r="AG261">
        <v>1321.2905818000002</v>
      </c>
      <c r="AH261">
        <v>133450.34876180004</v>
      </c>
      <c r="AJ261">
        <v>133450.34876180004</v>
      </c>
      <c r="AL261">
        <v>133450.34876180004</v>
      </c>
      <c r="AM261" s="238">
        <v>133450.35</v>
      </c>
      <c r="AN261" s="238">
        <v>4851000</v>
      </c>
      <c r="AP261" s="238"/>
      <c r="AQ261" s="238">
        <v>0</v>
      </c>
      <c r="AR261" s="238">
        <v>133452.54470426409</v>
      </c>
      <c r="AS261" s="238">
        <v>4851000</v>
      </c>
      <c r="AT261" s="238" t="s">
        <v>36</v>
      </c>
      <c r="AU261" s="238"/>
      <c r="AW261">
        <v>133452.54470426409</v>
      </c>
      <c r="AX261" s="238">
        <v>0</v>
      </c>
      <c r="AY261" s="238">
        <v>4851000</v>
      </c>
      <c r="BA261" s="238" t="s">
        <v>39</v>
      </c>
      <c r="BB261" s="238" t="s">
        <v>39</v>
      </c>
      <c r="BC261" t="s">
        <v>8950</v>
      </c>
      <c r="BD261" t="s">
        <v>1167</v>
      </c>
      <c r="BE261" t="s">
        <v>8962</v>
      </c>
      <c r="BF261" t="s">
        <v>8972</v>
      </c>
      <c r="BG261" t="b">
        <v>1</v>
      </c>
      <c r="BH261">
        <v>4851000</v>
      </c>
      <c r="BI261" t="s">
        <v>9002</v>
      </c>
      <c r="BJ261">
        <v>0</v>
      </c>
      <c r="BK261">
        <v>4851000</v>
      </c>
      <c r="BL261">
        <v>0</v>
      </c>
      <c r="BM261" t="s">
        <v>36</v>
      </c>
      <c r="BN261" t="b">
        <v>1</v>
      </c>
      <c r="BO261" t="s">
        <v>8320</v>
      </c>
    </row>
    <row r="262" spans="1:67" x14ac:dyDescent="0.25">
      <c r="A262" s="238">
        <v>261</v>
      </c>
      <c r="B262" s="238">
        <v>3</v>
      </c>
      <c r="C262" s="238">
        <v>15</v>
      </c>
      <c r="D262" s="238">
        <v>3</v>
      </c>
      <c r="E262" s="238">
        <v>2</v>
      </c>
      <c r="F262" s="238">
        <v>15.36</v>
      </c>
      <c r="G262" s="238">
        <v>11.95</v>
      </c>
      <c r="H262" s="238"/>
      <c r="I262" s="238">
        <v>27.31</v>
      </c>
      <c r="J262" s="238">
        <v>14.34</v>
      </c>
      <c r="K262" s="238">
        <v>4.21</v>
      </c>
      <c r="L262" s="238"/>
      <c r="M262" s="238">
        <v>6.6</v>
      </c>
      <c r="N262" s="238"/>
      <c r="O262" s="238">
        <v>3.23</v>
      </c>
      <c r="R262" s="238">
        <v>3.23</v>
      </c>
      <c r="S262" s="238">
        <v>55.69</v>
      </c>
      <c r="T262" s="238">
        <v>52.46</v>
      </c>
      <c r="U262" s="238">
        <v>54.08</v>
      </c>
      <c r="V262" s="238">
        <v>119811.8</v>
      </c>
      <c r="W262">
        <v>2516.0478000000003</v>
      </c>
      <c r="X262">
        <v>122327.8478</v>
      </c>
      <c r="Y262">
        <v>1000</v>
      </c>
      <c r="Z262">
        <v>123327.8478</v>
      </c>
      <c r="AB262">
        <v>123327.8478</v>
      </c>
      <c r="AD262">
        <v>123327.8478</v>
      </c>
      <c r="AF262">
        <v>123327.8478</v>
      </c>
      <c r="AH262">
        <v>123327.8478</v>
      </c>
      <c r="AJ262">
        <v>123327.8478</v>
      </c>
      <c r="AL262">
        <v>123327.8478</v>
      </c>
      <c r="AM262" s="238">
        <v>123327.85</v>
      </c>
      <c r="AN262" s="238">
        <v>6669600</v>
      </c>
      <c r="AP262" s="238">
        <v>0.03</v>
      </c>
      <c r="AQ262" s="238">
        <v>200088</v>
      </c>
      <c r="AR262" s="238">
        <v>119628.550295858</v>
      </c>
      <c r="AS262" s="238">
        <v>6469512</v>
      </c>
      <c r="AT262" s="238" t="s">
        <v>36</v>
      </c>
      <c r="AU262" s="238"/>
      <c r="AW262">
        <v>119628.550295858</v>
      </c>
      <c r="AX262" s="238">
        <v>0</v>
      </c>
      <c r="AY262" s="238">
        <v>6469512</v>
      </c>
      <c r="AZ262" t="s">
        <v>978</v>
      </c>
      <c r="BA262" s="238" t="s">
        <v>39</v>
      </c>
      <c r="BB262" s="238" t="s">
        <v>39</v>
      </c>
      <c r="BC262" t="s">
        <v>8950</v>
      </c>
      <c r="BD262" t="s">
        <v>1167</v>
      </c>
      <c r="BE262" t="s">
        <v>8962</v>
      </c>
      <c r="BF262" t="s">
        <v>8971</v>
      </c>
      <c r="BG262" t="b">
        <v>1</v>
      </c>
      <c r="BH262">
        <v>6669600</v>
      </c>
      <c r="BI262" t="s">
        <v>9002</v>
      </c>
      <c r="BJ262">
        <v>0</v>
      </c>
      <c r="BK262">
        <v>6669600</v>
      </c>
      <c r="BL262">
        <v>0</v>
      </c>
      <c r="BM262" t="s">
        <v>36</v>
      </c>
      <c r="BN262" t="b">
        <v>1</v>
      </c>
      <c r="BO262" t="s">
        <v>8321</v>
      </c>
    </row>
    <row r="263" spans="1:67" x14ac:dyDescent="0.25">
      <c r="A263" s="238">
        <v>262</v>
      </c>
      <c r="B263" s="238">
        <v>3</v>
      </c>
      <c r="C263" s="238">
        <v>15</v>
      </c>
      <c r="D263" s="238">
        <v>4</v>
      </c>
      <c r="E263" s="238">
        <v>2</v>
      </c>
      <c r="F263" s="238">
        <v>15.67</v>
      </c>
      <c r="G263" s="238">
        <v>12.94</v>
      </c>
      <c r="H263" s="238"/>
      <c r="I263" s="238">
        <v>28.61</v>
      </c>
      <c r="J263" s="238">
        <v>13.64</v>
      </c>
      <c r="K263" s="238">
        <v>4.16</v>
      </c>
      <c r="L263" s="238"/>
      <c r="M263" s="238">
        <v>7.7</v>
      </c>
      <c r="N263" s="238"/>
      <c r="O263" s="238">
        <v>3.23</v>
      </c>
      <c r="R263" s="238">
        <v>3.23</v>
      </c>
      <c r="S263" s="238">
        <v>57.34</v>
      </c>
      <c r="T263" s="238">
        <v>54.11</v>
      </c>
      <c r="U263" s="238">
        <v>55.73</v>
      </c>
      <c r="V263" s="238">
        <v>119811.8</v>
      </c>
      <c r="W263">
        <v>2396.2360000000003</v>
      </c>
      <c r="X263">
        <v>122208.03599999999</v>
      </c>
      <c r="Y263">
        <v>1000</v>
      </c>
      <c r="Z263">
        <v>123208.03599999999</v>
      </c>
      <c r="AA263">
        <v>215</v>
      </c>
      <c r="AB263">
        <v>123423.03599999999</v>
      </c>
      <c r="AC263">
        <v>17.5</v>
      </c>
      <c r="AD263">
        <v>123440.53599999999</v>
      </c>
      <c r="AE263">
        <v>617.2026800000001</v>
      </c>
      <c r="AF263">
        <v>124057.73867999999</v>
      </c>
      <c r="AH263">
        <v>124057.73867999999</v>
      </c>
      <c r="AJ263">
        <v>124057.73867999999</v>
      </c>
      <c r="AK263">
        <v>2481.1547736000002</v>
      </c>
      <c r="AL263">
        <v>126538.89345360002</v>
      </c>
      <c r="AM263" s="238">
        <v>126538.89</v>
      </c>
      <c r="AN263" s="238">
        <v>7052100</v>
      </c>
      <c r="AP263" s="238"/>
      <c r="AQ263" s="238">
        <v>0</v>
      </c>
      <c r="AR263" s="238">
        <v>126540.46294634847</v>
      </c>
      <c r="AS263" s="238">
        <v>7052100</v>
      </c>
      <c r="AT263" s="238" t="s">
        <v>36</v>
      </c>
      <c r="AU263" s="238"/>
      <c r="AW263">
        <v>126540.46294634847</v>
      </c>
      <c r="AX263" s="238">
        <v>0</v>
      </c>
      <c r="AY263" s="238">
        <v>7052100</v>
      </c>
      <c r="BA263" s="238" t="s">
        <v>35</v>
      </c>
      <c r="BB263" s="238" t="s">
        <v>35</v>
      </c>
      <c r="BC263" t="s">
        <v>8953</v>
      </c>
      <c r="BD263" t="s">
        <v>8954</v>
      </c>
      <c r="BE263" t="s">
        <v>8962</v>
      </c>
      <c r="BF263" t="s">
        <v>8974</v>
      </c>
      <c r="BG263" t="b">
        <v>1</v>
      </c>
      <c r="BH263">
        <v>7052100</v>
      </c>
      <c r="BI263">
        <v>7052100</v>
      </c>
      <c r="BJ263">
        <v>0</v>
      </c>
      <c r="BK263">
        <v>0</v>
      </c>
      <c r="BL263">
        <v>0</v>
      </c>
      <c r="BM263" t="s">
        <v>36</v>
      </c>
      <c r="BN263" t="b">
        <v>1</v>
      </c>
      <c r="BO263" t="s">
        <v>8322</v>
      </c>
    </row>
    <row r="264" spans="1:67" x14ac:dyDescent="0.25">
      <c r="A264" s="238">
        <v>263</v>
      </c>
      <c r="B264" s="238">
        <v>3</v>
      </c>
      <c r="C264" s="238">
        <v>15</v>
      </c>
      <c r="D264" s="238">
        <v>5</v>
      </c>
      <c r="E264" s="238">
        <v>2</v>
      </c>
      <c r="F264" s="238">
        <v>18.350000000000001</v>
      </c>
      <c r="G264" s="238">
        <v>15.96</v>
      </c>
      <c r="H264" s="238"/>
      <c r="I264" s="238">
        <v>34.31</v>
      </c>
      <c r="J264" s="238">
        <v>11.11</v>
      </c>
      <c r="K264" s="238">
        <v>4.41</v>
      </c>
      <c r="L264" s="238"/>
      <c r="M264" s="238">
        <v>7.65</v>
      </c>
      <c r="N264" s="238"/>
      <c r="O264" s="238">
        <v>3.1</v>
      </c>
      <c r="R264" s="238">
        <v>3.1</v>
      </c>
      <c r="S264" s="238">
        <v>60.58</v>
      </c>
      <c r="T264" s="238">
        <v>57.48</v>
      </c>
      <c r="U264" s="238">
        <v>59.03</v>
      </c>
      <c r="V264" s="238">
        <v>118681.5</v>
      </c>
      <c r="X264">
        <v>118681.5</v>
      </c>
      <c r="Y264">
        <v>1000</v>
      </c>
      <c r="Z264">
        <v>119681.5</v>
      </c>
      <c r="AA264">
        <v>215</v>
      </c>
      <c r="AB264">
        <v>119896.5</v>
      </c>
      <c r="AC264">
        <v>17.5</v>
      </c>
      <c r="AD264">
        <v>119914</v>
      </c>
      <c r="AE264">
        <v>599.57000000000005</v>
      </c>
      <c r="AF264">
        <v>120513.57</v>
      </c>
      <c r="AH264">
        <v>120513.57</v>
      </c>
      <c r="AJ264">
        <v>120513.57</v>
      </c>
      <c r="AK264">
        <v>3615.4070999999999</v>
      </c>
      <c r="AL264">
        <v>124128.9771</v>
      </c>
      <c r="AM264" s="238">
        <v>124128.98</v>
      </c>
      <c r="AN264" s="238">
        <v>7327400</v>
      </c>
      <c r="AP264" s="238"/>
      <c r="AQ264" s="238">
        <v>0</v>
      </c>
      <c r="AR264" s="238">
        <v>124130.10333728611</v>
      </c>
      <c r="AS264" s="238">
        <v>7327400</v>
      </c>
      <c r="AT264" s="238" t="s">
        <v>38</v>
      </c>
      <c r="AU264" s="238">
        <v>30000</v>
      </c>
      <c r="AV264" t="s">
        <v>8816</v>
      </c>
      <c r="AW264">
        <v>154130.10333728613</v>
      </c>
      <c r="AX264" s="238">
        <v>1770900</v>
      </c>
      <c r="AY264" s="238">
        <v>9098300</v>
      </c>
      <c r="BA264" s="238" t="s">
        <v>35</v>
      </c>
      <c r="BB264" s="238" t="s">
        <v>35</v>
      </c>
      <c r="BC264" t="s">
        <v>8953</v>
      </c>
      <c r="BD264" t="s">
        <v>8954</v>
      </c>
      <c r="BE264" t="s">
        <v>8962</v>
      </c>
      <c r="BF264" t="s">
        <v>8974</v>
      </c>
      <c r="BG264" t="b">
        <v>1</v>
      </c>
      <c r="BH264">
        <v>7327400</v>
      </c>
      <c r="BI264">
        <v>7327400</v>
      </c>
      <c r="BJ264">
        <v>0</v>
      </c>
      <c r="BK264">
        <v>0</v>
      </c>
      <c r="BL264">
        <v>0</v>
      </c>
      <c r="BM264" t="s">
        <v>38</v>
      </c>
      <c r="BN264" t="b">
        <v>1</v>
      </c>
      <c r="BO264" t="s">
        <v>8323</v>
      </c>
    </row>
    <row r="265" spans="1:67" x14ac:dyDescent="0.25">
      <c r="A265" s="238">
        <v>264</v>
      </c>
      <c r="B265" s="238">
        <v>3</v>
      </c>
      <c r="C265" s="238">
        <v>15</v>
      </c>
      <c r="D265" s="238">
        <v>6</v>
      </c>
      <c r="E265" s="238">
        <v>0</v>
      </c>
      <c r="F265" s="238">
        <v>16.25</v>
      </c>
      <c r="G265" s="238"/>
      <c r="H265" s="238"/>
      <c r="I265" s="238">
        <v>16.25</v>
      </c>
      <c r="J265" s="238">
        <v>5</v>
      </c>
      <c r="K265" s="238">
        <v>3.97</v>
      </c>
      <c r="L265" s="238"/>
      <c r="M265" s="238">
        <v>4.21</v>
      </c>
      <c r="N265" s="238"/>
      <c r="O265" s="238"/>
      <c r="R265" s="238">
        <v>0</v>
      </c>
      <c r="S265" s="238">
        <v>29.43</v>
      </c>
      <c r="T265" s="238">
        <v>29.43</v>
      </c>
      <c r="U265" s="238">
        <v>29.43</v>
      </c>
      <c r="V265" s="238">
        <v>136935.4</v>
      </c>
      <c r="X265">
        <v>136935.4</v>
      </c>
      <c r="Y265">
        <v>1000</v>
      </c>
      <c r="Z265">
        <v>137935.4</v>
      </c>
      <c r="AA265">
        <v>215</v>
      </c>
      <c r="AB265">
        <v>138150.39999999999</v>
      </c>
      <c r="AC265">
        <v>17.5</v>
      </c>
      <c r="AD265">
        <v>138167.9</v>
      </c>
      <c r="AF265">
        <v>138167.9</v>
      </c>
      <c r="AH265">
        <v>138167.9</v>
      </c>
      <c r="AJ265">
        <v>138167.9</v>
      </c>
      <c r="AL265">
        <v>138167.9</v>
      </c>
      <c r="AM265" s="238">
        <v>138167.9</v>
      </c>
      <c r="AN265" s="238">
        <v>4066300</v>
      </c>
      <c r="AP265" s="238"/>
      <c r="AQ265" s="238">
        <v>0</v>
      </c>
      <c r="AR265" s="238">
        <v>138168.53550798504</v>
      </c>
      <c r="AS265" s="238">
        <v>4066300</v>
      </c>
      <c r="AT265" s="238" t="s">
        <v>36</v>
      </c>
      <c r="AU265" s="238"/>
      <c r="AW265">
        <v>138168.53550798504</v>
      </c>
      <c r="AX265" s="238">
        <v>0</v>
      </c>
      <c r="AY265" s="238">
        <v>4066299.9999999991</v>
      </c>
      <c r="BA265" s="238" t="s">
        <v>35</v>
      </c>
      <c r="BB265" s="238" t="s">
        <v>35</v>
      </c>
      <c r="BC265" t="s">
        <v>8953</v>
      </c>
      <c r="BD265" t="s">
        <v>8954</v>
      </c>
      <c r="BE265" t="s">
        <v>8962</v>
      </c>
      <c r="BF265" t="s">
        <v>8970</v>
      </c>
      <c r="BG265" t="b">
        <v>1</v>
      </c>
      <c r="BH265">
        <v>4066300</v>
      </c>
      <c r="BI265">
        <v>4066300</v>
      </c>
      <c r="BJ265">
        <v>0</v>
      </c>
      <c r="BK265">
        <v>0</v>
      </c>
      <c r="BL265">
        <v>0</v>
      </c>
      <c r="BM265" t="s">
        <v>36</v>
      </c>
      <c r="BN265" t="b">
        <v>1</v>
      </c>
      <c r="BO265" t="s">
        <v>8324</v>
      </c>
    </row>
    <row r="266" spans="1:67" x14ac:dyDescent="0.25">
      <c r="A266" s="238">
        <v>265</v>
      </c>
      <c r="B266" s="238">
        <v>3</v>
      </c>
      <c r="C266" s="238">
        <v>16</v>
      </c>
      <c r="D266" s="238">
        <v>1</v>
      </c>
      <c r="E266" s="238">
        <v>1</v>
      </c>
      <c r="F266" s="238">
        <v>14.42</v>
      </c>
      <c r="G266" s="238"/>
      <c r="H266" s="238"/>
      <c r="I266" s="238">
        <v>14.42</v>
      </c>
      <c r="J266" s="238">
        <v>15.83</v>
      </c>
      <c r="K266" s="238">
        <v>4.09</v>
      </c>
      <c r="L266" s="238"/>
      <c r="M266" s="238">
        <v>8.0299999999999994</v>
      </c>
      <c r="N266" s="238"/>
      <c r="O266" s="238">
        <v>3.01</v>
      </c>
      <c r="R266" s="238">
        <v>3.01</v>
      </c>
      <c r="S266" s="238">
        <v>45.38</v>
      </c>
      <c r="T266" s="238">
        <v>42.37</v>
      </c>
      <c r="U266" s="238">
        <v>43.88</v>
      </c>
      <c r="V266" s="238">
        <v>122837.8</v>
      </c>
      <c r="W266">
        <v>2456.7560000000003</v>
      </c>
      <c r="X266">
        <v>125294.556</v>
      </c>
      <c r="Y266">
        <v>1000</v>
      </c>
      <c r="Z266">
        <v>126294.556</v>
      </c>
      <c r="AA266">
        <v>215</v>
      </c>
      <c r="AB266">
        <v>126509.556</v>
      </c>
      <c r="AC266">
        <v>17.5</v>
      </c>
      <c r="AD266">
        <v>126527.056</v>
      </c>
      <c r="AE266">
        <v>632.63527999999997</v>
      </c>
      <c r="AF266">
        <v>127159.69128</v>
      </c>
      <c r="AG266">
        <v>1271.5969127999999</v>
      </c>
      <c r="AH266">
        <v>128431.2881928</v>
      </c>
      <c r="AI266">
        <v>1284.312881928</v>
      </c>
      <c r="AJ266">
        <v>129715.60107472799</v>
      </c>
      <c r="AK266">
        <v>2594.3120214945602</v>
      </c>
      <c r="AL266">
        <v>132309.91309622256</v>
      </c>
      <c r="AM266" s="238">
        <v>132309.91</v>
      </c>
      <c r="AN266" s="238">
        <v>5805800</v>
      </c>
      <c r="AP266" s="238"/>
      <c r="AQ266" s="238">
        <v>0</v>
      </c>
      <c r="AR266" s="238">
        <v>132310.84776663626</v>
      </c>
      <c r="AS266" s="238">
        <v>5805800</v>
      </c>
      <c r="AT266" s="238" t="s">
        <v>36</v>
      </c>
      <c r="AU266" s="238"/>
      <c r="AW266">
        <v>132310.84776663626</v>
      </c>
      <c r="AX266" s="238">
        <v>0</v>
      </c>
      <c r="AY266" s="238">
        <v>5805799.9999999991</v>
      </c>
      <c r="BA266" s="238" t="s">
        <v>35</v>
      </c>
      <c r="BB266" s="238" t="s">
        <v>35</v>
      </c>
      <c r="BC266" t="s">
        <v>8953</v>
      </c>
      <c r="BD266" t="s">
        <v>8954</v>
      </c>
      <c r="BE266" t="s">
        <v>8962</v>
      </c>
      <c r="BF266" t="s">
        <v>8972</v>
      </c>
      <c r="BG266" t="b">
        <v>1</v>
      </c>
      <c r="BH266">
        <v>5805800</v>
      </c>
      <c r="BI266">
        <v>5805800</v>
      </c>
      <c r="BJ266">
        <v>0</v>
      </c>
      <c r="BK266">
        <v>0</v>
      </c>
      <c r="BL266">
        <v>0</v>
      </c>
      <c r="BM266" t="s">
        <v>36</v>
      </c>
      <c r="BN266" t="b">
        <v>1</v>
      </c>
      <c r="BO266" t="s">
        <v>8325</v>
      </c>
    </row>
    <row r="267" spans="1:67" x14ac:dyDescent="0.25">
      <c r="A267" s="238">
        <v>266</v>
      </c>
      <c r="B267" s="238">
        <v>3</v>
      </c>
      <c r="C267" s="238">
        <v>16</v>
      </c>
      <c r="D267" s="238">
        <v>2</v>
      </c>
      <c r="E267" s="238">
        <v>1</v>
      </c>
      <c r="F267" s="238">
        <v>12.76</v>
      </c>
      <c r="G267" s="238"/>
      <c r="H267" s="238"/>
      <c r="I267" s="238">
        <v>12.76</v>
      </c>
      <c r="J267" s="238">
        <v>14.81</v>
      </c>
      <c r="K267" s="238">
        <v>4.22</v>
      </c>
      <c r="L267" s="238"/>
      <c r="M267" s="238">
        <v>3.09</v>
      </c>
      <c r="N267" s="238"/>
      <c r="O267" s="238">
        <v>2.93</v>
      </c>
      <c r="R267" s="238">
        <v>2.93</v>
      </c>
      <c r="S267" s="238">
        <v>37.81</v>
      </c>
      <c r="T267" s="238">
        <v>34.880000000000003</v>
      </c>
      <c r="U267" s="238">
        <v>36.35</v>
      </c>
      <c r="V267" s="238">
        <v>126415.6</v>
      </c>
      <c r="W267">
        <v>2528.3120000000004</v>
      </c>
      <c r="X267">
        <v>128943.912</v>
      </c>
      <c r="Y267">
        <v>1000</v>
      </c>
      <c r="Z267">
        <v>129943.912</v>
      </c>
      <c r="AB267">
        <v>129943.912</v>
      </c>
      <c r="AD267">
        <v>129943.912</v>
      </c>
      <c r="AF267">
        <v>129943.912</v>
      </c>
      <c r="AH267">
        <v>129943.912</v>
      </c>
      <c r="AJ267">
        <v>129943.912</v>
      </c>
      <c r="AL267">
        <v>129943.912</v>
      </c>
      <c r="AM267" s="238">
        <v>129943.91</v>
      </c>
      <c r="AN267" s="238">
        <v>4723500</v>
      </c>
      <c r="AP267" s="238">
        <v>0.03</v>
      </c>
      <c r="AQ267" s="238">
        <v>141705</v>
      </c>
      <c r="AR267" s="238">
        <v>126046.62998624484</v>
      </c>
      <c r="AS267" s="238">
        <v>4581795</v>
      </c>
      <c r="AT267" s="238" t="s">
        <v>36</v>
      </c>
      <c r="AU267" s="238"/>
      <c r="AW267">
        <v>126046.62998624484</v>
      </c>
      <c r="AX267" s="238">
        <v>0</v>
      </c>
      <c r="AY267" s="238">
        <v>4581795</v>
      </c>
      <c r="AZ267" t="s">
        <v>978</v>
      </c>
      <c r="BA267" s="238" t="s">
        <v>39</v>
      </c>
      <c r="BB267" s="238" t="s">
        <v>39</v>
      </c>
      <c r="BC267" t="s">
        <v>8950</v>
      </c>
      <c r="BD267" t="s">
        <v>1167</v>
      </c>
      <c r="BE267" t="s">
        <v>8962</v>
      </c>
      <c r="BF267" t="s">
        <v>8972</v>
      </c>
      <c r="BG267" t="b">
        <v>1</v>
      </c>
      <c r="BH267">
        <v>4723500</v>
      </c>
      <c r="BI267" t="s">
        <v>9002</v>
      </c>
      <c r="BJ267">
        <v>4723500</v>
      </c>
      <c r="BK267">
        <v>4723500</v>
      </c>
      <c r="BL267">
        <v>0</v>
      </c>
      <c r="BM267" t="s">
        <v>36</v>
      </c>
      <c r="BN267" t="b">
        <v>1</v>
      </c>
      <c r="BO267" t="s">
        <v>8326</v>
      </c>
    </row>
    <row r="268" spans="1:67" x14ac:dyDescent="0.25">
      <c r="A268" s="238">
        <v>267</v>
      </c>
      <c r="B268" s="238">
        <v>3</v>
      </c>
      <c r="C268" s="238">
        <v>16</v>
      </c>
      <c r="D268" s="238">
        <v>3</v>
      </c>
      <c r="E268" s="238">
        <v>2</v>
      </c>
      <c r="F268" s="238">
        <v>15.36</v>
      </c>
      <c r="G268" s="238">
        <v>11.95</v>
      </c>
      <c r="H268" s="238"/>
      <c r="I268" s="238">
        <v>27.31</v>
      </c>
      <c r="J268" s="238">
        <v>14.34</v>
      </c>
      <c r="K268" s="238">
        <v>4.21</v>
      </c>
      <c r="L268" s="238"/>
      <c r="M268" s="238">
        <v>6.6</v>
      </c>
      <c r="N268" s="238"/>
      <c r="O268" s="238">
        <v>3.23</v>
      </c>
      <c r="R268" s="238">
        <v>3.23</v>
      </c>
      <c r="S268" s="238">
        <v>55.69</v>
      </c>
      <c r="T268" s="238">
        <v>52.46</v>
      </c>
      <c r="U268" s="238">
        <v>54.08</v>
      </c>
      <c r="V268" s="238">
        <v>119811.8</v>
      </c>
      <c r="W268">
        <v>2516.0478000000003</v>
      </c>
      <c r="X268">
        <v>122327.8478</v>
      </c>
      <c r="Y268">
        <v>1000</v>
      </c>
      <c r="Z268">
        <v>123327.8478</v>
      </c>
      <c r="AA268">
        <v>215</v>
      </c>
      <c r="AB268">
        <v>123542.8478</v>
      </c>
      <c r="AC268">
        <v>17.5</v>
      </c>
      <c r="AD268">
        <v>123560.3478</v>
      </c>
      <c r="AE268">
        <v>617.801739</v>
      </c>
      <c r="AF268">
        <v>124178.14953900001</v>
      </c>
      <c r="AH268">
        <v>124178.14953900001</v>
      </c>
      <c r="AJ268">
        <v>124178.14953900001</v>
      </c>
      <c r="AL268">
        <v>124178.14953900001</v>
      </c>
      <c r="AM268" s="238">
        <v>124178.15</v>
      </c>
      <c r="AN268" s="238">
        <v>6715600</v>
      </c>
      <c r="AP268" s="238"/>
      <c r="AQ268" s="238">
        <v>0</v>
      </c>
      <c r="AR268" s="238">
        <v>124178.99408284025</v>
      </c>
      <c r="AS268" s="238">
        <v>6715600</v>
      </c>
      <c r="AT268" s="238" t="s">
        <v>36</v>
      </c>
      <c r="AU268" s="238"/>
      <c r="AW268">
        <v>124178.99408284025</v>
      </c>
      <c r="AX268" s="238">
        <v>0</v>
      </c>
      <c r="AY268" s="238">
        <v>6715600</v>
      </c>
      <c r="BA268" s="238" t="s">
        <v>3</v>
      </c>
      <c r="BB268" s="238" t="s">
        <v>3</v>
      </c>
      <c r="BC268" t="s">
        <v>8951</v>
      </c>
      <c r="BD268" t="s">
        <v>1167</v>
      </c>
      <c r="BE268" t="s">
        <v>8962</v>
      </c>
      <c r="BF268" t="s">
        <v>8971</v>
      </c>
      <c r="BG268" t="b">
        <v>1</v>
      </c>
      <c r="BH268">
        <v>6715600</v>
      </c>
      <c r="BI268">
        <v>6715600</v>
      </c>
      <c r="BJ268">
        <v>0</v>
      </c>
      <c r="BK268">
        <v>0</v>
      </c>
      <c r="BL268">
        <v>0</v>
      </c>
      <c r="BM268" t="s">
        <v>36</v>
      </c>
      <c r="BN268" t="b">
        <v>1</v>
      </c>
      <c r="BO268" t="s">
        <v>8327</v>
      </c>
    </row>
    <row r="269" spans="1:67" x14ac:dyDescent="0.25">
      <c r="A269" s="238">
        <v>268</v>
      </c>
      <c r="B269" s="238">
        <v>3</v>
      </c>
      <c r="C269" s="238">
        <v>16</v>
      </c>
      <c r="D269" s="238">
        <v>4</v>
      </c>
      <c r="E269" s="238">
        <v>2</v>
      </c>
      <c r="F269" s="238">
        <v>15.67</v>
      </c>
      <c r="G269" s="238">
        <v>12.94</v>
      </c>
      <c r="H269" s="238"/>
      <c r="I269" s="238">
        <v>28.61</v>
      </c>
      <c r="J269" s="238">
        <v>13.64</v>
      </c>
      <c r="K269" s="238">
        <v>4.16</v>
      </c>
      <c r="L269" s="238"/>
      <c r="M269" s="238">
        <v>7.7</v>
      </c>
      <c r="N269" s="238"/>
      <c r="O269" s="238">
        <v>3.23</v>
      </c>
      <c r="R269" s="238">
        <v>3.23</v>
      </c>
      <c r="S269" s="238">
        <v>57.34</v>
      </c>
      <c r="T269" s="238">
        <v>54.11</v>
      </c>
      <c r="U269" s="238">
        <v>55.73</v>
      </c>
      <c r="V269" s="238">
        <v>119811.8</v>
      </c>
      <c r="W269">
        <v>2396.2360000000003</v>
      </c>
      <c r="X269">
        <v>122208.03599999999</v>
      </c>
      <c r="Y269">
        <v>1000</v>
      </c>
      <c r="Z269">
        <v>123208.03599999999</v>
      </c>
      <c r="AA269">
        <v>215</v>
      </c>
      <c r="AB269">
        <v>123423.03599999999</v>
      </c>
      <c r="AC269">
        <v>17.5</v>
      </c>
      <c r="AD269">
        <v>123440.53599999999</v>
      </c>
      <c r="AE269">
        <v>617.2026800000001</v>
      </c>
      <c r="AF269">
        <v>124057.73867999999</v>
      </c>
      <c r="AH269">
        <v>124057.73867999999</v>
      </c>
      <c r="AJ269">
        <v>124057.73867999999</v>
      </c>
      <c r="AK269">
        <v>2481.1547736000002</v>
      </c>
      <c r="AL269">
        <v>126538.89345360002</v>
      </c>
      <c r="AM269" s="238">
        <v>126538.89</v>
      </c>
      <c r="AN269" s="238">
        <v>7052100</v>
      </c>
      <c r="AP269" s="238"/>
      <c r="AQ269" s="238">
        <v>0</v>
      </c>
      <c r="AR269" s="238">
        <v>126540.46294634847</v>
      </c>
      <c r="AS269" s="238">
        <v>7052100</v>
      </c>
      <c r="AT269" s="238" t="s">
        <v>36</v>
      </c>
      <c r="AU269" s="238"/>
      <c r="AW269">
        <v>126540.46294634847</v>
      </c>
      <c r="AX269" s="238">
        <v>0</v>
      </c>
      <c r="AY269" s="238">
        <v>7052100</v>
      </c>
      <c r="BA269" s="238" t="s">
        <v>3</v>
      </c>
      <c r="BB269" s="238" t="s">
        <v>3</v>
      </c>
      <c r="BC269" t="s">
        <v>8951</v>
      </c>
      <c r="BD269" t="s">
        <v>1167</v>
      </c>
      <c r="BE269" t="s">
        <v>8962</v>
      </c>
      <c r="BF269" t="s">
        <v>8974</v>
      </c>
      <c r="BG269" t="b">
        <v>1</v>
      </c>
      <c r="BH269">
        <v>7052100</v>
      </c>
      <c r="BI269">
        <v>7052100</v>
      </c>
      <c r="BJ269">
        <v>0</v>
      </c>
      <c r="BK269">
        <v>0</v>
      </c>
      <c r="BL269">
        <v>0</v>
      </c>
      <c r="BM269" t="s">
        <v>36</v>
      </c>
      <c r="BN269" t="b">
        <v>1</v>
      </c>
      <c r="BO269" t="s">
        <v>8328</v>
      </c>
    </row>
    <row r="270" spans="1:67" x14ac:dyDescent="0.25">
      <c r="A270" s="238">
        <v>269</v>
      </c>
      <c r="B270" s="238">
        <v>3</v>
      </c>
      <c r="C270" s="238">
        <v>16</v>
      </c>
      <c r="D270" s="238">
        <v>5</v>
      </c>
      <c r="E270" s="238">
        <v>2</v>
      </c>
      <c r="F270" s="238">
        <v>18.350000000000001</v>
      </c>
      <c r="G270" s="238">
        <v>15.96</v>
      </c>
      <c r="H270" s="238"/>
      <c r="I270" s="238">
        <v>34.31</v>
      </c>
      <c r="J270" s="238">
        <v>11.11</v>
      </c>
      <c r="K270" s="238">
        <v>4.41</v>
      </c>
      <c r="L270" s="238"/>
      <c r="M270" s="238">
        <v>7.65</v>
      </c>
      <c r="N270" s="238"/>
      <c r="O270" s="238">
        <v>3.1</v>
      </c>
      <c r="R270" s="238">
        <v>3.1</v>
      </c>
      <c r="S270" s="238">
        <v>60.58</v>
      </c>
      <c r="T270" s="238">
        <v>57.48</v>
      </c>
      <c r="U270" s="238">
        <v>59.03</v>
      </c>
      <c r="V270" s="238">
        <v>118681.5</v>
      </c>
      <c r="X270">
        <v>118681.5</v>
      </c>
      <c r="Y270">
        <v>1000</v>
      </c>
      <c r="Z270">
        <v>119681.5</v>
      </c>
      <c r="AA270">
        <v>215</v>
      </c>
      <c r="AB270">
        <v>119896.5</v>
      </c>
      <c r="AC270">
        <v>17.5</v>
      </c>
      <c r="AD270">
        <v>119914</v>
      </c>
      <c r="AE270">
        <v>599.57000000000005</v>
      </c>
      <c r="AF270">
        <v>120513.57</v>
      </c>
      <c r="AH270">
        <v>120513.57</v>
      </c>
      <c r="AJ270">
        <v>120513.57</v>
      </c>
      <c r="AK270">
        <v>3615.4070999999999</v>
      </c>
      <c r="AL270">
        <v>124128.9771</v>
      </c>
      <c r="AM270" s="238">
        <v>124128.98</v>
      </c>
      <c r="AN270" s="238">
        <v>7327400</v>
      </c>
      <c r="AP270" s="238"/>
      <c r="AQ270" s="238">
        <v>0</v>
      </c>
      <c r="AR270" s="238">
        <v>124130.10333728611</v>
      </c>
      <c r="AS270" s="238">
        <v>7327400</v>
      </c>
      <c r="AT270" s="238" t="s">
        <v>36</v>
      </c>
      <c r="AU270" s="238"/>
      <c r="AW270">
        <v>124130.10333728611</v>
      </c>
      <c r="AX270" s="238">
        <v>0</v>
      </c>
      <c r="AY270" s="238">
        <v>7327400</v>
      </c>
      <c r="BA270" s="238" t="s">
        <v>35</v>
      </c>
      <c r="BB270" s="238" t="s">
        <v>35</v>
      </c>
      <c r="BC270" t="s">
        <v>8953</v>
      </c>
      <c r="BD270" t="s">
        <v>8954</v>
      </c>
      <c r="BE270" t="s">
        <v>8962</v>
      </c>
      <c r="BF270" t="s">
        <v>8974</v>
      </c>
      <c r="BG270" t="b">
        <v>1</v>
      </c>
      <c r="BH270">
        <v>7327400</v>
      </c>
      <c r="BI270">
        <v>7327400</v>
      </c>
      <c r="BJ270">
        <v>0</v>
      </c>
      <c r="BK270">
        <v>0</v>
      </c>
      <c r="BL270">
        <v>0</v>
      </c>
      <c r="BM270" t="s">
        <v>36</v>
      </c>
      <c r="BN270" t="b">
        <v>1</v>
      </c>
      <c r="BO270" t="s">
        <v>8329</v>
      </c>
    </row>
    <row r="271" spans="1:67" x14ac:dyDescent="0.25">
      <c r="A271" s="238">
        <v>270</v>
      </c>
      <c r="B271" s="238">
        <v>3</v>
      </c>
      <c r="C271" s="238">
        <v>16</v>
      </c>
      <c r="D271" s="238">
        <v>6</v>
      </c>
      <c r="E271" s="238">
        <v>0</v>
      </c>
      <c r="F271" s="238">
        <v>16.25</v>
      </c>
      <c r="G271" s="238"/>
      <c r="H271" s="238"/>
      <c r="I271" s="238">
        <v>16.25</v>
      </c>
      <c r="J271" s="238">
        <v>5</v>
      </c>
      <c r="K271" s="238">
        <v>3.97</v>
      </c>
      <c r="L271" s="238"/>
      <c r="M271" s="238">
        <v>4.21</v>
      </c>
      <c r="N271" s="238"/>
      <c r="O271" s="238"/>
      <c r="R271" s="238">
        <v>0</v>
      </c>
      <c r="S271" s="238">
        <v>29.43</v>
      </c>
      <c r="T271" s="238">
        <v>29.43</v>
      </c>
      <c r="U271" s="238">
        <v>29.43</v>
      </c>
      <c r="V271" s="238">
        <v>136935.4</v>
      </c>
      <c r="X271">
        <v>136935.4</v>
      </c>
      <c r="Y271">
        <v>1000</v>
      </c>
      <c r="Z271">
        <v>137935.4</v>
      </c>
      <c r="AA271">
        <v>215</v>
      </c>
      <c r="AB271">
        <v>138150.39999999999</v>
      </c>
      <c r="AC271">
        <v>17.5</v>
      </c>
      <c r="AD271">
        <v>138167.9</v>
      </c>
      <c r="AF271">
        <v>138167.9</v>
      </c>
      <c r="AH271">
        <v>138167.9</v>
      </c>
      <c r="AJ271">
        <v>138167.9</v>
      </c>
      <c r="AL271">
        <v>138167.9</v>
      </c>
      <c r="AM271" s="238">
        <v>138167.9</v>
      </c>
      <c r="AN271" s="238">
        <v>4066300</v>
      </c>
      <c r="AP271" s="238"/>
      <c r="AQ271" s="238">
        <v>0</v>
      </c>
      <c r="AR271" s="238">
        <v>138168.53550798504</v>
      </c>
      <c r="AS271" s="238">
        <v>4066300</v>
      </c>
      <c r="AT271" s="238" t="s">
        <v>36</v>
      </c>
      <c r="AU271" s="238"/>
      <c r="AW271">
        <v>138168.53550798504</v>
      </c>
      <c r="AX271" s="238">
        <v>0</v>
      </c>
      <c r="AY271" s="238">
        <v>4066299.9999999991</v>
      </c>
      <c r="BA271" s="238" t="s">
        <v>35</v>
      </c>
      <c r="BB271" s="238" t="s">
        <v>35</v>
      </c>
      <c r="BC271" t="s">
        <v>8953</v>
      </c>
      <c r="BD271" t="s">
        <v>8954</v>
      </c>
      <c r="BE271" t="s">
        <v>8962</v>
      </c>
      <c r="BF271" t="s">
        <v>8970</v>
      </c>
      <c r="BG271" t="b">
        <v>1</v>
      </c>
      <c r="BH271">
        <v>4066300</v>
      </c>
      <c r="BI271">
        <v>4066300</v>
      </c>
      <c r="BJ271">
        <v>0</v>
      </c>
      <c r="BK271">
        <v>0</v>
      </c>
      <c r="BL271">
        <v>0</v>
      </c>
      <c r="BM271" t="s">
        <v>36</v>
      </c>
      <c r="BN271" t="b">
        <v>1</v>
      </c>
      <c r="BO271" t="s">
        <v>8330</v>
      </c>
    </row>
    <row r="272" spans="1:67" x14ac:dyDescent="0.25">
      <c r="A272" s="238">
        <v>271</v>
      </c>
      <c r="B272" s="238">
        <v>3</v>
      </c>
      <c r="C272" s="238">
        <v>17</v>
      </c>
      <c r="D272" s="238">
        <v>1</v>
      </c>
      <c r="E272" s="238">
        <v>1</v>
      </c>
      <c r="F272" s="238">
        <v>14.42</v>
      </c>
      <c r="G272" s="238"/>
      <c r="H272" s="238"/>
      <c r="I272" s="238">
        <v>14.42</v>
      </c>
      <c r="J272" s="238">
        <v>15.83</v>
      </c>
      <c r="K272" s="238">
        <v>4.09</v>
      </c>
      <c r="L272" s="238"/>
      <c r="M272" s="238">
        <v>8.0299999999999994</v>
      </c>
      <c r="N272" s="238"/>
      <c r="O272" s="238">
        <v>3.01</v>
      </c>
      <c r="R272" s="238">
        <v>3.01</v>
      </c>
      <c r="S272" s="238">
        <v>45.38</v>
      </c>
      <c r="T272" s="238">
        <v>42.37</v>
      </c>
      <c r="U272" s="238">
        <v>43.88</v>
      </c>
      <c r="V272" s="238">
        <v>120452.6</v>
      </c>
      <c r="W272">
        <v>2409.0520000000001</v>
      </c>
      <c r="X272">
        <v>122861.652</v>
      </c>
      <c r="Z272">
        <v>122861.652</v>
      </c>
      <c r="AB272">
        <v>122861.652</v>
      </c>
      <c r="AD272">
        <v>122861.652</v>
      </c>
      <c r="AF272">
        <v>122861.652</v>
      </c>
      <c r="AH272">
        <v>122861.652</v>
      </c>
      <c r="AJ272">
        <v>122861.652</v>
      </c>
      <c r="AL272">
        <v>122861.652</v>
      </c>
      <c r="AM272" s="238">
        <v>122861.65</v>
      </c>
      <c r="AN272" s="238">
        <v>5391200</v>
      </c>
      <c r="AO272">
        <v>50000</v>
      </c>
      <c r="AP272" s="238"/>
      <c r="AQ272" s="238">
        <v>50000</v>
      </c>
      <c r="AR272" s="238">
        <v>121722.88058340928</v>
      </c>
      <c r="AS272" s="238">
        <v>5341200</v>
      </c>
      <c r="AT272" s="238" t="s">
        <v>36</v>
      </c>
      <c r="AU272" s="238"/>
      <c r="AW272">
        <v>121722.88058340928</v>
      </c>
      <c r="AX272" s="238">
        <v>0</v>
      </c>
      <c r="AY272" s="238">
        <v>5341200</v>
      </c>
      <c r="AZ272" t="s">
        <v>6732</v>
      </c>
      <c r="BA272" s="238" t="s">
        <v>39</v>
      </c>
      <c r="BB272" s="238" t="s">
        <v>39</v>
      </c>
      <c r="BC272" t="s">
        <v>8950</v>
      </c>
      <c r="BD272" t="s">
        <v>1167</v>
      </c>
      <c r="BE272" t="s">
        <v>8962</v>
      </c>
      <c r="BF272" t="s">
        <v>8972</v>
      </c>
      <c r="BG272" t="b">
        <v>1</v>
      </c>
      <c r="BH272">
        <v>5391200</v>
      </c>
      <c r="BI272" t="s">
        <v>9002</v>
      </c>
      <c r="BJ272">
        <v>0</v>
      </c>
      <c r="BK272">
        <v>5391200</v>
      </c>
      <c r="BL272">
        <v>0</v>
      </c>
      <c r="BM272" t="s">
        <v>36</v>
      </c>
      <c r="BN272" t="b">
        <v>1</v>
      </c>
      <c r="BO272" t="s">
        <v>8331</v>
      </c>
    </row>
    <row r="273" spans="1:67" x14ac:dyDescent="0.25">
      <c r="A273" s="238">
        <v>272</v>
      </c>
      <c r="B273" s="238">
        <v>3</v>
      </c>
      <c r="C273" s="238">
        <v>17</v>
      </c>
      <c r="D273" s="238">
        <v>2</v>
      </c>
      <c r="E273" s="238">
        <v>1</v>
      </c>
      <c r="F273" s="238">
        <v>12.76</v>
      </c>
      <c r="G273" s="238"/>
      <c r="H273" s="238"/>
      <c r="I273" s="238">
        <v>12.76</v>
      </c>
      <c r="J273" s="238">
        <v>14.81</v>
      </c>
      <c r="K273" s="238">
        <v>4.22</v>
      </c>
      <c r="L273" s="238"/>
      <c r="M273" s="238">
        <v>3.09</v>
      </c>
      <c r="N273" s="238"/>
      <c r="O273" s="238">
        <v>2.93</v>
      </c>
      <c r="R273" s="238">
        <v>2.93</v>
      </c>
      <c r="S273" s="238">
        <v>37.81</v>
      </c>
      <c r="T273" s="238">
        <v>34.880000000000003</v>
      </c>
      <c r="U273" s="238">
        <v>36.35</v>
      </c>
      <c r="V273" s="238">
        <v>124030.39999999999</v>
      </c>
      <c r="W273">
        <v>2480.6079999999997</v>
      </c>
      <c r="X273">
        <v>126511.008</v>
      </c>
      <c r="Z273">
        <v>126511.008</v>
      </c>
      <c r="AB273">
        <v>126511.008</v>
      </c>
      <c r="AD273">
        <v>126511.008</v>
      </c>
      <c r="AF273">
        <v>126511.008</v>
      </c>
      <c r="AH273">
        <v>126511.008</v>
      </c>
      <c r="AJ273">
        <v>126511.008</v>
      </c>
      <c r="AL273">
        <v>126511.008</v>
      </c>
      <c r="AM273" s="238">
        <v>126511.01</v>
      </c>
      <c r="AN273" s="238">
        <v>4598700</v>
      </c>
      <c r="AP273" s="238">
        <v>0.03</v>
      </c>
      <c r="AQ273" s="238">
        <v>137961</v>
      </c>
      <c r="AR273" s="238">
        <v>122716.34112792296</v>
      </c>
      <c r="AS273" s="238">
        <v>4460739</v>
      </c>
      <c r="AT273" s="238" t="s">
        <v>36</v>
      </c>
      <c r="AU273" s="238"/>
      <c r="AW273">
        <v>122716.34112792296</v>
      </c>
      <c r="AX273" s="238">
        <v>0</v>
      </c>
      <c r="AY273" s="238">
        <v>4460739</v>
      </c>
      <c r="AZ273" t="s">
        <v>978</v>
      </c>
      <c r="BA273" s="238" t="s">
        <v>39</v>
      </c>
      <c r="BB273" s="238" t="s">
        <v>39</v>
      </c>
      <c r="BC273" t="s">
        <v>8950</v>
      </c>
      <c r="BD273" t="s">
        <v>1167</v>
      </c>
      <c r="BE273" t="s">
        <v>8962</v>
      </c>
      <c r="BF273" t="s">
        <v>8972</v>
      </c>
      <c r="BG273" t="b">
        <v>1</v>
      </c>
      <c r="BH273">
        <v>4598700</v>
      </c>
      <c r="BI273" t="s">
        <v>9002</v>
      </c>
      <c r="BJ273">
        <v>0</v>
      </c>
      <c r="BK273">
        <v>4598700</v>
      </c>
      <c r="BL273">
        <v>0</v>
      </c>
      <c r="BM273" t="s">
        <v>36</v>
      </c>
      <c r="BN273" t="b">
        <v>1</v>
      </c>
      <c r="BO273" t="s">
        <v>8332</v>
      </c>
    </row>
    <row r="274" spans="1:67" x14ac:dyDescent="0.25">
      <c r="A274" s="238">
        <v>273</v>
      </c>
      <c r="B274" s="238">
        <v>3</v>
      </c>
      <c r="C274" s="238">
        <v>17</v>
      </c>
      <c r="D274" s="238">
        <v>3</v>
      </c>
      <c r="E274" s="238">
        <v>2</v>
      </c>
      <c r="F274" s="238">
        <v>15.36</v>
      </c>
      <c r="G274" s="238">
        <v>11.95</v>
      </c>
      <c r="H274" s="238"/>
      <c r="I274" s="238">
        <v>27.31</v>
      </c>
      <c r="J274" s="238">
        <v>14.34</v>
      </c>
      <c r="K274" s="238">
        <v>4.21</v>
      </c>
      <c r="L274" s="238"/>
      <c r="M274" s="238">
        <v>6.6</v>
      </c>
      <c r="N274" s="238"/>
      <c r="O274" s="238">
        <v>3.23</v>
      </c>
      <c r="R274" s="238">
        <v>3.23</v>
      </c>
      <c r="S274" s="238">
        <v>55.69</v>
      </c>
      <c r="T274" s="238">
        <v>52.46</v>
      </c>
      <c r="U274" s="238">
        <v>54.08</v>
      </c>
      <c r="V274" s="238">
        <v>117551.2</v>
      </c>
      <c r="W274">
        <v>2468.5752000000002</v>
      </c>
      <c r="X274">
        <v>120019.7752</v>
      </c>
      <c r="Y274">
        <v>1000</v>
      </c>
      <c r="Z274">
        <v>121019.7752</v>
      </c>
      <c r="AB274">
        <v>121019.7752</v>
      </c>
      <c r="AD274">
        <v>121019.7752</v>
      </c>
      <c r="AF274">
        <v>121019.7752</v>
      </c>
      <c r="AH274">
        <v>121019.7752</v>
      </c>
      <c r="AJ274">
        <v>121019.7752</v>
      </c>
      <c r="AL274">
        <v>121019.7752</v>
      </c>
      <c r="AM274" s="238">
        <v>121019.78</v>
      </c>
      <c r="AN274" s="238">
        <v>6544800</v>
      </c>
      <c r="AP274" s="238">
        <v>0.02</v>
      </c>
      <c r="AQ274" s="238">
        <v>130896</v>
      </c>
      <c r="AR274" s="238">
        <v>118600.29585798817</v>
      </c>
      <c r="AS274" s="238">
        <v>6413904</v>
      </c>
      <c r="AT274" s="238" t="s">
        <v>8787</v>
      </c>
      <c r="AU274" s="238">
        <v>10000</v>
      </c>
      <c r="AW274">
        <v>128600.29585798817</v>
      </c>
      <c r="AX274" s="238">
        <v>540800</v>
      </c>
      <c r="AY274" s="238">
        <v>6954704</v>
      </c>
      <c r="AZ274" t="s">
        <v>3540</v>
      </c>
      <c r="BA274" s="238" t="s">
        <v>39</v>
      </c>
      <c r="BB274" s="238" t="s">
        <v>39</v>
      </c>
      <c r="BC274" t="s">
        <v>8950</v>
      </c>
      <c r="BD274" t="s">
        <v>1167</v>
      </c>
      <c r="BE274" t="s">
        <v>8962</v>
      </c>
      <c r="BF274" t="s">
        <v>8971</v>
      </c>
      <c r="BG274" t="b">
        <v>1</v>
      </c>
      <c r="BH274">
        <v>6544800</v>
      </c>
      <c r="BI274" t="s">
        <v>9002</v>
      </c>
      <c r="BJ274">
        <v>6544800</v>
      </c>
      <c r="BK274">
        <v>6544800</v>
      </c>
      <c r="BL274">
        <v>0</v>
      </c>
      <c r="BM274" t="s">
        <v>8787</v>
      </c>
      <c r="BN274" t="b">
        <v>1</v>
      </c>
      <c r="BO274" t="s">
        <v>8333</v>
      </c>
    </row>
    <row r="275" spans="1:67" x14ac:dyDescent="0.25">
      <c r="A275" s="238">
        <v>274</v>
      </c>
      <c r="B275" s="238">
        <v>3</v>
      </c>
      <c r="C275" s="238">
        <v>17</v>
      </c>
      <c r="D275" s="238">
        <v>4</v>
      </c>
      <c r="E275" s="238">
        <v>2</v>
      </c>
      <c r="F275" s="238">
        <v>15.67</v>
      </c>
      <c r="G275" s="238">
        <v>12.94</v>
      </c>
      <c r="H275" s="238"/>
      <c r="I275" s="238">
        <v>28.61</v>
      </c>
      <c r="J275" s="238">
        <v>13.64</v>
      </c>
      <c r="K275" s="238">
        <v>4.16</v>
      </c>
      <c r="L275" s="238"/>
      <c r="M275" s="238">
        <v>7.7</v>
      </c>
      <c r="N275" s="238"/>
      <c r="O275" s="238">
        <v>3.23</v>
      </c>
      <c r="R275" s="238">
        <v>3.23</v>
      </c>
      <c r="S275" s="238">
        <v>57.34</v>
      </c>
      <c r="T275" s="238">
        <v>54.11</v>
      </c>
      <c r="U275" s="238">
        <v>55.73</v>
      </c>
      <c r="V275" s="238">
        <v>117551.2</v>
      </c>
      <c r="W275">
        <v>2351.0239999999999</v>
      </c>
      <c r="X275">
        <v>119902.224</v>
      </c>
      <c r="Y275">
        <v>1000</v>
      </c>
      <c r="Z275">
        <v>120902.224</v>
      </c>
      <c r="AA275">
        <v>215</v>
      </c>
      <c r="AB275">
        <v>121117.224</v>
      </c>
      <c r="AC275">
        <v>17.5</v>
      </c>
      <c r="AD275">
        <v>121134.724</v>
      </c>
      <c r="AE275">
        <v>605.67362000000003</v>
      </c>
      <c r="AF275">
        <v>121740.39762</v>
      </c>
      <c r="AH275">
        <v>121740.39762</v>
      </c>
      <c r="AJ275">
        <v>121740.39762</v>
      </c>
      <c r="AK275">
        <v>2434.8079524</v>
      </c>
      <c r="AL275">
        <v>124175.20557239999</v>
      </c>
      <c r="AM275" s="238">
        <v>124175.21</v>
      </c>
      <c r="AN275" s="238">
        <v>6920300</v>
      </c>
      <c r="AP275" s="238"/>
      <c r="AQ275" s="238">
        <v>0</v>
      </c>
      <c r="AR275" s="238">
        <v>124175.488964651</v>
      </c>
      <c r="AS275" s="238">
        <v>6920300</v>
      </c>
      <c r="AT275" s="238" t="s">
        <v>36</v>
      </c>
      <c r="AU275" s="238"/>
      <c r="AW275">
        <v>124175.488964651</v>
      </c>
      <c r="AX275" s="238">
        <v>0</v>
      </c>
      <c r="AY275" s="238">
        <v>6920300</v>
      </c>
      <c r="BA275" s="238" t="s">
        <v>35</v>
      </c>
      <c r="BB275" s="238" t="s">
        <v>35</v>
      </c>
      <c r="BC275" t="s">
        <v>8953</v>
      </c>
      <c r="BD275" t="s">
        <v>8954</v>
      </c>
      <c r="BE275" t="s">
        <v>8962</v>
      </c>
      <c r="BF275" t="s">
        <v>8974</v>
      </c>
      <c r="BG275" t="b">
        <v>1</v>
      </c>
      <c r="BH275">
        <v>6920300</v>
      </c>
      <c r="BI275">
        <v>6920300</v>
      </c>
      <c r="BJ275">
        <v>0</v>
      </c>
      <c r="BK275">
        <v>0</v>
      </c>
      <c r="BL275">
        <v>0</v>
      </c>
      <c r="BM275" t="s">
        <v>36</v>
      </c>
      <c r="BN275" t="b">
        <v>1</v>
      </c>
      <c r="BO275" t="s">
        <v>8334</v>
      </c>
    </row>
    <row r="276" spans="1:67" x14ac:dyDescent="0.25">
      <c r="A276" s="238">
        <v>275</v>
      </c>
      <c r="B276" s="238">
        <v>3</v>
      </c>
      <c r="C276" s="238">
        <v>17</v>
      </c>
      <c r="D276" s="238">
        <v>5</v>
      </c>
      <c r="E276" s="238">
        <v>2</v>
      </c>
      <c r="F276" s="238">
        <v>18.350000000000001</v>
      </c>
      <c r="G276" s="238">
        <v>15.96</v>
      </c>
      <c r="H276" s="238"/>
      <c r="I276" s="238">
        <v>34.31</v>
      </c>
      <c r="J276" s="238">
        <v>11.11</v>
      </c>
      <c r="K276" s="238">
        <v>4.41</v>
      </c>
      <c r="L276" s="238"/>
      <c r="M276" s="238">
        <v>7.65</v>
      </c>
      <c r="N276" s="238"/>
      <c r="O276" s="238">
        <v>3.1</v>
      </c>
      <c r="R276" s="238">
        <v>3.1</v>
      </c>
      <c r="S276" s="238">
        <v>60.58</v>
      </c>
      <c r="T276" s="238">
        <v>57.48</v>
      </c>
      <c r="U276" s="238">
        <v>59.03</v>
      </c>
      <c r="V276" s="238">
        <v>118681.5</v>
      </c>
      <c r="X276">
        <v>118681.5</v>
      </c>
      <c r="Y276">
        <v>1000</v>
      </c>
      <c r="Z276">
        <v>119681.5</v>
      </c>
      <c r="AA276">
        <v>215</v>
      </c>
      <c r="AB276">
        <v>119896.5</v>
      </c>
      <c r="AC276">
        <v>17.5</v>
      </c>
      <c r="AD276">
        <v>119914</v>
      </c>
      <c r="AE276">
        <v>599.57000000000005</v>
      </c>
      <c r="AF276">
        <v>120513.57</v>
      </c>
      <c r="AH276">
        <v>120513.57</v>
      </c>
      <c r="AJ276">
        <v>120513.57</v>
      </c>
      <c r="AK276">
        <v>3615.4070999999999</v>
      </c>
      <c r="AL276">
        <v>124128.9771</v>
      </c>
      <c r="AM276" s="238">
        <v>124128.98</v>
      </c>
      <c r="AN276" s="238">
        <v>7327400</v>
      </c>
      <c r="AP276" s="238"/>
      <c r="AQ276" s="238">
        <v>0</v>
      </c>
      <c r="AR276" s="238">
        <v>124130.10333728611</v>
      </c>
      <c r="AS276" s="238">
        <v>7327400</v>
      </c>
      <c r="AT276" s="238" t="s">
        <v>36</v>
      </c>
      <c r="AU276" s="238"/>
      <c r="AW276">
        <v>124130.10333728611</v>
      </c>
      <c r="AX276" s="238">
        <v>0</v>
      </c>
      <c r="AY276" s="238">
        <v>7327400</v>
      </c>
      <c r="BA276" s="238" t="s">
        <v>35</v>
      </c>
      <c r="BB276" s="238" t="s">
        <v>35</v>
      </c>
      <c r="BC276" t="s">
        <v>8953</v>
      </c>
      <c r="BD276" t="s">
        <v>8954</v>
      </c>
      <c r="BE276" t="s">
        <v>8962</v>
      </c>
      <c r="BF276" t="s">
        <v>8974</v>
      </c>
      <c r="BG276" t="b">
        <v>1</v>
      </c>
      <c r="BH276">
        <v>7327400</v>
      </c>
      <c r="BI276">
        <v>7327400</v>
      </c>
      <c r="BJ276">
        <v>0</v>
      </c>
      <c r="BK276">
        <v>0</v>
      </c>
      <c r="BL276">
        <v>0</v>
      </c>
      <c r="BM276" t="s">
        <v>36</v>
      </c>
      <c r="BN276" t="b">
        <v>1</v>
      </c>
      <c r="BO276" t="s">
        <v>8335</v>
      </c>
    </row>
    <row r="277" spans="1:67" x14ac:dyDescent="0.25">
      <c r="A277" s="238">
        <v>276</v>
      </c>
      <c r="B277" s="238">
        <v>3</v>
      </c>
      <c r="C277" s="238">
        <v>17</v>
      </c>
      <c r="D277" s="238">
        <v>6</v>
      </c>
      <c r="E277" s="238">
        <v>0</v>
      </c>
      <c r="F277" s="238">
        <v>16.25</v>
      </c>
      <c r="G277" s="238"/>
      <c r="H277" s="238"/>
      <c r="I277" s="238">
        <v>16.25</v>
      </c>
      <c r="J277" s="238">
        <v>5</v>
      </c>
      <c r="K277" s="238">
        <v>3.97</v>
      </c>
      <c r="L277" s="238"/>
      <c r="M277" s="238">
        <v>4.21</v>
      </c>
      <c r="N277" s="238"/>
      <c r="O277" s="238"/>
      <c r="R277" s="238">
        <v>0</v>
      </c>
      <c r="S277" s="238">
        <v>29.43</v>
      </c>
      <c r="T277" s="238">
        <v>29.43</v>
      </c>
      <c r="U277" s="238">
        <v>29.43</v>
      </c>
      <c r="V277" s="238">
        <v>138332.70000000001</v>
      </c>
      <c r="X277">
        <v>138332.70000000001</v>
      </c>
      <c r="Y277">
        <v>1000</v>
      </c>
      <c r="Z277">
        <v>139332.70000000001</v>
      </c>
      <c r="AA277">
        <v>215</v>
      </c>
      <c r="AB277">
        <v>139547.70000000001</v>
      </c>
      <c r="AC277">
        <v>17.5</v>
      </c>
      <c r="AD277">
        <v>139565.20000000001</v>
      </c>
      <c r="AF277">
        <v>139565.20000000001</v>
      </c>
      <c r="AH277">
        <v>139565.20000000001</v>
      </c>
      <c r="AJ277">
        <v>139565.20000000001</v>
      </c>
      <c r="AL277">
        <v>139565.20000000001</v>
      </c>
      <c r="AM277" s="238">
        <v>139565.20000000001</v>
      </c>
      <c r="AN277" s="238">
        <v>4107500</v>
      </c>
      <c r="AP277" s="238"/>
      <c r="AQ277" s="238">
        <v>0</v>
      </c>
      <c r="AR277" s="238">
        <v>139568.46755011892</v>
      </c>
      <c r="AS277" s="238">
        <v>4107500</v>
      </c>
      <c r="AT277" s="238" t="s">
        <v>38</v>
      </c>
      <c r="AU277" s="238">
        <v>30000</v>
      </c>
      <c r="AV277" t="s">
        <v>8816</v>
      </c>
      <c r="AW277">
        <v>169568.46755011892</v>
      </c>
      <c r="AX277" s="238">
        <v>882900</v>
      </c>
      <c r="AY277" s="238">
        <v>4990400</v>
      </c>
      <c r="BA277" s="238" t="s">
        <v>35</v>
      </c>
      <c r="BB277" s="238" t="s">
        <v>35</v>
      </c>
      <c r="BC277" t="s">
        <v>8953</v>
      </c>
      <c r="BD277" t="s">
        <v>8954</v>
      </c>
      <c r="BE277" t="s">
        <v>8962</v>
      </c>
      <c r="BF277" t="s">
        <v>8970</v>
      </c>
      <c r="BG277" t="b">
        <v>1</v>
      </c>
      <c r="BH277">
        <v>4107500</v>
      </c>
      <c r="BI277">
        <v>4107500</v>
      </c>
      <c r="BJ277">
        <v>0</v>
      </c>
      <c r="BK277">
        <v>0</v>
      </c>
      <c r="BL277">
        <v>0</v>
      </c>
      <c r="BM277" t="s">
        <v>38</v>
      </c>
      <c r="BN277" t="b">
        <v>1</v>
      </c>
      <c r="BO277" t="s">
        <v>8336</v>
      </c>
    </row>
    <row r="278" spans="1:67" x14ac:dyDescent="0.25">
      <c r="A278" s="238">
        <v>277</v>
      </c>
      <c r="B278" s="238">
        <v>3</v>
      </c>
      <c r="C278" s="238">
        <v>18</v>
      </c>
      <c r="D278" s="238">
        <v>1</v>
      </c>
      <c r="E278" s="238">
        <v>1</v>
      </c>
      <c r="F278" s="238">
        <v>14.42</v>
      </c>
      <c r="G278" s="238"/>
      <c r="H278" s="238"/>
      <c r="I278" s="238">
        <v>14.42</v>
      </c>
      <c r="J278" s="238">
        <v>15.83</v>
      </c>
      <c r="K278" s="238">
        <v>4.09</v>
      </c>
      <c r="L278" s="238"/>
      <c r="M278" s="238">
        <v>8.0299999999999994</v>
      </c>
      <c r="N278" s="238"/>
      <c r="O278" s="238">
        <v>3.01</v>
      </c>
      <c r="R278" s="238">
        <v>3.01</v>
      </c>
      <c r="S278" s="238">
        <v>45.38</v>
      </c>
      <c r="T278" s="238">
        <v>42.37</v>
      </c>
      <c r="U278" s="238">
        <v>43.88</v>
      </c>
      <c r="V278" s="238">
        <v>125223</v>
      </c>
      <c r="W278">
        <v>2504.46</v>
      </c>
      <c r="X278">
        <v>127727.46</v>
      </c>
      <c r="Y278">
        <v>1000</v>
      </c>
      <c r="Z278">
        <v>128727.46</v>
      </c>
      <c r="AA278">
        <v>215</v>
      </c>
      <c r="AB278">
        <v>128942.46</v>
      </c>
      <c r="AC278">
        <v>17.5</v>
      </c>
      <c r="AD278">
        <v>128959.96</v>
      </c>
      <c r="AE278">
        <v>644.7998</v>
      </c>
      <c r="AF278">
        <v>129604.7598</v>
      </c>
      <c r="AG278">
        <v>1296.0475980000001</v>
      </c>
      <c r="AH278">
        <v>130900.807398</v>
      </c>
      <c r="AI278">
        <v>1309.0080739800001</v>
      </c>
      <c r="AJ278">
        <v>132209.81547197999</v>
      </c>
      <c r="AK278">
        <v>2644.1963094396001</v>
      </c>
      <c r="AL278">
        <v>134854.0117814196</v>
      </c>
      <c r="AM278" s="238">
        <v>134854.01</v>
      </c>
      <c r="AN278" s="238">
        <v>5917400</v>
      </c>
      <c r="AP278" s="238"/>
      <c r="AQ278" s="238">
        <v>0</v>
      </c>
      <c r="AR278" s="238">
        <v>134854.14767547857</v>
      </c>
      <c r="AS278" s="238">
        <v>5917400</v>
      </c>
      <c r="AT278" s="238" t="s">
        <v>38</v>
      </c>
      <c r="AU278" s="238">
        <v>30000</v>
      </c>
      <c r="AV278" t="s">
        <v>8816</v>
      </c>
      <c r="AW278">
        <v>164854.14767547857</v>
      </c>
      <c r="AX278" s="238">
        <v>1316400</v>
      </c>
      <c r="AY278" s="238">
        <v>7233800</v>
      </c>
      <c r="BA278" s="238" t="s">
        <v>3</v>
      </c>
      <c r="BB278" s="238" t="s">
        <v>3</v>
      </c>
      <c r="BC278" t="s">
        <v>8951</v>
      </c>
      <c r="BD278" t="s">
        <v>1167</v>
      </c>
      <c r="BE278" t="s">
        <v>8962</v>
      </c>
      <c r="BF278" t="s">
        <v>8972</v>
      </c>
      <c r="BG278" t="b">
        <v>1</v>
      </c>
      <c r="BH278">
        <v>5917400</v>
      </c>
      <c r="BI278">
        <v>5917400</v>
      </c>
      <c r="BJ278">
        <v>0</v>
      </c>
      <c r="BK278">
        <v>0</v>
      </c>
      <c r="BL278">
        <v>0</v>
      </c>
      <c r="BM278" t="s">
        <v>38</v>
      </c>
      <c r="BN278" t="b">
        <v>1</v>
      </c>
      <c r="BO278" t="s">
        <v>8337</v>
      </c>
    </row>
    <row r="279" spans="1:67" x14ac:dyDescent="0.25">
      <c r="A279" s="238">
        <v>278</v>
      </c>
      <c r="B279" s="238">
        <v>3</v>
      </c>
      <c r="C279" s="238">
        <v>18</v>
      </c>
      <c r="D279" s="238">
        <v>2</v>
      </c>
      <c r="E279" s="238">
        <v>1</v>
      </c>
      <c r="F279" s="238">
        <v>12.76</v>
      </c>
      <c r="G279" s="238"/>
      <c r="H279" s="238"/>
      <c r="I279" s="238">
        <v>12.76</v>
      </c>
      <c r="J279" s="238">
        <v>14.81</v>
      </c>
      <c r="K279" s="238">
        <v>4.22</v>
      </c>
      <c r="L279" s="238"/>
      <c r="M279" s="238">
        <v>3.09</v>
      </c>
      <c r="N279" s="238"/>
      <c r="O279" s="238">
        <v>2.93</v>
      </c>
      <c r="R279" s="238">
        <v>2.93</v>
      </c>
      <c r="S279" s="238">
        <v>37.81</v>
      </c>
      <c r="T279" s="238">
        <v>34.880000000000003</v>
      </c>
      <c r="U279" s="238">
        <v>36.35</v>
      </c>
      <c r="V279" s="238">
        <v>128800.8</v>
      </c>
      <c r="W279">
        <v>2576.0160000000001</v>
      </c>
      <c r="X279">
        <v>131376.81599999999</v>
      </c>
      <c r="Y279">
        <v>1000</v>
      </c>
      <c r="Z279">
        <v>132376.81599999999</v>
      </c>
      <c r="AA279">
        <v>215</v>
      </c>
      <c r="AB279">
        <v>132591.81599999999</v>
      </c>
      <c r="AC279">
        <v>17.5</v>
      </c>
      <c r="AD279">
        <v>132609.31599999999</v>
      </c>
      <c r="AE279">
        <v>1989.1397400000001</v>
      </c>
      <c r="AF279">
        <v>134598.45574</v>
      </c>
      <c r="AH279">
        <v>134598.45574</v>
      </c>
      <c r="AJ279">
        <v>134598.45574</v>
      </c>
      <c r="AL279">
        <v>134598.45574</v>
      </c>
      <c r="AM279" s="238">
        <v>134598.46</v>
      </c>
      <c r="AN279" s="238">
        <v>4892700</v>
      </c>
      <c r="AP279" s="238">
        <v>0.03</v>
      </c>
      <c r="AQ279" s="238">
        <v>146781</v>
      </c>
      <c r="AR279" s="238">
        <v>130561.7331499312</v>
      </c>
      <c r="AS279" s="238">
        <v>4745919</v>
      </c>
      <c r="AT279" s="238" t="s">
        <v>36</v>
      </c>
      <c r="AU279" s="238"/>
      <c r="AW279">
        <v>130561.7331499312</v>
      </c>
      <c r="AX279" s="238">
        <v>0</v>
      </c>
      <c r="AY279" s="238">
        <v>4745919</v>
      </c>
      <c r="AZ279" t="s">
        <v>8593</v>
      </c>
      <c r="BA279" s="238" t="s">
        <v>39</v>
      </c>
      <c r="BB279" s="238" t="s">
        <v>39</v>
      </c>
      <c r="BC279" t="s">
        <v>8950</v>
      </c>
      <c r="BD279" t="s">
        <v>1167</v>
      </c>
      <c r="BE279" t="s">
        <v>8962</v>
      </c>
      <c r="BF279" t="s">
        <v>8972</v>
      </c>
      <c r="BG279" t="b">
        <v>1</v>
      </c>
      <c r="BH279">
        <v>4892700</v>
      </c>
      <c r="BI279" t="s">
        <v>9002</v>
      </c>
      <c r="BJ279">
        <v>0</v>
      </c>
      <c r="BK279">
        <v>4892700</v>
      </c>
      <c r="BL279">
        <v>0</v>
      </c>
      <c r="BM279" t="s">
        <v>36</v>
      </c>
      <c r="BN279" t="b">
        <v>1</v>
      </c>
      <c r="BO279" t="s">
        <v>8338</v>
      </c>
    </row>
    <row r="280" spans="1:67" x14ac:dyDescent="0.25">
      <c r="A280" s="238">
        <v>279</v>
      </c>
      <c r="B280" s="238">
        <v>3</v>
      </c>
      <c r="C280" s="238">
        <v>18</v>
      </c>
      <c r="D280" s="238">
        <v>3</v>
      </c>
      <c r="E280" s="238">
        <v>2</v>
      </c>
      <c r="F280" s="238">
        <v>15.36</v>
      </c>
      <c r="G280" s="238">
        <v>11.95</v>
      </c>
      <c r="H280" s="238"/>
      <c r="I280" s="238">
        <v>27.31</v>
      </c>
      <c r="J280" s="238">
        <v>14.34</v>
      </c>
      <c r="K280" s="238">
        <v>4.21</v>
      </c>
      <c r="L280" s="238"/>
      <c r="M280" s="238">
        <v>6.6</v>
      </c>
      <c r="N280" s="238"/>
      <c r="O280" s="238">
        <v>3.23</v>
      </c>
      <c r="R280" s="238">
        <v>3.23</v>
      </c>
      <c r="S280" s="238">
        <v>55.69</v>
      </c>
      <c r="T280" s="238">
        <v>52.46</v>
      </c>
      <c r="U280" s="238">
        <v>54.08</v>
      </c>
      <c r="V280" s="238">
        <v>122072.4</v>
      </c>
      <c r="W280">
        <v>2563.5203999999999</v>
      </c>
      <c r="X280">
        <v>124635.9204</v>
      </c>
      <c r="Y280">
        <v>1000</v>
      </c>
      <c r="Z280">
        <v>125635.9204</v>
      </c>
      <c r="AA280">
        <v>215</v>
      </c>
      <c r="AB280">
        <v>125850.9204</v>
      </c>
      <c r="AC280">
        <v>17.5</v>
      </c>
      <c r="AD280">
        <v>125868.4204</v>
      </c>
      <c r="AF280">
        <v>125868.4204</v>
      </c>
      <c r="AH280">
        <v>125868.4204</v>
      </c>
      <c r="AJ280">
        <v>125868.4204</v>
      </c>
      <c r="AL280">
        <v>125868.4204</v>
      </c>
      <c r="AM280" s="238">
        <v>125868.42</v>
      </c>
      <c r="AN280" s="238">
        <v>6807000</v>
      </c>
      <c r="AP280" s="238">
        <v>0.02</v>
      </c>
      <c r="AQ280" s="238">
        <v>136140</v>
      </c>
      <c r="AR280" s="238">
        <v>123351.70118343196</v>
      </c>
      <c r="AS280" s="238">
        <v>6670860</v>
      </c>
      <c r="AT280" s="238" t="s">
        <v>36</v>
      </c>
      <c r="AU280" s="238"/>
      <c r="AW280">
        <v>123351.70118343196</v>
      </c>
      <c r="AX280" s="238">
        <v>0</v>
      </c>
      <c r="AY280" s="238">
        <v>6670860</v>
      </c>
      <c r="AZ280" t="s">
        <v>3540</v>
      </c>
      <c r="BA280" s="238" t="s">
        <v>39</v>
      </c>
      <c r="BB280" s="238" t="s">
        <v>39</v>
      </c>
      <c r="BC280" t="s">
        <v>8950</v>
      </c>
      <c r="BD280" t="s">
        <v>1167</v>
      </c>
      <c r="BE280" t="s">
        <v>8962</v>
      </c>
      <c r="BF280" t="s">
        <v>8971</v>
      </c>
      <c r="BG280" t="b">
        <v>1</v>
      </c>
      <c r="BH280">
        <v>6807000</v>
      </c>
      <c r="BI280" t="s">
        <v>9002</v>
      </c>
      <c r="BJ280">
        <v>6807000</v>
      </c>
      <c r="BK280">
        <v>6807000</v>
      </c>
      <c r="BL280">
        <v>0</v>
      </c>
      <c r="BM280" t="s">
        <v>36</v>
      </c>
      <c r="BN280" t="b">
        <v>1</v>
      </c>
      <c r="BO280" t="s">
        <v>8339</v>
      </c>
    </row>
    <row r="281" spans="1:67" x14ac:dyDescent="0.25">
      <c r="A281" s="238">
        <v>280</v>
      </c>
      <c r="B281" s="238">
        <v>3</v>
      </c>
      <c r="C281" s="238">
        <v>18</v>
      </c>
      <c r="D281" s="238">
        <v>4</v>
      </c>
      <c r="E281" s="238">
        <v>2</v>
      </c>
      <c r="F281" s="238">
        <v>15.67</v>
      </c>
      <c r="G281" s="238">
        <v>12.94</v>
      </c>
      <c r="H281" s="238"/>
      <c r="I281" s="238">
        <v>28.61</v>
      </c>
      <c r="J281" s="238">
        <v>13.64</v>
      </c>
      <c r="K281" s="238">
        <v>4.16</v>
      </c>
      <c r="L281" s="238"/>
      <c r="M281" s="238">
        <v>7.7</v>
      </c>
      <c r="N281" s="238"/>
      <c r="O281" s="238">
        <v>3.23</v>
      </c>
      <c r="R281" s="238">
        <v>3.23</v>
      </c>
      <c r="S281" s="238">
        <v>57.34</v>
      </c>
      <c r="T281" s="238">
        <v>54.11</v>
      </c>
      <c r="U281" s="238">
        <v>55.73</v>
      </c>
      <c r="V281" s="238">
        <v>122072.4</v>
      </c>
      <c r="W281">
        <v>2441.4479999999999</v>
      </c>
      <c r="X281">
        <v>124513.848</v>
      </c>
      <c r="Y281">
        <v>1000</v>
      </c>
      <c r="Z281">
        <v>125513.848</v>
      </c>
      <c r="AA281">
        <v>215</v>
      </c>
      <c r="AB281">
        <v>125728.848</v>
      </c>
      <c r="AC281">
        <v>17.5</v>
      </c>
      <c r="AD281">
        <v>125746.348</v>
      </c>
      <c r="AE281">
        <v>628.73174000000006</v>
      </c>
      <c r="AF281">
        <v>126375.07974</v>
      </c>
      <c r="AH281">
        <v>126375.07974</v>
      </c>
      <c r="AJ281">
        <v>126375.07974</v>
      </c>
      <c r="AK281">
        <v>2527.5015948</v>
      </c>
      <c r="AL281">
        <v>128902.58133479999</v>
      </c>
      <c r="AM281" s="238">
        <v>128902.58</v>
      </c>
      <c r="AN281" s="238">
        <v>7183800</v>
      </c>
      <c r="AP281" s="238"/>
      <c r="AQ281" s="238">
        <v>0</v>
      </c>
      <c r="AR281" s="238">
        <v>128903.64256235422</v>
      </c>
      <c r="AS281" s="238">
        <v>7183800</v>
      </c>
      <c r="AT281" s="238" t="s">
        <v>38</v>
      </c>
      <c r="AU281" s="238">
        <v>30000</v>
      </c>
      <c r="AV281" t="s">
        <v>8816</v>
      </c>
      <c r="AW281">
        <v>158903.64256235422</v>
      </c>
      <c r="AX281" s="238">
        <v>1671900</v>
      </c>
      <c r="AY281" s="238">
        <v>8855700</v>
      </c>
      <c r="BA281" s="238" t="s">
        <v>3</v>
      </c>
      <c r="BB281" s="238" t="s">
        <v>3</v>
      </c>
      <c r="BC281" t="s">
        <v>8951</v>
      </c>
      <c r="BD281" t="s">
        <v>1167</v>
      </c>
      <c r="BE281" t="s">
        <v>8962</v>
      </c>
      <c r="BF281" t="s">
        <v>8974</v>
      </c>
      <c r="BG281" t="b">
        <v>1</v>
      </c>
      <c r="BH281">
        <v>7183800</v>
      </c>
      <c r="BI281">
        <v>7183800</v>
      </c>
      <c r="BJ281">
        <v>0</v>
      </c>
      <c r="BK281">
        <v>0</v>
      </c>
      <c r="BL281">
        <v>0</v>
      </c>
      <c r="BM281" t="s">
        <v>38</v>
      </c>
      <c r="BN281" t="b">
        <v>1</v>
      </c>
      <c r="BO281" t="s">
        <v>8340</v>
      </c>
    </row>
    <row r="282" spans="1:67" x14ac:dyDescent="0.25">
      <c r="A282" s="238">
        <v>281</v>
      </c>
      <c r="B282" s="238">
        <v>3</v>
      </c>
      <c r="C282" s="238">
        <v>18</v>
      </c>
      <c r="D282" s="238">
        <v>5</v>
      </c>
      <c r="E282" s="238">
        <v>2</v>
      </c>
      <c r="F282" s="238">
        <v>18.350000000000001</v>
      </c>
      <c r="G282" s="238">
        <v>15.96</v>
      </c>
      <c r="H282" s="238"/>
      <c r="I282" s="238">
        <v>34.31</v>
      </c>
      <c r="J282" s="238">
        <v>11.11</v>
      </c>
      <c r="K282" s="238">
        <v>4.41</v>
      </c>
      <c r="L282" s="238"/>
      <c r="M282" s="238">
        <v>7.65</v>
      </c>
      <c r="N282" s="238"/>
      <c r="O282" s="238">
        <v>3.1</v>
      </c>
      <c r="R282" s="238">
        <v>3.1</v>
      </c>
      <c r="S282" s="238">
        <v>60.58</v>
      </c>
      <c r="T282" s="238">
        <v>57.48</v>
      </c>
      <c r="U282" s="238">
        <v>59.03</v>
      </c>
      <c r="V282" s="238">
        <v>120942.1</v>
      </c>
      <c r="X282">
        <v>120942.1</v>
      </c>
      <c r="Y282">
        <v>1000</v>
      </c>
      <c r="Z282">
        <v>121942.1</v>
      </c>
      <c r="AA282">
        <v>215</v>
      </c>
      <c r="AB282">
        <v>122157.1</v>
      </c>
      <c r="AC282">
        <v>17.5</v>
      </c>
      <c r="AD282">
        <v>122174.6</v>
      </c>
      <c r="AE282">
        <v>610.87300000000005</v>
      </c>
      <c r="AF282">
        <v>122785.473</v>
      </c>
      <c r="AH282">
        <v>122785.473</v>
      </c>
      <c r="AJ282">
        <v>122785.473</v>
      </c>
      <c r="AK282">
        <v>3683.5641900000001</v>
      </c>
      <c r="AL282">
        <v>126469.03719000002</v>
      </c>
      <c r="AM282" s="238">
        <v>126469.04</v>
      </c>
      <c r="AN282" s="238">
        <v>7465500</v>
      </c>
      <c r="AP282" s="238"/>
      <c r="AQ282" s="238">
        <v>0</v>
      </c>
      <c r="AR282" s="238">
        <v>126469.59173301712</v>
      </c>
      <c r="AS282" s="238">
        <v>7465500</v>
      </c>
      <c r="AT282" s="238" t="s">
        <v>36</v>
      </c>
      <c r="AU282" s="238"/>
      <c r="AW282">
        <v>126469.59173301712</v>
      </c>
      <c r="AX282" s="238">
        <v>0</v>
      </c>
      <c r="AY282" s="238">
        <v>7465500</v>
      </c>
      <c r="BA282" s="238" t="s">
        <v>35</v>
      </c>
      <c r="BB282" s="238" t="s">
        <v>35</v>
      </c>
      <c r="BC282" t="s">
        <v>8953</v>
      </c>
      <c r="BD282" t="s">
        <v>8954</v>
      </c>
      <c r="BE282" t="s">
        <v>8962</v>
      </c>
      <c r="BF282" t="s">
        <v>8974</v>
      </c>
      <c r="BG282" t="b">
        <v>1</v>
      </c>
      <c r="BH282">
        <v>7465500</v>
      </c>
      <c r="BI282">
        <v>7465500</v>
      </c>
      <c r="BJ282">
        <v>0</v>
      </c>
      <c r="BK282">
        <v>0</v>
      </c>
      <c r="BL282">
        <v>0</v>
      </c>
      <c r="BM282" t="s">
        <v>36</v>
      </c>
      <c r="BN282" t="b">
        <v>1</v>
      </c>
      <c r="BO282" t="s">
        <v>8341</v>
      </c>
    </row>
    <row r="283" spans="1:67" x14ac:dyDescent="0.25">
      <c r="A283" s="238">
        <v>282</v>
      </c>
      <c r="B283" s="238">
        <v>3</v>
      </c>
      <c r="C283" s="238">
        <v>18</v>
      </c>
      <c r="D283" s="238">
        <v>6</v>
      </c>
      <c r="E283" s="238">
        <v>0</v>
      </c>
      <c r="F283" s="238">
        <v>16.25</v>
      </c>
      <c r="G283" s="238"/>
      <c r="H283" s="238"/>
      <c r="I283" s="238">
        <v>16.25</v>
      </c>
      <c r="J283" s="238">
        <v>5</v>
      </c>
      <c r="K283" s="238">
        <v>3.97</v>
      </c>
      <c r="L283" s="238"/>
      <c r="M283" s="238">
        <v>4.21</v>
      </c>
      <c r="N283" s="238"/>
      <c r="O283" s="238"/>
      <c r="R283" s="238">
        <v>0</v>
      </c>
      <c r="S283" s="238">
        <v>29.43</v>
      </c>
      <c r="T283" s="238">
        <v>29.43</v>
      </c>
      <c r="U283" s="238">
        <v>29.43</v>
      </c>
      <c r="V283" s="238">
        <v>139730</v>
      </c>
      <c r="X283">
        <v>139730</v>
      </c>
      <c r="Y283">
        <v>1000</v>
      </c>
      <c r="Z283">
        <v>140730</v>
      </c>
      <c r="AA283">
        <v>215</v>
      </c>
      <c r="AB283">
        <v>140945</v>
      </c>
      <c r="AC283">
        <v>17.5</v>
      </c>
      <c r="AD283">
        <v>140962.5</v>
      </c>
      <c r="AF283">
        <v>140962.5</v>
      </c>
      <c r="AH283">
        <v>140962.5</v>
      </c>
      <c r="AJ283">
        <v>140962.5</v>
      </c>
      <c r="AL283">
        <v>140962.5</v>
      </c>
      <c r="AM283" s="238">
        <v>140962.5</v>
      </c>
      <c r="AN283" s="238">
        <v>4148600</v>
      </c>
      <c r="AP283" s="238"/>
      <c r="AQ283" s="238">
        <v>0</v>
      </c>
      <c r="AR283" s="238">
        <v>140965.00169894667</v>
      </c>
      <c r="AS283" s="238">
        <v>4148600</v>
      </c>
      <c r="AT283" s="238" t="s">
        <v>36</v>
      </c>
      <c r="AU283" s="238"/>
      <c r="AW283">
        <v>140965.00169894667</v>
      </c>
      <c r="AX283" s="238">
        <v>0</v>
      </c>
      <c r="AY283" s="238">
        <v>4148600.0000000009</v>
      </c>
      <c r="BA283" s="238" t="s">
        <v>35</v>
      </c>
      <c r="BB283" s="238" t="s">
        <v>35</v>
      </c>
      <c r="BC283" t="s">
        <v>8953</v>
      </c>
      <c r="BD283" t="s">
        <v>8954</v>
      </c>
      <c r="BE283" t="s">
        <v>8962</v>
      </c>
      <c r="BF283" t="s">
        <v>8970</v>
      </c>
      <c r="BG283" t="b">
        <v>1</v>
      </c>
      <c r="BH283">
        <v>4148600</v>
      </c>
      <c r="BI283">
        <v>4148600</v>
      </c>
      <c r="BJ283">
        <v>0</v>
      </c>
      <c r="BK283">
        <v>0</v>
      </c>
      <c r="BL283">
        <v>0</v>
      </c>
      <c r="BM283" t="s">
        <v>36</v>
      </c>
      <c r="BN283" t="b">
        <v>1</v>
      </c>
      <c r="BO283" t="s">
        <v>8342</v>
      </c>
    </row>
    <row r="284" spans="1:67" x14ac:dyDescent="0.25">
      <c r="A284" s="238">
        <v>283</v>
      </c>
      <c r="B284" s="238">
        <v>3</v>
      </c>
      <c r="C284" s="238">
        <v>19</v>
      </c>
      <c r="D284" s="238">
        <v>1</v>
      </c>
      <c r="E284" s="238">
        <v>1</v>
      </c>
      <c r="F284" s="238">
        <v>14.42</v>
      </c>
      <c r="G284" s="238"/>
      <c r="H284" s="238"/>
      <c r="I284" s="238">
        <v>14.42</v>
      </c>
      <c r="J284" s="238">
        <v>15.83</v>
      </c>
      <c r="K284" s="238">
        <v>4.09</v>
      </c>
      <c r="L284" s="238"/>
      <c r="M284" s="238">
        <v>8.0299999999999994</v>
      </c>
      <c r="N284" s="238"/>
      <c r="O284" s="238">
        <v>3.01</v>
      </c>
      <c r="R284" s="238">
        <v>3.01</v>
      </c>
      <c r="S284" s="238">
        <v>45.38</v>
      </c>
      <c r="T284" s="238">
        <v>42.37</v>
      </c>
      <c r="U284" s="238">
        <v>43.88</v>
      </c>
      <c r="V284" s="238">
        <v>125223</v>
      </c>
      <c r="W284">
        <v>2504.46</v>
      </c>
      <c r="X284">
        <v>127727.46</v>
      </c>
      <c r="Y284">
        <v>1000</v>
      </c>
      <c r="Z284">
        <v>128727.46</v>
      </c>
      <c r="AA284">
        <v>215</v>
      </c>
      <c r="AB284">
        <v>128942.46</v>
      </c>
      <c r="AC284">
        <v>17.5</v>
      </c>
      <c r="AD284">
        <v>128959.96</v>
      </c>
      <c r="AE284">
        <v>644.7998</v>
      </c>
      <c r="AF284">
        <v>129604.7598</v>
      </c>
      <c r="AH284">
        <v>129604.7598</v>
      </c>
      <c r="AJ284">
        <v>129604.7598</v>
      </c>
      <c r="AL284">
        <v>129604.7598</v>
      </c>
      <c r="AM284" s="238">
        <v>129604.76</v>
      </c>
      <c r="AN284" s="238">
        <v>5687100</v>
      </c>
      <c r="AP284" s="238">
        <v>0.02</v>
      </c>
      <c r="AQ284" s="238">
        <v>113742</v>
      </c>
      <c r="AR284" s="238">
        <v>127013.62807657248</v>
      </c>
      <c r="AS284" s="238">
        <v>5573358</v>
      </c>
      <c r="AT284" s="238" t="s">
        <v>36</v>
      </c>
      <c r="AU284" s="238"/>
      <c r="AW284">
        <v>127013.62807657248</v>
      </c>
      <c r="AX284" s="238">
        <v>0</v>
      </c>
      <c r="AY284" s="238">
        <v>5573358</v>
      </c>
      <c r="BA284" s="238" t="s">
        <v>39</v>
      </c>
      <c r="BB284" s="238" t="s">
        <v>39</v>
      </c>
      <c r="BC284" t="s">
        <v>8950</v>
      </c>
      <c r="BD284" t="s">
        <v>1167</v>
      </c>
      <c r="BE284" t="s">
        <v>8962</v>
      </c>
      <c r="BF284" t="s">
        <v>8972</v>
      </c>
      <c r="BG284" t="b">
        <v>1</v>
      </c>
      <c r="BH284">
        <v>5687100</v>
      </c>
      <c r="BI284" t="s">
        <v>9002</v>
      </c>
      <c r="BJ284">
        <v>0</v>
      </c>
      <c r="BK284">
        <v>5687100</v>
      </c>
      <c r="BL284">
        <v>0</v>
      </c>
      <c r="BM284" t="s">
        <v>36</v>
      </c>
      <c r="BN284" t="b">
        <v>1</v>
      </c>
      <c r="BO284" t="s">
        <v>8343</v>
      </c>
    </row>
    <row r="285" spans="1:67" x14ac:dyDescent="0.25">
      <c r="A285" s="238">
        <v>284</v>
      </c>
      <c r="B285" s="238">
        <v>3</v>
      </c>
      <c r="C285" s="238">
        <v>19</v>
      </c>
      <c r="D285" s="238">
        <v>2</v>
      </c>
      <c r="E285" s="238">
        <v>1</v>
      </c>
      <c r="F285" s="238">
        <v>12.76</v>
      </c>
      <c r="G285" s="238"/>
      <c r="H285" s="238"/>
      <c r="I285" s="238">
        <v>12.76</v>
      </c>
      <c r="J285" s="238">
        <v>14.81</v>
      </c>
      <c r="K285" s="238">
        <v>4.22</v>
      </c>
      <c r="L285" s="238"/>
      <c r="M285" s="238">
        <v>3.09</v>
      </c>
      <c r="N285" s="238"/>
      <c r="O285" s="238">
        <v>2.93</v>
      </c>
      <c r="R285" s="238">
        <v>2.93</v>
      </c>
      <c r="S285" s="238">
        <v>37.81</v>
      </c>
      <c r="T285" s="238">
        <v>34.880000000000003</v>
      </c>
      <c r="U285" s="238">
        <v>36.35</v>
      </c>
      <c r="V285" s="238">
        <v>128800.8</v>
      </c>
      <c r="W285">
        <v>2576.0160000000001</v>
      </c>
      <c r="X285">
        <v>131376.81599999999</v>
      </c>
      <c r="Y285">
        <v>1000</v>
      </c>
      <c r="Z285">
        <v>132376.81599999999</v>
      </c>
      <c r="AA285">
        <v>215</v>
      </c>
      <c r="AB285">
        <v>132591.81599999999</v>
      </c>
      <c r="AC285">
        <v>17.5</v>
      </c>
      <c r="AD285">
        <v>132609.31599999999</v>
      </c>
      <c r="AE285">
        <v>1989.1397400000001</v>
      </c>
      <c r="AF285">
        <v>134598.45574</v>
      </c>
      <c r="AG285">
        <v>1345.9845574000001</v>
      </c>
      <c r="AH285">
        <v>135944.4402974</v>
      </c>
      <c r="AI285">
        <v>1359.444402974</v>
      </c>
      <c r="AJ285">
        <v>137303.88470037401</v>
      </c>
      <c r="AL285">
        <v>137303.88470037401</v>
      </c>
      <c r="AM285" s="238">
        <v>137303.88</v>
      </c>
      <c r="AN285" s="238">
        <v>4991000</v>
      </c>
      <c r="AP285" s="238"/>
      <c r="AQ285" s="238">
        <v>0</v>
      </c>
      <c r="AR285" s="238">
        <v>137303.98899587346</v>
      </c>
      <c r="AS285" s="238">
        <v>4991000</v>
      </c>
      <c r="AT285" s="238" t="s">
        <v>36</v>
      </c>
      <c r="AU285" s="238"/>
      <c r="AW285">
        <v>137303.98899587346</v>
      </c>
      <c r="AX285" s="238">
        <v>0</v>
      </c>
      <c r="AY285" s="238">
        <v>4991000</v>
      </c>
      <c r="BA285" s="238" t="s">
        <v>3</v>
      </c>
      <c r="BB285" s="238" t="s">
        <v>3</v>
      </c>
      <c r="BC285" t="s">
        <v>8951</v>
      </c>
      <c r="BD285" t="s">
        <v>1167</v>
      </c>
      <c r="BE285" t="s">
        <v>8962</v>
      </c>
      <c r="BF285" t="s">
        <v>8972</v>
      </c>
      <c r="BG285" t="b">
        <v>1</v>
      </c>
      <c r="BH285">
        <v>4991000</v>
      </c>
      <c r="BI285">
        <v>4991000</v>
      </c>
      <c r="BJ285">
        <v>0</v>
      </c>
      <c r="BK285">
        <v>0</v>
      </c>
      <c r="BL285">
        <v>0</v>
      </c>
      <c r="BM285" t="s">
        <v>36</v>
      </c>
      <c r="BN285" t="b">
        <v>1</v>
      </c>
      <c r="BO285" t="s">
        <v>8344</v>
      </c>
    </row>
    <row r="286" spans="1:67" x14ac:dyDescent="0.25">
      <c r="A286" s="238">
        <v>285</v>
      </c>
      <c r="B286" s="238">
        <v>3</v>
      </c>
      <c r="C286" s="238">
        <v>19</v>
      </c>
      <c r="D286" s="238">
        <v>3</v>
      </c>
      <c r="E286" s="238">
        <v>2</v>
      </c>
      <c r="F286" s="238">
        <v>15.36</v>
      </c>
      <c r="G286" s="238">
        <v>11.95</v>
      </c>
      <c r="H286" s="238"/>
      <c r="I286" s="238">
        <v>27.31</v>
      </c>
      <c r="J286" s="238">
        <v>14.34</v>
      </c>
      <c r="K286" s="238">
        <v>4.21</v>
      </c>
      <c r="L286" s="238"/>
      <c r="M286" s="238">
        <v>6.6</v>
      </c>
      <c r="N286" s="238"/>
      <c r="O286" s="238">
        <v>3.23</v>
      </c>
      <c r="R286" s="238">
        <v>3.23</v>
      </c>
      <c r="S286" s="238">
        <v>55.69</v>
      </c>
      <c r="T286" s="238">
        <v>52.46</v>
      </c>
      <c r="U286" s="238">
        <v>54.08</v>
      </c>
      <c r="V286" s="238">
        <v>122072.4</v>
      </c>
      <c r="W286">
        <v>2563.5203999999999</v>
      </c>
      <c r="X286">
        <v>124635.9204</v>
      </c>
      <c r="Y286">
        <v>1000</v>
      </c>
      <c r="Z286">
        <v>125635.9204</v>
      </c>
      <c r="AA286">
        <v>215</v>
      </c>
      <c r="AB286">
        <v>125850.9204</v>
      </c>
      <c r="AC286">
        <v>17.5</v>
      </c>
      <c r="AD286">
        <v>125868.4204</v>
      </c>
      <c r="AE286">
        <v>629.34210199999995</v>
      </c>
      <c r="AF286">
        <v>126497.76250199998</v>
      </c>
      <c r="AH286">
        <v>126497.76250199998</v>
      </c>
      <c r="AJ286">
        <v>126497.76250199998</v>
      </c>
      <c r="AL286">
        <v>126497.76250199998</v>
      </c>
      <c r="AM286" s="238">
        <v>126497.76</v>
      </c>
      <c r="AN286" s="238">
        <v>6841000</v>
      </c>
      <c r="AP286" s="238">
        <v>0.02</v>
      </c>
      <c r="AQ286" s="238">
        <v>136820</v>
      </c>
      <c r="AR286" s="238">
        <v>123967.82544378701</v>
      </c>
      <c r="AS286" s="238">
        <v>6704180</v>
      </c>
      <c r="AT286" s="238" t="s">
        <v>8787</v>
      </c>
      <c r="AU286" s="238">
        <v>10000</v>
      </c>
      <c r="AW286">
        <v>133967.82544378698</v>
      </c>
      <c r="AX286" s="238">
        <v>540799.99999999907</v>
      </c>
      <c r="AY286" s="238">
        <v>7244979.9999999981</v>
      </c>
      <c r="AZ286" t="s">
        <v>3540</v>
      </c>
      <c r="BA286" s="238" t="s">
        <v>39</v>
      </c>
      <c r="BB286" s="238" t="s">
        <v>39</v>
      </c>
      <c r="BC286" t="s">
        <v>8950</v>
      </c>
      <c r="BD286" t="s">
        <v>1167</v>
      </c>
      <c r="BE286" t="s">
        <v>8962</v>
      </c>
      <c r="BF286" t="s">
        <v>8971</v>
      </c>
      <c r="BG286" t="b">
        <v>1</v>
      </c>
      <c r="BH286">
        <v>6841000</v>
      </c>
      <c r="BI286" t="s">
        <v>9002</v>
      </c>
      <c r="BJ286">
        <v>0</v>
      </c>
      <c r="BK286">
        <v>6841000</v>
      </c>
      <c r="BL286">
        <v>0</v>
      </c>
      <c r="BM286" t="s">
        <v>8787</v>
      </c>
      <c r="BN286" t="b">
        <v>1</v>
      </c>
      <c r="BO286" t="s">
        <v>8345</v>
      </c>
    </row>
    <row r="287" spans="1:67" x14ac:dyDescent="0.25">
      <c r="A287" s="238">
        <v>286</v>
      </c>
      <c r="B287" s="238">
        <v>3</v>
      </c>
      <c r="C287" s="238">
        <v>19</v>
      </c>
      <c r="D287" s="238">
        <v>4</v>
      </c>
      <c r="E287" s="238">
        <v>2</v>
      </c>
      <c r="F287" s="238">
        <v>15.67</v>
      </c>
      <c r="G287" s="238">
        <v>12.94</v>
      </c>
      <c r="H287" s="238"/>
      <c r="I287" s="238">
        <v>28.61</v>
      </c>
      <c r="J287" s="238">
        <v>13.64</v>
      </c>
      <c r="K287" s="238">
        <v>4.16</v>
      </c>
      <c r="L287" s="238"/>
      <c r="M287" s="238">
        <v>7.7</v>
      </c>
      <c r="N287" s="238"/>
      <c r="O287" s="238">
        <v>3.23</v>
      </c>
      <c r="R287" s="238">
        <v>3.23</v>
      </c>
      <c r="S287" s="238">
        <v>57.34</v>
      </c>
      <c r="T287" s="238">
        <v>54.11</v>
      </c>
      <c r="U287" s="238">
        <v>55.73</v>
      </c>
      <c r="V287" s="238">
        <v>122072.4</v>
      </c>
      <c r="W287">
        <v>2441.4479999999999</v>
      </c>
      <c r="X287">
        <v>124513.848</v>
      </c>
      <c r="Y287">
        <v>1000</v>
      </c>
      <c r="Z287">
        <v>125513.848</v>
      </c>
      <c r="AA287">
        <v>215</v>
      </c>
      <c r="AB287">
        <v>125728.848</v>
      </c>
      <c r="AC287">
        <v>17.5</v>
      </c>
      <c r="AD287">
        <v>125746.348</v>
      </c>
      <c r="AE287">
        <v>628.73174000000006</v>
      </c>
      <c r="AF287">
        <v>126375.07974</v>
      </c>
      <c r="AH287">
        <v>126375.07974</v>
      </c>
      <c r="AJ287">
        <v>126375.07974</v>
      </c>
      <c r="AK287">
        <v>2527.5015948</v>
      </c>
      <c r="AL287">
        <v>128902.58133479999</v>
      </c>
      <c r="AM287" s="238">
        <v>128902.58</v>
      </c>
      <c r="AN287" s="238">
        <v>7183800</v>
      </c>
      <c r="AP287" s="238"/>
      <c r="AQ287" s="238">
        <v>0</v>
      </c>
      <c r="AR287" s="238">
        <v>128903.64256235422</v>
      </c>
      <c r="AS287" s="238">
        <v>7183800</v>
      </c>
      <c r="AT287" s="238" t="s">
        <v>36</v>
      </c>
      <c r="AU287" s="238"/>
      <c r="AW287">
        <v>128903.64256235422</v>
      </c>
      <c r="AX287" s="238">
        <v>0</v>
      </c>
      <c r="AY287" s="238">
        <v>7183800</v>
      </c>
      <c r="BA287" s="238" t="s">
        <v>35</v>
      </c>
      <c r="BB287" s="238" t="s">
        <v>35</v>
      </c>
      <c r="BC287" t="s">
        <v>8953</v>
      </c>
      <c r="BD287" t="s">
        <v>8954</v>
      </c>
      <c r="BE287" t="s">
        <v>8962</v>
      </c>
      <c r="BF287" t="s">
        <v>8974</v>
      </c>
      <c r="BG287" t="b">
        <v>1</v>
      </c>
      <c r="BH287">
        <v>7183800</v>
      </c>
      <c r="BI287">
        <v>7183800</v>
      </c>
      <c r="BJ287">
        <v>0</v>
      </c>
      <c r="BK287">
        <v>0</v>
      </c>
      <c r="BL287">
        <v>0</v>
      </c>
      <c r="BM287" t="s">
        <v>36</v>
      </c>
      <c r="BN287" t="b">
        <v>1</v>
      </c>
      <c r="BO287" t="s">
        <v>8346</v>
      </c>
    </row>
    <row r="288" spans="1:67" x14ac:dyDescent="0.25">
      <c r="A288" s="238">
        <v>287</v>
      </c>
      <c r="B288" s="238">
        <v>3</v>
      </c>
      <c r="C288" s="238">
        <v>19</v>
      </c>
      <c r="D288" s="238">
        <v>5</v>
      </c>
      <c r="E288" s="238">
        <v>2</v>
      </c>
      <c r="F288" s="238">
        <v>18.350000000000001</v>
      </c>
      <c r="G288" s="238">
        <v>15.96</v>
      </c>
      <c r="H288" s="238"/>
      <c r="I288" s="238">
        <v>34.31</v>
      </c>
      <c r="J288" s="238">
        <v>11.11</v>
      </c>
      <c r="K288" s="238">
        <v>4.41</v>
      </c>
      <c r="L288" s="238"/>
      <c r="M288" s="238">
        <v>7.65</v>
      </c>
      <c r="N288" s="238"/>
      <c r="O288" s="238">
        <v>3.1</v>
      </c>
      <c r="R288" s="238">
        <v>3.1</v>
      </c>
      <c r="S288" s="238">
        <v>60.58</v>
      </c>
      <c r="T288" s="238">
        <v>57.48</v>
      </c>
      <c r="U288" s="238">
        <v>59.03</v>
      </c>
      <c r="V288" s="238">
        <v>120942.1</v>
      </c>
      <c r="X288">
        <v>120942.1</v>
      </c>
      <c r="Y288">
        <v>1000</v>
      </c>
      <c r="Z288">
        <v>121942.1</v>
      </c>
      <c r="AA288">
        <v>215</v>
      </c>
      <c r="AB288">
        <v>122157.1</v>
      </c>
      <c r="AC288">
        <v>17.5</v>
      </c>
      <c r="AD288">
        <v>122174.6</v>
      </c>
      <c r="AE288">
        <v>610.87300000000005</v>
      </c>
      <c r="AF288">
        <v>122785.473</v>
      </c>
      <c r="AH288">
        <v>122785.473</v>
      </c>
      <c r="AJ288">
        <v>122785.473</v>
      </c>
      <c r="AK288">
        <v>3683.5641900000001</v>
      </c>
      <c r="AL288">
        <v>126469.03719000002</v>
      </c>
      <c r="AM288" s="238">
        <v>126469.04</v>
      </c>
      <c r="AN288" s="238">
        <v>7465500</v>
      </c>
      <c r="AP288" s="238"/>
      <c r="AQ288" s="238">
        <v>0</v>
      </c>
      <c r="AR288" s="238">
        <v>126469.59173301712</v>
      </c>
      <c r="AS288" s="238">
        <v>7465500</v>
      </c>
      <c r="AT288" s="238" t="s">
        <v>36</v>
      </c>
      <c r="AU288" s="238"/>
      <c r="AW288">
        <v>126469.59173301712</v>
      </c>
      <c r="AX288" s="238">
        <v>0</v>
      </c>
      <c r="AY288" s="238">
        <v>7465500</v>
      </c>
      <c r="BA288" s="238" t="s">
        <v>3</v>
      </c>
      <c r="BB288" s="238" t="s">
        <v>3</v>
      </c>
      <c r="BC288" t="s">
        <v>8951</v>
      </c>
      <c r="BD288" t="s">
        <v>1167</v>
      </c>
      <c r="BE288" t="s">
        <v>8962</v>
      </c>
      <c r="BF288" t="s">
        <v>8974</v>
      </c>
      <c r="BG288" t="b">
        <v>1</v>
      </c>
      <c r="BH288">
        <v>7465500</v>
      </c>
      <c r="BI288">
        <v>7465500</v>
      </c>
      <c r="BJ288">
        <v>0</v>
      </c>
      <c r="BK288">
        <v>0</v>
      </c>
      <c r="BL288">
        <v>0</v>
      </c>
      <c r="BM288" t="s">
        <v>36</v>
      </c>
      <c r="BN288" t="b">
        <v>1</v>
      </c>
      <c r="BO288" t="s">
        <v>8347</v>
      </c>
    </row>
    <row r="289" spans="1:67" x14ac:dyDescent="0.25">
      <c r="A289" s="238">
        <v>288</v>
      </c>
      <c r="B289" s="238">
        <v>3</v>
      </c>
      <c r="C289" s="238">
        <v>19</v>
      </c>
      <c r="D289" s="238">
        <v>6</v>
      </c>
      <c r="E289" s="238">
        <v>0</v>
      </c>
      <c r="F289" s="238">
        <v>16.25</v>
      </c>
      <c r="G289" s="238"/>
      <c r="H289" s="238"/>
      <c r="I289" s="238">
        <v>16.25</v>
      </c>
      <c r="J289" s="238">
        <v>5</v>
      </c>
      <c r="K289" s="238">
        <v>3.97</v>
      </c>
      <c r="L289" s="238"/>
      <c r="M289" s="238">
        <v>4.21</v>
      </c>
      <c r="N289" s="238"/>
      <c r="O289" s="238"/>
      <c r="R289" s="238">
        <v>0</v>
      </c>
      <c r="S289" s="238">
        <v>29.43</v>
      </c>
      <c r="T289" s="238">
        <v>29.43</v>
      </c>
      <c r="U289" s="238">
        <v>29.43</v>
      </c>
      <c r="V289" s="238">
        <v>141127.29999999999</v>
      </c>
      <c r="X289">
        <v>141127.29999999999</v>
      </c>
      <c r="Y289">
        <v>1000</v>
      </c>
      <c r="Z289">
        <v>142127.29999999999</v>
      </c>
      <c r="AA289">
        <v>215</v>
      </c>
      <c r="AB289">
        <v>142342.29999999999</v>
      </c>
      <c r="AC289">
        <v>17.5</v>
      </c>
      <c r="AD289">
        <v>142359.79999999999</v>
      </c>
      <c r="AF289">
        <v>142359.79999999999</v>
      </c>
      <c r="AH289">
        <v>142359.79999999999</v>
      </c>
      <c r="AJ289">
        <v>142359.79999999999</v>
      </c>
      <c r="AL289">
        <v>142359.79999999999</v>
      </c>
      <c r="AM289" s="238">
        <v>142359.79999999999</v>
      </c>
      <c r="AN289" s="238">
        <v>4189700</v>
      </c>
      <c r="AP289" s="238"/>
      <c r="AQ289" s="238">
        <v>0</v>
      </c>
      <c r="AR289" s="238">
        <v>142361.53584777439</v>
      </c>
      <c r="AS289" s="238">
        <v>4189700</v>
      </c>
      <c r="AT289" s="238" t="s">
        <v>36</v>
      </c>
      <c r="AU289" s="238"/>
      <c r="AW289">
        <v>142361.53584777439</v>
      </c>
      <c r="AX289" s="238">
        <v>0</v>
      </c>
      <c r="AY289" s="238">
        <v>4189700</v>
      </c>
      <c r="BA289" s="238" t="s">
        <v>35</v>
      </c>
      <c r="BB289" s="238" t="s">
        <v>35</v>
      </c>
      <c r="BC289" t="s">
        <v>8953</v>
      </c>
      <c r="BD289" t="s">
        <v>8954</v>
      </c>
      <c r="BE289" t="s">
        <v>8962</v>
      </c>
      <c r="BF289" t="s">
        <v>8970</v>
      </c>
      <c r="BG289" t="b">
        <v>1</v>
      </c>
      <c r="BH289">
        <v>4189700</v>
      </c>
      <c r="BI289">
        <v>4189700</v>
      </c>
      <c r="BJ289">
        <v>0</v>
      </c>
      <c r="BK289">
        <v>0</v>
      </c>
      <c r="BL289">
        <v>0</v>
      </c>
      <c r="BM289" t="s">
        <v>36</v>
      </c>
      <c r="BN289" t="b">
        <v>1</v>
      </c>
      <c r="BO289" t="s">
        <v>8348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4F56-26DC-4432-B142-525880AB5C3F}">
  <sheetPr codeName="Лист18">
    <tabColor rgb="FF00B0F0"/>
  </sheetPr>
  <dimension ref="A1:BE102"/>
  <sheetViews>
    <sheetView workbookViewId="0"/>
  </sheetViews>
  <sheetFormatPr defaultRowHeight="15" x14ac:dyDescent="0.25"/>
  <cols>
    <col min="1" max="1" width="5.5703125" bestFit="1" customWidth="1"/>
    <col min="2" max="2" width="9.85546875" bestFit="1" customWidth="1"/>
    <col min="3" max="3" width="11.42578125" bestFit="1" customWidth="1"/>
    <col min="4" max="4" width="7.85546875" bestFit="1" customWidth="1"/>
    <col min="5" max="5" width="14.140625" bestFit="1" customWidth="1"/>
    <col min="6" max="6" width="9" bestFit="1" customWidth="1"/>
    <col min="7" max="9" width="12.5703125" hidden="1" customWidth="1"/>
    <col min="10" max="10" width="29.28515625" hidden="1" customWidth="1"/>
    <col min="11" max="11" width="8.5703125" hidden="1" customWidth="1"/>
    <col min="12" max="12" width="9.7109375" hidden="1" customWidth="1"/>
    <col min="13" max="13" width="6.42578125" hidden="1" customWidth="1"/>
    <col min="14" max="14" width="11.42578125" hidden="1" customWidth="1"/>
    <col min="15" max="15" width="15.42578125" hidden="1" customWidth="1"/>
    <col min="16" max="17" width="12.140625" hidden="1" customWidth="1"/>
    <col min="18" max="18" width="10" hidden="1" customWidth="1"/>
    <col min="19" max="19" width="30.42578125" hidden="1" customWidth="1"/>
    <col min="20" max="20" width="41" hidden="1" customWidth="1"/>
    <col min="21" max="21" width="32" bestFit="1" customWidth="1"/>
    <col min="22" max="22" width="13.28515625" hidden="1" customWidth="1"/>
    <col min="23" max="23" width="12.42578125" hidden="1" customWidth="1"/>
    <col min="24" max="24" width="17.5703125" hidden="1" customWidth="1"/>
    <col min="25" max="25" width="14" hidden="1" customWidth="1"/>
    <col min="26" max="26" width="23" hidden="1" customWidth="1"/>
    <col min="27" max="27" width="24.85546875" hidden="1" customWidth="1"/>
    <col min="28" max="28" width="11.85546875" hidden="1" customWidth="1"/>
    <col min="29" max="29" width="14" bestFit="1" customWidth="1"/>
    <col min="30" max="30" width="33.85546875" hidden="1" customWidth="1"/>
    <col min="31" max="31" width="24.85546875" bestFit="1" customWidth="1"/>
    <col min="32" max="32" width="11.140625" hidden="1" customWidth="1"/>
    <col min="33" max="33" width="21.42578125" hidden="1" customWidth="1"/>
    <col min="34" max="34" width="22.85546875" hidden="1" customWidth="1"/>
    <col min="35" max="35" width="17.85546875" hidden="1" customWidth="1"/>
    <col min="36" max="36" width="33.5703125" hidden="1" customWidth="1"/>
    <col min="37" max="37" width="10" hidden="1" customWidth="1"/>
    <col min="38" max="38" width="23.42578125" hidden="1" customWidth="1"/>
    <col min="39" max="39" width="17.85546875" bestFit="1" customWidth="1"/>
    <col min="40" max="40" width="33.5703125" bestFit="1" customWidth="1"/>
    <col min="41" max="41" width="23.42578125" bestFit="1" customWidth="1"/>
    <col min="42" max="43" width="23.140625" bestFit="1" customWidth="1"/>
    <col min="44" max="44" width="14.42578125" bestFit="1" customWidth="1"/>
    <col min="45" max="45" width="16.85546875" bestFit="1" customWidth="1"/>
    <col min="46" max="46" width="40.7109375" bestFit="1" customWidth="1"/>
    <col min="47" max="47" width="15.7109375" bestFit="1" customWidth="1"/>
    <col min="48" max="48" width="19" bestFit="1" customWidth="1"/>
    <col min="49" max="49" width="15.85546875" bestFit="1" customWidth="1"/>
    <col min="50" max="50" width="18" bestFit="1" customWidth="1"/>
    <col min="51" max="51" width="17.7109375" bestFit="1" customWidth="1"/>
    <col min="52" max="52" width="9" bestFit="1" customWidth="1"/>
    <col min="53" max="54" width="8" bestFit="1" customWidth="1"/>
    <col min="55" max="55" width="20" bestFit="1" customWidth="1"/>
    <col min="56" max="56" width="16.7109375" bestFit="1" customWidth="1"/>
    <col min="57" max="57" width="18.28515625" customWidth="1"/>
    <col min="58" max="58" width="17.7109375" bestFit="1" customWidth="1"/>
    <col min="59" max="59" width="16.7109375" bestFit="1" customWidth="1"/>
    <col min="60" max="60" width="18.28515625" bestFit="1" customWidth="1"/>
    <col min="61" max="61" width="16.7109375" bestFit="1" customWidth="1"/>
    <col min="62" max="62" width="18.28515625" customWidth="1"/>
    <col min="63" max="63" width="18.28515625" bestFit="1" customWidth="1"/>
    <col min="64" max="64" width="15.42578125" bestFit="1" customWidth="1"/>
    <col min="65" max="67" width="12" bestFit="1" customWidth="1"/>
    <col min="68" max="68" width="19" bestFit="1" customWidth="1"/>
  </cols>
  <sheetData>
    <row r="1" spans="1:57" x14ac:dyDescent="0.25">
      <c r="A1" t="s">
        <v>10</v>
      </c>
      <c r="B1" t="s">
        <v>40</v>
      </c>
      <c r="C1" t="s">
        <v>7404</v>
      </c>
      <c r="D1" t="s">
        <v>41</v>
      </c>
      <c r="E1" t="s">
        <v>3149</v>
      </c>
      <c r="F1" t="s">
        <v>32</v>
      </c>
      <c r="G1" t="s">
        <v>3372</v>
      </c>
      <c r="H1" t="s">
        <v>3373</v>
      </c>
      <c r="I1" t="s">
        <v>3374</v>
      </c>
      <c r="J1" t="s">
        <v>4620</v>
      </c>
      <c r="K1" t="s">
        <v>3375</v>
      </c>
      <c r="L1" t="s">
        <v>3376</v>
      </c>
      <c r="M1" t="s">
        <v>3377</v>
      </c>
      <c r="N1" t="s">
        <v>3379</v>
      </c>
      <c r="O1" t="s">
        <v>3378</v>
      </c>
      <c r="P1" t="s">
        <v>3380</v>
      </c>
      <c r="Q1" t="s">
        <v>3381</v>
      </c>
      <c r="R1" t="s">
        <v>85</v>
      </c>
      <c r="S1" t="s">
        <v>4621</v>
      </c>
      <c r="T1" t="s">
        <v>4622</v>
      </c>
      <c r="U1" t="s">
        <v>113</v>
      </c>
      <c r="V1" t="s">
        <v>3386</v>
      </c>
      <c r="W1" t="s">
        <v>8054</v>
      </c>
      <c r="X1" t="s">
        <v>8055</v>
      </c>
      <c r="Y1" t="s">
        <v>9016</v>
      </c>
      <c r="Z1" t="s">
        <v>9017</v>
      </c>
      <c r="AA1" t="s">
        <v>9022</v>
      </c>
      <c r="AB1" t="s">
        <v>9023</v>
      </c>
      <c r="AC1" t="s">
        <v>3383</v>
      </c>
      <c r="AD1" t="s">
        <v>3387</v>
      </c>
      <c r="AE1" t="s">
        <v>114</v>
      </c>
      <c r="AF1" t="s">
        <v>86</v>
      </c>
      <c r="AG1" t="s">
        <v>115</v>
      </c>
      <c r="AH1" t="s">
        <v>87</v>
      </c>
      <c r="AI1" t="s">
        <v>88</v>
      </c>
      <c r="AJ1" t="s">
        <v>9</v>
      </c>
      <c r="AK1" t="s">
        <v>46</v>
      </c>
      <c r="AL1" t="s">
        <v>3384</v>
      </c>
      <c r="AM1" t="s">
        <v>89</v>
      </c>
      <c r="AN1" t="s">
        <v>48</v>
      </c>
      <c r="AO1" t="s">
        <v>56</v>
      </c>
      <c r="AP1" t="s">
        <v>8</v>
      </c>
      <c r="AQ1" t="s">
        <v>7</v>
      </c>
      <c r="AR1" t="s">
        <v>8945</v>
      </c>
      <c r="AS1" t="s">
        <v>8946</v>
      </c>
      <c r="AT1" t="s">
        <v>8943</v>
      </c>
      <c r="AU1" t="s">
        <v>8969</v>
      </c>
      <c r="AV1" t="s">
        <v>3385</v>
      </c>
      <c r="AW1" t="s">
        <v>6977</v>
      </c>
      <c r="AX1" t="s">
        <v>6978</v>
      </c>
      <c r="AY1" t="s">
        <v>6979</v>
      </c>
      <c r="AZ1" t="s">
        <v>8999</v>
      </c>
      <c r="BA1" t="s">
        <v>9000</v>
      </c>
      <c r="BB1" t="s">
        <v>9001</v>
      </c>
      <c r="BC1" t="s">
        <v>7602</v>
      </c>
      <c r="BD1" t="s">
        <v>7137</v>
      </c>
      <c r="BE1" t="s">
        <v>5245</v>
      </c>
    </row>
    <row r="2" spans="1:57" x14ac:dyDescent="0.25">
      <c r="A2" s="238">
        <v>1</v>
      </c>
      <c r="B2" s="238">
        <v>2</v>
      </c>
      <c r="C2">
        <v>1</v>
      </c>
      <c r="D2" s="238">
        <v>2</v>
      </c>
      <c r="E2" s="238">
        <v>1</v>
      </c>
      <c r="F2" s="238">
        <v>2</v>
      </c>
      <c r="G2" s="238">
        <v>17.61</v>
      </c>
      <c r="H2" s="238">
        <v>15.04</v>
      </c>
      <c r="I2" s="238"/>
      <c r="J2" s="238">
        <v>32.65</v>
      </c>
      <c r="K2" s="238">
        <v>12.85</v>
      </c>
      <c r="L2" s="238">
        <v>4.34</v>
      </c>
      <c r="M2" s="238">
        <v>3.09</v>
      </c>
      <c r="N2" s="238">
        <v>6.28</v>
      </c>
      <c r="O2" s="238"/>
      <c r="P2" s="238">
        <v>3.29</v>
      </c>
      <c r="Q2" s="238">
        <v>3.07</v>
      </c>
      <c r="R2" s="238">
        <v>6.3599999999999994</v>
      </c>
      <c r="S2" s="238">
        <v>65.569999999999993</v>
      </c>
      <c r="T2" s="238">
        <v>59.21</v>
      </c>
      <c r="U2" s="238">
        <v>62.39</v>
      </c>
      <c r="V2" s="238">
        <v>122580</v>
      </c>
      <c r="W2">
        <v>7420</v>
      </c>
      <c r="X2">
        <v>130000</v>
      </c>
      <c r="Y2">
        <v>0</v>
      </c>
      <c r="Z2">
        <v>130000</v>
      </c>
      <c r="AA2">
        <v>5000</v>
      </c>
      <c r="AB2">
        <v>125000</v>
      </c>
      <c r="AC2" s="238">
        <v>125000</v>
      </c>
      <c r="AD2" s="238">
        <v>7798750</v>
      </c>
      <c r="AF2" s="238"/>
      <c r="AG2" s="238">
        <v>0</v>
      </c>
      <c r="AH2" s="238">
        <v>125000</v>
      </c>
      <c r="AI2" s="238">
        <v>7798750</v>
      </c>
      <c r="AJ2" s="238" t="s">
        <v>36</v>
      </c>
      <c r="AK2" s="238"/>
      <c r="AL2" s="238">
        <v>125000</v>
      </c>
      <c r="AM2" s="238">
        <v>0</v>
      </c>
      <c r="AN2" s="238">
        <v>7798750</v>
      </c>
      <c r="AP2" s="238" t="s">
        <v>35</v>
      </c>
      <c r="AQ2" s="238" t="s">
        <v>35</v>
      </c>
      <c r="AR2" t="s">
        <v>8953</v>
      </c>
      <c r="AS2" t="s">
        <v>8954</v>
      </c>
      <c r="AT2" t="s">
        <v>8948</v>
      </c>
      <c r="AU2" t="s">
        <v>8974</v>
      </c>
      <c r="AV2" s="238" t="b">
        <v>1</v>
      </c>
      <c r="AW2" t="s">
        <v>36</v>
      </c>
      <c r="AX2" t="b">
        <v>1</v>
      </c>
      <c r="AY2">
        <v>7798750</v>
      </c>
      <c r="AZ2">
        <v>7798750</v>
      </c>
      <c r="BA2">
        <v>0</v>
      </c>
      <c r="BB2">
        <v>0</v>
      </c>
      <c r="BC2">
        <v>0</v>
      </c>
      <c r="BD2" t="b">
        <v>1</v>
      </c>
      <c r="BE2" t="s">
        <v>7405</v>
      </c>
    </row>
    <row r="3" spans="1:57" x14ac:dyDescent="0.25">
      <c r="A3" s="238">
        <v>2</v>
      </c>
      <c r="B3" s="238">
        <v>2</v>
      </c>
      <c r="C3">
        <v>1</v>
      </c>
      <c r="D3" s="238">
        <v>2</v>
      </c>
      <c r="E3" s="238">
        <v>2</v>
      </c>
      <c r="F3" s="238">
        <v>1</v>
      </c>
      <c r="G3" s="238">
        <v>14.34</v>
      </c>
      <c r="H3" s="238"/>
      <c r="I3" s="238"/>
      <c r="J3" s="238">
        <v>14.34</v>
      </c>
      <c r="K3" s="238">
        <v>14.05</v>
      </c>
      <c r="L3" s="238">
        <v>4.29</v>
      </c>
      <c r="M3" s="238"/>
      <c r="N3" s="238">
        <v>3.41</v>
      </c>
      <c r="O3" s="238">
        <v>2.37</v>
      </c>
      <c r="P3" s="238"/>
      <c r="Q3" s="238"/>
      <c r="R3" s="238">
        <v>0</v>
      </c>
      <c r="S3" s="238">
        <v>38.46</v>
      </c>
      <c r="T3" s="238">
        <v>38.46</v>
      </c>
      <c r="U3" s="238">
        <v>38.46</v>
      </c>
      <c r="V3" s="238">
        <v>135200</v>
      </c>
      <c r="X3">
        <v>135200</v>
      </c>
      <c r="Y3">
        <v>0.20800832033273764</v>
      </c>
      <c r="Z3">
        <v>135200.20800832033</v>
      </c>
      <c r="AB3">
        <v>135200.20800832033</v>
      </c>
      <c r="AC3" s="238">
        <v>135200.21</v>
      </c>
      <c r="AD3" s="238">
        <v>5199800</v>
      </c>
      <c r="AF3" s="238"/>
      <c r="AG3" s="238">
        <v>0</v>
      </c>
      <c r="AH3" s="238">
        <v>135200.20800832033</v>
      </c>
      <c r="AI3" s="238">
        <v>5199800</v>
      </c>
      <c r="AJ3" s="238" t="s">
        <v>36</v>
      </c>
      <c r="AK3" s="238"/>
      <c r="AL3" s="238">
        <v>135200.20800832033</v>
      </c>
      <c r="AM3" s="238">
        <v>0</v>
      </c>
      <c r="AN3" s="238">
        <v>5199800</v>
      </c>
      <c r="AP3" s="238" t="s">
        <v>3</v>
      </c>
      <c r="AQ3" s="238" t="s">
        <v>3</v>
      </c>
      <c r="AR3" t="s">
        <v>8951</v>
      </c>
      <c r="AS3" t="s">
        <v>1167</v>
      </c>
      <c r="AT3" t="s">
        <v>8948</v>
      </c>
      <c r="AU3" t="s">
        <v>8973</v>
      </c>
      <c r="AV3" s="238" t="b">
        <v>1</v>
      </c>
      <c r="AW3" t="s">
        <v>36</v>
      </c>
      <c r="AX3" t="b">
        <v>1</v>
      </c>
      <c r="AY3">
        <v>5199800</v>
      </c>
      <c r="AZ3">
        <v>5199800</v>
      </c>
      <c r="BA3">
        <v>0</v>
      </c>
      <c r="BB3">
        <v>0</v>
      </c>
      <c r="BC3">
        <v>0</v>
      </c>
      <c r="BD3" t="b">
        <v>1</v>
      </c>
      <c r="BE3" t="s">
        <v>7406</v>
      </c>
    </row>
    <row r="4" spans="1:57" x14ac:dyDescent="0.25">
      <c r="A4" s="238">
        <v>3</v>
      </c>
      <c r="B4" s="238">
        <v>2</v>
      </c>
      <c r="C4">
        <v>1</v>
      </c>
      <c r="D4" s="238">
        <v>2</v>
      </c>
      <c r="E4" s="238">
        <v>3</v>
      </c>
      <c r="F4" s="238">
        <v>2</v>
      </c>
      <c r="G4" s="238">
        <v>14.94</v>
      </c>
      <c r="H4" s="238">
        <v>14.87</v>
      </c>
      <c r="I4" s="238"/>
      <c r="J4" s="238">
        <v>29.81</v>
      </c>
      <c r="K4" s="238">
        <v>13.05</v>
      </c>
      <c r="L4" s="238">
        <v>4.24</v>
      </c>
      <c r="M4" s="238"/>
      <c r="N4" s="238">
        <v>7.75</v>
      </c>
      <c r="O4" s="238"/>
      <c r="P4" s="238"/>
      <c r="Q4" s="238"/>
      <c r="R4" s="238">
        <v>0</v>
      </c>
      <c r="S4" s="238">
        <v>54.85</v>
      </c>
      <c r="T4" s="238">
        <v>54.85</v>
      </c>
      <c r="U4" s="238">
        <v>54.85</v>
      </c>
      <c r="V4" s="238">
        <v>110700</v>
      </c>
      <c r="W4">
        <v>19300</v>
      </c>
      <c r="X4">
        <v>130000</v>
      </c>
      <c r="Y4">
        <v>0</v>
      </c>
      <c r="Z4">
        <v>130000</v>
      </c>
      <c r="AA4">
        <v>5000</v>
      </c>
      <c r="AB4">
        <v>125000</v>
      </c>
      <c r="AC4" s="238">
        <v>125000</v>
      </c>
      <c r="AD4" s="238">
        <v>6856250</v>
      </c>
      <c r="AF4" s="238"/>
      <c r="AG4" s="238">
        <v>0</v>
      </c>
      <c r="AH4" s="238">
        <v>125000</v>
      </c>
      <c r="AI4" s="238">
        <v>6856250</v>
      </c>
      <c r="AJ4" s="238" t="s">
        <v>36</v>
      </c>
      <c r="AK4" s="238"/>
      <c r="AL4" s="238">
        <v>125000</v>
      </c>
      <c r="AM4" s="238">
        <v>0</v>
      </c>
      <c r="AN4" s="238">
        <v>6856250</v>
      </c>
      <c r="AP4" s="238" t="s">
        <v>35</v>
      </c>
      <c r="AQ4" s="238" t="s">
        <v>35</v>
      </c>
      <c r="AR4" t="s">
        <v>8953</v>
      </c>
      <c r="AS4" t="s">
        <v>8954</v>
      </c>
      <c r="AT4" t="s">
        <v>8948</v>
      </c>
      <c r="AU4" t="s">
        <v>8974</v>
      </c>
      <c r="AV4" s="238" t="b">
        <v>1</v>
      </c>
      <c r="AW4" t="s">
        <v>36</v>
      </c>
      <c r="AX4" t="b">
        <v>1</v>
      </c>
      <c r="AY4">
        <v>6856250</v>
      </c>
      <c r="AZ4">
        <v>6856250</v>
      </c>
      <c r="BA4">
        <v>0</v>
      </c>
      <c r="BB4">
        <v>0</v>
      </c>
      <c r="BC4">
        <v>0</v>
      </c>
      <c r="BD4" t="b">
        <v>1</v>
      </c>
      <c r="BE4" t="s">
        <v>7407</v>
      </c>
    </row>
    <row r="5" spans="1:57" x14ac:dyDescent="0.25">
      <c r="A5" s="238">
        <v>4</v>
      </c>
      <c r="B5" s="238">
        <v>2</v>
      </c>
      <c r="C5">
        <v>1</v>
      </c>
      <c r="D5" s="238">
        <v>2</v>
      </c>
      <c r="E5" s="238">
        <v>4</v>
      </c>
      <c r="F5" s="238">
        <v>3</v>
      </c>
      <c r="G5" s="238">
        <v>21.72</v>
      </c>
      <c r="H5" s="238">
        <v>11.92</v>
      </c>
      <c r="I5" s="238">
        <v>13.55</v>
      </c>
      <c r="J5" s="238">
        <v>47.19</v>
      </c>
      <c r="K5" s="238">
        <v>16.489999999999998</v>
      </c>
      <c r="L5" s="238">
        <v>3.11</v>
      </c>
      <c r="M5" s="238">
        <v>3.38</v>
      </c>
      <c r="N5" s="238">
        <v>9.27</v>
      </c>
      <c r="O5" s="238">
        <v>3.22</v>
      </c>
      <c r="P5" s="238">
        <v>3.07</v>
      </c>
      <c r="Q5" s="238"/>
      <c r="R5" s="238">
        <v>3.07</v>
      </c>
      <c r="S5" s="238">
        <v>85.73</v>
      </c>
      <c r="T5" s="238">
        <v>82.66</v>
      </c>
      <c r="U5" s="238">
        <v>84.2</v>
      </c>
      <c r="V5" s="238">
        <v>110670</v>
      </c>
      <c r="W5">
        <v>19330</v>
      </c>
      <c r="X5">
        <v>130000</v>
      </c>
      <c r="Y5">
        <v>0</v>
      </c>
      <c r="Z5">
        <v>130000</v>
      </c>
      <c r="AA5">
        <v>5000</v>
      </c>
      <c r="AB5">
        <v>125000</v>
      </c>
      <c r="AC5" s="238">
        <v>125000</v>
      </c>
      <c r="AD5" s="238">
        <v>10525000</v>
      </c>
      <c r="AF5" s="238"/>
      <c r="AG5" s="238">
        <v>0</v>
      </c>
      <c r="AH5" s="238">
        <v>125000</v>
      </c>
      <c r="AI5" s="238">
        <v>10525000</v>
      </c>
      <c r="AJ5" s="238" t="s">
        <v>36</v>
      </c>
      <c r="AK5" s="238"/>
      <c r="AL5" s="238">
        <v>125000</v>
      </c>
      <c r="AM5" s="238">
        <v>0</v>
      </c>
      <c r="AN5" s="238">
        <v>10525000</v>
      </c>
      <c r="AP5" s="238" t="s">
        <v>35</v>
      </c>
      <c r="AQ5" s="238" t="s">
        <v>35</v>
      </c>
      <c r="AR5" t="s">
        <v>8953</v>
      </c>
      <c r="AS5" t="s">
        <v>8954</v>
      </c>
      <c r="AT5" t="s">
        <v>8948</v>
      </c>
      <c r="AU5" t="s">
        <v>8990</v>
      </c>
      <c r="AV5" s="238" t="b">
        <v>1</v>
      </c>
      <c r="AW5" t="s">
        <v>36</v>
      </c>
      <c r="AX5" t="b">
        <v>1</v>
      </c>
      <c r="AY5">
        <v>10525000</v>
      </c>
      <c r="AZ5">
        <v>10525000</v>
      </c>
      <c r="BA5">
        <v>0</v>
      </c>
      <c r="BB5">
        <v>0</v>
      </c>
      <c r="BC5">
        <v>0</v>
      </c>
      <c r="BD5" t="b">
        <v>1</v>
      </c>
      <c r="BE5" t="s">
        <v>7408</v>
      </c>
    </row>
    <row r="6" spans="1:57" x14ac:dyDescent="0.25">
      <c r="A6" s="238">
        <v>5</v>
      </c>
      <c r="B6" s="238">
        <v>2</v>
      </c>
      <c r="C6">
        <v>1</v>
      </c>
      <c r="D6" s="238">
        <v>3</v>
      </c>
      <c r="E6" s="238">
        <v>1</v>
      </c>
      <c r="F6" s="238">
        <v>2</v>
      </c>
      <c r="G6" s="238">
        <v>17.61</v>
      </c>
      <c r="H6" s="238">
        <v>15.04</v>
      </c>
      <c r="I6" s="238"/>
      <c r="J6" s="238">
        <v>32.65</v>
      </c>
      <c r="K6" s="238">
        <v>12.85</v>
      </c>
      <c r="L6" s="238">
        <v>4.07</v>
      </c>
      <c r="M6" s="238">
        <v>2.73</v>
      </c>
      <c r="N6" s="238">
        <v>6.28</v>
      </c>
      <c r="O6" s="238"/>
      <c r="P6" s="238">
        <v>3.29</v>
      </c>
      <c r="Q6" s="238">
        <v>3.07</v>
      </c>
      <c r="R6" s="238">
        <v>6.3599999999999994</v>
      </c>
      <c r="S6" s="238">
        <v>64.94</v>
      </c>
      <c r="T6" s="238">
        <v>58.58</v>
      </c>
      <c r="U6" s="238">
        <v>61.76</v>
      </c>
      <c r="V6" s="238">
        <v>122580</v>
      </c>
      <c r="W6">
        <v>7420</v>
      </c>
      <c r="X6">
        <v>130000</v>
      </c>
      <c r="Y6">
        <v>0</v>
      </c>
      <c r="Z6">
        <v>130000</v>
      </c>
      <c r="AA6">
        <v>5000</v>
      </c>
      <c r="AB6">
        <v>125000</v>
      </c>
      <c r="AC6" s="238">
        <v>125000</v>
      </c>
      <c r="AD6" s="238">
        <v>7720000</v>
      </c>
      <c r="AF6" s="238"/>
      <c r="AG6" s="238">
        <v>0</v>
      </c>
      <c r="AH6" s="238">
        <v>125000</v>
      </c>
      <c r="AI6" s="238">
        <v>7720000</v>
      </c>
      <c r="AJ6" s="238" t="s">
        <v>36</v>
      </c>
      <c r="AK6" s="238"/>
      <c r="AL6" s="238">
        <v>125000</v>
      </c>
      <c r="AM6" s="238">
        <v>0</v>
      </c>
      <c r="AN6" s="238">
        <v>7720000</v>
      </c>
      <c r="AP6" s="238" t="s">
        <v>3</v>
      </c>
      <c r="AQ6" s="238" t="s">
        <v>3</v>
      </c>
      <c r="AR6" t="s">
        <v>8951</v>
      </c>
      <c r="AS6" t="s">
        <v>1167</v>
      </c>
      <c r="AT6" t="s">
        <v>8948</v>
      </c>
      <c r="AU6" t="s">
        <v>8974</v>
      </c>
      <c r="AV6" s="238" t="b">
        <v>1</v>
      </c>
      <c r="AW6" t="s">
        <v>36</v>
      </c>
      <c r="AX6" t="b">
        <v>1</v>
      </c>
      <c r="AY6">
        <v>7720000</v>
      </c>
      <c r="AZ6">
        <v>7720000</v>
      </c>
      <c r="BA6">
        <v>0</v>
      </c>
      <c r="BB6">
        <v>0</v>
      </c>
      <c r="BC6">
        <v>0</v>
      </c>
      <c r="BD6" t="b">
        <v>1</v>
      </c>
      <c r="BE6" t="s">
        <v>7409</v>
      </c>
    </row>
    <row r="7" spans="1:57" x14ac:dyDescent="0.25">
      <c r="A7" s="238">
        <v>6</v>
      </c>
      <c r="B7" s="238">
        <v>2</v>
      </c>
      <c r="C7">
        <v>1</v>
      </c>
      <c r="D7" s="238">
        <v>3</v>
      </c>
      <c r="E7" s="238">
        <v>2</v>
      </c>
      <c r="F7" s="238">
        <v>1</v>
      </c>
      <c r="G7" s="238">
        <v>14.34</v>
      </c>
      <c r="H7" s="238"/>
      <c r="I7" s="238"/>
      <c r="J7" s="238">
        <v>14.34</v>
      </c>
      <c r="K7" s="238">
        <v>14.05</v>
      </c>
      <c r="L7" s="238">
        <v>4</v>
      </c>
      <c r="M7" s="238"/>
      <c r="N7" s="238">
        <v>3.41</v>
      </c>
      <c r="O7" s="238">
        <v>2.37</v>
      </c>
      <c r="P7" s="238"/>
      <c r="Q7" s="238"/>
      <c r="R7" s="238">
        <v>0</v>
      </c>
      <c r="S7" s="238">
        <v>38.17</v>
      </c>
      <c r="T7" s="238">
        <v>38.17</v>
      </c>
      <c r="U7" s="238">
        <v>38.17</v>
      </c>
      <c r="V7" s="238">
        <v>135200</v>
      </c>
      <c r="X7">
        <v>135200</v>
      </c>
      <c r="Y7">
        <v>0.41917736441246234</v>
      </c>
      <c r="Z7">
        <v>135200.41917736441</v>
      </c>
      <c r="AB7">
        <v>135200.41917736441</v>
      </c>
      <c r="AC7" s="238">
        <v>135200.42000000001</v>
      </c>
      <c r="AD7" s="238">
        <v>5160600</v>
      </c>
      <c r="AF7" s="238"/>
      <c r="AG7" s="238">
        <v>0</v>
      </c>
      <c r="AH7" s="238">
        <v>135200.41917736441</v>
      </c>
      <c r="AI7" s="238">
        <v>5160600</v>
      </c>
      <c r="AJ7" s="238" t="s">
        <v>36</v>
      </c>
      <c r="AK7" s="238"/>
      <c r="AL7" s="238">
        <v>135200.41917736441</v>
      </c>
      <c r="AM7" s="238">
        <v>0</v>
      </c>
      <c r="AN7" s="238">
        <v>5160600</v>
      </c>
      <c r="AP7" s="238" t="s">
        <v>35</v>
      </c>
      <c r="AQ7" s="238" t="s">
        <v>35</v>
      </c>
      <c r="AR7" t="s">
        <v>8953</v>
      </c>
      <c r="AS7" t="s">
        <v>8954</v>
      </c>
      <c r="AT7" t="s">
        <v>8948</v>
      </c>
      <c r="AU7" t="s">
        <v>8973</v>
      </c>
      <c r="AV7" s="238" t="b">
        <v>1</v>
      </c>
      <c r="AW7" t="s">
        <v>36</v>
      </c>
      <c r="AX7" t="b">
        <v>1</v>
      </c>
      <c r="AY7">
        <v>5160600</v>
      </c>
      <c r="AZ7">
        <v>5160600</v>
      </c>
      <c r="BA7">
        <v>0</v>
      </c>
      <c r="BB7">
        <v>0</v>
      </c>
      <c r="BC7">
        <v>0</v>
      </c>
      <c r="BD7" t="b">
        <v>1</v>
      </c>
      <c r="BE7" t="s">
        <v>7410</v>
      </c>
    </row>
    <row r="8" spans="1:57" x14ac:dyDescent="0.25">
      <c r="A8" s="238">
        <v>7</v>
      </c>
      <c r="B8" s="238">
        <v>2</v>
      </c>
      <c r="C8">
        <v>1</v>
      </c>
      <c r="D8" s="238">
        <v>3</v>
      </c>
      <c r="E8" s="238">
        <v>3</v>
      </c>
      <c r="F8" s="238">
        <v>2</v>
      </c>
      <c r="G8" s="238">
        <v>14.94</v>
      </c>
      <c r="H8" s="238">
        <v>14.87</v>
      </c>
      <c r="I8" s="238"/>
      <c r="J8" s="238">
        <v>29.81</v>
      </c>
      <c r="K8" s="238">
        <v>13.05</v>
      </c>
      <c r="L8" s="238">
        <v>4.01</v>
      </c>
      <c r="M8" s="238"/>
      <c r="N8" s="238">
        <v>7.75</v>
      </c>
      <c r="O8" s="238"/>
      <c r="P8" s="238"/>
      <c r="Q8" s="238"/>
      <c r="R8" s="238">
        <v>0</v>
      </c>
      <c r="S8" s="238">
        <v>54.62</v>
      </c>
      <c r="T8" s="238">
        <v>54.62</v>
      </c>
      <c r="U8" s="238">
        <v>54.62</v>
      </c>
      <c r="V8" s="238">
        <v>110700</v>
      </c>
      <c r="W8">
        <v>19300</v>
      </c>
      <c r="X8">
        <v>130000</v>
      </c>
      <c r="Y8">
        <v>0</v>
      </c>
      <c r="Z8">
        <v>130000</v>
      </c>
      <c r="AA8">
        <v>5000</v>
      </c>
      <c r="AB8">
        <v>125000</v>
      </c>
      <c r="AC8" s="238">
        <v>125000</v>
      </c>
      <c r="AD8" s="238">
        <v>6827500</v>
      </c>
      <c r="AF8" s="238"/>
      <c r="AG8" s="238">
        <v>0</v>
      </c>
      <c r="AH8" s="238">
        <v>125000</v>
      </c>
      <c r="AI8" s="238">
        <v>6827500</v>
      </c>
      <c r="AJ8" s="238" t="s">
        <v>36</v>
      </c>
      <c r="AK8" s="238"/>
      <c r="AL8" s="238">
        <v>125000</v>
      </c>
      <c r="AM8" s="238">
        <v>0</v>
      </c>
      <c r="AN8" s="238">
        <v>6827500</v>
      </c>
      <c r="AP8" s="238" t="s">
        <v>35</v>
      </c>
      <c r="AQ8" s="238" t="s">
        <v>35</v>
      </c>
      <c r="AR8" t="s">
        <v>8953</v>
      </c>
      <c r="AS8" t="s">
        <v>8954</v>
      </c>
      <c r="AT8" t="s">
        <v>8948</v>
      </c>
      <c r="AU8" t="s">
        <v>8974</v>
      </c>
      <c r="AV8" s="238" t="b">
        <v>1</v>
      </c>
      <c r="AW8" t="s">
        <v>36</v>
      </c>
      <c r="AX8" t="b">
        <v>1</v>
      </c>
      <c r="AY8">
        <v>6827500</v>
      </c>
      <c r="AZ8">
        <v>6827500</v>
      </c>
      <c r="BA8">
        <v>0</v>
      </c>
      <c r="BB8">
        <v>0</v>
      </c>
      <c r="BC8">
        <v>0</v>
      </c>
      <c r="BD8" t="b">
        <v>1</v>
      </c>
      <c r="BE8" t="s">
        <v>7411</v>
      </c>
    </row>
    <row r="9" spans="1:57" x14ac:dyDescent="0.25">
      <c r="A9" s="238">
        <v>8</v>
      </c>
      <c r="B9" s="238">
        <v>2</v>
      </c>
      <c r="C9">
        <v>1</v>
      </c>
      <c r="D9" s="238">
        <v>3</v>
      </c>
      <c r="E9" s="238">
        <v>4</v>
      </c>
      <c r="F9" s="238">
        <v>3</v>
      </c>
      <c r="G9" s="238">
        <v>21.72</v>
      </c>
      <c r="H9" s="238">
        <v>11.92</v>
      </c>
      <c r="I9" s="238">
        <v>13.55</v>
      </c>
      <c r="J9" s="238">
        <v>47.19</v>
      </c>
      <c r="K9" s="238">
        <v>16.3</v>
      </c>
      <c r="L9" s="238">
        <v>3.11</v>
      </c>
      <c r="M9" s="238">
        <v>2.94</v>
      </c>
      <c r="N9" s="238">
        <v>9.27</v>
      </c>
      <c r="O9" s="238">
        <v>3.22</v>
      </c>
      <c r="P9" s="238">
        <v>3.07</v>
      </c>
      <c r="Q9" s="238"/>
      <c r="R9" s="238">
        <v>3.07</v>
      </c>
      <c r="S9" s="238">
        <v>85.1</v>
      </c>
      <c r="T9" s="238">
        <v>82.03</v>
      </c>
      <c r="U9" s="238">
        <v>83.57</v>
      </c>
      <c r="V9" s="238">
        <v>110670</v>
      </c>
      <c r="W9">
        <v>19330</v>
      </c>
      <c r="X9">
        <v>130000</v>
      </c>
      <c r="Y9">
        <v>0</v>
      </c>
      <c r="Z9">
        <v>130000</v>
      </c>
      <c r="AA9">
        <v>5000</v>
      </c>
      <c r="AB9">
        <v>125000</v>
      </c>
      <c r="AC9" s="238">
        <v>125000</v>
      </c>
      <c r="AD9" s="238">
        <v>10446250</v>
      </c>
      <c r="AF9" s="238"/>
      <c r="AG9" s="238">
        <v>0</v>
      </c>
      <c r="AH9" s="238">
        <v>125000</v>
      </c>
      <c r="AI9" s="238">
        <v>10446250</v>
      </c>
      <c r="AJ9" s="238" t="s">
        <v>36</v>
      </c>
      <c r="AK9" s="238"/>
      <c r="AL9" s="238">
        <v>125000</v>
      </c>
      <c r="AM9" s="238">
        <v>0</v>
      </c>
      <c r="AN9" s="238">
        <v>10446250</v>
      </c>
      <c r="AP9" s="238" t="s">
        <v>3</v>
      </c>
      <c r="AQ9" s="238" t="s">
        <v>3</v>
      </c>
      <c r="AR9" t="s">
        <v>8951</v>
      </c>
      <c r="AS9" t="s">
        <v>1167</v>
      </c>
      <c r="AT9" t="s">
        <v>8948</v>
      </c>
      <c r="AU9" t="s">
        <v>8990</v>
      </c>
      <c r="AV9" s="238" t="b">
        <v>1</v>
      </c>
      <c r="AW9" t="s">
        <v>36</v>
      </c>
      <c r="AX9" t="b">
        <v>1</v>
      </c>
      <c r="AY9">
        <v>10446250</v>
      </c>
      <c r="AZ9">
        <v>10446250</v>
      </c>
      <c r="BA9">
        <v>0</v>
      </c>
      <c r="BB9">
        <v>0</v>
      </c>
      <c r="BC9">
        <v>0</v>
      </c>
      <c r="BD9" t="b">
        <v>1</v>
      </c>
      <c r="BE9" t="s">
        <v>7412</v>
      </c>
    </row>
    <row r="10" spans="1:57" x14ac:dyDescent="0.25">
      <c r="A10" s="238">
        <v>9</v>
      </c>
      <c r="B10" s="238">
        <v>2</v>
      </c>
      <c r="C10">
        <v>1</v>
      </c>
      <c r="D10" s="238">
        <v>4</v>
      </c>
      <c r="E10" s="238">
        <v>1</v>
      </c>
      <c r="F10" s="238">
        <v>2</v>
      </c>
      <c r="G10" s="238">
        <v>17.61</v>
      </c>
      <c r="H10" s="238">
        <v>15.04</v>
      </c>
      <c r="I10" s="238"/>
      <c r="J10" s="238">
        <v>32.65</v>
      </c>
      <c r="K10" s="238">
        <v>12.85</v>
      </c>
      <c r="L10" s="238">
        <v>4.07</v>
      </c>
      <c r="M10" s="238">
        <v>2.73</v>
      </c>
      <c r="N10" s="238">
        <v>6.28</v>
      </c>
      <c r="O10" s="238"/>
      <c r="P10" s="238">
        <v>3.29</v>
      </c>
      <c r="Q10" s="238">
        <v>3.07</v>
      </c>
      <c r="R10" s="238">
        <v>6.3599999999999994</v>
      </c>
      <c r="S10" s="238">
        <v>64.94</v>
      </c>
      <c r="T10" s="238">
        <v>58.58</v>
      </c>
      <c r="U10" s="238">
        <v>61.76</v>
      </c>
      <c r="V10" s="238">
        <v>122580</v>
      </c>
      <c r="W10">
        <v>7420</v>
      </c>
      <c r="X10">
        <v>130000</v>
      </c>
      <c r="Y10">
        <v>0</v>
      </c>
      <c r="Z10">
        <v>130000</v>
      </c>
      <c r="AA10">
        <v>5000</v>
      </c>
      <c r="AB10">
        <v>125000</v>
      </c>
      <c r="AC10" s="238">
        <v>125000</v>
      </c>
      <c r="AD10" s="238">
        <v>7720000</v>
      </c>
      <c r="AF10" s="238"/>
      <c r="AG10" s="238">
        <v>0</v>
      </c>
      <c r="AH10" s="238">
        <v>125000</v>
      </c>
      <c r="AI10" s="238">
        <v>7720000</v>
      </c>
      <c r="AJ10" s="238" t="s">
        <v>36</v>
      </c>
      <c r="AK10" s="238"/>
      <c r="AL10" s="238">
        <v>125000</v>
      </c>
      <c r="AM10" s="238">
        <v>0</v>
      </c>
      <c r="AN10" s="238">
        <v>7720000</v>
      </c>
      <c r="AP10" s="238" t="s">
        <v>35</v>
      </c>
      <c r="AQ10" s="238" t="s">
        <v>35</v>
      </c>
      <c r="AR10" t="s">
        <v>8953</v>
      </c>
      <c r="AS10" t="s">
        <v>8954</v>
      </c>
      <c r="AT10" t="s">
        <v>8948</v>
      </c>
      <c r="AU10" t="s">
        <v>8974</v>
      </c>
      <c r="AV10" s="238" t="b">
        <v>1</v>
      </c>
      <c r="AW10" t="s">
        <v>38</v>
      </c>
      <c r="AX10" t="b">
        <v>0</v>
      </c>
      <c r="AY10">
        <v>7720000</v>
      </c>
      <c r="AZ10">
        <v>7720000</v>
      </c>
      <c r="BA10">
        <v>0</v>
      </c>
      <c r="BB10">
        <v>0</v>
      </c>
      <c r="BC10">
        <v>0</v>
      </c>
      <c r="BD10" t="b">
        <v>1</v>
      </c>
      <c r="BE10" t="s">
        <v>7413</v>
      </c>
    </row>
    <row r="11" spans="1:57" x14ac:dyDescent="0.25">
      <c r="A11" s="238">
        <v>10</v>
      </c>
      <c r="B11" s="238">
        <v>2</v>
      </c>
      <c r="C11">
        <v>1</v>
      </c>
      <c r="D11" s="238">
        <v>4</v>
      </c>
      <c r="E11" s="238">
        <v>2</v>
      </c>
      <c r="F11" s="238">
        <v>1</v>
      </c>
      <c r="G11" s="238">
        <v>14.34</v>
      </c>
      <c r="H11" s="238"/>
      <c r="I11" s="238"/>
      <c r="J11" s="238">
        <v>14.34</v>
      </c>
      <c r="K11" s="238">
        <v>14.05</v>
      </c>
      <c r="L11" s="238">
        <v>4</v>
      </c>
      <c r="M11" s="238"/>
      <c r="N11" s="238">
        <v>3.41</v>
      </c>
      <c r="O11" s="238">
        <v>2.37</v>
      </c>
      <c r="P11" s="238"/>
      <c r="Q11" s="238"/>
      <c r="R11" s="238">
        <v>0</v>
      </c>
      <c r="S11" s="238">
        <v>38.17</v>
      </c>
      <c r="T11" s="238">
        <v>38.17</v>
      </c>
      <c r="U11" s="238">
        <v>38.17</v>
      </c>
      <c r="V11" s="238">
        <v>135200</v>
      </c>
      <c r="X11">
        <v>135200</v>
      </c>
      <c r="Y11">
        <v>-9349.8559077809914</v>
      </c>
      <c r="Z11">
        <v>125850.14409221899</v>
      </c>
      <c r="AB11">
        <v>125850.14409221899</v>
      </c>
      <c r="AC11" s="238">
        <v>125850.14</v>
      </c>
      <c r="AD11" s="238">
        <v>4803700</v>
      </c>
      <c r="AF11" s="238">
        <v>0.02</v>
      </c>
      <c r="AG11" s="238">
        <v>96074</v>
      </c>
      <c r="AH11" s="238">
        <v>123333.14121037464</v>
      </c>
      <c r="AI11" s="238">
        <v>4707626</v>
      </c>
      <c r="AJ11" s="238" t="s">
        <v>36</v>
      </c>
      <c r="AK11" s="238"/>
      <c r="AL11" s="238">
        <v>123333.14121037464</v>
      </c>
      <c r="AM11" s="238">
        <v>0</v>
      </c>
      <c r="AN11" s="238">
        <v>4707626</v>
      </c>
      <c r="AO11" t="s">
        <v>3540</v>
      </c>
      <c r="AP11" s="238" t="s">
        <v>39</v>
      </c>
      <c r="AQ11" s="238" t="s">
        <v>39</v>
      </c>
      <c r="AR11" t="s">
        <v>8950</v>
      </c>
      <c r="AS11" t="s">
        <v>1167</v>
      </c>
      <c r="AT11" t="s">
        <v>8948</v>
      </c>
      <c r="AU11" t="s">
        <v>8973</v>
      </c>
      <c r="AV11" s="238" t="b">
        <v>1</v>
      </c>
      <c r="AW11" t="s">
        <v>36</v>
      </c>
      <c r="AX11" t="b">
        <v>1</v>
      </c>
      <c r="AY11">
        <v>4803700</v>
      </c>
      <c r="AZ11" t="s">
        <v>9002</v>
      </c>
      <c r="BA11">
        <v>0</v>
      </c>
      <c r="BB11">
        <v>4803700</v>
      </c>
      <c r="BC11">
        <v>0</v>
      </c>
      <c r="BD11" t="b">
        <v>1</v>
      </c>
      <c r="BE11" t="s">
        <v>7414</v>
      </c>
    </row>
    <row r="12" spans="1:57" x14ac:dyDescent="0.25">
      <c r="A12" s="238">
        <v>11</v>
      </c>
      <c r="B12" s="238">
        <v>2</v>
      </c>
      <c r="C12">
        <v>1</v>
      </c>
      <c r="D12" s="238">
        <v>4</v>
      </c>
      <c r="E12" s="238">
        <v>3</v>
      </c>
      <c r="F12" s="238">
        <v>2</v>
      </c>
      <c r="G12" s="238">
        <v>14.94</v>
      </c>
      <c r="H12" s="238">
        <v>14.87</v>
      </c>
      <c r="I12" s="238"/>
      <c r="J12" s="238">
        <v>29.81</v>
      </c>
      <c r="K12" s="238">
        <v>13.05</v>
      </c>
      <c r="L12" s="238">
        <v>4.01</v>
      </c>
      <c r="M12" s="238"/>
      <c r="N12" s="238">
        <v>7.75</v>
      </c>
      <c r="O12" s="238"/>
      <c r="P12" s="238"/>
      <c r="Q12" s="238"/>
      <c r="R12" s="238">
        <v>0</v>
      </c>
      <c r="S12" s="238">
        <v>54.62</v>
      </c>
      <c r="T12" s="238">
        <v>54.62</v>
      </c>
      <c r="U12" s="238">
        <v>54.62</v>
      </c>
      <c r="V12" s="238">
        <v>110700</v>
      </c>
      <c r="W12">
        <v>19300</v>
      </c>
      <c r="X12">
        <v>130000</v>
      </c>
      <c r="Y12">
        <v>0</v>
      </c>
      <c r="Z12">
        <v>130000</v>
      </c>
      <c r="AA12">
        <v>5000</v>
      </c>
      <c r="AB12">
        <v>125000</v>
      </c>
      <c r="AC12" s="238">
        <v>125000</v>
      </c>
      <c r="AD12" s="238">
        <v>6827500</v>
      </c>
      <c r="AF12" s="238"/>
      <c r="AG12" s="238">
        <v>0</v>
      </c>
      <c r="AH12" s="238">
        <v>125000</v>
      </c>
      <c r="AI12" s="238">
        <v>6827500</v>
      </c>
      <c r="AJ12" s="238" t="s">
        <v>36</v>
      </c>
      <c r="AK12" s="238"/>
      <c r="AL12" s="238">
        <v>125000</v>
      </c>
      <c r="AM12" s="238">
        <v>0</v>
      </c>
      <c r="AN12" s="238">
        <v>6827500</v>
      </c>
      <c r="AP12" s="238" t="s">
        <v>3</v>
      </c>
      <c r="AQ12" s="238" t="s">
        <v>3</v>
      </c>
      <c r="AR12" t="s">
        <v>8951</v>
      </c>
      <c r="AS12" t="s">
        <v>1167</v>
      </c>
      <c r="AT12" t="s">
        <v>8948</v>
      </c>
      <c r="AU12" t="s">
        <v>8974</v>
      </c>
      <c r="AV12" s="238" t="b">
        <v>1</v>
      </c>
      <c r="AW12" t="s">
        <v>36</v>
      </c>
      <c r="AX12" t="b">
        <v>1</v>
      </c>
      <c r="AY12">
        <v>6827500</v>
      </c>
      <c r="AZ12">
        <v>6827500</v>
      </c>
      <c r="BA12">
        <v>0</v>
      </c>
      <c r="BB12">
        <v>0</v>
      </c>
      <c r="BC12">
        <v>0</v>
      </c>
      <c r="BD12" t="b">
        <v>1</v>
      </c>
      <c r="BE12" t="s">
        <v>7415</v>
      </c>
    </row>
    <row r="13" spans="1:57" x14ac:dyDescent="0.25">
      <c r="A13" s="238">
        <v>12</v>
      </c>
      <c r="B13" s="238">
        <v>2</v>
      </c>
      <c r="C13">
        <v>1</v>
      </c>
      <c r="D13" s="238">
        <v>4</v>
      </c>
      <c r="E13" s="238">
        <v>4</v>
      </c>
      <c r="F13" s="238">
        <v>3</v>
      </c>
      <c r="G13" s="238">
        <v>21.72</v>
      </c>
      <c r="H13" s="238">
        <v>11.92</v>
      </c>
      <c r="I13" s="238">
        <v>13.55</v>
      </c>
      <c r="J13" s="238">
        <v>47.19</v>
      </c>
      <c r="K13" s="238">
        <v>16.3</v>
      </c>
      <c r="L13" s="238">
        <v>3.11</v>
      </c>
      <c r="M13" s="238">
        <v>2.94</v>
      </c>
      <c r="N13" s="238">
        <v>9.27</v>
      </c>
      <c r="O13" s="238">
        <v>3.22</v>
      </c>
      <c r="P13" s="238">
        <v>3.07</v>
      </c>
      <c r="Q13" s="238"/>
      <c r="R13" s="238">
        <v>3.07</v>
      </c>
      <c r="S13" s="238">
        <v>85.1</v>
      </c>
      <c r="T13" s="238">
        <v>82.03</v>
      </c>
      <c r="U13" s="238">
        <v>83.57</v>
      </c>
      <c r="V13" s="238">
        <v>110670</v>
      </c>
      <c r="W13">
        <v>19330</v>
      </c>
      <c r="X13">
        <v>130000</v>
      </c>
      <c r="Y13">
        <v>0</v>
      </c>
      <c r="Z13">
        <v>130000</v>
      </c>
      <c r="AA13">
        <v>5000</v>
      </c>
      <c r="AB13">
        <v>125000</v>
      </c>
      <c r="AC13" s="238">
        <v>125000</v>
      </c>
      <c r="AD13" s="238">
        <v>10446250</v>
      </c>
      <c r="AF13" s="238"/>
      <c r="AG13" s="238">
        <v>0</v>
      </c>
      <c r="AH13" s="238">
        <v>125000</v>
      </c>
      <c r="AI13" s="238">
        <v>10446250</v>
      </c>
      <c r="AJ13" s="238" t="s">
        <v>36</v>
      </c>
      <c r="AK13" s="238"/>
      <c r="AL13" s="238">
        <v>125000</v>
      </c>
      <c r="AM13" s="238">
        <v>0</v>
      </c>
      <c r="AN13" s="238">
        <v>10446250</v>
      </c>
      <c r="AP13" s="238" t="s">
        <v>35</v>
      </c>
      <c r="AQ13" s="238" t="s">
        <v>35</v>
      </c>
      <c r="AR13" t="s">
        <v>8953</v>
      </c>
      <c r="AS13" t="s">
        <v>8954</v>
      </c>
      <c r="AT13" t="s">
        <v>8948</v>
      </c>
      <c r="AU13" t="s">
        <v>8990</v>
      </c>
      <c r="AV13" s="238" t="b">
        <v>1</v>
      </c>
      <c r="AW13" t="s">
        <v>36</v>
      </c>
      <c r="AX13" t="b">
        <v>1</v>
      </c>
      <c r="AY13">
        <v>10446250</v>
      </c>
      <c r="AZ13">
        <v>10446250</v>
      </c>
      <c r="BA13">
        <v>0</v>
      </c>
      <c r="BB13">
        <v>0</v>
      </c>
      <c r="BC13">
        <v>0</v>
      </c>
      <c r="BD13" t="b">
        <v>1</v>
      </c>
      <c r="BE13" t="s">
        <v>7416</v>
      </c>
    </row>
    <row r="14" spans="1:57" x14ac:dyDescent="0.25">
      <c r="A14" s="238">
        <v>13</v>
      </c>
      <c r="B14" s="238">
        <v>2</v>
      </c>
      <c r="C14">
        <v>1</v>
      </c>
      <c r="D14" s="238">
        <v>5</v>
      </c>
      <c r="E14" s="238">
        <v>1</v>
      </c>
      <c r="F14" s="238">
        <v>2</v>
      </c>
      <c r="G14" s="238">
        <v>17.61</v>
      </c>
      <c r="H14" s="238">
        <v>15.04</v>
      </c>
      <c r="I14" s="238"/>
      <c r="J14" s="238">
        <v>32.65</v>
      </c>
      <c r="K14" s="238">
        <v>12.85</v>
      </c>
      <c r="L14" s="238">
        <v>4.07</v>
      </c>
      <c r="M14" s="238">
        <v>2.73</v>
      </c>
      <c r="N14" s="238">
        <v>6.28</v>
      </c>
      <c r="O14" s="238"/>
      <c r="P14" s="238">
        <v>3.29</v>
      </c>
      <c r="Q14" s="238">
        <v>3.07</v>
      </c>
      <c r="R14" s="238">
        <v>6.3599999999999994</v>
      </c>
      <c r="S14" s="238">
        <v>64.94</v>
      </c>
      <c r="T14" s="238">
        <v>58.58</v>
      </c>
      <c r="U14" s="238">
        <v>61.76</v>
      </c>
      <c r="V14" s="238">
        <v>123660</v>
      </c>
      <c r="W14">
        <v>6340</v>
      </c>
      <c r="X14">
        <v>130000</v>
      </c>
      <c r="Y14">
        <v>0</v>
      </c>
      <c r="Z14">
        <v>130000</v>
      </c>
      <c r="AA14">
        <v>5000</v>
      </c>
      <c r="AB14">
        <v>125000</v>
      </c>
      <c r="AC14" s="238">
        <v>125000</v>
      </c>
      <c r="AD14" s="238">
        <v>7720000</v>
      </c>
      <c r="AF14" s="238"/>
      <c r="AG14" s="238">
        <v>0</v>
      </c>
      <c r="AH14" s="238">
        <v>125000</v>
      </c>
      <c r="AI14" s="238">
        <v>7720000</v>
      </c>
      <c r="AJ14" s="238" t="s">
        <v>36</v>
      </c>
      <c r="AK14" s="238"/>
      <c r="AL14" s="238">
        <v>125000</v>
      </c>
      <c r="AM14" s="238">
        <v>0</v>
      </c>
      <c r="AN14" s="238">
        <v>7720000</v>
      </c>
      <c r="AP14" s="238" t="s">
        <v>35</v>
      </c>
      <c r="AQ14" s="238" t="s">
        <v>35</v>
      </c>
      <c r="AR14" t="s">
        <v>8953</v>
      </c>
      <c r="AS14" t="s">
        <v>8954</v>
      </c>
      <c r="AT14" t="s">
        <v>8948</v>
      </c>
      <c r="AU14" t="s">
        <v>8974</v>
      </c>
      <c r="AV14" s="238" t="b">
        <v>1</v>
      </c>
      <c r="AW14" t="s">
        <v>36</v>
      </c>
      <c r="AX14" t="b">
        <v>1</v>
      </c>
      <c r="AY14">
        <v>7720000</v>
      </c>
      <c r="AZ14">
        <v>7720000</v>
      </c>
      <c r="BA14">
        <v>0</v>
      </c>
      <c r="BB14">
        <v>0</v>
      </c>
      <c r="BC14">
        <v>0</v>
      </c>
      <c r="BD14" t="b">
        <v>1</v>
      </c>
      <c r="BE14" t="s">
        <v>7417</v>
      </c>
    </row>
    <row r="15" spans="1:57" x14ac:dyDescent="0.25">
      <c r="A15" s="238">
        <v>14</v>
      </c>
      <c r="B15" s="238">
        <v>2</v>
      </c>
      <c r="C15">
        <v>1</v>
      </c>
      <c r="D15" s="238">
        <v>5</v>
      </c>
      <c r="E15" s="238">
        <v>2</v>
      </c>
      <c r="F15" s="238">
        <v>1</v>
      </c>
      <c r="G15" s="238">
        <v>14.34</v>
      </c>
      <c r="H15" s="238"/>
      <c r="I15" s="238"/>
      <c r="J15" s="238">
        <v>14.34</v>
      </c>
      <c r="K15" s="238">
        <v>14.05</v>
      </c>
      <c r="L15" s="238">
        <v>4</v>
      </c>
      <c r="M15" s="238"/>
      <c r="N15" s="238">
        <v>3.41</v>
      </c>
      <c r="O15" s="238">
        <v>2.37</v>
      </c>
      <c r="P15" s="238"/>
      <c r="Q15" s="238"/>
      <c r="R15" s="238">
        <v>0</v>
      </c>
      <c r="S15" s="238">
        <v>38.17</v>
      </c>
      <c r="T15" s="238">
        <v>38.17</v>
      </c>
      <c r="U15" s="238">
        <v>38.17</v>
      </c>
      <c r="V15" s="238">
        <v>137800</v>
      </c>
      <c r="X15">
        <v>137800</v>
      </c>
      <c r="Y15">
        <v>1.9386953104403799</v>
      </c>
      <c r="Z15">
        <v>137801.93869531044</v>
      </c>
      <c r="AB15">
        <v>137801.93869531044</v>
      </c>
      <c r="AC15" s="238">
        <v>137801.94</v>
      </c>
      <c r="AD15" s="238">
        <v>5259900</v>
      </c>
      <c r="AF15" s="238"/>
      <c r="AG15" s="238">
        <v>0</v>
      </c>
      <c r="AH15" s="238">
        <v>137801.93869531044</v>
      </c>
      <c r="AI15" s="238">
        <v>5259900</v>
      </c>
      <c r="AJ15" s="238" t="s">
        <v>36</v>
      </c>
      <c r="AK15" s="238"/>
      <c r="AL15" s="238">
        <v>137801.93869531044</v>
      </c>
      <c r="AM15" s="238">
        <v>0</v>
      </c>
      <c r="AN15" s="238">
        <v>5259900</v>
      </c>
      <c r="AP15" s="238" t="s">
        <v>35</v>
      </c>
      <c r="AQ15" s="238" t="s">
        <v>35</v>
      </c>
      <c r="AR15" t="s">
        <v>8953</v>
      </c>
      <c r="AS15" t="s">
        <v>8954</v>
      </c>
      <c r="AT15" t="s">
        <v>8948</v>
      </c>
      <c r="AU15" t="s">
        <v>8973</v>
      </c>
      <c r="AV15" s="238" t="b">
        <v>1</v>
      </c>
      <c r="AW15" t="s">
        <v>36</v>
      </c>
      <c r="AX15" t="b">
        <v>1</v>
      </c>
      <c r="AY15">
        <v>5259900</v>
      </c>
      <c r="AZ15">
        <v>5259900</v>
      </c>
      <c r="BA15">
        <v>0</v>
      </c>
      <c r="BB15">
        <v>0</v>
      </c>
      <c r="BC15">
        <v>0</v>
      </c>
      <c r="BD15" t="b">
        <v>1</v>
      </c>
      <c r="BE15" t="s">
        <v>7418</v>
      </c>
    </row>
    <row r="16" spans="1:57" x14ac:dyDescent="0.25">
      <c r="A16" s="238">
        <v>15</v>
      </c>
      <c r="B16" s="238">
        <v>2</v>
      </c>
      <c r="C16">
        <v>1</v>
      </c>
      <c r="D16" s="238">
        <v>5</v>
      </c>
      <c r="E16" s="238">
        <v>3</v>
      </c>
      <c r="F16" s="238">
        <v>2</v>
      </c>
      <c r="G16" s="238">
        <v>14.94</v>
      </c>
      <c r="H16" s="238">
        <v>14.87</v>
      </c>
      <c r="I16" s="238"/>
      <c r="J16" s="238">
        <v>29.81</v>
      </c>
      <c r="K16" s="238">
        <v>13.05</v>
      </c>
      <c r="L16" s="238">
        <v>4.01</v>
      </c>
      <c r="M16" s="238"/>
      <c r="N16" s="238">
        <v>7.75</v>
      </c>
      <c r="O16" s="238"/>
      <c r="P16" s="238"/>
      <c r="Q16" s="238"/>
      <c r="R16" s="238">
        <v>0</v>
      </c>
      <c r="S16" s="238">
        <v>54.62</v>
      </c>
      <c r="T16" s="238">
        <v>54.62</v>
      </c>
      <c r="U16" s="238">
        <v>54.62</v>
      </c>
      <c r="V16" s="238">
        <v>111780</v>
      </c>
      <c r="X16">
        <v>111780</v>
      </c>
      <c r="Y16">
        <v>-5791.3511534236459</v>
      </c>
      <c r="Z16">
        <v>105988.64884657635</v>
      </c>
      <c r="AB16">
        <v>105988.64884657635</v>
      </c>
      <c r="AC16" s="238">
        <v>105988.65</v>
      </c>
      <c r="AD16" s="238">
        <v>5789100</v>
      </c>
      <c r="AE16">
        <v>100000</v>
      </c>
      <c r="AF16" s="238"/>
      <c r="AG16" s="238">
        <v>100000</v>
      </c>
      <c r="AH16" s="238">
        <v>104157.81764921275</v>
      </c>
      <c r="AI16" s="238">
        <v>5689100</v>
      </c>
      <c r="AJ16" s="238" t="s">
        <v>36</v>
      </c>
      <c r="AK16" s="238"/>
      <c r="AL16" s="238">
        <v>104157.81764921275</v>
      </c>
      <c r="AM16" s="238">
        <v>0</v>
      </c>
      <c r="AN16" s="238">
        <v>5689100</v>
      </c>
      <c r="AO16" t="s">
        <v>8020</v>
      </c>
      <c r="AP16" s="238" t="s">
        <v>39</v>
      </c>
      <c r="AQ16" s="238" t="s">
        <v>39</v>
      </c>
      <c r="AR16" t="s">
        <v>8950</v>
      </c>
      <c r="AS16" t="s">
        <v>1167</v>
      </c>
      <c r="AT16" t="s">
        <v>8948</v>
      </c>
      <c r="AU16" t="s">
        <v>8974</v>
      </c>
      <c r="AV16" s="238" t="b">
        <v>1</v>
      </c>
      <c r="AW16" t="s">
        <v>36</v>
      </c>
      <c r="AX16" t="b">
        <v>1</v>
      </c>
      <c r="AY16">
        <v>5789100</v>
      </c>
      <c r="AZ16" t="s">
        <v>9002</v>
      </c>
      <c r="BA16">
        <v>0</v>
      </c>
      <c r="BB16">
        <v>5789100</v>
      </c>
      <c r="BC16">
        <v>0</v>
      </c>
      <c r="BD16" t="b">
        <v>1</v>
      </c>
      <c r="BE16" t="s">
        <v>7419</v>
      </c>
    </row>
    <row r="17" spans="1:57" x14ac:dyDescent="0.25">
      <c r="A17" s="238">
        <v>16</v>
      </c>
      <c r="B17" s="238">
        <v>2</v>
      </c>
      <c r="C17">
        <v>1</v>
      </c>
      <c r="D17" s="238">
        <v>5</v>
      </c>
      <c r="E17" s="238">
        <v>4</v>
      </c>
      <c r="F17" s="238">
        <v>3</v>
      </c>
      <c r="G17" s="238">
        <v>21.72</v>
      </c>
      <c r="H17" s="238">
        <v>11.92</v>
      </c>
      <c r="I17" s="238">
        <v>13.55</v>
      </c>
      <c r="J17" s="238">
        <v>47.19</v>
      </c>
      <c r="K17" s="238">
        <v>16.3</v>
      </c>
      <c r="L17" s="238">
        <v>3.11</v>
      </c>
      <c r="M17" s="238">
        <v>2.94</v>
      </c>
      <c r="N17" s="238">
        <v>9.27</v>
      </c>
      <c r="O17" s="238">
        <v>3.22</v>
      </c>
      <c r="P17" s="238">
        <v>3.07</v>
      </c>
      <c r="Q17" s="238"/>
      <c r="R17" s="238">
        <v>3.07</v>
      </c>
      <c r="S17" s="238">
        <v>85.1</v>
      </c>
      <c r="T17" s="238">
        <v>82.03</v>
      </c>
      <c r="U17" s="238">
        <v>83.57</v>
      </c>
      <c r="V17" s="238">
        <v>110670</v>
      </c>
      <c r="W17">
        <v>19330</v>
      </c>
      <c r="X17">
        <v>130000</v>
      </c>
      <c r="Y17">
        <v>0</v>
      </c>
      <c r="Z17">
        <v>130000</v>
      </c>
      <c r="AA17">
        <v>5000</v>
      </c>
      <c r="AB17">
        <v>125000</v>
      </c>
      <c r="AC17" s="238">
        <v>125000</v>
      </c>
      <c r="AD17" s="238">
        <v>10446250</v>
      </c>
      <c r="AF17" s="238"/>
      <c r="AG17" s="238">
        <v>0</v>
      </c>
      <c r="AH17" s="238">
        <v>125000</v>
      </c>
      <c r="AI17" s="238">
        <v>10446250</v>
      </c>
      <c r="AJ17" s="238" t="s">
        <v>36</v>
      </c>
      <c r="AK17" s="238"/>
      <c r="AL17" s="238">
        <v>125000</v>
      </c>
      <c r="AM17" s="238">
        <v>0</v>
      </c>
      <c r="AN17" s="238">
        <v>10446250</v>
      </c>
      <c r="AP17" s="238" t="s">
        <v>35</v>
      </c>
      <c r="AQ17" s="238" t="s">
        <v>35</v>
      </c>
      <c r="AR17" t="s">
        <v>8953</v>
      </c>
      <c r="AS17" t="s">
        <v>8954</v>
      </c>
      <c r="AT17" t="s">
        <v>8948</v>
      </c>
      <c r="AU17" t="s">
        <v>8990</v>
      </c>
      <c r="AV17" s="238" t="b">
        <v>1</v>
      </c>
      <c r="AW17" t="s">
        <v>36</v>
      </c>
      <c r="AX17" t="b">
        <v>1</v>
      </c>
      <c r="AY17">
        <v>10446250</v>
      </c>
      <c r="AZ17">
        <v>10446250</v>
      </c>
      <c r="BA17">
        <v>0</v>
      </c>
      <c r="BB17">
        <v>0</v>
      </c>
      <c r="BC17">
        <v>0</v>
      </c>
      <c r="BD17" t="b">
        <v>1</v>
      </c>
      <c r="BE17" t="s">
        <v>7420</v>
      </c>
    </row>
    <row r="18" spans="1:57" x14ac:dyDescent="0.25">
      <c r="A18" s="238">
        <v>17</v>
      </c>
      <c r="B18" s="238">
        <v>2</v>
      </c>
      <c r="C18">
        <v>1</v>
      </c>
      <c r="D18" s="238">
        <v>6</v>
      </c>
      <c r="E18" s="238">
        <v>1</v>
      </c>
      <c r="F18" s="238">
        <v>2</v>
      </c>
      <c r="G18" s="238">
        <v>17.61</v>
      </c>
      <c r="H18" s="238">
        <v>15.04</v>
      </c>
      <c r="I18" s="238"/>
      <c r="J18" s="238">
        <v>32.65</v>
      </c>
      <c r="K18" s="238">
        <v>12.85</v>
      </c>
      <c r="L18" s="238">
        <v>4.07</v>
      </c>
      <c r="M18" s="238">
        <v>2.73</v>
      </c>
      <c r="N18" s="238">
        <v>6.28</v>
      </c>
      <c r="O18" s="238"/>
      <c r="P18" s="238">
        <v>3.29</v>
      </c>
      <c r="Q18" s="238">
        <v>3.07</v>
      </c>
      <c r="R18" s="238">
        <v>6.3599999999999994</v>
      </c>
      <c r="S18" s="238">
        <v>64.94</v>
      </c>
      <c r="T18" s="238">
        <v>58.58</v>
      </c>
      <c r="U18" s="238">
        <v>61.76</v>
      </c>
      <c r="V18" s="238">
        <v>123660</v>
      </c>
      <c r="W18">
        <v>6340</v>
      </c>
      <c r="X18">
        <v>130000</v>
      </c>
      <c r="Y18">
        <v>0</v>
      </c>
      <c r="Z18">
        <v>130000</v>
      </c>
      <c r="AA18">
        <v>5000</v>
      </c>
      <c r="AB18">
        <v>125000</v>
      </c>
      <c r="AC18" s="238">
        <v>125000</v>
      </c>
      <c r="AD18" s="238">
        <v>7720000</v>
      </c>
      <c r="AF18" s="238"/>
      <c r="AG18" s="238">
        <v>0</v>
      </c>
      <c r="AH18" s="238">
        <v>125000</v>
      </c>
      <c r="AI18" s="238">
        <v>7720000</v>
      </c>
      <c r="AJ18" s="238" t="s">
        <v>36</v>
      </c>
      <c r="AK18" s="238"/>
      <c r="AL18" s="238">
        <v>125000</v>
      </c>
      <c r="AM18" s="238">
        <v>0</v>
      </c>
      <c r="AN18" s="238">
        <v>7720000</v>
      </c>
      <c r="AP18" s="238" t="s">
        <v>3</v>
      </c>
      <c r="AQ18" s="238" t="s">
        <v>3</v>
      </c>
      <c r="AR18" t="s">
        <v>8951</v>
      </c>
      <c r="AS18" t="s">
        <v>1167</v>
      </c>
      <c r="AT18" t="s">
        <v>8948</v>
      </c>
      <c r="AU18" t="s">
        <v>8974</v>
      </c>
      <c r="AV18" s="238" t="b">
        <v>1</v>
      </c>
      <c r="AW18" t="s">
        <v>36</v>
      </c>
      <c r="AX18" t="b">
        <v>1</v>
      </c>
      <c r="AY18">
        <v>7720000</v>
      </c>
      <c r="AZ18">
        <v>7720000</v>
      </c>
      <c r="BA18">
        <v>0</v>
      </c>
      <c r="BB18">
        <v>0</v>
      </c>
      <c r="BC18">
        <v>0</v>
      </c>
      <c r="BD18" t="b">
        <v>1</v>
      </c>
      <c r="BE18" t="s">
        <v>7421</v>
      </c>
    </row>
    <row r="19" spans="1:57" x14ac:dyDescent="0.25">
      <c r="A19" s="238">
        <v>18</v>
      </c>
      <c r="B19" s="238">
        <v>2</v>
      </c>
      <c r="C19">
        <v>1</v>
      </c>
      <c r="D19" s="238">
        <v>6</v>
      </c>
      <c r="E19" s="238">
        <v>2</v>
      </c>
      <c r="F19" s="238">
        <v>1</v>
      </c>
      <c r="G19" s="238">
        <v>14.34</v>
      </c>
      <c r="H19" s="238"/>
      <c r="I19" s="238"/>
      <c r="J19" s="238">
        <v>14.34</v>
      </c>
      <c r="K19" s="238">
        <v>9.92</v>
      </c>
      <c r="L19" s="238">
        <v>4</v>
      </c>
      <c r="M19" s="238"/>
      <c r="N19" s="238">
        <v>3.41</v>
      </c>
      <c r="O19" s="238">
        <v>2.37</v>
      </c>
      <c r="P19" s="238">
        <v>2.91</v>
      </c>
      <c r="Q19" s="238"/>
      <c r="R19" s="238">
        <v>2.91</v>
      </c>
      <c r="S19" s="238">
        <v>36.950000000000003</v>
      </c>
      <c r="T19" s="238">
        <v>34.04</v>
      </c>
      <c r="U19" s="238">
        <v>35.5</v>
      </c>
      <c r="V19" s="238">
        <v>135200</v>
      </c>
      <c r="X19">
        <v>135200</v>
      </c>
      <c r="Y19">
        <v>0</v>
      </c>
      <c r="Z19">
        <v>135200</v>
      </c>
      <c r="AB19">
        <v>135200</v>
      </c>
      <c r="AC19" s="238">
        <v>135200</v>
      </c>
      <c r="AD19" s="238">
        <v>4799600</v>
      </c>
      <c r="AF19" s="238"/>
      <c r="AG19" s="238">
        <v>0</v>
      </c>
      <c r="AH19" s="238">
        <v>135200</v>
      </c>
      <c r="AI19" s="238">
        <v>4799600</v>
      </c>
      <c r="AJ19" s="238" t="s">
        <v>36</v>
      </c>
      <c r="AK19" s="238"/>
      <c r="AL19" s="238">
        <v>135200</v>
      </c>
      <c r="AM19" s="238">
        <v>0</v>
      </c>
      <c r="AN19" s="238">
        <v>4799600</v>
      </c>
      <c r="AP19" s="238" t="s">
        <v>3</v>
      </c>
      <c r="AQ19" s="238" t="s">
        <v>3</v>
      </c>
      <c r="AR19" t="s">
        <v>8951</v>
      </c>
      <c r="AS19" t="s">
        <v>1167</v>
      </c>
      <c r="AT19" t="s">
        <v>8948</v>
      </c>
      <c r="AU19" t="s">
        <v>8973</v>
      </c>
      <c r="AV19" s="238" t="b">
        <v>1</v>
      </c>
      <c r="AW19" t="s">
        <v>36</v>
      </c>
      <c r="AX19" t="b">
        <v>1</v>
      </c>
      <c r="AY19">
        <v>4799600</v>
      </c>
      <c r="AZ19">
        <v>4799600</v>
      </c>
      <c r="BA19">
        <v>0</v>
      </c>
      <c r="BB19">
        <v>0</v>
      </c>
      <c r="BC19">
        <v>0</v>
      </c>
      <c r="BD19" t="b">
        <v>1</v>
      </c>
      <c r="BE19" t="s">
        <v>7422</v>
      </c>
    </row>
    <row r="20" spans="1:57" x14ac:dyDescent="0.25">
      <c r="A20" s="238">
        <v>19</v>
      </c>
      <c r="B20" s="238">
        <v>2</v>
      </c>
      <c r="C20">
        <v>1</v>
      </c>
      <c r="D20" s="238">
        <v>6</v>
      </c>
      <c r="E20" s="238">
        <v>3</v>
      </c>
      <c r="F20" s="238">
        <v>2</v>
      </c>
      <c r="G20" s="238">
        <v>14.94</v>
      </c>
      <c r="H20" s="238">
        <v>10.61</v>
      </c>
      <c r="I20" s="238"/>
      <c r="J20" s="238">
        <v>25.549999999999997</v>
      </c>
      <c r="K20" s="238">
        <v>13.05</v>
      </c>
      <c r="L20" s="238">
        <v>4.01</v>
      </c>
      <c r="M20" s="238"/>
      <c r="N20" s="238">
        <v>7.75</v>
      </c>
      <c r="O20" s="238"/>
      <c r="P20" s="238">
        <v>2.78</v>
      </c>
      <c r="Q20" s="238"/>
      <c r="R20" s="238">
        <v>2.78</v>
      </c>
      <c r="S20" s="238">
        <v>53.14</v>
      </c>
      <c r="T20" s="238">
        <v>50.36</v>
      </c>
      <c r="U20" s="238">
        <v>51.75</v>
      </c>
      <c r="V20" s="238">
        <v>111780</v>
      </c>
      <c r="W20">
        <v>20820</v>
      </c>
      <c r="X20">
        <v>132600</v>
      </c>
      <c r="Y20">
        <v>103.3816425120749</v>
      </c>
      <c r="Z20">
        <v>132703.38164251207</v>
      </c>
      <c r="AB20">
        <v>132703.38164251207</v>
      </c>
      <c r="AC20" s="238">
        <v>132703.38</v>
      </c>
      <c r="AD20" s="238">
        <v>6867400</v>
      </c>
      <c r="AF20" s="238">
        <v>0.03</v>
      </c>
      <c r="AG20" s="238">
        <v>206022</v>
      </c>
      <c r="AH20" s="238">
        <v>128722.28019323671</v>
      </c>
      <c r="AI20" s="238">
        <v>6661378</v>
      </c>
      <c r="AJ20" s="238" t="s">
        <v>36</v>
      </c>
      <c r="AK20" s="238"/>
      <c r="AL20" s="238">
        <v>128722.28019323671</v>
      </c>
      <c r="AM20" s="238">
        <v>0</v>
      </c>
      <c r="AN20" s="238">
        <v>6661378</v>
      </c>
      <c r="AO20" t="s">
        <v>3538</v>
      </c>
      <c r="AP20" s="238" t="s">
        <v>39</v>
      </c>
      <c r="AQ20" s="238" t="s">
        <v>39</v>
      </c>
      <c r="AR20" t="s">
        <v>8950</v>
      </c>
      <c r="AS20" t="s">
        <v>1167</v>
      </c>
      <c r="AT20" t="s">
        <v>8948</v>
      </c>
      <c r="AU20" t="s">
        <v>8974</v>
      </c>
      <c r="AV20" s="238" t="b">
        <v>1</v>
      </c>
      <c r="AW20" t="s">
        <v>36</v>
      </c>
      <c r="AX20" t="b">
        <v>1</v>
      </c>
      <c r="AY20">
        <v>6867400</v>
      </c>
      <c r="AZ20" t="s">
        <v>9002</v>
      </c>
      <c r="BA20">
        <v>0</v>
      </c>
      <c r="BB20">
        <v>6867400</v>
      </c>
      <c r="BC20">
        <v>0</v>
      </c>
      <c r="BD20" t="b">
        <v>1</v>
      </c>
      <c r="BE20" t="s">
        <v>7423</v>
      </c>
    </row>
    <row r="21" spans="1:57" x14ac:dyDescent="0.25">
      <c r="A21" s="238">
        <v>20</v>
      </c>
      <c r="B21" s="238">
        <v>2</v>
      </c>
      <c r="C21">
        <v>1</v>
      </c>
      <c r="D21" s="238">
        <v>6</v>
      </c>
      <c r="E21" s="238">
        <v>4</v>
      </c>
      <c r="F21" s="238">
        <v>3</v>
      </c>
      <c r="G21" s="238">
        <v>17.41</v>
      </c>
      <c r="H21" s="238">
        <v>11.92</v>
      </c>
      <c r="I21" s="238">
        <v>13.55</v>
      </c>
      <c r="J21" s="238">
        <v>42.879999999999995</v>
      </c>
      <c r="K21" s="238">
        <v>16.3</v>
      </c>
      <c r="L21" s="238">
        <v>3.11</v>
      </c>
      <c r="M21" s="238">
        <v>2.94</v>
      </c>
      <c r="N21" s="238">
        <v>9.27</v>
      </c>
      <c r="O21" s="238">
        <v>3.22</v>
      </c>
      <c r="P21" s="238">
        <v>3.07</v>
      </c>
      <c r="Q21" s="238">
        <v>2.98</v>
      </c>
      <c r="R21" s="238">
        <v>6.05</v>
      </c>
      <c r="S21" s="238">
        <v>83.77</v>
      </c>
      <c r="T21" s="238">
        <v>77.72</v>
      </c>
      <c r="U21" s="238">
        <v>80.75</v>
      </c>
      <c r="V21" s="238">
        <v>110670</v>
      </c>
      <c r="W21">
        <v>19330</v>
      </c>
      <c r="X21">
        <v>130000</v>
      </c>
      <c r="Y21">
        <v>0</v>
      </c>
      <c r="Z21">
        <v>130000</v>
      </c>
      <c r="AA21">
        <v>5000</v>
      </c>
      <c r="AB21">
        <v>125000</v>
      </c>
      <c r="AC21" s="238">
        <v>125000</v>
      </c>
      <c r="AD21" s="238">
        <v>10093750</v>
      </c>
      <c r="AF21" s="238"/>
      <c r="AG21" s="238">
        <v>0</v>
      </c>
      <c r="AH21" s="238">
        <v>125000</v>
      </c>
      <c r="AI21" s="238">
        <v>10093750</v>
      </c>
      <c r="AJ21" s="238" t="s">
        <v>36</v>
      </c>
      <c r="AK21" s="238"/>
      <c r="AL21" s="238">
        <v>125000</v>
      </c>
      <c r="AM21" s="238">
        <v>0</v>
      </c>
      <c r="AN21" s="238">
        <v>10093750</v>
      </c>
      <c r="AP21" s="238" t="s">
        <v>3</v>
      </c>
      <c r="AQ21" s="238" t="s">
        <v>3</v>
      </c>
      <c r="AR21" t="s">
        <v>8951</v>
      </c>
      <c r="AS21" t="s">
        <v>1167</v>
      </c>
      <c r="AT21" t="s">
        <v>8948</v>
      </c>
      <c r="AU21" t="s">
        <v>8990</v>
      </c>
      <c r="AV21" s="238" t="b">
        <v>1</v>
      </c>
      <c r="AW21" t="s">
        <v>36</v>
      </c>
      <c r="AX21" t="b">
        <v>1</v>
      </c>
      <c r="AY21">
        <v>10093750</v>
      </c>
      <c r="AZ21">
        <v>10093750</v>
      </c>
      <c r="BA21">
        <v>0</v>
      </c>
      <c r="BB21">
        <v>0</v>
      </c>
      <c r="BC21">
        <v>0</v>
      </c>
      <c r="BD21" t="b">
        <v>1</v>
      </c>
      <c r="BE21" t="s">
        <v>7424</v>
      </c>
    </row>
    <row r="22" spans="1:57" x14ac:dyDescent="0.25">
      <c r="A22" s="238">
        <v>21</v>
      </c>
      <c r="B22" s="238">
        <v>2</v>
      </c>
      <c r="C22">
        <v>1</v>
      </c>
      <c r="D22" s="238">
        <v>7</v>
      </c>
      <c r="E22" s="238">
        <v>1</v>
      </c>
      <c r="F22" s="238">
        <v>2</v>
      </c>
      <c r="G22" s="238">
        <v>17.61</v>
      </c>
      <c r="H22" s="238">
        <v>15.04</v>
      </c>
      <c r="I22" s="238"/>
      <c r="J22" s="238">
        <v>32.65</v>
      </c>
      <c r="K22" s="238">
        <v>12.85</v>
      </c>
      <c r="L22" s="238">
        <v>4.07</v>
      </c>
      <c r="M22" s="238">
        <v>2.73</v>
      </c>
      <c r="N22" s="238">
        <v>6.28</v>
      </c>
      <c r="O22" s="238"/>
      <c r="P22" s="238">
        <v>3.29</v>
      </c>
      <c r="Q22" s="238">
        <v>3.07</v>
      </c>
      <c r="R22" s="238">
        <v>6.3599999999999994</v>
      </c>
      <c r="S22" s="238">
        <v>64.94</v>
      </c>
      <c r="T22" s="238">
        <v>58.58</v>
      </c>
      <c r="U22" s="238">
        <v>61.76</v>
      </c>
      <c r="V22" s="238">
        <v>123660</v>
      </c>
      <c r="W22">
        <v>6340</v>
      </c>
      <c r="X22">
        <v>130000</v>
      </c>
      <c r="Y22">
        <v>0</v>
      </c>
      <c r="Z22">
        <v>130000</v>
      </c>
      <c r="AA22">
        <v>5000</v>
      </c>
      <c r="AB22">
        <v>125000</v>
      </c>
      <c r="AC22" s="238">
        <v>125000</v>
      </c>
      <c r="AD22" s="238">
        <v>7720000</v>
      </c>
      <c r="AF22" s="238"/>
      <c r="AG22" s="238">
        <v>0</v>
      </c>
      <c r="AH22" s="238">
        <v>125000</v>
      </c>
      <c r="AI22" s="238">
        <v>7720000</v>
      </c>
      <c r="AJ22" s="238" t="s">
        <v>36</v>
      </c>
      <c r="AK22" s="238"/>
      <c r="AL22" s="238">
        <v>125000</v>
      </c>
      <c r="AM22" s="238">
        <v>0</v>
      </c>
      <c r="AN22" s="238">
        <v>7720000</v>
      </c>
      <c r="AP22" s="238" t="s">
        <v>35</v>
      </c>
      <c r="AQ22" s="238" t="s">
        <v>35</v>
      </c>
      <c r="AR22" t="s">
        <v>8953</v>
      </c>
      <c r="AS22" t="s">
        <v>8954</v>
      </c>
      <c r="AT22" t="s">
        <v>8948</v>
      </c>
      <c r="AU22" t="s">
        <v>8974</v>
      </c>
      <c r="AV22" s="238" t="b">
        <v>1</v>
      </c>
      <c r="AW22" t="s">
        <v>36</v>
      </c>
      <c r="AX22" t="b">
        <v>1</v>
      </c>
      <c r="AY22">
        <v>7720000</v>
      </c>
      <c r="AZ22">
        <v>7720000</v>
      </c>
      <c r="BA22">
        <v>0</v>
      </c>
      <c r="BB22">
        <v>0</v>
      </c>
      <c r="BC22">
        <v>0</v>
      </c>
      <c r="BD22" t="b">
        <v>1</v>
      </c>
      <c r="BE22" t="s">
        <v>7425</v>
      </c>
    </row>
    <row r="23" spans="1:57" x14ac:dyDescent="0.25">
      <c r="A23" s="238">
        <v>22</v>
      </c>
      <c r="B23" s="238">
        <v>2</v>
      </c>
      <c r="C23">
        <v>1</v>
      </c>
      <c r="D23" s="238">
        <v>7</v>
      </c>
      <c r="E23" s="238">
        <v>2</v>
      </c>
      <c r="F23" s="238">
        <v>1</v>
      </c>
      <c r="G23" s="238">
        <v>14.34</v>
      </c>
      <c r="H23" s="238"/>
      <c r="I23" s="238"/>
      <c r="J23" s="238">
        <v>14.34</v>
      </c>
      <c r="K23" s="238">
        <v>9.92</v>
      </c>
      <c r="L23" s="238">
        <v>4</v>
      </c>
      <c r="M23" s="238"/>
      <c r="N23" s="238">
        <v>3.41</v>
      </c>
      <c r="O23" s="238">
        <v>2.37</v>
      </c>
      <c r="P23" s="238">
        <v>2.91</v>
      </c>
      <c r="Q23" s="238"/>
      <c r="R23" s="238">
        <v>2.91</v>
      </c>
      <c r="S23" s="238">
        <v>36.950000000000003</v>
      </c>
      <c r="T23" s="238">
        <v>34.04</v>
      </c>
      <c r="U23" s="238">
        <v>35.5</v>
      </c>
      <c r="V23" s="238">
        <v>137800</v>
      </c>
      <c r="X23">
        <v>137800</v>
      </c>
      <c r="Y23">
        <v>0</v>
      </c>
      <c r="Z23">
        <v>137800</v>
      </c>
      <c r="AB23">
        <v>137800</v>
      </c>
      <c r="AC23" s="238">
        <v>137800</v>
      </c>
      <c r="AD23" s="238">
        <v>4891900</v>
      </c>
      <c r="AF23" s="238"/>
      <c r="AG23" s="238">
        <v>0</v>
      </c>
      <c r="AH23" s="238">
        <v>137800</v>
      </c>
      <c r="AI23" s="238">
        <v>4891900</v>
      </c>
      <c r="AJ23" s="238" t="s">
        <v>36</v>
      </c>
      <c r="AK23" s="238"/>
      <c r="AL23" s="238">
        <v>137800</v>
      </c>
      <c r="AM23" s="238">
        <v>0</v>
      </c>
      <c r="AN23" s="238">
        <v>4891900</v>
      </c>
      <c r="AP23" s="238" t="s">
        <v>35</v>
      </c>
      <c r="AQ23" s="238" t="s">
        <v>35</v>
      </c>
      <c r="AR23" t="s">
        <v>8953</v>
      </c>
      <c r="AS23" t="s">
        <v>8954</v>
      </c>
      <c r="AT23" t="s">
        <v>8948</v>
      </c>
      <c r="AU23" t="s">
        <v>8973</v>
      </c>
      <c r="AV23" s="238" t="b">
        <v>1</v>
      </c>
      <c r="AW23" t="s">
        <v>36</v>
      </c>
      <c r="AX23" t="b">
        <v>1</v>
      </c>
      <c r="AY23">
        <v>4891900</v>
      </c>
      <c r="AZ23">
        <v>4891900</v>
      </c>
      <c r="BA23">
        <v>0</v>
      </c>
      <c r="BB23">
        <v>0</v>
      </c>
      <c r="BC23">
        <v>0</v>
      </c>
      <c r="BD23" t="b">
        <v>1</v>
      </c>
      <c r="BE23" t="s">
        <v>7426</v>
      </c>
    </row>
    <row r="24" spans="1:57" x14ac:dyDescent="0.25">
      <c r="A24" s="238">
        <v>23</v>
      </c>
      <c r="B24" s="238">
        <v>2</v>
      </c>
      <c r="C24">
        <v>1</v>
      </c>
      <c r="D24" s="238">
        <v>7</v>
      </c>
      <c r="E24" s="238">
        <v>3</v>
      </c>
      <c r="F24" s="238">
        <v>2</v>
      </c>
      <c r="G24" s="238">
        <v>14.94</v>
      </c>
      <c r="H24" s="238">
        <v>10.61</v>
      </c>
      <c r="I24" s="238"/>
      <c r="J24" s="238">
        <v>25.549999999999997</v>
      </c>
      <c r="K24" s="238">
        <v>13.05</v>
      </c>
      <c r="L24" s="238">
        <v>4.01</v>
      </c>
      <c r="M24" s="238"/>
      <c r="N24" s="238">
        <v>7.75</v>
      </c>
      <c r="O24" s="238"/>
      <c r="P24" s="238">
        <v>2.78</v>
      </c>
      <c r="Q24" s="238"/>
      <c r="R24" s="238">
        <v>2.78</v>
      </c>
      <c r="S24" s="238">
        <v>53.14</v>
      </c>
      <c r="T24" s="238">
        <v>50.36</v>
      </c>
      <c r="U24" s="238">
        <v>51.75</v>
      </c>
      <c r="V24" s="238">
        <v>109620</v>
      </c>
      <c r="W24">
        <v>20380</v>
      </c>
      <c r="X24">
        <v>130000</v>
      </c>
      <c r="Y24">
        <v>100.48309178743511</v>
      </c>
      <c r="Z24">
        <v>130100.48309178744</v>
      </c>
      <c r="AB24">
        <v>130100.48309178744</v>
      </c>
      <c r="AC24" s="238">
        <v>130100.48</v>
      </c>
      <c r="AD24" s="238">
        <v>6732700</v>
      </c>
      <c r="AF24" s="238">
        <v>0.02</v>
      </c>
      <c r="AG24" s="238">
        <v>134654</v>
      </c>
      <c r="AH24" s="238">
        <v>127498.47342995169</v>
      </c>
      <c r="AI24" s="238">
        <v>6598046</v>
      </c>
      <c r="AJ24" s="238" t="s">
        <v>36</v>
      </c>
      <c r="AK24" s="238"/>
      <c r="AL24" s="238">
        <v>127498.47342995169</v>
      </c>
      <c r="AM24" s="238">
        <v>0</v>
      </c>
      <c r="AN24" s="238">
        <v>6598046</v>
      </c>
      <c r="AO24" t="s">
        <v>3540</v>
      </c>
      <c r="AP24" s="238" t="s">
        <v>39</v>
      </c>
      <c r="AQ24" s="238" t="s">
        <v>39</v>
      </c>
      <c r="AR24" t="s">
        <v>8950</v>
      </c>
      <c r="AS24" t="s">
        <v>1167</v>
      </c>
      <c r="AT24" t="s">
        <v>8948</v>
      </c>
      <c r="AU24" t="s">
        <v>8974</v>
      </c>
      <c r="AV24" s="238" t="b">
        <v>1</v>
      </c>
      <c r="AW24" t="s">
        <v>36</v>
      </c>
      <c r="AX24" t="b">
        <v>1</v>
      </c>
      <c r="AY24">
        <v>6732700</v>
      </c>
      <c r="AZ24" t="s">
        <v>9002</v>
      </c>
      <c r="BA24">
        <v>6732700</v>
      </c>
      <c r="BB24">
        <v>6732700</v>
      </c>
      <c r="BC24">
        <v>0</v>
      </c>
      <c r="BD24" t="b">
        <v>1</v>
      </c>
      <c r="BE24" t="s">
        <v>7427</v>
      </c>
    </row>
    <row r="25" spans="1:57" x14ac:dyDescent="0.25">
      <c r="A25" s="238">
        <v>24</v>
      </c>
      <c r="B25" s="238">
        <v>2</v>
      </c>
      <c r="C25">
        <v>1</v>
      </c>
      <c r="D25" s="238">
        <v>7</v>
      </c>
      <c r="E25" s="238">
        <v>4</v>
      </c>
      <c r="F25" s="238">
        <v>3</v>
      </c>
      <c r="G25" s="238">
        <v>17.41</v>
      </c>
      <c r="H25" s="238">
        <v>11.92</v>
      </c>
      <c r="I25" s="238">
        <v>13.55</v>
      </c>
      <c r="J25" s="238">
        <v>42.879999999999995</v>
      </c>
      <c r="K25" s="238">
        <v>16.3</v>
      </c>
      <c r="L25" s="238">
        <v>3.11</v>
      </c>
      <c r="M25" s="238">
        <v>2.94</v>
      </c>
      <c r="N25" s="238">
        <v>9.27</v>
      </c>
      <c r="O25" s="238">
        <v>3.22</v>
      </c>
      <c r="P25" s="238">
        <v>3.07</v>
      </c>
      <c r="Q25" s="238">
        <v>2.98</v>
      </c>
      <c r="R25" s="238">
        <v>6.05</v>
      </c>
      <c r="S25" s="238">
        <v>83.77</v>
      </c>
      <c r="T25" s="238">
        <v>77.72</v>
      </c>
      <c r="U25" s="238">
        <v>80.75</v>
      </c>
      <c r="V25" s="238">
        <v>110670</v>
      </c>
      <c r="W25">
        <v>19330</v>
      </c>
      <c r="X25">
        <v>130000</v>
      </c>
      <c r="Y25">
        <v>0</v>
      </c>
      <c r="Z25">
        <v>130000</v>
      </c>
      <c r="AA25">
        <v>5000</v>
      </c>
      <c r="AB25">
        <v>125000</v>
      </c>
      <c r="AC25" s="238">
        <v>125000</v>
      </c>
      <c r="AD25" s="238">
        <v>10093750</v>
      </c>
      <c r="AF25" s="238"/>
      <c r="AG25" s="238">
        <v>0</v>
      </c>
      <c r="AH25" s="238">
        <v>125000</v>
      </c>
      <c r="AI25" s="238">
        <v>10093750</v>
      </c>
      <c r="AJ25" s="238" t="s">
        <v>36</v>
      </c>
      <c r="AK25" s="238"/>
      <c r="AL25" s="238">
        <v>125000</v>
      </c>
      <c r="AM25" s="238">
        <v>0</v>
      </c>
      <c r="AN25" s="238">
        <v>10093750</v>
      </c>
      <c r="AP25" s="238" t="s">
        <v>35</v>
      </c>
      <c r="AQ25" s="238" t="s">
        <v>35</v>
      </c>
      <c r="AR25" t="s">
        <v>8953</v>
      </c>
      <c r="AS25" t="s">
        <v>8954</v>
      </c>
      <c r="AT25" t="s">
        <v>8948</v>
      </c>
      <c r="AU25" t="s">
        <v>8990</v>
      </c>
      <c r="AV25" s="238" t="b">
        <v>1</v>
      </c>
      <c r="AW25" t="s">
        <v>36</v>
      </c>
      <c r="AX25" t="b">
        <v>1</v>
      </c>
      <c r="AY25">
        <v>10093750</v>
      </c>
      <c r="AZ25">
        <v>10093750</v>
      </c>
      <c r="BA25">
        <v>0</v>
      </c>
      <c r="BB25">
        <v>0</v>
      </c>
      <c r="BC25">
        <v>0</v>
      </c>
      <c r="BD25" t="b">
        <v>1</v>
      </c>
      <c r="BE25" t="s">
        <v>7428</v>
      </c>
    </row>
    <row r="26" spans="1:57" x14ac:dyDescent="0.25">
      <c r="A26" s="238">
        <v>25</v>
      </c>
      <c r="B26" s="238">
        <v>2</v>
      </c>
      <c r="C26">
        <v>1</v>
      </c>
      <c r="D26" s="238">
        <v>8</v>
      </c>
      <c r="E26" s="238">
        <v>1</v>
      </c>
      <c r="F26" s="238">
        <v>2</v>
      </c>
      <c r="G26" s="238">
        <v>17.61</v>
      </c>
      <c r="H26" s="238">
        <v>15.04</v>
      </c>
      <c r="I26" s="238"/>
      <c r="J26" s="238">
        <v>32.65</v>
      </c>
      <c r="K26" s="238">
        <v>12.85</v>
      </c>
      <c r="L26" s="238">
        <v>4.07</v>
      </c>
      <c r="M26" s="238">
        <v>2.73</v>
      </c>
      <c r="N26" s="238">
        <v>6.28</v>
      </c>
      <c r="O26" s="238"/>
      <c r="P26" s="238">
        <v>3.29</v>
      </c>
      <c r="Q26" s="238">
        <v>3.07</v>
      </c>
      <c r="R26" s="238">
        <v>6.3599999999999994</v>
      </c>
      <c r="S26" s="238">
        <v>64.94</v>
      </c>
      <c r="T26" s="238">
        <v>58.58</v>
      </c>
      <c r="U26" s="238">
        <v>61.76</v>
      </c>
      <c r="V26" s="238">
        <v>123660</v>
      </c>
      <c r="W26">
        <v>6340</v>
      </c>
      <c r="X26">
        <v>130000</v>
      </c>
      <c r="Y26">
        <v>0</v>
      </c>
      <c r="Z26">
        <v>130000</v>
      </c>
      <c r="AA26">
        <v>5000</v>
      </c>
      <c r="AB26">
        <v>125000</v>
      </c>
      <c r="AC26" s="238">
        <v>125000</v>
      </c>
      <c r="AD26" s="238">
        <v>7720000</v>
      </c>
      <c r="AF26" s="238"/>
      <c r="AG26" s="238">
        <v>0</v>
      </c>
      <c r="AH26" s="238">
        <v>125000</v>
      </c>
      <c r="AI26" s="238">
        <v>7720000</v>
      </c>
      <c r="AJ26" s="238" t="s">
        <v>36</v>
      </c>
      <c r="AK26" s="238"/>
      <c r="AL26" s="238">
        <v>125000</v>
      </c>
      <c r="AM26" s="238">
        <v>0</v>
      </c>
      <c r="AN26" s="238">
        <v>7720000</v>
      </c>
      <c r="AP26" s="238" t="s">
        <v>3</v>
      </c>
      <c r="AQ26" s="238" t="s">
        <v>3</v>
      </c>
      <c r="AR26" t="s">
        <v>8951</v>
      </c>
      <c r="AS26" t="s">
        <v>1167</v>
      </c>
      <c r="AT26" t="s">
        <v>8948</v>
      </c>
      <c r="AU26" t="s">
        <v>8974</v>
      </c>
      <c r="AV26" s="238" t="b">
        <v>1</v>
      </c>
      <c r="AW26" t="s">
        <v>36</v>
      </c>
      <c r="AX26" t="b">
        <v>1</v>
      </c>
      <c r="AY26">
        <v>7720000</v>
      </c>
      <c r="AZ26">
        <v>7720000</v>
      </c>
      <c r="BA26">
        <v>0</v>
      </c>
      <c r="BB26">
        <v>0</v>
      </c>
      <c r="BC26">
        <v>0</v>
      </c>
      <c r="BD26" t="b">
        <v>1</v>
      </c>
      <c r="BE26" t="s">
        <v>7429</v>
      </c>
    </row>
    <row r="27" spans="1:57" x14ac:dyDescent="0.25">
      <c r="A27" s="238">
        <v>26</v>
      </c>
      <c r="B27" s="238">
        <v>2</v>
      </c>
      <c r="C27">
        <v>1</v>
      </c>
      <c r="D27" s="238">
        <v>8</v>
      </c>
      <c r="E27" s="238">
        <v>2</v>
      </c>
      <c r="F27" s="238">
        <v>1</v>
      </c>
      <c r="G27" s="238">
        <v>14.34</v>
      </c>
      <c r="H27" s="238"/>
      <c r="I27" s="238"/>
      <c r="J27" s="238">
        <v>14.34</v>
      </c>
      <c r="K27" s="238">
        <v>9.92</v>
      </c>
      <c r="L27" s="238">
        <v>4</v>
      </c>
      <c r="M27" s="238"/>
      <c r="N27" s="238">
        <v>3.41</v>
      </c>
      <c r="O27" s="238">
        <v>2.37</v>
      </c>
      <c r="P27" s="238">
        <v>2.91</v>
      </c>
      <c r="Q27" s="238"/>
      <c r="R27" s="238">
        <v>2.91</v>
      </c>
      <c r="S27" s="238">
        <v>36.950000000000003</v>
      </c>
      <c r="T27" s="238">
        <v>34.04</v>
      </c>
      <c r="U27" s="238">
        <v>35.5</v>
      </c>
      <c r="V27" s="238">
        <v>137800</v>
      </c>
      <c r="X27">
        <v>137800</v>
      </c>
      <c r="Y27">
        <v>118.30985915492056</v>
      </c>
      <c r="Z27">
        <v>137918.30985915492</v>
      </c>
      <c r="AB27">
        <v>137918.30985915492</v>
      </c>
      <c r="AC27" s="238">
        <v>137918.31</v>
      </c>
      <c r="AD27" s="238">
        <v>4896100</v>
      </c>
      <c r="AF27" s="238">
        <v>0.02</v>
      </c>
      <c r="AG27" s="238">
        <v>97922</v>
      </c>
      <c r="AH27" s="238">
        <v>135159.94366197183</v>
      </c>
      <c r="AI27" s="238">
        <v>4798178</v>
      </c>
      <c r="AJ27" s="238" t="s">
        <v>36</v>
      </c>
      <c r="AK27" s="238"/>
      <c r="AL27" s="238">
        <v>135159.94366197183</v>
      </c>
      <c r="AM27" s="238">
        <v>0</v>
      </c>
      <c r="AN27" s="238">
        <v>4798178</v>
      </c>
      <c r="AO27" t="s">
        <v>3540</v>
      </c>
      <c r="AP27" s="238" t="s">
        <v>39</v>
      </c>
      <c r="AQ27" s="238" t="s">
        <v>39</v>
      </c>
      <c r="AR27" t="s">
        <v>8950</v>
      </c>
      <c r="AS27" t="s">
        <v>1167</v>
      </c>
      <c r="AT27" t="s">
        <v>8948</v>
      </c>
      <c r="AU27" t="s">
        <v>8973</v>
      </c>
      <c r="AV27" s="238" t="b">
        <v>1</v>
      </c>
      <c r="AW27" t="s">
        <v>36</v>
      </c>
      <c r="AX27" t="b">
        <v>1</v>
      </c>
      <c r="AY27">
        <v>4896100</v>
      </c>
      <c r="AZ27" t="s">
        <v>9002</v>
      </c>
      <c r="BA27">
        <v>0</v>
      </c>
      <c r="BB27">
        <v>4896100</v>
      </c>
      <c r="BC27">
        <v>0</v>
      </c>
      <c r="BD27" t="b">
        <v>1</v>
      </c>
      <c r="BE27" t="s">
        <v>7430</v>
      </c>
    </row>
    <row r="28" spans="1:57" x14ac:dyDescent="0.25">
      <c r="A28" s="238">
        <v>27</v>
      </c>
      <c r="B28" s="238">
        <v>2</v>
      </c>
      <c r="C28">
        <v>1</v>
      </c>
      <c r="D28" s="238">
        <v>8</v>
      </c>
      <c r="E28" s="238">
        <v>3</v>
      </c>
      <c r="F28" s="238">
        <v>2</v>
      </c>
      <c r="G28" s="238">
        <v>14.94</v>
      </c>
      <c r="H28" s="238">
        <v>10.61</v>
      </c>
      <c r="I28" s="238"/>
      <c r="J28" s="238">
        <v>25.549999999999997</v>
      </c>
      <c r="K28" s="238">
        <v>13.05</v>
      </c>
      <c r="L28" s="238">
        <v>4.01</v>
      </c>
      <c r="M28" s="238"/>
      <c r="N28" s="238">
        <v>7.75</v>
      </c>
      <c r="O28" s="238"/>
      <c r="P28" s="238">
        <v>2.78</v>
      </c>
      <c r="Q28" s="238"/>
      <c r="R28" s="238">
        <v>2.78</v>
      </c>
      <c r="S28" s="238">
        <v>53.14</v>
      </c>
      <c r="T28" s="238">
        <v>50.36</v>
      </c>
      <c r="U28" s="238">
        <v>51.75</v>
      </c>
      <c r="V28" s="238">
        <v>111780</v>
      </c>
      <c r="W28">
        <v>20820</v>
      </c>
      <c r="X28">
        <v>132600</v>
      </c>
      <c r="Y28">
        <v>1</v>
      </c>
      <c r="Z28">
        <v>132601</v>
      </c>
      <c r="AA28">
        <v>5000</v>
      </c>
      <c r="AB28">
        <v>127601</v>
      </c>
      <c r="AC28" s="238">
        <v>127601</v>
      </c>
      <c r="AD28" s="238">
        <v>6603352</v>
      </c>
      <c r="AF28" s="238"/>
      <c r="AG28" s="238">
        <v>0</v>
      </c>
      <c r="AH28" s="238">
        <v>127601.00483091788</v>
      </c>
      <c r="AI28" s="238">
        <v>6603352</v>
      </c>
      <c r="AJ28" s="238" t="s">
        <v>36</v>
      </c>
      <c r="AK28" s="238"/>
      <c r="AL28" s="238">
        <v>127601.00483091788</v>
      </c>
      <c r="AM28" s="238">
        <v>0</v>
      </c>
      <c r="AN28" s="238">
        <v>6603352</v>
      </c>
      <c r="AP28" s="238" t="s">
        <v>35</v>
      </c>
      <c r="AQ28" s="238" t="s">
        <v>35</v>
      </c>
      <c r="AR28" t="s">
        <v>8953</v>
      </c>
      <c r="AS28" t="s">
        <v>8954</v>
      </c>
      <c r="AT28" t="s">
        <v>8948</v>
      </c>
      <c r="AU28" t="s">
        <v>8974</v>
      </c>
      <c r="AV28" s="238" t="b">
        <v>1</v>
      </c>
      <c r="AW28" t="s">
        <v>36</v>
      </c>
      <c r="AX28" t="b">
        <v>1</v>
      </c>
      <c r="AY28">
        <v>6603352</v>
      </c>
      <c r="AZ28">
        <v>6603352</v>
      </c>
      <c r="BA28">
        <v>0</v>
      </c>
      <c r="BB28">
        <v>0</v>
      </c>
      <c r="BC28">
        <v>0</v>
      </c>
      <c r="BD28" t="b">
        <v>1</v>
      </c>
      <c r="BE28" t="s">
        <v>7431</v>
      </c>
    </row>
    <row r="29" spans="1:57" x14ac:dyDescent="0.25">
      <c r="A29" s="238">
        <v>28</v>
      </c>
      <c r="B29" s="238">
        <v>2</v>
      </c>
      <c r="C29">
        <v>1</v>
      </c>
      <c r="D29" s="238">
        <v>8</v>
      </c>
      <c r="E29" s="238">
        <v>4</v>
      </c>
      <c r="F29" s="238">
        <v>3</v>
      </c>
      <c r="G29" s="238">
        <v>17.41</v>
      </c>
      <c r="H29" s="238">
        <v>11.92</v>
      </c>
      <c r="I29" s="238">
        <v>13.55</v>
      </c>
      <c r="J29" s="238">
        <v>42.879999999999995</v>
      </c>
      <c r="K29" s="238">
        <v>16.3</v>
      </c>
      <c r="L29" s="238">
        <v>3.11</v>
      </c>
      <c r="M29" s="238">
        <v>2.94</v>
      </c>
      <c r="N29" s="238">
        <v>9.27</v>
      </c>
      <c r="O29" s="238">
        <v>3.22</v>
      </c>
      <c r="P29" s="238">
        <v>3.07</v>
      </c>
      <c r="Q29" s="238">
        <v>2.98</v>
      </c>
      <c r="R29" s="238">
        <v>6.05</v>
      </c>
      <c r="S29" s="238">
        <v>83.77</v>
      </c>
      <c r="T29" s="238">
        <v>77.72</v>
      </c>
      <c r="U29" s="238">
        <v>80.75</v>
      </c>
      <c r="V29" s="238">
        <v>110670</v>
      </c>
      <c r="W29">
        <v>19330</v>
      </c>
      <c r="X29">
        <v>130000</v>
      </c>
      <c r="Y29">
        <v>0</v>
      </c>
      <c r="Z29">
        <v>130000</v>
      </c>
      <c r="AA29">
        <v>5000</v>
      </c>
      <c r="AB29">
        <v>125000</v>
      </c>
      <c r="AC29" s="238">
        <v>125000</v>
      </c>
      <c r="AD29" s="238">
        <v>10093750</v>
      </c>
      <c r="AF29" s="238"/>
      <c r="AG29" s="238">
        <v>0</v>
      </c>
      <c r="AH29" s="238">
        <v>125000</v>
      </c>
      <c r="AI29" s="238">
        <v>10093750</v>
      </c>
      <c r="AJ29" s="238" t="s">
        <v>36</v>
      </c>
      <c r="AK29" s="238"/>
      <c r="AL29" s="238">
        <v>125000</v>
      </c>
      <c r="AM29" s="238">
        <v>0</v>
      </c>
      <c r="AN29" s="238">
        <v>10093750</v>
      </c>
      <c r="AP29" s="238" t="s">
        <v>35</v>
      </c>
      <c r="AQ29" s="238" t="s">
        <v>35</v>
      </c>
      <c r="AR29" t="s">
        <v>8953</v>
      </c>
      <c r="AS29" t="s">
        <v>8954</v>
      </c>
      <c r="AT29" t="s">
        <v>8948</v>
      </c>
      <c r="AU29" t="s">
        <v>8990</v>
      </c>
      <c r="AV29" s="238" t="b">
        <v>1</v>
      </c>
      <c r="AW29" t="s">
        <v>36</v>
      </c>
      <c r="AX29" t="b">
        <v>1</v>
      </c>
      <c r="AY29">
        <v>10093750</v>
      </c>
      <c r="AZ29">
        <v>10093750</v>
      </c>
      <c r="BA29">
        <v>0</v>
      </c>
      <c r="BB29">
        <v>0</v>
      </c>
      <c r="BC29">
        <v>0</v>
      </c>
      <c r="BD29" t="b">
        <v>1</v>
      </c>
      <c r="BE29" t="s">
        <v>7432</v>
      </c>
    </row>
    <row r="30" spans="1:57" x14ac:dyDescent="0.25">
      <c r="A30" s="238">
        <v>29</v>
      </c>
      <c r="B30" s="238">
        <v>2</v>
      </c>
      <c r="C30">
        <v>1</v>
      </c>
      <c r="D30" s="238">
        <v>9</v>
      </c>
      <c r="E30" s="238">
        <v>1</v>
      </c>
      <c r="F30" s="238">
        <v>2</v>
      </c>
      <c r="G30" s="238">
        <v>17.61</v>
      </c>
      <c r="H30" s="238">
        <v>15.04</v>
      </c>
      <c r="I30" s="238"/>
      <c r="J30" s="238">
        <v>32.65</v>
      </c>
      <c r="K30" s="238">
        <v>12.85</v>
      </c>
      <c r="L30" s="238">
        <v>4.07</v>
      </c>
      <c r="M30" s="238">
        <v>2.73</v>
      </c>
      <c r="N30" s="238">
        <v>6.28</v>
      </c>
      <c r="O30" s="238"/>
      <c r="P30" s="238">
        <v>3.29</v>
      </c>
      <c r="Q30" s="238">
        <v>3.07</v>
      </c>
      <c r="R30" s="238">
        <v>6.3599999999999994</v>
      </c>
      <c r="S30" s="238">
        <v>64.94</v>
      </c>
      <c r="T30" s="238">
        <v>58.58</v>
      </c>
      <c r="U30" s="238">
        <v>61.76</v>
      </c>
      <c r="V30" s="238">
        <v>123660</v>
      </c>
      <c r="W30">
        <v>6340</v>
      </c>
      <c r="X30">
        <v>130000</v>
      </c>
      <c r="Y30">
        <v>-736.72279792746133</v>
      </c>
      <c r="Z30">
        <v>129263.27720207254</v>
      </c>
      <c r="AB30">
        <v>129263.27720207254</v>
      </c>
      <c r="AC30" s="238">
        <v>129263.28</v>
      </c>
      <c r="AD30" s="238">
        <v>7983300</v>
      </c>
      <c r="AF30" s="238">
        <v>0.02</v>
      </c>
      <c r="AG30" s="238">
        <v>159666</v>
      </c>
      <c r="AH30" s="238">
        <v>126678.01165803109</v>
      </c>
      <c r="AI30" s="238">
        <v>7823634</v>
      </c>
      <c r="AJ30" s="238" t="s">
        <v>8787</v>
      </c>
      <c r="AK30" s="238">
        <v>10000</v>
      </c>
      <c r="AL30" s="238">
        <v>136678.01165803109</v>
      </c>
      <c r="AM30" s="238">
        <v>617600</v>
      </c>
      <c r="AN30" s="238">
        <v>8441234</v>
      </c>
      <c r="AO30" t="s">
        <v>3540</v>
      </c>
      <c r="AP30" s="238" t="s">
        <v>39</v>
      </c>
      <c r="AQ30" s="238" t="s">
        <v>39</v>
      </c>
      <c r="AR30" t="s">
        <v>8950</v>
      </c>
      <c r="AS30" t="s">
        <v>1167</v>
      </c>
      <c r="AT30" t="s">
        <v>8948</v>
      </c>
      <c r="AU30" t="s">
        <v>8974</v>
      </c>
      <c r="AV30" s="238" t="b">
        <v>1</v>
      </c>
      <c r="AW30" t="s">
        <v>8787</v>
      </c>
      <c r="AX30" t="b">
        <v>1</v>
      </c>
      <c r="AY30">
        <v>7983300</v>
      </c>
      <c r="AZ30" t="s">
        <v>9002</v>
      </c>
      <c r="BA30">
        <v>0</v>
      </c>
      <c r="BB30">
        <v>7983300</v>
      </c>
      <c r="BC30">
        <v>0</v>
      </c>
      <c r="BD30" t="b">
        <v>1</v>
      </c>
      <c r="BE30" t="s">
        <v>7433</v>
      </c>
    </row>
    <row r="31" spans="1:57" x14ac:dyDescent="0.25">
      <c r="A31" s="238">
        <v>30</v>
      </c>
      <c r="B31" s="238">
        <v>2</v>
      </c>
      <c r="C31">
        <v>1</v>
      </c>
      <c r="D31" s="238">
        <v>9</v>
      </c>
      <c r="E31" s="238">
        <v>2</v>
      </c>
      <c r="F31" s="238">
        <v>1</v>
      </c>
      <c r="G31" s="238">
        <v>14.34</v>
      </c>
      <c r="H31" s="238"/>
      <c r="I31" s="238"/>
      <c r="J31" s="238">
        <v>14.34</v>
      </c>
      <c r="K31" s="238">
        <v>9.92</v>
      </c>
      <c r="L31" s="238">
        <v>4</v>
      </c>
      <c r="M31" s="238"/>
      <c r="N31" s="238">
        <v>3.41</v>
      </c>
      <c r="O31" s="238">
        <v>2.37</v>
      </c>
      <c r="P31" s="238">
        <v>2.91</v>
      </c>
      <c r="Q31" s="238"/>
      <c r="R31" s="238">
        <v>2.91</v>
      </c>
      <c r="S31" s="238">
        <v>36.950000000000003</v>
      </c>
      <c r="T31" s="238">
        <v>34.04</v>
      </c>
      <c r="U31" s="238">
        <v>35.5</v>
      </c>
      <c r="V31" s="238">
        <v>137800</v>
      </c>
      <c r="X31">
        <v>137800</v>
      </c>
      <c r="Y31">
        <v>0</v>
      </c>
      <c r="Z31">
        <v>137800</v>
      </c>
      <c r="AB31">
        <v>137800</v>
      </c>
      <c r="AC31" s="238">
        <v>137800</v>
      </c>
      <c r="AD31" s="238">
        <v>4891900</v>
      </c>
      <c r="AF31" s="238"/>
      <c r="AG31" s="238">
        <v>0</v>
      </c>
      <c r="AH31" s="238">
        <v>137800</v>
      </c>
      <c r="AI31" s="238">
        <v>4891900</v>
      </c>
      <c r="AJ31" s="238" t="s">
        <v>36</v>
      </c>
      <c r="AK31" s="238"/>
      <c r="AL31" s="238">
        <v>137800</v>
      </c>
      <c r="AM31" s="238">
        <v>0</v>
      </c>
      <c r="AN31" s="238">
        <v>4891900</v>
      </c>
      <c r="AP31" s="238" t="s">
        <v>35</v>
      </c>
      <c r="AQ31" s="238" t="s">
        <v>35</v>
      </c>
      <c r="AR31" t="s">
        <v>8953</v>
      </c>
      <c r="AS31" t="s">
        <v>8954</v>
      </c>
      <c r="AT31" t="s">
        <v>8948</v>
      </c>
      <c r="AU31" t="s">
        <v>8973</v>
      </c>
      <c r="AV31" s="238" t="b">
        <v>1</v>
      </c>
      <c r="AW31" t="s">
        <v>36</v>
      </c>
      <c r="AX31" t="b">
        <v>1</v>
      </c>
      <c r="AY31">
        <v>4891900</v>
      </c>
      <c r="AZ31">
        <v>4891900</v>
      </c>
      <c r="BA31">
        <v>0</v>
      </c>
      <c r="BB31">
        <v>0</v>
      </c>
      <c r="BC31">
        <v>0</v>
      </c>
      <c r="BD31" t="b">
        <v>1</v>
      </c>
      <c r="BE31" t="s">
        <v>7434</v>
      </c>
    </row>
    <row r="32" spans="1:57" x14ac:dyDescent="0.25">
      <c r="A32" s="238">
        <v>31</v>
      </c>
      <c r="B32" s="238">
        <v>2</v>
      </c>
      <c r="C32">
        <v>1</v>
      </c>
      <c r="D32" s="238">
        <v>9</v>
      </c>
      <c r="E32" s="238">
        <v>3</v>
      </c>
      <c r="F32" s="238">
        <v>2</v>
      </c>
      <c r="G32" s="238">
        <v>14.94</v>
      </c>
      <c r="H32" s="238">
        <v>10.61</v>
      </c>
      <c r="I32" s="238"/>
      <c r="J32" s="238">
        <v>25.549999999999997</v>
      </c>
      <c r="K32" s="238">
        <v>13.05</v>
      </c>
      <c r="L32" s="238">
        <v>4.01</v>
      </c>
      <c r="M32" s="238"/>
      <c r="N32" s="238">
        <v>7.75</v>
      </c>
      <c r="O32" s="238"/>
      <c r="P32" s="238">
        <v>2.78</v>
      </c>
      <c r="Q32" s="238"/>
      <c r="R32" s="238">
        <v>2.78</v>
      </c>
      <c r="S32" s="238">
        <v>53.14</v>
      </c>
      <c r="T32" s="238">
        <v>50.36</v>
      </c>
      <c r="U32" s="238">
        <v>51.75</v>
      </c>
      <c r="V32" s="238">
        <v>109620</v>
      </c>
      <c r="W32">
        <v>20380</v>
      </c>
      <c r="X32">
        <v>130000</v>
      </c>
      <c r="Y32">
        <v>0</v>
      </c>
      <c r="Z32">
        <v>130000</v>
      </c>
      <c r="AA32">
        <v>5000</v>
      </c>
      <c r="AB32">
        <v>125000</v>
      </c>
      <c r="AC32" s="238">
        <v>125000</v>
      </c>
      <c r="AD32" s="238">
        <v>6468750</v>
      </c>
      <c r="AF32" s="238"/>
      <c r="AG32" s="238">
        <v>0</v>
      </c>
      <c r="AH32" s="238">
        <v>125000</v>
      </c>
      <c r="AI32" s="238">
        <v>6468750</v>
      </c>
      <c r="AJ32" s="238" t="s">
        <v>36</v>
      </c>
      <c r="AK32" s="238"/>
      <c r="AL32" s="238">
        <v>125000</v>
      </c>
      <c r="AM32" s="238">
        <v>0</v>
      </c>
      <c r="AN32" s="238">
        <v>6468750</v>
      </c>
      <c r="AP32" s="238" t="s">
        <v>3</v>
      </c>
      <c r="AQ32" s="238" t="s">
        <v>3</v>
      </c>
      <c r="AR32" t="s">
        <v>8951</v>
      </c>
      <c r="AS32" t="s">
        <v>1167</v>
      </c>
      <c r="AT32" t="s">
        <v>8948</v>
      </c>
      <c r="AU32" t="s">
        <v>8974</v>
      </c>
      <c r="AV32" s="238" t="b">
        <v>1</v>
      </c>
      <c r="AW32" t="s">
        <v>36</v>
      </c>
      <c r="AX32" t="b">
        <v>1</v>
      </c>
      <c r="AY32">
        <v>6468750</v>
      </c>
      <c r="AZ32">
        <v>6468750</v>
      </c>
      <c r="BA32">
        <v>0</v>
      </c>
      <c r="BB32">
        <v>0</v>
      </c>
      <c r="BC32">
        <v>0</v>
      </c>
      <c r="BD32" t="b">
        <v>1</v>
      </c>
      <c r="BE32" t="s">
        <v>7435</v>
      </c>
    </row>
    <row r="33" spans="1:57" x14ac:dyDescent="0.25">
      <c r="A33" s="238">
        <v>32</v>
      </c>
      <c r="B33" s="238">
        <v>2</v>
      </c>
      <c r="C33">
        <v>1</v>
      </c>
      <c r="D33" s="238">
        <v>9</v>
      </c>
      <c r="E33" s="238">
        <v>4</v>
      </c>
      <c r="F33" s="238">
        <v>3</v>
      </c>
      <c r="G33" s="238">
        <v>17.41</v>
      </c>
      <c r="H33" s="238">
        <v>11.92</v>
      </c>
      <c r="I33" s="238">
        <v>13.55</v>
      </c>
      <c r="J33" s="238">
        <v>42.879999999999995</v>
      </c>
      <c r="K33" s="238">
        <v>16.3</v>
      </c>
      <c r="L33" s="238">
        <v>3.11</v>
      </c>
      <c r="M33" s="238">
        <v>2.94</v>
      </c>
      <c r="N33" s="238">
        <v>9.27</v>
      </c>
      <c r="O33" s="238">
        <v>3.22</v>
      </c>
      <c r="P33" s="238">
        <v>3.07</v>
      </c>
      <c r="Q33" s="238">
        <v>2.98</v>
      </c>
      <c r="R33" s="238">
        <v>6.05</v>
      </c>
      <c r="S33" s="238">
        <v>83.77</v>
      </c>
      <c r="T33" s="238">
        <v>77.72</v>
      </c>
      <c r="U33" s="238">
        <v>80.75</v>
      </c>
      <c r="V33" s="238">
        <v>110670</v>
      </c>
      <c r="W33">
        <v>19330</v>
      </c>
      <c r="X33">
        <v>130000</v>
      </c>
      <c r="Y33">
        <v>0</v>
      </c>
      <c r="Z33">
        <v>130000</v>
      </c>
      <c r="AA33">
        <v>5000</v>
      </c>
      <c r="AB33">
        <v>125000</v>
      </c>
      <c r="AC33" s="238">
        <v>125000</v>
      </c>
      <c r="AD33" s="238">
        <v>10093750</v>
      </c>
      <c r="AF33" s="238"/>
      <c r="AG33" s="238">
        <v>0</v>
      </c>
      <c r="AH33" s="238">
        <v>125000</v>
      </c>
      <c r="AI33" s="238">
        <v>10093750</v>
      </c>
      <c r="AJ33" s="238" t="s">
        <v>36</v>
      </c>
      <c r="AK33" s="238"/>
      <c r="AL33" s="238">
        <v>125000</v>
      </c>
      <c r="AM33" s="238">
        <v>0</v>
      </c>
      <c r="AN33" s="238">
        <v>10093750</v>
      </c>
      <c r="AP33" s="238" t="s">
        <v>3</v>
      </c>
      <c r="AQ33" s="238" t="s">
        <v>3</v>
      </c>
      <c r="AR33" t="s">
        <v>8951</v>
      </c>
      <c r="AS33" t="s">
        <v>1167</v>
      </c>
      <c r="AT33" t="s">
        <v>8948</v>
      </c>
      <c r="AU33" t="s">
        <v>8990</v>
      </c>
      <c r="AV33" s="238" t="b">
        <v>1</v>
      </c>
      <c r="AW33" t="s">
        <v>36</v>
      </c>
      <c r="AX33" t="b">
        <v>1</v>
      </c>
      <c r="AY33">
        <v>10093750</v>
      </c>
      <c r="AZ33">
        <v>10093750</v>
      </c>
      <c r="BA33">
        <v>0</v>
      </c>
      <c r="BB33">
        <v>0</v>
      </c>
      <c r="BC33">
        <v>0</v>
      </c>
      <c r="BD33" t="b">
        <v>1</v>
      </c>
      <c r="BE33" t="s">
        <v>7436</v>
      </c>
    </row>
    <row r="34" spans="1:57" x14ac:dyDescent="0.25">
      <c r="A34" s="238">
        <v>33</v>
      </c>
      <c r="B34" s="238">
        <v>2</v>
      </c>
      <c r="C34">
        <v>1</v>
      </c>
      <c r="D34" s="238">
        <v>10</v>
      </c>
      <c r="E34" s="238">
        <v>1</v>
      </c>
      <c r="F34" s="238">
        <v>2</v>
      </c>
      <c r="G34" s="238">
        <v>17.61</v>
      </c>
      <c r="H34" s="238">
        <v>15.04</v>
      </c>
      <c r="I34" s="238"/>
      <c r="J34" s="238">
        <v>32.65</v>
      </c>
      <c r="K34" s="238">
        <v>12.85</v>
      </c>
      <c r="L34" s="238">
        <v>4.07</v>
      </c>
      <c r="M34" s="238">
        <v>2.73</v>
      </c>
      <c r="N34" s="238">
        <v>6.28</v>
      </c>
      <c r="O34" s="238"/>
      <c r="P34" s="238">
        <v>3.29</v>
      </c>
      <c r="Q34" s="238">
        <v>3.07</v>
      </c>
      <c r="R34" s="238">
        <v>6.3599999999999994</v>
      </c>
      <c r="S34" s="238">
        <v>64.94</v>
      </c>
      <c r="T34" s="238">
        <v>58.58</v>
      </c>
      <c r="U34" s="238">
        <v>61.76</v>
      </c>
      <c r="V34" s="238">
        <v>123660</v>
      </c>
      <c r="W34">
        <v>6340</v>
      </c>
      <c r="X34">
        <v>130000</v>
      </c>
      <c r="Y34">
        <v>0</v>
      </c>
      <c r="Z34">
        <v>130000</v>
      </c>
      <c r="AA34">
        <v>5000</v>
      </c>
      <c r="AB34">
        <v>125000</v>
      </c>
      <c r="AC34" s="238">
        <v>125000</v>
      </c>
      <c r="AD34" s="238">
        <v>7720000</v>
      </c>
      <c r="AF34" s="238"/>
      <c r="AG34" s="238">
        <v>0</v>
      </c>
      <c r="AH34" s="238">
        <v>125000</v>
      </c>
      <c r="AI34" s="238">
        <v>7720000</v>
      </c>
      <c r="AJ34" s="238" t="s">
        <v>36</v>
      </c>
      <c r="AK34" s="238"/>
      <c r="AL34" s="238">
        <v>125000</v>
      </c>
      <c r="AM34" s="238">
        <v>0</v>
      </c>
      <c r="AN34" s="238">
        <v>7720000</v>
      </c>
      <c r="AP34" s="238" t="s">
        <v>35</v>
      </c>
      <c r="AQ34" s="238" t="s">
        <v>35</v>
      </c>
      <c r="AR34" t="s">
        <v>8953</v>
      </c>
      <c r="AS34" t="s">
        <v>8954</v>
      </c>
      <c r="AT34" t="s">
        <v>8948</v>
      </c>
      <c r="AU34" t="s">
        <v>8974</v>
      </c>
      <c r="AV34" s="238" t="b">
        <v>1</v>
      </c>
      <c r="AW34" t="s">
        <v>36</v>
      </c>
      <c r="AX34" t="b">
        <v>1</v>
      </c>
      <c r="AY34">
        <v>7720000</v>
      </c>
      <c r="AZ34">
        <v>7720000</v>
      </c>
      <c r="BA34">
        <v>0</v>
      </c>
      <c r="BB34">
        <v>0</v>
      </c>
      <c r="BC34">
        <v>0</v>
      </c>
      <c r="BD34" t="b">
        <v>1</v>
      </c>
      <c r="BE34" t="s">
        <v>7437</v>
      </c>
    </row>
    <row r="35" spans="1:57" x14ac:dyDescent="0.25">
      <c r="A35" s="238">
        <v>34</v>
      </c>
      <c r="B35" s="238">
        <v>2</v>
      </c>
      <c r="C35">
        <v>1</v>
      </c>
      <c r="D35" s="238">
        <v>10</v>
      </c>
      <c r="E35" s="238">
        <v>2</v>
      </c>
      <c r="F35" s="238">
        <v>1</v>
      </c>
      <c r="G35" s="238">
        <v>14.34</v>
      </c>
      <c r="H35" s="238"/>
      <c r="I35" s="238"/>
      <c r="J35" s="238">
        <v>14.34</v>
      </c>
      <c r="K35" s="238">
        <v>9.92</v>
      </c>
      <c r="L35" s="238">
        <v>4</v>
      </c>
      <c r="M35" s="238"/>
      <c r="N35" s="238">
        <v>3.41</v>
      </c>
      <c r="O35" s="238">
        <v>2.37</v>
      </c>
      <c r="P35" s="238">
        <v>2.91</v>
      </c>
      <c r="Q35" s="238"/>
      <c r="R35" s="238">
        <v>2.91</v>
      </c>
      <c r="S35" s="238">
        <v>36.950000000000003</v>
      </c>
      <c r="T35" s="238">
        <v>34.04</v>
      </c>
      <c r="U35" s="238">
        <v>35.5</v>
      </c>
      <c r="V35" s="238">
        <v>135200</v>
      </c>
      <c r="X35">
        <v>135200</v>
      </c>
      <c r="Y35">
        <v>115.49295774646453</v>
      </c>
      <c r="Z35">
        <v>135315.49295774646</v>
      </c>
      <c r="AB35">
        <v>135315.49295774646</v>
      </c>
      <c r="AC35" s="238">
        <v>135315.49</v>
      </c>
      <c r="AD35" s="238">
        <v>4803700</v>
      </c>
      <c r="AF35" s="238">
        <v>0.02</v>
      </c>
      <c r="AG35" s="238">
        <v>96074</v>
      </c>
      <c r="AH35" s="238">
        <v>132609.18309859154</v>
      </c>
      <c r="AI35" s="238">
        <v>4707626</v>
      </c>
      <c r="AJ35" s="238" t="s">
        <v>38</v>
      </c>
      <c r="AK35" s="238">
        <v>25000</v>
      </c>
      <c r="AL35" s="238">
        <v>157609.18309859154</v>
      </c>
      <c r="AM35" s="238">
        <v>887500</v>
      </c>
      <c r="AN35" s="238">
        <v>5595126</v>
      </c>
      <c r="AO35" t="s">
        <v>3540</v>
      </c>
      <c r="AP35" s="238" t="s">
        <v>8963</v>
      </c>
      <c r="AQ35" s="238" t="s">
        <v>8963</v>
      </c>
      <c r="AR35" t="s">
        <v>8953</v>
      </c>
      <c r="AS35" t="s">
        <v>8964</v>
      </c>
      <c r="AT35" t="s">
        <v>8948</v>
      </c>
      <c r="AU35" t="s">
        <v>8973</v>
      </c>
      <c r="AV35" s="238" t="b">
        <v>1</v>
      </c>
      <c r="AW35" t="s">
        <v>36</v>
      </c>
      <c r="AX35" t="b">
        <v>0</v>
      </c>
      <c r="AY35">
        <v>4803700</v>
      </c>
      <c r="AZ35">
        <v>4799600</v>
      </c>
      <c r="BA35">
        <v>4803700</v>
      </c>
      <c r="BB35">
        <v>4803700</v>
      </c>
      <c r="BC35">
        <v>0</v>
      </c>
      <c r="BD35" t="b">
        <v>1</v>
      </c>
      <c r="BE35" t="s">
        <v>7438</v>
      </c>
    </row>
    <row r="36" spans="1:57" x14ac:dyDescent="0.25">
      <c r="A36" s="238">
        <v>35</v>
      </c>
      <c r="B36" s="238">
        <v>2</v>
      </c>
      <c r="C36">
        <v>1</v>
      </c>
      <c r="D36" s="238">
        <v>10</v>
      </c>
      <c r="E36" s="238">
        <v>3</v>
      </c>
      <c r="F36" s="238">
        <v>2</v>
      </c>
      <c r="G36" s="238">
        <v>14.94</v>
      </c>
      <c r="H36" s="238">
        <v>10.61</v>
      </c>
      <c r="I36" s="238"/>
      <c r="J36" s="238">
        <v>25.549999999999997</v>
      </c>
      <c r="K36" s="238">
        <v>13.05</v>
      </c>
      <c r="L36" s="238">
        <v>4.01</v>
      </c>
      <c r="M36" s="238"/>
      <c r="N36" s="238">
        <v>7.75</v>
      </c>
      <c r="O36" s="238"/>
      <c r="P36" s="238">
        <v>2.78</v>
      </c>
      <c r="Q36" s="238"/>
      <c r="R36" s="238">
        <v>2.78</v>
      </c>
      <c r="S36" s="238">
        <v>53.14</v>
      </c>
      <c r="T36" s="238">
        <v>50.36</v>
      </c>
      <c r="U36" s="238">
        <v>51.75</v>
      </c>
      <c r="V36" s="238">
        <v>111780</v>
      </c>
      <c r="W36">
        <v>20820</v>
      </c>
      <c r="X36">
        <v>132600</v>
      </c>
      <c r="Y36">
        <v>1</v>
      </c>
      <c r="Z36">
        <v>132601</v>
      </c>
      <c r="AA36">
        <v>5000</v>
      </c>
      <c r="AB36">
        <v>127601</v>
      </c>
      <c r="AC36" s="238">
        <v>127601</v>
      </c>
      <c r="AD36" s="238">
        <v>6603352</v>
      </c>
      <c r="AF36" s="238"/>
      <c r="AG36" s="238">
        <v>0</v>
      </c>
      <c r="AH36" s="238">
        <v>127601.00483091788</v>
      </c>
      <c r="AI36" s="238">
        <v>6603352</v>
      </c>
      <c r="AJ36" s="238" t="s">
        <v>36</v>
      </c>
      <c r="AK36" s="238"/>
      <c r="AL36" s="238">
        <v>127601.00483091788</v>
      </c>
      <c r="AM36" s="238">
        <v>0</v>
      </c>
      <c r="AN36" s="238">
        <v>6603352</v>
      </c>
      <c r="AP36" s="238" t="s">
        <v>3</v>
      </c>
      <c r="AQ36" s="238" t="s">
        <v>3</v>
      </c>
      <c r="AR36" t="s">
        <v>8951</v>
      </c>
      <c r="AS36" t="s">
        <v>1167</v>
      </c>
      <c r="AT36" t="s">
        <v>8948</v>
      </c>
      <c r="AU36" t="s">
        <v>8974</v>
      </c>
      <c r="AV36" s="238" t="b">
        <v>1</v>
      </c>
      <c r="AW36" t="s">
        <v>36</v>
      </c>
      <c r="AX36" t="b">
        <v>1</v>
      </c>
      <c r="AY36">
        <v>6603352</v>
      </c>
      <c r="AZ36">
        <v>6603352</v>
      </c>
      <c r="BA36">
        <v>0</v>
      </c>
      <c r="BB36">
        <v>0</v>
      </c>
      <c r="BC36">
        <v>0</v>
      </c>
      <c r="BD36" t="b">
        <v>1</v>
      </c>
      <c r="BE36" t="s">
        <v>7439</v>
      </c>
    </row>
    <row r="37" spans="1:57" x14ac:dyDescent="0.25">
      <c r="A37" s="238">
        <v>36</v>
      </c>
      <c r="B37" s="238">
        <v>2</v>
      </c>
      <c r="C37">
        <v>1</v>
      </c>
      <c r="D37" s="238">
        <v>10</v>
      </c>
      <c r="E37" s="238">
        <v>4</v>
      </c>
      <c r="F37" s="238">
        <v>3</v>
      </c>
      <c r="G37" s="238">
        <v>17.41</v>
      </c>
      <c r="H37" s="238">
        <v>11.92</v>
      </c>
      <c r="I37" s="238">
        <v>13.55</v>
      </c>
      <c r="J37" s="238">
        <v>42.879999999999995</v>
      </c>
      <c r="K37" s="238">
        <v>16.3</v>
      </c>
      <c r="L37" s="238">
        <v>3.11</v>
      </c>
      <c r="M37" s="238">
        <v>2.94</v>
      </c>
      <c r="N37" s="238">
        <v>9.27</v>
      </c>
      <c r="O37" s="238">
        <v>3.22</v>
      </c>
      <c r="P37" s="238">
        <v>3.07</v>
      </c>
      <c r="Q37" s="238">
        <v>2.98</v>
      </c>
      <c r="R37" s="238">
        <v>6.05</v>
      </c>
      <c r="S37" s="238">
        <v>83.77</v>
      </c>
      <c r="T37" s="238">
        <v>77.72</v>
      </c>
      <c r="U37" s="238">
        <v>80.75</v>
      </c>
      <c r="V37" s="238">
        <v>110670</v>
      </c>
      <c r="W37">
        <v>19330</v>
      </c>
      <c r="X37">
        <v>130000</v>
      </c>
      <c r="Y37">
        <v>0</v>
      </c>
      <c r="Z37">
        <v>130000</v>
      </c>
      <c r="AA37">
        <v>5000</v>
      </c>
      <c r="AB37">
        <v>125000</v>
      </c>
      <c r="AC37" s="238">
        <v>125000</v>
      </c>
      <c r="AD37" s="238">
        <v>10093750</v>
      </c>
      <c r="AF37" s="238"/>
      <c r="AG37" s="238">
        <v>0</v>
      </c>
      <c r="AH37" s="238">
        <v>125000</v>
      </c>
      <c r="AI37" s="238">
        <v>10093750</v>
      </c>
      <c r="AJ37" s="238" t="s">
        <v>36</v>
      </c>
      <c r="AK37" s="238"/>
      <c r="AL37" s="238">
        <v>125000</v>
      </c>
      <c r="AM37" s="238">
        <v>0</v>
      </c>
      <c r="AN37" s="238">
        <v>10093750</v>
      </c>
      <c r="AP37" s="238" t="s">
        <v>35</v>
      </c>
      <c r="AQ37" s="238" t="s">
        <v>35</v>
      </c>
      <c r="AR37" t="s">
        <v>8953</v>
      </c>
      <c r="AS37" t="s">
        <v>8954</v>
      </c>
      <c r="AT37" t="s">
        <v>8948</v>
      </c>
      <c r="AU37" t="s">
        <v>8990</v>
      </c>
      <c r="AV37" s="238" t="b">
        <v>1</v>
      </c>
      <c r="AW37" t="s">
        <v>36</v>
      </c>
      <c r="AX37" t="b">
        <v>1</v>
      </c>
      <c r="AY37">
        <v>10093750</v>
      </c>
      <c r="AZ37">
        <v>10093750</v>
      </c>
      <c r="BA37">
        <v>0</v>
      </c>
      <c r="BB37">
        <v>0</v>
      </c>
      <c r="BC37">
        <v>0</v>
      </c>
      <c r="BD37" t="b">
        <v>1</v>
      </c>
      <c r="BE37" t="s">
        <v>7440</v>
      </c>
    </row>
    <row r="38" spans="1:57" x14ac:dyDescent="0.25">
      <c r="A38" s="238">
        <v>37</v>
      </c>
      <c r="B38" s="238">
        <v>2</v>
      </c>
      <c r="C38">
        <v>1</v>
      </c>
      <c r="D38" s="238">
        <v>11</v>
      </c>
      <c r="E38" s="238">
        <v>1</v>
      </c>
      <c r="F38" s="238">
        <v>2</v>
      </c>
      <c r="G38" s="238">
        <v>17.61</v>
      </c>
      <c r="H38" s="238">
        <v>15.04</v>
      </c>
      <c r="I38" s="238"/>
      <c r="J38" s="238">
        <v>32.65</v>
      </c>
      <c r="K38" s="238">
        <v>12.85</v>
      </c>
      <c r="L38" s="238">
        <v>4.07</v>
      </c>
      <c r="M38" s="238">
        <v>2.73</v>
      </c>
      <c r="N38" s="238">
        <v>6.28</v>
      </c>
      <c r="O38" s="238"/>
      <c r="P38" s="238">
        <v>3.29</v>
      </c>
      <c r="Q38" s="238">
        <v>3.07</v>
      </c>
      <c r="R38" s="238">
        <v>6.3599999999999994</v>
      </c>
      <c r="S38" s="238">
        <v>64.94</v>
      </c>
      <c r="T38" s="238">
        <v>58.58</v>
      </c>
      <c r="U38" s="238">
        <v>61.76</v>
      </c>
      <c r="V38" s="238">
        <v>123120</v>
      </c>
      <c r="W38">
        <v>6880</v>
      </c>
      <c r="X38">
        <v>130000</v>
      </c>
      <c r="Y38">
        <v>-736.72279792746133</v>
      </c>
      <c r="Z38">
        <v>129263.27720207254</v>
      </c>
      <c r="AB38">
        <v>129263.27720207254</v>
      </c>
      <c r="AC38" s="238">
        <v>129263.28</v>
      </c>
      <c r="AD38" s="238">
        <v>7983300</v>
      </c>
      <c r="AF38" s="238">
        <v>0.05</v>
      </c>
      <c r="AG38" s="238">
        <v>399165</v>
      </c>
      <c r="AH38" s="238">
        <v>122800.11334196891</v>
      </c>
      <c r="AI38" s="238">
        <v>7584135</v>
      </c>
      <c r="AJ38" s="238" t="s">
        <v>36</v>
      </c>
      <c r="AK38" s="238"/>
      <c r="AL38" s="238">
        <v>122800.11334196891</v>
      </c>
      <c r="AM38" s="238">
        <v>0</v>
      </c>
      <c r="AN38" s="238">
        <v>7584135</v>
      </c>
      <c r="AO38" t="s">
        <v>350</v>
      </c>
      <c r="AP38" s="238" t="s">
        <v>39</v>
      </c>
      <c r="AQ38" s="238" t="s">
        <v>39</v>
      </c>
      <c r="AR38" t="s">
        <v>8950</v>
      </c>
      <c r="AS38" t="s">
        <v>1167</v>
      </c>
      <c r="AT38" t="s">
        <v>8948</v>
      </c>
      <c r="AU38" t="s">
        <v>8974</v>
      </c>
      <c r="AV38" s="238" t="b">
        <v>1</v>
      </c>
      <c r="AW38" t="s">
        <v>36</v>
      </c>
      <c r="AX38" t="b">
        <v>1</v>
      </c>
      <c r="AY38">
        <v>7983300</v>
      </c>
      <c r="AZ38" t="s">
        <v>9002</v>
      </c>
      <c r="BA38">
        <v>0</v>
      </c>
      <c r="BB38">
        <v>7983300</v>
      </c>
      <c r="BC38">
        <v>0</v>
      </c>
      <c r="BD38" t="b">
        <v>1</v>
      </c>
      <c r="BE38" t="s">
        <v>7441</v>
      </c>
    </row>
    <row r="39" spans="1:57" x14ac:dyDescent="0.25">
      <c r="A39" s="238">
        <v>38</v>
      </c>
      <c r="B39" s="238">
        <v>2</v>
      </c>
      <c r="C39">
        <v>1</v>
      </c>
      <c r="D39" s="238">
        <v>11</v>
      </c>
      <c r="E39" s="238">
        <v>2</v>
      </c>
      <c r="F39" s="238">
        <v>1</v>
      </c>
      <c r="G39" s="238">
        <v>14.34</v>
      </c>
      <c r="H39" s="238"/>
      <c r="I39" s="238"/>
      <c r="J39" s="238">
        <v>14.34</v>
      </c>
      <c r="K39" s="238">
        <v>9.92</v>
      </c>
      <c r="L39" s="238">
        <v>4</v>
      </c>
      <c r="M39" s="238"/>
      <c r="N39" s="238">
        <v>3.41</v>
      </c>
      <c r="O39" s="238">
        <v>2.37</v>
      </c>
      <c r="P39" s="238">
        <v>2.91</v>
      </c>
      <c r="Q39" s="238"/>
      <c r="R39" s="238">
        <v>2.91</v>
      </c>
      <c r="S39" s="238">
        <v>36.950000000000003</v>
      </c>
      <c r="T39" s="238">
        <v>34.04</v>
      </c>
      <c r="U39" s="238">
        <v>35.5</v>
      </c>
      <c r="V39" s="238">
        <v>137800</v>
      </c>
      <c r="X39">
        <v>137800</v>
      </c>
      <c r="Y39">
        <v>118.30985915492056</v>
      </c>
      <c r="Z39">
        <v>137918.30985915492</v>
      </c>
      <c r="AB39">
        <v>137918.30985915492</v>
      </c>
      <c r="AC39" s="238">
        <v>137918.31</v>
      </c>
      <c r="AD39" s="238">
        <v>4896100</v>
      </c>
      <c r="AF39" s="238">
        <v>0.02</v>
      </c>
      <c r="AG39" s="238">
        <v>97922</v>
      </c>
      <c r="AH39" s="238">
        <v>135159.94366197183</v>
      </c>
      <c r="AI39" s="238">
        <v>4798178</v>
      </c>
      <c r="AJ39" s="238" t="s">
        <v>8787</v>
      </c>
      <c r="AK39" s="238">
        <v>10000</v>
      </c>
      <c r="AL39" s="238">
        <v>145159.94366197183</v>
      </c>
      <c r="AM39" s="238">
        <v>355000</v>
      </c>
      <c r="AN39" s="238">
        <v>5153178</v>
      </c>
      <c r="AO39" t="s">
        <v>3540</v>
      </c>
      <c r="AP39" s="238" t="s">
        <v>39</v>
      </c>
      <c r="AQ39" s="238" t="s">
        <v>39</v>
      </c>
      <c r="AR39" t="s">
        <v>8950</v>
      </c>
      <c r="AS39" t="s">
        <v>1167</v>
      </c>
      <c r="AT39" t="s">
        <v>8948</v>
      </c>
      <c r="AU39" t="s">
        <v>8973</v>
      </c>
      <c r="AV39" s="238" t="b">
        <v>1</v>
      </c>
      <c r="AW39" t="s">
        <v>8787</v>
      </c>
      <c r="AX39" t="b">
        <v>1</v>
      </c>
      <c r="AY39">
        <v>4896100</v>
      </c>
      <c r="AZ39" t="s">
        <v>9002</v>
      </c>
      <c r="BA39">
        <v>0</v>
      </c>
      <c r="BB39">
        <v>4896100</v>
      </c>
      <c r="BC39">
        <v>0</v>
      </c>
      <c r="BD39" t="b">
        <v>1</v>
      </c>
      <c r="BE39" t="s">
        <v>7442</v>
      </c>
    </row>
    <row r="40" spans="1:57" x14ac:dyDescent="0.25">
      <c r="A40" s="238">
        <v>39</v>
      </c>
      <c r="B40" s="238">
        <v>2</v>
      </c>
      <c r="C40">
        <v>1</v>
      </c>
      <c r="D40" s="238">
        <v>11</v>
      </c>
      <c r="E40" s="238">
        <v>3</v>
      </c>
      <c r="F40" s="238">
        <v>2</v>
      </c>
      <c r="G40" s="238">
        <v>14.94</v>
      </c>
      <c r="H40" s="238">
        <v>10.61</v>
      </c>
      <c r="I40" s="238"/>
      <c r="J40" s="238">
        <v>25.549999999999997</v>
      </c>
      <c r="K40" s="238">
        <v>13.05</v>
      </c>
      <c r="L40" s="238">
        <v>4.01</v>
      </c>
      <c r="M40" s="238"/>
      <c r="N40" s="238">
        <v>7.75</v>
      </c>
      <c r="O40" s="238"/>
      <c r="P40" s="238">
        <v>2.78</v>
      </c>
      <c r="Q40" s="238"/>
      <c r="R40" s="238">
        <v>2.78</v>
      </c>
      <c r="S40" s="238">
        <v>53.14</v>
      </c>
      <c r="T40" s="238">
        <v>50.36</v>
      </c>
      <c r="U40" s="238">
        <v>51.75</v>
      </c>
      <c r="V40" s="238">
        <v>111780</v>
      </c>
      <c r="W40">
        <v>20820</v>
      </c>
      <c r="X40">
        <v>132600</v>
      </c>
      <c r="Y40">
        <v>1</v>
      </c>
      <c r="Z40">
        <v>132601</v>
      </c>
      <c r="AA40">
        <v>5000</v>
      </c>
      <c r="AB40">
        <v>127601</v>
      </c>
      <c r="AC40" s="238">
        <v>127601</v>
      </c>
      <c r="AD40" s="238">
        <v>6603352</v>
      </c>
      <c r="AF40" s="238"/>
      <c r="AG40" s="238">
        <v>0</v>
      </c>
      <c r="AH40" s="238">
        <v>127601.00483091788</v>
      </c>
      <c r="AI40" s="238">
        <v>6603352</v>
      </c>
      <c r="AJ40" s="238" t="s">
        <v>36</v>
      </c>
      <c r="AK40" s="238"/>
      <c r="AL40" s="238">
        <v>127601.00483091788</v>
      </c>
      <c r="AM40" s="238">
        <v>0</v>
      </c>
      <c r="AN40" s="238">
        <v>6603352</v>
      </c>
      <c r="AP40" s="238" t="s">
        <v>35</v>
      </c>
      <c r="AQ40" s="238" t="s">
        <v>35</v>
      </c>
      <c r="AR40" t="s">
        <v>8953</v>
      </c>
      <c r="AS40" t="s">
        <v>8954</v>
      </c>
      <c r="AT40" t="s">
        <v>8948</v>
      </c>
      <c r="AU40" t="s">
        <v>8974</v>
      </c>
      <c r="AV40" s="238" t="b">
        <v>1</v>
      </c>
      <c r="AW40" t="s">
        <v>36</v>
      </c>
      <c r="AX40" t="b">
        <v>1</v>
      </c>
      <c r="AY40">
        <v>6603352</v>
      </c>
      <c r="AZ40">
        <v>6603352</v>
      </c>
      <c r="BA40">
        <v>0</v>
      </c>
      <c r="BB40">
        <v>0</v>
      </c>
      <c r="BC40">
        <v>0</v>
      </c>
      <c r="BD40" t="b">
        <v>1</v>
      </c>
      <c r="BE40" t="s">
        <v>7443</v>
      </c>
    </row>
    <row r="41" spans="1:57" x14ac:dyDescent="0.25">
      <c r="A41" s="238">
        <v>40</v>
      </c>
      <c r="B41" s="238">
        <v>2</v>
      </c>
      <c r="C41">
        <v>1</v>
      </c>
      <c r="D41" s="238">
        <v>11</v>
      </c>
      <c r="E41" s="238">
        <v>4</v>
      </c>
      <c r="F41" s="238">
        <v>3</v>
      </c>
      <c r="G41" s="238">
        <v>17.41</v>
      </c>
      <c r="H41" s="238">
        <v>11.92</v>
      </c>
      <c r="I41" s="238">
        <v>13.55</v>
      </c>
      <c r="J41" s="238">
        <v>42.879999999999995</v>
      </c>
      <c r="K41" s="238">
        <v>16.3</v>
      </c>
      <c r="L41" s="238">
        <v>3.11</v>
      </c>
      <c r="M41" s="238">
        <v>2.94</v>
      </c>
      <c r="N41" s="238">
        <v>9.27</v>
      </c>
      <c r="O41" s="238">
        <v>3.22</v>
      </c>
      <c r="P41" s="238">
        <v>3.07</v>
      </c>
      <c r="Q41" s="238">
        <v>2.98</v>
      </c>
      <c r="R41" s="238">
        <v>6.05</v>
      </c>
      <c r="S41" s="238">
        <v>83.77</v>
      </c>
      <c r="T41" s="238">
        <v>77.72</v>
      </c>
      <c r="U41" s="238">
        <v>80.75</v>
      </c>
      <c r="V41" s="238">
        <v>110670</v>
      </c>
      <c r="W41">
        <v>19330</v>
      </c>
      <c r="X41">
        <v>130000</v>
      </c>
      <c r="Y41">
        <v>0</v>
      </c>
      <c r="Z41">
        <v>130000</v>
      </c>
      <c r="AA41">
        <v>5000</v>
      </c>
      <c r="AB41">
        <v>125000</v>
      </c>
      <c r="AC41" s="238">
        <v>125000</v>
      </c>
      <c r="AD41" s="238">
        <v>10093750</v>
      </c>
      <c r="AF41" s="238"/>
      <c r="AG41" s="238">
        <v>0</v>
      </c>
      <c r="AH41" s="238">
        <v>125000</v>
      </c>
      <c r="AI41" s="238">
        <v>10093750</v>
      </c>
      <c r="AJ41" s="238" t="s">
        <v>36</v>
      </c>
      <c r="AK41" s="238"/>
      <c r="AL41" s="238">
        <v>125000</v>
      </c>
      <c r="AM41" s="238">
        <v>0</v>
      </c>
      <c r="AN41" s="238">
        <v>10093750</v>
      </c>
      <c r="AP41" s="238" t="s">
        <v>35</v>
      </c>
      <c r="AQ41" s="238" t="s">
        <v>35</v>
      </c>
      <c r="AR41" t="s">
        <v>8953</v>
      </c>
      <c r="AS41" t="s">
        <v>8954</v>
      </c>
      <c r="AT41" t="s">
        <v>8948</v>
      </c>
      <c r="AU41" t="s">
        <v>8990</v>
      </c>
      <c r="AV41" s="238" t="b">
        <v>1</v>
      </c>
      <c r="AW41" t="s">
        <v>36</v>
      </c>
      <c r="AX41" t="b">
        <v>1</v>
      </c>
      <c r="AY41">
        <v>10093750</v>
      </c>
      <c r="AZ41">
        <v>10093750</v>
      </c>
      <c r="BA41">
        <v>0</v>
      </c>
      <c r="BB41">
        <v>0</v>
      </c>
      <c r="BC41">
        <v>0</v>
      </c>
      <c r="BD41" t="b">
        <v>1</v>
      </c>
      <c r="BE41" t="s">
        <v>7444</v>
      </c>
    </row>
    <row r="42" spans="1:57" x14ac:dyDescent="0.25">
      <c r="A42" s="238">
        <v>41</v>
      </c>
      <c r="B42" s="238">
        <v>2</v>
      </c>
      <c r="C42">
        <v>1</v>
      </c>
      <c r="D42" s="238">
        <v>12</v>
      </c>
      <c r="E42" s="238">
        <v>1</v>
      </c>
      <c r="F42" s="238">
        <v>2</v>
      </c>
      <c r="G42" s="238">
        <v>17.61</v>
      </c>
      <c r="H42" s="238">
        <v>15.04</v>
      </c>
      <c r="I42" s="238"/>
      <c r="J42" s="238">
        <v>32.65</v>
      </c>
      <c r="K42" s="238">
        <v>12.85</v>
      </c>
      <c r="L42" s="238">
        <v>4.07</v>
      </c>
      <c r="M42" s="238">
        <v>2.73</v>
      </c>
      <c r="N42" s="238">
        <v>6.28</v>
      </c>
      <c r="O42" s="238"/>
      <c r="P42" s="238">
        <v>3.29</v>
      </c>
      <c r="Q42" s="238">
        <v>3.07</v>
      </c>
      <c r="R42" s="238">
        <v>6.3599999999999994</v>
      </c>
      <c r="S42" s="238">
        <v>64.94</v>
      </c>
      <c r="T42" s="238">
        <v>58.58</v>
      </c>
      <c r="U42" s="238">
        <v>61.76</v>
      </c>
      <c r="V42" s="238">
        <v>123120</v>
      </c>
      <c r="W42">
        <v>6880</v>
      </c>
      <c r="X42">
        <v>130000</v>
      </c>
      <c r="Y42">
        <v>-736.72279792746133</v>
      </c>
      <c r="Z42">
        <v>129263.27720207254</v>
      </c>
      <c r="AB42">
        <v>129263.27720207254</v>
      </c>
      <c r="AC42" s="238">
        <v>129263.28</v>
      </c>
      <c r="AD42" s="238">
        <v>7983300</v>
      </c>
      <c r="AF42" s="238"/>
      <c r="AG42" s="238">
        <v>0</v>
      </c>
      <c r="AH42" s="238">
        <v>129263.27720207254</v>
      </c>
      <c r="AI42" s="238">
        <v>7983300</v>
      </c>
      <c r="AJ42" s="238" t="s">
        <v>36</v>
      </c>
      <c r="AK42" s="238"/>
      <c r="AL42" s="238">
        <v>129263.27720207254</v>
      </c>
      <c r="AM42" s="238">
        <v>0</v>
      </c>
      <c r="AN42" s="238">
        <v>7983300</v>
      </c>
      <c r="AP42" s="238" t="s">
        <v>39</v>
      </c>
      <c r="AQ42" s="238" t="s">
        <v>39</v>
      </c>
      <c r="AR42" t="s">
        <v>8950</v>
      </c>
      <c r="AS42" t="s">
        <v>1167</v>
      </c>
      <c r="AT42" t="s">
        <v>8948</v>
      </c>
      <c r="AU42" t="s">
        <v>8974</v>
      </c>
      <c r="AV42" s="238" t="b">
        <v>1</v>
      </c>
      <c r="AW42" t="s">
        <v>36</v>
      </c>
      <c r="AX42" t="b">
        <v>1</v>
      </c>
      <c r="AY42">
        <v>7983300</v>
      </c>
      <c r="AZ42" t="s">
        <v>9002</v>
      </c>
      <c r="BA42">
        <v>0</v>
      </c>
      <c r="BB42">
        <v>7983300</v>
      </c>
      <c r="BC42">
        <v>0</v>
      </c>
      <c r="BD42" t="b">
        <v>1</v>
      </c>
      <c r="BE42" t="s">
        <v>7445</v>
      </c>
    </row>
    <row r="43" spans="1:57" x14ac:dyDescent="0.25">
      <c r="A43" s="238">
        <v>42</v>
      </c>
      <c r="B43" s="238">
        <v>2</v>
      </c>
      <c r="C43">
        <v>1</v>
      </c>
      <c r="D43" s="238">
        <v>12</v>
      </c>
      <c r="E43" s="238">
        <v>2</v>
      </c>
      <c r="F43" s="238">
        <v>1</v>
      </c>
      <c r="G43" s="238">
        <v>14.34</v>
      </c>
      <c r="H43" s="238"/>
      <c r="I43" s="238"/>
      <c r="J43" s="238">
        <v>14.34</v>
      </c>
      <c r="K43" s="238">
        <v>9.92</v>
      </c>
      <c r="L43" s="238">
        <v>4</v>
      </c>
      <c r="M43" s="238"/>
      <c r="N43" s="238">
        <v>3.41</v>
      </c>
      <c r="O43" s="238">
        <v>2.37</v>
      </c>
      <c r="P43" s="238">
        <v>2.91</v>
      </c>
      <c r="Q43" s="238"/>
      <c r="R43" s="238">
        <v>2.91</v>
      </c>
      <c r="S43" s="238">
        <v>36.950000000000003</v>
      </c>
      <c r="T43" s="238">
        <v>34.04</v>
      </c>
      <c r="U43" s="238">
        <v>35.5</v>
      </c>
      <c r="V43" s="238">
        <v>137800</v>
      </c>
      <c r="X43">
        <v>137800</v>
      </c>
      <c r="Y43">
        <v>0</v>
      </c>
      <c r="Z43">
        <v>137800</v>
      </c>
      <c r="AB43">
        <v>137800</v>
      </c>
      <c r="AC43" s="238">
        <v>137800</v>
      </c>
      <c r="AD43" s="238">
        <v>4891900</v>
      </c>
      <c r="AF43" s="238"/>
      <c r="AG43" s="238">
        <v>0</v>
      </c>
      <c r="AH43" s="238">
        <v>137800</v>
      </c>
      <c r="AI43" s="238">
        <v>4891900</v>
      </c>
      <c r="AJ43" s="238" t="s">
        <v>36</v>
      </c>
      <c r="AK43" s="238"/>
      <c r="AL43" s="238">
        <v>137800</v>
      </c>
      <c r="AM43" s="238">
        <v>0</v>
      </c>
      <c r="AN43" s="238">
        <v>4891900</v>
      </c>
      <c r="AP43" s="238" t="s">
        <v>35</v>
      </c>
      <c r="AQ43" s="238" t="s">
        <v>35</v>
      </c>
      <c r="AR43" t="s">
        <v>8953</v>
      </c>
      <c r="AS43" t="s">
        <v>8954</v>
      </c>
      <c r="AT43" t="s">
        <v>8948</v>
      </c>
      <c r="AU43" t="s">
        <v>8973</v>
      </c>
      <c r="AV43" s="238" t="b">
        <v>1</v>
      </c>
      <c r="AW43" t="s">
        <v>36</v>
      </c>
      <c r="AX43" t="b">
        <v>1</v>
      </c>
      <c r="AY43">
        <v>4891900</v>
      </c>
      <c r="AZ43">
        <v>4891900</v>
      </c>
      <c r="BA43">
        <v>0</v>
      </c>
      <c r="BB43">
        <v>0</v>
      </c>
      <c r="BC43">
        <v>0</v>
      </c>
      <c r="BD43" t="b">
        <v>1</v>
      </c>
      <c r="BE43" t="s">
        <v>7446</v>
      </c>
    </row>
    <row r="44" spans="1:57" x14ac:dyDescent="0.25">
      <c r="A44" s="238">
        <v>43</v>
      </c>
      <c r="B44" s="238">
        <v>2</v>
      </c>
      <c r="C44">
        <v>1</v>
      </c>
      <c r="D44" s="238">
        <v>12</v>
      </c>
      <c r="E44" s="238">
        <v>3</v>
      </c>
      <c r="F44" s="238">
        <v>2</v>
      </c>
      <c r="G44" s="238">
        <v>14.94</v>
      </c>
      <c r="H44" s="238">
        <v>10.61</v>
      </c>
      <c r="I44" s="238"/>
      <c r="J44" s="238">
        <v>25.549999999999997</v>
      </c>
      <c r="K44" s="238">
        <v>13.05</v>
      </c>
      <c r="L44" s="238">
        <v>4.01</v>
      </c>
      <c r="M44" s="238"/>
      <c r="N44" s="238">
        <v>7.75</v>
      </c>
      <c r="O44" s="238"/>
      <c r="P44" s="238">
        <v>2.78</v>
      </c>
      <c r="Q44" s="238"/>
      <c r="R44" s="238">
        <v>2.78</v>
      </c>
      <c r="S44" s="238">
        <v>53.14</v>
      </c>
      <c r="T44" s="238">
        <v>50.36</v>
      </c>
      <c r="U44" s="238">
        <v>51.75</v>
      </c>
      <c r="V44" s="238">
        <v>111780</v>
      </c>
      <c r="W44">
        <v>20820</v>
      </c>
      <c r="X44">
        <v>132600</v>
      </c>
      <c r="Y44">
        <v>1</v>
      </c>
      <c r="Z44">
        <v>132601</v>
      </c>
      <c r="AA44">
        <v>5000</v>
      </c>
      <c r="AB44">
        <v>127601</v>
      </c>
      <c r="AC44" s="238">
        <v>127601</v>
      </c>
      <c r="AD44" s="238">
        <v>6603352</v>
      </c>
      <c r="AF44" s="238"/>
      <c r="AG44" s="238">
        <v>0</v>
      </c>
      <c r="AH44" s="238">
        <v>127601.00483091788</v>
      </c>
      <c r="AI44" s="238">
        <v>6603352</v>
      </c>
      <c r="AJ44" s="238" t="s">
        <v>36</v>
      </c>
      <c r="AK44" s="238"/>
      <c r="AL44" s="238">
        <v>127601.00483091788</v>
      </c>
      <c r="AM44" s="238">
        <v>0</v>
      </c>
      <c r="AN44" s="238">
        <v>6603352</v>
      </c>
      <c r="AP44" s="238" t="s">
        <v>3</v>
      </c>
      <c r="AQ44" s="238" t="s">
        <v>3</v>
      </c>
      <c r="AR44" t="s">
        <v>8951</v>
      </c>
      <c r="AS44" t="s">
        <v>1167</v>
      </c>
      <c r="AT44" t="s">
        <v>8948</v>
      </c>
      <c r="AU44" t="s">
        <v>8974</v>
      </c>
      <c r="AV44" s="238" t="b">
        <v>1</v>
      </c>
      <c r="AW44" t="s">
        <v>36</v>
      </c>
      <c r="AX44" t="b">
        <v>1</v>
      </c>
      <c r="AY44">
        <v>6603352</v>
      </c>
      <c r="AZ44">
        <v>6603352</v>
      </c>
      <c r="BA44">
        <v>0</v>
      </c>
      <c r="BB44">
        <v>0</v>
      </c>
      <c r="BC44">
        <v>0</v>
      </c>
      <c r="BD44" t="b">
        <v>1</v>
      </c>
      <c r="BE44" t="s">
        <v>7447</v>
      </c>
    </row>
    <row r="45" spans="1:57" x14ac:dyDescent="0.25">
      <c r="A45" s="238">
        <v>44</v>
      </c>
      <c r="B45" s="238">
        <v>2</v>
      </c>
      <c r="C45">
        <v>1</v>
      </c>
      <c r="D45" s="238">
        <v>12</v>
      </c>
      <c r="E45" s="238">
        <v>4</v>
      </c>
      <c r="F45" s="238">
        <v>3</v>
      </c>
      <c r="G45" s="238">
        <v>17.41</v>
      </c>
      <c r="H45" s="238">
        <v>11.92</v>
      </c>
      <c r="I45" s="238">
        <v>13.55</v>
      </c>
      <c r="J45" s="238">
        <v>42.879999999999995</v>
      </c>
      <c r="K45" s="238">
        <v>16.3</v>
      </c>
      <c r="L45" s="238">
        <v>3.11</v>
      </c>
      <c r="M45" s="238">
        <v>2.94</v>
      </c>
      <c r="N45" s="238">
        <v>9.27</v>
      </c>
      <c r="O45" s="238">
        <v>3.22</v>
      </c>
      <c r="P45" s="238">
        <v>3.07</v>
      </c>
      <c r="Q45" s="238">
        <v>2.98</v>
      </c>
      <c r="R45" s="238">
        <v>6.05</v>
      </c>
      <c r="S45" s="238">
        <v>83.77</v>
      </c>
      <c r="T45" s="238">
        <v>77.72</v>
      </c>
      <c r="U45" s="238">
        <v>80.75</v>
      </c>
      <c r="V45" s="238">
        <v>110670</v>
      </c>
      <c r="W45">
        <v>19330</v>
      </c>
      <c r="X45">
        <v>130000</v>
      </c>
      <c r="Y45">
        <v>0</v>
      </c>
      <c r="Z45">
        <v>130000</v>
      </c>
      <c r="AA45">
        <v>5000</v>
      </c>
      <c r="AB45">
        <v>125000</v>
      </c>
      <c r="AC45" s="238">
        <v>125000</v>
      </c>
      <c r="AD45" s="238">
        <v>10093750</v>
      </c>
      <c r="AF45" s="238"/>
      <c r="AG45" s="238">
        <v>0</v>
      </c>
      <c r="AH45" s="238">
        <v>125000</v>
      </c>
      <c r="AI45" s="238">
        <v>10093750</v>
      </c>
      <c r="AJ45" s="238" t="s">
        <v>36</v>
      </c>
      <c r="AK45" s="238"/>
      <c r="AL45" s="238">
        <v>125000</v>
      </c>
      <c r="AM45" s="238">
        <v>0</v>
      </c>
      <c r="AN45" s="238">
        <v>10093750</v>
      </c>
      <c r="AP45" s="238" t="s">
        <v>3</v>
      </c>
      <c r="AQ45" s="238" t="s">
        <v>3</v>
      </c>
      <c r="AR45" t="s">
        <v>8951</v>
      </c>
      <c r="AS45" t="s">
        <v>1167</v>
      </c>
      <c r="AT45" t="s">
        <v>8948</v>
      </c>
      <c r="AU45" t="s">
        <v>8990</v>
      </c>
      <c r="AV45" s="238" t="b">
        <v>1</v>
      </c>
      <c r="AW45" t="s">
        <v>36</v>
      </c>
      <c r="AX45" t="b">
        <v>1</v>
      </c>
      <c r="AY45">
        <v>10093750</v>
      </c>
      <c r="AZ45">
        <v>10093750</v>
      </c>
      <c r="BA45">
        <v>0</v>
      </c>
      <c r="BB45">
        <v>0</v>
      </c>
      <c r="BC45">
        <v>0</v>
      </c>
      <c r="BD45" t="b">
        <v>1</v>
      </c>
      <c r="BE45" t="s">
        <v>7448</v>
      </c>
    </row>
    <row r="46" spans="1:57" x14ac:dyDescent="0.25">
      <c r="A46" s="238">
        <v>45</v>
      </c>
      <c r="B46" s="238">
        <v>2</v>
      </c>
      <c r="C46">
        <v>1</v>
      </c>
      <c r="D46" s="238">
        <v>13</v>
      </c>
      <c r="E46" s="238">
        <v>1</v>
      </c>
      <c r="F46" s="238">
        <v>2</v>
      </c>
      <c r="G46" s="238">
        <v>17.61</v>
      </c>
      <c r="H46" s="238">
        <v>15.04</v>
      </c>
      <c r="I46" s="238"/>
      <c r="J46" s="238">
        <v>32.65</v>
      </c>
      <c r="K46" s="238">
        <v>12.85</v>
      </c>
      <c r="L46" s="238">
        <v>4.07</v>
      </c>
      <c r="M46" s="238">
        <v>2.73</v>
      </c>
      <c r="N46" s="238">
        <v>6.28</v>
      </c>
      <c r="O46" s="238"/>
      <c r="P46" s="238">
        <v>3.29</v>
      </c>
      <c r="Q46" s="238">
        <v>3.07</v>
      </c>
      <c r="R46" s="238">
        <v>6.3599999999999994</v>
      </c>
      <c r="S46" s="238">
        <v>64.94</v>
      </c>
      <c r="T46" s="238">
        <v>58.58</v>
      </c>
      <c r="U46" s="238">
        <v>61.76</v>
      </c>
      <c r="V46" s="238">
        <v>123120</v>
      </c>
      <c r="X46">
        <v>123120</v>
      </c>
      <c r="Y46">
        <v>-697.72020725387847</v>
      </c>
      <c r="Z46">
        <v>122422.27979274612</v>
      </c>
      <c r="AB46">
        <v>122422.27979274612</v>
      </c>
      <c r="AC46" s="238">
        <v>122422.28</v>
      </c>
      <c r="AD46" s="238">
        <v>7560800</v>
      </c>
      <c r="AF46" s="238">
        <v>0.02</v>
      </c>
      <c r="AG46" s="238">
        <v>151216</v>
      </c>
      <c r="AH46" s="238">
        <v>119973.8341968912</v>
      </c>
      <c r="AI46" s="238">
        <v>7409584</v>
      </c>
      <c r="AJ46" s="238" t="s">
        <v>36</v>
      </c>
      <c r="AK46" s="238"/>
      <c r="AL46" s="238">
        <v>119973.8341968912</v>
      </c>
      <c r="AM46" s="238">
        <v>0</v>
      </c>
      <c r="AN46" s="238">
        <v>7409584</v>
      </c>
      <c r="AO46" t="s">
        <v>321</v>
      </c>
      <c r="AP46" s="238" t="s">
        <v>39</v>
      </c>
      <c r="AQ46" s="238" t="s">
        <v>39</v>
      </c>
      <c r="AR46" t="s">
        <v>8950</v>
      </c>
      <c r="AS46" t="s">
        <v>1167</v>
      </c>
      <c r="AT46" t="s">
        <v>8948</v>
      </c>
      <c r="AU46" t="s">
        <v>8974</v>
      </c>
      <c r="AV46" s="238" t="b">
        <v>1</v>
      </c>
      <c r="AW46" t="s">
        <v>36</v>
      </c>
      <c r="AX46" t="b">
        <v>1</v>
      </c>
      <c r="AY46">
        <v>7560800</v>
      </c>
      <c r="AZ46" t="s">
        <v>9002</v>
      </c>
      <c r="BA46">
        <v>0</v>
      </c>
      <c r="BB46">
        <v>7560800</v>
      </c>
      <c r="BC46">
        <v>0</v>
      </c>
      <c r="BD46" t="b">
        <v>1</v>
      </c>
      <c r="BE46" t="s">
        <v>7449</v>
      </c>
    </row>
    <row r="47" spans="1:57" x14ac:dyDescent="0.25">
      <c r="A47" s="238">
        <v>46</v>
      </c>
      <c r="B47" s="238">
        <v>2</v>
      </c>
      <c r="C47">
        <v>1</v>
      </c>
      <c r="D47" s="238">
        <v>13</v>
      </c>
      <c r="E47" s="238">
        <v>2</v>
      </c>
      <c r="F47" s="238">
        <v>1</v>
      </c>
      <c r="G47" s="238">
        <v>14.34</v>
      </c>
      <c r="H47" s="238"/>
      <c r="I47" s="238"/>
      <c r="J47" s="238">
        <v>14.34</v>
      </c>
      <c r="K47" s="238">
        <v>9.92</v>
      </c>
      <c r="L47" s="238">
        <v>4</v>
      </c>
      <c r="M47" s="238"/>
      <c r="N47" s="238">
        <v>3.41</v>
      </c>
      <c r="O47" s="238">
        <v>2.37</v>
      </c>
      <c r="P47" s="238">
        <v>2.91</v>
      </c>
      <c r="Q47" s="238"/>
      <c r="R47" s="238">
        <v>2.91</v>
      </c>
      <c r="S47" s="238">
        <v>36.950000000000003</v>
      </c>
      <c r="T47" s="238">
        <v>34.04</v>
      </c>
      <c r="U47" s="238">
        <v>35.5</v>
      </c>
      <c r="V47" s="238">
        <v>137800</v>
      </c>
      <c r="X47">
        <v>137800</v>
      </c>
      <c r="Y47">
        <v>0</v>
      </c>
      <c r="Z47">
        <v>137800</v>
      </c>
      <c r="AB47">
        <v>137800</v>
      </c>
      <c r="AC47" s="238">
        <v>137800</v>
      </c>
      <c r="AD47" s="238">
        <v>4891900</v>
      </c>
      <c r="AF47" s="238"/>
      <c r="AG47" s="238">
        <v>0</v>
      </c>
      <c r="AH47" s="238">
        <v>137800</v>
      </c>
      <c r="AI47" s="238">
        <v>4891900</v>
      </c>
      <c r="AJ47" s="238" t="s">
        <v>36</v>
      </c>
      <c r="AK47" s="238"/>
      <c r="AL47" s="238">
        <v>137800</v>
      </c>
      <c r="AM47" s="238">
        <v>0</v>
      </c>
      <c r="AN47" s="238">
        <v>4891900</v>
      </c>
      <c r="AP47" s="238" t="s">
        <v>35</v>
      </c>
      <c r="AQ47" s="238" t="s">
        <v>35</v>
      </c>
      <c r="AR47" t="s">
        <v>8953</v>
      </c>
      <c r="AS47" t="s">
        <v>8954</v>
      </c>
      <c r="AT47" t="s">
        <v>8948</v>
      </c>
      <c r="AU47" t="s">
        <v>8973</v>
      </c>
      <c r="AV47" s="238" t="b">
        <v>1</v>
      </c>
      <c r="AW47" t="s">
        <v>36</v>
      </c>
      <c r="AX47" t="b">
        <v>1</v>
      </c>
      <c r="AY47">
        <v>4891900</v>
      </c>
      <c r="AZ47">
        <v>4891900</v>
      </c>
      <c r="BA47">
        <v>0</v>
      </c>
      <c r="BB47">
        <v>0</v>
      </c>
      <c r="BC47">
        <v>0</v>
      </c>
      <c r="BD47" t="b">
        <v>1</v>
      </c>
      <c r="BE47" t="s">
        <v>7450</v>
      </c>
    </row>
    <row r="48" spans="1:57" x14ac:dyDescent="0.25">
      <c r="A48" s="238">
        <v>47</v>
      </c>
      <c r="B48" s="238">
        <v>2</v>
      </c>
      <c r="C48">
        <v>1</v>
      </c>
      <c r="D48" s="238">
        <v>13</v>
      </c>
      <c r="E48" s="238">
        <v>3</v>
      </c>
      <c r="F48" s="238">
        <v>2</v>
      </c>
      <c r="G48" s="238">
        <v>14.94</v>
      </c>
      <c r="H48" s="238">
        <v>10.61</v>
      </c>
      <c r="I48" s="238"/>
      <c r="J48" s="238">
        <v>25.549999999999997</v>
      </c>
      <c r="K48" s="238">
        <v>13.05</v>
      </c>
      <c r="L48" s="238">
        <v>4.01</v>
      </c>
      <c r="M48" s="238"/>
      <c r="N48" s="238">
        <v>7.75</v>
      </c>
      <c r="O48" s="238"/>
      <c r="P48" s="238">
        <v>2.78</v>
      </c>
      <c r="Q48" s="238"/>
      <c r="R48" s="238">
        <v>2.78</v>
      </c>
      <c r="S48" s="238">
        <v>53.14</v>
      </c>
      <c r="T48" s="238">
        <v>50.36</v>
      </c>
      <c r="U48" s="238">
        <v>51.75</v>
      </c>
      <c r="V48" s="238">
        <v>109620</v>
      </c>
      <c r="W48">
        <v>20380</v>
      </c>
      <c r="X48">
        <v>130000</v>
      </c>
      <c r="Y48">
        <v>0</v>
      </c>
      <c r="Z48">
        <v>130000</v>
      </c>
      <c r="AA48">
        <v>5000</v>
      </c>
      <c r="AB48">
        <v>125000</v>
      </c>
      <c r="AC48" s="238">
        <v>125000</v>
      </c>
      <c r="AD48" s="238">
        <v>6468750</v>
      </c>
      <c r="AF48" s="238"/>
      <c r="AG48" s="238">
        <v>0</v>
      </c>
      <c r="AH48" s="238">
        <v>125000</v>
      </c>
      <c r="AI48" s="238">
        <v>6468750</v>
      </c>
      <c r="AJ48" s="238" t="s">
        <v>36</v>
      </c>
      <c r="AK48" s="238"/>
      <c r="AL48" s="238">
        <v>125000</v>
      </c>
      <c r="AM48" s="238">
        <v>0</v>
      </c>
      <c r="AN48" s="238">
        <v>6468750</v>
      </c>
      <c r="AP48" s="238" t="s">
        <v>3</v>
      </c>
      <c r="AQ48" s="238" t="s">
        <v>3</v>
      </c>
      <c r="AR48" t="s">
        <v>8951</v>
      </c>
      <c r="AS48" t="s">
        <v>1167</v>
      </c>
      <c r="AT48" t="s">
        <v>8948</v>
      </c>
      <c r="AU48" t="s">
        <v>8974</v>
      </c>
      <c r="AV48" s="238" t="b">
        <v>1</v>
      </c>
      <c r="AW48" t="s">
        <v>36</v>
      </c>
      <c r="AX48" t="b">
        <v>1</v>
      </c>
      <c r="AY48">
        <v>6468750</v>
      </c>
      <c r="AZ48">
        <v>6468750</v>
      </c>
      <c r="BA48">
        <v>0</v>
      </c>
      <c r="BB48">
        <v>0</v>
      </c>
      <c r="BC48">
        <v>0</v>
      </c>
      <c r="BD48" t="b">
        <v>1</v>
      </c>
      <c r="BE48" t="s">
        <v>7451</v>
      </c>
    </row>
    <row r="49" spans="1:57" x14ac:dyDescent="0.25">
      <c r="A49" s="238">
        <v>48</v>
      </c>
      <c r="B49" s="238">
        <v>2</v>
      </c>
      <c r="C49">
        <v>1</v>
      </c>
      <c r="D49" s="238">
        <v>13</v>
      </c>
      <c r="E49" s="238">
        <v>4</v>
      </c>
      <c r="F49" s="238">
        <v>3</v>
      </c>
      <c r="G49" s="238">
        <v>17.41</v>
      </c>
      <c r="H49" s="238">
        <v>11.92</v>
      </c>
      <c r="I49" s="238">
        <v>13.55</v>
      </c>
      <c r="J49" s="238">
        <v>42.879999999999995</v>
      </c>
      <c r="K49" s="238">
        <v>16.3</v>
      </c>
      <c r="L49" s="238">
        <v>3.11</v>
      </c>
      <c r="M49" s="238">
        <v>2.94</v>
      </c>
      <c r="N49" s="238">
        <v>9.27</v>
      </c>
      <c r="O49" s="238">
        <v>3.22</v>
      </c>
      <c r="P49" s="238">
        <v>3.07</v>
      </c>
      <c r="Q49" s="238">
        <v>2.98</v>
      </c>
      <c r="R49" s="238">
        <v>6.05</v>
      </c>
      <c r="S49" s="238">
        <v>83.77</v>
      </c>
      <c r="T49" s="238">
        <v>77.72</v>
      </c>
      <c r="U49" s="238">
        <v>80.75</v>
      </c>
      <c r="V49" s="238">
        <v>110670</v>
      </c>
      <c r="W49">
        <v>19330</v>
      </c>
      <c r="X49">
        <v>130000</v>
      </c>
      <c r="Y49">
        <v>0</v>
      </c>
      <c r="Z49">
        <v>130000</v>
      </c>
      <c r="AA49">
        <v>5000</v>
      </c>
      <c r="AB49">
        <v>125000</v>
      </c>
      <c r="AC49" s="238">
        <v>125000</v>
      </c>
      <c r="AD49" s="238">
        <v>10093750</v>
      </c>
      <c r="AF49" s="238"/>
      <c r="AG49" s="238">
        <v>0</v>
      </c>
      <c r="AH49" s="238">
        <v>125000</v>
      </c>
      <c r="AI49" s="238">
        <v>10093750</v>
      </c>
      <c r="AJ49" s="238" t="s">
        <v>36</v>
      </c>
      <c r="AK49" s="238"/>
      <c r="AL49" s="238">
        <v>125000</v>
      </c>
      <c r="AM49" s="238">
        <v>0</v>
      </c>
      <c r="AN49" s="238">
        <v>10093750</v>
      </c>
      <c r="AP49" s="238" t="s">
        <v>35</v>
      </c>
      <c r="AQ49" s="238" t="s">
        <v>35</v>
      </c>
      <c r="AR49" t="s">
        <v>8953</v>
      </c>
      <c r="AS49" t="s">
        <v>8954</v>
      </c>
      <c r="AT49" t="s">
        <v>8948</v>
      </c>
      <c r="AU49" t="s">
        <v>8990</v>
      </c>
      <c r="AV49" s="238" t="b">
        <v>1</v>
      </c>
      <c r="AW49" t="s">
        <v>36</v>
      </c>
      <c r="AX49" t="b">
        <v>1</v>
      </c>
      <c r="AY49">
        <v>10093750</v>
      </c>
      <c r="AZ49">
        <v>10093750</v>
      </c>
      <c r="BA49">
        <v>0</v>
      </c>
      <c r="BB49">
        <v>0</v>
      </c>
      <c r="BC49">
        <v>0</v>
      </c>
      <c r="BD49" t="b">
        <v>1</v>
      </c>
      <c r="BE49" t="s">
        <v>7452</v>
      </c>
    </row>
    <row r="50" spans="1:57" x14ac:dyDescent="0.25">
      <c r="A50" s="238">
        <v>49</v>
      </c>
      <c r="B50" s="238">
        <v>2</v>
      </c>
      <c r="C50">
        <v>1</v>
      </c>
      <c r="D50" s="238">
        <v>14</v>
      </c>
      <c r="E50" s="238">
        <v>1</v>
      </c>
      <c r="F50" s="238">
        <v>2</v>
      </c>
      <c r="G50" s="238">
        <v>17.61</v>
      </c>
      <c r="H50" s="238">
        <v>15.04</v>
      </c>
      <c r="I50" s="238"/>
      <c r="J50" s="238">
        <v>32.65</v>
      </c>
      <c r="K50" s="238">
        <v>12.85</v>
      </c>
      <c r="L50" s="238">
        <v>4.07</v>
      </c>
      <c r="M50" s="238">
        <v>2.73</v>
      </c>
      <c r="N50" s="238">
        <v>6.28</v>
      </c>
      <c r="O50" s="238"/>
      <c r="P50" s="238">
        <v>3.29</v>
      </c>
      <c r="Q50" s="238">
        <v>3.07</v>
      </c>
      <c r="R50" s="238">
        <v>6.3599999999999994</v>
      </c>
      <c r="S50" s="238">
        <v>64.94</v>
      </c>
      <c r="T50" s="238">
        <v>58.58</v>
      </c>
      <c r="U50" s="238">
        <v>61.76</v>
      </c>
      <c r="V50" s="238">
        <v>123120</v>
      </c>
      <c r="W50">
        <v>6880</v>
      </c>
      <c r="X50">
        <v>130000</v>
      </c>
      <c r="Y50">
        <v>-736.72279792746133</v>
      </c>
      <c r="Z50">
        <v>129263.27720207254</v>
      </c>
      <c r="AB50">
        <v>129263.27720207254</v>
      </c>
      <c r="AC50" s="238">
        <v>129263.28</v>
      </c>
      <c r="AD50" s="238">
        <v>7983300</v>
      </c>
      <c r="AF50" s="238">
        <v>0.02</v>
      </c>
      <c r="AG50" s="238">
        <v>159666</v>
      </c>
      <c r="AH50" s="238">
        <v>126678.01165803109</v>
      </c>
      <c r="AI50" s="238">
        <v>7823634</v>
      </c>
      <c r="AJ50" s="238" t="s">
        <v>36</v>
      </c>
      <c r="AK50" s="238"/>
      <c r="AL50" s="238">
        <v>126678.01165803109</v>
      </c>
      <c r="AM50" s="238">
        <v>0</v>
      </c>
      <c r="AN50" s="238">
        <v>7823634</v>
      </c>
      <c r="AO50" t="s">
        <v>9018</v>
      </c>
      <c r="AP50" s="238" t="s">
        <v>8956</v>
      </c>
      <c r="AQ50" s="238" t="s">
        <v>8956</v>
      </c>
      <c r="AR50" t="s">
        <v>8953</v>
      </c>
      <c r="AS50" t="s">
        <v>8957</v>
      </c>
      <c r="AT50" t="s">
        <v>8948</v>
      </c>
      <c r="AU50" t="s">
        <v>8974</v>
      </c>
      <c r="AV50" s="238" t="b">
        <v>1</v>
      </c>
      <c r="AW50" t="s">
        <v>36</v>
      </c>
      <c r="AX50" t="b">
        <v>1</v>
      </c>
      <c r="AY50">
        <v>7983300</v>
      </c>
      <c r="AZ50">
        <v>7720000</v>
      </c>
      <c r="BA50">
        <v>0</v>
      </c>
      <c r="BB50">
        <v>7983300</v>
      </c>
      <c r="BC50">
        <v>0</v>
      </c>
      <c r="BD50" t="b">
        <v>1</v>
      </c>
      <c r="BE50" t="s">
        <v>7453</v>
      </c>
    </row>
    <row r="51" spans="1:57" x14ac:dyDescent="0.25">
      <c r="A51" s="238">
        <v>50</v>
      </c>
      <c r="B51" s="238">
        <v>2</v>
      </c>
      <c r="C51">
        <v>1</v>
      </c>
      <c r="D51" s="238">
        <v>14</v>
      </c>
      <c r="E51" s="238">
        <v>2</v>
      </c>
      <c r="F51" s="238">
        <v>1</v>
      </c>
      <c r="G51" s="238">
        <v>14.34</v>
      </c>
      <c r="H51" s="238"/>
      <c r="I51" s="238"/>
      <c r="J51" s="238">
        <v>14.34</v>
      </c>
      <c r="K51" s="238">
        <v>9.92</v>
      </c>
      <c r="L51" s="238">
        <v>4</v>
      </c>
      <c r="M51" s="238"/>
      <c r="N51" s="238">
        <v>3.41</v>
      </c>
      <c r="O51" s="238">
        <v>2.37</v>
      </c>
      <c r="P51" s="238">
        <v>2.91</v>
      </c>
      <c r="Q51" s="238"/>
      <c r="R51" s="238">
        <v>2.91</v>
      </c>
      <c r="S51" s="238">
        <v>36.950000000000003</v>
      </c>
      <c r="T51" s="238">
        <v>34.04</v>
      </c>
      <c r="U51" s="238">
        <v>35.5</v>
      </c>
      <c r="V51" s="238">
        <v>135200</v>
      </c>
      <c r="W51">
        <v>9100</v>
      </c>
      <c r="X51">
        <v>144300</v>
      </c>
      <c r="Y51">
        <v>122.53521126761916</v>
      </c>
      <c r="Z51">
        <v>144422.53521126762</v>
      </c>
      <c r="AB51">
        <v>144422.53521126762</v>
      </c>
      <c r="AC51" s="238">
        <v>144422.54</v>
      </c>
      <c r="AD51" s="238">
        <v>5127000</v>
      </c>
      <c r="AE51">
        <v>103041</v>
      </c>
      <c r="AF51" s="238"/>
      <c r="AG51" s="238">
        <v>103041</v>
      </c>
      <c r="AH51" s="238">
        <v>141519.97183098592</v>
      </c>
      <c r="AI51" s="238">
        <v>5023959</v>
      </c>
      <c r="AJ51" s="238" t="s">
        <v>36</v>
      </c>
      <c r="AK51" s="238"/>
      <c r="AL51" s="238">
        <v>141519.97183098592</v>
      </c>
      <c r="AM51" s="238">
        <v>0</v>
      </c>
      <c r="AN51" s="238">
        <v>5023959</v>
      </c>
      <c r="AO51" t="s">
        <v>3540</v>
      </c>
      <c r="AP51" s="238" t="s">
        <v>39</v>
      </c>
      <c r="AQ51" s="238" t="s">
        <v>39</v>
      </c>
      <c r="AR51" t="s">
        <v>8950</v>
      </c>
      <c r="AS51" t="s">
        <v>1167</v>
      </c>
      <c r="AT51" t="s">
        <v>8948</v>
      </c>
      <c r="AU51" t="s">
        <v>8973</v>
      </c>
      <c r="AV51" s="238" t="b">
        <v>1</v>
      </c>
      <c r="AW51" t="s">
        <v>36</v>
      </c>
      <c r="AX51" t="b">
        <v>1</v>
      </c>
      <c r="AY51">
        <v>5127000</v>
      </c>
      <c r="AZ51" t="s">
        <v>9002</v>
      </c>
      <c r="BA51">
        <v>0</v>
      </c>
      <c r="BB51">
        <v>5127000</v>
      </c>
      <c r="BC51">
        <v>0</v>
      </c>
      <c r="BD51" t="b">
        <v>1</v>
      </c>
      <c r="BE51" t="s">
        <v>7454</v>
      </c>
    </row>
    <row r="52" spans="1:57" x14ac:dyDescent="0.25">
      <c r="A52" s="238">
        <v>51</v>
      </c>
      <c r="B52" s="238">
        <v>2</v>
      </c>
      <c r="C52">
        <v>1</v>
      </c>
      <c r="D52" s="238">
        <v>14</v>
      </c>
      <c r="E52" s="238">
        <v>3</v>
      </c>
      <c r="F52" s="238">
        <v>2</v>
      </c>
      <c r="G52" s="238">
        <v>14.94</v>
      </c>
      <c r="H52" s="238">
        <v>10.61</v>
      </c>
      <c r="I52" s="238"/>
      <c r="J52" s="238">
        <v>25.549999999999997</v>
      </c>
      <c r="K52" s="238">
        <v>13.05</v>
      </c>
      <c r="L52" s="238">
        <v>4.01</v>
      </c>
      <c r="M52" s="238"/>
      <c r="N52" s="238">
        <v>7.75</v>
      </c>
      <c r="O52" s="238"/>
      <c r="P52" s="238">
        <v>2.78</v>
      </c>
      <c r="Q52" s="238"/>
      <c r="R52" s="238">
        <v>2.78</v>
      </c>
      <c r="S52" s="238">
        <v>53.14</v>
      </c>
      <c r="T52" s="238">
        <v>50.36</v>
      </c>
      <c r="U52" s="238">
        <v>51.75</v>
      </c>
      <c r="V52" s="238">
        <v>111780</v>
      </c>
      <c r="X52">
        <v>111780</v>
      </c>
      <c r="Y52">
        <v>86.666666666671517</v>
      </c>
      <c r="Z52">
        <v>111866.66666666669</v>
      </c>
      <c r="AB52">
        <v>111866.66666666669</v>
      </c>
      <c r="AC52" s="238">
        <v>111866.67</v>
      </c>
      <c r="AD52" s="238">
        <v>5789100</v>
      </c>
      <c r="AF52" s="238">
        <v>0.02</v>
      </c>
      <c r="AG52" s="238">
        <v>115782</v>
      </c>
      <c r="AH52" s="238">
        <v>109629.33333333331</v>
      </c>
      <c r="AI52" s="238">
        <v>5673318</v>
      </c>
      <c r="AJ52" s="238" t="s">
        <v>36</v>
      </c>
      <c r="AK52" s="238"/>
      <c r="AL52" s="238">
        <v>109629.33333333331</v>
      </c>
      <c r="AM52" s="238">
        <v>0</v>
      </c>
      <c r="AN52" s="238">
        <v>5673318</v>
      </c>
      <c r="AO52" t="s">
        <v>3540</v>
      </c>
      <c r="AP52" s="238" t="s">
        <v>39</v>
      </c>
      <c r="AQ52" s="238" t="s">
        <v>39</v>
      </c>
      <c r="AR52" t="s">
        <v>8950</v>
      </c>
      <c r="AS52" t="s">
        <v>1167</v>
      </c>
      <c r="AT52" t="s">
        <v>8948</v>
      </c>
      <c r="AU52" t="s">
        <v>8974</v>
      </c>
      <c r="AV52" s="238" t="b">
        <v>1</v>
      </c>
      <c r="AW52" t="s">
        <v>36</v>
      </c>
      <c r="AX52" t="b">
        <v>1</v>
      </c>
      <c r="AY52">
        <v>5789100</v>
      </c>
      <c r="AZ52" t="s">
        <v>9002</v>
      </c>
      <c r="BA52">
        <v>0</v>
      </c>
      <c r="BB52">
        <v>5789100</v>
      </c>
      <c r="BC52">
        <v>0</v>
      </c>
      <c r="BD52" t="b">
        <v>1</v>
      </c>
      <c r="BE52" t="s">
        <v>7455</v>
      </c>
    </row>
    <row r="53" spans="1:57" x14ac:dyDescent="0.25">
      <c r="A53" s="238">
        <v>52</v>
      </c>
      <c r="B53" s="238">
        <v>2</v>
      </c>
      <c r="C53">
        <v>1</v>
      </c>
      <c r="D53" s="238">
        <v>14</v>
      </c>
      <c r="E53" s="238">
        <v>4</v>
      </c>
      <c r="F53" s="238">
        <v>3</v>
      </c>
      <c r="G53" s="238">
        <v>17.41</v>
      </c>
      <c r="H53" s="238">
        <v>11.92</v>
      </c>
      <c r="I53" s="238">
        <v>13.55</v>
      </c>
      <c r="J53" s="238">
        <v>42.879999999999995</v>
      </c>
      <c r="K53" s="238">
        <v>16.3</v>
      </c>
      <c r="L53" s="238">
        <v>3.11</v>
      </c>
      <c r="M53" s="238">
        <v>2.94</v>
      </c>
      <c r="N53" s="238">
        <v>9.27</v>
      </c>
      <c r="O53" s="238">
        <v>3.22</v>
      </c>
      <c r="P53" s="238">
        <v>3.07</v>
      </c>
      <c r="Q53" s="238">
        <v>2.98</v>
      </c>
      <c r="R53" s="238">
        <v>6.05</v>
      </c>
      <c r="S53" s="238">
        <v>83.77</v>
      </c>
      <c r="T53" s="238">
        <v>77.72</v>
      </c>
      <c r="U53" s="238">
        <v>80.75</v>
      </c>
      <c r="V53" s="238">
        <v>108630</v>
      </c>
      <c r="W53">
        <v>21370</v>
      </c>
      <c r="X53">
        <v>130000</v>
      </c>
      <c r="Y53">
        <v>0</v>
      </c>
      <c r="Z53">
        <v>130000</v>
      </c>
      <c r="AA53">
        <v>5000</v>
      </c>
      <c r="AB53">
        <v>125000</v>
      </c>
      <c r="AC53" s="238">
        <v>125000</v>
      </c>
      <c r="AD53" s="238">
        <v>10093750</v>
      </c>
      <c r="AF53" s="238"/>
      <c r="AG53" s="238">
        <v>0</v>
      </c>
      <c r="AH53" s="238">
        <v>125000</v>
      </c>
      <c r="AI53" s="238">
        <v>10093750</v>
      </c>
      <c r="AJ53" s="238" t="s">
        <v>36</v>
      </c>
      <c r="AK53" s="238"/>
      <c r="AL53" s="238">
        <v>125000</v>
      </c>
      <c r="AM53" s="238">
        <v>0</v>
      </c>
      <c r="AN53" s="238">
        <v>10093750</v>
      </c>
      <c r="AP53" s="238" t="s">
        <v>3</v>
      </c>
      <c r="AQ53" s="238" t="s">
        <v>3</v>
      </c>
      <c r="AR53" t="s">
        <v>8951</v>
      </c>
      <c r="AS53" t="s">
        <v>1167</v>
      </c>
      <c r="AT53" t="s">
        <v>8948</v>
      </c>
      <c r="AU53" t="s">
        <v>8990</v>
      </c>
      <c r="AV53" s="238" t="b">
        <v>1</v>
      </c>
      <c r="AW53" t="s">
        <v>36</v>
      </c>
      <c r="AX53" t="b">
        <v>1</v>
      </c>
      <c r="AY53">
        <v>10093750</v>
      </c>
      <c r="AZ53">
        <v>10093750</v>
      </c>
      <c r="BA53">
        <v>0</v>
      </c>
      <c r="BB53">
        <v>0</v>
      </c>
      <c r="BC53">
        <v>0</v>
      </c>
      <c r="BD53" t="b">
        <v>1</v>
      </c>
      <c r="BE53" t="s">
        <v>7456</v>
      </c>
    </row>
    <row r="54" spans="1:57" x14ac:dyDescent="0.25">
      <c r="A54" s="238">
        <v>53</v>
      </c>
      <c r="B54" s="238">
        <v>2</v>
      </c>
      <c r="C54">
        <v>1</v>
      </c>
      <c r="D54" s="238">
        <v>15</v>
      </c>
      <c r="E54" s="238">
        <v>1</v>
      </c>
      <c r="F54" s="238">
        <v>2</v>
      </c>
      <c r="G54" s="238">
        <v>17.61</v>
      </c>
      <c r="H54" s="238">
        <v>15.04</v>
      </c>
      <c r="I54" s="238"/>
      <c r="J54" s="238">
        <v>32.65</v>
      </c>
      <c r="K54" s="238">
        <v>12.85</v>
      </c>
      <c r="L54" s="238">
        <v>4.07</v>
      </c>
      <c r="M54" s="238">
        <v>2.73</v>
      </c>
      <c r="N54" s="238">
        <v>6.28</v>
      </c>
      <c r="O54" s="238"/>
      <c r="P54" s="238">
        <v>3.29</v>
      </c>
      <c r="Q54" s="238">
        <v>3.07</v>
      </c>
      <c r="R54" s="238">
        <v>6.3599999999999994</v>
      </c>
      <c r="S54" s="238">
        <v>64.94</v>
      </c>
      <c r="T54" s="238">
        <v>58.58</v>
      </c>
      <c r="U54" s="238">
        <v>61.76</v>
      </c>
      <c r="V54" s="238">
        <v>123120</v>
      </c>
      <c r="W54">
        <v>6880</v>
      </c>
      <c r="X54">
        <v>130000</v>
      </c>
      <c r="Y54">
        <v>0</v>
      </c>
      <c r="Z54">
        <v>130000</v>
      </c>
      <c r="AA54">
        <v>5000</v>
      </c>
      <c r="AB54">
        <v>125000</v>
      </c>
      <c r="AC54" s="238">
        <v>125000</v>
      </c>
      <c r="AD54" s="238">
        <v>7720000</v>
      </c>
      <c r="AF54" s="238"/>
      <c r="AG54" s="238">
        <v>0</v>
      </c>
      <c r="AH54" s="238">
        <v>125000</v>
      </c>
      <c r="AI54" s="238">
        <v>7720000</v>
      </c>
      <c r="AJ54" s="238" t="s">
        <v>36</v>
      </c>
      <c r="AK54" s="238"/>
      <c r="AL54" s="238">
        <v>125000</v>
      </c>
      <c r="AM54" s="238">
        <v>0</v>
      </c>
      <c r="AN54" s="238">
        <v>7720000</v>
      </c>
      <c r="AP54" s="238" t="s">
        <v>3</v>
      </c>
      <c r="AQ54" s="238" t="s">
        <v>3</v>
      </c>
      <c r="AR54" t="s">
        <v>8951</v>
      </c>
      <c r="AS54" t="s">
        <v>1167</v>
      </c>
      <c r="AT54" t="s">
        <v>8948</v>
      </c>
      <c r="AU54" t="s">
        <v>8974</v>
      </c>
      <c r="AV54" s="238" t="b">
        <v>1</v>
      </c>
      <c r="AW54" t="s">
        <v>36</v>
      </c>
      <c r="AX54" t="b">
        <v>1</v>
      </c>
      <c r="AY54">
        <v>7720000</v>
      </c>
      <c r="AZ54">
        <v>7720000</v>
      </c>
      <c r="BA54">
        <v>0</v>
      </c>
      <c r="BB54">
        <v>0</v>
      </c>
      <c r="BC54">
        <v>0</v>
      </c>
      <c r="BD54" t="b">
        <v>1</v>
      </c>
      <c r="BE54" t="s">
        <v>7457</v>
      </c>
    </row>
    <row r="55" spans="1:57" x14ac:dyDescent="0.25">
      <c r="A55" s="238">
        <v>54</v>
      </c>
      <c r="B55" s="238">
        <v>2</v>
      </c>
      <c r="C55">
        <v>1</v>
      </c>
      <c r="D55" s="238">
        <v>15</v>
      </c>
      <c r="E55" s="238">
        <v>2</v>
      </c>
      <c r="F55" s="238">
        <v>1</v>
      </c>
      <c r="G55" s="238">
        <v>14.34</v>
      </c>
      <c r="H55" s="238"/>
      <c r="I55" s="238"/>
      <c r="J55" s="238">
        <v>14.34</v>
      </c>
      <c r="K55" s="238">
        <v>9.92</v>
      </c>
      <c r="L55" s="238">
        <v>4</v>
      </c>
      <c r="M55" s="238"/>
      <c r="N55" s="238">
        <v>3.41</v>
      </c>
      <c r="O55" s="238">
        <v>2.37</v>
      </c>
      <c r="P55" s="238">
        <v>2.91</v>
      </c>
      <c r="Q55" s="238"/>
      <c r="R55" s="238">
        <v>2.91</v>
      </c>
      <c r="S55" s="238">
        <v>36.950000000000003</v>
      </c>
      <c r="T55" s="238">
        <v>34.04</v>
      </c>
      <c r="U55" s="238">
        <v>35.5</v>
      </c>
      <c r="V55" s="238">
        <v>137800</v>
      </c>
      <c r="X55">
        <v>137800</v>
      </c>
      <c r="Y55">
        <v>0</v>
      </c>
      <c r="Z55">
        <v>137800</v>
      </c>
      <c r="AB55">
        <v>137800</v>
      </c>
      <c r="AC55" s="238">
        <v>137800</v>
      </c>
      <c r="AD55" s="238">
        <v>4891900</v>
      </c>
      <c r="AF55" s="238"/>
      <c r="AG55" s="238">
        <v>0</v>
      </c>
      <c r="AH55" s="238">
        <v>137800</v>
      </c>
      <c r="AI55" s="238">
        <v>4891900</v>
      </c>
      <c r="AJ55" s="238" t="s">
        <v>36</v>
      </c>
      <c r="AK55" s="238"/>
      <c r="AL55" s="238">
        <v>137800</v>
      </c>
      <c r="AM55" s="238">
        <v>0</v>
      </c>
      <c r="AN55" s="238">
        <v>4891900</v>
      </c>
      <c r="AP55" s="238" t="s">
        <v>35</v>
      </c>
      <c r="AQ55" s="238" t="s">
        <v>35</v>
      </c>
      <c r="AR55" t="s">
        <v>8953</v>
      </c>
      <c r="AS55" t="s">
        <v>8954</v>
      </c>
      <c r="AT55" t="s">
        <v>8948</v>
      </c>
      <c r="AU55" t="s">
        <v>8973</v>
      </c>
      <c r="AV55" s="238" t="b">
        <v>1</v>
      </c>
      <c r="AW55" t="s">
        <v>36</v>
      </c>
      <c r="AX55" t="b">
        <v>1</v>
      </c>
      <c r="AY55">
        <v>4891900</v>
      </c>
      <c r="AZ55">
        <v>4891900</v>
      </c>
      <c r="BA55">
        <v>0</v>
      </c>
      <c r="BB55">
        <v>0</v>
      </c>
      <c r="BC55">
        <v>0</v>
      </c>
      <c r="BD55" t="b">
        <v>1</v>
      </c>
      <c r="BE55" t="s">
        <v>7458</v>
      </c>
    </row>
    <row r="56" spans="1:57" x14ac:dyDescent="0.25">
      <c r="A56" s="238">
        <v>55</v>
      </c>
      <c r="B56" s="238">
        <v>2</v>
      </c>
      <c r="C56">
        <v>1</v>
      </c>
      <c r="D56" s="238">
        <v>15</v>
      </c>
      <c r="E56" s="238">
        <v>3</v>
      </c>
      <c r="F56" s="238">
        <v>2</v>
      </c>
      <c r="G56" s="238">
        <v>14.94</v>
      </c>
      <c r="H56" s="238">
        <v>10.61</v>
      </c>
      <c r="I56" s="238"/>
      <c r="J56" s="238">
        <v>25.549999999999997</v>
      </c>
      <c r="K56" s="238">
        <v>13.05</v>
      </c>
      <c r="L56" s="238">
        <v>4.01</v>
      </c>
      <c r="M56" s="238"/>
      <c r="N56" s="238">
        <v>7.75</v>
      </c>
      <c r="O56" s="238"/>
      <c r="P56" s="238">
        <v>2.78</v>
      </c>
      <c r="Q56" s="238"/>
      <c r="R56" s="238">
        <v>2.78</v>
      </c>
      <c r="S56" s="238">
        <v>53.14</v>
      </c>
      <c r="T56" s="238">
        <v>50.36</v>
      </c>
      <c r="U56" s="238">
        <v>51.75</v>
      </c>
      <c r="V56" s="238">
        <v>111780</v>
      </c>
      <c r="W56">
        <v>20820</v>
      </c>
      <c r="X56">
        <v>132600</v>
      </c>
      <c r="Y56">
        <v>1</v>
      </c>
      <c r="Z56">
        <v>132601</v>
      </c>
      <c r="AA56">
        <v>5000</v>
      </c>
      <c r="AB56">
        <v>127601</v>
      </c>
      <c r="AC56" s="238">
        <v>127601</v>
      </c>
      <c r="AD56" s="238">
        <v>6603352</v>
      </c>
      <c r="AF56" s="238"/>
      <c r="AG56" s="238">
        <v>0</v>
      </c>
      <c r="AH56" s="238">
        <v>127601.00483091788</v>
      </c>
      <c r="AI56" s="238">
        <v>6603352</v>
      </c>
      <c r="AJ56" s="238" t="s">
        <v>36</v>
      </c>
      <c r="AK56" s="238"/>
      <c r="AL56" s="238">
        <v>127601.00483091788</v>
      </c>
      <c r="AM56" s="238">
        <v>0</v>
      </c>
      <c r="AN56" s="238">
        <v>6603352</v>
      </c>
      <c r="AP56" s="238" t="s">
        <v>3</v>
      </c>
      <c r="AQ56" s="238" t="s">
        <v>3</v>
      </c>
      <c r="AR56" t="s">
        <v>8951</v>
      </c>
      <c r="AS56" t="s">
        <v>1167</v>
      </c>
      <c r="AT56" t="s">
        <v>8948</v>
      </c>
      <c r="AU56" t="s">
        <v>8974</v>
      </c>
      <c r="AV56" s="238" t="b">
        <v>1</v>
      </c>
      <c r="AW56" t="s">
        <v>36</v>
      </c>
      <c r="AX56" t="b">
        <v>1</v>
      </c>
      <c r="AY56">
        <v>6603352</v>
      </c>
      <c r="AZ56">
        <v>6603352</v>
      </c>
      <c r="BA56">
        <v>0</v>
      </c>
      <c r="BB56">
        <v>0</v>
      </c>
      <c r="BC56">
        <v>0</v>
      </c>
      <c r="BD56" t="b">
        <v>1</v>
      </c>
      <c r="BE56" t="s">
        <v>7459</v>
      </c>
    </row>
    <row r="57" spans="1:57" x14ac:dyDescent="0.25">
      <c r="A57" s="238">
        <v>56</v>
      </c>
      <c r="B57" s="238">
        <v>2</v>
      </c>
      <c r="C57">
        <v>1</v>
      </c>
      <c r="D57" s="238">
        <v>15</v>
      </c>
      <c r="E57" s="238">
        <v>4</v>
      </c>
      <c r="F57" s="238">
        <v>3</v>
      </c>
      <c r="G57" s="238">
        <v>17.41</v>
      </c>
      <c r="H57" s="238">
        <v>11.92</v>
      </c>
      <c r="I57" s="238">
        <v>13.55</v>
      </c>
      <c r="J57" s="238">
        <v>42.879999999999995</v>
      </c>
      <c r="K57" s="238">
        <v>16.3</v>
      </c>
      <c r="L57" s="238">
        <v>3.11</v>
      </c>
      <c r="M57" s="238">
        <v>2.94</v>
      </c>
      <c r="N57" s="238">
        <v>9.27</v>
      </c>
      <c r="O57" s="238">
        <v>3.22</v>
      </c>
      <c r="P57" s="238">
        <v>3.07</v>
      </c>
      <c r="Q57" s="238">
        <v>2.98</v>
      </c>
      <c r="R57" s="238">
        <v>6.05</v>
      </c>
      <c r="S57" s="238">
        <v>83.77</v>
      </c>
      <c r="T57" s="238">
        <v>77.72</v>
      </c>
      <c r="U57" s="238">
        <v>80.75</v>
      </c>
      <c r="V57" s="238">
        <v>110670</v>
      </c>
      <c r="W57">
        <v>19330</v>
      </c>
      <c r="X57">
        <v>130000</v>
      </c>
      <c r="Y57">
        <v>0</v>
      </c>
      <c r="Z57">
        <v>130000</v>
      </c>
      <c r="AA57">
        <v>5000</v>
      </c>
      <c r="AB57">
        <v>125000</v>
      </c>
      <c r="AC57" s="238">
        <v>125000</v>
      </c>
      <c r="AD57" s="238">
        <v>10093750</v>
      </c>
      <c r="AF57" s="238"/>
      <c r="AG57" s="238">
        <v>0</v>
      </c>
      <c r="AH57" s="238">
        <v>125000</v>
      </c>
      <c r="AI57" s="238">
        <v>10093750</v>
      </c>
      <c r="AJ57" s="238" t="s">
        <v>36</v>
      </c>
      <c r="AK57" s="238"/>
      <c r="AL57" s="238">
        <v>125000</v>
      </c>
      <c r="AM57" s="238">
        <v>0</v>
      </c>
      <c r="AN57" s="238">
        <v>10093750</v>
      </c>
      <c r="AP57" s="238" t="s">
        <v>35</v>
      </c>
      <c r="AQ57" s="238" t="s">
        <v>35</v>
      </c>
      <c r="AR57" t="s">
        <v>8953</v>
      </c>
      <c r="AS57" t="s">
        <v>8954</v>
      </c>
      <c r="AT57" t="s">
        <v>8948</v>
      </c>
      <c r="AU57" t="s">
        <v>8990</v>
      </c>
      <c r="AV57" s="238" t="b">
        <v>1</v>
      </c>
      <c r="AW57" t="s">
        <v>36</v>
      </c>
      <c r="AX57" t="b">
        <v>1</v>
      </c>
      <c r="AY57">
        <v>10093750</v>
      </c>
      <c r="AZ57">
        <v>10093750</v>
      </c>
      <c r="BA57">
        <v>0</v>
      </c>
      <c r="BB57">
        <v>0</v>
      </c>
      <c r="BC57">
        <v>0</v>
      </c>
      <c r="BD57" t="b">
        <v>1</v>
      </c>
      <c r="BE57" t="s">
        <v>7460</v>
      </c>
    </row>
    <row r="58" spans="1:57" x14ac:dyDescent="0.25">
      <c r="A58" s="238">
        <v>57</v>
      </c>
      <c r="B58" s="238">
        <v>1</v>
      </c>
      <c r="C58">
        <v>2</v>
      </c>
      <c r="D58" s="238">
        <v>2</v>
      </c>
      <c r="E58" s="238">
        <v>1</v>
      </c>
      <c r="F58" s="238">
        <v>3</v>
      </c>
      <c r="G58" s="238">
        <v>21.29</v>
      </c>
      <c r="H58" s="238">
        <v>12.39</v>
      </c>
      <c r="I58" s="238">
        <v>11.63</v>
      </c>
      <c r="J58" s="238">
        <v>45.31</v>
      </c>
      <c r="K58" s="238">
        <v>12.77</v>
      </c>
      <c r="L58" s="238">
        <v>3.65</v>
      </c>
      <c r="M58" s="238">
        <v>2.96</v>
      </c>
      <c r="N58" s="238">
        <v>9.2200000000000006</v>
      </c>
      <c r="O58" s="238">
        <v>2.77</v>
      </c>
      <c r="P58" s="238">
        <v>3.07</v>
      </c>
      <c r="Q58" s="238"/>
      <c r="R58" s="238">
        <v>3.07</v>
      </c>
      <c r="S58" s="238">
        <v>79.75</v>
      </c>
      <c r="T58" s="238">
        <v>76.680000000000007</v>
      </c>
      <c r="U58" s="238">
        <v>78.22</v>
      </c>
      <c r="V58" s="238">
        <v>112710</v>
      </c>
      <c r="W58">
        <v>17290</v>
      </c>
      <c r="X58">
        <v>130000</v>
      </c>
      <c r="Y58">
        <v>0</v>
      </c>
      <c r="Z58">
        <v>130000</v>
      </c>
      <c r="AA58">
        <v>5000</v>
      </c>
      <c r="AB58">
        <v>125000</v>
      </c>
      <c r="AC58" s="238">
        <v>125000</v>
      </c>
      <c r="AD58" s="238">
        <v>9777500</v>
      </c>
      <c r="AF58" s="238"/>
      <c r="AG58" s="238">
        <v>0</v>
      </c>
      <c r="AH58" s="238">
        <v>125000</v>
      </c>
      <c r="AI58" s="238">
        <v>9777500</v>
      </c>
      <c r="AJ58" s="238" t="s">
        <v>36</v>
      </c>
      <c r="AK58" s="238"/>
      <c r="AL58" s="238">
        <v>125000</v>
      </c>
      <c r="AM58" s="238">
        <v>0</v>
      </c>
      <c r="AN58" s="238">
        <v>9777500</v>
      </c>
      <c r="AP58" s="238" t="s">
        <v>35</v>
      </c>
      <c r="AQ58" s="238" t="s">
        <v>35</v>
      </c>
      <c r="AR58" t="s">
        <v>8953</v>
      </c>
      <c r="AS58" t="s">
        <v>8954</v>
      </c>
      <c r="AT58" t="s">
        <v>8948</v>
      </c>
      <c r="AU58" t="s">
        <v>8975</v>
      </c>
      <c r="AV58" s="238" t="b">
        <v>1</v>
      </c>
      <c r="AW58" t="s">
        <v>36</v>
      </c>
      <c r="AX58" t="b">
        <v>1</v>
      </c>
      <c r="AY58">
        <v>9777500</v>
      </c>
      <c r="AZ58">
        <v>9777500</v>
      </c>
      <c r="BA58">
        <v>0</v>
      </c>
      <c r="BB58">
        <v>0</v>
      </c>
      <c r="BC58">
        <v>0</v>
      </c>
      <c r="BD58" t="b">
        <v>1</v>
      </c>
      <c r="BE58" t="s">
        <v>7461</v>
      </c>
    </row>
    <row r="59" spans="1:57" x14ac:dyDescent="0.25">
      <c r="A59" s="238">
        <v>58</v>
      </c>
      <c r="B59" s="238">
        <v>1</v>
      </c>
      <c r="C59">
        <v>2</v>
      </c>
      <c r="D59" s="238">
        <v>2</v>
      </c>
      <c r="E59" s="238">
        <v>2</v>
      </c>
      <c r="F59" s="238">
        <v>2</v>
      </c>
      <c r="G59" s="238">
        <v>19.48</v>
      </c>
      <c r="H59" s="238">
        <v>14.15</v>
      </c>
      <c r="I59" s="238"/>
      <c r="J59" s="238">
        <v>33.630000000000003</v>
      </c>
      <c r="K59" s="238">
        <v>14.32</v>
      </c>
      <c r="L59" s="238">
        <v>4.26</v>
      </c>
      <c r="M59" s="238"/>
      <c r="N59" s="238">
        <v>5.32</v>
      </c>
      <c r="O59" s="238"/>
      <c r="P59" s="238"/>
      <c r="Q59" s="238"/>
      <c r="R59" s="238">
        <v>0</v>
      </c>
      <c r="S59" s="238">
        <v>57.53</v>
      </c>
      <c r="T59" s="238">
        <v>57.53</v>
      </c>
      <c r="U59" s="238">
        <v>57.53</v>
      </c>
      <c r="V59" s="238">
        <v>116640</v>
      </c>
      <c r="W59">
        <v>13360</v>
      </c>
      <c r="X59">
        <v>130000</v>
      </c>
      <c r="Y59">
        <v>0</v>
      </c>
      <c r="Z59">
        <v>130000</v>
      </c>
      <c r="AA59">
        <v>5000</v>
      </c>
      <c r="AB59">
        <v>125000</v>
      </c>
      <c r="AC59" s="238">
        <v>125000</v>
      </c>
      <c r="AD59" s="238">
        <v>7191250</v>
      </c>
      <c r="AF59" s="238"/>
      <c r="AG59" s="238">
        <v>0</v>
      </c>
      <c r="AH59" s="238">
        <v>125000</v>
      </c>
      <c r="AI59" s="238">
        <v>7191250</v>
      </c>
      <c r="AJ59" s="238" t="s">
        <v>36</v>
      </c>
      <c r="AK59" s="238"/>
      <c r="AL59" s="238">
        <v>125000</v>
      </c>
      <c r="AM59" s="238">
        <v>0</v>
      </c>
      <c r="AN59" s="238">
        <v>7191250</v>
      </c>
      <c r="AP59" s="238" t="s">
        <v>35</v>
      </c>
      <c r="AQ59" s="238" t="s">
        <v>35</v>
      </c>
      <c r="AR59" t="s">
        <v>8953</v>
      </c>
      <c r="AS59" t="s">
        <v>8954</v>
      </c>
      <c r="AT59" t="s">
        <v>8948</v>
      </c>
      <c r="AU59" t="s">
        <v>8971</v>
      </c>
      <c r="AV59" s="238" t="b">
        <v>1</v>
      </c>
      <c r="AW59" t="s">
        <v>36</v>
      </c>
      <c r="AX59" t="b">
        <v>1</v>
      </c>
      <c r="AY59">
        <v>7191250</v>
      </c>
      <c r="AZ59">
        <v>7191250</v>
      </c>
      <c r="BA59">
        <v>0</v>
      </c>
      <c r="BB59">
        <v>0</v>
      </c>
      <c r="BC59">
        <v>0</v>
      </c>
      <c r="BD59" t="b">
        <v>1</v>
      </c>
      <c r="BE59" t="s">
        <v>7462</v>
      </c>
    </row>
    <row r="60" spans="1:57" x14ac:dyDescent="0.25">
      <c r="A60" s="238">
        <v>59</v>
      </c>
      <c r="B60" s="238">
        <v>1</v>
      </c>
      <c r="C60">
        <v>2</v>
      </c>
      <c r="D60" s="238">
        <v>2</v>
      </c>
      <c r="E60" s="238">
        <v>3</v>
      </c>
      <c r="F60" s="238">
        <v>1</v>
      </c>
      <c r="G60" s="238">
        <v>14.94</v>
      </c>
      <c r="H60" s="238"/>
      <c r="I60" s="238"/>
      <c r="J60" s="238">
        <v>14.94</v>
      </c>
      <c r="K60" s="238">
        <v>14.47</v>
      </c>
      <c r="L60" s="238">
        <v>4.2</v>
      </c>
      <c r="M60" s="238"/>
      <c r="N60" s="238">
        <v>4.97</v>
      </c>
      <c r="O60" s="238"/>
      <c r="P60" s="238"/>
      <c r="Q60" s="238"/>
      <c r="R60" s="238">
        <v>0</v>
      </c>
      <c r="S60" s="238">
        <v>38.58</v>
      </c>
      <c r="T60" s="238">
        <v>38.58</v>
      </c>
      <c r="U60" s="238">
        <v>38.58</v>
      </c>
      <c r="V60" s="238">
        <v>137800</v>
      </c>
      <c r="X60">
        <v>137800</v>
      </c>
      <c r="Y60">
        <v>1.9699326075788119</v>
      </c>
      <c r="Z60">
        <v>137801.96993260758</v>
      </c>
      <c r="AB60">
        <v>137801.96993260758</v>
      </c>
      <c r="AC60" s="238">
        <v>137801.97</v>
      </c>
      <c r="AD60" s="238">
        <v>5316400</v>
      </c>
      <c r="AF60" s="238"/>
      <c r="AG60" s="238">
        <v>0</v>
      </c>
      <c r="AH60" s="238">
        <v>137801.96993260758</v>
      </c>
      <c r="AI60" s="238">
        <v>5316400</v>
      </c>
      <c r="AJ60" s="238" t="s">
        <v>36</v>
      </c>
      <c r="AK60" s="238"/>
      <c r="AL60" s="238">
        <v>137801.96993260758</v>
      </c>
      <c r="AM60" s="238">
        <v>0</v>
      </c>
      <c r="AN60" s="238">
        <v>5316400</v>
      </c>
      <c r="AP60" s="238" t="s">
        <v>35</v>
      </c>
      <c r="AQ60" s="238" t="s">
        <v>35</v>
      </c>
      <c r="AR60" t="s">
        <v>8953</v>
      </c>
      <c r="AS60" t="s">
        <v>8954</v>
      </c>
      <c r="AT60" t="s">
        <v>8948</v>
      </c>
      <c r="AU60" t="s">
        <v>8973</v>
      </c>
      <c r="AV60" s="238" t="b">
        <v>1</v>
      </c>
      <c r="AW60" t="s">
        <v>36</v>
      </c>
      <c r="AX60" t="b">
        <v>1</v>
      </c>
      <c r="AY60">
        <v>5316400</v>
      </c>
      <c r="AZ60">
        <v>5316400</v>
      </c>
      <c r="BA60">
        <v>0</v>
      </c>
      <c r="BB60">
        <v>0</v>
      </c>
      <c r="BC60">
        <v>0</v>
      </c>
      <c r="BD60" t="b">
        <v>1</v>
      </c>
      <c r="BE60" t="s">
        <v>7463</v>
      </c>
    </row>
    <row r="61" spans="1:57" x14ac:dyDescent="0.25">
      <c r="A61" s="238">
        <v>60</v>
      </c>
      <c r="B61" s="238">
        <v>1</v>
      </c>
      <c r="C61">
        <v>2</v>
      </c>
      <c r="D61" s="238">
        <v>2</v>
      </c>
      <c r="E61" s="238">
        <v>4</v>
      </c>
      <c r="F61" s="238">
        <v>1</v>
      </c>
      <c r="G61" s="238">
        <v>18.100000000000001</v>
      </c>
      <c r="H61" s="238"/>
      <c r="I61" s="238"/>
      <c r="J61" s="238">
        <v>18.100000000000001</v>
      </c>
      <c r="K61" s="238">
        <v>15.34</v>
      </c>
      <c r="L61" s="238">
        <v>5.15</v>
      </c>
      <c r="M61" s="238"/>
      <c r="N61" s="238">
        <v>4.8899999999999997</v>
      </c>
      <c r="O61" s="238">
        <v>2.2599999999999998</v>
      </c>
      <c r="P61" s="238"/>
      <c r="Q61" s="238"/>
      <c r="R61" s="238">
        <v>0</v>
      </c>
      <c r="S61" s="238">
        <v>45.74</v>
      </c>
      <c r="T61" s="238">
        <v>45.74</v>
      </c>
      <c r="U61" s="238">
        <v>45.74</v>
      </c>
      <c r="V61" s="238">
        <v>139100</v>
      </c>
      <c r="X61">
        <v>139100</v>
      </c>
      <c r="Y61">
        <v>1.4429383471724575</v>
      </c>
      <c r="Z61">
        <v>139101.44293834717</v>
      </c>
      <c r="AB61">
        <v>139101.44293834717</v>
      </c>
      <c r="AC61" s="238">
        <v>139101.44</v>
      </c>
      <c r="AD61" s="238">
        <v>6362500</v>
      </c>
      <c r="AF61" s="238"/>
      <c r="AG61" s="238">
        <v>0</v>
      </c>
      <c r="AH61" s="238">
        <v>139101.44293834717</v>
      </c>
      <c r="AI61" s="238">
        <v>6362500</v>
      </c>
      <c r="AJ61" s="238" t="s">
        <v>36</v>
      </c>
      <c r="AK61" s="238"/>
      <c r="AL61" s="238">
        <v>139101.44293834717</v>
      </c>
      <c r="AM61" s="238">
        <v>0</v>
      </c>
      <c r="AN61" s="238">
        <v>6362500</v>
      </c>
      <c r="AP61" s="238" t="s">
        <v>35</v>
      </c>
      <c r="AQ61" s="238" t="s">
        <v>35</v>
      </c>
      <c r="AR61" t="s">
        <v>8953</v>
      </c>
      <c r="AS61" t="s">
        <v>8954</v>
      </c>
      <c r="AT61" t="s">
        <v>8948</v>
      </c>
      <c r="AU61" t="s">
        <v>8972</v>
      </c>
      <c r="AV61" s="238" t="b">
        <v>1</v>
      </c>
      <c r="AW61" t="s">
        <v>36</v>
      </c>
      <c r="AX61" t="b">
        <v>1</v>
      </c>
      <c r="AY61">
        <v>6362500</v>
      </c>
      <c r="AZ61">
        <v>6362500</v>
      </c>
      <c r="BA61">
        <v>0</v>
      </c>
      <c r="BB61">
        <v>0</v>
      </c>
      <c r="BC61">
        <v>0</v>
      </c>
      <c r="BD61" t="b">
        <v>1</v>
      </c>
      <c r="BE61" t="s">
        <v>7464</v>
      </c>
    </row>
    <row r="62" spans="1:57" x14ac:dyDescent="0.25">
      <c r="A62" s="238">
        <v>61</v>
      </c>
      <c r="B62" s="238">
        <v>1</v>
      </c>
      <c r="C62">
        <v>2</v>
      </c>
      <c r="D62" s="238">
        <v>2</v>
      </c>
      <c r="E62" s="238">
        <v>5</v>
      </c>
      <c r="F62" s="238">
        <v>2</v>
      </c>
      <c r="G62" s="238">
        <v>17.149999999999999</v>
      </c>
      <c r="H62" s="238">
        <v>10.73</v>
      </c>
      <c r="I62" s="238"/>
      <c r="J62" s="238">
        <v>27.88</v>
      </c>
      <c r="K62" s="238">
        <v>10.93</v>
      </c>
      <c r="L62" s="238">
        <v>4.8099999999999996</v>
      </c>
      <c r="M62" s="238"/>
      <c r="N62" s="238">
        <v>4.59</v>
      </c>
      <c r="O62" s="238"/>
      <c r="P62" s="238">
        <v>3.07</v>
      </c>
      <c r="Q62" s="238"/>
      <c r="R62" s="238">
        <v>3.07</v>
      </c>
      <c r="S62" s="238">
        <v>51.28</v>
      </c>
      <c r="T62" s="238">
        <v>48.21</v>
      </c>
      <c r="U62" s="238">
        <v>49.75</v>
      </c>
      <c r="V62" s="238">
        <v>123660</v>
      </c>
      <c r="W62">
        <v>6340</v>
      </c>
      <c r="X62">
        <v>130000</v>
      </c>
      <c r="Y62">
        <v>0</v>
      </c>
      <c r="Z62">
        <v>130000</v>
      </c>
      <c r="AA62">
        <v>5000</v>
      </c>
      <c r="AB62">
        <v>125000</v>
      </c>
      <c r="AC62" s="238">
        <v>125000</v>
      </c>
      <c r="AD62" s="238">
        <v>6218750</v>
      </c>
      <c r="AF62" s="238">
        <v>0.03</v>
      </c>
      <c r="AG62" s="238">
        <v>186562.5</v>
      </c>
      <c r="AH62" s="238">
        <v>121250</v>
      </c>
      <c r="AI62" s="238">
        <v>6032187.5</v>
      </c>
      <c r="AJ62" s="238" t="s">
        <v>36</v>
      </c>
      <c r="AK62" s="238"/>
      <c r="AL62" s="238">
        <v>121250</v>
      </c>
      <c r="AM62" s="238">
        <v>0</v>
      </c>
      <c r="AN62" s="238">
        <v>6032187.5</v>
      </c>
      <c r="AO62" t="s">
        <v>3538</v>
      </c>
      <c r="AP62" s="238" t="s">
        <v>8956</v>
      </c>
      <c r="AQ62" s="238" t="s">
        <v>8956</v>
      </c>
      <c r="AR62" t="s">
        <v>8953</v>
      </c>
      <c r="AS62" t="s">
        <v>8957</v>
      </c>
      <c r="AT62" t="s">
        <v>8948</v>
      </c>
      <c r="AU62" t="s">
        <v>8974</v>
      </c>
      <c r="AV62" s="238" t="b">
        <v>1</v>
      </c>
      <c r="AW62" t="s">
        <v>36</v>
      </c>
      <c r="AX62" t="b">
        <v>1</v>
      </c>
      <c r="AY62">
        <v>6218750</v>
      </c>
      <c r="AZ62">
        <v>6218750</v>
      </c>
      <c r="BA62">
        <v>0</v>
      </c>
      <c r="BB62">
        <v>6218750</v>
      </c>
      <c r="BC62">
        <v>0</v>
      </c>
      <c r="BD62" t="b">
        <v>1</v>
      </c>
      <c r="BE62" t="s">
        <v>7465</v>
      </c>
    </row>
    <row r="63" spans="1:57" x14ac:dyDescent="0.25">
      <c r="A63" s="238">
        <v>62</v>
      </c>
      <c r="B63" s="238">
        <v>1</v>
      </c>
      <c r="C63">
        <v>2</v>
      </c>
      <c r="D63" s="238">
        <v>3</v>
      </c>
      <c r="E63" s="238">
        <v>1</v>
      </c>
      <c r="F63" s="238">
        <v>3</v>
      </c>
      <c r="G63" s="238">
        <v>21.29</v>
      </c>
      <c r="H63" s="238">
        <v>12.39</v>
      </c>
      <c r="I63" s="238">
        <v>11.63</v>
      </c>
      <c r="J63" s="238">
        <v>45.31</v>
      </c>
      <c r="K63" s="238">
        <v>12.77</v>
      </c>
      <c r="L63" s="238">
        <v>3.43</v>
      </c>
      <c r="M63" s="238">
        <v>2.58</v>
      </c>
      <c r="N63" s="238">
        <v>9.2200000000000006</v>
      </c>
      <c r="O63" s="238">
        <v>2.77</v>
      </c>
      <c r="P63" s="238">
        <v>3.07</v>
      </c>
      <c r="Q63" s="238"/>
      <c r="R63" s="238">
        <v>3.07</v>
      </c>
      <c r="S63" s="238">
        <v>79.150000000000006</v>
      </c>
      <c r="T63" s="238">
        <v>76.08</v>
      </c>
      <c r="U63" s="238">
        <v>77.62</v>
      </c>
      <c r="V63" s="238">
        <v>112710</v>
      </c>
      <c r="W63">
        <v>17290</v>
      </c>
      <c r="X63">
        <v>130000</v>
      </c>
      <c r="Y63">
        <v>0</v>
      </c>
      <c r="Z63">
        <v>130000</v>
      </c>
      <c r="AA63">
        <v>5000</v>
      </c>
      <c r="AB63">
        <v>125000</v>
      </c>
      <c r="AC63" s="238">
        <v>125000</v>
      </c>
      <c r="AD63" s="238">
        <v>9702500</v>
      </c>
      <c r="AF63" s="238"/>
      <c r="AG63" s="238">
        <v>0</v>
      </c>
      <c r="AH63" s="238">
        <v>125000</v>
      </c>
      <c r="AI63" s="238">
        <v>9702500</v>
      </c>
      <c r="AJ63" s="238" t="s">
        <v>36</v>
      </c>
      <c r="AK63" s="238"/>
      <c r="AL63" s="238">
        <v>125000</v>
      </c>
      <c r="AM63" s="238">
        <v>0</v>
      </c>
      <c r="AN63" s="238">
        <v>9702500</v>
      </c>
      <c r="AP63" s="238" t="s">
        <v>3</v>
      </c>
      <c r="AQ63" s="238" t="s">
        <v>3</v>
      </c>
      <c r="AR63" t="s">
        <v>8951</v>
      </c>
      <c r="AS63" t="s">
        <v>1167</v>
      </c>
      <c r="AT63" t="s">
        <v>8948</v>
      </c>
      <c r="AU63" t="s">
        <v>8975</v>
      </c>
      <c r="AV63" s="238" t="b">
        <v>1</v>
      </c>
      <c r="AW63" t="s">
        <v>36</v>
      </c>
      <c r="AX63" t="b">
        <v>1</v>
      </c>
      <c r="AY63">
        <v>9702500</v>
      </c>
      <c r="AZ63">
        <v>9702500</v>
      </c>
      <c r="BA63">
        <v>0</v>
      </c>
      <c r="BB63">
        <v>0</v>
      </c>
      <c r="BC63">
        <v>0</v>
      </c>
      <c r="BD63" t="b">
        <v>1</v>
      </c>
      <c r="BE63" t="s">
        <v>7466</v>
      </c>
    </row>
    <row r="64" spans="1:57" x14ac:dyDescent="0.25">
      <c r="A64" s="238">
        <v>63</v>
      </c>
      <c r="B64" s="238">
        <v>1</v>
      </c>
      <c r="C64">
        <v>2</v>
      </c>
      <c r="D64" s="238">
        <v>3</v>
      </c>
      <c r="E64" s="238">
        <v>2</v>
      </c>
      <c r="F64" s="238">
        <v>2</v>
      </c>
      <c r="G64" s="238">
        <v>19.48</v>
      </c>
      <c r="H64" s="238">
        <v>14.15</v>
      </c>
      <c r="I64" s="238"/>
      <c r="J64" s="238">
        <v>33.630000000000003</v>
      </c>
      <c r="K64" s="238">
        <v>14.32</v>
      </c>
      <c r="L64" s="238">
        <v>3.96</v>
      </c>
      <c r="M64" s="238"/>
      <c r="N64" s="238">
        <v>5.32</v>
      </c>
      <c r="O64" s="238"/>
      <c r="P64" s="238"/>
      <c r="Q64" s="238"/>
      <c r="R64" s="238">
        <v>0</v>
      </c>
      <c r="S64" s="238">
        <v>57.23</v>
      </c>
      <c r="T64" s="238">
        <v>57.23</v>
      </c>
      <c r="U64" s="238">
        <v>57.23</v>
      </c>
      <c r="V64" s="238">
        <v>116640</v>
      </c>
      <c r="X64">
        <v>116640</v>
      </c>
      <c r="Y64">
        <v>-6439.0564389306237</v>
      </c>
      <c r="Z64">
        <v>110200.94356106938</v>
      </c>
      <c r="AB64">
        <v>110200.94356106938</v>
      </c>
      <c r="AC64" s="238">
        <v>110200.94</v>
      </c>
      <c r="AD64" s="238">
        <v>6306800</v>
      </c>
      <c r="AF64" s="238"/>
      <c r="AG64" s="238">
        <v>0</v>
      </c>
      <c r="AH64" s="238">
        <v>110200.94356106938</v>
      </c>
      <c r="AI64" s="238">
        <v>6306800</v>
      </c>
      <c r="AJ64" s="238" t="s">
        <v>8787</v>
      </c>
      <c r="AK64" s="238">
        <v>10000</v>
      </c>
      <c r="AL64" s="238">
        <v>120200.94356106938</v>
      </c>
      <c r="AM64" s="238">
        <v>572300</v>
      </c>
      <c r="AN64" s="238">
        <v>6879100</v>
      </c>
      <c r="AP64" s="238" t="s">
        <v>39</v>
      </c>
      <c r="AQ64" s="238" t="s">
        <v>39</v>
      </c>
      <c r="AR64" t="s">
        <v>8950</v>
      </c>
      <c r="AS64" t="s">
        <v>1167</v>
      </c>
      <c r="AT64" t="s">
        <v>8948</v>
      </c>
      <c r="AU64" t="s">
        <v>8971</v>
      </c>
      <c r="AV64" s="238" t="b">
        <v>1</v>
      </c>
      <c r="AW64" t="s">
        <v>8787</v>
      </c>
      <c r="AX64" t="b">
        <v>1</v>
      </c>
      <c r="AY64">
        <v>6306800</v>
      </c>
      <c r="AZ64" t="s">
        <v>9002</v>
      </c>
      <c r="BA64">
        <v>0</v>
      </c>
      <c r="BB64">
        <v>6306800</v>
      </c>
      <c r="BC64">
        <v>0</v>
      </c>
      <c r="BD64" t="b">
        <v>1</v>
      </c>
      <c r="BE64" t="s">
        <v>7467</v>
      </c>
    </row>
    <row r="65" spans="1:57" x14ac:dyDescent="0.25">
      <c r="A65" s="238">
        <v>64</v>
      </c>
      <c r="B65" s="238">
        <v>1</v>
      </c>
      <c r="C65">
        <v>2</v>
      </c>
      <c r="D65" s="238">
        <v>3</v>
      </c>
      <c r="E65" s="238">
        <v>3</v>
      </c>
      <c r="F65" s="238">
        <v>1</v>
      </c>
      <c r="G65" s="238">
        <v>14.94</v>
      </c>
      <c r="H65" s="238"/>
      <c r="I65" s="238"/>
      <c r="J65" s="238">
        <v>14.94</v>
      </c>
      <c r="K65" s="238">
        <v>14.47</v>
      </c>
      <c r="L65" s="238">
        <v>3.96</v>
      </c>
      <c r="M65" s="238"/>
      <c r="N65" s="238">
        <v>4.97</v>
      </c>
      <c r="O65" s="238"/>
      <c r="P65" s="238"/>
      <c r="Q65" s="238"/>
      <c r="R65" s="238">
        <v>0</v>
      </c>
      <c r="S65" s="238">
        <v>38.340000000000003</v>
      </c>
      <c r="T65" s="238">
        <v>38.340000000000003</v>
      </c>
      <c r="U65" s="238">
        <v>38.340000000000003</v>
      </c>
      <c r="V65" s="238">
        <v>137800</v>
      </c>
      <c r="X65">
        <v>137800</v>
      </c>
      <c r="Y65">
        <v>1.2519561815133784</v>
      </c>
      <c r="Z65">
        <v>137801.25195618151</v>
      </c>
      <c r="AB65">
        <v>137801.25195618151</v>
      </c>
      <c r="AC65" s="238">
        <v>137801.25</v>
      </c>
      <c r="AD65" s="238">
        <v>5283300</v>
      </c>
      <c r="AF65" s="238"/>
      <c r="AG65" s="238">
        <v>0</v>
      </c>
      <c r="AH65" s="238">
        <v>137801.25195618151</v>
      </c>
      <c r="AI65" s="238">
        <v>5283300</v>
      </c>
      <c r="AJ65" s="238" t="s">
        <v>36</v>
      </c>
      <c r="AK65" s="238"/>
      <c r="AL65" s="238">
        <v>137801.25195618151</v>
      </c>
      <c r="AM65" s="238">
        <v>0</v>
      </c>
      <c r="AN65" s="238">
        <v>5283300</v>
      </c>
      <c r="AP65" s="238" t="s">
        <v>35</v>
      </c>
      <c r="AQ65" s="238" t="s">
        <v>35</v>
      </c>
      <c r="AR65" t="s">
        <v>8953</v>
      </c>
      <c r="AS65" t="s">
        <v>8954</v>
      </c>
      <c r="AT65" t="s">
        <v>8948</v>
      </c>
      <c r="AU65" t="s">
        <v>8973</v>
      </c>
      <c r="AV65" s="238" t="b">
        <v>1</v>
      </c>
      <c r="AW65" t="s">
        <v>36</v>
      </c>
      <c r="AX65" t="b">
        <v>1</v>
      </c>
      <c r="AY65">
        <v>5283300</v>
      </c>
      <c r="AZ65">
        <v>5283300</v>
      </c>
      <c r="BA65">
        <v>0</v>
      </c>
      <c r="BB65">
        <v>0</v>
      </c>
      <c r="BC65">
        <v>0</v>
      </c>
      <c r="BD65" t="b">
        <v>1</v>
      </c>
      <c r="BE65" t="s">
        <v>7468</v>
      </c>
    </row>
    <row r="66" spans="1:57" x14ac:dyDescent="0.25">
      <c r="A66" s="238">
        <v>65</v>
      </c>
      <c r="B66" s="238">
        <v>1</v>
      </c>
      <c r="C66">
        <v>2</v>
      </c>
      <c r="D66" s="238">
        <v>3</v>
      </c>
      <c r="E66" s="238">
        <v>4</v>
      </c>
      <c r="F66" s="238">
        <v>1</v>
      </c>
      <c r="G66" s="238">
        <v>18.100000000000001</v>
      </c>
      <c r="H66" s="238"/>
      <c r="I66" s="238"/>
      <c r="J66" s="238">
        <v>18.100000000000001</v>
      </c>
      <c r="K66" s="238">
        <v>15.34</v>
      </c>
      <c r="L66" s="238">
        <v>4.62</v>
      </c>
      <c r="M66" s="238"/>
      <c r="N66" s="238">
        <v>4.8899999999999997</v>
      </c>
      <c r="O66" s="238">
        <v>2.2599999999999998</v>
      </c>
      <c r="P66" s="238"/>
      <c r="Q66" s="238"/>
      <c r="R66" s="238">
        <v>0</v>
      </c>
      <c r="S66" s="238">
        <v>45.21</v>
      </c>
      <c r="T66" s="238">
        <v>45.21</v>
      </c>
      <c r="U66" s="238">
        <v>45.21</v>
      </c>
      <c r="V66" s="238">
        <v>139100</v>
      </c>
      <c r="X66">
        <v>139100</v>
      </c>
      <c r="Y66">
        <v>-8675.3151957531518</v>
      </c>
      <c r="Z66">
        <v>130424.68480424683</v>
      </c>
      <c r="AB66">
        <v>130424.68480424683</v>
      </c>
      <c r="AC66" s="238">
        <v>130424.68</v>
      </c>
      <c r="AD66" s="238">
        <v>5896500</v>
      </c>
      <c r="AF66" s="238">
        <v>0.02</v>
      </c>
      <c r="AG66" s="238">
        <v>117930</v>
      </c>
      <c r="AH66" s="238">
        <v>127816.1911081619</v>
      </c>
      <c r="AI66" s="238">
        <v>5778570</v>
      </c>
      <c r="AJ66" s="238" t="s">
        <v>8787</v>
      </c>
      <c r="AK66" s="238">
        <v>10000</v>
      </c>
      <c r="AL66" s="238">
        <v>137816.1911081619</v>
      </c>
      <c r="AM66" s="238">
        <v>452100</v>
      </c>
      <c r="AN66" s="238">
        <v>6230670</v>
      </c>
      <c r="AO66" t="s">
        <v>3540</v>
      </c>
      <c r="AP66" s="238" t="s">
        <v>39</v>
      </c>
      <c r="AQ66" s="238" t="s">
        <v>39</v>
      </c>
      <c r="AR66" t="s">
        <v>8950</v>
      </c>
      <c r="AS66" t="s">
        <v>1167</v>
      </c>
      <c r="AT66" t="s">
        <v>8948</v>
      </c>
      <c r="AU66" t="s">
        <v>8972</v>
      </c>
      <c r="AV66" s="238" t="b">
        <v>1</v>
      </c>
      <c r="AW66" t="s">
        <v>8787</v>
      </c>
      <c r="AX66" t="b">
        <v>1</v>
      </c>
      <c r="AY66">
        <v>5896500</v>
      </c>
      <c r="AZ66" t="s">
        <v>9002</v>
      </c>
      <c r="BA66">
        <v>0</v>
      </c>
      <c r="BB66">
        <v>5896500</v>
      </c>
      <c r="BC66">
        <v>0</v>
      </c>
      <c r="BD66" t="b">
        <v>1</v>
      </c>
      <c r="BE66" t="s">
        <v>7469</v>
      </c>
    </row>
    <row r="67" spans="1:57" x14ac:dyDescent="0.25">
      <c r="A67" s="238">
        <v>66</v>
      </c>
      <c r="B67" s="238">
        <v>1</v>
      </c>
      <c r="C67">
        <v>2</v>
      </c>
      <c r="D67" s="238">
        <v>3</v>
      </c>
      <c r="E67" s="238">
        <v>5</v>
      </c>
      <c r="F67" s="238">
        <v>2</v>
      </c>
      <c r="G67" s="238">
        <v>17.149999999999999</v>
      </c>
      <c r="H67" s="238">
        <v>10.73</v>
      </c>
      <c r="I67" s="238"/>
      <c r="J67" s="238">
        <v>27.88</v>
      </c>
      <c r="K67" s="238">
        <v>10.93</v>
      </c>
      <c r="L67" s="238">
        <v>4.45</v>
      </c>
      <c r="M67" s="238"/>
      <c r="N67" s="238">
        <v>4.59</v>
      </c>
      <c r="O67" s="238"/>
      <c r="P67" s="238">
        <v>3.07</v>
      </c>
      <c r="Q67" s="238"/>
      <c r="R67" s="238">
        <v>3.07</v>
      </c>
      <c r="S67" s="238">
        <v>50.92</v>
      </c>
      <c r="T67" s="238">
        <v>47.85</v>
      </c>
      <c r="U67" s="238">
        <v>49.39</v>
      </c>
      <c r="V67" s="238">
        <v>123660</v>
      </c>
      <c r="W67">
        <v>6340</v>
      </c>
      <c r="X67">
        <v>130000</v>
      </c>
      <c r="Y67">
        <v>-500.10123506783566</v>
      </c>
      <c r="Z67">
        <v>129499.89876493216</v>
      </c>
      <c r="AB67">
        <v>129499.89876493216</v>
      </c>
      <c r="AC67" s="238">
        <v>129499.9</v>
      </c>
      <c r="AD67" s="238">
        <v>6396000</v>
      </c>
      <c r="AF67" s="238">
        <v>0.02</v>
      </c>
      <c r="AG67" s="238">
        <v>127920</v>
      </c>
      <c r="AH67" s="238">
        <v>126909.90078963352</v>
      </c>
      <c r="AI67" s="238">
        <v>6268080</v>
      </c>
      <c r="AJ67" s="238" t="s">
        <v>36</v>
      </c>
      <c r="AK67" s="238"/>
      <c r="AL67" s="238">
        <v>126909.90078963352</v>
      </c>
      <c r="AM67" s="238">
        <v>0</v>
      </c>
      <c r="AN67" s="238">
        <v>6268080</v>
      </c>
      <c r="AP67" s="238" t="s">
        <v>39</v>
      </c>
      <c r="AQ67" s="238" t="s">
        <v>39</v>
      </c>
      <c r="AR67" t="s">
        <v>8950</v>
      </c>
      <c r="AS67" t="s">
        <v>1167</v>
      </c>
      <c r="AT67" t="s">
        <v>8948</v>
      </c>
      <c r="AU67" t="s">
        <v>8974</v>
      </c>
      <c r="AV67" s="238" t="b">
        <v>1</v>
      </c>
      <c r="AW67" t="s">
        <v>36</v>
      </c>
      <c r="AX67" t="b">
        <v>1</v>
      </c>
      <c r="AY67">
        <v>6396000</v>
      </c>
      <c r="AZ67" t="s">
        <v>9002</v>
      </c>
      <c r="BA67">
        <v>0</v>
      </c>
      <c r="BB67">
        <v>6396000</v>
      </c>
      <c r="BC67">
        <v>0</v>
      </c>
      <c r="BD67" t="b">
        <v>1</v>
      </c>
      <c r="BE67" t="s">
        <v>7470</v>
      </c>
    </row>
    <row r="68" spans="1:57" x14ac:dyDescent="0.25">
      <c r="A68" s="238">
        <v>67</v>
      </c>
      <c r="B68" s="238">
        <v>1</v>
      </c>
      <c r="C68">
        <v>2</v>
      </c>
      <c r="D68" s="238">
        <v>4</v>
      </c>
      <c r="E68" s="238">
        <v>1</v>
      </c>
      <c r="F68" s="238">
        <v>3</v>
      </c>
      <c r="G68" s="238">
        <v>21.29</v>
      </c>
      <c r="H68" s="238">
        <v>12.39</v>
      </c>
      <c r="I68" s="238">
        <v>11.63</v>
      </c>
      <c r="J68" s="238">
        <v>45.31</v>
      </c>
      <c r="K68" s="238">
        <v>12.77</v>
      </c>
      <c r="L68" s="238">
        <v>3.43</v>
      </c>
      <c r="M68" s="238">
        <v>2.58</v>
      </c>
      <c r="N68" s="238">
        <v>9.2200000000000006</v>
      </c>
      <c r="O68" s="238">
        <v>2.77</v>
      </c>
      <c r="P68" s="238">
        <v>3.07</v>
      </c>
      <c r="Q68" s="238"/>
      <c r="R68" s="238">
        <v>3.07</v>
      </c>
      <c r="S68" s="238">
        <v>79.150000000000006</v>
      </c>
      <c r="T68" s="238">
        <v>76.08</v>
      </c>
      <c r="U68" s="238">
        <v>77.62</v>
      </c>
      <c r="V68" s="238">
        <v>112710</v>
      </c>
      <c r="W68">
        <v>17290</v>
      </c>
      <c r="X68">
        <v>130000</v>
      </c>
      <c r="Y68">
        <v>0</v>
      </c>
      <c r="Z68">
        <v>130000</v>
      </c>
      <c r="AA68">
        <v>5000</v>
      </c>
      <c r="AB68">
        <v>125000</v>
      </c>
      <c r="AC68" s="238">
        <v>125000</v>
      </c>
      <c r="AD68" s="238">
        <v>9702500</v>
      </c>
      <c r="AF68" s="238"/>
      <c r="AG68" s="238">
        <v>0</v>
      </c>
      <c r="AH68" s="238">
        <v>125000</v>
      </c>
      <c r="AI68" s="238">
        <v>9702500</v>
      </c>
      <c r="AJ68" s="238" t="s">
        <v>36</v>
      </c>
      <c r="AK68" s="238"/>
      <c r="AL68" s="238">
        <v>125000</v>
      </c>
      <c r="AM68" s="238">
        <v>0</v>
      </c>
      <c r="AN68" s="238">
        <v>9702500</v>
      </c>
      <c r="AP68" s="238" t="s">
        <v>35</v>
      </c>
      <c r="AQ68" s="238" t="s">
        <v>35</v>
      </c>
      <c r="AR68" t="s">
        <v>8953</v>
      </c>
      <c r="AS68" t="s">
        <v>8954</v>
      </c>
      <c r="AT68" t="s">
        <v>8948</v>
      </c>
      <c r="AU68" t="s">
        <v>8975</v>
      </c>
      <c r="AV68" s="238" t="b">
        <v>1</v>
      </c>
      <c r="AW68" t="s">
        <v>36</v>
      </c>
      <c r="AX68" t="b">
        <v>1</v>
      </c>
      <c r="AY68">
        <v>9702500</v>
      </c>
      <c r="AZ68">
        <v>9702500</v>
      </c>
      <c r="BA68">
        <v>0</v>
      </c>
      <c r="BB68">
        <v>0</v>
      </c>
      <c r="BC68">
        <v>0</v>
      </c>
      <c r="BD68" t="b">
        <v>1</v>
      </c>
      <c r="BE68" t="s">
        <v>7471</v>
      </c>
    </row>
    <row r="69" spans="1:57" x14ac:dyDescent="0.25">
      <c r="A69" s="238">
        <v>68</v>
      </c>
      <c r="B69" s="238">
        <v>1</v>
      </c>
      <c r="C69">
        <v>2</v>
      </c>
      <c r="D69" s="238">
        <v>4</v>
      </c>
      <c r="E69" s="238">
        <v>2</v>
      </c>
      <c r="F69" s="238">
        <v>2</v>
      </c>
      <c r="G69" s="238">
        <v>19.48</v>
      </c>
      <c r="H69" s="238">
        <v>14.15</v>
      </c>
      <c r="I69" s="238"/>
      <c r="J69" s="238">
        <v>33.630000000000003</v>
      </c>
      <c r="K69" s="238">
        <v>14.32</v>
      </c>
      <c r="L69" s="238">
        <v>3.96</v>
      </c>
      <c r="M69" s="238"/>
      <c r="N69" s="238">
        <v>5.32</v>
      </c>
      <c r="O69" s="238"/>
      <c r="P69" s="238"/>
      <c r="Q69" s="238"/>
      <c r="R69" s="238">
        <v>0</v>
      </c>
      <c r="S69" s="238">
        <v>57.23</v>
      </c>
      <c r="T69" s="238">
        <v>57.23</v>
      </c>
      <c r="U69" s="238">
        <v>57.23</v>
      </c>
      <c r="V69" s="238">
        <v>116640</v>
      </c>
      <c r="W69">
        <v>13360</v>
      </c>
      <c r="X69">
        <v>130000</v>
      </c>
      <c r="Y69">
        <v>0</v>
      </c>
      <c r="Z69">
        <v>130000</v>
      </c>
      <c r="AA69">
        <v>5000</v>
      </c>
      <c r="AB69">
        <v>125000</v>
      </c>
      <c r="AC69" s="238">
        <v>125000</v>
      </c>
      <c r="AD69" s="238">
        <v>7153750</v>
      </c>
      <c r="AF69" s="238"/>
      <c r="AG69" s="238">
        <v>0</v>
      </c>
      <c r="AH69" s="238">
        <v>125000</v>
      </c>
      <c r="AI69" s="238">
        <v>7153750</v>
      </c>
      <c r="AJ69" s="238" t="s">
        <v>36</v>
      </c>
      <c r="AK69" s="238"/>
      <c r="AL69" s="238">
        <v>125000</v>
      </c>
      <c r="AM69" s="238">
        <v>0</v>
      </c>
      <c r="AN69" s="238">
        <v>7153750</v>
      </c>
      <c r="AP69" s="238" t="s">
        <v>35</v>
      </c>
      <c r="AQ69" s="238" t="s">
        <v>35</v>
      </c>
      <c r="AR69" t="s">
        <v>8953</v>
      </c>
      <c r="AS69" t="s">
        <v>8954</v>
      </c>
      <c r="AT69" t="s">
        <v>8948</v>
      </c>
      <c r="AU69" t="s">
        <v>8971</v>
      </c>
      <c r="AV69" s="238" t="b">
        <v>1</v>
      </c>
      <c r="AW69" t="s">
        <v>36</v>
      </c>
      <c r="AX69" t="b">
        <v>1</v>
      </c>
      <c r="AY69">
        <v>7153750</v>
      </c>
      <c r="AZ69">
        <v>7153750</v>
      </c>
      <c r="BA69">
        <v>0</v>
      </c>
      <c r="BB69">
        <v>0</v>
      </c>
      <c r="BC69">
        <v>0</v>
      </c>
      <c r="BD69" t="b">
        <v>1</v>
      </c>
      <c r="BE69" t="s">
        <v>7472</v>
      </c>
    </row>
    <row r="70" spans="1:57" x14ac:dyDescent="0.25">
      <c r="A70" s="238">
        <v>69</v>
      </c>
      <c r="B70" s="238">
        <v>1</v>
      </c>
      <c r="C70">
        <v>2</v>
      </c>
      <c r="D70" s="238">
        <v>4</v>
      </c>
      <c r="E70" s="238">
        <v>3</v>
      </c>
      <c r="F70" s="238">
        <v>1</v>
      </c>
      <c r="G70" s="238">
        <v>14.94</v>
      </c>
      <c r="H70" s="238"/>
      <c r="I70" s="238"/>
      <c r="J70" s="238">
        <v>14.94</v>
      </c>
      <c r="K70" s="238">
        <v>14.47</v>
      </c>
      <c r="L70" s="238">
        <v>3.96</v>
      </c>
      <c r="M70" s="238"/>
      <c r="N70" s="238">
        <v>4.97</v>
      </c>
      <c r="O70" s="238"/>
      <c r="P70" s="238"/>
      <c r="Q70" s="238"/>
      <c r="R70" s="238">
        <v>0</v>
      </c>
      <c r="S70" s="238">
        <v>38.340000000000003</v>
      </c>
      <c r="T70" s="238">
        <v>38.340000000000003</v>
      </c>
      <c r="U70" s="238">
        <v>38.340000000000003</v>
      </c>
      <c r="V70" s="238">
        <v>137800</v>
      </c>
      <c r="X70">
        <v>137800</v>
      </c>
      <c r="Y70">
        <v>1.2519561815133784</v>
      </c>
      <c r="Z70">
        <v>137801.25195618151</v>
      </c>
      <c r="AB70">
        <v>137801.25195618151</v>
      </c>
      <c r="AC70" s="238">
        <v>137801.25</v>
      </c>
      <c r="AD70" s="238">
        <v>5283300</v>
      </c>
      <c r="AF70" s="238"/>
      <c r="AG70" s="238">
        <v>0</v>
      </c>
      <c r="AH70" s="238">
        <v>137801.25195618151</v>
      </c>
      <c r="AI70" s="238">
        <v>5283300</v>
      </c>
      <c r="AJ70" s="238" t="s">
        <v>36</v>
      </c>
      <c r="AK70" s="238"/>
      <c r="AL70" s="238">
        <v>137801.25195618151</v>
      </c>
      <c r="AM70" s="238">
        <v>0</v>
      </c>
      <c r="AN70" s="238">
        <v>5283300</v>
      </c>
      <c r="AP70" s="238" t="s">
        <v>35</v>
      </c>
      <c r="AQ70" s="238" t="s">
        <v>35</v>
      </c>
      <c r="AR70" t="s">
        <v>8953</v>
      </c>
      <c r="AS70" t="s">
        <v>8954</v>
      </c>
      <c r="AT70" t="s">
        <v>8948</v>
      </c>
      <c r="AU70" t="s">
        <v>8973</v>
      </c>
      <c r="AV70" s="238" t="b">
        <v>1</v>
      </c>
      <c r="AW70" t="s">
        <v>36</v>
      </c>
      <c r="AX70" t="b">
        <v>1</v>
      </c>
      <c r="AY70">
        <v>5283300</v>
      </c>
      <c r="AZ70">
        <v>5283300</v>
      </c>
      <c r="BA70">
        <v>0</v>
      </c>
      <c r="BB70">
        <v>0</v>
      </c>
      <c r="BC70">
        <v>0</v>
      </c>
      <c r="BD70" t="b">
        <v>1</v>
      </c>
      <c r="BE70" t="s">
        <v>7473</v>
      </c>
    </row>
    <row r="71" spans="1:57" x14ac:dyDescent="0.25">
      <c r="A71" s="238">
        <v>70</v>
      </c>
      <c r="B71" s="238">
        <v>1</v>
      </c>
      <c r="C71">
        <v>2</v>
      </c>
      <c r="D71" s="238">
        <v>4</v>
      </c>
      <c r="E71" s="238">
        <v>4</v>
      </c>
      <c r="F71" s="238">
        <v>1</v>
      </c>
      <c r="G71" s="238">
        <v>18.100000000000001</v>
      </c>
      <c r="H71" s="238"/>
      <c r="I71" s="238"/>
      <c r="J71" s="238">
        <v>18.100000000000001</v>
      </c>
      <c r="K71" s="238">
        <v>15.34</v>
      </c>
      <c r="L71" s="238">
        <v>4.62</v>
      </c>
      <c r="M71" s="238"/>
      <c r="N71" s="238">
        <v>4.8899999999999997</v>
      </c>
      <c r="O71" s="238">
        <v>2.2599999999999998</v>
      </c>
      <c r="P71" s="238"/>
      <c r="Q71" s="238"/>
      <c r="R71" s="238">
        <v>0</v>
      </c>
      <c r="S71" s="238">
        <v>45.21</v>
      </c>
      <c r="T71" s="238">
        <v>45.21</v>
      </c>
      <c r="U71" s="238">
        <v>45.21</v>
      </c>
      <c r="V71" s="238">
        <v>139100</v>
      </c>
      <c r="X71">
        <v>139100</v>
      </c>
      <c r="Y71">
        <v>1.9685910196858456</v>
      </c>
      <c r="Z71">
        <v>139101.96859101969</v>
      </c>
      <c r="AB71">
        <v>139101.96859101969</v>
      </c>
      <c r="AC71" s="238">
        <v>139101.97</v>
      </c>
      <c r="AD71" s="238">
        <v>6288800</v>
      </c>
      <c r="AF71" s="238"/>
      <c r="AG71" s="238">
        <v>0</v>
      </c>
      <c r="AH71" s="238">
        <v>139101.96859101969</v>
      </c>
      <c r="AI71" s="238">
        <v>6288800</v>
      </c>
      <c r="AJ71" s="238" t="s">
        <v>36</v>
      </c>
      <c r="AK71" s="238"/>
      <c r="AL71" s="238">
        <v>139101.96859101969</v>
      </c>
      <c r="AM71" s="238">
        <v>0</v>
      </c>
      <c r="AN71" s="238">
        <v>6288800</v>
      </c>
      <c r="AP71" s="238" t="s">
        <v>3</v>
      </c>
      <c r="AQ71" s="238" t="s">
        <v>3</v>
      </c>
      <c r="AR71" t="s">
        <v>8951</v>
      </c>
      <c r="AS71" t="s">
        <v>1167</v>
      </c>
      <c r="AT71" t="s">
        <v>8948</v>
      </c>
      <c r="AU71" t="s">
        <v>8972</v>
      </c>
      <c r="AV71" s="238" t="b">
        <v>1</v>
      </c>
      <c r="AW71" t="s">
        <v>36</v>
      </c>
      <c r="AX71" t="b">
        <v>1</v>
      </c>
      <c r="AY71">
        <v>6288800</v>
      </c>
      <c r="AZ71">
        <v>6288800</v>
      </c>
      <c r="BA71">
        <v>0</v>
      </c>
      <c r="BB71">
        <v>0</v>
      </c>
      <c r="BC71">
        <v>0</v>
      </c>
      <c r="BD71" t="b">
        <v>1</v>
      </c>
      <c r="BE71" t="s">
        <v>7474</v>
      </c>
    </row>
    <row r="72" spans="1:57" x14ac:dyDescent="0.25">
      <c r="A72" s="238">
        <v>71</v>
      </c>
      <c r="B72" s="238">
        <v>1</v>
      </c>
      <c r="C72">
        <v>2</v>
      </c>
      <c r="D72" s="238">
        <v>4</v>
      </c>
      <c r="E72" s="238">
        <v>5</v>
      </c>
      <c r="F72" s="238">
        <v>2</v>
      </c>
      <c r="G72" s="238">
        <v>17.149999999999999</v>
      </c>
      <c r="H72" s="238">
        <v>10.73</v>
      </c>
      <c r="I72" s="238"/>
      <c r="J72" s="238">
        <v>27.88</v>
      </c>
      <c r="K72" s="238">
        <v>10.93</v>
      </c>
      <c r="L72" s="238">
        <v>4.45</v>
      </c>
      <c r="M72" s="238"/>
      <c r="N72" s="238">
        <v>4.59</v>
      </c>
      <c r="O72" s="238"/>
      <c r="P72" s="238">
        <v>3.07</v>
      </c>
      <c r="Q72" s="238"/>
      <c r="R72" s="238">
        <v>3.07</v>
      </c>
      <c r="S72" s="238">
        <v>50.92</v>
      </c>
      <c r="T72" s="238">
        <v>47.85</v>
      </c>
      <c r="U72" s="238">
        <v>49.39</v>
      </c>
      <c r="V72" s="238">
        <v>123660</v>
      </c>
      <c r="W72">
        <v>6340</v>
      </c>
      <c r="X72">
        <v>130000</v>
      </c>
      <c r="Y72">
        <v>0</v>
      </c>
      <c r="Z72">
        <v>130000</v>
      </c>
      <c r="AA72">
        <v>5000</v>
      </c>
      <c r="AB72">
        <v>125000</v>
      </c>
      <c r="AC72" s="238">
        <v>125000</v>
      </c>
      <c r="AD72" s="238">
        <v>6173750</v>
      </c>
      <c r="AF72" s="238"/>
      <c r="AG72" s="238">
        <v>0</v>
      </c>
      <c r="AH72" s="238">
        <v>125000</v>
      </c>
      <c r="AI72" s="238">
        <v>6173750</v>
      </c>
      <c r="AJ72" s="238" t="s">
        <v>36</v>
      </c>
      <c r="AK72" s="238"/>
      <c r="AL72" s="238">
        <v>125000</v>
      </c>
      <c r="AM72" s="238">
        <v>0</v>
      </c>
      <c r="AN72" s="238">
        <v>6173750</v>
      </c>
      <c r="AP72" s="238" t="s">
        <v>35</v>
      </c>
      <c r="AQ72" s="238" t="s">
        <v>35</v>
      </c>
      <c r="AR72" t="s">
        <v>8953</v>
      </c>
      <c r="AS72" t="s">
        <v>8954</v>
      </c>
      <c r="AT72" t="s">
        <v>8948</v>
      </c>
      <c r="AU72" t="s">
        <v>8974</v>
      </c>
      <c r="AV72" s="238" t="b">
        <v>1</v>
      </c>
      <c r="AW72" t="s">
        <v>36</v>
      </c>
      <c r="AX72" t="b">
        <v>1</v>
      </c>
      <c r="AY72">
        <v>6173750</v>
      </c>
      <c r="AZ72">
        <v>6173750</v>
      </c>
      <c r="BA72">
        <v>0</v>
      </c>
      <c r="BB72">
        <v>0</v>
      </c>
      <c r="BC72">
        <v>0</v>
      </c>
      <c r="BD72" t="b">
        <v>1</v>
      </c>
      <c r="BE72" t="s">
        <v>7475</v>
      </c>
    </row>
    <row r="73" spans="1:57" x14ac:dyDescent="0.25">
      <c r="A73" s="238">
        <v>72</v>
      </c>
      <c r="B73" s="238">
        <v>1</v>
      </c>
      <c r="C73">
        <v>2</v>
      </c>
      <c r="D73" s="238">
        <v>5</v>
      </c>
      <c r="E73" s="238">
        <v>1</v>
      </c>
      <c r="F73" s="238">
        <v>3</v>
      </c>
      <c r="G73" s="238">
        <v>21.29</v>
      </c>
      <c r="H73" s="238">
        <v>12.39</v>
      </c>
      <c r="I73" s="238">
        <v>11.63</v>
      </c>
      <c r="J73" s="238">
        <v>45.31</v>
      </c>
      <c r="K73" s="238">
        <v>12.77</v>
      </c>
      <c r="L73" s="238">
        <v>3.43</v>
      </c>
      <c r="M73" s="238">
        <v>2.58</v>
      </c>
      <c r="N73" s="238">
        <v>9.2200000000000006</v>
      </c>
      <c r="O73" s="238">
        <v>2.77</v>
      </c>
      <c r="P73" s="238">
        <v>3.07</v>
      </c>
      <c r="Q73" s="238"/>
      <c r="R73" s="238">
        <v>3.07</v>
      </c>
      <c r="S73" s="238">
        <v>79.150000000000006</v>
      </c>
      <c r="T73" s="238">
        <v>76.08</v>
      </c>
      <c r="U73" s="238">
        <v>77.62</v>
      </c>
      <c r="V73" s="238">
        <v>112710</v>
      </c>
      <c r="W73">
        <v>17290</v>
      </c>
      <c r="X73">
        <v>130000</v>
      </c>
      <c r="Y73">
        <v>0</v>
      </c>
      <c r="Z73">
        <v>130000</v>
      </c>
      <c r="AA73">
        <v>5000</v>
      </c>
      <c r="AB73">
        <v>125000</v>
      </c>
      <c r="AC73" s="238">
        <v>125000</v>
      </c>
      <c r="AD73" s="238">
        <v>9702500</v>
      </c>
      <c r="AF73" s="238"/>
      <c r="AG73" s="238">
        <v>0</v>
      </c>
      <c r="AH73" s="238">
        <v>125000</v>
      </c>
      <c r="AI73" s="238">
        <v>9702500</v>
      </c>
      <c r="AJ73" s="238" t="s">
        <v>36</v>
      </c>
      <c r="AK73" s="238"/>
      <c r="AL73" s="238">
        <v>125000</v>
      </c>
      <c r="AM73" s="238">
        <v>0</v>
      </c>
      <c r="AN73" s="238">
        <v>9702500</v>
      </c>
      <c r="AP73" s="238" t="s">
        <v>35</v>
      </c>
      <c r="AQ73" s="238" t="s">
        <v>35</v>
      </c>
      <c r="AR73" t="s">
        <v>8953</v>
      </c>
      <c r="AS73" t="s">
        <v>8954</v>
      </c>
      <c r="AT73" t="s">
        <v>8948</v>
      </c>
      <c r="AU73" t="s">
        <v>8975</v>
      </c>
      <c r="AV73" s="238" t="b">
        <v>1</v>
      </c>
      <c r="AW73" t="s">
        <v>36</v>
      </c>
      <c r="AX73" t="b">
        <v>1</v>
      </c>
      <c r="AY73">
        <v>9702500</v>
      </c>
      <c r="AZ73">
        <v>9702500</v>
      </c>
      <c r="BA73">
        <v>0</v>
      </c>
      <c r="BB73">
        <v>0</v>
      </c>
      <c r="BC73">
        <v>0</v>
      </c>
      <c r="BD73" t="b">
        <v>1</v>
      </c>
      <c r="BE73" t="s">
        <v>7476</v>
      </c>
    </row>
    <row r="74" spans="1:57" x14ac:dyDescent="0.25">
      <c r="A74" s="238">
        <v>73</v>
      </c>
      <c r="B74" s="238">
        <v>1</v>
      </c>
      <c r="C74">
        <v>2</v>
      </c>
      <c r="D74" s="238">
        <v>5</v>
      </c>
      <c r="E74" s="238">
        <v>2</v>
      </c>
      <c r="F74" s="238">
        <v>2</v>
      </c>
      <c r="G74" s="238">
        <v>19.48</v>
      </c>
      <c r="H74" s="238">
        <v>14.15</v>
      </c>
      <c r="I74" s="238"/>
      <c r="J74" s="238">
        <v>33.630000000000003</v>
      </c>
      <c r="K74" s="238">
        <v>14.32</v>
      </c>
      <c r="L74" s="238">
        <v>3.96</v>
      </c>
      <c r="M74" s="238"/>
      <c r="N74" s="238">
        <v>5.32</v>
      </c>
      <c r="O74" s="238"/>
      <c r="P74" s="238"/>
      <c r="Q74" s="238"/>
      <c r="R74" s="238">
        <v>0</v>
      </c>
      <c r="S74" s="238">
        <v>57.23</v>
      </c>
      <c r="T74" s="238">
        <v>57.23</v>
      </c>
      <c r="U74" s="238">
        <v>57.23</v>
      </c>
      <c r="V74" s="238">
        <v>117720</v>
      </c>
      <c r="W74">
        <v>12280</v>
      </c>
      <c r="X74">
        <v>130000</v>
      </c>
      <c r="Y74">
        <v>0</v>
      </c>
      <c r="Z74">
        <v>130000</v>
      </c>
      <c r="AA74">
        <v>5000</v>
      </c>
      <c r="AB74">
        <v>125000</v>
      </c>
      <c r="AC74" s="238">
        <v>125000</v>
      </c>
      <c r="AD74" s="238">
        <v>7153750</v>
      </c>
      <c r="AF74" s="238"/>
      <c r="AG74" s="238">
        <v>0</v>
      </c>
      <c r="AH74" s="238">
        <v>125000</v>
      </c>
      <c r="AI74" s="238">
        <v>7153750</v>
      </c>
      <c r="AJ74" s="238" t="s">
        <v>36</v>
      </c>
      <c r="AK74" s="238"/>
      <c r="AL74" s="238">
        <v>125000</v>
      </c>
      <c r="AM74" s="238">
        <v>0</v>
      </c>
      <c r="AN74" s="238">
        <v>7153750</v>
      </c>
      <c r="AP74" s="238" t="s">
        <v>35</v>
      </c>
      <c r="AQ74" s="238" t="s">
        <v>35</v>
      </c>
      <c r="AR74" t="s">
        <v>8953</v>
      </c>
      <c r="AS74" t="s">
        <v>8954</v>
      </c>
      <c r="AT74" t="s">
        <v>8948</v>
      </c>
      <c r="AU74" t="s">
        <v>8971</v>
      </c>
      <c r="AV74" s="238" t="b">
        <v>1</v>
      </c>
      <c r="AW74" t="s">
        <v>36</v>
      </c>
      <c r="AX74" t="b">
        <v>1</v>
      </c>
      <c r="AY74">
        <v>7153750</v>
      </c>
      <c r="AZ74">
        <v>7153750</v>
      </c>
      <c r="BA74">
        <v>0</v>
      </c>
      <c r="BB74">
        <v>0</v>
      </c>
      <c r="BC74">
        <v>0</v>
      </c>
      <c r="BD74" t="b">
        <v>1</v>
      </c>
      <c r="BE74" t="s">
        <v>7477</v>
      </c>
    </row>
    <row r="75" spans="1:57" x14ac:dyDescent="0.25">
      <c r="A75" s="238">
        <v>74</v>
      </c>
      <c r="B75" s="238">
        <v>1</v>
      </c>
      <c r="C75">
        <v>2</v>
      </c>
      <c r="D75" s="238">
        <v>5</v>
      </c>
      <c r="E75" s="238">
        <v>3</v>
      </c>
      <c r="F75" s="238">
        <v>1</v>
      </c>
      <c r="G75" s="238">
        <v>14.94</v>
      </c>
      <c r="H75" s="238"/>
      <c r="I75" s="238"/>
      <c r="J75" s="238">
        <v>14.94</v>
      </c>
      <c r="K75" s="238">
        <v>14.47</v>
      </c>
      <c r="L75" s="238">
        <v>3.96</v>
      </c>
      <c r="M75" s="238"/>
      <c r="N75" s="238">
        <v>4.97</v>
      </c>
      <c r="O75" s="238"/>
      <c r="P75" s="238"/>
      <c r="Q75" s="238"/>
      <c r="R75" s="238">
        <v>0</v>
      </c>
      <c r="S75" s="238">
        <v>38.340000000000003</v>
      </c>
      <c r="T75" s="238">
        <v>38.340000000000003</v>
      </c>
      <c r="U75" s="238">
        <v>38.340000000000003</v>
      </c>
      <c r="V75" s="238">
        <v>140400</v>
      </c>
      <c r="X75">
        <v>140400</v>
      </c>
      <c r="Y75">
        <v>1.6692749086942058</v>
      </c>
      <c r="Z75">
        <v>140401.66927490869</v>
      </c>
      <c r="AB75">
        <v>140401.66927490869</v>
      </c>
      <c r="AC75" s="238">
        <v>140401.67000000001</v>
      </c>
      <c r="AD75" s="238">
        <v>5383000</v>
      </c>
      <c r="AF75" s="238"/>
      <c r="AG75" s="238">
        <v>0</v>
      </c>
      <c r="AH75" s="238">
        <v>140401.66927490869</v>
      </c>
      <c r="AI75" s="238">
        <v>5383000</v>
      </c>
      <c r="AJ75" s="238" t="s">
        <v>36</v>
      </c>
      <c r="AK75" s="238"/>
      <c r="AL75" s="238">
        <v>140401.66927490869</v>
      </c>
      <c r="AM75" s="238">
        <v>0</v>
      </c>
      <c r="AN75" s="238">
        <v>5383000</v>
      </c>
      <c r="AP75" s="238" t="s">
        <v>3</v>
      </c>
      <c r="AQ75" s="238" t="s">
        <v>3</v>
      </c>
      <c r="AR75" t="s">
        <v>8951</v>
      </c>
      <c r="AS75" t="s">
        <v>1167</v>
      </c>
      <c r="AT75" t="s">
        <v>8948</v>
      </c>
      <c r="AU75" t="s">
        <v>8973</v>
      </c>
      <c r="AV75" s="238" t="b">
        <v>1</v>
      </c>
      <c r="AW75" t="s">
        <v>36</v>
      </c>
      <c r="AX75" t="b">
        <v>1</v>
      </c>
      <c r="AY75">
        <v>5383000</v>
      </c>
      <c r="AZ75">
        <v>5383000</v>
      </c>
      <c r="BA75">
        <v>0</v>
      </c>
      <c r="BB75">
        <v>0</v>
      </c>
      <c r="BC75">
        <v>0</v>
      </c>
      <c r="BD75" t="b">
        <v>1</v>
      </c>
      <c r="BE75" t="s">
        <v>7478</v>
      </c>
    </row>
    <row r="76" spans="1:57" x14ac:dyDescent="0.25">
      <c r="A76" s="238">
        <v>75</v>
      </c>
      <c r="B76" s="238">
        <v>1</v>
      </c>
      <c r="C76">
        <v>2</v>
      </c>
      <c r="D76" s="238">
        <v>5</v>
      </c>
      <c r="E76" s="238">
        <v>4</v>
      </c>
      <c r="F76" s="238">
        <v>1</v>
      </c>
      <c r="G76" s="238">
        <v>18.100000000000001</v>
      </c>
      <c r="H76" s="238"/>
      <c r="I76" s="238"/>
      <c r="J76" s="238">
        <v>18.100000000000001</v>
      </c>
      <c r="K76" s="238">
        <v>15.34</v>
      </c>
      <c r="L76" s="238">
        <v>4.62</v>
      </c>
      <c r="M76" s="238"/>
      <c r="N76" s="238">
        <v>4.8899999999999997</v>
      </c>
      <c r="O76" s="238">
        <v>2.2599999999999998</v>
      </c>
      <c r="P76" s="238"/>
      <c r="Q76" s="238"/>
      <c r="R76" s="238">
        <v>0</v>
      </c>
      <c r="S76" s="238">
        <v>45.21</v>
      </c>
      <c r="T76" s="238">
        <v>45.21</v>
      </c>
      <c r="U76" s="238">
        <v>45.21</v>
      </c>
      <c r="V76" s="238">
        <v>141700</v>
      </c>
      <c r="X76">
        <v>141700</v>
      </c>
      <c r="Y76">
        <v>0.95111700950656075</v>
      </c>
      <c r="Z76">
        <v>141700.95111700951</v>
      </c>
      <c r="AB76">
        <v>141700.95111700951</v>
      </c>
      <c r="AC76" s="238">
        <v>141700.95000000001</v>
      </c>
      <c r="AD76" s="238">
        <v>6406300</v>
      </c>
      <c r="AF76" s="238"/>
      <c r="AG76" s="238">
        <v>0</v>
      </c>
      <c r="AH76" s="238">
        <v>141700.95111700951</v>
      </c>
      <c r="AI76" s="238">
        <v>6406300</v>
      </c>
      <c r="AJ76" s="238" t="s">
        <v>36</v>
      </c>
      <c r="AK76" s="238"/>
      <c r="AL76" s="238">
        <v>141700.95111700951</v>
      </c>
      <c r="AM76" s="238">
        <v>0</v>
      </c>
      <c r="AN76" s="238">
        <v>6406300</v>
      </c>
      <c r="AP76" s="238" t="s">
        <v>35</v>
      </c>
      <c r="AQ76" s="238" t="s">
        <v>35</v>
      </c>
      <c r="AR76" t="s">
        <v>8953</v>
      </c>
      <c r="AS76" t="s">
        <v>8954</v>
      </c>
      <c r="AT76" t="s">
        <v>8948</v>
      </c>
      <c r="AU76" t="s">
        <v>8972</v>
      </c>
      <c r="AV76" s="238" t="b">
        <v>1</v>
      </c>
      <c r="AW76" t="s">
        <v>36</v>
      </c>
      <c r="AX76" t="b">
        <v>1</v>
      </c>
      <c r="AY76">
        <v>6406300</v>
      </c>
      <c r="AZ76">
        <v>6406300</v>
      </c>
      <c r="BA76">
        <v>0</v>
      </c>
      <c r="BB76">
        <v>0</v>
      </c>
      <c r="BC76">
        <v>0</v>
      </c>
      <c r="BD76" t="b">
        <v>1</v>
      </c>
      <c r="BE76" t="s">
        <v>7479</v>
      </c>
    </row>
    <row r="77" spans="1:57" x14ac:dyDescent="0.25">
      <c r="A77" s="238">
        <v>76</v>
      </c>
      <c r="B77" s="238">
        <v>1</v>
      </c>
      <c r="C77">
        <v>2</v>
      </c>
      <c r="D77" s="238">
        <v>5</v>
      </c>
      <c r="E77" s="238">
        <v>5</v>
      </c>
      <c r="F77" s="238">
        <v>2</v>
      </c>
      <c r="G77" s="238">
        <v>17.149999999999999</v>
      </c>
      <c r="H77" s="238">
        <v>10.73</v>
      </c>
      <c r="I77" s="238"/>
      <c r="J77" s="238">
        <v>27.88</v>
      </c>
      <c r="K77" s="238">
        <v>10.93</v>
      </c>
      <c r="L77" s="238">
        <v>4.45</v>
      </c>
      <c r="M77" s="238"/>
      <c r="N77" s="238">
        <v>4.59</v>
      </c>
      <c r="O77" s="238"/>
      <c r="P77" s="238">
        <v>3.07</v>
      </c>
      <c r="Q77" s="238"/>
      <c r="R77" s="238">
        <v>3.07</v>
      </c>
      <c r="S77" s="238">
        <v>50.92</v>
      </c>
      <c r="T77" s="238">
        <v>47.85</v>
      </c>
      <c r="U77" s="238">
        <v>49.39</v>
      </c>
      <c r="V77" s="238">
        <v>124740</v>
      </c>
      <c r="W77">
        <v>7860</v>
      </c>
      <c r="X77">
        <v>132600</v>
      </c>
      <c r="Y77">
        <v>2.0044543429976329</v>
      </c>
      <c r="Z77">
        <v>132602.004454343</v>
      </c>
      <c r="AA77">
        <v>5000</v>
      </c>
      <c r="AB77">
        <v>127602.004454343</v>
      </c>
      <c r="AC77" s="238">
        <v>127602</v>
      </c>
      <c r="AD77" s="238">
        <v>6302263</v>
      </c>
      <c r="AF77" s="238"/>
      <c r="AG77" s="238">
        <v>0</v>
      </c>
      <c r="AH77" s="238">
        <v>127602.00445434298</v>
      </c>
      <c r="AI77" s="238">
        <v>6302263</v>
      </c>
      <c r="AJ77" s="238" t="s">
        <v>36</v>
      </c>
      <c r="AK77" s="238"/>
      <c r="AL77" s="238">
        <v>127602.00445434298</v>
      </c>
      <c r="AM77" s="238">
        <v>0</v>
      </c>
      <c r="AN77" s="238">
        <v>6302263</v>
      </c>
      <c r="AP77" s="238" t="s">
        <v>35</v>
      </c>
      <c r="AQ77" s="238" t="s">
        <v>35</v>
      </c>
      <c r="AR77" t="s">
        <v>8953</v>
      </c>
      <c r="AS77" t="s">
        <v>8954</v>
      </c>
      <c r="AT77" t="s">
        <v>8948</v>
      </c>
      <c r="AU77" t="s">
        <v>8974</v>
      </c>
      <c r="AV77" s="238" t="b">
        <v>1</v>
      </c>
      <c r="AW77" t="s">
        <v>36</v>
      </c>
      <c r="AX77" t="b">
        <v>1</v>
      </c>
      <c r="AY77">
        <v>6302263</v>
      </c>
      <c r="AZ77">
        <v>6302263</v>
      </c>
      <c r="BA77">
        <v>0</v>
      </c>
      <c r="BB77">
        <v>0</v>
      </c>
      <c r="BC77">
        <v>0</v>
      </c>
      <c r="BD77" t="b">
        <v>1</v>
      </c>
      <c r="BE77" t="s">
        <v>7480</v>
      </c>
    </row>
    <row r="78" spans="1:57" x14ac:dyDescent="0.25">
      <c r="A78" s="238">
        <v>77</v>
      </c>
      <c r="B78" s="238">
        <v>1</v>
      </c>
      <c r="C78">
        <v>2</v>
      </c>
      <c r="D78" s="238">
        <v>6</v>
      </c>
      <c r="E78" s="238">
        <v>1</v>
      </c>
      <c r="F78" s="238">
        <v>3</v>
      </c>
      <c r="G78" s="238">
        <v>16.98</v>
      </c>
      <c r="H78" s="238">
        <v>12.39</v>
      </c>
      <c r="I78" s="238">
        <v>11.63</v>
      </c>
      <c r="J78" s="238">
        <v>41</v>
      </c>
      <c r="K78" s="238">
        <v>12.77</v>
      </c>
      <c r="L78" s="238">
        <v>3.43</v>
      </c>
      <c r="M78" s="238">
        <v>2.58</v>
      </c>
      <c r="N78" s="238">
        <v>9.2200000000000006</v>
      </c>
      <c r="O78" s="238">
        <v>2.77</v>
      </c>
      <c r="P78" s="238">
        <v>3.07</v>
      </c>
      <c r="Q78" s="238">
        <v>2.98</v>
      </c>
      <c r="R78" s="238">
        <v>6.05</v>
      </c>
      <c r="S78" s="238">
        <v>77.819999999999993</v>
      </c>
      <c r="T78" s="238">
        <v>71.77</v>
      </c>
      <c r="U78" s="238">
        <v>74.8</v>
      </c>
      <c r="V78" s="238">
        <v>112710</v>
      </c>
      <c r="W78">
        <v>17290</v>
      </c>
      <c r="X78">
        <v>130000</v>
      </c>
      <c r="Y78">
        <v>0</v>
      </c>
      <c r="Z78">
        <v>130000</v>
      </c>
      <c r="AA78">
        <v>5000</v>
      </c>
      <c r="AB78">
        <v>125000</v>
      </c>
      <c r="AC78" s="238">
        <v>125000</v>
      </c>
      <c r="AD78" s="238">
        <v>9350000</v>
      </c>
      <c r="AF78" s="238"/>
      <c r="AG78" s="238">
        <v>0</v>
      </c>
      <c r="AH78" s="238">
        <v>125000</v>
      </c>
      <c r="AI78" s="238">
        <v>9350000</v>
      </c>
      <c r="AJ78" s="238" t="s">
        <v>36</v>
      </c>
      <c r="AK78" s="238"/>
      <c r="AL78" s="238">
        <v>125000</v>
      </c>
      <c r="AM78" s="238">
        <v>0</v>
      </c>
      <c r="AN78" s="238">
        <v>9350000</v>
      </c>
      <c r="AP78" s="238" t="s">
        <v>3</v>
      </c>
      <c r="AQ78" s="238" t="s">
        <v>3</v>
      </c>
      <c r="AR78" t="s">
        <v>8951</v>
      </c>
      <c r="AS78" t="s">
        <v>1167</v>
      </c>
      <c r="AT78" t="s">
        <v>8948</v>
      </c>
      <c r="AU78" t="s">
        <v>8975</v>
      </c>
      <c r="AV78" s="238" t="b">
        <v>1</v>
      </c>
      <c r="AW78" t="s">
        <v>36</v>
      </c>
      <c r="AX78" t="b">
        <v>1</v>
      </c>
      <c r="AY78">
        <v>9350000</v>
      </c>
      <c r="AZ78">
        <v>9350000</v>
      </c>
      <c r="BA78">
        <v>0</v>
      </c>
      <c r="BB78">
        <v>0</v>
      </c>
      <c r="BC78">
        <v>0</v>
      </c>
      <c r="BD78" t="b">
        <v>1</v>
      </c>
      <c r="BE78" t="s">
        <v>7481</v>
      </c>
    </row>
    <row r="79" spans="1:57" x14ac:dyDescent="0.25">
      <c r="A79" s="238">
        <v>78</v>
      </c>
      <c r="B79" s="238">
        <v>1</v>
      </c>
      <c r="C79">
        <v>2</v>
      </c>
      <c r="D79" s="238">
        <v>6</v>
      </c>
      <c r="E79" s="238">
        <v>2</v>
      </c>
      <c r="F79" s="238">
        <v>2</v>
      </c>
      <c r="G79" s="238">
        <v>14.87</v>
      </c>
      <c r="H79" s="238">
        <v>14.15</v>
      </c>
      <c r="I79" s="238"/>
      <c r="J79" s="238">
        <v>29.02</v>
      </c>
      <c r="K79" s="238">
        <v>14.32</v>
      </c>
      <c r="L79" s="238">
        <v>3.96</v>
      </c>
      <c r="M79" s="238"/>
      <c r="N79" s="238">
        <v>5.32</v>
      </c>
      <c r="O79" s="238"/>
      <c r="P79" s="238">
        <v>2.78</v>
      </c>
      <c r="Q79" s="238"/>
      <c r="R79" s="238">
        <v>2.78</v>
      </c>
      <c r="S79" s="238">
        <v>55.4</v>
      </c>
      <c r="T79" s="238">
        <v>52.62</v>
      </c>
      <c r="U79" s="238">
        <v>54.01</v>
      </c>
      <c r="V79" s="238">
        <v>117720</v>
      </c>
      <c r="W79">
        <v>12280</v>
      </c>
      <c r="X79">
        <v>130000</v>
      </c>
      <c r="Y79">
        <v>0</v>
      </c>
      <c r="Z79">
        <v>130000</v>
      </c>
      <c r="AA79">
        <v>5000</v>
      </c>
      <c r="AB79">
        <v>125000</v>
      </c>
      <c r="AC79" s="238">
        <v>125000</v>
      </c>
      <c r="AD79" s="238">
        <v>6751250</v>
      </c>
      <c r="AF79" s="238"/>
      <c r="AG79" s="238">
        <v>0</v>
      </c>
      <c r="AH79" s="238">
        <v>125000</v>
      </c>
      <c r="AI79" s="238">
        <v>6751250</v>
      </c>
      <c r="AJ79" s="238" t="s">
        <v>36</v>
      </c>
      <c r="AK79" s="238"/>
      <c r="AL79" s="238">
        <v>125000</v>
      </c>
      <c r="AM79" s="238">
        <v>0</v>
      </c>
      <c r="AN79" s="238">
        <v>6751250</v>
      </c>
      <c r="AP79" s="238" t="s">
        <v>3</v>
      </c>
      <c r="AQ79" s="238" t="s">
        <v>3</v>
      </c>
      <c r="AR79" t="s">
        <v>8951</v>
      </c>
      <c r="AS79" t="s">
        <v>1167</v>
      </c>
      <c r="AT79" t="s">
        <v>8948</v>
      </c>
      <c r="AU79" t="s">
        <v>8971</v>
      </c>
      <c r="AV79" s="238" t="b">
        <v>1</v>
      </c>
      <c r="AW79" t="s">
        <v>36</v>
      </c>
      <c r="AX79" t="b">
        <v>1</v>
      </c>
      <c r="AY79">
        <v>6751250</v>
      </c>
      <c r="AZ79">
        <v>6751250</v>
      </c>
      <c r="BA79">
        <v>0</v>
      </c>
      <c r="BB79">
        <v>0</v>
      </c>
      <c r="BC79">
        <v>0</v>
      </c>
      <c r="BD79" t="b">
        <v>1</v>
      </c>
      <c r="BE79" t="s">
        <v>7482</v>
      </c>
    </row>
    <row r="80" spans="1:57" x14ac:dyDescent="0.25">
      <c r="A80" s="238">
        <v>79</v>
      </c>
      <c r="B80" s="238">
        <v>1</v>
      </c>
      <c r="C80">
        <v>2</v>
      </c>
      <c r="D80" s="238">
        <v>6</v>
      </c>
      <c r="E80" s="238">
        <v>3</v>
      </c>
      <c r="F80" s="238">
        <v>1</v>
      </c>
      <c r="G80" s="238">
        <v>14.94</v>
      </c>
      <c r="H80" s="238"/>
      <c r="I80" s="238"/>
      <c r="J80" s="238">
        <v>14.94</v>
      </c>
      <c r="K80" s="238">
        <v>10.26</v>
      </c>
      <c r="L80" s="238">
        <v>3.96</v>
      </c>
      <c r="M80" s="238"/>
      <c r="N80" s="238">
        <v>4.97</v>
      </c>
      <c r="O80" s="238"/>
      <c r="P80" s="238">
        <v>2.91</v>
      </c>
      <c r="Q80" s="238"/>
      <c r="R80" s="238">
        <v>2.91</v>
      </c>
      <c r="S80" s="238">
        <v>37.04</v>
      </c>
      <c r="T80" s="238">
        <v>34.130000000000003</v>
      </c>
      <c r="U80" s="238">
        <v>35.590000000000003</v>
      </c>
      <c r="V80" s="238">
        <v>137800</v>
      </c>
      <c r="X80">
        <v>137800</v>
      </c>
      <c r="Y80">
        <v>157.29137398145394</v>
      </c>
      <c r="Z80">
        <v>137957.29137398145</v>
      </c>
      <c r="AB80">
        <v>137957.29137398145</v>
      </c>
      <c r="AC80" s="238">
        <v>137957.29</v>
      </c>
      <c r="AD80" s="238">
        <v>4909900</v>
      </c>
      <c r="AF80" s="238">
        <v>7.0000000000000007E-2</v>
      </c>
      <c r="AG80" s="238">
        <v>343693.00000000006</v>
      </c>
      <c r="AH80" s="238">
        <v>128300.28097780274</v>
      </c>
      <c r="AI80" s="238">
        <v>4566207</v>
      </c>
      <c r="AJ80" s="238" t="s">
        <v>8787</v>
      </c>
      <c r="AK80" s="238">
        <v>10000</v>
      </c>
      <c r="AL80" s="238">
        <v>138300.28097780276</v>
      </c>
      <c r="AM80" s="238">
        <v>355900.00000000093</v>
      </c>
      <c r="AN80" s="238">
        <v>4922107.0000000009</v>
      </c>
      <c r="AO80" t="s">
        <v>321</v>
      </c>
      <c r="AP80" s="238" t="s">
        <v>39</v>
      </c>
      <c r="AQ80" s="238" t="s">
        <v>39</v>
      </c>
      <c r="AR80" t="s">
        <v>8950</v>
      </c>
      <c r="AS80" t="s">
        <v>1167</v>
      </c>
      <c r="AT80" t="s">
        <v>8948</v>
      </c>
      <c r="AU80" t="s">
        <v>8973</v>
      </c>
      <c r="AV80" s="238" t="b">
        <v>1</v>
      </c>
      <c r="AW80" t="s">
        <v>8787</v>
      </c>
      <c r="AX80" t="b">
        <v>1</v>
      </c>
      <c r="AY80">
        <v>4909900</v>
      </c>
      <c r="AZ80" t="s">
        <v>9002</v>
      </c>
      <c r="BA80">
        <v>0</v>
      </c>
      <c r="BB80">
        <v>4909900</v>
      </c>
      <c r="BC80">
        <v>0</v>
      </c>
      <c r="BD80" t="b">
        <v>1</v>
      </c>
      <c r="BE80" t="s">
        <v>7483</v>
      </c>
    </row>
    <row r="81" spans="1:57" x14ac:dyDescent="0.25">
      <c r="A81" s="238">
        <v>80</v>
      </c>
      <c r="B81" s="238">
        <v>1</v>
      </c>
      <c r="C81">
        <v>2</v>
      </c>
      <c r="D81" s="238">
        <v>6</v>
      </c>
      <c r="E81" s="238">
        <v>4</v>
      </c>
      <c r="F81" s="238">
        <v>1</v>
      </c>
      <c r="G81" s="238">
        <v>14.18</v>
      </c>
      <c r="H81" s="238"/>
      <c r="I81" s="238"/>
      <c r="J81" s="238">
        <v>14.18</v>
      </c>
      <c r="K81" s="238">
        <v>15.34</v>
      </c>
      <c r="L81" s="238">
        <v>4.62</v>
      </c>
      <c r="M81" s="238"/>
      <c r="N81" s="238">
        <v>4.8899999999999997</v>
      </c>
      <c r="O81" s="238">
        <v>2.2599999999999998</v>
      </c>
      <c r="P81" s="238">
        <v>2.68</v>
      </c>
      <c r="Q81" s="238"/>
      <c r="R81" s="238">
        <v>2.68</v>
      </c>
      <c r="S81" s="238">
        <v>43.97</v>
      </c>
      <c r="T81" s="238">
        <v>41.29</v>
      </c>
      <c r="U81" s="238">
        <v>42.63</v>
      </c>
      <c r="V81" s="238">
        <v>139100</v>
      </c>
      <c r="X81">
        <v>139100</v>
      </c>
      <c r="Y81">
        <v>1.571663148002699</v>
      </c>
      <c r="Z81">
        <v>139101.571663148</v>
      </c>
      <c r="AB81">
        <v>139101.571663148</v>
      </c>
      <c r="AC81" s="238">
        <v>139101.57</v>
      </c>
      <c r="AD81" s="238">
        <v>5929900</v>
      </c>
      <c r="AF81" s="238"/>
      <c r="AG81" s="238">
        <v>0</v>
      </c>
      <c r="AH81" s="238">
        <v>139101.571663148</v>
      </c>
      <c r="AI81" s="238">
        <v>5929900</v>
      </c>
      <c r="AJ81" s="238" t="s">
        <v>36</v>
      </c>
      <c r="AK81" s="238"/>
      <c r="AL81" s="238">
        <v>139101.571663148</v>
      </c>
      <c r="AM81" s="238">
        <v>0</v>
      </c>
      <c r="AN81" s="238">
        <v>5929900</v>
      </c>
      <c r="AP81" s="238" t="s">
        <v>35</v>
      </c>
      <c r="AQ81" s="238" t="s">
        <v>35</v>
      </c>
      <c r="AR81" t="s">
        <v>8953</v>
      </c>
      <c r="AS81" t="s">
        <v>8954</v>
      </c>
      <c r="AT81" t="s">
        <v>8948</v>
      </c>
      <c r="AU81" t="s">
        <v>8972</v>
      </c>
      <c r="AV81" s="238" t="b">
        <v>1</v>
      </c>
      <c r="AW81" t="s">
        <v>36</v>
      </c>
      <c r="AX81" t="b">
        <v>1</v>
      </c>
      <c r="AY81">
        <v>5929900</v>
      </c>
      <c r="AZ81">
        <v>5929900</v>
      </c>
      <c r="BA81">
        <v>0</v>
      </c>
      <c r="BB81">
        <v>0</v>
      </c>
      <c r="BC81">
        <v>0</v>
      </c>
      <c r="BD81" t="b">
        <v>1</v>
      </c>
      <c r="BE81" t="s">
        <v>7484</v>
      </c>
    </row>
    <row r="82" spans="1:57" x14ac:dyDescent="0.25">
      <c r="A82" s="238">
        <v>81</v>
      </c>
      <c r="B82" s="238">
        <v>1</v>
      </c>
      <c r="C82">
        <v>2</v>
      </c>
      <c r="D82" s="238">
        <v>6</v>
      </c>
      <c r="E82" s="238">
        <v>5</v>
      </c>
      <c r="F82" s="238">
        <v>2</v>
      </c>
      <c r="G82" s="238">
        <v>17.149999999999999</v>
      </c>
      <c r="H82" s="238">
        <v>10.73</v>
      </c>
      <c r="I82" s="238"/>
      <c r="J82" s="238">
        <v>27.88</v>
      </c>
      <c r="K82" s="238">
        <v>10.93</v>
      </c>
      <c r="L82" s="238">
        <v>4.45</v>
      </c>
      <c r="M82" s="238"/>
      <c r="N82" s="238">
        <v>4.59</v>
      </c>
      <c r="O82" s="238"/>
      <c r="P82" s="238">
        <v>3.07</v>
      </c>
      <c r="Q82" s="238"/>
      <c r="R82" s="238">
        <v>3.07</v>
      </c>
      <c r="S82" s="238">
        <v>50.92</v>
      </c>
      <c r="T82" s="238">
        <v>47.85</v>
      </c>
      <c r="U82" s="238">
        <v>49.39</v>
      </c>
      <c r="V82" s="238">
        <v>122580</v>
      </c>
      <c r="W82">
        <v>7420</v>
      </c>
      <c r="X82">
        <v>130000</v>
      </c>
      <c r="Y82">
        <v>-500.10123506783566</v>
      </c>
      <c r="Z82">
        <v>129499.89876493216</v>
      </c>
      <c r="AB82">
        <v>129499.89876493216</v>
      </c>
      <c r="AC82" s="238">
        <v>129499.9</v>
      </c>
      <c r="AD82" s="238">
        <v>6396000</v>
      </c>
      <c r="AF82" s="238">
        <v>0.03</v>
      </c>
      <c r="AG82" s="238">
        <v>191880</v>
      </c>
      <c r="AH82" s="238">
        <v>125614.9018019842</v>
      </c>
      <c r="AI82" s="238">
        <v>6204120</v>
      </c>
      <c r="AJ82" s="238" t="s">
        <v>36</v>
      </c>
      <c r="AK82" s="238"/>
      <c r="AL82" s="238">
        <v>125614.9018019842</v>
      </c>
      <c r="AM82" s="238">
        <v>0</v>
      </c>
      <c r="AN82" s="238">
        <v>6204120</v>
      </c>
      <c r="AO82" t="s">
        <v>3538</v>
      </c>
      <c r="AP82" s="238" t="s">
        <v>39</v>
      </c>
      <c r="AQ82" s="238" t="s">
        <v>39</v>
      </c>
      <c r="AR82" t="s">
        <v>8950</v>
      </c>
      <c r="AS82" t="s">
        <v>1167</v>
      </c>
      <c r="AT82" t="s">
        <v>8948</v>
      </c>
      <c r="AU82" t="s">
        <v>8974</v>
      </c>
      <c r="AV82" s="238" t="b">
        <v>1</v>
      </c>
      <c r="AW82" t="s">
        <v>36</v>
      </c>
      <c r="AX82" t="b">
        <v>1</v>
      </c>
      <c r="AY82">
        <v>6396000</v>
      </c>
      <c r="AZ82" t="s">
        <v>9002</v>
      </c>
      <c r="BA82">
        <v>0</v>
      </c>
      <c r="BB82">
        <v>6396000</v>
      </c>
      <c r="BC82">
        <v>0</v>
      </c>
      <c r="BD82" t="b">
        <v>1</v>
      </c>
      <c r="BE82" t="s">
        <v>7485</v>
      </c>
    </row>
    <row r="83" spans="1:57" x14ac:dyDescent="0.25">
      <c r="A83" s="238">
        <v>82</v>
      </c>
      <c r="B83" s="238">
        <v>1</v>
      </c>
      <c r="C83">
        <v>2</v>
      </c>
      <c r="D83" s="238">
        <v>7</v>
      </c>
      <c r="E83" s="238">
        <v>1</v>
      </c>
      <c r="F83" s="238">
        <v>3</v>
      </c>
      <c r="G83" s="238">
        <v>16.98</v>
      </c>
      <c r="H83" s="238">
        <v>12.39</v>
      </c>
      <c r="I83" s="238">
        <v>11.63</v>
      </c>
      <c r="J83" s="238">
        <v>41</v>
      </c>
      <c r="K83" s="238">
        <v>12.77</v>
      </c>
      <c r="L83" s="238">
        <v>3.43</v>
      </c>
      <c r="M83" s="238">
        <v>2.58</v>
      </c>
      <c r="N83" s="238">
        <v>9.2200000000000006</v>
      </c>
      <c r="O83" s="238">
        <v>2.77</v>
      </c>
      <c r="P83" s="238">
        <v>3.07</v>
      </c>
      <c r="Q83" s="238">
        <v>2.98</v>
      </c>
      <c r="R83" s="238">
        <v>6.05</v>
      </c>
      <c r="S83" s="238">
        <v>77.819999999999993</v>
      </c>
      <c r="T83" s="238">
        <v>71.77</v>
      </c>
      <c r="U83" s="238">
        <v>74.8</v>
      </c>
      <c r="V83" s="238">
        <v>112710</v>
      </c>
      <c r="W83">
        <v>17290</v>
      </c>
      <c r="X83">
        <v>130000</v>
      </c>
      <c r="Y83">
        <v>0</v>
      </c>
      <c r="Z83">
        <v>130000</v>
      </c>
      <c r="AA83">
        <v>5000</v>
      </c>
      <c r="AB83">
        <v>125000</v>
      </c>
      <c r="AC83" s="238">
        <v>125000</v>
      </c>
      <c r="AD83" s="238">
        <v>9350000</v>
      </c>
      <c r="AF83" s="238"/>
      <c r="AG83" s="238">
        <v>0</v>
      </c>
      <c r="AH83" s="238">
        <v>125000</v>
      </c>
      <c r="AI83" s="238">
        <v>9350000</v>
      </c>
      <c r="AJ83" s="238" t="s">
        <v>36</v>
      </c>
      <c r="AK83" s="238"/>
      <c r="AL83" s="238">
        <v>125000</v>
      </c>
      <c r="AM83" s="238">
        <v>0</v>
      </c>
      <c r="AN83" s="238">
        <v>9350000</v>
      </c>
      <c r="AP83" s="238" t="s">
        <v>35</v>
      </c>
      <c r="AQ83" s="238" t="s">
        <v>35</v>
      </c>
      <c r="AR83" t="s">
        <v>8953</v>
      </c>
      <c r="AS83" t="s">
        <v>8954</v>
      </c>
      <c r="AT83" t="s">
        <v>8948</v>
      </c>
      <c r="AU83" t="s">
        <v>8975</v>
      </c>
      <c r="AV83" s="238" t="b">
        <v>1</v>
      </c>
      <c r="AW83" t="s">
        <v>36</v>
      </c>
      <c r="AX83" t="b">
        <v>1</v>
      </c>
      <c r="AY83">
        <v>9350000</v>
      </c>
      <c r="AZ83">
        <v>9350000</v>
      </c>
      <c r="BA83">
        <v>0</v>
      </c>
      <c r="BB83">
        <v>0</v>
      </c>
      <c r="BC83">
        <v>0</v>
      </c>
      <c r="BD83" t="b">
        <v>1</v>
      </c>
      <c r="BE83" t="s">
        <v>7486</v>
      </c>
    </row>
    <row r="84" spans="1:57" x14ac:dyDescent="0.25">
      <c r="A84" s="238">
        <v>83</v>
      </c>
      <c r="B84" s="238">
        <v>1</v>
      </c>
      <c r="C84">
        <v>2</v>
      </c>
      <c r="D84" s="238">
        <v>7</v>
      </c>
      <c r="E84" s="238">
        <v>2</v>
      </c>
      <c r="F84" s="238">
        <v>2</v>
      </c>
      <c r="G84" s="238">
        <v>14.87</v>
      </c>
      <c r="H84" s="238">
        <v>14.15</v>
      </c>
      <c r="I84" s="238"/>
      <c r="J84" s="238">
        <v>29.02</v>
      </c>
      <c r="K84" s="238">
        <v>14.32</v>
      </c>
      <c r="L84" s="238">
        <v>3.96</v>
      </c>
      <c r="M84" s="238"/>
      <c r="N84" s="238">
        <v>5.32</v>
      </c>
      <c r="O84" s="238"/>
      <c r="P84" s="238">
        <v>2.78</v>
      </c>
      <c r="Q84" s="238"/>
      <c r="R84" s="238">
        <v>2.78</v>
      </c>
      <c r="S84" s="238">
        <v>55.4</v>
      </c>
      <c r="T84" s="238">
        <v>52.62</v>
      </c>
      <c r="U84" s="238">
        <v>54.01</v>
      </c>
      <c r="V84" s="238">
        <v>117720</v>
      </c>
      <c r="X84">
        <v>117720</v>
      </c>
      <c r="Y84">
        <v>132.2495834104775</v>
      </c>
      <c r="Z84">
        <v>117852.24958341048</v>
      </c>
      <c r="AB84">
        <v>117852.24958341048</v>
      </c>
      <c r="AC84" s="238">
        <v>117852.25</v>
      </c>
      <c r="AD84" s="238">
        <v>6365200</v>
      </c>
      <c r="AF84" s="238">
        <v>0.02</v>
      </c>
      <c r="AG84" s="238">
        <v>127304</v>
      </c>
      <c r="AH84" s="238">
        <v>115495.20459174228</v>
      </c>
      <c r="AI84" s="238">
        <v>6237896</v>
      </c>
      <c r="AJ84" s="238" t="s">
        <v>36</v>
      </c>
      <c r="AK84" s="238"/>
      <c r="AL84" s="238">
        <v>115495.20459174228</v>
      </c>
      <c r="AM84" s="238">
        <v>0</v>
      </c>
      <c r="AN84" s="238">
        <v>6237896</v>
      </c>
      <c r="AO84" t="s">
        <v>7996</v>
      </c>
      <c r="AP84" s="238" t="s">
        <v>39</v>
      </c>
      <c r="AQ84" s="238" t="s">
        <v>39</v>
      </c>
      <c r="AR84" t="s">
        <v>8950</v>
      </c>
      <c r="AS84" t="s">
        <v>1167</v>
      </c>
      <c r="AT84" t="s">
        <v>8948</v>
      </c>
      <c r="AU84" t="s">
        <v>8971</v>
      </c>
      <c r="AV84" s="238" t="b">
        <v>1</v>
      </c>
      <c r="AW84" t="s">
        <v>36</v>
      </c>
      <c r="AX84" t="b">
        <v>1</v>
      </c>
      <c r="AY84">
        <v>6365200</v>
      </c>
      <c r="AZ84" t="s">
        <v>9002</v>
      </c>
      <c r="BA84">
        <v>0</v>
      </c>
      <c r="BB84">
        <v>6365200</v>
      </c>
      <c r="BC84">
        <v>0</v>
      </c>
      <c r="BD84" t="b">
        <v>1</v>
      </c>
      <c r="BE84" t="s">
        <v>7487</v>
      </c>
    </row>
    <row r="85" spans="1:57" x14ac:dyDescent="0.25">
      <c r="A85" s="238">
        <v>84</v>
      </c>
      <c r="B85" s="238">
        <v>1</v>
      </c>
      <c r="C85">
        <v>2</v>
      </c>
      <c r="D85" s="238">
        <v>7</v>
      </c>
      <c r="E85" s="238">
        <v>3</v>
      </c>
      <c r="F85" s="238">
        <v>1</v>
      </c>
      <c r="G85" s="238">
        <v>14.94</v>
      </c>
      <c r="H85" s="238"/>
      <c r="I85" s="238"/>
      <c r="J85" s="238">
        <v>14.94</v>
      </c>
      <c r="K85" s="238">
        <v>10.26</v>
      </c>
      <c r="L85" s="238">
        <v>3.96</v>
      </c>
      <c r="M85" s="238"/>
      <c r="N85" s="238">
        <v>4.97</v>
      </c>
      <c r="O85" s="238"/>
      <c r="P85" s="238">
        <v>2.91</v>
      </c>
      <c r="Q85" s="238"/>
      <c r="R85" s="238">
        <v>2.91</v>
      </c>
      <c r="S85" s="238">
        <v>37.04</v>
      </c>
      <c r="T85" s="238">
        <v>34.130000000000003</v>
      </c>
      <c r="U85" s="238">
        <v>35.590000000000003</v>
      </c>
      <c r="V85" s="238">
        <v>140400</v>
      </c>
      <c r="X85">
        <v>140400</v>
      </c>
      <c r="Y85">
        <v>1.7982579375966452</v>
      </c>
      <c r="Z85">
        <v>140401.7982579376</v>
      </c>
      <c r="AB85">
        <v>140401.7982579376</v>
      </c>
      <c r="AC85" s="238">
        <v>140401.79999999999</v>
      </c>
      <c r="AD85" s="238">
        <v>4996900</v>
      </c>
      <c r="AF85" s="238"/>
      <c r="AG85" s="238">
        <v>0</v>
      </c>
      <c r="AH85" s="238">
        <v>140401.7982579376</v>
      </c>
      <c r="AI85" s="238">
        <v>4996900</v>
      </c>
      <c r="AJ85" s="238" t="s">
        <v>36</v>
      </c>
      <c r="AK85" s="238"/>
      <c r="AL85" s="238">
        <v>140401.7982579376</v>
      </c>
      <c r="AM85" s="238">
        <v>0</v>
      </c>
      <c r="AN85" s="238">
        <v>4996900</v>
      </c>
      <c r="AP85" s="238" t="s">
        <v>35</v>
      </c>
      <c r="AQ85" s="238" t="s">
        <v>35</v>
      </c>
      <c r="AR85" t="s">
        <v>8953</v>
      </c>
      <c r="AS85" t="s">
        <v>8954</v>
      </c>
      <c r="AT85" t="s">
        <v>8948</v>
      </c>
      <c r="AU85" t="s">
        <v>8973</v>
      </c>
      <c r="AV85" s="238" t="b">
        <v>1</v>
      </c>
      <c r="AW85" t="s">
        <v>36</v>
      </c>
      <c r="AX85" t="b">
        <v>1</v>
      </c>
      <c r="AY85">
        <v>4996900</v>
      </c>
      <c r="AZ85">
        <v>4996900</v>
      </c>
      <c r="BA85">
        <v>0</v>
      </c>
      <c r="BB85">
        <v>0</v>
      </c>
      <c r="BC85">
        <v>0</v>
      </c>
      <c r="BD85" t="b">
        <v>1</v>
      </c>
      <c r="BE85" t="s">
        <v>7488</v>
      </c>
    </row>
    <row r="86" spans="1:57" x14ac:dyDescent="0.25">
      <c r="A86" s="238">
        <v>85</v>
      </c>
      <c r="B86" s="238">
        <v>1</v>
      </c>
      <c r="C86">
        <v>2</v>
      </c>
      <c r="D86" s="238">
        <v>7</v>
      </c>
      <c r="E86" s="238">
        <v>4</v>
      </c>
      <c r="F86" s="238">
        <v>1</v>
      </c>
      <c r="G86" s="238">
        <v>14.18</v>
      </c>
      <c r="H86" s="238"/>
      <c r="I86" s="238"/>
      <c r="J86" s="238">
        <v>14.18</v>
      </c>
      <c r="K86" s="238">
        <v>15.34</v>
      </c>
      <c r="L86" s="238">
        <v>4.62</v>
      </c>
      <c r="M86" s="238"/>
      <c r="N86" s="238">
        <v>4.8899999999999997</v>
      </c>
      <c r="O86" s="238">
        <v>2.2599999999999998</v>
      </c>
      <c r="P86" s="238">
        <v>2.68</v>
      </c>
      <c r="Q86" s="238"/>
      <c r="R86" s="238">
        <v>2.68</v>
      </c>
      <c r="S86" s="238">
        <v>43.97</v>
      </c>
      <c r="T86" s="238">
        <v>41.29</v>
      </c>
      <c r="U86" s="238">
        <v>42.63</v>
      </c>
      <c r="V86" s="238">
        <v>141700</v>
      </c>
      <c r="X86">
        <v>141700</v>
      </c>
      <c r="Y86">
        <v>-796.88013136290829</v>
      </c>
      <c r="Z86">
        <v>140903.11986863709</v>
      </c>
      <c r="AB86">
        <v>140903.11986863709</v>
      </c>
      <c r="AC86" s="238">
        <v>140903.12</v>
      </c>
      <c r="AD86" s="238">
        <v>6006700</v>
      </c>
      <c r="AF86" s="238">
        <v>0.02</v>
      </c>
      <c r="AG86" s="238">
        <v>120134</v>
      </c>
      <c r="AH86" s="238">
        <v>138085.05747126436</v>
      </c>
      <c r="AI86" s="238">
        <v>5886566</v>
      </c>
      <c r="AJ86" s="238" t="s">
        <v>36</v>
      </c>
      <c r="AK86" s="238"/>
      <c r="AL86" s="238">
        <v>138085.05747126436</v>
      </c>
      <c r="AM86" s="238">
        <v>0</v>
      </c>
      <c r="AN86" s="238">
        <v>5886566</v>
      </c>
      <c r="AO86" t="s">
        <v>321</v>
      </c>
      <c r="AP86" s="238" t="s">
        <v>39</v>
      </c>
      <c r="AQ86" s="238" t="s">
        <v>39</v>
      </c>
      <c r="AR86" t="s">
        <v>8950</v>
      </c>
      <c r="AS86" t="s">
        <v>1167</v>
      </c>
      <c r="AT86" t="s">
        <v>8948</v>
      </c>
      <c r="AU86" t="s">
        <v>8972</v>
      </c>
      <c r="AV86" s="238" t="b">
        <v>1</v>
      </c>
      <c r="AW86" t="s">
        <v>36</v>
      </c>
      <c r="AX86" t="b">
        <v>1</v>
      </c>
      <c r="AY86">
        <v>6006700</v>
      </c>
      <c r="AZ86" t="s">
        <v>9002</v>
      </c>
      <c r="BA86">
        <v>6006700</v>
      </c>
      <c r="BB86">
        <v>6006700</v>
      </c>
      <c r="BC86">
        <v>0</v>
      </c>
      <c r="BD86" t="b">
        <v>1</v>
      </c>
      <c r="BE86" t="s">
        <v>7489</v>
      </c>
    </row>
    <row r="87" spans="1:57" x14ac:dyDescent="0.25">
      <c r="A87" s="238">
        <v>86</v>
      </c>
      <c r="B87" s="238">
        <v>1</v>
      </c>
      <c r="C87">
        <v>2</v>
      </c>
      <c r="D87" s="238">
        <v>7</v>
      </c>
      <c r="E87" s="238">
        <v>5</v>
      </c>
      <c r="F87" s="238">
        <v>2</v>
      </c>
      <c r="G87" s="238">
        <v>17.149999999999999</v>
      </c>
      <c r="H87" s="238">
        <v>10.73</v>
      </c>
      <c r="I87" s="238"/>
      <c r="J87" s="238">
        <v>27.88</v>
      </c>
      <c r="K87" s="238">
        <v>10.93</v>
      </c>
      <c r="L87" s="238">
        <v>4.45</v>
      </c>
      <c r="M87" s="238"/>
      <c r="N87" s="238">
        <v>4.59</v>
      </c>
      <c r="O87" s="238"/>
      <c r="P87" s="238">
        <v>3.07</v>
      </c>
      <c r="Q87" s="238"/>
      <c r="R87" s="238">
        <v>3.07</v>
      </c>
      <c r="S87" s="238">
        <v>50.92</v>
      </c>
      <c r="T87" s="238">
        <v>47.85</v>
      </c>
      <c r="U87" s="238">
        <v>49.39</v>
      </c>
      <c r="V87" s="238">
        <v>124740</v>
      </c>
      <c r="W87">
        <v>7860</v>
      </c>
      <c r="X87">
        <v>132600</v>
      </c>
      <c r="Y87">
        <v>1.7412431666452903</v>
      </c>
      <c r="Z87">
        <v>132601.74124316665</v>
      </c>
      <c r="AB87">
        <v>132601.74124316665</v>
      </c>
      <c r="AC87" s="238">
        <v>132601.74</v>
      </c>
      <c r="AD87" s="238">
        <v>6549200</v>
      </c>
      <c r="AF87" s="238">
        <v>0.02</v>
      </c>
      <c r="AG87" s="238">
        <v>130984</v>
      </c>
      <c r="AH87" s="238">
        <v>129949.70641830328</v>
      </c>
      <c r="AI87" s="238">
        <v>6418216</v>
      </c>
      <c r="AJ87" s="238" t="s">
        <v>38</v>
      </c>
      <c r="AK87" s="238">
        <v>30000</v>
      </c>
      <c r="AL87" s="238">
        <v>159949.70641830331</v>
      </c>
      <c r="AM87" s="238">
        <v>1481700</v>
      </c>
      <c r="AN87" s="238">
        <v>7899916</v>
      </c>
      <c r="AO87" t="s">
        <v>3540</v>
      </c>
      <c r="AP87" s="238" t="s">
        <v>39</v>
      </c>
      <c r="AQ87" s="238" t="s">
        <v>39</v>
      </c>
      <c r="AR87" t="s">
        <v>8950</v>
      </c>
      <c r="AS87" t="s">
        <v>1167</v>
      </c>
      <c r="AT87" t="s">
        <v>8948</v>
      </c>
      <c r="AU87" t="s">
        <v>8974</v>
      </c>
      <c r="AV87" s="238" t="b">
        <v>1</v>
      </c>
      <c r="AW87" t="s">
        <v>36</v>
      </c>
      <c r="AX87" t="b">
        <v>0</v>
      </c>
      <c r="AY87">
        <v>6549200</v>
      </c>
      <c r="AZ87" t="s">
        <v>9002</v>
      </c>
      <c r="BA87">
        <v>0</v>
      </c>
      <c r="BB87">
        <v>6549200</v>
      </c>
      <c r="BC87">
        <v>0</v>
      </c>
      <c r="BD87" t="b">
        <v>1</v>
      </c>
      <c r="BE87" t="s">
        <v>7490</v>
      </c>
    </row>
    <row r="88" spans="1:57" x14ac:dyDescent="0.25">
      <c r="A88" s="238">
        <v>87</v>
      </c>
      <c r="B88" s="238">
        <v>1</v>
      </c>
      <c r="C88">
        <v>2</v>
      </c>
      <c r="D88" s="238">
        <v>8</v>
      </c>
      <c r="E88" s="238">
        <v>1</v>
      </c>
      <c r="F88" s="238">
        <v>3</v>
      </c>
      <c r="G88" s="238">
        <v>16.98</v>
      </c>
      <c r="H88" s="238">
        <v>12.39</v>
      </c>
      <c r="I88" s="238">
        <v>11.63</v>
      </c>
      <c r="J88" s="238">
        <v>41</v>
      </c>
      <c r="K88" s="238">
        <v>12.77</v>
      </c>
      <c r="L88" s="238">
        <v>3.43</v>
      </c>
      <c r="M88" s="238">
        <v>2.58</v>
      </c>
      <c r="N88" s="238">
        <v>9.2200000000000006</v>
      </c>
      <c r="O88" s="238">
        <v>2.77</v>
      </c>
      <c r="P88" s="238">
        <v>3.07</v>
      </c>
      <c r="Q88" s="238">
        <v>2.98</v>
      </c>
      <c r="R88" s="238">
        <v>6.05</v>
      </c>
      <c r="S88" s="238">
        <v>77.819999999999993</v>
      </c>
      <c r="T88" s="238">
        <v>71.77</v>
      </c>
      <c r="U88" s="238">
        <v>74.8</v>
      </c>
      <c r="V88" s="238">
        <v>112710</v>
      </c>
      <c r="W88">
        <v>17290</v>
      </c>
      <c r="X88">
        <v>130000</v>
      </c>
      <c r="Y88">
        <v>0</v>
      </c>
      <c r="Z88">
        <v>130000</v>
      </c>
      <c r="AA88">
        <v>5000</v>
      </c>
      <c r="AB88">
        <v>125000</v>
      </c>
      <c r="AC88" s="238">
        <v>125000</v>
      </c>
      <c r="AD88" s="238">
        <v>9350000</v>
      </c>
      <c r="AF88" s="238"/>
      <c r="AG88" s="238">
        <v>0</v>
      </c>
      <c r="AH88" s="238">
        <v>125000</v>
      </c>
      <c r="AI88" s="238">
        <v>9350000</v>
      </c>
      <c r="AJ88" s="238" t="s">
        <v>36</v>
      </c>
      <c r="AK88" s="238"/>
      <c r="AL88" s="238">
        <v>125000</v>
      </c>
      <c r="AM88" s="238">
        <v>0</v>
      </c>
      <c r="AN88" s="238">
        <v>9350000</v>
      </c>
      <c r="AP88" s="238" t="s">
        <v>3</v>
      </c>
      <c r="AQ88" s="238" t="s">
        <v>3</v>
      </c>
      <c r="AR88" t="s">
        <v>8951</v>
      </c>
      <c r="AS88" t="s">
        <v>1167</v>
      </c>
      <c r="AT88" t="s">
        <v>8948</v>
      </c>
      <c r="AU88" t="s">
        <v>8975</v>
      </c>
      <c r="AV88" s="238" t="b">
        <v>1</v>
      </c>
      <c r="AW88" t="s">
        <v>36</v>
      </c>
      <c r="AX88" t="b">
        <v>1</v>
      </c>
      <c r="AY88">
        <v>9350000</v>
      </c>
      <c r="AZ88">
        <v>9350000</v>
      </c>
      <c r="BA88">
        <v>0</v>
      </c>
      <c r="BB88">
        <v>0</v>
      </c>
      <c r="BC88">
        <v>0</v>
      </c>
      <c r="BD88" t="b">
        <v>1</v>
      </c>
      <c r="BE88" t="s">
        <v>7491</v>
      </c>
    </row>
    <row r="89" spans="1:57" x14ac:dyDescent="0.25">
      <c r="A89" s="238">
        <v>88</v>
      </c>
      <c r="B89" s="238">
        <v>1</v>
      </c>
      <c r="C89">
        <v>2</v>
      </c>
      <c r="D89" s="238">
        <v>8</v>
      </c>
      <c r="E89" s="238">
        <v>2</v>
      </c>
      <c r="F89" s="238">
        <v>2</v>
      </c>
      <c r="G89" s="238">
        <v>14.87</v>
      </c>
      <c r="H89" s="238">
        <v>14.15</v>
      </c>
      <c r="I89" s="238"/>
      <c r="J89" s="238">
        <v>29.02</v>
      </c>
      <c r="K89" s="238">
        <v>14.32</v>
      </c>
      <c r="L89" s="238">
        <v>3.96</v>
      </c>
      <c r="M89" s="238"/>
      <c r="N89" s="238">
        <v>5.32</v>
      </c>
      <c r="O89" s="238"/>
      <c r="P89" s="238">
        <v>2.78</v>
      </c>
      <c r="Q89" s="238"/>
      <c r="R89" s="238">
        <v>2.78</v>
      </c>
      <c r="S89" s="238">
        <v>55.4</v>
      </c>
      <c r="T89" s="238">
        <v>52.62</v>
      </c>
      <c r="U89" s="238">
        <v>54.01</v>
      </c>
      <c r="V89" s="238">
        <v>117720</v>
      </c>
      <c r="W89">
        <v>12280</v>
      </c>
      <c r="X89">
        <v>130000</v>
      </c>
      <c r="Y89">
        <v>0</v>
      </c>
      <c r="Z89">
        <v>130000</v>
      </c>
      <c r="AA89">
        <v>5000</v>
      </c>
      <c r="AB89">
        <v>125000</v>
      </c>
      <c r="AC89" s="238">
        <v>125000</v>
      </c>
      <c r="AD89" s="238">
        <v>6751250</v>
      </c>
      <c r="AF89" s="238"/>
      <c r="AG89" s="238">
        <v>0</v>
      </c>
      <c r="AH89" s="238">
        <v>125000</v>
      </c>
      <c r="AI89" s="238">
        <v>6751250</v>
      </c>
      <c r="AJ89" s="238" t="s">
        <v>36</v>
      </c>
      <c r="AK89" s="238"/>
      <c r="AL89" s="238">
        <v>125000</v>
      </c>
      <c r="AM89" s="238">
        <v>0</v>
      </c>
      <c r="AN89" s="238">
        <v>6751250</v>
      </c>
      <c r="AP89" s="238" t="s">
        <v>3</v>
      </c>
      <c r="AQ89" s="238" t="s">
        <v>3</v>
      </c>
      <c r="AR89" t="s">
        <v>8951</v>
      </c>
      <c r="AS89" t="s">
        <v>1167</v>
      </c>
      <c r="AT89" t="s">
        <v>8948</v>
      </c>
      <c r="AU89" t="s">
        <v>8971</v>
      </c>
      <c r="AV89" s="238" t="b">
        <v>1</v>
      </c>
      <c r="AW89" t="s">
        <v>36</v>
      </c>
      <c r="AX89" t="b">
        <v>1</v>
      </c>
      <c r="AY89">
        <v>6751250</v>
      </c>
      <c r="AZ89">
        <v>6751250</v>
      </c>
      <c r="BA89">
        <v>0</v>
      </c>
      <c r="BB89">
        <v>0</v>
      </c>
      <c r="BC89">
        <v>0</v>
      </c>
      <c r="BD89" t="b">
        <v>1</v>
      </c>
      <c r="BE89" t="s">
        <v>7492</v>
      </c>
    </row>
    <row r="90" spans="1:57" x14ac:dyDescent="0.25">
      <c r="A90" s="238">
        <v>89</v>
      </c>
      <c r="B90" s="238">
        <v>1</v>
      </c>
      <c r="C90">
        <v>2</v>
      </c>
      <c r="D90" s="238">
        <v>8</v>
      </c>
      <c r="E90" s="238">
        <v>3</v>
      </c>
      <c r="F90" s="238">
        <v>1</v>
      </c>
      <c r="G90" s="238">
        <v>14.94</v>
      </c>
      <c r="H90" s="238"/>
      <c r="I90" s="238"/>
      <c r="J90" s="238">
        <v>14.94</v>
      </c>
      <c r="K90" s="238">
        <v>10.26</v>
      </c>
      <c r="L90" s="238">
        <v>3.96</v>
      </c>
      <c r="M90" s="238"/>
      <c r="N90" s="238">
        <v>4.97</v>
      </c>
      <c r="O90" s="238"/>
      <c r="P90" s="238">
        <v>2.91</v>
      </c>
      <c r="Q90" s="238"/>
      <c r="R90" s="238">
        <v>2.91</v>
      </c>
      <c r="S90" s="238">
        <v>37.04</v>
      </c>
      <c r="T90" s="238">
        <v>34.130000000000003</v>
      </c>
      <c r="U90" s="238">
        <v>35.590000000000003</v>
      </c>
      <c r="V90" s="238">
        <v>140400</v>
      </c>
      <c r="X90">
        <v>140400</v>
      </c>
      <c r="Y90">
        <v>1.7982579375966452</v>
      </c>
      <c r="Z90">
        <v>140401.7982579376</v>
      </c>
      <c r="AB90">
        <v>140401.7982579376</v>
      </c>
      <c r="AC90" s="238">
        <v>140401.79999999999</v>
      </c>
      <c r="AD90" s="238">
        <v>4996900</v>
      </c>
      <c r="AF90" s="238"/>
      <c r="AG90" s="238">
        <v>0</v>
      </c>
      <c r="AH90" s="238">
        <v>140401.7982579376</v>
      </c>
      <c r="AI90" s="238">
        <v>4996900</v>
      </c>
      <c r="AJ90" s="238" t="s">
        <v>36</v>
      </c>
      <c r="AK90" s="238"/>
      <c r="AL90" s="238">
        <v>140401.7982579376</v>
      </c>
      <c r="AM90" s="238">
        <v>0</v>
      </c>
      <c r="AN90" s="238">
        <v>4996900</v>
      </c>
      <c r="AP90" s="238" t="s">
        <v>8956</v>
      </c>
      <c r="AQ90" s="238" t="s">
        <v>8956</v>
      </c>
      <c r="AR90" t="s">
        <v>8953</v>
      </c>
      <c r="AS90" t="s">
        <v>8957</v>
      </c>
      <c r="AT90" t="s">
        <v>8948</v>
      </c>
      <c r="AU90" t="s">
        <v>8973</v>
      </c>
      <c r="AV90" s="238" t="b">
        <v>1</v>
      </c>
      <c r="AW90" t="s">
        <v>36</v>
      </c>
      <c r="AX90" t="b">
        <v>1</v>
      </c>
      <c r="AY90">
        <v>4996900</v>
      </c>
      <c r="AZ90">
        <v>4996900</v>
      </c>
      <c r="BA90">
        <v>0</v>
      </c>
      <c r="BB90">
        <v>0</v>
      </c>
      <c r="BC90">
        <v>0</v>
      </c>
      <c r="BD90" t="b">
        <v>1</v>
      </c>
      <c r="BE90" t="s">
        <v>7493</v>
      </c>
    </row>
    <row r="91" spans="1:57" x14ac:dyDescent="0.25">
      <c r="A91" s="238">
        <v>90</v>
      </c>
      <c r="B91" s="238">
        <v>1</v>
      </c>
      <c r="C91">
        <v>2</v>
      </c>
      <c r="D91" s="238">
        <v>8</v>
      </c>
      <c r="E91" s="238">
        <v>4</v>
      </c>
      <c r="F91" s="238">
        <v>1</v>
      </c>
      <c r="G91" s="238">
        <v>14.18</v>
      </c>
      <c r="H91" s="238"/>
      <c r="I91" s="238"/>
      <c r="J91" s="238">
        <v>14.18</v>
      </c>
      <c r="K91" s="238">
        <v>15.34</v>
      </c>
      <c r="L91" s="238">
        <v>4.62</v>
      </c>
      <c r="M91" s="238"/>
      <c r="N91" s="238">
        <v>4.8899999999999997</v>
      </c>
      <c r="O91" s="238">
        <v>2.2599999999999998</v>
      </c>
      <c r="P91" s="238">
        <v>2.68</v>
      </c>
      <c r="Q91" s="238"/>
      <c r="R91" s="238">
        <v>2.68</v>
      </c>
      <c r="S91" s="238">
        <v>43.97</v>
      </c>
      <c r="T91" s="238">
        <v>41.29</v>
      </c>
      <c r="U91" s="238">
        <v>42.63</v>
      </c>
      <c r="V91" s="238">
        <v>141700</v>
      </c>
      <c r="X91">
        <v>141700</v>
      </c>
      <c r="Y91">
        <v>0.68027210884611122</v>
      </c>
      <c r="Z91">
        <v>141700.68027210885</v>
      </c>
      <c r="AB91">
        <v>141700.68027210885</v>
      </c>
      <c r="AC91" s="238">
        <v>141700.68</v>
      </c>
      <c r="AD91" s="238">
        <v>6040700</v>
      </c>
      <c r="AF91" s="238"/>
      <c r="AG91" s="238">
        <v>0</v>
      </c>
      <c r="AH91" s="238">
        <v>141700.68027210885</v>
      </c>
      <c r="AI91" s="238">
        <v>6040700</v>
      </c>
      <c r="AJ91" s="238" t="s">
        <v>36</v>
      </c>
      <c r="AK91" s="238"/>
      <c r="AL91" s="238">
        <v>141700.68027210885</v>
      </c>
      <c r="AM91" s="238">
        <v>0</v>
      </c>
      <c r="AN91" s="238">
        <v>6040700.0000000009</v>
      </c>
      <c r="AP91" s="238" t="s">
        <v>3</v>
      </c>
      <c r="AQ91" s="238" t="s">
        <v>3</v>
      </c>
      <c r="AR91" t="s">
        <v>8951</v>
      </c>
      <c r="AS91" t="s">
        <v>1167</v>
      </c>
      <c r="AT91" t="s">
        <v>8948</v>
      </c>
      <c r="AU91" t="s">
        <v>8972</v>
      </c>
      <c r="AV91" s="238" t="b">
        <v>1</v>
      </c>
      <c r="AW91" t="s">
        <v>36</v>
      </c>
      <c r="AX91" t="b">
        <v>1</v>
      </c>
      <c r="AY91">
        <v>6040700</v>
      </c>
      <c r="AZ91">
        <v>6040700</v>
      </c>
      <c r="BA91">
        <v>0</v>
      </c>
      <c r="BB91">
        <v>0</v>
      </c>
      <c r="BC91">
        <v>0</v>
      </c>
      <c r="BD91" t="b">
        <v>1</v>
      </c>
      <c r="BE91" t="s">
        <v>7494</v>
      </c>
    </row>
    <row r="92" spans="1:57" x14ac:dyDescent="0.25">
      <c r="A92" s="238">
        <v>91</v>
      </c>
      <c r="B92" s="238">
        <v>1</v>
      </c>
      <c r="C92">
        <v>2</v>
      </c>
      <c r="D92" s="238">
        <v>8</v>
      </c>
      <c r="E92" s="238">
        <v>5</v>
      </c>
      <c r="F92" s="238">
        <v>2</v>
      </c>
      <c r="G92" s="238">
        <v>17.149999999999999</v>
      </c>
      <c r="H92" s="238">
        <v>10.73</v>
      </c>
      <c r="I92" s="238"/>
      <c r="J92" s="238">
        <v>27.88</v>
      </c>
      <c r="K92" s="238">
        <v>10.93</v>
      </c>
      <c r="L92" s="238">
        <v>4.45</v>
      </c>
      <c r="M92" s="238"/>
      <c r="N92" s="238">
        <v>4.59</v>
      </c>
      <c r="O92" s="238"/>
      <c r="P92" s="238">
        <v>3.07</v>
      </c>
      <c r="Q92" s="238"/>
      <c r="R92" s="238">
        <v>3.07</v>
      </c>
      <c r="S92" s="238">
        <v>50.92</v>
      </c>
      <c r="T92" s="238">
        <v>47.85</v>
      </c>
      <c r="U92" s="238">
        <v>49.39</v>
      </c>
      <c r="V92" s="238">
        <v>124740</v>
      </c>
      <c r="W92">
        <v>7860</v>
      </c>
      <c r="X92">
        <v>132600</v>
      </c>
      <c r="Y92">
        <v>2.0044543429976329</v>
      </c>
      <c r="Z92">
        <v>132602.004454343</v>
      </c>
      <c r="AA92">
        <v>5000</v>
      </c>
      <c r="AB92">
        <v>127602.004454343</v>
      </c>
      <c r="AC92" s="238">
        <v>127602</v>
      </c>
      <c r="AD92" s="238">
        <v>6302263</v>
      </c>
      <c r="AF92" s="238"/>
      <c r="AG92" s="238">
        <v>0</v>
      </c>
      <c r="AH92" s="238">
        <v>127602.00445434298</v>
      </c>
      <c r="AI92" s="238">
        <v>6302263</v>
      </c>
      <c r="AJ92" s="238" t="s">
        <v>36</v>
      </c>
      <c r="AK92" s="238"/>
      <c r="AL92" s="238">
        <v>127602.00445434298</v>
      </c>
      <c r="AM92" s="238">
        <v>0</v>
      </c>
      <c r="AN92" s="238">
        <v>6302263</v>
      </c>
      <c r="AP92" s="238" t="s">
        <v>35</v>
      </c>
      <c r="AQ92" s="238" t="s">
        <v>35</v>
      </c>
      <c r="AR92" t="s">
        <v>8953</v>
      </c>
      <c r="AS92" t="s">
        <v>8954</v>
      </c>
      <c r="AT92" t="s">
        <v>8948</v>
      </c>
      <c r="AU92" t="s">
        <v>8974</v>
      </c>
      <c r="AV92" s="238" t="b">
        <v>1</v>
      </c>
      <c r="AW92" t="s">
        <v>36</v>
      </c>
      <c r="AX92" t="b">
        <v>1</v>
      </c>
      <c r="AY92">
        <v>6302263</v>
      </c>
      <c r="AZ92">
        <v>6302263</v>
      </c>
      <c r="BA92">
        <v>0</v>
      </c>
      <c r="BB92">
        <v>0</v>
      </c>
      <c r="BC92">
        <v>0</v>
      </c>
      <c r="BD92" t="b">
        <v>1</v>
      </c>
      <c r="BE92" t="s">
        <v>7495</v>
      </c>
    </row>
    <row r="93" spans="1:57" x14ac:dyDescent="0.25">
      <c r="A93" s="238">
        <v>92</v>
      </c>
      <c r="B93" s="238">
        <v>1</v>
      </c>
      <c r="C93">
        <v>2</v>
      </c>
      <c r="D93" s="238">
        <v>9</v>
      </c>
      <c r="E93" s="238">
        <v>1</v>
      </c>
      <c r="F93" s="238">
        <v>3</v>
      </c>
      <c r="G93" s="238">
        <v>16.98</v>
      </c>
      <c r="H93" s="238">
        <v>12.39</v>
      </c>
      <c r="I93" s="238">
        <v>11.63</v>
      </c>
      <c r="J93" s="238">
        <v>41</v>
      </c>
      <c r="K93" s="238">
        <v>12.77</v>
      </c>
      <c r="L93" s="238">
        <v>3.43</v>
      </c>
      <c r="M93" s="238">
        <v>2.58</v>
      </c>
      <c r="N93" s="238">
        <v>9.2200000000000006</v>
      </c>
      <c r="O93" s="238">
        <v>2.77</v>
      </c>
      <c r="P93" s="238">
        <v>3.07</v>
      </c>
      <c r="Q93" s="238">
        <v>2.98</v>
      </c>
      <c r="R93" s="238">
        <v>6.05</v>
      </c>
      <c r="S93" s="238">
        <v>77.819999999999993</v>
      </c>
      <c r="T93" s="238">
        <v>71.77</v>
      </c>
      <c r="U93" s="238">
        <v>74.8</v>
      </c>
      <c r="V93" s="238">
        <v>112710</v>
      </c>
      <c r="W93">
        <v>17290</v>
      </c>
      <c r="X93">
        <v>130000</v>
      </c>
      <c r="Y93">
        <v>0</v>
      </c>
      <c r="Z93">
        <v>130000</v>
      </c>
      <c r="AA93">
        <v>5000</v>
      </c>
      <c r="AB93">
        <v>125000</v>
      </c>
      <c r="AC93" s="238">
        <v>125000</v>
      </c>
      <c r="AD93" s="238">
        <v>9350000</v>
      </c>
      <c r="AF93" s="238"/>
      <c r="AG93" s="238">
        <v>0</v>
      </c>
      <c r="AH93" s="238">
        <v>125000</v>
      </c>
      <c r="AI93" s="238">
        <v>9350000</v>
      </c>
      <c r="AJ93" s="238" t="s">
        <v>36</v>
      </c>
      <c r="AK93" s="238"/>
      <c r="AL93" s="238">
        <v>125000</v>
      </c>
      <c r="AM93" s="238">
        <v>0</v>
      </c>
      <c r="AN93" s="238">
        <v>9350000</v>
      </c>
      <c r="AP93" s="238" t="s">
        <v>35</v>
      </c>
      <c r="AQ93" s="238" t="s">
        <v>35</v>
      </c>
      <c r="AR93" t="s">
        <v>8953</v>
      </c>
      <c r="AS93" t="s">
        <v>8954</v>
      </c>
      <c r="AT93" t="s">
        <v>8948</v>
      </c>
      <c r="AU93" t="s">
        <v>8975</v>
      </c>
      <c r="AV93" s="238" t="b">
        <v>1</v>
      </c>
      <c r="AW93" t="s">
        <v>36</v>
      </c>
      <c r="AX93" t="b">
        <v>1</v>
      </c>
      <c r="AY93">
        <v>9350000</v>
      </c>
      <c r="AZ93">
        <v>9350000</v>
      </c>
      <c r="BA93">
        <v>0</v>
      </c>
      <c r="BB93">
        <v>0</v>
      </c>
      <c r="BC93">
        <v>0</v>
      </c>
      <c r="BD93" t="b">
        <v>1</v>
      </c>
      <c r="BE93" t="s">
        <v>7496</v>
      </c>
    </row>
    <row r="94" spans="1:57" x14ac:dyDescent="0.25">
      <c r="A94" s="238">
        <v>93</v>
      </c>
      <c r="B94" s="238">
        <v>1</v>
      </c>
      <c r="C94">
        <v>2</v>
      </c>
      <c r="D94" s="238">
        <v>9</v>
      </c>
      <c r="E94" s="238">
        <v>2</v>
      </c>
      <c r="F94" s="238">
        <v>2</v>
      </c>
      <c r="G94" s="238">
        <v>14.87</v>
      </c>
      <c r="H94" s="238">
        <v>14.15</v>
      </c>
      <c r="I94" s="238"/>
      <c r="J94" s="238">
        <v>29.02</v>
      </c>
      <c r="K94" s="238">
        <v>14.32</v>
      </c>
      <c r="L94" s="238">
        <v>3.96</v>
      </c>
      <c r="M94" s="238"/>
      <c r="N94" s="238">
        <v>5.32</v>
      </c>
      <c r="O94" s="238"/>
      <c r="P94" s="238">
        <v>2.78</v>
      </c>
      <c r="Q94" s="238"/>
      <c r="R94" s="238">
        <v>2.78</v>
      </c>
      <c r="S94" s="238">
        <v>55.4</v>
      </c>
      <c r="T94" s="238">
        <v>52.62</v>
      </c>
      <c r="U94" s="238">
        <v>54.01</v>
      </c>
      <c r="V94" s="238">
        <v>117720</v>
      </c>
      <c r="W94">
        <v>12280</v>
      </c>
      <c r="X94">
        <v>130000</v>
      </c>
      <c r="Y94">
        <v>0</v>
      </c>
      <c r="Z94">
        <v>130000</v>
      </c>
      <c r="AA94">
        <v>5000</v>
      </c>
      <c r="AB94">
        <v>125000</v>
      </c>
      <c r="AC94" s="238">
        <v>125000</v>
      </c>
      <c r="AD94" s="238">
        <v>6751250</v>
      </c>
      <c r="AF94" s="238"/>
      <c r="AG94" s="238">
        <v>0</v>
      </c>
      <c r="AH94" s="238">
        <v>125000</v>
      </c>
      <c r="AI94" s="238">
        <v>6751250</v>
      </c>
      <c r="AJ94" s="238" t="s">
        <v>36</v>
      </c>
      <c r="AK94" s="238"/>
      <c r="AL94" s="238">
        <v>125000</v>
      </c>
      <c r="AM94" s="238">
        <v>0</v>
      </c>
      <c r="AN94" s="238">
        <v>6751250</v>
      </c>
      <c r="AP94" s="238" t="s">
        <v>3</v>
      </c>
      <c r="AQ94" s="238" t="s">
        <v>3</v>
      </c>
      <c r="AR94" t="s">
        <v>8951</v>
      </c>
      <c r="AS94" t="s">
        <v>1167</v>
      </c>
      <c r="AT94" t="s">
        <v>8948</v>
      </c>
      <c r="AU94" t="s">
        <v>8971</v>
      </c>
      <c r="AV94" s="238" t="b">
        <v>1</v>
      </c>
      <c r="AW94" t="s">
        <v>36</v>
      </c>
      <c r="AX94" t="b">
        <v>1</v>
      </c>
      <c r="AY94">
        <v>6751250</v>
      </c>
      <c r="AZ94">
        <v>6751250</v>
      </c>
      <c r="BA94">
        <v>0</v>
      </c>
      <c r="BB94">
        <v>0</v>
      </c>
      <c r="BC94">
        <v>0</v>
      </c>
      <c r="BD94" t="b">
        <v>1</v>
      </c>
      <c r="BE94" t="s">
        <v>7497</v>
      </c>
    </row>
    <row r="95" spans="1:57" x14ac:dyDescent="0.25">
      <c r="A95" s="238">
        <v>94</v>
      </c>
      <c r="B95" s="238">
        <v>1</v>
      </c>
      <c r="C95">
        <v>2</v>
      </c>
      <c r="D95" s="238">
        <v>9</v>
      </c>
      <c r="E95" s="238">
        <v>3</v>
      </c>
      <c r="F95" s="238">
        <v>1</v>
      </c>
      <c r="G95" s="238">
        <v>14.94</v>
      </c>
      <c r="H95" s="238"/>
      <c r="I95" s="238"/>
      <c r="J95" s="238">
        <v>14.94</v>
      </c>
      <c r="K95" s="238">
        <v>10.26</v>
      </c>
      <c r="L95" s="238">
        <v>3.96</v>
      </c>
      <c r="M95" s="238"/>
      <c r="N95" s="238">
        <v>4.97</v>
      </c>
      <c r="O95" s="238"/>
      <c r="P95" s="238">
        <v>2.91</v>
      </c>
      <c r="Q95" s="238"/>
      <c r="R95" s="238">
        <v>2.91</v>
      </c>
      <c r="S95" s="238">
        <v>37.04</v>
      </c>
      <c r="T95" s="238">
        <v>34.130000000000003</v>
      </c>
      <c r="U95" s="238">
        <v>35.590000000000003</v>
      </c>
      <c r="V95" s="238">
        <v>140400</v>
      </c>
      <c r="X95">
        <v>140400</v>
      </c>
      <c r="Y95">
        <v>1.7982579375966452</v>
      </c>
      <c r="Z95">
        <v>140401.7982579376</v>
      </c>
      <c r="AB95">
        <v>140401.7982579376</v>
      </c>
      <c r="AC95" s="238">
        <v>140401.79999999999</v>
      </c>
      <c r="AD95" s="238">
        <v>4996900</v>
      </c>
      <c r="AF95" s="238"/>
      <c r="AG95" s="238">
        <v>0</v>
      </c>
      <c r="AH95" s="238">
        <v>140401.7982579376</v>
      </c>
      <c r="AI95" s="238">
        <v>4996900</v>
      </c>
      <c r="AJ95" s="238" t="s">
        <v>36</v>
      </c>
      <c r="AK95" s="238"/>
      <c r="AL95" s="238">
        <v>140401.7982579376</v>
      </c>
      <c r="AM95" s="238">
        <v>0</v>
      </c>
      <c r="AN95" s="238">
        <v>4996900</v>
      </c>
      <c r="AP95" s="238" t="s">
        <v>35</v>
      </c>
      <c r="AQ95" s="238" t="s">
        <v>35</v>
      </c>
      <c r="AR95" t="s">
        <v>8953</v>
      </c>
      <c r="AS95" t="s">
        <v>8954</v>
      </c>
      <c r="AT95" t="s">
        <v>8948</v>
      </c>
      <c r="AU95" t="s">
        <v>8973</v>
      </c>
      <c r="AV95" s="238" t="b">
        <v>1</v>
      </c>
      <c r="AW95" t="s">
        <v>36</v>
      </c>
      <c r="AX95" t="b">
        <v>1</v>
      </c>
      <c r="AY95">
        <v>4996900</v>
      </c>
      <c r="AZ95">
        <v>4996900</v>
      </c>
      <c r="BA95">
        <v>0</v>
      </c>
      <c r="BB95">
        <v>0</v>
      </c>
      <c r="BC95">
        <v>0</v>
      </c>
      <c r="BD95" t="b">
        <v>1</v>
      </c>
      <c r="BE95" t="s">
        <v>7498</v>
      </c>
    </row>
    <row r="96" spans="1:57" x14ac:dyDescent="0.25">
      <c r="A96" s="238">
        <v>95</v>
      </c>
      <c r="B96" s="238">
        <v>1</v>
      </c>
      <c r="C96">
        <v>2</v>
      </c>
      <c r="D96" s="238">
        <v>9</v>
      </c>
      <c r="E96" s="238">
        <v>4</v>
      </c>
      <c r="F96" s="238">
        <v>1</v>
      </c>
      <c r="G96" s="238">
        <v>14.18</v>
      </c>
      <c r="H96" s="238"/>
      <c r="I96" s="238"/>
      <c r="J96" s="238">
        <v>14.18</v>
      </c>
      <c r="K96" s="238">
        <v>15.34</v>
      </c>
      <c r="L96" s="238">
        <v>4.62</v>
      </c>
      <c r="M96" s="238"/>
      <c r="N96" s="238">
        <v>4.8899999999999997</v>
      </c>
      <c r="O96" s="238">
        <v>2.2599999999999998</v>
      </c>
      <c r="P96" s="238">
        <v>2.68</v>
      </c>
      <c r="Q96" s="238"/>
      <c r="R96" s="238">
        <v>2.68</v>
      </c>
      <c r="S96" s="238">
        <v>43.97</v>
      </c>
      <c r="T96" s="238">
        <v>41.29</v>
      </c>
      <c r="U96" s="238">
        <v>42.63</v>
      </c>
      <c r="V96" s="238">
        <v>141700</v>
      </c>
      <c r="X96">
        <v>141700</v>
      </c>
      <c r="Y96">
        <v>0.68027210884611122</v>
      </c>
      <c r="Z96">
        <v>141700.68027210885</v>
      </c>
      <c r="AB96">
        <v>141700.68027210885</v>
      </c>
      <c r="AC96" s="238">
        <v>141700.68</v>
      </c>
      <c r="AD96" s="238">
        <v>6040700</v>
      </c>
      <c r="AF96" s="238"/>
      <c r="AG96" s="238">
        <v>0</v>
      </c>
      <c r="AH96" s="238">
        <v>141700.68027210885</v>
      </c>
      <c r="AI96" s="238">
        <v>6040700</v>
      </c>
      <c r="AJ96" s="238" t="s">
        <v>36</v>
      </c>
      <c r="AK96" s="238"/>
      <c r="AL96" s="238">
        <v>141700.68027210885</v>
      </c>
      <c r="AM96" s="238">
        <v>0</v>
      </c>
      <c r="AN96" s="238">
        <v>6040700.0000000009</v>
      </c>
      <c r="AP96" s="238" t="s">
        <v>3</v>
      </c>
      <c r="AQ96" s="238" t="s">
        <v>3</v>
      </c>
      <c r="AR96" t="s">
        <v>8951</v>
      </c>
      <c r="AS96" t="s">
        <v>1167</v>
      </c>
      <c r="AT96" t="s">
        <v>8948</v>
      </c>
      <c r="AU96" t="s">
        <v>8972</v>
      </c>
      <c r="AV96" s="238" t="b">
        <v>1</v>
      </c>
      <c r="AW96" t="s">
        <v>36</v>
      </c>
      <c r="AX96" t="b">
        <v>1</v>
      </c>
      <c r="AY96">
        <v>6040700</v>
      </c>
      <c r="AZ96">
        <v>6040700</v>
      </c>
      <c r="BA96">
        <v>0</v>
      </c>
      <c r="BB96">
        <v>0</v>
      </c>
      <c r="BC96">
        <v>0</v>
      </c>
      <c r="BD96" t="b">
        <v>1</v>
      </c>
      <c r="BE96" t="s">
        <v>7499</v>
      </c>
    </row>
    <row r="97" spans="1:57" x14ac:dyDescent="0.25">
      <c r="A97" s="238">
        <v>96</v>
      </c>
      <c r="B97" s="238">
        <v>1</v>
      </c>
      <c r="C97">
        <v>2</v>
      </c>
      <c r="D97" s="238">
        <v>9</v>
      </c>
      <c r="E97" s="238">
        <v>5</v>
      </c>
      <c r="F97" s="238">
        <v>2</v>
      </c>
      <c r="G97" s="238">
        <v>17.149999999999999</v>
      </c>
      <c r="H97" s="238">
        <v>10.73</v>
      </c>
      <c r="I97" s="238"/>
      <c r="J97" s="238">
        <v>27.88</v>
      </c>
      <c r="K97" s="238">
        <v>10.93</v>
      </c>
      <c r="L97" s="238">
        <v>4.45</v>
      </c>
      <c r="M97" s="238"/>
      <c r="N97" s="238">
        <v>4.59</v>
      </c>
      <c r="O97" s="238"/>
      <c r="P97" s="238">
        <v>3.07</v>
      </c>
      <c r="Q97" s="238"/>
      <c r="R97" s="238">
        <v>3.07</v>
      </c>
      <c r="S97" s="238">
        <v>50.92</v>
      </c>
      <c r="T97" s="238">
        <v>47.85</v>
      </c>
      <c r="U97" s="238">
        <v>49.39</v>
      </c>
      <c r="V97" s="238">
        <v>125820</v>
      </c>
      <c r="X97">
        <v>125820</v>
      </c>
      <c r="Y97">
        <v>-482.88722413443605</v>
      </c>
      <c r="Z97">
        <v>125337.11277586556</v>
      </c>
      <c r="AB97">
        <v>125337.11277586556</v>
      </c>
      <c r="AC97" s="238">
        <v>125337.11</v>
      </c>
      <c r="AD97" s="238">
        <v>6190400</v>
      </c>
      <c r="AF97" s="238">
        <v>0.02</v>
      </c>
      <c r="AG97" s="238">
        <v>123808</v>
      </c>
      <c r="AH97" s="238">
        <v>122830.37052034824</v>
      </c>
      <c r="AI97" s="238">
        <v>6066592</v>
      </c>
      <c r="AJ97" s="238" t="s">
        <v>36</v>
      </c>
      <c r="AK97" s="238"/>
      <c r="AL97" s="238">
        <v>122830.37052034824</v>
      </c>
      <c r="AM97" s="238">
        <v>0</v>
      </c>
      <c r="AN97" s="238">
        <v>6066592</v>
      </c>
      <c r="AO97" t="s">
        <v>3540</v>
      </c>
      <c r="AP97" s="238" t="s">
        <v>39</v>
      </c>
      <c r="AQ97" s="238" t="s">
        <v>39</v>
      </c>
      <c r="AR97" t="s">
        <v>8950</v>
      </c>
      <c r="AS97" t="s">
        <v>1167</v>
      </c>
      <c r="AT97" t="s">
        <v>8948</v>
      </c>
      <c r="AU97" t="s">
        <v>8974</v>
      </c>
      <c r="AV97" s="238" t="b">
        <v>1</v>
      </c>
      <c r="AW97" t="s">
        <v>36</v>
      </c>
      <c r="AX97" t="b">
        <v>1</v>
      </c>
      <c r="AY97">
        <v>6190400</v>
      </c>
      <c r="AZ97" t="s">
        <v>9002</v>
      </c>
      <c r="BA97">
        <v>6190400</v>
      </c>
      <c r="BB97">
        <v>6190400</v>
      </c>
      <c r="BC97">
        <v>0</v>
      </c>
      <c r="BD97" t="b">
        <v>1</v>
      </c>
      <c r="BE97" t="s">
        <v>7500</v>
      </c>
    </row>
    <row r="98" spans="1:57" x14ac:dyDescent="0.25">
      <c r="A98" s="238">
        <v>97</v>
      </c>
      <c r="B98" s="238">
        <v>1</v>
      </c>
      <c r="C98">
        <v>2</v>
      </c>
      <c r="D98" s="238">
        <v>10</v>
      </c>
      <c r="E98" s="238">
        <v>1</v>
      </c>
      <c r="F98" s="238">
        <v>3</v>
      </c>
      <c r="G98" s="238">
        <v>16.98</v>
      </c>
      <c r="H98" s="238">
        <v>12.39</v>
      </c>
      <c r="I98" s="238">
        <v>11.63</v>
      </c>
      <c r="J98" s="238">
        <v>41</v>
      </c>
      <c r="K98" s="238">
        <v>12.77</v>
      </c>
      <c r="L98" s="238">
        <v>3.43</v>
      </c>
      <c r="M98" s="238">
        <v>2.58</v>
      </c>
      <c r="N98" s="238">
        <v>9.2200000000000006</v>
      </c>
      <c r="O98" s="238">
        <v>2.77</v>
      </c>
      <c r="P98" s="238">
        <v>3.07</v>
      </c>
      <c r="Q98" s="238">
        <v>2.98</v>
      </c>
      <c r="R98" s="238">
        <v>6.05</v>
      </c>
      <c r="S98" s="238">
        <v>77.819999999999993</v>
      </c>
      <c r="T98" s="238">
        <v>71.77</v>
      </c>
      <c r="U98" s="238">
        <v>74.8</v>
      </c>
      <c r="V98" s="238">
        <v>112710</v>
      </c>
      <c r="W98">
        <v>17290</v>
      </c>
      <c r="X98">
        <v>130000</v>
      </c>
      <c r="Y98">
        <v>0</v>
      </c>
      <c r="Z98">
        <v>130000</v>
      </c>
      <c r="AA98">
        <v>5000</v>
      </c>
      <c r="AB98">
        <v>125000</v>
      </c>
      <c r="AC98" s="238">
        <v>125000</v>
      </c>
      <c r="AD98" s="238">
        <v>9350000</v>
      </c>
      <c r="AF98" s="238"/>
      <c r="AG98" s="238">
        <v>0</v>
      </c>
      <c r="AH98" s="238">
        <v>125000</v>
      </c>
      <c r="AI98" s="238">
        <v>9350000</v>
      </c>
      <c r="AJ98" s="238" t="s">
        <v>36</v>
      </c>
      <c r="AK98" s="238"/>
      <c r="AL98" s="238">
        <v>125000</v>
      </c>
      <c r="AM98" s="238">
        <v>0</v>
      </c>
      <c r="AN98" s="238">
        <v>9350000</v>
      </c>
      <c r="AP98" s="238" t="s">
        <v>3</v>
      </c>
      <c r="AQ98" s="238" t="s">
        <v>3</v>
      </c>
      <c r="AR98" t="s">
        <v>8951</v>
      </c>
      <c r="AS98" t="s">
        <v>1167</v>
      </c>
      <c r="AT98" t="s">
        <v>8948</v>
      </c>
      <c r="AU98" t="s">
        <v>8975</v>
      </c>
      <c r="AV98" s="238" t="b">
        <v>1</v>
      </c>
      <c r="AW98" t="s">
        <v>36</v>
      </c>
      <c r="AX98" t="b">
        <v>1</v>
      </c>
      <c r="AY98">
        <v>9350000</v>
      </c>
      <c r="AZ98">
        <v>9350000</v>
      </c>
      <c r="BA98">
        <v>0</v>
      </c>
      <c r="BB98">
        <v>0</v>
      </c>
      <c r="BC98">
        <v>0</v>
      </c>
      <c r="BD98" t="b">
        <v>1</v>
      </c>
      <c r="BE98" t="s">
        <v>7501</v>
      </c>
    </row>
    <row r="99" spans="1:57" x14ac:dyDescent="0.25">
      <c r="A99" s="238">
        <v>98</v>
      </c>
      <c r="B99" s="238">
        <v>1</v>
      </c>
      <c r="C99">
        <v>2</v>
      </c>
      <c r="D99" s="238">
        <v>10</v>
      </c>
      <c r="E99" s="238">
        <v>2</v>
      </c>
      <c r="F99" s="238">
        <v>2</v>
      </c>
      <c r="G99" s="238">
        <v>14.87</v>
      </c>
      <c r="H99" s="238">
        <v>14.15</v>
      </c>
      <c r="I99" s="238"/>
      <c r="J99" s="238">
        <v>29.02</v>
      </c>
      <c r="K99" s="238">
        <v>14.32</v>
      </c>
      <c r="L99" s="238">
        <v>3.96</v>
      </c>
      <c r="M99" s="238"/>
      <c r="N99" s="238">
        <v>5.32</v>
      </c>
      <c r="O99" s="238"/>
      <c r="P99" s="238">
        <v>2.78</v>
      </c>
      <c r="Q99" s="238"/>
      <c r="R99" s="238">
        <v>2.78</v>
      </c>
      <c r="S99" s="238">
        <v>55.4</v>
      </c>
      <c r="T99" s="238">
        <v>52.62</v>
      </c>
      <c r="U99" s="238">
        <v>54.01</v>
      </c>
      <c r="V99" s="238">
        <v>117720</v>
      </c>
      <c r="W99">
        <v>12280</v>
      </c>
      <c r="X99">
        <v>130000</v>
      </c>
      <c r="Y99">
        <v>0</v>
      </c>
      <c r="Z99">
        <v>130000</v>
      </c>
      <c r="AA99">
        <v>5000</v>
      </c>
      <c r="AB99">
        <v>125000</v>
      </c>
      <c r="AC99" s="238">
        <v>125000</v>
      </c>
      <c r="AD99" s="238">
        <v>6751250</v>
      </c>
      <c r="AF99" s="238"/>
      <c r="AG99" s="238">
        <v>0</v>
      </c>
      <c r="AH99" s="238">
        <v>125000</v>
      </c>
      <c r="AI99" s="238">
        <v>6751250</v>
      </c>
      <c r="AJ99" s="238" t="s">
        <v>36</v>
      </c>
      <c r="AK99" s="238"/>
      <c r="AL99" s="238">
        <v>125000</v>
      </c>
      <c r="AM99" s="238">
        <v>0</v>
      </c>
      <c r="AN99" s="238">
        <v>6751250</v>
      </c>
      <c r="AP99" s="238" t="s">
        <v>3</v>
      </c>
      <c r="AQ99" s="238" t="s">
        <v>3</v>
      </c>
      <c r="AR99" t="s">
        <v>8951</v>
      </c>
      <c r="AS99" t="s">
        <v>1167</v>
      </c>
      <c r="AT99" t="s">
        <v>8948</v>
      </c>
      <c r="AU99" t="s">
        <v>8971</v>
      </c>
      <c r="AV99" s="238" t="b">
        <v>1</v>
      </c>
      <c r="AW99" t="s">
        <v>36</v>
      </c>
      <c r="AX99" t="b">
        <v>1</v>
      </c>
      <c r="AY99">
        <v>6751250</v>
      </c>
      <c r="AZ99">
        <v>6751250</v>
      </c>
      <c r="BA99">
        <v>0</v>
      </c>
      <c r="BB99">
        <v>0</v>
      </c>
      <c r="BC99">
        <v>0</v>
      </c>
      <c r="BD99" t="b">
        <v>1</v>
      </c>
      <c r="BE99" t="s">
        <v>7502</v>
      </c>
    </row>
    <row r="100" spans="1:57" x14ac:dyDescent="0.25">
      <c r="A100" s="238">
        <v>99</v>
      </c>
      <c r="B100" s="238">
        <v>1</v>
      </c>
      <c r="C100">
        <v>2</v>
      </c>
      <c r="D100" s="238">
        <v>10</v>
      </c>
      <c r="E100" s="238">
        <v>3</v>
      </c>
      <c r="F100" s="238">
        <v>1</v>
      </c>
      <c r="G100" s="238">
        <v>14.94</v>
      </c>
      <c r="H100" s="238"/>
      <c r="I100" s="238"/>
      <c r="J100" s="238">
        <v>14.94</v>
      </c>
      <c r="K100" s="238">
        <v>10.26</v>
      </c>
      <c r="L100" s="238">
        <v>3.96</v>
      </c>
      <c r="M100" s="238"/>
      <c r="N100" s="238">
        <v>4.97</v>
      </c>
      <c r="O100" s="238"/>
      <c r="P100" s="238">
        <v>2.91</v>
      </c>
      <c r="Q100" s="238"/>
      <c r="R100" s="238">
        <v>2.91</v>
      </c>
      <c r="S100" s="238">
        <v>37.04</v>
      </c>
      <c r="T100" s="238">
        <v>34.130000000000003</v>
      </c>
      <c r="U100" s="238">
        <v>35.590000000000003</v>
      </c>
      <c r="V100" s="238">
        <v>137800</v>
      </c>
      <c r="X100">
        <v>137800</v>
      </c>
      <c r="Y100">
        <v>2.7535824669757858</v>
      </c>
      <c r="Z100">
        <v>137802.75358246698</v>
      </c>
      <c r="AB100">
        <v>137802.75358246698</v>
      </c>
      <c r="AC100" s="238">
        <v>137802.75</v>
      </c>
      <c r="AD100" s="238">
        <v>4904400</v>
      </c>
      <c r="AF100" s="238"/>
      <c r="AG100" s="238">
        <v>0</v>
      </c>
      <c r="AH100" s="238">
        <v>137802.75358246698</v>
      </c>
      <c r="AI100" s="238">
        <v>4904400</v>
      </c>
      <c r="AJ100" s="238" t="s">
        <v>36</v>
      </c>
      <c r="AK100" s="238"/>
      <c r="AL100" s="238">
        <v>137802.75358246698</v>
      </c>
      <c r="AM100" s="238">
        <v>0</v>
      </c>
      <c r="AN100" s="238">
        <v>4904400</v>
      </c>
      <c r="AP100" s="238" t="s">
        <v>3</v>
      </c>
      <c r="AQ100" s="238" t="s">
        <v>3</v>
      </c>
      <c r="AR100" t="s">
        <v>8951</v>
      </c>
      <c r="AS100" t="s">
        <v>1167</v>
      </c>
      <c r="AT100" t="s">
        <v>8948</v>
      </c>
      <c r="AU100" t="s">
        <v>8973</v>
      </c>
      <c r="AV100" s="238" t="b">
        <v>1</v>
      </c>
      <c r="AW100" t="s">
        <v>36</v>
      </c>
      <c r="AX100" t="b">
        <v>1</v>
      </c>
      <c r="AY100">
        <v>4904400</v>
      </c>
      <c r="AZ100">
        <v>4904400</v>
      </c>
      <c r="BA100">
        <v>0</v>
      </c>
      <c r="BB100">
        <v>0</v>
      </c>
      <c r="BC100">
        <v>0</v>
      </c>
      <c r="BD100" t="b">
        <v>1</v>
      </c>
      <c r="BE100" t="s">
        <v>7503</v>
      </c>
    </row>
    <row r="101" spans="1:57" x14ac:dyDescent="0.25">
      <c r="A101" s="238">
        <v>100</v>
      </c>
      <c r="B101" s="238">
        <v>1</v>
      </c>
      <c r="C101">
        <v>2</v>
      </c>
      <c r="D101" s="238">
        <v>10</v>
      </c>
      <c r="E101" s="238">
        <v>4</v>
      </c>
      <c r="F101" s="238">
        <v>1</v>
      </c>
      <c r="G101" s="238">
        <v>14.18</v>
      </c>
      <c r="H101" s="238"/>
      <c r="I101" s="238"/>
      <c r="J101" s="238">
        <v>14.18</v>
      </c>
      <c r="K101" s="238">
        <v>15.34</v>
      </c>
      <c r="L101" s="238">
        <v>4.62</v>
      </c>
      <c r="M101" s="238"/>
      <c r="N101" s="238">
        <v>4.8899999999999997</v>
      </c>
      <c r="O101" s="238">
        <v>2.2599999999999998</v>
      </c>
      <c r="P101" s="238">
        <v>2.68</v>
      </c>
      <c r="Q101" s="238"/>
      <c r="R101" s="238">
        <v>2.68</v>
      </c>
      <c r="S101" s="238">
        <v>43.97</v>
      </c>
      <c r="T101" s="238">
        <v>41.29</v>
      </c>
      <c r="U101" s="238">
        <v>42.63</v>
      </c>
      <c r="V101" s="238">
        <v>139100</v>
      </c>
      <c r="X101">
        <v>139100</v>
      </c>
      <c r="Y101">
        <v>1.571663148002699</v>
      </c>
      <c r="Z101">
        <v>139101.571663148</v>
      </c>
      <c r="AB101">
        <v>139101.571663148</v>
      </c>
      <c r="AC101" s="238">
        <v>139101.57</v>
      </c>
      <c r="AD101" s="238">
        <v>5929900</v>
      </c>
      <c r="AF101" s="238"/>
      <c r="AG101" s="238">
        <v>0</v>
      </c>
      <c r="AH101" s="238">
        <v>139101.571663148</v>
      </c>
      <c r="AI101" s="238">
        <v>5929900</v>
      </c>
      <c r="AJ101" s="238" t="s">
        <v>36</v>
      </c>
      <c r="AK101" s="238"/>
      <c r="AL101" s="238">
        <v>139101.571663148</v>
      </c>
      <c r="AM101" s="238">
        <v>0</v>
      </c>
      <c r="AN101" s="238">
        <v>5929900</v>
      </c>
      <c r="AP101" s="238" t="s">
        <v>35</v>
      </c>
      <c r="AQ101" s="238" t="s">
        <v>35</v>
      </c>
      <c r="AR101" t="s">
        <v>8953</v>
      </c>
      <c r="AS101" t="s">
        <v>8954</v>
      </c>
      <c r="AT101" t="s">
        <v>8948</v>
      </c>
      <c r="AU101" t="s">
        <v>8972</v>
      </c>
      <c r="AV101" s="238" t="b">
        <v>1</v>
      </c>
      <c r="AW101" t="s">
        <v>36</v>
      </c>
      <c r="AX101" t="b">
        <v>1</v>
      </c>
      <c r="AY101">
        <v>5929900</v>
      </c>
      <c r="AZ101">
        <v>5929900</v>
      </c>
      <c r="BA101">
        <v>0</v>
      </c>
      <c r="BB101">
        <v>0</v>
      </c>
      <c r="BC101">
        <v>0</v>
      </c>
      <c r="BD101" t="b">
        <v>1</v>
      </c>
      <c r="BE101" t="s">
        <v>7504</v>
      </c>
    </row>
    <row r="102" spans="1:57" x14ac:dyDescent="0.25">
      <c r="A102" s="238">
        <v>101</v>
      </c>
      <c r="B102" s="238">
        <v>1</v>
      </c>
      <c r="C102">
        <v>2</v>
      </c>
      <c r="D102" s="238">
        <v>10</v>
      </c>
      <c r="E102" s="238">
        <v>5</v>
      </c>
      <c r="F102" s="238">
        <v>2</v>
      </c>
      <c r="G102" s="238">
        <v>17.149999999999999</v>
      </c>
      <c r="H102" s="238">
        <v>10.73</v>
      </c>
      <c r="I102" s="238"/>
      <c r="J102" s="238">
        <v>27.88</v>
      </c>
      <c r="K102" s="238">
        <v>10.93</v>
      </c>
      <c r="L102" s="238">
        <v>4.45</v>
      </c>
      <c r="M102" s="238"/>
      <c r="N102" s="238">
        <v>4.59</v>
      </c>
      <c r="O102" s="238"/>
      <c r="P102" s="238">
        <v>3.07</v>
      </c>
      <c r="Q102" s="238"/>
      <c r="R102" s="238">
        <v>3.07</v>
      </c>
      <c r="S102" s="238">
        <v>50.92</v>
      </c>
      <c r="T102" s="238">
        <v>47.85</v>
      </c>
      <c r="U102" s="238">
        <v>49.39</v>
      </c>
      <c r="V102" s="238">
        <v>122580</v>
      </c>
      <c r="W102">
        <v>7420</v>
      </c>
      <c r="X102">
        <v>130000</v>
      </c>
      <c r="Y102">
        <v>-500.10123506783566</v>
      </c>
      <c r="Z102">
        <v>129499.89876493216</v>
      </c>
      <c r="AB102">
        <v>129499.89876493216</v>
      </c>
      <c r="AC102" s="238">
        <v>129499.9</v>
      </c>
      <c r="AD102" s="238">
        <v>6396000</v>
      </c>
      <c r="AF102" s="238">
        <v>0.02</v>
      </c>
      <c r="AG102" s="238">
        <v>127920</v>
      </c>
      <c r="AH102" s="238">
        <v>126909.90078963352</v>
      </c>
      <c r="AI102" s="238">
        <v>6268080</v>
      </c>
      <c r="AJ102" s="238" t="s">
        <v>36</v>
      </c>
      <c r="AK102" s="238"/>
      <c r="AL102" s="238">
        <v>126909.90078963352</v>
      </c>
      <c r="AM102" s="238">
        <v>0</v>
      </c>
      <c r="AN102" s="238">
        <v>6268080</v>
      </c>
      <c r="AO102" t="s">
        <v>3566</v>
      </c>
      <c r="AP102" s="238" t="s">
        <v>39</v>
      </c>
      <c r="AQ102" s="238" t="s">
        <v>39</v>
      </c>
      <c r="AR102" t="s">
        <v>8950</v>
      </c>
      <c r="AS102" t="s">
        <v>1167</v>
      </c>
      <c r="AT102" t="s">
        <v>8948</v>
      </c>
      <c r="AU102" t="s">
        <v>8974</v>
      </c>
      <c r="AV102" s="238" t="b">
        <v>1</v>
      </c>
      <c r="AW102" t="s">
        <v>36</v>
      </c>
      <c r="AX102" t="b">
        <v>1</v>
      </c>
      <c r="AY102">
        <v>6396000</v>
      </c>
      <c r="AZ102" t="s">
        <v>9002</v>
      </c>
      <c r="BA102">
        <v>0</v>
      </c>
      <c r="BB102">
        <v>6396000</v>
      </c>
      <c r="BC102">
        <v>0</v>
      </c>
      <c r="BD102" t="b">
        <v>1</v>
      </c>
      <c r="BE102" t="s">
        <v>7505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02CF-54BD-4353-A841-2BF79DC4B562}">
  <sheetPr codeName="Лист19">
    <tabColor rgb="FF00B0F0"/>
  </sheetPr>
  <dimension ref="A1:DG537"/>
  <sheetViews>
    <sheetView workbookViewId="0">
      <selection activeCell="T2" sqref="T2"/>
    </sheetView>
  </sheetViews>
  <sheetFormatPr defaultRowHeight="15" x14ac:dyDescent="0.25"/>
  <cols>
    <col min="1" max="1" width="5.5703125" bestFit="1" customWidth="1"/>
    <col min="2" max="2" width="9.85546875" bestFit="1" customWidth="1"/>
    <col min="3" max="3" width="7.85546875" bestFit="1" customWidth="1"/>
    <col min="4" max="4" width="14.140625" bestFit="1" customWidth="1"/>
    <col min="5" max="5" width="9" bestFit="1" customWidth="1"/>
    <col min="6" max="8" width="21.28515625" hidden="1" customWidth="1"/>
    <col min="9" max="9" width="29.28515625" hidden="1" customWidth="1"/>
    <col min="10" max="10" width="17.28515625" hidden="1" customWidth="1"/>
    <col min="11" max="11" width="18.28515625" hidden="1" customWidth="1"/>
    <col min="12" max="12" width="14.5703125" hidden="1" customWidth="1"/>
    <col min="13" max="13" width="15.140625" hidden="1" customWidth="1"/>
    <col min="14" max="14" width="20.7109375" hidden="1" customWidth="1"/>
    <col min="15" max="15" width="19.7109375" hidden="1" customWidth="1"/>
    <col min="16" max="16" width="21.140625" hidden="1" customWidth="1"/>
    <col min="17" max="17" width="10" hidden="1" customWidth="1"/>
    <col min="18" max="18" width="29.5703125" hidden="1" customWidth="1"/>
    <col min="19" max="19" width="22.5703125" hidden="1" customWidth="1"/>
    <col min="20" max="20" width="32" bestFit="1" customWidth="1"/>
    <col min="21" max="21" width="16.7109375" bestFit="1" customWidth="1"/>
    <col min="22" max="22" width="39.140625" hidden="1" customWidth="1"/>
    <col min="23" max="23" width="24.85546875" hidden="1" customWidth="1"/>
    <col min="24" max="24" width="11.85546875" hidden="1" customWidth="1"/>
    <col min="25" max="25" width="25.28515625" hidden="1" customWidth="1"/>
    <col min="26" max="26" width="33.85546875" hidden="1" customWidth="1"/>
    <col min="27" max="27" width="15.5703125" hidden="1" customWidth="1"/>
    <col min="28" max="28" width="30.140625" hidden="1" customWidth="1"/>
    <col min="29" max="29" width="21.42578125" hidden="1" customWidth="1"/>
    <col min="30" max="30" width="21.85546875" hidden="1" customWidth="1"/>
    <col min="31" max="31" width="17.85546875" hidden="1" customWidth="1"/>
    <col min="32" max="32" width="42.42578125" hidden="1" customWidth="1"/>
    <col min="33" max="33" width="15.5703125" hidden="1" customWidth="1"/>
    <col min="34" max="34" width="41.5703125" hidden="1" customWidth="1"/>
    <col min="35" max="35" width="15.5703125" hidden="1" customWidth="1"/>
    <col min="36" max="36" width="37.42578125" hidden="1" customWidth="1"/>
    <col min="37" max="37" width="19.140625" hidden="1" customWidth="1"/>
    <col min="38" max="38" width="37.42578125" hidden="1" customWidth="1"/>
    <col min="39" max="39" width="15.5703125" hidden="1" customWidth="1"/>
    <col min="40" max="40" width="51" hidden="1" customWidth="1"/>
    <col min="41" max="41" width="15.5703125" hidden="1" customWidth="1"/>
    <col min="42" max="42" width="25.42578125" hidden="1" customWidth="1"/>
    <col min="43" max="43" width="15.5703125" hidden="1" customWidth="1"/>
    <col min="44" max="44" width="25.42578125" hidden="1" customWidth="1"/>
    <col min="45" max="45" width="15.5703125" hidden="1" customWidth="1"/>
    <col min="46" max="46" width="25.42578125" hidden="1" customWidth="1"/>
    <col min="47" max="47" width="15.5703125" hidden="1" customWidth="1"/>
    <col min="48" max="48" width="59.140625" hidden="1" customWidth="1"/>
    <col min="49" max="49" width="15.5703125" hidden="1" customWidth="1"/>
    <col min="50" max="50" width="26.85546875" hidden="1" customWidth="1"/>
    <col min="51" max="51" width="14.42578125" hidden="1" customWidth="1"/>
    <col min="52" max="52" width="29.140625" hidden="1" customWidth="1"/>
    <col min="53" max="53" width="15.5703125" hidden="1" customWidth="1"/>
    <col min="54" max="54" width="26.85546875" hidden="1" customWidth="1"/>
    <col min="55" max="55" width="15.5703125" hidden="1" customWidth="1"/>
    <col min="56" max="56" width="42.7109375" hidden="1" customWidth="1"/>
    <col min="57" max="57" width="15.5703125" hidden="1" customWidth="1"/>
    <col min="58" max="58" width="59.42578125" hidden="1" customWidth="1"/>
    <col min="59" max="59" width="15.5703125" hidden="1" customWidth="1"/>
    <col min="60" max="60" width="24" hidden="1" customWidth="1"/>
    <col min="61" max="61" width="17.5703125" hidden="1" customWidth="1"/>
    <col min="62" max="62" width="66" hidden="1" customWidth="1"/>
    <col min="63" max="63" width="17.5703125" hidden="1" customWidth="1"/>
    <col min="64" max="64" width="21.85546875" hidden="1" customWidth="1"/>
    <col min="65" max="65" width="15.5703125" hidden="1" customWidth="1"/>
    <col min="66" max="66" width="41.85546875" hidden="1" customWidth="1"/>
    <col min="67" max="68" width="15.5703125" hidden="1" customWidth="1"/>
    <col min="69" max="69" width="23.28515625" hidden="1" customWidth="1"/>
    <col min="70" max="70" width="24.85546875" hidden="1" customWidth="1"/>
    <col min="71" max="71" width="11.85546875" hidden="1" customWidth="1"/>
    <col min="72" max="72" width="15.5703125" hidden="1" customWidth="1"/>
    <col min="73" max="73" width="28.5703125" hidden="1" customWidth="1"/>
    <col min="74" max="74" width="15.5703125" hidden="1" customWidth="1"/>
    <col min="75" max="75" width="18.5703125" bestFit="1" customWidth="1"/>
    <col min="76" max="76" width="21.42578125" hidden="1" customWidth="1"/>
    <col min="77" max="77" width="14.140625" bestFit="1" customWidth="1"/>
    <col min="78" max="78" width="23" bestFit="1" customWidth="1"/>
    <col min="79" max="79" width="24.85546875" bestFit="1" customWidth="1"/>
    <col min="80" max="80" width="10" hidden="1" customWidth="1"/>
    <col min="81" max="81" width="25.28515625" bestFit="1" customWidth="1"/>
    <col min="82" max="82" width="28.28515625" hidden="1" customWidth="1"/>
    <col min="83" max="83" width="26.140625" hidden="1" customWidth="1"/>
    <col min="84" max="84" width="13.85546875" bestFit="1" customWidth="1"/>
    <col min="85" max="85" width="15.140625" hidden="1" customWidth="1"/>
    <col min="86" max="86" width="19.140625" hidden="1" customWidth="1"/>
    <col min="87" max="87" width="18.28515625" hidden="1" customWidth="1"/>
    <col min="88" max="88" width="14.28515625" hidden="1" customWidth="1"/>
    <col min="89" max="89" width="15.85546875" hidden="1" customWidth="1"/>
    <col min="90" max="90" width="18" hidden="1" customWidth="1"/>
    <col min="91" max="91" width="17.7109375" hidden="1" customWidth="1"/>
    <col min="92" max="92" width="20.28515625" hidden="1" customWidth="1"/>
    <col min="93" max="93" width="10" bestFit="1" customWidth="1"/>
    <col min="94" max="94" width="15.140625" bestFit="1" customWidth="1"/>
    <col min="95" max="95" width="19.140625" bestFit="1" customWidth="1"/>
    <col min="96" max="96" width="14.42578125" bestFit="1" customWidth="1"/>
    <col min="97" max="97" width="12.7109375" bestFit="1" customWidth="1"/>
    <col min="98" max="98" width="40.7109375" bestFit="1" customWidth="1"/>
    <col min="99" max="99" width="15.7109375" bestFit="1" customWidth="1"/>
    <col min="100" max="100" width="18.28515625" bestFit="1" customWidth="1"/>
    <col min="101" max="101" width="14.28515625" bestFit="1" customWidth="1"/>
    <col min="102" max="102" width="18.140625" bestFit="1" customWidth="1"/>
    <col min="103" max="103" width="14.5703125" bestFit="1" customWidth="1"/>
    <col min="104" max="104" width="12" bestFit="1" customWidth="1"/>
    <col min="105" max="105" width="24" bestFit="1" customWidth="1"/>
    <col min="106" max="106" width="15.85546875" bestFit="1" customWidth="1"/>
    <col min="107" max="107" width="18" bestFit="1" customWidth="1"/>
    <col min="108" max="108" width="17.7109375" bestFit="1" customWidth="1"/>
    <col min="109" max="109" width="20.28515625" bestFit="1" customWidth="1"/>
    <col min="110" max="110" width="16.7109375" bestFit="1" customWidth="1"/>
    <col min="111" max="111" width="18.85546875" bestFit="1" customWidth="1"/>
    <col min="112" max="112" width="16.7109375" bestFit="1" customWidth="1"/>
    <col min="113" max="115" width="18.85546875" bestFit="1" customWidth="1"/>
    <col min="116" max="116" width="20.28515625" customWidth="1"/>
    <col min="117" max="117" width="14.28515625" customWidth="1"/>
    <col min="118" max="118" width="14.28515625" bestFit="1" customWidth="1"/>
    <col min="119" max="120" width="18.28515625" bestFit="1" customWidth="1"/>
    <col min="121" max="121" width="18.28515625" customWidth="1"/>
    <col min="122" max="122" width="19.140625" bestFit="1" customWidth="1"/>
    <col min="123" max="123" width="15.140625" bestFit="1" customWidth="1"/>
    <col min="124" max="124" width="19.140625" customWidth="1"/>
    <col min="125" max="125" width="8.85546875" bestFit="1" customWidth="1"/>
    <col min="126" max="126" width="10.28515625" bestFit="1" customWidth="1"/>
    <col min="127" max="127" width="20.7109375" customWidth="1"/>
  </cols>
  <sheetData>
    <row r="1" spans="1:111" x14ac:dyDescent="0.25">
      <c r="A1" t="s">
        <v>10</v>
      </c>
      <c r="B1" t="s">
        <v>40</v>
      </c>
      <c r="C1" t="s">
        <v>41</v>
      </c>
      <c r="D1" t="s">
        <v>3149</v>
      </c>
      <c r="E1" t="s">
        <v>32</v>
      </c>
      <c r="F1" t="s">
        <v>75</v>
      </c>
      <c r="G1" t="s">
        <v>76</v>
      </c>
      <c r="H1" t="s">
        <v>77</v>
      </c>
      <c r="I1" t="s">
        <v>3150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3151</v>
      </c>
      <c r="S1" t="s">
        <v>3152</v>
      </c>
      <c r="T1" t="s">
        <v>113</v>
      </c>
      <c r="U1" t="s">
        <v>8938</v>
      </c>
      <c r="V1" t="s">
        <v>3346</v>
      </c>
      <c r="W1" t="s">
        <v>3347</v>
      </c>
      <c r="X1" t="s">
        <v>3348</v>
      </c>
      <c r="Y1" t="s">
        <v>4896</v>
      </c>
      <c r="Z1" t="s">
        <v>3349</v>
      </c>
      <c r="AA1" t="s">
        <v>4897</v>
      </c>
      <c r="AB1" t="s">
        <v>3722</v>
      </c>
      <c r="AC1" t="s">
        <v>3758</v>
      </c>
      <c r="AD1" t="s">
        <v>3759</v>
      </c>
      <c r="AE1" t="s">
        <v>3817</v>
      </c>
      <c r="AF1" t="s">
        <v>3818</v>
      </c>
      <c r="AG1" t="s">
        <v>4051</v>
      </c>
      <c r="AH1" t="s">
        <v>4041</v>
      </c>
      <c r="AI1" t="s">
        <v>4145</v>
      </c>
      <c r="AJ1" t="s">
        <v>4265</v>
      </c>
      <c r="AK1" t="s">
        <v>4286</v>
      </c>
      <c r="AL1" t="s">
        <v>4287</v>
      </c>
      <c r="AM1" t="s">
        <v>4516</v>
      </c>
      <c r="AN1" t="s">
        <v>4517</v>
      </c>
      <c r="AO1" t="s">
        <v>4582</v>
      </c>
      <c r="AP1" t="s">
        <v>4583</v>
      </c>
      <c r="AQ1" t="s">
        <v>4733</v>
      </c>
      <c r="AR1" t="s">
        <v>4734</v>
      </c>
      <c r="AS1" t="s">
        <v>4898</v>
      </c>
      <c r="AT1" t="s">
        <v>4899</v>
      </c>
      <c r="AU1" t="s">
        <v>4900</v>
      </c>
      <c r="AV1" t="s">
        <v>4901</v>
      </c>
      <c r="AW1" t="s">
        <v>5047</v>
      </c>
      <c r="AX1" t="s">
        <v>4902</v>
      </c>
      <c r="AY1" t="s">
        <v>4903</v>
      </c>
      <c r="AZ1" t="s">
        <v>4904</v>
      </c>
      <c r="BA1" t="s">
        <v>5048</v>
      </c>
      <c r="BB1" t="s">
        <v>5049</v>
      </c>
      <c r="BC1" t="s">
        <v>6492</v>
      </c>
      <c r="BD1" t="s">
        <v>6498</v>
      </c>
      <c r="BE1" t="s">
        <v>6948</v>
      </c>
      <c r="BF1" t="s">
        <v>6666</v>
      </c>
      <c r="BG1" t="s">
        <v>6815</v>
      </c>
      <c r="BH1" t="s">
        <v>6816</v>
      </c>
      <c r="BI1" t="s">
        <v>6878</v>
      </c>
      <c r="BJ1" t="s">
        <v>6879</v>
      </c>
      <c r="BK1" t="s">
        <v>6956</v>
      </c>
      <c r="BL1" t="s">
        <v>6957</v>
      </c>
      <c r="BM1" t="s">
        <v>7053</v>
      </c>
      <c r="BN1" t="s">
        <v>7025</v>
      </c>
      <c r="BO1" t="s">
        <v>7103</v>
      </c>
      <c r="BP1" t="s">
        <v>7104</v>
      </c>
      <c r="BQ1" t="s">
        <v>7168</v>
      </c>
      <c r="BR1" t="s">
        <v>7169</v>
      </c>
      <c r="BS1" t="s">
        <v>7966</v>
      </c>
      <c r="BT1" t="s">
        <v>7937</v>
      </c>
      <c r="BU1" t="s">
        <v>8027</v>
      </c>
      <c r="BV1" t="s">
        <v>8028</v>
      </c>
      <c r="BW1" t="s">
        <v>8967</v>
      </c>
      <c r="BX1" t="s">
        <v>8968</v>
      </c>
      <c r="BY1" t="s">
        <v>3350</v>
      </c>
      <c r="BZ1" t="s">
        <v>3387</v>
      </c>
      <c r="CA1" t="s">
        <v>114</v>
      </c>
      <c r="CB1" t="s">
        <v>86</v>
      </c>
      <c r="CC1" t="s">
        <v>115</v>
      </c>
      <c r="CD1" t="s">
        <v>87</v>
      </c>
      <c r="CE1" t="s">
        <v>88</v>
      </c>
      <c r="CF1" t="s">
        <v>9</v>
      </c>
      <c r="CG1" t="s">
        <v>46</v>
      </c>
      <c r="CH1" t="s">
        <v>47</v>
      </c>
      <c r="CI1" t="s">
        <v>89</v>
      </c>
      <c r="CJ1" t="s">
        <v>48</v>
      </c>
      <c r="CK1" t="s">
        <v>90</v>
      </c>
      <c r="CL1" t="s">
        <v>56</v>
      </c>
      <c r="CM1" t="s">
        <v>6921</v>
      </c>
      <c r="CN1" t="s">
        <v>6922</v>
      </c>
      <c r="CO1" t="s">
        <v>8</v>
      </c>
      <c r="CP1" t="s">
        <v>7</v>
      </c>
      <c r="CQ1" t="s">
        <v>65</v>
      </c>
      <c r="CR1" t="s">
        <v>8945</v>
      </c>
      <c r="CS1" t="s">
        <v>8946</v>
      </c>
      <c r="CT1" t="s">
        <v>8943</v>
      </c>
      <c r="CU1" t="s">
        <v>8969</v>
      </c>
      <c r="CV1" t="s">
        <v>5245</v>
      </c>
      <c r="CW1" t="s">
        <v>6651</v>
      </c>
      <c r="CX1" t="s">
        <v>7885</v>
      </c>
      <c r="CY1" t="s">
        <v>1</v>
      </c>
      <c r="CZ1" t="s">
        <v>7886</v>
      </c>
      <c r="DA1" t="s">
        <v>7887</v>
      </c>
      <c r="DB1" t="s">
        <v>6977</v>
      </c>
      <c r="DC1" t="s">
        <v>6978</v>
      </c>
      <c r="DD1" t="s">
        <v>6979</v>
      </c>
      <c r="DE1" t="s">
        <v>6980</v>
      </c>
      <c r="DF1" t="s">
        <v>7137</v>
      </c>
      <c r="DG1" s="346" t="s">
        <v>7105</v>
      </c>
    </row>
    <row r="2" spans="1:111" x14ac:dyDescent="0.25">
      <c r="A2">
        <v>1</v>
      </c>
      <c r="B2" t="s">
        <v>6</v>
      </c>
      <c r="C2">
        <v>2</v>
      </c>
      <c r="D2">
        <v>1</v>
      </c>
      <c r="E2">
        <v>1</v>
      </c>
      <c r="F2">
        <v>13.93</v>
      </c>
      <c r="I2">
        <v>13.93</v>
      </c>
      <c r="J2">
        <v>9.18</v>
      </c>
      <c r="K2">
        <v>3.65</v>
      </c>
      <c r="N2">
        <v>5.52</v>
      </c>
      <c r="O2">
        <v>2.4900000000000002</v>
      </c>
      <c r="Q2">
        <v>2.4900000000000002</v>
      </c>
      <c r="R2">
        <v>34.770000000000003</v>
      </c>
      <c r="S2">
        <v>32.28</v>
      </c>
      <c r="T2">
        <v>33.53</v>
      </c>
      <c r="U2">
        <v>34.4</v>
      </c>
      <c r="V2">
        <v>70700</v>
      </c>
      <c r="W2">
        <v>3535</v>
      </c>
      <c r="X2">
        <v>74235</v>
      </c>
      <c r="Y2">
        <v>2969.4</v>
      </c>
      <c r="Z2">
        <v>77204.399999999994</v>
      </c>
      <c r="AB2">
        <v>77204.399999999994</v>
      </c>
      <c r="AD2">
        <v>77204.399999999994</v>
      </c>
      <c r="AF2">
        <v>77204.399999999994</v>
      </c>
      <c r="AH2">
        <v>77204.399999999994</v>
      </c>
      <c r="AJ2">
        <v>77204.399999999994</v>
      </c>
      <c r="AL2">
        <v>77204.399999999994</v>
      </c>
      <c r="AN2">
        <v>77204.399999999994</v>
      </c>
      <c r="AP2">
        <v>77204.399999999994</v>
      </c>
      <c r="AR2">
        <v>77204.399999999994</v>
      </c>
      <c r="AT2">
        <v>77204.399999999994</v>
      </c>
      <c r="AV2">
        <v>77204.399999999994</v>
      </c>
      <c r="AX2">
        <v>77204.399999999994</v>
      </c>
      <c r="AZ2">
        <v>77204.399999999994</v>
      </c>
      <c r="BB2">
        <v>77204.399999999994</v>
      </c>
      <c r="BD2">
        <v>77204.399999999994</v>
      </c>
      <c r="BF2">
        <v>77204.399999999994</v>
      </c>
      <c r="BH2">
        <v>77204.399999999994</v>
      </c>
      <c r="BJ2">
        <v>77204.399999999994</v>
      </c>
      <c r="BL2">
        <v>77204.399999999994</v>
      </c>
      <c r="BN2">
        <v>77204.399999999994</v>
      </c>
      <c r="BP2">
        <v>77204.399999999994</v>
      </c>
      <c r="BR2">
        <v>77204.399999999994</v>
      </c>
      <c r="BT2">
        <v>77204.399999999994</v>
      </c>
      <c r="BV2">
        <v>77204.399999999994</v>
      </c>
      <c r="BX2">
        <v>77204.399999999994</v>
      </c>
      <c r="BY2">
        <v>77204.399999999994</v>
      </c>
      <c r="BZ2">
        <v>2588663.5299999998</v>
      </c>
      <c r="CC2">
        <v>0</v>
      </c>
      <c r="CD2">
        <v>77204.399940351897</v>
      </c>
      <c r="CE2">
        <v>2588663.5299999998</v>
      </c>
      <c r="CF2" t="s">
        <v>37</v>
      </c>
      <c r="CG2">
        <v>7500</v>
      </c>
      <c r="CH2">
        <v>84704.399940351897</v>
      </c>
      <c r="CI2">
        <v>251475</v>
      </c>
      <c r="CJ2">
        <v>2840138.53</v>
      </c>
      <c r="CK2" t="s">
        <v>57</v>
      </c>
      <c r="CN2">
        <v>0</v>
      </c>
      <c r="CO2" t="s">
        <v>39</v>
      </c>
      <c r="CP2" t="s">
        <v>39</v>
      </c>
      <c r="CQ2" t="b">
        <v>1</v>
      </c>
      <c r="CR2" t="s">
        <v>8950</v>
      </c>
      <c r="CS2" t="s">
        <v>1167</v>
      </c>
      <c r="CT2" t="s">
        <v>8960</v>
      </c>
      <c r="CU2" t="s">
        <v>8973</v>
      </c>
      <c r="CV2" t="s">
        <v>5870</v>
      </c>
      <c r="CW2" t="s">
        <v>4895</v>
      </c>
      <c r="CX2" t="s">
        <v>3246</v>
      </c>
      <c r="CY2">
        <v>0.86999999999999744</v>
      </c>
      <c r="CZ2">
        <v>73692.827948105958</v>
      </c>
      <c r="DA2">
        <v>2840138.53</v>
      </c>
      <c r="DB2" t="s">
        <v>37</v>
      </c>
      <c r="DC2" t="b">
        <v>1</v>
      </c>
      <c r="DD2">
        <v>2840138.53</v>
      </c>
      <c r="DE2">
        <v>0</v>
      </c>
      <c r="DF2" t="b">
        <v>1</v>
      </c>
      <c r="DG2" s="420" cm="1">
        <f t="array" ref="DG2">_xlfn.XLOOKUP("Дом 4"&amp;Реестр_Д4[[#This Row],[№]]&amp;Реестр_Д4[[#This Row],[Статус]],РД[Дом]&amp;РД[№ кв]&amp;РД[Состояние],РД[Дата подачи на регистрацию],"-",0)</f>
        <v>44803</v>
      </c>
    </row>
    <row r="3" spans="1:111" x14ac:dyDescent="0.25">
      <c r="A3">
        <v>2</v>
      </c>
      <c r="B3" t="s">
        <v>6</v>
      </c>
      <c r="C3">
        <v>2</v>
      </c>
      <c r="D3">
        <v>2</v>
      </c>
      <c r="E3">
        <v>2</v>
      </c>
      <c r="F3">
        <v>16.55</v>
      </c>
      <c r="G3">
        <v>14.04</v>
      </c>
      <c r="I3">
        <v>30.59</v>
      </c>
      <c r="J3">
        <v>13.35</v>
      </c>
      <c r="K3">
        <v>3.69</v>
      </c>
      <c r="L3">
        <v>1.9219999999999999</v>
      </c>
      <c r="N3">
        <v>9.48</v>
      </c>
      <c r="O3">
        <v>2.91</v>
      </c>
      <c r="P3">
        <v>2.5499999999999998</v>
      </c>
      <c r="Q3">
        <v>5.46</v>
      </c>
      <c r="R3">
        <v>64.489999999999995</v>
      </c>
      <c r="S3">
        <v>59.029999999999994</v>
      </c>
      <c r="T3">
        <v>61.76</v>
      </c>
      <c r="U3">
        <v>63.400000000000006</v>
      </c>
      <c r="V3">
        <v>68639.199999999997</v>
      </c>
      <c r="W3">
        <v>3431.96</v>
      </c>
      <c r="X3">
        <v>72071.16</v>
      </c>
      <c r="Z3">
        <v>72071.16</v>
      </c>
      <c r="AA3">
        <v>3603.558</v>
      </c>
      <c r="AB3">
        <v>75674.717999999993</v>
      </c>
      <c r="AC3">
        <v>9.3079903140000013</v>
      </c>
      <c r="AD3">
        <v>75684.02599031401</v>
      </c>
      <c r="AF3">
        <v>75684.02599031401</v>
      </c>
      <c r="AH3">
        <v>75684.02599031401</v>
      </c>
      <c r="AI3">
        <v>1513.6805198062802</v>
      </c>
      <c r="AJ3">
        <v>77197.70651012029</v>
      </c>
      <c r="AK3">
        <v>2315.9311953036085</v>
      </c>
      <c r="AL3">
        <v>79513.637705423898</v>
      </c>
      <c r="AM3">
        <v>3180.545508216956</v>
      </c>
      <c r="AN3">
        <v>82694.183213640848</v>
      </c>
      <c r="AO3">
        <v>2480.8254964092253</v>
      </c>
      <c r="AP3">
        <v>85175.008710050068</v>
      </c>
      <c r="AQ3">
        <v>2555.2502613015017</v>
      </c>
      <c r="AR3">
        <v>87730.258971351563</v>
      </c>
      <c r="AT3">
        <v>87730.258971351563</v>
      </c>
      <c r="AU3">
        <v>2631.9077691405469</v>
      </c>
      <c r="AV3">
        <v>90362.166740492103</v>
      </c>
      <c r="AX3">
        <v>90362.166740492103</v>
      </c>
      <c r="AZ3">
        <v>90362.166740492103</v>
      </c>
      <c r="BB3">
        <v>90362.166740492103</v>
      </c>
      <c r="BD3">
        <v>90362.166740492103</v>
      </c>
      <c r="BF3">
        <v>90362.166740492103</v>
      </c>
      <c r="BG3">
        <v>1000</v>
      </c>
      <c r="BH3">
        <v>91362.166740492103</v>
      </c>
      <c r="BI3">
        <v>4568.1083370246051</v>
      </c>
      <c r="BJ3">
        <v>95930.275077516708</v>
      </c>
      <c r="BK3">
        <v>1000</v>
      </c>
      <c r="BL3">
        <v>96930.275077516708</v>
      </c>
      <c r="BM3">
        <v>1938.6055015503341</v>
      </c>
      <c r="BN3">
        <v>98868.880579067045</v>
      </c>
      <c r="BP3">
        <v>98868.880579067045</v>
      </c>
      <c r="BR3">
        <v>98868.880579067045</v>
      </c>
      <c r="BT3">
        <v>98868.880579067045</v>
      </c>
      <c r="BV3">
        <v>98868.880579067045</v>
      </c>
      <c r="BX3">
        <v>98868.880579067045</v>
      </c>
      <c r="BY3">
        <v>98868.88</v>
      </c>
      <c r="BZ3">
        <v>6106200</v>
      </c>
      <c r="CA3">
        <v>88888</v>
      </c>
      <c r="CC3">
        <v>88888</v>
      </c>
      <c r="CD3">
        <v>97430.569948186516</v>
      </c>
      <c r="CE3">
        <v>6017312</v>
      </c>
      <c r="CF3" t="s">
        <v>37</v>
      </c>
      <c r="CG3">
        <v>7500</v>
      </c>
      <c r="CH3">
        <v>104930.56994818652</v>
      </c>
      <c r="CI3">
        <v>463200</v>
      </c>
      <c r="CJ3">
        <v>6480512</v>
      </c>
      <c r="CK3" t="s">
        <v>57</v>
      </c>
      <c r="CL3" t="s">
        <v>4185</v>
      </c>
      <c r="CN3">
        <v>0</v>
      </c>
      <c r="CO3" t="s">
        <v>39</v>
      </c>
      <c r="CP3" t="s">
        <v>39</v>
      </c>
      <c r="CQ3" t="b">
        <v>1</v>
      </c>
      <c r="CR3" t="s">
        <v>8950</v>
      </c>
      <c r="CS3" t="s">
        <v>1167</v>
      </c>
      <c r="CT3" t="s">
        <v>8960</v>
      </c>
      <c r="CU3" t="s">
        <v>8974</v>
      </c>
      <c r="CV3" t="s">
        <v>5871</v>
      </c>
      <c r="CW3" t="s">
        <v>6652</v>
      </c>
      <c r="CX3" t="s">
        <v>3246</v>
      </c>
      <c r="CY3">
        <v>1.6400000000000077</v>
      </c>
      <c r="CZ3">
        <v>172086.13471502671</v>
      </c>
      <c r="DA3">
        <v>6480512</v>
      </c>
      <c r="DB3" t="s">
        <v>37</v>
      </c>
      <c r="DC3" t="b">
        <v>1</v>
      </c>
      <c r="DD3">
        <v>6480512</v>
      </c>
      <c r="DE3">
        <v>0</v>
      </c>
      <c r="DF3" t="b">
        <v>1</v>
      </c>
      <c r="DG3" s="420" cm="1">
        <f t="array" ref="DG3">_xlfn.XLOOKUP("Дом 4"&amp;Реестр_Д4[[#This Row],[№]]&amp;Реестр_Д4[[#This Row],[Статус]],РД[Дом]&amp;РД[№ кв]&amp;РД[Состояние],РД[Дата подачи на регистрацию],"-",0)</f>
        <v>45370</v>
      </c>
    </row>
    <row r="4" spans="1:111" x14ac:dyDescent="0.25">
      <c r="A4">
        <v>3</v>
      </c>
      <c r="B4" t="s">
        <v>6</v>
      </c>
      <c r="C4">
        <v>2</v>
      </c>
      <c r="D4">
        <v>3</v>
      </c>
      <c r="E4">
        <v>1</v>
      </c>
      <c r="F4">
        <v>12.25</v>
      </c>
      <c r="I4">
        <v>12.25</v>
      </c>
      <c r="J4">
        <v>11.65</v>
      </c>
      <c r="K4">
        <v>3.67</v>
      </c>
      <c r="N4">
        <v>6.55</v>
      </c>
      <c r="O4">
        <v>2.83</v>
      </c>
      <c r="Q4">
        <v>2.83</v>
      </c>
      <c r="R4">
        <v>36.950000000000003</v>
      </c>
      <c r="S4">
        <v>34.120000000000005</v>
      </c>
      <c r="T4">
        <v>35.54</v>
      </c>
      <c r="U4">
        <v>36.799999999999997</v>
      </c>
      <c r="V4">
        <v>71400</v>
      </c>
      <c r="W4">
        <v>3570</v>
      </c>
      <c r="X4">
        <v>74970</v>
      </c>
      <c r="Y4">
        <v>2998.8</v>
      </c>
      <c r="Z4">
        <v>77968.800000000003</v>
      </c>
      <c r="AA4">
        <v>3898.440000000001</v>
      </c>
      <c r="AB4">
        <v>81867.240000000005</v>
      </c>
      <c r="AC4">
        <v>10.069670520000001</v>
      </c>
      <c r="AD4">
        <v>81877.309670520001</v>
      </c>
      <c r="AE4">
        <v>4093.8654835259999</v>
      </c>
      <c r="AF4">
        <v>85971.175154045995</v>
      </c>
      <c r="AH4">
        <v>85971.175154045995</v>
      </c>
      <c r="AI4">
        <v>2579.1352546213802</v>
      </c>
      <c r="AJ4">
        <v>88550.31040866737</v>
      </c>
      <c r="AK4">
        <v>885.50310408667372</v>
      </c>
      <c r="AL4">
        <v>89435.813512754044</v>
      </c>
      <c r="AM4">
        <v>1788.7162702550809</v>
      </c>
      <c r="AN4">
        <v>91224.529783009129</v>
      </c>
      <c r="AO4">
        <v>1824.4905956601824</v>
      </c>
      <c r="AP4">
        <v>93049.020378669316</v>
      </c>
      <c r="AQ4">
        <v>2791.4706113600796</v>
      </c>
      <c r="AR4">
        <v>95840.490990029415</v>
      </c>
      <c r="AT4">
        <v>95840.490990029415</v>
      </c>
      <c r="AV4">
        <v>95840.490990029415</v>
      </c>
      <c r="AX4">
        <v>95840.490990029415</v>
      </c>
      <c r="AZ4">
        <v>95840.490990029415</v>
      </c>
      <c r="BB4">
        <v>95840.490990029415</v>
      </c>
      <c r="BD4">
        <v>95840.490990029415</v>
      </c>
      <c r="BF4">
        <v>95840.490990029415</v>
      </c>
      <c r="BH4">
        <v>95840.490990029415</v>
      </c>
      <c r="BJ4">
        <v>95840.490990029415</v>
      </c>
      <c r="BL4">
        <v>95840.490990029415</v>
      </c>
      <c r="BN4">
        <v>95840.490990029415</v>
      </c>
      <c r="BP4">
        <v>95840.490990029415</v>
      </c>
      <c r="BR4">
        <v>95840.490990029415</v>
      </c>
      <c r="BT4">
        <v>95840.490990029415</v>
      </c>
      <c r="BV4">
        <v>95840.490990029415</v>
      </c>
      <c r="BX4">
        <v>95840.490990029415</v>
      </c>
      <c r="BY4">
        <v>95840.49</v>
      </c>
      <c r="BZ4">
        <v>3406171.01</v>
      </c>
      <c r="CC4">
        <v>0</v>
      </c>
      <c r="CD4">
        <v>95840.489870568374</v>
      </c>
      <c r="CE4">
        <v>3406171.01</v>
      </c>
      <c r="CF4" t="s">
        <v>38</v>
      </c>
      <c r="CG4">
        <v>15500</v>
      </c>
      <c r="CH4">
        <v>111340.48987056836</v>
      </c>
      <c r="CI4">
        <v>550870</v>
      </c>
      <c r="CJ4">
        <v>3957041.01</v>
      </c>
      <c r="CN4">
        <v>0</v>
      </c>
      <c r="CO4" t="s">
        <v>39</v>
      </c>
      <c r="CP4" t="s">
        <v>39</v>
      </c>
      <c r="CQ4" t="b">
        <v>1</v>
      </c>
      <c r="CR4" t="s">
        <v>8950</v>
      </c>
      <c r="CS4" t="s">
        <v>1167</v>
      </c>
      <c r="CT4" t="s">
        <v>8960</v>
      </c>
      <c r="CU4" t="s">
        <v>8973</v>
      </c>
      <c r="CV4" t="s">
        <v>5872</v>
      </c>
      <c r="CW4" t="s">
        <v>4895</v>
      </c>
      <c r="CX4" t="s">
        <v>3246</v>
      </c>
      <c r="CY4">
        <v>1.259999999999998</v>
      </c>
      <c r="CZ4">
        <v>140289.01723691594</v>
      </c>
      <c r="DA4">
        <v>3957041.01</v>
      </c>
      <c r="DB4" t="s">
        <v>38</v>
      </c>
      <c r="DC4" t="b">
        <v>1</v>
      </c>
      <c r="DD4">
        <v>3957041.01</v>
      </c>
      <c r="DE4">
        <v>0</v>
      </c>
      <c r="DF4" t="b">
        <v>1</v>
      </c>
      <c r="DG4" s="420" cm="1">
        <f t="array" ref="DG4">_xlfn.XLOOKUP("Дом 4"&amp;Реестр_Д4[[#This Row],[№]]&amp;Реестр_Д4[[#This Row],[Статус]],РД[Дом]&amp;РД[№ кв]&amp;РД[Состояние],РД[Дата подачи на регистрацию],"-",0)</f>
        <v>45155</v>
      </c>
    </row>
    <row r="5" spans="1:111" x14ac:dyDescent="0.25">
      <c r="A5">
        <v>4</v>
      </c>
      <c r="B5" t="s">
        <v>6</v>
      </c>
      <c r="C5">
        <v>2</v>
      </c>
      <c r="D5">
        <v>4</v>
      </c>
      <c r="E5">
        <v>2</v>
      </c>
      <c r="F5">
        <v>14.61</v>
      </c>
      <c r="G5">
        <v>11.01</v>
      </c>
      <c r="I5">
        <v>25.62</v>
      </c>
      <c r="J5">
        <v>14.77</v>
      </c>
      <c r="K5">
        <v>2.85</v>
      </c>
      <c r="L5">
        <v>2.4900000000000002</v>
      </c>
      <c r="N5">
        <v>8.7899999999999991</v>
      </c>
      <c r="O5">
        <v>3.01</v>
      </c>
      <c r="Q5">
        <v>3.01</v>
      </c>
      <c r="R5">
        <v>57.53</v>
      </c>
      <c r="S5">
        <v>54.52</v>
      </c>
      <c r="T5">
        <v>56.03</v>
      </c>
      <c r="U5">
        <v>57.7</v>
      </c>
      <c r="V5">
        <v>67972.800000000003</v>
      </c>
      <c r="W5">
        <v>3398.6400000000003</v>
      </c>
      <c r="X5">
        <v>71371.44</v>
      </c>
      <c r="Z5">
        <v>71371.44</v>
      </c>
      <c r="AA5">
        <v>3568.5720000000001</v>
      </c>
      <c r="AB5">
        <v>74940.012000000002</v>
      </c>
      <c r="AC5">
        <v>9.2176214760000015</v>
      </c>
      <c r="AD5">
        <v>74949.229621475999</v>
      </c>
      <c r="AF5">
        <v>74949.229621475999</v>
      </c>
      <c r="AH5">
        <v>74949.229621475999</v>
      </c>
      <c r="AJ5">
        <v>74949.229621475999</v>
      </c>
      <c r="AL5">
        <v>74949.229621475999</v>
      </c>
      <c r="AN5">
        <v>74949.229621475999</v>
      </c>
      <c r="AP5">
        <v>74949.229621475999</v>
      </c>
      <c r="AR5">
        <v>74949.229621475999</v>
      </c>
      <c r="AT5">
        <v>74949.229621475999</v>
      </c>
      <c r="AV5">
        <v>74949.229621475999</v>
      </c>
      <c r="AX5">
        <v>74949.229621475999</v>
      </c>
      <c r="AZ5">
        <v>74949.229621475999</v>
      </c>
      <c r="BB5">
        <v>74949.229621475999</v>
      </c>
      <c r="BD5">
        <v>74949.229621475999</v>
      </c>
      <c r="BF5">
        <v>74949.229621475999</v>
      </c>
      <c r="BH5">
        <v>74949.229621475999</v>
      </c>
      <c r="BJ5">
        <v>74949.229621475999</v>
      </c>
      <c r="BL5">
        <v>74949.229621475999</v>
      </c>
      <c r="BN5">
        <v>74949.229621475999</v>
      </c>
      <c r="BP5">
        <v>74949.229621475999</v>
      </c>
      <c r="BR5">
        <v>74949.229621475999</v>
      </c>
      <c r="BT5">
        <v>74949.229621475999</v>
      </c>
      <c r="BV5">
        <v>74949.229621475999</v>
      </c>
      <c r="BX5">
        <v>74949.229621475999</v>
      </c>
      <c r="BY5">
        <v>74949.23</v>
      </c>
      <c r="BZ5">
        <v>4199405.3600000003</v>
      </c>
      <c r="CC5">
        <v>0</v>
      </c>
      <c r="CD5">
        <v>74949.230055327527</v>
      </c>
      <c r="CE5">
        <v>4199405.3600000003</v>
      </c>
      <c r="CF5" t="s">
        <v>38</v>
      </c>
      <c r="CG5">
        <v>15000</v>
      </c>
      <c r="CH5">
        <v>89949.230055327527</v>
      </c>
      <c r="CI5">
        <v>840450</v>
      </c>
      <c r="CJ5">
        <v>5039855.3600000003</v>
      </c>
      <c r="CN5">
        <v>0</v>
      </c>
      <c r="CO5" t="s">
        <v>39</v>
      </c>
      <c r="CP5" t="s">
        <v>39</v>
      </c>
      <c r="CQ5" t="b">
        <v>1</v>
      </c>
      <c r="CR5" t="s">
        <v>8950</v>
      </c>
      <c r="CS5" t="s">
        <v>1167</v>
      </c>
      <c r="CT5" t="s">
        <v>8960</v>
      </c>
      <c r="CU5" t="s">
        <v>8971</v>
      </c>
      <c r="CV5" t="s">
        <v>5873</v>
      </c>
      <c r="CW5" t="s">
        <v>4895</v>
      </c>
      <c r="CX5" t="s">
        <v>3246</v>
      </c>
      <c r="CY5">
        <v>1.6700000000000017</v>
      </c>
      <c r="CZ5">
        <v>150215.21419239711</v>
      </c>
      <c r="DA5">
        <v>5039855.3600000003</v>
      </c>
      <c r="DB5" t="s">
        <v>38</v>
      </c>
      <c r="DC5" t="b">
        <v>1</v>
      </c>
      <c r="DD5">
        <v>5039855.3600000003</v>
      </c>
      <c r="DE5">
        <v>0</v>
      </c>
      <c r="DF5" t="b">
        <v>1</v>
      </c>
      <c r="DG5" s="420" cm="1">
        <f t="array" ref="DG5">_xlfn.XLOOKUP("Дом 4"&amp;Реестр_Д4[[#This Row],[№]]&amp;Реестр_Д4[[#This Row],[Статус]],РД[Дом]&amp;РД[№ кв]&amp;РД[Состояние],РД[Дата подачи на регистрацию],"-",0)</f>
        <v>44923</v>
      </c>
    </row>
    <row r="6" spans="1:111" x14ac:dyDescent="0.25">
      <c r="A6">
        <v>5</v>
      </c>
      <c r="B6" t="s">
        <v>6</v>
      </c>
      <c r="C6">
        <v>2</v>
      </c>
      <c r="D6">
        <v>5</v>
      </c>
      <c r="E6">
        <v>2</v>
      </c>
      <c r="F6">
        <v>14.86</v>
      </c>
      <c r="G6">
        <v>9.69</v>
      </c>
      <c r="I6">
        <v>24.55</v>
      </c>
      <c r="J6">
        <v>14.88</v>
      </c>
      <c r="K6">
        <v>2.83</v>
      </c>
      <c r="L6">
        <v>1.82</v>
      </c>
      <c r="N6">
        <v>9.26</v>
      </c>
      <c r="O6">
        <v>2.63</v>
      </c>
      <c r="Q6">
        <v>2.63</v>
      </c>
      <c r="R6">
        <v>55.97</v>
      </c>
      <c r="S6">
        <v>53.34</v>
      </c>
      <c r="T6">
        <v>54.66</v>
      </c>
      <c r="U6">
        <v>56.7</v>
      </c>
      <c r="V6">
        <v>67972.800000000003</v>
      </c>
      <c r="W6">
        <v>3398.6400000000003</v>
      </c>
      <c r="X6">
        <v>71371.44</v>
      </c>
      <c r="Z6">
        <v>71371.44</v>
      </c>
      <c r="AA6">
        <v>3568.5720000000001</v>
      </c>
      <c r="AB6">
        <v>74940.012000000002</v>
      </c>
      <c r="AC6">
        <v>9.2176214760000015</v>
      </c>
      <c r="AD6">
        <v>74949.229621475999</v>
      </c>
      <c r="AF6">
        <v>74949.229621475999</v>
      </c>
      <c r="AH6">
        <v>74949.229621475999</v>
      </c>
      <c r="AI6">
        <v>1498.98459242952</v>
      </c>
      <c r="AJ6">
        <v>76448.214213905521</v>
      </c>
      <c r="AL6">
        <v>76448.214213905521</v>
      </c>
      <c r="AN6">
        <v>76448.214213905521</v>
      </c>
      <c r="AP6">
        <v>76448.214213905521</v>
      </c>
      <c r="AR6">
        <v>76448.214213905521</v>
      </c>
      <c r="AT6">
        <v>76448.214213905521</v>
      </c>
      <c r="AV6">
        <v>76448.214213905521</v>
      </c>
      <c r="AX6">
        <v>76448.214213905521</v>
      </c>
      <c r="AZ6">
        <v>76448.214213905521</v>
      </c>
      <c r="BB6">
        <v>76448.214213905521</v>
      </c>
      <c r="BD6">
        <v>76448.214213905521</v>
      </c>
      <c r="BF6">
        <v>76448.214213905521</v>
      </c>
      <c r="BH6">
        <v>76448.214213905521</v>
      </c>
      <c r="BJ6">
        <v>76448.214213905521</v>
      </c>
      <c r="BL6">
        <v>76448.214213905521</v>
      </c>
      <c r="BN6">
        <v>76448.214213905521</v>
      </c>
      <c r="BP6">
        <v>76448.214213905521</v>
      </c>
      <c r="BR6">
        <v>76448.214213905521</v>
      </c>
      <c r="BT6">
        <v>76448.214213905521</v>
      </c>
      <c r="BV6">
        <v>76448.214213905521</v>
      </c>
      <c r="BX6">
        <v>76448.214213905521</v>
      </c>
      <c r="BY6">
        <v>76448.210000000006</v>
      </c>
      <c r="BZ6">
        <v>4178659.16</v>
      </c>
      <c r="CB6">
        <v>0.03</v>
      </c>
      <c r="CC6">
        <v>125359.7748</v>
      </c>
      <c r="CD6">
        <v>74154.763812660094</v>
      </c>
      <c r="CE6">
        <v>4053299.39</v>
      </c>
      <c r="CF6" t="s">
        <v>37</v>
      </c>
      <c r="CG6">
        <v>4000</v>
      </c>
      <c r="CH6">
        <v>78154.763812660094</v>
      </c>
      <c r="CI6">
        <v>218639.99999999953</v>
      </c>
      <c r="CJ6">
        <v>4271939.3899999997</v>
      </c>
      <c r="CL6" t="s">
        <v>3953</v>
      </c>
      <c r="CN6">
        <v>0</v>
      </c>
      <c r="CO6" t="s">
        <v>39</v>
      </c>
      <c r="CP6" t="s">
        <v>39</v>
      </c>
      <c r="CQ6" t="b">
        <v>1</v>
      </c>
      <c r="CR6" t="s">
        <v>8950</v>
      </c>
      <c r="CS6" t="s">
        <v>1167</v>
      </c>
      <c r="CT6" t="s">
        <v>8960</v>
      </c>
      <c r="CU6" t="s">
        <v>8971</v>
      </c>
      <c r="CV6" t="s">
        <v>5874</v>
      </c>
      <c r="CW6" t="s">
        <v>4895</v>
      </c>
      <c r="CX6" t="s">
        <v>3246</v>
      </c>
      <c r="CY6">
        <v>2.0399999999999991</v>
      </c>
      <c r="CZ6">
        <v>159435.71817782652</v>
      </c>
      <c r="DA6">
        <v>4271939.3899999997</v>
      </c>
      <c r="DB6" t="s">
        <v>37</v>
      </c>
      <c r="DC6" t="b">
        <v>1</v>
      </c>
      <c r="DD6">
        <v>4271939.3899999997</v>
      </c>
      <c r="DE6">
        <v>0</v>
      </c>
      <c r="DF6" t="b">
        <v>1</v>
      </c>
      <c r="DG6" s="420" cm="1">
        <f t="array" ref="DG6">_xlfn.XLOOKUP("Дом 4"&amp;Реестр_Д4[[#This Row],[№]]&amp;Реестр_Д4[[#This Row],[Статус]],РД[Дом]&amp;РД[№ кв]&amp;РД[Состояние],РД[Дата подачи на регистрацию],"-",0)</f>
        <v>44991</v>
      </c>
    </row>
    <row r="7" spans="1:111" x14ac:dyDescent="0.25">
      <c r="A7">
        <v>6</v>
      </c>
      <c r="B7" t="s">
        <v>6</v>
      </c>
      <c r="C7">
        <v>2</v>
      </c>
      <c r="D7">
        <v>6</v>
      </c>
      <c r="E7">
        <v>2</v>
      </c>
      <c r="F7">
        <v>13.33</v>
      </c>
      <c r="G7">
        <v>13.23</v>
      </c>
      <c r="I7">
        <v>26.56</v>
      </c>
      <c r="J7">
        <v>16.25</v>
      </c>
      <c r="K7">
        <v>3.18</v>
      </c>
      <c r="L7">
        <v>2.14</v>
      </c>
      <c r="M7">
        <v>5.14</v>
      </c>
      <c r="N7">
        <v>5.19</v>
      </c>
      <c r="O7">
        <v>2.81</v>
      </c>
      <c r="Q7">
        <v>2.81</v>
      </c>
      <c r="R7">
        <v>61.27</v>
      </c>
      <c r="S7">
        <v>58.46</v>
      </c>
      <c r="T7">
        <v>59.87</v>
      </c>
      <c r="U7">
        <v>61.399999999999991</v>
      </c>
      <c r="V7">
        <v>73304</v>
      </c>
      <c r="W7">
        <v>3665.2</v>
      </c>
      <c r="X7">
        <v>76969.2</v>
      </c>
      <c r="Z7">
        <v>76969.2</v>
      </c>
      <c r="AA7">
        <v>3848.46</v>
      </c>
      <c r="AB7">
        <v>80817.66</v>
      </c>
      <c r="AC7">
        <v>9.940572180000002</v>
      </c>
      <c r="AD7">
        <v>80827.600572180003</v>
      </c>
      <c r="AF7">
        <v>80827.600572180003</v>
      </c>
      <c r="AH7">
        <v>80827.600572180003</v>
      </c>
      <c r="AI7">
        <v>1616.5520114435999</v>
      </c>
      <c r="AJ7">
        <v>82444.152583623596</v>
      </c>
      <c r="AK7">
        <v>2473.324577508708</v>
      </c>
      <c r="AL7">
        <v>84917.477161132309</v>
      </c>
      <c r="AM7">
        <v>3396.6990864452923</v>
      </c>
      <c r="AN7">
        <v>88314.176247577605</v>
      </c>
      <c r="AP7">
        <v>88314.176247577605</v>
      </c>
      <c r="AQ7">
        <v>2649.4252874273279</v>
      </c>
      <c r="AR7">
        <v>90963.601535004927</v>
      </c>
      <c r="AT7">
        <v>90963.601535004927</v>
      </c>
      <c r="AU7">
        <v>2728.9080460501477</v>
      </c>
      <c r="AV7">
        <v>93692.509581055085</v>
      </c>
      <c r="AX7">
        <v>93692.509581055085</v>
      </c>
      <c r="AZ7">
        <v>93692.509581055085</v>
      </c>
      <c r="BB7">
        <v>93692.509581055085</v>
      </c>
      <c r="BD7">
        <v>93692.509581055085</v>
      </c>
      <c r="BF7">
        <v>93692.509581055085</v>
      </c>
      <c r="BG7">
        <v>1000</v>
      </c>
      <c r="BH7">
        <v>94692.509581055085</v>
      </c>
      <c r="BI7">
        <v>4734.6254790527537</v>
      </c>
      <c r="BJ7">
        <v>99427.135060107845</v>
      </c>
      <c r="BK7">
        <v>1000</v>
      </c>
      <c r="BL7">
        <v>100427.13506010784</v>
      </c>
      <c r="BM7">
        <v>2008.5427012021569</v>
      </c>
      <c r="BN7">
        <v>102435.67776130998</v>
      </c>
      <c r="BP7">
        <v>102435.67776130998</v>
      </c>
      <c r="BQ7">
        <v>500</v>
      </c>
      <c r="BR7">
        <v>102935.67776130998</v>
      </c>
      <c r="BT7">
        <v>102935.67776130998</v>
      </c>
      <c r="BV7">
        <v>102935.67776130998</v>
      </c>
      <c r="BX7">
        <v>102935.67776130998</v>
      </c>
      <c r="BY7">
        <v>102935.67999999999</v>
      </c>
      <c r="BZ7">
        <v>6162800</v>
      </c>
      <c r="CC7">
        <v>0</v>
      </c>
      <c r="CD7">
        <v>102936.36211792217</v>
      </c>
      <c r="CE7">
        <v>6162800</v>
      </c>
      <c r="CF7" t="s">
        <v>37</v>
      </c>
      <c r="CG7">
        <v>7500</v>
      </c>
      <c r="CH7">
        <v>110436.36211792217</v>
      </c>
      <c r="CI7">
        <v>449025</v>
      </c>
      <c r="CJ7">
        <v>6611825</v>
      </c>
      <c r="CK7" t="s">
        <v>57</v>
      </c>
      <c r="CN7">
        <v>0</v>
      </c>
      <c r="CO7" t="s">
        <v>39</v>
      </c>
      <c r="CP7" t="s">
        <v>39</v>
      </c>
      <c r="CQ7" t="b">
        <v>1</v>
      </c>
      <c r="CR7" t="s">
        <v>8950</v>
      </c>
      <c r="CS7" t="s">
        <v>1167</v>
      </c>
      <c r="CT7" t="s">
        <v>8960</v>
      </c>
      <c r="CU7" t="s">
        <v>8971</v>
      </c>
      <c r="CV7" t="s">
        <v>5875</v>
      </c>
      <c r="CW7" t="s">
        <v>6652</v>
      </c>
      <c r="CX7" t="s">
        <v>3246</v>
      </c>
      <c r="CY7">
        <v>1.529999999999994</v>
      </c>
      <c r="CZ7">
        <v>168967.63404042026</v>
      </c>
      <c r="DA7">
        <v>6611825</v>
      </c>
      <c r="DB7" t="s">
        <v>37</v>
      </c>
      <c r="DC7" t="b">
        <v>1</v>
      </c>
      <c r="DD7">
        <v>6611825</v>
      </c>
      <c r="DE7">
        <v>0</v>
      </c>
      <c r="DF7" t="b">
        <v>1</v>
      </c>
      <c r="DG7" s="420" cm="1">
        <f t="array" ref="DG7">_xlfn.XLOOKUP("Дом 4"&amp;Реестр_Д4[[#This Row],[№]]&amp;Реестр_Д4[[#This Row],[Статус]],РД[Дом]&amp;РД[№ кв]&amp;РД[Состояние],РД[Дата подачи на регистрацию],"-",0)</f>
        <v>45457</v>
      </c>
    </row>
    <row r="8" spans="1:111" x14ac:dyDescent="0.25">
      <c r="A8">
        <v>7</v>
      </c>
      <c r="B8" t="s">
        <v>6</v>
      </c>
      <c r="C8">
        <v>2</v>
      </c>
      <c r="D8">
        <v>7</v>
      </c>
      <c r="E8">
        <v>0</v>
      </c>
      <c r="F8">
        <v>8.2799999999999994</v>
      </c>
      <c r="I8">
        <v>8.2799999999999994</v>
      </c>
      <c r="J8">
        <v>5.3</v>
      </c>
      <c r="K8">
        <v>3.38</v>
      </c>
      <c r="N8">
        <v>3.17</v>
      </c>
      <c r="O8">
        <v>3.23</v>
      </c>
      <c r="Q8">
        <v>3.23</v>
      </c>
      <c r="R8">
        <v>23.36</v>
      </c>
      <c r="S8">
        <v>20.13</v>
      </c>
      <c r="T8">
        <v>21.75</v>
      </c>
      <c r="U8">
        <v>22.3</v>
      </c>
      <c r="V8">
        <v>75600</v>
      </c>
      <c r="X8">
        <v>75600</v>
      </c>
      <c r="Z8">
        <v>75600</v>
      </c>
      <c r="AB8">
        <v>75600</v>
      </c>
      <c r="AD8">
        <v>75600</v>
      </c>
      <c r="AF8">
        <v>75600</v>
      </c>
      <c r="AH8">
        <v>75600</v>
      </c>
      <c r="AJ8">
        <v>75600</v>
      </c>
      <c r="AL8">
        <v>75600</v>
      </c>
      <c r="AN8">
        <v>75600</v>
      </c>
      <c r="AP8">
        <v>75600</v>
      </c>
      <c r="AR8">
        <v>75600</v>
      </c>
      <c r="AT8">
        <v>75600</v>
      </c>
      <c r="AV8">
        <v>75600</v>
      </c>
      <c r="AX8">
        <v>75600</v>
      </c>
      <c r="AZ8">
        <v>75600</v>
      </c>
      <c r="BB8">
        <v>75600</v>
      </c>
      <c r="BD8">
        <v>75600</v>
      </c>
      <c r="BF8">
        <v>75600</v>
      </c>
      <c r="BH8">
        <v>75600</v>
      </c>
      <c r="BJ8">
        <v>75600</v>
      </c>
      <c r="BL8">
        <v>75600</v>
      </c>
      <c r="BN8">
        <v>75600</v>
      </c>
      <c r="BP8">
        <v>75600</v>
      </c>
      <c r="BR8">
        <v>75600</v>
      </c>
      <c r="BT8">
        <v>75600</v>
      </c>
      <c r="BV8">
        <v>75600</v>
      </c>
      <c r="BX8">
        <v>75600</v>
      </c>
      <c r="BY8">
        <v>75600</v>
      </c>
      <c r="BZ8">
        <v>1644300</v>
      </c>
      <c r="CC8">
        <v>0</v>
      </c>
      <c r="CD8">
        <v>75600</v>
      </c>
      <c r="CE8">
        <v>1644300</v>
      </c>
      <c r="CF8" t="s">
        <v>36</v>
      </c>
      <c r="CH8">
        <v>75600</v>
      </c>
      <c r="CI8">
        <v>0</v>
      </c>
      <c r="CJ8">
        <v>1644300</v>
      </c>
      <c r="CK8" t="s">
        <v>57</v>
      </c>
      <c r="CN8">
        <v>0</v>
      </c>
      <c r="CO8" t="s">
        <v>39</v>
      </c>
      <c r="CP8" t="s">
        <v>39</v>
      </c>
      <c r="CQ8" t="b">
        <v>1</v>
      </c>
      <c r="CR8" t="s">
        <v>8950</v>
      </c>
      <c r="CS8" t="s">
        <v>1167</v>
      </c>
      <c r="CT8" t="s">
        <v>8960</v>
      </c>
      <c r="CU8" t="s">
        <v>8970</v>
      </c>
      <c r="CV8" t="s">
        <v>5876</v>
      </c>
      <c r="CW8" t="s">
        <v>4895</v>
      </c>
      <c r="CX8" t="s">
        <v>3246</v>
      </c>
      <c r="CY8">
        <v>0.55000000000000071</v>
      </c>
      <c r="CZ8">
        <v>41580.000000000051</v>
      </c>
      <c r="DA8">
        <v>1644300</v>
      </c>
      <c r="DB8" t="s">
        <v>36</v>
      </c>
      <c r="DC8" t="b">
        <v>1</v>
      </c>
      <c r="DD8">
        <v>1644300</v>
      </c>
      <c r="DE8">
        <v>0</v>
      </c>
      <c r="DF8" t="b">
        <v>1</v>
      </c>
      <c r="DG8" s="420" cm="1">
        <f t="array" ref="DG8">_xlfn.XLOOKUP("Дом 4"&amp;Реестр_Д4[[#This Row],[№]]&amp;Реестр_Д4[[#This Row],[Статус]],РД[Дом]&amp;РД[№ кв]&amp;РД[Состояние],РД[Дата подачи на регистрацию],"-",0)</f>
        <v>44803</v>
      </c>
    </row>
    <row r="9" spans="1:111" x14ac:dyDescent="0.25">
      <c r="A9">
        <v>8</v>
      </c>
      <c r="B9" t="s">
        <v>6</v>
      </c>
      <c r="C9">
        <v>2</v>
      </c>
      <c r="D9">
        <v>8</v>
      </c>
      <c r="E9">
        <v>0</v>
      </c>
      <c r="F9">
        <v>8.2899999999999991</v>
      </c>
      <c r="I9">
        <v>8.2899999999999991</v>
      </c>
      <c r="J9">
        <v>5.3</v>
      </c>
      <c r="K9">
        <v>3.38</v>
      </c>
      <c r="N9">
        <v>3.17</v>
      </c>
      <c r="O9">
        <v>3.17</v>
      </c>
      <c r="Q9">
        <v>3.17</v>
      </c>
      <c r="R9">
        <v>23.31</v>
      </c>
      <c r="S9">
        <v>20.14</v>
      </c>
      <c r="T9">
        <v>21.73</v>
      </c>
      <c r="U9">
        <v>22.4</v>
      </c>
      <c r="V9">
        <v>75600</v>
      </c>
      <c r="W9">
        <v>3780</v>
      </c>
      <c r="X9">
        <v>79380</v>
      </c>
      <c r="Z9">
        <v>79380</v>
      </c>
      <c r="AB9">
        <v>79380</v>
      </c>
      <c r="AD9">
        <v>79380</v>
      </c>
      <c r="AF9">
        <v>79380</v>
      </c>
      <c r="AH9">
        <v>79380</v>
      </c>
      <c r="AJ9">
        <v>79380</v>
      </c>
      <c r="AL9">
        <v>79380</v>
      </c>
      <c r="AN9">
        <v>79380</v>
      </c>
      <c r="AP9">
        <v>79380</v>
      </c>
      <c r="AR9">
        <v>79380</v>
      </c>
      <c r="AT9">
        <v>79380</v>
      </c>
      <c r="AV9">
        <v>79380</v>
      </c>
      <c r="AX9">
        <v>79380</v>
      </c>
      <c r="AZ9">
        <v>79380</v>
      </c>
      <c r="BB9">
        <v>79380</v>
      </c>
      <c r="BD9">
        <v>79380</v>
      </c>
      <c r="BF9">
        <v>79380</v>
      </c>
      <c r="BH9">
        <v>79380</v>
      </c>
      <c r="BJ9">
        <v>79380</v>
      </c>
      <c r="BL9">
        <v>79380</v>
      </c>
      <c r="BN9">
        <v>79380</v>
      </c>
      <c r="BP9">
        <v>79380</v>
      </c>
      <c r="BR9">
        <v>79380</v>
      </c>
      <c r="BT9">
        <v>79380</v>
      </c>
      <c r="BV9">
        <v>79380</v>
      </c>
      <c r="BX9">
        <v>79380</v>
      </c>
      <c r="BY9">
        <v>79380</v>
      </c>
      <c r="BZ9">
        <v>1724927.4</v>
      </c>
      <c r="CC9">
        <v>0</v>
      </c>
      <c r="CD9">
        <v>79380</v>
      </c>
      <c r="CE9">
        <v>1724927.4</v>
      </c>
      <c r="CF9" t="s">
        <v>37</v>
      </c>
      <c r="CG9">
        <v>7500</v>
      </c>
      <c r="CH9">
        <v>86880</v>
      </c>
      <c r="CI9">
        <v>162975</v>
      </c>
      <c r="CJ9">
        <v>1887902.4</v>
      </c>
      <c r="CK9" t="s">
        <v>57</v>
      </c>
      <c r="CN9">
        <v>0</v>
      </c>
      <c r="CO9" t="s">
        <v>39</v>
      </c>
      <c r="CP9" t="s">
        <v>39</v>
      </c>
      <c r="CQ9" t="b">
        <v>1</v>
      </c>
      <c r="CR9" t="s">
        <v>8950</v>
      </c>
      <c r="CS9" t="s">
        <v>1167</v>
      </c>
      <c r="CT9" t="s">
        <v>8960</v>
      </c>
      <c r="CU9" t="s">
        <v>8970</v>
      </c>
      <c r="CV9" t="s">
        <v>5877</v>
      </c>
      <c r="CW9" t="s">
        <v>4895</v>
      </c>
      <c r="CX9" t="s">
        <v>3246</v>
      </c>
      <c r="CY9">
        <v>0.66999999999999815</v>
      </c>
      <c r="CZ9">
        <v>58209.599999999838</v>
      </c>
      <c r="DA9">
        <v>1887902.4</v>
      </c>
      <c r="DB9" t="s">
        <v>37</v>
      </c>
      <c r="DC9" t="b">
        <v>1</v>
      </c>
      <c r="DD9">
        <v>1887902.4</v>
      </c>
      <c r="DE9">
        <v>0</v>
      </c>
      <c r="DF9" t="b">
        <v>1</v>
      </c>
      <c r="DG9" s="420" cm="1">
        <f t="array" ref="DG9">_xlfn.XLOOKUP("Дом 4"&amp;Реестр_Д4[[#This Row],[№]]&amp;Реестр_Д4[[#This Row],[Статус]],РД[Дом]&amp;РД[№ кв]&amp;РД[Состояние],РД[Дата подачи на регистрацию],"-",0)</f>
        <v>44789</v>
      </c>
    </row>
    <row r="10" spans="1:111" x14ac:dyDescent="0.25">
      <c r="A10">
        <v>9</v>
      </c>
      <c r="B10" t="s">
        <v>6</v>
      </c>
      <c r="C10">
        <v>3</v>
      </c>
      <c r="D10">
        <v>1</v>
      </c>
      <c r="E10">
        <v>1</v>
      </c>
      <c r="F10">
        <v>13.93</v>
      </c>
      <c r="I10">
        <v>13.93</v>
      </c>
      <c r="J10">
        <v>9.18</v>
      </c>
      <c r="K10">
        <v>3.65</v>
      </c>
      <c r="N10">
        <v>5.52</v>
      </c>
      <c r="O10">
        <v>2.4900000000000002</v>
      </c>
      <c r="Q10">
        <v>2.4900000000000002</v>
      </c>
      <c r="R10">
        <v>34.770000000000003</v>
      </c>
      <c r="S10">
        <v>32.28</v>
      </c>
      <c r="T10">
        <v>33.53</v>
      </c>
      <c r="U10">
        <v>34.5</v>
      </c>
      <c r="V10">
        <v>70700</v>
      </c>
      <c r="W10">
        <v>3535</v>
      </c>
      <c r="X10">
        <v>74235</v>
      </c>
      <c r="Y10">
        <v>2969.4</v>
      </c>
      <c r="Z10">
        <v>77204.399999999994</v>
      </c>
      <c r="AB10">
        <v>77204.399999999994</v>
      </c>
      <c r="AD10">
        <v>77204.399999999994</v>
      </c>
      <c r="AF10">
        <v>77204.399999999994</v>
      </c>
      <c r="AH10">
        <v>77204.399999999994</v>
      </c>
      <c r="AJ10">
        <v>77204.399999999994</v>
      </c>
      <c r="AL10">
        <v>77204.399999999994</v>
      </c>
      <c r="AN10">
        <v>77204.399999999994</v>
      </c>
      <c r="AP10">
        <v>77204.399999999994</v>
      </c>
      <c r="AR10">
        <v>77204.399999999994</v>
      </c>
      <c r="AT10">
        <v>77204.399999999994</v>
      </c>
      <c r="AV10">
        <v>77204.399999999994</v>
      </c>
      <c r="AX10">
        <v>77204.399999999994</v>
      </c>
      <c r="AZ10">
        <v>77204.399999999994</v>
      </c>
      <c r="BB10">
        <v>77204.399999999994</v>
      </c>
      <c r="BD10">
        <v>77204.399999999994</v>
      </c>
      <c r="BF10">
        <v>77204.399999999994</v>
      </c>
      <c r="BH10">
        <v>77204.399999999994</v>
      </c>
      <c r="BJ10">
        <v>77204.399999999994</v>
      </c>
      <c r="BL10">
        <v>77204.399999999994</v>
      </c>
      <c r="BN10">
        <v>77204.399999999994</v>
      </c>
      <c r="BP10">
        <v>77204.399999999994</v>
      </c>
      <c r="BR10">
        <v>77204.399999999994</v>
      </c>
      <c r="BT10">
        <v>77204.399999999994</v>
      </c>
      <c r="BV10">
        <v>77204.399999999994</v>
      </c>
      <c r="BX10">
        <v>77204.399999999994</v>
      </c>
      <c r="BY10">
        <v>77204.399999999994</v>
      </c>
      <c r="BZ10">
        <v>2588663.5299999998</v>
      </c>
      <c r="CB10">
        <v>0.05</v>
      </c>
      <c r="CC10">
        <v>129433.1765</v>
      </c>
      <c r="CD10">
        <v>73344.180137190575</v>
      </c>
      <c r="CE10">
        <v>2459230.36</v>
      </c>
      <c r="CF10" t="s">
        <v>37</v>
      </c>
      <c r="CG10">
        <v>7500</v>
      </c>
      <c r="CH10">
        <v>80844.180137190575</v>
      </c>
      <c r="CI10">
        <v>251475</v>
      </c>
      <c r="CJ10">
        <v>2710705.36</v>
      </c>
      <c r="CK10" t="s">
        <v>57</v>
      </c>
      <c r="CL10" t="s">
        <v>3540</v>
      </c>
      <c r="CN10">
        <v>0</v>
      </c>
      <c r="CO10" t="s">
        <v>39</v>
      </c>
      <c r="CP10" t="s">
        <v>39</v>
      </c>
      <c r="CQ10" t="b">
        <v>1</v>
      </c>
      <c r="CR10" t="s">
        <v>8950</v>
      </c>
      <c r="CS10" t="s">
        <v>1167</v>
      </c>
      <c r="CT10" t="s">
        <v>8960</v>
      </c>
      <c r="CU10" t="s">
        <v>8973</v>
      </c>
      <c r="CV10" t="s">
        <v>5878</v>
      </c>
      <c r="CW10" t="s">
        <v>4895</v>
      </c>
      <c r="CX10" t="s">
        <v>3246</v>
      </c>
      <c r="CY10">
        <v>0.96999999999999886</v>
      </c>
      <c r="CZ10">
        <v>78418.854733074768</v>
      </c>
      <c r="DA10">
        <v>2710705.36</v>
      </c>
      <c r="DB10" t="s">
        <v>37</v>
      </c>
      <c r="DC10" t="b">
        <v>1</v>
      </c>
      <c r="DD10">
        <v>2710705.36</v>
      </c>
      <c r="DE10">
        <v>0</v>
      </c>
      <c r="DF10" t="b">
        <v>1</v>
      </c>
      <c r="DG10" s="420" cm="1">
        <f t="array" ref="DG10">_xlfn.XLOOKUP("Дом 4"&amp;Реестр_Д4[[#This Row],[№]]&amp;Реестр_Д4[[#This Row],[Статус]],РД[Дом]&amp;РД[№ кв]&amp;РД[Состояние],РД[Дата подачи на регистрацию],"-",0)</f>
        <v>44867</v>
      </c>
    </row>
    <row r="11" spans="1:111" x14ac:dyDescent="0.25">
      <c r="A11">
        <v>10</v>
      </c>
      <c r="B11" t="s">
        <v>6</v>
      </c>
      <c r="C11">
        <v>3</v>
      </c>
      <c r="D11">
        <v>2</v>
      </c>
      <c r="E11">
        <v>2</v>
      </c>
      <c r="F11">
        <v>16.55</v>
      </c>
      <c r="G11">
        <v>14.04</v>
      </c>
      <c r="I11">
        <v>30.59</v>
      </c>
      <c r="J11">
        <v>13.35</v>
      </c>
      <c r="K11">
        <v>3.69</v>
      </c>
      <c r="L11">
        <v>1.9219999999999999</v>
      </c>
      <c r="N11">
        <v>9.48</v>
      </c>
      <c r="O11">
        <v>2.91</v>
      </c>
      <c r="P11">
        <v>2.5499999999999998</v>
      </c>
      <c r="Q11">
        <v>5.46</v>
      </c>
      <c r="R11">
        <v>64.489999999999995</v>
      </c>
      <c r="S11">
        <v>59.029999999999994</v>
      </c>
      <c r="T11">
        <v>61.76</v>
      </c>
      <c r="U11">
        <v>63.2</v>
      </c>
      <c r="V11">
        <v>68639.199999999997</v>
      </c>
      <c r="W11">
        <v>3431.96</v>
      </c>
      <c r="X11">
        <v>72071.16</v>
      </c>
      <c r="Z11">
        <v>72071.16</v>
      </c>
      <c r="AA11">
        <v>3603.558</v>
      </c>
      <c r="AB11">
        <v>75674.717999999993</v>
      </c>
      <c r="AC11">
        <v>9.3079903140000013</v>
      </c>
      <c r="AD11">
        <v>75684.02599031401</v>
      </c>
      <c r="AF11">
        <v>75684.02599031401</v>
      </c>
      <c r="AH11">
        <v>75684.02599031401</v>
      </c>
      <c r="AI11">
        <v>1513.6805198062802</v>
      </c>
      <c r="AJ11">
        <v>77197.70651012029</v>
      </c>
      <c r="AK11">
        <v>2315.9311953036085</v>
      </c>
      <c r="AL11">
        <v>79513.637705423898</v>
      </c>
      <c r="AM11">
        <v>3180.545508216956</v>
      </c>
      <c r="AN11">
        <v>82694.183213640848</v>
      </c>
      <c r="AO11">
        <v>2480.8254964092253</v>
      </c>
      <c r="AP11">
        <v>85175.008710050068</v>
      </c>
      <c r="AQ11">
        <v>2555.2502613015017</v>
      </c>
      <c r="AR11">
        <v>87730.258971351563</v>
      </c>
      <c r="AT11">
        <v>87730.258971351563</v>
      </c>
      <c r="AU11">
        <v>2631.9077691405469</v>
      </c>
      <c r="AV11">
        <v>90362.166740492103</v>
      </c>
      <c r="AX11">
        <v>90362.166740492103</v>
      </c>
      <c r="AZ11">
        <v>90362.166740492103</v>
      </c>
      <c r="BB11">
        <v>90362.166740492103</v>
      </c>
      <c r="BD11">
        <v>90362.166740492103</v>
      </c>
      <c r="BF11">
        <v>90362.166740492103</v>
      </c>
      <c r="BG11">
        <v>1000</v>
      </c>
      <c r="BH11">
        <v>91362.166740492103</v>
      </c>
      <c r="BI11">
        <v>4568.1083370246051</v>
      </c>
      <c r="BJ11">
        <v>95930.275077516708</v>
      </c>
      <c r="BK11">
        <v>1000</v>
      </c>
      <c r="BL11">
        <v>96930.275077516708</v>
      </c>
      <c r="BN11">
        <v>96930.275077516708</v>
      </c>
      <c r="BP11">
        <v>96930.275077516708</v>
      </c>
      <c r="BR11">
        <v>96930.275077516708</v>
      </c>
      <c r="BT11">
        <v>96930.275077516708</v>
      </c>
      <c r="BV11">
        <v>96930.275077516708</v>
      </c>
      <c r="BX11">
        <v>96930.275077516708</v>
      </c>
      <c r="BY11">
        <v>96930.28</v>
      </c>
      <c r="BZ11">
        <v>5986500</v>
      </c>
      <c r="CB11">
        <v>0.03</v>
      </c>
      <c r="CC11">
        <v>179595</v>
      </c>
      <c r="CD11">
        <v>94023.720854922285</v>
      </c>
      <c r="CE11">
        <v>5806905</v>
      </c>
      <c r="CF11" t="s">
        <v>37</v>
      </c>
      <c r="CG11">
        <v>7500</v>
      </c>
      <c r="CH11">
        <v>101523.72085492229</v>
      </c>
      <c r="CI11">
        <v>463200</v>
      </c>
      <c r="CJ11">
        <v>6270105</v>
      </c>
      <c r="CK11" t="s">
        <v>57</v>
      </c>
      <c r="CL11" t="s">
        <v>3953</v>
      </c>
      <c r="CN11">
        <v>0</v>
      </c>
      <c r="CO11" t="s">
        <v>39</v>
      </c>
      <c r="CP11" t="s">
        <v>39</v>
      </c>
      <c r="CQ11" t="b">
        <v>1</v>
      </c>
      <c r="CR11" t="s">
        <v>8950</v>
      </c>
      <c r="CS11" t="s">
        <v>1167</v>
      </c>
      <c r="CT11" t="s">
        <v>8960</v>
      </c>
      <c r="CU11" t="s">
        <v>8974</v>
      </c>
      <c r="CV11" t="s">
        <v>5879</v>
      </c>
      <c r="CW11" t="s">
        <v>6652</v>
      </c>
      <c r="CX11" t="s">
        <v>3246</v>
      </c>
      <c r="CY11">
        <v>1.4400000000000048</v>
      </c>
      <c r="CZ11">
        <v>146194.15803108859</v>
      </c>
      <c r="DA11">
        <v>6270105</v>
      </c>
      <c r="DB11" t="s">
        <v>37</v>
      </c>
      <c r="DC11" t="b">
        <v>1</v>
      </c>
      <c r="DD11">
        <v>6270105</v>
      </c>
      <c r="DE11">
        <v>0</v>
      </c>
      <c r="DF11" t="b">
        <v>1</v>
      </c>
      <c r="DG11" s="420" cm="1">
        <f t="array" ref="DG11">_xlfn.XLOOKUP("Дом 4"&amp;Реестр_Д4[[#This Row],[№]]&amp;Реестр_Д4[[#This Row],[Статус]],РД[Дом]&amp;РД[№ кв]&amp;РД[Состояние],РД[Дата подачи на регистрацию],"-",0)</f>
        <v>45369</v>
      </c>
    </row>
    <row r="12" spans="1:111" x14ac:dyDescent="0.25">
      <c r="A12">
        <v>11</v>
      </c>
      <c r="B12" t="s">
        <v>6</v>
      </c>
      <c r="C12">
        <v>3</v>
      </c>
      <c r="D12">
        <v>3</v>
      </c>
      <c r="E12">
        <v>1</v>
      </c>
      <c r="F12">
        <v>12.25</v>
      </c>
      <c r="I12">
        <v>12.25</v>
      </c>
      <c r="J12">
        <v>11.65</v>
      </c>
      <c r="K12">
        <v>3.67</v>
      </c>
      <c r="N12">
        <v>6.55</v>
      </c>
      <c r="O12">
        <v>2.83</v>
      </c>
      <c r="Q12">
        <v>2.83</v>
      </c>
      <c r="R12">
        <v>36.950000000000003</v>
      </c>
      <c r="S12">
        <v>34.120000000000005</v>
      </c>
      <c r="T12">
        <v>35.54</v>
      </c>
      <c r="U12">
        <v>36.6</v>
      </c>
      <c r="V12">
        <v>71400</v>
      </c>
      <c r="W12">
        <v>3570</v>
      </c>
      <c r="X12">
        <v>74970</v>
      </c>
      <c r="Y12">
        <v>2998.8</v>
      </c>
      <c r="Z12">
        <v>77968.800000000003</v>
      </c>
      <c r="AA12">
        <v>3898.440000000001</v>
      </c>
      <c r="AB12">
        <v>81867.240000000005</v>
      </c>
      <c r="AC12">
        <v>10.069670520000001</v>
      </c>
      <c r="AD12">
        <v>81877.309670520001</v>
      </c>
      <c r="AF12">
        <v>81877.309670520001</v>
      </c>
      <c r="AH12">
        <v>81877.309670520001</v>
      </c>
      <c r="AJ12">
        <v>81877.309670520001</v>
      </c>
      <c r="AL12">
        <v>81877.309670520001</v>
      </c>
      <c r="AN12">
        <v>81877.309670520001</v>
      </c>
      <c r="AP12">
        <v>81877.309670520001</v>
      </c>
      <c r="AR12">
        <v>81877.309670520001</v>
      </c>
      <c r="AT12">
        <v>81877.309670520001</v>
      </c>
      <c r="AV12">
        <v>81877.309670520001</v>
      </c>
      <c r="AX12">
        <v>81877.309670520001</v>
      </c>
      <c r="AZ12">
        <v>81877.309670520001</v>
      </c>
      <c r="BB12">
        <v>81877.309670520001</v>
      </c>
      <c r="BD12">
        <v>81877.309670520001</v>
      </c>
      <c r="BF12">
        <v>81877.309670520001</v>
      </c>
      <c r="BH12">
        <v>81877.309670520001</v>
      </c>
      <c r="BJ12">
        <v>81877.309670520001</v>
      </c>
      <c r="BL12">
        <v>81877.309670520001</v>
      </c>
      <c r="BN12">
        <v>81877.309670520001</v>
      </c>
      <c r="BP12">
        <v>81877.309670520001</v>
      </c>
      <c r="BR12">
        <v>81877.309670520001</v>
      </c>
      <c r="BT12">
        <v>81877.309670520001</v>
      </c>
      <c r="BV12">
        <v>81877.309670520001</v>
      </c>
      <c r="BX12">
        <v>81877.309670520001</v>
      </c>
      <c r="BY12">
        <v>81877.31</v>
      </c>
      <c r="BZ12">
        <v>2909919.6</v>
      </c>
      <c r="CC12">
        <v>0</v>
      </c>
      <c r="CD12">
        <v>81877.31007315703</v>
      </c>
      <c r="CE12">
        <v>2909919.6</v>
      </c>
      <c r="CF12" t="s">
        <v>38</v>
      </c>
      <c r="CG12">
        <v>22000</v>
      </c>
      <c r="CH12">
        <v>103877.31007315702</v>
      </c>
      <c r="CI12">
        <v>781880</v>
      </c>
      <c r="CJ12">
        <v>3691799.6</v>
      </c>
      <c r="CN12">
        <v>0</v>
      </c>
      <c r="CO12" t="s">
        <v>39</v>
      </c>
      <c r="CP12" t="s">
        <v>39</v>
      </c>
      <c r="CQ12" t="b">
        <v>1</v>
      </c>
      <c r="CR12" t="s">
        <v>8950</v>
      </c>
      <c r="CS12" t="s">
        <v>1167</v>
      </c>
      <c r="CT12" t="s">
        <v>8960</v>
      </c>
      <c r="CU12" t="s">
        <v>8973</v>
      </c>
      <c r="CV12" t="s">
        <v>5880</v>
      </c>
      <c r="CW12" t="s">
        <v>4895</v>
      </c>
      <c r="CX12" t="s">
        <v>3246</v>
      </c>
      <c r="CY12">
        <v>1.0600000000000025</v>
      </c>
      <c r="CZ12">
        <v>110109.94867754668</v>
      </c>
      <c r="DA12">
        <v>3691799.6</v>
      </c>
      <c r="DB12" t="s">
        <v>38</v>
      </c>
      <c r="DC12" t="b">
        <v>1</v>
      </c>
      <c r="DD12">
        <v>3691799.6</v>
      </c>
      <c r="DE12">
        <v>0</v>
      </c>
      <c r="DF12" t="b">
        <v>1</v>
      </c>
      <c r="DG12" s="420" cm="1">
        <f t="array" ref="DG12">_xlfn.XLOOKUP("Дом 4"&amp;Реестр_Д4[[#This Row],[№]]&amp;Реестр_Д4[[#This Row],[Статус]],РД[Дом]&amp;РД[№ кв]&amp;РД[Состояние],РД[Дата подачи на регистрацию],"-",0)</f>
        <v>44895</v>
      </c>
    </row>
    <row r="13" spans="1:111" x14ac:dyDescent="0.25">
      <c r="A13">
        <v>12</v>
      </c>
      <c r="B13" t="s">
        <v>6</v>
      </c>
      <c r="C13">
        <v>3</v>
      </c>
      <c r="D13">
        <v>4</v>
      </c>
      <c r="E13">
        <v>2</v>
      </c>
      <c r="F13">
        <v>14.61</v>
      </c>
      <c r="G13">
        <v>11.01</v>
      </c>
      <c r="I13">
        <v>25.62</v>
      </c>
      <c r="J13">
        <v>14.77</v>
      </c>
      <c r="K13">
        <v>2.85</v>
      </c>
      <c r="L13">
        <v>2.4900000000000002</v>
      </c>
      <c r="N13">
        <v>8.7899999999999991</v>
      </c>
      <c r="O13">
        <v>3.01</v>
      </c>
      <c r="Q13">
        <v>3.01</v>
      </c>
      <c r="R13">
        <v>57.53</v>
      </c>
      <c r="S13">
        <v>54.52</v>
      </c>
      <c r="T13">
        <v>56.03</v>
      </c>
      <c r="U13">
        <v>57.6</v>
      </c>
      <c r="V13">
        <v>67972.800000000003</v>
      </c>
      <c r="W13">
        <v>3398.6400000000003</v>
      </c>
      <c r="X13">
        <v>71371.44</v>
      </c>
      <c r="Z13">
        <v>71371.44</v>
      </c>
      <c r="AA13">
        <v>3568.5720000000001</v>
      </c>
      <c r="AB13">
        <v>74940.012000000002</v>
      </c>
      <c r="AC13">
        <v>9.2176214760000015</v>
      </c>
      <c r="AD13">
        <v>74949.229621475999</v>
      </c>
      <c r="AF13">
        <v>74949.229621475999</v>
      </c>
      <c r="AH13">
        <v>74949.229621475999</v>
      </c>
      <c r="AI13">
        <v>1498.98459242952</v>
      </c>
      <c r="AJ13">
        <v>76448.214213905521</v>
      </c>
      <c r="AK13">
        <v>764.48214213905521</v>
      </c>
      <c r="AL13">
        <v>77212.696356044573</v>
      </c>
      <c r="AN13">
        <v>77212.696356044573</v>
      </c>
      <c r="AP13">
        <v>77212.696356044573</v>
      </c>
      <c r="AR13">
        <v>77212.696356044573</v>
      </c>
      <c r="AT13">
        <v>77212.696356044573</v>
      </c>
      <c r="AV13">
        <v>77212.696356044573</v>
      </c>
      <c r="AX13">
        <v>77212.696356044573</v>
      </c>
      <c r="AZ13">
        <v>77212.696356044573</v>
      </c>
      <c r="BB13">
        <v>77212.696356044573</v>
      </c>
      <c r="BD13">
        <v>77212.696356044573</v>
      </c>
      <c r="BF13">
        <v>77212.696356044573</v>
      </c>
      <c r="BH13">
        <v>77212.696356044573</v>
      </c>
      <c r="BJ13">
        <v>77212.696356044573</v>
      </c>
      <c r="BL13">
        <v>77212.696356044573</v>
      </c>
      <c r="BN13">
        <v>77212.696356044573</v>
      </c>
      <c r="BP13">
        <v>77212.696356044573</v>
      </c>
      <c r="BR13">
        <v>77212.696356044573</v>
      </c>
      <c r="BT13">
        <v>77212.696356044573</v>
      </c>
      <c r="BV13">
        <v>77212.696356044573</v>
      </c>
      <c r="BX13">
        <v>77212.696356044573</v>
      </c>
      <c r="BY13">
        <v>77212.7</v>
      </c>
      <c r="BZ13">
        <v>4326227.58</v>
      </c>
      <c r="CC13">
        <v>0</v>
      </c>
      <c r="CD13">
        <v>77212.699982152422</v>
      </c>
      <c r="CE13">
        <v>4326227.58</v>
      </c>
      <c r="CF13" t="s">
        <v>37</v>
      </c>
      <c r="CG13">
        <v>4000</v>
      </c>
      <c r="CH13">
        <v>81212.699982152422</v>
      </c>
      <c r="CI13">
        <v>224120</v>
      </c>
      <c r="CJ13">
        <v>4550347.58</v>
      </c>
      <c r="CN13">
        <v>0</v>
      </c>
      <c r="CO13" t="s">
        <v>39</v>
      </c>
      <c r="CP13" t="s">
        <v>39</v>
      </c>
      <c r="CQ13" t="b">
        <v>1</v>
      </c>
      <c r="CR13" t="s">
        <v>8950</v>
      </c>
      <c r="CS13" t="s">
        <v>1167</v>
      </c>
      <c r="CT13" t="s">
        <v>8960</v>
      </c>
      <c r="CU13" t="s">
        <v>8971</v>
      </c>
      <c r="CV13" t="s">
        <v>5881</v>
      </c>
      <c r="CW13" t="s">
        <v>4895</v>
      </c>
      <c r="CX13" t="s">
        <v>3246</v>
      </c>
      <c r="CY13">
        <v>1.5700000000000005</v>
      </c>
      <c r="CZ13">
        <v>127503.93897197933</v>
      </c>
      <c r="DA13">
        <v>4550347.58</v>
      </c>
      <c r="DB13" t="s">
        <v>37</v>
      </c>
      <c r="DC13" t="b">
        <v>1</v>
      </c>
      <c r="DD13">
        <v>4550347.58</v>
      </c>
      <c r="DE13">
        <v>0</v>
      </c>
      <c r="DF13" t="b">
        <v>1</v>
      </c>
      <c r="DG13" s="420" cm="1">
        <f t="array" ref="DG13">_xlfn.XLOOKUP("Дом 4"&amp;Реестр_Д4[[#This Row],[№]]&amp;Реестр_Д4[[#This Row],[Статус]],РД[Дом]&amp;РД[№ кв]&amp;РД[Состояние],РД[Дата подачи на регистрацию],"-",0)</f>
        <v>45026</v>
      </c>
    </row>
    <row r="14" spans="1:111" x14ac:dyDescent="0.25">
      <c r="A14">
        <v>13</v>
      </c>
      <c r="B14" t="s">
        <v>6</v>
      </c>
      <c r="C14">
        <v>3</v>
      </c>
      <c r="D14">
        <v>5</v>
      </c>
      <c r="E14">
        <v>2</v>
      </c>
      <c r="F14">
        <v>14.86</v>
      </c>
      <c r="G14">
        <v>9.69</v>
      </c>
      <c r="I14">
        <v>24.55</v>
      </c>
      <c r="J14">
        <v>14.88</v>
      </c>
      <c r="K14">
        <v>2.83</v>
      </c>
      <c r="L14">
        <v>1.82</v>
      </c>
      <c r="N14">
        <v>9.26</v>
      </c>
      <c r="O14">
        <v>2.63</v>
      </c>
      <c r="Q14">
        <v>2.63</v>
      </c>
      <c r="R14">
        <v>55.97</v>
      </c>
      <c r="S14">
        <v>53.34</v>
      </c>
      <c r="T14">
        <v>54.66</v>
      </c>
      <c r="U14">
        <v>56.399999999999991</v>
      </c>
      <c r="V14">
        <v>67972.800000000003</v>
      </c>
      <c r="W14">
        <v>3398.6400000000003</v>
      </c>
      <c r="X14">
        <v>71371.44</v>
      </c>
      <c r="Z14">
        <v>71371.44</v>
      </c>
      <c r="AA14">
        <v>3568.5720000000001</v>
      </c>
      <c r="AB14">
        <v>74940.012000000002</v>
      </c>
      <c r="AC14">
        <v>9.2176214760000015</v>
      </c>
      <c r="AD14">
        <v>74949.229621475999</v>
      </c>
      <c r="AF14">
        <v>74949.229621475999</v>
      </c>
      <c r="AH14">
        <v>74949.229621475999</v>
      </c>
      <c r="AI14">
        <v>1498.98459242952</v>
      </c>
      <c r="AJ14">
        <v>76448.214213905521</v>
      </c>
      <c r="AK14">
        <v>764.48214213905521</v>
      </c>
      <c r="AL14">
        <v>77212.696356044573</v>
      </c>
      <c r="AM14">
        <v>1544.2539271208916</v>
      </c>
      <c r="AN14">
        <v>78756.950283165468</v>
      </c>
      <c r="AO14">
        <v>2362.708508494964</v>
      </c>
      <c r="AP14">
        <v>81119.658791660433</v>
      </c>
      <c r="AQ14">
        <v>2433.5897637498128</v>
      </c>
      <c r="AR14">
        <v>83553.248555410246</v>
      </c>
      <c r="AS14">
        <v>4177.6624277705123</v>
      </c>
      <c r="AT14">
        <v>87730.910983180758</v>
      </c>
      <c r="AV14">
        <v>87730.910983180758</v>
      </c>
      <c r="AX14">
        <v>87730.910983180758</v>
      </c>
      <c r="AZ14">
        <v>87730.910983180758</v>
      </c>
      <c r="BB14">
        <v>87730.910983180758</v>
      </c>
      <c r="BD14">
        <v>87730.910983180758</v>
      </c>
      <c r="BF14">
        <v>87730.910983180758</v>
      </c>
      <c r="BH14">
        <v>87730.910983180758</v>
      </c>
      <c r="BJ14">
        <v>87730.910983180758</v>
      </c>
      <c r="BL14">
        <v>87730.910983180758</v>
      </c>
      <c r="BN14">
        <v>87730.910983180758</v>
      </c>
      <c r="BP14">
        <v>87730.910983180758</v>
      </c>
      <c r="BR14">
        <v>87730.910983180758</v>
      </c>
      <c r="BT14">
        <v>87730.910983180758</v>
      </c>
      <c r="BV14">
        <v>87730.910983180758</v>
      </c>
      <c r="BX14">
        <v>87730.910983180758</v>
      </c>
      <c r="BY14">
        <v>87730.91</v>
      </c>
      <c r="BZ14">
        <v>4795371.54</v>
      </c>
      <c r="CC14">
        <v>0</v>
      </c>
      <c r="CD14">
        <v>87730.909989023057</v>
      </c>
      <c r="CE14">
        <v>4795371.54</v>
      </c>
      <c r="CF14" t="s">
        <v>38</v>
      </c>
      <c r="CG14">
        <v>15500</v>
      </c>
      <c r="CH14">
        <v>103230.90998902306</v>
      </c>
      <c r="CI14">
        <v>847230</v>
      </c>
      <c r="CJ14">
        <v>5642601.54</v>
      </c>
      <c r="CN14">
        <v>0</v>
      </c>
      <c r="CO14" t="s">
        <v>39</v>
      </c>
      <c r="CP14" t="s">
        <v>39</v>
      </c>
      <c r="CQ14" t="b">
        <v>1</v>
      </c>
      <c r="CR14" t="s">
        <v>8950</v>
      </c>
      <c r="CS14" t="s">
        <v>1167</v>
      </c>
      <c r="CT14" t="s">
        <v>8960</v>
      </c>
      <c r="CU14" t="s">
        <v>8971</v>
      </c>
      <c r="CV14" t="s">
        <v>5882</v>
      </c>
      <c r="CW14" t="s">
        <v>4895</v>
      </c>
      <c r="CX14" t="s">
        <v>3246</v>
      </c>
      <c r="CY14">
        <v>1.7399999999999949</v>
      </c>
      <c r="CZ14">
        <v>179621.78338089958</v>
      </c>
      <c r="DA14">
        <v>5642601.54</v>
      </c>
      <c r="DB14" t="s">
        <v>38</v>
      </c>
      <c r="DC14" t="b">
        <v>1</v>
      </c>
      <c r="DD14">
        <v>5642601.54</v>
      </c>
      <c r="DE14">
        <v>0</v>
      </c>
      <c r="DF14" t="b">
        <v>1</v>
      </c>
      <c r="DG14" s="420" cm="1">
        <f t="array" ref="DG14">_xlfn.XLOOKUP("Дом 4"&amp;Реестр_Д4[[#This Row],[№]]&amp;Реестр_Д4[[#This Row],[Статус]],РД[Дом]&amp;РД[№ кв]&amp;РД[Состояние],РД[Дата подачи на регистрацию],"-",0)</f>
        <v>45163</v>
      </c>
    </row>
    <row r="15" spans="1:111" x14ac:dyDescent="0.25">
      <c r="A15">
        <v>14</v>
      </c>
      <c r="B15" t="s">
        <v>6</v>
      </c>
      <c r="C15">
        <v>3</v>
      </c>
      <c r="D15">
        <v>6</v>
      </c>
      <c r="E15">
        <v>2</v>
      </c>
      <c r="F15">
        <v>13.33</v>
      </c>
      <c r="G15">
        <v>13.23</v>
      </c>
      <c r="I15">
        <v>26.56</v>
      </c>
      <c r="J15">
        <v>16.25</v>
      </c>
      <c r="K15">
        <v>3.18</v>
      </c>
      <c r="L15">
        <v>2.14</v>
      </c>
      <c r="M15">
        <v>5.14</v>
      </c>
      <c r="N15">
        <v>5.19</v>
      </c>
      <c r="O15">
        <v>2.81</v>
      </c>
      <c r="Q15">
        <v>2.81</v>
      </c>
      <c r="R15">
        <v>61.27</v>
      </c>
      <c r="S15">
        <v>58.46</v>
      </c>
      <c r="T15">
        <v>59.87</v>
      </c>
      <c r="U15">
        <v>61.499999999999993</v>
      </c>
      <c r="V15">
        <v>73304</v>
      </c>
      <c r="W15">
        <v>3665.2</v>
      </c>
      <c r="X15">
        <v>76969.2</v>
      </c>
      <c r="Z15">
        <v>76969.2</v>
      </c>
      <c r="AA15">
        <v>3848.46</v>
      </c>
      <c r="AB15">
        <v>80817.66</v>
      </c>
      <c r="AC15">
        <v>9.940572180000002</v>
      </c>
      <c r="AD15">
        <v>80827.600572180003</v>
      </c>
      <c r="AF15">
        <v>80827.600572180003</v>
      </c>
      <c r="AH15">
        <v>80827.600572180003</v>
      </c>
      <c r="AI15">
        <v>1616.5520114435999</v>
      </c>
      <c r="AJ15">
        <v>82444.152583623596</v>
      </c>
      <c r="AK15">
        <v>2473.324577508708</v>
      </c>
      <c r="AL15">
        <v>84917.477161132309</v>
      </c>
      <c r="AM15">
        <v>3396.6990864452923</v>
      </c>
      <c r="AN15">
        <v>88314.176247577605</v>
      </c>
      <c r="AP15">
        <v>88314.176247577605</v>
      </c>
      <c r="AQ15">
        <v>2649.4252874273279</v>
      </c>
      <c r="AR15">
        <v>90963.601535004927</v>
      </c>
      <c r="AT15">
        <v>90963.601535004927</v>
      </c>
      <c r="AU15">
        <v>2728.9080460501477</v>
      </c>
      <c r="AV15">
        <v>93692.509581055085</v>
      </c>
      <c r="AX15">
        <v>93692.509581055085</v>
      </c>
      <c r="AZ15">
        <v>93692.509581055085</v>
      </c>
      <c r="BB15">
        <v>93692.509581055085</v>
      </c>
      <c r="BD15">
        <v>93692.509581055085</v>
      </c>
      <c r="BF15">
        <v>93692.509581055085</v>
      </c>
      <c r="BG15">
        <v>1000</v>
      </c>
      <c r="BH15">
        <v>94692.509581055085</v>
      </c>
      <c r="BI15">
        <v>4734.6254790527537</v>
      </c>
      <c r="BJ15">
        <v>99427.135060107845</v>
      </c>
      <c r="BK15">
        <v>1000</v>
      </c>
      <c r="BL15">
        <v>100427.13506010784</v>
      </c>
      <c r="BM15">
        <v>2008.5427012021569</v>
      </c>
      <c r="BN15">
        <v>102435.67776130998</v>
      </c>
      <c r="BP15">
        <v>102435.67776130998</v>
      </c>
      <c r="BQ15">
        <v>500</v>
      </c>
      <c r="BR15">
        <v>102935.67776130998</v>
      </c>
      <c r="BT15">
        <v>102935.67776130998</v>
      </c>
      <c r="BV15">
        <v>102935.67776130998</v>
      </c>
      <c r="BX15">
        <v>102935.67776130998</v>
      </c>
      <c r="BY15">
        <v>102935.67999999999</v>
      </c>
      <c r="BZ15">
        <v>6162800</v>
      </c>
      <c r="CC15">
        <v>0</v>
      </c>
      <c r="CD15">
        <v>102936.36211792217</v>
      </c>
      <c r="CE15">
        <v>6162800</v>
      </c>
      <c r="CF15" t="s">
        <v>37</v>
      </c>
      <c r="CG15">
        <v>7500</v>
      </c>
      <c r="CH15">
        <v>110436.36211792217</v>
      </c>
      <c r="CI15">
        <v>449025</v>
      </c>
      <c r="CJ15">
        <v>6611825</v>
      </c>
      <c r="CK15" t="s">
        <v>57</v>
      </c>
      <c r="CN15">
        <v>0</v>
      </c>
      <c r="CO15" t="s">
        <v>39</v>
      </c>
      <c r="CP15" t="s">
        <v>39</v>
      </c>
      <c r="CQ15" t="b">
        <v>1</v>
      </c>
      <c r="CR15" t="s">
        <v>8950</v>
      </c>
      <c r="CS15" t="s">
        <v>1167</v>
      </c>
      <c r="CT15" t="s">
        <v>8960</v>
      </c>
      <c r="CU15" t="s">
        <v>8971</v>
      </c>
      <c r="CV15" t="s">
        <v>5883</v>
      </c>
      <c r="CW15" t="s">
        <v>6652</v>
      </c>
      <c r="CX15" t="s">
        <v>3246</v>
      </c>
      <c r="CY15">
        <v>1.6299999999999957</v>
      </c>
      <c r="CZ15">
        <v>180011.27025221262</v>
      </c>
      <c r="DA15">
        <v>6611825</v>
      </c>
      <c r="DB15" t="s">
        <v>37</v>
      </c>
      <c r="DC15" t="b">
        <v>1</v>
      </c>
      <c r="DD15">
        <v>6611825</v>
      </c>
      <c r="DE15">
        <v>0</v>
      </c>
      <c r="DF15" t="b">
        <v>1</v>
      </c>
      <c r="DG15" s="420" cm="1">
        <f t="array" ref="DG15">_xlfn.XLOOKUP("Дом 4"&amp;Реестр_Д4[[#This Row],[№]]&amp;Реестр_Д4[[#This Row],[Статус]],РД[Дом]&amp;РД[№ кв]&amp;РД[Состояние],РД[Дата подачи на регистрацию],"-",0)</f>
        <v>45465</v>
      </c>
    </row>
    <row r="16" spans="1:111" x14ac:dyDescent="0.25">
      <c r="A16">
        <v>15</v>
      </c>
      <c r="B16" t="s">
        <v>6</v>
      </c>
      <c r="C16">
        <v>3</v>
      </c>
      <c r="D16">
        <v>7</v>
      </c>
      <c r="E16">
        <v>0</v>
      </c>
      <c r="F16">
        <v>8.2799999999999994</v>
      </c>
      <c r="I16">
        <v>8.2799999999999994</v>
      </c>
      <c r="J16">
        <v>5.3</v>
      </c>
      <c r="K16">
        <v>3.38</v>
      </c>
      <c r="N16">
        <v>3.17</v>
      </c>
      <c r="O16">
        <v>3.23</v>
      </c>
      <c r="Q16">
        <v>3.23</v>
      </c>
      <c r="R16">
        <v>23.36</v>
      </c>
      <c r="S16">
        <v>20.13</v>
      </c>
      <c r="T16">
        <v>21.75</v>
      </c>
      <c r="U16">
        <v>22.6</v>
      </c>
      <c r="V16">
        <v>75600</v>
      </c>
      <c r="W16">
        <v>3780</v>
      </c>
      <c r="X16">
        <v>79380</v>
      </c>
      <c r="Z16">
        <v>79380</v>
      </c>
      <c r="AB16">
        <v>79380</v>
      </c>
      <c r="AD16">
        <v>79380</v>
      </c>
      <c r="AF16">
        <v>79380</v>
      </c>
      <c r="AH16">
        <v>79380</v>
      </c>
      <c r="AJ16">
        <v>79380</v>
      </c>
      <c r="AL16">
        <v>79380</v>
      </c>
      <c r="AN16">
        <v>79380</v>
      </c>
      <c r="AP16">
        <v>79380</v>
      </c>
      <c r="AR16">
        <v>79380</v>
      </c>
      <c r="AT16">
        <v>79380</v>
      </c>
      <c r="AV16">
        <v>79380</v>
      </c>
      <c r="AX16">
        <v>79380</v>
      </c>
      <c r="AZ16">
        <v>79380</v>
      </c>
      <c r="BB16">
        <v>79380</v>
      </c>
      <c r="BD16">
        <v>79380</v>
      </c>
      <c r="BF16">
        <v>79380</v>
      </c>
      <c r="BH16">
        <v>79380</v>
      </c>
      <c r="BJ16">
        <v>79380</v>
      </c>
      <c r="BL16">
        <v>79380</v>
      </c>
      <c r="BN16">
        <v>79380</v>
      </c>
      <c r="BP16">
        <v>79380</v>
      </c>
      <c r="BR16">
        <v>79380</v>
      </c>
      <c r="BT16">
        <v>79380</v>
      </c>
      <c r="BV16">
        <v>79380</v>
      </c>
      <c r="BX16">
        <v>79380</v>
      </c>
      <c r="BY16">
        <v>79380</v>
      </c>
      <c r="BZ16">
        <v>1726515</v>
      </c>
      <c r="CC16">
        <v>0</v>
      </c>
      <c r="CD16">
        <v>79380</v>
      </c>
      <c r="CE16">
        <v>1726515</v>
      </c>
      <c r="CF16" t="s">
        <v>37</v>
      </c>
      <c r="CG16">
        <v>7500</v>
      </c>
      <c r="CH16">
        <v>86880</v>
      </c>
      <c r="CI16">
        <v>163125</v>
      </c>
      <c r="CJ16">
        <v>1889640</v>
      </c>
      <c r="CK16" t="s">
        <v>57</v>
      </c>
      <c r="CN16">
        <v>0</v>
      </c>
      <c r="CO16" t="s">
        <v>39</v>
      </c>
      <c r="CP16" t="s">
        <v>39</v>
      </c>
      <c r="CQ16" t="b">
        <v>1</v>
      </c>
      <c r="CR16" t="s">
        <v>8950</v>
      </c>
      <c r="CS16" t="s">
        <v>1167</v>
      </c>
      <c r="CT16" t="s">
        <v>8960</v>
      </c>
      <c r="CU16" t="s">
        <v>8970</v>
      </c>
      <c r="CV16" t="s">
        <v>5884</v>
      </c>
      <c r="CW16" t="s">
        <v>4895</v>
      </c>
      <c r="CX16" t="s">
        <v>3246</v>
      </c>
      <c r="CY16">
        <v>0.84999999999999787</v>
      </c>
      <c r="CZ16">
        <v>73847.999999999811</v>
      </c>
      <c r="DA16">
        <v>1889640</v>
      </c>
      <c r="DB16" t="s">
        <v>37</v>
      </c>
      <c r="DC16" t="b">
        <v>1</v>
      </c>
      <c r="DD16">
        <v>1889640</v>
      </c>
      <c r="DE16">
        <v>0</v>
      </c>
      <c r="DF16" t="b">
        <v>1</v>
      </c>
      <c r="DG16" s="420" cm="1">
        <f t="array" ref="DG16">_xlfn.XLOOKUP("Дом 4"&amp;Реестр_Д4[[#This Row],[№]]&amp;Реестр_Д4[[#This Row],[Статус]],РД[Дом]&amp;РД[№ кв]&amp;РД[Состояние],РД[Дата подачи на регистрацию],"-",0)</f>
        <v>44792</v>
      </c>
    </row>
    <row r="17" spans="1:111" x14ac:dyDescent="0.25">
      <c r="A17">
        <v>16</v>
      </c>
      <c r="B17" t="s">
        <v>6</v>
      </c>
      <c r="C17">
        <v>3</v>
      </c>
      <c r="D17">
        <v>8</v>
      </c>
      <c r="E17">
        <v>0</v>
      </c>
      <c r="F17">
        <v>8.2899999999999991</v>
      </c>
      <c r="I17">
        <v>8.2899999999999991</v>
      </c>
      <c r="J17">
        <v>5.3</v>
      </c>
      <c r="K17">
        <v>3.38</v>
      </c>
      <c r="N17">
        <v>3.17</v>
      </c>
      <c r="O17">
        <v>3.17</v>
      </c>
      <c r="Q17">
        <v>3.17</v>
      </c>
      <c r="R17">
        <v>23.31</v>
      </c>
      <c r="S17">
        <v>20.14</v>
      </c>
      <c r="T17">
        <v>21.73</v>
      </c>
      <c r="U17">
        <v>22.1</v>
      </c>
      <c r="V17">
        <v>75600</v>
      </c>
      <c r="X17">
        <v>75600</v>
      </c>
      <c r="Z17">
        <v>75600</v>
      </c>
      <c r="AB17">
        <v>75600</v>
      </c>
      <c r="AD17">
        <v>75600</v>
      </c>
      <c r="AF17">
        <v>75600</v>
      </c>
      <c r="AH17">
        <v>75600</v>
      </c>
      <c r="AJ17">
        <v>75600</v>
      </c>
      <c r="AL17">
        <v>75600</v>
      </c>
      <c r="AN17">
        <v>75600</v>
      </c>
      <c r="AP17">
        <v>75600</v>
      </c>
      <c r="AR17">
        <v>75600</v>
      </c>
      <c r="AT17">
        <v>75600</v>
      </c>
      <c r="AV17">
        <v>75600</v>
      </c>
      <c r="AX17">
        <v>75600</v>
      </c>
      <c r="AZ17">
        <v>75600</v>
      </c>
      <c r="BB17">
        <v>75600</v>
      </c>
      <c r="BD17">
        <v>75600</v>
      </c>
      <c r="BF17">
        <v>75600</v>
      </c>
      <c r="BH17">
        <v>75600</v>
      </c>
      <c r="BJ17">
        <v>75600</v>
      </c>
      <c r="BL17">
        <v>75600</v>
      </c>
      <c r="BN17">
        <v>75600</v>
      </c>
      <c r="BP17">
        <v>75600</v>
      </c>
      <c r="BR17">
        <v>75600</v>
      </c>
      <c r="BT17">
        <v>75600</v>
      </c>
      <c r="BV17">
        <v>75600</v>
      </c>
      <c r="BX17">
        <v>75600</v>
      </c>
      <c r="BY17">
        <v>75600</v>
      </c>
      <c r="BZ17">
        <v>1642788</v>
      </c>
      <c r="CC17">
        <v>0</v>
      </c>
      <c r="CD17">
        <v>75600</v>
      </c>
      <c r="CE17">
        <v>1642788</v>
      </c>
      <c r="CF17" t="s">
        <v>36</v>
      </c>
      <c r="CH17">
        <v>75600</v>
      </c>
      <c r="CI17">
        <v>0</v>
      </c>
      <c r="CJ17">
        <v>1642788</v>
      </c>
      <c r="CK17" t="s">
        <v>57</v>
      </c>
      <c r="CN17">
        <v>0</v>
      </c>
      <c r="CO17" t="s">
        <v>39</v>
      </c>
      <c r="CP17" t="s">
        <v>39</v>
      </c>
      <c r="CQ17" t="b">
        <v>1</v>
      </c>
      <c r="CR17" t="s">
        <v>8950</v>
      </c>
      <c r="CS17" t="s">
        <v>1167</v>
      </c>
      <c r="CT17" t="s">
        <v>8960</v>
      </c>
      <c r="CU17" t="s">
        <v>8970</v>
      </c>
      <c r="CV17" t="s">
        <v>5885</v>
      </c>
      <c r="CW17" t="s">
        <v>4895</v>
      </c>
      <c r="CX17" t="s">
        <v>3246</v>
      </c>
      <c r="CY17">
        <v>0.37000000000000094</v>
      </c>
      <c r="CZ17">
        <v>27972.000000000076</v>
      </c>
      <c r="DA17">
        <v>1642788</v>
      </c>
      <c r="DB17" t="s">
        <v>36</v>
      </c>
      <c r="DC17" t="b">
        <v>1</v>
      </c>
      <c r="DD17">
        <v>1642788</v>
      </c>
      <c r="DE17">
        <v>0</v>
      </c>
      <c r="DF17" t="b">
        <v>1</v>
      </c>
      <c r="DG17" s="420" cm="1">
        <f t="array" ref="DG17">_xlfn.XLOOKUP("Дом 4"&amp;Реестр_Д4[[#This Row],[№]]&amp;Реестр_Д4[[#This Row],[Статус]],РД[Дом]&amp;РД[№ кв]&amp;РД[Состояние],РД[Дата подачи на регистрацию],"-",0)</f>
        <v>44781</v>
      </c>
    </row>
    <row r="18" spans="1:111" x14ac:dyDescent="0.25">
      <c r="A18">
        <v>17</v>
      </c>
      <c r="B18" t="s">
        <v>6</v>
      </c>
      <c r="C18">
        <v>4</v>
      </c>
      <c r="D18">
        <v>1</v>
      </c>
      <c r="E18">
        <v>1</v>
      </c>
      <c r="F18">
        <v>13.93</v>
      </c>
      <c r="I18">
        <v>13.93</v>
      </c>
      <c r="J18">
        <v>9.18</v>
      </c>
      <c r="K18">
        <v>3.65</v>
      </c>
      <c r="N18">
        <v>5.52</v>
      </c>
      <c r="O18">
        <v>2.4900000000000002</v>
      </c>
      <c r="Q18">
        <v>2.4900000000000002</v>
      </c>
      <c r="R18">
        <v>34.770000000000003</v>
      </c>
      <c r="S18">
        <v>32.28</v>
      </c>
      <c r="T18">
        <v>33.53</v>
      </c>
      <c r="U18">
        <v>34.300000000000004</v>
      </c>
      <c r="V18">
        <v>70700</v>
      </c>
      <c r="W18">
        <v>3535</v>
      </c>
      <c r="X18">
        <v>74235</v>
      </c>
      <c r="Y18">
        <v>2969.4</v>
      </c>
      <c r="Z18">
        <v>77204.399999999994</v>
      </c>
      <c r="AB18">
        <v>77204.399999999994</v>
      </c>
      <c r="AD18">
        <v>77204.399999999994</v>
      </c>
      <c r="AF18">
        <v>77204.399999999994</v>
      </c>
      <c r="AH18">
        <v>77204.399999999994</v>
      </c>
      <c r="AJ18">
        <v>77204.399999999994</v>
      </c>
      <c r="AL18">
        <v>77204.399999999994</v>
      </c>
      <c r="AN18">
        <v>77204.399999999994</v>
      </c>
      <c r="AP18">
        <v>77204.399999999994</v>
      </c>
      <c r="AR18">
        <v>77204.399999999994</v>
      </c>
      <c r="AT18">
        <v>77204.399999999994</v>
      </c>
      <c r="AV18">
        <v>77204.399999999994</v>
      </c>
      <c r="AX18">
        <v>77204.399999999994</v>
      </c>
      <c r="AZ18">
        <v>77204.399999999994</v>
      </c>
      <c r="BB18">
        <v>77204.399999999994</v>
      </c>
      <c r="BD18">
        <v>77204.399999999994</v>
      </c>
      <c r="BF18">
        <v>77204.399999999994</v>
      </c>
      <c r="BH18">
        <v>77204.399999999994</v>
      </c>
      <c r="BJ18">
        <v>77204.399999999994</v>
      </c>
      <c r="BL18">
        <v>77204.399999999994</v>
      </c>
      <c r="BN18">
        <v>77204.399999999994</v>
      </c>
      <c r="BP18">
        <v>77204.399999999994</v>
      </c>
      <c r="BR18">
        <v>77204.399999999994</v>
      </c>
      <c r="BT18">
        <v>77204.399999999994</v>
      </c>
      <c r="BV18">
        <v>77204.399999999994</v>
      </c>
      <c r="BX18">
        <v>77204.399999999994</v>
      </c>
      <c r="BY18">
        <v>77204.399999999994</v>
      </c>
      <c r="BZ18">
        <v>2588663.5299999998</v>
      </c>
      <c r="CB18">
        <v>0.05</v>
      </c>
      <c r="CC18">
        <v>129433.1765</v>
      </c>
      <c r="CD18">
        <v>73344.180137190575</v>
      </c>
      <c r="CE18">
        <v>2459230.36</v>
      </c>
      <c r="CF18" t="s">
        <v>37</v>
      </c>
      <c r="CG18">
        <v>7500</v>
      </c>
      <c r="CH18">
        <v>80844.180137190575</v>
      </c>
      <c r="CI18">
        <v>251475</v>
      </c>
      <c r="CJ18">
        <v>2710705.36</v>
      </c>
      <c r="CK18" t="s">
        <v>57</v>
      </c>
      <c r="CL18" t="s">
        <v>3540</v>
      </c>
      <c r="CN18">
        <v>0</v>
      </c>
      <c r="CO18" t="s">
        <v>39</v>
      </c>
      <c r="CP18" t="s">
        <v>39</v>
      </c>
      <c r="CQ18" t="b">
        <v>1</v>
      </c>
      <c r="CR18" t="s">
        <v>8950</v>
      </c>
      <c r="CS18" t="s">
        <v>1167</v>
      </c>
      <c r="CT18" t="s">
        <v>8960</v>
      </c>
      <c r="CU18" t="s">
        <v>8973</v>
      </c>
      <c r="CV18" t="s">
        <v>5886</v>
      </c>
      <c r="CW18" t="s">
        <v>4895</v>
      </c>
      <c r="CX18" t="s">
        <v>3246</v>
      </c>
      <c r="CY18">
        <v>0.77000000000000324</v>
      </c>
      <c r="CZ18">
        <v>62250.018705636998</v>
      </c>
      <c r="DA18">
        <v>2710705.36</v>
      </c>
      <c r="DB18" t="s">
        <v>37</v>
      </c>
      <c r="DC18" t="b">
        <v>1</v>
      </c>
      <c r="DD18">
        <v>2710705.36</v>
      </c>
      <c r="DE18">
        <v>0</v>
      </c>
      <c r="DF18" t="b">
        <v>1</v>
      </c>
      <c r="DG18" s="420" cm="1">
        <f t="array" ref="DG18">_xlfn.XLOOKUP("Дом 4"&amp;Реестр_Д4[[#This Row],[№]]&amp;Реестр_Д4[[#This Row],[Статус]],РД[Дом]&amp;РД[№ кв]&amp;РД[Состояние],РД[Дата подачи на регистрацию],"-",0)</f>
        <v>44868</v>
      </c>
    </row>
    <row r="19" spans="1:111" x14ac:dyDescent="0.25">
      <c r="A19">
        <v>18</v>
      </c>
      <c r="B19" t="s">
        <v>6</v>
      </c>
      <c r="C19">
        <v>4</v>
      </c>
      <c r="D19">
        <v>2</v>
      </c>
      <c r="E19">
        <v>2</v>
      </c>
      <c r="F19">
        <v>16.55</v>
      </c>
      <c r="G19">
        <v>14.04</v>
      </c>
      <c r="I19">
        <v>30.59</v>
      </c>
      <c r="J19">
        <v>13.35</v>
      </c>
      <c r="K19">
        <v>3.69</v>
      </c>
      <c r="L19">
        <v>1.92</v>
      </c>
      <c r="N19">
        <v>9.48</v>
      </c>
      <c r="O19">
        <v>2.91</v>
      </c>
      <c r="P19">
        <v>2.5499999999999998</v>
      </c>
      <c r="Q19">
        <v>5.46</v>
      </c>
      <c r="R19">
        <v>64.489999999999995</v>
      </c>
      <c r="S19">
        <v>59.029999999999994</v>
      </c>
      <c r="T19">
        <v>61.76</v>
      </c>
      <c r="U19">
        <v>63.000000000000007</v>
      </c>
      <c r="V19">
        <v>68639.199999999997</v>
      </c>
      <c r="W19">
        <v>3431.96</v>
      </c>
      <c r="X19">
        <v>72071.16</v>
      </c>
      <c r="Z19">
        <v>72071.16</v>
      </c>
      <c r="AA19">
        <v>3603.558</v>
      </c>
      <c r="AB19">
        <v>75674.717999999993</v>
      </c>
      <c r="AC19">
        <v>9.3079903140000013</v>
      </c>
      <c r="AD19">
        <v>75684.02599031401</v>
      </c>
      <c r="AF19">
        <v>75684.02599031401</v>
      </c>
      <c r="AH19">
        <v>75684.02599031401</v>
      </c>
      <c r="AI19">
        <v>1513.6805198062802</v>
      </c>
      <c r="AJ19">
        <v>77197.70651012029</v>
      </c>
      <c r="AK19">
        <v>2315.9311953036085</v>
      </c>
      <c r="AL19">
        <v>79513.637705423898</v>
      </c>
      <c r="AM19">
        <v>3180.545508216956</v>
      </c>
      <c r="AN19">
        <v>82694.183213640848</v>
      </c>
      <c r="AO19">
        <v>2480.8254964092253</v>
      </c>
      <c r="AP19">
        <v>85175.008710050068</v>
      </c>
      <c r="AQ19">
        <v>2555.2502613015017</v>
      </c>
      <c r="AR19">
        <v>87730.258971351563</v>
      </c>
      <c r="AT19">
        <v>87730.258971351563</v>
      </c>
      <c r="AU19">
        <v>2631.9077691405469</v>
      </c>
      <c r="AV19">
        <v>90362.166740492103</v>
      </c>
      <c r="AX19">
        <v>90362.166740492103</v>
      </c>
      <c r="AZ19">
        <v>90362.166740492103</v>
      </c>
      <c r="BB19">
        <v>90362.166740492103</v>
      </c>
      <c r="BD19">
        <v>90362.166740492103</v>
      </c>
      <c r="BF19">
        <v>90362.166740492103</v>
      </c>
      <c r="BG19">
        <v>1000</v>
      </c>
      <c r="BH19">
        <v>91362.166740492103</v>
      </c>
      <c r="BI19">
        <v>4568.1083370246051</v>
      </c>
      <c r="BJ19">
        <v>95930.275077516708</v>
      </c>
      <c r="BK19">
        <v>1000</v>
      </c>
      <c r="BL19">
        <v>96930.275077516708</v>
      </c>
      <c r="BM19">
        <v>2438.6055015503343</v>
      </c>
      <c r="BN19">
        <v>99368.880579067045</v>
      </c>
      <c r="BP19">
        <v>99368.880579067045</v>
      </c>
      <c r="BR19">
        <v>99368.880579067045</v>
      </c>
      <c r="BT19">
        <v>99368.880579067045</v>
      </c>
      <c r="BV19">
        <v>99368.880579067045</v>
      </c>
      <c r="BX19">
        <v>99368.880579067045</v>
      </c>
      <c r="BY19">
        <v>99368.88</v>
      </c>
      <c r="BZ19">
        <v>6137100</v>
      </c>
      <c r="CB19">
        <v>0.03</v>
      </c>
      <c r="CC19">
        <v>184113</v>
      </c>
      <c r="CD19">
        <v>96389.038212435233</v>
      </c>
      <c r="CE19">
        <v>5952987</v>
      </c>
      <c r="CF19" t="s">
        <v>38</v>
      </c>
      <c r="CG19">
        <v>22000</v>
      </c>
      <c r="CH19">
        <v>118389.03821243525</v>
      </c>
      <c r="CI19">
        <v>1358720</v>
      </c>
      <c r="CJ19">
        <v>7311707</v>
      </c>
      <c r="CK19" t="s">
        <v>57</v>
      </c>
      <c r="CL19" t="s">
        <v>3953</v>
      </c>
      <c r="CN19">
        <v>0</v>
      </c>
      <c r="CO19" t="s">
        <v>39</v>
      </c>
      <c r="CP19" t="s">
        <v>39</v>
      </c>
      <c r="CQ19" t="b">
        <v>1</v>
      </c>
      <c r="CR19" t="s">
        <v>8950</v>
      </c>
      <c r="CS19" t="s">
        <v>1167</v>
      </c>
      <c r="CT19" t="s">
        <v>8960</v>
      </c>
      <c r="CU19" t="s">
        <v>8974</v>
      </c>
      <c r="CV19" t="s">
        <v>5887</v>
      </c>
      <c r="CW19" t="s">
        <v>6652</v>
      </c>
      <c r="CX19" t="s">
        <v>3246</v>
      </c>
      <c r="CY19">
        <v>1.2400000000000091</v>
      </c>
      <c r="CZ19">
        <v>146802.40738342077</v>
      </c>
      <c r="DA19">
        <v>7311707</v>
      </c>
      <c r="DB19" t="s">
        <v>38</v>
      </c>
      <c r="DC19" t="b">
        <v>1</v>
      </c>
      <c r="DD19">
        <v>7311707</v>
      </c>
      <c r="DE19">
        <v>0</v>
      </c>
      <c r="DF19" t="b">
        <v>1</v>
      </c>
      <c r="DG19" s="420" cm="1">
        <f t="array" ref="DG19">_xlfn.XLOOKUP("Дом 4"&amp;Реестр_Д4[[#This Row],[№]]&amp;Реестр_Д4[[#This Row],[Статус]],РД[Дом]&amp;РД[№ кв]&amp;РД[Состояние],РД[Дата подачи на регистрацию],"-",0)</f>
        <v>45379</v>
      </c>
    </row>
    <row r="20" spans="1:111" x14ac:dyDescent="0.25">
      <c r="A20">
        <v>19</v>
      </c>
      <c r="B20" t="s">
        <v>6</v>
      </c>
      <c r="C20">
        <v>4</v>
      </c>
      <c r="D20">
        <v>3</v>
      </c>
      <c r="E20">
        <v>1</v>
      </c>
      <c r="F20">
        <v>12.25</v>
      </c>
      <c r="I20">
        <v>12.25</v>
      </c>
      <c r="J20">
        <v>11.65</v>
      </c>
      <c r="K20">
        <v>3.67</v>
      </c>
      <c r="N20">
        <v>6.55</v>
      </c>
      <c r="O20">
        <v>2.83</v>
      </c>
      <c r="Q20">
        <v>2.83</v>
      </c>
      <c r="R20">
        <v>36.950000000000003</v>
      </c>
      <c r="S20">
        <v>34.120000000000005</v>
      </c>
      <c r="T20">
        <v>35.54</v>
      </c>
      <c r="U20">
        <v>36.9</v>
      </c>
      <c r="V20">
        <v>71400</v>
      </c>
      <c r="W20">
        <v>3570</v>
      </c>
      <c r="X20">
        <v>74970</v>
      </c>
      <c r="Y20">
        <v>2998.8</v>
      </c>
      <c r="Z20">
        <v>77968.800000000003</v>
      </c>
      <c r="AA20">
        <v>3898.440000000001</v>
      </c>
      <c r="AB20">
        <v>81867.240000000005</v>
      </c>
      <c r="AC20">
        <v>10.069670520000001</v>
      </c>
      <c r="AD20">
        <v>81877.309670520001</v>
      </c>
      <c r="AE20">
        <v>4093.8654835259999</v>
      </c>
      <c r="AF20">
        <v>85971.175154045995</v>
      </c>
      <c r="AH20">
        <v>85971.175154045995</v>
      </c>
      <c r="AJ20">
        <v>85971.175154045995</v>
      </c>
      <c r="AL20">
        <v>85971.175154045995</v>
      </c>
      <c r="AN20">
        <v>85971.175154045995</v>
      </c>
      <c r="AP20">
        <v>85971.175154045995</v>
      </c>
      <c r="AR20">
        <v>85971.175154045995</v>
      </c>
      <c r="AT20">
        <v>85971.175154045995</v>
      </c>
      <c r="AV20">
        <v>85971.175154045995</v>
      </c>
      <c r="AX20">
        <v>85971.175154045995</v>
      </c>
      <c r="AZ20">
        <v>85971.175154045995</v>
      </c>
      <c r="BB20">
        <v>85971.175154045995</v>
      </c>
      <c r="BD20">
        <v>85971.175154045995</v>
      </c>
      <c r="BF20">
        <v>85971.175154045995</v>
      </c>
      <c r="BH20">
        <v>85971.175154045995</v>
      </c>
      <c r="BJ20">
        <v>85971.175154045995</v>
      </c>
      <c r="BL20">
        <v>85971.175154045995</v>
      </c>
      <c r="BN20">
        <v>85971.175154045995</v>
      </c>
      <c r="BP20">
        <v>85971.175154045995</v>
      </c>
      <c r="BR20">
        <v>85971.175154045995</v>
      </c>
      <c r="BT20">
        <v>85971.175154045995</v>
      </c>
      <c r="BV20">
        <v>85971.175154045995</v>
      </c>
      <c r="BX20">
        <v>85971.175154045995</v>
      </c>
      <c r="BY20">
        <v>85971.18</v>
      </c>
      <c r="BZ20">
        <v>3055415.74</v>
      </c>
      <c r="CC20">
        <v>0</v>
      </c>
      <c r="CD20">
        <v>85971.18007878447</v>
      </c>
      <c r="CE20">
        <v>3055415.74</v>
      </c>
      <c r="CF20" t="s">
        <v>38</v>
      </c>
      <c r="CG20">
        <v>15000</v>
      </c>
      <c r="CH20">
        <v>100971.18007878448</v>
      </c>
      <c r="CI20">
        <v>533100</v>
      </c>
      <c r="CJ20">
        <v>3588515.74</v>
      </c>
      <c r="CN20">
        <v>0</v>
      </c>
      <c r="CO20" t="s">
        <v>39</v>
      </c>
      <c r="CP20" t="s">
        <v>39</v>
      </c>
      <c r="CQ20" t="b">
        <v>1</v>
      </c>
      <c r="CR20" t="s">
        <v>8950</v>
      </c>
      <c r="CS20" t="s">
        <v>1167</v>
      </c>
      <c r="CT20" t="s">
        <v>8960</v>
      </c>
      <c r="CU20" t="s">
        <v>8973</v>
      </c>
      <c r="CV20" t="s">
        <v>5888</v>
      </c>
      <c r="CW20" t="s">
        <v>4895</v>
      </c>
      <c r="CX20" t="s">
        <v>3246</v>
      </c>
      <c r="CY20">
        <v>1.3599999999999994</v>
      </c>
      <c r="CZ20">
        <v>137320.80490714681</v>
      </c>
      <c r="DA20">
        <v>3588515.74</v>
      </c>
      <c r="DB20" t="s">
        <v>38</v>
      </c>
      <c r="DC20" t="b">
        <v>1</v>
      </c>
      <c r="DD20">
        <v>3588515.74</v>
      </c>
      <c r="DE20">
        <v>0</v>
      </c>
      <c r="DF20" t="b">
        <v>1</v>
      </c>
      <c r="DG20" s="420" cm="1">
        <f t="array" ref="DG20">_xlfn.XLOOKUP("Дом 4"&amp;Реестр_Д4[[#This Row],[№]]&amp;Реестр_Д4[[#This Row],[Статус]],РД[Дом]&amp;РД[№ кв]&amp;РД[Состояние],РД[Дата подачи на регистрацию],"-",0)</f>
        <v>44982</v>
      </c>
    </row>
    <row r="21" spans="1:111" x14ac:dyDescent="0.25">
      <c r="A21">
        <v>20</v>
      </c>
      <c r="B21" t="s">
        <v>6</v>
      </c>
      <c r="C21">
        <v>4</v>
      </c>
      <c r="D21">
        <v>4</v>
      </c>
      <c r="E21">
        <v>2</v>
      </c>
      <c r="F21">
        <v>14.61</v>
      </c>
      <c r="G21">
        <v>11.01</v>
      </c>
      <c r="I21">
        <v>25.62</v>
      </c>
      <c r="J21">
        <v>14.77</v>
      </c>
      <c r="K21">
        <v>2.85</v>
      </c>
      <c r="L21">
        <v>2.4900000000000002</v>
      </c>
      <c r="N21">
        <v>8.7899999999999991</v>
      </c>
      <c r="O21">
        <v>3.01</v>
      </c>
      <c r="Q21">
        <v>3.01</v>
      </c>
      <c r="R21">
        <v>57.53</v>
      </c>
      <c r="S21">
        <v>54.52</v>
      </c>
      <c r="T21">
        <v>56.03</v>
      </c>
      <c r="U21">
        <v>58.000000000000007</v>
      </c>
      <c r="V21">
        <v>67972.800000000003</v>
      </c>
      <c r="W21">
        <v>3398.6400000000003</v>
      </c>
      <c r="X21">
        <v>71371.44</v>
      </c>
      <c r="Z21">
        <v>71371.44</v>
      </c>
      <c r="AA21">
        <v>3568.5720000000001</v>
      </c>
      <c r="AB21">
        <v>74940.012000000002</v>
      </c>
      <c r="AC21">
        <v>9.2176214760000015</v>
      </c>
      <c r="AD21">
        <v>74949.229621475999</v>
      </c>
      <c r="AF21">
        <v>74949.229621475999</v>
      </c>
      <c r="AH21">
        <v>74949.229621475999</v>
      </c>
      <c r="AI21">
        <v>1498.98459242952</v>
      </c>
      <c r="AJ21">
        <v>76448.214213905521</v>
      </c>
      <c r="AK21">
        <v>764.48214213905521</v>
      </c>
      <c r="AL21">
        <v>77212.696356044573</v>
      </c>
      <c r="AM21">
        <v>1544.2539271208916</v>
      </c>
      <c r="AN21">
        <v>78756.950283165468</v>
      </c>
      <c r="AO21">
        <v>2362.708508494964</v>
      </c>
      <c r="AP21">
        <v>81119.658791660433</v>
      </c>
      <c r="AR21">
        <v>81119.658791660433</v>
      </c>
      <c r="AT21">
        <v>81119.658791660433</v>
      </c>
      <c r="AV21">
        <v>81119.658791660433</v>
      </c>
      <c r="AX21">
        <v>81119.658791660433</v>
      </c>
      <c r="AZ21">
        <v>81119.658791660433</v>
      </c>
      <c r="BB21">
        <v>81119.658791660433</v>
      </c>
      <c r="BD21">
        <v>81119.658791660433</v>
      </c>
      <c r="BF21">
        <v>81119.658791660433</v>
      </c>
      <c r="BH21">
        <v>81119.658791660433</v>
      </c>
      <c r="BJ21">
        <v>81119.658791660433</v>
      </c>
      <c r="BL21">
        <v>81119.658791660433</v>
      </c>
      <c r="BN21">
        <v>81119.658791660433</v>
      </c>
      <c r="BP21">
        <v>81119.658791660433</v>
      </c>
      <c r="BR21">
        <v>81119.658791660433</v>
      </c>
      <c r="BT21">
        <v>81119.658791660433</v>
      </c>
      <c r="BV21">
        <v>81119.658791660433</v>
      </c>
      <c r="BX21">
        <v>81119.658791660433</v>
      </c>
      <c r="BY21">
        <v>81119.66</v>
      </c>
      <c r="BZ21">
        <v>4545134.55</v>
      </c>
      <c r="CC21">
        <v>0</v>
      </c>
      <c r="CD21">
        <v>81119.660003569516</v>
      </c>
      <c r="CE21">
        <v>4545134.55</v>
      </c>
      <c r="CF21" t="s">
        <v>38</v>
      </c>
      <c r="CG21">
        <v>15000</v>
      </c>
      <c r="CH21">
        <v>96119.660003569516</v>
      </c>
      <c r="CI21">
        <v>840450</v>
      </c>
      <c r="CJ21">
        <v>5385584.5499999998</v>
      </c>
      <c r="CN21">
        <v>0</v>
      </c>
      <c r="CO21" t="s">
        <v>39</v>
      </c>
      <c r="CP21" t="s">
        <v>39</v>
      </c>
      <c r="CQ21" t="b">
        <v>1</v>
      </c>
      <c r="CR21" t="s">
        <v>8950</v>
      </c>
      <c r="CS21" t="s">
        <v>1167</v>
      </c>
      <c r="CT21" t="s">
        <v>8960</v>
      </c>
      <c r="CU21" t="s">
        <v>8971</v>
      </c>
      <c r="CV21" t="s">
        <v>5889</v>
      </c>
      <c r="CW21" t="s">
        <v>4895</v>
      </c>
      <c r="CX21" t="s">
        <v>3246</v>
      </c>
      <c r="CY21">
        <v>1.970000000000006</v>
      </c>
      <c r="CZ21">
        <v>189355.73020703252</v>
      </c>
      <c r="DA21">
        <v>5385584.5499999998</v>
      </c>
      <c r="DB21" t="s">
        <v>38</v>
      </c>
      <c r="DC21" t="b">
        <v>1</v>
      </c>
      <c r="DD21">
        <v>5385584.5499999998</v>
      </c>
      <c r="DE21">
        <v>0</v>
      </c>
      <c r="DF21" t="b">
        <v>1</v>
      </c>
      <c r="DG21" s="420" cm="1">
        <f t="array" ref="DG21">_xlfn.XLOOKUP("Дом 4"&amp;Реестр_Д4[[#This Row],[№]]&amp;Реестр_Д4[[#This Row],[Статус]],РД[Дом]&amp;РД[№ кв]&amp;РД[Состояние],РД[Дата подачи на регистрацию],"-",0)</f>
        <v>45085</v>
      </c>
    </row>
    <row r="22" spans="1:111" x14ac:dyDescent="0.25">
      <c r="A22">
        <v>21</v>
      </c>
      <c r="B22" t="s">
        <v>6</v>
      </c>
      <c r="C22">
        <v>4</v>
      </c>
      <c r="D22">
        <v>5</v>
      </c>
      <c r="E22">
        <v>2</v>
      </c>
      <c r="F22">
        <v>14.86</v>
      </c>
      <c r="G22">
        <v>9.69</v>
      </c>
      <c r="I22">
        <v>24.55</v>
      </c>
      <c r="J22">
        <v>14.88</v>
      </c>
      <c r="K22">
        <v>2.83</v>
      </c>
      <c r="L22">
        <v>1.82</v>
      </c>
      <c r="N22">
        <v>9.26</v>
      </c>
      <c r="O22">
        <v>2.63</v>
      </c>
      <c r="Q22">
        <v>2.63</v>
      </c>
      <c r="R22">
        <v>55.97</v>
      </c>
      <c r="S22">
        <v>53.34</v>
      </c>
      <c r="T22">
        <v>54.66</v>
      </c>
      <c r="U22">
        <v>56.3</v>
      </c>
      <c r="V22">
        <v>67972.800000000003</v>
      </c>
      <c r="W22">
        <v>3398.6400000000003</v>
      </c>
      <c r="X22">
        <v>71371.44</v>
      </c>
      <c r="Z22">
        <v>71371.44</v>
      </c>
      <c r="AA22">
        <v>3568.5720000000001</v>
      </c>
      <c r="AB22">
        <v>74940.012000000002</v>
      </c>
      <c r="AC22">
        <v>9.2176214760000015</v>
      </c>
      <c r="AD22">
        <v>74949.229621475999</v>
      </c>
      <c r="AF22">
        <v>74949.229621475999</v>
      </c>
      <c r="AH22">
        <v>74949.229621475999</v>
      </c>
      <c r="AJ22">
        <v>74949.229621475999</v>
      </c>
      <c r="AL22">
        <v>74949.229621475999</v>
      </c>
      <c r="AN22">
        <v>74949.229621475999</v>
      </c>
      <c r="AP22">
        <v>74949.229621475999</v>
      </c>
      <c r="AR22">
        <v>74949.229621475999</v>
      </c>
      <c r="AT22">
        <v>74949.229621475999</v>
      </c>
      <c r="AV22">
        <v>74949.229621475999</v>
      </c>
      <c r="AX22">
        <v>74949.229621475999</v>
      </c>
      <c r="AZ22">
        <v>74949.229621475999</v>
      </c>
      <c r="BB22">
        <v>74949.229621475999</v>
      </c>
      <c r="BD22">
        <v>74949.229621475999</v>
      </c>
      <c r="BF22">
        <v>74949.229621475999</v>
      </c>
      <c r="BH22">
        <v>74949.229621475999</v>
      </c>
      <c r="BJ22">
        <v>74949.229621475999</v>
      </c>
      <c r="BL22">
        <v>74949.229621475999</v>
      </c>
      <c r="BN22">
        <v>74949.229621475999</v>
      </c>
      <c r="BP22">
        <v>74949.229621475999</v>
      </c>
      <c r="BR22">
        <v>74949.229621475999</v>
      </c>
      <c r="BT22">
        <v>74949.229621475999</v>
      </c>
      <c r="BV22">
        <v>74949.229621475999</v>
      </c>
      <c r="BX22">
        <v>74949.229621475999</v>
      </c>
      <c r="BY22">
        <v>74949.23</v>
      </c>
      <c r="BZ22">
        <v>4096724.91</v>
      </c>
      <c r="CA22">
        <v>165000</v>
      </c>
      <c r="CC22">
        <v>165000</v>
      </c>
      <c r="CD22">
        <v>71930.569154774974</v>
      </c>
      <c r="CE22">
        <v>3931724.91</v>
      </c>
      <c r="CF22" t="s">
        <v>37</v>
      </c>
      <c r="CG22">
        <v>4000</v>
      </c>
      <c r="CH22">
        <v>75930.569154774974</v>
      </c>
      <c r="CI22">
        <v>218640</v>
      </c>
      <c r="CJ22">
        <v>4150364.91</v>
      </c>
      <c r="CL22" t="s">
        <v>3441</v>
      </c>
      <c r="CN22">
        <v>0</v>
      </c>
      <c r="CO22" t="s">
        <v>39</v>
      </c>
      <c r="CP22" t="s">
        <v>39</v>
      </c>
      <c r="CQ22" t="b">
        <v>1</v>
      </c>
      <c r="CR22" t="s">
        <v>8950</v>
      </c>
      <c r="CS22" t="s">
        <v>1167</v>
      </c>
      <c r="CT22" t="s">
        <v>8960</v>
      </c>
      <c r="CU22" t="s">
        <v>8971</v>
      </c>
      <c r="CV22" t="s">
        <v>5890</v>
      </c>
      <c r="CW22" t="s">
        <v>4895</v>
      </c>
      <c r="CX22" t="s">
        <v>3246</v>
      </c>
      <c r="CY22">
        <v>1.6400000000000006</v>
      </c>
      <c r="CZ22">
        <v>124526.133413831</v>
      </c>
      <c r="DA22">
        <v>4150364.91</v>
      </c>
      <c r="DB22" t="s">
        <v>37</v>
      </c>
      <c r="DC22" t="b">
        <v>1</v>
      </c>
      <c r="DD22">
        <v>4150364.91</v>
      </c>
      <c r="DE22">
        <v>0</v>
      </c>
      <c r="DF22" t="b">
        <v>1</v>
      </c>
      <c r="DG22" s="420" cm="1">
        <f t="array" ref="DG22">_xlfn.XLOOKUP("Дом 4"&amp;Реестр_Д4[[#This Row],[№]]&amp;Реестр_Д4[[#This Row],[Статус]],РД[Дом]&amp;РД[№ кв]&amp;РД[Состояние],РД[Дата подачи на регистрацию],"-",0)</f>
        <v>44985</v>
      </c>
    </row>
    <row r="23" spans="1:111" x14ac:dyDescent="0.25">
      <c r="A23">
        <v>22</v>
      </c>
      <c r="B23" t="s">
        <v>6</v>
      </c>
      <c r="C23">
        <v>4</v>
      </c>
      <c r="D23">
        <v>6</v>
      </c>
      <c r="E23">
        <v>2</v>
      </c>
      <c r="F23">
        <v>13.33</v>
      </c>
      <c r="G23">
        <v>13.23</v>
      </c>
      <c r="I23">
        <v>26.56</v>
      </c>
      <c r="J23">
        <v>16.25</v>
      </c>
      <c r="K23">
        <v>3.18</v>
      </c>
      <c r="L23">
        <v>2.14</v>
      </c>
      <c r="M23">
        <v>5.14</v>
      </c>
      <c r="N23">
        <v>5.19</v>
      </c>
      <c r="O23">
        <v>2.81</v>
      </c>
      <c r="Q23">
        <v>2.81</v>
      </c>
      <c r="R23">
        <v>61.27</v>
      </c>
      <c r="S23">
        <v>58.46</v>
      </c>
      <c r="T23">
        <v>59.87</v>
      </c>
      <c r="U23">
        <v>61.3</v>
      </c>
      <c r="V23">
        <v>73304</v>
      </c>
      <c r="W23">
        <v>3665.2</v>
      </c>
      <c r="X23">
        <v>76969.2</v>
      </c>
      <c r="Z23">
        <v>76969.2</v>
      </c>
      <c r="AA23">
        <v>3848.46</v>
      </c>
      <c r="AB23">
        <v>80817.66</v>
      </c>
      <c r="AC23">
        <v>9.940572180000002</v>
      </c>
      <c r="AD23">
        <v>80827.600572180003</v>
      </c>
      <c r="AF23">
        <v>80827.600572180003</v>
      </c>
      <c r="AH23">
        <v>80827.600572180003</v>
      </c>
      <c r="AI23">
        <v>1616.5520114435999</v>
      </c>
      <c r="AJ23">
        <v>82444.152583623596</v>
      </c>
      <c r="AK23">
        <v>2473.324577508708</v>
      </c>
      <c r="AL23">
        <v>84917.477161132309</v>
      </c>
      <c r="AM23">
        <v>3396.6990864452923</v>
      </c>
      <c r="AN23">
        <v>88314.176247577605</v>
      </c>
      <c r="AP23">
        <v>88314.176247577605</v>
      </c>
      <c r="AQ23">
        <v>2649.4252874273279</v>
      </c>
      <c r="AR23">
        <v>90963.601535004927</v>
      </c>
      <c r="AT23">
        <v>90963.601535004927</v>
      </c>
      <c r="AU23">
        <v>2728.9080460501477</v>
      </c>
      <c r="AV23">
        <v>93692.509581055085</v>
      </c>
      <c r="AX23">
        <v>93692.509581055085</v>
      </c>
      <c r="AZ23">
        <v>93692.509581055085</v>
      </c>
      <c r="BB23">
        <v>93692.509581055085</v>
      </c>
      <c r="BD23">
        <v>93692.509581055085</v>
      </c>
      <c r="BF23">
        <v>93692.509581055085</v>
      </c>
      <c r="BG23">
        <v>2000</v>
      </c>
      <c r="BH23">
        <v>95692.509581055085</v>
      </c>
      <c r="BI23">
        <v>4784.6254790527537</v>
      </c>
      <c r="BJ23">
        <v>100477.13506010784</v>
      </c>
      <c r="BK23">
        <v>1000</v>
      </c>
      <c r="BL23">
        <v>101477.13506010784</v>
      </c>
      <c r="BM23">
        <v>2029.5427012021569</v>
      </c>
      <c r="BN23">
        <v>103506.67776130998</v>
      </c>
      <c r="BP23">
        <v>103506.67776130998</v>
      </c>
      <c r="BQ23">
        <v>500</v>
      </c>
      <c r="BR23">
        <v>104006.67776130998</v>
      </c>
      <c r="BT23">
        <v>104006.67776130998</v>
      </c>
      <c r="BV23">
        <v>104006.67776130998</v>
      </c>
      <c r="BX23">
        <v>104006.67776130998</v>
      </c>
      <c r="BY23">
        <v>104006.68</v>
      </c>
      <c r="BZ23">
        <v>6226900</v>
      </c>
      <c r="CC23">
        <v>0</v>
      </c>
      <c r="CD23">
        <v>104007.01519959912</v>
      </c>
      <c r="CE23">
        <v>6226900</v>
      </c>
      <c r="CF23" t="s">
        <v>37</v>
      </c>
      <c r="CG23">
        <v>7500</v>
      </c>
      <c r="CH23">
        <v>111507.01519959912</v>
      </c>
      <c r="CI23">
        <v>449025</v>
      </c>
      <c r="CJ23">
        <v>6675925</v>
      </c>
      <c r="CK23" t="s">
        <v>57</v>
      </c>
      <c r="CN23">
        <v>0</v>
      </c>
      <c r="CO23" t="s">
        <v>39</v>
      </c>
      <c r="CP23" t="s">
        <v>39</v>
      </c>
      <c r="CQ23" t="b">
        <v>1</v>
      </c>
      <c r="CR23" t="s">
        <v>8950</v>
      </c>
      <c r="CS23" t="s">
        <v>1167</v>
      </c>
      <c r="CT23" t="s">
        <v>8960</v>
      </c>
      <c r="CU23" t="s">
        <v>8971</v>
      </c>
      <c r="CV23" t="s">
        <v>5891</v>
      </c>
      <c r="CW23" t="s">
        <v>6652</v>
      </c>
      <c r="CX23" t="s">
        <v>3246</v>
      </c>
      <c r="CY23">
        <v>1.4299999999999995</v>
      </c>
      <c r="CZ23">
        <v>159455.03173542672</v>
      </c>
      <c r="DA23">
        <v>6675925</v>
      </c>
      <c r="DB23" t="s">
        <v>37</v>
      </c>
      <c r="DC23" t="b">
        <v>1</v>
      </c>
      <c r="DD23">
        <v>6675925</v>
      </c>
      <c r="DE23">
        <v>0</v>
      </c>
      <c r="DF23" t="b">
        <v>1</v>
      </c>
      <c r="DG23" s="420" cm="1">
        <f t="array" ref="DG23">_xlfn.XLOOKUP("Дом 4"&amp;Реестр_Д4[[#This Row],[№]]&amp;Реестр_Д4[[#This Row],[Статус]],РД[Дом]&amp;РД[№ кв]&amp;РД[Состояние],РД[Дата подачи на регистрацию],"-",0)</f>
        <v>45464</v>
      </c>
    </row>
    <row r="24" spans="1:111" x14ac:dyDescent="0.25">
      <c r="A24">
        <v>23</v>
      </c>
      <c r="B24" t="s">
        <v>6</v>
      </c>
      <c r="C24">
        <v>4</v>
      </c>
      <c r="D24">
        <v>7</v>
      </c>
      <c r="E24">
        <v>0</v>
      </c>
      <c r="F24">
        <v>8.2799999999999994</v>
      </c>
      <c r="I24">
        <v>8.2799999999999994</v>
      </c>
      <c r="J24">
        <v>5.3</v>
      </c>
      <c r="K24">
        <v>3.38</v>
      </c>
      <c r="N24">
        <v>3.17</v>
      </c>
      <c r="O24">
        <v>3.23</v>
      </c>
      <c r="Q24">
        <v>3.23</v>
      </c>
      <c r="R24">
        <v>23.36</v>
      </c>
      <c r="S24">
        <v>20.13</v>
      </c>
      <c r="T24">
        <v>21.75</v>
      </c>
      <c r="U24">
        <v>22.6</v>
      </c>
      <c r="V24">
        <v>75600</v>
      </c>
      <c r="W24">
        <v>3780</v>
      </c>
      <c r="X24">
        <v>79380</v>
      </c>
      <c r="Z24">
        <v>79380</v>
      </c>
      <c r="AB24">
        <v>79380</v>
      </c>
      <c r="AD24">
        <v>79380</v>
      </c>
      <c r="AF24">
        <v>79380</v>
      </c>
      <c r="AH24">
        <v>79380</v>
      </c>
      <c r="AJ24">
        <v>79380</v>
      </c>
      <c r="AL24">
        <v>79380</v>
      </c>
      <c r="AN24">
        <v>79380</v>
      </c>
      <c r="AP24">
        <v>79380</v>
      </c>
      <c r="AR24">
        <v>79380</v>
      </c>
      <c r="AT24">
        <v>79380</v>
      </c>
      <c r="AV24">
        <v>79380</v>
      </c>
      <c r="AX24">
        <v>79380</v>
      </c>
      <c r="AZ24">
        <v>79380</v>
      </c>
      <c r="BB24">
        <v>79380</v>
      </c>
      <c r="BD24">
        <v>79380</v>
      </c>
      <c r="BF24">
        <v>79380</v>
      </c>
      <c r="BH24">
        <v>79380</v>
      </c>
      <c r="BJ24">
        <v>79380</v>
      </c>
      <c r="BL24">
        <v>79380</v>
      </c>
      <c r="BN24">
        <v>79380</v>
      </c>
      <c r="BP24">
        <v>79380</v>
      </c>
      <c r="BR24">
        <v>79380</v>
      </c>
      <c r="BT24">
        <v>79380</v>
      </c>
      <c r="BV24">
        <v>79380</v>
      </c>
      <c r="BX24">
        <v>79380</v>
      </c>
      <c r="BY24">
        <v>79380</v>
      </c>
      <c r="BZ24">
        <v>1726515</v>
      </c>
      <c r="CC24">
        <v>0</v>
      </c>
      <c r="CD24">
        <v>79380</v>
      </c>
      <c r="CE24">
        <v>1726515</v>
      </c>
      <c r="CF24" t="s">
        <v>37</v>
      </c>
      <c r="CG24">
        <v>7500</v>
      </c>
      <c r="CH24">
        <v>86880</v>
      </c>
      <c r="CI24">
        <v>163125</v>
      </c>
      <c r="CJ24">
        <v>1889640</v>
      </c>
      <c r="CK24" t="s">
        <v>57</v>
      </c>
      <c r="CN24">
        <v>0</v>
      </c>
      <c r="CO24" t="s">
        <v>39</v>
      </c>
      <c r="CP24" t="s">
        <v>39</v>
      </c>
      <c r="CQ24" t="b">
        <v>1</v>
      </c>
      <c r="CR24" t="s">
        <v>8950</v>
      </c>
      <c r="CS24" t="s">
        <v>1167</v>
      </c>
      <c r="CT24" t="s">
        <v>8960</v>
      </c>
      <c r="CU24" t="s">
        <v>8970</v>
      </c>
      <c r="CV24" t="s">
        <v>5892</v>
      </c>
      <c r="CW24" t="s">
        <v>4895</v>
      </c>
      <c r="CX24" t="s">
        <v>3246</v>
      </c>
      <c r="CY24">
        <v>0.85000000000000142</v>
      </c>
      <c r="CZ24">
        <v>73848.000000000116</v>
      </c>
      <c r="DA24">
        <v>1889640</v>
      </c>
      <c r="DB24" t="s">
        <v>37</v>
      </c>
      <c r="DC24" t="b">
        <v>1</v>
      </c>
      <c r="DD24">
        <v>1889640</v>
      </c>
      <c r="DE24">
        <v>0</v>
      </c>
      <c r="DF24" t="b">
        <v>1</v>
      </c>
      <c r="DG24" s="420" cm="1">
        <f t="array" ref="DG24">_xlfn.XLOOKUP("Дом 4"&amp;Реестр_Д4[[#This Row],[№]]&amp;Реестр_Д4[[#This Row],[Статус]],РД[Дом]&amp;РД[№ кв]&amp;РД[Состояние],РД[Дата подачи на регистрацию],"-",0)</f>
        <v>44803</v>
      </c>
    </row>
    <row r="25" spans="1:111" x14ac:dyDescent="0.25">
      <c r="A25">
        <v>24</v>
      </c>
      <c r="B25" t="s">
        <v>6</v>
      </c>
      <c r="C25">
        <v>4</v>
      </c>
      <c r="D25">
        <v>8</v>
      </c>
      <c r="E25">
        <v>0</v>
      </c>
      <c r="F25">
        <v>8.2899999999999991</v>
      </c>
      <c r="I25">
        <v>8.2899999999999991</v>
      </c>
      <c r="J25">
        <v>5.3</v>
      </c>
      <c r="K25">
        <v>3.38</v>
      </c>
      <c r="N25">
        <v>3.17</v>
      </c>
      <c r="O25">
        <v>3.17</v>
      </c>
      <c r="Q25">
        <v>3.17</v>
      </c>
      <c r="R25">
        <v>23.31</v>
      </c>
      <c r="S25">
        <v>20.14</v>
      </c>
      <c r="T25">
        <v>21.73</v>
      </c>
      <c r="U25">
        <v>22.4</v>
      </c>
      <c r="V25">
        <v>75600</v>
      </c>
      <c r="W25">
        <v>3780</v>
      </c>
      <c r="X25">
        <v>79380</v>
      </c>
      <c r="Z25">
        <v>79380</v>
      </c>
      <c r="AB25">
        <v>79380</v>
      </c>
      <c r="AD25">
        <v>79380</v>
      </c>
      <c r="AF25">
        <v>79380</v>
      </c>
      <c r="AH25">
        <v>79380</v>
      </c>
      <c r="AJ25">
        <v>79380</v>
      </c>
      <c r="AL25">
        <v>79380</v>
      </c>
      <c r="AN25">
        <v>79380</v>
      </c>
      <c r="AP25">
        <v>79380</v>
      </c>
      <c r="AR25">
        <v>79380</v>
      </c>
      <c r="AT25">
        <v>79380</v>
      </c>
      <c r="AV25">
        <v>79380</v>
      </c>
      <c r="AX25">
        <v>79380</v>
      </c>
      <c r="AZ25">
        <v>79380</v>
      </c>
      <c r="BB25">
        <v>79380</v>
      </c>
      <c r="BD25">
        <v>79380</v>
      </c>
      <c r="BF25">
        <v>79380</v>
      </c>
      <c r="BH25">
        <v>79380</v>
      </c>
      <c r="BJ25">
        <v>79380</v>
      </c>
      <c r="BL25">
        <v>79380</v>
      </c>
      <c r="BN25">
        <v>79380</v>
      </c>
      <c r="BP25">
        <v>79380</v>
      </c>
      <c r="BR25">
        <v>79380</v>
      </c>
      <c r="BT25">
        <v>79380</v>
      </c>
      <c r="BV25">
        <v>79380</v>
      </c>
      <c r="BX25">
        <v>79380</v>
      </c>
      <c r="BY25">
        <v>79380</v>
      </c>
      <c r="BZ25">
        <v>1724927.4</v>
      </c>
      <c r="CC25">
        <v>0</v>
      </c>
      <c r="CD25">
        <v>79380</v>
      </c>
      <c r="CE25">
        <v>1724927.4</v>
      </c>
      <c r="CF25" t="s">
        <v>37</v>
      </c>
      <c r="CG25">
        <v>7500</v>
      </c>
      <c r="CH25">
        <v>86880</v>
      </c>
      <c r="CI25">
        <v>162975</v>
      </c>
      <c r="CJ25">
        <v>1887902.4</v>
      </c>
      <c r="CK25" t="s">
        <v>57</v>
      </c>
      <c r="CN25">
        <v>0</v>
      </c>
      <c r="CO25" t="s">
        <v>39</v>
      </c>
      <c r="CP25" t="s">
        <v>39</v>
      </c>
      <c r="CQ25" t="b">
        <v>1</v>
      </c>
      <c r="CR25" t="s">
        <v>8950</v>
      </c>
      <c r="CS25" t="s">
        <v>1167</v>
      </c>
      <c r="CT25" t="s">
        <v>8960</v>
      </c>
      <c r="CU25" t="s">
        <v>8970</v>
      </c>
      <c r="CV25" t="s">
        <v>5893</v>
      </c>
      <c r="CW25" t="s">
        <v>4895</v>
      </c>
      <c r="CX25" t="s">
        <v>3246</v>
      </c>
      <c r="CY25">
        <v>0.66999999999999815</v>
      </c>
      <c r="CZ25">
        <v>58209.599999999838</v>
      </c>
      <c r="DA25">
        <v>1887902.4</v>
      </c>
      <c r="DB25" t="s">
        <v>37</v>
      </c>
      <c r="DC25" t="b">
        <v>1</v>
      </c>
      <c r="DD25">
        <v>1887902.4</v>
      </c>
      <c r="DE25">
        <v>0</v>
      </c>
      <c r="DF25" t="b">
        <v>1</v>
      </c>
      <c r="DG25" s="420" cm="1">
        <f t="array" ref="DG25">_xlfn.XLOOKUP("Дом 4"&amp;Реестр_Д4[[#This Row],[№]]&amp;Реестр_Д4[[#This Row],[Статус]],РД[Дом]&amp;РД[№ кв]&amp;РД[Состояние],РД[Дата подачи на регистрацию],"-",0)</f>
        <v>44785</v>
      </c>
    </row>
    <row r="26" spans="1:111" x14ac:dyDescent="0.25">
      <c r="A26">
        <v>25</v>
      </c>
      <c r="B26" t="s">
        <v>6</v>
      </c>
      <c r="C26">
        <v>5</v>
      </c>
      <c r="D26">
        <v>1</v>
      </c>
      <c r="E26">
        <v>1</v>
      </c>
      <c r="F26">
        <v>13.93</v>
      </c>
      <c r="I26">
        <v>13.93</v>
      </c>
      <c r="J26">
        <v>9.18</v>
      </c>
      <c r="K26">
        <v>3.65</v>
      </c>
      <c r="N26">
        <v>5.52</v>
      </c>
      <c r="O26">
        <v>2.4900000000000002</v>
      </c>
      <c r="Q26">
        <v>2.4900000000000002</v>
      </c>
      <c r="R26">
        <v>34.770000000000003</v>
      </c>
      <c r="S26">
        <v>32.28</v>
      </c>
      <c r="T26">
        <v>33.53</v>
      </c>
      <c r="U26">
        <v>34.4</v>
      </c>
      <c r="V26">
        <v>70700</v>
      </c>
      <c r="W26">
        <v>3535</v>
      </c>
      <c r="X26">
        <v>74235</v>
      </c>
      <c r="Y26">
        <v>2969.4</v>
      </c>
      <c r="Z26">
        <v>77204.399999999994</v>
      </c>
      <c r="AA26">
        <v>3860.22</v>
      </c>
      <c r="AB26">
        <v>81064.62</v>
      </c>
      <c r="AC26">
        <v>9.9709482600000001</v>
      </c>
      <c r="AD26">
        <v>81074.590948259996</v>
      </c>
      <c r="AE26">
        <v>4053.7295474130001</v>
      </c>
      <c r="AF26">
        <v>85128.32049567299</v>
      </c>
      <c r="AH26">
        <v>85128.32049567299</v>
      </c>
      <c r="AI26">
        <v>2553.8496148701897</v>
      </c>
      <c r="AJ26">
        <v>87682.170110543186</v>
      </c>
      <c r="AK26">
        <v>2630.4651033162954</v>
      </c>
      <c r="AL26">
        <v>90312.635213859481</v>
      </c>
      <c r="AM26">
        <v>3612.5054085543793</v>
      </c>
      <c r="AN26">
        <v>93925.140622413863</v>
      </c>
      <c r="AO26">
        <v>1878.5028124482776</v>
      </c>
      <c r="AP26">
        <v>95803.643434862141</v>
      </c>
      <c r="AR26">
        <v>95803.643434862141</v>
      </c>
      <c r="AT26">
        <v>95803.643434862141</v>
      </c>
      <c r="AV26">
        <v>95803.643434862141</v>
      </c>
      <c r="AX26">
        <v>95803.643434862141</v>
      </c>
      <c r="AZ26">
        <v>95803.643434862141</v>
      </c>
      <c r="BB26">
        <v>95803.643434862141</v>
      </c>
      <c r="BD26">
        <v>95803.643434862141</v>
      </c>
      <c r="BF26">
        <v>95803.643434862141</v>
      </c>
      <c r="BH26">
        <v>95803.643434862141</v>
      </c>
      <c r="BJ26">
        <v>95803.643434862141</v>
      </c>
      <c r="BL26">
        <v>95803.643434862141</v>
      </c>
      <c r="BN26">
        <v>95803.643434862141</v>
      </c>
      <c r="BP26">
        <v>95803.643434862141</v>
      </c>
      <c r="BR26">
        <v>95803.643434862141</v>
      </c>
      <c r="BT26">
        <v>95803.643434862141</v>
      </c>
      <c r="BV26">
        <v>95803.643434862141</v>
      </c>
      <c r="BX26">
        <v>95803.643434862141</v>
      </c>
      <c r="BY26">
        <v>95803.64</v>
      </c>
      <c r="BZ26">
        <v>3212296.05</v>
      </c>
      <c r="CC26">
        <v>0</v>
      </c>
      <c r="CD26">
        <v>95803.640023859218</v>
      </c>
      <c r="CE26">
        <v>3212296.05</v>
      </c>
      <c r="CF26" t="s">
        <v>37</v>
      </c>
      <c r="CG26">
        <v>4000</v>
      </c>
      <c r="CH26">
        <v>99803.640023859218</v>
      </c>
      <c r="CI26">
        <v>134120</v>
      </c>
      <c r="CJ26">
        <v>3346416.05</v>
      </c>
      <c r="CK26" t="s">
        <v>57</v>
      </c>
      <c r="CN26">
        <v>0</v>
      </c>
      <c r="CO26" t="s">
        <v>39</v>
      </c>
      <c r="CP26" t="s">
        <v>39</v>
      </c>
      <c r="CQ26" t="b">
        <v>1</v>
      </c>
      <c r="CR26" t="s">
        <v>8950</v>
      </c>
      <c r="CS26" t="s">
        <v>1167</v>
      </c>
      <c r="CT26" t="s">
        <v>8960</v>
      </c>
      <c r="CU26" t="s">
        <v>8973</v>
      </c>
      <c r="CV26" t="s">
        <v>5894</v>
      </c>
      <c r="CW26" t="s">
        <v>4895</v>
      </c>
      <c r="CX26" t="s">
        <v>3246</v>
      </c>
      <c r="CY26">
        <v>0.86999999999999744</v>
      </c>
      <c r="CZ26">
        <v>86829.166820757266</v>
      </c>
      <c r="DA26">
        <v>3346416.05</v>
      </c>
      <c r="DB26" t="s">
        <v>37</v>
      </c>
      <c r="DC26" t="b">
        <v>1</v>
      </c>
      <c r="DD26">
        <v>3346416.05</v>
      </c>
      <c r="DE26">
        <v>0</v>
      </c>
      <c r="DF26" t="b">
        <v>1</v>
      </c>
      <c r="DG26" s="420" cm="1">
        <f t="array" ref="DG26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27" spans="1:111" x14ac:dyDescent="0.25">
      <c r="A27">
        <v>26</v>
      </c>
      <c r="B27" t="s">
        <v>6</v>
      </c>
      <c r="C27">
        <v>5</v>
      </c>
      <c r="D27">
        <v>2</v>
      </c>
      <c r="E27">
        <v>2</v>
      </c>
      <c r="F27">
        <v>16.55</v>
      </c>
      <c r="G27">
        <v>14.04</v>
      </c>
      <c r="I27">
        <v>30.59</v>
      </c>
      <c r="J27">
        <v>13.35</v>
      </c>
      <c r="K27">
        <v>3.69</v>
      </c>
      <c r="L27">
        <v>1.92</v>
      </c>
      <c r="N27">
        <v>9.48</v>
      </c>
      <c r="O27">
        <v>2.91</v>
      </c>
      <c r="P27">
        <v>2.5499999999999998</v>
      </c>
      <c r="Q27">
        <v>5.46</v>
      </c>
      <c r="R27">
        <v>64.489999999999995</v>
      </c>
      <c r="S27">
        <v>59.029999999999994</v>
      </c>
      <c r="T27">
        <v>61.76</v>
      </c>
      <c r="U27">
        <v>63.1</v>
      </c>
      <c r="V27">
        <v>68639.199999999997</v>
      </c>
      <c r="W27">
        <v>3431.96</v>
      </c>
      <c r="X27">
        <v>72071.16</v>
      </c>
      <c r="Z27">
        <v>72071.16</v>
      </c>
      <c r="AA27">
        <v>3603.558</v>
      </c>
      <c r="AB27">
        <v>75674.717999999993</v>
      </c>
      <c r="AC27">
        <v>9.3079903140000013</v>
      </c>
      <c r="AD27">
        <v>75684.02599031401</v>
      </c>
      <c r="AF27">
        <v>75684.02599031401</v>
      </c>
      <c r="AH27">
        <v>75684.02599031401</v>
      </c>
      <c r="AJ27">
        <v>75684.02599031401</v>
      </c>
      <c r="AL27">
        <v>75684.02599031401</v>
      </c>
      <c r="AN27">
        <v>75684.02599031401</v>
      </c>
      <c r="AP27">
        <v>75684.02599031401</v>
      </c>
      <c r="AR27">
        <v>75684.02599031401</v>
      </c>
      <c r="AT27">
        <v>75684.02599031401</v>
      </c>
      <c r="AV27">
        <v>75684.02599031401</v>
      </c>
      <c r="AX27">
        <v>75684.02599031401</v>
      </c>
      <c r="AZ27">
        <v>75684.02599031401</v>
      </c>
      <c r="BB27">
        <v>75684.02599031401</v>
      </c>
      <c r="BD27">
        <v>75684.02599031401</v>
      </c>
      <c r="BF27">
        <v>75684.02599031401</v>
      </c>
      <c r="BH27">
        <v>75684.02599031401</v>
      </c>
      <c r="BJ27">
        <v>75684.02599031401</v>
      </c>
      <c r="BL27">
        <v>75684.02599031401</v>
      </c>
      <c r="BN27">
        <v>75684.02599031401</v>
      </c>
      <c r="BP27">
        <v>75684.02599031401</v>
      </c>
      <c r="BR27">
        <v>75684.02599031401</v>
      </c>
      <c r="BT27">
        <v>75684.02599031401</v>
      </c>
      <c r="BV27">
        <v>75684.02599031401</v>
      </c>
      <c r="BX27">
        <v>75684.02599031401</v>
      </c>
      <c r="BY27">
        <v>75684.03</v>
      </c>
      <c r="BZ27">
        <v>4674245.6900000004</v>
      </c>
      <c r="CB27">
        <v>0.05</v>
      </c>
      <c r="CC27">
        <v>233712.28450000004</v>
      </c>
      <c r="CD27">
        <v>71899.82852979275</v>
      </c>
      <c r="CE27">
        <v>4440533.41</v>
      </c>
      <c r="CF27" t="s">
        <v>38</v>
      </c>
      <c r="CG27">
        <v>15000</v>
      </c>
      <c r="CH27">
        <v>86899.82852979275</v>
      </c>
      <c r="CI27">
        <v>926400</v>
      </c>
      <c r="CJ27">
        <v>5366933.41</v>
      </c>
      <c r="CK27" t="s">
        <v>57</v>
      </c>
      <c r="CL27" t="s">
        <v>3540</v>
      </c>
      <c r="CN27">
        <v>0</v>
      </c>
      <c r="CO27" t="s">
        <v>39</v>
      </c>
      <c r="CP27" t="s">
        <v>39</v>
      </c>
      <c r="CQ27" t="b">
        <v>1</v>
      </c>
      <c r="CR27" t="s">
        <v>8950</v>
      </c>
      <c r="CS27" t="s">
        <v>1167</v>
      </c>
      <c r="CT27" t="s">
        <v>8960</v>
      </c>
      <c r="CU27" t="s">
        <v>8974</v>
      </c>
      <c r="CV27" t="s">
        <v>5895</v>
      </c>
      <c r="CW27" t="s">
        <v>4895</v>
      </c>
      <c r="CX27" t="s">
        <v>3246</v>
      </c>
      <c r="CY27">
        <v>1.3400000000000034</v>
      </c>
      <c r="CZ27">
        <v>116445.77022992258</v>
      </c>
      <c r="DA27">
        <v>5366933.41</v>
      </c>
      <c r="DB27" t="s">
        <v>38</v>
      </c>
      <c r="DC27" t="b">
        <v>1</v>
      </c>
      <c r="DD27">
        <v>5366933.41</v>
      </c>
      <c r="DE27">
        <v>0</v>
      </c>
      <c r="DF27" t="b">
        <v>1</v>
      </c>
      <c r="DG27" s="420" cm="1">
        <f t="array" ref="DG27">_xlfn.XLOOKUP("Дом 4"&amp;Реестр_Д4[[#This Row],[№]]&amp;Реестр_Д4[[#This Row],[Статус]],РД[Дом]&amp;РД[№ кв]&amp;РД[Состояние],РД[Дата подачи на регистрацию],"-",0)</f>
        <v>44909</v>
      </c>
    </row>
    <row r="28" spans="1:111" x14ac:dyDescent="0.25">
      <c r="A28">
        <v>27</v>
      </c>
      <c r="B28" t="s">
        <v>6</v>
      </c>
      <c r="C28">
        <v>5</v>
      </c>
      <c r="D28">
        <v>3</v>
      </c>
      <c r="E28">
        <v>1</v>
      </c>
      <c r="F28">
        <v>12.25</v>
      </c>
      <c r="I28">
        <v>12.25</v>
      </c>
      <c r="J28">
        <v>11.65</v>
      </c>
      <c r="K28">
        <v>3.67</v>
      </c>
      <c r="N28">
        <v>6.55</v>
      </c>
      <c r="O28">
        <v>2.83</v>
      </c>
      <c r="Q28">
        <v>2.83</v>
      </c>
      <c r="R28">
        <v>36.950000000000003</v>
      </c>
      <c r="S28">
        <v>34.120000000000005</v>
      </c>
      <c r="T28">
        <v>35.54</v>
      </c>
      <c r="U28">
        <v>36.9</v>
      </c>
      <c r="V28">
        <v>71400</v>
      </c>
      <c r="W28">
        <v>3570</v>
      </c>
      <c r="X28">
        <v>74970</v>
      </c>
      <c r="Y28">
        <v>2998.8</v>
      </c>
      <c r="Z28">
        <v>77968.800000000003</v>
      </c>
      <c r="AA28">
        <v>3898.440000000001</v>
      </c>
      <c r="AB28">
        <v>81867.240000000005</v>
      </c>
      <c r="AC28">
        <v>10.069670520000001</v>
      </c>
      <c r="AD28">
        <v>81877.309670520001</v>
      </c>
      <c r="AF28">
        <v>81877.309670520001</v>
      </c>
      <c r="AH28">
        <v>81877.309670520001</v>
      </c>
      <c r="AJ28">
        <v>81877.309670520001</v>
      </c>
      <c r="AL28">
        <v>81877.309670520001</v>
      </c>
      <c r="AN28">
        <v>81877.309670520001</v>
      </c>
      <c r="AP28">
        <v>81877.309670520001</v>
      </c>
      <c r="AR28">
        <v>81877.309670520001</v>
      </c>
      <c r="AT28">
        <v>81877.309670520001</v>
      </c>
      <c r="AV28">
        <v>81877.309670520001</v>
      </c>
      <c r="AX28">
        <v>81877.309670520001</v>
      </c>
      <c r="AZ28">
        <v>81877.309670520001</v>
      </c>
      <c r="BB28">
        <v>81877.309670520001</v>
      </c>
      <c r="BD28">
        <v>81877.309670520001</v>
      </c>
      <c r="BF28">
        <v>81877.309670520001</v>
      </c>
      <c r="BH28">
        <v>81877.309670520001</v>
      </c>
      <c r="BJ28">
        <v>81877.309670520001</v>
      </c>
      <c r="BL28">
        <v>81877.309670520001</v>
      </c>
      <c r="BN28">
        <v>81877.309670520001</v>
      </c>
      <c r="BP28">
        <v>81877.309670520001</v>
      </c>
      <c r="BR28">
        <v>81877.309670520001</v>
      </c>
      <c r="BT28">
        <v>81877.309670520001</v>
      </c>
      <c r="BV28">
        <v>81877.309670520001</v>
      </c>
      <c r="BX28">
        <v>81877.309670520001</v>
      </c>
      <c r="BY28">
        <v>81877.31</v>
      </c>
      <c r="BZ28">
        <v>2909919.6</v>
      </c>
      <c r="CC28">
        <v>0</v>
      </c>
      <c r="CD28">
        <v>81877.31007315703</v>
      </c>
      <c r="CE28">
        <v>2909919.6</v>
      </c>
      <c r="CF28" t="s">
        <v>37</v>
      </c>
      <c r="CG28">
        <v>7500</v>
      </c>
      <c r="CH28">
        <v>89377.31007315703</v>
      </c>
      <c r="CI28">
        <v>266550</v>
      </c>
      <c r="CJ28">
        <v>3176469.6</v>
      </c>
      <c r="CN28">
        <v>0</v>
      </c>
      <c r="CO28" t="s">
        <v>39</v>
      </c>
      <c r="CP28" t="s">
        <v>39</v>
      </c>
      <c r="CQ28" t="b">
        <v>1</v>
      </c>
      <c r="CR28" t="s">
        <v>8950</v>
      </c>
      <c r="CS28" t="s">
        <v>1167</v>
      </c>
      <c r="CT28" t="s">
        <v>8960</v>
      </c>
      <c r="CU28" t="s">
        <v>8973</v>
      </c>
      <c r="CV28" t="s">
        <v>5896</v>
      </c>
      <c r="CW28" t="s">
        <v>4895</v>
      </c>
      <c r="CX28" t="s">
        <v>3246</v>
      </c>
      <c r="CY28">
        <v>1.3599999999999994</v>
      </c>
      <c r="CZ28">
        <v>121553.14169949348</v>
      </c>
      <c r="DA28">
        <v>3176469.6</v>
      </c>
      <c r="DB28" t="s">
        <v>37</v>
      </c>
      <c r="DC28" t="b">
        <v>1</v>
      </c>
      <c r="DD28">
        <v>3176469.6</v>
      </c>
      <c r="DE28">
        <v>0</v>
      </c>
      <c r="DF28" t="b">
        <v>1</v>
      </c>
      <c r="DG28" s="420" cm="1">
        <f t="array" ref="DG28">_xlfn.XLOOKUP("Дом 4"&amp;Реестр_Д4[[#This Row],[№]]&amp;Реестр_Д4[[#This Row],[Статус]],РД[Дом]&amp;РД[№ кв]&amp;РД[Состояние],РД[Дата подачи на регистрацию],"-",0)</f>
        <v>44900</v>
      </c>
    </row>
    <row r="29" spans="1:111" x14ac:dyDescent="0.25">
      <c r="A29">
        <v>28</v>
      </c>
      <c r="B29" t="s">
        <v>6</v>
      </c>
      <c r="C29">
        <v>5</v>
      </c>
      <c r="D29">
        <v>4</v>
      </c>
      <c r="E29">
        <v>2</v>
      </c>
      <c r="F29">
        <v>14.61</v>
      </c>
      <c r="G29">
        <v>11.01</v>
      </c>
      <c r="I29">
        <v>25.62</v>
      </c>
      <c r="J29">
        <v>14.77</v>
      </c>
      <c r="K29">
        <v>2.85</v>
      </c>
      <c r="L29">
        <v>2.4900000000000002</v>
      </c>
      <c r="N29">
        <v>8.7899999999999991</v>
      </c>
      <c r="O29">
        <v>3.01</v>
      </c>
      <c r="Q29">
        <v>3.01</v>
      </c>
      <c r="R29">
        <v>57.53</v>
      </c>
      <c r="S29">
        <v>54.52</v>
      </c>
      <c r="T29">
        <v>56.03</v>
      </c>
      <c r="U29">
        <v>58</v>
      </c>
      <c r="V29">
        <v>67972.800000000003</v>
      </c>
      <c r="W29">
        <v>3398.6400000000003</v>
      </c>
      <c r="X29">
        <v>71371.44</v>
      </c>
      <c r="Z29">
        <v>71371.44</v>
      </c>
      <c r="AA29">
        <v>3568.5720000000001</v>
      </c>
      <c r="AB29">
        <v>74940.012000000002</v>
      </c>
      <c r="AC29">
        <v>9.2176214760000015</v>
      </c>
      <c r="AD29">
        <v>74949.229621475999</v>
      </c>
      <c r="AF29">
        <v>74949.229621475999</v>
      </c>
      <c r="AH29">
        <v>74949.229621475999</v>
      </c>
      <c r="AJ29">
        <v>74949.229621475999</v>
      </c>
      <c r="AL29">
        <v>74949.229621475999</v>
      </c>
      <c r="AN29">
        <v>74949.229621475999</v>
      </c>
      <c r="AP29">
        <v>74949.229621475999</v>
      </c>
      <c r="AR29">
        <v>74949.229621475999</v>
      </c>
      <c r="AT29">
        <v>74949.229621475999</v>
      </c>
      <c r="AV29">
        <v>74949.229621475999</v>
      </c>
      <c r="AX29">
        <v>74949.229621475999</v>
      </c>
      <c r="AZ29">
        <v>74949.229621475999</v>
      </c>
      <c r="BB29">
        <v>74949.229621475999</v>
      </c>
      <c r="BD29">
        <v>74949.229621475999</v>
      </c>
      <c r="BF29">
        <v>74949.229621475999</v>
      </c>
      <c r="BH29">
        <v>74949.229621475999</v>
      </c>
      <c r="BJ29">
        <v>74949.229621475999</v>
      </c>
      <c r="BL29">
        <v>74949.229621475999</v>
      </c>
      <c r="BN29">
        <v>74949.229621475999</v>
      </c>
      <c r="BP29">
        <v>74949.229621475999</v>
      </c>
      <c r="BR29">
        <v>74949.229621475999</v>
      </c>
      <c r="BT29">
        <v>74949.229621475999</v>
      </c>
      <c r="BV29">
        <v>74949.229621475999</v>
      </c>
      <c r="BX29">
        <v>74949.229621475999</v>
      </c>
      <c r="BY29">
        <v>74949.23</v>
      </c>
      <c r="BZ29">
        <v>4199405.3600000003</v>
      </c>
      <c r="CC29">
        <v>0</v>
      </c>
      <c r="CD29">
        <v>74949.230055327527</v>
      </c>
      <c r="CE29">
        <v>4199405.3600000003</v>
      </c>
      <c r="CF29" t="s">
        <v>37</v>
      </c>
      <c r="CG29">
        <v>4000</v>
      </c>
      <c r="CH29">
        <v>78949.230055327527</v>
      </c>
      <c r="CI29">
        <v>224120</v>
      </c>
      <c r="CJ29">
        <v>4423525.3600000003</v>
      </c>
      <c r="CN29">
        <v>0</v>
      </c>
      <c r="CO29" t="s">
        <v>39</v>
      </c>
      <c r="CP29" t="s">
        <v>39</v>
      </c>
      <c r="CQ29" t="b">
        <v>1</v>
      </c>
      <c r="CR29" t="s">
        <v>8950</v>
      </c>
      <c r="CS29" t="s">
        <v>1167</v>
      </c>
      <c r="CT29" t="s">
        <v>8960</v>
      </c>
      <c r="CU29" t="s">
        <v>8971</v>
      </c>
      <c r="CV29" t="s">
        <v>5897</v>
      </c>
      <c r="CW29" t="s">
        <v>4895</v>
      </c>
      <c r="CX29" t="s">
        <v>3246</v>
      </c>
      <c r="CY29">
        <v>1.9699999999999989</v>
      </c>
      <c r="CZ29">
        <v>155529.98320899511</v>
      </c>
      <c r="DA29">
        <v>4423525.3600000003</v>
      </c>
      <c r="DB29" t="s">
        <v>37</v>
      </c>
      <c r="DC29" t="b">
        <v>1</v>
      </c>
      <c r="DD29">
        <v>4423525.3600000003</v>
      </c>
      <c r="DE29">
        <v>0</v>
      </c>
      <c r="DF29" t="b">
        <v>1</v>
      </c>
      <c r="DG29" s="420" cm="1">
        <f t="array" ref="DG29">_xlfn.XLOOKUP("Дом 4"&amp;Реестр_Д4[[#This Row],[№]]&amp;Реестр_Д4[[#This Row],[Статус]],РД[Дом]&amp;РД[№ кв]&amp;РД[Состояние],РД[Дата подачи на регистрацию],"-",0)</f>
        <v>44922</v>
      </c>
    </row>
    <row r="30" spans="1:111" x14ac:dyDescent="0.25">
      <c r="A30">
        <v>29</v>
      </c>
      <c r="B30" t="s">
        <v>6</v>
      </c>
      <c r="C30">
        <v>5</v>
      </c>
      <c r="D30">
        <v>5</v>
      </c>
      <c r="E30">
        <v>2</v>
      </c>
      <c r="F30">
        <v>14.86</v>
      </c>
      <c r="G30">
        <v>9.69</v>
      </c>
      <c r="I30">
        <v>24.55</v>
      </c>
      <c r="J30">
        <v>14.88</v>
      </c>
      <c r="K30">
        <v>2.83</v>
      </c>
      <c r="L30">
        <v>1.82</v>
      </c>
      <c r="N30">
        <v>9.26</v>
      </c>
      <c r="O30">
        <v>2.63</v>
      </c>
      <c r="Q30">
        <v>2.63</v>
      </c>
      <c r="R30">
        <v>55.97</v>
      </c>
      <c r="S30">
        <v>53.34</v>
      </c>
      <c r="T30">
        <v>54.66</v>
      </c>
      <c r="U30">
        <v>56.5</v>
      </c>
      <c r="V30">
        <v>67972.800000000003</v>
      </c>
      <c r="W30">
        <v>3398.6400000000003</v>
      </c>
      <c r="X30">
        <v>71371.44</v>
      </c>
      <c r="Z30">
        <v>71371.44</v>
      </c>
      <c r="AA30">
        <v>3568.5720000000001</v>
      </c>
      <c r="AB30">
        <v>74940.012000000002</v>
      </c>
      <c r="AC30">
        <v>9.2176214760000015</v>
      </c>
      <c r="AD30">
        <v>74949.229621475999</v>
      </c>
      <c r="AF30">
        <v>74949.229621475999</v>
      </c>
      <c r="AH30">
        <v>74949.229621475999</v>
      </c>
      <c r="AI30">
        <v>1498.98459242952</v>
      </c>
      <c r="AJ30">
        <v>76448.214213905521</v>
      </c>
      <c r="AK30">
        <v>764.48214213905521</v>
      </c>
      <c r="AL30">
        <v>77212.696356044573</v>
      </c>
      <c r="AM30">
        <v>1544.2539271208916</v>
      </c>
      <c r="AN30">
        <v>78756.950283165468</v>
      </c>
      <c r="AO30">
        <v>2362.708508494964</v>
      </c>
      <c r="AP30">
        <v>81119.658791660433</v>
      </c>
      <c r="AR30">
        <v>81119.658791660433</v>
      </c>
      <c r="AT30">
        <v>81119.658791660433</v>
      </c>
      <c r="AV30">
        <v>81119.658791660433</v>
      </c>
      <c r="AX30">
        <v>81119.658791660433</v>
      </c>
      <c r="AZ30">
        <v>81119.658791660433</v>
      </c>
      <c r="BB30">
        <v>81119.658791660433</v>
      </c>
      <c r="BD30">
        <v>81119.658791660433</v>
      </c>
      <c r="BF30">
        <v>81119.658791660433</v>
      </c>
      <c r="BH30">
        <v>81119.658791660433</v>
      </c>
      <c r="BJ30">
        <v>81119.658791660433</v>
      </c>
      <c r="BL30">
        <v>81119.658791660433</v>
      </c>
      <c r="BN30">
        <v>81119.658791660433</v>
      </c>
      <c r="BP30">
        <v>81119.658791660433</v>
      </c>
      <c r="BR30">
        <v>81119.658791660433</v>
      </c>
      <c r="BT30">
        <v>81119.658791660433</v>
      </c>
      <c r="BV30">
        <v>81119.658791660433</v>
      </c>
      <c r="BX30">
        <v>81119.658791660433</v>
      </c>
      <c r="BY30">
        <v>81119.66</v>
      </c>
      <c r="BZ30">
        <v>4434000.62</v>
      </c>
      <c r="CC30">
        <v>0</v>
      </c>
      <c r="CD30">
        <v>81119.660080497633</v>
      </c>
      <c r="CE30">
        <v>4434000.62</v>
      </c>
      <c r="CF30" t="s">
        <v>38</v>
      </c>
      <c r="CG30">
        <v>15000</v>
      </c>
      <c r="CH30">
        <v>96119.660080497633</v>
      </c>
      <c r="CI30">
        <v>819900</v>
      </c>
      <c r="CJ30">
        <v>5253900.62</v>
      </c>
      <c r="CN30">
        <v>0</v>
      </c>
      <c r="CO30" t="s">
        <v>39</v>
      </c>
      <c r="CP30" t="s">
        <v>39</v>
      </c>
      <c r="CQ30" t="b">
        <v>1</v>
      </c>
      <c r="CR30" t="s">
        <v>8950</v>
      </c>
      <c r="CS30" t="s">
        <v>1167</v>
      </c>
      <c r="CT30" t="s">
        <v>8960</v>
      </c>
      <c r="CU30" t="s">
        <v>8971</v>
      </c>
      <c r="CV30" t="s">
        <v>5898</v>
      </c>
      <c r="CW30" t="s">
        <v>4895</v>
      </c>
      <c r="CX30" t="s">
        <v>3246</v>
      </c>
      <c r="CY30">
        <v>1.8400000000000032</v>
      </c>
      <c r="CZ30">
        <v>176860.17454811596</v>
      </c>
      <c r="DA30">
        <v>5253900.62</v>
      </c>
      <c r="DB30" t="s">
        <v>38</v>
      </c>
      <c r="DC30" t="b">
        <v>1</v>
      </c>
      <c r="DD30">
        <v>5253900.62</v>
      </c>
      <c r="DE30">
        <v>0</v>
      </c>
      <c r="DF30" t="b">
        <v>1</v>
      </c>
      <c r="DG30" s="420" cm="1">
        <f t="array" ref="DG30">_xlfn.XLOOKUP("Дом 4"&amp;Реестр_Д4[[#This Row],[№]]&amp;Реестр_Д4[[#This Row],[Статус]],РД[Дом]&amp;РД[№ кв]&amp;РД[Состояние],РД[Дата подачи на регистрацию],"-",0)</f>
        <v>45105</v>
      </c>
    </row>
    <row r="31" spans="1:111" x14ac:dyDescent="0.25">
      <c r="A31">
        <v>30</v>
      </c>
      <c r="B31" t="s">
        <v>6</v>
      </c>
      <c r="C31">
        <v>5</v>
      </c>
      <c r="D31">
        <v>6</v>
      </c>
      <c r="E31">
        <v>2</v>
      </c>
      <c r="F31">
        <v>13.33</v>
      </c>
      <c r="G31">
        <v>13.23</v>
      </c>
      <c r="I31">
        <v>26.56</v>
      </c>
      <c r="J31">
        <v>16.25</v>
      </c>
      <c r="K31">
        <v>3.18</v>
      </c>
      <c r="L31">
        <v>2.14</v>
      </c>
      <c r="M31">
        <v>5.14</v>
      </c>
      <c r="N31">
        <v>5.19</v>
      </c>
      <c r="O31">
        <v>2.81</v>
      </c>
      <c r="Q31">
        <v>2.81</v>
      </c>
      <c r="R31">
        <v>61.27</v>
      </c>
      <c r="S31">
        <v>58.46</v>
      </c>
      <c r="T31">
        <v>59.87</v>
      </c>
      <c r="U31">
        <v>61.29999999999999</v>
      </c>
      <c r="V31">
        <v>73304</v>
      </c>
      <c r="W31">
        <v>3665.2</v>
      </c>
      <c r="X31">
        <v>76969.2</v>
      </c>
      <c r="Z31">
        <v>76969.2</v>
      </c>
      <c r="AA31">
        <v>3848.46</v>
      </c>
      <c r="AB31">
        <v>80817.66</v>
      </c>
      <c r="AC31">
        <v>9.940572180000002</v>
      </c>
      <c r="AD31">
        <v>80827.600572180003</v>
      </c>
      <c r="AF31">
        <v>80827.600572180003</v>
      </c>
      <c r="AH31">
        <v>80827.600572180003</v>
      </c>
      <c r="AI31">
        <v>1616.5520114435999</v>
      </c>
      <c r="AJ31">
        <v>82444.152583623596</v>
      </c>
      <c r="AK31">
        <v>2473.324577508708</v>
      </c>
      <c r="AL31">
        <v>84917.477161132309</v>
      </c>
      <c r="AM31">
        <v>3396.6990864452923</v>
      </c>
      <c r="AN31">
        <v>88314.176247577605</v>
      </c>
      <c r="AP31">
        <v>88314.176247577605</v>
      </c>
      <c r="AR31">
        <v>88314.176247577605</v>
      </c>
      <c r="AT31">
        <v>88314.176247577605</v>
      </c>
      <c r="AV31">
        <v>88314.176247577605</v>
      </c>
      <c r="AX31">
        <v>88314.176247577605</v>
      </c>
      <c r="AZ31">
        <v>88314.176247577605</v>
      </c>
      <c r="BB31">
        <v>88314.176247577605</v>
      </c>
      <c r="BD31">
        <v>88314.176247577605</v>
      </c>
      <c r="BF31">
        <v>88314.176247577605</v>
      </c>
      <c r="BH31">
        <v>88314.176247577605</v>
      </c>
      <c r="BJ31">
        <v>88314.176247577605</v>
      </c>
      <c r="BL31">
        <v>88314.176247577605</v>
      </c>
      <c r="BN31">
        <v>88314.176247577605</v>
      </c>
      <c r="BP31">
        <v>88314.176247577605</v>
      </c>
      <c r="BR31">
        <v>88314.176247577605</v>
      </c>
      <c r="BT31">
        <v>88314.176247577605</v>
      </c>
      <c r="BV31">
        <v>88314.176247577605</v>
      </c>
      <c r="BX31">
        <v>88314.176247577605</v>
      </c>
      <c r="BY31">
        <v>88314.18</v>
      </c>
      <c r="BZ31">
        <v>5287369.96</v>
      </c>
      <c r="CC31">
        <v>0</v>
      </c>
      <c r="CD31">
        <v>88314.180056789715</v>
      </c>
      <c r="CE31">
        <v>5287369.96</v>
      </c>
      <c r="CF31" t="s">
        <v>38</v>
      </c>
      <c r="CG31">
        <v>15000</v>
      </c>
      <c r="CH31">
        <v>103314.18005678972</v>
      </c>
      <c r="CI31">
        <v>898050</v>
      </c>
      <c r="CJ31">
        <v>6185419.96</v>
      </c>
      <c r="CK31" t="s">
        <v>57</v>
      </c>
      <c r="CN31">
        <v>0</v>
      </c>
      <c r="CO31" t="s">
        <v>39</v>
      </c>
      <c r="CP31" t="s">
        <v>39</v>
      </c>
      <c r="CQ31" t="b">
        <v>1</v>
      </c>
      <c r="CR31" t="s">
        <v>8950</v>
      </c>
      <c r="CS31" t="s">
        <v>1167</v>
      </c>
      <c r="CT31" t="s">
        <v>8960</v>
      </c>
      <c r="CU31" t="s">
        <v>8971</v>
      </c>
      <c r="CV31" t="s">
        <v>5899</v>
      </c>
      <c r="CW31" t="s">
        <v>4895</v>
      </c>
      <c r="CX31" t="s">
        <v>3246</v>
      </c>
      <c r="CY31">
        <v>1.4299999999999926</v>
      </c>
      <c r="CZ31">
        <v>147739.27748120853</v>
      </c>
      <c r="DA31">
        <v>6185419.96</v>
      </c>
      <c r="DB31" t="s">
        <v>38</v>
      </c>
      <c r="DC31" t="b">
        <v>1</v>
      </c>
      <c r="DD31">
        <v>6185419.96</v>
      </c>
      <c r="DE31">
        <v>0</v>
      </c>
      <c r="DF31" t="b">
        <v>1</v>
      </c>
      <c r="DG31" s="420" cm="1">
        <f t="array" ref="DG31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32" spans="1:111" x14ac:dyDescent="0.25">
      <c r="A32">
        <v>31</v>
      </c>
      <c r="B32" t="s">
        <v>6</v>
      </c>
      <c r="C32">
        <v>5</v>
      </c>
      <c r="D32">
        <v>7</v>
      </c>
      <c r="E32">
        <v>0</v>
      </c>
      <c r="F32">
        <v>8.2799999999999994</v>
      </c>
      <c r="I32">
        <v>8.2799999999999994</v>
      </c>
      <c r="J32">
        <v>5.3</v>
      </c>
      <c r="K32">
        <v>3.38</v>
      </c>
      <c r="N32">
        <v>3.17</v>
      </c>
      <c r="O32">
        <v>3.23</v>
      </c>
      <c r="Q32">
        <v>3.23</v>
      </c>
      <c r="R32">
        <v>23.36</v>
      </c>
      <c r="S32">
        <v>20.13</v>
      </c>
      <c r="T32">
        <v>21.75</v>
      </c>
      <c r="U32">
        <v>22.6</v>
      </c>
      <c r="V32">
        <v>75600</v>
      </c>
      <c r="W32">
        <v>3780</v>
      </c>
      <c r="X32">
        <v>79380</v>
      </c>
      <c r="Z32">
        <v>79380</v>
      </c>
      <c r="AB32">
        <v>79380</v>
      </c>
      <c r="AC32">
        <v>9.7637400000000003</v>
      </c>
      <c r="AD32">
        <v>79389.763739999995</v>
      </c>
      <c r="AE32">
        <v>3969.4881869999999</v>
      </c>
      <c r="AF32">
        <v>83359.25192699999</v>
      </c>
      <c r="AG32">
        <v>8335.9251926999987</v>
      </c>
      <c r="AH32">
        <v>91695.177119699991</v>
      </c>
      <c r="AJ32">
        <v>91695.177119699991</v>
      </c>
      <c r="AL32">
        <v>91695.177119699991</v>
      </c>
      <c r="AN32">
        <v>91695.177119699991</v>
      </c>
      <c r="AP32">
        <v>91695.177119699991</v>
      </c>
      <c r="AR32">
        <v>91695.177119699991</v>
      </c>
      <c r="AT32">
        <v>91695.177119699991</v>
      </c>
      <c r="AV32">
        <v>91695.177119699991</v>
      </c>
      <c r="AX32">
        <v>91695.177119699991</v>
      </c>
      <c r="AZ32">
        <v>91695.177119699991</v>
      </c>
      <c r="BB32">
        <v>91695.177119699991</v>
      </c>
      <c r="BD32">
        <v>91695.177119699991</v>
      </c>
      <c r="BF32">
        <v>91695.177119699991</v>
      </c>
      <c r="BH32">
        <v>91695.177119699991</v>
      </c>
      <c r="BJ32">
        <v>91695.177119699991</v>
      </c>
      <c r="BL32">
        <v>91695.177119699991</v>
      </c>
      <c r="BN32">
        <v>91695.177119699991</v>
      </c>
      <c r="BP32">
        <v>91695.177119699991</v>
      </c>
      <c r="BR32">
        <v>91695.177119699991</v>
      </c>
      <c r="BT32">
        <v>91695.177119699991</v>
      </c>
      <c r="BV32">
        <v>91695.177119699991</v>
      </c>
      <c r="BX32">
        <v>91695.177119699991</v>
      </c>
      <c r="BY32">
        <v>91695.18</v>
      </c>
      <c r="BZ32">
        <v>1994370.17</v>
      </c>
      <c r="CC32">
        <v>0</v>
      </c>
      <c r="CD32">
        <v>91695.180229885053</v>
      </c>
      <c r="CE32">
        <v>1994370.17</v>
      </c>
      <c r="CF32" t="s">
        <v>38</v>
      </c>
      <c r="CG32">
        <v>15000</v>
      </c>
      <c r="CH32">
        <v>106695.18022988504</v>
      </c>
      <c r="CI32">
        <v>326250</v>
      </c>
      <c r="CJ32">
        <v>2320620.17</v>
      </c>
      <c r="CK32" t="s">
        <v>57</v>
      </c>
      <c r="CN32">
        <v>0</v>
      </c>
      <c r="CO32" t="s">
        <v>39</v>
      </c>
      <c r="CP32" t="s">
        <v>39</v>
      </c>
      <c r="CQ32" t="b">
        <v>1</v>
      </c>
      <c r="CR32" t="s">
        <v>8950</v>
      </c>
      <c r="CS32" t="s">
        <v>1167</v>
      </c>
      <c r="CT32" t="s">
        <v>8960</v>
      </c>
      <c r="CU32" t="s">
        <v>8970</v>
      </c>
      <c r="CV32" t="s">
        <v>5900</v>
      </c>
      <c r="CW32" t="s">
        <v>4895</v>
      </c>
      <c r="CX32" t="s">
        <v>3246</v>
      </c>
      <c r="CY32">
        <v>0.84999999999999787</v>
      </c>
      <c r="CZ32">
        <v>90690.903195402061</v>
      </c>
      <c r="DA32">
        <v>2320620.17</v>
      </c>
      <c r="DB32" t="s">
        <v>38</v>
      </c>
      <c r="DC32" t="b">
        <v>1</v>
      </c>
      <c r="DD32">
        <v>2320620.17</v>
      </c>
      <c r="DE32">
        <v>0</v>
      </c>
      <c r="DF32" t="b">
        <v>1</v>
      </c>
      <c r="DG32" s="420" cm="1">
        <f t="array" ref="DG32">_xlfn.XLOOKUP("Дом 4"&amp;Реестр_Д4[[#This Row],[№]]&amp;Реестр_Д4[[#This Row],[Статус]],РД[Дом]&amp;РД[№ кв]&amp;РД[Состояние],РД[Дата подачи на регистрацию],"-",0)</f>
        <v>45020</v>
      </c>
    </row>
    <row r="33" spans="1:111" x14ac:dyDescent="0.25">
      <c r="A33">
        <v>32</v>
      </c>
      <c r="B33" t="s">
        <v>6</v>
      </c>
      <c r="C33">
        <v>5</v>
      </c>
      <c r="D33">
        <v>8</v>
      </c>
      <c r="E33">
        <v>0</v>
      </c>
      <c r="F33">
        <v>8.2899999999999991</v>
      </c>
      <c r="I33">
        <v>8.2899999999999991</v>
      </c>
      <c r="J33">
        <v>5.3</v>
      </c>
      <c r="K33">
        <v>3.38</v>
      </c>
      <c r="N33">
        <v>3.17</v>
      </c>
      <c r="O33">
        <v>3.17</v>
      </c>
      <c r="Q33">
        <v>3.17</v>
      </c>
      <c r="R33">
        <v>23.31</v>
      </c>
      <c r="S33">
        <v>20.14</v>
      </c>
      <c r="T33">
        <v>21.73</v>
      </c>
      <c r="U33">
        <v>22.3</v>
      </c>
      <c r="V33">
        <v>75600</v>
      </c>
      <c r="W33">
        <v>3780</v>
      </c>
      <c r="X33">
        <v>79380</v>
      </c>
      <c r="Z33">
        <v>79380</v>
      </c>
      <c r="AB33">
        <v>79380</v>
      </c>
      <c r="AC33">
        <v>9.7637400000000003</v>
      </c>
      <c r="AD33">
        <v>79389.763739999995</v>
      </c>
      <c r="AE33">
        <v>3969.4881869999999</v>
      </c>
      <c r="AF33">
        <v>83359.25192699999</v>
      </c>
      <c r="AG33">
        <v>8335.9251926999987</v>
      </c>
      <c r="AH33">
        <v>91695.177119699991</v>
      </c>
      <c r="AJ33">
        <v>91695.177119699991</v>
      </c>
      <c r="AK33">
        <v>2750.8553135909997</v>
      </c>
      <c r="AL33">
        <v>94446.032433290995</v>
      </c>
      <c r="AM33">
        <v>3777.8412973316399</v>
      </c>
      <c r="AN33">
        <v>98223.873730622639</v>
      </c>
      <c r="AO33">
        <v>4911.1936865311318</v>
      </c>
      <c r="AP33">
        <v>103135.06741715375</v>
      </c>
      <c r="AR33">
        <v>103135.06741715375</v>
      </c>
      <c r="AT33">
        <v>103135.06741715375</v>
      </c>
      <c r="AV33">
        <v>103135.06741715375</v>
      </c>
      <c r="AX33">
        <v>103135.06741715375</v>
      </c>
      <c r="AZ33">
        <v>103135.06741715375</v>
      </c>
      <c r="BB33">
        <v>103135.06741715375</v>
      </c>
      <c r="BD33">
        <v>103135.06741715375</v>
      </c>
      <c r="BF33">
        <v>103135.06741715375</v>
      </c>
      <c r="BH33">
        <v>103135.06741715375</v>
      </c>
      <c r="BJ33">
        <v>103135.06741715375</v>
      </c>
      <c r="BL33">
        <v>103135.06741715375</v>
      </c>
      <c r="BN33">
        <v>103135.06741715375</v>
      </c>
      <c r="BP33">
        <v>103135.06741715375</v>
      </c>
      <c r="BR33">
        <v>103135.06741715375</v>
      </c>
      <c r="BT33">
        <v>103135.06741715375</v>
      </c>
      <c r="BV33">
        <v>103135.06741715375</v>
      </c>
      <c r="BX33">
        <v>103135.06741715375</v>
      </c>
      <c r="BY33">
        <v>103135.07</v>
      </c>
      <c r="BZ33">
        <v>2241125.0699999998</v>
      </c>
      <c r="CC33">
        <v>0</v>
      </c>
      <c r="CD33">
        <v>103135.06994937873</v>
      </c>
      <c r="CE33">
        <v>2241125.0699999998</v>
      </c>
      <c r="CF33" t="s">
        <v>38</v>
      </c>
      <c r="CG33">
        <v>15000</v>
      </c>
      <c r="CH33">
        <v>118135.06994937873</v>
      </c>
      <c r="CI33">
        <v>325950</v>
      </c>
      <c r="CJ33">
        <v>2567075.0699999998</v>
      </c>
      <c r="CK33" t="s">
        <v>57</v>
      </c>
      <c r="CN33">
        <v>0</v>
      </c>
      <c r="CO33" t="s">
        <v>39</v>
      </c>
      <c r="CP33" t="s">
        <v>39</v>
      </c>
      <c r="CQ33" t="b">
        <v>1</v>
      </c>
      <c r="CR33" t="s">
        <v>8950</v>
      </c>
      <c r="CS33" t="s">
        <v>1167</v>
      </c>
      <c r="CT33" t="s">
        <v>8960</v>
      </c>
      <c r="CU33" t="s">
        <v>8970</v>
      </c>
      <c r="CV33" t="s">
        <v>5901</v>
      </c>
      <c r="CW33" t="s">
        <v>4895</v>
      </c>
      <c r="CX33" t="s">
        <v>3246</v>
      </c>
      <c r="CY33">
        <v>0.57000000000000028</v>
      </c>
      <c r="CZ33">
        <v>67336.98987114591</v>
      </c>
      <c r="DA33">
        <v>2567075.0699999998</v>
      </c>
      <c r="DB33" t="s">
        <v>38</v>
      </c>
      <c r="DC33" t="b">
        <v>1</v>
      </c>
      <c r="DD33">
        <v>2567075.0699999998</v>
      </c>
      <c r="DE33">
        <v>0</v>
      </c>
      <c r="DF33" t="b">
        <v>1</v>
      </c>
      <c r="DG33" s="420" cm="1">
        <f t="array" ref="DG33">_xlfn.XLOOKUP("Дом 4"&amp;Реестр_Д4[[#This Row],[№]]&amp;Реестр_Д4[[#This Row],[Статус]],РД[Дом]&amp;РД[№ кв]&amp;РД[Состояние],РД[Дата подачи на регистрацию],"-",0)</f>
        <v>45098</v>
      </c>
    </row>
    <row r="34" spans="1:111" x14ac:dyDescent="0.25">
      <c r="A34">
        <v>33</v>
      </c>
      <c r="B34" t="s">
        <v>6</v>
      </c>
      <c r="C34">
        <v>6</v>
      </c>
      <c r="D34">
        <v>1</v>
      </c>
      <c r="E34">
        <v>1</v>
      </c>
      <c r="F34">
        <v>13.93</v>
      </c>
      <c r="I34">
        <v>13.93</v>
      </c>
      <c r="J34">
        <v>9.18</v>
      </c>
      <c r="K34">
        <v>3.65</v>
      </c>
      <c r="N34">
        <v>5.52</v>
      </c>
      <c r="O34">
        <v>2.4900000000000002</v>
      </c>
      <c r="Q34">
        <v>2.4900000000000002</v>
      </c>
      <c r="R34">
        <v>34.770000000000003</v>
      </c>
      <c r="S34">
        <v>32.28</v>
      </c>
      <c r="T34">
        <v>33.53</v>
      </c>
      <c r="U34">
        <v>34.5</v>
      </c>
      <c r="V34">
        <v>70700</v>
      </c>
      <c r="W34">
        <v>3535</v>
      </c>
      <c r="X34">
        <v>74235</v>
      </c>
      <c r="Y34">
        <v>2969.4</v>
      </c>
      <c r="Z34">
        <v>77204.399999999994</v>
      </c>
      <c r="AA34">
        <v>3860.22</v>
      </c>
      <c r="AB34">
        <v>81064.62</v>
      </c>
      <c r="AC34">
        <v>9.9709482600000001</v>
      </c>
      <c r="AD34">
        <v>81074.590948259996</v>
      </c>
      <c r="AE34">
        <v>4053.7295474130001</v>
      </c>
      <c r="AF34">
        <v>85128.32049567299</v>
      </c>
      <c r="AH34">
        <v>85128.32049567299</v>
      </c>
      <c r="AI34">
        <v>2553.8496148701897</v>
      </c>
      <c r="AJ34">
        <v>87682.170110543186</v>
      </c>
      <c r="AK34">
        <v>2630.4651033162954</v>
      </c>
      <c r="AL34">
        <v>90312.635213859481</v>
      </c>
      <c r="AM34">
        <v>3612.5054085543793</v>
      </c>
      <c r="AN34">
        <v>93925.140622413863</v>
      </c>
      <c r="AO34">
        <v>1878.5028124482776</v>
      </c>
      <c r="AP34">
        <v>95803.643434862141</v>
      </c>
      <c r="AR34">
        <v>95803.643434862141</v>
      </c>
      <c r="AT34">
        <v>95803.643434862141</v>
      </c>
      <c r="AV34">
        <v>95803.643434862141</v>
      </c>
      <c r="AX34">
        <v>95803.643434862141</v>
      </c>
      <c r="AZ34">
        <v>95803.643434862141</v>
      </c>
      <c r="BB34">
        <v>95803.643434862141</v>
      </c>
      <c r="BD34">
        <v>95803.643434862141</v>
      </c>
      <c r="BF34">
        <v>95803.643434862141</v>
      </c>
      <c r="BH34">
        <v>95803.643434862141</v>
      </c>
      <c r="BJ34">
        <v>95803.643434862141</v>
      </c>
      <c r="BL34">
        <v>95803.643434862141</v>
      </c>
      <c r="BN34">
        <v>95803.643434862141</v>
      </c>
      <c r="BP34">
        <v>95803.643434862141</v>
      </c>
      <c r="BR34">
        <v>95803.643434862141</v>
      </c>
      <c r="BT34">
        <v>95803.643434862141</v>
      </c>
      <c r="BV34">
        <v>95803.643434862141</v>
      </c>
      <c r="BX34">
        <v>95803.643434862141</v>
      </c>
      <c r="BY34">
        <v>95803.64</v>
      </c>
      <c r="BZ34">
        <v>3212296.05</v>
      </c>
      <c r="CC34">
        <v>0</v>
      </c>
      <c r="CD34">
        <v>95803.640023859218</v>
      </c>
      <c r="CE34">
        <v>3212296.05</v>
      </c>
      <c r="CF34" t="s">
        <v>38</v>
      </c>
      <c r="CG34">
        <v>15000</v>
      </c>
      <c r="CH34">
        <v>110803.64002385922</v>
      </c>
      <c r="CI34">
        <v>502950</v>
      </c>
      <c r="CJ34">
        <v>3715246.05</v>
      </c>
      <c r="CK34" t="s">
        <v>57</v>
      </c>
      <c r="CN34">
        <v>0</v>
      </c>
      <c r="CO34" t="s">
        <v>39</v>
      </c>
      <c r="CP34" t="s">
        <v>39</v>
      </c>
      <c r="CQ34" t="b">
        <v>1</v>
      </c>
      <c r="CR34" t="s">
        <v>8950</v>
      </c>
      <c r="CS34" t="s">
        <v>1167</v>
      </c>
      <c r="CT34" t="s">
        <v>8960</v>
      </c>
      <c r="CU34" t="s">
        <v>8973</v>
      </c>
      <c r="CV34" t="s">
        <v>5902</v>
      </c>
      <c r="CW34" t="s">
        <v>4895</v>
      </c>
      <c r="CX34" t="s">
        <v>3246</v>
      </c>
      <c r="CY34">
        <v>0.96999999999999886</v>
      </c>
      <c r="CZ34">
        <v>107479.53082314332</v>
      </c>
      <c r="DA34">
        <v>3715246.05</v>
      </c>
      <c r="DB34" t="s">
        <v>38</v>
      </c>
      <c r="DC34" t="b">
        <v>1</v>
      </c>
      <c r="DD34">
        <v>3715246.05</v>
      </c>
      <c r="DE34">
        <v>0</v>
      </c>
      <c r="DF34" t="b">
        <v>1</v>
      </c>
      <c r="DG34" s="420" cm="1">
        <f t="array" ref="DG34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35" spans="1:111" x14ac:dyDescent="0.25">
      <c r="A35">
        <v>34</v>
      </c>
      <c r="B35" t="s">
        <v>6</v>
      </c>
      <c r="C35">
        <v>6</v>
      </c>
      <c r="D35">
        <v>2</v>
      </c>
      <c r="E35">
        <v>2</v>
      </c>
      <c r="F35">
        <v>16.55</v>
      </c>
      <c r="G35">
        <v>14.04</v>
      </c>
      <c r="I35">
        <v>30.59</v>
      </c>
      <c r="J35">
        <v>13.35</v>
      </c>
      <c r="K35">
        <v>3.69</v>
      </c>
      <c r="L35">
        <v>1.92</v>
      </c>
      <c r="N35">
        <v>9.48</v>
      </c>
      <c r="O35">
        <v>2.91</v>
      </c>
      <c r="P35">
        <v>2.5499999999999998</v>
      </c>
      <c r="Q35">
        <v>5.46</v>
      </c>
      <c r="R35">
        <v>64.489999999999995</v>
      </c>
      <c r="S35">
        <v>59.029999999999994</v>
      </c>
      <c r="T35">
        <v>61.76</v>
      </c>
      <c r="U35">
        <v>63.400000000000006</v>
      </c>
      <c r="V35">
        <v>68639.199999999997</v>
      </c>
      <c r="W35">
        <v>3431.96</v>
      </c>
      <c r="X35">
        <v>72071.16</v>
      </c>
      <c r="Z35">
        <v>72071.16</v>
      </c>
      <c r="AA35">
        <v>3603.558</v>
      </c>
      <c r="AB35">
        <v>75674.717999999993</v>
      </c>
      <c r="AC35">
        <v>9.3079903140000013</v>
      </c>
      <c r="AD35">
        <v>75684.02599031401</v>
      </c>
      <c r="AF35">
        <v>75684.02599031401</v>
      </c>
      <c r="AH35">
        <v>75684.02599031401</v>
      </c>
      <c r="AJ35">
        <v>75684.02599031401</v>
      </c>
      <c r="AL35">
        <v>75684.02599031401</v>
      </c>
      <c r="AN35">
        <v>75684.02599031401</v>
      </c>
      <c r="AP35">
        <v>75684.02599031401</v>
      </c>
      <c r="AR35">
        <v>75684.02599031401</v>
      </c>
      <c r="AT35">
        <v>75684.02599031401</v>
      </c>
      <c r="AV35">
        <v>75684.02599031401</v>
      </c>
      <c r="AX35">
        <v>75684.02599031401</v>
      </c>
      <c r="AZ35">
        <v>75684.02599031401</v>
      </c>
      <c r="BB35">
        <v>75684.02599031401</v>
      </c>
      <c r="BD35">
        <v>75684.02599031401</v>
      </c>
      <c r="BF35">
        <v>75684.02599031401</v>
      </c>
      <c r="BH35">
        <v>75684.02599031401</v>
      </c>
      <c r="BJ35">
        <v>75684.02599031401</v>
      </c>
      <c r="BL35">
        <v>75684.02599031401</v>
      </c>
      <c r="BN35">
        <v>75684.02599031401</v>
      </c>
      <c r="BP35">
        <v>75684.02599031401</v>
      </c>
      <c r="BR35">
        <v>75684.02599031401</v>
      </c>
      <c r="BT35">
        <v>75684.02599031401</v>
      </c>
      <c r="BV35">
        <v>75684.02599031401</v>
      </c>
      <c r="BX35">
        <v>75684.02599031401</v>
      </c>
      <c r="BY35">
        <v>75684.03</v>
      </c>
      <c r="BZ35">
        <v>4674245.6900000004</v>
      </c>
      <c r="CB35">
        <v>0.03</v>
      </c>
      <c r="CC35">
        <v>140227.3707</v>
      </c>
      <c r="CD35">
        <v>73413.509067357518</v>
      </c>
      <c r="CE35">
        <v>4534018.32</v>
      </c>
      <c r="CF35" t="s">
        <v>38</v>
      </c>
      <c r="CG35">
        <v>15000</v>
      </c>
      <c r="CH35">
        <v>88413.509067357518</v>
      </c>
      <c r="CI35">
        <v>926400</v>
      </c>
      <c r="CJ35">
        <v>5460418.3200000003</v>
      </c>
      <c r="CK35" t="s">
        <v>57</v>
      </c>
      <c r="CL35" t="s">
        <v>3540</v>
      </c>
      <c r="CN35">
        <v>0</v>
      </c>
      <c r="CO35" t="s">
        <v>39</v>
      </c>
      <c r="CP35" t="s">
        <v>39</v>
      </c>
      <c r="CQ35" t="b">
        <v>1</v>
      </c>
      <c r="CR35" t="s">
        <v>8950</v>
      </c>
      <c r="CS35" t="s">
        <v>1167</v>
      </c>
      <c r="CT35" t="s">
        <v>8960</v>
      </c>
      <c r="CU35" t="s">
        <v>8974</v>
      </c>
      <c r="CV35" t="s">
        <v>5903</v>
      </c>
      <c r="CW35" t="s">
        <v>4895</v>
      </c>
      <c r="CX35" t="s">
        <v>3246</v>
      </c>
      <c r="CY35">
        <v>1.6400000000000077</v>
      </c>
      <c r="CZ35">
        <v>144998.154870467</v>
      </c>
      <c r="DA35">
        <v>5460418.3200000003</v>
      </c>
      <c r="DB35" t="s">
        <v>38</v>
      </c>
      <c r="DC35" t="b">
        <v>1</v>
      </c>
      <c r="DD35">
        <v>5460418.3200000003</v>
      </c>
      <c r="DE35">
        <v>0</v>
      </c>
      <c r="DF35" t="b">
        <v>1</v>
      </c>
      <c r="DG35" s="420" cm="1">
        <f t="array" ref="DG35">_xlfn.XLOOKUP("Дом 4"&amp;Реестр_Д4[[#This Row],[№]]&amp;Реестр_Д4[[#This Row],[Статус]],РД[Дом]&amp;РД[№ кв]&amp;РД[Состояние],РД[Дата подачи на регистрацию],"-",0)</f>
        <v>44985</v>
      </c>
    </row>
    <row r="36" spans="1:111" x14ac:dyDescent="0.25">
      <c r="A36">
        <v>35</v>
      </c>
      <c r="B36" t="s">
        <v>6</v>
      </c>
      <c r="C36">
        <v>6</v>
      </c>
      <c r="D36">
        <v>3</v>
      </c>
      <c r="E36">
        <v>1</v>
      </c>
      <c r="F36">
        <v>12.25</v>
      </c>
      <c r="I36">
        <v>12.25</v>
      </c>
      <c r="J36">
        <v>11.65</v>
      </c>
      <c r="K36">
        <v>3.67</v>
      </c>
      <c r="N36">
        <v>6.55</v>
      </c>
      <c r="O36">
        <v>2.83</v>
      </c>
      <c r="Q36">
        <v>2.83</v>
      </c>
      <c r="R36">
        <v>36.950000000000003</v>
      </c>
      <c r="S36">
        <v>34.120000000000005</v>
      </c>
      <c r="T36">
        <v>35.54</v>
      </c>
      <c r="U36">
        <v>36.700000000000003</v>
      </c>
      <c r="V36">
        <v>71400</v>
      </c>
      <c r="W36">
        <v>3570</v>
      </c>
      <c r="X36">
        <v>74970</v>
      </c>
      <c r="Y36">
        <v>2998.8</v>
      </c>
      <c r="Z36">
        <v>77968.800000000003</v>
      </c>
      <c r="AA36">
        <v>3898.440000000001</v>
      </c>
      <c r="AB36">
        <v>81867.240000000005</v>
      </c>
      <c r="AC36">
        <v>10.069670520000001</v>
      </c>
      <c r="AD36">
        <v>81877.309670520001</v>
      </c>
      <c r="AE36">
        <v>4093.8654835259999</v>
      </c>
      <c r="AF36">
        <v>85971.175154045995</v>
      </c>
      <c r="AH36">
        <v>85971.175154045995</v>
      </c>
      <c r="AJ36">
        <v>85971.175154045995</v>
      </c>
      <c r="AL36">
        <v>85971.175154045995</v>
      </c>
      <c r="AN36">
        <v>85971.175154045995</v>
      </c>
      <c r="AP36">
        <v>85971.175154045995</v>
      </c>
      <c r="AR36">
        <v>85971.175154045995</v>
      </c>
      <c r="AT36">
        <v>85971.175154045995</v>
      </c>
      <c r="AV36">
        <v>85971.175154045995</v>
      </c>
      <c r="AX36">
        <v>85971.175154045995</v>
      </c>
      <c r="AZ36">
        <v>85971.175154045995</v>
      </c>
      <c r="BB36">
        <v>85971.175154045995</v>
      </c>
      <c r="BD36">
        <v>85971.175154045995</v>
      </c>
      <c r="BF36">
        <v>85971.175154045995</v>
      </c>
      <c r="BH36">
        <v>85971.175154045995</v>
      </c>
      <c r="BJ36">
        <v>85971.175154045995</v>
      </c>
      <c r="BL36">
        <v>85971.175154045995</v>
      </c>
      <c r="BN36">
        <v>85971.175154045995</v>
      </c>
      <c r="BP36">
        <v>85971.175154045995</v>
      </c>
      <c r="BR36">
        <v>85971.175154045995</v>
      </c>
      <c r="BT36">
        <v>85971.175154045995</v>
      </c>
      <c r="BV36">
        <v>85971.175154045995</v>
      </c>
      <c r="BX36">
        <v>85971.175154045995</v>
      </c>
      <c r="BY36">
        <v>85971.18</v>
      </c>
      <c r="BZ36">
        <v>3055415.74</v>
      </c>
      <c r="CB36">
        <v>0.05</v>
      </c>
      <c r="CC36">
        <v>152770.78700000001</v>
      </c>
      <c r="CD36">
        <v>81672.620990433323</v>
      </c>
      <c r="CE36">
        <v>2902644.95</v>
      </c>
      <c r="CF36" t="s">
        <v>37</v>
      </c>
      <c r="CG36">
        <v>4000</v>
      </c>
      <c r="CH36">
        <v>85672.620990433323</v>
      </c>
      <c r="CI36">
        <v>142160</v>
      </c>
      <c r="CJ36">
        <v>3044804.95</v>
      </c>
      <c r="CL36" t="s">
        <v>3540</v>
      </c>
      <c r="CN36">
        <v>0</v>
      </c>
      <c r="CO36" t="s">
        <v>39</v>
      </c>
      <c r="CP36" t="s">
        <v>39</v>
      </c>
      <c r="CQ36" t="b">
        <v>1</v>
      </c>
      <c r="CR36" t="s">
        <v>8950</v>
      </c>
      <c r="CS36" t="s">
        <v>1167</v>
      </c>
      <c r="CT36" t="s">
        <v>8960</v>
      </c>
      <c r="CU36" t="s">
        <v>8973</v>
      </c>
      <c r="CV36" t="s">
        <v>5904</v>
      </c>
      <c r="CW36" t="s">
        <v>4895</v>
      </c>
      <c r="CX36" t="s">
        <v>3246</v>
      </c>
      <c r="CY36">
        <v>1.1599999999999966</v>
      </c>
      <c r="CZ36">
        <v>99380.240348902356</v>
      </c>
      <c r="DA36">
        <v>3044804.95</v>
      </c>
      <c r="DB36" t="s">
        <v>37</v>
      </c>
      <c r="DC36" t="b">
        <v>1</v>
      </c>
      <c r="DD36">
        <v>3044804.95</v>
      </c>
      <c r="DE36">
        <v>0</v>
      </c>
      <c r="DF36" t="b">
        <v>1</v>
      </c>
      <c r="DG36" s="420" cm="1">
        <f t="array" ref="DG36">_xlfn.XLOOKUP("Дом 4"&amp;Реестр_Д4[[#This Row],[№]]&amp;Реестр_Д4[[#This Row],[Статус]],РД[Дом]&amp;РД[№ кв]&amp;РД[Состояние],РД[Дата подачи на регистрацию],"-",0)</f>
        <v>44917</v>
      </c>
    </row>
    <row r="37" spans="1:111" x14ac:dyDescent="0.25">
      <c r="A37">
        <v>36</v>
      </c>
      <c r="B37" t="s">
        <v>6</v>
      </c>
      <c r="C37">
        <v>6</v>
      </c>
      <c r="D37">
        <v>4</v>
      </c>
      <c r="E37">
        <v>2</v>
      </c>
      <c r="F37">
        <v>14.61</v>
      </c>
      <c r="G37">
        <v>11.01</v>
      </c>
      <c r="I37">
        <v>25.62</v>
      </c>
      <c r="J37">
        <v>14.77</v>
      </c>
      <c r="K37">
        <v>2.85</v>
      </c>
      <c r="L37">
        <v>2.4900000000000002</v>
      </c>
      <c r="N37">
        <v>8.7899999999999991</v>
      </c>
      <c r="O37">
        <v>3.01</v>
      </c>
      <c r="Q37">
        <v>3.01</v>
      </c>
      <c r="R37">
        <v>57.53</v>
      </c>
      <c r="S37">
        <v>54.52</v>
      </c>
      <c r="T37">
        <v>56.03</v>
      </c>
      <c r="U37">
        <v>57.8</v>
      </c>
      <c r="V37">
        <v>67972.800000000003</v>
      </c>
      <c r="W37">
        <v>3398.6400000000003</v>
      </c>
      <c r="X37">
        <v>71371.44</v>
      </c>
      <c r="Z37">
        <v>71371.44</v>
      </c>
      <c r="AA37">
        <v>3568.5720000000001</v>
      </c>
      <c r="AB37">
        <v>74940.012000000002</v>
      </c>
      <c r="AC37">
        <v>9.2176214760000015</v>
      </c>
      <c r="AD37">
        <v>74949.229621475999</v>
      </c>
      <c r="AF37">
        <v>74949.229621475999</v>
      </c>
      <c r="AH37">
        <v>74949.229621475999</v>
      </c>
      <c r="AJ37">
        <v>74949.229621475999</v>
      </c>
      <c r="AL37">
        <v>74949.229621475999</v>
      </c>
      <c r="AN37">
        <v>74949.229621475999</v>
      </c>
      <c r="AP37">
        <v>74949.229621475999</v>
      </c>
      <c r="AR37">
        <v>74949.229621475999</v>
      </c>
      <c r="AT37">
        <v>74949.229621475999</v>
      </c>
      <c r="AV37">
        <v>74949.229621475999</v>
      </c>
      <c r="AX37">
        <v>74949.229621475999</v>
      </c>
      <c r="AZ37">
        <v>74949.229621475999</v>
      </c>
      <c r="BB37">
        <v>74949.229621475999</v>
      </c>
      <c r="BD37">
        <v>74949.229621475999</v>
      </c>
      <c r="BF37">
        <v>74949.229621475999</v>
      </c>
      <c r="BH37">
        <v>74949.229621475999</v>
      </c>
      <c r="BJ37">
        <v>74949.229621475999</v>
      </c>
      <c r="BL37">
        <v>74949.229621475999</v>
      </c>
      <c r="BN37">
        <v>74949.229621475999</v>
      </c>
      <c r="BP37">
        <v>74949.229621475999</v>
      </c>
      <c r="BR37">
        <v>74949.229621475999</v>
      </c>
      <c r="BT37">
        <v>74949.229621475999</v>
      </c>
      <c r="BV37">
        <v>74949.229621475999</v>
      </c>
      <c r="BX37">
        <v>74949.229621475999</v>
      </c>
      <c r="BY37">
        <v>74949.23</v>
      </c>
      <c r="BZ37">
        <v>4199405.3600000003</v>
      </c>
      <c r="CB37">
        <v>0.05</v>
      </c>
      <c r="CC37">
        <v>209970.26800000004</v>
      </c>
      <c r="CD37">
        <v>71201.768516865966</v>
      </c>
      <c r="CE37">
        <v>3989435.09</v>
      </c>
      <c r="CF37" t="s">
        <v>37</v>
      </c>
      <c r="CG37">
        <v>4000</v>
      </c>
      <c r="CH37">
        <v>75201.768516865966</v>
      </c>
      <c r="CI37">
        <v>224120</v>
      </c>
      <c r="CJ37">
        <v>4213555.09</v>
      </c>
      <c r="CL37" t="s">
        <v>3540</v>
      </c>
      <c r="CN37">
        <v>0</v>
      </c>
      <c r="CO37" t="s">
        <v>39</v>
      </c>
      <c r="CP37" t="s">
        <v>39</v>
      </c>
      <c r="CQ37" t="b">
        <v>1</v>
      </c>
      <c r="CR37" t="s">
        <v>8950</v>
      </c>
      <c r="CS37" t="s">
        <v>1167</v>
      </c>
      <c r="CT37" t="s">
        <v>8960</v>
      </c>
      <c r="CU37" t="s">
        <v>8971</v>
      </c>
      <c r="CV37" t="s">
        <v>5905</v>
      </c>
      <c r="CW37" t="s">
        <v>4895</v>
      </c>
      <c r="CX37" t="s">
        <v>3246</v>
      </c>
      <c r="CY37">
        <v>1.769999999999996</v>
      </c>
      <c r="CZ37">
        <v>133107.13027485245</v>
      </c>
      <c r="DA37">
        <v>4213555.09</v>
      </c>
      <c r="DB37" t="s">
        <v>37</v>
      </c>
      <c r="DC37" t="b">
        <v>1</v>
      </c>
      <c r="DD37">
        <v>4213555.09</v>
      </c>
      <c r="DE37">
        <v>0</v>
      </c>
      <c r="DF37" t="b">
        <v>1</v>
      </c>
      <c r="DG37" s="420" cm="1">
        <f t="array" ref="DG37">_xlfn.XLOOKUP("Дом 4"&amp;Реестр_Д4[[#This Row],[№]]&amp;Реестр_Д4[[#This Row],[Статус]],РД[Дом]&amp;РД[№ кв]&amp;РД[Состояние],РД[Дата подачи на регистрацию],"-",0)</f>
        <v>44942</v>
      </c>
    </row>
    <row r="38" spans="1:111" x14ac:dyDescent="0.25">
      <c r="A38">
        <v>37</v>
      </c>
      <c r="B38" t="s">
        <v>6</v>
      </c>
      <c r="C38">
        <v>6</v>
      </c>
      <c r="D38">
        <v>5</v>
      </c>
      <c r="E38">
        <v>2</v>
      </c>
      <c r="F38">
        <v>14.86</v>
      </c>
      <c r="G38">
        <v>9.69</v>
      </c>
      <c r="I38">
        <v>24.55</v>
      </c>
      <c r="J38">
        <v>14.88</v>
      </c>
      <c r="K38">
        <v>2.83</v>
      </c>
      <c r="L38">
        <v>1.82</v>
      </c>
      <c r="N38">
        <v>9.26</v>
      </c>
      <c r="O38">
        <v>2.63</v>
      </c>
      <c r="Q38">
        <v>2.63</v>
      </c>
      <c r="R38">
        <v>55.97</v>
      </c>
      <c r="S38">
        <v>53.34</v>
      </c>
      <c r="T38">
        <v>54.66</v>
      </c>
      <c r="U38">
        <v>56.400000000000006</v>
      </c>
      <c r="V38">
        <v>67972.800000000003</v>
      </c>
      <c r="W38">
        <v>3398.6400000000003</v>
      </c>
      <c r="X38">
        <v>71371.44</v>
      </c>
      <c r="Z38">
        <v>71371.44</v>
      </c>
      <c r="AA38">
        <v>3568.5720000000001</v>
      </c>
      <c r="AB38">
        <v>74940.012000000002</v>
      </c>
      <c r="AC38">
        <v>9.2176214760000015</v>
      </c>
      <c r="AD38">
        <v>74949.229621475999</v>
      </c>
      <c r="AF38">
        <v>74949.229621475999</v>
      </c>
      <c r="AH38">
        <v>74949.229621475999</v>
      </c>
      <c r="AJ38">
        <v>74949.229621475999</v>
      </c>
      <c r="AL38">
        <v>74949.229621475999</v>
      </c>
      <c r="AN38">
        <v>74949.229621475999</v>
      </c>
      <c r="AP38">
        <v>74949.229621475999</v>
      </c>
      <c r="AR38">
        <v>74949.229621475999</v>
      </c>
      <c r="AT38">
        <v>74949.229621475999</v>
      </c>
      <c r="AV38">
        <v>74949.229621475999</v>
      </c>
      <c r="AX38">
        <v>74949.229621475999</v>
      </c>
      <c r="AZ38">
        <v>74949.229621475999</v>
      </c>
      <c r="BB38">
        <v>74949.229621475999</v>
      </c>
      <c r="BD38">
        <v>74949.229621475999</v>
      </c>
      <c r="BF38">
        <v>74949.229621475999</v>
      </c>
      <c r="BH38">
        <v>74949.229621475999</v>
      </c>
      <c r="BJ38">
        <v>74949.229621475999</v>
      </c>
      <c r="BL38">
        <v>74949.229621475999</v>
      </c>
      <c r="BN38">
        <v>74949.229621475999</v>
      </c>
      <c r="BP38">
        <v>74949.229621475999</v>
      </c>
      <c r="BR38">
        <v>74949.229621475999</v>
      </c>
      <c r="BT38">
        <v>74949.229621475999</v>
      </c>
      <c r="BV38">
        <v>74949.229621475999</v>
      </c>
      <c r="BX38">
        <v>74949.229621475999</v>
      </c>
      <c r="BY38">
        <v>74949.23</v>
      </c>
      <c r="BZ38">
        <v>4096724.91</v>
      </c>
      <c r="CB38">
        <v>0.05</v>
      </c>
      <c r="CC38">
        <v>204836.24549999999</v>
      </c>
      <c r="CD38">
        <v>71201.76838638859</v>
      </c>
      <c r="CE38">
        <v>3891888.66</v>
      </c>
      <c r="CF38" t="s">
        <v>37</v>
      </c>
      <c r="CG38">
        <v>4000</v>
      </c>
      <c r="CH38">
        <v>75201.76838638859</v>
      </c>
      <c r="CI38">
        <v>218640</v>
      </c>
      <c r="CJ38">
        <v>4110528.66</v>
      </c>
      <c r="CL38" t="s">
        <v>3540</v>
      </c>
      <c r="CN38">
        <v>0</v>
      </c>
      <c r="CO38" t="s">
        <v>39</v>
      </c>
      <c r="CP38" t="s">
        <v>39</v>
      </c>
      <c r="CQ38" t="b">
        <v>1</v>
      </c>
      <c r="CR38" t="s">
        <v>8950</v>
      </c>
      <c r="CS38" t="s">
        <v>1167</v>
      </c>
      <c r="CT38" t="s">
        <v>8960</v>
      </c>
      <c r="CU38" t="s">
        <v>8971</v>
      </c>
      <c r="CV38" t="s">
        <v>5906</v>
      </c>
      <c r="CW38" t="s">
        <v>4895</v>
      </c>
      <c r="CX38" t="s">
        <v>3246</v>
      </c>
      <c r="CY38">
        <v>1.7400000000000091</v>
      </c>
      <c r="CZ38">
        <v>130851.07699231684</v>
      </c>
      <c r="DA38">
        <v>4110528.66</v>
      </c>
      <c r="DB38" t="s">
        <v>37</v>
      </c>
      <c r="DC38" t="b">
        <v>1</v>
      </c>
      <c r="DD38">
        <v>4110528.66</v>
      </c>
      <c r="DE38">
        <v>0</v>
      </c>
      <c r="DF38" t="b">
        <v>1</v>
      </c>
      <c r="DG38" s="420" cm="1">
        <f t="array" ref="DG38">_xlfn.XLOOKUP("Дом 4"&amp;Реестр_Д4[[#This Row],[№]]&amp;Реестр_Д4[[#This Row],[Статус]],РД[Дом]&amp;РД[№ кв]&amp;РД[Состояние],РД[Дата подачи на регистрацию],"-",0)</f>
        <v>44973</v>
      </c>
    </row>
    <row r="39" spans="1:111" x14ac:dyDescent="0.25">
      <c r="A39">
        <v>38</v>
      </c>
      <c r="B39" t="s">
        <v>6</v>
      </c>
      <c r="C39">
        <v>6</v>
      </c>
      <c r="D39">
        <v>6</v>
      </c>
      <c r="E39">
        <v>2</v>
      </c>
      <c r="F39">
        <v>13.33</v>
      </c>
      <c r="G39">
        <v>13.23</v>
      </c>
      <c r="I39">
        <v>26.56</v>
      </c>
      <c r="J39">
        <v>16.25</v>
      </c>
      <c r="K39">
        <v>3.18</v>
      </c>
      <c r="L39">
        <v>2.14</v>
      </c>
      <c r="M39">
        <v>5.14</v>
      </c>
      <c r="N39">
        <v>5.19</v>
      </c>
      <c r="O39">
        <v>2.81</v>
      </c>
      <c r="Q39">
        <v>2.81</v>
      </c>
      <c r="R39">
        <v>61.27</v>
      </c>
      <c r="S39">
        <v>58.46</v>
      </c>
      <c r="T39">
        <v>59.87</v>
      </c>
      <c r="U39">
        <v>61.4</v>
      </c>
      <c r="V39">
        <v>73304</v>
      </c>
      <c r="W39">
        <v>3665.2</v>
      </c>
      <c r="X39">
        <v>76969.2</v>
      </c>
      <c r="Z39">
        <v>76969.2</v>
      </c>
      <c r="AA39">
        <v>3848.46</v>
      </c>
      <c r="AB39">
        <v>80817.66</v>
      </c>
      <c r="AC39">
        <v>9.940572180000002</v>
      </c>
      <c r="AD39">
        <v>80827.600572180003</v>
      </c>
      <c r="AF39">
        <v>80827.600572180003</v>
      </c>
      <c r="AH39">
        <v>80827.600572180003</v>
      </c>
      <c r="AI39">
        <v>1616.5520114435999</v>
      </c>
      <c r="AJ39">
        <v>82444.152583623596</v>
      </c>
      <c r="AK39">
        <v>2473.324577508708</v>
      </c>
      <c r="AL39">
        <v>84917.477161132309</v>
      </c>
      <c r="AM39">
        <v>3396.6990864452923</v>
      </c>
      <c r="AN39">
        <v>88314.176247577605</v>
      </c>
      <c r="AP39">
        <v>88314.176247577605</v>
      </c>
      <c r="AQ39">
        <v>2649.4252874273279</v>
      </c>
      <c r="AR39">
        <v>90963.601535004927</v>
      </c>
      <c r="AT39">
        <v>90963.601535004927</v>
      </c>
      <c r="AU39">
        <v>2728.9080460501477</v>
      </c>
      <c r="AV39">
        <v>93692.509581055085</v>
      </c>
      <c r="AX39">
        <v>93692.509581055085</v>
      </c>
      <c r="AZ39">
        <v>93692.509581055085</v>
      </c>
      <c r="BB39">
        <v>93692.509581055085</v>
      </c>
      <c r="BD39">
        <v>93692.509581055085</v>
      </c>
      <c r="BF39">
        <v>93692.509581055085</v>
      </c>
      <c r="BH39">
        <v>93692.509581055085</v>
      </c>
      <c r="BJ39">
        <v>93692.509581055085</v>
      </c>
      <c r="BL39">
        <v>93692.509581055085</v>
      </c>
      <c r="BN39">
        <v>93692.509581055085</v>
      </c>
      <c r="BP39">
        <v>93692.509581055085</v>
      </c>
      <c r="BR39">
        <v>93692.509581055085</v>
      </c>
      <c r="BT39">
        <v>93692.509581055085</v>
      </c>
      <c r="BV39">
        <v>93692.509581055085</v>
      </c>
      <c r="BX39">
        <v>93692.509581055085</v>
      </c>
      <c r="BY39">
        <v>93692.51</v>
      </c>
      <c r="BZ39">
        <v>5609370.5700000003</v>
      </c>
      <c r="CC39">
        <v>0</v>
      </c>
      <c r="CD39">
        <v>93692.509938199437</v>
      </c>
      <c r="CE39">
        <v>5609370.5700000003</v>
      </c>
      <c r="CF39" t="s">
        <v>38</v>
      </c>
      <c r="CG39">
        <v>15500</v>
      </c>
      <c r="CH39">
        <v>109192.50993819944</v>
      </c>
      <c r="CI39">
        <v>927985</v>
      </c>
      <c r="CJ39">
        <v>6537355.5700000003</v>
      </c>
      <c r="CK39" t="s">
        <v>57</v>
      </c>
      <c r="CN39">
        <v>0</v>
      </c>
      <c r="CO39" t="s">
        <v>39</v>
      </c>
      <c r="CP39" t="s">
        <v>39</v>
      </c>
      <c r="CQ39" t="b">
        <v>1</v>
      </c>
      <c r="CR39" t="s">
        <v>8950</v>
      </c>
      <c r="CS39" t="s">
        <v>1167</v>
      </c>
      <c r="CT39" t="s">
        <v>8960</v>
      </c>
      <c r="CU39" t="s">
        <v>8971</v>
      </c>
      <c r="CV39" t="s">
        <v>5907</v>
      </c>
      <c r="CW39" t="s">
        <v>4895</v>
      </c>
      <c r="CX39" t="s">
        <v>3246</v>
      </c>
      <c r="CY39">
        <v>1.5300000000000011</v>
      </c>
      <c r="CZ39">
        <v>167064.54020544526</v>
      </c>
      <c r="DA39">
        <v>6537355.5700000003</v>
      </c>
      <c r="DB39" t="s">
        <v>38</v>
      </c>
      <c r="DC39" t="b">
        <v>1</v>
      </c>
      <c r="DD39">
        <v>6537355.5700000003</v>
      </c>
      <c r="DE39">
        <v>0</v>
      </c>
      <c r="DF39" t="b">
        <v>1</v>
      </c>
      <c r="DG39" s="420" cm="1">
        <f t="array" ref="DG39">_xlfn.XLOOKUP("Дом 4"&amp;Реестр_Д4[[#This Row],[№]]&amp;Реестр_Д4[[#This Row],[Статус]],РД[Дом]&amp;РД[№ кв]&amp;РД[Состояние],РД[Дата подачи на регистрацию],"-",0)</f>
        <v>45177</v>
      </c>
    </row>
    <row r="40" spans="1:111" x14ac:dyDescent="0.25">
      <c r="A40">
        <v>39</v>
      </c>
      <c r="B40" t="s">
        <v>6</v>
      </c>
      <c r="C40">
        <v>6</v>
      </c>
      <c r="D40">
        <v>7</v>
      </c>
      <c r="E40">
        <v>0</v>
      </c>
      <c r="F40">
        <v>8.2799999999999994</v>
      </c>
      <c r="I40">
        <v>8.2799999999999994</v>
      </c>
      <c r="J40">
        <v>5.3</v>
      </c>
      <c r="K40">
        <v>3.38</v>
      </c>
      <c r="N40">
        <v>3.17</v>
      </c>
      <c r="O40">
        <v>3.23</v>
      </c>
      <c r="Q40">
        <v>3.23</v>
      </c>
      <c r="R40">
        <v>23.36</v>
      </c>
      <c r="S40">
        <v>20.13</v>
      </c>
      <c r="T40">
        <v>21.75</v>
      </c>
      <c r="U40">
        <v>22.5</v>
      </c>
      <c r="V40">
        <v>75600</v>
      </c>
      <c r="W40">
        <v>3780</v>
      </c>
      <c r="X40">
        <v>79380</v>
      </c>
      <c r="Z40">
        <v>79380</v>
      </c>
      <c r="AB40">
        <v>79380</v>
      </c>
      <c r="AC40">
        <v>9.7637400000000003</v>
      </c>
      <c r="AD40">
        <v>79389.763739999995</v>
      </c>
      <c r="AE40">
        <v>3969.4881869999999</v>
      </c>
      <c r="AF40">
        <v>83359.25192699999</v>
      </c>
      <c r="AH40">
        <v>83359.25192699999</v>
      </c>
      <c r="AJ40">
        <v>83359.25192699999</v>
      </c>
      <c r="AL40">
        <v>83359.25192699999</v>
      </c>
      <c r="AN40">
        <v>83359.25192699999</v>
      </c>
      <c r="AP40">
        <v>83359.25192699999</v>
      </c>
      <c r="AR40">
        <v>83359.25192699999</v>
      </c>
      <c r="AT40">
        <v>83359.25192699999</v>
      </c>
      <c r="AV40">
        <v>83359.25192699999</v>
      </c>
      <c r="AX40">
        <v>83359.25192699999</v>
      </c>
      <c r="AZ40">
        <v>83359.25192699999</v>
      </c>
      <c r="BB40">
        <v>83359.25192699999</v>
      </c>
      <c r="BD40">
        <v>83359.25192699999</v>
      </c>
      <c r="BF40">
        <v>83359.25192699999</v>
      </c>
      <c r="BH40">
        <v>83359.25192699999</v>
      </c>
      <c r="BJ40">
        <v>83359.25192699999</v>
      </c>
      <c r="BL40">
        <v>83359.25192699999</v>
      </c>
      <c r="BN40">
        <v>83359.25192699999</v>
      </c>
      <c r="BP40">
        <v>83359.25192699999</v>
      </c>
      <c r="BR40">
        <v>83359.25192699999</v>
      </c>
      <c r="BT40">
        <v>83359.25192699999</v>
      </c>
      <c r="BV40">
        <v>83359.25192699999</v>
      </c>
      <c r="BX40">
        <v>83359.25192699999</v>
      </c>
      <c r="BY40">
        <v>83359.25</v>
      </c>
      <c r="BZ40">
        <v>1813063.69</v>
      </c>
      <c r="CC40">
        <v>0</v>
      </c>
      <c r="CD40">
        <v>83359.250114942522</v>
      </c>
      <c r="CE40">
        <v>1813063.69</v>
      </c>
      <c r="CF40" t="s">
        <v>38</v>
      </c>
      <c r="CG40">
        <v>15000</v>
      </c>
      <c r="CH40">
        <v>98359.250114942522</v>
      </c>
      <c r="CI40">
        <v>326250</v>
      </c>
      <c r="CJ40">
        <v>2139313.69</v>
      </c>
      <c r="CK40" t="s">
        <v>57</v>
      </c>
      <c r="CN40">
        <v>0</v>
      </c>
      <c r="CO40" t="s">
        <v>39</v>
      </c>
      <c r="CP40" t="s">
        <v>39</v>
      </c>
      <c r="CQ40" t="b">
        <v>1</v>
      </c>
      <c r="CR40" t="s">
        <v>8950</v>
      </c>
      <c r="CS40" t="s">
        <v>1167</v>
      </c>
      <c r="CT40" t="s">
        <v>8960</v>
      </c>
      <c r="CU40" t="s">
        <v>8970</v>
      </c>
      <c r="CV40" t="s">
        <v>5908</v>
      </c>
      <c r="CW40" t="s">
        <v>4895</v>
      </c>
      <c r="CX40" t="s">
        <v>3246</v>
      </c>
      <c r="CY40">
        <v>0.75</v>
      </c>
      <c r="CZ40">
        <v>73769.437586206885</v>
      </c>
      <c r="DA40">
        <v>2139313.69</v>
      </c>
      <c r="DB40" t="s">
        <v>38</v>
      </c>
      <c r="DC40" t="b">
        <v>1</v>
      </c>
      <c r="DD40">
        <v>2139313.69</v>
      </c>
      <c r="DE40">
        <v>0</v>
      </c>
      <c r="DF40" t="b">
        <v>1</v>
      </c>
      <c r="DG40" s="420" cm="1">
        <f t="array" ref="DG40">_xlfn.XLOOKUP("Дом 4"&amp;Реестр_Д4[[#This Row],[№]]&amp;Реестр_Д4[[#This Row],[Статус]],РД[Дом]&amp;РД[№ кв]&amp;РД[Состояние],РД[Дата подачи на регистрацию],"-",0)</f>
        <v>44923</v>
      </c>
    </row>
    <row r="41" spans="1:111" x14ac:dyDescent="0.25">
      <c r="A41">
        <v>40</v>
      </c>
      <c r="B41" t="s">
        <v>6</v>
      </c>
      <c r="C41">
        <v>6</v>
      </c>
      <c r="D41">
        <v>8</v>
      </c>
      <c r="E41">
        <v>0</v>
      </c>
      <c r="F41">
        <v>8.2899999999999991</v>
      </c>
      <c r="I41">
        <v>8.2899999999999991</v>
      </c>
      <c r="J41">
        <v>5.3</v>
      </c>
      <c r="K41">
        <v>3.38</v>
      </c>
      <c r="N41">
        <v>3.17</v>
      </c>
      <c r="O41">
        <v>3.17</v>
      </c>
      <c r="Q41">
        <v>3.17</v>
      </c>
      <c r="R41">
        <v>23.31</v>
      </c>
      <c r="S41">
        <v>20.14</v>
      </c>
      <c r="T41">
        <v>21.73</v>
      </c>
      <c r="U41">
        <v>22.4</v>
      </c>
      <c r="V41">
        <v>75600</v>
      </c>
      <c r="W41">
        <v>3780</v>
      </c>
      <c r="X41">
        <v>79380</v>
      </c>
      <c r="Z41">
        <v>79380</v>
      </c>
      <c r="AB41">
        <v>79380</v>
      </c>
      <c r="AC41">
        <v>9.7637400000000003</v>
      </c>
      <c r="AD41">
        <v>79389.763739999995</v>
      </c>
      <c r="AE41">
        <v>3969.4881869999999</v>
      </c>
      <c r="AF41">
        <v>83359.25192699999</v>
      </c>
      <c r="AH41">
        <v>83359.25192699999</v>
      </c>
      <c r="AJ41">
        <v>83359.25192699999</v>
      </c>
      <c r="AL41">
        <v>83359.25192699999</v>
      </c>
      <c r="AN41">
        <v>83359.25192699999</v>
      </c>
      <c r="AP41">
        <v>83359.25192699999</v>
      </c>
      <c r="AR41">
        <v>83359.25192699999</v>
      </c>
      <c r="AT41">
        <v>83359.25192699999</v>
      </c>
      <c r="AV41">
        <v>83359.25192699999</v>
      </c>
      <c r="AX41">
        <v>83359.25192699999</v>
      </c>
      <c r="AZ41">
        <v>83359.25192699999</v>
      </c>
      <c r="BB41">
        <v>83359.25192699999</v>
      </c>
      <c r="BD41">
        <v>83359.25192699999</v>
      </c>
      <c r="BF41">
        <v>83359.25192699999</v>
      </c>
      <c r="BH41">
        <v>83359.25192699999</v>
      </c>
      <c r="BJ41">
        <v>83359.25192699999</v>
      </c>
      <c r="BL41">
        <v>83359.25192699999</v>
      </c>
      <c r="BN41">
        <v>83359.25192699999</v>
      </c>
      <c r="BP41">
        <v>83359.25192699999</v>
      </c>
      <c r="BR41">
        <v>83359.25192699999</v>
      </c>
      <c r="BT41">
        <v>83359.25192699999</v>
      </c>
      <c r="BV41">
        <v>83359.25192699999</v>
      </c>
      <c r="BX41">
        <v>83359.25192699999</v>
      </c>
      <c r="BY41">
        <v>83359.25</v>
      </c>
      <c r="BZ41">
        <v>1811396.5</v>
      </c>
      <c r="CC41">
        <v>0</v>
      </c>
      <c r="CD41">
        <v>83359.249884951685</v>
      </c>
      <c r="CE41">
        <v>1811396.5</v>
      </c>
      <c r="CF41" t="s">
        <v>37</v>
      </c>
      <c r="CG41">
        <v>4000</v>
      </c>
      <c r="CH41">
        <v>87359.249884951685</v>
      </c>
      <c r="CI41">
        <v>86920</v>
      </c>
      <c r="CJ41">
        <v>1898316.5</v>
      </c>
      <c r="CK41" t="s">
        <v>57</v>
      </c>
      <c r="CN41">
        <v>0</v>
      </c>
      <c r="CO41" t="s">
        <v>39</v>
      </c>
      <c r="CP41" t="s">
        <v>39</v>
      </c>
      <c r="CQ41" t="b">
        <v>1</v>
      </c>
      <c r="CR41" t="s">
        <v>8950</v>
      </c>
      <c r="CS41" t="s">
        <v>1167</v>
      </c>
      <c r="CT41" t="s">
        <v>8960</v>
      </c>
      <c r="CU41" t="s">
        <v>8970</v>
      </c>
      <c r="CV41" t="s">
        <v>5909</v>
      </c>
      <c r="CW41" t="s">
        <v>4895</v>
      </c>
      <c r="CX41" t="s">
        <v>3246</v>
      </c>
      <c r="CY41">
        <v>0.66999999999999815</v>
      </c>
      <c r="CZ41">
        <v>58530.697422917467</v>
      </c>
      <c r="DA41">
        <v>1898316.5</v>
      </c>
      <c r="DB41" t="s">
        <v>37</v>
      </c>
      <c r="DC41" t="b">
        <v>1</v>
      </c>
      <c r="DD41">
        <v>1898316.5</v>
      </c>
      <c r="DE41">
        <v>0</v>
      </c>
      <c r="DF41" t="b">
        <v>1</v>
      </c>
      <c r="DG41" s="420" cm="1">
        <f t="array" ref="DG41">_xlfn.XLOOKUP("Дом 4"&amp;Реестр_Д4[[#This Row],[№]]&amp;Реестр_Д4[[#This Row],[Статус]],РД[Дом]&amp;РД[№ кв]&amp;РД[Состояние],РД[Дата подачи на регистрацию],"-",0)</f>
        <v>44922</v>
      </c>
    </row>
    <row r="42" spans="1:111" x14ac:dyDescent="0.25">
      <c r="A42">
        <v>41</v>
      </c>
      <c r="B42" t="s">
        <v>6</v>
      </c>
      <c r="C42">
        <v>7</v>
      </c>
      <c r="D42">
        <v>1</v>
      </c>
      <c r="E42">
        <v>1</v>
      </c>
      <c r="F42">
        <v>13.93</v>
      </c>
      <c r="I42">
        <v>13.93</v>
      </c>
      <c r="J42">
        <v>9.18</v>
      </c>
      <c r="K42">
        <v>3.65</v>
      </c>
      <c r="N42">
        <v>5.52</v>
      </c>
      <c r="O42">
        <v>2.4900000000000002</v>
      </c>
      <c r="Q42">
        <v>2.4900000000000002</v>
      </c>
      <c r="R42">
        <v>34.770000000000003</v>
      </c>
      <c r="S42">
        <v>32.28</v>
      </c>
      <c r="T42">
        <v>33.53</v>
      </c>
      <c r="U42">
        <v>34.5</v>
      </c>
      <c r="V42">
        <v>70700</v>
      </c>
      <c r="W42">
        <v>3535</v>
      </c>
      <c r="X42">
        <v>74235</v>
      </c>
      <c r="Y42">
        <v>2969.4</v>
      </c>
      <c r="Z42">
        <v>77204.399999999994</v>
      </c>
      <c r="AB42">
        <v>77204.399999999994</v>
      </c>
      <c r="AD42">
        <v>77204.399999999994</v>
      </c>
      <c r="AF42">
        <v>77204.399999999994</v>
      </c>
      <c r="AH42">
        <v>77204.399999999994</v>
      </c>
      <c r="AJ42">
        <v>77204.399999999994</v>
      </c>
      <c r="AL42">
        <v>77204.399999999994</v>
      </c>
      <c r="AN42">
        <v>77204.399999999994</v>
      </c>
      <c r="AP42">
        <v>77204.399999999994</v>
      </c>
      <c r="AR42">
        <v>77204.399999999994</v>
      </c>
      <c r="AT42">
        <v>77204.399999999994</v>
      </c>
      <c r="AV42">
        <v>77204.399999999994</v>
      </c>
      <c r="AX42">
        <v>77204.399999999994</v>
      </c>
      <c r="AZ42">
        <v>77204.399999999994</v>
      </c>
      <c r="BB42">
        <v>77204.399999999994</v>
      </c>
      <c r="BD42">
        <v>77204.399999999994</v>
      </c>
      <c r="BF42">
        <v>77204.399999999994</v>
      </c>
      <c r="BH42">
        <v>77204.399999999994</v>
      </c>
      <c r="BJ42">
        <v>77204.399999999994</v>
      </c>
      <c r="BL42">
        <v>77204.399999999994</v>
      </c>
      <c r="BN42">
        <v>77204.399999999994</v>
      </c>
      <c r="BP42">
        <v>77204.399999999994</v>
      </c>
      <c r="BR42">
        <v>77204.399999999994</v>
      </c>
      <c r="BT42">
        <v>77204.399999999994</v>
      </c>
      <c r="BV42">
        <v>77204.399999999994</v>
      </c>
      <c r="BX42">
        <v>77204.399999999994</v>
      </c>
      <c r="BY42">
        <v>77204.399999999994</v>
      </c>
      <c r="BZ42">
        <v>2588663.5299999998</v>
      </c>
      <c r="CB42">
        <v>0.05</v>
      </c>
      <c r="CC42">
        <v>129433.1765</v>
      </c>
      <c r="CD42">
        <v>73344.179838950193</v>
      </c>
      <c r="CE42">
        <v>2459230.35</v>
      </c>
      <c r="CF42" t="s">
        <v>38</v>
      </c>
      <c r="CG42">
        <v>22000</v>
      </c>
      <c r="CH42">
        <v>95344.179838950193</v>
      </c>
      <c r="CI42">
        <v>737660</v>
      </c>
      <c r="CJ42">
        <v>3196890.35</v>
      </c>
      <c r="CK42" t="s">
        <v>57</v>
      </c>
      <c r="CL42" t="s">
        <v>3540</v>
      </c>
      <c r="CN42">
        <v>0</v>
      </c>
      <c r="CO42" t="s">
        <v>39</v>
      </c>
      <c r="CP42" t="s">
        <v>39</v>
      </c>
      <c r="CQ42" t="b">
        <v>1</v>
      </c>
      <c r="CR42" t="s">
        <v>8950</v>
      </c>
      <c r="CS42" t="s">
        <v>1167</v>
      </c>
      <c r="CT42" t="s">
        <v>8960</v>
      </c>
      <c r="CU42" t="s">
        <v>8973</v>
      </c>
      <c r="CV42" t="s">
        <v>5910</v>
      </c>
      <c r="CW42" t="s">
        <v>4895</v>
      </c>
      <c r="CX42" t="s">
        <v>3246</v>
      </c>
      <c r="CY42">
        <v>0.96999999999999886</v>
      </c>
      <c r="CZ42">
        <v>92483.854443781573</v>
      </c>
      <c r="DA42">
        <v>3196890.35</v>
      </c>
      <c r="DB42" t="s">
        <v>38</v>
      </c>
      <c r="DC42" t="b">
        <v>1</v>
      </c>
      <c r="DD42">
        <v>3196890.35</v>
      </c>
      <c r="DE42">
        <v>0</v>
      </c>
      <c r="DF42" t="b">
        <v>1</v>
      </c>
      <c r="DG42" s="420" cm="1">
        <f t="array" ref="DG42">_xlfn.XLOOKUP("Дом 4"&amp;Реестр_Д4[[#This Row],[№]]&amp;Реестр_Д4[[#This Row],[Статус]],РД[Дом]&amp;РД[№ кв]&amp;РД[Состояние],РД[Дата подачи на регистрацию],"-",0)</f>
        <v>44888</v>
      </c>
    </row>
    <row r="43" spans="1:111" x14ac:dyDescent="0.25">
      <c r="A43">
        <v>42</v>
      </c>
      <c r="B43" t="s">
        <v>6</v>
      </c>
      <c r="C43">
        <v>7</v>
      </c>
      <c r="D43">
        <v>2</v>
      </c>
      <c r="E43">
        <v>2</v>
      </c>
      <c r="F43">
        <v>16.55</v>
      </c>
      <c r="G43">
        <v>14.04</v>
      </c>
      <c r="I43">
        <v>30.59</v>
      </c>
      <c r="J43">
        <v>13.35</v>
      </c>
      <c r="K43">
        <v>3.69</v>
      </c>
      <c r="L43">
        <v>1.92</v>
      </c>
      <c r="N43">
        <v>9.48</v>
      </c>
      <c r="O43">
        <v>2.91</v>
      </c>
      <c r="P43">
        <v>2.5499999999999998</v>
      </c>
      <c r="Q43">
        <v>5.46</v>
      </c>
      <c r="R43">
        <v>64.489999999999995</v>
      </c>
      <c r="S43">
        <v>59.029999999999994</v>
      </c>
      <c r="T43">
        <v>61.76</v>
      </c>
      <c r="U43">
        <v>63.2</v>
      </c>
      <c r="V43">
        <v>68639.199999999997</v>
      </c>
      <c r="W43">
        <v>3431.96</v>
      </c>
      <c r="X43">
        <v>72071.16</v>
      </c>
      <c r="Z43">
        <v>72071.16</v>
      </c>
      <c r="AA43">
        <v>3603.558</v>
      </c>
      <c r="AB43">
        <v>75674.717999999993</v>
      </c>
      <c r="AC43">
        <v>9.3079903140000013</v>
      </c>
      <c r="AD43">
        <v>75684.02599031401</v>
      </c>
      <c r="AF43">
        <v>75684.02599031401</v>
      </c>
      <c r="AH43">
        <v>75684.02599031401</v>
      </c>
      <c r="AI43">
        <v>1513.6805198062802</v>
      </c>
      <c r="AJ43">
        <v>77197.70651012029</v>
      </c>
      <c r="AK43">
        <v>2315.9311953036085</v>
      </c>
      <c r="AL43">
        <v>79513.637705423898</v>
      </c>
      <c r="AM43">
        <v>3180.545508216956</v>
      </c>
      <c r="AN43">
        <v>82694.183213640848</v>
      </c>
      <c r="AO43">
        <v>2480.8254964092253</v>
      </c>
      <c r="AP43">
        <v>85175.008710050068</v>
      </c>
      <c r="AQ43">
        <v>2555.2502613015017</v>
      </c>
      <c r="AR43">
        <v>87730.258971351563</v>
      </c>
      <c r="AT43">
        <v>87730.258971351563</v>
      </c>
      <c r="AU43">
        <v>2631.9077691405469</v>
      </c>
      <c r="AV43">
        <v>90362.166740492103</v>
      </c>
      <c r="AX43">
        <v>90362.166740492103</v>
      </c>
      <c r="AZ43">
        <v>90362.166740492103</v>
      </c>
      <c r="BB43">
        <v>90362.166740492103</v>
      </c>
      <c r="BD43">
        <v>90362.166740492103</v>
      </c>
      <c r="BF43">
        <v>90362.166740492103</v>
      </c>
      <c r="BH43">
        <v>90362.166740492103</v>
      </c>
      <c r="BJ43">
        <v>90362.166740492103</v>
      </c>
      <c r="BL43">
        <v>90362.166740492103</v>
      </c>
      <c r="BN43">
        <v>90362.166740492103</v>
      </c>
      <c r="BP43">
        <v>90362.166740492103</v>
      </c>
      <c r="BR43">
        <v>90362.166740492103</v>
      </c>
      <c r="BT43">
        <v>90362.166740492103</v>
      </c>
      <c r="BV43">
        <v>90362.166740492103</v>
      </c>
      <c r="BX43">
        <v>90362.166740492103</v>
      </c>
      <c r="BY43">
        <v>90362.17</v>
      </c>
      <c r="BZ43">
        <v>5580767.6200000001</v>
      </c>
      <c r="CB43">
        <v>0.02</v>
      </c>
      <c r="CC43">
        <v>111615.3524</v>
      </c>
      <c r="CD43">
        <v>88554.9266515544</v>
      </c>
      <c r="CE43">
        <v>5469152.2699999996</v>
      </c>
      <c r="CF43" t="s">
        <v>36</v>
      </c>
      <c r="CH43">
        <v>88554.9266515544</v>
      </c>
      <c r="CI43">
        <v>0</v>
      </c>
      <c r="CJ43">
        <v>5469152.2699999996</v>
      </c>
      <c r="CK43" t="s">
        <v>57</v>
      </c>
      <c r="CL43" t="s">
        <v>3540</v>
      </c>
      <c r="CN43">
        <v>0</v>
      </c>
      <c r="CO43" t="s">
        <v>39</v>
      </c>
      <c r="CP43" t="s">
        <v>39</v>
      </c>
      <c r="CQ43" t="b">
        <v>1</v>
      </c>
      <c r="CR43" t="s">
        <v>8950</v>
      </c>
      <c r="CS43" t="s">
        <v>1167</v>
      </c>
      <c r="CT43" t="s">
        <v>8960</v>
      </c>
      <c r="CU43" t="s">
        <v>8974</v>
      </c>
      <c r="CV43" t="s">
        <v>5911</v>
      </c>
      <c r="CW43" t="s">
        <v>4895</v>
      </c>
      <c r="CX43" t="s">
        <v>3246</v>
      </c>
      <c r="CY43">
        <v>1.4400000000000048</v>
      </c>
      <c r="CZ43">
        <v>127519.09437823876</v>
      </c>
      <c r="DA43">
        <v>5469152.2699999996</v>
      </c>
      <c r="DB43" t="s">
        <v>36</v>
      </c>
      <c r="DC43" t="b">
        <v>1</v>
      </c>
      <c r="DD43">
        <v>5469152.2699999996</v>
      </c>
      <c r="DE43">
        <v>0</v>
      </c>
      <c r="DF43" t="b">
        <v>1</v>
      </c>
      <c r="DG43" s="420" cm="1">
        <f t="array" ref="DG43">_xlfn.XLOOKUP("Дом 4"&amp;Реестр_Д4[[#This Row],[№]]&amp;Реестр_Д4[[#This Row],[Статус]],РД[Дом]&amp;РД[№ кв]&amp;РД[Состояние],РД[Дата подачи на регистрацию],"-",0)</f>
        <v>45257</v>
      </c>
    </row>
    <row r="44" spans="1:111" x14ac:dyDescent="0.25">
      <c r="A44">
        <v>43</v>
      </c>
      <c r="B44" t="s">
        <v>6</v>
      </c>
      <c r="C44">
        <v>7</v>
      </c>
      <c r="D44">
        <v>3</v>
      </c>
      <c r="E44">
        <v>1</v>
      </c>
      <c r="F44">
        <v>12.25</v>
      </c>
      <c r="I44">
        <v>12.25</v>
      </c>
      <c r="J44">
        <v>11.65</v>
      </c>
      <c r="K44">
        <v>3.67</v>
      </c>
      <c r="N44">
        <v>6.55</v>
      </c>
      <c r="O44">
        <v>2.83</v>
      </c>
      <c r="Q44">
        <v>2.83</v>
      </c>
      <c r="R44">
        <v>36.950000000000003</v>
      </c>
      <c r="S44">
        <v>34.120000000000005</v>
      </c>
      <c r="T44">
        <v>35.54</v>
      </c>
      <c r="U44">
        <v>36.9</v>
      </c>
      <c r="V44">
        <v>71400</v>
      </c>
      <c r="W44">
        <v>3570</v>
      </c>
      <c r="X44">
        <v>74970</v>
      </c>
      <c r="Y44">
        <v>2998.8</v>
      </c>
      <c r="Z44">
        <v>77968.800000000003</v>
      </c>
      <c r="AA44">
        <v>3898.440000000001</v>
      </c>
      <c r="AB44">
        <v>81867.240000000005</v>
      </c>
      <c r="AC44">
        <v>10.069670520000001</v>
      </c>
      <c r="AD44">
        <v>81877.309670520001</v>
      </c>
      <c r="AE44">
        <v>4093.8654835259999</v>
      </c>
      <c r="AF44">
        <v>85971.175154045995</v>
      </c>
      <c r="AH44">
        <v>85971.175154045995</v>
      </c>
      <c r="AI44">
        <v>2579.1352546213802</v>
      </c>
      <c r="AJ44">
        <v>88550.31040866737</v>
      </c>
      <c r="AK44">
        <v>885.50310408667372</v>
      </c>
      <c r="AL44">
        <v>89435.813512754044</v>
      </c>
      <c r="AN44">
        <v>89435.813512754044</v>
      </c>
      <c r="AP44">
        <v>89435.813512754044</v>
      </c>
      <c r="AR44">
        <v>89435.813512754044</v>
      </c>
      <c r="AT44">
        <v>89435.813512754044</v>
      </c>
      <c r="AV44">
        <v>89435.813512754044</v>
      </c>
      <c r="AX44">
        <v>89435.813512754044</v>
      </c>
      <c r="AZ44">
        <v>89435.813512754044</v>
      </c>
      <c r="BB44">
        <v>89435.813512754044</v>
      </c>
      <c r="BD44">
        <v>89435.813512754044</v>
      </c>
      <c r="BF44">
        <v>89435.813512754044</v>
      </c>
      <c r="BH44">
        <v>89435.813512754044</v>
      </c>
      <c r="BJ44">
        <v>89435.813512754044</v>
      </c>
      <c r="BL44">
        <v>89435.813512754044</v>
      </c>
      <c r="BN44">
        <v>89435.813512754044</v>
      </c>
      <c r="BP44">
        <v>89435.813512754044</v>
      </c>
      <c r="BR44">
        <v>89435.813512754044</v>
      </c>
      <c r="BT44">
        <v>89435.813512754044</v>
      </c>
      <c r="BV44">
        <v>89435.813512754044</v>
      </c>
      <c r="BX44">
        <v>89435.813512754044</v>
      </c>
      <c r="BY44">
        <v>89435.81</v>
      </c>
      <c r="BZ44">
        <v>3178548.69</v>
      </c>
      <c r="CB44">
        <v>0.03</v>
      </c>
      <c r="CC44">
        <v>95356.460699999996</v>
      </c>
      <c r="CD44">
        <v>86752.735790658393</v>
      </c>
      <c r="CE44">
        <v>3083192.23</v>
      </c>
      <c r="CF44" t="s">
        <v>38</v>
      </c>
      <c r="CG44">
        <v>15000</v>
      </c>
      <c r="CH44">
        <v>101752.73579065839</v>
      </c>
      <c r="CI44">
        <v>533100</v>
      </c>
      <c r="CJ44">
        <v>3616292.23</v>
      </c>
      <c r="CL44" t="s">
        <v>3540</v>
      </c>
      <c r="CN44">
        <v>0</v>
      </c>
      <c r="CO44" t="s">
        <v>39</v>
      </c>
      <c r="CP44" t="s">
        <v>39</v>
      </c>
      <c r="CQ44" t="b">
        <v>1</v>
      </c>
      <c r="CR44" t="s">
        <v>8950</v>
      </c>
      <c r="CS44" t="s">
        <v>1167</v>
      </c>
      <c r="CT44" t="s">
        <v>8960</v>
      </c>
      <c r="CU44" t="s">
        <v>8973</v>
      </c>
      <c r="CV44" t="s">
        <v>5912</v>
      </c>
      <c r="CW44" t="s">
        <v>4895</v>
      </c>
      <c r="CX44" t="s">
        <v>3246</v>
      </c>
      <c r="CY44">
        <v>1.3599999999999994</v>
      </c>
      <c r="CZ44">
        <v>138383.72067529536</v>
      </c>
      <c r="DA44">
        <v>3616292.23</v>
      </c>
      <c r="DB44" t="s">
        <v>38</v>
      </c>
      <c r="DC44" t="b">
        <v>1</v>
      </c>
      <c r="DD44">
        <v>3616292.23</v>
      </c>
      <c r="DE44">
        <v>0</v>
      </c>
      <c r="DF44" t="b">
        <v>1</v>
      </c>
      <c r="DG44" s="420" cm="1">
        <f t="array" ref="DG44">_xlfn.XLOOKUP("Дом 4"&amp;Реестр_Д4[[#This Row],[№]]&amp;Реестр_Д4[[#This Row],[Статус]],РД[Дом]&amp;РД[№ кв]&amp;РД[Состояние],РД[Дата подачи на регистрацию],"-",0)</f>
        <v>45028</v>
      </c>
    </row>
    <row r="45" spans="1:111" x14ac:dyDescent="0.25">
      <c r="A45">
        <v>44</v>
      </c>
      <c r="B45" t="s">
        <v>6</v>
      </c>
      <c r="C45">
        <v>7</v>
      </c>
      <c r="D45">
        <v>4</v>
      </c>
      <c r="E45">
        <v>2</v>
      </c>
      <c r="F45">
        <v>14.61</v>
      </c>
      <c r="G45">
        <v>11.01</v>
      </c>
      <c r="I45">
        <v>25.62</v>
      </c>
      <c r="J45">
        <v>14.77</v>
      </c>
      <c r="K45">
        <v>2.85</v>
      </c>
      <c r="L45">
        <v>2.4900000000000002</v>
      </c>
      <c r="N45">
        <v>8.7899999999999991</v>
      </c>
      <c r="O45">
        <v>3.01</v>
      </c>
      <c r="Q45">
        <v>3.01</v>
      </c>
      <c r="R45">
        <v>57.53</v>
      </c>
      <c r="S45">
        <v>54.52</v>
      </c>
      <c r="T45">
        <v>56.03</v>
      </c>
      <c r="U45">
        <v>57.600000000000009</v>
      </c>
      <c r="V45">
        <v>67972.800000000003</v>
      </c>
      <c r="W45">
        <v>3398.6400000000003</v>
      </c>
      <c r="X45">
        <v>71371.44</v>
      </c>
      <c r="Z45">
        <v>71371.44</v>
      </c>
      <c r="AA45">
        <v>3568.5720000000001</v>
      </c>
      <c r="AB45">
        <v>74940.012000000002</v>
      </c>
      <c r="AC45">
        <v>9.2176214760000015</v>
      </c>
      <c r="AD45">
        <v>74949.229621475999</v>
      </c>
      <c r="AF45">
        <v>74949.229621475999</v>
      </c>
      <c r="AH45">
        <v>74949.229621475999</v>
      </c>
      <c r="AJ45">
        <v>74949.229621475999</v>
      </c>
      <c r="AL45">
        <v>74949.229621475999</v>
      </c>
      <c r="AN45">
        <v>74949.229621475999</v>
      </c>
      <c r="AP45">
        <v>74949.229621475999</v>
      </c>
      <c r="AR45">
        <v>74949.229621475999</v>
      </c>
      <c r="AT45">
        <v>74949.229621475999</v>
      </c>
      <c r="AV45">
        <v>74949.229621475999</v>
      </c>
      <c r="AX45">
        <v>74949.229621475999</v>
      </c>
      <c r="AZ45">
        <v>74949.229621475999</v>
      </c>
      <c r="BB45">
        <v>74949.229621475999</v>
      </c>
      <c r="BD45">
        <v>74949.229621475999</v>
      </c>
      <c r="BF45">
        <v>74949.229621475999</v>
      </c>
      <c r="BH45">
        <v>74949.229621475999</v>
      </c>
      <c r="BJ45">
        <v>74949.229621475999</v>
      </c>
      <c r="BL45">
        <v>74949.229621475999</v>
      </c>
      <c r="BN45">
        <v>74949.229621475999</v>
      </c>
      <c r="BP45">
        <v>74949.229621475999</v>
      </c>
      <c r="BR45">
        <v>74949.229621475999</v>
      </c>
      <c r="BT45">
        <v>74949.229621475999</v>
      </c>
      <c r="BV45">
        <v>74949.229621475999</v>
      </c>
      <c r="BX45">
        <v>74949.229621475999</v>
      </c>
      <c r="BY45">
        <v>74949.23</v>
      </c>
      <c r="BZ45">
        <v>4199405.3600000003</v>
      </c>
      <c r="CC45">
        <v>0</v>
      </c>
      <c r="CD45">
        <v>74949.230055327527</v>
      </c>
      <c r="CE45">
        <v>4199405.3600000003</v>
      </c>
      <c r="CF45" t="s">
        <v>38</v>
      </c>
      <c r="CG45">
        <v>15000</v>
      </c>
      <c r="CH45">
        <v>89949.230055327527</v>
      </c>
      <c r="CI45">
        <v>840450</v>
      </c>
      <c r="CJ45">
        <v>5039855.3600000003</v>
      </c>
      <c r="CN45">
        <v>0</v>
      </c>
      <c r="CO45" t="s">
        <v>39</v>
      </c>
      <c r="CP45" t="s">
        <v>39</v>
      </c>
      <c r="CQ45" t="b">
        <v>1</v>
      </c>
      <c r="CR45" t="s">
        <v>8950</v>
      </c>
      <c r="CS45" t="s">
        <v>1167</v>
      </c>
      <c r="CT45" t="s">
        <v>8960</v>
      </c>
      <c r="CU45" t="s">
        <v>8971</v>
      </c>
      <c r="CV45" t="s">
        <v>5913</v>
      </c>
      <c r="CW45" t="s">
        <v>4895</v>
      </c>
      <c r="CX45" t="s">
        <v>3246</v>
      </c>
      <c r="CY45">
        <v>1.5700000000000074</v>
      </c>
      <c r="CZ45">
        <v>141220.29118686487</v>
      </c>
      <c r="DA45">
        <v>5039855.3600000003</v>
      </c>
      <c r="DB45" t="s">
        <v>38</v>
      </c>
      <c r="DC45" t="b">
        <v>1</v>
      </c>
      <c r="DD45">
        <v>5039855.3600000003</v>
      </c>
      <c r="DE45">
        <v>0</v>
      </c>
      <c r="DF45" t="b">
        <v>1</v>
      </c>
      <c r="DG45" s="420" cm="1">
        <f t="array" ref="DG45">_xlfn.XLOOKUP("Дом 4"&amp;Реестр_Д4[[#This Row],[№]]&amp;Реестр_Д4[[#This Row],[Статус]],РД[Дом]&amp;РД[№ кв]&amp;РД[Состояние],РД[Дата подачи на регистрацию],"-",0)</f>
        <v>44974</v>
      </c>
    </row>
    <row r="46" spans="1:111" x14ac:dyDescent="0.25">
      <c r="A46">
        <v>45</v>
      </c>
      <c r="B46" t="s">
        <v>6</v>
      </c>
      <c r="C46">
        <v>7</v>
      </c>
      <c r="D46">
        <v>5</v>
      </c>
      <c r="E46">
        <v>2</v>
      </c>
      <c r="F46">
        <v>14.86</v>
      </c>
      <c r="G46">
        <v>9.69</v>
      </c>
      <c r="I46">
        <v>24.55</v>
      </c>
      <c r="J46">
        <v>14.88</v>
      </c>
      <c r="K46">
        <v>2.83</v>
      </c>
      <c r="L46">
        <v>1.82</v>
      </c>
      <c r="N46">
        <v>9.26</v>
      </c>
      <c r="O46">
        <v>2.63</v>
      </c>
      <c r="Q46">
        <v>2.63</v>
      </c>
      <c r="R46">
        <v>55.97</v>
      </c>
      <c r="S46">
        <v>53.34</v>
      </c>
      <c r="T46">
        <v>54.66</v>
      </c>
      <c r="U46">
        <v>56.400000000000006</v>
      </c>
      <c r="V46">
        <v>67972.800000000003</v>
      </c>
      <c r="W46">
        <v>3398.6400000000003</v>
      </c>
      <c r="X46">
        <v>71371.44</v>
      </c>
      <c r="Z46">
        <v>71371.44</v>
      </c>
      <c r="AA46">
        <v>3568.5720000000001</v>
      </c>
      <c r="AB46">
        <v>74940.012000000002</v>
      </c>
      <c r="AC46">
        <v>9.2176214760000015</v>
      </c>
      <c r="AD46">
        <v>74949.229621475999</v>
      </c>
      <c r="AF46">
        <v>74949.229621475999</v>
      </c>
      <c r="AH46">
        <v>74949.229621475999</v>
      </c>
      <c r="AJ46">
        <v>74949.229621475999</v>
      </c>
      <c r="AL46">
        <v>74949.229621475999</v>
      </c>
      <c r="AN46">
        <v>74949.229621475999</v>
      </c>
      <c r="AP46">
        <v>74949.229621475999</v>
      </c>
      <c r="AR46">
        <v>74949.229621475999</v>
      </c>
      <c r="AT46">
        <v>74949.229621475999</v>
      </c>
      <c r="AV46">
        <v>74949.229621475999</v>
      </c>
      <c r="AX46">
        <v>74949.229621475999</v>
      </c>
      <c r="AZ46">
        <v>74949.229621475999</v>
      </c>
      <c r="BB46">
        <v>74949.229621475999</v>
      </c>
      <c r="BD46">
        <v>74949.229621475999</v>
      </c>
      <c r="BF46">
        <v>74949.229621475999</v>
      </c>
      <c r="BH46">
        <v>74949.229621475999</v>
      </c>
      <c r="BJ46">
        <v>74949.229621475999</v>
      </c>
      <c r="BL46">
        <v>74949.229621475999</v>
      </c>
      <c r="BN46">
        <v>74949.229621475999</v>
      </c>
      <c r="BP46">
        <v>74949.229621475999</v>
      </c>
      <c r="BR46">
        <v>74949.229621475999</v>
      </c>
      <c r="BT46">
        <v>74949.229621475999</v>
      </c>
      <c r="BV46">
        <v>74949.229621475999</v>
      </c>
      <c r="BX46">
        <v>74949.229621475999</v>
      </c>
      <c r="BY46">
        <v>74949.23</v>
      </c>
      <c r="BZ46">
        <v>4096724.91</v>
      </c>
      <c r="CC46">
        <v>0</v>
      </c>
      <c r="CD46">
        <v>74949.229967069157</v>
      </c>
      <c r="CE46">
        <v>4096724.91</v>
      </c>
      <c r="CF46" t="s">
        <v>37</v>
      </c>
      <c r="CG46">
        <v>4000</v>
      </c>
      <c r="CH46">
        <v>78949.229967069157</v>
      </c>
      <c r="CI46">
        <v>218640</v>
      </c>
      <c r="CJ46">
        <v>4315364.91</v>
      </c>
      <c r="CN46">
        <v>0</v>
      </c>
      <c r="CO46" t="s">
        <v>39</v>
      </c>
      <c r="CP46" t="s">
        <v>39</v>
      </c>
      <c r="CQ46" t="b">
        <v>1</v>
      </c>
      <c r="CR46" t="s">
        <v>8950</v>
      </c>
      <c r="CS46" t="s">
        <v>1167</v>
      </c>
      <c r="CT46" t="s">
        <v>8960</v>
      </c>
      <c r="CU46" t="s">
        <v>8971</v>
      </c>
      <c r="CV46" t="s">
        <v>5914</v>
      </c>
      <c r="CW46" t="s">
        <v>4895</v>
      </c>
      <c r="CX46" t="s">
        <v>3246</v>
      </c>
      <c r="CY46">
        <v>1.7400000000000091</v>
      </c>
      <c r="CZ46">
        <v>137371.66014270106</v>
      </c>
      <c r="DA46">
        <v>4315364.91</v>
      </c>
      <c r="DB46" t="s">
        <v>37</v>
      </c>
      <c r="DC46" t="b">
        <v>1</v>
      </c>
      <c r="DD46">
        <v>4315364.91</v>
      </c>
      <c r="DE46">
        <v>0</v>
      </c>
      <c r="DF46" t="b">
        <v>1</v>
      </c>
      <c r="DG46" s="420" cm="1">
        <f t="array" ref="DG46">_xlfn.XLOOKUP("Дом 4"&amp;Реестр_Д4[[#This Row],[№]]&amp;Реестр_Д4[[#This Row],[Статус]],РД[Дом]&amp;РД[№ кв]&amp;РД[Состояние],РД[Дата подачи на регистрацию],"-",0)</f>
        <v>44939</v>
      </c>
    </row>
    <row r="47" spans="1:111" x14ac:dyDescent="0.25">
      <c r="A47">
        <v>46</v>
      </c>
      <c r="B47" t="s">
        <v>6</v>
      </c>
      <c r="C47">
        <v>7</v>
      </c>
      <c r="D47">
        <v>6</v>
      </c>
      <c r="E47">
        <v>2</v>
      </c>
      <c r="F47">
        <v>13.33</v>
      </c>
      <c r="G47">
        <v>13.23</v>
      </c>
      <c r="I47">
        <v>26.56</v>
      </c>
      <c r="J47">
        <v>16.25</v>
      </c>
      <c r="K47">
        <v>3.18</v>
      </c>
      <c r="L47">
        <v>2.14</v>
      </c>
      <c r="M47">
        <v>5.14</v>
      </c>
      <c r="N47">
        <v>5.19</v>
      </c>
      <c r="O47">
        <v>2.81</v>
      </c>
      <c r="Q47">
        <v>2.81</v>
      </c>
      <c r="R47">
        <v>61.27</v>
      </c>
      <c r="S47">
        <v>58.46</v>
      </c>
      <c r="T47">
        <v>59.87</v>
      </c>
      <c r="U47">
        <v>61.29999999999999</v>
      </c>
      <c r="V47">
        <v>73304</v>
      </c>
      <c r="W47">
        <v>3665.2</v>
      </c>
      <c r="X47">
        <v>76969.2</v>
      </c>
      <c r="Z47">
        <v>76969.2</v>
      </c>
      <c r="AA47">
        <v>3848.46</v>
      </c>
      <c r="AB47">
        <v>80817.66</v>
      </c>
      <c r="AC47">
        <v>9.940572180000002</v>
      </c>
      <c r="AD47">
        <v>80827.600572180003</v>
      </c>
      <c r="AF47">
        <v>80827.600572180003</v>
      </c>
      <c r="AH47">
        <v>80827.600572180003</v>
      </c>
      <c r="AI47">
        <v>1616.5520114435999</v>
      </c>
      <c r="AJ47">
        <v>82444.152583623596</v>
      </c>
      <c r="AK47">
        <v>2473.324577508708</v>
      </c>
      <c r="AL47">
        <v>84917.477161132309</v>
      </c>
      <c r="AM47">
        <v>3396.6990864452923</v>
      </c>
      <c r="AN47">
        <v>88314.176247577605</v>
      </c>
      <c r="AP47">
        <v>88314.176247577605</v>
      </c>
      <c r="AQ47">
        <v>2649.4252874273279</v>
      </c>
      <c r="AR47">
        <v>90963.601535004927</v>
      </c>
      <c r="AT47">
        <v>90963.601535004927</v>
      </c>
      <c r="AV47">
        <v>90963.601535004927</v>
      </c>
      <c r="AX47">
        <v>90963.601535004927</v>
      </c>
      <c r="AZ47">
        <v>90963.601535004927</v>
      </c>
      <c r="BB47">
        <v>90963.601535004927</v>
      </c>
      <c r="BD47">
        <v>90963.601535004927</v>
      </c>
      <c r="BF47">
        <v>90963.601535004927</v>
      </c>
      <c r="BH47">
        <v>90963.601535004927</v>
      </c>
      <c r="BJ47">
        <v>90963.601535004927</v>
      </c>
      <c r="BL47">
        <v>90963.601535004927</v>
      </c>
      <c r="BN47">
        <v>90963.601535004927</v>
      </c>
      <c r="BP47">
        <v>90963.601535004927</v>
      </c>
      <c r="BR47">
        <v>90963.601535004927</v>
      </c>
      <c r="BT47">
        <v>90963.601535004927</v>
      </c>
      <c r="BV47">
        <v>90963.601535004927</v>
      </c>
      <c r="BX47">
        <v>90963.601535004927</v>
      </c>
      <c r="BY47">
        <v>90963.6</v>
      </c>
      <c r="BZ47">
        <v>5445990.7300000004</v>
      </c>
      <c r="CA47">
        <v>239480</v>
      </c>
      <c r="CC47">
        <v>239480</v>
      </c>
      <c r="CD47">
        <v>86963.599966594295</v>
      </c>
      <c r="CE47">
        <v>5206510.7300000004</v>
      </c>
      <c r="CF47" t="s">
        <v>37</v>
      </c>
      <c r="CG47">
        <v>4000</v>
      </c>
      <c r="CH47">
        <v>90963.599966594295</v>
      </c>
      <c r="CI47">
        <v>239480</v>
      </c>
      <c r="CJ47">
        <v>5445990.7300000004</v>
      </c>
      <c r="CK47" t="s">
        <v>57</v>
      </c>
      <c r="CL47" t="s">
        <v>4837</v>
      </c>
      <c r="CN47">
        <v>0</v>
      </c>
      <c r="CO47" t="s">
        <v>39</v>
      </c>
      <c r="CP47" t="s">
        <v>39</v>
      </c>
      <c r="CQ47" t="b">
        <v>1</v>
      </c>
      <c r="CR47" t="s">
        <v>8950</v>
      </c>
      <c r="CS47" t="s">
        <v>1167</v>
      </c>
      <c r="CT47" t="s">
        <v>8960</v>
      </c>
      <c r="CU47" t="s">
        <v>8971</v>
      </c>
      <c r="CV47" t="s">
        <v>5915</v>
      </c>
      <c r="CW47" t="s">
        <v>4895</v>
      </c>
      <c r="CX47" t="s">
        <v>3246</v>
      </c>
      <c r="CY47">
        <v>1.4299999999999926</v>
      </c>
      <c r="CZ47">
        <v>130077.94795222917</v>
      </c>
      <c r="DA47">
        <v>5445990.7300000004</v>
      </c>
      <c r="DB47" t="s">
        <v>37</v>
      </c>
      <c r="DC47" t="b">
        <v>1</v>
      </c>
      <c r="DD47">
        <v>5445990.7300000004</v>
      </c>
      <c r="DE47">
        <v>0</v>
      </c>
      <c r="DF47" t="b">
        <v>1</v>
      </c>
      <c r="DG47" s="420" cm="1">
        <f t="array" ref="DG47">_xlfn.XLOOKUP("Дом 4"&amp;Реестр_Д4[[#This Row],[№]]&amp;Реестр_Д4[[#This Row],[Статус]],РД[Дом]&amp;РД[№ кв]&amp;РД[Состояние],РД[Дата подачи на регистрацию],"-",0)</f>
        <v>45118</v>
      </c>
    </row>
    <row r="48" spans="1:111" x14ac:dyDescent="0.25">
      <c r="A48">
        <v>47</v>
      </c>
      <c r="B48" t="s">
        <v>6</v>
      </c>
      <c r="C48">
        <v>7</v>
      </c>
      <c r="D48">
        <v>7</v>
      </c>
      <c r="E48">
        <v>0</v>
      </c>
      <c r="F48">
        <v>8.2799999999999994</v>
      </c>
      <c r="I48">
        <v>8.2799999999999994</v>
      </c>
      <c r="J48">
        <v>5.3</v>
      </c>
      <c r="K48">
        <v>3.38</v>
      </c>
      <c r="N48">
        <v>3.17</v>
      </c>
      <c r="O48">
        <v>3.23</v>
      </c>
      <c r="Q48">
        <v>3.23</v>
      </c>
      <c r="R48">
        <v>23.36</v>
      </c>
      <c r="S48">
        <v>20.13</v>
      </c>
      <c r="T48">
        <v>21.75</v>
      </c>
      <c r="U48">
        <v>22.6</v>
      </c>
      <c r="V48">
        <v>75600</v>
      </c>
      <c r="W48">
        <v>3780</v>
      </c>
      <c r="X48">
        <v>79380</v>
      </c>
      <c r="Z48">
        <v>79380</v>
      </c>
      <c r="AB48">
        <v>79380</v>
      </c>
      <c r="AC48">
        <v>9.7637400000000003</v>
      </c>
      <c r="AD48">
        <v>79389.763739999995</v>
      </c>
      <c r="AE48">
        <v>3969.4881869999999</v>
      </c>
      <c r="AF48">
        <v>83359.25192699999</v>
      </c>
      <c r="AH48">
        <v>83359.25192699999</v>
      </c>
      <c r="AJ48">
        <v>83359.25192699999</v>
      </c>
      <c r="AL48">
        <v>83359.25192699999</v>
      </c>
      <c r="AN48">
        <v>83359.25192699999</v>
      </c>
      <c r="AP48">
        <v>83359.25192699999</v>
      </c>
      <c r="AR48">
        <v>83359.25192699999</v>
      </c>
      <c r="AT48">
        <v>83359.25192699999</v>
      </c>
      <c r="AV48">
        <v>83359.25192699999</v>
      </c>
      <c r="AX48">
        <v>83359.25192699999</v>
      </c>
      <c r="AZ48">
        <v>83359.25192699999</v>
      </c>
      <c r="BB48">
        <v>83359.25192699999</v>
      </c>
      <c r="BD48">
        <v>83359.25192699999</v>
      </c>
      <c r="BF48">
        <v>83359.25192699999</v>
      </c>
      <c r="BH48">
        <v>83359.25192699999</v>
      </c>
      <c r="BJ48">
        <v>83359.25192699999</v>
      </c>
      <c r="BL48">
        <v>83359.25192699999</v>
      </c>
      <c r="BN48">
        <v>83359.25192699999</v>
      </c>
      <c r="BP48">
        <v>83359.25192699999</v>
      </c>
      <c r="BR48">
        <v>83359.25192699999</v>
      </c>
      <c r="BT48">
        <v>83359.25192699999</v>
      </c>
      <c r="BV48">
        <v>83359.25192699999</v>
      </c>
      <c r="BX48">
        <v>83359.25192699999</v>
      </c>
      <c r="BY48">
        <v>83359.25</v>
      </c>
      <c r="BZ48">
        <v>1813063.69</v>
      </c>
      <c r="CC48">
        <v>0</v>
      </c>
      <c r="CD48">
        <v>83359.250114942522</v>
      </c>
      <c r="CE48">
        <v>1813063.69</v>
      </c>
      <c r="CF48" t="s">
        <v>37</v>
      </c>
      <c r="CG48">
        <v>4000</v>
      </c>
      <c r="CH48">
        <v>87359.250114942522</v>
      </c>
      <c r="CI48">
        <v>87000</v>
      </c>
      <c r="CJ48">
        <v>1900063.69</v>
      </c>
      <c r="CK48" t="s">
        <v>57</v>
      </c>
      <c r="CN48">
        <v>0</v>
      </c>
      <c r="CO48" t="s">
        <v>39</v>
      </c>
      <c r="CP48" t="s">
        <v>39</v>
      </c>
      <c r="CQ48" t="b">
        <v>1</v>
      </c>
      <c r="CR48" t="s">
        <v>8950</v>
      </c>
      <c r="CS48" t="s">
        <v>1167</v>
      </c>
      <c r="CT48" t="s">
        <v>8960</v>
      </c>
      <c r="CU48" t="s">
        <v>8970</v>
      </c>
      <c r="CV48" t="s">
        <v>5916</v>
      </c>
      <c r="CW48" t="s">
        <v>4895</v>
      </c>
      <c r="CX48" t="s">
        <v>3246</v>
      </c>
      <c r="CY48">
        <v>0.85000000000000142</v>
      </c>
      <c r="CZ48">
        <v>74255.362597701271</v>
      </c>
      <c r="DA48">
        <v>1900063.69</v>
      </c>
      <c r="DB48" t="s">
        <v>37</v>
      </c>
      <c r="DC48" t="b">
        <v>1</v>
      </c>
      <c r="DD48">
        <v>1900063.69</v>
      </c>
      <c r="DE48">
        <v>0</v>
      </c>
      <c r="DF48" t="b">
        <v>1</v>
      </c>
      <c r="DG48" s="420" cm="1">
        <f t="array" ref="DG48">_xlfn.XLOOKUP("Дом 4"&amp;Реестр_Д4[[#This Row],[№]]&amp;Реестр_Д4[[#This Row],[Статус]],РД[Дом]&amp;РД[№ кв]&amp;РД[Состояние],РД[Дата подачи на регистрацию],"-",0)</f>
        <v>44907</v>
      </c>
    </row>
    <row r="49" spans="1:111" x14ac:dyDescent="0.25">
      <c r="A49">
        <v>48</v>
      </c>
      <c r="B49" t="s">
        <v>6</v>
      </c>
      <c r="C49">
        <v>7</v>
      </c>
      <c r="D49">
        <v>8</v>
      </c>
      <c r="E49">
        <v>0</v>
      </c>
      <c r="F49">
        <v>8.2899999999999991</v>
      </c>
      <c r="I49">
        <v>8.2899999999999991</v>
      </c>
      <c r="J49">
        <v>5.3</v>
      </c>
      <c r="K49">
        <v>3.38</v>
      </c>
      <c r="N49">
        <v>3.17</v>
      </c>
      <c r="O49">
        <v>3.17</v>
      </c>
      <c r="Q49">
        <v>3.17</v>
      </c>
      <c r="R49">
        <v>23.31</v>
      </c>
      <c r="S49">
        <v>20.14</v>
      </c>
      <c r="T49">
        <v>21.73</v>
      </c>
      <c r="U49">
        <v>22.5</v>
      </c>
      <c r="V49">
        <v>75600</v>
      </c>
      <c r="W49">
        <v>3780</v>
      </c>
      <c r="X49">
        <v>79380</v>
      </c>
      <c r="Z49">
        <v>79380</v>
      </c>
      <c r="AB49">
        <v>79380</v>
      </c>
      <c r="AC49">
        <v>9.7637400000000003</v>
      </c>
      <c r="AD49">
        <v>79389.763739999995</v>
      </c>
      <c r="AE49">
        <v>3969.4881869999999</v>
      </c>
      <c r="AF49">
        <v>83359.25192699999</v>
      </c>
      <c r="AG49">
        <v>8335.9251926999987</v>
      </c>
      <c r="AH49">
        <v>91695.177119699991</v>
      </c>
      <c r="AJ49">
        <v>91695.177119699991</v>
      </c>
      <c r="AK49">
        <v>2750.8553135909997</v>
      </c>
      <c r="AL49">
        <v>94446.032433290995</v>
      </c>
      <c r="AM49">
        <v>3777.8412973316399</v>
      </c>
      <c r="AN49">
        <v>98223.873730622639</v>
      </c>
      <c r="AO49">
        <v>4911.1936865311318</v>
      </c>
      <c r="AP49">
        <v>103135.06741715375</v>
      </c>
      <c r="AQ49">
        <v>3094.0520225146129</v>
      </c>
      <c r="AR49">
        <v>106229.1194396684</v>
      </c>
      <c r="AS49">
        <v>5311.4559719834197</v>
      </c>
      <c r="AT49">
        <v>111540.57541165179</v>
      </c>
      <c r="AU49">
        <v>3346.2172623495539</v>
      </c>
      <c r="AV49">
        <v>114886.79267400136</v>
      </c>
      <c r="AW49">
        <v>6893.2075604400816</v>
      </c>
      <c r="AX49">
        <v>121780.00023444144</v>
      </c>
      <c r="AZ49">
        <v>121780.00023444144</v>
      </c>
      <c r="BA49">
        <v>3653.4000070332431</v>
      </c>
      <c r="BB49">
        <v>125433.40024147468</v>
      </c>
      <c r="BC49">
        <v>3763.0020072442408</v>
      </c>
      <c r="BD49">
        <v>129196.40224871894</v>
      </c>
      <c r="BF49">
        <v>129196.40224871894</v>
      </c>
      <c r="BH49">
        <v>129196.40224871894</v>
      </c>
      <c r="BJ49">
        <v>129196.40224871894</v>
      </c>
      <c r="BL49">
        <v>129196.40224871894</v>
      </c>
      <c r="BN49">
        <v>129196.40224871894</v>
      </c>
      <c r="BP49">
        <v>129196.40224871894</v>
      </c>
      <c r="BR49">
        <v>129196.40224871894</v>
      </c>
      <c r="BT49">
        <v>129196.40224871894</v>
      </c>
      <c r="BV49">
        <v>129196.40224871894</v>
      </c>
      <c r="BX49">
        <v>129196.40224871894</v>
      </c>
      <c r="BY49">
        <v>129196.4</v>
      </c>
      <c r="BZ49">
        <v>2807437.77</v>
      </c>
      <c r="CC49">
        <v>0</v>
      </c>
      <c r="CD49">
        <v>129196.39990796134</v>
      </c>
      <c r="CE49">
        <v>2807437.77</v>
      </c>
      <c r="CF49" t="s">
        <v>37</v>
      </c>
      <c r="CG49">
        <v>7500</v>
      </c>
      <c r="CH49">
        <v>136696.39990796134</v>
      </c>
      <c r="CI49">
        <v>162975</v>
      </c>
      <c r="CJ49">
        <v>2970412.77</v>
      </c>
      <c r="CK49" t="s">
        <v>57</v>
      </c>
      <c r="CN49">
        <v>0</v>
      </c>
      <c r="CO49" t="s">
        <v>39</v>
      </c>
      <c r="CP49" t="s">
        <v>39</v>
      </c>
      <c r="CQ49" t="b">
        <v>1</v>
      </c>
      <c r="CR49" t="s">
        <v>8950</v>
      </c>
      <c r="CS49" t="s">
        <v>1167</v>
      </c>
      <c r="CT49" t="s">
        <v>8960</v>
      </c>
      <c r="CU49" t="s">
        <v>8970</v>
      </c>
      <c r="CV49" t="s">
        <v>5917</v>
      </c>
      <c r="CW49" t="s">
        <v>4895</v>
      </c>
      <c r="CX49" t="s">
        <v>3246</v>
      </c>
      <c r="CY49">
        <v>0.76999999999999957</v>
      </c>
      <c r="CZ49">
        <v>105256.22792913018</v>
      </c>
      <c r="DA49">
        <v>2970412.77</v>
      </c>
      <c r="DB49" t="s">
        <v>37</v>
      </c>
      <c r="DC49" t="b">
        <v>1</v>
      </c>
      <c r="DD49">
        <v>2970412.77</v>
      </c>
      <c r="DE49">
        <v>0</v>
      </c>
      <c r="DF49" t="b">
        <v>1</v>
      </c>
      <c r="DG49" s="420" cm="1">
        <f t="array" ref="DG49">_xlfn.XLOOKUP("Дом 4"&amp;Реестр_Д4[[#This Row],[№]]&amp;Реестр_Д4[[#This Row],[Статус]],РД[Дом]&amp;РД[№ кв]&amp;РД[Состояние],РД[Дата подачи на регистрацию],"-",0)</f>
        <v>45237</v>
      </c>
    </row>
    <row r="50" spans="1:111" x14ac:dyDescent="0.25">
      <c r="A50">
        <v>49</v>
      </c>
      <c r="B50" t="s">
        <v>6</v>
      </c>
      <c r="C50">
        <v>8</v>
      </c>
      <c r="D50">
        <v>1</v>
      </c>
      <c r="E50">
        <v>1</v>
      </c>
      <c r="F50">
        <v>13.93</v>
      </c>
      <c r="I50">
        <v>13.93</v>
      </c>
      <c r="J50">
        <v>9.18</v>
      </c>
      <c r="K50">
        <v>3.65</v>
      </c>
      <c r="N50">
        <v>5.52</v>
      </c>
      <c r="O50">
        <v>2.4900000000000002</v>
      </c>
      <c r="Q50">
        <v>2.4900000000000002</v>
      </c>
      <c r="R50">
        <v>34.770000000000003</v>
      </c>
      <c r="S50">
        <v>32.28</v>
      </c>
      <c r="T50">
        <v>33.53</v>
      </c>
      <c r="U50">
        <v>34.6</v>
      </c>
      <c r="V50">
        <v>70700</v>
      </c>
      <c r="W50">
        <v>3535</v>
      </c>
      <c r="X50">
        <v>74235</v>
      </c>
      <c r="Y50">
        <v>2969.4</v>
      </c>
      <c r="Z50">
        <v>77204.399999999994</v>
      </c>
      <c r="AA50">
        <v>3860.22</v>
      </c>
      <c r="AB50">
        <v>81064.62</v>
      </c>
      <c r="AC50">
        <v>9.9709482600000001</v>
      </c>
      <c r="AD50">
        <v>81074.590948259996</v>
      </c>
      <c r="AE50">
        <v>4053.7295474130001</v>
      </c>
      <c r="AF50">
        <v>85128.32049567299</v>
      </c>
      <c r="AH50">
        <v>85128.32049567299</v>
      </c>
      <c r="AI50">
        <v>2553.8496148701897</v>
      </c>
      <c r="AJ50">
        <v>87682.170110543186</v>
      </c>
      <c r="AK50">
        <v>2630.4651033162954</v>
      </c>
      <c r="AL50">
        <v>90312.635213859481</v>
      </c>
      <c r="AM50">
        <v>3612.5054085543793</v>
      </c>
      <c r="AN50">
        <v>93925.140622413863</v>
      </c>
      <c r="AO50">
        <v>1878.5028124482776</v>
      </c>
      <c r="AP50">
        <v>95803.643434862141</v>
      </c>
      <c r="AQ50">
        <v>2874.1093030458642</v>
      </c>
      <c r="AR50">
        <v>98677.752737907998</v>
      </c>
      <c r="AT50">
        <v>98677.752737907998</v>
      </c>
      <c r="AV50">
        <v>98677.752737907998</v>
      </c>
      <c r="AX50">
        <v>98677.752737907998</v>
      </c>
      <c r="AZ50">
        <v>98677.752737907998</v>
      </c>
      <c r="BB50">
        <v>98677.752737907998</v>
      </c>
      <c r="BD50">
        <v>98677.752737907998</v>
      </c>
      <c r="BF50">
        <v>98677.752737907998</v>
      </c>
      <c r="BH50">
        <v>98677.752737907998</v>
      </c>
      <c r="BJ50">
        <v>98677.752737907998</v>
      </c>
      <c r="BL50">
        <v>98677.752737907998</v>
      </c>
      <c r="BN50">
        <v>98677.752737907998</v>
      </c>
      <c r="BP50">
        <v>98677.752737907998</v>
      </c>
      <c r="BR50">
        <v>98677.752737907998</v>
      </c>
      <c r="BT50">
        <v>98677.752737907998</v>
      </c>
      <c r="BV50">
        <v>98677.752737907998</v>
      </c>
      <c r="BX50">
        <v>98677.752737907998</v>
      </c>
      <c r="BY50">
        <v>98677.75</v>
      </c>
      <c r="BZ50">
        <v>3308664.96</v>
      </c>
      <c r="CC50">
        <v>0</v>
      </c>
      <c r="CD50">
        <v>98677.750074560085</v>
      </c>
      <c r="CE50">
        <v>3308664.96</v>
      </c>
      <c r="CF50" t="s">
        <v>37</v>
      </c>
      <c r="CG50">
        <v>4500</v>
      </c>
      <c r="CH50">
        <v>103177.75007456008</v>
      </c>
      <c r="CI50">
        <v>150885</v>
      </c>
      <c r="CJ50">
        <v>3459549.96</v>
      </c>
      <c r="CK50" t="s">
        <v>57</v>
      </c>
      <c r="CN50">
        <v>0</v>
      </c>
      <c r="CO50" t="s">
        <v>39</v>
      </c>
      <c r="CP50" t="s">
        <v>39</v>
      </c>
      <c r="CQ50" t="b">
        <v>1</v>
      </c>
      <c r="CR50" t="s">
        <v>8950</v>
      </c>
      <c r="CS50" t="s">
        <v>1167</v>
      </c>
      <c r="CT50" t="s">
        <v>8960</v>
      </c>
      <c r="CU50" t="s">
        <v>8973</v>
      </c>
      <c r="CV50" t="s">
        <v>5918</v>
      </c>
      <c r="CW50" t="s">
        <v>4895</v>
      </c>
      <c r="CX50" t="s">
        <v>3246</v>
      </c>
      <c r="CY50">
        <v>1.0700000000000005</v>
      </c>
      <c r="CZ50">
        <v>110400.19257977932</v>
      </c>
      <c r="DA50">
        <v>3459549.96</v>
      </c>
      <c r="DB50" t="s">
        <v>37</v>
      </c>
      <c r="DC50" t="b">
        <v>1</v>
      </c>
      <c r="DD50">
        <v>3459549.96</v>
      </c>
      <c r="DE50">
        <v>0</v>
      </c>
      <c r="DF50" t="b">
        <v>1</v>
      </c>
      <c r="DG50" s="420" cm="1">
        <f t="array" ref="DG50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51" spans="1:111" x14ac:dyDescent="0.25">
      <c r="A51">
        <v>50</v>
      </c>
      <c r="B51" t="s">
        <v>6</v>
      </c>
      <c r="C51">
        <v>8</v>
      </c>
      <c r="D51">
        <v>2</v>
      </c>
      <c r="E51">
        <v>2</v>
      </c>
      <c r="F51">
        <v>16.55</v>
      </c>
      <c r="G51">
        <v>14.04</v>
      </c>
      <c r="I51">
        <v>30.59</v>
      </c>
      <c r="J51">
        <v>13.35</v>
      </c>
      <c r="K51">
        <v>3.69</v>
      </c>
      <c r="L51">
        <v>1.92</v>
      </c>
      <c r="N51">
        <v>9.48</v>
      </c>
      <c r="O51">
        <v>2.91</v>
      </c>
      <c r="P51">
        <v>2.5499999999999998</v>
      </c>
      <c r="Q51">
        <v>5.46</v>
      </c>
      <c r="R51">
        <v>64.489999999999995</v>
      </c>
      <c r="S51">
        <v>59.029999999999994</v>
      </c>
      <c r="T51">
        <v>61.76</v>
      </c>
      <c r="U51">
        <v>63.2</v>
      </c>
      <c r="V51">
        <v>68639.199999999997</v>
      </c>
      <c r="W51">
        <v>3431.96</v>
      </c>
      <c r="X51">
        <v>72071.16</v>
      </c>
      <c r="Z51">
        <v>72071.16</v>
      </c>
      <c r="AA51">
        <v>3603.558</v>
      </c>
      <c r="AB51">
        <v>75674.717999999993</v>
      </c>
      <c r="AC51">
        <v>9.3079903140000013</v>
      </c>
      <c r="AD51">
        <v>75684.02599031401</v>
      </c>
      <c r="AF51">
        <v>75684.02599031401</v>
      </c>
      <c r="AH51">
        <v>75684.02599031401</v>
      </c>
      <c r="AI51">
        <v>1513.6805198062802</v>
      </c>
      <c r="AJ51">
        <v>77197.70651012029</v>
      </c>
      <c r="AK51">
        <v>2315.9311953036085</v>
      </c>
      <c r="AL51">
        <v>79513.637705423898</v>
      </c>
      <c r="AM51">
        <v>3180.545508216956</v>
      </c>
      <c r="AN51">
        <v>82694.183213640848</v>
      </c>
      <c r="AO51">
        <v>2480.8254964092253</v>
      </c>
      <c r="AP51">
        <v>85175.008710050068</v>
      </c>
      <c r="AQ51">
        <v>2555.2502613015017</v>
      </c>
      <c r="AR51">
        <v>87730.258971351563</v>
      </c>
      <c r="AT51">
        <v>87730.258971351563</v>
      </c>
      <c r="AV51">
        <v>87730.258971351563</v>
      </c>
      <c r="AX51">
        <v>87730.258971351563</v>
      </c>
      <c r="AZ51">
        <v>87730.258971351563</v>
      </c>
      <c r="BB51">
        <v>87730.258971351563</v>
      </c>
      <c r="BD51">
        <v>87730.258971351563</v>
      </c>
      <c r="BF51">
        <v>87730.258971351563</v>
      </c>
      <c r="BH51">
        <v>87730.258971351563</v>
      </c>
      <c r="BJ51">
        <v>87730.258971351563</v>
      </c>
      <c r="BL51">
        <v>87730.258971351563</v>
      </c>
      <c r="BN51">
        <v>87730.258971351563</v>
      </c>
      <c r="BP51">
        <v>87730.258971351563</v>
      </c>
      <c r="BR51">
        <v>87730.258971351563</v>
      </c>
      <c r="BT51">
        <v>87730.258971351563</v>
      </c>
      <c r="BV51">
        <v>87730.258971351563</v>
      </c>
      <c r="BX51">
        <v>87730.258971351563</v>
      </c>
      <c r="BY51">
        <v>87730.26</v>
      </c>
      <c r="BZ51">
        <v>5418220.8600000003</v>
      </c>
      <c r="CA51">
        <v>120000</v>
      </c>
      <c r="CC51">
        <v>120000</v>
      </c>
      <c r="CD51">
        <v>85787.254857512962</v>
      </c>
      <c r="CE51">
        <v>5298220.8600000003</v>
      </c>
      <c r="CF51" t="s">
        <v>38</v>
      </c>
      <c r="CG51">
        <v>15500</v>
      </c>
      <c r="CH51">
        <v>101287.25485751296</v>
      </c>
      <c r="CI51">
        <v>957280</v>
      </c>
      <c r="CJ51">
        <v>6255500.8600000003</v>
      </c>
      <c r="CK51" t="s">
        <v>57</v>
      </c>
      <c r="CL51" t="s">
        <v>3515</v>
      </c>
      <c r="CN51">
        <v>0</v>
      </c>
      <c r="CO51" t="s">
        <v>39</v>
      </c>
      <c r="CP51" t="s">
        <v>39</v>
      </c>
      <c r="CQ51" t="b">
        <v>1</v>
      </c>
      <c r="CR51" t="s">
        <v>8950</v>
      </c>
      <c r="CS51" t="s">
        <v>1167</v>
      </c>
      <c r="CT51" t="s">
        <v>8960</v>
      </c>
      <c r="CU51" t="s">
        <v>8974</v>
      </c>
      <c r="CV51" t="s">
        <v>5919</v>
      </c>
      <c r="CW51" t="s">
        <v>4895</v>
      </c>
      <c r="CX51" t="s">
        <v>3246</v>
      </c>
      <c r="CY51">
        <v>1.4400000000000048</v>
      </c>
      <c r="CZ51">
        <v>145853.64699481917</v>
      </c>
      <c r="DA51">
        <v>6255500.8600000003</v>
      </c>
      <c r="DB51" t="s">
        <v>38</v>
      </c>
      <c r="DC51" t="b">
        <v>1</v>
      </c>
      <c r="DD51">
        <v>6255500.8600000003</v>
      </c>
      <c r="DE51">
        <v>0</v>
      </c>
      <c r="DF51" t="b">
        <v>1</v>
      </c>
      <c r="DG51" s="420" cm="1">
        <f t="array" ref="DG51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52" spans="1:111" x14ac:dyDescent="0.25">
      <c r="A52">
        <v>51</v>
      </c>
      <c r="B52" t="s">
        <v>6</v>
      </c>
      <c r="C52">
        <v>8</v>
      </c>
      <c r="D52">
        <v>3</v>
      </c>
      <c r="E52">
        <v>1</v>
      </c>
      <c r="F52">
        <v>12.25</v>
      </c>
      <c r="I52">
        <v>12.25</v>
      </c>
      <c r="J52">
        <v>11.65</v>
      </c>
      <c r="K52">
        <v>3.67</v>
      </c>
      <c r="N52">
        <v>6.55</v>
      </c>
      <c r="O52">
        <v>2.83</v>
      </c>
      <c r="Q52">
        <v>2.83</v>
      </c>
      <c r="R52">
        <v>36.950000000000003</v>
      </c>
      <c r="S52">
        <v>34.120000000000005</v>
      </c>
      <c r="T52">
        <v>35.54</v>
      </c>
      <c r="U52">
        <v>36.799999999999997</v>
      </c>
      <c r="V52">
        <v>71400</v>
      </c>
      <c r="W52">
        <v>3570</v>
      </c>
      <c r="X52">
        <v>74970</v>
      </c>
      <c r="Y52">
        <v>2998.8</v>
      </c>
      <c r="Z52">
        <v>77968.800000000003</v>
      </c>
      <c r="AA52">
        <v>3898.440000000001</v>
      </c>
      <c r="AB52">
        <v>81867.240000000005</v>
      </c>
      <c r="AC52">
        <v>10.069670520000001</v>
      </c>
      <c r="AD52">
        <v>81877.309670520001</v>
      </c>
      <c r="AE52">
        <v>4093.8654835259999</v>
      </c>
      <c r="AF52">
        <v>85971.175154045995</v>
      </c>
      <c r="AH52">
        <v>85971.175154045995</v>
      </c>
      <c r="AJ52">
        <v>85971.175154045995</v>
      </c>
      <c r="AL52">
        <v>85971.175154045995</v>
      </c>
      <c r="AN52">
        <v>85971.175154045995</v>
      </c>
      <c r="AP52">
        <v>85971.175154045995</v>
      </c>
      <c r="AR52">
        <v>85971.175154045995</v>
      </c>
      <c r="AT52">
        <v>85971.175154045995</v>
      </c>
      <c r="AV52">
        <v>85971.175154045995</v>
      </c>
      <c r="AX52">
        <v>85971.175154045995</v>
      </c>
      <c r="AZ52">
        <v>85971.175154045995</v>
      </c>
      <c r="BB52">
        <v>85971.175154045995</v>
      </c>
      <c r="BD52">
        <v>85971.175154045995</v>
      </c>
      <c r="BF52">
        <v>85971.175154045995</v>
      </c>
      <c r="BH52">
        <v>85971.175154045995</v>
      </c>
      <c r="BJ52">
        <v>85971.175154045995</v>
      </c>
      <c r="BL52">
        <v>85971.175154045995</v>
      </c>
      <c r="BN52">
        <v>85971.175154045995</v>
      </c>
      <c r="BP52">
        <v>85971.175154045995</v>
      </c>
      <c r="BR52">
        <v>85971.175154045995</v>
      </c>
      <c r="BT52">
        <v>85971.175154045995</v>
      </c>
      <c r="BV52">
        <v>85971.175154045995</v>
      </c>
      <c r="BX52">
        <v>85971.175154045995</v>
      </c>
      <c r="BY52">
        <v>85971.18</v>
      </c>
      <c r="BZ52">
        <v>3055415.74</v>
      </c>
      <c r="CC52">
        <v>0</v>
      </c>
      <c r="CD52">
        <v>85971.18007878447</v>
      </c>
      <c r="CE52">
        <v>3055415.74</v>
      </c>
      <c r="CF52" t="s">
        <v>38</v>
      </c>
      <c r="CG52">
        <v>15000</v>
      </c>
      <c r="CH52">
        <v>100971.18007878448</v>
      </c>
      <c r="CI52">
        <v>533100</v>
      </c>
      <c r="CJ52">
        <v>3588515.74</v>
      </c>
      <c r="CN52">
        <v>0</v>
      </c>
      <c r="CO52" t="s">
        <v>39</v>
      </c>
      <c r="CP52" t="s">
        <v>39</v>
      </c>
      <c r="CQ52" t="b">
        <v>1</v>
      </c>
      <c r="CR52" t="s">
        <v>8950</v>
      </c>
      <c r="CS52" t="s">
        <v>1167</v>
      </c>
      <c r="CT52" t="s">
        <v>8960</v>
      </c>
      <c r="CU52" t="s">
        <v>8973</v>
      </c>
      <c r="CV52" t="s">
        <v>5920</v>
      </c>
      <c r="CW52" t="s">
        <v>4895</v>
      </c>
      <c r="CX52" t="s">
        <v>3246</v>
      </c>
      <c r="CY52">
        <v>1.259999999999998</v>
      </c>
      <c r="CZ52">
        <v>127223.68689926824</v>
      </c>
      <c r="DA52">
        <v>3588515.74</v>
      </c>
      <c r="DB52" t="s">
        <v>38</v>
      </c>
      <c r="DC52" t="b">
        <v>1</v>
      </c>
      <c r="DD52">
        <v>3588515.74</v>
      </c>
      <c r="DE52">
        <v>0</v>
      </c>
      <c r="DF52" t="b">
        <v>1</v>
      </c>
      <c r="DG52" s="420" cm="1">
        <f t="array" ref="DG52">_xlfn.XLOOKUP("Дом 4"&amp;Реестр_Д4[[#This Row],[№]]&amp;Реестр_Д4[[#This Row],[Статус]],РД[Дом]&amp;РД[№ кв]&amp;РД[Состояние],РД[Дата подачи на регистрацию],"-",0)</f>
        <v>44957</v>
      </c>
    </row>
    <row r="53" spans="1:111" x14ac:dyDescent="0.25">
      <c r="A53">
        <v>52</v>
      </c>
      <c r="B53" t="s">
        <v>6</v>
      </c>
      <c r="C53">
        <v>8</v>
      </c>
      <c r="D53">
        <v>4</v>
      </c>
      <c r="E53">
        <v>2</v>
      </c>
      <c r="F53">
        <v>14.61</v>
      </c>
      <c r="G53">
        <v>11.01</v>
      </c>
      <c r="I53">
        <v>25.62</v>
      </c>
      <c r="J53">
        <v>14.77</v>
      </c>
      <c r="K53">
        <v>2.85</v>
      </c>
      <c r="L53">
        <v>2.4900000000000002</v>
      </c>
      <c r="N53">
        <v>8.7899999999999991</v>
      </c>
      <c r="O53">
        <v>3.01</v>
      </c>
      <c r="Q53">
        <v>3.01</v>
      </c>
      <c r="R53">
        <v>57.53</v>
      </c>
      <c r="S53">
        <v>54.52</v>
      </c>
      <c r="T53">
        <v>56.03</v>
      </c>
      <c r="U53">
        <v>57.7</v>
      </c>
      <c r="V53">
        <v>67972.800000000003</v>
      </c>
      <c r="W53">
        <v>3398.6400000000003</v>
      </c>
      <c r="X53">
        <v>71371.44</v>
      </c>
      <c r="Z53">
        <v>71371.44</v>
      </c>
      <c r="AA53">
        <v>3568.5720000000001</v>
      </c>
      <c r="AB53">
        <v>74940.012000000002</v>
      </c>
      <c r="AC53">
        <v>9.2176214760000015</v>
      </c>
      <c r="AD53">
        <v>74949.229621475999</v>
      </c>
      <c r="AF53">
        <v>74949.229621475999</v>
      </c>
      <c r="AH53">
        <v>74949.229621475999</v>
      </c>
      <c r="AI53">
        <v>1498.98459242952</v>
      </c>
      <c r="AJ53">
        <v>76448.214213905521</v>
      </c>
      <c r="AL53">
        <v>76448.214213905521</v>
      </c>
      <c r="AN53">
        <v>76448.214213905521</v>
      </c>
      <c r="AP53">
        <v>76448.214213905521</v>
      </c>
      <c r="AR53">
        <v>76448.214213905521</v>
      </c>
      <c r="AT53">
        <v>76448.214213905521</v>
      </c>
      <c r="AV53">
        <v>76448.214213905521</v>
      </c>
      <c r="AX53">
        <v>76448.214213905521</v>
      </c>
      <c r="AZ53">
        <v>76448.214213905521</v>
      </c>
      <c r="BB53">
        <v>76448.214213905521</v>
      </c>
      <c r="BD53">
        <v>76448.214213905521</v>
      </c>
      <c r="BF53">
        <v>76448.214213905521</v>
      </c>
      <c r="BH53">
        <v>76448.214213905521</v>
      </c>
      <c r="BJ53">
        <v>76448.214213905521</v>
      </c>
      <c r="BL53">
        <v>76448.214213905521</v>
      </c>
      <c r="BN53">
        <v>76448.214213905521</v>
      </c>
      <c r="BP53">
        <v>76448.214213905521</v>
      </c>
      <c r="BR53">
        <v>76448.214213905521</v>
      </c>
      <c r="BT53">
        <v>76448.214213905521</v>
      </c>
      <c r="BV53">
        <v>76448.214213905521</v>
      </c>
      <c r="BX53">
        <v>76448.214213905521</v>
      </c>
      <c r="BY53">
        <v>76448.210000000006</v>
      </c>
      <c r="BZ53">
        <v>4283393.21</v>
      </c>
      <c r="CC53">
        <v>0</v>
      </c>
      <c r="CD53">
        <v>76448.210066036045</v>
      </c>
      <c r="CE53">
        <v>4283393.21</v>
      </c>
      <c r="CF53" t="s">
        <v>37</v>
      </c>
      <c r="CG53">
        <v>4000</v>
      </c>
      <c r="CH53">
        <v>80448.210066036045</v>
      </c>
      <c r="CI53">
        <v>224120</v>
      </c>
      <c r="CJ53">
        <v>4507513.21</v>
      </c>
      <c r="CN53">
        <v>0</v>
      </c>
      <c r="CO53" t="s">
        <v>39</v>
      </c>
      <c r="CP53" t="s">
        <v>39</v>
      </c>
      <c r="CQ53" t="b">
        <v>1</v>
      </c>
      <c r="CR53" t="s">
        <v>8950</v>
      </c>
      <c r="CS53" t="s">
        <v>1167</v>
      </c>
      <c r="CT53" t="s">
        <v>8960</v>
      </c>
      <c r="CU53" t="s">
        <v>8971</v>
      </c>
      <c r="CV53" t="s">
        <v>5921</v>
      </c>
      <c r="CW53" t="s">
        <v>4895</v>
      </c>
      <c r="CX53" t="s">
        <v>3246</v>
      </c>
      <c r="CY53">
        <v>1.6700000000000017</v>
      </c>
      <c r="CZ53">
        <v>134348.51081028034</v>
      </c>
      <c r="DA53">
        <v>4507513.21</v>
      </c>
      <c r="DB53" t="s">
        <v>37</v>
      </c>
      <c r="DC53" t="b">
        <v>1</v>
      </c>
      <c r="DD53">
        <v>4507513.21</v>
      </c>
      <c r="DE53">
        <v>0</v>
      </c>
      <c r="DF53" t="b">
        <v>1</v>
      </c>
      <c r="DG53" s="420" cm="1">
        <f t="array" ref="DG53">_xlfn.XLOOKUP("Дом 4"&amp;Реестр_Д4[[#This Row],[№]]&amp;Реестр_Д4[[#This Row],[Статус]],РД[Дом]&amp;РД[№ кв]&amp;РД[Состояние],РД[Дата подачи на регистрацию],"-",0)</f>
        <v>45001</v>
      </c>
    </row>
    <row r="54" spans="1:111" x14ac:dyDescent="0.25">
      <c r="A54">
        <v>53</v>
      </c>
      <c r="B54" t="s">
        <v>6</v>
      </c>
      <c r="C54">
        <v>8</v>
      </c>
      <c r="D54">
        <v>5</v>
      </c>
      <c r="E54">
        <v>2</v>
      </c>
      <c r="F54">
        <v>14.86</v>
      </c>
      <c r="G54">
        <v>9.69</v>
      </c>
      <c r="I54">
        <v>24.55</v>
      </c>
      <c r="J54">
        <v>14.88</v>
      </c>
      <c r="K54">
        <v>2.83</v>
      </c>
      <c r="L54">
        <v>1.82</v>
      </c>
      <c r="N54">
        <v>9.26</v>
      </c>
      <c r="O54">
        <v>2.63</v>
      </c>
      <c r="Q54">
        <v>2.63</v>
      </c>
      <c r="R54">
        <v>55.97</v>
      </c>
      <c r="S54">
        <v>53.34</v>
      </c>
      <c r="T54">
        <v>54.66</v>
      </c>
      <c r="U54">
        <v>56.099999999999994</v>
      </c>
      <c r="V54">
        <v>67972.800000000003</v>
      </c>
      <c r="W54">
        <v>3398.6400000000003</v>
      </c>
      <c r="X54">
        <v>71371.44</v>
      </c>
      <c r="Z54">
        <v>71371.44</v>
      </c>
      <c r="AA54">
        <v>3568.5720000000001</v>
      </c>
      <c r="AB54">
        <v>74940.012000000002</v>
      </c>
      <c r="AC54">
        <v>9.2176214760000015</v>
      </c>
      <c r="AD54">
        <v>74949.229621475999</v>
      </c>
      <c r="AF54">
        <v>74949.229621475999</v>
      </c>
      <c r="AH54">
        <v>74949.229621475999</v>
      </c>
      <c r="AJ54">
        <v>74949.229621475999</v>
      </c>
      <c r="AL54">
        <v>74949.229621475999</v>
      </c>
      <c r="AN54">
        <v>74949.229621475999</v>
      </c>
      <c r="AP54">
        <v>74949.229621475999</v>
      </c>
      <c r="AR54">
        <v>74949.229621475999</v>
      </c>
      <c r="AT54">
        <v>74949.229621475999</v>
      </c>
      <c r="AV54">
        <v>74949.229621475999</v>
      </c>
      <c r="AX54">
        <v>74949.229621475999</v>
      </c>
      <c r="AZ54">
        <v>74949.229621475999</v>
      </c>
      <c r="BB54">
        <v>74949.229621475999</v>
      </c>
      <c r="BD54">
        <v>74949.229621475999</v>
      </c>
      <c r="BF54">
        <v>74949.229621475999</v>
      </c>
      <c r="BH54">
        <v>74949.229621475999</v>
      </c>
      <c r="BJ54">
        <v>74949.229621475999</v>
      </c>
      <c r="BL54">
        <v>74949.229621475999</v>
      </c>
      <c r="BN54">
        <v>74949.229621475999</v>
      </c>
      <c r="BP54">
        <v>74949.229621475999</v>
      </c>
      <c r="BR54">
        <v>74949.229621475999</v>
      </c>
      <c r="BT54">
        <v>74949.229621475999</v>
      </c>
      <c r="BV54">
        <v>74949.229621475999</v>
      </c>
      <c r="BX54">
        <v>74949.229621475999</v>
      </c>
      <c r="BY54">
        <v>74949.23</v>
      </c>
      <c r="BZ54">
        <v>4096724.91</v>
      </c>
      <c r="CB54">
        <v>0.03</v>
      </c>
      <c r="CC54">
        <v>122901.7473</v>
      </c>
      <c r="CD54">
        <v>72700.75301866082</v>
      </c>
      <c r="CE54">
        <v>3973823.16</v>
      </c>
      <c r="CF54" t="s">
        <v>37</v>
      </c>
      <c r="CG54">
        <v>4000</v>
      </c>
      <c r="CH54">
        <v>76700.75301866082</v>
      </c>
      <c r="CI54">
        <v>218640</v>
      </c>
      <c r="CJ54">
        <v>4192463.16</v>
      </c>
      <c r="CL54" t="s">
        <v>3540</v>
      </c>
      <c r="CN54">
        <v>0</v>
      </c>
      <c r="CO54" t="s">
        <v>39</v>
      </c>
      <c r="CP54" t="s">
        <v>39</v>
      </c>
      <c r="CQ54" t="b">
        <v>1</v>
      </c>
      <c r="CR54" t="s">
        <v>8950</v>
      </c>
      <c r="CS54" t="s">
        <v>1167</v>
      </c>
      <c r="CT54" t="s">
        <v>8960</v>
      </c>
      <c r="CU54" t="s">
        <v>8971</v>
      </c>
      <c r="CV54" t="s">
        <v>5922</v>
      </c>
      <c r="CW54" t="s">
        <v>4895</v>
      </c>
      <c r="CX54" t="s">
        <v>3246</v>
      </c>
      <c r="CY54">
        <v>1.4399999999999975</v>
      </c>
      <c r="CZ54">
        <v>110449.0843468714</v>
      </c>
      <c r="DA54">
        <v>4192463.16</v>
      </c>
      <c r="DB54" t="s">
        <v>37</v>
      </c>
      <c r="DC54" t="b">
        <v>1</v>
      </c>
      <c r="DD54">
        <v>4192463.16</v>
      </c>
      <c r="DE54">
        <v>0</v>
      </c>
      <c r="DF54" t="b">
        <v>1</v>
      </c>
      <c r="DG54" s="420" cm="1">
        <f t="array" ref="DG54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55" spans="1:111" x14ac:dyDescent="0.25">
      <c r="A55">
        <v>54</v>
      </c>
      <c r="B55" t="s">
        <v>6</v>
      </c>
      <c r="C55">
        <v>8</v>
      </c>
      <c r="D55">
        <v>6</v>
      </c>
      <c r="E55">
        <v>2</v>
      </c>
      <c r="F55">
        <v>13.33</v>
      </c>
      <c r="G55">
        <v>13.23</v>
      </c>
      <c r="I55">
        <v>26.56</v>
      </c>
      <c r="J55">
        <v>16.25</v>
      </c>
      <c r="K55">
        <v>3.18</v>
      </c>
      <c r="L55">
        <v>2.14</v>
      </c>
      <c r="M55">
        <v>5.14</v>
      </c>
      <c r="N55">
        <v>5.19</v>
      </c>
      <c r="O55">
        <v>2.81</v>
      </c>
      <c r="Q55">
        <v>2.81</v>
      </c>
      <c r="R55">
        <v>61.27</v>
      </c>
      <c r="S55">
        <v>58.46</v>
      </c>
      <c r="T55">
        <v>59.87</v>
      </c>
      <c r="U55">
        <v>61.7</v>
      </c>
      <c r="V55">
        <v>73304</v>
      </c>
      <c r="W55">
        <v>3665.2</v>
      </c>
      <c r="X55">
        <v>76969.2</v>
      </c>
      <c r="Z55">
        <v>76969.2</v>
      </c>
      <c r="AA55">
        <v>3848.46</v>
      </c>
      <c r="AB55">
        <v>80817.66</v>
      </c>
      <c r="AC55">
        <v>9.940572180000002</v>
      </c>
      <c r="AD55">
        <v>80827.600572180003</v>
      </c>
      <c r="AF55">
        <v>80827.600572180003</v>
      </c>
      <c r="AH55">
        <v>80827.600572180003</v>
      </c>
      <c r="AI55">
        <v>1616.5520114435999</v>
      </c>
      <c r="AJ55">
        <v>82444.152583623596</v>
      </c>
      <c r="AK55">
        <v>2473.324577508708</v>
      </c>
      <c r="AL55">
        <v>84917.477161132309</v>
      </c>
      <c r="AM55">
        <v>3396.6990864452923</v>
      </c>
      <c r="AN55">
        <v>88314.176247577605</v>
      </c>
      <c r="AP55">
        <v>88314.176247577605</v>
      </c>
      <c r="AQ55">
        <v>2649.4252874273279</v>
      </c>
      <c r="AR55">
        <v>90963.601535004927</v>
      </c>
      <c r="AT55">
        <v>90963.601535004927</v>
      </c>
      <c r="AU55">
        <v>2728.9080460501477</v>
      </c>
      <c r="AV55">
        <v>93692.509581055085</v>
      </c>
      <c r="AX55">
        <v>93692.509581055085</v>
      </c>
      <c r="AZ55">
        <v>93692.509581055085</v>
      </c>
      <c r="BB55">
        <v>93692.509581055085</v>
      </c>
      <c r="BD55">
        <v>93692.509581055085</v>
      </c>
      <c r="BF55">
        <v>93692.509581055085</v>
      </c>
      <c r="BH55">
        <v>93692.509581055085</v>
      </c>
      <c r="BJ55">
        <v>93692.509581055085</v>
      </c>
      <c r="BL55">
        <v>93692.509581055085</v>
      </c>
      <c r="BN55">
        <v>93692.509581055085</v>
      </c>
      <c r="BP55">
        <v>93692.509581055085</v>
      </c>
      <c r="BR55">
        <v>93692.509581055085</v>
      </c>
      <c r="BT55">
        <v>93692.509581055085</v>
      </c>
      <c r="BV55">
        <v>93692.509581055085</v>
      </c>
      <c r="BX55">
        <v>93692.509581055085</v>
      </c>
      <c r="BY55">
        <v>93692.51</v>
      </c>
      <c r="BZ55">
        <v>5609370.5700000003</v>
      </c>
      <c r="CB55">
        <v>0.02</v>
      </c>
      <c r="CC55">
        <v>112187.4114</v>
      </c>
      <c r="CD55">
        <v>91818.659762819443</v>
      </c>
      <c r="CE55">
        <v>5497183.1600000001</v>
      </c>
      <c r="CF55" t="s">
        <v>37</v>
      </c>
      <c r="CG55">
        <v>7500</v>
      </c>
      <c r="CH55">
        <v>99318.659762819443</v>
      </c>
      <c r="CI55">
        <v>449025</v>
      </c>
      <c r="CJ55">
        <v>5946208.1600000001</v>
      </c>
      <c r="CK55" t="s">
        <v>57</v>
      </c>
      <c r="CL55" t="s">
        <v>3540</v>
      </c>
      <c r="CN55">
        <v>0</v>
      </c>
      <c r="CO55" t="s">
        <v>39</v>
      </c>
      <c r="CP55" t="s">
        <v>39</v>
      </c>
      <c r="CQ55" t="b">
        <v>1</v>
      </c>
      <c r="CR55" t="s">
        <v>8950</v>
      </c>
      <c r="CS55" t="s">
        <v>1167</v>
      </c>
      <c r="CT55" t="s">
        <v>8960</v>
      </c>
      <c r="CU55" t="s">
        <v>8971</v>
      </c>
      <c r="CV55" t="s">
        <v>5923</v>
      </c>
      <c r="CW55" t="s">
        <v>4895</v>
      </c>
      <c r="CX55" t="s">
        <v>3246</v>
      </c>
      <c r="CY55">
        <v>1.8299999999999983</v>
      </c>
      <c r="CZ55">
        <v>181753.14736595945</v>
      </c>
      <c r="DA55">
        <v>5946208.1600000001</v>
      </c>
      <c r="DB55" t="s">
        <v>37</v>
      </c>
      <c r="DC55" t="b">
        <v>1</v>
      </c>
      <c r="DD55">
        <v>5946208.1600000001</v>
      </c>
      <c r="DE55">
        <v>0</v>
      </c>
      <c r="DF55" t="b">
        <v>1</v>
      </c>
      <c r="DG55" s="420" cm="1">
        <f t="array" ref="DG55">_xlfn.XLOOKUP("Дом 4"&amp;Реестр_Д4[[#This Row],[№]]&amp;Реестр_Д4[[#This Row],[Статус]],РД[Дом]&amp;РД[№ кв]&amp;РД[Состояние],РД[Дата подачи на регистрацию],"-",0)</f>
        <v>45259</v>
      </c>
    </row>
    <row r="56" spans="1:111" x14ac:dyDescent="0.25">
      <c r="A56">
        <v>55</v>
      </c>
      <c r="B56" t="s">
        <v>6</v>
      </c>
      <c r="C56">
        <v>8</v>
      </c>
      <c r="D56">
        <v>7</v>
      </c>
      <c r="E56">
        <v>0</v>
      </c>
      <c r="F56">
        <v>8.2799999999999994</v>
      </c>
      <c r="I56">
        <v>8.2799999999999994</v>
      </c>
      <c r="J56">
        <v>5.3</v>
      </c>
      <c r="K56">
        <v>3.38</v>
      </c>
      <c r="N56">
        <v>3.17</v>
      </c>
      <c r="O56">
        <v>3.23</v>
      </c>
      <c r="Q56">
        <v>3.23</v>
      </c>
      <c r="R56">
        <v>23.36</v>
      </c>
      <c r="S56">
        <v>20.13</v>
      </c>
      <c r="T56">
        <v>21.75</v>
      </c>
      <c r="U56">
        <v>22.6</v>
      </c>
      <c r="V56">
        <v>75600</v>
      </c>
      <c r="W56">
        <v>3780</v>
      </c>
      <c r="X56">
        <v>79380</v>
      </c>
      <c r="Z56">
        <v>79380</v>
      </c>
      <c r="AB56">
        <v>79380</v>
      </c>
      <c r="AC56">
        <v>9.7637400000000003</v>
      </c>
      <c r="AD56">
        <v>79389.763739999995</v>
      </c>
      <c r="AE56">
        <v>3969.4881869999999</v>
      </c>
      <c r="AF56">
        <v>83359.25192699999</v>
      </c>
      <c r="AG56">
        <v>8335.9251926999987</v>
      </c>
      <c r="AH56">
        <v>91695.177119699991</v>
      </c>
      <c r="AJ56">
        <v>91695.177119699991</v>
      </c>
      <c r="AK56">
        <v>2750.8553135909997</v>
      </c>
      <c r="AL56">
        <v>94446.032433290995</v>
      </c>
      <c r="AM56">
        <v>3777.8412973316399</v>
      </c>
      <c r="AN56">
        <v>98223.873730622639</v>
      </c>
      <c r="AO56">
        <v>4911.1936865311318</v>
      </c>
      <c r="AP56">
        <v>103135.06741715375</v>
      </c>
      <c r="AQ56">
        <v>3094.0520225146129</v>
      </c>
      <c r="AR56">
        <v>106229.1194396684</v>
      </c>
      <c r="AS56">
        <v>5311.4559719834197</v>
      </c>
      <c r="AT56">
        <v>111540.57541165179</v>
      </c>
      <c r="AU56">
        <v>3346.2172623495539</v>
      </c>
      <c r="AV56">
        <v>114886.79267400136</v>
      </c>
      <c r="AW56">
        <v>6893.2075604400816</v>
      </c>
      <c r="AX56">
        <v>121780.00023444144</v>
      </c>
      <c r="AZ56">
        <v>121780.00023444144</v>
      </c>
      <c r="BA56">
        <v>3653.4000070332431</v>
      </c>
      <c r="BB56">
        <v>125433.40024147468</v>
      </c>
      <c r="BC56">
        <v>6271.6700120737351</v>
      </c>
      <c r="BD56">
        <v>131705.07025354842</v>
      </c>
      <c r="BF56">
        <v>131705.07025354842</v>
      </c>
      <c r="BH56">
        <v>131705.07025354842</v>
      </c>
      <c r="BI56">
        <v>6585.253512677421</v>
      </c>
      <c r="BJ56">
        <v>138290.32376622583</v>
      </c>
      <c r="BL56">
        <v>138290.32376622583</v>
      </c>
      <c r="BN56">
        <v>138290.32376622583</v>
      </c>
      <c r="BP56">
        <v>138290.32376622583</v>
      </c>
      <c r="BR56">
        <v>138290.32376622583</v>
      </c>
      <c r="BT56">
        <v>138290.32376622583</v>
      </c>
      <c r="BV56">
        <v>138290.32376622583</v>
      </c>
      <c r="BX56">
        <v>138290.32376622583</v>
      </c>
      <c r="BY56">
        <v>138290.32</v>
      </c>
      <c r="BZ56">
        <v>3007900</v>
      </c>
      <c r="CC56">
        <v>0</v>
      </c>
      <c r="CD56">
        <v>138294.25287356321</v>
      </c>
      <c r="CE56">
        <v>3007900</v>
      </c>
      <c r="CF56" t="s">
        <v>37</v>
      </c>
      <c r="CG56">
        <v>7500</v>
      </c>
      <c r="CH56">
        <v>145794.25287356321</v>
      </c>
      <c r="CI56">
        <v>163125</v>
      </c>
      <c r="CJ56">
        <v>3171025</v>
      </c>
      <c r="CK56" t="s">
        <v>57</v>
      </c>
      <c r="CN56">
        <v>0</v>
      </c>
      <c r="CO56" t="s">
        <v>39</v>
      </c>
      <c r="CP56" t="s">
        <v>39</v>
      </c>
      <c r="CQ56" t="b">
        <v>1</v>
      </c>
      <c r="CR56" t="s">
        <v>8950</v>
      </c>
      <c r="CS56" t="s">
        <v>1167</v>
      </c>
      <c r="CT56" t="s">
        <v>8960</v>
      </c>
      <c r="CU56" t="s">
        <v>8970</v>
      </c>
      <c r="CV56" t="s">
        <v>5924</v>
      </c>
      <c r="CW56" t="s">
        <v>6652</v>
      </c>
      <c r="CX56" t="s">
        <v>3246</v>
      </c>
      <c r="CY56">
        <v>0.85000000000000142</v>
      </c>
      <c r="CZ56">
        <v>123925.11494252892</v>
      </c>
      <c r="DA56">
        <v>3171025</v>
      </c>
      <c r="DB56" t="s">
        <v>37</v>
      </c>
      <c r="DC56" t="b">
        <v>1</v>
      </c>
      <c r="DD56">
        <v>3171025</v>
      </c>
      <c r="DE56">
        <v>0</v>
      </c>
      <c r="DF56" t="b">
        <v>1</v>
      </c>
      <c r="DG56" s="420" cm="1">
        <f t="array" ref="DG56">_xlfn.XLOOKUP("Дом 4"&amp;Реестр_Д4[[#This Row],[№]]&amp;Реестр_Д4[[#This Row],[Статус]],РД[Дом]&amp;РД[№ кв]&amp;РД[Состояние],РД[Дата подачи на регистрацию],"-",0)</f>
        <v>45329</v>
      </c>
    </row>
    <row r="57" spans="1:111" x14ac:dyDescent="0.25">
      <c r="A57">
        <v>56</v>
      </c>
      <c r="B57" t="s">
        <v>6</v>
      </c>
      <c r="C57">
        <v>8</v>
      </c>
      <c r="D57">
        <v>8</v>
      </c>
      <c r="E57">
        <v>0</v>
      </c>
      <c r="F57">
        <v>8.2899999999999991</v>
      </c>
      <c r="I57">
        <v>8.2899999999999991</v>
      </c>
      <c r="J57">
        <v>5.3</v>
      </c>
      <c r="K57">
        <v>3.38</v>
      </c>
      <c r="N57">
        <v>3.17</v>
      </c>
      <c r="O57">
        <v>3.17</v>
      </c>
      <c r="Q57">
        <v>3.17</v>
      </c>
      <c r="R57">
        <v>23.31</v>
      </c>
      <c r="S57">
        <v>20.14</v>
      </c>
      <c r="T57">
        <v>21.73</v>
      </c>
      <c r="U57">
        <v>22.5</v>
      </c>
      <c r="V57">
        <v>75600</v>
      </c>
      <c r="W57">
        <v>3780</v>
      </c>
      <c r="X57">
        <v>79380</v>
      </c>
      <c r="Z57">
        <v>79380</v>
      </c>
      <c r="AB57">
        <v>79380</v>
      </c>
      <c r="AC57">
        <v>9.7637400000000003</v>
      </c>
      <c r="AD57">
        <v>79389.763739999995</v>
      </c>
      <c r="AE57">
        <v>3969.4881869999999</v>
      </c>
      <c r="AF57">
        <v>83359.25192699999</v>
      </c>
      <c r="AG57">
        <v>8335.9251926999987</v>
      </c>
      <c r="AH57">
        <v>91695.177119699991</v>
      </c>
      <c r="AJ57">
        <v>91695.177119699991</v>
      </c>
      <c r="AK57">
        <v>2750.8553135909997</v>
      </c>
      <c r="AL57">
        <v>94446.032433290995</v>
      </c>
      <c r="AM57">
        <v>3777.8412973316399</v>
      </c>
      <c r="AN57">
        <v>98223.873730622639</v>
      </c>
      <c r="AO57">
        <v>4911.1936865311318</v>
      </c>
      <c r="AP57">
        <v>103135.06741715375</v>
      </c>
      <c r="AR57">
        <v>103135.06741715375</v>
      </c>
      <c r="AT57">
        <v>103135.06741715375</v>
      </c>
      <c r="AV57">
        <v>103135.06741715375</v>
      </c>
      <c r="AX57">
        <v>103135.06741715375</v>
      </c>
      <c r="AZ57">
        <v>103135.06741715375</v>
      </c>
      <c r="BB57">
        <v>103135.06741715375</v>
      </c>
      <c r="BD57">
        <v>103135.06741715375</v>
      </c>
      <c r="BF57">
        <v>103135.06741715375</v>
      </c>
      <c r="BH57">
        <v>103135.06741715375</v>
      </c>
      <c r="BJ57">
        <v>103135.06741715375</v>
      </c>
      <c r="BL57">
        <v>103135.06741715375</v>
      </c>
      <c r="BN57">
        <v>103135.06741715375</v>
      </c>
      <c r="BP57">
        <v>103135.06741715375</v>
      </c>
      <c r="BR57">
        <v>103135.06741715375</v>
      </c>
      <c r="BT57">
        <v>103135.06741715375</v>
      </c>
      <c r="BV57">
        <v>103135.06741715375</v>
      </c>
      <c r="BX57">
        <v>103135.06741715375</v>
      </c>
      <c r="BY57">
        <v>103135.07</v>
      </c>
      <c r="BZ57">
        <v>2241125.0699999998</v>
      </c>
      <c r="CC57">
        <v>0</v>
      </c>
      <c r="CD57">
        <v>103135.06994937873</v>
      </c>
      <c r="CE57">
        <v>2241125.0699999998</v>
      </c>
      <c r="CF57" t="s">
        <v>38</v>
      </c>
      <c r="CG57">
        <v>15000</v>
      </c>
      <c r="CH57">
        <v>118135.06994937873</v>
      </c>
      <c r="CI57">
        <v>325950</v>
      </c>
      <c r="CJ57">
        <v>2567075.0699999998</v>
      </c>
      <c r="CK57" t="s">
        <v>57</v>
      </c>
      <c r="CN57">
        <v>0</v>
      </c>
      <c r="CO57" t="s">
        <v>39</v>
      </c>
      <c r="CP57" t="s">
        <v>39</v>
      </c>
      <c r="CQ57" t="b">
        <v>1</v>
      </c>
      <c r="CR57" t="s">
        <v>8950</v>
      </c>
      <c r="CS57" t="s">
        <v>1167</v>
      </c>
      <c r="CT57" t="s">
        <v>8960</v>
      </c>
      <c r="CU57" t="s">
        <v>8970</v>
      </c>
      <c r="CV57" t="s">
        <v>5925</v>
      </c>
      <c r="CW57" t="s">
        <v>4895</v>
      </c>
      <c r="CX57" t="s">
        <v>3246</v>
      </c>
      <c r="CY57">
        <v>0.76999999999999957</v>
      </c>
      <c r="CZ57">
        <v>90964.003861021571</v>
      </c>
      <c r="DA57">
        <v>2567075.0699999998</v>
      </c>
      <c r="DB57" t="s">
        <v>38</v>
      </c>
      <c r="DC57" t="b">
        <v>1</v>
      </c>
      <c r="DD57">
        <v>2567075.0699999998</v>
      </c>
      <c r="DE57">
        <v>0</v>
      </c>
      <c r="DF57" t="b">
        <v>1</v>
      </c>
      <c r="DG57" s="420" cm="1">
        <f t="array" ref="DG57">_xlfn.XLOOKUP("Дом 4"&amp;Реестр_Д4[[#This Row],[№]]&amp;Реестр_Д4[[#This Row],[Статус]],РД[Дом]&amp;РД[№ кв]&amp;РД[Состояние],РД[Дата подачи на регистрацию],"-",0)</f>
        <v>45098</v>
      </c>
    </row>
    <row r="58" spans="1:111" x14ac:dyDescent="0.25">
      <c r="A58">
        <v>57</v>
      </c>
      <c r="B58" t="s">
        <v>6</v>
      </c>
      <c r="C58">
        <v>9</v>
      </c>
      <c r="D58">
        <v>1</v>
      </c>
      <c r="E58">
        <v>1</v>
      </c>
      <c r="F58">
        <v>13.93</v>
      </c>
      <c r="I58">
        <v>13.93</v>
      </c>
      <c r="J58">
        <v>9.18</v>
      </c>
      <c r="K58">
        <v>3.65</v>
      </c>
      <c r="N58">
        <v>5.52</v>
      </c>
      <c r="O58">
        <v>2.4900000000000002</v>
      </c>
      <c r="Q58">
        <v>2.4900000000000002</v>
      </c>
      <c r="R58">
        <v>34.770000000000003</v>
      </c>
      <c r="S58">
        <v>32.28</v>
      </c>
      <c r="T58">
        <v>33.53</v>
      </c>
      <c r="U58">
        <v>34.300000000000004</v>
      </c>
      <c r="V58">
        <v>70700</v>
      </c>
      <c r="W58">
        <v>3535</v>
      </c>
      <c r="X58">
        <v>74235</v>
      </c>
      <c r="Y58">
        <v>2969.4</v>
      </c>
      <c r="Z58">
        <v>77204.399999999994</v>
      </c>
      <c r="AB58">
        <v>77204.399999999994</v>
      </c>
      <c r="AD58">
        <v>77204.399999999994</v>
      </c>
      <c r="AF58">
        <v>77204.399999999994</v>
      </c>
      <c r="AH58">
        <v>77204.399999999994</v>
      </c>
      <c r="AJ58">
        <v>77204.399999999994</v>
      </c>
      <c r="AL58">
        <v>77204.399999999994</v>
      </c>
      <c r="AN58">
        <v>77204.399999999994</v>
      </c>
      <c r="AP58">
        <v>77204.399999999994</v>
      </c>
      <c r="AR58">
        <v>77204.399999999994</v>
      </c>
      <c r="AT58">
        <v>77204.399999999994</v>
      </c>
      <c r="AV58">
        <v>77204.399999999994</v>
      </c>
      <c r="AX58">
        <v>77204.399999999994</v>
      </c>
      <c r="AZ58">
        <v>77204.399999999994</v>
      </c>
      <c r="BB58">
        <v>77204.399999999994</v>
      </c>
      <c r="BD58">
        <v>77204.399999999994</v>
      </c>
      <c r="BF58">
        <v>77204.399999999994</v>
      </c>
      <c r="BH58">
        <v>77204.399999999994</v>
      </c>
      <c r="BJ58">
        <v>77204.399999999994</v>
      </c>
      <c r="BL58">
        <v>77204.399999999994</v>
      </c>
      <c r="BN58">
        <v>77204.399999999994</v>
      </c>
      <c r="BP58">
        <v>77204.399999999994</v>
      </c>
      <c r="BR58">
        <v>77204.399999999994</v>
      </c>
      <c r="BT58">
        <v>77204.399999999994</v>
      </c>
      <c r="BV58">
        <v>77204.399999999994</v>
      </c>
      <c r="BX58">
        <v>77204.399999999994</v>
      </c>
      <c r="BY58">
        <v>77204.399999999994</v>
      </c>
      <c r="BZ58">
        <v>2588663.5299999998</v>
      </c>
      <c r="CB58">
        <v>0.05</v>
      </c>
      <c r="CC58">
        <v>129433.1765</v>
      </c>
      <c r="CD58">
        <v>73344.180137190575</v>
      </c>
      <c r="CE58">
        <v>2459230.36</v>
      </c>
      <c r="CF58" t="s">
        <v>37</v>
      </c>
      <c r="CG58">
        <v>7500</v>
      </c>
      <c r="CH58">
        <v>80844.180137190575</v>
      </c>
      <c r="CI58">
        <v>251475</v>
      </c>
      <c r="CJ58">
        <v>2710705.36</v>
      </c>
      <c r="CK58" t="s">
        <v>57</v>
      </c>
      <c r="CL58" t="s">
        <v>3540</v>
      </c>
      <c r="CN58">
        <v>0</v>
      </c>
      <c r="CO58" t="s">
        <v>39</v>
      </c>
      <c r="CP58" t="s">
        <v>39</v>
      </c>
      <c r="CQ58" t="b">
        <v>1</v>
      </c>
      <c r="CR58" t="s">
        <v>8950</v>
      </c>
      <c r="CS58" t="s">
        <v>1167</v>
      </c>
      <c r="CT58" t="s">
        <v>8960</v>
      </c>
      <c r="CU58" t="s">
        <v>8973</v>
      </c>
      <c r="CV58" t="s">
        <v>5926</v>
      </c>
      <c r="CW58" t="s">
        <v>4895</v>
      </c>
      <c r="CX58" t="s">
        <v>3246</v>
      </c>
      <c r="CY58">
        <v>0.77000000000000324</v>
      </c>
      <c r="CZ58">
        <v>62250.018705636998</v>
      </c>
      <c r="DA58">
        <v>2710705.36</v>
      </c>
      <c r="DB58" t="s">
        <v>37</v>
      </c>
      <c r="DC58" t="b">
        <v>1</v>
      </c>
      <c r="DD58">
        <v>2710705.36</v>
      </c>
      <c r="DE58">
        <v>0</v>
      </c>
      <c r="DF58" t="b">
        <v>1</v>
      </c>
      <c r="DG58" s="420" cm="1">
        <f t="array" ref="DG58">_xlfn.XLOOKUP("Дом 4"&amp;Реестр_Д4[[#This Row],[№]]&amp;Реестр_Д4[[#This Row],[Статус]],РД[Дом]&amp;РД[№ кв]&amp;РД[Состояние],РД[Дата подачи на регистрацию],"-",0)</f>
        <v>44873</v>
      </c>
    </row>
    <row r="59" spans="1:111" x14ac:dyDescent="0.25">
      <c r="A59">
        <v>58</v>
      </c>
      <c r="B59" t="s">
        <v>6</v>
      </c>
      <c r="C59">
        <v>9</v>
      </c>
      <c r="D59">
        <v>2</v>
      </c>
      <c r="E59">
        <v>2</v>
      </c>
      <c r="F59">
        <v>16.55</v>
      </c>
      <c r="G59">
        <v>14.04</v>
      </c>
      <c r="I59">
        <v>30.59</v>
      </c>
      <c r="J59">
        <v>13.35</v>
      </c>
      <c r="K59">
        <v>3.69</v>
      </c>
      <c r="L59">
        <v>1.92</v>
      </c>
      <c r="N59">
        <v>9.48</v>
      </c>
      <c r="O59">
        <v>2.91</v>
      </c>
      <c r="P59">
        <v>2.5499999999999998</v>
      </c>
      <c r="Q59">
        <v>5.46</v>
      </c>
      <c r="R59">
        <v>64.489999999999995</v>
      </c>
      <c r="S59">
        <v>59.029999999999994</v>
      </c>
      <c r="T59">
        <v>61.76</v>
      </c>
      <c r="U59">
        <v>63.1</v>
      </c>
      <c r="V59">
        <v>68639.199999999997</v>
      </c>
      <c r="W59">
        <v>3431.96</v>
      </c>
      <c r="X59">
        <v>72071.16</v>
      </c>
      <c r="Z59">
        <v>72071.16</v>
      </c>
      <c r="AA59">
        <v>3603.558</v>
      </c>
      <c r="AB59">
        <v>75674.717999999993</v>
      </c>
      <c r="AC59">
        <v>9.3079903140000013</v>
      </c>
      <c r="AD59">
        <v>75684.02599031401</v>
      </c>
      <c r="AF59">
        <v>75684.02599031401</v>
      </c>
      <c r="AH59">
        <v>75684.02599031401</v>
      </c>
      <c r="AI59">
        <v>1513.6805198062802</v>
      </c>
      <c r="AJ59">
        <v>77197.70651012029</v>
      </c>
      <c r="AK59">
        <v>2315.9311953036085</v>
      </c>
      <c r="AL59">
        <v>79513.637705423898</v>
      </c>
      <c r="AM59">
        <v>3180.545508216956</v>
      </c>
      <c r="AN59">
        <v>82694.183213640848</v>
      </c>
      <c r="AO59">
        <v>2480.8254964092253</v>
      </c>
      <c r="AP59">
        <v>85175.008710050068</v>
      </c>
      <c r="AQ59">
        <v>2555.2502613015017</v>
      </c>
      <c r="AR59">
        <v>87730.258971351563</v>
      </c>
      <c r="AT59">
        <v>87730.258971351563</v>
      </c>
      <c r="AU59">
        <v>2631.9077691405469</v>
      </c>
      <c r="AV59">
        <v>90362.166740492103</v>
      </c>
      <c r="AX59">
        <v>90362.166740492103</v>
      </c>
      <c r="AZ59">
        <v>90362.166740492103</v>
      </c>
      <c r="BB59">
        <v>90362.166740492103</v>
      </c>
      <c r="BD59">
        <v>90362.166740492103</v>
      </c>
      <c r="BF59">
        <v>90362.166740492103</v>
      </c>
      <c r="BG59">
        <v>1000</v>
      </c>
      <c r="BH59">
        <v>91362.166740492103</v>
      </c>
      <c r="BI59">
        <v>4568.1083370246051</v>
      </c>
      <c r="BJ59">
        <v>95930.275077516708</v>
      </c>
      <c r="BK59">
        <v>1000</v>
      </c>
      <c r="BL59">
        <v>96930.275077516708</v>
      </c>
      <c r="BN59">
        <v>96930.275077516708</v>
      </c>
      <c r="BP59">
        <v>96930.275077516708</v>
      </c>
      <c r="BR59">
        <v>96930.275077516708</v>
      </c>
      <c r="BT59">
        <v>96930.275077516708</v>
      </c>
      <c r="BV59">
        <v>96930.275077516708</v>
      </c>
      <c r="BX59">
        <v>96930.275077516708</v>
      </c>
      <c r="BY59">
        <v>96930.28</v>
      </c>
      <c r="BZ59">
        <v>5986500</v>
      </c>
      <c r="CB59">
        <v>0.02</v>
      </c>
      <c r="CC59">
        <v>119730</v>
      </c>
      <c r="CD59">
        <v>94993.037564766855</v>
      </c>
      <c r="CE59">
        <v>5866770</v>
      </c>
      <c r="CF59" t="s">
        <v>36</v>
      </c>
      <c r="CH59">
        <v>94993.037564766855</v>
      </c>
      <c r="CI59">
        <v>0</v>
      </c>
      <c r="CJ59">
        <v>5866770</v>
      </c>
      <c r="CK59" t="s">
        <v>57</v>
      </c>
      <c r="CL59" t="s">
        <v>3540</v>
      </c>
      <c r="CN59">
        <v>0</v>
      </c>
      <c r="CO59" t="s">
        <v>39</v>
      </c>
      <c r="CP59" t="s">
        <v>39</v>
      </c>
      <c r="CQ59" t="b">
        <v>1</v>
      </c>
      <c r="CR59" t="s">
        <v>8950</v>
      </c>
      <c r="CS59" t="s">
        <v>1167</v>
      </c>
      <c r="CT59" t="s">
        <v>8960</v>
      </c>
      <c r="CU59" t="s">
        <v>8974</v>
      </c>
      <c r="CV59" t="s">
        <v>5927</v>
      </c>
      <c r="CW59" t="s">
        <v>6652</v>
      </c>
      <c r="CX59" t="s">
        <v>3246</v>
      </c>
      <c r="CY59">
        <v>1.3400000000000034</v>
      </c>
      <c r="CZ59">
        <v>127290.67033678788</v>
      </c>
      <c r="DA59">
        <v>5866770</v>
      </c>
      <c r="DB59" t="s">
        <v>36</v>
      </c>
      <c r="DC59" t="b">
        <v>1</v>
      </c>
      <c r="DD59">
        <v>5866770</v>
      </c>
      <c r="DE59">
        <v>0</v>
      </c>
      <c r="DF59" t="b">
        <v>1</v>
      </c>
      <c r="DG59" s="420" cm="1">
        <f t="array" ref="DG59">_xlfn.XLOOKUP("Дом 4"&amp;Реестр_Д4[[#This Row],[№]]&amp;Реестр_Д4[[#This Row],[Статус]],РД[Дом]&amp;РД[№ кв]&amp;РД[Состояние],РД[Дата подачи на регистрацию],"-",0)</f>
        <v>45364</v>
      </c>
    </row>
    <row r="60" spans="1:111" x14ac:dyDescent="0.25">
      <c r="A60">
        <v>59</v>
      </c>
      <c r="B60" t="s">
        <v>6</v>
      </c>
      <c r="C60">
        <v>9</v>
      </c>
      <c r="D60">
        <v>3</v>
      </c>
      <c r="E60">
        <v>1</v>
      </c>
      <c r="F60">
        <v>12.25</v>
      </c>
      <c r="I60">
        <v>12.25</v>
      </c>
      <c r="J60">
        <v>11.65</v>
      </c>
      <c r="K60">
        <v>3.67</v>
      </c>
      <c r="N60">
        <v>6.55</v>
      </c>
      <c r="O60">
        <v>2.83</v>
      </c>
      <c r="Q60">
        <v>2.83</v>
      </c>
      <c r="R60">
        <v>36.950000000000003</v>
      </c>
      <c r="S60">
        <v>34.120000000000005</v>
      </c>
      <c r="T60">
        <v>35.54</v>
      </c>
      <c r="U60">
        <v>36.6</v>
      </c>
      <c r="V60">
        <v>71400</v>
      </c>
      <c r="W60">
        <v>3570</v>
      </c>
      <c r="X60">
        <v>74970</v>
      </c>
      <c r="Y60">
        <v>2998.8</v>
      </c>
      <c r="Z60">
        <v>77968.800000000003</v>
      </c>
      <c r="AA60">
        <v>3898.440000000001</v>
      </c>
      <c r="AB60">
        <v>81867.240000000005</v>
      </c>
      <c r="AC60">
        <v>10.069670520000001</v>
      </c>
      <c r="AD60">
        <v>81877.309670520001</v>
      </c>
      <c r="AE60">
        <v>4093.8654835259999</v>
      </c>
      <c r="AF60">
        <v>85971.175154045995</v>
      </c>
      <c r="AH60">
        <v>85971.175154045995</v>
      </c>
      <c r="AI60">
        <v>2579.1352546213802</v>
      </c>
      <c r="AJ60">
        <v>88550.31040866737</v>
      </c>
      <c r="AK60">
        <v>885.50310408667372</v>
      </c>
      <c r="AL60">
        <v>89435.813512754044</v>
      </c>
      <c r="AM60">
        <v>1788.7162702550809</v>
      </c>
      <c r="AN60">
        <v>91224.529783009129</v>
      </c>
      <c r="AP60">
        <v>91224.529783009129</v>
      </c>
      <c r="AR60">
        <v>91224.529783009129</v>
      </c>
      <c r="AT60">
        <v>91224.529783009129</v>
      </c>
      <c r="AV60">
        <v>91224.529783009129</v>
      </c>
      <c r="AX60">
        <v>91224.529783009129</v>
      </c>
      <c r="AZ60">
        <v>91224.529783009129</v>
      </c>
      <c r="BB60">
        <v>91224.529783009129</v>
      </c>
      <c r="BD60">
        <v>91224.529783009129</v>
      </c>
      <c r="BF60">
        <v>91224.529783009129</v>
      </c>
      <c r="BH60">
        <v>91224.529783009129</v>
      </c>
      <c r="BJ60">
        <v>91224.529783009129</v>
      </c>
      <c r="BL60">
        <v>91224.529783009129</v>
      </c>
      <c r="BN60">
        <v>91224.529783009129</v>
      </c>
      <c r="BP60">
        <v>91224.529783009129</v>
      </c>
      <c r="BR60">
        <v>91224.529783009129</v>
      </c>
      <c r="BT60">
        <v>91224.529783009129</v>
      </c>
      <c r="BV60">
        <v>91224.529783009129</v>
      </c>
      <c r="BX60">
        <v>91224.529783009129</v>
      </c>
      <c r="BY60">
        <v>91224.53</v>
      </c>
      <c r="BZ60">
        <v>3242119.8</v>
      </c>
      <c r="CC60">
        <v>0</v>
      </c>
      <c r="CD60">
        <v>91224.530106921782</v>
      </c>
      <c r="CE60">
        <v>3242119.8</v>
      </c>
      <c r="CF60" t="s">
        <v>37</v>
      </c>
      <c r="CG60">
        <v>4000</v>
      </c>
      <c r="CH60">
        <v>95224.530106921782</v>
      </c>
      <c r="CI60">
        <v>142160</v>
      </c>
      <c r="CJ60">
        <v>3384279.8</v>
      </c>
      <c r="CN60">
        <v>0</v>
      </c>
      <c r="CO60" t="s">
        <v>39</v>
      </c>
      <c r="CP60" t="s">
        <v>39</v>
      </c>
      <c r="CQ60" t="b">
        <v>1</v>
      </c>
      <c r="CR60" t="s">
        <v>8950</v>
      </c>
      <c r="CS60" t="s">
        <v>1167</v>
      </c>
      <c r="CT60" t="s">
        <v>8960</v>
      </c>
      <c r="CU60" t="s">
        <v>8973</v>
      </c>
      <c r="CV60" t="s">
        <v>5928</v>
      </c>
      <c r="CW60" t="s">
        <v>4895</v>
      </c>
      <c r="CX60" t="s">
        <v>3246</v>
      </c>
      <c r="CY60">
        <v>1.0600000000000025</v>
      </c>
      <c r="CZ60">
        <v>100938.0019133373</v>
      </c>
      <c r="DA60">
        <v>3384279.8</v>
      </c>
      <c r="DB60" t="s">
        <v>37</v>
      </c>
      <c r="DC60" t="b">
        <v>1</v>
      </c>
      <c r="DD60">
        <v>3384279.8</v>
      </c>
      <c r="DE60">
        <v>0</v>
      </c>
      <c r="DF60" t="b">
        <v>1</v>
      </c>
      <c r="DG60" s="420" cm="1">
        <f t="array" ref="DG60">_xlfn.XLOOKUP("Дом 4"&amp;Реестр_Д4[[#This Row],[№]]&amp;Реестр_Д4[[#This Row],[Статус]],РД[Дом]&amp;РД[№ кв]&amp;РД[Состояние],РД[Дата подачи на регистрацию],"-",0)</f>
        <v>45098</v>
      </c>
    </row>
    <row r="61" spans="1:111" x14ac:dyDescent="0.25">
      <c r="A61">
        <v>60</v>
      </c>
      <c r="B61" t="s">
        <v>6</v>
      </c>
      <c r="C61">
        <v>9</v>
      </c>
      <c r="D61">
        <v>4</v>
      </c>
      <c r="E61">
        <v>2</v>
      </c>
      <c r="F61">
        <v>14.61</v>
      </c>
      <c r="G61">
        <v>11.01</v>
      </c>
      <c r="I61">
        <v>25.62</v>
      </c>
      <c r="J61">
        <v>14.77</v>
      </c>
      <c r="K61">
        <v>2.85</v>
      </c>
      <c r="L61">
        <v>2.4900000000000002</v>
      </c>
      <c r="N61">
        <v>8.7899999999999991</v>
      </c>
      <c r="O61">
        <v>3.01</v>
      </c>
      <c r="Q61">
        <v>3.01</v>
      </c>
      <c r="R61">
        <v>57.53</v>
      </c>
      <c r="S61">
        <v>54.52</v>
      </c>
      <c r="T61">
        <v>56.03</v>
      </c>
      <c r="U61">
        <v>57.7</v>
      </c>
      <c r="V61">
        <v>67972.800000000003</v>
      </c>
      <c r="W61">
        <v>3398.6400000000003</v>
      </c>
      <c r="X61">
        <v>71371.44</v>
      </c>
      <c r="Z61">
        <v>71371.44</v>
      </c>
      <c r="AA61">
        <v>3568.5720000000001</v>
      </c>
      <c r="AB61">
        <v>74940.012000000002</v>
      </c>
      <c r="AC61">
        <v>9.2176214760000015</v>
      </c>
      <c r="AD61">
        <v>74949.229621475999</v>
      </c>
      <c r="AF61">
        <v>74949.229621475999</v>
      </c>
      <c r="AH61">
        <v>74949.229621475999</v>
      </c>
      <c r="AI61">
        <v>1498.98459242952</v>
      </c>
      <c r="AJ61">
        <v>76448.214213905521</v>
      </c>
      <c r="AK61">
        <v>764.48214213905521</v>
      </c>
      <c r="AL61">
        <v>77212.696356044573</v>
      </c>
      <c r="AN61">
        <v>77212.696356044573</v>
      </c>
      <c r="AP61">
        <v>77212.696356044573</v>
      </c>
      <c r="AR61">
        <v>77212.696356044573</v>
      </c>
      <c r="AT61">
        <v>77212.696356044573</v>
      </c>
      <c r="AV61">
        <v>77212.696356044573</v>
      </c>
      <c r="AX61">
        <v>77212.696356044573</v>
      </c>
      <c r="AZ61">
        <v>77212.696356044573</v>
      </c>
      <c r="BB61">
        <v>77212.696356044573</v>
      </c>
      <c r="BD61">
        <v>77212.696356044573</v>
      </c>
      <c r="BF61">
        <v>77212.696356044573</v>
      </c>
      <c r="BH61">
        <v>77212.696356044573</v>
      </c>
      <c r="BJ61">
        <v>77212.696356044573</v>
      </c>
      <c r="BL61">
        <v>77212.696356044573</v>
      </c>
      <c r="BN61">
        <v>77212.696356044573</v>
      </c>
      <c r="BP61">
        <v>77212.696356044573</v>
      </c>
      <c r="BR61">
        <v>77212.696356044573</v>
      </c>
      <c r="BT61">
        <v>77212.696356044573</v>
      </c>
      <c r="BV61">
        <v>77212.696356044573</v>
      </c>
      <c r="BX61">
        <v>77212.696356044573</v>
      </c>
      <c r="BY61">
        <v>77212.7</v>
      </c>
      <c r="BZ61">
        <v>4326227.58</v>
      </c>
      <c r="CC61">
        <v>0</v>
      </c>
      <c r="CD61">
        <v>77212.699982152422</v>
      </c>
      <c r="CE61">
        <v>4326227.58</v>
      </c>
      <c r="CF61" t="s">
        <v>38</v>
      </c>
      <c r="CG61">
        <v>15000</v>
      </c>
      <c r="CH61">
        <v>92212.699982152422</v>
      </c>
      <c r="CI61">
        <v>840450</v>
      </c>
      <c r="CJ61">
        <v>5166677.58</v>
      </c>
      <c r="CN61">
        <v>0</v>
      </c>
      <c r="CO61" t="s">
        <v>39</v>
      </c>
      <c r="CP61" t="s">
        <v>39</v>
      </c>
      <c r="CQ61" t="b">
        <v>1</v>
      </c>
      <c r="CR61" t="s">
        <v>8950</v>
      </c>
      <c r="CS61" t="s">
        <v>1167</v>
      </c>
      <c r="CT61" t="s">
        <v>8960</v>
      </c>
      <c r="CU61" t="s">
        <v>8971</v>
      </c>
      <c r="CV61" t="s">
        <v>5929</v>
      </c>
      <c r="CW61" t="s">
        <v>4895</v>
      </c>
      <c r="CX61" t="s">
        <v>3246</v>
      </c>
      <c r="CY61">
        <v>1.6700000000000017</v>
      </c>
      <c r="CZ61">
        <v>153995.20897019471</v>
      </c>
      <c r="DA61">
        <v>5166677.58</v>
      </c>
      <c r="DB61" t="s">
        <v>38</v>
      </c>
      <c r="DC61" t="b">
        <v>1</v>
      </c>
      <c r="DD61">
        <v>5166677.58</v>
      </c>
      <c r="DE61">
        <v>0</v>
      </c>
      <c r="DF61" t="b">
        <v>1</v>
      </c>
      <c r="DG61" s="420" cm="1">
        <f t="array" ref="DG61">_xlfn.XLOOKUP("Дом 4"&amp;Реестр_Д4[[#This Row],[№]]&amp;Реестр_Д4[[#This Row],[Статус]],РД[Дом]&amp;РД[№ кв]&amp;РД[Состояние],РД[Дата подачи на регистрацию],"-",0)</f>
        <v>45062</v>
      </c>
    </row>
    <row r="62" spans="1:111" x14ac:dyDescent="0.25">
      <c r="A62">
        <v>61</v>
      </c>
      <c r="B62" t="s">
        <v>6</v>
      </c>
      <c r="C62">
        <v>9</v>
      </c>
      <c r="D62">
        <v>5</v>
      </c>
      <c r="E62">
        <v>2</v>
      </c>
      <c r="F62">
        <v>14.86</v>
      </c>
      <c r="G62">
        <v>9.69</v>
      </c>
      <c r="I62">
        <v>24.55</v>
      </c>
      <c r="J62">
        <v>14.88</v>
      </c>
      <c r="K62">
        <v>2.83</v>
      </c>
      <c r="L62">
        <v>1.82</v>
      </c>
      <c r="N62">
        <v>9.26</v>
      </c>
      <c r="O62">
        <v>2.63</v>
      </c>
      <c r="Q62">
        <v>2.63</v>
      </c>
      <c r="R62">
        <v>55.97</v>
      </c>
      <c r="S62">
        <v>53.34</v>
      </c>
      <c r="T62">
        <v>54.66</v>
      </c>
      <c r="U62">
        <v>56.3</v>
      </c>
      <c r="V62">
        <v>67972.800000000003</v>
      </c>
      <c r="W62">
        <v>3398.6400000000003</v>
      </c>
      <c r="X62">
        <v>71371.44</v>
      </c>
      <c r="Z62">
        <v>71371.44</v>
      </c>
      <c r="AA62">
        <v>3568.5720000000001</v>
      </c>
      <c r="AB62">
        <v>74940.012000000002</v>
      </c>
      <c r="AC62">
        <v>9.2176214760000015</v>
      </c>
      <c r="AD62">
        <v>74949.229621475999</v>
      </c>
      <c r="AF62">
        <v>74949.229621475999</v>
      </c>
      <c r="AH62">
        <v>74949.229621475999</v>
      </c>
      <c r="AJ62">
        <v>74949.229621475999</v>
      </c>
      <c r="AL62">
        <v>74949.229621475999</v>
      </c>
      <c r="AN62">
        <v>74949.229621475999</v>
      </c>
      <c r="AP62">
        <v>74949.229621475999</v>
      </c>
      <c r="AR62">
        <v>74949.229621475999</v>
      </c>
      <c r="AT62">
        <v>74949.229621475999</v>
      </c>
      <c r="AV62">
        <v>74949.229621475999</v>
      </c>
      <c r="AX62">
        <v>74949.229621475999</v>
      </c>
      <c r="AZ62">
        <v>74949.229621475999</v>
      </c>
      <c r="BB62">
        <v>74949.229621475999</v>
      </c>
      <c r="BD62">
        <v>74949.229621475999</v>
      </c>
      <c r="BF62">
        <v>74949.229621475999</v>
      </c>
      <c r="BH62">
        <v>74949.229621475999</v>
      </c>
      <c r="BJ62">
        <v>74949.229621475999</v>
      </c>
      <c r="BL62">
        <v>74949.229621475999</v>
      </c>
      <c r="BN62">
        <v>74949.229621475999</v>
      </c>
      <c r="BP62">
        <v>74949.229621475999</v>
      </c>
      <c r="BR62">
        <v>74949.229621475999</v>
      </c>
      <c r="BT62">
        <v>74949.229621475999</v>
      </c>
      <c r="BV62">
        <v>74949.229621475999</v>
      </c>
      <c r="BX62">
        <v>74949.229621475999</v>
      </c>
      <c r="BY62">
        <v>74949.23</v>
      </c>
      <c r="BZ62">
        <v>4096724.91</v>
      </c>
      <c r="CC62">
        <v>0</v>
      </c>
      <c r="CD62">
        <v>74949.229967069157</v>
      </c>
      <c r="CE62">
        <v>4096724.91</v>
      </c>
      <c r="CF62" t="s">
        <v>38</v>
      </c>
      <c r="CG62">
        <v>15000</v>
      </c>
      <c r="CH62">
        <v>89949.229967069157</v>
      </c>
      <c r="CI62">
        <v>819900</v>
      </c>
      <c r="CJ62">
        <v>4916624.91</v>
      </c>
      <c r="CN62">
        <v>0</v>
      </c>
      <c r="CO62" t="s">
        <v>39</v>
      </c>
      <c r="CP62" t="s">
        <v>39</v>
      </c>
      <c r="CQ62" t="b">
        <v>1</v>
      </c>
      <c r="CR62" t="s">
        <v>8950</v>
      </c>
      <c r="CS62" t="s">
        <v>1167</v>
      </c>
      <c r="CT62" t="s">
        <v>8960</v>
      </c>
      <c r="CU62" t="s">
        <v>8971</v>
      </c>
      <c r="CV62" t="s">
        <v>5930</v>
      </c>
      <c r="CW62" t="s">
        <v>4895</v>
      </c>
      <c r="CX62" t="s">
        <v>3246</v>
      </c>
      <c r="CY62">
        <v>1.6400000000000006</v>
      </c>
      <c r="CZ62">
        <v>147516.73714599348</v>
      </c>
      <c r="DA62">
        <v>4916624.91</v>
      </c>
      <c r="DB62" t="s">
        <v>38</v>
      </c>
      <c r="DC62" t="b">
        <v>1</v>
      </c>
      <c r="DD62">
        <v>4916624.91</v>
      </c>
      <c r="DE62">
        <v>0</v>
      </c>
      <c r="DF62" t="b">
        <v>1</v>
      </c>
      <c r="DG62" s="420" cm="1">
        <f t="array" ref="DG62">_xlfn.XLOOKUP("Дом 4"&amp;Реестр_Д4[[#This Row],[№]]&amp;Реестр_Д4[[#This Row],[Статус]],РД[Дом]&amp;РД[№ кв]&amp;РД[Состояние],РД[Дата подачи на регистрацию],"-",0)</f>
        <v>44921</v>
      </c>
    </row>
    <row r="63" spans="1:111" x14ac:dyDescent="0.25">
      <c r="A63">
        <v>62</v>
      </c>
      <c r="B63" t="s">
        <v>6</v>
      </c>
      <c r="C63">
        <v>9</v>
      </c>
      <c r="D63">
        <v>6</v>
      </c>
      <c r="E63">
        <v>2</v>
      </c>
      <c r="F63">
        <v>13.33</v>
      </c>
      <c r="G63">
        <v>13.23</v>
      </c>
      <c r="I63">
        <v>26.56</v>
      </c>
      <c r="J63">
        <v>16.25</v>
      </c>
      <c r="K63">
        <v>3.18</v>
      </c>
      <c r="L63">
        <v>2.14</v>
      </c>
      <c r="M63">
        <v>5.14</v>
      </c>
      <c r="N63">
        <v>5.19</v>
      </c>
      <c r="O63">
        <v>2.81</v>
      </c>
      <c r="Q63">
        <v>2.81</v>
      </c>
      <c r="R63">
        <v>61.27</v>
      </c>
      <c r="S63">
        <v>58.46</v>
      </c>
      <c r="T63">
        <v>59.87</v>
      </c>
      <c r="U63">
        <v>61.2</v>
      </c>
      <c r="V63">
        <v>73304</v>
      </c>
      <c r="W63">
        <v>3665.2</v>
      </c>
      <c r="X63">
        <v>76969.2</v>
      </c>
      <c r="Z63">
        <v>76969.2</v>
      </c>
      <c r="AA63">
        <v>3848.46</v>
      </c>
      <c r="AB63">
        <v>80817.66</v>
      </c>
      <c r="AC63">
        <v>9.940572180000002</v>
      </c>
      <c r="AD63">
        <v>80827.600572180003</v>
      </c>
      <c r="AF63">
        <v>80827.600572180003</v>
      </c>
      <c r="AH63">
        <v>80827.600572180003</v>
      </c>
      <c r="AI63">
        <v>1616.5520114435999</v>
      </c>
      <c r="AJ63">
        <v>82444.152583623596</v>
      </c>
      <c r="AK63">
        <v>2473.324577508708</v>
      </c>
      <c r="AL63">
        <v>84917.477161132309</v>
      </c>
      <c r="AM63">
        <v>3396.6990864452923</v>
      </c>
      <c r="AN63">
        <v>88314.176247577605</v>
      </c>
      <c r="AP63">
        <v>88314.176247577605</v>
      </c>
      <c r="AQ63">
        <v>2649.4252874273279</v>
      </c>
      <c r="AR63">
        <v>90963.601535004927</v>
      </c>
      <c r="AT63">
        <v>90963.601535004927</v>
      </c>
      <c r="AU63">
        <v>2728.9080460501477</v>
      </c>
      <c r="AV63">
        <v>93692.509581055085</v>
      </c>
      <c r="AX63">
        <v>93692.509581055085</v>
      </c>
      <c r="AZ63">
        <v>93692.509581055085</v>
      </c>
      <c r="BB63">
        <v>93692.509581055085</v>
      </c>
      <c r="BD63">
        <v>93692.509581055085</v>
      </c>
      <c r="BF63">
        <v>93692.509581055085</v>
      </c>
      <c r="BG63">
        <v>2000</v>
      </c>
      <c r="BH63">
        <v>95692.509581055085</v>
      </c>
      <c r="BI63">
        <v>4784.6254790527537</v>
      </c>
      <c r="BJ63">
        <v>100477.13506010784</v>
      </c>
      <c r="BK63">
        <v>1000</v>
      </c>
      <c r="BL63">
        <v>101477.13506010784</v>
      </c>
      <c r="BM63">
        <v>2029.5427012021569</v>
      </c>
      <c r="BN63">
        <v>103506.67776130998</v>
      </c>
      <c r="BP63">
        <v>103506.67776130998</v>
      </c>
      <c r="BQ63">
        <v>500</v>
      </c>
      <c r="BR63">
        <v>104006.67776130998</v>
      </c>
      <c r="BT63">
        <v>104006.67776130998</v>
      </c>
      <c r="BV63">
        <v>104006.67776130998</v>
      </c>
      <c r="BX63">
        <v>104006.67776130998</v>
      </c>
      <c r="BY63">
        <v>104006.68</v>
      </c>
      <c r="BZ63">
        <v>6226900</v>
      </c>
      <c r="CB63">
        <v>0.03</v>
      </c>
      <c r="CC63">
        <v>186807</v>
      </c>
      <c r="CD63">
        <v>100886.80474361117</v>
      </c>
      <c r="CE63">
        <v>6040093</v>
      </c>
      <c r="CF63" t="s">
        <v>37</v>
      </c>
      <c r="CG63">
        <v>7500</v>
      </c>
      <c r="CH63">
        <v>108386.80474361117</v>
      </c>
      <c r="CI63">
        <v>449025</v>
      </c>
      <c r="CJ63">
        <v>6489118</v>
      </c>
      <c r="CK63" t="s">
        <v>57</v>
      </c>
      <c r="CL63" t="s">
        <v>7230</v>
      </c>
      <c r="CN63">
        <v>0</v>
      </c>
      <c r="CO63" t="s">
        <v>39</v>
      </c>
      <c r="CP63" t="s">
        <v>39</v>
      </c>
      <c r="CQ63" t="b">
        <v>1</v>
      </c>
      <c r="CR63" t="s">
        <v>8950</v>
      </c>
      <c r="CS63" t="s">
        <v>1167</v>
      </c>
      <c r="CT63" t="s">
        <v>8960</v>
      </c>
      <c r="CU63" t="s">
        <v>8971</v>
      </c>
      <c r="CV63" t="s">
        <v>5931</v>
      </c>
      <c r="CW63" t="s">
        <v>6652</v>
      </c>
      <c r="CX63" t="s">
        <v>3246</v>
      </c>
      <c r="CY63">
        <v>1.3299999999999983</v>
      </c>
      <c r="CZ63">
        <v>144154.45030900266</v>
      </c>
      <c r="DA63">
        <v>6489118</v>
      </c>
      <c r="DB63" t="s">
        <v>37</v>
      </c>
      <c r="DC63" t="b">
        <v>1</v>
      </c>
      <c r="DD63">
        <v>6489118</v>
      </c>
      <c r="DE63">
        <v>0</v>
      </c>
      <c r="DF63" t="b">
        <v>1</v>
      </c>
      <c r="DG63" s="420" cm="1">
        <f t="array" ref="DG63">_xlfn.XLOOKUP("Дом 4"&amp;Реестр_Д4[[#This Row],[№]]&amp;Реестр_Д4[[#This Row],[Статус]],РД[Дом]&amp;РД[№ кв]&amp;РД[Состояние],РД[Дата подачи на регистрацию],"-",0)</f>
        <v>45428</v>
      </c>
    </row>
    <row r="64" spans="1:111" x14ac:dyDescent="0.25">
      <c r="A64">
        <v>63</v>
      </c>
      <c r="B64" t="s">
        <v>6</v>
      </c>
      <c r="C64">
        <v>9</v>
      </c>
      <c r="D64">
        <v>7</v>
      </c>
      <c r="E64">
        <v>0</v>
      </c>
      <c r="F64">
        <v>8.2799999999999994</v>
      </c>
      <c r="I64">
        <v>8.2799999999999994</v>
      </c>
      <c r="J64">
        <v>5.3</v>
      </c>
      <c r="K64">
        <v>3.38</v>
      </c>
      <c r="N64">
        <v>3.17</v>
      </c>
      <c r="O64">
        <v>3.23</v>
      </c>
      <c r="Q64">
        <v>3.23</v>
      </c>
      <c r="R64">
        <v>23.36</v>
      </c>
      <c r="S64">
        <v>20.13</v>
      </c>
      <c r="T64">
        <v>21.75</v>
      </c>
      <c r="U64">
        <v>22.500000000000004</v>
      </c>
      <c r="V64">
        <v>75600</v>
      </c>
      <c r="W64">
        <v>3780</v>
      </c>
      <c r="X64">
        <v>79380</v>
      </c>
      <c r="Z64">
        <v>79380</v>
      </c>
      <c r="AB64">
        <v>79380</v>
      </c>
      <c r="AC64">
        <v>9.7637400000000003</v>
      </c>
      <c r="AD64">
        <v>79389.763739999995</v>
      </c>
      <c r="AE64">
        <v>3969.4881869999999</v>
      </c>
      <c r="AF64">
        <v>83359.25192699999</v>
      </c>
      <c r="AG64">
        <v>8335.9251926999987</v>
      </c>
      <c r="AH64">
        <v>91695.177119699991</v>
      </c>
      <c r="AJ64">
        <v>91695.177119699991</v>
      </c>
      <c r="AK64">
        <v>2750.8553135909997</v>
      </c>
      <c r="AL64">
        <v>94446.032433290995</v>
      </c>
      <c r="AM64">
        <v>3777.8412973316399</v>
      </c>
      <c r="AN64">
        <v>98223.873730622639</v>
      </c>
      <c r="AO64">
        <v>4911.1936865311318</v>
      </c>
      <c r="AP64">
        <v>103135.06741715375</v>
      </c>
      <c r="AQ64">
        <v>3094.0520225146129</v>
      </c>
      <c r="AR64">
        <v>106229.1194396684</v>
      </c>
      <c r="AT64">
        <v>106229.1194396684</v>
      </c>
      <c r="AV64">
        <v>106229.1194396684</v>
      </c>
      <c r="AX64">
        <v>106229.1194396684</v>
      </c>
      <c r="AZ64">
        <v>106229.1194396684</v>
      </c>
      <c r="BB64">
        <v>106229.1194396684</v>
      </c>
      <c r="BD64">
        <v>106229.1194396684</v>
      </c>
      <c r="BF64">
        <v>106229.1194396684</v>
      </c>
      <c r="BH64">
        <v>106229.1194396684</v>
      </c>
      <c r="BJ64">
        <v>106229.1194396684</v>
      </c>
      <c r="BL64">
        <v>106229.1194396684</v>
      </c>
      <c r="BN64">
        <v>106229.1194396684</v>
      </c>
      <c r="BP64">
        <v>106229.1194396684</v>
      </c>
      <c r="BR64">
        <v>106229.1194396684</v>
      </c>
      <c r="BT64">
        <v>106229.1194396684</v>
      </c>
      <c r="BV64">
        <v>106229.1194396684</v>
      </c>
      <c r="BX64">
        <v>106229.1194396684</v>
      </c>
      <c r="BY64">
        <v>106229.12</v>
      </c>
      <c r="BZ64">
        <v>2310483.36</v>
      </c>
      <c r="CC64">
        <v>0</v>
      </c>
      <c r="CD64">
        <v>106229.12</v>
      </c>
      <c r="CE64">
        <v>2310483.36</v>
      </c>
      <c r="CF64" t="s">
        <v>37</v>
      </c>
      <c r="CG64">
        <v>4500</v>
      </c>
      <c r="CH64">
        <v>110729.12</v>
      </c>
      <c r="CI64">
        <v>97875</v>
      </c>
      <c r="CJ64">
        <v>2408358.36</v>
      </c>
      <c r="CK64" t="s">
        <v>57</v>
      </c>
      <c r="CN64">
        <v>0</v>
      </c>
      <c r="CO64" t="s">
        <v>39</v>
      </c>
      <c r="CP64" t="s">
        <v>39</v>
      </c>
      <c r="CQ64" t="b">
        <v>1</v>
      </c>
      <c r="CR64" t="s">
        <v>8950</v>
      </c>
      <c r="CS64" t="s">
        <v>1167</v>
      </c>
      <c r="CT64" t="s">
        <v>8960</v>
      </c>
      <c r="CU64" t="s">
        <v>8970</v>
      </c>
      <c r="CV64" t="s">
        <v>5932</v>
      </c>
      <c r="CW64" t="s">
        <v>4895</v>
      </c>
      <c r="CX64" t="s">
        <v>3246</v>
      </c>
      <c r="CY64">
        <v>0.75000000000000355</v>
      </c>
      <c r="CZ64">
        <v>83046.840000000389</v>
      </c>
      <c r="DA64">
        <v>2408358.36</v>
      </c>
      <c r="DB64" t="s">
        <v>37</v>
      </c>
      <c r="DC64" t="b">
        <v>1</v>
      </c>
      <c r="DD64">
        <v>2408358.36</v>
      </c>
      <c r="DE64">
        <v>0</v>
      </c>
      <c r="DF64" t="b">
        <v>1</v>
      </c>
      <c r="DG64" s="420" cm="1">
        <f t="array" ref="DG64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65" spans="1:111" x14ac:dyDescent="0.25">
      <c r="A65">
        <v>64</v>
      </c>
      <c r="B65" t="s">
        <v>6</v>
      </c>
      <c r="C65">
        <v>9</v>
      </c>
      <c r="D65">
        <v>8</v>
      </c>
      <c r="E65">
        <v>0</v>
      </c>
      <c r="F65">
        <v>8.2899999999999991</v>
      </c>
      <c r="I65">
        <v>8.2899999999999991</v>
      </c>
      <c r="J65">
        <v>5.3</v>
      </c>
      <c r="K65">
        <v>3.38</v>
      </c>
      <c r="N65">
        <v>3.17</v>
      </c>
      <c r="O65">
        <v>3.17</v>
      </c>
      <c r="Q65">
        <v>3.17</v>
      </c>
      <c r="R65">
        <v>23.31</v>
      </c>
      <c r="S65">
        <v>20.14</v>
      </c>
      <c r="T65">
        <v>21.73</v>
      </c>
      <c r="U65">
        <v>22.3</v>
      </c>
      <c r="V65">
        <v>75600</v>
      </c>
      <c r="W65">
        <v>3780</v>
      </c>
      <c r="X65">
        <v>79380</v>
      </c>
      <c r="Z65">
        <v>79380</v>
      </c>
      <c r="AB65">
        <v>79380</v>
      </c>
      <c r="AC65">
        <v>9.7637400000000003</v>
      </c>
      <c r="AD65">
        <v>79389.763739999995</v>
      </c>
      <c r="AE65">
        <v>3969.4881869999999</v>
      </c>
      <c r="AF65">
        <v>83359.25192699999</v>
      </c>
      <c r="AH65">
        <v>83359.25192699999</v>
      </c>
      <c r="AJ65">
        <v>83359.25192699999</v>
      </c>
      <c r="AL65">
        <v>83359.25192699999</v>
      </c>
      <c r="AN65">
        <v>83359.25192699999</v>
      </c>
      <c r="AP65">
        <v>83359.25192699999</v>
      </c>
      <c r="AR65">
        <v>83359.25192699999</v>
      </c>
      <c r="AT65">
        <v>83359.25192699999</v>
      </c>
      <c r="AV65">
        <v>83359.25192699999</v>
      </c>
      <c r="AX65">
        <v>83359.25192699999</v>
      </c>
      <c r="AZ65">
        <v>83359.25192699999</v>
      </c>
      <c r="BB65">
        <v>83359.25192699999</v>
      </c>
      <c r="BD65">
        <v>83359.25192699999</v>
      </c>
      <c r="BF65">
        <v>83359.25192699999</v>
      </c>
      <c r="BH65">
        <v>83359.25192699999</v>
      </c>
      <c r="BJ65">
        <v>83359.25192699999</v>
      </c>
      <c r="BL65">
        <v>83359.25192699999</v>
      </c>
      <c r="BN65">
        <v>83359.25192699999</v>
      </c>
      <c r="BP65">
        <v>83359.25192699999</v>
      </c>
      <c r="BR65">
        <v>83359.25192699999</v>
      </c>
      <c r="BT65">
        <v>83359.25192699999</v>
      </c>
      <c r="BV65">
        <v>83359.25192699999</v>
      </c>
      <c r="BX65">
        <v>83359.25192699999</v>
      </c>
      <c r="BY65">
        <v>83359.25</v>
      </c>
      <c r="BZ65">
        <v>1811396.5</v>
      </c>
      <c r="CC65">
        <v>0</v>
      </c>
      <c r="CD65">
        <v>83359.249884951685</v>
      </c>
      <c r="CE65">
        <v>1811396.5</v>
      </c>
      <c r="CF65" t="s">
        <v>37</v>
      </c>
      <c r="CG65">
        <v>4000</v>
      </c>
      <c r="CH65">
        <v>87359.249884951685</v>
      </c>
      <c r="CI65">
        <v>86920</v>
      </c>
      <c r="CJ65">
        <v>1898316.5</v>
      </c>
      <c r="CK65" t="s">
        <v>57</v>
      </c>
      <c r="CN65">
        <v>0</v>
      </c>
      <c r="CO65" t="s">
        <v>39</v>
      </c>
      <c r="CP65" t="s">
        <v>39</v>
      </c>
      <c r="CQ65" t="b">
        <v>1</v>
      </c>
      <c r="CR65" t="s">
        <v>8950</v>
      </c>
      <c r="CS65" t="s">
        <v>1167</v>
      </c>
      <c r="CT65" t="s">
        <v>8960</v>
      </c>
      <c r="CU65" t="s">
        <v>8970</v>
      </c>
      <c r="CV65" t="s">
        <v>5933</v>
      </c>
      <c r="CW65" t="s">
        <v>4895</v>
      </c>
      <c r="CX65" t="s">
        <v>3246</v>
      </c>
      <c r="CY65">
        <v>0.57000000000000028</v>
      </c>
      <c r="CZ65">
        <v>49794.772434422477</v>
      </c>
      <c r="DA65">
        <v>1898316.5</v>
      </c>
      <c r="DB65" t="s">
        <v>37</v>
      </c>
      <c r="DC65" t="b">
        <v>1</v>
      </c>
      <c r="DD65">
        <v>1898316.5</v>
      </c>
      <c r="DE65">
        <v>0</v>
      </c>
      <c r="DF65" t="b">
        <v>1</v>
      </c>
      <c r="DG65" s="420" cm="1">
        <f t="array" ref="DG65">_xlfn.XLOOKUP("Дом 4"&amp;Реестр_Д4[[#This Row],[№]]&amp;Реестр_Д4[[#This Row],[Статус]],РД[Дом]&amp;РД[№ кв]&amp;РД[Состояние],РД[Дата подачи на регистрацию],"-",0)</f>
        <v>44922</v>
      </c>
    </row>
    <row r="66" spans="1:111" x14ac:dyDescent="0.25">
      <c r="A66">
        <v>65</v>
      </c>
      <c r="B66" t="s">
        <v>6</v>
      </c>
      <c r="C66">
        <v>10</v>
      </c>
      <c r="D66">
        <v>1</v>
      </c>
      <c r="E66">
        <v>1</v>
      </c>
      <c r="F66">
        <v>13.93</v>
      </c>
      <c r="I66">
        <v>13.93</v>
      </c>
      <c r="J66">
        <v>9.18</v>
      </c>
      <c r="K66">
        <v>3.65</v>
      </c>
      <c r="N66">
        <v>5.52</v>
      </c>
      <c r="O66">
        <v>2.4900000000000002</v>
      </c>
      <c r="Q66">
        <v>2.4900000000000002</v>
      </c>
      <c r="R66">
        <v>34.770000000000003</v>
      </c>
      <c r="S66">
        <v>32.28</v>
      </c>
      <c r="T66">
        <v>33.53</v>
      </c>
      <c r="U66">
        <v>34.9</v>
      </c>
      <c r="V66">
        <v>70700</v>
      </c>
      <c r="W66">
        <v>3535</v>
      </c>
      <c r="X66">
        <v>74235</v>
      </c>
      <c r="Y66">
        <v>2969.4</v>
      </c>
      <c r="Z66">
        <v>77204.399999999994</v>
      </c>
      <c r="AA66">
        <v>3860.22</v>
      </c>
      <c r="AB66">
        <v>81064.62</v>
      </c>
      <c r="AC66">
        <v>9.9709482600000001</v>
      </c>
      <c r="AD66">
        <v>81074.590948259996</v>
      </c>
      <c r="AE66">
        <v>4053.7295474130001</v>
      </c>
      <c r="AF66">
        <v>85128.32049567299</v>
      </c>
      <c r="AH66">
        <v>85128.32049567299</v>
      </c>
      <c r="AI66">
        <v>2553.8496148701897</v>
      </c>
      <c r="AJ66">
        <v>87682.170110543186</v>
      </c>
      <c r="AK66">
        <v>2630.4651033162954</v>
      </c>
      <c r="AL66">
        <v>90312.635213859481</v>
      </c>
      <c r="AM66">
        <v>3612.5054085543793</v>
      </c>
      <c r="AN66">
        <v>93925.140622413863</v>
      </c>
      <c r="AO66">
        <v>1878.5028124482776</v>
      </c>
      <c r="AP66">
        <v>95803.643434862141</v>
      </c>
      <c r="AQ66">
        <v>2874.1093030458642</v>
      </c>
      <c r="AR66">
        <v>98677.752737907998</v>
      </c>
      <c r="AT66">
        <v>98677.752737907998</v>
      </c>
      <c r="AV66">
        <v>98677.752737907998</v>
      </c>
      <c r="AX66">
        <v>98677.752737907998</v>
      </c>
      <c r="AZ66">
        <v>98677.752737907998</v>
      </c>
      <c r="BB66">
        <v>98677.752737907998</v>
      </c>
      <c r="BD66">
        <v>98677.752737907998</v>
      </c>
      <c r="BF66">
        <v>98677.752737907998</v>
      </c>
      <c r="BH66">
        <v>98677.752737907998</v>
      </c>
      <c r="BJ66">
        <v>98677.752737907998</v>
      </c>
      <c r="BL66">
        <v>98677.752737907998</v>
      </c>
      <c r="BN66">
        <v>98677.752737907998</v>
      </c>
      <c r="BP66">
        <v>98677.752737907998</v>
      </c>
      <c r="BR66">
        <v>98677.752737907998</v>
      </c>
      <c r="BT66">
        <v>98677.752737907998</v>
      </c>
      <c r="BV66">
        <v>98677.752737907998</v>
      </c>
      <c r="BX66">
        <v>98677.752737907998</v>
      </c>
      <c r="BY66">
        <v>98677.75</v>
      </c>
      <c r="BZ66">
        <v>3308664.96</v>
      </c>
      <c r="CC66">
        <v>0</v>
      </c>
      <c r="CD66">
        <v>98677.750074560085</v>
      </c>
      <c r="CE66">
        <v>3308664.96</v>
      </c>
      <c r="CF66" t="s">
        <v>37</v>
      </c>
      <c r="CG66">
        <v>4000</v>
      </c>
      <c r="CH66">
        <v>102677.75007456008</v>
      </c>
      <c r="CI66">
        <v>134120</v>
      </c>
      <c r="CJ66">
        <v>3442784.96</v>
      </c>
      <c r="CK66" t="s">
        <v>57</v>
      </c>
      <c r="CN66">
        <v>0</v>
      </c>
      <c r="CO66" t="s">
        <v>39</v>
      </c>
      <c r="CP66" t="s">
        <v>39</v>
      </c>
      <c r="CQ66" t="b">
        <v>1</v>
      </c>
      <c r="CR66" t="s">
        <v>8950</v>
      </c>
      <c r="CS66" t="s">
        <v>1167</v>
      </c>
      <c r="CT66" t="s">
        <v>8960</v>
      </c>
      <c r="CU66" t="s">
        <v>8973</v>
      </c>
      <c r="CV66" t="s">
        <v>5934</v>
      </c>
      <c r="CW66" t="s">
        <v>4895</v>
      </c>
      <c r="CX66" t="s">
        <v>3246</v>
      </c>
      <c r="CY66">
        <v>1.3699999999999974</v>
      </c>
      <c r="CZ66">
        <v>140668.51760214704</v>
      </c>
      <c r="DA66">
        <v>3442784.96</v>
      </c>
      <c r="DB66" t="s">
        <v>37</v>
      </c>
      <c r="DC66" t="b">
        <v>1</v>
      </c>
      <c r="DD66">
        <v>3442784.96</v>
      </c>
      <c r="DE66">
        <v>0</v>
      </c>
      <c r="DF66" t="b">
        <v>1</v>
      </c>
      <c r="DG66" s="420" cm="1">
        <f t="array" ref="DG66">_xlfn.XLOOKUP("Дом 4"&amp;Реестр_Д4[[#This Row],[№]]&amp;Реестр_Д4[[#This Row],[Статус]],РД[Дом]&amp;РД[№ кв]&amp;РД[Состояние],РД[Дата подачи на регистрацию],"-",0)</f>
        <v>45127</v>
      </c>
    </row>
    <row r="67" spans="1:111" x14ac:dyDescent="0.25">
      <c r="A67">
        <v>66</v>
      </c>
      <c r="B67" t="s">
        <v>6</v>
      </c>
      <c r="C67">
        <v>10</v>
      </c>
      <c r="D67">
        <v>2</v>
      </c>
      <c r="E67">
        <v>2</v>
      </c>
      <c r="F67">
        <v>16.55</v>
      </c>
      <c r="G67">
        <v>14.04</v>
      </c>
      <c r="I67">
        <v>30.59</v>
      </c>
      <c r="J67">
        <v>13.35</v>
      </c>
      <c r="K67">
        <v>3.69</v>
      </c>
      <c r="L67">
        <v>1.9219999999999999</v>
      </c>
      <c r="N67">
        <v>9.48</v>
      </c>
      <c r="O67">
        <v>2.91</v>
      </c>
      <c r="P67">
        <v>2.5499999999999998</v>
      </c>
      <c r="Q67">
        <v>5.46</v>
      </c>
      <c r="R67">
        <v>64.489999999999995</v>
      </c>
      <c r="S67">
        <v>59.029999999999994</v>
      </c>
      <c r="T67">
        <v>61.76</v>
      </c>
      <c r="U67">
        <v>63.2</v>
      </c>
      <c r="V67">
        <v>68639.199999999997</v>
      </c>
      <c r="W67">
        <v>3431.96</v>
      </c>
      <c r="X67">
        <v>72071.16</v>
      </c>
      <c r="Z67">
        <v>72071.16</v>
      </c>
      <c r="AA67">
        <v>3603.558</v>
      </c>
      <c r="AB67">
        <v>75674.717999999993</v>
      </c>
      <c r="AC67">
        <v>9.3079903140000013</v>
      </c>
      <c r="AD67">
        <v>75684.02599031401</v>
      </c>
      <c r="AF67">
        <v>75684.02599031401</v>
      </c>
      <c r="AH67">
        <v>75684.02599031401</v>
      </c>
      <c r="AJ67">
        <v>75684.02599031401</v>
      </c>
      <c r="AL67">
        <v>75684.02599031401</v>
      </c>
      <c r="AN67">
        <v>75684.02599031401</v>
      </c>
      <c r="AP67">
        <v>75684.02599031401</v>
      </c>
      <c r="AR67">
        <v>75684.02599031401</v>
      </c>
      <c r="AT67">
        <v>75684.02599031401</v>
      </c>
      <c r="AV67">
        <v>75684.02599031401</v>
      </c>
      <c r="AX67">
        <v>75684.02599031401</v>
      </c>
      <c r="AZ67">
        <v>75684.02599031401</v>
      </c>
      <c r="BB67">
        <v>75684.02599031401</v>
      </c>
      <c r="BD67">
        <v>75684.02599031401</v>
      </c>
      <c r="BF67">
        <v>75684.02599031401</v>
      </c>
      <c r="BH67">
        <v>75684.02599031401</v>
      </c>
      <c r="BJ67">
        <v>75684.02599031401</v>
      </c>
      <c r="BL67">
        <v>75684.02599031401</v>
      </c>
      <c r="BN67">
        <v>75684.02599031401</v>
      </c>
      <c r="BP67">
        <v>75684.02599031401</v>
      </c>
      <c r="BR67">
        <v>75684.02599031401</v>
      </c>
      <c r="BT67">
        <v>75684.02599031401</v>
      </c>
      <c r="BV67">
        <v>75684.02599031401</v>
      </c>
      <c r="BX67">
        <v>75684.02599031401</v>
      </c>
      <c r="BY67">
        <v>75684.03</v>
      </c>
      <c r="BZ67">
        <v>4674245.6900000004</v>
      </c>
      <c r="CC67">
        <v>0</v>
      </c>
      <c r="CD67">
        <v>75684.029954663216</v>
      </c>
      <c r="CE67">
        <v>4674245.6900000004</v>
      </c>
      <c r="CF67" t="s">
        <v>38</v>
      </c>
      <c r="CG67">
        <v>15000</v>
      </c>
      <c r="CH67">
        <v>90684.029954663216</v>
      </c>
      <c r="CI67">
        <v>926400</v>
      </c>
      <c r="CJ67">
        <v>5600645.6900000004</v>
      </c>
      <c r="CK67" t="s">
        <v>57</v>
      </c>
      <c r="CN67">
        <v>0</v>
      </c>
      <c r="CO67" t="s">
        <v>39</v>
      </c>
      <c r="CP67" t="s">
        <v>39</v>
      </c>
      <c r="CQ67" t="b">
        <v>1</v>
      </c>
      <c r="CR67" t="s">
        <v>8950</v>
      </c>
      <c r="CS67" t="s">
        <v>1167</v>
      </c>
      <c r="CT67" t="s">
        <v>8960</v>
      </c>
      <c r="CU67" t="s">
        <v>8974</v>
      </c>
      <c r="CV67" t="s">
        <v>5935</v>
      </c>
      <c r="CW67" t="s">
        <v>4895</v>
      </c>
      <c r="CX67" t="s">
        <v>3246</v>
      </c>
      <c r="CY67">
        <v>1.4400000000000048</v>
      </c>
      <c r="CZ67">
        <v>130585.00313471549</v>
      </c>
      <c r="DA67">
        <v>5600645.6900000004</v>
      </c>
      <c r="DB67" t="s">
        <v>38</v>
      </c>
      <c r="DC67" t="b">
        <v>1</v>
      </c>
      <c r="DD67">
        <v>5600645.6900000004</v>
      </c>
      <c r="DE67">
        <v>0</v>
      </c>
      <c r="DF67" t="b">
        <v>1</v>
      </c>
      <c r="DG67" s="420" cm="1">
        <f t="array" ref="DG67">_xlfn.XLOOKUP("Дом 4"&amp;Реестр_Д4[[#This Row],[№]]&amp;Реестр_Д4[[#This Row],[Статус]],РД[Дом]&amp;РД[№ кв]&amp;РД[Состояние],РД[Дата подачи на регистрацию],"-",0)</f>
        <v>44917</v>
      </c>
    </row>
    <row r="68" spans="1:111" x14ac:dyDescent="0.25">
      <c r="A68">
        <v>67</v>
      </c>
      <c r="B68" t="s">
        <v>6</v>
      </c>
      <c r="C68">
        <v>10</v>
      </c>
      <c r="D68">
        <v>3</v>
      </c>
      <c r="E68">
        <v>1</v>
      </c>
      <c r="F68">
        <v>12.25</v>
      </c>
      <c r="I68">
        <v>12.25</v>
      </c>
      <c r="J68">
        <v>11.65</v>
      </c>
      <c r="K68">
        <v>3.67</v>
      </c>
      <c r="N68">
        <v>6.55</v>
      </c>
      <c r="O68">
        <v>2.83</v>
      </c>
      <c r="Q68">
        <v>2.83</v>
      </c>
      <c r="R68">
        <v>36.950000000000003</v>
      </c>
      <c r="S68">
        <v>34.120000000000005</v>
      </c>
      <c r="T68">
        <v>35.54</v>
      </c>
      <c r="U68">
        <v>36.799999999999997</v>
      </c>
      <c r="V68">
        <v>71400</v>
      </c>
      <c r="W68">
        <v>3570</v>
      </c>
      <c r="X68">
        <v>74970</v>
      </c>
      <c r="Y68">
        <v>2998.8</v>
      </c>
      <c r="Z68">
        <v>77968.800000000003</v>
      </c>
      <c r="AA68">
        <v>3898.440000000001</v>
      </c>
      <c r="AB68">
        <v>81867.240000000005</v>
      </c>
      <c r="AC68">
        <v>10.069670520000001</v>
      </c>
      <c r="AD68">
        <v>81877.309670520001</v>
      </c>
      <c r="AE68">
        <v>4093.8654835259999</v>
      </c>
      <c r="AF68">
        <v>85971.175154045995</v>
      </c>
      <c r="AH68">
        <v>85971.175154045995</v>
      </c>
      <c r="AI68">
        <v>2579.1352546213802</v>
      </c>
      <c r="AJ68">
        <v>88550.31040866737</v>
      </c>
      <c r="AL68">
        <v>88550.31040866737</v>
      </c>
      <c r="AN68">
        <v>88550.31040866737</v>
      </c>
      <c r="AP68">
        <v>88550.31040866737</v>
      </c>
      <c r="AR68">
        <v>88550.31040866737</v>
      </c>
      <c r="AT68">
        <v>88550.31040866737</v>
      </c>
      <c r="AV68">
        <v>88550.31040866737</v>
      </c>
      <c r="AX68">
        <v>88550.31040866737</v>
      </c>
      <c r="AZ68">
        <v>88550.31040866737</v>
      </c>
      <c r="BB68">
        <v>88550.31040866737</v>
      </c>
      <c r="BD68">
        <v>88550.31040866737</v>
      </c>
      <c r="BF68">
        <v>88550.31040866737</v>
      </c>
      <c r="BH68">
        <v>88550.31040866737</v>
      </c>
      <c r="BJ68">
        <v>88550.31040866737</v>
      </c>
      <c r="BL68">
        <v>88550.31040866737</v>
      </c>
      <c r="BN68">
        <v>88550.31040866737</v>
      </c>
      <c r="BP68">
        <v>88550.31040866737</v>
      </c>
      <c r="BR68">
        <v>88550.31040866737</v>
      </c>
      <c r="BT68">
        <v>88550.31040866737</v>
      </c>
      <c r="BV68">
        <v>88550.31040866737</v>
      </c>
      <c r="BX68">
        <v>88550.31040866737</v>
      </c>
      <c r="BY68">
        <v>88550.31</v>
      </c>
      <c r="BZ68">
        <v>3147078.02</v>
      </c>
      <c r="CA68">
        <v>60000</v>
      </c>
      <c r="CC68">
        <v>60000</v>
      </c>
      <c r="CD68">
        <v>86862.071468767594</v>
      </c>
      <c r="CE68">
        <v>3087078.02</v>
      </c>
      <c r="CF68" t="s">
        <v>37</v>
      </c>
      <c r="CG68">
        <v>4000</v>
      </c>
      <c r="CH68">
        <v>90862.071468767594</v>
      </c>
      <c r="CI68">
        <v>142160</v>
      </c>
      <c r="CJ68">
        <v>3229238.02</v>
      </c>
      <c r="CL68" t="s">
        <v>3515</v>
      </c>
      <c r="CN68">
        <v>0</v>
      </c>
      <c r="CO68" t="s">
        <v>39</v>
      </c>
      <c r="CP68" t="s">
        <v>39</v>
      </c>
      <c r="CQ68" t="b">
        <v>1</v>
      </c>
      <c r="CR68" t="s">
        <v>8950</v>
      </c>
      <c r="CS68" t="s">
        <v>1167</v>
      </c>
      <c r="CT68" t="s">
        <v>8960</v>
      </c>
      <c r="CU68" t="s">
        <v>8973</v>
      </c>
      <c r="CV68" t="s">
        <v>5936</v>
      </c>
      <c r="CW68" t="s">
        <v>4895</v>
      </c>
      <c r="CX68" t="s">
        <v>3246</v>
      </c>
      <c r="CY68">
        <v>1.259999999999998</v>
      </c>
      <c r="CZ68">
        <v>114486.210050647</v>
      </c>
      <c r="DA68">
        <v>3229238.02</v>
      </c>
      <c r="DB68" t="s">
        <v>37</v>
      </c>
      <c r="DC68" t="b">
        <v>1</v>
      </c>
      <c r="DD68">
        <v>3229238.02</v>
      </c>
      <c r="DE68">
        <v>0</v>
      </c>
      <c r="DF68" t="b">
        <v>1</v>
      </c>
      <c r="DG68" s="420" cm="1">
        <f t="array" ref="DG68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69" spans="1:111" x14ac:dyDescent="0.25">
      <c r="A69">
        <v>68</v>
      </c>
      <c r="B69" t="s">
        <v>6</v>
      </c>
      <c r="C69">
        <v>10</v>
      </c>
      <c r="D69">
        <v>4</v>
      </c>
      <c r="E69">
        <v>2</v>
      </c>
      <c r="F69">
        <v>14.61</v>
      </c>
      <c r="G69">
        <v>11.01</v>
      </c>
      <c r="I69">
        <v>25.62</v>
      </c>
      <c r="J69">
        <v>14.77</v>
      </c>
      <c r="K69">
        <v>2.85</v>
      </c>
      <c r="L69">
        <v>2.4900000000000002</v>
      </c>
      <c r="N69">
        <v>8.7899999999999991</v>
      </c>
      <c r="O69">
        <v>3.01</v>
      </c>
      <c r="Q69">
        <v>3.01</v>
      </c>
      <c r="R69">
        <v>57.53</v>
      </c>
      <c r="S69">
        <v>54.52</v>
      </c>
      <c r="T69">
        <v>56.03</v>
      </c>
      <c r="U69">
        <v>57.9</v>
      </c>
      <c r="V69">
        <v>67972.800000000003</v>
      </c>
      <c r="W69">
        <v>3398.6400000000003</v>
      </c>
      <c r="X69">
        <v>71371.44</v>
      </c>
      <c r="Z69">
        <v>71371.44</v>
      </c>
      <c r="AA69">
        <v>3568.5720000000001</v>
      </c>
      <c r="AB69">
        <v>74940.012000000002</v>
      </c>
      <c r="AC69">
        <v>9.2176214760000015</v>
      </c>
      <c r="AD69">
        <v>74949.229621475999</v>
      </c>
      <c r="AF69">
        <v>74949.229621475999</v>
      </c>
      <c r="AH69">
        <v>74949.229621475999</v>
      </c>
      <c r="AI69">
        <v>1498.98459242952</v>
      </c>
      <c r="AJ69">
        <v>76448.214213905521</v>
      </c>
      <c r="AK69">
        <v>764.48214213905521</v>
      </c>
      <c r="AL69">
        <v>77212.696356044573</v>
      </c>
      <c r="AM69">
        <v>1544.2539271208916</v>
      </c>
      <c r="AN69">
        <v>78756.950283165468</v>
      </c>
      <c r="AO69">
        <v>2362.708508494964</v>
      </c>
      <c r="AP69">
        <v>81119.658791660433</v>
      </c>
      <c r="AQ69">
        <v>2433.5897637498128</v>
      </c>
      <c r="AR69">
        <v>83553.248555410246</v>
      </c>
      <c r="AS69">
        <v>4177.6624277705123</v>
      </c>
      <c r="AT69">
        <v>87730.910983180758</v>
      </c>
      <c r="AU69">
        <v>2631.9273294954228</v>
      </c>
      <c r="AV69">
        <v>90362.838312676176</v>
      </c>
      <c r="AX69">
        <v>90362.838312676176</v>
      </c>
      <c r="AZ69">
        <v>90362.838312676176</v>
      </c>
      <c r="BB69">
        <v>90362.838312676176</v>
      </c>
      <c r="BD69">
        <v>90362.838312676176</v>
      </c>
      <c r="BF69">
        <v>90362.838312676176</v>
      </c>
      <c r="BH69">
        <v>90362.838312676176</v>
      </c>
      <c r="BJ69">
        <v>90362.838312676176</v>
      </c>
      <c r="BL69">
        <v>90362.838312676176</v>
      </c>
      <c r="BN69">
        <v>90362.838312676176</v>
      </c>
      <c r="BP69">
        <v>90362.838312676176</v>
      </c>
      <c r="BR69">
        <v>90362.838312676176</v>
      </c>
      <c r="BT69">
        <v>90362.838312676176</v>
      </c>
      <c r="BV69">
        <v>90362.838312676176</v>
      </c>
      <c r="BX69">
        <v>90362.838312676176</v>
      </c>
      <c r="BY69">
        <v>90362.84</v>
      </c>
      <c r="BZ69">
        <v>5063029.93</v>
      </c>
      <c r="CC69">
        <v>0</v>
      </c>
      <c r="CD69">
        <v>90362.840085668387</v>
      </c>
      <c r="CE69">
        <v>5063029.93</v>
      </c>
      <c r="CF69" t="s">
        <v>37</v>
      </c>
      <c r="CG69">
        <v>7500</v>
      </c>
      <c r="CH69">
        <v>97862.840085668387</v>
      </c>
      <c r="CI69">
        <v>420225</v>
      </c>
      <c r="CJ69">
        <v>5483254.9299999997</v>
      </c>
      <c r="CN69">
        <v>0</v>
      </c>
      <c r="CO69" t="s">
        <v>39</v>
      </c>
      <c r="CP69" t="s">
        <v>39</v>
      </c>
      <c r="CQ69" t="b">
        <v>1</v>
      </c>
      <c r="CR69" t="s">
        <v>8950</v>
      </c>
      <c r="CS69" t="s">
        <v>1167</v>
      </c>
      <c r="CT69" t="s">
        <v>8960</v>
      </c>
      <c r="CU69" t="s">
        <v>8971</v>
      </c>
      <c r="CV69" t="s">
        <v>5937</v>
      </c>
      <c r="CW69" t="s">
        <v>4895</v>
      </c>
      <c r="CX69" t="s">
        <v>3246</v>
      </c>
      <c r="CY69">
        <v>1.8699999999999977</v>
      </c>
      <c r="CZ69">
        <v>183003.51096019964</v>
      </c>
      <c r="DA69">
        <v>5483254.9299999997</v>
      </c>
      <c r="DB69" t="s">
        <v>37</v>
      </c>
      <c r="DC69" t="b">
        <v>1</v>
      </c>
      <c r="DD69">
        <v>5483254.9299999997</v>
      </c>
      <c r="DE69">
        <v>0</v>
      </c>
      <c r="DF69" t="b">
        <v>1</v>
      </c>
      <c r="DG69" s="420" cm="1">
        <f t="array" ref="DG69">_xlfn.XLOOKUP("Дом 4"&amp;Реестр_Д4[[#This Row],[№]]&amp;Реестр_Д4[[#This Row],[Статус]],РД[Дом]&amp;РД[№ кв]&amp;РД[Состояние],РД[Дата подачи на регистрацию],"-",0)</f>
        <v>45187</v>
      </c>
    </row>
    <row r="70" spans="1:111" x14ac:dyDescent="0.25">
      <c r="A70">
        <v>69</v>
      </c>
      <c r="B70" t="s">
        <v>6</v>
      </c>
      <c r="C70">
        <v>10</v>
      </c>
      <c r="D70">
        <v>5</v>
      </c>
      <c r="E70">
        <v>2</v>
      </c>
      <c r="F70">
        <v>14.86</v>
      </c>
      <c r="G70">
        <v>9.69</v>
      </c>
      <c r="I70">
        <v>24.55</v>
      </c>
      <c r="J70">
        <v>14.88</v>
      </c>
      <c r="K70">
        <v>2.83</v>
      </c>
      <c r="L70">
        <v>1.82</v>
      </c>
      <c r="N70">
        <v>9.26</v>
      </c>
      <c r="O70">
        <v>2.63</v>
      </c>
      <c r="Q70">
        <v>2.63</v>
      </c>
      <c r="R70">
        <v>55.97</v>
      </c>
      <c r="S70">
        <v>53.34</v>
      </c>
      <c r="T70">
        <v>54.66</v>
      </c>
      <c r="U70">
        <v>56.3</v>
      </c>
      <c r="V70">
        <v>67972.800000000003</v>
      </c>
      <c r="W70">
        <v>3398.6400000000003</v>
      </c>
      <c r="X70">
        <v>71371.44</v>
      </c>
      <c r="Z70">
        <v>71371.44</v>
      </c>
      <c r="AA70">
        <v>3568.5720000000001</v>
      </c>
      <c r="AB70">
        <v>74940.012000000002</v>
      </c>
      <c r="AC70">
        <v>9.2176214760000015</v>
      </c>
      <c r="AD70">
        <v>74949.229621475999</v>
      </c>
      <c r="AF70">
        <v>74949.229621475999</v>
      </c>
      <c r="AH70">
        <v>74949.229621475999</v>
      </c>
      <c r="AJ70">
        <v>74949.229621475999</v>
      </c>
      <c r="AL70">
        <v>74949.229621475999</v>
      </c>
      <c r="AN70">
        <v>74949.229621475999</v>
      </c>
      <c r="AP70">
        <v>74949.229621475999</v>
      </c>
      <c r="AR70">
        <v>74949.229621475999</v>
      </c>
      <c r="AT70">
        <v>74949.229621475999</v>
      </c>
      <c r="AV70">
        <v>74949.229621475999</v>
      </c>
      <c r="AX70">
        <v>74949.229621475999</v>
      </c>
      <c r="AZ70">
        <v>74949.229621475999</v>
      </c>
      <c r="BB70">
        <v>74949.229621475999</v>
      </c>
      <c r="BD70">
        <v>74949.229621475999</v>
      </c>
      <c r="BF70">
        <v>74949.229621475999</v>
      </c>
      <c r="BH70">
        <v>74949.229621475999</v>
      </c>
      <c r="BJ70">
        <v>74949.229621475999</v>
      </c>
      <c r="BL70">
        <v>74949.229621475999</v>
      </c>
      <c r="BN70">
        <v>74949.229621475999</v>
      </c>
      <c r="BP70">
        <v>74949.229621475999</v>
      </c>
      <c r="BR70">
        <v>74949.229621475999</v>
      </c>
      <c r="BT70">
        <v>74949.229621475999</v>
      </c>
      <c r="BV70">
        <v>74949.229621475999</v>
      </c>
      <c r="BX70">
        <v>74949.229621475999</v>
      </c>
      <c r="BY70">
        <v>74949.23</v>
      </c>
      <c r="BZ70">
        <v>4096724.91</v>
      </c>
      <c r="CB70">
        <v>0.05</v>
      </c>
      <c r="CC70">
        <v>204836.24549999999</v>
      </c>
      <c r="CD70">
        <v>71201.76838638859</v>
      </c>
      <c r="CE70">
        <v>3891888.66</v>
      </c>
      <c r="CF70" t="s">
        <v>37</v>
      </c>
      <c r="CG70">
        <v>4000</v>
      </c>
      <c r="CH70">
        <v>75201.76838638859</v>
      </c>
      <c r="CI70">
        <v>218640</v>
      </c>
      <c r="CJ70">
        <v>4110528.66</v>
      </c>
      <c r="CL70" t="s">
        <v>3540</v>
      </c>
      <c r="CN70">
        <v>0</v>
      </c>
      <c r="CO70" t="s">
        <v>39</v>
      </c>
      <c r="CP70" t="s">
        <v>39</v>
      </c>
      <c r="CQ70" t="b">
        <v>1</v>
      </c>
      <c r="CR70" t="s">
        <v>8950</v>
      </c>
      <c r="CS70" t="s">
        <v>1167</v>
      </c>
      <c r="CT70" t="s">
        <v>8960</v>
      </c>
      <c r="CU70" t="s">
        <v>8971</v>
      </c>
      <c r="CV70" t="s">
        <v>5938</v>
      </c>
      <c r="CW70" t="s">
        <v>4895</v>
      </c>
      <c r="CX70" t="s">
        <v>3246</v>
      </c>
      <c r="CY70">
        <v>1.6400000000000006</v>
      </c>
      <c r="CZ70">
        <v>123330.90015367731</v>
      </c>
      <c r="DA70">
        <v>4110528.66</v>
      </c>
      <c r="DB70" t="s">
        <v>37</v>
      </c>
      <c r="DC70" t="b">
        <v>1</v>
      </c>
      <c r="DD70">
        <v>4110528.66</v>
      </c>
      <c r="DE70">
        <v>0</v>
      </c>
      <c r="DF70" t="b">
        <v>1</v>
      </c>
      <c r="DG70" s="420" cm="1">
        <f t="array" ref="DG70">_xlfn.XLOOKUP("Дом 4"&amp;Реестр_Д4[[#This Row],[№]]&amp;Реестр_Д4[[#This Row],[Статус]],РД[Дом]&amp;РД[№ кв]&amp;РД[Состояние],РД[Дата подачи на регистрацию],"-",0)</f>
        <v>44979</v>
      </c>
    </row>
    <row r="71" spans="1:111" x14ac:dyDescent="0.25">
      <c r="A71">
        <v>70</v>
      </c>
      <c r="B71" t="s">
        <v>6</v>
      </c>
      <c r="C71">
        <v>10</v>
      </c>
      <c r="D71">
        <v>6</v>
      </c>
      <c r="E71">
        <v>2</v>
      </c>
      <c r="F71">
        <v>13.33</v>
      </c>
      <c r="G71">
        <v>13.23</v>
      </c>
      <c r="I71">
        <v>26.56</v>
      </c>
      <c r="J71">
        <v>16.25</v>
      </c>
      <c r="K71">
        <v>3.18</v>
      </c>
      <c r="L71">
        <v>2.14</v>
      </c>
      <c r="M71">
        <v>5.14</v>
      </c>
      <c r="N71">
        <v>5.19</v>
      </c>
      <c r="O71">
        <v>2.81</v>
      </c>
      <c r="Q71">
        <v>2.81</v>
      </c>
      <c r="R71">
        <v>61.27</v>
      </c>
      <c r="S71">
        <v>58.46</v>
      </c>
      <c r="T71">
        <v>59.87</v>
      </c>
      <c r="U71">
        <v>61.4</v>
      </c>
      <c r="V71">
        <v>73304</v>
      </c>
      <c r="W71">
        <v>3665.2</v>
      </c>
      <c r="X71">
        <v>76969.2</v>
      </c>
      <c r="Z71">
        <v>76969.2</v>
      </c>
      <c r="AA71">
        <v>3848.46</v>
      </c>
      <c r="AB71">
        <v>80817.66</v>
      </c>
      <c r="AC71">
        <v>9.940572180000002</v>
      </c>
      <c r="AD71">
        <v>80827.600572180003</v>
      </c>
      <c r="AF71">
        <v>80827.600572180003</v>
      </c>
      <c r="AH71">
        <v>80827.600572180003</v>
      </c>
      <c r="AI71">
        <v>1616.5520114435999</v>
      </c>
      <c r="AJ71">
        <v>82444.152583623596</v>
      </c>
      <c r="AK71">
        <v>2473.324577508708</v>
      </c>
      <c r="AL71">
        <v>84917.477161132309</v>
      </c>
      <c r="AM71">
        <v>3396.6990864452923</v>
      </c>
      <c r="AN71">
        <v>88314.176247577605</v>
      </c>
      <c r="AP71">
        <v>88314.176247577605</v>
      </c>
      <c r="AQ71">
        <v>2649.4252874273279</v>
      </c>
      <c r="AR71">
        <v>90963.601535004927</v>
      </c>
      <c r="AT71">
        <v>90963.601535004927</v>
      </c>
      <c r="AV71">
        <v>90963.601535004927</v>
      </c>
      <c r="AX71">
        <v>90963.601535004927</v>
      </c>
      <c r="AZ71">
        <v>90963.601535004927</v>
      </c>
      <c r="BB71">
        <v>90963.601535004927</v>
      </c>
      <c r="BD71">
        <v>90963.601535004927</v>
      </c>
      <c r="BF71">
        <v>90963.601535004927</v>
      </c>
      <c r="BH71">
        <v>90963.601535004927</v>
      </c>
      <c r="BJ71">
        <v>90963.601535004927</v>
      </c>
      <c r="BL71">
        <v>90963.601535004927</v>
      </c>
      <c r="BN71">
        <v>90963.601535004927</v>
      </c>
      <c r="BP71">
        <v>90963.601535004927</v>
      </c>
      <c r="BR71">
        <v>90963.601535004927</v>
      </c>
      <c r="BT71">
        <v>90963.601535004927</v>
      </c>
      <c r="BV71">
        <v>90963.601535004927</v>
      </c>
      <c r="BX71">
        <v>90963.601535004927</v>
      </c>
      <c r="BY71">
        <v>90963.6</v>
      </c>
      <c r="BZ71">
        <v>5445990.7300000004</v>
      </c>
      <c r="CC71">
        <v>0</v>
      </c>
      <c r="CD71">
        <v>90963.599966594295</v>
      </c>
      <c r="CE71">
        <v>5445990.7300000004</v>
      </c>
      <c r="CF71" t="s">
        <v>38</v>
      </c>
      <c r="CG71">
        <v>15500</v>
      </c>
      <c r="CH71">
        <v>106463.59996659428</v>
      </c>
      <c r="CI71">
        <v>927985</v>
      </c>
      <c r="CJ71">
        <v>6373975.7300000004</v>
      </c>
      <c r="CK71" t="s">
        <v>57</v>
      </c>
      <c r="CN71">
        <v>0</v>
      </c>
      <c r="CO71" t="s">
        <v>39</v>
      </c>
      <c r="CP71" t="s">
        <v>39</v>
      </c>
      <c r="CQ71" t="b">
        <v>1</v>
      </c>
      <c r="CR71" t="s">
        <v>8950</v>
      </c>
      <c r="CS71" t="s">
        <v>1167</v>
      </c>
      <c r="CT71" t="s">
        <v>8960</v>
      </c>
      <c r="CU71" t="s">
        <v>8971</v>
      </c>
      <c r="CV71" t="s">
        <v>5939</v>
      </c>
      <c r="CW71" t="s">
        <v>4895</v>
      </c>
      <c r="CX71" t="s">
        <v>3246</v>
      </c>
      <c r="CY71">
        <v>1.5300000000000011</v>
      </c>
      <c r="CZ71">
        <v>162889.30794888941</v>
      </c>
      <c r="DA71">
        <v>6373975.7300000004</v>
      </c>
      <c r="DB71" t="s">
        <v>38</v>
      </c>
      <c r="DC71" t="b">
        <v>1</v>
      </c>
      <c r="DD71">
        <v>6373975.7300000004</v>
      </c>
      <c r="DE71">
        <v>0</v>
      </c>
      <c r="DF71" t="b">
        <v>1</v>
      </c>
      <c r="DG71" s="420" cm="1">
        <f t="array" ref="DG71">_xlfn.XLOOKUP("Дом 4"&amp;Реестр_Д4[[#This Row],[№]]&amp;Реестр_Д4[[#This Row],[Статус]],РД[Дом]&amp;РД[№ кв]&amp;РД[Состояние],РД[Дата подачи на регистрацию],"-",0)</f>
        <v>45167</v>
      </c>
    </row>
    <row r="72" spans="1:111" x14ac:dyDescent="0.25">
      <c r="A72">
        <v>71</v>
      </c>
      <c r="B72" t="s">
        <v>6</v>
      </c>
      <c r="C72">
        <v>10</v>
      </c>
      <c r="D72">
        <v>7</v>
      </c>
      <c r="E72">
        <v>0</v>
      </c>
      <c r="F72">
        <v>8.2799999999999994</v>
      </c>
      <c r="I72">
        <v>8.2799999999999994</v>
      </c>
      <c r="J72">
        <v>5.3</v>
      </c>
      <c r="K72">
        <v>3.38</v>
      </c>
      <c r="N72">
        <v>3.17</v>
      </c>
      <c r="O72">
        <v>3.23</v>
      </c>
      <c r="Q72">
        <v>3.23</v>
      </c>
      <c r="R72">
        <v>23.36</v>
      </c>
      <c r="S72">
        <v>20.13</v>
      </c>
      <c r="T72">
        <v>21.75</v>
      </c>
      <c r="U72">
        <v>22.5</v>
      </c>
      <c r="V72">
        <v>75600</v>
      </c>
      <c r="W72">
        <v>3780</v>
      </c>
      <c r="X72">
        <v>79380</v>
      </c>
      <c r="Z72">
        <v>79380</v>
      </c>
      <c r="AB72">
        <v>79380</v>
      </c>
      <c r="AC72">
        <v>9.7637400000000003</v>
      </c>
      <c r="AD72">
        <v>79389.763739999995</v>
      </c>
      <c r="AE72">
        <v>3969.4881869999999</v>
      </c>
      <c r="AF72">
        <v>83359.25192699999</v>
      </c>
      <c r="AG72">
        <v>8335.9251926999987</v>
      </c>
      <c r="AH72">
        <v>91695.177119699991</v>
      </c>
      <c r="AJ72">
        <v>91695.177119699991</v>
      </c>
      <c r="AK72">
        <v>2750.8553135909997</v>
      </c>
      <c r="AL72">
        <v>94446.032433290995</v>
      </c>
      <c r="AM72">
        <v>3777.8412973316399</v>
      </c>
      <c r="AN72">
        <v>98223.873730622639</v>
      </c>
      <c r="AP72">
        <v>98223.873730622639</v>
      </c>
      <c r="AR72">
        <v>98223.873730622639</v>
      </c>
      <c r="AT72">
        <v>98223.873730622639</v>
      </c>
      <c r="AV72">
        <v>98223.873730622639</v>
      </c>
      <c r="AX72">
        <v>98223.873730622639</v>
      </c>
      <c r="AZ72">
        <v>98223.873730622639</v>
      </c>
      <c r="BB72">
        <v>98223.873730622639</v>
      </c>
      <c r="BD72">
        <v>98223.873730622639</v>
      </c>
      <c r="BF72">
        <v>98223.873730622639</v>
      </c>
      <c r="BH72">
        <v>98223.873730622639</v>
      </c>
      <c r="BJ72">
        <v>98223.873730622639</v>
      </c>
      <c r="BL72">
        <v>98223.873730622639</v>
      </c>
      <c r="BN72">
        <v>98223.873730622639</v>
      </c>
      <c r="BP72">
        <v>98223.873730622639</v>
      </c>
      <c r="BR72">
        <v>98223.873730622639</v>
      </c>
      <c r="BT72">
        <v>98223.873730622639</v>
      </c>
      <c r="BV72">
        <v>98223.873730622639</v>
      </c>
      <c r="BX72">
        <v>98223.873730622639</v>
      </c>
      <c r="BY72">
        <v>98223.87</v>
      </c>
      <c r="BZ72">
        <v>2136369.17</v>
      </c>
      <c r="CC72">
        <v>0</v>
      </c>
      <c r="CD72">
        <v>98223.869885057473</v>
      </c>
      <c r="CE72">
        <v>2136369.17</v>
      </c>
      <c r="CF72" t="s">
        <v>38</v>
      </c>
      <c r="CG72">
        <v>15000</v>
      </c>
      <c r="CH72">
        <v>113223.86988505747</v>
      </c>
      <c r="CI72">
        <v>326250</v>
      </c>
      <c r="CJ72">
        <v>2462619.17</v>
      </c>
      <c r="CK72" t="s">
        <v>57</v>
      </c>
      <c r="CN72">
        <v>0</v>
      </c>
      <c r="CO72" t="s">
        <v>39</v>
      </c>
      <c r="CP72" t="s">
        <v>39</v>
      </c>
      <c r="CQ72" t="b">
        <v>1</v>
      </c>
      <c r="CR72" t="s">
        <v>8950</v>
      </c>
      <c r="CS72" t="s">
        <v>1167</v>
      </c>
      <c r="CT72" t="s">
        <v>8960</v>
      </c>
      <c r="CU72" t="s">
        <v>8970</v>
      </c>
      <c r="CV72" t="s">
        <v>5940</v>
      </c>
      <c r="CW72" t="s">
        <v>4895</v>
      </c>
      <c r="CX72" t="s">
        <v>3246</v>
      </c>
      <c r="CY72">
        <v>0.75</v>
      </c>
      <c r="CZ72">
        <v>84917.902413793126</v>
      </c>
      <c r="DA72">
        <v>2462619.17</v>
      </c>
      <c r="DB72" t="s">
        <v>38</v>
      </c>
      <c r="DC72" t="b">
        <v>1</v>
      </c>
      <c r="DD72">
        <v>2462619.17</v>
      </c>
      <c r="DE72">
        <v>0</v>
      </c>
      <c r="DF72" t="b">
        <v>1</v>
      </c>
      <c r="DG72" s="420" cm="1">
        <f t="array" ref="DG72">_xlfn.XLOOKUP("Дом 4"&amp;Реестр_Д4[[#This Row],[№]]&amp;Реестр_Д4[[#This Row],[Статус]],РД[Дом]&amp;РД[№ кв]&amp;РД[Состояние],РД[Дата подачи на регистрацию],"-",0)</f>
        <v>45071</v>
      </c>
    </row>
    <row r="73" spans="1:111" x14ac:dyDescent="0.25">
      <c r="A73">
        <v>72</v>
      </c>
      <c r="B73" t="s">
        <v>6</v>
      </c>
      <c r="C73">
        <v>10</v>
      </c>
      <c r="D73">
        <v>8</v>
      </c>
      <c r="E73">
        <v>0</v>
      </c>
      <c r="F73">
        <v>8.2899999999999991</v>
      </c>
      <c r="I73">
        <v>8.2899999999999991</v>
      </c>
      <c r="J73">
        <v>5.3</v>
      </c>
      <c r="K73">
        <v>3.38</v>
      </c>
      <c r="N73">
        <v>3.17</v>
      </c>
      <c r="O73">
        <v>3.17</v>
      </c>
      <c r="Q73">
        <v>3.17</v>
      </c>
      <c r="R73">
        <v>23.31</v>
      </c>
      <c r="S73">
        <v>20.14</v>
      </c>
      <c r="T73">
        <v>21.73</v>
      </c>
      <c r="U73">
        <v>22.200000000000003</v>
      </c>
      <c r="V73">
        <v>75600</v>
      </c>
      <c r="W73">
        <v>3780</v>
      </c>
      <c r="X73">
        <v>79380</v>
      </c>
      <c r="Z73">
        <v>79380</v>
      </c>
      <c r="AB73">
        <v>79380</v>
      </c>
      <c r="AC73">
        <v>9.7637400000000003</v>
      </c>
      <c r="AD73">
        <v>79389.763739999995</v>
      </c>
      <c r="AE73">
        <v>3969.4881869999999</v>
      </c>
      <c r="AF73">
        <v>83359.25192699999</v>
      </c>
      <c r="AG73">
        <v>8335.9251926999987</v>
      </c>
      <c r="AH73">
        <v>91695.177119699991</v>
      </c>
      <c r="AJ73">
        <v>91695.177119699991</v>
      </c>
      <c r="AK73">
        <v>2750.8553135909997</v>
      </c>
      <c r="AL73">
        <v>94446.032433290995</v>
      </c>
      <c r="AM73">
        <v>3777.8412973316399</v>
      </c>
      <c r="AN73">
        <v>98223.873730622639</v>
      </c>
      <c r="AO73">
        <v>4911.1936865311318</v>
      </c>
      <c r="AP73">
        <v>103135.06741715375</v>
      </c>
      <c r="AQ73">
        <v>3094.0520225146129</v>
      </c>
      <c r="AR73">
        <v>106229.1194396684</v>
      </c>
      <c r="AS73">
        <v>5311.4559719834197</v>
      </c>
      <c r="AT73">
        <v>111540.57541165179</v>
      </c>
      <c r="AV73">
        <v>111540.57541165179</v>
      </c>
      <c r="AX73">
        <v>111540.57541165179</v>
      </c>
      <c r="AZ73">
        <v>111540.57541165179</v>
      </c>
      <c r="BB73">
        <v>111540.57541165179</v>
      </c>
      <c r="BD73">
        <v>111540.57541165179</v>
      </c>
      <c r="BF73">
        <v>111540.57541165179</v>
      </c>
      <c r="BH73">
        <v>111540.57541165179</v>
      </c>
      <c r="BJ73">
        <v>111540.57541165179</v>
      </c>
      <c r="BL73">
        <v>111540.57541165179</v>
      </c>
      <c r="BN73">
        <v>111540.57541165179</v>
      </c>
      <c r="BP73">
        <v>111540.57541165179</v>
      </c>
      <c r="BR73">
        <v>111540.57541165179</v>
      </c>
      <c r="BT73">
        <v>111540.57541165179</v>
      </c>
      <c r="BV73">
        <v>111540.57541165179</v>
      </c>
      <c r="BX73">
        <v>111540.57541165179</v>
      </c>
      <c r="BY73">
        <v>111540.58</v>
      </c>
      <c r="BZ73">
        <v>2423776.7999999998</v>
      </c>
      <c r="CC73">
        <v>0</v>
      </c>
      <c r="CD73">
        <v>111540.57984353427</v>
      </c>
      <c r="CE73">
        <v>2423776.7999999998</v>
      </c>
      <c r="CF73" t="s">
        <v>38</v>
      </c>
      <c r="CG73">
        <v>15500</v>
      </c>
      <c r="CH73">
        <v>127040.57984353427</v>
      </c>
      <c r="CI73">
        <v>336815</v>
      </c>
      <c r="CJ73">
        <v>2760591.8</v>
      </c>
      <c r="CK73" t="s">
        <v>57</v>
      </c>
      <c r="CN73">
        <v>0</v>
      </c>
      <c r="CO73" t="s">
        <v>39</v>
      </c>
      <c r="CP73" t="s">
        <v>39</v>
      </c>
      <c r="CQ73" t="b">
        <v>1</v>
      </c>
      <c r="CR73" t="s">
        <v>8950</v>
      </c>
      <c r="CS73" t="s">
        <v>1167</v>
      </c>
      <c r="CT73" t="s">
        <v>8960</v>
      </c>
      <c r="CU73" t="s">
        <v>8970</v>
      </c>
      <c r="CV73" t="s">
        <v>5941</v>
      </c>
      <c r="CW73" t="s">
        <v>4895</v>
      </c>
      <c r="CX73" t="s">
        <v>3246</v>
      </c>
      <c r="CY73">
        <v>0.47000000000000242</v>
      </c>
      <c r="CZ73">
        <v>59709.072526461416</v>
      </c>
      <c r="DA73">
        <v>2760591.8</v>
      </c>
      <c r="DB73" t="s">
        <v>38</v>
      </c>
      <c r="DC73" t="b">
        <v>1</v>
      </c>
      <c r="DD73">
        <v>2760591.8</v>
      </c>
      <c r="DE73">
        <v>0</v>
      </c>
      <c r="DF73" t="b">
        <v>1</v>
      </c>
      <c r="DG73" s="420" cm="1">
        <f t="array" ref="DG73">_xlfn.XLOOKUP("Дом 4"&amp;Реестр_Д4[[#This Row],[№]]&amp;Реестр_Д4[[#This Row],[Статус]],РД[Дом]&amp;РД[№ кв]&amp;РД[Состояние],РД[Дата подачи на регистрацию],"-",0)</f>
        <v>45167</v>
      </c>
    </row>
    <row r="74" spans="1:111" x14ac:dyDescent="0.25">
      <c r="A74">
        <v>73</v>
      </c>
      <c r="B74" t="s">
        <v>6</v>
      </c>
      <c r="C74">
        <v>11</v>
      </c>
      <c r="D74">
        <v>1</v>
      </c>
      <c r="E74">
        <v>1</v>
      </c>
      <c r="F74">
        <v>13.93</v>
      </c>
      <c r="I74">
        <v>13.93</v>
      </c>
      <c r="J74">
        <v>9.18</v>
      </c>
      <c r="K74">
        <v>3.65</v>
      </c>
      <c r="N74">
        <v>5.52</v>
      </c>
      <c r="O74">
        <v>2.4900000000000002</v>
      </c>
      <c r="Q74">
        <v>2.4900000000000002</v>
      </c>
      <c r="R74">
        <v>34.770000000000003</v>
      </c>
      <c r="S74">
        <v>32.28</v>
      </c>
      <c r="T74">
        <v>33.53</v>
      </c>
      <c r="U74">
        <v>34.6</v>
      </c>
      <c r="V74">
        <v>70700</v>
      </c>
      <c r="W74">
        <v>3535</v>
      </c>
      <c r="X74">
        <v>74235</v>
      </c>
      <c r="Y74">
        <v>2969.4</v>
      </c>
      <c r="Z74">
        <v>77204.399999999994</v>
      </c>
      <c r="AA74">
        <v>3860.22</v>
      </c>
      <c r="AB74">
        <v>81064.62</v>
      </c>
      <c r="AC74">
        <v>9.9709482600000001</v>
      </c>
      <c r="AD74">
        <v>81074.590948259996</v>
      </c>
      <c r="AE74">
        <v>4053.7295474130001</v>
      </c>
      <c r="AF74">
        <v>85128.32049567299</v>
      </c>
      <c r="AH74">
        <v>85128.32049567299</v>
      </c>
      <c r="AI74">
        <v>2553.8496148701897</v>
      </c>
      <c r="AJ74">
        <v>87682.170110543186</v>
      </c>
      <c r="AK74">
        <v>2630.4651033162954</v>
      </c>
      <c r="AL74">
        <v>90312.635213859481</v>
      </c>
      <c r="AM74">
        <v>3612.5054085543793</v>
      </c>
      <c r="AN74">
        <v>93925.140622413863</v>
      </c>
      <c r="AO74">
        <v>1878.5028124482776</v>
      </c>
      <c r="AP74">
        <v>95803.643434862141</v>
      </c>
      <c r="AR74">
        <v>95803.643434862141</v>
      </c>
      <c r="AT74">
        <v>95803.643434862141</v>
      </c>
      <c r="AV74">
        <v>95803.643434862141</v>
      </c>
      <c r="AX74">
        <v>95803.643434862141</v>
      </c>
      <c r="AZ74">
        <v>95803.643434862141</v>
      </c>
      <c r="BB74">
        <v>95803.643434862141</v>
      </c>
      <c r="BD74">
        <v>95803.643434862141</v>
      </c>
      <c r="BF74">
        <v>95803.643434862141</v>
      </c>
      <c r="BH74">
        <v>95803.643434862141</v>
      </c>
      <c r="BJ74">
        <v>95803.643434862141</v>
      </c>
      <c r="BL74">
        <v>95803.643434862141</v>
      </c>
      <c r="BN74">
        <v>95803.643434862141</v>
      </c>
      <c r="BP74">
        <v>95803.643434862141</v>
      </c>
      <c r="BR74">
        <v>95803.643434862141</v>
      </c>
      <c r="BT74">
        <v>95803.643434862141</v>
      </c>
      <c r="BV74">
        <v>95803.643434862141</v>
      </c>
      <c r="BX74">
        <v>95803.643434862141</v>
      </c>
      <c r="BY74">
        <v>95803.64</v>
      </c>
      <c r="BZ74">
        <v>3212296.05</v>
      </c>
      <c r="CB74">
        <v>0.06</v>
      </c>
      <c r="CC74">
        <v>192737.76300000001</v>
      </c>
      <c r="CD74">
        <v>90055.421711899791</v>
      </c>
      <c r="CE74">
        <v>3019558.29</v>
      </c>
      <c r="CF74" t="s">
        <v>38</v>
      </c>
      <c r="CG74">
        <v>15000</v>
      </c>
      <c r="CH74">
        <v>105055.42171189981</v>
      </c>
      <c r="CI74">
        <v>502950</v>
      </c>
      <c r="CJ74">
        <v>3522508.29</v>
      </c>
      <c r="CK74" t="s">
        <v>57</v>
      </c>
      <c r="CL74" t="s">
        <v>978</v>
      </c>
      <c r="CN74">
        <v>0</v>
      </c>
      <c r="CO74" t="s">
        <v>39</v>
      </c>
      <c r="CP74" t="s">
        <v>39</v>
      </c>
      <c r="CQ74" t="b">
        <v>1</v>
      </c>
      <c r="CR74" t="s">
        <v>8950</v>
      </c>
      <c r="CS74" t="s">
        <v>1167</v>
      </c>
      <c r="CT74" t="s">
        <v>8960</v>
      </c>
      <c r="CU74" t="s">
        <v>8973</v>
      </c>
      <c r="CV74" t="s">
        <v>5942</v>
      </c>
      <c r="CW74" t="s">
        <v>4895</v>
      </c>
      <c r="CX74" t="s">
        <v>3246</v>
      </c>
      <c r="CY74">
        <v>1.0700000000000005</v>
      </c>
      <c r="CZ74">
        <v>112409.3012317328</v>
      </c>
      <c r="DA74">
        <v>3522508.29</v>
      </c>
      <c r="DB74" t="s">
        <v>38</v>
      </c>
      <c r="DC74" t="b">
        <v>1</v>
      </c>
      <c r="DD74">
        <v>3522508.29</v>
      </c>
      <c r="DE74">
        <v>0</v>
      </c>
      <c r="DF74" t="b">
        <v>1</v>
      </c>
      <c r="DG74" s="420" cm="1">
        <f t="array" ref="DG74">_xlfn.XLOOKUP("Дом 4"&amp;Реестр_Д4[[#This Row],[№]]&amp;Реестр_Д4[[#This Row],[Статус]],РД[Дом]&amp;РД[№ кв]&amp;РД[Состояние],РД[Дата подачи на регистрацию],"-",0)</f>
        <v>45078</v>
      </c>
    </row>
    <row r="75" spans="1:111" x14ac:dyDescent="0.25">
      <c r="A75">
        <v>74</v>
      </c>
      <c r="B75" t="s">
        <v>6</v>
      </c>
      <c r="C75">
        <v>11</v>
      </c>
      <c r="D75">
        <v>2</v>
      </c>
      <c r="E75">
        <v>2</v>
      </c>
      <c r="F75">
        <v>16.55</v>
      </c>
      <c r="G75">
        <v>14.04</v>
      </c>
      <c r="I75">
        <v>30.59</v>
      </c>
      <c r="J75">
        <v>13.35</v>
      </c>
      <c r="K75">
        <v>3.69</v>
      </c>
      <c r="L75">
        <v>1.9219999999999999</v>
      </c>
      <c r="N75">
        <v>9.48</v>
      </c>
      <c r="O75">
        <v>2.91</v>
      </c>
      <c r="P75">
        <v>2.5499999999999998</v>
      </c>
      <c r="Q75">
        <v>5.46</v>
      </c>
      <c r="R75">
        <v>64.489999999999995</v>
      </c>
      <c r="S75">
        <v>59.029999999999994</v>
      </c>
      <c r="T75">
        <v>61.76</v>
      </c>
      <c r="U75">
        <v>63.3</v>
      </c>
      <c r="V75">
        <v>68639.199999999997</v>
      </c>
      <c r="W75">
        <v>3431.96</v>
      </c>
      <c r="X75">
        <v>72071.16</v>
      </c>
      <c r="Z75">
        <v>72071.16</v>
      </c>
      <c r="AA75">
        <v>3603.558</v>
      </c>
      <c r="AB75">
        <v>75674.717999999993</v>
      </c>
      <c r="AC75">
        <v>9.3079903140000013</v>
      </c>
      <c r="AD75">
        <v>75684.02599031401</v>
      </c>
      <c r="AF75">
        <v>75684.02599031401</v>
      </c>
      <c r="AH75">
        <v>75684.02599031401</v>
      </c>
      <c r="AI75">
        <v>1513.6805198062802</v>
      </c>
      <c r="AJ75">
        <v>77197.70651012029</v>
      </c>
      <c r="AK75">
        <v>2315.9311953036085</v>
      </c>
      <c r="AL75">
        <v>79513.637705423898</v>
      </c>
      <c r="AM75">
        <v>3180.545508216956</v>
      </c>
      <c r="AN75">
        <v>82694.183213640848</v>
      </c>
      <c r="AO75">
        <v>2480.8254964092253</v>
      </c>
      <c r="AP75">
        <v>85175.008710050068</v>
      </c>
      <c r="AQ75">
        <v>2555.2502613015017</v>
      </c>
      <c r="AR75">
        <v>87730.258971351563</v>
      </c>
      <c r="AT75">
        <v>87730.258971351563</v>
      </c>
      <c r="AU75">
        <v>2631.9077691405469</v>
      </c>
      <c r="AV75">
        <v>90362.166740492103</v>
      </c>
      <c r="AX75">
        <v>90362.166740492103</v>
      </c>
      <c r="AZ75">
        <v>90362.166740492103</v>
      </c>
      <c r="BB75">
        <v>90362.166740492103</v>
      </c>
      <c r="BD75">
        <v>90362.166740492103</v>
      </c>
      <c r="BF75">
        <v>90362.166740492103</v>
      </c>
      <c r="BH75">
        <v>90362.166740492103</v>
      </c>
      <c r="BJ75">
        <v>90362.166740492103</v>
      </c>
      <c r="BL75">
        <v>90362.166740492103</v>
      </c>
      <c r="BN75">
        <v>90362.166740492103</v>
      </c>
      <c r="BP75">
        <v>90362.166740492103</v>
      </c>
      <c r="BR75">
        <v>90362.166740492103</v>
      </c>
      <c r="BT75">
        <v>90362.166740492103</v>
      </c>
      <c r="BV75">
        <v>90362.166740492103</v>
      </c>
      <c r="BX75">
        <v>90362.166740492103</v>
      </c>
      <c r="BY75">
        <v>90362.17</v>
      </c>
      <c r="BZ75">
        <v>5580767.6200000001</v>
      </c>
      <c r="CB75">
        <v>0.06</v>
      </c>
      <c r="CC75">
        <v>334846.05719999998</v>
      </c>
      <c r="CD75">
        <v>84940.439766839379</v>
      </c>
      <c r="CE75">
        <v>5245921.5599999996</v>
      </c>
      <c r="CF75" t="s">
        <v>38</v>
      </c>
      <c r="CG75">
        <v>22000</v>
      </c>
      <c r="CH75">
        <v>106940.43976683938</v>
      </c>
      <c r="CI75">
        <v>1358720</v>
      </c>
      <c r="CJ75">
        <v>6604641.5599999996</v>
      </c>
      <c r="CK75" t="s">
        <v>57</v>
      </c>
      <c r="CL75" t="s">
        <v>978</v>
      </c>
      <c r="CN75">
        <v>0</v>
      </c>
      <c r="CO75" t="s">
        <v>39</v>
      </c>
      <c r="CP75" t="s">
        <v>39</v>
      </c>
      <c r="CQ75" t="b">
        <v>1</v>
      </c>
      <c r="CR75" t="s">
        <v>8950</v>
      </c>
      <c r="CS75" t="s">
        <v>1167</v>
      </c>
      <c r="CT75" t="s">
        <v>8960</v>
      </c>
      <c r="CU75" t="s">
        <v>8974</v>
      </c>
      <c r="CV75" t="s">
        <v>5943</v>
      </c>
      <c r="CW75" t="s">
        <v>4895</v>
      </c>
      <c r="CX75" t="s">
        <v>3246</v>
      </c>
      <c r="CY75">
        <v>1.5399999999999991</v>
      </c>
      <c r="CZ75">
        <v>164688.27724093254</v>
      </c>
      <c r="DA75">
        <v>6604641.5599999996</v>
      </c>
      <c r="DB75" t="s">
        <v>38</v>
      </c>
      <c r="DC75" t="b">
        <v>1</v>
      </c>
      <c r="DD75">
        <v>6604641.5599999996</v>
      </c>
      <c r="DE75">
        <v>0</v>
      </c>
      <c r="DF75" t="b">
        <v>1</v>
      </c>
      <c r="DG75" s="420" cm="1">
        <f t="array" ref="DG75">_xlfn.XLOOKUP("Дом 4"&amp;Реестр_Д4[[#This Row],[№]]&amp;Реестр_Д4[[#This Row],[Статус]],РД[Дом]&amp;РД[№ кв]&amp;РД[Состояние],РД[Дата подачи на регистрацию],"-",0)</f>
        <v>45250</v>
      </c>
    </row>
    <row r="76" spans="1:111" x14ac:dyDescent="0.25">
      <c r="A76">
        <v>75</v>
      </c>
      <c r="B76" t="s">
        <v>6</v>
      </c>
      <c r="C76">
        <v>11</v>
      </c>
      <c r="D76">
        <v>3</v>
      </c>
      <c r="E76">
        <v>1</v>
      </c>
      <c r="F76">
        <v>12.25</v>
      </c>
      <c r="I76">
        <v>12.25</v>
      </c>
      <c r="J76">
        <v>11.65</v>
      </c>
      <c r="K76">
        <v>3.67</v>
      </c>
      <c r="N76">
        <v>6.55</v>
      </c>
      <c r="O76">
        <v>2.83</v>
      </c>
      <c r="Q76">
        <v>2.83</v>
      </c>
      <c r="R76">
        <v>36.950000000000003</v>
      </c>
      <c r="S76">
        <v>34.120000000000005</v>
      </c>
      <c r="T76">
        <v>35.54</v>
      </c>
      <c r="U76">
        <v>37</v>
      </c>
      <c r="V76">
        <v>71400</v>
      </c>
      <c r="W76">
        <v>3570</v>
      </c>
      <c r="X76">
        <v>74970</v>
      </c>
      <c r="Y76">
        <v>2998.8</v>
      </c>
      <c r="Z76">
        <v>77968.800000000003</v>
      </c>
      <c r="AA76">
        <v>3898.440000000001</v>
      </c>
      <c r="AB76">
        <v>81867.240000000005</v>
      </c>
      <c r="AC76">
        <v>10.069670520000001</v>
      </c>
      <c r="AD76">
        <v>81877.309670520001</v>
      </c>
      <c r="AE76">
        <v>4093.8654835259999</v>
      </c>
      <c r="AF76">
        <v>85971.175154045995</v>
      </c>
      <c r="AH76">
        <v>85971.175154045995</v>
      </c>
      <c r="AI76">
        <v>2579.1352546213802</v>
      </c>
      <c r="AJ76">
        <v>88550.31040866737</v>
      </c>
      <c r="AK76">
        <v>885.50310408667372</v>
      </c>
      <c r="AL76">
        <v>89435.813512754044</v>
      </c>
      <c r="AM76">
        <v>1788.7162702550809</v>
      </c>
      <c r="AN76">
        <v>91224.529783009129</v>
      </c>
      <c r="AO76">
        <v>1824.4905956601824</v>
      </c>
      <c r="AP76">
        <v>93049.020378669316</v>
      </c>
      <c r="AR76">
        <v>93049.020378669316</v>
      </c>
      <c r="AT76">
        <v>93049.020378669316</v>
      </c>
      <c r="AV76">
        <v>93049.020378669316</v>
      </c>
      <c r="AX76">
        <v>93049.020378669316</v>
      </c>
      <c r="AZ76">
        <v>93049.020378669316</v>
      </c>
      <c r="BB76">
        <v>93049.020378669316</v>
      </c>
      <c r="BD76">
        <v>93049.020378669316</v>
      </c>
      <c r="BF76">
        <v>93049.020378669316</v>
      </c>
      <c r="BH76">
        <v>93049.020378669316</v>
      </c>
      <c r="BJ76">
        <v>93049.020378669316</v>
      </c>
      <c r="BL76">
        <v>93049.020378669316</v>
      </c>
      <c r="BN76">
        <v>93049.020378669316</v>
      </c>
      <c r="BP76">
        <v>93049.020378669316</v>
      </c>
      <c r="BR76">
        <v>93049.020378669316</v>
      </c>
      <c r="BT76">
        <v>93049.020378669316</v>
      </c>
      <c r="BV76">
        <v>93049.020378669316</v>
      </c>
      <c r="BX76">
        <v>93049.020378669316</v>
      </c>
      <c r="BY76">
        <v>93049.02</v>
      </c>
      <c r="BZ76">
        <v>3306962.17</v>
      </c>
      <c r="CB76">
        <v>0.03</v>
      </c>
      <c r="CC76">
        <v>99208.865099999995</v>
      </c>
      <c r="CD76">
        <v>90257.549240292647</v>
      </c>
      <c r="CE76">
        <v>3207753.3</v>
      </c>
      <c r="CF76" t="s">
        <v>37</v>
      </c>
      <c r="CG76">
        <v>4000</v>
      </c>
      <c r="CH76">
        <v>94257.549240292647</v>
      </c>
      <c r="CI76">
        <v>142160</v>
      </c>
      <c r="CJ76">
        <v>3349913.3</v>
      </c>
      <c r="CL76" t="s">
        <v>3540</v>
      </c>
      <c r="CN76">
        <v>0</v>
      </c>
      <c r="CO76" t="s">
        <v>39</v>
      </c>
      <c r="CP76" t="s">
        <v>39</v>
      </c>
      <c r="CQ76" t="b">
        <v>1</v>
      </c>
      <c r="CR76" t="s">
        <v>8950</v>
      </c>
      <c r="CS76" t="s">
        <v>1167</v>
      </c>
      <c r="CT76" t="s">
        <v>8960</v>
      </c>
      <c r="CU76" t="s">
        <v>8973</v>
      </c>
      <c r="CV76" t="s">
        <v>5944</v>
      </c>
      <c r="CW76" t="s">
        <v>4895</v>
      </c>
      <c r="CX76" t="s">
        <v>3246</v>
      </c>
      <c r="CY76">
        <v>1.4600000000000009</v>
      </c>
      <c r="CZ76">
        <v>137616.02189082731</v>
      </c>
      <c r="DA76">
        <v>3349913.3</v>
      </c>
      <c r="DB76" t="s">
        <v>37</v>
      </c>
      <c r="DC76" t="b">
        <v>1</v>
      </c>
      <c r="DD76">
        <v>3349913.3</v>
      </c>
      <c r="DE76">
        <v>0</v>
      </c>
      <c r="DF76" t="b">
        <v>1</v>
      </c>
      <c r="DG76" s="420" cm="1">
        <f t="array" ref="DG76">_xlfn.XLOOKUP("Дом 4"&amp;Реестр_Д4[[#This Row],[№]]&amp;Реестр_Д4[[#This Row],[Статус]],РД[Дом]&amp;РД[№ кв]&amp;РД[Состояние],РД[Дата подачи на регистрацию],"-",0)</f>
        <v>45076</v>
      </c>
    </row>
    <row r="77" spans="1:111" x14ac:dyDescent="0.25">
      <c r="A77">
        <v>76</v>
      </c>
      <c r="B77" t="s">
        <v>6</v>
      </c>
      <c r="C77">
        <v>11</v>
      </c>
      <c r="D77">
        <v>4</v>
      </c>
      <c r="E77">
        <v>2</v>
      </c>
      <c r="F77">
        <v>14.61</v>
      </c>
      <c r="G77">
        <v>11.01</v>
      </c>
      <c r="I77">
        <v>25.62</v>
      </c>
      <c r="J77">
        <v>14.77</v>
      </c>
      <c r="K77">
        <v>2.85</v>
      </c>
      <c r="L77">
        <v>2.4900000000000002</v>
      </c>
      <c r="N77">
        <v>8.7899999999999991</v>
      </c>
      <c r="O77">
        <v>3.01</v>
      </c>
      <c r="Q77">
        <v>3.01</v>
      </c>
      <c r="R77">
        <v>57.53</v>
      </c>
      <c r="S77">
        <v>54.52</v>
      </c>
      <c r="T77">
        <v>56.03</v>
      </c>
      <c r="U77">
        <v>57.800000000000011</v>
      </c>
      <c r="V77">
        <v>67972.800000000003</v>
      </c>
      <c r="W77">
        <v>3398.6400000000003</v>
      </c>
      <c r="X77">
        <v>71371.44</v>
      </c>
      <c r="Z77">
        <v>71371.44</v>
      </c>
      <c r="AA77">
        <v>3568.5720000000001</v>
      </c>
      <c r="AB77">
        <v>74940.012000000002</v>
      </c>
      <c r="AC77">
        <v>9.2176214760000015</v>
      </c>
      <c r="AD77">
        <v>74949.229621475999</v>
      </c>
      <c r="AF77">
        <v>74949.229621475999</v>
      </c>
      <c r="AH77">
        <v>74949.229621475999</v>
      </c>
      <c r="AI77">
        <v>1498.98459242952</v>
      </c>
      <c r="AJ77">
        <v>76448.214213905521</v>
      </c>
      <c r="AK77">
        <v>764.48214213905521</v>
      </c>
      <c r="AL77">
        <v>77212.696356044573</v>
      </c>
      <c r="AN77">
        <v>77212.696356044573</v>
      </c>
      <c r="AP77">
        <v>77212.696356044573</v>
      </c>
      <c r="AR77">
        <v>77212.696356044573</v>
      </c>
      <c r="AT77">
        <v>77212.696356044573</v>
      </c>
      <c r="AV77">
        <v>77212.696356044573</v>
      </c>
      <c r="AX77">
        <v>77212.696356044573</v>
      </c>
      <c r="AZ77">
        <v>77212.696356044573</v>
      </c>
      <c r="BB77">
        <v>77212.696356044573</v>
      </c>
      <c r="BD77">
        <v>77212.696356044573</v>
      </c>
      <c r="BF77">
        <v>77212.696356044573</v>
      </c>
      <c r="BH77">
        <v>77212.696356044573</v>
      </c>
      <c r="BJ77">
        <v>77212.696356044573</v>
      </c>
      <c r="BL77">
        <v>77212.696356044573</v>
      </c>
      <c r="BN77">
        <v>77212.696356044573</v>
      </c>
      <c r="BP77">
        <v>77212.696356044573</v>
      </c>
      <c r="BR77">
        <v>77212.696356044573</v>
      </c>
      <c r="BT77">
        <v>77212.696356044573</v>
      </c>
      <c r="BV77">
        <v>77212.696356044573</v>
      </c>
      <c r="BX77">
        <v>77212.696356044573</v>
      </c>
      <c r="BY77">
        <v>77212.7</v>
      </c>
      <c r="BZ77">
        <v>4326227.58</v>
      </c>
      <c r="CB77">
        <v>0.06</v>
      </c>
      <c r="CC77">
        <v>259573.65479999999</v>
      </c>
      <c r="CD77">
        <v>72579.938068891686</v>
      </c>
      <c r="CE77">
        <v>4066653.93</v>
      </c>
      <c r="CF77" t="s">
        <v>37</v>
      </c>
      <c r="CG77">
        <v>4000</v>
      </c>
      <c r="CH77">
        <v>76579.938068891686</v>
      </c>
      <c r="CI77">
        <v>224119.99999999953</v>
      </c>
      <c r="CJ77">
        <v>4290773.93</v>
      </c>
      <c r="CL77" t="s">
        <v>978</v>
      </c>
      <c r="CN77">
        <v>0</v>
      </c>
      <c r="CO77" t="s">
        <v>39</v>
      </c>
      <c r="CP77" t="s">
        <v>39</v>
      </c>
      <c r="CQ77" t="b">
        <v>1</v>
      </c>
      <c r="CR77" t="s">
        <v>8950</v>
      </c>
      <c r="CS77" t="s">
        <v>1167</v>
      </c>
      <c r="CT77" t="s">
        <v>8960</v>
      </c>
      <c r="CU77" t="s">
        <v>8971</v>
      </c>
      <c r="CV77" t="s">
        <v>5945</v>
      </c>
      <c r="CW77" t="s">
        <v>4895</v>
      </c>
      <c r="CX77" t="s">
        <v>3246</v>
      </c>
      <c r="CY77">
        <v>1.7700000000000102</v>
      </c>
      <c r="CZ77">
        <v>135546.49038193905</v>
      </c>
      <c r="DA77">
        <v>4290773.93</v>
      </c>
      <c r="DB77" t="s">
        <v>37</v>
      </c>
      <c r="DC77" t="b">
        <v>1</v>
      </c>
      <c r="DD77">
        <v>4290773.93</v>
      </c>
      <c r="DE77">
        <v>0</v>
      </c>
      <c r="DF77" t="b">
        <v>1</v>
      </c>
      <c r="DG77" s="420" cm="1">
        <f t="array" ref="DG77">_xlfn.XLOOKUP("Дом 4"&amp;Реестр_Д4[[#This Row],[№]]&amp;Реестр_Д4[[#This Row],[Статус]],РД[Дом]&amp;РД[№ кв]&amp;РД[Состояние],РД[Дата подачи на регистрацию],"-",0)</f>
        <v>45040</v>
      </c>
    </row>
    <row r="78" spans="1:111" x14ac:dyDescent="0.25">
      <c r="A78">
        <v>77</v>
      </c>
      <c r="B78" t="s">
        <v>6</v>
      </c>
      <c r="C78">
        <v>11</v>
      </c>
      <c r="D78">
        <v>5</v>
      </c>
      <c r="E78">
        <v>2</v>
      </c>
      <c r="F78">
        <v>14.86</v>
      </c>
      <c r="G78">
        <v>9.69</v>
      </c>
      <c r="I78">
        <v>24.55</v>
      </c>
      <c r="J78">
        <v>14.88</v>
      </c>
      <c r="K78">
        <v>2.83</v>
      </c>
      <c r="L78">
        <v>1.82</v>
      </c>
      <c r="N78">
        <v>9.26</v>
      </c>
      <c r="O78">
        <v>2.63</v>
      </c>
      <c r="Q78">
        <v>2.63</v>
      </c>
      <c r="R78">
        <v>55.97</v>
      </c>
      <c r="S78">
        <v>53.34</v>
      </c>
      <c r="T78">
        <v>54.66</v>
      </c>
      <c r="U78">
        <v>56.5</v>
      </c>
      <c r="V78">
        <v>67972.800000000003</v>
      </c>
      <c r="W78">
        <v>3398.6400000000003</v>
      </c>
      <c r="X78">
        <v>71371.44</v>
      </c>
      <c r="Z78">
        <v>71371.44</v>
      </c>
      <c r="AB78">
        <v>71371.44</v>
      </c>
      <c r="AD78">
        <v>71371.44</v>
      </c>
      <c r="AF78">
        <v>71371.44</v>
      </c>
      <c r="AH78">
        <v>71371.44</v>
      </c>
      <c r="AJ78">
        <v>71371.44</v>
      </c>
      <c r="AL78">
        <v>71371.44</v>
      </c>
      <c r="AN78">
        <v>71371.44</v>
      </c>
      <c r="AP78">
        <v>71371.44</v>
      </c>
      <c r="AR78">
        <v>71371.44</v>
      </c>
      <c r="AT78">
        <v>71371.44</v>
      </c>
      <c r="AV78">
        <v>71371.44</v>
      </c>
      <c r="AX78">
        <v>71371.44</v>
      </c>
      <c r="AZ78">
        <v>71371.44</v>
      </c>
      <c r="BB78">
        <v>71371.44</v>
      </c>
      <c r="BD78">
        <v>71371.44</v>
      </c>
      <c r="BF78">
        <v>71371.44</v>
      </c>
      <c r="BH78">
        <v>71371.44</v>
      </c>
      <c r="BJ78">
        <v>71371.44</v>
      </c>
      <c r="BL78">
        <v>71371.44</v>
      </c>
      <c r="BN78">
        <v>71371.44</v>
      </c>
      <c r="BP78">
        <v>71371.44</v>
      </c>
      <c r="BR78">
        <v>71371.44</v>
      </c>
      <c r="BT78">
        <v>71371.44</v>
      </c>
      <c r="BV78">
        <v>71371.44</v>
      </c>
      <c r="BX78">
        <v>71371.44</v>
      </c>
      <c r="BY78">
        <v>71371.44</v>
      </c>
      <c r="BZ78">
        <v>3901162.91</v>
      </c>
      <c r="CC78">
        <v>0</v>
      </c>
      <c r="CD78">
        <v>71371.439992682048</v>
      </c>
      <c r="CE78">
        <v>3901162.91</v>
      </c>
      <c r="CF78" t="s">
        <v>37</v>
      </c>
      <c r="CG78">
        <v>7500</v>
      </c>
      <c r="CH78">
        <v>78871.439992682048</v>
      </c>
      <c r="CI78">
        <v>409950</v>
      </c>
      <c r="CJ78">
        <v>4311112.91</v>
      </c>
      <c r="CN78">
        <v>0</v>
      </c>
      <c r="CO78" t="s">
        <v>39</v>
      </c>
      <c r="CP78" t="s">
        <v>39</v>
      </c>
      <c r="CQ78" t="b">
        <v>1</v>
      </c>
      <c r="CR78" t="s">
        <v>8950</v>
      </c>
      <c r="CS78" t="s">
        <v>1167</v>
      </c>
      <c r="CT78" t="s">
        <v>8960</v>
      </c>
      <c r="CU78" t="s">
        <v>8971</v>
      </c>
      <c r="CV78" t="s">
        <v>5946</v>
      </c>
      <c r="CW78" t="s">
        <v>4895</v>
      </c>
      <c r="CX78" t="s">
        <v>3246</v>
      </c>
      <c r="CY78">
        <v>1.8400000000000032</v>
      </c>
      <c r="CZ78">
        <v>145123.44958653525</v>
      </c>
      <c r="DA78">
        <v>4311112.91</v>
      </c>
      <c r="DB78" t="s">
        <v>37</v>
      </c>
      <c r="DC78" t="b">
        <v>1</v>
      </c>
      <c r="DD78">
        <v>4311112.91</v>
      </c>
      <c r="DE78">
        <v>0</v>
      </c>
      <c r="DF78" t="b">
        <v>1</v>
      </c>
      <c r="DG78" s="420" cm="1">
        <f t="array" ref="DG78">_xlfn.XLOOKUP("Дом 4"&amp;Реестр_Д4[[#This Row],[№]]&amp;Реестр_Д4[[#This Row],[Статус]],РД[Дом]&amp;РД[№ кв]&amp;РД[Состояние],РД[Дата подачи на регистрацию],"-",0)</f>
        <v>44795</v>
      </c>
    </row>
    <row r="79" spans="1:111" x14ac:dyDescent="0.25">
      <c r="A79">
        <v>78</v>
      </c>
      <c r="B79" t="s">
        <v>6</v>
      </c>
      <c r="C79">
        <v>11</v>
      </c>
      <c r="D79">
        <v>6</v>
      </c>
      <c r="E79">
        <v>2</v>
      </c>
      <c r="F79">
        <v>13.33</v>
      </c>
      <c r="G79">
        <v>13.23</v>
      </c>
      <c r="I79">
        <v>26.56</v>
      </c>
      <c r="J79">
        <v>16.25</v>
      </c>
      <c r="K79">
        <v>3.18</v>
      </c>
      <c r="L79">
        <v>2.14</v>
      </c>
      <c r="M79">
        <v>5.14</v>
      </c>
      <c r="N79">
        <v>5.19</v>
      </c>
      <c r="O79">
        <v>2.81</v>
      </c>
      <c r="Q79">
        <v>2.81</v>
      </c>
      <c r="R79">
        <v>61.27</v>
      </c>
      <c r="S79">
        <v>58.46</v>
      </c>
      <c r="T79">
        <v>59.87</v>
      </c>
      <c r="U79">
        <v>61.499999999999993</v>
      </c>
      <c r="V79">
        <v>73304</v>
      </c>
      <c r="W79">
        <v>3665.2</v>
      </c>
      <c r="X79">
        <v>76969.2</v>
      </c>
      <c r="Z79">
        <v>76969.2</v>
      </c>
      <c r="AA79">
        <v>3848.46</v>
      </c>
      <c r="AB79">
        <v>80817.66</v>
      </c>
      <c r="AC79">
        <v>9.940572180000002</v>
      </c>
      <c r="AD79">
        <v>80827.600572180003</v>
      </c>
      <c r="AF79">
        <v>80827.600572180003</v>
      </c>
      <c r="AH79">
        <v>80827.600572180003</v>
      </c>
      <c r="AI79">
        <v>1616.5520114435999</v>
      </c>
      <c r="AJ79">
        <v>82444.152583623596</v>
      </c>
      <c r="AK79">
        <v>2473.324577508708</v>
      </c>
      <c r="AL79">
        <v>84917.477161132309</v>
      </c>
      <c r="AN79">
        <v>84917.477161132309</v>
      </c>
      <c r="AP79">
        <v>84917.477161132309</v>
      </c>
      <c r="AR79">
        <v>84917.477161132309</v>
      </c>
      <c r="AT79">
        <v>84917.477161132309</v>
      </c>
      <c r="AV79">
        <v>84917.477161132309</v>
      </c>
      <c r="AX79">
        <v>84917.477161132309</v>
      </c>
      <c r="AZ79">
        <v>84917.477161132309</v>
      </c>
      <c r="BB79">
        <v>84917.477161132309</v>
      </c>
      <c r="BD79">
        <v>84917.477161132309</v>
      </c>
      <c r="BF79">
        <v>84917.477161132309</v>
      </c>
      <c r="BH79">
        <v>84917.477161132309</v>
      </c>
      <c r="BJ79">
        <v>84917.477161132309</v>
      </c>
      <c r="BL79">
        <v>84917.477161132309</v>
      </c>
      <c r="BN79">
        <v>84917.477161132309</v>
      </c>
      <c r="BP79">
        <v>84917.477161132309</v>
      </c>
      <c r="BR79">
        <v>84917.477161132309</v>
      </c>
      <c r="BT79">
        <v>84917.477161132309</v>
      </c>
      <c r="BV79">
        <v>84917.477161132309</v>
      </c>
      <c r="BX79">
        <v>84917.477161132309</v>
      </c>
      <c r="BY79">
        <v>84917.48</v>
      </c>
      <c r="BZ79">
        <v>5084009.53</v>
      </c>
      <c r="CA79">
        <v>239480</v>
      </c>
      <c r="CC79">
        <v>239480</v>
      </c>
      <c r="CD79">
        <v>80917.48004008687</v>
      </c>
      <c r="CE79">
        <v>4844529.53</v>
      </c>
      <c r="CF79" t="s">
        <v>37</v>
      </c>
      <c r="CG79">
        <v>4000</v>
      </c>
      <c r="CH79">
        <v>84917.48004008687</v>
      </c>
      <c r="CI79">
        <v>239480</v>
      </c>
      <c r="CJ79">
        <v>5084009.53</v>
      </c>
      <c r="CK79" t="s">
        <v>57</v>
      </c>
      <c r="CL79" t="s">
        <v>4838</v>
      </c>
      <c r="CN79">
        <v>0</v>
      </c>
      <c r="CO79" t="s">
        <v>39</v>
      </c>
      <c r="CP79" t="s">
        <v>39</v>
      </c>
      <c r="CQ79" t="b">
        <v>1</v>
      </c>
      <c r="CR79" t="s">
        <v>8950</v>
      </c>
      <c r="CS79" t="s">
        <v>1167</v>
      </c>
      <c r="CT79" t="s">
        <v>8960</v>
      </c>
      <c r="CU79" t="s">
        <v>8971</v>
      </c>
      <c r="CV79" t="s">
        <v>5947</v>
      </c>
      <c r="CW79" t="s">
        <v>4895</v>
      </c>
      <c r="CX79" t="s">
        <v>3246</v>
      </c>
      <c r="CY79">
        <v>1.6299999999999957</v>
      </c>
      <c r="CZ79">
        <v>138415.4924653412</v>
      </c>
      <c r="DA79">
        <v>5084009.53</v>
      </c>
      <c r="DB79" t="s">
        <v>37</v>
      </c>
      <c r="DC79" t="b">
        <v>1</v>
      </c>
      <c r="DD79">
        <v>5084009.53</v>
      </c>
      <c r="DE79">
        <v>0</v>
      </c>
      <c r="DF79" t="b">
        <v>1</v>
      </c>
      <c r="DG79" s="420" cm="1">
        <f t="array" ref="DG79">_xlfn.XLOOKUP("Дом 4"&amp;Реестр_Д4[[#This Row],[№]]&amp;Реестр_Д4[[#This Row],[Статус]],РД[Дом]&amp;РД[№ кв]&amp;РД[Состояние],РД[Дата подачи на регистрацию],"-",0)</f>
        <v>45022</v>
      </c>
    </row>
    <row r="80" spans="1:111" x14ac:dyDescent="0.25">
      <c r="A80">
        <v>79</v>
      </c>
      <c r="B80" t="s">
        <v>6</v>
      </c>
      <c r="C80">
        <v>11</v>
      </c>
      <c r="D80">
        <v>7</v>
      </c>
      <c r="E80">
        <v>0</v>
      </c>
      <c r="F80">
        <v>8.2799999999999994</v>
      </c>
      <c r="I80">
        <v>8.2799999999999994</v>
      </c>
      <c r="J80">
        <v>5.3</v>
      </c>
      <c r="K80">
        <v>3.38</v>
      </c>
      <c r="N80">
        <v>3.17</v>
      </c>
      <c r="O80">
        <v>3.23</v>
      </c>
      <c r="Q80">
        <v>3.23</v>
      </c>
      <c r="R80">
        <v>23.36</v>
      </c>
      <c r="S80">
        <v>20.13</v>
      </c>
      <c r="T80">
        <v>21.75</v>
      </c>
      <c r="U80">
        <v>22.5</v>
      </c>
      <c r="V80">
        <v>75600</v>
      </c>
      <c r="W80">
        <v>3780</v>
      </c>
      <c r="X80">
        <v>79380</v>
      </c>
      <c r="Z80">
        <v>79380</v>
      </c>
      <c r="AB80">
        <v>79380</v>
      </c>
      <c r="AC80">
        <v>9.7637400000000003</v>
      </c>
      <c r="AD80">
        <v>79389.763739999995</v>
      </c>
      <c r="AE80">
        <v>3969.4881869999999</v>
      </c>
      <c r="AF80">
        <v>83359.25192699999</v>
      </c>
      <c r="AG80">
        <v>8335.9251926999987</v>
      </c>
      <c r="AH80">
        <v>91695.177119699991</v>
      </c>
      <c r="AJ80">
        <v>91695.177119699991</v>
      </c>
      <c r="AK80">
        <v>2750.8553135909997</v>
      </c>
      <c r="AL80">
        <v>94446.032433290995</v>
      </c>
      <c r="AM80">
        <v>3777.8412973316399</v>
      </c>
      <c r="AN80">
        <v>98223.873730622639</v>
      </c>
      <c r="AO80">
        <v>4911.1936865311318</v>
      </c>
      <c r="AP80">
        <v>103135.06741715375</v>
      </c>
      <c r="AQ80">
        <v>3094.0520225146129</v>
      </c>
      <c r="AR80">
        <v>106229.1194396684</v>
      </c>
      <c r="AS80">
        <v>5311.4559719834197</v>
      </c>
      <c r="AT80">
        <v>111540.57541165179</v>
      </c>
      <c r="AU80">
        <v>3346.2172623495539</v>
      </c>
      <c r="AV80">
        <v>114886.79267400136</v>
      </c>
      <c r="AW80">
        <v>6893.2075604400816</v>
      </c>
      <c r="AX80">
        <v>121780.00023444144</v>
      </c>
      <c r="AZ80">
        <v>121780.00023444144</v>
      </c>
      <c r="BA80">
        <v>3653.4000070332431</v>
      </c>
      <c r="BB80">
        <v>125433.40024147468</v>
      </c>
      <c r="BD80">
        <v>125433.40024147468</v>
      </c>
      <c r="BE80">
        <v>6271.6700120737351</v>
      </c>
      <c r="BF80">
        <v>131705.07025354842</v>
      </c>
      <c r="BH80">
        <v>131705.07025354842</v>
      </c>
      <c r="BI80">
        <v>6585.253512677421</v>
      </c>
      <c r="BJ80">
        <v>138290.32376622583</v>
      </c>
      <c r="BK80">
        <v>-7500</v>
      </c>
      <c r="BL80">
        <v>130790.32376622585</v>
      </c>
      <c r="BN80">
        <v>130790.32376622585</v>
      </c>
      <c r="BP80">
        <v>130790.32376622585</v>
      </c>
      <c r="BR80">
        <v>130790.32376622585</v>
      </c>
      <c r="BT80">
        <v>130790.32376622585</v>
      </c>
      <c r="BV80">
        <v>130790.32376622585</v>
      </c>
      <c r="BX80">
        <v>130790.32376622585</v>
      </c>
      <c r="BY80">
        <v>130790.32</v>
      </c>
      <c r="BZ80">
        <v>2844700</v>
      </c>
      <c r="CC80">
        <v>0</v>
      </c>
      <c r="CD80">
        <v>130790.80459770116</v>
      </c>
      <c r="CE80">
        <v>2844700</v>
      </c>
      <c r="CF80" t="s">
        <v>37</v>
      </c>
      <c r="CG80">
        <v>7500</v>
      </c>
      <c r="CH80">
        <v>138290.80459770115</v>
      </c>
      <c r="CI80">
        <v>163125</v>
      </c>
      <c r="CJ80">
        <v>3007825</v>
      </c>
      <c r="CK80" t="s">
        <v>57</v>
      </c>
      <c r="CN80">
        <v>0</v>
      </c>
      <c r="CO80" t="s">
        <v>39</v>
      </c>
      <c r="CP80" t="s">
        <v>39</v>
      </c>
      <c r="CQ80" t="b">
        <v>1</v>
      </c>
      <c r="CR80" t="s">
        <v>8950</v>
      </c>
      <c r="CS80" t="s">
        <v>1167</v>
      </c>
      <c r="CT80" t="s">
        <v>8960</v>
      </c>
      <c r="CU80" t="s">
        <v>8970</v>
      </c>
      <c r="CV80" t="s">
        <v>5948</v>
      </c>
      <c r="CW80" t="s">
        <v>6652</v>
      </c>
      <c r="CX80" t="s">
        <v>3246</v>
      </c>
      <c r="CY80">
        <v>0.75</v>
      </c>
      <c r="CZ80">
        <v>103718.10344827586</v>
      </c>
      <c r="DA80">
        <v>3007825</v>
      </c>
      <c r="DB80" t="s">
        <v>37</v>
      </c>
      <c r="DC80" t="b">
        <v>1</v>
      </c>
      <c r="DD80">
        <v>3007825</v>
      </c>
      <c r="DE80">
        <v>0</v>
      </c>
      <c r="DF80" t="b">
        <v>1</v>
      </c>
      <c r="DG80" s="420" cm="1">
        <f t="array" ref="DG80">_xlfn.XLOOKUP("Дом 4"&amp;Реестр_Д4[[#This Row],[№]]&amp;Реестр_Д4[[#This Row],[Статус]],РД[Дом]&amp;РД[№ кв]&amp;РД[Состояние],РД[Дата подачи на регистрацию],"-",0)</f>
        <v>45364</v>
      </c>
    </row>
    <row r="81" spans="1:111" x14ac:dyDescent="0.25">
      <c r="A81">
        <v>80</v>
      </c>
      <c r="B81" t="s">
        <v>6</v>
      </c>
      <c r="C81">
        <v>11</v>
      </c>
      <c r="D81">
        <v>8</v>
      </c>
      <c r="E81">
        <v>0</v>
      </c>
      <c r="F81">
        <v>8.2899999999999991</v>
      </c>
      <c r="I81">
        <v>8.2899999999999991</v>
      </c>
      <c r="J81">
        <v>5.3</v>
      </c>
      <c r="K81">
        <v>3.38</v>
      </c>
      <c r="N81">
        <v>3.17</v>
      </c>
      <c r="O81">
        <v>3.17</v>
      </c>
      <c r="Q81">
        <v>3.17</v>
      </c>
      <c r="R81">
        <v>23.31</v>
      </c>
      <c r="S81">
        <v>20.14</v>
      </c>
      <c r="T81">
        <v>21.73</v>
      </c>
      <c r="U81">
        <v>22.4</v>
      </c>
      <c r="V81">
        <v>75600</v>
      </c>
      <c r="W81">
        <v>3780</v>
      </c>
      <c r="X81">
        <v>79380</v>
      </c>
      <c r="Z81">
        <v>79380</v>
      </c>
      <c r="AB81">
        <v>79380</v>
      </c>
      <c r="AC81">
        <v>9.7637400000000003</v>
      </c>
      <c r="AD81">
        <v>79389.763739999995</v>
      </c>
      <c r="AE81">
        <v>3969.4881869999999</v>
      </c>
      <c r="AF81">
        <v>83359.25192699999</v>
      </c>
      <c r="AH81">
        <v>83359.25192699999</v>
      </c>
      <c r="AJ81">
        <v>83359.25192699999</v>
      </c>
      <c r="AL81">
        <v>83359.25192699999</v>
      </c>
      <c r="AN81">
        <v>83359.25192699999</v>
      </c>
      <c r="AP81">
        <v>83359.25192699999</v>
      </c>
      <c r="AR81">
        <v>83359.25192699999</v>
      </c>
      <c r="AT81">
        <v>83359.25192699999</v>
      </c>
      <c r="AV81">
        <v>83359.25192699999</v>
      </c>
      <c r="AX81">
        <v>83359.25192699999</v>
      </c>
      <c r="AZ81">
        <v>83359.25192699999</v>
      </c>
      <c r="BB81">
        <v>83359.25192699999</v>
      </c>
      <c r="BD81">
        <v>83359.25192699999</v>
      </c>
      <c r="BF81">
        <v>83359.25192699999</v>
      </c>
      <c r="BH81">
        <v>83359.25192699999</v>
      </c>
      <c r="BJ81">
        <v>83359.25192699999</v>
      </c>
      <c r="BL81">
        <v>83359.25192699999</v>
      </c>
      <c r="BN81">
        <v>83359.25192699999</v>
      </c>
      <c r="BP81">
        <v>83359.25192699999</v>
      </c>
      <c r="BR81">
        <v>83359.25192699999</v>
      </c>
      <c r="BT81">
        <v>83359.25192699999</v>
      </c>
      <c r="BV81">
        <v>83359.25192699999</v>
      </c>
      <c r="BX81">
        <v>83359.25192699999</v>
      </c>
      <c r="BY81">
        <v>83359.25</v>
      </c>
      <c r="BZ81">
        <v>1811396.5</v>
      </c>
      <c r="CC81">
        <v>0</v>
      </c>
      <c r="CD81">
        <v>83359.249884951685</v>
      </c>
      <c r="CE81">
        <v>1811396.5</v>
      </c>
      <c r="CF81" t="s">
        <v>37</v>
      </c>
      <c r="CG81">
        <v>4000</v>
      </c>
      <c r="CH81">
        <v>87359.249884951685</v>
      </c>
      <c r="CI81">
        <v>86920</v>
      </c>
      <c r="CJ81">
        <v>1898316.5</v>
      </c>
      <c r="CK81" t="s">
        <v>57</v>
      </c>
      <c r="CN81">
        <v>0</v>
      </c>
      <c r="CO81" t="s">
        <v>39</v>
      </c>
      <c r="CP81" t="s">
        <v>39</v>
      </c>
      <c r="CQ81" t="b">
        <v>1</v>
      </c>
      <c r="CR81" t="s">
        <v>8950</v>
      </c>
      <c r="CS81" t="s">
        <v>1167</v>
      </c>
      <c r="CT81" t="s">
        <v>8960</v>
      </c>
      <c r="CU81" t="s">
        <v>8970</v>
      </c>
      <c r="CV81" t="s">
        <v>5949</v>
      </c>
      <c r="CW81" t="s">
        <v>4895</v>
      </c>
      <c r="CX81" t="s">
        <v>3246</v>
      </c>
      <c r="CY81">
        <v>0.67000000000000171</v>
      </c>
      <c r="CZ81">
        <v>58530.697422917779</v>
      </c>
      <c r="DA81">
        <v>1898316.5</v>
      </c>
      <c r="DB81" t="s">
        <v>37</v>
      </c>
      <c r="DC81" t="b">
        <v>1</v>
      </c>
      <c r="DD81">
        <v>1898316.5</v>
      </c>
      <c r="DE81">
        <v>0</v>
      </c>
      <c r="DF81" t="b">
        <v>1</v>
      </c>
      <c r="DG81" s="420" cm="1">
        <f t="array" ref="DG81">_xlfn.XLOOKUP("Дом 4"&amp;Реестр_Д4[[#This Row],[№]]&amp;Реестр_Д4[[#This Row],[Статус]],РД[Дом]&amp;РД[№ кв]&amp;РД[Состояние],РД[Дата подачи на регистрацию],"-",0)</f>
        <v>44949</v>
      </c>
    </row>
    <row r="82" spans="1:111" x14ac:dyDescent="0.25">
      <c r="A82">
        <v>81</v>
      </c>
      <c r="B82" t="s">
        <v>6</v>
      </c>
      <c r="C82">
        <v>12</v>
      </c>
      <c r="D82">
        <v>1</v>
      </c>
      <c r="E82">
        <v>1</v>
      </c>
      <c r="F82">
        <v>13.93</v>
      </c>
      <c r="I82">
        <v>13.93</v>
      </c>
      <c r="J82">
        <v>9.18</v>
      </c>
      <c r="K82">
        <v>3.65</v>
      </c>
      <c r="N82">
        <v>5.52</v>
      </c>
      <c r="O82">
        <v>2.4900000000000002</v>
      </c>
      <c r="Q82">
        <v>2.4900000000000002</v>
      </c>
      <c r="R82">
        <v>34.770000000000003</v>
      </c>
      <c r="S82">
        <v>32.28</v>
      </c>
      <c r="T82">
        <v>33.53</v>
      </c>
      <c r="U82">
        <v>34.4</v>
      </c>
      <c r="V82">
        <v>70700</v>
      </c>
      <c r="W82">
        <v>3535</v>
      </c>
      <c r="X82">
        <v>74235</v>
      </c>
      <c r="Y82">
        <v>2969.4</v>
      </c>
      <c r="Z82">
        <v>77204.399999999994</v>
      </c>
      <c r="AA82">
        <v>3860.22</v>
      </c>
      <c r="AB82">
        <v>81064.62</v>
      </c>
      <c r="AC82">
        <v>9.9709482600000001</v>
      </c>
      <c r="AD82">
        <v>81074.590948259996</v>
      </c>
      <c r="AE82">
        <v>4053.7295474130001</v>
      </c>
      <c r="AF82">
        <v>85128.32049567299</v>
      </c>
      <c r="AH82">
        <v>85128.32049567299</v>
      </c>
      <c r="AI82">
        <v>2553.8496148701897</v>
      </c>
      <c r="AJ82">
        <v>87682.170110543186</v>
      </c>
      <c r="AK82">
        <v>2630.4651033162954</v>
      </c>
      <c r="AL82">
        <v>90312.635213859481</v>
      </c>
      <c r="AM82">
        <v>3612.5054085543793</v>
      </c>
      <c r="AN82">
        <v>93925.140622413863</v>
      </c>
      <c r="AO82">
        <v>1878.5028124482776</v>
      </c>
      <c r="AP82">
        <v>95803.643434862141</v>
      </c>
      <c r="AQ82">
        <v>2874.1093030458642</v>
      </c>
      <c r="AR82">
        <v>98677.752737907998</v>
      </c>
      <c r="AS82">
        <v>4933.8876368954006</v>
      </c>
      <c r="AT82">
        <v>103611.64037480341</v>
      </c>
      <c r="AU82">
        <v>3108.3492112441018</v>
      </c>
      <c r="AV82">
        <v>106719.98958604748</v>
      </c>
      <c r="AX82">
        <v>106719.98958604748</v>
      </c>
      <c r="AZ82">
        <v>106719.98958604748</v>
      </c>
      <c r="BB82">
        <v>106719.98958604748</v>
      </c>
      <c r="BD82">
        <v>106719.98958604748</v>
      </c>
      <c r="BF82">
        <v>106719.98958604748</v>
      </c>
      <c r="BH82">
        <v>106719.98958604748</v>
      </c>
      <c r="BJ82">
        <v>106719.98958604748</v>
      </c>
      <c r="BL82">
        <v>106719.98958604748</v>
      </c>
      <c r="BN82">
        <v>106719.98958604748</v>
      </c>
      <c r="BP82">
        <v>106719.98958604748</v>
      </c>
      <c r="BR82">
        <v>106719.98958604748</v>
      </c>
      <c r="BT82">
        <v>106719.98958604748</v>
      </c>
      <c r="BV82">
        <v>106719.98958604748</v>
      </c>
      <c r="BX82">
        <v>106719.98958604748</v>
      </c>
      <c r="BY82">
        <v>106719.99</v>
      </c>
      <c r="BZ82">
        <v>3578321.26</v>
      </c>
      <c r="CC82">
        <v>0</v>
      </c>
      <c r="CD82">
        <v>106719.98985982699</v>
      </c>
      <c r="CE82">
        <v>3578321.26</v>
      </c>
      <c r="CF82" t="s">
        <v>38</v>
      </c>
      <c r="CG82">
        <v>15500</v>
      </c>
      <c r="CH82">
        <v>122219.98985982699</v>
      </c>
      <c r="CI82">
        <v>519715</v>
      </c>
      <c r="CJ82">
        <v>4098036.26</v>
      </c>
      <c r="CK82" t="s">
        <v>57</v>
      </c>
      <c r="CN82">
        <v>0</v>
      </c>
      <c r="CO82" t="s">
        <v>39</v>
      </c>
      <c r="CP82" t="s">
        <v>39</v>
      </c>
      <c r="CQ82" t="b">
        <v>1</v>
      </c>
      <c r="CR82" t="s">
        <v>8950</v>
      </c>
      <c r="CS82" t="s">
        <v>1167</v>
      </c>
      <c r="CT82" t="s">
        <v>8960</v>
      </c>
      <c r="CU82" t="s">
        <v>8973</v>
      </c>
      <c r="CV82" t="s">
        <v>5950</v>
      </c>
      <c r="CW82" t="s">
        <v>4895</v>
      </c>
      <c r="CX82" t="s">
        <v>3246</v>
      </c>
      <c r="CY82">
        <v>0.86999999999999744</v>
      </c>
      <c r="CZ82">
        <v>106331.39117804921</v>
      </c>
      <c r="DA82">
        <v>4098036.26</v>
      </c>
      <c r="DB82" t="s">
        <v>38</v>
      </c>
      <c r="DC82" t="b">
        <v>1</v>
      </c>
      <c r="DD82">
        <v>4098036.26</v>
      </c>
      <c r="DE82">
        <v>0</v>
      </c>
      <c r="DF82" t="b">
        <v>1</v>
      </c>
      <c r="DG82" s="420" cm="1">
        <f t="array" ref="DG82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83" spans="1:111" x14ac:dyDescent="0.25">
      <c r="A83">
        <v>82</v>
      </c>
      <c r="B83" t="s">
        <v>6</v>
      </c>
      <c r="C83">
        <v>12</v>
      </c>
      <c r="D83">
        <v>2</v>
      </c>
      <c r="E83">
        <v>2</v>
      </c>
      <c r="F83">
        <v>16.55</v>
      </c>
      <c r="G83">
        <v>14.04</v>
      </c>
      <c r="I83">
        <v>30.59</v>
      </c>
      <c r="J83">
        <v>13.35</v>
      </c>
      <c r="K83">
        <v>3.69</v>
      </c>
      <c r="L83">
        <v>1.92</v>
      </c>
      <c r="N83">
        <v>9.48</v>
      </c>
      <c r="O83">
        <v>2.91</v>
      </c>
      <c r="P83">
        <v>2.5499999999999998</v>
      </c>
      <c r="Q83">
        <v>5.46</v>
      </c>
      <c r="R83">
        <v>64.489999999999995</v>
      </c>
      <c r="S83">
        <v>59.029999999999994</v>
      </c>
      <c r="T83">
        <v>61.76</v>
      </c>
      <c r="U83">
        <v>63.3</v>
      </c>
      <c r="V83">
        <v>68639.199999999997</v>
      </c>
      <c r="W83">
        <v>3431.96</v>
      </c>
      <c r="X83">
        <v>72071.16</v>
      </c>
      <c r="Z83">
        <v>72071.16</v>
      </c>
      <c r="AA83">
        <v>3603.558</v>
      </c>
      <c r="AB83">
        <v>75674.717999999993</v>
      </c>
      <c r="AC83">
        <v>9.3079903140000013</v>
      </c>
      <c r="AD83">
        <v>75684.02599031401</v>
      </c>
      <c r="AF83">
        <v>75684.02599031401</v>
      </c>
      <c r="AH83">
        <v>75684.02599031401</v>
      </c>
      <c r="AI83">
        <v>1513.6805198062802</v>
      </c>
      <c r="AJ83">
        <v>77197.70651012029</v>
      </c>
      <c r="AK83">
        <v>2315.9311953036085</v>
      </c>
      <c r="AL83">
        <v>79513.637705423898</v>
      </c>
      <c r="AM83">
        <v>3180.545508216956</v>
      </c>
      <c r="AN83">
        <v>82694.183213640848</v>
      </c>
      <c r="AO83">
        <v>2480.8254964092253</v>
      </c>
      <c r="AP83">
        <v>85175.008710050068</v>
      </c>
      <c r="AQ83">
        <v>2555.2502613015017</v>
      </c>
      <c r="AR83">
        <v>87730.258971351563</v>
      </c>
      <c r="AT83">
        <v>87730.258971351563</v>
      </c>
      <c r="AU83">
        <v>2631.9077691405469</v>
      </c>
      <c r="AV83">
        <v>90362.166740492103</v>
      </c>
      <c r="AX83">
        <v>90362.166740492103</v>
      </c>
      <c r="AZ83">
        <v>90362.166740492103</v>
      </c>
      <c r="BB83">
        <v>90362.166740492103</v>
      </c>
      <c r="BD83">
        <v>90362.166740492103</v>
      </c>
      <c r="BF83">
        <v>90362.166740492103</v>
      </c>
      <c r="BG83">
        <v>1000</v>
      </c>
      <c r="BH83">
        <v>91362.166740492103</v>
      </c>
      <c r="BI83">
        <v>4568.1083370246051</v>
      </c>
      <c r="BJ83">
        <v>95930.275077516708</v>
      </c>
      <c r="BK83">
        <v>1000</v>
      </c>
      <c r="BL83">
        <v>96930.275077516708</v>
      </c>
      <c r="BN83">
        <v>96930.275077516708</v>
      </c>
      <c r="BP83">
        <v>96930.275077516708</v>
      </c>
      <c r="BR83">
        <v>96930.275077516708</v>
      </c>
      <c r="BT83">
        <v>96930.275077516708</v>
      </c>
      <c r="BV83">
        <v>96930.275077516708</v>
      </c>
      <c r="BX83">
        <v>96930.275077516708</v>
      </c>
      <c r="BY83">
        <v>96930.28</v>
      </c>
      <c r="BZ83">
        <v>5986500</v>
      </c>
      <c r="CA83">
        <v>88888</v>
      </c>
      <c r="CC83">
        <v>88888</v>
      </c>
      <c r="CD83">
        <v>95492.422279792765</v>
      </c>
      <c r="CE83">
        <v>5897612</v>
      </c>
      <c r="CF83" t="s">
        <v>38</v>
      </c>
      <c r="CG83">
        <v>22000</v>
      </c>
      <c r="CH83">
        <v>117492.42227979277</v>
      </c>
      <c r="CI83">
        <v>1358720</v>
      </c>
      <c r="CJ83">
        <v>7256332</v>
      </c>
      <c r="CK83" t="s">
        <v>57</v>
      </c>
      <c r="CL83" t="s">
        <v>4185</v>
      </c>
      <c r="CN83">
        <v>0</v>
      </c>
      <c r="CO83" t="s">
        <v>39</v>
      </c>
      <c r="CP83" t="s">
        <v>39</v>
      </c>
      <c r="CQ83" t="b">
        <v>1</v>
      </c>
      <c r="CR83" t="s">
        <v>8950</v>
      </c>
      <c r="CS83" t="s">
        <v>1167</v>
      </c>
      <c r="CT83" t="s">
        <v>8960</v>
      </c>
      <c r="CU83" t="s">
        <v>8974</v>
      </c>
      <c r="CV83" t="s">
        <v>5951</v>
      </c>
      <c r="CW83" t="s">
        <v>6652</v>
      </c>
      <c r="CX83" t="s">
        <v>3246</v>
      </c>
      <c r="CY83">
        <v>1.5399999999999991</v>
      </c>
      <c r="CZ83">
        <v>180938.33031088073</v>
      </c>
      <c r="DA83">
        <v>7256332</v>
      </c>
      <c r="DB83" t="s">
        <v>38</v>
      </c>
      <c r="DC83" t="b">
        <v>1</v>
      </c>
      <c r="DD83">
        <v>7256332</v>
      </c>
      <c r="DE83">
        <v>0</v>
      </c>
      <c r="DF83" t="b">
        <v>1</v>
      </c>
      <c r="DG83" s="420" cm="1">
        <f t="array" ref="DG83">_xlfn.XLOOKUP("Дом 4"&amp;Реестр_Д4[[#This Row],[№]]&amp;Реестр_Д4[[#This Row],[Статус]],РД[Дом]&amp;РД[№ кв]&amp;РД[Состояние],РД[Дата подачи на регистрацию],"-",0)</f>
        <v>45364</v>
      </c>
    </row>
    <row r="84" spans="1:111" x14ac:dyDescent="0.25">
      <c r="A84">
        <v>83</v>
      </c>
      <c r="B84" t="s">
        <v>6</v>
      </c>
      <c r="C84">
        <v>12</v>
      </c>
      <c r="D84">
        <v>3</v>
      </c>
      <c r="E84">
        <v>1</v>
      </c>
      <c r="F84">
        <v>12.25</v>
      </c>
      <c r="I84">
        <v>12.25</v>
      </c>
      <c r="J84">
        <v>11.65</v>
      </c>
      <c r="K84">
        <v>3.67</v>
      </c>
      <c r="N84">
        <v>6.55</v>
      </c>
      <c r="O84">
        <v>2.83</v>
      </c>
      <c r="Q84">
        <v>2.83</v>
      </c>
      <c r="R84">
        <v>36.950000000000003</v>
      </c>
      <c r="S84">
        <v>34.120000000000005</v>
      </c>
      <c r="T84">
        <v>35.54</v>
      </c>
      <c r="U84">
        <v>36.799999999999997</v>
      </c>
      <c r="V84">
        <v>71400</v>
      </c>
      <c r="W84">
        <v>3570</v>
      </c>
      <c r="X84">
        <v>74970</v>
      </c>
      <c r="Y84">
        <v>2998.8</v>
      </c>
      <c r="Z84">
        <v>77968.800000000003</v>
      </c>
      <c r="AA84">
        <v>3898.440000000001</v>
      </c>
      <c r="AB84">
        <v>81867.240000000005</v>
      </c>
      <c r="AC84">
        <v>10.069670520000001</v>
      </c>
      <c r="AD84">
        <v>81877.309670520001</v>
      </c>
      <c r="AE84">
        <v>4093.8654835259999</v>
      </c>
      <c r="AF84">
        <v>85971.175154045995</v>
      </c>
      <c r="AH84">
        <v>85971.175154045995</v>
      </c>
      <c r="AJ84">
        <v>85971.175154045995</v>
      </c>
      <c r="AL84">
        <v>85971.175154045995</v>
      </c>
      <c r="AN84">
        <v>85971.175154045995</v>
      </c>
      <c r="AP84">
        <v>85971.175154045995</v>
      </c>
      <c r="AR84">
        <v>85971.175154045995</v>
      </c>
      <c r="AT84">
        <v>85971.175154045995</v>
      </c>
      <c r="AV84">
        <v>85971.175154045995</v>
      </c>
      <c r="AX84">
        <v>85971.175154045995</v>
      </c>
      <c r="AZ84">
        <v>85971.175154045995</v>
      </c>
      <c r="BB84">
        <v>85971.175154045995</v>
      </c>
      <c r="BD84">
        <v>85971.175154045995</v>
      </c>
      <c r="BF84">
        <v>85971.175154045995</v>
      </c>
      <c r="BH84">
        <v>85971.175154045995</v>
      </c>
      <c r="BJ84">
        <v>85971.175154045995</v>
      </c>
      <c r="BL84">
        <v>85971.175154045995</v>
      </c>
      <c r="BN84">
        <v>85971.175154045995</v>
      </c>
      <c r="BP84">
        <v>85971.175154045995</v>
      </c>
      <c r="BR84">
        <v>85971.175154045995</v>
      </c>
      <c r="BT84">
        <v>85971.175154045995</v>
      </c>
      <c r="BV84">
        <v>85971.175154045995</v>
      </c>
      <c r="BX84">
        <v>85971.175154045995</v>
      </c>
      <c r="BY84">
        <v>85971.18</v>
      </c>
      <c r="BZ84">
        <v>3055415.74</v>
      </c>
      <c r="CC84">
        <v>0</v>
      </c>
      <c r="CD84">
        <v>85971.18007878447</v>
      </c>
      <c r="CE84">
        <v>3055415.74</v>
      </c>
      <c r="CF84" t="s">
        <v>38</v>
      </c>
      <c r="CG84">
        <v>15000</v>
      </c>
      <c r="CH84">
        <v>100971.18007878448</v>
      </c>
      <c r="CI84">
        <v>533100</v>
      </c>
      <c r="CJ84">
        <v>3588515.74</v>
      </c>
      <c r="CN84">
        <v>0</v>
      </c>
      <c r="CO84" t="s">
        <v>39</v>
      </c>
      <c r="CP84" t="s">
        <v>39</v>
      </c>
      <c r="CQ84" t="b">
        <v>1</v>
      </c>
      <c r="CR84" t="s">
        <v>8950</v>
      </c>
      <c r="CS84" t="s">
        <v>1167</v>
      </c>
      <c r="CT84" t="s">
        <v>8960</v>
      </c>
      <c r="CU84" t="s">
        <v>8973</v>
      </c>
      <c r="CV84" t="s">
        <v>5952</v>
      </c>
      <c r="CW84" t="s">
        <v>4895</v>
      </c>
      <c r="CX84" t="s">
        <v>3246</v>
      </c>
      <c r="CY84">
        <v>1.259999999999998</v>
      </c>
      <c r="CZ84">
        <v>127223.68689926824</v>
      </c>
      <c r="DA84">
        <v>3588515.74</v>
      </c>
      <c r="DB84" t="s">
        <v>38</v>
      </c>
      <c r="DC84" t="b">
        <v>1</v>
      </c>
      <c r="DD84">
        <v>3588515.74</v>
      </c>
      <c r="DE84">
        <v>0</v>
      </c>
      <c r="DF84" t="b">
        <v>1</v>
      </c>
      <c r="DG84" s="420" cm="1">
        <f t="array" ref="DG84">_xlfn.XLOOKUP("Дом 4"&amp;Реестр_Д4[[#This Row],[№]]&amp;Реестр_Д4[[#This Row],[Статус]],РД[Дом]&amp;РД[№ кв]&amp;РД[Состояние],РД[Дата подачи на регистрацию],"-",0)</f>
        <v>44921</v>
      </c>
    </row>
    <row r="85" spans="1:111" x14ac:dyDescent="0.25">
      <c r="A85">
        <v>84</v>
      </c>
      <c r="B85" t="s">
        <v>6</v>
      </c>
      <c r="C85">
        <v>12</v>
      </c>
      <c r="D85">
        <v>4</v>
      </c>
      <c r="E85">
        <v>2</v>
      </c>
      <c r="F85">
        <v>14.61</v>
      </c>
      <c r="G85">
        <v>11.01</v>
      </c>
      <c r="I85">
        <v>25.62</v>
      </c>
      <c r="J85">
        <v>14.77</v>
      </c>
      <c r="K85">
        <v>2.85</v>
      </c>
      <c r="L85">
        <v>2.4900000000000002</v>
      </c>
      <c r="N85">
        <v>8.7899999999999991</v>
      </c>
      <c r="O85">
        <v>3.01</v>
      </c>
      <c r="Q85">
        <v>3.01</v>
      </c>
      <c r="R85">
        <v>57.53</v>
      </c>
      <c r="S85">
        <v>54.52</v>
      </c>
      <c r="T85">
        <v>56.03</v>
      </c>
      <c r="U85">
        <v>57.600000000000009</v>
      </c>
      <c r="V85">
        <v>67972.800000000003</v>
      </c>
      <c r="W85">
        <v>3398.6400000000003</v>
      </c>
      <c r="X85">
        <v>71371.44</v>
      </c>
      <c r="Z85">
        <v>71371.44</v>
      </c>
      <c r="AA85">
        <v>3568.5720000000001</v>
      </c>
      <c r="AB85">
        <v>74940.012000000002</v>
      </c>
      <c r="AC85">
        <v>9.2176214760000015</v>
      </c>
      <c r="AD85">
        <v>74949.229621475999</v>
      </c>
      <c r="AF85">
        <v>74949.229621475999</v>
      </c>
      <c r="AH85">
        <v>74949.229621475999</v>
      </c>
      <c r="AI85">
        <v>1498.98459242952</v>
      </c>
      <c r="AJ85">
        <v>76448.214213905521</v>
      </c>
      <c r="AK85">
        <v>764.48214213905521</v>
      </c>
      <c r="AL85">
        <v>77212.696356044573</v>
      </c>
      <c r="AM85">
        <v>1544.2539271208916</v>
      </c>
      <c r="AN85">
        <v>78756.950283165468</v>
      </c>
      <c r="AO85">
        <v>2362.708508494964</v>
      </c>
      <c r="AP85">
        <v>81119.658791660433</v>
      </c>
      <c r="AQ85">
        <v>2433.5897637498128</v>
      </c>
      <c r="AR85">
        <v>83553.248555410246</v>
      </c>
      <c r="AS85">
        <v>4177.6624277705123</v>
      </c>
      <c r="AT85">
        <v>87730.910983180758</v>
      </c>
      <c r="AU85">
        <v>2631.9273294954228</v>
      </c>
      <c r="AV85">
        <v>90362.838312676176</v>
      </c>
      <c r="AX85">
        <v>90362.838312676176</v>
      </c>
      <c r="AZ85">
        <v>90362.838312676176</v>
      </c>
      <c r="BB85">
        <v>90362.838312676176</v>
      </c>
      <c r="BD85">
        <v>90362.838312676176</v>
      </c>
      <c r="BF85">
        <v>90362.838312676176</v>
      </c>
      <c r="BH85">
        <v>90362.838312676176</v>
      </c>
      <c r="BJ85">
        <v>90362.838312676176</v>
      </c>
      <c r="BL85">
        <v>90362.838312676176</v>
      </c>
      <c r="BN85">
        <v>90362.838312676176</v>
      </c>
      <c r="BP85">
        <v>90362.838312676176</v>
      </c>
      <c r="BR85">
        <v>90362.838312676176</v>
      </c>
      <c r="BT85">
        <v>90362.838312676176</v>
      </c>
      <c r="BV85">
        <v>90362.838312676176</v>
      </c>
      <c r="BX85">
        <v>90362.838312676176</v>
      </c>
      <c r="BY85">
        <v>90362.84</v>
      </c>
      <c r="BZ85">
        <v>5063029.93</v>
      </c>
      <c r="CB85">
        <v>0.02</v>
      </c>
      <c r="CC85">
        <v>101260.5986</v>
      </c>
      <c r="CD85">
        <v>88555.583258968414</v>
      </c>
      <c r="CE85">
        <v>4961769.33</v>
      </c>
      <c r="CF85" t="s">
        <v>38</v>
      </c>
      <c r="CG85">
        <v>22000</v>
      </c>
      <c r="CH85">
        <v>110555.5832589684</v>
      </c>
      <c r="CI85">
        <v>1232660</v>
      </c>
      <c r="CJ85">
        <v>6194429.3300000001</v>
      </c>
      <c r="CL85" t="s">
        <v>3540</v>
      </c>
      <c r="CN85">
        <v>0</v>
      </c>
      <c r="CO85" t="s">
        <v>39</v>
      </c>
      <c r="CP85" t="s">
        <v>39</v>
      </c>
      <c r="CQ85" t="b">
        <v>1</v>
      </c>
      <c r="CR85" t="s">
        <v>8950</v>
      </c>
      <c r="CS85" t="s">
        <v>1167</v>
      </c>
      <c r="CT85" t="s">
        <v>8960</v>
      </c>
      <c r="CU85" t="s">
        <v>8971</v>
      </c>
      <c r="CV85" t="s">
        <v>5953</v>
      </c>
      <c r="CW85" t="s">
        <v>4895</v>
      </c>
      <c r="CX85" t="s">
        <v>3246</v>
      </c>
      <c r="CY85">
        <v>1.5700000000000074</v>
      </c>
      <c r="CZ85">
        <v>173572.26571658123</v>
      </c>
      <c r="DA85">
        <v>6194429.3300000001</v>
      </c>
      <c r="DB85" t="s">
        <v>38</v>
      </c>
      <c r="DC85" t="b">
        <v>1</v>
      </c>
      <c r="DD85">
        <v>6194429.3300000001</v>
      </c>
      <c r="DE85">
        <v>0</v>
      </c>
      <c r="DF85" t="b">
        <v>1</v>
      </c>
      <c r="DG85" s="420" cm="1">
        <f t="array" ref="DG85">_xlfn.XLOOKUP("Дом 4"&amp;Реестр_Д4[[#This Row],[№]]&amp;Реестр_Д4[[#This Row],[Статус]],РД[Дом]&amp;РД[№ кв]&amp;РД[Состояние],РД[Дата подачи на регистрацию],"-",0)</f>
        <v>45246</v>
      </c>
    </row>
    <row r="86" spans="1:111" x14ac:dyDescent="0.25">
      <c r="A86">
        <v>85</v>
      </c>
      <c r="B86" t="s">
        <v>6</v>
      </c>
      <c r="C86">
        <v>12</v>
      </c>
      <c r="D86">
        <v>5</v>
      </c>
      <c r="E86">
        <v>2</v>
      </c>
      <c r="F86">
        <v>14.86</v>
      </c>
      <c r="G86">
        <v>9.69</v>
      </c>
      <c r="I86">
        <v>24.55</v>
      </c>
      <c r="J86">
        <v>14.88</v>
      </c>
      <c r="K86">
        <v>2.83</v>
      </c>
      <c r="L86">
        <v>1.82</v>
      </c>
      <c r="N86">
        <v>9.26</v>
      </c>
      <c r="O86">
        <v>2.63</v>
      </c>
      <c r="Q86">
        <v>2.63</v>
      </c>
      <c r="R86">
        <v>55.97</v>
      </c>
      <c r="S86">
        <v>53.34</v>
      </c>
      <c r="T86">
        <v>54.66</v>
      </c>
      <c r="U86">
        <v>56.3</v>
      </c>
      <c r="V86">
        <v>67972.800000000003</v>
      </c>
      <c r="W86">
        <v>3398.6400000000003</v>
      </c>
      <c r="X86">
        <v>71371.44</v>
      </c>
      <c r="Z86">
        <v>71371.44</v>
      </c>
      <c r="AA86">
        <v>3568.5720000000001</v>
      </c>
      <c r="AB86">
        <v>74940.012000000002</v>
      </c>
      <c r="AC86">
        <v>9.2176214760000015</v>
      </c>
      <c r="AD86">
        <v>74949.229621475999</v>
      </c>
      <c r="AF86">
        <v>74949.229621475999</v>
      </c>
      <c r="AH86">
        <v>74949.229621475999</v>
      </c>
      <c r="AJ86">
        <v>74949.229621475999</v>
      </c>
      <c r="AL86">
        <v>74949.229621475999</v>
      </c>
      <c r="AN86">
        <v>74949.229621475999</v>
      </c>
      <c r="AP86">
        <v>74949.229621475999</v>
      </c>
      <c r="AR86">
        <v>74949.229621475999</v>
      </c>
      <c r="AT86">
        <v>74949.229621475999</v>
      </c>
      <c r="AV86">
        <v>74949.229621475999</v>
      </c>
      <c r="AX86">
        <v>74949.229621475999</v>
      </c>
      <c r="AZ86">
        <v>74949.229621475999</v>
      </c>
      <c r="BB86">
        <v>74949.229621475999</v>
      </c>
      <c r="BD86">
        <v>74949.229621475999</v>
      </c>
      <c r="BF86">
        <v>74949.229621475999</v>
      </c>
      <c r="BH86">
        <v>74949.229621475999</v>
      </c>
      <c r="BJ86">
        <v>74949.229621475999</v>
      </c>
      <c r="BL86">
        <v>74949.229621475999</v>
      </c>
      <c r="BN86">
        <v>74949.229621475999</v>
      </c>
      <c r="BP86">
        <v>74949.229621475999</v>
      </c>
      <c r="BR86">
        <v>74949.229621475999</v>
      </c>
      <c r="BT86">
        <v>74949.229621475999</v>
      </c>
      <c r="BV86">
        <v>74949.229621475999</v>
      </c>
      <c r="BX86">
        <v>74949.229621475999</v>
      </c>
      <c r="BY86">
        <v>74949.23</v>
      </c>
      <c r="BZ86">
        <v>4096724.91</v>
      </c>
      <c r="CA86">
        <v>150000</v>
      </c>
      <c r="CC86">
        <v>150000</v>
      </c>
      <c r="CD86">
        <v>72204.992864983535</v>
      </c>
      <c r="CE86">
        <v>3946724.91</v>
      </c>
      <c r="CF86" t="s">
        <v>37</v>
      </c>
      <c r="CG86">
        <v>4000</v>
      </c>
      <c r="CH86">
        <v>76204.992864983535</v>
      </c>
      <c r="CI86">
        <v>218640</v>
      </c>
      <c r="CJ86">
        <v>4165364.91</v>
      </c>
      <c r="CL86" t="s">
        <v>321</v>
      </c>
      <c r="CN86">
        <v>0</v>
      </c>
      <c r="CO86" t="s">
        <v>39</v>
      </c>
      <c r="CP86" t="s">
        <v>39</v>
      </c>
      <c r="CQ86" t="b">
        <v>1</v>
      </c>
      <c r="CR86" t="s">
        <v>8950</v>
      </c>
      <c r="CS86" t="s">
        <v>1167</v>
      </c>
      <c r="CT86" t="s">
        <v>8960</v>
      </c>
      <c r="CU86" t="s">
        <v>8971</v>
      </c>
      <c r="CV86" t="s">
        <v>5954</v>
      </c>
      <c r="CW86" t="s">
        <v>4895</v>
      </c>
      <c r="CX86" t="s">
        <v>3246</v>
      </c>
      <c r="CY86">
        <v>1.6400000000000006</v>
      </c>
      <c r="CZ86">
        <v>124976.18829857303</v>
      </c>
      <c r="DA86">
        <v>4165364.91</v>
      </c>
      <c r="DB86" t="s">
        <v>37</v>
      </c>
      <c r="DC86" t="b">
        <v>1</v>
      </c>
      <c r="DD86">
        <v>4165364.91</v>
      </c>
      <c r="DE86">
        <v>0</v>
      </c>
      <c r="DF86" t="b">
        <v>1</v>
      </c>
      <c r="DG86" s="420" cm="1">
        <f t="array" ref="DG86">_xlfn.XLOOKUP("Дом 4"&amp;Реестр_Д4[[#This Row],[№]]&amp;Реестр_Д4[[#This Row],[Статус]],РД[Дом]&amp;РД[№ кв]&amp;РД[Состояние],РД[Дата подачи на регистрацию],"-",0)</f>
        <v>44979</v>
      </c>
    </row>
    <row r="87" spans="1:111" x14ac:dyDescent="0.25">
      <c r="A87">
        <v>86</v>
      </c>
      <c r="B87" t="s">
        <v>6</v>
      </c>
      <c r="C87">
        <v>12</v>
      </c>
      <c r="D87">
        <v>6</v>
      </c>
      <c r="E87">
        <v>2</v>
      </c>
      <c r="F87">
        <v>13.33</v>
      </c>
      <c r="G87">
        <v>13.23</v>
      </c>
      <c r="I87">
        <v>26.56</v>
      </c>
      <c r="J87">
        <v>16.25</v>
      </c>
      <c r="K87">
        <v>3.18</v>
      </c>
      <c r="L87">
        <v>2.14</v>
      </c>
      <c r="M87">
        <v>5.14</v>
      </c>
      <c r="N87">
        <v>5.19</v>
      </c>
      <c r="O87">
        <v>2.81</v>
      </c>
      <c r="Q87">
        <v>2.81</v>
      </c>
      <c r="R87">
        <v>61.27</v>
      </c>
      <c r="S87">
        <v>58.46</v>
      </c>
      <c r="T87">
        <v>59.87</v>
      </c>
      <c r="U87">
        <v>61.29999999999999</v>
      </c>
      <c r="V87">
        <v>73304</v>
      </c>
      <c r="W87">
        <v>3665.2</v>
      </c>
      <c r="X87">
        <v>76969.2</v>
      </c>
      <c r="Z87">
        <v>76969.2</v>
      </c>
      <c r="AA87">
        <v>3848.46</v>
      </c>
      <c r="AB87">
        <v>80817.66</v>
      </c>
      <c r="AC87">
        <v>9.940572180000002</v>
      </c>
      <c r="AD87">
        <v>80827.600572180003</v>
      </c>
      <c r="AF87">
        <v>80827.600572180003</v>
      </c>
      <c r="AH87">
        <v>80827.600572180003</v>
      </c>
      <c r="AI87">
        <v>1616.5520114435999</v>
      </c>
      <c r="AJ87">
        <v>82444.152583623596</v>
      </c>
      <c r="AK87">
        <v>2473.324577508708</v>
      </c>
      <c r="AL87">
        <v>84917.477161132309</v>
      </c>
      <c r="AM87">
        <v>3396.6990864452923</v>
      </c>
      <c r="AN87">
        <v>88314.176247577605</v>
      </c>
      <c r="AP87">
        <v>88314.176247577605</v>
      </c>
      <c r="AQ87">
        <v>2649.4252874273279</v>
      </c>
      <c r="AR87">
        <v>90963.601535004927</v>
      </c>
      <c r="AT87">
        <v>90963.601535004927</v>
      </c>
      <c r="AU87">
        <v>2728.9080460501477</v>
      </c>
      <c r="AV87">
        <v>93692.509581055085</v>
      </c>
      <c r="AX87">
        <v>93692.509581055085</v>
      </c>
      <c r="AZ87">
        <v>93692.509581055085</v>
      </c>
      <c r="BB87">
        <v>93692.509581055085</v>
      </c>
      <c r="BD87">
        <v>93692.509581055085</v>
      </c>
      <c r="BF87">
        <v>93692.509581055085</v>
      </c>
      <c r="BH87">
        <v>93692.509581055085</v>
      </c>
      <c r="BJ87">
        <v>93692.509581055085</v>
      </c>
      <c r="BL87">
        <v>93692.509581055085</v>
      </c>
      <c r="BN87">
        <v>93692.509581055085</v>
      </c>
      <c r="BP87">
        <v>93692.509581055085</v>
      </c>
      <c r="BR87">
        <v>93692.509581055085</v>
      </c>
      <c r="BT87">
        <v>93692.509581055085</v>
      </c>
      <c r="BV87">
        <v>93692.509581055085</v>
      </c>
      <c r="BX87">
        <v>93692.509581055085</v>
      </c>
      <c r="BY87">
        <v>93692.51</v>
      </c>
      <c r="BZ87">
        <v>5609370.5700000003</v>
      </c>
      <c r="CC87">
        <v>0</v>
      </c>
      <c r="CD87">
        <v>93692.509938199437</v>
      </c>
      <c r="CE87">
        <v>5609370.5700000003</v>
      </c>
      <c r="CF87" t="s">
        <v>37</v>
      </c>
      <c r="CG87">
        <v>7500</v>
      </c>
      <c r="CH87">
        <v>101192.50993819944</v>
      </c>
      <c r="CI87">
        <v>449025</v>
      </c>
      <c r="CJ87">
        <v>6058395.5700000003</v>
      </c>
      <c r="CK87" t="s">
        <v>57</v>
      </c>
      <c r="CN87">
        <v>0</v>
      </c>
      <c r="CO87" t="s">
        <v>39</v>
      </c>
      <c r="CP87" t="s">
        <v>39</v>
      </c>
      <c r="CQ87" t="b">
        <v>1</v>
      </c>
      <c r="CR87" t="s">
        <v>8950</v>
      </c>
      <c r="CS87" t="s">
        <v>1167</v>
      </c>
      <c r="CT87" t="s">
        <v>8960</v>
      </c>
      <c r="CU87" t="s">
        <v>8971</v>
      </c>
      <c r="CV87" t="s">
        <v>5955</v>
      </c>
      <c r="CW87" t="s">
        <v>4895</v>
      </c>
      <c r="CX87" t="s">
        <v>3246</v>
      </c>
      <c r="CY87">
        <v>1.4299999999999926</v>
      </c>
      <c r="CZ87">
        <v>144705.28921162445</v>
      </c>
      <c r="DA87">
        <v>6058395.5700000003</v>
      </c>
      <c r="DB87" t="s">
        <v>37</v>
      </c>
      <c r="DC87" t="b">
        <v>1</v>
      </c>
      <c r="DD87">
        <v>6058395.5700000003</v>
      </c>
      <c r="DE87">
        <v>0</v>
      </c>
      <c r="DF87" t="b">
        <v>1</v>
      </c>
      <c r="DG87" s="420" cm="1">
        <f t="array" ref="DG87">_xlfn.XLOOKUP("Дом 4"&amp;Реестр_Д4[[#This Row],[№]]&amp;Реестр_Д4[[#This Row],[Статус]],РД[Дом]&amp;РД[№ кв]&amp;РД[Состояние],РД[Дата подачи на регистрацию],"-",0)</f>
        <v>45190</v>
      </c>
    </row>
    <row r="88" spans="1:111" x14ac:dyDescent="0.25">
      <c r="A88">
        <v>87</v>
      </c>
      <c r="B88" t="s">
        <v>6</v>
      </c>
      <c r="C88">
        <v>12</v>
      </c>
      <c r="D88">
        <v>7</v>
      </c>
      <c r="E88">
        <v>0</v>
      </c>
      <c r="F88">
        <v>8.2799999999999994</v>
      </c>
      <c r="I88">
        <v>8.2799999999999994</v>
      </c>
      <c r="J88">
        <v>5.3</v>
      </c>
      <c r="K88">
        <v>3.38</v>
      </c>
      <c r="N88">
        <v>3.17</v>
      </c>
      <c r="O88">
        <v>3.23</v>
      </c>
      <c r="Q88">
        <v>3.23</v>
      </c>
      <c r="R88">
        <v>23.36</v>
      </c>
      <c r="S88">
        <v>20.13</v>
      </c>
      <c r="T88">
        <v>21.75</v>
      </c>
      <c r="U88">
        <v>22.5</v>
      </c>
      <c r="V88">
        <v>75600</v>
      </c>
      <c r="W88">
        <v>3780</v>
      </c>
      <c r="X88">
        <v>79380</v>
      </c>
      <c r="Z88">
        <v>79380</v>
      </c>
      <c r="AB88">
        <v>79380</v>
      </c>
      <c r="AC88">
        <v>9.7637400000000003</v>
      </c>
      <c r="AD88">
        <v>79389.763739999995</v>
      </c>
      <c r="AE88">
        <v>3969.4881869999999</v>
      </c>
      <c r="AF88">
        <v>83359.25192699999</v>
      </c>
      <c r="AG88">
        <v>8335.9251926999987</v>
      </c>
      <c r="AH88">
        <v>91695.177119699991</v>
      </c>
      <c r="AJ88">
        <v>91695.177119699991</v>
      </c>
      <c r="AK88">
        <v>2750.8553135909997</v>
      </c>
      <c r="AL88">
        <v>94446.032433290995</v>
      </c>
      <c r="AM88">
        <v>3777.8412973316399</v>
      </c>
      <c r="AN88">
        <v>98223.873730622639</v>
      </c>
      <c r="AO88">
        <v>4911.1936865311318</v>
      </c>
      <c r="AP88">
        <v>103135.06741715375</v>
      </c>
      <c r="AR88">
        <v>103135.06741715375</v>
      </c>
      <c r="AT88">
        <v>103135.06741715375</v>
      </c>
      <c r="AV88">
        <v>103135.06741715375</v>
      </c>
      <c r="AX88">
        <v>103135.06741715375</v>
      </c>
      <c r="AZ88">
        <v>103135.06741715375</v>
      </c>
      <c r="BB88">
        <v>103135.06741715375</v>
      </c>
      <c r="BD88">
        <v>103135.06741715375</v>
      </c>
      <c r="BF88">
        <v>103135.06741715375</v>
      </c>
      <c r="BH88">
        <v>103135.06741715375</v>
      </c>
      <c r="BJ88">
        <v>103135.06741715375</v>
      </c>
      <c r="BL88">
        <v>103135.06741715375</v>
      </c>
      <c r="BN88">
        <v>103135.06741715375</v>
      </c>
      <c r="BP88">
        <v>103135.06741715375</v>
      </c>
      <c r="BR88">
        <v>103135.06741715375</v>
      </c>
      <c r="BT88">
        <v>103135.06741715375</v>
      </c>
      <c r="BV88">
        <v>103135.06741715375</v>
      </c>
      <c r="BX88">
        <v>103135.06741715375</v>
      </c>
      <c r="BY88">
        <v>103135.07</v>
      </c>
      <c r="BZ88">
        <v>2243187.77</v>
      </c>
      <c r="CC88">
        <v>0</v>
      </c>
      <c r="CD88">
        <v>103135.06988505748</v>
      </c>
      <c r="CE88">
        <v>2243187.77</v>
      </c>
      <c r="CF88" t="s">
        <v>37</v>
      </c>
      <c r="CG88">
        <v>4000</v>
      </c>
      <c r="CH88">
        <v>107135.06988505748</v>
      </c>
      <c r="CI88">
        <v>87000</v>
      </c>
      <c r="CJ88">
        <v>2330187.77</v>
      </c>
      <c r="CK88" t="s">
        <v>57</v>
      </c>
      <c r="CN88">
        <v>0</v>
      </c>
      <c r="CO88" t="s">
        <v>39</v>
      </c>
      <c r="CP88" t="s">
        <v>39</v>
      </c>
      <c r="CQ88" t="b">
        <v>1</v>
      </c>
      <c r="CR88" t="s">
        <v>8950</v>
      </c>
      <c r="CS88" t="s">
        <v>1167</v>
      </c>
      <c r="CT88" t="s">
        <v>8960</v>
      </c>
      <c r="CU88" t="s">
        <v>8970</v>
      </c>
      <c r="CV88" t="s">
        <v>5956</v>
      </c>
      <c r="CW88" t="s">
        <v>4895</v>
      </c>
      <c r="CX88" t="s">
        <v>3246</v>
      </c>
      <c r="CY88">
        <v>0.75</v>
      </c>
      <c r="CZ88">
        <v>80351.302413793106</v>
      </c>
      <c r="DA88">
        <v>2330187.77</v>
      </c>
      <c r="DB88" t="s">
        <v>37</v>
      </c>
      <c r="DC88" t="b">
        <v>1</v>
      </c>
      <c r="DD88">
        <v>2330187.77</v>
      </c>
      <c r="DE88">
        <v>0</v>
      </c>
      <c r="DF88" t="b">
        <v>1</v>
      </c>
      <c r="DG88" s="420" cm="1">
        <f t="array" ref="DG88">_xlfn.XLOOKUP("Дом 4"&amp;Реестр_Д4[[#This Row],[№]]&amp;Реестр_Д4[[#This Row],[Статус]],РД[Дом]&amp;РД[№ кв]&amp;РД[Состояние],РД[Дата подачи на регистрацию],"-",0)</f>
        <v>45097</v>
      </c>
    </row>
    <row r="89" spans="1:111" x14ac:dyDescent="0.25">
      <c r="A89">
        <v>88</v>
      </c>
      <c r="B89" t="s">
        <v>6</v>
      </c>
      <c r="C89">
        <v>12</v>
      </c>
      <c r="D89">
        <v>8</v>
      </c>
      <c r="E89">
        <v>0</v>
      </c>
      <c r="F89">
        <v>8.2899999999999991</v>
      </c>
      <c r="I89">
        <v>8.2899999999999991</v>
      </c>
      <c r="J89">
        <v>5.3</v>
      </c>
      <c r="K89">
        <v>3.38</v>
      </c>
      <c r="N89">
        <v>3.17</v>
      </c>
      <c r="O89">
        <v>3.17</v>
      </c>
      <c r="Q89">
        <v>3.17</v>
      </c>
      <c r="R89">
        <v>23.31</v>
      </c>
      <c r="S89">
        <v>20.14</v>
      </c>
      <c r="T89">
        <v>21.73</v>
      </c>
      <c r="U89">
        <v>22.3</v>
      </c>
      <c r="V89">
        <v>75600</v>
      </c>
      <c r="W89">
        <v>3780</v>
      </c>
      <c r="X89">
        <v>79380</v>
      </c>
      <c r="Z89">
        <v>79380</v>
      </c>
      <c r="AB89">
        <v>79380</v>
      </c>
      <c r="AC89">
        <v>9.7637400000000003</v>
      </c>
      <c r="AD89">
        <v>79389.763739999995</v>
      </c>
      <c r="AE89">
        <v>3969.4881869999999</v>
      </c>
      <c r="AF89">
        <v>83359.25192699999</v>
      </c>
      <c r="AH89">
        <v>83359.25192699999</v>
      </c>
      <c r="AJ89">
        <v>83359.25192699999</v>
      </c>
      <c r="AL89">
        <v>83359.25192699999</v>
      </c>
      <c r="AN89">
        <v>83359.25192699999</v>
      </c>
      <c r="AP89">
        <v>83359.25192699999</v>
      </c>
      <c r="AR89">
        <v>83359.25192699999</v>
      </c>
      <c r="AT89">
        <v>83359.25192699999</v>
      </c>
      <c r="AV89">
        <v>83359.25192699999</v>
      </c>
      <c r="AX89">
        <v>83359.25192699999</v>
      </c>
      <c r="AZ89">
        <v>83359.25192699999</v>
      </c>
      <c r="BB89">
        <v>83359.25192699999</v>
      </c>
      <c r="BD89">
        <v>83359.25192699999</v>
      </c>
      <c r="BF89">
        <v>83359.25192699999</v>
      </c>
      <c r="BH89">
        <v>83359.25192699999</v>
      </c>
      <c r="BJ89">
        <v>83359.25192699999</v>
      </c>
      <c r="BL89">
        <v>83359.25192699999</v>
      </c>
      <c r="BN89">
        <v>83359.25192699999</v>
      </c>
      <c r="BP89">
        <v>83359.25192699999</v>
      </c>
      <c r="BR89">
        <v>83359.25192699999</v>
      </c>
      <c r="BT89">
        <v>83359.25192699999</v>
      </c>
      <c r="BV89">
        <v>83359.25192699999</v>
      </c>
      <c r="BX89">
        <v>83359.25192699999</v>
      </c>
      <c r="BY89">
        <v>83359.25</v>
      </c>
      <c r="BZ89">
        <v>1811396.5</v>
      </c>
      <c r="CC89">
        <v>0</v>
      </c>
      <c r="CD89">
        <v>83359.249884951685</v>
      </c>
      <c r="CE89">
        <v>1811396.5</v>
      </c>
      <c r="CF89" t="s">
        <v>37</v>
      </c>
      <c r="CG89">
        <v>4000</v>
      </c>
      <c r="CH89">
        <v>87359.249884951685</v>
      </c>
      <c r="CI89">
        <v>86920</v>
      </c>
      <c r="CJ89">
        <v>1898316.5</v>
      </c>
      <c r="CK89" t="s">
        <v>57</v>
      </c>
      <c r="CN89">
        <v>0</v>
      </c>
      <c r="CO89" t="s">
        <v>39</v>
      </c>
      <c r="CP89" t="s">
        <v>39</v>
      </c>
      <c r="CQ89" t="b">
        <v>1</v>
      </c>
      <c r="CR89" t="s">
        <v>8950</v>
      </c>
      <c r="CS89" t="s">
        <v>1167</v>
      </c>
      <c r="CT89" t="s">
        <v>8960</v>
      </c>
      <c r="CU89" t="s">
        <v>8970</v>
      </c>
      <c r="CV89" t="s">
        <v>5957</v>
      </c>
      <c r="CW89" t="s">
        <v>4895</v>
      </c>
      <c r="CX89" t="s">
        <v>3246</v>
      </c>
      <c r="CY89">
        <v>0.57000000000000028</v>
      </c>
      <c r="CZ89">
        <v>49794.772434422477</v>
      </c>
      <c r="DA89">
        <v>1898316.5</v>
      </c>
      <c r="DB89" t="s">
        <v>37</v>
      </c>
      <c r="DC89" t="b">
        <v>1</v>
      </c>
      <c r="DD89">
        <v>1898316.5</v>
      </c>
      <c r="DE89">
        <v>0</v>
      </c>
      <c r="DF89" t="b">
        <v>1</v>
      </c>
      <c r="DG89" s="420" cm="1">
        <f t="array" ref="DG89">_xlfn.XLOOKUP("Дом 4"&amp;Реестр_Д4[[#This Row],[№]]&amp;Реестр_Д4[[#This Row],[Статус]],РД[Дом]&amp;РД[№ кв]&amp;РД[Состояние],РД[Дата подачи на регистрацию],"-",0)</f>
        <v>44925</v>
      </c>
    </row>
    <row r="90" spans="1:111" x14ac:dyDescent="0.25">
      <c r="A90">
        <v>89</v>
      </c>
      <c r="B90" t="s">
        <v>6</v>
      </c>
      <c r="C90">
        <v>13</v>
      </c>
      <c r="D90">
        <v>1</v>
      </c>
      <c r="E90">
        <v>1</v>
      </c>
      <c r="F90">
        <v>13.93</v>
      </c>
      <c r="I90">
        <v>13.93</v>
      </c>
      <c r="J90">
        <v>9.18</v>
      </c>
      <c r="K90">
        <v>3.65</v>
      </c>
      <c r="N90">
        <v>5.52</v>
      </c>
      <c r="O90">
        <v>2.4900000000000002</v>
      </c>
      <c r="Q90">
        <v>2.4900000000000002</v>
      </c>
      <c r="R90">
        <v>34.770000000000003</v>
      </c>
      <c r="S90">
        <v>32.28</v>
      </c>
      <c r="T90">
        <v>33.53</v>
      </c>
      <c r="U90">
        <v>34.700000000000003</v>
      </c>
      <c r="V90">
        <v>70700</v>
      </c>
      <c r="W90">
        <v>3535</v>
      </c>
      <c r="X90">
        <v>74235</v>
      </c>
      <c r="Y90">
        <v>2969.4</v>
      </c>
      <c r="Z90">
        <v>77204.399999999994</v>
      </c>
      <c r="AA90">
        <v>3860.22</v>
      </c>
      <c r="AB90">
        <v>81064.62</v>
      </c>
      <c r="AC90">
        <v>9.9709482600000001</v>
      </c>
      <c r="AD90">
        <v>81074.590948259996</v>
      </c>
      <c r="AE90">
        <v>4053.7295474130001</v>
      </c>
      <c r="AF90">
        <v>85128.32049567299</v>
      </c>
      <c r="AH90">
        <v>85128.32049567299</v>
      </c>
      <c r="AJ90">
        <v>85128.32049567299</v>
      </c>
      <c r="AL90">
        <v>85128.32049567299</v>
      </c>
      <c r="AN90">
        <v>85128.32049567299</v>
      </c>
      <c r="AP90">
        <v>85128.32049567299</v>
      </c>
      <c r="AR90">
        <v>85128.32049567299</v>
      </c>
      <c r="AT90">
        <v>85128.32049567299</v>
      </c>
      <c r="AV90">
        <v>85128.32049567299</v>
      </c>
      <c r="AX90">
        <v>85128.32049567299</v>
      </c>
      <c r="AZ90">
        <v>85128.32049567299</v>
      </c>
      <c r="BB90">
        <v>85128.32049567299</v>
      </c>
      <c r="BD90">
        <v>85128.32049567299</v>
      </c>
      <c r="BF90">
        <v>85128.32049567299</v>
      </c>
      <c r="BH90">
        <v>85128.32049567299</v>
      </c>
      <c r="BJ90">
        <v>85128.32049567299</v>
      </c>
      <c r="BL90">
        <v>85128.32049567299</v>
      </c>
      <c r="BN90">
        <v>85128.32049567299</v>
      </c>
      <c r="BP90">
        <v>85128.32049567299</v>
      </c>
      <c r="BR90">
        <v>85128.32049567299</v>
      </c>
      <c r="BT90">
        <v>85128.32049567299</v>
      </c>
      <c r="BV90">
        <v>85128.32049567299</v>
      </c>
      <c r="BX90">
        <v>85128.32049567299</v>
      </c>
      <c r="BY90">
        <v>85128.320000000007</v>
      </c>
      <c r="BZ90">
        <v>2854352.57</v>
      </c>
      <c r="CC90">
        <v>0</v>
      </c>
      <c r="CD90">
        <v>85128.320011929609</v>
      </c>
      <c r="CE90">
        <v>2854352.57</v>
      </c>
      <c r="CF90" t="s">
        <v>38</v>
      </c>
      <c r="CG90">
        <v>15000</v>
      </c>
      <c r="CH90">
        <v>100128.32001192959</v>
      </c>
      <c r="CI90">
        <v>502950</v>
      </c>
      <c r="CJ90">
        <v>3357302.57</v>
      </c>
      <c r="CK90" t="s">
        <v>57</v>
      </c>
      <c r="CN90">
        <v>0</v>
      </c>
      <c r="CO90" t="s">
        <v>39</v>
      </c>
      <c r="CP90" t="s">
        <v>39</v>
      </c>
      <c r="CQ90" t="b">
        <v>1</v>
      </c>
      <c r="CR90" t="s">
        <v>8950</v>
      </c>
      <c r="CS90" t="s">
        <v>1167</v>
      </c>
      <c r="CT90" t="s">
        <v>8960</v>
      </c>
      <c r="CU90" t="s">
        <v>8973</v>
      </c>
      <c r="CV90" t="s">
        <v>5958</v>
      </c>
      <c r="CW90" t="s">
        <v>4895</v>
      </c>
      <c r="CX90" t="s">
        <v>3246</v>
      </c>
      <c r="CY90">
        <v>1.1700000000000017</v>
      </c>
      <c r="CZ90">
        <v>117150.1344139578</v>
      </c>
      <c r="DA90">
        <v>3357302.57</v>
      </c>
      <c r="DB90" t="s">
        <v>38</v>
      </c>
      <c r="DC90" t="b">
        <v>1</v>
      </c>
      <c r="DD90">
        <v>3357302.57</v>
      </c>
      <c r="DE90">
        <v>0</v>
      </c>
      <c r="DF90" t="b">
        <v>1</v>
      </c>
      <c r="DG90" s="420" cm="1">
        <f t="array" ref="DG90">_xlfn.XLOOKUP("Дом 4"&amp;Реестр_Д4[[#This Row],[№]]&amp;Реестр_Д4[[#This Row],[Статус]],РД[Дом]&amp;РД[№ кв]&amp;РД[Состояние],РД[Дата подачи на регистрацию],"-",0)</f>
        <v>44914</v>
      </c>
    </row>
    <row r="91" spans="1:111" x14ac:dyDescent="0.25">
      <c r="A91">
        <v>90</v>
      </c>
      <c r="B91" t="s">
        <v>6</v>
      </c>
      <c r="C91">
        <v>13</v>
      </c>
      <c r="D91">
        <v>2</v>
      </c>
      <c r="E91">
        <v>2</v>
      </c>
      <c r="F91">
        <v>16.55</v>
      </c>
      <c r="G91">
        <v>14.04</v>
      </c>
      <c r="I91">
        <v>30.59</v>
      </c>
      <c r="J91">
        <v>13.35</v>
      </c>
      <c r="K91">
        <v>3.69</v>
      </c>
      <c r="L91">
        <v>1.92</v>
      </c>
      <c r="N91">
        <v>9.48</v>
      </c>
      <c r="O91">
        <v>2.91</v>
      </c>
      <c r="P91">
        <v>2.5499999999999998</v>
      </c>
      <c r="Q91">
        <v>5.46</v>
      </c>
      <c r="R91">
        <v>64.489999999999995</v>
      </c>
      <c r="S91">
        <v>59.029999999999994</v>
      </c>
      <c r="T91">
        <v>61.76</v>
      </c>
      <c r="U91">
        <v>62.8</v>
      </c>
      <c r="V91">
        <v>68639.199999999997</v>
      </c>
      <c r="W91">
        <v>3431.96</v>
      </c>
      <c r="X91">
        <v>72071.16</v>
      </c>
      <c r="Z91">
        <v>72071.16</v>
      </c>
      <c r="AA91">
        <v>3603.558</v>
      </c>
      <c r="AB91">
        <v>75674.717999999993</v>
      </c>
      <c r="AC91">
        <v>9.3079903140000013</v>
      </c>
      <c r="AD91">
        <v>75684.02599031401</v>
      </c>
      <c r="AF91">
        <v>75684.02599031401</v>
      </c>
      <c r="AH91">
        <v>75684.02599031401</v>
      </c>
      <c r="AJ91">
        <v>75684.02599031401</v>
      </c>
      <c r="AL91">
        <v>75684.02599031401</v>
      </c>
      <c r="AN91">
        <v>75684.02599031401</v>
      </c>
      <c r="AP91">
        <v>75684.02599031401</v>
      </c>
      <c r="AR91">
        <v>75684.02599031401</v>
      </c>
      <c r="AT91">
        <v>75684.02599031401</v>
      </c>
      <c r="AV91">
        <v>75684.02599031401</v>
      </c>
      <c r="AX91">
        <v>75684.02599031401</v>
      </c>
      <c r="AZ91">
        <v>75684.02599031401</v>
      </c>
      <c r="BB91">
        <v>75684.02599031401</v>
      </c>
      <c r="BD91">
        <v>75684.02599031401</v>
      </c>
      <c r="BF91">
        <v>75684.02599031401</v>
      </c>
      <c r="BH91">
        <v>75684.02599031401</v>
      </c>
      <c r="BJ91">
        <v>75684.02599031401</v>
      </c>
      <c r="BL91">
        <v>75684.02599031401</v>
      </c>
      <c r="BN91">
        <v>75684.02599031401</v>
      </c>
      <c r="BP91">
        <v>75684.02599031401</v>
      </c>
      <c r="BR91">
        <v>75684.02599031401</v>
      </c>
      <c r="BT91">
        <v>75684.02599031401</v>
      </c>
      <c r="BV91">
        <v>75684.02599031401</v>
      </c>
      <c r="BX91">
        <v>75684.02599031401</v>
      </c>
      <c r="BY91">
        <v>75684.03</v>
      </c>
      <c r="BZ91">
        <v>4674245.6900000004</v>
      </c>
      <c r="CB91">
        <v>0.05</v>
      </c>
      <c r="CC91">
        <v>233712.28450000004</v>
      </c>
      <c r="CD91">
        <v>71899.82852979275</v>
      </c>
      <c r="CE91">
        <v>4440533.41</v>
      </c>
      <c r="CF91" t="s">
        <v>37</v>
      </c>
      <c r="CG91">
        <v>4000</v>
      </c>
      <c r="CH91">
        <v>75899.82852979275</v>
      </c>
      <c r="CI91">
        <v>247040</v>
      </c>
      <c r="CJ91">
        <v>4687573.41</v>
      </c>
      <c r="CK91" t="s">
        <v>57</v>
      </c>
      <c r="CL91" t="s">
        <v>3540</v>
      </c>
      <c r="CN91">
        <v>0</v>
      </c>
      <c r="CO91" t="s">
        <v>39</v>
      </c>
      <c r="CP91" t="s">
        <v>39</v>
      </c>
      <c r="CQ91" t="b">
        <v>1</v>
      </c>
      <c r="CR91" t="s">
        <v>8950</v>
      </c>
      <c r="CS91" t="s">
        <v>1167</v>
      </c>
      <c r="CT91" t="s">
        <v>8960</v>
      </c>
      <c r="CU91" t="s">
        <v>8974</v>
      </c>
      <c r="CV91" t="s">
        <v>5959</v>
      </c>
      <c r="CW91" t="s">
        <v>4895</v>
      </c>
      <c r="CX91" t="s">
        <v>3246</v>
      </c>
      <c r="CY91">
        <v>1.0399999999999991</v>
      </c>
      <c r="CZ91">
        <v>78935.821670984398</v>
      </c>
      <c r="DA91">
        <v>4687573.41</v>
      </c>
      <c r="DB91" t="s">
        <v>37</v>
      </c>
      <c r="DC91" t="b">
        <v>1</v>
      </c>
      <c r="DD91">
        <v>4687573.41</v>
      </c>
      <c r="DE91">
        <v>0</v>
      </c>
      <c r="DF91" t="b">
        <v>1</v>
      </c>
      <c r="DG91" s="420" cm="1">
        <f t="array" ref="DG91">_xlfn.XLOOKUP("Дом 4"&amp;Реестр_Д4[[#This Row],[№]]&amp;Реестр_Д4[[#This Row],[Статус]],РД[Дом]&amp;РД[№ кв]&amp;РД[Состояние],РД[Дата подачи на регистрацию],"-",0)</f>
        <v>44953</v>
      </c>
    </row>
    <row r="92" spans="1:111" x14ac:dyDescent="0.25">
      <c r="A92">
        <v>91</v>
      </c>
      <c r="B92" t="s">
        <v>6</v>
      </c>
      <c r="C92">
        <v>13</v>
      </c>
      <c r="D92">
        <v>3</v>
      </c>
      <c r="E92">
        <v>1</v>
      </c>
      <c r="F92">
        <v>12.25</v>
      </c>
      <c r="I92">
        <v>12.25</v>
      </c>
      <c r="J92">
        <v>11.65</v>
      </c>
      <c r="K92">
        <v>3.67</v>
      </c>
      <c r="N92">
        <v>6.55</v>
      </c>
      <c r="O92">
        <v>2.83</v>
      </c>
      <c r="Q92">
        <v>2.83</v>
      </c>
      <c r="R92">
        <v>36.950000000000003</v>
      </c>
      <c r="S92">
        <v>34.120000000000005</v>
      </c>
      <c r="T92">
        <v>35.54</v>
      </c>
      <c r="U92">
        <v>36.9</v>
      </c>
      <c r="V92">
        <v>71400</v>
      </c>
      <c r="W92">
        <v>3570</v>
      </c>
      <c r="X92">
        <v>74970</v>
      </c>
      <c r="Y92">
        <v>2998.8</v>
      </c>
      <c r="Z92">
        <v>77968.800000000003</v>
      </c>
      <c r="AA92">
        <v>3898.440000000001</v>
      </c>
      <c r="AB92">
        <v>81867.240000000005</v>
      </c>
      <c r="AC92">
        <v>10.069670520000001</v>
      </c>
      <c r="AD92">
        <v>81877.309670520001</v>
      </c>
      <c r="AE92">
        <v>4093.8654835259999</v>
      </c>
      <c r="AF92">
        <v>85971.175154045995</v>
      </c>
      <c r="AH92">
        <v>85971.175154045995</v>
      </c>
      <c r="AJ92">
        <v>85971.175154045995</v>
      </c>
      <c r="AL92">
        <v>85971.175154045995</v>
      </c>
      <c r="AN92">
        <v>85971.175154045995</v>
      </c>
      <c r="AP92">
        <v>85971.175154045995</v>
      </c>
      <c r="AR92">
        <v>85971.175154045995</v>
      </c>
      <c r="AT92">
        <v>85971.175154045995</v>
      </c>
      <c r="AV92">
        <v>85971.175154045995</v>
      </c>
      <c r="AX92">
        <v>85971.175154045995</v>
      </c>
      <c r="AZ92">
        <v>85971.175154045995</v>
      </c>
      <c r="BB92">
        <v>85971.175154045995</v>
      </c>
      <c r="BD92">
        <v>85971.175154045995</v>
      </c>
      <c r="BF92">
        <v>85971.175154045995</v>
      </c>
      <c r="BH92">
        <v>85971.175154045995</v>
      </c>
      <c r="BJ92">
        <v>85971.175154045995</v>
      </c>
      <c r="BL92">
        <v>85971.175154045995</v>
      </c>
      <c r="BN92">
        <v>85971.175154045995</v>
      </c>
      <c r="BP92">
        <v>85971.175154045995</v>
      </c>
      <c r="BR92">
        <v>85971.175154045995</v>
      </c>
      <c r="BT92">
        <v>85971.175154045995</v>
      </c>
      <c r="BV92">
        <v>85971.175154045995</v>
      </c>
      <c r="BX92">
        <v>85971.175154045995</v>
      </c>
      <c r="BY92">
        <v>85971.18</v>
      </c>
      <c r="BZ92">
        <v>3055415.74</v>
      </c>
      <c r="CC92">
        <v>0</v>
      </c>
      <c r="CD92">
        <v>85971.18007878447</v>
      </c>
      <c r="CE92">
        <v>3055415.74</v>
      </c>
      <c r="CF92" t="s">
        <v>37</v>
      </c>
      <c r="CG92">
        <v>4000</v>
      </c>
      <c r="CH92">
        <v>89971.18007878447</v>
      </c>
      <c r="CI92">
        <v>142160</v>
      </c>
      <c r="CJ92">
        <v>3197575.74</v>
      </c>
      <c r="CN92">
        <v>0</v>
      </c>
      <c r="CO92" t="s">
        <v>39</v>
      </c>
      <c r="CP92" t="s">
        <v>39</v>
      </c>
      <c r="CQ92" t="b">
        <v>1</v>
      </c>
      <c r="CR92" t="s">
        <v>8950</v>
      </c>
      <c r="CS92" t="s">
        <v>1167</v>
      </c>
      <c r="CT92" t="s">
        <v>8960</v>
      </c>
      <c r="CU92" t="s">
        <v>8973</v>
      </c>
      <c r="CV92" t="s">
        <v>5960</v>
      </c>
      <c r="CW92" t="s">
        <v>4895</v>
      </c>
      <c r="CX92" t="s">
        <v>3246</v>
      </c>
      <c r="CY92">
        <v>1.3599999999999994</v>
      </c>
      <c r="CZ92">
        <v>122360.80490714684</v>
      </c>
      <c r="DA92">
        <v>3197575.74</v>
      </c>
      <c r="DB92" t="s">
        <v>37</v>
      </c>
      <c r="DC92" t="b">
        <v>1</v>
      </c>
      <c r="DD92">
        <v>3197575.74</v>
      </c>
      <c r="DE92">
        <v>0</v>
      </c>
      <c r="DF92" t="b">
        <v>1</v>
      </c>
      <c r="DG92" s="420" cm="1">
        <f t="array" ref="DG92">_xlfn.XLOOKUP("Дом 4"&amp;Реестр_Д4[[#This Row],[№]]&amp;Реестр_Д4[[#This Row],[Статус]],РД[Дом]&amp;РД[№ кв]&amp;РД[Состояние],РД[Дата подачи на регистрацию],"-",0)</f>
        <v>44978</v>
      </c>
    </row>
    <row r="93" spans="1:111" x14ac:dyDescent="0.25">
      <c r="A93">
        <v>92</v>
      </c>
      <c r="B93" t="s">
        <v>6</v>
      </c>
      <c r="C93">
        <v>13</v>
      </c>
      <c r="D93">
        <v>4</v>
      </c>
      <c r="E93">
        <v>2</v>
      </c>
      <c r="F93">
        <v>14.61</v>
      </c>
      <c r="G93">
        <v>11.01</v>
      </c>
      <c r="I93">
        <v>25.62</v>
      </c>
      <c r="J93">
        <v>14.77</v>
      </c>
      <c r="K93">
        <v>2.85</v>
      </c>
      <c r="L93">
        <v>2.4900000000000002</v>
      </c>
      <c r="N93">
        <v>8.7899999999999991</v>
      </c>
      <c r="O93">
        <v>3.01</v>
      </c>
      <c r="Q93">
        <v>3.01</v>
      </c>
      <c r="R93">
        <v>57.53</v>
      </c>
      <c r="S93">
        <v>54.52</v>
      </c>
      <c r="T93">
        <v>56.03</v>
      </c>
      <c r="U93">
        <v>57.900000000000006</v>
      </c>
      <c r="V93">
        <v>67972.800000000003</v>
      </c>
      <c r="W93">
        <v>3398.6400000000003</v>
      </c>
      <c r="X93">
        <v>71371.44</v>
      </c>
      <c r="Z93">
        <v>71371.44</v>
      </c>
      <c r="AA93">
        <v>3568.5720000000001</v>
      </c>
      <c r="AB93">
        <v>74940.012000000002</v>
      </c>
      <c r="AC93">
        <v>9.2176214760000015</v>
      </c>
      <c r="AD93">
        <v>74949.229621475999</v>
      </c>
      <c r="AF93">
        <v>74949.229621475999</v>
      </c>
      <c r="AH93">
        <v>74949.229621475999</v>
      </c>
      <c r="AI93">
        <v>1498.98459242952</v>
      </c>
      <c r="AJ93">
        <v>76448.214213905521</v>
      </c>
      <c r="AL93">
        <v>76448.214213905521</v>
      </c>
      <c r="AN93">
        <v>76448.214213905521</v>
      </c>
      <c r="AP93">
        <v>76448.214213905521</v>
      </c>
      <c r="AR93">
        <v>76448.214213905521</v>
      </c>
      <c r="AT93">
        <v>76448.214213905521</v>
      </c>
      <c r="AV93">
        <v>76448.214213905521</v>
      </c>
      <c r="AX93">
        <v>76448.214213905521</v>
      </c>
      <c r="AZ93">
        <v>76448.214213905521</v>
      </c>
      <c r="BB93">
        <v>76448.214213905521</v>
      </c>
      <c r="BD93">
        <v>76448.214213905521</v>
      </c>
      <c r="BF93">
        <v>76448.214213905521</v>
      </c>
      <c r="BH93">
        <v>76448.214213905521</v>
      </c>
      <c r="BJ93">
        <v>76448.214213905521</v>
      </c>
      <c r="BL93">
        <v>76448.214213905521</v>
      </c>
      <c r="BN93">
        <v>76448.214213905521</v>
      </c>
      <c r="BP93">
        <v>76448.214213905521</v>
      </c>
      <c r="BR93">
        <v>76448.214213905521</v>
      </c>
      <c r="BT93">
        <v>76448.214213905521</v>
      </c>
      <c r="BV93">
        <v>76448.214213905521</v>
      </c>
      <c r="BX93">
        <v>76448.214213905521</v>
      </c>
      <c r="BY93">
        <v>76448.210000000006</v>
      </c>
      <c r="BZ93">
        <v>4283393.21</v>
      </c>
      <c r="CC93">
        <v>0</v>
      </c>
      <c r="CD93">
        <v>76448.210066036045</v>
      </c>
      <c r="CE93">
        <v>4283393.21</v>
      </c>
      <c r="CF93" t="s">
        <v>38</v>
      </c>
      <c r="CG93">
        <v>15000</v>
      </c>
      <c r="CH93">
        <v>91448.210066036045</v>
      </c>
      <c r="CI93">
        <v>840450</v>
      </c>
      <c r="CJ93">
        <v>5123843.21</v>
      </c>
      <c r="CN93">
        <v>0</v>
      </c>
      <c r="CO93" t="s">
        <v>39</v>
      </c>
      <c r="CP93" t="s">
        <v>39</v>
      </c>
      <c r="CQ93" t="b">
        <v>1</v>
      </c>
      <c r="CR93" t="s">
        <v>8950</v>
      </c>
      <c r="CS93" t="s">
        <v>1167</v>
      </c>
      <c r="CT93" t="s">
        <v>8960</v>
      </c>
      <c r="CU93" t="s">
        <v>8971</v>
      </c>
      <c r="CV93" t="s">
        <v>5961</v>
      </c>
      <c r="CW93" t="s">
        <v>4895</v>
      </c>
      <c r="CX93" t="s">
        <v>3246</v>
      </c>
      <c r="CY93">
        <v>1.8700000000000043</v>
      </c>
      <c r="CZ93">
        <v>171008.15282348782</v>
      </c>
      <c r="DA93">
        <v>5123843.21</v>
      </c>
      <c r="DB93" t="s">
        <v>38</v>
      </c>
      <c r="DC93" t="b">
        <v>1</v>
      </c>
      <c r="DD93">
        <v>5123843.21</v>
      </c>
      <c r="DE93">
        <v>0</v>
      </c>
      <c r="DF93" t="b">
        <v>1</v>
      </c>
      <c r="DG93" s="420" cm="1">
        <f t="array" ref="DG93">_xlfn.XLOOKUP("Дом 4"&amp;Реестр_Д4[[#This Row],[№]]&amp;Реестр_Д4[[#This Row],[Статус]],РД[Дом]&amp;РД[№ кв]&amp;РД[Состояние],РД[Дата подачи на регистрацию],"-",0)</f>
        <v>45000</v>
      </c>
    </row>
    <row r="94" spans="1:111" x14ac:dyDescent="0.25">
      <c r="A94">
        <v>93</v>
      </c>
      <c r="B94" t="s">
        <v>6</v>
      </c>
      <c r="C94">
        <v>13</v>
      </c>
      <c r="D94">
        <v>5</v>
      </c>
      <c r="E94">
        <v>2</v>
      </c>
      <c r="F94">
        <v>14.86</v>
      </c>
      <c r="G94">
        <v>9.69</v>
      </c>
      <c r="I94">
        <v>24.55</v>
      </c>
      <c r="J94">
        <v>14.88</v>
      </c>
      <c r="K94">
        <v>2.83</v>
      </c>
      <c r="L94">
        <v>1.82</v>
      </c>
      <c r="N94">
        <v>9.26</v>
      </c>
      <c r="O94">
        <v>2.63</v>
      </c>
      <c r="Q94">
        <v>2.63</v>
      </c>
      <c r="R94">
        <v>55.97</v>
      </c>
      <c r="S94">
        <v>53.34</v>
      </c>
      <c r="T94">
        <v>54.66</v>
      </c>
      <c r="U94">
        <v>56.2</v>
      </c>
      <c r="V94">
        <v>67972.800000000003</v>
      </c>
      <c r="W94">
        <v>3398.6400000000003</v>
      </c>
      <c r="X94">
        <v>71371.44</v>
      </c>
      <c r="Z94">
        <v>71371.44</v>
      </c>
      <c r="AA94">
        <v>3568.5720000000001</v>
      </c>
      <c r="AB94">
        <v>74940.012000000002</v>
      </c>
      <c r="AC94">
        <v>9.2176214760000015</v>
      </c>
      <c r="AD94">
        <v>74949.229621475999</v>
      </c>
      <c r="AF94">
        <v>74949.229621475999</v>
      </c>
      <c r="AH94">
        <v>74949.229621475999</v>
      </c>
      <c r="AI94">
        <v>1498.98459242952</v>
      </c>
      <c r="AJ94">
        <v>76448.214213905521</v>
      </c>
      <c r="AK94">
        <v>764.48214213905521</v>
      </c>
      <c r="AL94">
        <v>77212.696356044573</v>
      </c>
      <c r="AM94">
        <v>1544.2539271208916</v>
      </c>
      <c r="AN94">
        <v>78756.950283165468</v>
      </c>
      <c r="AP94">
        <v>78756.950283165468</v>
      </c>
      <c r="AR94">
        <v>78756.950283165468</v>
      </c>
      <c r="AT94">
        <v>78756.950283165468</v>
      </c>
      <c r="AV94">
        <v>78756.950283165468</v>
      </c>
      <c r="AX94">
        <v>78756.950283165468</v>
      </c>
      <c r="AZ94">
        <v>78756.950283165468</v>
      </c>
      <c r="BB94">
        <v>78756.950283165468</v>
      </c>
      <c r="BD94">
        <v>78756.950283165468</v>
      </c>
      <c r="BF94">
        <v>78756.950283165468</v>
      </c>
      <c r="BH94">
        <v>78756.950283165468</v>
      </c>
      <c r="BJ94">
        <v>78756.950283165468</v>
      </c>
      <c r="BL94">
        <v>78756.950283165468</v>
      </c>
      <c r="BN94">
        <v>78756.950283165468</v>
      </c>
      <c r="BP94">
        <v>78756.950283165468</v>
      </c>
      <c r="BR94">
        <v>78756.950283165468</v>
      </c>
      <c r="BT94">
        <v>78756.950283165468</v>
      </c>
      <c r="BV94">
        <v>78756.950283165468</v>
      </c>
      <c r="BX94">
        <v>78756.950283165468</v>
      </c>
      <c r="BY94">
        <v>78756.95</v>
      </c>
      <c r="BZ94">
        <v>4304854.8899999997</v>
      </c>
      <c r="CC94">
        <v>0</v>
      </c>
      <c r="CD94">
        <v>78756.950054884743</v>
      </c>
      <c r="CE94">
        <v>4304854.8899999997</v>
      </c>
      <c r="CF94" t="s">
        <v>37</v>
      </c>
      <c r="CG94">
        <v>4000</v>
      </c>
      <c r="CH94">
        <v>82756.950054884743</v>
      </c>
      <c r="CI94">
        <v>218640</v>
      </c>
      <c r="CJ94">
        <v>4523494.8899999997</v>
      </c>
      <c r="CN94">
        <v>0</v>
      </c>
      <c r="CO94" t="s">
        <v>39</v>
      </c>
      <c r="CP94" t="s">
        <v>39</v>
      </c>
      <c r="CQ94" t="b">
        <v>1</v>
      </c>
      <c r="CR94" t="s">
        <v>8950</v>
      </c>
      <c r="CS94" t="s">
        <v>1167</v>
      </c>
      <c r="CT94" t="s">
        <v>8960</v>
      </c>
      <c r="CU94" t="s">
        <v>8971</v>
      </c>
      <c r="CV94" t="s">
        <v>5962</v>
      </c>
      <c r="CW94" t="s">
        <v>4895</v>
      </c>
      <c r="CX94" t="s">
        <v>3246</v>
      </c>
      <c r="CY94">
        <v>1.5400000000000065</v>
      </c>
      <c r="CZ94">
        <v>127445.70308452302</v>
      </c>
      <c r="DA94">
        <v>4523494.8899999997</v>
      </c>
      <c r="DB94" t="s">
        <v>37</v>
      </c>
      <c r="DC94" t="b">
        <v>1</v>
      </c>
      <c r="DD94">
        <v>4523494.8899999997</v>
      </c>
      <c r="DE94">
        <v>0</v>
      </c>
      <c r="DF94" t="b">
        <v>1</v>
      </c>
      <c r="DG94" s="420" cm="1">
        <f t="array" ref="DG94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95" spans="1:111" x14ac:dyDescent="0.25">
      <c r="A95">
        <v>94</v>
      </c>
      <c r="B95" t="s">
        <v>6</v>
      </c>
      <c r="C95">
        <v>13</v>
      </c>
      <c r="D95">
        <v>6</v>
      </c>
      <c r="E95">
        <v>2</v>
      </c>
      <c r="F95">
        <v>13.33</v>
      </c>
      <c r="G95">
        <v>13.23</v>
      </c>
      <c r="I95">
        <v>26.56</v>
      </c>
      <c r="J95">
        <v>16.25</v>
      </c>
      <c r="K95">
        <v>3.18</v>
      </c>
      <c r="L95">
        <v>2.14</v>
      </c>
      <c r="M95">
        <v>5.14</v>
      </c>
      <c r="N95">
        <v>5.19</v>
      </c>
      <c r="O95">
        <v>2.81</v>
      </c>
      <c r="Q95">
        <v>2.81</v>
      </c>
      <c r="R95">
        <v>61.27</v>
      </c>
      <c r="S95">
        <v>58.46</v>
      </c>
      <c r="T95">
        <v>59.87</v>
      </c>
      <c r="U95">
        <v>61.599999999999987</v>
      </c>
      <c r="V95">
        <v>73304</v>
      </c>
      <c r="W95">
        <v>3665.2</v>
      </c>
      <c r="X95">
        <v>76969.2</v>
      </c>
      <c r="Z95">
        <v>76969.2</v>
      </c>
      <c r="AA95">
        <v>3848.46</v>
      </c>
      <c r="AB95">
        <v>80817.66</v>
      </c>
      <c r="AC95">
        <v>9.940572180000002</v>
      </c>
      <c r="AD95">
        <v>80827.600572180003</v>
      </c>
      <c r="AF95">
        <v>80827.600572180003</v>
      </c>
      <c r="AH95">
        <v>80827.600572180003</v>
      </c>
      <c r="AI95">
        <v>1616.5520114435999</v>
      </c>
      <c r="AJ95">
        <v>82444.152583623596</v>
      </c>
      <c r="AK95">
        <v>2473.324577508708</v>
      </c>
      <c r="AL95">
        <v>84917.477161132309</v>
      </c>
      <c r="AM95">
        <v>3396.6990864452923</v>
      </c>
      <c r="AN95">
        <v>88314.176247577605</v>
      </c>
      <c r="AP95">
        <v>88314.176247577605</v>
      </c>
      <c r="AQ95">
        <v>2649.4252874273279</v>
      </c>
      <c r="AR95">
        <v>90963.601535004927</v>
      </c>
      <c r="AT95">
        <v>90963.601535004927</v>
      </c>
      <c r="AU95">
        <v>2728.9080460501477</v>
      </c>
      <c r="AV95">
        <v>93692.509581055085</v>
      </c>
      <c r="AX95">
        <v>93692.509581055085</v>
      </c>
      <c r="AZ95">
        <v>93692.509581055085</v>
      </c>
      <c r="BB95">
        <v>93692.509581055085</v>
      </c>
      <c r="BD95">
        <v>93692.509581055085</v>
      </c>
      <c r="BF95">
        <v>93692.509581055085</v>
      </c>
      <c r="BH95">
        <v>93692.509581055085</v>
      </c>
      <c r="BJ95">
        <v>93692.509581055085</v>
      </c>
      <c r="BL95">
        <v>93692.509581055085</v>
      </c>
      <c r="BN95">
        <v>93692.509581055085</v>
      </c>
      <c r="BP95">
        <v>93692.509581055085</v>
      </c>
      <c r="BR95">
        <v>93692.509581055085</v>
      </c>
      <c r="BT95">
        <v>93692.509581055085</v>
      </c>
      <c r="BV95">
        <v>93692.509581055085</v>
      </c>
      <c r="BX95">
        <v>93692.509581055085</v>
      </c>
      <c r="BY95">
        <v>93692.51</v>
      </c>
      <c r="BZ95">
        <v>5609370.5700000003</v>
      </c>
      <c r="CC95">
        <v>0</v>
      </c>
      <c r="CD95">
        <v>93692.509938199437</v>
      </c>
      <c r="CE95">
        <v>5609370.5700000003</v>
      </c>
      <c r="CF95" t="s">
        <v>37</v>
      </c>
      <c r="CG95">
        <v>7500</v>
      </c>
      <c r="CH95">
        <v>101192.50993819944</v>
      </c>
      <c r="CI95">
        <v>449025</v>
      </c>
      <c r="CJ95">
        <v>6058395.5700000003</v>
      </c>
      <c r="CK95" t="s">
        <v>57</v>
      </c>
      <c r="CN95">
        <v>0</v>
      </c>
      <c r="CO95" t="s">
        <v>39</v>
      </c>
      <c r="CP95" t="s">
        <v>39</v>
      </c>
      <c r="CQ95" t="b">
        <v>1</v>
      </c>
      <c r="CR95" t="s">
        <v>8950</v>
      </c>
      <c r="CS95" t="s">
        <v>1167</v>
      </c>
      <c r="CT95" t="s">
        <v>8960</v>
      </c>
      <c r="CU95" t="s">
        <v>8971</v>
      </c>
      <c r="CV95" t="s">
        <v>5963</v>
      </c>
      <c r="CW95" t="s">
        <v>4895</v>
      </c>
      <c r="CX95" t="s">
        <v>3246</v>
      </c>
      <c r="CY95">
        <v>1.7299999999999898</v>
      </c>
      <c r="CZ95">
        <v>175063.04219308399</v>
      </c>
      <c r="DA95">
        <v>6058395.5700000003</v>
      </c>
      <c r="DB95" t="s">
        <v>37</v>
      </c>
      <c r="DC95" t="b">
        <v>1</v>
      </c>
      <c r="DD95">
        <v>6058395.5700000003</v>
      </c>
      <c r="DE95">
        <v>0</v>
      </c>
      <c r="DF95" t="b">
        <v>1</v>
      </c>
      <c r="DG95" s="420" cm="1">
        <f t="array" ref="DG95">_xlfn.XLOOKUP("Дом 4"&amp;Реестр_Д4[[#This Row],[№]]&amp;Реестр_Д4[[#This Row],[Статус]],РД[Дом]&amp;РД[№ кв]&amp;РД[Состояние],РД[Дата подачи на регистрацию],"-",0)</f>
        <v>45251</v>
      </c>
    </row>
    <row r="96" spans="1:111" x14ac:dyDescent="0.25">
      <c r="A96">
        <v>95</v>
      </c>
      <c r="B96" t="s">
        <v>6</v>
      </c>
      <c r="C96">
        <v>13</v>
      </c>
      <c r="D96">
        <v>7</v>
      </c>
      <c r="E96">
        <v>0</v>
      </c>
      <c r="F96">
        <v>8.2799999999999994</v>
      </c>
      <c r="I96">
        <v>8.2799999999999994</v>
      </c>
      <c r="J96">
        <v>5.3</v>
      </c>
      <c r="K96">
        <v>3.38</v>
      </c>
      <c r="N96">
        <v>3.17</v>
      </c>
      <c r="O96">
        <v>3.23</v>
      </c>
      <c r="Q96">
        <v>3.23</v>
      </c>
      <c r="R96">
        <v>23.36</v>
      </c>
      <c r="S96">
        <v>20.13</v>
      </c>
      <c r="T96">
        <v>21.75</v>
      </c>
      <c r="U96">
        <v>22.5</v>
      </c>
      <c r="V96">
        <v>75600</v>
      </c>
      <c r="X96">
        <v>75600</v>
      </c>
      <c r="Z96">
        <v>75600</v>
      </c>
      <c r="AB96">
        <v>75600</v>
      </c>
      <c r="AD96">
        <v>75600</v>
      </c>
      <c r="AF96">
        <v>75600</v>
      </c>
      <c r="AH96">
        <v>75600</v>
      </c>
      <c r="AJ96">
        <v>75600</v>
      </c>
      <c r="AL96">
        <v>75600</v>
      </c>
      <c r="AN96">
        <v>75600</v>
      </c>
      <c r="AP96">
        <v>75600</v>
      </c>
      <c r="AR96">
        <v>75600</v>
      </c>
      <c r="AT96">
        <v>75600</v>
      </c>
      <c r="AV96">
        <v>75600</v>
      </c>
      <c r="AX96">
        <v>75600</v>
      </c>
      <c r="AZ96">
        <v>75600</v>
      </c>
      <c r="BB96">
        <v>75600</v>
      </c>
      <c r="BD96">
        <v>75600</v>
      </c>
      <c r="BF96">
        <v>75600</v>
      </c>
      <c r="BH96">
        <v>75600</v>
      </c>
      <c r="BJ96">
        <v>75600</v>
      </c>
      <c r="BL96">
        <v>75600</v>
      </c>
      <c r="BN96">
        <v>75600</v>
      </c>
      <c r="BP96">
        <v>75600</v>
      </c>
      <c r="BR96">
        <v>75600</v>
      </c>
      <c r="BT96">
        <v>75600</v>
      </c>
      <c r="BV96">
        <v>75600</v>
      </c>
      <c r="BX96">
        <v>75600</v>
      </c>
      <c r="BY96">
        <v>75600</v>
      </c>
      <c r="BZ96">
        <v>1644300</v>
      </c>
      <c r="CC96">
        <v>0</v>
      </c>
      <c r="CD96">
        <v>75600</v>
      </c>
      <c r="CE96">
        <v>1644300</v>
      </c>
      <c r="CF96" t="s">
        <v>37</v>
      </c>
      <c r="CG96">
        <v>7500</v>
      </c>
      <c r="CH96">
        <v>83100</v>
      </c>
      <c r="CI96">
        <v>163125</v>
      </c>
      <c r="CJ96">
        <v>1807425</v>
      </c>
      <c r="CK96" t="s">
        <v>57</v>
      </c>
      <c r="CN96">
        <v>0</v>
      </c>
      <c r="CO96" t="s">
        <v>39</v>
      </c>
      <c r="CP96" t="s">
        <v>39</v>
      </c>
      <c r="CQ96" t="b">
        <v>1</v>
      </c>
      <c r="CR96" t="s">
        <v>8950</v>
      </c>
      <c r="CS96" t="s">
        <v>1167</v>
      </c>
      <c r="CT96" t="s">
        <v>8960</v>
      </c>
      <c r="CU96" t="s">
        <v>8970</v>
      </c>
      <c r="CV96" t="s">
        <v>5964</v>
      </c>
      <c r="CW96" t="s">
        <v>4895</v>
      </c>
      <c r="CX96" t="s">
        <v>3246</v>
      </c>
      <c r="CY96">
        <v>0.75</v>
      </c>
      <c r="CZ96">
        <v>62325</v>
      </c>
      <c r="DA96">
        <v>1807425</v>
      </c>
      <c r="DB96" t="s">
        <v>37</v>
      </c>
      <c r="DC96" t="b">
        <v>1</v>
      </c>
      <c r="DD96">
        <v>1807425</v>
      </c>
      <c r="DE96">
        <v>0</v>
      </c>
      <c r="DF96" t="b">
        <v>1</v>
      </c>
      <c r="DG96" s="420" cm="1">
        <f t="array" ref="DG96">_xlfn.XLOOKUP("Дом 4"&amp;Реестр_Д4[[#This Row],[№]]&amp;Реестр_Д4[[#This Row],[Статус]],РД[Дом]&amp;РД[№ кв]&amp;РД[Состояние],РД[Дата подачи на регистрацию],"-",0)</f>
        <v>44783</v>
      </c>
    </row>
    <row r="97" spans="1:111" x14ac:dyDescent="0.25">
      <c r="A97">
        <v>96</v>
      </c>
      <c r="B97" t="s">
        <v>6</v>
      </c>
      <c r="C97">
        <v>13</v>
      </c>
      <c r="D97">
        <v>8</v>
      </c>
      <c r="E97">
        <v>0</v>
      </c>
      <c r="F97">
        <v>8.2899999999999991</v>
      </c>
      <c r="I97">
        <v>8.2899999999999991</v>
      </c>
      <c r="J97">
        <v>5.3</v>
      </c>
      <c r="K97">
        <v>3.38</v>
      </c>
      <c r="N97">
        <v>3.17</v>
      </c>
      <c r="O97">
        <v>3.17</v>
      </c>
      <c r="Q97">
        <v>3.17</v>
      </c>
      <c r="R97">
        <v>23.31</v>
      </c>
      <c r="S97">
        <v>20.14</v>
      </c>
      <c r="T97">
        <v>21.73</v>
      </c>
      <c r="U97">
        <v>22.3</v>
      </c>
      <c r="V97">
        <v>75600</v>
      </c>
      <c r="W97">
        <v>3780</v>
      </c>
      <c r="X97">
        <v>79380</v>
      </c>
      <c r="Z97">
        <v>79380</v>
      </c>
      <c r="AB97">
        <v>79380</v>
      </c>
      <c r="AC97">
        <v>9.7637400000000003</v>
      </c>
      <c r="AD97">
        <v>79389.763739999995</v>
      </c>
      <c r="AE97">
        <v>3969.4881869999999</v>
      </c>
      <c r="AF97">
        <v>83359.25192699999</v>
      </c>
      <c r="AG97">
        <v>8335.9251926999987</v>
      </c>
      <c r="AH97">
        <v>91695.177119699991</v>
      </c>
      <c r="AJ97">
        <v>91695.177119699991</v>
      </c>
      <c r="AK97">
        <v>2750.8553135909997</v>
      </c>
      <c r="AL97">
        <v>94446.032433290995</v>
      </c>
      <c r="AM97">
        <v>3777.8412973316399</v>
      </c>
      <c r="AN97">
        <v>98223.873730622639</v>
      </c>
      <c r="AO97">
        <v>4911.1936865311318</v>
      </c>
      <c r="AP97">
        <v>103135.06741715375</v>
      </c>
      <c r="AQ97">
        <v>3094.0520225146129</v>
      </c>
      <c r="AR97">
        <v>106229.1194396684</v>
      </c>
      <c r="AS97">
        <v>5311.4559719834197</v>
      </c>
      <c r="AT97">
        <v>111540.57541165179</v>
      </c>
      <c r="AU97">
        <v>3346.2172623495539</v>
      </c>
      <c r="AV97">
        <v>114886.79267400136</v>
      </c>
      <c r="AW97">
        <v>6893.2075604400816</v>
      </c>
      <c r="AX97">
        <v>121780.00023444144</v>
      </c>
      <c r="AZ97">
        <v>121780.00023444144</v>
      </c>
      <c r="BA97">
        <v>3653.4000070332431</v>
      </c>
      <c r="BB97">
        <v>125433.40024147468</v>
      </c>
      <c r="BD97">
        <v>125433.40024147468</v>
      </c>
      <c r="BE97">
        <v>6271.6700120737351</v>
      </c>
      <c r="BF97">
        <v>131705.07025354842</v>
      </c>
      <c r="BH97">
        <v>131705.07025354842</v>
      </c>
      <c r="BI97">
        <v>6585.253512677421</v>
      </c>
      <c r="BJ97">
        <v>138290.32376622583</v>
      </c>
      <c r="BK97">
        <v>-7500</v>
      </c>
      <c r="BL97">
        <v>130790.32376622585</v>
      </c>
      <c r="BM97">
        <v>2615.8064753245167</v>
      </c>
      <c r="BN97">
        <v>133406.13024155036</v>
      </c>
      <c r="BO97">
        <v>6670.3065120775182</v>
      </c>
      <c r="BP97">
        <v>140076.43675362787</v>
      </c>
      <c r="BQ97">
        <v>500</v>
      </c>
      <c r="BR97">
        <v>140576.43675362787</v>
      </c>
      <c r="BT97">
        <v>140576.43675362787</v>
      </c>
      <c r="BV97">
        <v>140576.43675362787</v>
      </c>
      <c r="BX97">
        <v>140576.43675362787</v>
      </c>
      <c r="BY97">
        <v>140576.44</v>
      </c>
      <c r="BZ97">
        <v>3054800</v>
      </c>
      <c r="CC97">
        <v>0</v>
      </c>
      <c r="CD97">
        <v>140579.84353428439</v>
      </c>
      <c r="CE97">
        <v>3054800</v>
      </c>
      <c r="CF97" t="s">
        <v>38</v>
      </c>
      <c r="CG97">
        <v>22000</v>
      </c>
      <c r="CH97">
        <v>162579.84353428439</v>
      </c>
      <c r="CI97">
        <v>478060</v>
      </c>
      <c r="CJ97">
        <v>3532860</v>
      </c>
      <c r="CK97" t="s">
        <v>57</v>
      </c>
      <c r="CN97">
        <v>0</v>
      </c>
      <c r="CO97" t="s">
        <v>39</v>
      </c>
      <c r="CP97" t="s">
        <v>39</v>
      </c>
      <c r="CQ97" t="b">
        <v>1</v>
      </c>
      <c r="CR97" t="s">
        <v>8950</v>
      </c>
      <c r="CS97" t="s">
        <v>1167</v>
      </c>
      <c r="CT97" t="s">
        <v>8960</v>
      </c>
      <c r="CU97" t="s">
        <v>8970</v>
      </c>
      <c r="CV97" t="s">
        <v>5965</v>
      </c>
      <c r="CW97" t="s">
        <v>6652</v>
      </c>
      <c r="CX97" t="s">
        <v>3246</v>
      </c>
      <c r="CY97">
        <v>0.57000000000000028</v>
      </c>
      <c r="CZ97">
        <v>92670.51081454214</v>
      </c>
      <c r="DA97">
        <v>3532860</v>
      </c>
      <c r="DB97" t="s">
        <v>38</v>
      </c>
      <c r="DC97" t="b">
        <v>1</v>
      </c>
      <c r="DD97">
        <v>3532860</v>
      </c>
      <c r="DE97">
        <v>0</v>
      </c>
      <c r="DF97" t="b">
        <v>1</v>
      </c>
      <c r="DG97" s="420" cm="1">
        <f t="array" ref="DG97">_xlfn.XLOOKUP("Дом 4"&amp;Реестр_Д4[[#This Row],[№]]&amp;Реестр_Д4[[#This Row],[Статус]],РД[Дом]&amp;РД[№ кв]&amp;РД[Состояние],РД[Дата подачи на регистрацию],"-",0)</f>
        <v>45425</v>
      </c>
    </row>
    <row r="98" spans="1:111" x14ac:dyDescent="0.25">
      <c r="A98">
        <v>97</v>
      </c>
      <c r="B98" t="s">
        <v>6</v>
      </c>
      <c r="C98">
        <v>14</v>
      </c>
      <c r="D98">
        <v>1</v>
      </c>
      <c r="E98">
        <v>1</v>
      </c>
      <c r="F98">
        <v>13.93</v>
      </c>
      <c r="I98">
        <v>13.93</v>
      </c>
      <c r="J98">
        <v>9.18</v>
      </c>
      <c r="K98">
        <v>3.65</v>
      </c>
      <c r="N98">
        <v>5.52</v>
      </c>
      <c r="O98">
        <v>2.4900000000000002</v>
      </c>
      <c r="Q98">
        <v>2.4900000000000002</v>
      </c>
      <c r="R98">
        <v>34.770000000000003</v>
      </c>
      <c r="S98">
        <v>32.28</v>
      </c>
      <c r="T98">
        <v>33.53</v>
      </c>
      <c r="U98">
        <v>34.5</v>
      </c>
      <c r="V98">
        <v>70700</v>
      </c>
      <c r="W98">
        <v>3535</v>
      </c>
      <c r="X98">
        <v>74235</v>
      </c>
      <c r="Y98">
        <v>2969.4</v>
      </c>
      <c r="Z98">
        <v>77204.399999999994</v>
      </c>
      <c r="AA98">
        <v>3860.22</v>
      </c>
      <c r="AB98">
        <v>81064.62</v>
      </c>
      <c r="AC98">
        <v>9.9709482600000001</v>
      </c>
      <c r="AD98">
        <v>81074.590948259996</v>
      </c>
      <c r="AE98">
        <v>4053.7295474130001</v>
      </c>
      <c r="AF98">
        <v>85128.32049567299</v>
      </c>
      <c r="AH98">
        <v>85128.32049567299</v>
      </c>
      <c r="AI98">
        <v>2553.8496148701897</v>
      </c>
      <c r="AJ98">
        <v>87682.170110543186</v>
      </c>
      <c r="AK98">
        <v>2630.4651033162954</v>
      </c>
      <c r="AL98">
        <v>90312.635213859481</v>
      </c>
      <c r="AM98">
        <v>3612.5054085543793</v>
      </c>
      <c r="AN98">
        <v>93925.140622413863</v>
      </c>
      <c r="AO98">
        <v>1878.5028124482776</v>
      </c>
      <c r="AP98">
        <v>95803.643434862141</v>
      </c>
      <c r="AQ98">
        <v>2874.1093030458642</v>
      </c>
      <c r="AR98">
        <v>98677.752737907998</v>
      </c>
      <c r="AS98">
        <v>4933.8876368954006</v>
      </c>
      <c r="AT98">
        <v>103611.64037480341</v>
      </c>
      <c r="AU98">
        <v>3108.3492112441018</v>
      </c>
      <c r="AV98">
        <v>106719.98958604748</v>
      </c>
      <c r="AW98">
        <v>6403.1993751628497</v>
      </c>
      <c r="AX98">
        <v>113123.18896121034</v>
      </c>
      <c r="AZ98">
        <v>113123.18896121034</v>
      </c>
      <c r="BB98">
        <v>113123.18896121034</v>
      </c>
      <c r="BD98">
        <v>113123.18896121034</v>
      </c>
      <c r="BF98">
        <v>113123.18896121034</v>
      </c>
      <c r="BH98">
        <v>113123.18896121034</v>
      </c>
      <c r="BJ98">
        <v>113123.18896121034</v>
      </c>
      <c r="BL98">
        <v>113123.18896121034</v>
      </c>
      <c r="BN98">
        <v>113123.18896121034</v>
      </c>
      <c r="BP98">
        <v>113123.18896121034</v>
      </c>
      <c r="BR98">
        <v>113123.18896121034</v>
      </c>
      <c r="BT98">
        <v>113123.18896121034</v>
      </c>
      <c r="BV98">
        <v>113123.18896121034</v>
      </c>
      <c r="BX98">
        <v>113123.18896121034</v>
      </c>
      <c r="BY98">
        <v>113123.19</v>
      </c>
      <c r="BZ98">
        <v>3793020.56</v>
      </c>
      <c r="CB98">
        <v>0.06</v>
      </c>
      <c r="CC98">
        <v>227581.23360000001</v>
      </c>
      <c r="CD98">
        <v>106335.79868774232</v>
      </c>
      <c r="CE98">
        <v>3565439.33</v>
      </c>
      <c r="CF98" t="s">
        <v>38</v>
      </c>
      <c r="CG98">
        <v>22000</v>
      </c>
      <c r="CH98">
        <v>128335.79868774232</v>
      </c>
      <c r="CI98">
        <v>737660</v>
      </c>
      <c r="CJ98">
        <v>4303099.33</v>
      </c>
      <c r="CK98" t="s">
        <v>57</v>
      </c>
      <c r="CL98" t="s">
        <v>978</v>
      </c>
      <c r="CN98">
        <v>0</v>
      </c>
      <c r="CO98" t="s">
        <v>39</v>
      </c>
      <c r="CP98" t="s">
        <v>39</v>
      </c>
      <c r="CQ98" t="b">
        <v>1</v>
      </c>
      <c r="CR98" t="s">
        <v>8950</v>
      </c>
      <c r="CS98" t="s">
        <v>1167</v>
      </c>
      <c r="CT98" t="s">
        <v>8960</v>
      </c>
      <c r="CU98" t="s">
        <v>8973</v>
      </c>
      <c r="CV98" t="s">
        <v>5966</v>
      </c>
      <c r="CW98" t="s">
        <v>4895</v>
      </c>
      <c r="CX98" t="s">
        <v>3246</v>
      </c>
      <c r="CY98">
        <v>0.96999999999999886</v>
      </c>
      <c r="CZ98">
        <v>124485.7247271099</v>
      </c>
      <c r="DA98">
        <v>4303099.33</v>
      </c>
      <c r="DB98" t="s">
        <v>38</v>
      </c>
      <c r="DC98" t="b">
        <v>1</v>
      </c>
      <c r="DD98">
        <v>4303099.33</v>
      </c>
      <c r="DE98">
        <v>0</v>
      </c>
      <c r="DF98" t="b">
        <v>1</v>
      </c>
      <c r="DG98" s="420" cm="1">
        <f t="array" ref="DG98">_xlfn.XLOOKUP("Дом 4"&amp;Реестр_Д4[[#This Row],[№]]&amp;Реестр_Д4[[#This Row],[Статус]],РД[Дом]&amp;РД[№ кв]&amp;РД[Состояние],РД[Дата подачи на регистрацию],"-",0)</f>
        <v>45184</v>
      </c>
    </row>
    <row r="99" spans="1:111" x14ac:dyDescent="0.25">
      <c r="A99">
        <v>98</v>
      </c>
      <c r="B99" t="s">
        <v>6</v>
      </c>
      <c r="C99">
        <v>14</v>
      </c>
      <c r="D99">
        <v>2</v>
      </c>
      <c r="E99">
        <v>2</v>
      </c>
      <c r="F99">
        <v>16.55</v>
      </c>
      <c r="G99">
        <v>14.04</v>
      </c>
      <c r="I99">
        <v>30.59</v>
      </c>
      <c r="J99">
        <v>13.35</v>
      </c>
      <c r="K99">
        <v>3.69</v>
      </c>
      <c r="L99">
        <v>1.92</v>
      </c>
      <c r="N99">
        <v>9.48</v>
      </c>
      <c r="O99">
        <v>2.91</v>
      </c>
      <c r="P99">
        <v>2.5499999999999998</v>
      </c>
      <c r="Q99">
        <v>5.46</v>
      </c>
      <c r="R99">
        <v>64.489999999999995</v>
      </c>
      <c r="S99">
        <v>59.029999999999994</v>
      </c>
      <c r="T99">
        <v>61.76</v>
      </c>
      <c r="U99">
        <v>63.1</v>
      </c>
      <c r="V99">
        <v>68639.199999999997</v>
      </c>
      <c r="W99">
        <v>3431.96</v>
      </c>
      <c r="X99">
        <v>72071.16</v>
      </c>
      <c r="Z99">
        <v>72071.16</v>
      </c>
      <c r="AA99">
        <v>3603.558</v>
      </c>
      <c r="AB99">
        <v>75674.717999999993</v>
      </c>
      <c r="AC99">
        <v>9.3079903140000013</v>
      </c>
      <c r="AD99">
        <v>75684.02599031401</v>
      </c>
      <c r="AF99">
        <v>75684.02599031401</v>
      </c>
      <c r="AH99">
        <v>75684.02599031401</v>
      </c>
      <c r="AI99">
        <v>1513.6805198062802</v>
      </c>
      <c r="AJ99">
        <v>77197.70651012029</v>
      </c>
      <c r="AK99">
        <v>2315.9311953036085</v>
      </c>
      <c r="AL99">
        <v>79513.637705423898</v>
      </c>
      <c r="AM99">
        <v>3180.545508216956</v>
      </c>
      <c r="AN99">
        <v>82694.183213640848</v>
      </c>
      <c r="AO99">
        <v>2480.8254964092253</v>
      </c>
      <c r="AP99">
        <v>85175.008710050068</v>
      </c>
      <c r="AQ99">
        <v>2555.2502613015017</v>
      </c>
      <c r="AR99">
        <v>87730.258971351563</v>
      </c>
      <c r="AT99">
        <v>87730.258971351563</v>
      </c>
      <c r="AU99">
        <v>2631.9077691405469</v>
      </c>
      <c r="AV99">
        <v>90362.166740492103</v>
      </c>
      <c r="AX99">
        <v>90362.166740492103</v>
      </c>
      <c r="AZ99">
        <v>90362.166740492103</v>
      </c>
      <c r="BB99">
        <v>90362.166740492103</v>
      </c>
      <c r="BD99">
        <v>90362.166740492103</v>
      </c>
      <c r="BF99">
        <v>90362.166740492103</v>
      </c>
      <c r="BG99">
        <v>1000</v>
      </c>
      <c r="BH99">
        <v>91362.166740492103</v>
      </c>
      <c r="BI99">
        <v>4568.1083370246051</v>
      </c>
      <c r="BJ99">
        <v>95930.275077516708</v>
      </c>
      <c r="BL99">
        <v>95930.275077516708</v>
      </c>
      <c r="BN99">
        <v>95930.275077516708</v>
      </c>
      <c r="BP99">
        <v>95930.275077516708</v>
      </c>
      <c r="BR99">
        <v>95930.275077516708</v>
      </c>
      <c r="BT99">
        <v>95930.275077516708</v>
      </c>
      <c r="BV99">
        <v>95930.275077516708</v>
      </c>
      <c r="BX99">
        <v>95930.275077516708</v>
      </c>
      <c r="BY99">
        <v>95930.28</v>
      </c>
      <c r="BZ99">
        <v>5924700</v>
      </c>
      <c r="CB99">
        <v>0.02</v>
      </c>
      <c r="CC99">
        <v>118494</v>
      </c>
      <c r="CD99">
        <v>94012.402849740931</v>
      </c>
      <c r="CE99">
        <v>5806206</v>
      </c>
      <c r="CF99" t="s">
        <v>36</v>
      </c>
      <c r="CH99">
        <v>94012.402849740931</v>
      </c>
      <c r="CI99">
        <v>0</v>
      </c>
      <c r="CJ99">
        <v>5806206</v>
      </c>
      <c r="CK99" t="s">
        <v>57</v>
      </c>
      <c r="CL99" t="s">
        <v>3540</v>
      </c>
      <c r="CN99">
        <v>0</v>
      </c>
      <c r="CO99" t="s">
        <v>39</v>
      </c>
      <c r="CP99" t="s">
        <v>39</v>
      </c>
      <c r="CQ99" t="b">
        <v>1</v>
      </c>
      <c r="CR99" t="s">
        <v>8950</v>
      </c>
      <c r="CS99" t="s">
        <v>1167</v>
      </c>
      <c r="CT99" t="s">
        <v>8960</v>
      </c>
      <c r="CU99" t="s">
        <v>8974</v>
      </c>
      <c r="CV99" t="s">
        <v>5967</v>
      </c>
      <c r="CW99" t="s">
        <v>6652</v>
      </c>
      <c r="CX99" t="s">
        <v>3246</v>
      </c>
      <c r="CY99">
        <v>1.3400000000000034</v>
      </c>
      <c r="CZ99">
        <v>125976.61981865315</v>
      </c>
      <c r="DA99">
        <v>5806206</v>
      </c>
      <c r="DB99" t="s">
        <v>36</v>
      </c>
      <c r="DC99" t="b">
        <v>1</v>
      </c>
      <c r="DD99">
        <v>5806206</v>
      </c>
      <c r="DE99">
        <v>0</v>
      </c>
      <c r="DF99" t="b">
        <v>1</v>
      </c>
      <c r="DG99" s="420" cm="1">
        <f t="array" ref="DG99">_xlfn.XLOOKUP("Дом 4"&amp;Реестр_Д4[[#This Row],[№]]&amp;Реестр_Д4[[#This Row],[Статус]],РД[Дом]&amp;РД[№ кв]&amp;РД[Состояние],РД[Дата подачи на регистрацию],"-",0)</f>
        <v>45348</v>
      </c>
    </row>
    <row r="100" spans="1:111" x14ac:dyDescent="0.25">
      <c r="A100">
        <v>99</v>
      </c>
      <c r="B100" t="s">
        <v>6</v>
      </c>
      <c r="C100">
        <v>14</v>
      </c>
      <c r="D100">
        <v>3</v>
      </c>
      <c r="E100">
        <v>1</v>
      </c>
      <c r="F100">
        <v>12.25</v>
      </c>
      <c r="I100">
        <v>12.25</v>
      </c>
      <c r="J100">
        <v>11.65</v>
      </c>
      <c r="K100">
        <v>3.67</v>
      </c>
      <c r="N100">
        <v>6.55</v>
      </c>
      <c r="O100">
        <v>2.83</v>
      </c>
      <c r="Q100">
        <v>2.83</v>
      </c>
      <c r="R100">
        <v>36.950000000000003</v>
      </c>
      <c r="S100">
        <v>34.120000000000005</v>
      </c>
      <c r="T100">
        <v>35.54</v>
      </c>
      <c r="U100">
        <v>36.6</v>
      </c>
      <c r="V100">
        <v>71400</v>
      </c>
      <c r="W100">
        <v>3570</v>
      </c>
      <c r="X100">
        <v>74970</v>
      </c>
      <c r="Y100">
        <v>2998.8</v>
      </c>
      <c r="Z100">
        <v>77968.800000000003</v>
      </c>
      <c r="AA100">
        <v>3898.440000000001</v>
      </c>
      <c r="AB100">
        <v>81867.240000000005</v>
      </c>
      <c r="AC100">
        <v>10.069670520000001</v>
      </c>
      <c r="AD100">
        <v>81877.309670520001</v>
      </c>
      <c r="AE100">
        <v>4093.8654835259999</v>
      </c>
      <c r="AF100">
        <v>85971.175154045995</v>
      </c>
      <c r="AH100">
        <v>85971.175154045995</v>
      </c>
      <c r="AI100">
        <v>2579.1352546213802</v>
      </c>
      <c r="AJ100">
        <v>88550.31040866737</v>
      </c>
      <c r="AK100">
        <v>885.50310408667372</v>
      </c>
      <c r="AL100">
        <v>89435.813512754044</v>
      </c>
      <c r="AM100">
        <v>1788.7162702550809</v>
      </c>
      <c r="AN100">
        <v>91224.529783009129</v>
      </c>
      <c r="AO100">
        <v>1824.4905956601824</v>
      </c>
      <c r="AP100">
        <v>93049.020378669316</v>
      </c>
      <c r="AQ100">
        <v>2791.4706113600796</v>
      </c>
      <c r="AR100">
        <v>95840.490990029415</v>
      </c>
      <c r="AT100">
        <v>95840.490990029415</v>
      </c>
      <c r="AV100">
        <v>95840.490990029415</v>
      </c>
      <c r="AX100">
        <v>95840.490990029415</v>
      </c>
      <c r="AZ100">
        <v>95840.490990029415</v>
      </c>
      <c r="BB100">
        <v>95840.490990029415</v>
      </c>
      <c r="BD100">
        <v>95840.490990029415</v>
      </c>
      <c r="BF100">
        <v>95840.490990029415</v>
      </c>
      <c r="BH100">
        <v>95840.490990029415</v>
      </c>
      <c r="BJ100">
        <v>95840.490990029415</v>
      </c>
      <c r="BL100">
        <v>95840.490990029415</v>
      </c>
      <c r="BN100">
        <v>95840.490990029415</v>
      </c>
      <c r="BP100">
        <v>95840.490990029415</v>
      </c>
      <c r="BR100">
        <v>95840.490990029415</v>
      </c>
      <c r="BT100">
        <v>95840.490990029415</v>
      </c>
      <c r="BV100">
        <v>95840.490990029415</v>
      </c>
      <c r="BX100">
        <v>95840.490990029415</v>
      </c>
      <c r="BY100">
        <v>95840.49</v>
      </c>
      <c r="BZ100">
        <v>3406171.01</v>
      </c>
      <c r="CC100">
        <v>0</v>
      </c>
      <c r="CD100">
        <v>95840.489870568374</v>
      </c>
      <c r="CE100">
        <v>3406171.01</v>
      </c>
      <c r="CF100" t="s">
        <v>37</v>
      </c>
      <c r="CG100">
        <v>4500</v>
      </c>
      <c r="CH100">
        <v>100340.48987056836</v>
      </c>
      <c r="CI100">
        <v>159930</v>
      </c>
      <c r="CJ100">
        <v>3566101.01</v>
      </c>
      <c r="CN100">
        <v>0</v>
      </c>
      <c r="CO100" t="s">
        <v>39</v>
      </c>
      <c r="CP100" t="s">
        <v>39</v>
      </c>
      <c r="CQ100" t="b">
        <v>1</v>
      </c>
      <c r="CR100" t="s">
        <v>8950</v>
      </c>
      <c r="CS100" t="s">
        <v>1167</v>
      </c>
      <c r="CT100" t="s">
        <v>8960</v>
      </c>
      <c r="CU100" t="s">
        <v>8973</v>
      </c>
      <c r="CV100" t="s">
        <v>5968</v>
      </c>
      <c r="CW100" t="s">
        <v>4895</v>
      </c>
      <c r="CX100" t="s">
        <v>3246</v>
      </c>
      <c r="CY100">
        <v>1.0600000000000025</v>
      </c>
      <c r="CZ100">
        <v>106360.91926280272</v>
      </c>
      <c r="DA100">
        <v>3566101.01</v>
      </c>
      <c r="DB100" t="s">
        <v>37</v>
      </c>
      <c r="DC100" t="b">
        <v>1</v>
      </c>
      <c r="DD100">
        <v>3566101.01</v>
      </c>
      <c r="DE100">
        <v>0</v>
      </c>
      <c r="DF100" t="b">
        <v>1</v>
      </c>
      <c r="DG100" s="420" cm="1">
        <f t="array" ref="DG100">_xlfn.XLOOKUP("Дом 4"&amp;Реестр_Д4[[#This Row],[№]]&amp;Реестр_Д4[[#This Row],[Статус]],РД[Дом]&amp;РД[№ кв]&amp;РД[Состояние],РД[Дата подачи на регистрацию],"-",0)</f>
        <v>45134</v>
      </c>
    </row>
    <row r="101" spans="1:111" x14ac:dyDescent="0.25">
      <c r="A101">
        <v>100</v>
      </c>
      <c r="B101" t="s">
        <v>6</v>
      </c>
      <c r="C101">
        <v>14</v>
      </c>
      <c r="D101">
        <v>4</v>
      </c>
      <c r="E101">
        <v>2</v>
      </c>
      <c r="F101">
        <v>14.61</v>
      </c>
      <c r="G101">
        <v>11.01</v>
      </c>
      <c r="I101">
        <v>25.62</v>
      </c>
      <c r="J101">
        <v>14.77</v>
      </c>
      <c r="K101">
        <v>2.85</v>
      </c>
      <c r="L101">
        <v>2.4900000000000002</v>
      </c>
      <c r="N101">
        <v>8.7899999999999991</v>
      </c>
      <c r="O101">
        <v>3.01</v>
      </c>
      <c r="Q101">
        <v>3.01</v>
      </c>
      <c r="R101">
        <v>57.53</v>
      </c>
      <c r="S101">
        <v>54.52</v>
      </c>
      <c r="T101">
        <v>56.03</v>
      </c>
      <c r="U101">
        <v>57.7</v>
      </c>
      <c r="V101">
        <v>67972.800000000003</v>
      </c>
      <c r="W101">
        <v>3398.6400000000003</v>
      </c>
      <c r="X101">
        <v>71371.44</v>
      </c>
      <c r="Z101">
        <v>71371.44</v>
      </c>
      <c r="AA101">
        <v>3568.5720000000001</v>
      </c>
      <c r="AB101">
        <v>74940.012000000002</v>
      </c>
      <c r="AC101">
        <v>9.2176214760000015</v>
      </c>
      <c r="AD101">
        <v>74949.229621475999</v>
      </c>
      <c r="AF101">
        <v>74949.229621475999</v>
      </c>
      <c r="AH101">
        <v>74949.229621475999</v>
      </c>
      <c r="AI101">
        <v>1498.98459242952</v>
      </c>
      <c r="AJ101">
        <v>76448.214213905521</v>
      </c>
      <c r="AK101">
        <v>764.48214213905521</v>
      </c>
      <c r="AL101">
        <v>77212.696356044573</v>
      </c>
      <c r="AN101">
        <v>77212.696356044573</v>
      </c>
      <c r="AP101">
        <v>77212.696356044573</v>
      </c>
      <c r="AR101">
        <v>77212.696356044573</v>
      </c>
      <c r="AT101">
        <v>77212.696356044573</v>
      </c>
      <c r="AV101">
        <v>77212.696356044573</v>
      </c>
      <c r="AX101">
        <v>77212.696356044573</v>
      </c>
      <c r="AZ101">
        <v>77212.696356044573</v>
      </c>
      <c r="BB101">
        <v>77212.696356044573</v>
      </c>
      <c r="BD101">
        <v>77212.696356044573</v>
      </c>
      <c r="BF101">
        <v>77212.696356044573</v>
      </c>
      <c r="BH101">
        <v>77212.696356044573</v>
      </c>
      <c r="BJ101">
        <v>77212.696356044573</v>
      </c>
      <c r="BL101">
        <v>77212.696356044573</v>
      </c>
      <c r="BN101">
        <v>77212.696356044573</v>
      </c>
      <c r="BP101">
        <v>77212.696356044573</v>
      </c>
      <c r="BR101">
        <v>77212.696356044573</v>
      </c>
      <c r="BT101">
        <v>77212.696356044573</v>
      </c>
      <c r="BV101">
        <v>77212.696356044573</v>
      </c>
      <c r="BX101">
        <v>77212.696356044573</v>
      </c>
      <c r="BY101">
        <v>77212.7</v>
      </c>
      <c r="BZ101">
        <v>4326227.58</v>
      </c>
      <c r="CC101">
        <v>0</v>
      </c>
      <c r="CD101">
        <v>77212.699982152422</v>
      </c>
      <c r="CE101">
        <v>4326227.58</v>
      </c>
      <c r="CF101" t="s">
        <v>37</v>
      </c>
      <c r="CG101">
        <v>4000</v>
      </c>
      <c r="CH101">
        <v>81212.699982152422</v>
      </c>
      <c r="CI101">
        <v>224120</v>
      </c>
      <c r="CJ101">
        <v>4550347.58</v>
      </c>
      <c r="CN101">
        <v>0</v>
      </c>
      <c r="CO101" t="s">
        <v>39</v>
      </c>
      <c r="CP101" t="s">
        <v>39</v>
      </c>
      <c r="CQ101" t="b">
        <v>1</v>
      </c>
      <c r="CR101" t="s">
        <v>8950</v>
      </c>
      <c r="CS101" t="s">
        <v>1167</v>
      </c>
      <c r="CT101" t="s">
        <v>8960</v>
      </c>
      <c r="CU101" t="s">
        <v>8971</v>
      </c>
      <c r="CV101" t="s">
        <v>5969</v>
      </c>
      <c r="CW101" t="s">
        <v>4895</v>
      </c>
      <c r="CX101" t="s">
        <v>3246</v>
      </c>
      <c r="CY101">
        <v>1.6700000000000017</v>
      </c>
      <c r="CZ101">
        <v>135625.20897019468</v>
      </c>
      <c r="DA101">
        <v>4550347.58</v>
      </c>
      <c r="DB101" t="s">
        <v>37</v>
      </c>
      <c r="DC101" t="b">
        <v>1</v>
      </c>
      <c r="DD101">
        <v>4550347.58</v>
      </c>
      <c r="DE101">
        <v>0</v>
      </c>
      <c r="DF101" t="b">
        <v>1</v>
      </c>
      <c r="DG101" s="420" cm="1">
        <f t="array" ref="DG101">_xlfn.XLOOKUP("Дом 4"&amp;Реестр_Д4[[#This Row],[№]]&amp;Реестр_Д4[[#This Row],[Статус]],РД[Дом]&amp;РД[№ кв]&amp;РД[Состояние],РД[Дата подачи на регистрацию],"-",0)</f>
        <v>45048</v>
      </c>
    </row>
    <row r="102" spans="1:111" x14ac:dyDescent="0.25">
      <c r="A102">
        <v>101</v>
      </c>
      <c r="B102" t="s">
        <v>6</v>
      </c>
      <c r="C102">
        <v>14</v>
      </c>
      <c r="D102">
        <v>5</v>
      </c>
      <c r="E102">
        <v>2</v>
      </c>
      <c r="F102">
        <v>14.86</v>
      </c>
      <c r="G102">
        <v>9.69</v>
      </c>
      <c r="I102">
        <v>24.55</v>
      </c>
      <c r="J102">
        <v>14.88</v>
      </c>
      <c r="K102">
        <v>2.83</v>
      </c>
      <c r="L102">
        <v>1.82</v>
      </c>
      <c r="N102">
        <v>9.26</v>
      </c>
      <c r="O102">
        <v>2.63</v>
      </c>
      <c r="Q102">
        <v>2.63</v>
      </c>
      <c r="R102">
        <v>55.97</v>
      </c>
      <c r="S102">
        <v>53.34</v>
      </c>
      <c r="T102">
        <v>54.66</v>
      </c>
      <c r="U102">
        <v>56.3</v>
      </c>
      <c r="V102">
        <v>67972.800000000003</v>
      </c>
      <c r="W102">
        <v>3398.6400000000003</v>
      </c>
      <c r="X102">
        <v>71371.44</v>
      </c>
      <c r="Z102">
        <v>71371.44</v>
      </c>
      <c r="AA102">
        <v>3568.5720000000001</v>
      </c>
      <c r="AB102">
        <v>74940.012000000002</v>
      </c>
      <c r="AC102">
        <v>9.2176214760000015</v>
      </c>
      <c r="AD102">
        <v>74949.229621475999</v>
      </c>
      <c r="AF102">
        <v>74949.229621475999</v>
      </c>
      <c r="AH102">
        <v>74949.229621475999</v>
      </c>
      <c r="AJ102">
        <v>74949.229621475999</v>
      </c>
      <c r="AL102">
        <v>74949.229621475999</v>
      </c>
      <c r="AN102">
        <v>74949.229621475999</v>
      </c>
      <c r="AP102">
        <v>74949.229621475999</v>
      </c>
      <c r="AR102">
        <v>74949.229621475999</v>
      </c>
      <c r="AT102">
        <v>74949.229621475999</v>
      </c>
      <c r="AV102">
        <v>74949.229621475999</v>
      </c>
      <c r="AX102">
        <v>74949.229621475999</v>
      </c>
      <c r="AZ102">
        <v>74949.229621475999</v>
      </c>
      <c r="BB102">
        <v>74949.229621475999</v>
      </c>
      <c r="BD102">
        <v>74949.229621475999</v>
      </c>
      <c r="BF102">
        <v>74949.229621475999</v>
      </c>
      <c r="BH102">
        <v>74949.229621475999</v>
      </c>
      <c r="BJ102">
        <v>74949.229621475999</v>
      </c>
      <c r="BL102">
        <v>74949.229621475999</v>
      </c>
      <c r="BN102">
        <v>74949.229621475999</v>
      </c>
      <c r="BP102">
        <v>74949.229621475999</v>
      </c>
      <c r="BR102">
        <v>74949.229621475999</v>
      </c>
      <c r="BT102">
        <v>74949.229621475999</v>
      </c>
      <c r="BV102">
        <v>74949.229621475999</v>
      </c>
      <c r="BX102">
        <v>74949.229621475999</v>
      </c>
      <c r="BY102">
        <v>74949.23</v>
      </c>
      <c r="BZ102">
        <v>4096724.91</v>
      </c>
      <c r="CB102">
        <v>0.05</v>
      </c>
      <c r="CC102">
        <v>204836.24549999999</v>
      </c>
      <c r="CD102">
        <v>71201.76838638859</v>
      </c>
      <c r="CE102">
        <v>3891888.66</v>
      </c>
      <c r="CF102" t="s">
        <v>37</v>
      </c>
      <c r="CG102">
        <v>7500</v>
      </c>
      <c r="CH102">
        <v>78701.76838638859</v>
      </c>
      <c r="CI102">
        <v>409950</v>
      </c>
      <c r="CJ102">
        <v>4301838.66</v>
      </c>
      <c r="CL102" t="s">
        <v>3540</v>
      </c>
      <c r="CN102">
        <v>0</v>
      </c>
      <c r="CO102" t="s">
        <v>39</v>
      </c>
      <c r="CP102" t="s">
        <v>39</v>
      </c>
      <c r="CQ102" t="b">
        <v>1</v>
      </c>
      <c r="CR102" t="s">
        <v>8950</v>
      </c>
      <c r="CS102" t="s">
        <v>1167</v>
      </c>
      <c r="CT102" t="s">
        <v>8960</v>
      </c>
      <c r="CU102" t="s">
        <v>8971</v>
      </c>
      <c r="CV102" t="s">
        <v>5970</v>
      </c>
      <c r="CW102" t="s">
        <v>4895</v>
      </c>
      <c r="CX102" t="s">
        <v>3246</v>
      </c>
      <c r="CY102">
        <v>1.6400000000000006</v>
      </c>
      <c r="CZ102">
        <v>129070.90015367731</v>
      </c>
      <c r="DA102">
        <v>4301838.66</v>
      </c>
      <c r="DB102" t="s">
        <v>37</v>
      </c>
      <c r="DC102" t="b">
        <v>1</v>
      </c>
      <c r="DD102">
        <v>4301838.66</v>
      </c>
      <c r="DE102">
        <v>0</v>
      </c>
      <c r="DF102" t="b">
        <v>1</v>
      </c>
      <c r="DG102" s="420" cm="1">
        <f t="array" ref="DG102">_xlfn.XLOOKUP("Дом 4"&amp;Реестр_Д4[[#This Row],[№]]&amp;Реестр_Д4[[#This Row],[Статус]],РД[Дом]&amp;РД[№ кв]&amp;РД[Состояние],РД[Дата подачи на регистрацию],"-",0)</f>
        <v>44904</v>
      </c>
    </row>
    <row r="103" spans="1:111" x14ac:dyDescent="0.25">
      <c r="A103">
        <v>102</v>
      </c>
      <c r="B103" t="s">
        <v>6</v>
      </c>
      <c r="C103">
        <v>14</v>
      </c>
      <c r="D103">
        <v>6</v>
      </c>
      <c r="E103">
        <v>2</v>
      </c>
      <c r="F103">
        <v>13.33</v>
      </c>
      <c r="G103">
        <v>13.23</v>
      </c>
      <c r="I103">
        <v>26.56</v>
      </c>
      <c r="J103">
        <v>16.25</v>
      </c>
      <c r="K103">
        <v>3.18</v>
      </c>
      <c r="L103">
        <v>2.14</v>
      </c>
      <c r="M103">
        <v>5.14</v>
      </c>
      <c r="N103">
        <v>5.19</v>
      </c>
      <c r="O103">
        <v>2.81</v>
      </c>
      <c r="Q103">
        <v>2.81</v>
      </c>
      <c r="R103">
        <v>61.27</v>
      </c>
      <c r="S103">
        <v>58.46</v>
      </c>
      <c r="T103">
        <v>59.87</v>
      </c>
      <c r="U103">
        <v>61.6</v>
      </c>
      <c r="V103">
        <v>73304</v>
      </c>
      <c r="W103">
        <v>3665.2</v>
      </c>
      <c r="X103">
        <v>76969.2</v>
      </c>
      <c r="Z103">
        <v>76969.2</v>
      </c>
      <c r="AA103">
        <v>3848.46</v>
      </c>
      <c r="AB103">
        <v>80817.66</v>
      </c>
      <c r="AC103">
        <v>9.940572180000002</v>
      </c>
      <c r="AD103">
        <v>80827.600572180003</v>
      </c>
      <c r="AF103">
        <v>80827.600572180003</v>
      </c>
      <c r="AH103">
        <v>80827.600572180003</v>
      </c>
      <c r="AI103">
        <v>1616.5520114435999</v>
      </c>
      <c r="AJ103">
        <v>82444.152583623596</v>
      </c>
      <c r="AK103">
        <v>2473.324577508708</v>
      </c>
      <c r="AL103">
        <v>84917.477161132309</v>
      </c>
      <c r="AM103">
        <v>3396.6990864452923</v>
      </c>
      <c r="AN103">
        <v>88314.176247577605</v>
      </c>
      <c r="AP103">
        <v>88314.176247577605</v>
      </c>
      <c r="AR103">
        <v>88314.176247577605</v>
      </c>
      <c r="AT103">
        <v>88314.176247577605</v>
      </c>
      <c r="AV103">
        <v>88314.176247577605</v>
      </c>
      <c r="AX103">
        <v>88314.176247577605</v>
      </c>
      <c r="AZ103">
        <v>88314.176247577605</v>
      </c>
      <c r="BB103">
        <v>88314.176247577605</v>
      </c>
      <c r="BD103">
        <v>88314.176247577605</v>
      </c>
      <c r="BF103">
        <v>88314.176247577605</v>
      </c>
      <c r="BH103">
        <v>88314.176247577605</v>
      </c>
      <c r="BJ103">
        <v>88314.176247577605</v>
      </c>
      <c r="BL103">
        <v>88314.176247577605</v>
      </c>
      <c r="BN103">
        <v>88314.176247577605</v>
      </c>
      <c r="BP103">
        <v>88314.176247577605</v>
      </c>
      <c r="BR103">
        <v>88314.176247577605</v>
      </c>
      <c r="BT103">
        <v>88314.176247577605</v>
      </c>
      <c r="BV103">
        <v>88314.176247577605</v>
      </c>
      <c r="BX103">
        <v>88314.176247577605</v>
      </c>
      <c r="BY103">
        <v>88314.18</v>
      </c>
      <c r="BZ103">
        <v>5287369.96</v>
      </c>
      <c r="CA103">
        <v>239480</v>
      </c>
      <c r="CC103">
        <v>239480</v>
      </c>
      <c r="CD103">
        <v>84314.180056789715</v>
      </c>
      <c r="CE103">
        <v>5047889.96</v>
      </c>
      <c r="CF103" t="s">
        <v>37</v>
      </c>
      <c r="CG103">
        <v>4000</v>
      </c>
      <c r="CH103">
        <v>88314.180056789715</v>
      </c>
      <c r="CI103">
        <v>239480</v>
      </c>
      <c r="CJ103">
        <v>5287369.96</v>
      </c>
      <c r="CK103" t="s">
        <v>57</v>
      </c>
      <c r="CL103" t="s">
        <v>4839</v>
      </c>
      <c r="CN103">
        <v>0</v>
      </c>
      <c r="CO103" t="s">
        <v>39</v>
      </c>
      <c r="CP103" t="s">
        <v>39</v>
      </c>
      <c r="CQ103" t="b">
        <v>1</v>
      </c>
      <c r="CR103" t="s">
        <v>8950</v>
      </c>
      <c r="CS103" t="s">
        <v>1167</v>
      </c>
      <c r="CT103" t="s">
        <v>8960</v>
      </c>
      <c r="CU103" t="s">
        <v>8971</v>
      </c>
      <c r="CV103" t="s">
        <v>5971</v>
      </c>
      <c r="CW103" t="s">
        <v>4895</v>
      </c>
      <c r="CX103" t="s">
        <v>3246</v>
      </c>
      <c r="CY103">
        <v>1.730000000000004</v>
      </c>
      <c r="CZ103">
        <v>152783.53149824656</v>
      </c>
      <c r="DA103">
        <v>5287369.96</v>
      </c>
      <c r="DB103" t="s">
        <v>37</v>
      </c>
      <c r="DC103" t="b">
        <v>1</v>
      </c>
      <c r="DD103">
        <v>5287369.96</v>
      </c>
      <c r="DE103">
        <v>0</v>
      </c>
      <c r="DF103" t="b">
        <v>1</v>
      </c>
      <c r="DG103" s="420" cm="1">
        <f t="array" ref="DG103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104" spans="1:111" x14ac:dyDescent="0.25">
      <c r="A104">
        <v>103</v>
      </c>
      <c r="B104" t="s">
        <v>6</v>
      </c>
      <c r="C104">
        <v>14</v>
      </c>
      <c r="D104">
        <v>7</v>
      </c>
      <c r="E104">
        <v>0</v>
      </c>
      <c r="F104">
        <v>8.2799999999999994</v>
      </c>
      <c r="I104">
        <v>8.2799999999999994</v>
      </c>
      <c r="J104">
        <v>5.3</v>
      </c>
      <c r="K104">
        <v>3.38</v>
      </c>
      <c r="N104">
        <v>3.17</v>
      </c>
      <c r="O104">
        <v>3.23</v>
      </c>
      <c r="Q104">
        <v>3.23</v>
      </c>
      <c r="R104">
        <v>23.36</v>
      </c>
      <c r="S104">
        <v>20.13</v>
      </c>
      <c r="T104">
        <v>21.75</v>
      </c>
      <c r="U104">
        <v>22.5</v>
      </c>
      <c r="V104">
        <v>75600</v>
      </c>
      <c r="W104">
        <v>3780</v>
      </c>
      <c r="X104">
        <v>79380</v>
      </c>
      <c r="Z104">
        <v>79380</v>
      </c>
      <c r="AB104">
        <v>79380</v>
      </c>
      <c r="AC104">
        <v>9.7637400000000003</v>
      </c>
      <c r="AD104">
        <v>79389.763739999995</v>
      </c>
      <c r="AE104">
        <v>3969.4881869999999</v>
      </c>
      <c r="AF104">
        <v>83359.25192699999</v>
      </c>
      <c r="AG104">
        <v>8335.9251926999987</v>
      </c>
      <c r="AH104">
        <v>91695.177119699991</v>
      </c>
      <c r="AJ104">
        <v>91695.177119699991</v>
      </c>
      <c r="AK104">
        <v>2750.8553135909997</v>
      </c>
      <c r="AL104">
        <v>94446.032433290995</v>
      </c>
      <c r="AM104">
        <v>3777.8412973316399</v>
      </c>
      <c r="AN104">
        <v>98223.873730622639</v>
      </c>
      <c r="AO104">
        <v>4911.1936865311318</v>
      </c>
      <c r="AP104">
        <v>103135.06741715375</v>
      </c>
      <c r="AQ104">
        <v>3094.0520225146129</v>
      </c>
      <c r="AR104">
        <v>106229.1194396684</v>
      </c>
      <c r="AS104">
        <v>5311.4559719834197</v>
      </c>
      <c r="AT104">
        <v>111540.57541165179</v>
      </c>
      <c r="AU104">
        <v>3346.2172623495539</v>
      </c>
      <c r="AV104">
        <v>114886.79267400136</v>
      </c>
      <c r="AW104">
        <v>6893.2075604400816</v>
      </c>
      <c r="AX104">
        <v>121780.00023444144</v>
      </c>
      <c r="AZ104">
        <v>121780.00023444144</v>
      </c>
      <c r="BA104">
        <v>3653.4000070332431</v>
      </c>
      <c r="BB104">
        <v>125433.40024147468</v>
      </c>
      <c r="BD104">
        <v>125433.40024147468</v>
      </c>
      <c r="BE104">
        <v>6271.6700120737351</v>
      </c>
      <c r="BF104">
        <v>131705.07025354842</v>
      </c>
      <c r="BH104">
        <v>131705.07025354842</v>
      </c>
      <c r="BI104">
        <v>6585.253512677421</v>
      </c>
      <c r="BJ104">
        <v>138290.32376622583</v>
      </c>
      <c r="BK104">
        <v>-7500</v>
      </c>
      <c r="BL104">
        <v>130790.32376622585</v>
      </c>
      <c r="BM104">
        <v>2615.8064753245167</v>
      </c>
      <c r="BN104">
        <v>133406.13024155036</v>
      </c>
      <c r="BO104">
        <v>6670.3065120775182</v>
      </c>
      <c r="BP104">
        <v>140076.43675362787</v>
      </c>
      <c r="BQ104">
        <v>500</v>
      </c>
      <c r="BR104">
        <v>140576.43675362787</v>
      </c>
      <c r="BT104">
        <v>140576.43675362787</v>
      </c>
      <c r="BV104">
        <v>140576.43675362787</v>
      </c>
      <c r="BX104">
        <v>140576.43675362787</v>
      </c>
      <c r="BY104">
        <v>140576.44</v>
      </c>
      <c r="BZ104">
        <v>3057600</v>
      </c>
      <c r="CC104">
        <v>0</v>
      </c>
      <c r="CD104">
        <v>140579.31034482759</v>
      </c>
      <c r="CE104">
        <v>3057600</v>
      </c>
      <c r="CF104" t="s">
        <v>38</v>
      </c>
      <c r="CG104">
        <v>22000</v>
      </c>
      <c r="CH104">
        <v>162579.31034482759</v>
      </c>
      <c r="CI104">
        <v>478500</v>
      </c>
      <c r="CJ104">
        <v>3536100</v>
      </c>
      <c r="CK104" t="s">
        <v>57</v>
      </c>
      <c r="CN104">
        <v>0</v>
      </c>
      <c r="CO104" t="s">
        <v>39</v>
      </c>
      <c r="CP104" t="s">
        <v>39</v>
      </c>
      <c r="CQ104" t="b">
        <v>1</v>
      </c>
      <c r="CR104" t="s">
        <v>8950</v>
      </c>
      <c r="CS104" t="s">
        <v>1167</v>
      </c>
      <c r="CT104" t="s">
        <v>8960</v>
      </c>
      <c r="CU104" t="s">
        <v>8970</v>
      </c>
      <c r="CV104" t="s">
        <v>5972</v>
      </c>
      <c r="CW104" t="s">
        <v>6652</v>
      </c>
      <c r="CX104" t="s">
        <v>3246</v>
      </c>
      <c r="CY104">
        <v>0.75</v>
      </c>
      <c r="CZ104">
        <v>121934.4827586207</v>
      </c>
      <c r="DA104">
        <v>3536100</v>
      </c>
      <c r="DB104" t="s">
        <v>38</v>
      </c>
      <c r="DC104" t="b">
        <v>1</v>
      </c>
      <c r="DD104">
        <v>3536100</v>
      </c>
      <c r="DE104">
        <v>0</v>
      </c>
      <c r="DF104" t="b">
        <v>1</v>
      </c>
      <c r="DG104" s="420" cm="1">
        <f t="array" ref="DG104">_xlfn.XLOOKUP("Дом 4"&amp;Реестр_Д4[[#This Row],[№]]&amp;Реестр_Д4[[#This Row],[Статус]],РД[Дом]&amp;РД[№ кв]&amp;РД[Состояние],РД[Дата подачи на регистрацию],"-",0)</f>
        <v>45442</v>
      </c>
    </row>
    <row r="105" spans="1:111" x14ac:dyDescent="0.25">
      <c r="A105">
        <v>104</v>
      </c>
      <c r="B105" t="s">
        <v>6</v>
      </c>
      <c r="C105">
        <v>14</v>
      </c>
      <c r="D105">
        <v>8</v>
      </c>
      <c r="E105">
        <v>0</v>
      </c>
      <c r="F105">
        <v>8.2899999999999991</v>
      </c>
      <c r="I105">
        <v>8.2899999999999991</v>
      </c>
      <c r="J105">
        <v>5.3</v>
      </c>
      <c r="K105">
        <v>3.38</v>
      </c>
      <c r="N105">
        <v>3.17</v>
      </c>
      <c r="O105">
        <v>3.17</v>
      </c>
      <c r="Q105">
        <v>3.17</v>
      </c>
      <c r="R105">
        <v>23.31</v>
      </c>
      <c r="S105">
        <v>20.14</v>
      </c>
      <c r="T105">
        <v>21.73</v>
      </c>
      <c r="U105">
        <v>22.5</v>
      </c>
      <c r="V105">
        <v>75600</v>
      </c>
      <c r="W105">
        <v>3780</v>
      </c>
      <c r="X105">
        <v>79380</v>
      </c>
      <c r="Z105">
        <v>79380</v>
      </c>
      <c r="AB105">
        <v>79380</v>
      </c>
      <c r="AC105">
        <v>9.7637400000000003</v>
      </c>
      <c r="AD105">
        <v>79389.763739999995</v>
      </c>
      <c r="AE105">
        <v>3969.4881869999999</v>
      </c>
      <c r="AF105">
        <v>83359.25192699999</v>
      </c>
      <c r="AG105">
        <v>8335.9251926999987</v>
      </c>
      <c r="AH105">
        <v>91695.177119699991</v>
      </c>
      <c r="AJ105">
        <v>91695.177119699991</v>
      </c>
      <c r="AK105">
        <v>2750.8553135909997</v>
      </c>
      <c r="AL105">
        <v>94446.032433290995</v>
      </c>
      <c r="AM105">
        <v>3777.8412973316399</v>
      </c>
      <c r="AN105">
        <v>98223.873730622639</v>
      </c>
      <c r="AO105">
        <v>4911.1936865311318</v>
      </c>
      <c r="AP105">
        <v>103135.06741715375</v>
      </c>
      <c r="AR105">
        <v>103135.06741715375</v>
      </c>
      <c r="AT105">
        <v>103135.06741715375</v>
      </c>
      <c r="AV105">
        <v>103135.06741715375</v>
      </c>
      <c r="AX105">
        <v>103135.06741715375</v>
      </c>
      <c r="AZ105">
        <v>103135.06741715375</v>
      </c>
      <c r="BB105">
        <v>103135.06741715375</v>
      </c>
      <c r="BD105">
        <v>103135.06741715375</v>
      </c>
      <c r="BF105">
        <v>103135.06741715375</v>
      </c>
      <c r="BH105">
        <v>103135.06741715375</v>
      </c>
      <c r="BJ105">
        <v>103135.06741715375</v>
      </c>
      <c r="BL105">
        <v>103135.06741715375</v>
      </c>
      <c r="BN105">
        <v>103135.06741715375</v>
      </c>
      <c r="BP105">
        <v>103135.06741715375</v>
      </c>
      <c r="BR105">
        <v>103135.06741715375</v>
      </c>
      <c r="BT105">
        <v>103135.06741715375</v>
      </c>
      <c r="BV105">
        <v>103135.06741715375</v>
      </c>
      <c r="BX105">
        <v>103135.06741715375</v>
      </c>
      <c r="BY105">
        <v>103135.07</v>
      </c>
      <c r="BZ105">
        <v>2241125.0699999998</v>
      </c>
      <c r="CC105">
        <v>0</v>
      </c>
      <c r="CD105">
        <v>103135.06994937873</v>
      </c>
      <c r="CE105">
        <v>2241125.0699999998</v>
      </c>
      <c r="CF105" t="s">
        <v>38</v>
      </c>
      <c r="CG105">
        <v>15000</v>
      </c>
      <c r="CH105">
        <v>118135.06994937873</v>
      </c>
      <c r="CI105">
        <v>325950</v>
      </c>
      <c r="CJ105">
        <v>2567075.0699999998</v>
      </c>
      <c r="CK105" t="s">
        <v>57</v>
      </c>
      <c r="CN105">
        <v>0</v>
      </c>
      <c r="CO105" t="s">
        <v>39</v>
      </c>
      <c r="CP105" t="s">
        <v>39</v>
      </c>
      <c r="CQ105" t="b">
        <v>1</v>
      </c>
      <c r="CR105" t="s">
        <v>8950</v>
      </c>
      <c r="CS105" t="s">
        <v>1167</v>
      </c>
      <c r="CT105" t="s">
        <v>8960</v>
      </c>
      <c r="CU105" t="s">
        <v>8970</v>
      </c>
      <c r="CV105" t="s">
        <v>5973</v>
      </c>
      <c r="CW105" t="s">
        <v>4895</v>
      </c>
      <c r="CX105" t="s">
        <v>3246</v>
      </c>
      <c r="CY105">
        <v>0.76999999999999957</v>
      </c>
      <c r="CZ105">
        <v>90964.003861021571</v>
      </c>
      <c r="DA105">
        <v>2567075.0699999998</v>
      </c>
      <c r="DB105" t="s">
        <v>38</v>
      </c>
      <c r="DC105" t="b">
        <v>1</v>
      </c>
      <c r="DD105">
        <v>2567075.0699999998</v>
      </c>
      <c r="DE105">
        <v>0</v>
      </c>
      <c r="DF105" t="b">
        <v>1</v>
      </c>
      <c r="DG105" s="420" cm="1">
        <f t="array" ref="DG105">_xlfn.XLOOKUP("Дом 4"&amp;Реестр_Д4[[#This Row],[№]]&amp;Реестр_Д4[[#This Row],[Статус]],РД[Дом]&amp;РД[№ кв]&amp;РД[Состояние],РД[Дата подачи на регистрацию],"-",0)</f>
        <v>45112</v>
      </c>
    </row>
    <row r="106" spans="1:111" x14ac:dyDescent="0.25">
      <c r="A106">
        <v>105</v>
      </c>
      <c r="B106" t="s">
        <v>6</v>
      </c>
      <c r="C106">
        <v>15</v>
      </c>
      <c r="D106">
        <v>1</v>
      </c>
      <c r="E106">
        <v>1</v>
      </c>
      <c r="F106">
        <v>13.93</v>
      </c>
      <c r="I106">
        <v>13.93</v>
      </c>
      <c r="J106">
        <v>9.18</v>
      </c>
      <c r="K106">
        <v>3.65</v>
      </c>
      <c r="N106">
        <v>5.52</v>
      </c>
      <c r="O106">
        <v>2.4900000000000002</v>
      </c>
      <c r="Q106">
        <v>2.4900000000000002</v>
      </c>
      <c r="R106">
        <v>34.770000000000003</v>
      </c>
      <c r="S106">
        <v>32.28</v>
      </c>
      <c r="T106">
        <v>33.53</v>
      </c>
      <c r="U106">
        <v>34.6</v>
      </c>
      <c r="V106">
        <v>70700</v>
      </c>
      <c r="W106">
        <v>3535</v>
      </c>
      <c r="X106">
        <v>74235</v>
      </c>
      <c r="Y106">
        <v>2969.4</v>
      </c>
      <c r="Z106">
        <v>77204.399999999994</v>
      </c>
      <c r="AA106">
        <v>3860.22</v>
      </c>
      <c r="AB106">
        <v>81064.62</v>
      </c>
      <c r="AC106">
        <v>9.9709482600000001</v>
      </c>
      <c r="AD106">
        <v>81074.590948259996</v>
      </c>
      <c r="AE106">
        <v>4053.7295474130001</v>
      </c>
      <c r="AF106">
        <v>85128.32049567299</v>
      </c>
      <c r="AH106">
        <v>85128.32049567299</v>
      </c>
      <c r="AI106">
        <v>2553.8496148701897</v>
      </c>
      <c r="AJ106">
        <v>87682.170110543186</v>
      </c>
      <c r="AL106">
        <v>87682.170110543186</v>
      </c>
      <c r="AN106">
        <v>87682.170110543186</v>
      </c>
      <c r="AP106">
        <v>87682.170110543186</v>
      </c>
      <c r="AR106">
        <v>87682.170110543186</v>
      </c>
      <c r="AT106">
        <v>87682.170110543186</v>
      </c>
      <c r="AV106">
        <v>87682.170110543186</v>
      </c>
      <c r="AX106">
        <v>87682.170110543186</v>
      </c>
      <c r="AZ106">
        <v>87682.170110543186</v>
      </c>
      <c r="BB106">
        <v>87682.170110543186</v>
      </c>
      <c r="BD106">
        <v>87682.170110543186</v>
      </c>
      <c r="BF106">
        <v>87682.170110543186</v>
      </c>
      <c r="BH106">
        <v>87682.170110543186</v>
      </c>
      <c r="BJ106">
        <v>87682.170110543186</v>
      </c>
      <c r="BL106">
        <v>87682.170110543186</v>
      </c>
      <c r="BN106">
        <v>87682.170110543186</v>
      </c>
      <c r="BP106">
        <v>87682.170110543186</v>
      </c>
      <c r="BR106">
        <v>87682.170110543186</v>
      </c>
      <c r="BT106">
        <v>87682.170110543186</v>
      </c>
      <c r="BV106">
        <v>87682.170110543186</v>
      </c>
      <c r="BX106">
        <v>87682.170110543186</v>
      </c>
      <c r="BY106">
        <v>87682.17</v>
      </c>
      <c r="BZ106">
        <v>2939983.16</v>
      </c>
      <c r="CC106">
        <v>0</v>
      </c>
      <c r="CD106">
        <v>87682.169997017598</v>
      </c>
      <c r="CE106">
        <v>2939983.16</v>
      </c>
      <c r="CF106" t="s">
        <v>38</v>
      </c>
      <c r="CG106">
        <v>15000</v>
      </c>
      <c r="CH106">
        <v>102682.1699970176</v>
      </c>
      <c r="CI106">
        <v>502950</v>
      </c>
      <c r="CJ106">
        <v>3442933.16</v>
      </c>
      <c r="CK106" t="s">
        <v>57</v>
      </c>
      <c r="CN106">
        <v>0</v>
      </c>
      <c r="CO106" t="s">
        <v>39</v>
      </c>
      <c r="CP106" t="s">
        <v>39</v>
      </c>
      <c r="CQ106" t="b">
        <v>1</v>
      </c>
      <c r="CR106" t="s">
        <v>8950</v>
      </c>
      <c r="CS106" t="s">
        <v>1167</v>
      </c>
      <c r="CT106" t="s">
        <v>8960</v>
      </c>
      <c r="CU106" t="s">
        <v>8973</v>
      </c>
      <c r="CV106" t="s">
        <v>5974</v>
      </c>
      <c r="CW106" t="s">
        <v>4895</v>
      </c>
      <c r="CX106" t="s">
        <v>3246</v>
      </c>
      <c r="CY106">
        <v>1.0700000000000005</v>
      </c>
      <c r="CZ106">
        <v>109869.92189680884</v>
      </c>
      <c r="DA106">
        <v>3442933.16</v>
      </c>
      <c r="DB106" t="s">
        <v>38</v>
      </c>
      <c r="DC106" t="b">
        <v>1</v>
      </c>
      <c r="DD106">
        <v>3442933.16</v>
      </c>
      <c r="DE106">
        <v>0</v>
      </c>
      <c r="DF106" t="b">
        <v>1</v>
      </c>
      <c r="DG106" s="420" cm="1">
        <f t="array" ref="DG106">_xlfn.XLOOKUP("Дом 4"&amp;Реестр_Д4[[#This Row],[№]]&amp;Реестр_Д4[[#This Row],[Статус]],РД[Дом]&amp;РД[№ кв]&amp;РД[Состояние],РД[Дата подачи на регистрацию],"-",0)</f>
        <v>45006</v>
      </c>
    </row>
    <row r="107" spans="1:111" x14ac:dyDescent="0.25">
      <c r="A107">
        <v>106</v>
      </c>
      <c r="B107" t="s">
        <v>6</v>
      </c>
      <c r="C107">
        <v>15</v>
      </c>
      <c r="D107">
        <v>2</v>
      </c>
      <c r="E107">
        <v>2</v>
      </c>
      <c r="F107">
        <v>16.55</v>
      </c>
      <c r="G107">
        <v>14.04</v>
      </c>
      <c r="I107">
        <v>30.59</v>
      </c>
      <c r="J107">
        <v>13.35</v>
      </c>
      <c r="K107">
        <v>3.69</v>
      </c>
      <c r="L107">
        <v>1.92</v>
      </c>
      <c r="N107">
        <v>9.48</v>
      </c>
      <c r="O107">
        <v>2.91</v>
      </c>
      <c r="P107">
        <v>2.5499999999999998</v>
      </c>
      <c r="Q107">
        <v>5.46</v>
      </c>
      <c r="R107">
        <v>64.489999999999995</v>
      </c>
      <c r="S107">
        <v>59.029999999999994</v>
      </c>
      <c r="T107">
        <v>61.76</v>
      </c>
      <c r="U107">
        <v>63.099999999999994</v>
      </c>
      <c r="V107">
        <v>69305.600000000006</v>
      </c>
      <c r="W107">
        <v>3465.2800000000007</v>
      </c>
      <c r="X107">
        <v>72770.880000000005</v>
      </c>
      <c r="Z107">
        <v>72770.880000000005</v>
      </c>
      <c r="AA107">
        <v>3638.5439999999999</v>
      </c>
      <c r="AB107">
        <v>76409.423999999999</v>
      </c>
      <c r="AC107">
        <v>9.3983591520000012</v>
      </c>
      <c r="AD107">
        <v>76418.822359152007</v>
      </c>
      <c r="AF107">
        <v>76418.822359152007</v>
      </c>
      <c r="AH107">
        <v>76418.822359152007</v>
      </c>
      <c r="AI107">
        <v>1528.37644718304</v>
      </c>
      <c r="AJ107">
        <v>77947.198806335029</v>
      </c>
      <c r="AK107">
        <v>2338.415964190051</v>
      </c>
      <c r="AL107">
        <v>80285.614770525077</v>
      </c>
      <c r="AN107">
        <v>80285.614770525077</v>
      </c>
      <c r="AP107">
        <v>80285.614770525077</v>
      </c>
      <c r="AR107">
        <v>80285.614770525077</v>
      </c>
      <c r="AT107">
        <v>80285.614770525077</v>
      </c>
      <c r="AV107">
        <v>80285.614770525077</v>
      </c>
      <c r="AX107">
        <v>80285.614770525077</v>
      </c>
      <c r="AZ107">
        <v>80285.614770525077</v>
      </c>
      <c r="BB107">
        <v>80285.614770525077</v>
      </c>
      <c r="BD107">
        <v>80285.614770525077</v>
      </c>
      <c r="BF107">
        <v>80285.614770525077</v>
      </c>
      <c r="BH107">
        <v>80285.614770525077</v>
      </c>
      <c r="BJ107">
        <v>80285.614770525077</v>
      </c>
      <c r="BL107">
        <v>80285.614770525077</v>
      </c>
      <c r="BN107">
        <v>80285.614770525077</v>
      </c>
      <c r="BP107">
        <v>80285.614770525077</v>
      </c>
      <c r="BR107">
        <v>80285.614770525077</v>
      </c>
      <c r="BT107">
        <v>80285.614770525077</v>
      </c>
      <c r="BV107">
        <v>80285.614770525077</v>
      </c>
      <c r="BX107">
        <v>80285.614770525077</v>
      </c>
      <c r="BY107">
        <v>80285.61</v>
      </c>
      <c r="BZ107">
        <v>4958439.2699999996</v>
      </c>
      <c r="CC107">
        <v>0</v>
      </c>
      <c r="CD107">
        <v>80285.609941709845</v>
      </c>
      <c r="CE107">
        <v>4958439.2699999996</v>
      </c>
      <c r="CF107" t="s">
        <v>37</v>
      </c>
      <c r="CG107">
        <v>4000</v>
      </c>
      <c r="CH107">
        <v>84285.609941709845</v>
      </c>
      <c r="CI107">
        <v>247040</v>
      </c>
      <c r="CJ107">
        <v>5205479.2699999996</v>
      </c>
      <c r="CK107" t="s">
        <v>57</v>
      </c>
      <c r="CN107">
        <v>0</v>
      </c>
      <c r="CO107" t="s">
        <v>39</v>
      </c>
      <c r="CP107" t="s">
        <v>39</v>
      </c>
      <c r="CQ107" t="b">
        <v>1</v>
      </c>
      <c r="CR107" t="s">
        <v>8950</v>
      </c>
      <c r="CS107" t="s">
        <v>1167</v>
      </c>
      <c r="CT107" t="s">
        <v>8960</v>
      </c>
      <c r="CU107" t="s">
        <v>8974</v>
      </c>
      <c r="CV107" t="s">
        <v>5975</v>
      </c>
      <c r="CW107" t="s">
        <v>4895</v>
      </c>
      <c r="CX107" t="s">
        <v>3246</v>
      </c>
      <c r="CY107">
        <v>1.3399999999999963</v>
      </c>
      <c r="CZ107">
        <v>112942.71732189089</v>
      </c>
      <c r="DA107">
        <v>5205479.2699999996</v>
      </c>
      <c r="DB107" t="s">
        <v>37</v>
      </c>
      <c r="DC107" t="b">
        <v>1</v>
      </c>
      <c r="DD107">
        <v>5205479.2699999996</v>
      </c>
      <c r="DE107">
        <v>0</v>
      </c>
      <c r="DF107" t="b">
        <v>1</v>
      </c>
      <c r="DG107" s="420" cm="1">
        <f t="array" ref="DG107">_xlfn.XLOOKUP("Дом 4"&amp;Реестр_Д4[[#This Row],[№]]&amp;Реестр_Д4[[#This Row],[Статус]],РД[Дом]&amp;РД[№ кв]&amp;РД[Состояние],РД[Дата подачи на регистрацию],"-",0)</f>
        <v>45042</v>
      </c>
    </row>
    <row r="108" spans="1:111" x14ac:dyDescent="0.25">
      <c r="A108">
        <v>107</v>
      </c>
      <c r="B108" t="s">
        <v>6</v>
      </c>
      <c r="C108">
        <v>15</v>
      </c>
      <c r="D108">
        <v>3</v>
      </c>
      <c r="E108">
        <v>1</v>
      </c>
      <c r="F108">
        <v>12.25</v>
      </c>
      <c r="I108">
        <v>12.25</v>
      </c>
      <c r="J108">
        <v>11.65</v>
      </c>
      <c r="K108">
        <v>3.67</v>
      </c>
      <c r="N108">
        <v>6.55</v>
      </c>
      <c r="O108">
        <v>2.83</v>
      </c>
      <c r="Q108">
        <v>2.83</v>
      </c>
      <c r="R108">
        <v>36.950000000000003</v>
      </c>
      <c r="S108">
        <v>34.120000000000005</v>
      </c>
      <c r="T108">
        <v>35.54</v>
      </c>
      <c r="U108">
        <v>36.9</v>
      </c>
      <c r="V108">
        <v>72100</v>
      </c>
      <c r="W108">
        <v>3605</v>
      </c>
      <c r="X108">
        <v>75705</v>
      </c>
      <c r="Y108">
        <v>3028.2000000000003</v>
      </c>
      <c r="Z108">
        <v>78733.2</v>
      </c>
      <c r="AA108">
        <v>3936.66</v>
      </c>
      <c r="AB108">
        <v>82669.86</v>
      </c>
      <c r="AC108">
        <v>10.16839278</v>
      </c>
      <c r="AD108">
        <v>82680.028392780005</v>
      </c>
      <c r="AE108">
        <v>4134.0014196390002</v>
      </c>
      <c r="AF108">
        <v>86814.029812419001</v>
      </c>
      <c r="AH108">
        <v>86814.029812419001</v>
      </c>
      <c r="AJ108">
        <v>86814.029812419001</v>
      </c>
      <c r="AL108">
        <v>86814.029812419001</v>
      </c>
      <c r="AN108">
        <v>86814.029812419001</v>
      </c>
      <c r="AP108">
        <v>86814.029812419001</v>
      </c>
      <c r="AR108">
        <v>86814.029812419001</v>
      </c>
      <c r="AT108">
        <v>86814.029812419001</v>
      </c>
      <c r="AV108">
        <v>86814.029812419001</v>
      </c>
      <c r="AX108">
        <v>86814.029812419001</v>
      </c>
      <c r="AZ108">
        <v>86814.029812419001</v>
      </c>
      <c r="BB108">
        <v>86814.029812419001</v>
      </c>
      <c r="BD108">
        <v>86814.029812419001</v>
      </c>
      <c r="BF108">
        <v>86814.029812419001</v>
      </c>
      <c r="BH108">
        <v>86814.029812419001</v>
      </c>
      <c r="BJ108">
        <v>86814.029812419001</v>
      </c>
      <c r="BL108">
        <v>86814.029812419001</v>
      </c>
      <c r="BN108">
        <v>86814.029812419001</v>
      </c>
      <c r="BP108">
        <v>86814.029812419001</v>
      </c>
      <c r="BR108">
        <v>86814.029812419001</v>
      </c>
      <c r="BT108">
        <v>86814.029812419001</v>
      </c>
      <c r="BV108">
        <v>86814.029812419001</v>
      </c>
      <c r="BX108">
        <v>86814.029812419001</v>
      </c>
      <c r="BY108">
        <v>86814.03</v>
      </c>
      <c r="BZ108">
        <v>3085370.63</v>
      </c>
      <c r="CC108">
        <v>0</v>
      </c>
      <c r="CD108">
        <v>86814.030106921782</v>
      </c>
      <c r="CE108">
        <v>3085370.63</v>
      </c>
      <c r="CF108" t="s">
        <v>38</v>
      </c>
      <c r="CG108">
        <v>15000</v>
      </c>
      <c r="CH108">
        <v>101814.03010692178</v>
      </c>
      <c r="CI108">
        <v>533100</v>
      </c>
      <c r="CJ108">
        <v>3618470.63</v>
      </c>
      <c r="CN108">
        <v>0</v>
      </c>
      <c r="CO108" t="s">
        <v>39</v>
      </c>
      <c r="CP108" t="s">
        <v>39</v>
      </c>
      <c r="CQ108" t="b">
        <v>1</v>
      </c>
      <c r="CR108" t="s">
        <v>8950</v>
      </c>
      <c r="CS108" t="s">
        <v>1167</v>
      </c>
      <c r="CT108" t="s">
        <v>8960</v>
      </c>
      <c r="CU108" t="s">
        <v>8973</v>
      </c>
      <c r="CV108" t="s">
        <v>5976</v>
      </c>
      <c r="CW108" t="s">
        <v>4895</v>
      </c>
      <c r="CX108" t="s">
        <v>3246</v>
      </c>
      <c r="CY108">
        <v>1.3599999999999994</v>
      </c>
      <c r="CZ108">
        <v>138467.08094541356</v>
      </c>
      <c r="DA108">
        <v>3618470.63</v>
      </c>
      <c r="DB108" t="s">
        <v>38</v>
      </c>
      <c r="DC108" t="b">
        <v>1</v>
      </c>
      <c r="DD108">
        <v>3618470.63</v>
      </c>
      <c r="DE108">
        <v>0</v>
      </c>
      <c r="DF108" t="b">
        <v>1</v>
      </c>
      <c r="DG108" s="420" cm="1">
        <f t="array" ref="DG108">_xlfn.XLOOKUP("Дом 4"&amp;Реестр_Д4[[#This Row],[№]]&amp;Реестр_Д4[[#This Row],[Статус]],РД[Дом]&amp;РД[№ кв]&amp;РД[Состояние],РД[Дата подачи на регистрацию],"-",0)</f>
        <v>44979</v>
      </c>
    </row>
    <row r="109" spans="1:111" x14ac:dyDescent="0.25">
      <c r="A109">
        <v>108</v>
      </c>
      <c r="B109" t="s">
        <v>6</v>
      </c>
      <c r="C109">
        <v>15</v>
      </c>
      <c r="D109">
        <v>4</v>
      </c>
      <c r="E109">
        <v>2</v>
      </c>
      <c r="F109">
        <v>14.61</v>
      </c>
      <c r="G109">
        <v>11.01</v>
      </c>
      <c r="I109">
        <v>25.62</v>
      </c>
      <c r="J109">
        <v>14.77</v>
      </c>
      <c r="K109">
        <v>2.85</v>
      </c>
      <c r="L109">
        <v>2.4900000000000002</v>
      </c>
      <c r="N109">
        <v>8.7899999999999991</v>
      </c>
      <c r="O109">
        <v>3.01</v>
      </c>
      <c r="Q109">
        <v>3.01</v>
      </c>
      <c r="R109">
        <v>57.53</v>
      </c>
      <c r="S109">
        <v>54.52</v>
      </c>
      <c r="T109">
        <v>56.03</v>
      </c>
      <c r="U109">
        <v>58.1</v>
      </c>
      <c r="V109">
        <v>68639.199999999997</v>
      </c>
      <c r="W109">
        <v>3431.96</v>
      </c>
      <c r="X109">
        <v>72071.16</v>
      </c>
      <c r="Z109">
        <v>72071.16</v>
      </c>
      <c r="AA109">
        <v>3603.558</v>
      </c>
      <c r="AB109">
        <v>75674.717999999993</v>
      </c>
      <c r="AC109">
        <v>9.3079903140000013</v>
      </c>
      <c r="AD109">
        <v>75684.02599031401</v>
      </c>
      <c r="AF109">
        <v>75684.02599031401</v>
      </c>
      <c r="AH109">
        <v>75684.02599031401</v>
      </c>
      <c r="AI109">
        <v>1513.6805198062802</v>
      </c>
      <c r="AJ109">
        <v>77197.70651012029</v>
      </c>
      <c r="AK109">
        <v>771.97706510120292</v>
      </c>
      <c r="AL109">
        <v>77969.683575221497</v>
      </c>
      <c r="AM109">
        <v>1559.3936715044299</v>
      </c>
      <c r="AN109">
        <v>79529.077246725923</v>
      </c>
      <c r="AO109">
        <v>2385.8723174017778</v>
      </c>
      <c r="AP109">
        <v>81914.949564127703</v>
      </c>
      <c r="AR109">
        <v>81914.949564127703</v>
      </c>
      <c r="AT109">
        <v>81914.949564127703</v>
      </c>
      <c r="AV109">
        <v>81914.949564127703</v>
      </c>
      <c r="AX109">
        <v>81914.949564127703</v>
      </c>
      <c r="AZ109">
        <v>81914.949564127703</v>
      </c>
      <c r="BB109">
        <v>81914.949564127703</v>
      </c>
      <c r="BD109">
        <v>81914.949564127703</v>
      </c>
      <c r="BF109">
        <v>81914.949564127703</v>
      </c>
      <c r="BH109">
        <v>81914.949564127703</v>
      </c>
      <c r="BJ109">
        <v>81914.949564127703</v>
      </c>
      <c r="BL109">
        <v>81914.949564127703</v>
      </c>
      <c r="BN109">
        <v>81914.949564127703</v>
      </c>
      <c r="BP109">
        <v>81914.949564127703</v>
      </c>
      <c r="BR109">
        <v>81914.949564127703</v>
      </c>
      <c r="BT109">
        <v>81914.949564127703</v>
      </c>
      <c r="BV109">
        <v>81914.949564127703</v>
      </c>
      <c r="BX109">
        <v>81914.949564127703</v>
      </c>
      <c r="BY109">
        <v>81914.95</v>
      </c>
      <c r="BZ109">
        <v>4589694.6500000004</v>
      </c>
      <c r="CA109">
        <v>120000</v>
      </c>
      <c r="CC109">
        <v>120000</v>
      </c>
      <c r="CD109">
        <v>79773.240228449053</v>
      </c>
      <c r="CE109">
        <v>4469694.6500000004</v>
      </c>
      <c r="CF109" t="s">
        <v>37</v>
      </c>
      <c r="CG109">
        <v>4000</v>
      </c>
      <c r="CH109">
        <v>83773.240228449053</v>
      </c>
      <c r="CI109">
        <v>224120</v>
      </c>
      <c r="CJ109">
        <v>4693814.6500000004</v>
      </c>
      <c r="CL109" t="s">
        <v>3515</v>
      </c>
      <c r="CN109">
        <v>0</v>
      </c>
      <c r="CO109" t="s">
        <v>39</v>
      </c>
      <c r="CP109" t="s">
        <v>39</v>
      </c>
      <c r="CQ109" t="b">
        <v>1</v>
      </c>
      <c r="CR109" t="s">
        <v>8950</v>
      </c>
      <c r="CS109" t="s">
        <v>1167</v>
      </c>
      <c r="CT109" t="s">
        <v>8960</v>
      </c>
      <c r="CU109" t="s">
        <v>8971</v>
      </c>
      <c r="CV109" t="s">
        <v>5977</v>
      </c>
      <c r="CW109" t="s">
        <v>4895</v>
      </c>
      <c r="CX109" t="s">
        <v>3246</v>
      </c>
      <c r="CY109">
        <v>2.0700000000000003</v>
      </c>
      <c r="CZ109">
        <v>173410.60727288955</v>
      </c>
      <c r="DA109">
        <v>4693814.6500000004</v>
      </c>
      <c r="DB109" t="s">
        <v>37</v>
      </c>
      <c r="DC109" t="b">
        <v>1</v>
      </c>
      <c r="DD109">
        <v>4693814.6500000004</v>
      </c>
      <c r="DE109">
        <v>0</v>
      </c>
      <c r="DF109" t="b">
        <v>1</v>
      </c>
      <c r="DG109" s="420" cm="1">
        <f t="array" ref="DG109">_xlfn.XLOOKUP("Дом 4"&amp;Реестр_Д4[[#This Row],[№]]&amp;Реестр_Д4[[#This Row],[Статус]],РД[Дом]&amp;РД[№ кв]&amp;РД[Состояние],РД[Дата подачи на регистрацию],"-",0)</f>
        <v>45079</v>
      </c>
    </row>
    <row r="110" spans="1:111" x14ac:dyDescent="0.25">
      <c r="A110">
        <v>109</v>
      </c>
      <c r="B110" t="s">
        <v>6</v>
      </c>
      <c r="C110">
        <v>15</v>
      </c>
      <c r="D110">
        <v>5</v>
      </c>
      <c r="E110">
        <v>2</v>
      </c>
      <c r="F110">
        <v>14.86</v>
      </c>
      <c r="G110">
        <v>9.69</v>
      </c>
      <c r="I110">
        <v>24.55</v>
      </c>
      <c r="J110">
        <v>14.88</v>
      </c>
      <c r="K110">
        <v>2.83</v>
      </c>
      <c r="L110">
        <v>1.82</v>
      </c>
      <c r="N110">
        <v>9.26</v>
      </c>
      <c r="O110">
        <v>2.63</v>
      </c>
      <c r="Q110">
        <v>2.63</v>
      </c>
      <c r="R110">
        <v>55.97</v>
      </c>
      <c r="S110">
        <v>53.34</v>
      </c>
      <c r="T110">
        <v>54.66</v>
      </c>
      <c r="U110">
        <v>56.7</v>
      </c>
      <c r="V110">
        <v>68639.199999999997</v>
      </c>
      <c r="W110">
        <v>3431.96</v>
      </c>
      <c r="X110">
        <v>72071.16</v>
      </c>
      <c r="Z110">
        <v>72071.16</v>
      </c>
      <c r="AA110">
        <v>3603.558</v>
      </c>
      <c r="AB110">
        <v>75674.717999999993</v>
      </c>
      <c r="AC110">
        <v>9.3079903140000013</v>
      </c>
      <c r="AD110">
        <v>75684.02599031401</v>
      </c>
      <c r="AF110">
        <v>75684.02599031401</v>
      </c>
      <c r="AH110">
        <v>75684.02599031401</v>
      </c>
      <c r="AI110">
        <v>1513.6805198062802</v>
      </c>
      <c r="AJ110">
        <v>77197.70651012029</v>
      </c>
      <c r="AK110">
        <v>771.97706510120292</v>
      </c>
      <c r="AL110">
        <v>77969.683575221497</v>
      </c>
      <c r="AM110">
        <v>1559.3936715044299</v>
      </c>
      <c r="AN110">
        <v>79529.077246725923</v>
      </c>
      <c r="AO110">
        <v>2385.8723174017778</v>
      </c>
      <c r="AP110">
        <v>81914.949564127703</v>
      </c>
      <c r="AQ110">
        <v>2457.4484869238308</v>
      </c>
      <c r="AR110">
        <v>84372.398051051539</v>
      </c>
      <c r="AT110">
        <v>84372.398051051539</v>
      </c>
      <c r="AU110">
        <v>2531.1719415315461</v>
      </c>
      <c r="AV110">
        <v>86903.569992583085</v>
      </c>
      <c r="AX110">
        <v>86903.569992583085</v>
      </c>
      <c r="AZ110">
        <v>86903.569992583085</v>
      </c>
      <c r="BB110">
        <v>86903.569992583085</v>
      </c>
      <c r="BD110">
        <v>86903.569992583085</v>
      </c>
      <c r="BF110">
        <v>86903.569992583085</v>
      </c>
      <c r="BG110">
        <v>3000</v>
      </c>
      <c r="BH110">
        <v>89903.569992583085</v>
      </c>
      <c r="BJ110">
        <v>89903.569992583085</v>
      </c>
      <c r="BL110">
        <v>89903.569992583085</v>
      </c>
      <c r="BN110">
        <v>89903.569992583085</v>
      </c>
      <c r="BP110">
        <v>89903.569992583085</v>
      </c>
      <c r="BR110">
        <v>89903.569992583085</v>
      </c>
      <c r="BT110">
        <v>89903.569992583085</v>
      </c>
      <c r="BV110">
        <v>89903.569992583085</v>
      </c>
      <c r="BX110">
        <v>89903.569992583085</v>
      </c>
      <c r="BY110">
        <v>89903.57</v>
      </c>
      <c r="BZ110">
        <v>4914200</v>
      </c>
      <c r="CB110">
        <v>0.03</v>
      </c>
      <c r="CC110">
        <v>147426</v>
      </c>
      <c r="CD110">
        <v>87207.720453713875</v>
      </c>
      <c r="CE110">
        <v>4766774</v>
      </c>
      <c r="CF110" t="s">
        <v>37</v>
      </c>
      <c r="CG110">
        <v>7500</v>
      </c>
      <c r="CH110">
        <v>94707.720453713875</v>
      </c>
      <c r="CI110">
        <v>409950</v>
      </c>
      <c r="CJ110">
        <v>5176724</v>
      </c>
      <c r="CL110" t="s">
        <v>6840</v>
      </c>
      <c r="CN110">
        <v>0</v>
      </c>
      <c r="CO110" t="s">
        <v>39</v>
      </c>
      <c r="CP110" t="s">
        <v>39</v>
      </c>
      <c r="CQ110" t="b">
        <v>1</v>
      </c>
      <c r="CR110" t="s">
        <v>8950</v>
      </c>
      <c r="CS110" t="s">
        <v>1167</v>
      </c>
      <c r="CT110" t="s">
        <v>8960</v>
      </c>
      <c r="CU110" t="s">
        <v>8971</v>
      </c>
      <c r="CV110" t="s">
        <v>5978</v>
      </c>
      <c r="CW110" t="s">
        <v>6652</v>
      </c>
      <c r="CX110" t="s">
        <v>3246</v>
      </c>
      <c r="CY110">
        <v>2.0399999999999991</v>
      </c>
      <c r="CZ110">
        <v>193203.74972557623</v>
      </c>
      <c r="DA110">
        <v>5176724</v>
      </c>
      <c r="DB110" t="s">
        <v>37</v>
      </c>
      <c r="DC110" t="b">
        <v>1</v>
      </c>
      <c r="DD110">
        <v>5176724</v>
      </c>
      <c r="DE110">
        <v>0</v>
      </c>
      <c r="DF110" t="b">
        <v>1</v>
      </c>
      <c r="DG110" s="420" cm="1">
        <f t="array" ref="DG110">_xlfn.XLOOKUP("Дом 4"&amp;Реестр_Д4[[#This Row],[№]]&amp;Реестр_Д4[[#This Row],[Статус]],РД[Дом]&amp;РД[№ кв]&amp;РД[Состояние],РД[Дата подачи на регистрацию],"-",0)</f>
        <v>45288</v>
      </c>
    </row>
    <row r="111" spans="1:111" x14ac:dyDescent="0.25">
      <c r="A111">
        <v>110</v>
      </c>
      <c r="B111" t="s">
        <v>6</v>
      </c>
      <c r="C111">
        <v>15</v>
      </c>
      <c r="D111">
        <v>6</v>
      </c>
      <c r="E111">
        <v>2</v>
      </c>
      <c r="F111">
        <v>13.33</v>
      </c>
      <c r="G111">
        <v>13.23</v>
      </c>
      <c r="I111">
        <v>26.56</v>
      </c>
      <c r="J111">
        <v>16.25</v>
      </c>
      <c r="K111">
        <v>3.18</v>
      </c>
      <c r="L111">
        <v>2.14</v>
      </c>
      <c r="M111">
        <v>5.14</v>
      </c>
      <c r="N111">
        <v>5.19</v>
      </c>
      <c r="O111">
        <v>2.81</v>
      </c>
      <c r="Q111">
        <v>2.81</v>
      </c>
      <c r="R111">
        <v>61.27</v>
      </c>
      <c r="S111">
        <v>58.46</v>
      </c>
      <c r="T111">
        <v>59.87</v>
      </c>
      <c r="U111">
        <v>61.599999999999994</v>
      </c>
      <c r="V111">
        <v>73304</v>
      </c>
      <c r="W111">
        <v>3665.2</v>
      </c>
      <c r="X111">
        <v>76969.2</v>
      </c>
      <c r="Z111">
        <v>76969.2</v>
      </c>
      <c r="AA111">
        <v>3848.46</v>
      </c>
      <c r="AB111">
        <v>80817.66</v>
      </c>
      <c r="AC111">
        <v>9.940572180000002</v>
      </c>
      <c r="AD111">
        <v>80827.600572180003</v>
      </c>
      <c r="AF111">
        <v>80827.600572180003</v>
      </c>
      <c r="AH111">
        <v>80827.600572180003</v>
      </c>
      <c r="AI111">
        <v>1616.5520114435999</v>
      </c>
      <c r="AJ111">
        <v>82444.152583623596</v>
      </c>
      <c r="AK111">
        <v>2473.324577508708</v>
      </c>
      <c r="AL111">
        <v>84917.477161132309</v>
      </c>
      <c r="AM111">
        <v>3396.6990864452923</v>
      </c>
      <c r="AN111">
        <v>88314.176247577605</v>
      </c>
      <c r="AP111">
        <v>88314.176247577605</v>
      </c>
      <c r="AQ111">
        <v>2649.4252874273279</v>
      </c>
      <c r="AR111">
        <v>90963.601535004927</v>
      </c>
      <c r="AT111">
        <v>90963.601535004927</v>
      </c>
      <c r="AU111">
        <v>2728.9080460501477</v>
      </c>
      <c r="AV111">
        <v>93692.509581055085</v>
      </c>
      <c r="AX111">
        <v>93692.509581055085</v>
      </c>
      <c r="AZ111">
        <v>93692.509581055085</v>
      </c>
      <c r="BB111">
        <v>93692.509581055085</v>
      </c>
      <c r="BD111">
        <v>93692.509581055085</v>
      </c>
      <c r="BF111">
        <v>93692.509581055085</v>
      </c>
      <c r="BH111">
        <v>93692.509581055085</v>
      </c>
      <c r="BJ111">
        <v>93692.509581055085</v>
      </c>
      <c r="BL111">
        <v>93692.509581055085</v>
      </c>
      <c r="BN111">
        <v>93692.509581055085</v>
      </c>
      <c r="BP111">
        <v>93692.509581055085</v>
      </c>
      <c r="BR111">
        <v>93692.509581055085</v>
      </c>
      <c r="BT111">
        <v>93692.509581055085</v>
      </c>
      <c r="BV111">
        <v>93692.509581055085</v>
      </c>
      <c r="BX111">
        <v>93692.509581055085</v>
      </c>
      <c r="BY111">
        <v>93692.51</v>
      </c>
      <c r="BZ111">
        <v>5609370.5700000003</v>
      </c>
      <c r="CB111">
        <v>0.02</v>
      </c>
      <c r="CC111">
        <v>112187.4114</v>
      </c>
      <c r="CD111">
        <v>91818.659762819443</v>
      </c>
      <c r="CE111">
        <v>5497183.1600000001</v>
      </c>
      <c r="CF111" t="s">
        <v>36</v>
      </c>
      <c r="CH111">
        <v>91818.659762819443</v>
      </c>
      <c r="CI111">
        <v>0</v>
      </c>
      <c r="CJ111">
        <v>5497183.1600000001</v>
      </c>
      <c r="CK111" t="s">
        <v>57</v>
      </c>
      <c r="CL111" t="s">
        <v>3540</v>
      </c>
      <c r="CN111">
        <v>0</v>
      </c>
      <c r="CO111" t="s">
        <v>39</v>
      </c>
      <c r="CP111" t="s">
        <v>39</v>
      </c>
      <c r="CQ111" t="b">
        <v>1</v>
      </c>
      <c r="CR111" t="s">
        <v>8950</v>
      </c>
      <c r="CS111" t="s">
        <v>1167</v>
      </c>
      <c r="CT111" t="s">
        <v>8960</v>
      </c>
      <c r="CU111" t="s">
        <v>8971</v>
      </c>
      <c r="CV111" t="s">
        <v>5979</v>
      </c>
      <c r="CW111" t="s">
        <v>4895</v>
      </c>
      <c r="CX111" t="s">
        <v>3246</v>
      </c>
      <c r="CY111">
        <v>1.7299999999999969</v>
      </c>
      <c r="CZ111">
        <v>158846.28138967734</v>
      </c>
      <c r="DA111">
        <v>5497183.1600000001</v>
      </c>
      <c r="DB111" t="s">
        <v>36</v>
      </c>
      <c r="DC111" t="b">
        <v>1</v>
      </c>
      <c r="DD111">
        <v>5497183.1600000001</v>
      </c>
      <c r="DE111">
        <v>0</v>
      </c>
      <c r="DF111" t="b">
        <v>1</v>
      </c>
      <c r="DG111" s="420" cm="1">
        <f t="array" ref="DG111">_xlfn.XLOOKUP("Дом 4"&amp;Реестр_Д4[[#This Row],[№]]&amp;Реестр_Д4[[#This Row],[Статус]],РД[Дом]&amp;РД[№ кв]&amp;РД[Состояние],РД[Дата подачи на регистрацию],"-",0)</f>
        <v>45257</v>
      </c>
    </row>
    <row r="112" spans="1:111" x14ac:dyDescent="0.25">
      <c r="A112">
        <v>111</v>
      </c>
      <c r="B112" t="s">
        <v>6</v>
      </c>
      <c r="C112">
        <v>15</v>
      </c>
      <c r="D112">
        <v>7</v>
      </c>
      <c r="E112">
        <v>0</v>
      </c>
      <c r="F112">
        <v>8.2799999999999994</v>
      </c>
      <c r="I112">
        <v>8.2799999999999994</v>
      </c>
      <c r="J112">
        <v>5.3</v>
      </c>
      <c r="K112">
        <v>3.38</v>
      </c>
      <c r="N112">
        <v>3.17</v>
      </c>
      <c r="O112">
        <v>3.23</v>
      </c>
      <c r="Q112">
        <v>3.23</v>
      </c>
      <c r="R112">
        <v>23.36</v>
      </c>
      <c r="S112">
        <v>20.13</v>
      </c>
      <c r="T112">
        <v>21.75</v>
      </c>
      <c r="U112">
        <v>22.6</v>
      </c>
      <c r="V112">
        <v>75600</v>
      </c>
      <c r="X112">
        <v>75600</v>
      </c>
      <c r="Z112">
        <v>75600</v>
      </c>
      <c r="AB112">
        <v>75600</v>
      </c>
      <c r="AD112">
        <v>75600</v>
      </c>
      <c r="AF112">
        <v>75600</v>
      </c>
      <c r="AH112">
        <v>75600</v>
      </c>
      <c r="AJ112">
        <v>75600</v>
      </c>
      <c r="AL112">
        <v>75600</v>
      </c>
      <c r="AN112">
        <v>75600</v>
      </c>
      <c r="AP112">
        <v>75600</v>
      </c>
      <c r="AR112">
        <v>75600</v>
      </c>
      <c r="AT112">
        <v>75600</v>
      </c>
      <c r="AV112">
        <v>75600</v>
      </c>
      <c r="AX112">
        <v>75600</v>
      </c>
      <c r="AZ112">
        <v>75600</v>
      </c>
      <c r="BB112">
        <v>75600</v>
      </c>
      <c r="BD112">
        <v>75600</v>
      </c>
      <c r="BF112">
        <v>75600</v>
      </c>
      <c r="BH112">
        <v>75600</v>
      </c>
      <c r="BJ112">
        <v>75600</v>
      </c>
      <c r="BL112">
        <v>75600</v>
      </c>
      <c r="BN112">
        <v>75600</v>
      </c>
      <c r="BP112">
        <v>75600</v>
      </c>
      <c r="BR112">
        <v>75600</v>
      </c>
      <c r="BT112">
        <v>75600</v>
      </c>
      <c r="BV112">
        <v>75600</v>
      </c>
      <c r="BX112">
        <v>75600</v>
      </c>
      <c r="BY112">
        <v>75600</v>
      </c>
      <c r="BZ112">
        <v>1644300</v>
      </c>
      <c r="CC112">
        <v>0</v>
      </c>
      <c r="CD112">
        <v>75600</v>
      </c>
      <c r="CE112">
        <v>1644300</v>
      </c>
      <c r="CF112" t="s">
        <v>37</v>
      </c>
      <c r="CG112">
        <v>7500</v>
      </c>
      <c r="CH112">
        <v>83100</v>
      </c>
      <c r="CI112">
        <v>163125</v>
      </c>
      <c r="CJ112">
        <v>1807425</v>
      </c>
      <c r="CK112" t="s">
        <v>57</v>
      </c>
      <c r="CN112">
        <v>0</v>
      </c>
      <c r="CO112" t="s">
        <v>39</v>
      </c>
      <c r="CP112" t="s">
        <v>39</v>
      </c>
      <c r="CQ112" t="b">
        <v>1</v>
      </c>
      <c r="CR112" t="s">
        <v>8950</v>
      </c>
      <c r="CS112" t="s">
        <v>1167</v>
      </c>
      <c r="CT112" t="s">
        <v>8960</v>
      </c>
      <c r="CU112" t="s">
        <v>8970</v>
      </c>
      <c r="CV112" t="s">
        <v>5980</v>
      </c>
      <c r="CW112" t="s">
        <v>4895</v>
      </c>
      <c r="CX112" t="s">
        <v>3246</v>
      </c>
      <c r="CY112">
        <v>0.84999999999999787</v>
      </c>
      <c r="CZ112">
        <v>70634.999999999825</v>
      </c>
      <c r="DA112">
        <v>1807425</v>
      </c>
      <c r="DB112" t="s">
        <v>37</v>
      </c>
      <c r="DC112" t="b">
        <v>1</v>
      </c>
      <c r="DD112">
        <v>1807425</v>
      </c>
      <c r="DE112">
        <v>0</v>
      </c>
      <c r="DF112" t="b">
        <v>1</v>
      </c>
      <c r="DG112" s="420" cm="1">
        <f t="array" ref="DG112">_xlfn.XLOOKUP("Дом 4"&amp;Реестр_Д4[[#This Row],[№]]&amp;Реестр_Д4[[#This Row],[Статус]],РД[Дом]&amp;РД[№ кв]&amp;РД[Состояние],РД[Дата подачи на регистрацию],"-",0)</f>
        <v>44774</v>
      </c>
    </row>
    <row r="113" spans="1:111" x14ac:dyDescent="0.25">
      <c r="A113">
        <v>112</v>
      </c>
      <c r="B113" t="s">
        <v>6</v>
      </c>
      <c r="C113">
        <v>15</v>
      </c>
      <c r="D113">
        <v>8</v>
      </c>
      <c r="E113">
        <v>0</v>
      </c>
      <c r="F113">
        <v>8.2899999999999991</v>
      </c>
      <c r="I113">
        <v>8.2899999999999991</v>
      </c>
      <c r="J113">
        <v>5.3</v>
      </c>
      <c r="K113">
        <v>3.38</v>
      </c>
      <c r="N113">
        <v>3.17</v>
      </c>
      <c r="O113">
        <v>3.17</v>
      </c>
      <c r="Q113">
        <v>3.17</v>
      </c>
      <c r="R113">
        <v>23.31</v>
      </c>
      <c r="S113">
        <v>20.14</v>
      </c>
      <c r="T113">
        <v>21.73</v>
      </c>
      <c r="U113">
        <v>22.3</v>
      </c>
      <c r="V113">
        <v>75600</v>
      </c>
      <c r="W113">
        <v>3780</v>
      </c>
      <c r="X113">
        <v>79380</v>
      </c>
      <c r="Z113">
        <v>79380</v>
      </c>
      <c r="AB113">
        <v>79380</v>
      </c>
      <c r="AC113">
        <v>9.7637400000000003</v>
      </c>
      <c r="AD113">
        <v>79389.763739999995</v>
      </c>
      <c r="AE113">
        <v>3969.4881869999999</v>
      </c>
      <c r="AF113">
        <v>83359.25192699999</v>
      </c>
      <c r="AG113">
        <v>8335.9251926999987</v>
      </c>
      <c r="AH113">
        <v>91695.177119699991</v>
      </c>
      <c r="AJ113">
        <v>91695.177119699991</v>
      </c>
      <c r="AK113">
        <v>2750.8553135909997</v>
      </c>
      <c r="AL113">
        <v>94446.032433290995</v>
      </c>
      <c r="AM113">
        <v>3777.8412973316399</v>
      </c>
      <c r="AN113">
        <v>98223.873730622639</v>
      </c>
      <c r="AO113">
        <v>4911.1936865311318</v>
      </c>
      <c r="AP113">
        <v>103135.06741715375</v>
      </c>
      <c r="AQ113">
        <v>3094.0520225146129</v>
      </c>
      <c r="AR113">
        <v>106229.1194396684</v>
      </c>
      <c r="AS113">
        <v>5311.4559719834197</v>
      </c>
      <c r="AT113">
        <v>111540.57541165179</v>
      </c>
      <c r="AU113">
        <v>3346.2172623495539</v>
      </c>
      <c r="AV113">
        <v>114886.79267400136</v>
      </c>
      <c r="AW113">
        <v>6893.2075604400816</v>
      </c>
      <c r="AX113">
        <v>121780.00023444144</v>
      </c>
      <c r="AZ113">
        <v>121780.00023444144</v>
      </c>
      <c r="BA113">
        <v>3653.4000070332431</v>
      </c>
      <c r="BB113">
        <v>125433.40024147468</v>
      </c>
      <c r="BD113">
        <v>125433.40024147468</v>
      </c>
      <c r="BE113">
        <v>6271.6700120737351</v>
      </c>
      <c r="BF113">
        <v>131705.07025354842</v>
      </c>
      <c r="BH113">
        <v>131705.07025354842</v>
      </c>
      <c r="BI113">
        <v>6585.253512677421</v>
      </c>
      <c r="BJ113">
        <v>138290.32376622583</v>
      </c>
      <c r="BK113">
        <v>-7500</v>
      </c>
      <c r="BL113">
        <v>130790.32376622585</v>
      </c>
      <c r="BM113">
        <v>2615.8064753245167</v>
      </c>
      <c r="BN113">
        <v>133406.13024155036</v>
      </c>
      <c r="BO113">
        <v>6670.3065120775182</v>
      </c>
      <c r="BP113">
        <v>140076.43675362787</v>
      </c>
      <c r="BQ113">
        <v>500</v>
      </c>
      <c r="BR113">
        <v>140576.43675362787</v>
      </c>
      <c r="BT113">
        <v>140576.43675362787</v>
      </c>
      <c r="BV113">
        <v>140576.43675362787</v>
      </c>
      <c r="BX113">
        <v>140576.43675362787</v>
      </c>
      <c r="BY113">
        <v>140576.44</v>
      </c>
      <c r="BZ113">
        <v>3054800</v>
      </c>
      <c r="CB113">
        <v>0.03</v>
      </c>
      <c r="CC113">
        <v>91644</v>
      </c>
      <c r="CD113">
        <v>136362.44822825587</v>
      </c>
      <c r="CE113">
        <v>2963156</v>
      </c>
      <c r="CF113" t="s">
        <v>37</v>
      </c>
      <c r="CG113">
        <v>7500</v>
      </c>
      <c r="CH113">
        <v>143862.44822825587</v>
      </c>
      <c r="CI113">
        <v>162975</v>
      </c>
      <c r="CJ113">
        <v>3126131</v>
      </c>
      <c r="CK113" t="s">
        <v>57</v>
      </c>
      <c r="CN113">
        <v>0</v>
      </c>
      <c r="CO113" t="s">
        <v>39</v>
      </c>
      <c r="CP113" t="s">
        <v>39</v>
      </c>
      <c r="CQ113" t="b">
        <v>1</v>
      </c>
      <c r="CR113" t="s">
        <v>8950</v>
      </c>
      <c r="CS113" t="s">
        <v>1167</v>
      </c>
      <c r="CT113" t="s">
        <v>8960</v>
      </c>
      <c r="CU113" t="s">
        <v>8970</v>
      </c>
      <c r="CV113" t="s">
        <v>5981</v>
      </c>
      <c r="CW113" t="s">
        <v>6652</v>
      </c>
      <c r="CX113" t="s">
        <v>3246</v>
      </c>
      <c r="CY113">
        <v>0.57000000000000028</v>
      </c>
      <c r="CZ113">
        <v>82001.595490105887</v>
      </c>
      <c r="DA113">
        <v>3126131</v>
      </c>
      <c r="DB113" t="s">
        <v>37</v>
      </c>
      <c r="DC113" t="b">
        <v>1</v>
      </c>
      <c r="DD113">
        <v>3126131</v>
      </c>
      <c r="DE113">
        <v>0</v>
      </c>
      <c r="DF113" t="b">
        <v>1</v>
      </c>
      <c r="DG113" s="420" cm="1">
        <f t="array" ref="DG113">_xlfn.XLOOKUP("Дом 4"&amp;Реестр_Д4[[#This Row],[№]]&amp;Реестр_Д4[[#This Row],[Статус]],РД[Дом]&amp;РД[№ кв]&amp;РД[Состояние],РД[Дата подачи на регистрацию],"-",0)</f>
        <v>45436</v>
      </c>
    </row>
    <row r="114" spans="1:111" x14ac:dyDescent="0.25">
      <c r="A114">
        <v>113</v>
      </c>
      <c r="B114" t="s">
        <v>6</v>
      </c>
      <c r="C114">
        <v>16</v>
      </c>
      <c r="D114">
        <v>1</v>
      </c>
      <c r="E114">
        <v>1</v>
      </c>
      <c r="F114">
        <v>13.93</v>
      </c>
      <c r="I114">
        <v>13.93</v>
      </c>
      <c r="J114">
        <v>9.18</v>
      </c>
      <c r="K114">
        <v>3.65</v>
      </c>
      <c r="N114">
        <v>5.52</v>
      </c>
      <c r="O114">
        <v>2.4900000000000002</v>
      </c>
      <c r="Q114">
        <v>2.4900000000000002</v>
      </c>
      <c r="R114">
        <v>34.770000000000003</v>
      </c>
      <c r="S114">
        <v>32.28</v>
      </c>
      <c r="T114">
        <v>33.53</v>
      </c>
      <c r="U114">
        <v>34.6</v>
      </c>
      <c r="V114">
        <v>70700</v>
      </c>
      <c r="W114">
        <v>3535</v>
      </c>
      <c r="X114">
        <v>74235</v>
      </c>
      <c r="Y114">
        <v>2969.4</v>
      </c>
      <c r="Z114">
        <v>77204.399999999994</v>
      </c>
      <c r="AB114">
        <v>77204.399999999994</v>
      </c>
      <c r="AD114">
        <v>77204.399999999994</v>
      </c>
      <c r="AF114">
        <v>77204.399999999994</v>
      </c>
      <c r="AH114">
        <v>77204.399999999994</v>
      </c>
      <c r="AJ114">
        <v>77204.399999999994</v>
      </c>
      <c r="AL114">
        <v>77204.399999999994</v>
      </c>
      <c r="AN114">
        <v>77204.399999999994</v>
      </c>
      <c r="AP114">
        <v>77204.399999999994</v>
      </c>
      <c r="AR114">
        <v>77204.399999999994</v>
      </c>
      <c r="AT114">
        <v>77204.399999999994</v>
      </c>
      <c r="AV114">
        <v>77204.399999999994</v>
      </c>
      <c r="AX114">
        <v>77204.399999999994</v>
      </c>
      <c r="AZ114">
        <v>77204.399999999994</v>
      </c>
      <c r="BB114">
        <v>77204.399999999994</v>
      </c>
      <c r="BD114">
        <v>77204.399999999994</v>
      </c>
      <c r="BF114">
        <v>77204.399999999994</v>
      </c>
      <c r="BH114">
        <v>77204.399999999994</v>
      </c>
      <c r="BJ114">
        <v>77204.399999999994</v>
      </c>
      <c r="BL114">
        <v>77204.399999999994</v>
      </c>
      <c r="BN114">
        <v>77204.399999999994</v>
      </c>
      <c r="BP114">
        <v>77204.399999999994</v>
      </c>
      <c r="BR114">
        <v>77204.399999999994</v>
      </c>
      <c r="BT114">
        <v>77204.399999999994</v>
      </c>
      <c r="BV114">
        <v>77204.399999999994</v>
      </c>
      <c r="BX114">
        <v>77204.399999999994</v>
      </c>
      <c r="BY114">
        <v>77204.399999999994</v>
      </c>
      <c r="BZ114">
        <v>2588663.5299999998</v>
      </c>
      <c r="CC114">
        <v>0</v>
      </c>
      <c r="CD114">
        <v>77204.399940351897</v>
      </c>
      <c r="CE114">
        <v>2588663.5299999998</v>
      </c>
      <c r="CF114" t="s">
        <v>37</v>
      </c>
      <c r="CG114">
        <v>7500</v>
      </c>
      <c r="CH114">
        <v>84704.399940351897</v>
      </c>
      <c r="CI114">
        <v>251475</v>
      </c>
      <c r="CJ114">
        <v>2840138.53</v>
      </c>
      <c r="CK114" t="s">
        <v>57</v>
      </c>
      <c r="CN114">
        <v>0</v>
      </c>
      <c r="CO114" t="s">
        <v>39</v>
      </c>
      <c r="CP114" t="s">
        <v>39</v>
      </c>
      <c r="CQ114" t="b">
        <v>1</v>
      </c>
      <c r="CR114" t="s">
        <v>8950</v>
      </c>
      <c r="CS114" t="s">
        <v>1167</v>
      </c>
      <c r="CT114" t="s">
        <v>8960</v>
      </c>
      <c r="CU114" t="s">
        <v>8973</v>
      </c>
      <c r="CV114" t="s">
        <v>5982</v>
      </c>
      <c r="CW114" t="s">
        <v>4895</v>
      </c>
      <c r="CX114" t="s">
        <v>3246</v>
      </c>
      <c r="CY114">
        <v>1.0700000000000005</v>
      </c>
      <c r="CZ114">
        <v>90633.707936176565</v>
      </c>
      <c r="DA114">
        <v>2840138.53</v>
      </c>
      <c r="DB114" t="s">
        <v>37</v>
      </c>
      <c r="DC114" t="b">
        <v>1</v>
      </c>
      <c r="DD114">
        <v>2840138.53</v>
      </c>
      <c r="DE114">
        <v>0</v>
      </c>
      <c r="DF114" t="b">
        <v>1</v>
      </c>
      <c r="DG114" s="420" cm="1">
        <f t="array" ref="DG114">_xlfn.XLOOKUP("Дом 4"&amp;Реестр_Д4[[#This Row],[№]]&amp;Реестр_Д4[[#This Row],[Статус]],РД[Дом]&amp;РД[№ кв]&amp;РД[Состояние],РД[Дата подачи на регистрацию],"-",0)</f>
        <v>44806</v>
      </c>
    </row>
    <row r="115" spans="1:111" x14ac:dyDescent="0.25">
      <c r="A115">
        <v>114</v>
      </c>
      <c r="B115" t="s">
        <v>6</v>
      </c>
      <c r="C115">
        <v>16</v>
      </c>
      <c r="D115">
        <v>2</v>
      </c>
      <c r="E115">
        <v>2</v>
      </c>
      <c r="F115">
        <v>16.55</v>
      </c>
      <c r="G115">
        <v>14.04</v>
      </c>
      <c r="I115">
        <v>30.59</v>
      </c>
      <c r="J115">
        <v>13.35</v>
      </c>
      <c r="K115">
        <v>3.69</v>
      </c>
      <c r="L115">
        <v>1.92</v>
      </c>
      <c r="N115">
        <v>9.48</v>
      </c>
      <c r="O115">
        <v>2.91</v>
      </c>
      <c r="P115">
        <v>2.5499999999999998</v>
      </c>
      <c r="Q115">
        <v>5.46</v>
      </c>
      <c r="R115">
        <v>64.489999999999995</v>
      </c>
      <c r="S115">
        <v>59.029999999999994</v>
      </c>
      <c r="T115">
        <v>61.76</v>
      </c>
      <c r="U115">
        <v>63.2</v>
      </c>
      <c r="V115">
        <v>69305.600000000006</v>
      </c>
      <c r="W115">
        <v>3465.2800000000007</v>
      </c>
      <c r="X115">
        <v>72770.880000000005</v>
      </c>
      <c r="Z115">
        <v>72770.880000000005</v>
      </c>
      <c r="AA115">
        <v>3638.5439999999999</v>
      </c>
      <c r="AB115">
        <v>76409.423999999999</v>
      </c>
      <c r="AC115">
        <v>9.3983591520000012</v>
      </c>
      <c r="AD115">
        <v>76418.822359152007</v>
      </c>
      <c r="AF115">
        <v>76418.822359152007</v>
      </c>
      <c r="AH115">
        <v>76418.822359152007</v>
      </c>
      <c r="AI115">
        <v>1528.37644718304</v>
      </c>
      <c r="AJ115">
        <v>77947.198806335029</v>
      </c>
      <c r="AK115">
        <v>2338.415964190051</v>
      </c>
      <c r="AL115">
        <v>80285.614770525077</v>
      </c>
      <c r="AM115">
        <v>3211.4245908210032</v>
      </c>
      <c r="AN115">
        <v>83497.039361346076</v>
      </c>
      <c r="AP115">
        <v>83497.039361346076</v>
      </c>
      <c r="AR115">
        <v>83497.039361346076</v>
      </c>
      <c r="AT115">
        <v>83497.039361346076</v>
      </c>
      <c r="AV115">
        <v>83497.039361346076</v>
      </c>
      <c r="AX115">
        <v>83497.039361346076</v>
      </c>
      <c r="AZ115">
        <v>83497.039361346076</v>
      </c>
      <c r="BB115">
        <v>83497.039361346076</v>
      </c>
      <c r="BD115">
        <v>83497.039361346076</v>
      </c>
      <c r="BF115">
        <v>83497.039361346076</v>
      </c>
      <c r="BH115">
        <v>83497.039361346076</v>
      </c>
      <c r="BJ115">
        <v>83497.039361346076</v>
      </c>
      <c r="BL115">
        <v>83497.039361346076</v>
      </c>
      <c r="BN115">
        <v>83497.039361346076</v>
      </c>
      <c r="BP115">
        <v>83497.039361346076</v>
      </c>
      <c r="BR115">
        <v>83497.039361346076</v>
      </c>
      <c r="BT115">
        <v>83497.039361346076</v>
      </c>
      <c r="BV115">
        <v>83497.039361346076</v>
      </c>
      <c r="BX115">
        <v>83497.039361346076</v>
      </c>
      <c r="BY115">
        <v>83497.039999999994</v>
      </c>
      <c r="BZ115">
        <v>5156777.1900000004</v>
      </c>
      <c r="CC115">
        <v>0</v>
      </c>
      <c r="CD115">
        <v>83497.039993523329</v>
      </c>
      <c r="CE115">
        <v>5156777.1900000004</v>
      </c>
      <c r="CF115" t="s">
        <v>37</v>
      </c>
      <c r="CG115">
        <v>4000</v>
      </c>
      <c r="CH115">
        <v>87497.039993523329</v>
      </c>
      <c r="CI115">
        <v>247040</v>
      </c>
      <c r="CJ115">
        <v>5403817.1900000004</v>
      </c>
      <c r="CK115" t="s">
        <v>57</v>
      </c>
      <c r="CN115">
        <v>0</v>
      </c>
      <c r="CO115" t="s">
        <v>39</v>
      </c>
      <c r="CP115" t="s">
        <v>39</v>
      </c>
      <c r="CQ115" t="b">
        <v>1</v>
      </c>
      <c r="CR115" t="s">
        <v>8950</v>
      </c>
      <c r="CS115" t="s">
        <v>1167</v>
      </c>
      <c r="CT115" t="s">
        <v>8960</v>
      </c>
      <c r="CU115" t="s">
        <v>8974</v>
      </c>
      <c r="CV115" t="s">
        <v>5983</v>
      </c>
      <c r="CW115" t="s">
        <v>4895</v>
      </c>
      <c r="CX115" t="s">
        <v>3246</v>
      </c>
      <c r="CY115">
        <v>1.4399999999999975</v>
      </c>
      <c r="CZ115">
        <v>125995.73759067339</v>
      </c>
      <c r="DA115">
        <v>5403817.1900000004</v>
      </c>
      <c r="DB115" t="s">
        <v>37</v>
      </c>
      <c r="DC115" t="b">
        <v>1</v>
      </c>
      <c r="DD115">
        <v>5403817.1900000004</v>
      </c>
      <c r="DE115">
        <v>0</v>
      </c>
      <c r="DF115" t="b">
        <v>1</v>
      </c>
      <c r="DG115" s="420" cm="1">
        <f t="array" ref="DG115">_xlfn.XLOOKUP("Дом 4"&amp;Реестр_Д4[[#This Row],[№]]&amp;Реестр_Д4[[#This Row],[Статус]],РД[Дом]&amp;РД[№ кв]&amp;РД[Состояние],РД[Дата подачи на регистрацию],"-",0)</f>
        <v>45064</v>
      </c>
    </row>
    <row r="116" spans="1:111" x14ac:dyDescent="0.25">
      <c r="A116">
        <v>115</v>
      </c>
      <c r="B116" t="s">
        <v>6</v>
      </c>
      <c r="C116">
        <v>16</v>
      </c>
      <c r="D116">
        <v>3</v>
      </c>
      <c r="E116">
        <v>1</v>
      </c>
      <c r="F116">
        <v>12.25</v>
      </c>
      <c r="I116">
        <v>12.25</v>
      </c>
      <c r="J116">
        <v>11.65</v>
      </c>
      <c r="K116">
        <v>3.67</v>
      </c>
      <c r="N116">
        <v>6.55</v>
      </c>
      <c r="O116">
        <v>2.83</v>
      </c>
      <c r="Q116">
        <v>2.83</v>
      </c>
      <c r="R116">
        <v>36.950000000000003</v>
      </c>
      <c r="S116">
        <v>34.120000000000005</v>
      </c>
      <c r="T116">
        <v>35.54</v>
      </c>
      <c r="U116">
        <v>36.799999999999997</v>
      </c>
      <c r="V116">
        <v>72100</v>
      </c>
      <c r="W116">
        <v>3605</v>
      </c>
      <c r="X116">
        <v>75705</v>
      </c>
      <c r="Y116">
        <v>3028.2000000000003</v>
      </c>
      <c r="Z116">
        <v>78733.2</v>
      </c>
      <c r="AB116">
        <v>78733.2</v>
      </c>
      <c r="AD116">
        <v>78733.2</v>
      </c>
      <c r="AF116">
        <v>78733.2</v>
      </c>
      <c r="AH116">
        <v>78733.2</v>
      </c>
      <c r="AJ116">
        <v>78733.2</v>
      </c>
      <c r="AL116">
        <v>78733.2</v>
      </c>
      <c r="AN116">
        <v>78733.2</v>
      </c>
      <c r="AP116">
        <v>78733.2</v>
      </c>
      <c r="AR116">
        <v>78733.2</v>
      </c>
      <c r="AT116">
        <v>78733.2</v>
      </c>
      <c r="AV116">
        <v>78733.2</v>
      </c>
      <c r="AX116">
        <v>78733.2</v>
      </c>
      <c r="AZ116">
        <v>78733.2</v>
      </c>
      <c r="BB116">
        <v>78733.2</v>
      </c>
      <c r="BD116">
        <v>78733.2</v>
      </c>
      <c r="BF116">
        <v>78733.2</v>
      </c>
      <c r="BH116">
        <v>78733.2</v>
      </c>
      <c r="BJ116">
        <v>78733.2</v>
      </c>
      <c r="BL116">
        <v>78733.2</v>
      </c>
      <c r="BN116">
        <v>78733.2</v>
      </c>
      <c r="BP116">
        <v>78733.2</v>
      </c>
      <c r="BR116">
        <v>78733.2</v>
      </c>
      <c r="BT116">
        <v>78733.2</v>
      </c>
      <c r="BV116">
        <v>78733.2</v>
      </c>
      <c r="BX116">
        <v>78733.2</v>
      </c>
      <c r="BY116">
        <v>78733.2</v>
      </c>
      <c r="BZ116">
        <v>2798177.93</v>
      </c>
      <c r="CC116">
        <v>0</v>
      </c>
      <c r="CD116">
        <v>78733.200056274625</v>
      </c>
      <c r="CE116">
        <v>2798177.93</v>
      </c>
      <c r="CF116" t="s">
        <v>37</v>
      </c>
      <c r="CG116">
        <v>7500</v>
      </c>
      <c r="CH116">
        <v>86233.200056274625</v>
      </c>
      <c r="CI116">
        <v>266550</v>
      </c>
      <c r="CJ116">
        <v>3064727.93</v>
      </c>
      <c r="CN116">
        <v>0</v>
      </c>
      <c r="CO116" t="s">
        <v>39</v>
      </c>
      <c r="CP116" t="s">
        <v>39</v>
      </c>
      <c r="CQ116" t="b">
        <v>1</v>
      </c>
      <c r="CR116" t="s">
        <v>8950</v>
      </c>
      <c r="CS116" t="s">
        <v>1167</v>
      </c>
      <c r="CT116" t="s">
        <v>8960</v>
      </c>
      <c r="CU116" t="s">
        <v>8973</v>
      </c>
      <c r="CV116" t="s">
        <v>5984</v>
      </c>
      <c r="CW116" t="s">
        <v>4895</v>
      </c>
      <c r="CX116" t="s">
        <v>3246</v>
      </c>
      <c r="CY116">
        <v>1.259999999999998</v>
      </c>
      <c r="CZ116">
        <v>108653.83207090586</v>
      </c>
      <c r="DA116">
        <v>3064727.93</v>
      </c>
      <c r="DB116" t="s">
        <v>37</v>
      </c>
      <c r="DC116" t="b">
        <v>1</v>
      </c>
      <c r="DD116">
        <v>3064727.93</v>
      </c>
      <c r="DE116">
        <v>0</v>
      </c>
      <c r="DF116" t="b">
        <v>1</v>
      </c>
      <c r="DG116" s="420" cm="1">
        <f t="array" ref="DG116">_xlfn.XLOOKUP("Дом 4"&amp;Реестр_Д4[[#This Row],[№]]&amp;Реестр_Д4[[#This Row],[Статус]],РД[Дом]&amp;РД[№ кв]&amp;РД[Состояние],РД[Дата подачи на регистрацию],"-",0)</f>
        <v>44816</v>
      </c>
    </row>
    <row r="117" spans="1:111" x14ac:dyDescent="0.25">
      <c r="A117">
        <v>116</v>
      </c>
      <c r="B117" t="s">
        <v>6</v>
      </c>
      <c r="C117">
        <v>16</v>
      </c>
      <c r="D117">
        <v>4</v>
      </c>
      <c r="E117">
        <v>2</v>
      </c>
      <c r="F117">
        <v>14.61</v>
      </c>
      <c r="G117">
        <v>11.01</v>
      </c>
      <c r="I117">
        <v>25.62</v>
      </c>
      <c r="J117">
        <v>14.77</v>
      </c>
      <c r="K117">
        <v>2.85</v>
      </c>
      <c r="L117">
        <v>2.4900000000000002</v>
      </c>
      <c r="N117">
        <v>8.7899999999999991</v>
      </c>
      <c r="O117">
        <v>3.01</v>
      </c>
      <c r="Q117">
        <v>3.01</v>
      </c>
      <c r="R117">
        <v>57.53</v>
      </c>
      <c r="S117">
        <v>54.52</v>
      </c>
      <c r="T117">
        <v>56.03</v>
      </c>
      <c r="U117">
        <v>57.900000000000013</v>
      </c>
      <c r="V117">
        <v>68639.199999999997</v>
      </c>
      <c r="W117">
        <v>3431.96</v>
      </c>
      <c r="X117">
        <v>72071.16</v>
      </c>
      <c r="Z117">
        <v>72071.16</v>
      </c>
      <c r="AA117">
        <v>3603.558</v>
      </c>
      <c r="AB117">
        <v>75674.717999999993</v>
      </c>
      <c r="AD117">
        <v>75674.717999999993</v>
      </c>
      <c r="AF117">
        <v>75674.717999999993</v>
      </c>
      <c r="AH117">
        <v>75674.717999999993</v>
      </c>
      <c r="AJ117">
        <v>75674.717999999993</v>
      </c>
      <c r="AL117">
        <v>75674.717999999993</v>
      </c>
      <c r="AN117">
        <v>75674.717999999993</v>
      </c>
      <c r="AP117">
        <v>75674.717999999993</v>
      </c>
      <c r="AR117">
        <v>75674.717999999993</v>
      </c>
      <c r="AT117">
        <v>75674.717999999993</v>
      </c>
      <c r="AV117">
        <v>75674.717999999993</v>
      </c>
      <c r="AX117">
        <v>75674.717999999993</v>
      </c>
      <c r="AZ117">
        <v>75674.717999999993</v>
      </c>
      <c r="BB117">
        <v>75674.717999999993</v>
      </c>
      <c r="BD117">
        <v>75674.717999999993</v>
      </c>
      <c r="BF117">
        <v>75674.717999999993</v>
      </c>
      <c r="BH117">
        <v>75674.717999999993</v>
      </c>
      <c r="BJ117">
        <v>75674.717999999993</v>
      </c>
      <c r="BL117">
        <v>75674.717999999993</v>
      </c>
      <c r="BN117">
        <v>75674.717999999993</v>
      </c>
      <c r="BP117">
        <v>75674.717999999993</v>
      </c>
      <c r="BR117">
        <v>75674.717999999993</v>
      </c>
      <c r="BT117">
        <v>75674.717999999993</v>
      </c>
      <c r="BV117">
        <v>75674.717999999993</v>
      </c>
      <c r="BX117">
        <v>75674.717999999993</v>
      </c>
      <c r="BY117">
        <v>75674.720000000001</v>
      </c>
      <c r="BZ117">
        <v>4240054.5599999996</v>
      </c>
      <c r="CB117">
        <v>0.05</v>
      </c>
      <c r="CC117">
        <v>212002.728</v>
      </c>
      <c r="CD117">
        <v>71890.983937176512</v>
      </c>
      <c r="CE117">
        <v>4028051.83</v>
      </c>
      <c r="CF117" t="s">
        <v>37</v>
      </c>
      <c r="CG117">
        <v>7500</v>
      </c>
      <c r="CH117">
        <v>79390.983937176512</v>
      </c>
      <c r="CI117">
        <v>420225</v>
      </c>
      <c r="CJ117">
        <v>4448276.83</v>
      </c>
      <c r="CL117" t="s">
        <v>3733</v>
      </c>
      <c r="CN117">
        <v>0</v>
      </c>
      <c r="CO117" t="s">
        <v>39</v>
      </c>
      <c r="CP117" t="s">
        <v>39</v>
      </c>
      <c r="CQ117" t="b">
        <v>1</v>
      </c>
      <c r="CR117" t="s">
        <v>8950</v>
      </c>
      <c r="CS117" t="s">
        <v>1167</v>
      </c>
      <c r="CT117" t="s">
        <v>8960</v>
      </c>
      <c r="CU117" t="s">
        <v>8971</v>
      </c>
      <c r="CV117" t="s">
        <v>5985</v>
      </c>
      <c r="CW117" t="s">
        <v>4895</v>
      </c>
      <c r="CX117" t="s">
        <v>3246</v>
      </c>
      <c r="CY117">
        <v>1.8700000000000117</v>
      </c>
      <c r="CZ117">
        <v>148461.139962521</v>
      </c>
      <c r="DA117">
        <v>4448276.83</v>
      </c>
      <c r="DB117" t="s">
        <v>37</v>
      </c>
      <c r="DC117" t="b">
        <v>1</v>
      </c>
      <c r="DD117">
        <v>4448276.83</v>
      </c>
      <c r="DE117">
        <v>0</v>
      </c>
      <c r="DF117" t="b">
        <v>1</v>
      </c>
      <c r="DG117" s="420" cm="1">
        <f t="array" ref="DG117">_xlfn.XLOOKUP("Дом 4"&amp;Реестр_Д4[[#This Row],[№]]&amp;Реестр_Д4[[#This Row],[Статус]],РД[Дом]&amp;РД[№ кв]&amp;РД[Состояние],РД[Дата подачи на регистрацию],"-",0)</f>
        <v>44889</v>
      </c>
    </row>
    <row r="118" spans="1:111" x14ac:dyDescent="0.25">
      <c r="A118">
        <v>117</v>
      </c>
      <c r="B118" t="s">
        <v>6</v>
      </c>
      <c r="C118">
        <v>16</v>
      </c>
      <c r="D118">
        <v>5</v>
      </c>
      <c r="E118">
        <v>2</v>
      </c>
      <c r="F118">
        <v>14.86</v>
      </c>
      <c r="G118">
        <v>9.69</v>
      </c>
      <c r="I118">
        <v>24.55</v>
      </c>
      <c r="J118">
        <v>14.88</v>
      </c>
      <c r="K118">
        <v>2.83</v>
      </c>
      <c r="L118">
        <v>1.82</v>
      </c>
      <c r="N118">
        <v>9.26</v>
      </c>
      <c r="O118">
        <v>2.63</v>
      </c>
      <c r="Q118">
        <v>2.63</v>
      </c>
      <c r="R118">
        <v>55.97</v>
      </c>
      <c r="S118">
        <v>53.34</v>
      </c>
      <c r="T118">
        <v>54.66</v>
      </c>
      <c r="U118">
        <v>56.500000000000007</v>
      </c>
      <c r="V118">
        <v>68639.199999999997</v>
      </c>
      <c r="W118">
        <v>3431.96</v>
      </c>
      <c r="X118">
        <v>72071.16</v>
      </c>
      <c r="Z118">
        <v>72071.16</v>
      </c>
      <c r="AA118">
        <v>3603.558</v>
      </c>
      <c r="AB118">
        <v>75674.717999999993</v>
      </c>
      <c r="AC118">
        <v>9.3079903140000013</v>
      </c>
      <c r="AD118">
        <v>75684.02599031401</v>
      </c>
      <c r="AF118">
        <v>75684.02599031401</v>
      </c>
      <c r="AH118">
        <v>75684.02599031401</v>
      </c>
      <c r="AI118">
        <v>1513.6805198062802</v>
      </c>
      <c r="AJ118">
        <v>77197.70651012029</v>
      </c>
      <c r="AK118">
        <v>771.97706510120292</v>
      </c>
      <c r="AL118">
        <v>77969.683575221497</v>
      </c>
      <c r="AN118">
        <v>77969.683575221497</v>
      </c>
      <c r="AP118">
        <v>77969.683575221497</v>
      </c>
      <c r="AR118">
        <v>77969.683575221497</v>
      </c>
      <c r="AT118">
        <v>77969.683575221497</v>
      </c>
      <c r="AV118">
        <v>77969.683575221497</v>
      </c>
      <c r="AX118">
        <v>77969.683575221497</v>
      </c>
      <c r="AZ118">
        <v>77969.683575221497</v>
      </c>
      <c r="BB118">
        <v>77969.683575221497</v>
      </c>
      <c r="BD118">
        <v>77969.683575221497</v>
      </c>
      <c r="BF118">
        <v>77969.683575221497</v>
      </c>
      <c r="BH118">
        <v>77969.683575221497</v>
      </c>
      <c r="BJ118">
        <v>77969.683575221497</v>
      </c>
      <c r="BL118">
        <v>77969.683575221497</v>
      </c>
      <c r="BN118">
        <v>77969.683575221497</v>
      </c>
      <c r="BP118">
        <v>77969.683575221497</v>
      </c>
      <c r="BR118">
        <v>77969.683575221497</v>
      </c>
      <c r="BT118">
        <v>77969.683575221497</v>
      </c>
      <c r="BV118">
        <v>77969.683575221497</v>
      </c>
      <c r="BX118">
        <v>77969.683575221497</v>
      </c>
      <c r="BY118">
        <v>77969.679999999993</v>
      </c>
      <c r="BZ118">
        <v>4261822.71</v>
      </c>
      <c r="CB118">
        <v>0.06</v>
      </c>
      <c r="CC118">
        <v>255709.36259999999</v>
      </c>
      <c r="CD118">
        <v>73291.49926820345</v>
      </c>
      <c r="CE118">
        <v>4006113.35</v>
      </c>
      <c r="CF118" t="s">
        <v>38</v>
      </c>
      <c r="CG118">
        <v>15000</v>
      </c>
      <c r="CH118">
        <v>88291.49926820345</v>
      </c>
      <c r="CI118">
        <v>819899.99999999953</v>
      </c>
      <c r="CJ118">
        <v>4826013.3499999996</v>
      </c>
      <c r="CL118" t="s">
        <v>978</v>
      </c>
      <c r="CN118">
        <v>0</v>
      </c>
      <c r="CO118" t="s">
        <v>39</v>
      </c>
      <c r="CP118" t="s">
        <v>39</v>
      </c>
      <c r="CQ118" t="b">
        <v>1</v>
      </c>
      <c r="CR118" t="s">
        <v>8950</v>
      </c>
      <c r="CS118" t="s">
        <v>1167</v>
      </c>
      <c r="CT118" t="s">
        <v>8960</v>
      </c>
      <c r="CU118" t="s">
        <v>8971</v>
      </c>
      <c r="CV118" t="s">
        <v>5986</v>
      </c>
      <c r="CW118" t="s">
        <v>4895</v>
      </c>
      <c r="CX118" t="s">
        <v>3246</v>
      </c>
      <c r="CY118">
        <v>1.8400000000000103</v>
      </c>
      <c r="CZ118">
        <v>162456.35865349526</v>
      </c>
      <c r="DA118">
        <v>4826013.3499999996</v>
      </c>
      <c r="DB118" t="s">
        <v>38</v>
      </c>
      <c r="DC118" t="b">
        <v>1</v>
      </c>
      <c r="DD118">
        <v>4826013.3499999996</v>
      </c>
      <c r="DE118">
        <v>0</v>
      </c>
      <c r="DF118" t="b">
        <v>1</v>
      </c>
      <c r="DG118" s="420" cm="1">
        <f t="array" ref="DG118">_xlfn.XLOOKUP("Дом 4"&amp;Реестр_Д4[[#This Row],[№]]&amp;Реестр_Д4[[#This Row],[Статус]],РД[Дом]&amp;РД[№ кв]&amp;РД[Состояние],РД[Дата подачи на регистрацию],"-",0)</f>
        <v>45072</v>
      </c>
    </row>
    <row r="119" spans="1:111" x14ac:dyDescent="0.25">
      <c r="A119">
        <v>118</v>
      </c>
      <c r="B119" t="s">
        <v>6</v>
      </c>
      <c r="C119">
        <v>16</v>
      </c>
      <c r="D119">
        <v>6</v>
      </c>
      <c r="E119">
        <v>2</v>
      </c>
      <c r="F119">
        <v>13.33</v>
      </c>
      <c r="G119">
        <v>13.23</v>
      </c>
      <c r="I119">
        <v>26.56</v>
      </c>
      <c r="J119">
        <v>16.25</v>
      </c>
      <c r="K119">
        <v>3.18</v>
      </c>
      <c r="L119">
        <v>2.14</v>
      </c>
      <c r="M119">
        <v>5.14</v>
      </c>
      <c r="N119">
        <v>5.19</v>
      </c>
      <c r="O119">
        <v>2.81</v>
      </c>
      <c r="Q119">
        <v>2.81</v>
      </c>
      <c r="R119">
        <v>61.27</v>
      </c>
      <c r="S119">
        <v>58.46</v>
      </c>
      <c r="T119">
        <v>59.87</v>
      </c>
      <c r="U119">
        <v>61.499999999999993</v>
      </c>
      <c r="V119">
        <v>73304</v>
      </c>
      <c r="W119">
        <v>3665.2</v>
      </c>
      <c r="X119">
        <v>76969.2</v>
      </c>
      <c r="Z119">
        <v>76969.2</v>
      </c>
      <c r="AA119">
        <v>3848.46</v>
      </c>
      <c r="AB119">
        <v>80817.66</v>
      </c>
      <c r="AD119">
        <v>80817.66</v>
      </c>
      <c r="AF119">
        <v>80817.66</v>
      </c>
      <c r="AH119">
        <v>80817.66</v>
      </c>
      <c r="AJ119">
        <v>80817.66</v>
      </c>
      <c r="AL119">
        <v>80817.66</v>
      </c>
      <c r="AN119">
        <v>80817.66</v>
      </c>
      <c r="AP119">
        <v>80817.66</v>
      </c>
      <c r="AR119">
        <v>80817.66</v>
      </c>
      <c r="AT119">
        <v>80817.66</v>
      </c>
      <c r="AV119">
        <v>80817.66</v>
      </c>
      <c r="AX119">
        <v>80817.66</v>
      </c>
      <c r="AZ119">
        <v>80817.66</v>
      </c>
      <c r="BB119">
        <v>80817.66</v>
      </c>
      <c r="BD119">
        <v>80817.66</v>
      </c>
      <c r="BF119">
        <v>80817.66</v>
      </c>
      <c r="BH119">
        <v>80817.66</v>
      </c>
      <c r="BJ119">
        <v>80817.66</v>
      </c>
      <c r="BL119">
        <v>80817.66</v>
      </c>
      <c r="BN119">
        <v>80817.66</v>
      </c>
      <c r="BP119">
        <v>80817.66</v>
      </c>
      <c r="BR119">
        <v>80817.66</v>
      </c>
      <c r="BT119">
        <v>80817.66</v>
      </c>
      <c r="BV119">
        <v>80817.66</v>
      </c>
      <c r="BX119">
        <v>80817.66</v>
      </c>
      <c r="BY119">
        <v>80817.66</v>
      </c>
      <c r="BZ119">
        <v>4838553.3</v>
      </c>
      <c r="CA119">
        <v>460814.59999999963</v>
      </c>
      <c r="CC119">
        <v>460814.59999999963</v>
      </c>
      <c r="CD119">
        <v>73120.739936529149</v>
      </c>
      <c r="CE119">
        <v>4377738.7</v>
      </c>
      <c r="CF119" t="s">
        <v>37</v>
      </c>
      <c r="CG119">
        <v>7500</v>
      </c>
      <c r="CH119">
        <v>80620.739936529149</v>
      </c>
      <c r="CI119">
        <v>449025</v>
      </c>
      <c r="CJ119">
        <v>4826763.7</v>
      </c>
      <c r="CK119" t="s">
        <v>57</v>
      </c>
      <c r="CL119" t="s">
        <v>3733</v>
      </c>
      <c r="CN119">
        <v>0</v>
      </c>
      <c r="CO119" t="s">
        <v>39</v>
      </c>
      <c r="CP119" t="s">
        <v>39</v>
      </c>
      <c r="CQ119" t="b">
        <v>1</v>
      </c>
      <c r="CR119" t="s">
        <v>8950</v>
      </c>
      <c r="CS119" t="s">
        <v>1167</v>
      </c>
      <c r="CT119" t="s">
        <v>8960</v>
      </c>
      <c r="CU119" t="s">
        <v>8971</v>
      </c>
      <c r="CV119" t="s">
        <v>5987</v>
      </c>
      <c r="CW119" t="s">
        <v>4895</v>
      </c>
      <c r="CX119" t="s">
        <v>3246</v>
      </c>
      <c r="CY119">
        <v>1.6299999999999957</v>
      </c>
      <c r="CZ119">
        <v>131411.80609654216</v>
      </c>
      <c r="DA119">
        <v>4826763.7</v>
      </c>
      <c r="DB119" t="s">
        <v>37</v>
      </c>
      <c r="DC119" t="b">
        <v>1</v>
      </c>
      <c r="DD119">
        <v>4826763.7</v>
      </c>
      <c r="DE119">
        <v>0</v>
      </c>
      <c r="DF119" t="b">
        <v>1</v>
      </c>
      <c r="DG119" s="420" cm="1">
        <f t="array" ref="DG119">_xlfn.XLOOKUP("Дом 4"&amp;Реестр_Д4[[#This Row],[№]]&amp;Реестр_Д4[[#This Row],[Статус]],РД[Дом]&amp;РД[№ кв]&amp;РД[Состояние],РД[Дата подачи на регистрацию],"-",0)</f>
        <v>44895</v>
      </c>
    </row>
    <row r="120" spans="1:111" x14ac:dyDescent="0.25">
      <c r="A120">
        <v>119</v>
      </c>
      <c r="B120" t="s">
        <v>6</v>
      </c>
      <c r="C120">
        <v>16</v>
      </c>
      <c r="D120">
        <v>7</v>
      </c>
      <c r="E120">
        <v>0</v>
      </c>
      <c r="F120">
        <v>8.2799999999999994</v>
      </c>
      <c r="I120">
        <v>8.2799999999999994</v>
      </c>
      <c r="J120">
        <v>5.3</v>
      </c>
      <c r="K120">
        <v>3.38</v>
      </c>
      <c r="N120">
        <v>3.17</v>
      </c>
      <c r="O120">
        <v>3.23</v>
      </c>
      <c r="Q120">
        <v>3.23</v>
      </c>
      <c r="R120">
        <v>23.36</v>
      </c>
      <c r="S120">
        <v>20.13</v>
      </c>
      <c r="T120">
        <v>21.75</v>
      </c>
      <c r="U120">
        <v>22.6</v>
      </c>
      <c r="V120">
        <v>75600</v>
      </c>
      <c r="W120">
        <v>3780</v>
      </c>
      <c r="X120">
        <v>79380</v>
      </c>
      <c r="Z120">
        <v>79380</v>
      </c>
      <c r="AB120">
        <v>79380</v>
      </c>
      <c r="AC120">
        <v>9.7637400000000003</v>
      </c>
      <c r="AD120">
        <v>79389.763739999995</v>
      </c>
      <c r="AE120">
        <v>3969.4881869999999</v>
      </c>
      <c r="AF120">
        <v>83359.25192699999</v>
      </c>
      <c r="AG120">
        <v>8335.9251926999987</v>
      </c>
      <c r="AH120">
        <v>91695.177119699991</v>
      </c>
      <c r="AJ120">
        <v>91695.177119699991</v>
      </c>
      <c r="AK120">
        <v>2750.8553135909997</v>
      </c>
      <c r="AL120">
        <v>94446.032433290995</v>
      </c>
      <c r="AM120">
        <v>3777.8412973316399</v>
      </c>
      <c r="AN120">
        <v>98223.873730622639</v>
      </c>
      <c r="AO120">
        <v>4911.1936865311318</v>
      </c>
      <c r="AP120">
        <v>103135.06741715375</v>
      </c>
      <c r="AQ120">
        <v>3094.0520225146129</v>
      </c>
      <c r="AR120">
        <v>106229.1194396684</v>
      </c>
      <c r="AT120">
        <v>106229.1194396684</v>
      </c>
      <c r="AV120">
        <v>106229.1194396684</v>
      </c>
      <c r="AX120">
        <v>106229.1194396684</v>
      </c>
      <c r="AZ120">
        <v>106229.1194396684</v>
      </c>
      <c r="BB120">
        <v>106229.1194396684</v>
      </c>
      <c r="BD120">
        <v>106229.1194396684</v>
      </c>
      <c r="BF120">
        <v>106229.1194396684</v>
      </c>
      <c r="BH120">
        <v>106229.1194396684</v>
      </c>
      <c r="BJ120">
        <v>106229.1194396684</v>
      </c>
      <c r="BL120">
        <v>106229.1194396684</v>
      </c>
      <c r="BN120">
        <v>106229.1194396684</v>
      </c>
      <c r="BP120">
        <v>106229.1194396684</v>
      </c>
      <c r="BR120">
        <v>106229.1194396684</v>
      </c>
      <c r="BT120">
        <v>106229.1194396684</v>
      </c>
      <c r="BV120">
        <v>106229.1194396684</v>
      </c>
      <c r="BX120">
        <v>106229.1194396684</v>
      </c>
      <c r="BY120">
        <v>106229.12</v>
      </c>
      <c r="BZ120">
        <v>2310483.36</v>
      </c>
      <c r="CC120">
        <v>0</v>
      </c>
      <c r="CD120">
        <v>106229.12</v>
      </c>
      <c r="CE120">
        <v>2310483.36</v>
      </c>
      <c r="CF120" t="s">
        <v>38</v>
      </c>
      <c r="CG120">
        <v>15500</v>
      </c>
      <c r="CH120">
        <v>121729.12</v>
      </c>
      <c r="CI120">
        <v>337125</v>
      </c>
      <c r="CJ120">
        <v>2647608.36</v>
      </c>
      <c r="CK120" t="s">
        <v>57</v>
      </c>
      <c r="CN120">
        <v>0</v>
      </c>
      <c r="CO120" t="s">
        <v>39</v>
      </c>
      <c r="CP120" t="s">
        <v>39</v>
      </c>
      <c r="CQ120" t="b">
        <v>1</v>
      </c>
      <c r="CR120" t="s">
        <v>8950</v>
      </c>
      <c r="CS120" t="s">
        <v>1167</v>
      </c>
      <c r="CT120" t="s">
        <v>8960</v>
      </c>
      <c r="CU120" t="s">
        <v>8970</v>
      </c>
      <c r="CV120" t="s">
        <v>5988</v>
      </c>
      <c r="CW120" t="s">
        <v>4895</v>
      </c>
      <c r="CX120" t="s">
        <v>3246</v>
      </c>
      <c r="CY120">
        <v>0.84999999999999787</v>
      </c>
      <c r="CZ120">
        <v>103469.75199999972</v>
      </c>
      <c r="DA120">
        <v>2647608.36</v>
      </c>
      <c r="DB120" t="s">
        <v>38</v>
      </c>
      <c r="DC120" t="b">
        <v>1</v>
      </c>
      <c r="DD120">
        <v>2647608.36</v>
      </c>
      <c r="DE120">
        <v>0</v>
      </c>
      <c r="DF120" t="b">
        <v>1</v>
      </c>
      <c r="DG120" s="420" cm="1">
        <f t="array" ref="DG120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121" spans="1:111" x14ac:dyDescent="0.25">
      <c r="A121">
        <v>120</v>
      </c>
      <c r="B121" t="s">
        <v>6</v>
      </c>
      <c r="C121">
        <v>16</v>
      </c>
      <c r="D121">
        <v>8</v>
      </c>
      <c r="E121">
        <v>0</v>
      </c>
      <c r="F121">
        <v>8.2899999999999991</v>
      </c>
      <c r="I121">
        <v>8.2899999999999991</v>
      </c>
      <c r="J121">
        <v>5.3</v>
      </c>
      <c r="K121">
        <v>3.38</v>
      </c>
      <c r="N121">
        <v>3.17</v>
      </c>
      <c r="O121">
        <v>3.17</v>
      </c>
      <c r="Q121">
        <v>3.17</v>
      </c>
      <c r="R121">
        <v>23.31</v>
      </c>
      <c r="S121">
        <v>20.14</v>
      </c>
      <c r="T121">
        <v>21.73</v>
      </c>
      <c r="U121">
        <v>22.4</v>
      </c>
      <c r="V121">
        <v>75600</v>
      </c>
      <c r="W121">
        <v>3780</v>
      </c>
      <c r="X121">
        <v>79380</v>
      </c>
      <c r="Z121">
        <v>79380</v>
      </c>
      <c r="AB121">
        <v>79380</v>
      </c>
      <c r="AC121">
        <v>9.7637400000000003</v>
      </c>
      <c r="AD121">
        <v>79389.763739999995</v>
      </c>
      <c r="AE121">
        <v>3969.4881869999999</v>
      </c>
      <c r="AF121">
        <v>83359.25192699999</v>
      </c>
      <c r="AH121">
        <v>83359.25192699999</v>
      </c>
      <c r="AJ121">
        <v>83359.25192699999</v>
      </c>
      <c r="AL121">
        <v>83359.25192699999</v>
      </c>
      <c r="AN121">
        <v>83359.25192699999</v>
      </c>
      <c r="AP121">
        <v>83359.25192699999</v>
      </c>
      <c r="AR121">
        <v>83359.25192699999</v>
      </c>
      <c r="AT121">
        <v>83359.25192699999</v>
      </c>
      <c r="AV121">
        <v>83359.25192699999</v>
      </c>
      <c r="AX121">
        <v>83359.25192699999</v>
      </c>
      <c r="AZ121">
        <v>83359.25192699999</v>
      </c>
      <c r="BB121">
        <v>83359.25192699999</v>
      </c>
      <c r="BD121">
        <v>83359.25192699999</v>
      </c>
      <c r="BF121">
        <v>83359.25192699999</v>
      </c>
      <c r="BH121">
        <v>83359.25192699999</v>
      </c>
      <c r="BJ121">
        <v>83359.25192699999</v>
      </c>
      <c r="BL121">
        <v>83359.25192699999</v>
      </c>
      <c r="BN121">
        <v>83359.25192699999</v>
      </c>
      <c r="BP121">
        <v>83359.25192699999</v>
      </c>
      <c r="BR121">
        <v>83359.25192699999</v>
      </c>
      <c r="BT121">
        <v>83359.25192699999</v>
      </c>
      <c r="BV121">
        <v>83359.25192699999</v>
      </c>
      <c r="BX121">
        <v>83359.25192699999</v>
      </c>
      <c r="BY121">
        <v>83359.25</v>
      </c>
      <c r="BZ121">
        <v>1811396.5</v>
      </c>
      <c r="CB121">
        <v>0.05</v>
      </c>
      <c r="CC121">
        <v>90569.825000000012</v>
      </c>
      <c r="CD121">
        <v>79191.287620800736</v>
      </c>
      <c r="CE121">
        <v>1720826.68</v>
      </c>
      <c r="CF121" t="s">
        <v>38</v>
      </c>
      <c r="CG121">
        <v>22000</v>
      </c>
      <c r="CH121">
        <v>101191.28762080074</v>
      </c>
      <c r="CI121">
        <v>478060.00000000023</v>
      </c>
      <c r="CJ121">
        <v>2198886.6800000002</v>
      </c>
      <c r="CK121" t="s">
        <v>57</v>
      </c>
      <c r="CL121" t="s">
        <v>3540</v>
      </c>
      <c r="CN121">
        <v>0</v>
      </c>
      <c r="CO121" t="s">
        <v>39</v>
      </c>
      <c r="CP121" t="s">
        <v>39</v>
      </c>
      <c r="CQ121" t="b">
        <v>1</v>
      </c>
      <c r="CR121" t="s">
        <v>8950</v>
      </c>
      <c r="CS121" t="s">
        <v>1167</v>
      </c>
      <c r="CT121" t="s">
        <v>8960</v>
      </c>
      <c r="CU121" t="s">
        <v>8970</v>
      </c>
      <c r="CV121" t="s">
        <v>5989</v>
      </c>
      <c r="CW121" t="s">
        <v>4895</v>
      </c>
      <c r="CX121" t="s">
        <v>3246</v>
      </c>
      <c r="CY121">
        <v>0.66999999999999815</v>
      </c>
      <c r="CZ121">
        <v>67798.162705936309</v>
      </c>
      <c r="DA121">
        <v>2266684.8427059366</v>
      </c>
      <c r="DB121" t="s">
        <v>38</v>
      </c>
      <c r="DC121" t="b">
        <v>1</v>
      </c>
      <c r="DD121">
        <v>2198886.6800000002</v>
      </c>
      <c r="DE121">
        <v>0</v>
      </c>
      <c r="DF121" t="b">
        <v>1</v>
      </c>
      <c r="DG121" s="420" cm="1">
        <f t="array" ref="DG121">_xlfn.XLOOKUP("Дом 4"&amp;Реестр_Д4[[#This Row],[№]]&amp;Реестр_Д4[[#This Row],[Статус]],РД[Дом]&amp;РД[№ кв]&amp;РД[Состояние],РД[Дата подачи на регистрацию],"-",0)</f>
        <v>44945</v>
      </c>
    </row>
    <row r="122" spans="1:111" x14ac:dyDescent="0.25">
      <c r="A122">
        <v>121</v>
      </c>
      <c r="B122" t="s">
        <v>5</v>
      </c>
      <c r="C122">
        <v>2</v>
      </c>
      <c r="D122" t="s">
        <v>42</v>
      </c>
      <c r="E122">
        <v>0</v>
      </c>
      <c r="F122">
        <v>13.95</v>
      </c>
      <c r="I122">
        <v>13.95</v>
      </c>
      <c r="J122">
        <v>5.77</v>
      </c>
      <c r="K122">
        <v>3.6</v>
      </c>
      <c r="N122">
        <v>3.59</v>
      </c>
      <c r="O122">
        <v>4.12</v>
      </c>
      <c r="Q122">
        <v>4.12</v>
      </c>
      <c r="R122">
        <v>31.03</v>
      </c>
      <c r="S122">
        <v>26.91</v>
      </c>
      <c r="T122">
        <v>28.97</v>
      </c>
      <c r="U122">
        <v>29.499999999999996</v>
      </c>
      <c r="V122">
        <v>75600</v>
      </c>
      <c r="W122">
        <v>3780</v>
      </c>
      <c r="X122">
        <v>79380</v>
      </c>
      <c r="Z122">
        <v>79380</v>
      </c>
      <c r="AB122">
        <v>79380</v>
      </c>
      <c r="AC122">
        <v>9.7637400000000003</v>
      </c>
      <c r="AD122">
        <v>79389.763739999995</v>
      </c>
      <c r="AE122">
        <v>3969.4881869999999</v>
      </c>
      <c r="AF122">
        <v>83359.25192699999</v>
      </c>
      <c r="AH122">
        <v>83359.25192699999</v>
      </c>
      <c r="AJ122">
        <v>83359.25192699999</v>
      </c>
      <c r="AL122">
        <v>83359.25192699999</v>
      </c>
      <c r="AN122">
        <v>83359.25192699999</v>
      </c>
      <c r="AP122">
        <v>83359.25192699999</v>
      </c>
      <c r="AR122">
        <v>83359.25192699999</v>
      </c>
      <c r="AT122">
        <v>83359.25192699999</v>
      </c>
      <c r="AV122">
        <v>83359.25192699999</v>
      </c>
      <c r="AX122">
        <v>83359.25192699999</v>
      </c>
      <c r="AZ122">
        <v>83359.25192699999</v>
      </c>
      <c r="BB122">
        <v>83359.25192699999</v>
      </c>
      <c r="BD122">
        <v>83359.25192699999</v>
      </c>
      <c r="BF122">
        <v>83359.25192699999</v>
      </c>
      <c r="BH122">
        <v>83359.25192699999</v>
      </c>
      <c r="BJ122">
        <v>83359.25192699999</v>
      </c>
      <c r="BL122">
        <v>83359.25192699999</v>
      </c>
      <c r="BN122">
        <v>83359.25192699999</v>
      </c>
      <c r="BP122">
        <v>83359.25192699999</v>
      </c>
      <c r="BR122">
        <v>83359.25192699999</v>
      </c>
      <c r="BT122">
        <v>83359.25192699999</v>
      </c>
      <c r="BV122">
        <v>83359.25192699999</v>
      </c>
      <c r="BX122">
        <v>83359.25192699999</v>
      </c>
      <c r="BY122">
        <v>83359.25</v>
      </c>
      <c r="BZ122">
        <v>2414917.4700000002</v>
      </c>
      <c r="CC122">
        <v>0</v>
      </c>
      <c r="CD122">
        <v>83359.249913703839</v>
      </c>
      <c r="CE122">
        <v>2414917.4700000002</v>
      </c>
      <c r="CF122" t="s">
        <v>38</v>
      </c>
      <c r="CG122">
        <v>15000</v>
      </c>
      <c r="CH122">
        <v>98359.249913703839</v>
      </c>
      <c r="CI122">
        <v>434550</v>
      </c>
      <c r="CJ122">
        <v>2849467.47</v>
      </c>
      <c r="CN122">
        <v>0</v>
      </c>
      <c r="CO122" t="s">
        <v>39</v>
      </c>
      <c r="CP122" t="s">
        <v>39</v>
      </c>
      <c r="CQ122" t="b">
        <v>1</v>
      </c>
      <c r="CR122" t="s">
        <v>8950</v>
      </c>
      <c r="CS122" t="s">
        <v>1167</v>
      </c>
      <c r="CT122" t="s">
        <v>8960</v>
      </c>
      <c r="CU122" t="s">
        <v>8970</v>
      </c>
      <c r="CV122" t="s">
        <v>5990</v>
      </c>
      <c r="CW122" t="s">
        <v>4895</v>
      </c>
      <c r="CX122" t="s">
        <v>3246</v>
      </c>
      <c r="CY122">
        <v>0.52999999999999758</v>
      </c>
      <c r="CZ122">
        <v>52130.402454262803</v>
      </c>
      <c r="DA122">
        <v>2849467.47</v>
      </c>
      <c r="DB122" t="s">
        <v>38</v>
      </c>
      <c r="DC122" t="b">
        <v>1</v>
      </c>
      <c r="DD122">
        <v>2849467.47</v>
      </c>
      <c r="DE122">
        <v>0</v>
      </c>
      <c r="DF122" t="b">
        <v>1</v>
      </c>
      <c r="DG122" s="420" cm="1">
        <f t="array" ref="DG122">_xlfn.XLOOKUP("Дом 4"&amp;Реестр_Д4[[#This Row],[№]]&amp;Реестр_Д4[[#This Row],[Статус]],РД[Дом]&amp;РД[№ кв]&amp;РД[Состояние],РД[Дата подачи на регистрацию],"-",0)</f>
        <v>44953</v>
      </c>
    </row>
    <row r="123" spans="1:111" x14ac:dyDescent="0.25">
      <c r="A123">
        <v>122</v>
      </c>
      <c r="B123" t="s">
        <v>5</v>
      </c>
      <c r="C123">
        <v>2</v>
      </c>
      <c r="D123" t="s">
        <v>43</v>
      </c>
      <c r="E123">
        <v>2</v>
      </c>
      <c r="F123">
        <v>17.54</v>
      </c>
      <c r="G123">
        <v>12.04</v>
      </c>
      <c r="I123">
        <v>29.58</v>
      </c>
      <c r="J123">
        <v>17.010000000000002</v>
      </c>
      <c r="K123">
        <v>3.71</v>
      </c>
      <c r="L123">
        <v>2.64</v>
      </c>
      <c r="N123">
        <v>13.06</v>
      </c>
      <c r="O123">
        <v>2.61</v>
      </c>
      <c r="P123">
        <v>2.88</v>
      </c>
      <c r="Q123">
        <v>5.49</v>
      </c>
      <c r="R123">
        <v>71.489999999999995</v>
      </c>
      <c r="S123">
        <v>66</v>
      </c>
      <c r="T123">
        <v>68.75</v>
      </c>
      <c r="U123">
        <v>70.300000000000011</v>
      </c>
      <c r="V123">
        <v>71304.800000000003</v>
      </c>
      <c r="W123">
        <v>3565.24</v>
      </c>
      <c r="X123">
        <v>74870.039999999994</v>
      </c>
      <c r="Z123">
        <v>74870.039999999994</v>
      </c>
      <c r="AA123">
        <v>3743.502</v>
      </c>
      <c r="AB123">
        <v>78613.542000000016</v>
      </c>
      <c r="AC123">
        <v>9.6694656660000025</v>
      </c>
      <c r="AD123">
        <v>78623.211465666012</v>
      </c>
      <c r="AF123">
        <v>78623.211465666012</v>
      </c>
      <c r="AH123">
        <v>78623.211465666012</v>
      </c>
      <c r="AI123">
        <v>1572.4642293133202</v>
      </c>
      <c r="AJ123">
        <v>80195.675694979334</v>
      </c>
      <c r="AK123">
        <v>801.95675694979332</v>
      </c>
      <c r="AL123">
        <v>80997.632451929123</v>
      </c>
      <c r="AM123">
        <v>1619.9526490385824</v>
      </c>
      <c r="AN123">
        <v>82617.585100967699</v>
      </c>
      <c r="AP123">
        <v>82617.585100967699</v>
      </c>
      <c r="AQ123">
        <v>2478.527553029031</v>
      </c>
      <c r="AR123">
        <v>85096.112653996737</v>
      </c>
      <c r="AT123">
        <v>85096.112653996737</v>
      </c>
      <c r="AU123">
        <v>2552.8833796199019</v>
      </c>
      <c r="AV123">
        <v>87648.99603361664</v>
      </c>
      <c r="AX123">
        <v>87648.99603361664</v>
      </c>
      <c r="AZ123">
        <v>87648.99603361664</v>
      </c>
      <c r="BB123">
        <v>87648.99603361664</v>
      </c>
      <c r="BD123">
        <v>87648.99603361664</v>
      </c>
      <c r="BF123">
        <v>87648.99603361664</v>
      </c>
      <c r="BH123">
        <v>87648.99603361664</v>
      </c>
      <c r="BI123">
        <v>4382.449801680832</v>
      </c>
      <c r="BJ123">
        <v>92031.445835297476</v>
      </c>
      <c r="BL123">
        <v>92031.445835297476</v>
      </c>
      <c r="BN123">
        <v>92031.445835297476</v>
      </c>
      <c r="BP123">
        <v>92031.445835297476</v>
      </c>
      <c r="BR123">
        <v>92031.445835297476</v>
      </c>
      <c r="BT123">
        <v>92031.445835297476</v>
      </c>
      <c r="BV123">
        <v>92031.445835297476</v>
      </c>
      <c r="BX123">
        <v>92031.445835297476</v>
      </c>
      <c r="BY123">
        <v>92031.45</v>
      </c>
      <c r="BZ123">
        <v>6327200</v>
      </c>
      <c r="CA123">
        <v>309375</v>
      </c>
      <c r="CC123">
        <v>309375</v>
      </c>
      <c r="CD123">
        <v>87532</v>
      </c>
      <c r="CE123">
        <v>6017825</v>
      </c>
      <c r="CF123" t="s">
        <v>37</v>
      </c>
      <c r="CG123">
        <v>7500</v>
      </c>
      <c r="CH123">
        <v>95032</v>
      </c>
      <c r="CI123">
        <v>515625</v>
      </c>
      <c r="CJ123">
        <v>6533450</v>
      </c>
      <c r="CL123" t="s">
        <v>6925</v>
      </c>
      <c r="CN123">
        <v>0</v>
      </c>
      <c r="CO123" t="s">
        <v>39</v>
      </c>
      <c r="CP123" t="s">
        <v>39</v>
      </c>
      <c r="CQ123" t="b">
        <v>1</v>
      </c>
      <c r="CR123" t="s">
        <v>8950</v>
      </c>
      <c r="CS123" t="s">
        <v>1167</v>
      </c>
      <c r="CT123" t="s">
        <v>8960</v>
      </c>
      <c r="CU123" t="s">
        <v>8971</v>
      </c>
      <c r="CV123" t="s">
        <v>5991</v>
      </c>
      <c r="CW123" t="s">
        <v>6652</v>
      </c>
      <c r="CX123" t="s">
        <v>3246</v>
      </c>
      <c r="CY123">
        <v>1.5500000000000114</v>
      </c>
      <c r="CZ123">
        <v>147299.60000000108</v>
      </c>
      <c r="DA123">
        <v>6533450</v>
      </c>
      <c r="DB123" t="s">
        <v>37</v>
      </c>
      <c r="DC123" t="b">
        <v>1</v>
      </c>
      <c r="DD123">
        <v>6533450</v>
      </c>
      <c r="DE123">
        <v>0</v>
      </c>
      <c r="DF123" t="b">
        <v>1</v>
      </c>
      <c r="DG123" s="420" cm="1">
        <f t="array" ref="DG123">_xlfn.XLOOKUP("Дом 4"&amp;Реестр_Д4[[#This Row],[№]]&amp;Реестр_Д4[[#This Row],[Статус]],РД[Дом]&amp;РД[№ кв]&amp;РД[Состояние],РД[Дата подачи на регистрацию],"-",0)</f>
        <v>45316</v>
      </c>
    </row>
    <row r="124" spans="1:111" x14ac:dyDescent="0.25">
      <c r="A124">
        <v>123</v>
      </c>
      <c r="B124" t="s">
        <v>5</v>
      </c>
      <c r="C124">
        <v>2</v>
      </c>
      <c r="D124" t="s">
        <v>44</v>
      </c>
      <c r="E124">
        <v>1</v>
      </c>
      <c r="F124">
        <v>13.45</v>
      </c>
      <c r="I124">
        <v>13.45</v>
      </c>
      <c r="J124">
        <v>11.31</v>
      </c>
      <c r="K124">
        <v>3.69</v>
      </c>
      <c r="N124">
        <v>5.63</v>
      </c>
      <c r="O124">
        <v>2.59</v>
      </c>
      <c r="Q124">
        <v>2.59</v>
      </c>
      <c r="R124">
        <v>36.67</v>
      </c>
      <c r="S124">
        <v>34.08</v>
      </c>
      <c r="T124">
        <v>35.380000000000003</v>
      </c>
      <c r="U124">
        <v>36.4</v>
      </c>
      <c r="V124">
        <v>71400</v>
      </c>
      <c r="W124">
        <v>3570</v>
      </c>
      <c r="X124">
        <v>74970</v>
      </c>
      <c r="Y124">
        <v>2998.8</v>
      </c>
      <c r="Z124">
        <v>77968.800000000003</v>
      </c>
      <c r="AA124">
        <v>3898.440000000001</v>
      </c>
      <c r="AB124">
        <v>81867.240000000005</v>
      </c>
      <c r="AC124">
        <v>10.069670520000001</v>
      </c>
      <c r="AD124">
        <v>81877.309670520001</v>
      </c>
      <c r="AE124">
        <v>4093.8654835259999</v>
      </c>
      <c r="AF124">
        <v>85971.175154045995</v>
      </c>
      <c r="AH124">
        <v>85971.175154045995</v>
      </c>
      <c r="AI124">
        <v>2579.1352546213802</v>
      </c>
      <c r="AJ124">
        <v>88550.31040866737</v>
      </c>
      <c r="AL124">
        <v>88550.31040866737</v>
      </c>
      <c r="AN124">
        <v>88550.31040866737</v>
      </c>
      <c r="AP124">
        <v>88550.31040866737</v>
      </c>
      <c r="AR124">
        <v>88550.31040866737</v>
      </c>
      <c r="AT124">
        <v>88550.31040866737</v>
      </c>
      <c r="AV124">
        <v>88550.31040866737</v>
      </c>
      <c r="AX124">
        <v>88550.31040866737</v>
      </c>
      <c r="AZ124">
        <v>88550.31040866737</v>
      </c>
      <c r="BB124">
        <v>88550.31040866737</v>
      </c>
      <c r="BD124">
        <v>88550.31040866737</v>
      </c>
      <c r="BF124">
        <v>88550.31040866737</v>
      </c>
      <c r="BH124">
        <v>88550.31040866737</v>
      </c>
      <c r="BJ124">
        <v>88550.31040866737</v>
      </c>
      <c r="BL124">
        <v>88550.31040866737</v>
      </c>
      <c r="BN124">
        <v>88550.31040866737</v>
      </c>
      <c r="BP124">
        <v>88550.31040866737</v>
      </c>
      <c r="BR124">
        <v>88550.31040866737</v>
      </c>
      <c r="BT124">
        <v>88550.31040866737</v>
      </c>
      <c r="BV124">
        <v>88550.31040866737</v>
      </c>
      <c r="BX124">
        <v>88550.31040866737</v>
      </c>
      <c r="BY124">
        <v>88550.31</v>
      </c>
      <c r="BZ124">
        <v>3132909.97</v>
      </c>
      <c r="CB124">
        <v>0.06</v>
      </c>
      <c r="CC124">
        <v>187974.59820000001</v>
      </c>
      <c r="CD124">
        <v>83237.291407574899</v>
      </c>
      <c r="CE124">
        <v>2944935.37</v>
      </c>
      <c r="CF124" t="s">
        <v>37</v>
      </c>
      <c r="CG124">
        <v>4000</v>
      </c>
      <c r="CH124">
        <v>87237.291407574899</v>
      </c>
      <c r="CI124">
        <v>141520</v>
      </c>
      <c r="CJ124">
        <v>3086455.37</v>
      </c>
      <c r="CL124" t="s">
        <v>978</v>
      </c>
      <c r="CN124">
        <v>0</v>
      </c>
      <c r="CO124" t="s">
        <v>39</v>
      </c>
      <c r="CP124" t="s">
        <v>39</v>
      </c>
      <c r="CQ124" t="b">
        <v>1</v>
      </c>
      <c r="CR124" t="s">
        <v>8950</v>
      </c>
      <c r="CS124" t="s">
        <v>1167</v>
      </c>
      <c r="CT124" t="s">
        <v>8960</v>
      </c>
      <c r="CU124" t="s">
        <v>8973</v>
      </c>
      <c r="CV124" t="s">
        <v>5992</v>
      </c>
      <c r="CW124" t="s">
        <v>4895</v>
      </c>
      <c r="CX124" t="s">
        <v>3246</v>
      </c>
      <c r="CY124">
        <v>1.019999999999996</v>
      </c>
      <c r="CZ124">
        <v>88982.037235726049</v>
      </c>
      <c r="DA124">
        <v>3086455.37</v>
      </c>
      <c r="DB124" t="s">
        <v>37</v>
      </c>
      <c r="DC124" t="b">
        <v>1</v>
      </c>
      <c r="DD124">
        <v>3086455.37</v>
      </c>
      <c r="DE124">
        <v>0</v>
      </c>
      <c r="DF124" t="b">
        <v>1</v>
      </c>
      <c r="DG124" s="420" cm="1">
        <f t="array" ref="DG124">_xlfn.XLOOKUP("Дом 4"&amp;Реестр_Д4[[#This Row],[№]]&amp;Реестр_Д4[[#This Row],[Статус]],РД[Дом]&amp;РД[№ кв]&amp;РД[Состояние],РД[Дата подачи на регистрацию],"-",0)</f>
        <v>45040</v>
      </c>
    </row>
    <row r="125" spans="1:111" x14ac:dyDescent="0.25">
      <c r="A125">
        <v>124</v>
      </c>
      <c r="B125" t="s">
        <v>5</v>
      </c>
      <c r="C125">
        <v>2</v>
      </c>
      <c r="D125" t="s">
        <v>45</v>
      </c>
      <c r="E125">
        <v>1</v>
      </c>
      <c r="F125">
        <v>13.45</v>
      </c>
      <c r="I125">
        <v>13.45</v>
      </c>
      <c r="J125">
        <v>12.54</v>
      </c>
      <c r="K125">
        <v>3.69</v>
      </c>
      <c r="N125">
        <v>6.62</v>
      </c>
      <c r="O125">
        <v>3.01</v>
      </c>
      <c r="Q125">
        <v>3.01</v>
      </c>
      <c r="R125">
        <v>39.31</v>
      </c>
      <c r="S125">
        <v>36.299999999999997</v>
      </c>
      <c r="T125">
        <v>37.81</v>
      </c>
      <c r="U125">
        <v>39.299999999999997</v>
      </c>
      <c r="V125">
        <v>72100</v>
      </c>
      <c r="W125">
        <v>3605</v>
      </c>
      <c r="X125">
        <v>75705</v>
      </c>
      <c r="Y125">
        <v>3028.2000000000003</v>
      </c>
      <c r="Z125">
        <v>78733.2</v>
      </c>
      <c r="AA125">
        <v>3936.66</v>
      </c>
      <c r="AB125">
        <v>82669.86</v>
      </c>
      <c r="AC125">
        <v>10.16839278</v>
      </c>
      <c r="AD125">
        <v>82680.028392780005</v>
      </c>
      <c r="AE125">
        <v>4134.0014196390002</v>
      </c>
      <c r="AF125">
        <v>86814.029812419001</v>
      </c>
      <c r="AH125">
        <v>86814.029812419001</v>
      </c>
      <c r="AJ125">
        <v>86814.029812419001</v>
      </c>
      <c r="AL125">
        <v>86814.029812419001</v>
      </c>
      <c r="AN125">
        <v>86814.029812419001</v>
      </c>
      <c r="AP125">
        <v>86814.029812419001</v>
      </c>
      <c r="AR125">
        <v>86814.029812419001</v>
      </c>
      <c r="AT125">
        <v>86814.029812419001</v>
      </c>
      <c r="AV125">
        <v>86814.029812419001</v>
      </c>
      <c r="AX125">
        <v>86814.029812419001</v>
      </c>
      <c r="AZ125">
        <v>86814.029812419001</v>
      </c>
      <c r="BB125">
        <v>86814.029812419001</v>
      </c>
      <c r="BD125">
        <v>86814.029812419001</v>
      </c>
      <c r="BF125">
        <v>86814.029812419001</v>
      </c>
      <c r="BH125">
        <v>86814.029812419001</v>
      </c>
      <c r="BJ125">
        <v>86814.029812419001</v>
      </c>
      <c r="BL125">
        <v>86814.029812419001</v>
      </c>
      <c r="BN125">
        <v>86814.029812419001</v>
      </c>
      <c r="BP125">
        <v>86814.029812419001</v>
      </c>
      <c r="BR125">
        <v>86814.029812419001</v>
      </c>
      <c r="BT125">
        <v>86814.029812419001</v>
      </c>
      <c r="BV125">
        <v>86814.029812419001</v>
      </c>
      <c r="BX125">
        <v>86814.029812419001</v>
      </c>
      <c r="BY125">
        <v>86814.03</v>
      </c>
      <c r="BZ125">
        <v>3282438.47</v>
      </c>
      <c r="CB125">
        <v>0.05</v>
      </c>
      <c r="CC125">
        <v>164121.92350000003</v>
      </c>
      <c r="CD125">
        <v>82473.328484527898</v>
      </c>
      <c r="CE125">
        <v>3118316.55</v>
      </c>
      <c r="CF125" t="s">
        <v>37</v>
      </c>
      <c r="CG125">
        <v>4000</v>
      </c>
      <c r="CH125">
        <v>86473.328484527898</v>
      </c>
      <c r="CI125">
        <v>151240</v>
      </c>
      <c r="CJ125">
        <v>3269556.55</v>
      </c>
      <c r="CL125" t="s">
        <v>3540</v>
      </c>
      <c r="CN125">
        <v>0</v>
      </c>
      <c r="CO125" t="s">
        <v>39</v>
      </c>
      <c r="CP125" t="s">
        <v>39</v>
      </c>
      <c r="CQ125" t="b">
        <v>1</v>
      </c>
      <c r="CR125" t="s">
        <v>8950</v>
      </c>
      <c r="CS125" t="s">
        <v>1167</v>
      </c>
      <c r="CT125" t="s">
        <v>8960</v>
      </c>
      <c r="CU125" t="s">
        <v>8973</v>
      </c>
      <c r="CV125" t="s">
        <v>5993</v>
      </c>
      <c r="CW125" t="s">
        <v>4895</v>
      </c>
      <c r="CX125" t="s">
        <v>3246</v>
      </c>
      <c r="CY125">
        <v>1.490000000000002</v>
      </c>
      <c r="CZ125">
        <v>128845.25944194674</v>
      </c>
      <c r="DA125">
        <v>3269556.55</v>
      </c>
      <c r="DB125" t="s">
        <v>37</v>
      </c>
      <c r="DC125" t="b">
        <v>1</v>
      </c>
      <c r="DD125">
        <v>3269556.55</v>
      </c>
      <c r="DE125">
        <v>0</v>
      </c>
      <c r="DF125" t="b">
        <v>1</v>
      </c>
      <c r="DG125" s="420" cm="1">
        <f t="array" ref="DG125">_xlfn.XLOOKUP("Дом 4"&amp;Реестр_Д4[[#This Row],[№]]&amp;Реестр_Д4[[#This Row],[Статус]],РД[Дом]&amp;РД[№ кв]&amp;РД[Состояние],РД[Дата подачи на регистрацию],"-",0)</f>
        <v>44965</v>
      </c>
    </row>
    <row r="126" spans="1:111" x14ac:dyDescent="0.25">
      <c r="A126">
        <v>125</v>
      </c>
      <c r="B126" t="s">
        <v>5</v>
      </c>
      <c r="C126">
        <v>2</v>
      </c>
      <c r="D126" t="s">
        <v>3351</v>
      </c>
      <c r="E126">
        <v>1</v>
      </c>
      <c r="F126">
        <v>12.11</v>
      </c>
      <c r="I126">
        <v>12.11</v>
      </c>
      <c r="J126">
        <v>12.27</v>
      </c>
      <c r="K126">
        <v>3.84</v>
      </c>
      <c r="N126">
        <v>7.06</v>
      </c>
      <c r="O126">
        <v>2.84</v>
      </c>
      <c r="Q126">
        <v>2.84</v>
      </c>
      <c r="R126">
        <v>38.119999999999997</v>
      </c>
      <c r="S126">
        <v>35.28</v>
      </c>
      <c r="T126">
        <v>36.700000000000003</v>
      </c>
      <c r="U126">
        <v>37.999999999999993</v>
      </c>
      <c r="V126">
        <v>72100</v>
      </c>
      <c r="W126">
        <v>3605</v>
      </c>
      <c r="X126">
        <v>75705</v>
      </c>
      <c r="Y126">
        <v>3028.2000000000003</v>
      </c>
      <c r="Z126">
        <v>78733.2</v>
      </c>
      <c r="AA126">
        <v>3936.66</v>
      </c>
      <c r="AB126">
        <v>82669.86</v>
      </c>
      <c r="AC126">
        <v>10.16839278</v>
      </c>
      <c r="AD126">
        <v>82680.028392780005</v>
      </c>
      <c r="AE126">
        <v>4134.0014196390002</v>
      </c>
      <c r="AF126">
        <v>86814.029812419001</v>
      </c>
      <c r="AH126">
        <v>86814.029812419001</v>
      </c>
      <c r="AI126">
        <v>2604.4208943725698</v>
      </c>
      <c r="AJ126">
        <v>89418.450706791569</v>
      </c>
      <c r="AK126">
        <v>894.18450706791566</v>
      </c>
      <c r="AL126">
        <v>90312.635213859481</v>
      </c>
      <c r="AN126">
        <v>90312.635213859481</v>
      </c>
      <c r="AP126">
        <v>90312.635213859481</v>
      </c>
      <c r="AR126">
        <v>90312.635213859481</v>
      </c>
      <c r="AT126">
        <v>90312.635213859481</v>
      </c>
      <c r="AV126">
        <v>90312.635213859481</v>
      </c>
      <c r="AX126">
        <v>90312.635213859481</v>
      </c>
      <c r="AZ126">
        <v>90312.635213859481</v>
      </c>
      <c r="BB126">
        <v>90312.635213859481</v>
      </c>
      <c r="BD126">
        <v>90312.635213859481</v>
      </c>
      <c r="BF126">
        <v>90312.635213859481</v>
      </c>
      <c r="BH126">
        <v>90312.635213859481</v>
      </c>
      <c r="BJ126">
        <v>90312.635213859481</v>
      </c>
      <c r="BL126">
        <v>90312.635213859481</v>
      </c>
      <c r="BN126">
        <v>90312.635213859481</v>
      </c>
      <c r="BP126">
        <v>90312.635213859481</v>
      </c>
      <c r="BR126">
        <v>90312.635213859481</v>
      </c>
      <c r="BT126">
        <v>90312.635213859481</v>
      </c>
      <c r="BV126">
        <v>90312.635213859481</v>
      </c>
      <c r="BX126">
        <v>90312.635213859481</v>
      </c>
      <c r="BY126">
        <v>90312.639999999999</v>
      </c>
      <c r="BZ126">
        <v>3314473.89</v>
      </c>
      <c r="CB126">
        <v>0.06</v>
      </c>
      <c r="CC126">
        <v>198868.43340000001</v>
      </c>
      <c r="CD126">
        <v>84893.881743869206</v>
      </c>
      <c r="CE126">
        <v>3115605.46</v>
      </c>
      <c r="CF126" t="s">
        <v>38</v>
      </c>
      <c r="CG126">
        <v>15000</v>
      </c>
      <c r="CH126">
        <v>99893.881743869206</v>
      </c>
      <c r="CI126">
        <v>550500</v>
      </c>
      <c r="CJ126">
        <v>3666105.46</v>
      </c>
      <c r="CL126" t="s">
        <v>978</v>
      </c>
      <c r="CN126">
        <v>0</v>
      </c>
      <c r="CO126" t="s">
        <v>39</v>
      </c>
      <c r="CP126" t="s">
        <v>39</v>
      </c>
      <c r="CQ126" t="b">
        <v>1</v>
      </c>
      <c r="CR126" t="s">
        <v>8950</v>
      </c>
      <c r="CS126" t="s">
        <v>1167</v>
      </c>
      <c r="CT126" t="s">
        <v>8960</v>
      </c>
      <c r="CU126" t="s">
        <v>8973</v>
      </c>
      <c r="CV126" t="s">
        <v>5994</v>
      </c>
      <c r="CW126" t="s">
        <v>4895</v>
      </c>
      <c r="CX126" t="s">
        <v>3246</v>
      </c>
      <c r="CY126">
        <v>1.2999999999999901</v>
      </c>
      <c r="CZ126">
        <v>129862.04626702896</v>
      </c>
      <c r="DA126">
        <v>3666105.46</v>
      </c>
      <c r="DB126" t="s">
        <v>38</v>
      </c>
      <c r="DC126" t="b">
        <v>1</v>
      </c>
      <c r="DD126">
        <v>3666105.46</v>
      </c>
      <c r="DE126">
        <v>0</v>
      </c>
      <c r="DF126" t="b">
        <v>1</v>
      </c>
      <c r="DG126" s="420" cm="1">
        <f t="array" ref="DG126">_xlfn.XLOOKUP("Дом 4"&amp;Реестр_Д4[[#This Row],[№]]&amp;Реестр_Д4[[#This Row],[Статус]],РД[Дом]&amp;РД[№ кв]&amp;РД[Состояние],РД[Дата подачи на регистрацию],"-",0)</f>
        <v>45085</v>
      </c>
    </row>
    <row r="127" spans="1:111" x14ac:dyDescent="0.25">
      <c r="A127">
        <v>126</v>
      </c>
      <c r="B127" t="s">
        <v>5</v>
      </c>
      <c r="C127">
        <v>2</v>
      </c>
      <c r="D127" t="s">
        <v>3352</v>
      </c>
      <c r="E127">
        <v>1</v>
      </c>
      <c r="F127">
        <v>11.74</v>
      </c>
      <c r="I127">
        <v>11.74</v>
      </c>
      <c r="J127">
        <v>12.47</v>
      </c>
      <c r="K127">
        <v>3.71</v>
      </c>
      <c r="N127">
        <v>7.29</v>
      </c>
      <c r="O127">
        <v>2.89</v>
      </c>
      <c r="Q127">
        <v>2.89</v>
      </c>
      <c r="R127">
        <v>38.1</v>
      </c>
      <c r="S127">
        <v>35.21</v>
      </c>
      <c r="T127">
        <v>36.659999999999997</v>
      </c>
      <c r="U127">
        <v>37.700000000000003</v>
      </c>
      <c r="V127">
        <v>72100</v>
      </c>
      <c r="W127">
        <v>3605</v>
      </c>
      <c r="X127">
        <v>75705</v>
      </c>
      <c r="Y127">
        <v>3028.2000000000003</v>
      </c>
      <c r="Z127">
        <v>78733.2</v>
      </c>
      <c r="AA127">
        <v>3936.66</v>
      </c>
      <c r="AB127">
        <v>82669.86</v>
      </c>
      <c r="AC127">
        <v>10.16839278</v>
      </c>
      <c r="AD127">
        <v>82680.028392780005</v>
      </c>
      <c r="AE127">
        <v>4134.0014196390002</v>
      </c>
      <c r="AF127">
        <v>86814.029812419001</v>
      </c>
      <c r="AH127">
        <v>86814.029812419001</v>
      </c>
      <c r="AI127">
        <v>2604.4208943725698</v>
      </c>
      <c r="AJ127">
        <v>89418.450706791569</v>
      </c>
      <c r="AK127">
        <v>894.18450706791566</v>
      </c>
      <c r="AL127">
        <v>90312.635213859481</v>
      </c>
      <c r="AM127">
        <v>1806.2527042771897</v>
      </c>
      <c r="AN127">
        <v>92118.887918136679</v>
      </c>
      <c r="AO127">
        <v>1842.3777583627336</v>
      </c>
      <c r="AP127">
        <v>93961.265676499403</v>
      </c>
      <c r="AR127">
        <v>93961.265676499403</v>
      </c>
      <c r="AT127">
        <v>93961.265676499403</v>
      </c>
      <c r="AV127">
        <v>93961.265676499403</v>
      </c>
      <c r="AX127">
        <v>93961.265676499403</v>
      </c>
      <c r="AZ127">
        <v>93961.265676499403</v>
      </c>
      <c r="BB127">
        <v>93961.265676499403</v>
      </c>
      <c r="BD127">
        <v>93961.265676499403</v>
      </c>
      <c r="BF127">
        <v>93961.265676499403</v>
      </c>
      <c r="BH127">
        <v>93961.265676499403</v>
      </c>
      <c r="BJ127">
        <v>93961.265676499403</v>
      </c>
      <c r="BL127">
        <v>93961.265676499403</v>
      </c>
      <c r="BN127">
        <v>93961.265676499403</v>
      </c>
      <c r="BP127">
        <v>93961.265676499403</v>
      </c>
      <c r="BR127">
        <v>93961.265676499403</v>
      </c>
      <c r="BT127">
        <v>93961.265676499403</v>
      </c>
      <c r="BV127">
        <v>93961.265676499403</v>
      </c>
      <c r="BX127">
        <v>93961.265676499403</v>
      </c>
      <c r="BY127">
        <v>93961.27</v>
      </c>
      <c r="BZ127">
        <v>3444620.16</v>
      </c>
      <c r="CB127">
        <v>0.02</v>
      </c>
      <c r="CC127">
        <v>68892.403200000001</v>
      </c>
      <c r="CD127">
        <v>92082.044735406438</v>
      </c>
      <c r="CE127">
        <v>3375727.76</v>
      </c>
      <c r="CF127" t="s">
        <v>38</v>
      </c>
      <c r="CG127">
        <v>15000</v>
      </c>
      <c r="CH127">
        <v>107082.04473540644</v>
      </c>
      <c r="CI127">
        <v>549900</v>
      </c>
      <c r="CJ127">
        <v>3925627.76</v>
      </c>
      <c r="CL127" t="s">
        <v>4518</v>
      </c>
      <c r="CN127">
        <v>0</v>
      </c>
      <c r="CO127" t="s">
        <v>39</v>
      </c>
      <c r="CP127" t="s">
        <v>39</v>
      </c>
      <c r="CQ127" t="b">
        <v>1</v>
      </c>
      <c r="CR127" t="s">
        <v>8950</v>
      </c>
      <c r="CS127" t="s">
        <v>1167</v>
      </c>
      <c r="CT127" t="s">
        <v>8960</v>
      </c>
      <c r="CU127" t="s">
        <v>8973</v>
      </c>
      <c r="CV127" t="s">
        <v>5995</v>
      </c>
      <c r="CW127" t="s">
        <v>4895</v>
      </c>
      <c r="CX127" t="s">
        <v>3246</v>
      </c>
      <c r="CY127">
        <v>1.0400000000000065</v>
      </c>
      <c r="CZ127">
        <v>111365.32652482337</v>
      </c>
      <c r="DA127">
        <v>3925627.76</v>
      </c>
      <c r="DB127" t="s">
        <v>38</v>
      </c>
      <c r="DC127" t="b">
        <v>1</v>
      </c>
      <c r="DD127">
        <v>3925627.76</v>
      </c>
      <c r="DE127">
        <v>0</v>
      </c>
      <c r="DF127" t="b">
        <v>1</v>
      </c>
      <c r="DG127" s="420" cm="1">
        <f t="array" ref="DG127">_xlfn.XLOOKUP("Дом 4"&amp;Реестр_Д4[[#This Row],[№]]&amp;Реестр_Д4[[#This Row],[Статус]],РД[Дом]&amp;РД[№ кв]&amp;РД[Состояние],РД[Дата подачи на регистрацию],"-",0)</f>
        <v>45111</v>
      </c>
    </row>
    <row r="128" spans="1:111" x14ac:dyDescent="0.25">
      <c r="A128">
        <v>127</v>
      </c>
      <c r="B128" t="s">
        <v>5</v>
      </c>
      <c r="C128">
        <v>2</v>
      </c>
      <c r="D128" t="s">
        <v>3353</v>
      </c>
      <c r="E128">
        <v>3</v>
      </c>
      <c r="F128">
        <v>14.79</v>
      </c>
      <c r="G128">
        <v>14.24</v>
      </c>
      <c r="H128">
        <v>13.63</v>
      </c>
      <c r="I128">
        <v>42.66</v>
      </c>
      <c r="J128">
        <v>13.29</v>
      </c>
      <c r="K128">
        <v>4.72</v>
      </c>
      <c r="L128">
        <v>1.66</v>
      </c>
      <c r="M128">
        <v>2.19</v>
      </c>
      <c r="N128">
        <v>11.45</v>
      </c>
      <c r="O128">
        <v>2.73</v>
      </c>
      <c r="P128">
        <v>2.78</v>
      </c>
      <c r="Q128">
        <v>5.51</v>
      </c>
      <c r="R128">
        <v>81.48</v>
      </c>
      <c r="S128">
        <v>75.97</v>
      </c>
      <c r="T128">
        <v>78.73</v>
      </c>
      <c r="U128">
        <v>80.899999999999977</v>
      </c>
      <c r="V128">
        <v>68364.800000000003</v>
      </c>
      <c r="W128">
        <v>3418.24</v>
      </c>
      <c r="X128">
        <v>71783.040000000008</v>
      </c>
      <c r="Z128">
        <v>71783.040000000008</v>
      </c>
      <c r="AB128">
        <v>71783.040000000008</v>
      </c>
      <c r="AC128">
        <v>8.8293139200000024</v>
      </c>
      <c r="AD128">
        <v>71791.869313920004</v>
      </c>
      <c r="AF128">
        <v>71791.869313920004</v>
      </c>
      <c r="AH128">
        <v>71791.869313920004</v>
      </c>
      <c r="AI128">
        <v>2153.7560794176002</v>
      </c>
      <c r="AJ128">
        <v>73945.625393337599</v>
      </c>
      <c r="AK128">
        <v>739.45625393337605</v>
      </c>
      <c r="AL128">
        <v>74685.08164727097</v>
      </c>
      <c r="AM128">
        <v>1493.7016329454195</v>
      </c>
      <c r="AN128">
        <v>76178.78328021639</v>
      </c>
      <c r="AO128">
        <v>2285.3634984064915</v>
      </c>
      <c r="AP128">
        <v>78464.146778622875</v>
      </c>
      <c r="AQ128">
        <v>2353.924403358686</v>
      </c>
      <c r="AR128">
        <v>80818.071181981562</v>
      </c>
      <c r="AS128">
        <v>4040.9035590990784</v>
      </c>
      <c r="AT128">
        <v>84858.974741080645</v>
      </c>
      <c r="AU128">
        <v>2545.7692422324194</v>
      </c>
      <c r="AV128">
        <v>87404.743983313063</v>
      </c>
      <c r="AW128">
        <v>5244.2846389987835</v>
      </c>
      <c r="AX128">
        <v>92649.028622311846</v>
      </c>
      <c r="AZ128">
        <v>92649.028622311846</v>
      </c>
      <c r="BB128">
        <v>92649.028622311846</v>
      </c>
      <c r="BD128">
        <v>92649.028622311846</v>
      </c>
      <c r="BF128">
        <v>92649.028622311846</v>
      </c>
      <c r="BH128">
        <v>92649.028622311846</v>
      </c>
      <c r="BJ128">
        <v>92649.028622311846</v>
      </c>
      <c r="BL128">
        <v>92649.028622311846</v>
      </c>
      <c r="BN128">
        <v>92649.028622311846</v>
      </c>
      <c r="BP128">
        <v>92649.028622311846</v>
      </c>
      <c r="BR128">
        <v>92649.028622311846</v>
      </c>
      <c r="BT128">
        <v>92649.028622311846</v>
      </c>
      <c r="BV128">
        <v>92649.028622311846</v>
      </c>
      <c r="BX128">
        <v>92649.028622311846</v>
      </c>
      <c r="BY128">
        <v>92649.03</v>
      </c>
      <c r="BZ128">
        <v>7294258.1299999999</v>
      </c>
      <c r="CB128">
        <v>0.02</v>
      </c>
      <c r="CC128">
        <v>145885.16260000001</v>
      </c>
      <c r="CD128">
        <v>90796.049409373794</v>
      </c>
      <c r="CE128">
        <v>7148372.9699999997</v>
      </c>
      <c r="CF128" t="s">
        <v>36</v>
      </c>
      <c r="CH128">
        <v>90796.049409373794</v>
      </c>
      <c r="CI128">
        <v>0</v>
      </c>
      <c r="CJ128">
        <v>7148372.9699999997</v>
      </c>
      <c r="CL128" t="s">
        <v>3537</v>
      </c>
      <c r="CN128">
        <v>0</v>
      </c>
      <c r="CO128" t="s">
        <v>39</v>
      </c>
      <c r="CP128" t="s">
        <v>39</v>
      </c>
      <c r="CQ128" t="b">
        <v>1</v>
      </c>
      <c r="CR128" t="s">
        <v>8950</v>
      </c>
      <c r="CS128" t="s">
        <v>1167</v>
      </c>
      <c r="CT128" t="s">
        <v>8960</v>
      </c>
      <c r="CU128" t="s">
        <v>8975</v>
      </c>
      <c r="CV128" t="s">
        <v>5996</v>
      </c>
      <c r="CW128" t="s">
        <v>4895</v>
      </c>
      <c r="CX128" t="s">
        <v>3246</v>
      </c>
      <c r="CY128">
        <v>2.1699999999999875</v>
      </c>
      <c r="CZ128">
        <v>197027.42721833999</v>
      </c>
      <c r="DA128">
        <v>7148372.9699999997</v>
      </c>
      <c r="DB128" t="s">
        <v>36</v>
      </c>
      <c r="DC128" t="b">
        <v>1</v>
      </c>
      <c r="DD128">
        <v>7148372.9699999997</v>
      </c>
      <c r="DE128">
        <v>0</v>
      </c>
      <c r="DF128" t="b">
        <v>1</v>
      </c>
      <c r="DG128" s="420" cm="1">
        <f t="array" ref="DG128">_xlfn.XLOOKUP("Дом 4"&amp;Реестр_Д4[[#This Row],[№]]&amp;Реестр_Д4[[#This Row],[Статус]],РД[Дом]&amp;РД[№ кв]&amp;РД[Состояние],РД[Дата подачи на регистрацию],"-",0)</f>
        <v>45174</v>
      </c>
    </row>
    <row r="129" spans="1:111" x14ac:dyDescent="0.25">
      <c r="A129">
        <v>128</v>
      </c>
      <c r="B129" t="s">
        <v>5</v>
      </c>
      <c r="C129">
        <v>2</v>
      </c>
      <c r="D129" t="s">
        <v>3354</v>
      </c>
      <c r="E129">
        <v>1</v>
      </c>
      <c r="F129">
        <v>14.13</v>
      </c>
      <c r="I129">
        <v>14.13</v>
      </c>
      <c r="J129">
        <v>9.2100000000000009</v>
      </c>
      <c r="K129">
        <v>3.66</v>
      </c>
      <c r="N129">
        <v>5.55</v>
      </c>
      <c r="O129">
        <v>2.48</v>
      </c>
      <c r="Q129">
        <v>2.48</v>
      </c>
      <c r="R129">
        <v>35.03</v>
      </c>
      <c r="S129">
        <v>32.550000000000004</v>
      </c>
      <c r="T129">
        <v>33.79</v>
      </c>
      <c r="U129">
        <v>34.599999999999994</v>
      </c>
      <c r="V129">
        <v>70700</v>
      </c>
      <c r="X129">
        <v>70700</v>
      </c>
      <c r="Z129">
        <v>70700</v>
      </c>
      <c r="AB129">
        <v>70700</v>
      </c>
      <c r="AD129">
        <v>70700</v>
      </c>
      <c r="AF129">
        <v>70700</v>
      </c>
      <c r="AH129">
        <v>70700</v>
      </c>
      <c r="AJ129">
        <v>70700</v>
      </c>
      <c r="AL129">
        <v>70700</v>
      </c>
      <c r="AN129">
        <v>70700</v>
      </c>
      <c r="AP129">
        <v>70700</v>
      </c>
      <c r="AR129">
        <v>70700</v>
      </c>
      <c r="AT129">
        <v>70700</v>
      </c>
      <c r="AV129">
        <v>70700</v>
      </c>
      <c r="AX129">
        <v>70700</v>
      </c>
      <c r="AZ129">
        <v>70700</v>
      </c>
      <c r="BB129">
        <v>70700</v>
      </c>
      <c r="BD129">
        <v>70700</v>
      </c>
      <c r="BF129">
        <v>70700</v>
      </c>
      <c r="BH129">
        <v>70700</v>
      </c>
      <c r="BJ129">
        <v>70700</v>
      </c>
      <c r="BL129">
        <v>70700</v>
      </c>
      <c r="BN129">
        <v>70700</v>
      </c>
      <c r="BP129">
        <v>70700</v>
      </c>
      <c r="BR129">
        <v>70700</v>
      </c>
      <c r="BT129">
        <v>70700</v>
      </c>
      <c r="BV129">
        <v>70700</v>
      </c>
      <c r="BX129">
        <v>70700</v>
      </c>
      <c r="BY129">
        <v>70700</v>
      </c>
      <c r="BZ129">
        <v>2388953</v>
      </c>
      <c r="CC129">
        <v>0</v>
      </c>
      <c r="CD129">
        <v>70700</v>
      </c>
      <c r="CE129">
        <v>2388953</v>
      </c>
      <c r="CF129" t="s">
        <v>37</v>
      </c>
      <c r="CG129">
        <v>7000</v>
      </c>
      <c r="CH129">
        <v>77700</v>
      </c>
      <c r="CI129">
        <v>236530</v>
      </c>
      <c r="CJ129">
        <v>2625483</v>
      </c>
      <c r="CK129" t="s">
        <v>57</v>
      </c>
      <c r="CN129">
        <v>0</v>
      </c>
      <c r="CO129" t="s">
        <v>39</v>
      </c>
      <c r="CP129" t="s">
        <v>39</v>
      </c>
      <c r="CQ129" t="b">
        <v>1</v>
      </c>
      <c r="CR129" t="s">
        <v>8950</v>
      </c>
      <c r="CS129" t="s">
        <v>1167</v>
      </c>
      <c r="CT129" t="s">
        <v>8960</v>
      </c>
      <c r="CU129" t="s">
        <v>8973</v>
      </c>
      <c r="CV129" t="s">
        <v>5997</v>
      </c>
      <c r="CW129" t="s">
        <v>4895</v>
      </c>
      <c r="CX129" t="s">
        <v>3246</v>
      </c>
      <c r="CY129">
        <v>0.80999999999999517</v>
      </c>
      <c r="CZ129">
        <v>62936.999999999622</v>
      </c>
      <c r="DA129">
        <v>2625483</v>
      </c>
      <c r="DB129" t="s">
        <v>37</v>
      </c>
      <c r="DC129" t="b">
        <v>1</v>
      </c>
      <c r="DD129">
        <v>2625483</v>
      </c>
      <c r="DE129">
        <v>0</v>
      </c>
      <c r="DF129" t="b">
        <v>1</v>
      </c>
      <c r="DG129" s="420" cm="1">
        <f t="array" ref="DG129">_xlfn.XLOOKUP("Дом 4"&amp;Реестр_Д4[[#This Row],[№]]&amp;Реестр_Д4[[#This Row],[Статус]],РД[Дом]&amp;РД[№ кв]&amp;РД[Состояние],РД[Дата подачи на регистрацию],"-",0)</f>
        <v>44781</v>
      </c>
    </row>
    <row r="130" spans="1:111" x14ac:dyDescent="0.25">
      <c r="A130">
        <v>129</v>
      </c>
      <c r="B130" t="s">
        <v>5</v>
      </c>
      <c r="C130">
        <v>3</v>
      </c>
      <c r="D130" t="s">
        <v>42</v>
      </c>
      <c r="E130">
        <v>0</v>
      </c>
      <c r="F130">
        <v>13.95</v>
      </c>
      <c r="I130">
        <v>13.95</v>
      </c>
      <c r="J130">
        <v>5.77</v>
      </c>
      <c r="K130">
        <v>3.6</v>
      </c>
      <c r="N130">
        <v>3.59</v>
      </c>
      <c r="O130">
        <v>4.12</v>
      </c>
      <c r="Q130">
        <v>4.12</v>
      </c>
      <c r="R130">
        <v>31.03</v>
      </c>
      <c r="S130">
        <v>26.91</v>
      </c>
      <c r="T130">
        <v>28.97</v>
      </c>
      <c r="U130">
        <v>29.7</v>
      </c>
      <c r="V130">
        <v>75600</v>
      </c>
      <c r="W130">
        <v>3780</v>
      </c>
      <c r="X130">
        <v>79380</v>
      </c>
      <c r="Z130">
        <v>79380</v>
      </c>
      <c r="AB130">
        <v>79380</v>
      </c>
      <c r="AD130">
        <v>79380</v>
      </c>
      <c r="AF130">
        <v>79380</v>
      </c>
      <c r="AH130">
        <v>79380</v>
      </c>
      <c r="AJ130">
        <v>79380</v>
      </c>
      <c r="AL130">
        <v>79380</v>
      </c>
      <c r="AN130">
        <v>79380</v>
      </c>
      <c r="AP130">
        <v>79380</v>
      </c>
      <c r="AR130">
        <v>79380</v>
      </c>
      <c r="AT130">
        <v>79380</v>
      </c>
      <c r="AV130">
        <v>79380</v>
      </c>
      <c r="AX130">
        <v>79380</v>
      </c>
      <c r="AZ130">
        <v>79380</v>
      </c>
      <c r="BB130">
        <v>79380</v>
      </c>
      <c r="BD130">
        <v>79380</v>
      </c>
      <c r="BF130">
        <v>79380</v>
      </c>
      <c r="BH130">
        <v>79380</v>
      </c>
      <c r="BJ130">
        <v>79380</v>
      </c>
      <c r="BL130">
        <v>79380</v>
      </c>
      <c r="BN130">
        <v>79380</v>
      </c>
      <c r="BP130">
        <v>79380</v>
      </c>
      <c r="BR130">
        <v>79380</v>
      </c>
      <c r="BT130">
        <v>79380</v>
      </c>
      <c r="BV130">
        <v>79380</v>
      </c>
      <c r="BX130">
        <v>79380</v>
      </c>
      <c r="BY130">
        <v>79380</v>
      </c>
      <c r="BZ130">
        <v>2299638.6</v>
      </c>
      <c r="CC130">
        <v>0</v>
      </c>
      <c r="CD130">
        <v>79380</v>
      </c>
      <c r="CE130">
        <v>2299638.6</v>
      </c>
      <c r="CF130" t="s">
        <v>37</v>
      </c>
      <c r="CG130">
        <v>7500</v>
      </c>
      <c r="CH130">
        <v>86880</v>
      </c>
      <c r="CI130">
        <v>217275</v>
      </c>
      <c r="CJ130">
        <v>2516913.6</v>
      </c>
      <c r="CN130">
        <v>0</v>
      </c>
      <c r="CO130" t="s">
        <v>39</v>
      </c>
      <c r="CP130" t="s">
        <v>39</v>
      </c>
      <c r="CQ130" t="b">
        <v>1</v>
      </c>
      <c r="CR130" t="s">
        <v>8950</v>
      </c>
      <c r="CS130" t="s">
        <v>1167</v>
      </c>
      <c r="CT130" t="s">
        <v>8960</v>
      </c>
      <c r="CU130" t="s">
        <v>8970</v>
      </c>
      <c r="CV130" t="s">
        <v>5998</v>
      </c>
      <c r="CW130" t="s">
        <v>4895</v>
      </c>
      <c r="CX130" t="s">
        <v>3246</v>
      </c>
      <c r="CY130">
        <v>0.73000000000000043</v>
      </c>
      <c r="CZ130">
        <v>63422.400000000038</v>
      </c>
      <c r="DA130">
        <v>2516913.6</v>
      </c>
      <c r="DB130" t="s">
        <v>37</v>
      </c>
      <c r="DC130" t="b">
        <v>1</v>
      </c>
      <c r="DD130">
        <v>2516913.6</v>
      </c>
      <c r="DE130">
        <v>0</v>
      </c>
      <c r="DF130" t="b">
        <v>1</v>
      </c>
      <c r="DG130" s="420" cm="1">
        <f t="array" ref="DG130">_xlfn.XLOOKUP("Дом 4"&amp;Реестр_Д4[[#This Row],[№]]&amp;Реестр_Д4[[#This Row],[Статус]],РД[Дом]&amp;РД[№ кв]&amp;РД[Состояние],РД[Дата подачи на регистрацию],"-",0)</f>
        <v>44803</v>
      </c>
    </row>
    <row r="131" spans="1:111" x14ac:dyDescent="0.25">
      <c r="A131">
        <v>130</v>
      </c>
      <c r="B131" t="s">
        <v>5</v>
      </c>
      <c r="C131">
        <v>3</v>
      </c>
      <c r="D131" t="s">
        <v>43</v>
      </c>
      <c r="E131">
        <v>2</v>
      </c>
      <c r="F131">
        <v>17.54</v>
      </c>
      <c r="G131">
        <v>12.04</v>
      </c>
      <c r="I131">
        <v>29.58</v>
      </c>
      <c r="J131">
        <v>17.010000000000002</v>
      </c>
      <c r="K131">
        <v>3.71</v>
      </c>
      <c r="L131">
        <v>2.64</v>
      </c>
      <c r="N131">
        <v>13.06</v>
      </c>
      <c r="O131">
        <v>2.61</v>
      </c>
      <c r="P131">
        <v>2.88</v>
      </c>
      <c r="Q131">
        <v>5.49</v>
      </c>
      <c r="R131">
        <v>71.489999999999995</v>
      </c>
      <c r="S131">
        <v>66</v>
      </c>
      <c r="T131">
        <v>68.75</v>
      </c>
      <c r="U131">
        <v>70</v>
      </c>
      <c r="V131">
        <v>71971.199999999997</v>
      </c>
      <c r="W131">
        <v>3598.56</v>
      </c>
      <c r="X131">
        <v>75569.759999999995</v>
      </c>
      <c r="Z131">
        <v>75569.759999999995</v>
      </c>
      <c r="AA131">
        <v>3778.4879999999998</v>
      </c>
      <c r="AB131">
        <v>79348.248000000007</v>
      </c>
      <c r="AC131">
        <v>9.7598345040000005</v>
      </c>
      <c r="AD131">
        <v>79358.007834503995</v>
      </c>
      <c r="AF131">
        <v>79358.007834503995</v>
      </c>
      <c r="AH131">
        <v>79358.007834503995</v>
      </c>
      <c r="AI131">
        <v>1587.1601566900799</v>
      </c>
      <c r="AJ131">
        <v>80945.167991194074</v>
      </c>
      <c r="AK131">
        <v>809.4516799119408</v>
      </c>
      <c r="AL131">
        <v>81754.619671106018</v>
      </c>
      <c r="AN131">
        <v>81754.619671106018</v>
      </c>
      <c r="AP131">
        <v>81754.619671106018</v>
      </c>
      <c r="AR131">
        <v>81754.619671106018</v>
      </c>
      <c r="AT131">
        <v>81754.619671106018</v>
      </c>
      <c r="AV131">
        <v>81754.619671106018</v>
      </c>
      <c r="AX131">
        <v>81754.619671106018</v>
      </c>
      <c r="AZ131">
        <v>81754.619671106018</v>
      </c>
      <c r="BB131">
        <v>81754.619671106018</v>
      </c>
      <c r="BD131">
        <v>81754.619671106018</v>
      </c>
      <c r="BF131">
        <v>81754.619671106018</v>
      </c>
      <c r="BH131">
        <v>81754.619671106018</v>
      </c>
      <c r="BJ131">
        <v>81754.619671106018</v>
      </c>
      <c r="BL131">
        <v>81754.619671106018</v>
      </c>
      <c r="BN131">
        <v>81754.619671106018</v>
      </c>
      <c r="BP131">
        <v>81754.619671106018</v>
      </c>
      <c r="BR131">
        <v>81754.619671106018</v>
      </c>
      <c r="BT131">
        <v>81754.619671106018</v>
      </c>
      <c r="BV131">
        <v>81754.619671106018</v>
      </c>
      <c r="BX131">
        <v>81754.619671106018</v>
      </c>
      <c r="BY131">
        <v>81754.62</v>
      </c>
      <c r="BZ131">
        <v>5620630.1299999999</v>
      </c>
      <c r="CA131">
        <v>275000</v>
      </c>
      <c r="CC131">
        <v>275000</v>
      </c>
      <c r="CD131">
        <v>77754.620072727266</v>
      </c>
      <c r="CE131">
        <v>5345630.13</v>
      </c>
      <c r="CF131" t="s">
        <v>37</v>
      </c>
      <c r="CG131">
        <v>4000</v>
      </c>
      <c r="CH131">
        <v>81754.620072727266</v>
      </c>
      <c r="CI131">
        <v>275000</v>
      </c>
      <c r="CJ131">
        <v>5620630.1299999999</v>
      </c>
      <c r="CL131" t="s">
        <v>4838</v>
      </c>
      <c r="CN131">
        <v>0</v>
      </c>
      <c r="CO131" t="s">
        <v>39</v>
      </c>
      <c r="CP131" t="s">
        <v>39</v>
      </c>
      <c r="CQ131" t="b">
        <v>1</v>
      </c>
      <c r="CR131" t="s">
        <v>8950</v>
      </c>
      <c r="CS131" t="s">
        <v>1167</v>
      </c>
      <c r="CT131" t="s">
        <v>8960</v>
      </c>
      <c r="CU131" t="s">
        <v>8971</v>
      </c>
      <c r="CV131" t="s">
        <v>5999</v>
      </c>
      <c r="CW131" t="s">
        <v>4895</v>
      </c>
      <c r="CX131" t="s">
        <v>3246</v>
      </c>
      <c r="CY131">
        <v>1.25</v>
      </c>
      <c r="CZ131">
        <v>102193.27509090908</v>
      </c>
      <c r="DA131">
        <v>5620630.1299999999</v>
      </c>
      <c r="DB131" t="s">
        <v>37</v>
      </c>
      <c r="DC131" t="b">
        <v>1</v>
      </c>
      <c r="DD131">
        <v>5620630.1299999999</v>
      </c>
      <c r="DE131">
        <v>0</v>
      </c>
      <c r="DF131" t="b">
        <v>1</v>
      </c>
      <c r="DG131" s="420" cm="1">
        <f t="array" ref="DG131">_xlfn.XLOOKUP("Дом 4"&amp;Реестр_Д4[[#This Row],[№]]&amp;Реестр_Д4[[#This Row],[Статус]],РД[Дом]&amp;РД[№ кв]&amp;РД[Состояние],РД[Дата подачи на регистрацию],"-",0)</f>
        <v>45041</v>
      </c>
    </row>
    <row r="132" spans="1:111" x14ac:dyDescent="0.25">
      <c r="A132">
        <v>131</v>
      </c>
      <c r="B132" t="s">
        <v>5</v>
      </c>
      <c r="C132">
        <v>3</v>
      </c>
      <c r="D132" t="s">
        <v>44</v>
      </c>
      <c r="E132">
        <v>1</v>
      </c>
      <c r="F132">
        <v>13.45</v>
      </c>
      <c r="I132">
        <v>13.45</v>
      </c>
      <c r="J132">
        <v>11.31</v>
      </c>
      <c r="K132">
        <v>3.69</v>
      </c>
      <c r="N132">
        <v>5.63</v>
      </c>
      <c r="O132">
        <v>2.59</v>
      </c>
      <c r="Q132">
        <v>2.59</v>
      </c>
      <c r="R132">
        <v>36.67</v>
      </c>
      <c r="S132">
        <v>34.08</v>
      </c>
      <c r="T132">
        <v>35.380000000000003</v>
      </c>
      <c r="U132">
        <v>36.599999999999994</v>
      </c>
      <c r="V132">
        <v>72100</v>
      </c>
      <c r="W132">
        <v>3605</v>
      </c>
      <c r="X132">
        <v>75705</v>
      </c>
      <c r="Y132">
        <v>3028.2000000000003</v>
      </c>
      <c r="Z132">
        <v>78733.2</v>
      </c>
      <c r="AA132">
        <v>3936.66</v>
      </c>
      <c r="AB132">
        <v>82669.86</v>
      </c>
      <c r="AC132">
        <v>10.16839278</v>
      </c>
      <c r="AD132">
        <v>82680.028392780005</v>
      </c>
      <c r="AE132">
        <v>4134.0014196390002</v>
      </c>
      <c r="AF132">
        <v>86814.029812419001</v>
      </c>
      <c r="AH132">
        <v>86814.029812419001</v>
      </c>
      <c r="AJ132">
        <v>86814.029812419001</v>
      </c>
      <c r="AL132">
        <v>86814.029812419001</v>
      </c>
      <c r="AN132">
        <v>86814.029812419001</v>
      </c>
      <c r="AP132">
        <v>86814.029812419001</v>
      </c>
      <c r="AR132">
        <v>86814.029812419001</v>
      </c>
      <c r="AT132">
        <v>86814.029812419001</v>
      </c>
      <c r="AV132">
        <v>86814.029812419001</v>
      </c>
      <c r="AX132">
        <v>86814.029812419001</v>
      </c>
      <c r="AZ132">
        <v>86814.029812419001</v>
      </c>
      <c r="BB132">
        <v>86814.029812419001</v>
      </c>
      <c r="BD132">
        <v>86814.029812419001</v>
      </c>
      <c r="BF132">
        <v>86814.029812419001</v>
      </c>
      <c r="BH132">
        <v>86814.029812419001</v>
      </c>
      <c r="BJ132">
        <v>86814.029812419001</v>
      </c>
      <c r="BL132">
        <v>86814.029812419001</v>
      </c>
      <c r="BN132">
        <v>86814.029812419001</v>
      </c>
      <c r="BP132">
        <v>86814.029812419001</v>
      </c>
      <c r="BR132">
        <v>86814.029812419001</v>
      </c>
      <c r="BT132">
        <v>86814.029812419001</v>
      </c>
      <c r="BV132">
        <v>86814.029812419001</v>
      </c>
      <c r="BX132">
        <v>86814.029812419001</v>
      </c>
      <c r="BY132">
        <v>86814.03</v>
      </c>
      <c r="BZ132">
        <v>3071480.38</v>
      </c>
      <c r="CC132">
        <v>0</v>
      </c>
      <c r="CD132">
        <v>86814.029960429616</v>
      </c>
      <c r="CE132">
        <v>3071480.38</v>
      </c>
      <c r="CF132" t="s">
        <v>36</v>
      </c>
      <c r="CH132">
        <v>86814.029960429616</v>
      </c>
      <c r="CI132">
        <v>0</v>
      </c>
      <c r="CJ132">
        <v>3071480.38</v>
      </c>
      <c r="CN132">
        <v>0</v>
      </c>
      <c r="CO132" t="s">
        <v>39</v>
      </c>
      <c r="CP132" t="s">
        <v>39</v>
      </c>
      <c r="CQ132" t="b">
        <v>1</v>
      </c>
      <c r="CR132" t="s">
        <v>8950</v>
      </c>
      <c r="CS132" t="s">
        <v>1167</v>
      </c>
      <c r="CT132" t="s">
        <v>8960</v>
      </c>
      <c r="CU132" t="s">
        <v>8973</v>
      </c>
      <c r="CV132" t="s">
        <v>6000</v>
      </c>
      <c r="CW132" t="s">
        <v>4895</v>
      </c>
      <c r="CX132" t="s">
        <v>3246</v>
      </c>
      <c r="CY132">
        <v>1.2199999999999918</v>
      </c>
      <c r="CZ132">
        <v>105913.11655172342</v>
      </c>
      <c r="DA132">
        <v>3071480.38</v>
      </c>
      <c r="DB132" t="s">
        <v>36</v>
      </c>
      <c r="DC132" t="b">
        <v>1</v>
      </c>
      <c r="DD132">
        <v>3071480.38</v>
      </c>
      <c r="DE132">
        <v>0</v>
      </c>
      <c r="DF132" t="b">
        <v>1</v>
      </c>
      <c r="DG132" s="420" cm="1">
        <f t="array" ref="DG132">_xlfn.XLOOKUP("Дом 4"&amp;Реестр_Д4[[#This Row],[№]]&amp;Реестр_Д4[[#This Row],[Статус]],РД[Дом]&amp;РД[№ кв]&amp;РД[Состояние],РД[Дата подачи на регистрацию],"-",0)</f>
        <v>44974</v>
      </c>
    </row>
    <row r="133" spans="1:111" x14ac:dyDescent="0.25">
      <c r="A133">
        <v>132</v>
      </c>
      <c r="B133" t="s">
        <v>5</v>
      </c>
      <c r="C133">
        <v>3</v>
      </c>
      <c r="D133" t="s">
        <v>45</v>
      </c>
      <c r="E133">
        <v>1</v>
      </c>
      <c r="F133">
        <v>13.45</v>
      </c>
      <c r="I133">
        <v>13.45</v>
      </c>
      <c r="J133">
        <v>12.54</v>
      </c>
      <c r="K133">
        <v>3.69</v>
      </c>
      <c r="N133">
        <v>6.62</v>
      </c>
      <c r="O133">
        <v>3.01</v>
      </c>
      <c r="Q133">
        <v>3.01</v>
      </c>
      <c r="R133">
        <v>39.31</v>
      </c>
      <c r="S133">
        <v>36.299999999999997</v>
      </c>
      <c r="T133">
        <v>37.81</v>
      </c>
      <c r="U133">
        <v>39.1</v>
      </c>
      <c r="V133">
        <v>72800</v>
      </c>
      <c r="W133">
        <v>3640</v>
      </c>
      <c r="X133">
        <v>76440</v>
      </c>
      <c r="Y133">
        <v>3057.6</v>
      </c>
      <c r="Z133">
        <v>79497.600000000006</v>
      </c>
      <c r="AA133">
        <v>3974.880000000001</v>
      </c>
      <c r="AB133">
        <v>83472.48000000001</v>
      </c>
      <c r="AC133">
        <v>10.267115040000002</v>
      </c>
      <c r="AD133">
        <v>83482.747115040009</v>
      </c>
      <c r="AE133">
        <v>4174.137355752001</v>
      </c>
      <c r="AF133">
        <v>87656.884470792007</v>
      </c>
      <c r="AH133">
        <v>87656.884470792007</v>
      </c>
      <c r="AI133">
        <v>2629.7065341237603</v>
      </c>
      <c r="AJ133">
        <v>90286.591004915783</v>
      </c>
      <c r="AK133">
        <v>902.86591004915772</v>
      </c>
      <c r="AL133">
        <v>91189.456914964932</v>
      </c>
      <c r="AN133">
        <v>91189.456914964932</v>
      </c>
      <c r="AP133">
        <v>91189.456914964932</v>
      </c>
      <c r="AR133">
        <v>91189.456914964932</v>
      </c>
      <c r="AT133">
        <v>91189.456914964932</v>
      </c>
      <c r="AV133">
        <v>91189.456914964932</v>
      </c>
      <c r="AX133">
        <v>91189.456914964932</v>
      </c>
      <c r="AZ133">
        <v>91189.456914964932</v>
      </c>
      <c r="BB133">
        <v>91189.456914964932</v>
      </c>
      <c r="BD133">
        <v>91189.456914964932</v>
      </c>
      <c r="BF133">
        <v>91189.456914964932</v>
      </c>
      <c r="BH133">
        <v>91189.456914964932</v>
      </c>
      <c r="BJ133">
        <v>91189.456914964932</v>
      </c>
      <c r="BL133">
        <v>91189.456914964932</v>
      </c>
      <c r="BN133">
        <v>91189.456914964932</v>
      </c>
      <c r="BP133">
        <v>91189.456914964932</v>
      </c>
      <c r="BR133">
        <v>91189.456914964932</v>
      </c>
      <c r="BT133">
        <v>91189.456914964932</v>
      </c>
      <c r="BV133">
        <v>91189.456914964932</v>
      </c>
      <c r="BX133">
        <v>91189.456914964932</v>
      </c>
      <c r="BY133">
        <v>91189.46</v>
      </c>
      <c r="BZ133">
        <v>3447873.48</v>
      </c>
      <c r="CC133">
        <v>0</v>
      </c>
      <c r="CD133">
        <v>91189.45993123512</v>
      </c>
      <c r="CE133">
        <v>3447873.48</v>
      </c>
      <c r="CF133" t="s">
        <v>37</v>
      </c>
      <c r="CG133">
        <v>4000</v>
      </c>
      <c r="CH133">
        <v>95189.45993123512</v>
      </c>
      <c r="CI133">
        <v>151240</v>
      </c>
      <c r="CJ133">
        <v>3599113.48</v>
      </c>
      <c r="CN133">
        <v>0</v>
      </c>
      <c r="CO133" t="s">
        <v>39</v>
      </c>
      <c r="CP133" t="s">
        <v>39</v>
      </c>
      <c r="CQ133" t="b">
        <v>1</v>
      </c>
      <c r="CR133" t="s">
        <v>8950</v>
      </c>
      <c r="CS133" t="s">
        <v>1167</v>
      </c>
      <c r="CT133" t="s">
        <v>8960</v>
      </c>
      <c r="CU133" t="s">
        <v>8973</v>
      </c>
      <c r="CV133" t="s">
        <v>6001</v>
      </c>
      <c r="CW133" t="s">
        <v>4895</v>
      </c>
      <c r="CX133" t="s">
        <v>3246</v>
      </c>
      <c r="CY133">
        <v>1.2899999999999991</v>
      </c>
      <c r="CZ133">
        <v>122794.40331129322</v>
      </c>
      <c r="DA133">
        <v>3599113.48</v>
      </c>
      <c r="DB133" t="s">
        <v>37</v>
      </c>
      <c r="DC133" t="b">
        <v>1</v>
      </c>
      <c r="DD133">
        <v>3599113.48</v>
      </c>
      <c r="DE133">
        <v>0</v>
      </c>
      <c r="DF133" t="b">
        <v>1</v>
      </c>
      <c r="DG133" s="420" cm="1">
        <f t="array" ref="DG133">_xlfn.XLOOKUP("Дом 4"&amp;Реестр_Д4[[#This Row],[№]]&amp;Реестр_Д4[[#This Row],[Статус]],РД[Дом]&amp;РД[№ кв]&amp;РД[Состояние],РД[Дата подачи на регистрацию],"-",0)</f>
        <v>45056</v>
      </c>
    </row>
    <row r="134" spans="1:111" x14ac:dyDescent="0.25">
      <c r="A134">
        <v>133</v>
      </c>
      <c r="B134" t="s">
        <v>5</v>
      </c>
      <c r="C134">
        <v>3</v>
      </c>
      <c r="D134" t="s">
        <v>3351</v>
      </c>
      <c r="E134">
        <v>1</v>
      </c>
      <c r="F134">
        <v>12.11</v>
      </c>
      <c r="I134">
        <v>12.11</v>
      </c>
      <c r="J134">
        <v>12.27</v>
      </c>
      <c r="K134">
        <v>3.84</v>
      </c>
      <c r="N134">
        <v>7.06</v>
      </c>
      <c r="O134">
        <v>2.84</v>
      </c>
      <c r="Q134">
        <v>2.84</v>
      </c>
      <c r="R134">
        <v>38.119999999999997</v>
      </c>
      <c r="S134">
        <v>35.28</v>
      </c>
      <c r="T134">
        <v>36.700000000000003</v>
      </c>
      <c r="U134">
        <v>38</v>
      </c>
      <c r="V134">
        <v>72800</v>
      </c>
      <c r="W134">
        <v>3640</v>
      </c>
      <c r="X134">
        <v>76440</v>
      </c>
      <c r="Y134">
        <v>3057.6</v>
      </c>
      <c r="Z134">
        <v>79497.600000000006</v>
      </c>
      <c r="AA134">
        <v>3974.880000000001</v>
      </c>
      <c r="AB134">
        <v>83472.48000000001</v>
      </c>
      <c r="AC134">
        <v>10.267115040000002</v>
      </c>
      <c r="AD134">
        <v>83482.747115040009</v>
      </c>
      <c r="AE134">
        <v>4174.137355752001</v>
      </c>
      <c r="AF134">
        <v>87656.884470792007</v>
      </c>
      <c r="AH134">
        <v>87656.884470792007</v>
      </c>
      <c r="AI134">
        <v>2629.7065341237603</v>
      </c>
      <c r="AJ134">
        <v>90286.591004915783</v>
      </c>
      <c r="AL134">
        <v>90286.591004915783</v>
      </c>
      <c r="AN134">
        <v>90286.591004915783</v>
      </c>
      <c r="AP134">
        <v>90286.591004915783</v>
      </c>
      <c r="AR134">
        <v>90286.591004915783</v>
      </c>
      <c r="AT134">
        <v>90286.591004915783</v>
      </c>
      <c r="AV134">
        <v>90286.591004915783</v>
      </c>
      <c r="AX134">
        <v>90286.591004915783</v>
      </c>
      <c r="AZ134">
        <v>90286.591004915783</v>
      </c>
      <c r="BB134">
        <v>90286.591004915783</v>
      </c>
      <c r="BD134">
        <v>90286.591004915783</v>
      </c>
      <c r="BF134">
        <v>90286.591004915783</v>
      </c>
      <c r="BH134">
        <v>90286.591004915783</v>
      </c>
      <c r="BJ134">
        <v>90286.591004915783</v>
      </c>
      <c r="BL134">
        <v>90286.591004915783</v>
      </c>
      <c r="BN134">
        <v>90286.591004915783</v>
      </c>
      <c r="BP134">
        <v>90286.591004915783</v>
      </c>
      <c r="BR134">
        <v>90286.591004915783</v>
      </c>
      <c r="BT134">
        <v>90286.591004915783</v>
      </c>
      <c r="BV134">
        <v>90286.591004915783</v>
      </c>
      <c r="BX134">
        <v>90286.591004915783</v>
      </c>
      <c r="BY134">
        <v>90286.59</v>
      </c>
      <c r="BZ134">
        <v>3313517.85</v>
      </c>
      <c r="CC134">
        <v>0</v>
      </c>
      <c r="CD134">
        <v>90286.589918256126</v>
      </c>
      <c r="CE134">
        <v>3313517.85</v>
      </c>
      <c r="CF134" t="s">
        <v>37</v>
      </c>
      <c r="CG134">
        <v>4000</v>
      </c>
      <c r="CH134">
        <v>94286.589918256126</v>
      </c>
      <c r="CI134">
        <v>146800</v>
      </c>
      <c r="CJ134">
        <v>3460317.85</v>
      </c>
      <c r="CN134">
        <v>0</v>
      </c>
      <c r="CO134" t="s">
        <v>39</v>
      </c>
      <c r="CP134" t="s">
        <v>39</v>
      </c>
      <c r="CQ134" t="b">
        <v>1</v>
      </c>
      <c r="CR134" t="s">
        <v>8950</v>
      </c>
      <c r="CS134" t="s">
        <v>1167</v>
      </c>
      <c r="CT134" t="s">
        <v>8960</v>
      </c>
      <c r="CU134" t="s">
        <v>8973</v>
      </c>
      <c r="CV134" t="s">
        <v>6002</v>
      </c>
      <c r="CW134" t="s">
        <v>4895</v>
      </c>
      <c r="CX134" t="s">
        <v>3246</v>
      </c>
      <c r="CY134">
        <v>1.2999999999999972</v>
      </c>
      <c r="CZ134">
        <v>122572.5668937327</v>
      </c>
      <c r="DA134">
        <v>3460317.85</v>
      </c>
      <c r="DB134" t="s">
        <v>37</v>
      </c>
      <c r="DC134" t="b">
        <v>1</v>
      </c>
      <c r="DD134">
        <v>3460317.85</v>
      </c>
      <c r="DE134">
        <v>0</v>
      </c>
      <c r="DF134" t="b">
        <v>1</v>
      </c>
      <c r="DG134" s="420" cm="1">
        <f t="array" ref="DG134">_xlfn.XLOOKUP("Дом 4"&amp;Реестр_Д4[[#This Row],[№]]&amp;Реестр_Д4[[#This Row],[Статус]],РД[Дом]&amp;РД[№ кв]&amp;РД[Состояние],РД[Дата подачи на регистрацию],"-",0)</f>
        <v>44998</v>
      </c>
    </row>
    <row r="135" spans="1:111" x14ac:dyDescent="0.25">
      <c r="A135">
        <v>134</v>
      </c>
      <c r="B135" t="s">
        <v>5</v>
      </c>
      <c r="C135">
        <v>3</v>
      </c>
      <c r="D135" t="s">
        <v>3352</v>
      </c>
      <c r="E135">
        <v>1</v>
      </c>
      <c r="F135">
        <v>11.74</v>
      </c>
      <c r="I135">
        <v>11.74</v>
      </c>
      <c r="J135">
        <v>12.47</v>
      </c>
      <c r="K135">
        <v>3.71</v>
      </c>
      <c r="N135">
        <v>7.29</v>
      </c>
      <c r="O135">
        <v>2.89</v>
      </c>
      <c r="Q135">
        <v>2.89</v>
      </c>
      <c r="R135">
        <v>38.1</v>
      </c>
      <c r="S135">
        <v>35.21</v>
      </c>
      <c r="T135">
        <v>36.659999999999997</v>
      </c>
      <c r="U135">
        <v>38</v>
      </c>
      <c r="V135">
        <v>72800</v>
      </c>
      <c r="X135">
        <v>72800</v>
      </c>
      <c r="Z135">
        <v>72800</v>
      </c>
      <c r="AB135">
        <v>72800</v>
      </c>
      <c r="AD135">
        <v>72800</v>
      </c>
      <c r="AF135">
        <v>72800</v>
      </c>
      <c r="AH135">
        <v>72800</v>
      </c>
      <c r="AJ135">
        <v>72800</v>
      </c>
      <c r="AL135">
        <v>72800</v>
      </c>
      <c r="AN135">
        <v>72800</v>
      </c>
      <c r="AP135">
        <v>72800</v>
      </c>
      <c r="AR135">
        <v>72800</v>
      </c>
      <c r="AT135">
        <v>72800</v>
      </c>
      <c r="AV135">
        <v>72800</v>
      </c>
      <c r="AX135">
        <v>72800</v>
      </c>
      <c r="AZ135">
        <v>72800</v>
      </c>
      <c r="BB135">
        <v>72800</v>
      </c>
      <c r="BD135">
        <v>72800</v>
      </c>
      <c r="BF135">
        <v>72800</v>
      </c>
      <c r="BH135">
        <v>72800</v>
      </c>
      <c r="BJ135">
        <v>72800</v>
      </c>
      <c r="BL135">
        <v>72800</v>
      </c>
      <c r="BN135">
        <v>72800</v>
      </c>
      <c r="BP135">
        <v>72800</v>
      </c>
      <c r="BR135">
        <v>72800</v>
      </c>
      <c r="BT135">
        <v>72800</v>
      </c>
      <c r="BV135">
        <v>72800</v>
      </c>
      <c r="BX135">
        <v>72800</v>
      </c>
      <c r="BY135">
        <v>72800</v>
      </c>
      <c r="BZ135">
        <v>2668848</v>
      </c>
      <c r="CC135">
        <v>0</v>
      </c>
      <c r="CD135">
        <v>72800</v>
      </c>
      <c r="CE135">
        <v>2668848</v>
      </c>
      <c r="CF135" t="s">
        <v>37</v>
      </c>
      <c r="CG135">
        <v>7000</v>
      </c>
      <c r="CH135">
        <v>79800</v>
      </c>
      <c r="CI135">
        <v>256620</v>
      </c>
      <c r="CJ135">
        <v>2925468</v>
      </c>
      <c r="CN135">
        <v>0</v>
      </c>
      <c r="CO135" t="s">
        <v>39</v>
      </c>
      <c r="CP135" t="s">
        <v>39</v>
      </c>
      <c r="CQ135" t="b">
        <v>1</v>
      </c>
      <c r="CR135" t="s">
        <v>8950</v>
      </c>
      <c r="CS135" t="s">
        <v>1167</v>
      </c>
      <c r="CT135" t="s">
        <v>8960</v>
      </c>
      <c r="CU135" t="s">
        <v>8973</v>
      </c>
      <c r="CV135" t="s">
        <v>6003</v>
      </c>
      <c r="CW135" t="s">
        <v>4895</v>
      </c>
      <c r="CX135" t="s">
        <v>3246</v>
      </c>
      <c r="CY135">
        <v>1.3400000000000034</v>
      </c>
      <c r="CZ135">
        <v>106932.00000000028</v>
      </c>
      <c r="DA135">
        <v>2925468</v>
      </c>
      <c r="DB135" t="s">
        <v>37</v>
      </c>
      <c r="DC135" t="b">
        <v>1</v>
      </c>
      <c r="DD135">
        <v>2925468</v>
      </c>
      <c r="DE135">
        <v>0</v>
      </c>
      <c r="DF135" t="b">
        <v>1</v>
      </c>
      <c r="DG135" s="420" cm="1">
        <f t="array" ref="DG135">_xlfn.XLOOKUP("Дом 4"&amp;Реестр_Д4[[#This Row],[№]]&amp;Реестр_Д4[[#This Row],[Статус]],РД[Дом]&amp;РД[№ кв]&amp;РД[Состояние],РД[Дата подачи на регистрацию],"-",0)</f>
        <v>44778</v>
      </c>
    </row>
    <row r="136" spans="1:111" x14ac:dyDescent="0.25">
      <c r="A136">
        <v>135</v>
      </c>
      <c r="B136" t="s">
        <v>5</v>
      </c>
      <c r="C136">
        <v>3</v>
      </c>
      <c r="D136" t="s">
        <v>3353</v>
      </c>
      <c r="E136">
        <v>3</v>
      </c>
      <c r="F136">
        <v>14.79</v>
      </c>
      <c r="G136">
        <v>14.24</v>
      </c>
      <c r="H136">
        <v>13.63</v>
      </c>
      <c r="I136">
        <v>42.66</v>
      </c>
      <c r="J136">
        <v>13.29</v>
      </c>
      <c r="K136">
        <v>4.72</v>
      </c>
      <c r="L136">
        <v>1.66</v>
      </c>
      <c r="M136">
        <v>2.19</v>
      </c>
      <c r="N136">
        <v>11.45</v>
      </c>
      <c r="O136">
        <v>2.73</v>
      </c>
      <c r="P136">
        <v>2.78</v>
      </c>
      <c r="Q136">
        <v>5.51</v>
      </c>
      <c r="R136">
        <v>81.48</v>
      </c>
      <c r="S136">
        <v>75.97</v>
      </c>
      <c r="T136">
        <v>78.73</v>
      </c>
      <c r="U136">
        <v>80.599999999999994</v>
      </c>
      <c r="V136">
        <v>68992.000000000015</v>
      </c>
      <c r="W136">
        <v>3449.6000000000008</v>
      </c>
      <c r="X136">
        <v>72441.60000000002</v>
      </c>
      <c r="Z136">
        <v>72441.60000000002</v>
      </c>
      <c r="AB136">
        <v>72441.60000000002</v>
      </c>
      <c r="AC136">
        <v>8.9103168000000039</v>
      </c>
      <c r="AD136">
        <v>72450.510316800021</v>
      </c>
      <c r="AF136">
        <v>72450.510316800021</v>
      </c>
      <c r="AH136">
        <v>72450.510316800021</v>
      </c>
      <c r="AI136">
        <v>2173.5153095040005</v>
      </c>
      <c r="AJ136">
        <v>74624.025626304021</v>
      </c>
      <c r="AK136">
        <v>746.24025626304035</v>
      </c>
      <c r="AL136">
        <v>75370.265882567066</v>
      </c>
      <c r="AM136">
        <v>1507.4053176513414</v>
      </c>
      <c r="AN136">
        <v>76877.671200218407</v>
      </c>
      <c r="AP136">
        <v>76877.671200218407</v>
      </c>
      <c r="AR136">
        <v>76877.671200218407</v>
      </c>
      <c r="AT136">
        <v>76877.671200218407</v>
      </c>
      <c r="AV136">
        <v>76877.671200218407</v>
      </c>
      <c r="AX136">
        <v>76877.671200218407</v>
      </c>
      <c r="AZ136">
        <v>76877.671200218407</v>
      </c>
      <c r="BB136">
        <v>76877.671200218407</v>
      </c>
      <c r="BD136">
        <v>76877.671200218407</v>
      </c>
      <c r="BF136">
        <v>76877.671200218407</v>
      </c>
      <c r="BH136">
        <v>76877.671200218407</v>
      </c>
      <c r="BJ136">
        <v>76877.671200218407</v>
      </c>
      <c r="BL136">
        <v>76877.671200218407</v>
      </c>
      <c r="BN136">
        <v>76877.671200218407</v>
      </c>
      <c r="BP136">
        <v>76877.671200218407</v>
      </c>
      <c r="BR136">
        <v>76877.671200218407</v>
      </c>
      <c r="BT136">
        <v>76877.671200218407</v>
      </c>
      <c r="BV136">
        <v>76877.671200218407</v>
      </c>
      <c r="BX136">
        <v>76877.671200218407</v>
      </c>
      <c r="BY136">
        <v>76877.67</v>
      </c>
      <c r="BZ136">
        <v>6052578.96</v>
      </c>
      <c r="CB136">
        <v>0.06</v>
      </c>
      <c r="CC136">
        <v>363154.73759999999</v>
      </c>
      <c r="CD136">
        <v>72265.009780261651</v>
      </c>
      <c r="CE136">
        <v>5689424.2199999997</v>
      </c>
      <c r="CF136" t="s">
        <v>36</v>
      </c>
      <c r="CH136">
        <v>72265.009780261651</v>
      </c>
      <c r="CI136">
        <v>0</v>
      </c>
      <c r="CJ136">
        <v>5689424.2199999997</v>
      </c>
      <c r="CL136" t="s">
        <v>978</v>
      </c>
      <c r="CN136">
        <v>0</v>
      </c>
      <c r="CO136" t="s">
        <v>39</v>
      </c>
      <c r="CP136" t="s">
        <v>39</v>
      </c>
      <c r="CQ136" t="b">
        <v>1</v>
      </c>
      <c r="CR136" t="s">
        <v>8950</v>
      </c>
      <c r="CS136" t="s">
        <v>1167</v>
      </c>
      <c r="CT136" t="s">
        <v>8960</v>
      </c>
      <c r="CU136" t="s">
        <v>8975</v>
      </c>
      <c r="CV136" t="s">
        <v>6004</v>
      </c>
      <c r="CW136" t="s">
        <v>4895</v>
      </c>
      <c r="CX136" t="s">
        <v>3246</v>
      </c>
      <c r="CY136">
        <v>1.8699999999999903</v>
      </c>
      <c r="CZ136">
        <v>135135.56828908858</v>
      </c>
      <c r="DA136">
        <v>5689424.2199999997</v>
      </c>
      <c r="DB136" t="s">
        <v>36</v>
      </c>
      <c r="DC136" t="b">
        <v>1</v>
      </c>
      <c r="DD136">
        <v>5689424.2199999997</v>
      </c>
      <c r="DE136">
        <v>0</v>
      </c>
      <c r="DF136" t="b">
        <v>1</v>
      </c>
      <c r="DG136" s="420" cm="1">
        <f t="array" ref="DG136">_xlfn.XLOOKUP("Дом 4"&amp;Реестр_Д4[[#This Row],[№]]&amp;Реестр_Д4[[#This Row],[Статус]],РД[Дом]&amp;РД[№ кв]&amp;РД[Состояние],РД[Дата подачи на регистрацию],"-",0)</f>
        <v>45114</v>
      </c>
    </row>
    <row r="137" spans="1:111" x14ac:dyDescent="0.25">
      <c r="A137">
        <v>136</v>
      </c>
      <c r="B137" t="s">
        <v>5</v>
      </c>
      <c r="C137">
        <v>3</v>
      </c>
      <c r="D137" t="s">
        <v>3354</v>
      </c>
      <c r="E137">
        <v>1</v>
      </c>
      <c r="F137">
        <v>14.13</v>
      </c>
      <c r="I137">
        <v>14.13</v>
      </c>
      <c r="J137">
        <v>9.2100000000000009</v>
      </c>
      <c r="K137">
        <v>3.66</v>
      </c>
      <c r="N137">
        <v>5.55</v>
      </c>
      <c r="O137">
        <v>2.48</v>
      </c>
      <c r="Q137">
        <v>2.48</v>
      </c>
      <c r="R137">
        <v>35.03</v>
      </c>
      <c r="S137">
        <v>32.550000000000004</v>
      </c>
      <c r="T137">
        <v>33.79</v>
      </c>
      <c r="U137">
        <v>34.5</v>
      </c>
      <c r="V137">
        <v>70700</v>
      </c>
      <c r="W137">
        <v>3535</v>
      </c>
      <c r="X137">
        <v>74235</v>
      </c>
      <c r="Y137">
        <v>2969.4</v>
      </c>
      <c r="Z137">
        <v>77204.399999999994</v>
      </c>
      <c r="AB137">
        <v>77204.399999999994</v>
      </c>
      <c r="AD137">
        <v>77204.399999999994</v>
      </c>
      <c r="AF137">
        <v>77204.399999999994</v>
      </c>
      <c r="AH137">
        <v>77204.399999999994</v>
      </c>
      <c r="AJ137">
        <v>77204.399999999994</v>
      </c>
      <c r="AL137">
        <v>77204.399999999994</v>
      </c>
      <c r="AN137">
        <v>77204.399999999994</v>
      </c>
      <c r="AP137">
        <v>77204.399999999994</v>
      </c>
      <c r="AR137">
        <v>77204.399999999994</v>
      </c>
      <c r="AT137">
        <v>77204.399999999994</v>
      </c>
      <c r="AV137">
        <v>77204.399999999994</v>
      </c>
      <c r="AX137">
        <v>77204.399999999994</v>
      </c>
      <c r="AZ137">
        <v>77204.399999999994</v>
      </c>
      <c r="BB137">
        <v>77204.399999999994</v>
      </c>
      <c r="BD137">
        <v>77204.399999999994</v>
      </c>
      <c r="BF137">
        <v>77204.399999999994</v>
      </c>
      <c r="BH137">
        <v>77204.399999999994</v>
      </c>
      <c r="BJ137">
        <v>77204.399999999994</v>
      </c>
      <c r="BL137">
        <v>77204.399999999994</v>
      </c>
      <c r="BN137">
        <v>77204.399999999994</v>
      </c>
      <c r="BP137">
        <v>77204.399999999994</v>
      </c>
      <c r="BR137">
        <v>77204.399999999994</v>
      </c>
      <c r="BT137">
        <v>77204.399999999994</v>
      </c>
      <c r="BV137">
        <v>77204.399999999994</v>
      </c>
      <c r="BX137">
        <v>77204.399999999994</v>
      </c>
      <c r="BY137">
        <v>77204.399999999994</v>
      </c>
      <c r="BZ137">
        <v>2608736.6800000002</v>
      </c>
      <c r="CB137">
        <v>0.05</v>
      </c>
      <c r="CC137">
        <v>130436.83400000002</v>
      </c>
      <c r="CD137">
        <v>73344.179934891989</v>
      </c>
      <c r="CE137">
        <v>2478299.8400000003</v>
      </c>
      <c r="CF137" t="s">
        <v>37</v>
      </c>
      <c r="CG137">
        <v>7500</v>
      </c>
      <c r="CH137">
        <v>80844.179934891989</v>
      </c>
      <c r="CI137">
        <v>253424.99999999953</v>
      </c>
      <c r="CJ137">
        <v>2731724.84</v>
      </c>
      <c r="CK137" t="s">
        <v>57</v>
      </c>
      <c r="CL137" t="s">
        <v>3540</v>
      </c>
      <c r="CN137">
        <v>0</v>
      </c>
      <c r="CO137" t="s">
        <v>39</v>
      </c>
      <c r="CP137" t="s">
        <v>39</v>
      </c>
      <c r="CQ137" t="b">
        <v>1</v>
      </c>
      <c r="CR137" t="s">
        <v>8950</v>
      </c>
      <c r="CS137" t="s">
        <v>1167</v>
      </c>
      <c r="CT137" t="s">
        <v>8960</v>
      </c>
      <c r="CU137" t="s">
        <v>8973</v>
      </c>
      <c r="CV137" t="s">
        <v>6005</v>
      </c>
      <c r="CW137" t="s">
        <v>4895</v>
      </c>
      <c r="CX137" t="s">
        <v>3246</v>
      </c>
      <c r="CY137">
        <v>0.71000000000000085</v>
      </c>
      <c r="CZ137">
        <v>57399.367753773382</v>
      </c>
      <c r="DA137">
        <v>2731724.84</v>
      </c>
      <c r="DB137" t="s">
        <v>37</v>
      </c>
      <c r="DC137" t="b">
        <v>1</v>
      </c>
      <c r="DD137">
        <v>2731724.84</v>
      </c>
      <c r="DE137">
        <v>0</v>
      </c>
      <c r="DF137" t="b">
        <v>1</v>
      </c>
      <c r="DG137" s="420" cm="1">
        <f t="array" ref="DG137">_xlfn.XLOOKUP("Дом 4"&amp;Реестр_Д4[[#This Row],[№]]&amp;Реестр_Д4[[#This Row],[Статус]],РД[Дом]&amp;РД[№ кв]&amp;РД[Состояние],РД[Дата подачи на регистрацию],"-",0)</f>
        <v>44887</v>
      </c>
    </row>
    <row r="138" spans="1:111" x14ac:dyDescent="0.25">
      <c r="A138">
        <v>137</v>
      </c>
      <c r="B138" t="s">
        <v>5</v>
      </c>
      <c r="C138">
        <v>4</v>
      </c>
      <c r="D138" t="s">
        <v>42</v>
      </c>
      <c r="E138">
        <v>0</v>
      </c>
      <c r="F138">
        <v>13.95</v>
      </c>
      <c r="I138">
        <v>13.95</v>
      </c>
      <c r="J138">
        <v>5.77</v>
      </c>
      <c r="K138">
        <v>3.6</v>
      </c>
      <c r="N138">
        <v>3.59</v>
      </c>
      <c r="O138">
        <v>4.12</v>
      </c>
      <c r="Q138">
        <v>4.12</v>
      </c>
      <c r="R138">
        <v>31.03</v>
      </c>
      <c r="S138">
        <v>26.91</v>
      </c>
      <c r="T138">
        <v>28.97</v>
      </c>
      <c r="U138">
        <v>29.499999999999996</v>
      </c>
      <c r="V138">
        <v>75600</v>
      </c>
      <c r="X138">
        <v>75600</v>
      </c>
      <c r="Z138">
        <v>75600</v>
      </c>
      <c r="AB138">
        <v>75600</v>
      </c>
      <c r="AD138">
        <v>75600</v>
      </c>
      <c r="AF138">
        <v>75600</v>
      </c>
      <c r="AH138">
        <v>75600</v>
      </c>
      <c r="AJ138">
        <v>75600</v>
      </c>
      <c r="AL138">
        <v>75600</v>
      </c>
      <c r="AN138">
        <v>75600</v>
      </c>
      <c r="AP138">
        <v>75600</v>
      </c>
      <c r="AR138">
        <v>75600</v>
      </c>
      <c r="AT138">
        <v>75600</v>
      </c>
      <c r="AV138">
        <v>75600</v>
      </c>
      <c r="AX138">
        <v>75600</v>
      </c>
      <c r="AZ138">
        <v>75600</v>
      </c>
      <c r="BB138">
        <v>75600</v>
      </c>
      <c r="BD138">
        <v>75600</v>
      </c>
      <c r="BF138">
        <v>75600</v>
      </c>
      <c r="BH138">
        <v>75600</v>
      </c>
      <c r="BJ138">
        <v>75600</v>
      </c>
      <c r="BL138">
        <v>75600</v>
      </c>
      <c r="BN138">
        <v>75600</v>
      </c>
      <c r="BP138">
        <v>75600</v>
      </c>
      <c r="BR138">
        <v>75600</v>
      </c>
      <c r="BT138">
        <v>75600</v>
      </c>
      <c r="BV138">
        <v>75600</v>
      </c>
      <c r="BX138">
        <v>75600</v>
      </c>
      <c r="BY138">
        <v>75600</v>
      </c>
      <c r="BZ138">
        <v>2190132</v>
      </c>
      <c r="CC138">
        <v>0</v>
      </c>
      <c r="CD138">
        <v>75600</v>
      </c>
      <c r="CE138">
        <v>2190132</v>
      </c>
      <c r="CF138" t="s">
        <v>36</v>
      </c>
      <c r="CH138">
        <v>75600</v>
      </c>
      <c r="CI138">
        <v>0</v>
      </c>
      <c r="CJ138">
        <v>2190132</v>
      </c>
      <c r="CN138">
        <v>0</v>
      </c>
      <c r="CO138" t="s">
        <v>39</v>
      </c>
      <c r="CP138" t="s">
        <v>39</v>
      </c>
      <c r="CQ138" t="b">
        <v>1</v>
      </c>
      <c r="CR138" t="s">
        <v>8950</v>
      </c>
      <c r="CS138" t="s">
        <v>1167</v>
      </c>
      <c r="CT138" t="s">
        <v>8960</v>
      </c>
      <c r="CU138" t="s">
        <v>8970</v>
      </c>
      <c r="CV138" t="s">
        <v>6006</v>
      </c>
      <c r="CW138" t="s">
        <v>4895</v>
      </c>
      <c r="CX138" t="s">
        <v>3246</v>
      </c>
      <c r="CY138">
        <v>0.52999999999999758</v>
      </c>
      <c r="CZ138">
        <v>40067.999999999818</v>
      </c>
      <c r="DA138">
        <v>2190132</v>
      </c>
      <c r="DB138" t="s">
        <v>36</v>
      </c>
      <c r="DC138" t="b">
        <v>1</v>
      </c>
      <c r="DD138">
        <v>2190132</v>
      </c>
      <c r="DE138">
        <v>0</v>
      </c>
      <c r="DF138" t="b">
        <v>1</v>
      </c>
      <c r="DG138" s="420" cm="1">
        <f t="array" ref="DG138">_xlfn.XLOOKUP("Дом 4"&amp;Реестр_Д4[[#This Row],[№]]&amp;Реестр_Д4[[#This Row],[Статус]],РД[Дом]&amp;РД[№ кв]&amp;РД[Состояние],РД[Дата подачи на регистрацию],"-",0)</f>
        <v>44788</v>
      </c>
    </row>
    <row r="139" spans="1:111" x14ac:dyDescent="0.25">
      <c r="A139">
        <v>138</v>
      </c>
      <c r="B139" t="s">
        <v>5</v>
      </c>
      <c r="C139">
        <v>4</v>
      </c>
      <c r="D139" t="s">
        <v>43</v>
      </c>
      <c r="E139">
        <v>2</v>
      </c>
      <c r="F139">
        <v>17.54</v>
      </c>
      <c r="G139">
        <v>12.04</v>
      </c>
      <c r="I139">
        <v>29.58</v>
      </c>
      <c r="J139">
        <v>17.010000000000002</v>
      </c>
      <c r="K139">
        <v>3.71</v>
      </c>
      <c r="L139">
        <v>2.64</v>
      </c>
      <c r="N139">
        <v>13.06</v>
      </c>
      <c r="O139">
        <v>2.61</v>
      </c>
      <c r="P139">
        <v>2.88</v>
      </c>
      <c r="Q139">
        <v>5.49</v>
      </c>
      <c r="R139">
        <v>71.489999999999995</v>
      </c>
      <c r="S139">
        <v>66</v>
      </c>
      <c r="T139">
        <v>68.75</v>
      </c>
      <c r="U139">
        <v>70.399999999999991</v>
      </c>
      <c r="V139">
        <v>71971.199999999997</v>
      </c>
      <c r="W139">
        <v>3598.56</v>
      </c>
      <c r="X139">
        <v>75569.759999999995</v>
      </c>
      <c r="Z139">
        <v>75569.759999999995</v>
      </c>
      <c r="AA139">
        <v>3778.4879999999998</v>
      </c>
      <c r="AB139">
        <v>79348.248000000007</v>
      </c>
      <c r="AC139">
        <v>9.7598345040000005</v>
      </c>
      <c r="AD139">
        <v>79358.007834503995</v>
      </c>
      <c r="AF139">
        <v>79358.007834503995</v>
      </c>
      <c r="AH139">
        <v>79358.007834503995</v>
      </c>
      <c r="AI139">
        <v>1587.1601566900799</v>
      </c>
      <c r="AJ139">
        <v>80945.167991194074</v>
      </c>
      <c r="AK139">
        <v>809.4516799119408</v>
      </c>
      <c r="AL139">
        <v>81754.619671106018</v>
      </c>
      <c r="AM139">
        <v>1635.0923934221205</v>
      </c>
      <c r="AN139">
        <v>83389.712064528139</v>
      </c>
      <c r="AP139">
        <v>83389.712064528139</v>
      </c>
      <c r="AQ139">
        <v>2501.6913619358443</v>
      </c>
      <c r="AR139">
        <v>85891.403426463978</v>
      </c>
      <c r="AT139">
        <v>85891.403426463978</v>
      </c>
      <c r="AV139">
        <v>85891.403426463978</v>
      </c>
      <c r="AX139">
        <v>85891.403426463978</v>
      </c>
      <c r="AZ139">
        <v>85891.403426463978</v>
      </c>
      <c r="BB139">
        <v>85891.403426463978</v>
      </c>
      <c r="BD139">
        <v>85891.403426463978</v>
      </c>
      <c r="BF139">
        <v>85891.403426463978</v>
      </c>
      <c r="BH139">
        <v>85891.403426463978</v>
      </c>
      <c r="BJ139">
        <v>85891.403426463978</v>
      </c>
      <c r="BL139">
        <v>85891.403426463978</v>
      </c>
      <c r="BN139">
        <v>85891.403426463978</v>
      </c>
      <c r="BP139">
        <v>85891.403426463978</v>
      </c>
      <c r="BR139">
        <v>85891.403426463978</v>
      </c>
      <c r="BT139">
        <v>85891.403426463978</v>
      </c>
      <c r="BV139">
        <v>85891.403426463978</v>
      </c>
      <c r="BX139">
        <v>85891.403426463978</v>
      </c>
      <c r="BY139">
        <v>85891.4</v>
      </c>
      <c r="BZ139">
        <v>5905033.75</v>
      </c>
      <c r="CC139">
        <v>0</v>
      </c>
      <c r="CD139">
        <v>85891.4</v>
      </c>
      <c r="CE139">
        <v>5905033.75</v>
      </c>
      <c r="CF139" t="s">
        <v>37</v>
      </c>
      <c r="CG139">
        <v>4500</v>
      </c>
      <c r="CH139">
        <v>90391.4</v>
      </c>
      <c r="CI139">
        <v>309375</v>
      </c>
      <c r="CJ139">
        <v>6214408.75</v>
      </c>
      <c r="CN139">
        <v>0</v>
      </c>
      <c r="CO139" t="s">
        <v>39</v>
      </c>
      <c r="CP139" t="s">
        <v>39</v>
      </c>
      <c r="CQ139" t="b">
        <v>1</v>
      </c>
      <c r="CR139" t="s">
        <v>8950</v>
      </c>
      <c r="CS139" t="s">
        <v>1167</v>
      </c>
      <c r="CT139" t="s">
        <v>8960</v>
      </c>
      <c r="CU139" t="s">
        <v>8971</v>
      </c>
      <c r="CV139" t="s">
        <v>6007</v>
      </c>
      <c r="CW139" t="s">
        <v>4895</v>
      </c>
      <c r="CX139" t="s">
        <v>3246</v>
      </c>
      <c r="CY139">
        <v>1.6499999999999917</v>
      </c>
      <c r="CZ139">
        <v>149145.80999999921</v>
      </c>
      <c r="DA139">
        <v>7463425</v>
      </c>
      <c r="DB139" t="s">
        <v>37</v>
      </c>
      <c r="DC139" t="b">
        <v>1</v>
      </c>
      <c r="DD139">
        <v>6214408.75</v>
      </c>
      <c r="DE139">
        <v>0</v>
      </c>
      <c r="DF139" t="b">
        <v>1</v>
      </c>
      <c r="DG139" s="420" cm="1">
        <f t="array" ref="DG139">_xlfn.XLOOKUP("Дом 4"&amp;Реестр_Д4[[#This Row],[№]]&amp;Реестр_Д4[[#This Row],[Статус]],РД[Дом]&amp;РД[№ кв]&amp;РД[Состояние],РД[Дата подачи на регистрацию],"-",0)</f>
        <v>45153</v>
      </c>
    </row>
    <row r="140" spans="1:111" x14ac:dyDescent="0.25">
      <c r="A140">
        <v>139</v>
      </c>
      <c r="B140" t="s">
        <v>5</v>
      </c>
      <c r="C140">
        <v>4</v>
      </c>
      <c r="D140" t="s">
        <v>44</v>
      </c>
      <c r="E140">
        <v>1</v>
      </c>
      <c r="F140">
        <v>13.45</v>
      </c>
      <c r="I140">
        <v>13.45</v>
      </c>
      <c r="J140">
        <v>11.31</v>
      </c>
      <c r="K140">
        <v>3.69</v>
      </c>
      <c r="N140">
        <v>5.63</v>
      </c>
      <c r="O140">
        <v>2.59</v>
      </c>
      <c r="Q140">
        <v>2.59</v>
      </c>
      <c r="R140">
        <v>36.67</v>
      </c>
      <c r="S140">
        <v>34.08</v>
      </c>
      <c r="T140">
        <v>35.380000000000003</v>
      </c>
      <c r="U140">
        <v>36.599999999999994</v>
      </c>
      <c r="V140">
        <v>72100</v>
      </c>
      <c r="W140">
        <v>3605</v>
      </c>
      <c r="X140">
        <v>75705</v>
      </c>
      <c r="Y140">
        <v>3028.2000000000003</v>
      </c>
      <c r="Z140">
        <v>78733.2</v>
      </c>
      <c r="AA140">
        <v>3936.66</v>
      </c>
      <c r="AB140">
        <v>82669.86</v>
      </c>
      <c r="AC140">
        <v>10.16839278</v>
      </c>
      <c r="AD140">
        <v>82680.028392780005</v>
      </c>
      <c r="AE140">
        <v>4134.0014196390002</v>
      </c>
      <c r="AF140">
        <v>86814.029812419001</v>
      </c>
      <c r="AH140">
        <v>86814.029812419001</v>
      </c>
      <c r="AJ140">
        <v>86814.029812419001</v>
      </c>
      <c r="AL140">
        <v>86814.029812419001</v>
      </c>
      <c r="AN140">
        <v>86814.029812419001</v>
      </c>
      <c r="AP140">
        <v>86814.029812419001</v>
      </c>
      <c r="AR140">
        <v>86814.029812419001</v>
      </c>
      <c r="AT140">
        <v>86814.029812419001</v>
      </c>
      <c r="AV140">
        <v>86814.029812419001</v>
      </c>
      <c r="AX140">
        <v>86814.029812419001</v>
      </c>
      <c r="AZ140">
        <v>86814.029812419001</v>
      </c>
      <c r="BB140">
        <v>86814.029812419001</v>
      </c>
      <c r="BD140">
        <v>86814.029812419001</v>
      </c>
      <c r="BF140">
        <v>86814.029812419001</v>
      </c>
      <c r="BH140">
        <v>86814.029812419001</v>
      </c>
      <c r="BJ140">
        <v>86814.029812419001</v>
      </c>
      <c r="BL140">
        <v>86814.029812419001</v>
      </c>
      <c r="BN140">
        <v>86814.029812419001</v>
      </c>
      <c r="BP140">
        <v>86814.029812419001</v>
      </c>
      <c r="BR140">
        <v>86814.029812419001</v>
      </c>
      <c r="BT140">
        <v>86814.029812419001</v>
      </c>
      <c r="BV140">
        <v>86814.029812419001</v>
      </c>
      <c r="BX140">
        <v>86814.029812419001</v>
      </c>
      <c r="BY140">
        <v>86814.03</v>
      </c>
      <c r="BZ140">
        <v>3071480.38</v>
      </c>
      <c r="CC140">
        <v>0</v>
      </c>
      <c r="CD140">
        <v>86814.029960429616</v>
      </c>
      <c r="CE140">
        <v>3071480.38</v>
      </c>
      <c r="CF140" t="s">
        <v>36</v>
      </c>
      <c r="CH140">
        <v>86814.029960429616</v>
      </c>
      <c r="CI140">
        <v>0</v>
      </c>
      <c r="CJ140">
        <v>3071480.38</v>
      </c>
      <c r="CN140">
        <v>0</v>
      </c>
      <c r="CO140" t="s">
        <v>39</v>
      </c>
      <c r="CP140" t="s">
        <v>39</v>
      </c>
      <c r="CQ140" t="b">
        <v>1</v>
      </c>
      <c r="CR140" t="s">
        <v>8950</v>
      </c>
      <c r="CS140" t="s">
        <v>1167</v>
      </c>
      <c r="CT140" t="s">
        <v>8960</v>
      </c>
      <c r="CU140" t="s">
        <v>8973</v>
      </c>
      <c r="CV140" t="s">
        <v>6008</v>
      </c>
      <c r="CW140" t="s">
        <v>4895</v>
      </c>
      <c r="CX140" t="s">
        <v>3246</v>
      </c>
      <c r="CY140">
        <v>1.2199999999999918</v>
      </c>
      <c r="CZ140">
        <v>105913.11655172342</v>
      </c>
      <c r="DA140">
        <v>3071480.38</v>
      </c>
      <c r="DB140" t="s">
        <v>36</v>
      </c>
      <c r="DC140" t="b">
        <v>1</v>
      </c>
      <c r="DD140">
        <v>3071480.38</v>
      </c>
      <c r="DE140">
        <v>0</v>
      </c>
      <c r="DF140" t="b">
        <v>1</v>
      </c>
      <c r="DG140" s="420" cm="1">
        <f t="array" ref="DG140">_xlfn.XLOOKUP("Дом 4"&amp;Реестр_Д4[[#This Row],[№]]&amp;Реестр_Д4[[#This Row],[Статус]],РД[Дом]&amp;РД[№ кв]&amp;РД[Состояние],РД[Дата подачи на регистрацию],"-",0)</f>
        <v>44904</v>
      </c>
    </row>
    <row r="141" spans="1:111" x14ac:dyDescent="0.25">
      <c r="A141">
        <v>140</v>
      </c>
      <c r="B141" t="s">
        <v>5</v>
      </c>
      <c r="C141">
        <v>4</v>
      </c>
      <c r="D141" t="s">
        <v>45</v>
      </c>
      <c r="E141">
        <v>1</v>
      </c>
      <c r="F141">
        <v>13.45</v>
      </c>
      <c r="I141">
        <v>13.45</v>
      </c>
      <c r="J141">
        <v>12.54</v>
      </c>
      <c r="K141">
        <v>3.69</v>
      </c>
      <c r="N141">
        <v>6.62</v>
      </c>
      <c r="O141">
        <v>3.01</v>
      </c>
      <c r="Q141">
        <v>3.01</v>
      </c>
      <c r="R141">
        <v>39.31</v>
      </c>
      <c r="S141">
        <v>36.299999999999997</v>
      </c>
      <c r="T141">
        <v>37.81</v>
      </c>
      <c r="U141">
        <v>39.299999999999997</v>
      </c>
      <c r="V141">
        <v>72800</v>
      </c>
      <c r="W141">
        <v>3640</v>
      </c>
      <c r="X141">
        <v>76440</v>
      </c>
      <c r="Y141">
        <v>3057.6</v>
      </c>
      <c r="Z141">
        <v>79497.600000000006</v>
      </c>
      <c r="AA141">
        <v>3974.880000000001</v>
      </c>
      <c r="AB141">
        <v>83472.48000000001</v>
      </c>
      <c r="AC141">
        <v>10.267115040000002</v>
      </c>
      <c r="AD141">
        <v>83482.747115040009</v>
      </c>
      <c r="AE141">
        <v>4174.137355752001</v>
      </c>
      <c r="AF141">
        <v>87656.884470792007</v>
      </c>
      <c r="AH141">
        <v>87656.884470792007</v>
      </c>
      <c r="AJ141">
        <v>87656.884470792007</v>
      </c>
      <c r="AL141">
        <v>87656.884470792007</v>
      </c>
      <c r="AN141">
        <v>87656.884470792007</v>
      </c>
      <c r="AP141">
        <v>87656.884470792007</v>
      </c>
      <c r="AR141">
        <v>87656.884470792007</v>
      </c>
      <c r="AT141">
        <v>87656.884470792007</v>
      </c>
      <c r="AV141">
        <v>87656.884470792007</v>
      </c>
      <c r="AX141">
        <v>87656.884470792007</v>
      </c>
      <c r="AZ141">
        <v>87656.884470792007</v>
      </c>
      <c r="BB141">
        <v>87656.884470792007</v>
      </c>
      <c r="BD141">
        <v>87656.884470792007</v>
      </c>
      <c r="BF141">
        <v>87656.884470792007</v>
      </c>
      <c r="BH141">
        <v>87656.884470792007</v>
      </c>
      <c r="BJ141">
        <v>87656.884470792007</v>
      </c>
      <c r="BL141">
        <v>87656.884470792007</v>
      </c>
      <c r="BN141">
        <v>87656.884470792007</v>
      </c>
      <c r="BP141">
        <v>87656.884470792007</v>
      </c>
      <c r="BR141">
        <v>87656.884470792007</v>
      </c>
      <c r="BT141">
        <v>87656.884470792007</v>
      </c>
      <c r="BV141">
        <v>87656.884470792007</v>
      </c>
      <c r="BX141">
        <v>87656.884470792007</v>
      </c>
      <c r="BY141">
        <v>87656.88</v>
      </c>
      <c r="BZ141">
        <v>3314306.63</v>
      </c>
      <c r="CB141">
        <v>0.05</v>
      </c>
      <c r="CC141">
        <v>165715.3315</v>
      </c>
      <c r="CD141">
        <v>83274.035969320277</v>
      </c>
      <c r="CE141">
        <v>3148591.3</v>
      </c>
      <c r="CF141" t="s">
        <v>37</v>
      </c>
      <c r="CG141">
        <v>4000</v>
      </c>
      <c r="CH141">
        <v>87274.035969320277</v>
      </c>
      <c r="CI141">
        <v>151240</v>
      </c>
      <c r="CJ141">
        <v>3299831.3</v>
      </c>
      <c r="CL141" t="s">
        <v>3540</v>
      </c>
      <c r="CN141">
        <v>0</v>
      </c>
      <c r="CO141" t="s">
        <v>39</v>
      </c>
      <c r="CP141" t="s">
        <v>39</v>
      </c>
      <c r="CQ141" t="b">
        <v>1</v>
      </c>
      <c r="CR141" t="s">
        <v>8950</v>
      </c>
      <c r="CS141" t="s">
        <v>1167</v>
      </c>
      <c r="CT141" t="s">
        <v>8960</v>
      </c>
      <c r="CU141" t="s">
        <v>8973</v>
      </c>
      <c r="CV141" t="s">
        <v>6009</v>
      </c>
      <c r="CW141" t="s">
        <v>4895</v>
      </c>
      <c r="CX141" t="s">
        <v>3246</v>
      </c>
      <c r="CY141">
        <v>1.490000000000002</v>
      </c>
      <c r="CZ141">
        <v>130038.31359428741</v>
      </c>
      <c r="DA141">
        <v>3299831.3</v>
      </c>
      <c r="DB141" t="s">
        <v>37</v>
      </c>
      <c r="DC141" t="b">
        <v>1</v>
      </c>
      <c r="DD141">
        <v>3299831.3</v>
      </c>
      <c r="DE141">
        <v>0</v>
      </c>
      <c r="DF141" t="b">
        <v>1</v>
      </c>
      <c r="DG141" s="420" cm="1">
        <f t="array" ref="DG141">_xlfn.XLOOKUP("Дом 4"&amp;Реестр_Д4[[#This Row],[№]]&amp;Реестр_Д4[[#This Row],[Статус]],РД[Дом]&amp;РД[№ кв]&amp;РД[Состояние],РД[Дата подачи на регистрацию],"-",0)</f>
        <v>44971</v>
      </c>
    </row>
    <row r="142" spans="1:111" x14ac:dyDescent="0.25">
      <c r="A142">
        <v>141</v>
      </c>
      <c r="B142" t="s">
        <v>5</v>
      </c>
      <c r="C142">
        <v>4</v>
      </c>
      <c r="D142" t="s">
        <v>3351</v>
      </c>
      <c r="E142">
        <v>1</v>
      </c>
      <c r="F142">
        <v>12.11</v>
      </c>
      <c r="I142">
        <v>12.11</v>
      </c>
      <c r="J142">
        <v>12.27</v>
      </c>
      <c r="K142">
        <v>3.84</v>
      </c>
      <c r="N142">
        <v>7.06</v>
      </c>
      <c r="O142">
        <v>2.84</v>
      </c>
      <c r="Q142">
        <v>2.84</v>
      </c>
      <c r="R142">
        <v>38.119999999999997</v>
      </c>
      <c r="S142">
        <v>35.28</v>
      </c>
      <c r="T142">
        <v>36.700000000000003</v>
      </c>
      <c r="U142">
        <v>37.700000000000003</v>
      </c>
      <c r="V142">
        <v>72800</v>
      </c>
      <c r="W142">
        <v>3640</v>
      </c>
      <c r="X142">
        <v>76440</v>
      </c>
      <c r="Z142">
        <v>76440</v>
      </c>
      <c r="AB142">
        <v>76440</v>
      </c>
      <c r="AD142">
        <v>76440</v>
      </c>
      <c r="AF142">
        <v>76440</v>
      </c>
      <c r="AH142">
        <v>76440</v>
      </c>
      <c r="AJ142">
        <v>76440</v>
      </c>
      <c r="AL142">
        <v>76440</v>
      </c>
      <c r="AN142">
        <v>76440</v>
      </c>
      <c r="AP142">
        <v>76440</v>
      </c>
      <c r="AR142">
        <v>76440</v>
      </c>
      <c r="AT142">
        <v>76440</v>
      </c>
      <c r="AV142">
        <v>76440</v>
      </c>
      <c r="AX142">
        <v>76440</v>
      </c>
      <c r="AZ142">
        <v>76440</v>
      </c>
      <c r="BB142">
        <v>76440</v>
      </c>
      <c r="BD142">
        <v>76440</v>
      </c>
      <c r="BF142">
        <v>76440</v>
      </c>
      <c r="BH142">
        <v>76440</v>
      </c>
      <c r="BJ142">
        <v>76440</v>
      </c>
      <c r="BL142">
        <v>76440</v>
      </c>
      <c r="BN142">
        <v>76440</v>
      </c>
      <c r="BP142">
        <v>76440</v>
      </c>
      <c r="BR142">
        <v>76440</v>
      </c>
      <c r="BT142">
        <v>76440</v>
      </c>
      <c r="BV142">
        <v>76440</v>
      </c>
      <c r="BX142">
        <v>76440</v>
      </c>
      <c r="BY142">
        <v>76440</v>
      </c>
      <c r="BZ142">
        <v>2805348</v>
      </c>
      <c r="CC142">
        <v>0</v>
      </c>
      <c r="CD142">
        <v>76440</v>
      </c>
      <c r="CE142">
        <v>2805348</v>
      </c>
      <c r="CF142" t="s">
        <v>36</v>
      </c>
      <c r="CH142">
        <v>76440</v>
      </c>
      <c r="CI142">
        <v>0</v>
      </c>
      <c r="CJ142">
        <v>2805348</v>
      </c>
      <c r="CN142">
        <v>0</v>
      </c>
      <c r="CO142" t="s">
        <v>39</v>
      </c>
      <c r="CP142" t="s">
        <v>39</v>
      </c>
      <c r="CQ142" t="b">
        <v>1</v>
      </c>
      <c r="CR142" t="s">
        <v>8950</v>
      </c>
      <c r="CS142" t="s">
        <v>1167</v>
      </c>
      <c r="CT142" t="s">
        <v>8960</v>
      </c>
      <c r="CU142" t="s">
        <v>8973</v>
      </c>
      <c r="CV142" t="s">
        <v>6010</v>
      </c>
      <c r="CW142" t="s">
        <v>4895</v>
      </c>
      <c r="CX142" t="s">
        <v>3246</v>
      </c>
      <c r="CY142">
        <v>0.99999999999999301</v>
      </c>
      <c r="CZ142">
        <v>76439.999999999462</v>
      </c>
      <c r="DA142">
        <v>2805348</v>
      </c>
      <c r="DB142" t="s">
        <v>36</v>
      </c>
      <c r="DC142" t="b">
        <v>1</v>
      </c>
      <c r="DD142">
        <v>2805348</v>
      </c>
      <c r="DE142">
        <v>0</v>
      </c>
      <c r="DF142" t="b">
        <v>1</v>
      </c>
      <c r="DG142" s="420" cm="1">
        <f t="array" ref="DG142">_xlfn.XLOOKUP("Дом 4"&amp;Реестр_Д4[[#This Row],[№]]&amp;Реестр_Д4[[#This Row],[Статус]],РД[Дом]&amp;РД[№ кв]&amp;РД[Состояние],РД[Дата подачи на регистрацию],"-",0)</f>
        <v>44797</v>
      </c>
    </row>
    <row r="143" spans="1:111" x14ac:dyDescent="0.25">
      <c r="A143">
        <v>142</v>
      </c>
      <c r="B143" t="s">
        <v>5</v>
      </c>
      <c r="C143">
        <v>4</v>
      </c>
      <c r="D143" t="s">
        <v>3352</v>
      </c>
      <c r="E143">
        <v>1</v>
      </c>
      <c r="F143">
        <v>11.74</v>
      </c>
      <c r="I143">
        <v>11.74</v>
      </c>
      <c r="J143">
        <v>12.47</v>
      </c>
      <c r="K143">
        <v>3.71</v>
      </c>
      <c r="N143">
        <v>7.29</v>
      </c>
      <c r="O143">
        <v>2.89</v>
      </c>
      <c r="Q143">
        <v>2.89</v>
      </c>
      <c r="R143">
        <v>38.1</v>
      </c>
      <c r="S143">
        <v>35.21</v>
      </c>
      <c r="T143">
        <v>36.659999999999997</v>
      </c>
      <c r="U143">
        <v>37.700000000000003</v>
      </c>
      <c r="V143">
        <v>72800</v>
      </c>
      <c r="W143">
        <v>3640</v>
      </c>
      <c r="X143">
        <v>76440</v>
      </c>
      <c r="Y143">
        <v>3057.6</v>
      </c>
      <c r="Z143">
        <v>79497.600000000006</v>
      </c>
      <c r="AA143">
        <v>3974.880000000001</v>
      </c>
      <c r="AB143">
        <v>83472.48000000001</v>
      </c>
      <c r="AC143">
        <v>10.267115040000002</v>
      </c>
      <c r="AD143">
        <v>83482.747115040009</v>
      </c>
      <c r="AE143">
        <v>4174.137355752001</v>
      </c>
      <c r="AF143">
        <v>87656.884470792007</v>
      </c>
      <c r="AH143">
        <v>87656.884470792007</v>
      </c>
      <c r="AI143">
        <v>2629.7065341237603</v>
      </c>
      <c r="AJ143">
        <v>90286.591004915783</v>
      </c>
      <c r="AK143">
        <v>902.86591004915772</v>
      </c>
      <c r="AL143">
        <v>91189.456914964932</v>
      </c>
      <c r="AM143">
        <v>1823.7891382992989</v>
      </c>
      <c r="AN143">
        <v>93013.246053264229</v>
      </c>
      <c r="AO143">
        <v>1860.2649210652849</v>
      </c>
      <c r="AP143">
        <v>94873.510974329518</v>
      </c>
      <c r="AR143">
        <v>94873.510974329518</v>
      </c>
      <c r="AT143">
        <v>94873.510974329518</v>
      </c>
      <c r="AV143">
        <v>94873.510974329518</v>
      </c>
      <c r="AX143">
        <v>94873.510974329518</v>
      </c>
      <c r="AZ143">
        <v>94873.510974329518</v>
      </c>
      <c r="BB143">
        <v>94873.510974329518</v>
      </c>
      <c r="BD143">
        <v>94873.510974329518</v>
      </c>
      <c r="BF143">
        <v>94873.510974329518</v>
      </c>
      <c r="BH143">
        <v>94873.510974329518</v>
      </c>
      <c r="BJ143">
        <v>94873.510974329518</v>
      </c>
      <c r="BL143">
        <v>94873.510974329518</v>
      </c>
      <c r="BN143">
        <v>94873.510974329518</v>
      </c>
      <c r="BP143">
        <v>94873.510974329518</v>
      </c>
      <c r="BR143">
        <v>94873.510974329518</v>
      </c>
      <c r="BT143">
        <v>94873.510974329518</v>
      </c>
      <c r="BV143">
        <v>94873.510974329518</v>
      </c>
      <c r="BX143">
        <v>94873.510974329518</v>
      </c>
      <c r="BY143">
        <v>94873.51</v>
      </c>
      <c r="BZ143">
        <v>3478062.88</v>
      </c>
      <c r="CC143">
        <v>0</v>
      </c>
      <c r="CD143">
        <v>94873.510092744138</v>
      </c>
      <c r="CE143">
        <v>3478062.88</v>
      </c>
      <c r="CF143" t="s">
        <v>36</v>
      </c>
      <c r="CH143">
        <v>94873.510092744138</v>
      </c>
      <c r="CI143">
        <v>0</v>
      </c>
      <c r="CJ143">
        <v>3478062.88</v>
      </c>
      <c r="CN143">
        <v>0</v>
      </c>
      <c r="CO143" t="s">
        <v>39</v>
      </c>
      <c r="CP143" t="s">
        <v>39</v>
      </c>
      <c r="CQ143" t="b">
        <v>1</v>
      </c>
      <c r="CR143" t="s">
        <v>8950</v>
      </c>
      <c r="CS143" t="s">
        <v>1167</v>
      </c>
      <c r="CT143" t="s">
        <v>8960</v>
      </c>
      <c r="CU143" t="s">
        <v>8973</v>
      </c>
      <c r="CV143" t="s">
        <v>6011</v>
      </c>
      <c r="CW143" t="s">
        <v>4895</v>
      </c>
      <c r="CX143" t="s">
        <v>3246</v>
      </c>
      <c r="CY143">
        <v>1.0399999999999991</v>
      </c>
      <c r="CZ143">
        <v>98668.450496453821</v>
      </c>
      <c r="DA143">
        <v>3478062.88</v>
      </c>
      <c r="DB143" t="s">
        <v>36</v>
      </c>
      <c r="DC143" t="b">
        <v>1</v>
      </c>
      <c r="DD143">
        <v>3478062.88</v>
      </c>
      <c r="DE143">
        <v>0</v>
      </c>
      <c r="DF143" t="b">
        <v>1</v>
      </c>
      <c r="DG143" s="420" cm="1">
        <f t="array" ref="DG143">_xlfn.XLOOKUP("Дом 4"&amp;Реестр_Д4[[#This Row],[№]]&amp;Реестр_Д4[[#This Row],[Статус]],РД[Дом]&amp;РД[№ кв]&amp;РД[Состояние],РД[Дата подачи на регистрацию],"-",0)</f>
        <v>45092</v>
      </c>
    </row>
    <row r="144" spans="1:111" x14ac:dyDescent="0.25">
      <c r="A144">
        <v>143</v>
      </c>
      <c r="B144" t="s">
        <v>5</v>
      </c>
      <c r="C144">
        <v>4</v>
      </c>
      <c r="D144" t="s">
        <v>3353</v>
      </c>
      <c r="E144">
        <v>3</v>
      </c>
      <c r="F144">
        <v>14.79</v>
      </c>
      <c r="G144">
        <v>14.24</v>
      </c>
      <c r="H144">
        <v>13.63</v>
      </c>
      <c r="I144">
        <v>42.66</v>
      </c>
      <c r="J144">
        <v>13.29</v>
      </c>
      <c r="K144">
        <v>4.72</v>
      </c>
      <c r="L144">
        <v>1.66</v>
      </c>
      <c r="M144">
        <v>2.19</v>
      </c>
      <c r="N144">
        <v>11.45</v>
      </c>
      <c r="O144">
        <v>2.73</v>
      </c>
      <c r="P144">
        <v>2.78</v>
      </c>
      <c r="Q144">
        <v>5.51</v>
      </c>
      <c r="R144">
        <v>81.48</v>
      </c>
      <c r="S144">
        <v>75.97</v>
      </c>
      <c r="T144">
        <v>78.73</v>
      </c>
      <c r="U144">
        <v>80.899999999999977</v>
      </c>
      <c r="V144">
        <v>68992.000000000015</v>
      </c>
      <c r="W144">
        <v>3449.6000000000008</v>
      </c>
      <c r="X144">
        <v>72441.60000000002</v>
      </c>
      <c r="Z144">
        <v>72441.60000000002</v>
      </c>
      <c r="AB144">
        <v>72441.60000000002</v>
      </c>
      <c r="AC144">
        <v>8.9103168000000039</v>
      </c>
      <c r="AD144">
        <v>72450.510316800021</v>
      </c>
      <c r="AF144">
        <v>72450.510316800021</v>
      </c>
      <c r="AH144">
        <v>72450.510316800021</v>
      </c>
      <c r="AJ144">
        <v>72450.510316800021</v>
      </c>
      <c r="AL144">
        <v>72450.510316800021</v>
      </c>
      <c r="AN144">
        <v>72450.510316800021</v>
      </c>
      <c r="AP144">
        <v>72450.510316800021</v>
      </c>
      <c r="AR144">
        <v>72450.510316800021</v>
      </c>
      <c r="AT144">
        <v>72450.510316800021</v>
      </c>
      <c r="AV144">
        <v>72450.510316800021</v>
      </c>
      <c r="AX144">
        <v>72450.510316800021</v>
      </c>
      <c r="AZ144">
        <v>72450.510316800021</v>
      </c>
      <c r="BB144">
        <v>72450.510316800021</v>
      </c>
      <c r="BD144">
        <v>72450.510316800021</v>
      </c>
      <c r="BF144">
        <v>72450.510316800021</v>
      </c>
      <c r="BH144">
        <v>72450.510316800021</v>
      </c>
      <c r="BJ144">
        <v>72450.510316800021</v>
      </c>
      <c r="BL144">
        <v>72450.510316800021</v>
      </c>
      <c r="BN144">
        <v>72450.510316800021</v>
      </c>
      <c r="BP144">
        <v>72450.510316800021</v>
      </c>
      <c r="BR144">
        <v>72450.510316800021</v>
      </c>
      <c r="BT144">
        <v>72450.510316800021</v>
      </c>
      <c r="BV144">
        <v>72450.510316800021</v>
      </c>
      <c r="BX144">
        <v>72450.510316800021</v>
      </c>
      <c r="BY144">
        <v>72450.509999999995</v>
      </c>
      <c r="BZ144">
        <v>5704028.6500000004</v>
      </c>
      <c r="CB144">
        <v>0.05</v>
      </c>
      <c r="CC144">
        <v>285201.43250000005</v>
      </c>
      <c r="CD144">
        <v>68827.984504001011</v>
      </c>
      <c r="CE144">
        <v>5418827.2199999997</v>
      </c>
      <c r="CF144" t="s">
        <v>36</v>
      </c>
      <c r="CH144">
        <v>68827.984504001011</v>
      </c>
      <c r="CI144">
        <v>0</v>
      </c>
      <c r="CJ144">
        <v>5418827.2199999997</v>
      </c>
      <c r="CL144" t="s">
        <v>3540</v>
      </c>
      <c r="CN144">
        <v>0</v>
      </c>
      <c r="CO144" t="s">
        <v>39</v>
      </c>
      <c r="CP144" t="s">
        <v>39</v>
      </c>
      <c r="CQ144" t="b">
        <v>1</v>
      </c>
      <c r="CR144" t="s">
        <v>8950</v>
      </c>
      <c r="CS144" t="s">
        <v>1167</v>
      </c>
      <c r="CT144" t="s">
        <v>8960</v>
      </c>
      <c r="CU144" t="s">
        <v>8975</v>
      </c>
      <c r="CV144" t="s">
        <v>6012</v>
      </c>
      <c r="CW144" t="s">
        <v>4895</v>
      </c>
      <c r="CX144" t="s">
        <v>3246</v>
      </c>
      <c r="CY144">
        <v>2.1699999999999875</v>
      </c>
      <c r="CZ144">
        <v>149356.72637368133</v>
      </c>
      <c r="DA144">
        <v>5418827.2199999997</v>
      </c>
      <c r="DB144" t="s">
        <v>36</v>
      </c>
      <c r="DC144" t="b">
        <v>1</v>
      </c>
      <c r="DD144">
        <v>5418827.2199999997</v>
      </c>
      <c r="DE144">
        <v>0</v>
      </c>
      <c r="DF144" t="b">
        <v>1</v>
      </c>
      <c r="DG144" s="420" cm="1">
        <f t="array" ref="DG144">_xlfn.XLOOKUP("Дом 4"&amp;Реестр_Д4[[#This Row],[№]]&amp;Реестр_Д4[[#This Row],[Статус]],РД[Дом]&amp;РД[№ кв]&amp;РД[Состояние],РД[Дата подачи на регистрацию],"-",0)</f>
        <v>44908</v>
      </c>
    </row>
    <row r="145" spans="1:111" x14ac:dyDescent="0.25">
      <c r="A145">
        <v>144</v>
      </c>
      <c r="B145" t="s">
        <v>5</v>
      </c>
      <c r="C145">
        <v>4</v>
      </c>
      <c r="D145" t="s">
        <v>3354</v>
      </c>
      <c r="E145">
        <v>1</v>
      </c>
      <c r="F145">
        <v>14.13</v>
      </c>
      <c r="I145">
        <v>14.13</v>
      </c>
      <c r="J145">
        <v>9.2100000000000009</v>
      </c>
      <c r="K145">
        <v>3.66</v>
      </c>
      <c r="N145">
        <v>5.55</v>
      </c>
      <c r="O145">
        <v>2.48</v>
      </c>
      <c r="Q145">
        <v>2.48</v>
      </c>
      <c r="R145">
        <v>35.03</v>
      </c>
      <c r="S145">
        <v>32.550000000000004</v>
      </c>
      <c r="T145">
        <v>33.79</v>
      </c>
      <c r="U145">
        <v>34.9</v>
      </c>
      <c r="V145">
        <v>70700</v>
      </c>
      <c r="W145">
        <v>3535</v>
      </c>
      <c r="X145">
        <v>74235</v>
      </c>
      <c r="Y145">
        <v>2969.4</v>
      </c>
      <c r="Z145">
        <v>77204.399999999994</v>
      </c>
      <c r="AA145">
        <v>3860.22</v>
      </c>
      <c r="AB145">
        <v>81064.62</v>
      </c>
      <c r="AC145">
        <v>9.9709482600000001</v>
      </c>
      <c r="AD145">
        <v>81074.590948259996</v>
      </c>
      <c r="AE145">
        <v>4053.7295474130001</v>
      </c>
      <c r="AF145">
        <v>85128.32049567299</v>
      </c>
      <c r="AH145">
        <v>85128.32049567299</v>
      </c>
      <c r="AI145">
        <v>2553.8496148701897</v>
      </c>
      <c r="AJ145">
        <v>87682.170110543186</v>
      </c>
      <c r="AL145">
        <v>87682.170110543186</v>
      </c>
      <c r="AN145">
        <v>87682.170110543186</v>
      </c>
      <c r="AP145">
        <v>87682.170110543186</v>
      </c>
      <c r="AR145">
        <v>87682.170110543186</v>
      </c>
      <c r="AT145">
        <v>87682.170110543186</v>
      </c>
      <c r="AV145">
        <v>87682.170110543186</v>
      </c>
      <c r="AX145">
        <v>87682.170110543186</v>
      </c>
      <c r="AZ145">
        <v>87682.170110543186</v>
      </c>
      <c r="BB145">
        <v>87682.170110543186</v>
      </c>
      <c r="BD145">
        <v>87682.170110543186</v>
      </c>
      <c r="BF145">
        <v>87682.170110543186</v>
      </c>
      <c r="BH145">
        <v>87682.170110543186</v>
      </c>
      <c r="BJ145">
        <v>87682.170110543186</v>
      </c>
      <c r="BL145">
        <v>87682.170110543186</v>
      </c>
      <c r="BN145">
        <v>87682.170110543186</v>
      </c>
      <c r="BP145">
        <v>87682.170110543186</v>
      </c>
      <c r="BR145">
        <v>87682.170110543186</v>
      </c>
      <c r="BT145">
        <v>87682.170110543186</v>
      </c>
      <c r="BV145">
        <v>87682.170110543186</v>
      </c>
      <c r="BX145">
        <v>87682.170110543186</v>
      </c>
      <c r="BY145">
        <v>87682.17</v>
      </c>
      <c r="BZ145">
        <v>2962780.52</v>
      </c>
      <c r="CB145">
        <v>0.06</v>
      </c>
      <c r="CC145">
        <v>177766.83119999999</v>
      </c>
      <c r="CD145">
        <v>82421.239715892283</v>
      </c>
      <c r="CE145">
        <v>2785013.69</v>
      </c>
      <c r="CF145" t="s">
        <v>37</v>
      </c>
      <c r="CG145">
        <v>4000</v>
      </c>
      <c r="CH145">
        <v>86421.239715892283</v>
      </c>
      <c r="CI145">
        <v>135160</v>
      </c>
      <c r="CJ145">
        <v>2920173.69</v>
      </c>
      <c r="CK145" t="s">
        <v>57</v>
      </c>
      <c r="CL145" t="s">
        <v>978</v>
      </c>
      <c r="CN145">
        <v>0</v>
      </c>
      <c r="CO145" t="s">
        <v>39</v>
      </c>
      <c r="CP145" t="s">
        <v>39</v>
      </c>
      <c r="CQ145" t="b">
        <v>1</v>
      </c>
      <c r="CR145" t="s">
        <v>8950</v>
      </c>
      <c r="CS145" t="s">
        <v>1167</v>
      </c>
      <c r="CT145" t="s">
        <v>8960</v>
      </c>
      <c r="CU145" t="s">
        <v>8973</v>
      </c>
      <c r="CV145" t="s">
        <v>6013</v>
      </c>
      <c r="CW145" t="s">
        <v>4895</v>
      </c>
      <c r="CX145" t="s">
        <v>3246</v>
      </c>
      <c r="CY145">
        <v>1.1099999999999994</v>
      </c>
      <c r="CZ145">
        <v>95927.576084640386</v>
      </c>
      <c r="DA145">
        <v>2920173.69</v>
      </c>
      <c r="DB145" t="s">
        <v>37</v>
      </c>
      <c r="DC145" t="b">
        <v>1</v>
      </c>
      <c r="DD145">
        <v>2920173.69</v>
      </c>
      <c r="DE145">
        <v>0</v>
      </c>
      <c r="DF145" t="b">
        <v>1</v>
      </c>
      <c r="DG145" s="420" cm="1">
        <f t="array" ref="DG145">_xlfn.XLOOKUP("Дом 4"&amp;Реестр_Д4[[#This Row],[№]]&amp;Реестр_Д4[[#This Row],[Статус]],РД[Дом]&amp;РД[№ кв]&amp;РД[Состояние],РД[Дата подачи на регистрацию],"-",0)</f>
        <v>45016</v>
      </c>
    </row>
    <row r="146" spans="1:111" x14ac:dyDescent="0.25">
      <c r="A146">
        <v>145</v>
      </c>
      <c r="B146" t="s">
        <v>5</v>
      </c>
      <c r="C146">
        <v>5</v>
      </c>
      <c r="D146" t="s">
        <v>42</v>
      </c>
      <c r="E146">
        <v>0</v>
      </c>
      <c r="F146">
        <v>13.95</v>
      </c>
      <c r="I146">
        <v>13.95</v>
      </c>
      <c r="J146">
        <v>5.77</v>
      </c>
      <c r="K146">
        <v>3.6</v>
      </c>
      <c r="N146">
        <v>3.59</v>
      </c>
      <c r="O146">
        <v>4.12</v>
      </c>
      <c r="Q146">
        <v>4.12</v>
      </c>
      <c r="R146">
        <v>31.03</v>
      </c>
      <c r="S146">
        <v>26.91</v>
      </c>
      <c r="T146">
        <v>28.97</v>
      </c>
      <c r="U146">
        <v>29.7</v>
      </c>
      <c r="V146">
        <v>75600</v>
      </c>
      <c r="W146">
        <v>3780</v>
      </c>
      <c r="X146">
        <v>79380</v>
      </c>
      <c r="Z146">
        <v>79380</v>
      </c>
      <c r="AB146">
        <v>79380</v>
      </c>
      <c r="AD146">
        <v>79380</v>
      </c>
      <c r="AF146">
        <v>79380</v>
      </c>
      <c r="AH146">
        <v>79380</v>
      </c>
      <c r="AJ146">
        <v>79380</v>
      </c>
      <c r="AL146">
        <v>79380</v>
      </c>
      <c r="AN146">
        <v>79380</v>
      </c>
      <c r="AP146">
        <v>79380</v>
      </c>
      <c r="AR146">
        <v>79380</v>
      </c>
      <c r="AT146">
        <v>79380</v>
      </c>
      <c r="AV146">
        <v>79380</v>
      </c>
      <c r="AX146">
        <v>79380</v>
      </c>
      <c r="AZ146">
        <v>79380</v>
      </c>
      <c r="BB146">
        <v>79380</v>
      </c>
      <c r="BD146">
        <v>79380</v>
      </c>
      <c r="BF146">
        <v>79380</v>
      </c>
      <c r="BH146">
        <v>79380</v>
      </c>
      <c r="BJ146">
        <v>79380</v>
      </c>
      <c r="BL146">
        <v>79380</v>
      </c>
      <c r="BN146">
        <v>79380</v>
      </c>
      <c r="BP146">
        <v>79380</v>
      </c>
      <c r="BR146">
        <v>79380</v>
      </c>
      <c r="BT146">
        <v>79380</v>
      </c>
      <c r="BV146">
        <v>79380</v>
      </c>
      <c r="BX146">
        <v>79380</v>
      </c>
      <c r="BY146">
        <v>79380</v>
      </c>
      <c r="BZ146">
        <v>2299638.6</v>
      </c>
      <c r="CC146">
        <v>0</v>
      </c>
      <c r="CD146">
        <v>79380</v>
      </c>
      <c r="CE146">
        <v>2299638.6</v>
      </c>
      <c r="CF146" t="s">
        <v>37</v>
      </c>
      <c r="CG146">
        <v>7500</v>
      </c>
      <c r="CH146">
        <v>86880</v>
      </c>
      <c r="CI146">
        <v>217275</v>
      </c>
      <c r="CJ146">
        <v>2516913.6</v>
      </c>
      <c r="CN146">
        <v>0</v>
      </c>
      <c r="CO146" t="s">
        <v>39</v>
      </c>
      <c r="CP146" t="s">
        <v>39</v>
      </c>
      <c r="CQ146" t="b">
        <v>1</v>
      </c>
      <c r="CR146" t="s">
        <v>8950</v>
      </c>
      <c r="CS146" t="s">
        <v>1167</v>
      </c>
      <c r="CT146" t="s">
        <v>8960</v>
      </c>
      <c r="CU146" t="s">
        <v>8970</v>
      </c>
      <c r="CV146" t="s">
        <v>6014</v>
      </c>
      <c r="CW146" t="s">
        <v>4895</v>
      </c>
      <c r="CX146" t="s">
        <v>3246</v>
      </c>
      <c r="CY146">
        <v>0.73000000000000043</v>
      </c>
      <c r="CZ146">
        <v>63422.400000000038</v>
      </c>
      <c r="DA146">
        <v>2516913.6</v>
      </c>
      <c r="DB146" t="s">
        <v>37</v>
      </c>
      <c r="DC146" t="b">
        <v>1</v>
      </c>
      <c r="DD146">
        <v>2516913.6</v>
      </c>
      <c r="DE146">
        <v>0</v>
      </c>
      <c r="DF146" t="b">
        <v>1</v>
      </c>
      <c r="DG146" s="420" cm="1">
        <f t="array" ref="DG146">_xlfn.XLOOKUP("Дом 4"&amp;Реестр_Д4[[#This Row],[№]]&amp;Реестр_Д4[[#This Row],[Статус]],РД[Дом]&amp;РД[№ кв]&amp;РД[Состояние],РД[Дата подачи на регистрацию],"-",0)</f>
        <v>44788</v>
      </c>
    </row>
    <row r="147" spans="1:111" x14ac:dyDescent="0.25">
      <c r="A147">
        <v>146</v>
      </c>
      <c r="B147" t="s">
        <v>5</v>
      </c>
      <c r="C147">
        <v>5</v>
      </c>
      <c r="D147" t="s">
        <v>43</v>
      </c>
      <c r="E147">
        <v>2</v>
      </c>
      <c r="F147">
        <v>17.54</v>
      </c>
      <c r="G147">
        <v>12.04</v>
      </c>
      <c r="I147">
        <v>29.58</v>
      </c>
      <c r="J147">
        <v>17.010000000000002</v>
      </c>
      <c r="K147">
        <v>3.71</v>
      </c>
      <c r="L147">
        <v>2.64</v>
      </c>
      <c r="N147">
        <v>13.06</v>
      </c>
      <c r="O147">
        <v>2.61</v>
      </c>
      <c r="P147">
        <v>2.88</v>
      </c>
      <c r="Q147">
        <v>5.49</v>
      </c>
      <c r="R147">
        <v>71.489999999999995</v>
      </c>
      <c r="S147">
        <v>66</v>
      </c>
      <c r="T147">
        <v>68.75</v>
      </c>
      <c r="U147">
        <v>70.099999999999994</v>
      </c>
      <c r="V147">
        <v>71304.800000000003</v>
      </c>
      <c r="W147">
        <v>3565.24</v>
      </c>
      <c r="X147">
        <v>74870.039999999994</v>
      </c>
      <c r="Z147">
        <v>74870.039999999994</v>
      </c>
      <c r="AA147">
        <v>3743.502</v>
      </c>
      <c r="AB147">
        <v>78613.542000000016</v>
      </c>
      <c r="AC147">
        <v>9.6694656660000025</v>
      </c>
      <c r="AD147">
        <v>78623.211465666012</v>
      </c>
      <c r="AF147">
        <v>78623.211465666012</v>
      </c>
      <c r="AH147">
        <v>78623.211465666012</v>
      </c>
      <c r="AI147">
        <v>1572.4642293133202</v>
      </c>
      <c r="AJ147">
        <v>80195.675694979334</v>
      </c>
      <c r="AK147">
        <v>801.95675694979332</v>
      </c>
      <c r="AL147">
        <v>80997.632451929123</v>
      </c>
      <c r="AM147">
        <v>1619.9526490385824</v>
      </c>
      <c r="AN147">
        <v>82617.585100967699</v>
      </c>
      <c r="AP147">
        <v>82617.585100967699</v>
      </c>
      <c r="AQ147">
        <v>2478.527553029031</v>
      </c>
      <c r="AR147">
        <v>85096.112653996737</v>
      </c>
      <c r="AT147">
        <v>85096.112653996737</v>
      </c>
      <c r="AU147">
        <v>2552.8833796199019</v>
      </c>
      <c r="AV147">
        <v>87648.99603361664</v>
      </c>
      <c r="AX147">
        <v>87648.99603361664</v>
      </c>
      <c r="AZ147">
        <v>87648.99603361664</v>
      </c>
      <c r="BB147">
        <v>87648.99603361664</v>
      </c>
      <c r="BD147">
        <v>87648.99603361664</v>
      </c>
      <c r="BF147">
        <v>87648.99603361664</v>
      </c>
      <c r="BH147">
        <v>87648.99603361664</v>
      </c>
      <c r="BJ147">
        <v>87648.99603361664</v>
      </c>
      <c r="BL147">
        <v>87648.99603361664</v>
      </c>
      <c r="BN147">
        <v>87648.99603361664</v>
      </c>
      <c r="BP147">
        <v>87648.99603361664</v>
      </c>
      <c r="BR147">
        <v>87648.99603361664</v>
      </c>
      <c r="BT147">
        <v>87648.99603361664</v>
      </c>
      <c r="BV147">
        <v>87648.99603361664</v>
      </c>
      <c r="BX147">
        <v>87648.99603361664</v>
      </c>
      <c r="BY147">
        <v>87649</v>
      </c>
      <c r="BZ147">
        <v>6025868.75</v>
      </c>
      <c r="CC147">
        <v>0</v>
      </c>
      <c r="CD147">
        <v>87649</v>
      </c>
      <c r="CE147">
        <v>6025868.75</v>
      </c>
      <c r="CF147" t="s">
        <v>36</v>
      </c>
      <c r="CH147">
        <v>87649</v>
      </c>
      <c r="CI147">
        <v>0</v>
      </c>
      <c r="CJ147">
        <v>6025868.75</v>
      </c>
      <c r="CN147">
        <v>0</v>
      </c>
      <c r="CO147" t="s">
        <v>39</v>
      </c>
      <c r="CP147" t="s">
        <v>39</v>
      </c>
      <c r="CQ147" t="b">
        <v>1</v>
      </c>
      <c r="CR147" t="s">
        <v>8950</v>
      </c>
      <c r="CS147" t="s">
        <v>1167</v>
      </c>
      <c r="CT147" t="s">
        <v>8960</v>
      </c>
      <c r="CU147" t="s">
        <v>8971</v>
      </c>
      <c r="CV147" t="s">
        <v>6015</v>
      </c>
      <c r="CW147" t="s">
        <v>4895</v>
      </c>
      <c r="CX147" t="s">
        <v>3246</v>
      </c>
      <c r="CY147">
        <v>1.3499999999999943</v>
      </c>
      <c r="CZ147">
        <v>118326.1499999995</v>
      </c>
      <c r="DA147">
        <v>6025868.75</v>
      </c>
      <c r="DB147" t="s">
        <v>36</v>
      </c>
      <c r="DC147" t="b">
        <v>1</v>
      </c>
      <c r="DD147">
        <v>6025868.75</v>
      </c>
      <c r="DE147">
        <v>0</v>
      </c>
      <c r="DF147" t="b">
        <v>1</v>
      </c>
      <c r="DG147" s="420" cm="1">
        <f t="array" ref="DG147">_xlfn.XLOOKUP("Дом 4"&amp;Реестр_Д4[[#This Row],[№]]&amp;Реестр_Д4[[#This Row],[Статус]],РД[Дом]&amp;РД[№ кв]&amp;РД[Состояние],РД[Дата подачи на регистрацию],"-",0)</f>
        <v>45288</v>
      </c>
    </row>
    <row r="148" spans="1:111" x14ac:dyDescent="0.25">
      <c r="A148">
        <v>147</v>
      </c>
      <c r="B148" t="s">
        <v>5</v>
      </c>
      <c r="C148">
        <v>5</v>
      </c>
      <c r="D148" t="s">
        <v>44</v>
      </c>
      <c r="E148">
        <v>1</v>
      </c>
      <c r="F148">
        <v>13.45</v>
      </c>
      <c r="I148">
        <v>13.45</v>
      </c>
      <c r="J148">
        <v>11.31</v>
      </c>
      <c r="K148">
        <v>3.69</v>
      </c>
      <c r="N148">
        <v>5.63</v>
      </c>
      <c r="O148">
        <v>2.59</v>
      </c>
      <c r="Q148">
        <v>2.59</v>
      </c>
      <c r="R148">
        <v>36.67</v>
      </c>
      <c r="S148">
        <v>34.08</v>
      </c>
      <c r="T148">
        <v>35.380000000000003</v>
      </c>
      <c r="U148">
        <v>36.599999999999994</v>
      </c>
      <c r="V148">
        <v>71400</v>
      </c>
      <c r="W148">
        <v>3570</v>
      </c>
      <c r="X148">
        <v>74970</v>
      </c>
      <c r="Z148">
        <v>74970</v>
      </c>
      <c r="AB148">
        <v>74970</v>
      </c>
      <c r="AD148">
        <v>74970</v>
      </c>
      <c r="AF148">
        <v>74970</v>
      </c>
      <c r="AH148">
        <v>74970</v>
      </c>
      <c r="AJ148">
        <v>74970</v>
      </c>
      <c r="AL148">
        <v>74970</v>
      </c>
      <c r="AN148">
        <v>74970</v>
      </c>
      <c r="AP148">
        <v>74970</v>
      </c>
      <c r="AR148">
        <v>74970</v>
      </c>
      <c r="AT148">
        <v>74970</v>
      </c>
      <c r="AV148">
        <v>74970</v>
      </c>
      <c r="AX148">
        <v>74970</v>
      </c>
      <c r="AZ148">
        <v>74970</v>
      </c>
      <c r="BB148">
        <v>74970</v>
      </c>
      <c r="BD148">
        <v>74970</v>
      </c>
      <c r="BF148">
        <v>74970</v>
      </c>
      <c r="BH148">
        <v>74970</v>
      </c>
      <c r="BJ148">
        <v>74970</v>
      </c>
      <c r="BL148">
        <v>74970</v>
      </c>
      <c r="BN148">
        <v>74970</v>
      </c>
      <c r="BP148">
        <v>74970</v>
      </c>
      <c r="BR148">
        <v>74970</v>
      </c>
      <c r="BT148">
        <v>74970</v>
      </c>
      <c r="BV148">
        <v>74970</v>
      </c>
      <c r="BX148">
        <v>74970</v>
      </c>
      <c r="BY148">
        <v>74970</v>
      </c>
      <c r="BZ148">
        <v>2652438.6</v>
      </c>
      <c r="CB148">
        <v>0.2</v>
      </c>
      <c r="CC148">
        <v>530487.72000000009</v>
      </c>
      <c r="CD148">
        <v>59975.999999999993</v>
      </c>
      <c r="CE148">
        <v>2121950.88</v>
      </c>
      <c r="CF148" t="s">
        <v>36</v>
      </c>
      <c r="CH148">
        <v>59975.999999999993</v>
      </c>
      <c r="CI148">
        <v>0</v>
      </c>
      <c r="CJ148">
        <v>2121950.88</v>
      </c>
      <c r="CL148" t="s">
        <v>8760</v>
      </c>
      <c r="CN148">
        <v>0</v>
      </c>
      <c r="CO148" t="s">
        <v>39</v>
      </c>
      <c r="CP148" t="s">
        <v>39</v>
      </c>
      <c r="CQ148" t="b">
        <v>1</v>
      </c>
      <c r="CR148" t="s">
        <v>8950</v>
      </c>
      <c r="CS148" t="s">
        <v>1167</v>
      </c>
      <c r="CT148" t="s">
        <v>8960</v>
      </c>
      <c r="CU148" t="s">
        <v>8973</v>
      </c>
      <c r="CV148" t="s">
        <v>6016</v>
      </c>
      <c r="CW148" t="s">
        <v>4895</v>
      </c>
      <c r="CX148" t="s">
        <v>3246</v>
      </c>
      <c r="CY148">
        <v>1.2199999999999918</v>
      </c>
      <c r="CZ148">
        <v>73170.719999999492</v>
      </c>
      <c r="DA148">
        <v>4390000</v>
      </c>
      <c r="DB148" t="s">
        <v>36</v>
      </c>
      <c r="DC148" t="b">
        <v>1</v>
      </c>
      <c r="DD148">
        <v>2121950.88</v>
      </c>
      <c r="DE148">
        <v>0</v>
      </c>
      <c r="DF148" t="b">
        <v>1</v>
      </c>
      <c r="DG148" s="420" cm="1">
        <f t="array" ref="DG148">_xlfn.XLOOKUP("Дом 4"&amp;Реестр_Д4[[#This Row],[№]]&amp;Реестр_Д4[[#This Row],[Статус]],РД[Дом]&amp;РД[№ кв]&amp;РД[Состояние],РД[Дата подачи на регистрацию],"-",0)</f>
        <v>44796</v>
      </c>
    </row>
    <row r="149" spans="1:111" x14ac:dyDescent="0.25">
      <c r="A149">
        <v>148</v>
      </c>
      <c r="B149" t="s">
        <v>5</v>
      </c>
      <c r="C149">
        <v>5</v>
      </c>
      <c r="D149" t="s">
        <v>45</v>
      </c>
      <c r="E149">
        <v>1</v>
      </c>
      <c r="F149">
        <v>13.45</v>
      </c>
      <c r="I149">
        <v>13.45</v>
      </c>
      <c r="J149">
        <v>12.54</v>
      </c>
      <c r="K149">
        <v>3.69</v>
      </c>
      <c r="N149">
        <v>6.62</v>
      </c>
      <c r="O149">
        <v>3.01</v>
      </c>
      <c r="Q149">
        <v>3.01</v>
      </c>
      <c r="R149">
        <v>39.31</v>
      </c>
      <c r="S149">
        <v>36.299999999999997</v>
      </c>
      <c r="T149">
        <v>37.81</v>
      </c>
      <c r="U149">
        <v>39.200000000000003</v>
      </c>
      <c r="V149">
        <v>72100</v>
      </c>
      <c r="W149">
        <v>3605</v>
      </c>
      <c r="X149">
        <v>75705</v>
      </c>
      <c r="Y149">
        <v>3028.2000000000003</v>
      </c>
      <c r="Z149">
        <v>78733.2</v>
      </c>
      <c r="AA149">
        <v>3936.66</v>
      </c>
      <c r="AB149">
        <v>82669.86</v>
      </c>
      <c r="AC149">
        <v>10.16839278</v>
      </c>
      <c r="AD149">
        <v>82680.028392780005</v>
      </c>
      <c r="AE149">
        <v>4134.0014196390002</v>
      </c>
      <c r="AF149">
        <v>86814.029812419001</v>
      </c>
      <c r="AH149">
        <v>86814.029812419001</v>
      </c>
      <c r="AI149">
        <v>2604.4208943725698</v>
      </c>
      <c r="AJ149">
        <v>89418.450706791569</v>
      </c>
      <c r="AK149">
        <v>894.18450706791566</v>
      </c>
      <c r="AL149">
        <v>90312.635213859481</v>
      </c>
      <c r="AM149">
        <v>1806.2527042771897</v>
      </c>
      <c r="AN149">
        <v>92118.887918136679</v>
      </c>
      <c r="AO149">
        <v>1842.3777583627336</v>
      </c>
      <c r="AP149">
        <v>93961.265676499403</v>
      </c>
      <c r="AQ149">
        <v>2818.8379702949819</v>
      </c>
      <c r="AR149">
        <v>96780.103646794378</v>
      </c>
      <c r="AT149">
        <v>96780.103646794378</v>
      </c>
      <c r="AU149">
        <v>2903.4031094038314</v>
      </c>
      <c r="AV149">
        <v>99683.506756198214</v>
      </c>
      <c r="AW149">
        <v>5981.0104053718924</v>
      </c>
      <c r="AX149">
        <v>105664.51716157013</v>
      </c>
      <c r="AZ149">
        <v>105664.51716157013</v>
      </c>
      <c r="BB149">
        <v>105664.51716157013</v>
      </c>
      <c r="BD149">
        <v>105664.51716157013</v>
      </c>
      <c r="BF149">
        <v>105664.51716157013</v>
      </c>
      <c r="BH149">
        <v>105664.51716157013</v>
      </c>
      <c r="BJ149">
        <v>105664.51716157013</v>
      </c>
      <c r="BL149">
        <v>105664.51716157013</v>
      </c>
      <c r="BN149">
        <v>105664.51716157013</v>
      </c>
      <c r="BP149">
        <v>105664.51716157013</v>
      </c>
      <c r="BR149">
        <v>105664.51716157013</v>
      </c>
      <c r="BT149">
        <v>105664.51716157013</v>
      </c>
      <c r="BV149">
        <v>105664.51716157013</v>
      </c>
      <c r="BX149">
        <v>105664.51716157013</v>
      </c>
      <c r="BY149">
        <v>105664.52</v>
      </c>
      <c r="BZ149">
        <v>3995175.5</v>
      </c>
      <c r="CC149">
        <v>0</v>
      </c>
      <c r="CD149">
        <v>105664.51996826236</v>
      </c>
      <c r="CE149">
        <v>3995175.5</v>
      </c>
      <c r="CF149" t="s">
        <v>36</v>
      </c>
      <c r="CH149">
        <v>105664.51996826236</v>
      </c>
      <c r="CI149">
        <v>0</v>
      </c>
      <c r="CJ149">
        <v>3995175.5</v>
      </c>
      <c r="CN149">
        <v>0</v>
      </c>
      <c r="CO149" t="s">
        <v>39</v>
      </c>
      <c r="CP149" t="s">
        <v>39</v>
      </c>
      <c r="CQ149" t="b">
        <v>1</v>
      </c>
      <c r="CR149" t="s">
        <v>8950</v>
      </c>
      <c r="CS149" t="s">
        <v>1167</v>
      </c>
      <c r="CT149" t="s">
        <v>8960</v>
      </c>
      <c r="CU149" t="s">
        <v>8973</v>
      </c>
      <c r="CV149" t="s">
        <v>6017</v>
      </c>
      <c r="CW149" t="s">
        <v>4895</v>
      </c>
      <c r="CX149" t="s">
        <v>3246</v>
      </c>
      <c r="CY149">
        <v>1.3900000000000006</v>
      </c>
      <c r="CZ149">
        <v>146873.68275588474</v>
      </c>
      <c r="DA149">
        <v>3995175.5</v>
      </c>
      <c r="DB149" t="s">
        <v>36</v>
      </c>
      <c r="DC149" t="b">
        <v>1</v>
      </c>
      <c r="DD149">
        <v>3995175.5</v>
      </c>
      <c r="DE149">
        <v>0</v>
      </c>
      <c r="DF149" t="b">
        <v>1</v>
      </c>
      <c r="DG149" s="420" cm="1">
        <f t="array" ref="DG149">_xlfn.XLOOKUP("Дом 4"&amp;Реестр_Д4[[#This Row],[№]]&amp;Реестр_Д4[[#This Row],[Статус]],РД[Дом]&amp;РД[№ кв]&amp;РД[Состояние],РД[Дата подачи на регистрацию],"-",0)</f>
        <v>45226</v>
      </c>
    </row>
    <row r="150" spans="1:111" x14ac:dyDescent="0.25">
      <c r="A150">
        <v>149</v>
      </c>
      <c r="B150" t="s">
        <v>5</v>
      </c>
      <c r="C150">
        <v>5</v>
      </c>
      <c r="D150" t="s">
        <v>3351</v>
      </c>
      <c r="E150">
        <v>1</v>
      </c>
      <c r="F150">
        <v>12.11</v>
      </c>
      <c r="I150">
        <v>12.11</v>
      </c>
      <c r="J150">
        <v>12.27</v>
      </c>
      <c r="K150">
        <v>3.84</v>
      </c>
      <c r="N150">
        <v>7.06</v>
      </c>
      <c r="O150">
        <v>2.84</v>
      </c>
      <c r="Q150">
        <v>2.84</v>
      </c>
      <c r="R150">
        <v>38.119999999999997</v>
      </c>
      <c r="S150">
        <v>35.28</v>
      </c>
      <c r="T150">
        <v>36.700000000000003</v>
      </c>
      <c r="U150">
        <v>38.1</v>
      </c>
      <c r="V150">
        <v>72100</v>
      </c>
      <c r="W150">
        <v>3605</v>
      </c>
      <c r="X150">
        <v>75705</v>
      </c>
      <c r="Y150">
        <v>3028.2000000000003</v>
      </c>
      <c r="Z150">
        <v>78733.2</v>
      </c>
      <c r="AB150">
        <v>78733.2</v>
      </c>
      <c r="AD150">
        <v>78733.2</v>
      </c>
      <c r="AF150">
        <v>78733.2</v>
      </c>
      <c r="AH150">
        <v>78733.2</v>
      </c>
      <c r="AJ150">
        <v>78733.2</v>
      </c>
      <c r="AL150">
        <v>78733.2</v>
      </c>
      <c r="AN150">
        <v>78733.2</v>
      </c>
      <c r="AP150">
        <v>78733.2</v>
      </c>
      <c r="AR150">
        <v>78733.2</v>
      </c>
      <c r="AT150">
        <v>78733.2</v>
      </c>
      <c r="AV150">
        <v>78733.2</v>
      </c>
      <c r="AX150">
        <v>78733.2</v>
      </c>
      <c r="AZ150">
        <v>78733.2</v>
      </c>
      <c r="BB150">
        <v>78733.2</v>
      </c>
      <c r="BD150">
        <v>78733.2</v>
      </c>
      <c r="BF150">
        <v>78733.2</v>
      </c>
      <c r="BH150">
        <v>78733.2</v>
      </c>
      <c r="BJ150">
        <v>78733.2</v>
      </c>
      <c r="BL150">
        <v>78733.2</v>
      </c>
      <c r="BN150">
        <v>78733.2</v>
      </c>
      <c r="BP150">
        <v>78733.2</v>
      </c>
      <c r="BR150">
        <v>78733.2</v>
      </c>
      <c r="BT150">
        <v>78733.2</v>
      </c>
      <c r="BV150">
        <v>78733.2</v>
      </c>
      <c r="BX150">
        <v>78733.2</v>
      </c>
      <c r="BY150">
        <v>78733.2</v>
      </c>
      <c r="BZ150">
        <v>2889508.44</v>
      </c>
      <c r="CC150">
        <v>0</v>
      </c>
      <c r="CD150">
        <v>78733.2</v>
      </c>
      <c r="CE150">
        <v>2889508.44</v>
      </c>
      <c r="CF150" t="s">
        <v>36</v>
      </c>
      <c r="CH150">
        <v>78733.2</v>
      </c>
      <c r="CI150">
        <v>0</v>
      </c>
      <c r="CJ150">
        <v>2889508.44</v>
      </c>
      <c r="CN150">
        <v>0</v>
      </c>
      <c r="CO150" t="s">
        <v>39</v>
      </c>
      <c r="CP150" t="s">
        <v>39</v>
      </c>
      <c r="CQ150" t="b">
        <v>1</v>
      </c>
      <c r="CR150" t="s">
        <v>8950</v>
      </c>
      <c r="CS150" t="s">
        <v>1167</v>
      </c>
      <c r="CT150" t="s">
        <v>8960</v>
      </c>
      <c r="CU150" t="s">
        <v>8973</v>
      </c>
      <c r="CV150" t="s">
        <v>6018</v>
      </c>
      <c r="CW150" t="s">
        <v>4895</v>
      </c>
      <c r="CX150" t="s">
        <v>3246</v>
      </c>
      <c r="CY150">
        <v>1.3999999999999986</v>
      </c>
      <c r="CZ150">
        <v>110226.47999999988</v>
      </c>
      <c r="DA150">
        <v>2889508.44</v>
      </c>
      <c r="DB150" t="s">
        <v>36</v>
      </c>
      <c r="DC150" t="b">
        <v>1</v>
      </c>
      <c r="DD150">
        <v>2889508.44</v>
      </c>
      <c r="DE150">
        <v>0</v>
      </c>
      <c r="DF150" t="b">
        <v>1</v>
      </c>
      <c r="DG150" s="420" cm="1">
        <f t="array" ref="DG150">_xlfn.XLOOKUP("Дом 4"&amp;Реестр_Д4[[#This Row],[№]]&amp;Реестр_Д4[[#This Row],[Статус]],РД[Дом]&amp;РД[№ кв]&amp;РД[Состояние],РД[Дата подачи на регистрацию],"-",0)</f>
        <v>44873</v>
      </c>
    </row>
    <row r="151" spans="1:111" x14ac:dyDescent="0.25">
      <c r="A151">
        <v>150</v>
      </c>
      <c r="B151" t="s">
        <v>5</v>
      </c>
      <c r="C151">
        <v>5</v>
      </c>
      <c r="D151" t="s">
        <v>3352</v>
      </c>
      <c r="E151">
        <v>1</v>
      </c>
      <c r="F151">
        <v>11.74</v>
      </c>
      <c r="I151">
        <v>11.74</v>
      </c>
      <c r="J151">
        <v>12.47</v>
      </c>
      <c r="K151">
        <v>3.71</v>
      </c>
      <c r="N151">
        <v>7.29</v>
      </c>
      <c r="O151">
        <v>2.89</v>
      </c>
      <c r="Q151">
        <v>2.89</v>
      </c>
      <c r="R151">
        <v>38.1</v>
      </c>
      <c r="S151">
        <v>35.21</v>
      </c>
      <c r="T151">
        <v>36.659999999999997</v>
      </c>
      <c r="U151">
        <v>37.700000000000003</v>
      </c>
      <c r="V151">
        <v>72100</v>
      </c>
      <c r="W151">
        <v>3605</v>
      </c>
      <c r="X151">
        <v>75705</v>
      </c>
      <c r="Y151">
        <v>3028.2000000000003</v>
      </c>
      <c r="Z151">
        <v>78733.2</v>
      </c>
      <c r="AA151">
        <v>3936.66</v>
      </c>
      <c r="AB151">
        <v>82669.86</v>
      </c>
      <c r="AC151">
        <v>10.16839278</v>
      </c>
      <c r="AD151">
        <v>82680.028392780005</v>
      </c>
      <c r="AE151">
        <v>4134.0014196390002</v>
      </c>
      <c r="AF151">
        <v>86814.029812419001</v>
      </c>
      <c r="AH151">
        <v>86814.029812419001</v>
      </c>
      <c r="AI151">
        <v>2604.4208943725698</v>
      </c>
      <c r="AJ151">
        <v>89418.450706791569</v>
      </c>
      <c r="AK151">
        <v>894.18450706791566</v>
      </c>
      <c r="AL151">
        <v>90312.635213859481</v>
      </c>
      <c r="AM151">
        <v>1806.2527042771897</v>
      </c>
      <c r="AN151">
        <v>92118.887918136679</v>
      </c>
      <c r="AO151">
        <v>1842.3777583627336</v>
      </c>
      <c r="AP151">
        <v>93961.265676499403</v>
      </c>
      <c r="AQ151">
        <v>2818.8379702949819</v>
      </c>
      <c r="AR151">
        <v>96780.103646794378</v>
      </c>
      <c r="AT151">
        <v>96780.103646794378</v>
      </c>
      <c r="AV151">
        <v>96780.103646794378</v>
      </c>
      <c r="AX151">
        <v>96780.103646794378</v>
      </c>
      <c r="AZ151">
        <v>96780.103646794378</v>
      </c>
      <c r="BB151">
        <v>96780.103646794378</v>
      </c>
      <c r="BD151">
        <v>96780.103646794378</v>
      </c>
      <c r="BF151">
        <v>96780.103646794378</v>
      </c>
      <c r="BH151">
        <v>96780.103646794378</v>
      </c>
      <c r="BJ151">
        <v>96780.103646794378</v>
      </c>
      <c r="BL151">
        <v>96780.103646794378</v>
      </c>
      <c r="BN151">
        <v>96780.103646794378</v>
      </c>
      <c r="BP151">
        <v>96780.103646794378</v>
      </c>
      <c r="BR151">
        <v>96780.103646794378</v>
      </c>
      <c r="BT151">
        <v>96780.103646794378</v>
      </c>
      <c r="BV151">
        <v>96780.103646794378</v>
      </c>
      <c r="BX151">
        <v>96780.103646794378</v>
      </c>
      <c r="BY151">
        <v>96780.1</v>
      </c>
      <c r="BZ151">
        <v>3547958.47</v>
      </c>
      <c r="CC151">
        <v>0</v>
      </c>
      <c r="CD151">
        <v>96780.100109110761</v>
      </c>
      <c r="CE151">
        <v>3547958.47</v>
      </c>
      <c r="CF151" t="s">
        <v>36</v>
      </c>
      <c r="CH151">
        <v>96780.100109110761</v>
      </c>
      <c r="CI151">
        <v>0</v>
      </c>
      <c r="CJ151">
        <v>3547958.47</v>
      </c>
      <c r="CN151">
        <v>0</v>
      </c>
      <c r="CO151" t="s">
        <v>39</v>
      </c>
      <c r="CP151" t="s">
        <v>39</v>
      </c>
      <c r="CQ151" t="b">
        <v>1</v>
      </c>
      <c r="CR151" t="s">
        <v>8950</v>
      </c>
      <c r="CS151" t="s">
        <v>1167</v>
      </c>
      <c r="CT151" t="s">
        <v>8960</v>
      </c>
      <c r="CU151" t="s">
        <v>8973</v>
      </c>
      <c r="CV151" t="s">
        <v>6019</v>
      </c>
      <c r="CW151" t="s">
        <v>4895</v>
      </c>
      <c r="CX151" t="s">
        <v>3246</v>
      </c>
      <c r="CY151">
        <v>1.0399999999999991</v>
      </c>
      <c r="CZ151">
        <v>100651.30411347513</v>
      </c>
      <c r="DA151">
        <v>3547958.47</v>
      </c>
      <c r="DB151" t="s">
        <v>36</v>
      </c>
      <c r="DC151" t="b">
        <v>1</v>
      </c>
      <c r="DD151">
        <v>3547958.47</v>
      </c>
      <c r="DE151">
        <v>0</v>
      </c>
      <c r="DF151" t="b">
        <v>1</v>
      </c>
      <c r="DG151" s="420" cm="1">
        <f t="array" ref="DG151">_xlfn.XLOOKUP("Дом 4"&amp;Реестр_Д4[[#This Row],[№]]&amp;Реестр_Д4[[#This Row],[Статус]],РД[Дом]&amp;РД[№ кв]&amp;РД[Состояние],РД[Дата подачи на регистрацию],"-",0)</f>
        <v>45162</v>
      </c>
    </row>
    <row r="152" spans="1:111" x14ac:dyDescent="0.25">
      <c r="A152">
        <v>151</v>
      </c>
      <c r="B152" t="s">
        <v>5</v>
      </c>
      <c r="C152">
        <v>5</v>
      </c>
      <c r="D152" t="s">
        <v>3353</v>
      </c>
      <c r="E152">
        <v>3</v>
      </c>
      <c r="F152">
        <v>14.79</v>
      </c>
      <c r="G152">
        <v>14.24</v>
      </c>
      <c r="H152">
        <v>13.63</v>
      </c>
      <c r="I152">
        <v>42.66</v>
      </c>
      <c r="J152">
        <v>13.29</v>
      </c>
      <c r="K152">
        <v>4.72</v>
      </c>
      <c r="L152">
        <v>1.66</v>
      </c>
      <c r="M152">
        <v>2.19</v>
      </c>
      <c r="N152">
        <v>11.45</v>
      </c>
      <c r="O152">
        <v>2.73</v>
      </c>
      <c r="P152">
        <v>2.78</v>
      </c>
      <c r="Q152">
        <v>5.51</v>
      </c>
      <c r="R152">
        <v>81.48</v>
      </c>
      <c r="S152">
        <v>75.97</v>
      </c>
      <c r="T152">
        <v>78.73</v>
      </c>
      <c r="U152">
        <v>80.899999999999977</v>
      </c>
      <c r="V152">
        <v>68364.800000000003</v>
      </c>
      <c r="W152">
        <v>3418.24</v>
      </c>
      <c r="X152">
        <v>71783.040000000008</v>
      </c>
      <c r="Z152">
        <v>71783.040000000008</v>
      </c>
      <c r="AB152">
        <v>71783.040000000008</v>
      </c>
      <c r="AC152">
        <v>8.8293139200000024</v>
      </c>
      <c r="AD152">
        <v>71791.869313920004</v>
      </c>
      <c r="AF152">
        <v>71791.869313920004</v>
      </c>
      <c r="AH152">
        <v>71791.869313920004</v>
      </c>
      <c r="AJ152">
        <v>71791.869313920004</v>
      </c>
      <c r="AL152">
        <v>71791.869313920004</v>
      </c>
      <c r="AN152">
        <v>71791.869313920004</v>
      </c>
      <c r="AP152">
        <v>71791.869313920004</v>
      </c>
      <c r="AR152">
        <v>71791.869313920004</v>
      </c>
      <c r="AT152">
        <v>71791.869313920004</v>
      </c>
      <c r="AV152">
        <v>71791.869313920004</v>
      </c>
      <c r="AX152">
        <v>71791.869313920004</v>
      </c>
      <c r="AZ152">
        <v>71791.869313920004</v>
      </c>
      <c r="BB152">
        <v>71791.869313920004</v>
      </c>
      <c r="BD152">
        <v>71791.869313920004</v>
      </c>
      <c r="BF152">
        <v>71791.869313920004</v>
      </c>
      <c r="BH152">
        <v>71791.869313920004</v>
      </c>
      <c r="BJ152">
        <v>71791.869313920004</v>
      </c>
      <c r="BL152">
        <v>71791.869313920004</v>
      </c>
      <c r="BN152">
        <v>71791.869313920004</v>
      </c>
      <c r="BP152">
        <v>71791.869313920004</v>
      </c>
      <c r="BR152">
        <v>71791.869313920004</v>
      </c>
      <c r="BT152">
        <v>71791.869313920004</v>
      </c>
      <c r="BV152">
        <v>71791.869313920004</v>
      </c>
      <c r="BX152">
        <v>71791.869313920004</v>
      </c>
      <c r="BY152">
        <v>71791.87</v>
      </c>
      <c r="BZ152">
        <v>5652173.9299999997</v>
      </c>
      <c r="CB152">
        <v>0.05</v>
      </c>
      <c r="CC152">
        <v>282608.69650000002</v>
      </c>
      <c r="CD152">
        <v>68202.27651467039</v>
      </c>
      <c r="CE152">
        <v>5369565.2300000004</v>
      </c>
      <c r="CF152" t="s">
        <v>37</v>
      </c>
      <c r="CG152">
        <v>4000</v>
      </c>
      <c r="CH152">
        <v>72202.27651467039</v>
      </c>
      <c r="CI152">
        <v>314920</v>
      </c>
      <c r="CJ152">
        <v>5684485.2300000004</v>
      </c>
      <c r="CL152" t="s">
        <v>3540</v>
      </c>
      <c r="CN152">
        <v>0</v>
      </c>
      <c r="CO152" t="s">
        <v>39</v>
      </c>
      <c r="CP152" t="s">
        <v>39</v>
      </c>
      <c r="CQ152" t="b">
        <v>1</v>
      </c>
      <c r="CR152" t="s">
        <v>8950</v>
      </c>
      <c r="CS152" t="s">
        <v>1167</v>
      </c>
      <c r="CT152" t="s">
        <v>8960</v>
      </c>
      <c r="CU152" t="s">
        <v>8975</v>
      </c>
      <c r="CV152" t="s">
        <v>6020</v>
      </c>
      <c r="CW152" t="s">
        <v>4895</v>
      </c>
      <c r="CX152" t="s">
        <v>3246</v>
      </c>
      <c r="CY152">
        <v>2.1699999999999875</v>
      </c>
      <c r="CZ152">
        <v>156678.94003683384</v>
      </c>
      <c r="DA152">
        <v>5684485.2300000004</v>
      </c>
      <c r="DB152" t="s">
        <v>37</v>
      </c>
      <c r="DC152" t="b">
        <v>1</v>
      </c>
      <c r="DD152">
        <v>5684485.2300000004</v>
      </c>
      <c r="DE152">
        <v>0</v>
      </c>
      <c r="DF152" t="b">
        <v>1</v>
      </c>
      <c r="DG152" s="420" cm="1">
        <f t="array" ref="DG152">_xlfn.XLOOKUP("Дом 4"&amp;Реестр_Д4[[#This Row],[№]]&amp;Реестр_Д4[[#This Row],[Статус]],РД[Дом]&amp;РД[№ кв]&amp;РД[Состояние],РД[Дата подачи на регистрацию],"-",0)</f>
        <v>44956</v>
      </c>
    </row>
    <row r="153" spans="1:111" x14ac:dyDescent="0.25">
      <c r="A153">
        <v>152</v>
      </c>
      <c r="B153" t="s">
        <v>5</v>
      </c>
      <c r="C153">
        <v>5</v>
      </c>
      <c r="D153" t="s">
        <v>3354</v>
      </c>
      <c r="E153">
        <v>1</v>
      </c>
      <c r="F153">
        <v>14.13</v>
      </c>
      <c r="I153">
        <v>14.13</v>
      </c>
      <c r="J153">
        <v>9.2100000000000009</v>
      </c>
      <c r="K153">
        <v>3.66</v>
      </c>
      <c r="N153">
        <v>5.55</v>
      </c>
      <c r="O153">
        <v>2.48</v>
      </c>
      <c r="Q153">
        <v>2.48</v>
      </c>
      <c r="R153">
        <v>35.03</v>
      </c>
      <c r="S153">
        <v>32.550000000000004</v>
      </c>
      <c r="T153">
        <v>33.79</v>
      </c>
      <c r="U153">
        <v>34.4</v>
      </c>
      <c r="V153">
        <v>70700</v>
      </c>
      <c r="W153">
        <v>3535</v>
      </c>
      <c r="X153">
        <v>74235</v>
      </c>
      <c r="Y153">
        <v>2969.4</v>
      </c>
      <c r="Z153">
        <v>77204.399999999994</v>
      </c>
      <c r="AA153">
        <v>3860.22</v>
      </c>
      <c r="AB153">
        <v>81064.62</v>
      </c>
      <c r="AC153">
        <v>9.9709482600000001</v>
      </c>
      <c r="AD153">
        <v>81074.590948259996</v>
      </c>
      <c r="AE153">
        <v>4053.7295474130001</v>
      </c>
      <c r="AF153">
        <v>85128.32049567299</v>
      </c>
      <c r="AH153">
        <v>85128.32049567299</v>
      </c>
      <c r="AJ153">
        <v>85128.32049567299</v>
      </c>
      <c r="AL153">
        <v>85128.32049567299</v>
      </c>
      <c r="AN153">
        <v>85128.32049567299</v>
      </c>
      <c r="AP153">
        <v>85128.32049567299</v>
      </c>
      <c r="AR153">
        <v>85128.32049567299</v>
      </c>
      <c r="AT153">
        <v>85128.32049567299</v>
      </c>
      <c r="AV153">
        <v>85128.32049567299</v>
      </c>
      <c r="AX153">
        <v>85128.32049567299</v>
      </c>
      <c r="AZ153">
        <v>85128.32049567299</v>
      </c>
      <c r="BB153">
        <v>85128.32049567299</v>
      </c>
      <c r="BD153">
        <v>85128.32049567299</v>
      </c>
      <c r="BF153">
        <v>85128.32049567299</v>
      </c>
      <c r="BH153">
        <v>85128.32049567299</v>
      </c>
      <c r="BJ153">
        <v>85128.32049567299</v>
      </c>
      <c r="BL153">
        <v>85128.32049567299</v>
      </c>
      <c r="BN153">
        <v>85128.32049567299</v>
      </c>
      <c r="BP153">
        <v>85128.32049567299</v>
      </c>
      <c r="BR153">
        <v>85128.32049567299</v>
      </c>
      <c r="BT153">
        <v>85128.32049567299</v>
      </c>
      <c r="BV153">
        <v>85128.32049567299</v>
      </c>
      <c r="BX153">
        <v>85128.32049567299</v>
      </c>
      <c r="BY153">
        <v>85128.320000000007</v>
      </c>
      <c r="BZ153">
        <v>2876485.93</v>
      </c>
      <c r="CB153">
        <v>0.05</v>
      </c>
      <c r="CC153">
        <v>143824.29650000003</v>
      </c>
      <c r="CD153">
        <v>80871.903817697559</v>
      </c>
      <c r="CE153">
        <v>2732661.63</v>
      </c>
      <c r="CF153" t="s">
        <v>36</v>
      </c>
      <c r="CH153">
        <v>80871.903817697559</v>
      </c>
      <c r="CI153">
        <v>0</v>
      </c>
      <c r="CJ153">
        <v>2732661.63</v>
      </c>
      <c r="CK153" t="s">
        <v>57</v>
      </c>
      <c r="CL153" t="s">
        <v>3540</v>
      </c>
      <c r="CN153">
        <v>0</v>
      </c>
      <c r="CO153" t="s">
        <v>39</v>
      </c>
      <c r="CP153" t="s">
        <v>39</v>
      </c>
      <c r="CQ153" t="b">
        <v>1</v>
      </c>
      <c r="CR153" t="s">
        <v>8950</v>
      </c>
      <c r="CS153" t="s">
        <v>1167</v>
      </c>
      <c r="CT153" t="s">
        <v>8960</v>
      </c>
      <c r="CU153" t="s">
        <v>8973</v>
      </c>
      <c r="CV153" t="s">
        <v>6021</v>
      </c>
      <c r="CW153" t="s">
        <v>4895</v>
      </c>
      <c r="CX153" t="s">
        <v>3246</v>
      </c>
      <c r="CY153">
        <v>0.60999999999999943</v>
      </c>
      <c r="CZ153">
        <v>49331.861328795458</v>
      </c>
      <c r="DA153">
        <v>2732661.63</v>
      </c>
      <c r="DB153" t="s">
        <v>36</v>
      </c>
      <c r="DC153" t="b">
        <v>1</v>
      </c>
      <c r="DD153">
        <v>2732661.63</v>
      </c>
      <c r="DE153">
        <v>0</v>
      </c>
      <c r="DF153" t="b">
        <v>1</v>
      </c>
      <c r="DG153" s="420" cm="1">
        <f t="array" ref="DG153">_xlfn.XLOOKUP("Дом 4"&amp;Реестр_Д4[[#This Row],[№]]&amp;Реестр_Д4[[#This Row],[Статус]],РД[Дом]&amp;РД[№ кв]&amp;РД[Состояние],РД[Дата подачи на регистрацию],"-",0)</f>
        <v>44925</v>
      </c>
    </row>
    <row r="154" spans="1:111" x14ac:dyDescent="0.25">
      <c r="A154">
        <v>153</v>
      </c>
      <c r="B154" t="s">
        <v>5</v>
      </c>
      <c r="C154">
        <v>6</v>
      </c>
      <c r="D154" t="s">
        <v>42</v>
      </c>
      <c r="E154">
        <v>0</v>
      </c>
      <c r="F154">
        <v>13.95</v>
      </c>
      <c r="I154">
        <v>13.95</v>
      </c>
      <c r="J154">
        <v>5.77</v>
      </c>
      <c r="K154">
        <v>3.6</v>
      </c>
      <c r="N154">
        <v>3.59</v>
      </c>
      <c r="O154">
        <v>4.12</v>
      </c>
      <c r="Q154">
        <v>4.12</v>
      </c>
      <c r="R154">
        <v>31.03</v>
      </c>
      <c r="S154">
        <v>26.91</v>
      </c>
      <c r="T154">
        <v>28.97</v>
      </c>
      <c r="U154">
        <v>29.5</v>
      </c>
      <c r="V154">
        <v>75600</v>
      </c>
      <c r="W154">
        <v>3780</v>
      </c>
      <c r="X154">
        <v>79380</v>
      </c>
      <c r="Z154">
        <v>79380</v>
      </c>
      <c r="AB154">
        <v>79380</v>
      </c>
      <c r="AC154">
        <v>9.7637400000000003</v>
      </c>
      <c r="AD154">
        <v>79389.763739999995</v>
      </c>
      <c r="AE154">
        <v>3969.4881869999999</v>
      </c>
      <c r="AF154">
        <v>83359.25192699999</v>
      </c>
      <c r="AH154">
        <v>83359.25192699999</v>
      </c>
      <c r="AJ154">
        <v>83359.25192699999</v>
      </c>
      <c r="AL154">
        <v>83359.25192699999</v>
      </c>
      <c r="AN154">
        <v>83359.25192699999</v>
      </c>
      <c r="AP154">
        <v>83359.25192699999</v>
      </c>
      <c r="AR154">
        <v>83359.25192699999</v>
      </c>
      <c r="AT154">
        <v>83359.25192699999</v>
      </c>
      <c r="AV154">
        <v>83359.25192699999</v>
      </c>
      <c r="AX154">
        <v>83359.25192699999</v>
      </c>
      <c r="AZ154">
        <v>83359.25192699999</v>
      </c>
      <c r="BB154">
        <v>83359.25192699999</v>
      </c>
      <c r="BD154">
        <v>83359.25192699999</v>
      </c>
      <c r="BF154">
        <v>83359.25192699999</v>
      </c>
      <c r="BH154">
        <v>83359.25192699999</v>
      </c>
      <c r="BJ154">
        <v>83359.25192699999</v>
      </c>
      <c r="BL154">
        <v>83359.25192699999</v>
      </c>
      <c r="BN154">
        <v>83359.25192699999</v>
      </c>
      <c r="BP154">
        <v>83359.25192699999</v>
      </c>
      <c r="BR154">
        <v>83359.25192699999</v>
      </c>
      <c r="BT154">
        <v>83359.25192699999</v>
      </c>
      <c r="BV154">
        <v>83359.25192699999</v>
      </c>
      <c r="BX154">
        <v>83359.25192699999</v>
      </c>
      <c r="BY154">
        <v>83359.25</v>
      </c>
      <c r="BZ154">
        <v>2414917.4700000002</v>
      </c>
      <c r="CC154">
        <v>0</v>
      </c>
      <c r="CD154">
        <v>83359.249913703839</v>
      </c>
      <c r="CE154">
        <v>2414917.4700000002</v>
      </c>
      <c r="CF154" t="s">
        <v>36</v>
      </c>
      <c r="CH154">
        <v>83359.249913703839</v>
      </c>
      <c r="CI154">
        <v>0</v>
      </c>
      <c r="CJ154">
        <v>2414917.4700000002</v>
      </c>
      <c r="CN154">
        <v>0</v>
      </c>
      <c r="CO154" t="s">
        <v>39</v>
      </c>
      <c r="CP154" t="s">
        <v>39</v>
      </c>
      <c r="CQ154" t="b">
        <v>1</v>
      </c>
      <c r="CR154" t="s">
        <v>8950</v>
      </c>
      <c r="CS154" t="s">
        <v>1167</v>
      </c>
      <c r="CT154" t="s">
        <v>8960</v>
      </c>
      <c r="CU154" t="s">
        <v>8970</v>
      </c>
      <c r="CV154" t="s">
        <v>6022</v>
      </c>
      <c r="CW154" t="s">
        <v>4895</v>
      </c>
      <c r="CX154" t="s">
        <v>3246</v>
      </c>
      <c r="CY154">
        <v>0.53000000000000114</v>
      </c>
      <c r="CZ154">
        <v>44180.40245426313</v>
      </c>
      <c r="DA154">
        <v>2414917.4700000002</v>
      </c>
      <c r="DB154" t="s">
        <v>36</v>
      </c>
      <c r="DC154" t="b">
        <v>1</v>
      </c>
      <c r="DD154">
        <v>2414917.4700000002</v>
      </c>
      <c r="DE154">
        <v>0</v>
      </c>
      <c r="DF154" t="b">
        <v>1</v>
      </c>
      <c r="DG154" s="420" cm="1">
        <f t="array" ref="DG154">_xlfn.XLOOKUP("Дом 4"&amp;Реестр_Д4[[#This Row],[№]]&amp;Реестр_Д4[[#This Row],[Статус]],РД[Дом]&amp;РД[№ кв]&amp;РД[Состояние],РД[Дата подачи на регистрацию],"-",0)</f>
        <v>44982</v>
      </c>
    </row>
    <row r="155" spans="1:111" x14ac:dyDescent="0.25">
      <c r="A155">
        <v>154</v>
      </c>
      <c r="B155" t="s">
        <v>5</v>
      </c>
      <c r="C155">
        <v>6</v>
      </c>
      <c r="D155" t="s">
        <v>43</v>
      </c>
      <c r="E155">
        <v>2</v>
      </c>
      <c r="F155">
        <v>17.54</v>
      </c>
      <c r="G155">
        <v>12.04</v>
      </c>
      <c r="I155">
        <v>29.58</v>
      </c>
      <c r="J155">
        <v>17.010000000000002</v>
      </c>
      <c r="K155">
        <v>3.71</v>
      </c>
      <c r="L155">
        <v>2.64</v>
      </c>
      <c r="N155">
        <v>13.06</v>
      </c>
      <c r="O155">
        <v>2.61</v>
      </c>
      <c r="P155">
        <v>2.88</v>
      </c>
      <c r="Q155">
        <v>5.49</v>
      </c>
      <c r="R155">
        <v>71.489999999999995</v>
      </c>
      <c r="S155">
        <v>66</v>
      </c>
      <c r="T155">
        <v>68.75</v>
      </c>
      <c r="U155">
        <v>69.899999999999991</v>
      </c>
      <c r="V155">
        <v>71971.199999999997</v>
      </c>
      <c r="W155">
        <v>3598.56</v>
      </c>
      <c r="X155">
        <v>75569.759999999995</v>
      </c>
      <c r="Z155">
        <v>75569.759999999995</v>
      </c>
      <c r="AA155">
        <v>3778.4879999999998</v>
      </c>
      <c r="AB155">
        <v>79348.248000000007</v>
      </c>
      <c r="AC155">
        <v>9.7598345040000005</v>
      </c>
      <c r="AD155">
        <v>79358.007834503995</v>
      </c>
      <c r="AF155">
        <v>79358.007834503995</v>
      </c>
      <c r="AH155">
        <v>79358.007834503995</v>
      </c>
      <c r="AI155">
        <v>1587.1601566900799</v>
      </c>
      <c r="AJ155">
        <v>80945.167991194074</v>
      </c>
      <c r="AK155">
        <v>809.4516799119408</v>
      </c>
      <c r="AL155">
        <v>81754.619671106018</v>
      </c>
      <c r="AM155">
        <v>1635.0923934221205</v>
      </c>
      <c r="AN155">
        <v>83389.712064528139</v>
      </c>
      <c r="AP155">
        <v>83389.712064528139</v>
      </c>
      <c r="AQ155">
        <v>2501.6913619358443</v>
      </c>
      <c r="AR155">
        <v>85891.403426463978</v>
      </c>
      <c r="AT155">
        <v>85891.403426463978</v>
      </c>
      <c r="AU155">
        <v>2576.7421027939195</v>
      </c>
      <c r="AV155">
        <v>88468.14552925789</v>
      </c>
      <c r="AX155">
        <v>88468.14552925789</v>
      </c>
      <c r="AZ155">
        <v>88468.14552925789</v>
      </c>
      <c r="BB155">
        <v>88468.14552925789</v>
      </c>
      <c r="BD155">
        <v>88468.14552925789</v>
      </c>
      <c r="BF155">
        <v>88468.14552925789</v>
      </c>
      <c r="BH155">
        <v>88468.14552925789</v>
      </c>
      <c r="BI155">
        <v>4423.4072764628945</v>
      </c>
      <c r="BJ155">
        <v>92891.552805720785</v>
      </c>
      <c r="BK155">
        <v>1000</v>
      </c>
      <c r="BL155">
        <v>93891.552805720785</v>
      </c>
      <c r="BM155">
        <v>1877.831056114416</v>
      </c>
      <c r="BN155">
        <v>95769.383861835202</v>
      </c>
      <c r="BO155">
        <v>4788.4691930917606</v>
      </c>
      <c r="BP155">
        <v>100557.85305492696</v>
      </c>
      <c r="BR155">
        <v>100557.85305492696</v>
      </c>
      <c r="BT155">
        <v>100557.85305492696</v>
      </c>
      <c r="BV155">
        <v>100557.85305492696</v>
      </c>
      <c r="BX155">
        <v>100557.85305492696</v>
      </c>
      <c r="BY155">
        <v>100557.85</v>
      </c>
      <c r="BZ155">
        <v>6913400</v>
      </c>
      <c r="CA155">
        <v>90000</v>
      </c>
      <c r="CC155">
        <v>90000</v>
      </c>
      <c r="CD155">
        <v>99249.454545454544</v>
      </c>
      <c r="CE155">
        <v>6823400</v>
      </c>
      <c r="CF155" t="s">
        <v>36</v>
      </c>
      <c r="CH155">
        <v>99249.454545454544</v>
      </c>
      <c r="CI155">
        <v>0</v>
      </c>
      <c r="CJ155">
        <v>6823400</v>
      </c>
      <c r="CL155" t="s">
        <v>7136</v>
      </c>
      <c r="CN155">
        <v>0</v>
      </c>
      <c r="CO155" t="s">
        <v>39</v>
      </c>
      <c r="CP155" t="s">
        <v>39</v>
      </c>
      <c r="CQ155" t="b">
        <v>1</v>
      </c>
      <c r="CR155" t="s">
        <v>8950</v>
      </c>
      <c r="CS155" t="s">
        <v>1167</v>
      </c>
      <c r="CT155" t="s">
        <v>8960</v>
      </c>
      <c r="CU155" t="s">
        <v>8971</v>
      </c>
      <c r="CV155" t="s">
        <v>6023</v>
      </c>
      <c r="CW155" t="s">
        <v>6652</v>
      </c>
      <c r="CX155" t="s">
        <v>3246</v>
      </c>
      <c r="CY155">
        <v>1.1499999999999917</v>
      </c>
      <c r="CZ155">
        <v>114136.87272727188</v>
      </c>
      <c r="DA155">
        <v>6823400</v>
      </c>
      <c r="DB155" t="s">
        <v>36</v>
      </c>
      <c r="DC155" t="b">
        <v>1</v>
      </c>
      <c r="DD155">
        <v>6823400</v>
      </c>
      <c r="DE155">
        <v>0</v>
      </c>
      <c r="DF155" t="b">
        <v>1</v>
      </c>
      <c r="DG155" s="420" cm="1">
        <f t="array" ref="DG155">_xlfn.XLOOKUP("Дом 4"&amp;Реестр_Д4[[#This Row],[№]]&amp;Реестр_Д4[[#This Row],[Статус]],РД[Дом]&amp;РД[№ кв]&amp;РД[Состояние],РД[Дата подачи на регистрацию],"-",0)</f>
        <v>45407</v>
      </c>
    </row>
    <row r="156" spans="1:111" x14ac:dyDescent="0.25">
      <c r="A156">
        <v>155</v>
      </c>
      <c r="B156" t="s">
        <v>5</v>
      </c>
      <c r="C156">
        <v>6</v>
      </c>
      <c r="D156" t="s">
        <v>44</v>
      </c>
      <c r="E156">
        <v>1</v>
      </c>
      <c r="F156">
        <v>13.45</v>
      </c>
      <c r="I156">
        <v>13.45</v>
      </c>
      <c r="J156">
        <v>11.31</v>
      </c>
      <c r="K156">
        <v>3.69</v>
      </c>
      <c r="N156">
        <v>5.63</v>
      </c>
      <c r="O156">
        <v>2.59</v>
      </c>
      <c r="Q156">
        <v>2.59</v>
      </c>
      <c r="R156">
        <v>36.67</v>
      </c>
      <c r="S156">
        <v>34.08</v>
      </c>
      <c r="T156">
        <v>35.380000000000003</v>
      </c>
      <c r="U156">
        <v>36.799999999999997</v>
      </c>
      <c r="V156">
        <v>72100</v>
      </c>
      <c r="W156">
        <v>3605</v>
      </c>
      <c r="X156">
        <v>75705</v>
      </c>
      <c r="Z156">
        <v>75705</v>
      </c>
      <c r="AB156">
        <v>75705</v>
      </c>
      <c r="AD156">
        <v>75705</v>
      </c>
      <c r="AF156">
        <v>75705</v>
      </c>
      <c r="AH156">
        <v>75705</v>
      </c>
      <c r="AJ156">
        <v>75705</v>
      </c>
      <c r="AL156">
        <v>75705</v>
      </c>
      <c r="AN156">
        <v>75705</v>
      </c>
      <c r="AP156">
        <v>75705</v>
      </c>
      <c r="AR156">
        <v>75705</v>
      </c>
      <c r="AT156">
        <v>75705</v>
      </c>
      <c r="AV156">
        <v>75705</v>
      </c>
      <c r="AX156">
        <v>75705</v>
      </c>
      <c r="AZ156">
        <v>75705</v>
      </c>
      <c r="BB156">
        <v>75705</v>
      </c>
      <c r="BD156">
        <v>75705</v>
      </c>
      <c r="BF156">
        <v>75705</v>
      </c>
      <c r="BH156">
        <v>75705</v>
      </c>
      <c r="BJ156">
        <v>75705</v>
      </c>
      <c r="BL156">
        <v>75705</v>
      </c>
      <c r="BN156">
        <v>75705</v>
      </c>
      <c r="BP156">
        <v>75705</v>
      </c>
      <c r="BR156">
        <v>75705</v>
      </c>
      <c r="BT156">
        <v>75705</v>
      </c>
      <c r="BV156">
        <v>75705</v>
      </c>
      <c r="BX156">
        <v>75705</v>
      </c>
      <c r="BY156">
        <v>75705</v>
      </c>
      <c r="BZ156">
        <v>2678442.9</v>
      </c>
      <c r="CC156">
        <v>0</v>
      </c>
      <c r="CD156">
        <v>75704.999999999985</v>
      </c>
      <c r="CE156">
        <v>2678442.9</v>
      </c>
      <c r="CF156" t="s">
        <v>36</v>
      </c>
      <c r="CH156">
        <v>75704.999999999985</v>
      </c>
      <c r="CI156">
        <v>0</v>
      </c>
      <c r="CJ156">
        <v>2678442.9</v>
      </c>
      <c r="CN156">
        <v>0</v>
      </c>
      <c r="CO156" t="s">
        <v>39</v>
      </c>
      <c r="CP156" t="s">
        <v>39</v>
      </c>
      <c r="CQ156" t="b">
        <v>1</v>
      </c>
      <c r="CR156" t="s">
        <v>8950</v>
      </c>
      <c r="CS156" t="s">
        <v>1167</v>
      </c>
      <c r="CT156" t="s">
        <v>8960</v>
      </c>
      <c r="CU156" t="s">
        <v>8973</v>
      </c>
      <c r="CV156" t="s">
        <v>6024</v>
      </c>
      <c r="CW156" t="s">
        <v>4895</v>
      </c>
      <c r="CX156" t="s">
        <v>3246</v>
      </c>
      <c r="CY156">
        <v>1.4199999999999946</v>
      </c>
      <c r="CZ156">
        <v>107501.09999999955</v>
      </c>
      <c r="DA156">
        <v>2678442.9</v>
      </c>
      <c r="DB156" t="s">
        <v>36</v>
      </c>
      <c r="DC156" t="b">
        <v>1</v>
      </c>
      <c r="DD156">
        <v>2678442.9</v>
      </c>
      <c r="DE156">
        <v>0</v>
      </c>
      <c r="DF156" t="b">
        <v>1</v>
      </c>
      <c r="DG156" s="420" cm="1">
        <f t="array" ref="DG156">_xlfn.XLOOKUP("Дом 4"&amp;Реестр_Д4[[#This Row],[№]]&amp;Реестр_Д4[[#This Row],[Статус]],РД[Дом]&amp;РД[№ кв]&amp;РД[Состояние],РД[Дата подачи на регистрацию],"-",0)</f>
        <v>44785</v>
      </c>
    </row>
    <row r="157" spans="1:111" x14ac:dyDescent="0.25">
      <c r="A157">
        <v>156</v>
      </c>
      <c r="B157" t="s">
        <v>5</v>
      </c>
      <c r="C157">
        <v>6</v>
      </c>
      <c r="D157" t="s">
        <v>45</v>
      </c>
      <c r="E157">
        <v>1</v>
      </c>
      <c r="F157">
        <v>13.45</v>
      </c>
      <c r="I157">
        <v>13.45</v>
      </c>
      <c r="J157">
        <v>12.54</v>
      </c>
      <c r="K157">
        <v>3.69</v>
      </c>
      <c r="N157">
        <v>6.62</v>
      </c>
      <c r="O157">
        <v>3.01</v>
      </c>
      <c r="Q157">
        <v>3.01</v>
      </c>
      <c r="R157">
        <v>39.31</v>
      </c>
      <c r="S157">
        <v>36.299999999999997</v>
      </c>
      <c r="T157">
        <v>37.81</v>
      </c>
      <c r="U157">
        <v>39.200000000000003</v>
      </c>
      <c r="V157">
        <v>72800</v>
      </c>
      <c r="W157">
        <v>3640</v>
      </c>
      <c r="X157">
        <v>76440</v>
      </c>
      <c r="Y157">
        <v>3057.6</v>
      </c>
      <c r="Z157">
        <v>79497.600000000006</v>
      </c>
      <c r="AA157">
        <v>3974.880000000001</v>
      </c>
      <c r="AB157">
        <v>83472.48000000001</v>
      </c>
      <c r="AC157">
        <v>10.267115040000002</v>
      </c>
      <c r="AD157">
        <v>83482.747115040009</v>
      </c>
      <c r="AE157">
        <v>4174.137355752001</v>
      </c>
      <c r="AF157">
        <v>87656.884470792007</v>
      </c>
      <c r="AH157">
        <v>87656.884470792007</v>
      </c>
      <c r="AI157">
        <v>2629.7065341237603</v>
      </c>
      <c r="AJ157">
        <v>90286.591004915783</v>
      </c>
      <c r="AK157">
        <v>902.86591004915772</v>
      </c>
      <c r="AL157">
        <v>91189.456914964932</v>
      </c>
      <c r="AM157">
        <v>1823.7891382992989</v>
      </c>
      <c r="AN157">
        <v>93013.246053264229</v>
      </c>
      <c r="AO157">
        <v>1860.2649210652849</v>
      </c>
      <c r="AP157">
        <v>94873.510974329518</v>
      </c>
      <c r="AQ157">
        <v>2846.2053292298856</v>
      </c>
      <c r="AR157">
        <v>97719.716303559399</v>
      </c>
      <c r="AT157">
        <v>97719.716303559399</v>
      </c>
      <c r="AU157">
        <v>2931.5914891067819</v>
      </c>
      <c r="AV157">
        <v>100651.30779266618</v>
      </c>
      <c r="AX157">
        <v>100651.30779266618</v>
      </c>
      <c r="AZ157">
        <v>100651.30779266618</v>
      </c>
      <c r="BB157">
        <v>100651.30779266618</v>
      </c>
      <c r="BD157">
        <v>100651.30779266618</v>
      </c>
      <c r="BF157">
        <v>100651.30779266618</v>
      </c>
      <c r="BH157">
        <v>100651.30779266618</v>
      </c>
      <c r="BJ157">
        <v>100651.30779266618</v>
      </c>
      <c r="BL157">
        <v>100651.30779266618</v>
      </c>
      <c r="BN157">
        <v>100651.30779266618</v>
      </c>
      <c r="BP157">
        <v>100651.30779266618</v>
      </c>
      <c r="BR157">
        <v>100651.30779266618</v>
      </c>
      <c r="BT157">
        <v>100651.30779266618</v>
      </c>
      <c r="BV157">
        <v>100651.30779266618</v>
      </c>
      <c r="BX157">
        <v>100651.30779266618</v>
      </c>
      <c r="BY157">
        <v>100651.31</v>
      </c>
      <c r="BZ157">
        <v>3805626.03</v>
      </c>
      <c r="CC157">
        <v>0</v>
      </c>
      <c r="CD157">
        <v>100651.30997090715</v>
      </c>
      <c r="CE157">
        <v>3805626.03</v>
      </c>
      <c r="CF157" t="s">
        <v>37</v>
      </c>
      <c r="CG157">
        <v>4500</v>
      </c>
      <c r="CH157">
        <v>105151.30997090715</v>
      </c>
      <c r="CI157">
        <v>170145</v>
      </c>
      <c r="CJ157">
        <v>3975771.03</v>
      </c>
      <c r="CN157">
        <v>0</v>
      </c>
      <c r="CO157" t="s">
        <v>39</v>
      </c>
      <c r="CP157" t="s">
        <v>39</v>
      </c>
      <c r="CQ157" t="b">
        <v>1</v>
      </c>
      <c r="CR157" t="s">
        <v>8950</v>
      </c>
      <c r="CS157" t="s">
        <v>1167</v>
      </c>
      <c r="CT157" t="s">
        <v>8960</v>
      </c>
      <c r="CU157" t="s">
        <v>8973</v>
      </c>
      <c r="CV157" t="s">
        <v>6025</v>
      </c>
      <c r="CW157" t="s">
        <v>4895</v>
      </c>
      <c r="CX157" t="s">
        <v>3246</v>
      </c>
      <c r="CY157">
        <v>1.3900000000000006</v>
      </c>
      <c r="CZ157">
        <v>146160.320859561</v>
      </c>
      <c r="DA157">
        <v>3975771.03</v>
      </c>
      <c r="DB157" t="s">
        <v>37</v>
      </c>
      <c r="DC157" t="b">
        <v>1</v>
      </c>
      <c r="DD157">
        <v>3975771.03</v>
      </c>
      <c r="DE157">
        <v>0</v>
      </c>
      <c r="DF157" t="b">
        <v>1</v>
      </c>
      <c r="DG157" s="420" cm="1">
        <f t="array" ref="DG157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158" spans="1:111" x14ac:dyDescent="0.25">
      <c r="A158">
        <v>157</v>
      </c>
      <c r="B158" t="s">
        <v>5</v>
      </c>
      <c r="C158">
        <v>6</v>
      </c>
      <c r="D158" t="s">
        <v>3351</v>
      </c>
      <c r="E158">
        <v>1</v>
      </c>
      <c r="F158">
        <v>12.11</v>
      </c>
      <c r="I158">
        <v>12.11</v>
      </c>
      <c r="J158">
        <v>12.27</v>
      </c>
      <c r="K158">
        <v>3.84</v>
      </c>
      <c r="N158">
        <v>7.06</v>
      </c>
      <c r="O158">
        <v>2.84</v>
      </c>
      <c r="Q158">
        <v>2.84</v>
      </c>
      <c r="R158">
        <v>38.119999999999997</v>
      </c>
      <c r="S158">
        <v>35.28</v>
      </c>
      <c r="T158">
        <v>36.700000000000003</v>
      </c>
      <c r="U158">
        <v>38.1</v>
      </c>
      <c r="V158">
        <v>72800</v>
      </c>
      <c r="W158">
        <v>3640</v>
      </c>
      <c r="X158">
        <v>76440</v>
      </c>
      <c r="Y158">
        <v>3057.6</v>
      </c>
      <c r="Z158">
        <v>79497.600000000006</v>
      </c>
      <c r="AA158">
        <v>3974.880000000001</v>
      </c>
      <c r="AB158">
        <v>83472.48000000001</v>
      </c>
      <c r="AC158">
        <v>10.267115040000002</v>
      </c>
      <c r="AD158">
        <v>83482.747115040009</v>
      </c>
      <c r="AE158">
        <v>4174.137355752001</v>
      </c>
      <c r="AF158">
        <v>87656.884470792007</v>
      </c>
      <c r="AH158">
        <v>87656.884470792007</v>
      </c>
      <c r="AI158">
        <v>2629.7065341237603</v>
      </c>
      <c r="AJ158">
        <v>90286.591004915783</v>
      </c>
      <c r="AK158">
        <v>902.86591004915772</v>
      </c>
      <c r="AL158">
        <v>91189.456914964932</v>
      </c>
      <c r="AM158">
        <v>1823.7891382992989</v>
      </c>
      <c r="AN158">
        <v>93013.246053264229</v>
      </c>
      <c r="AO158">
        <v>1860.2649210652849</v>
      </c>
      <c r="AP158">
        <v>94873.510974329518</v>
      </c>
      <c r="AQ158">
        <v>2846.2053292298856</v>
      </c>
      <c r="AR158">
        <v>97719.716303559399</v>
      </c>
      <c r="AT158">
        <v>97719.716303559399</v>
      </c>
      <c r="AV158">
        <v>97719.716303559399</v>
      </c>
      <c r="AX158">
        <v>97719.716303559399</v>
      </c>
      <c r="AZ158">
        <v>97719.716303559399</v>
      </c>
      <c r="BB158">
        <v>97719.716303559399</v>
      </c>
      <c r="BD158">
        <v>97719.716303559399</v>
      </c>
      <c r="BF158">
        <v>97719.716303559399</v>
      </c>
      <c r="BH158">
        <v>97719.716303559399</v>
      </c>
      <c r="BJ158">
        <v>97719.716303559399</v>
      </c>
      <c r="BL158">
        <v>97719.716303559399</v>
      </c>
      <c r="BN158">
        <v>97719.716303559399</v>
      </c>
      <c r="BP158">
        <v>97719.716303559399</v>
      </c>
      <c r="BR158">
        <v>97719.716303559399</v>
      </c>
      <c r="BT158">
        <v>97719.716303559399</v>
      </c>
      <c r="BV158">
        <v>97719.716303559399</v>
      </c>
      <c r="BX158">
        <v>97719.716303559399</v>
      </c>
      <c r="BY158">
        <v>97719.72</v>
      </c>
      <c r="BZ158">
        <v>3586313.72</v>
      </c>
      <c r="CC158">
        <v>0</v>
      </c>
      <c r="CD158">
        <v>97719.719891008179</v>
      </c>
      <c r="CE158">
        <v>3586313.72</v>
      </c>
      <c r="CF158" t="s">
        <v>37</v>
      </c>
      <c r="CG158">
        <v>4500</v>
      </c>
      <c r="CH158">
        <v>102219.71989100818</v>
      </c>
      <c r="CI158">
        <v>165150</v>
      </c>
      <c r="CJ158">
        <v>3751463.72</v>
      </c>
      <c r="CN158">
        <v>0</v>
      </c>
      <c r="CO158" t="s">
        <v>39</v>
      </c>
      <c r="CP158" t="s">
        <v>39</v>
      </c>
      <c r="CQ158" t="b">
        <v>1</v>
      </c>
      <c r="CR158" t="s">
        <v>8950</v>
      </c>
      <c r="CS158" t="s">
        <v>1167</v>
      </c>
      <c r="CT158" t="s">
        <v>8960</v>
      </c>
      <c r="CU158" t="s">
        <v>8973</v>
      </c>
      <c r="CV158" t="s">
        <v>6026</v>
      </c>
      <c r="CW158" t="s">
        <v>4895</v>
      </c>
      <c r="CX158" t="s">
        <v>3246</v>
      </c>
      <c r="CY158">
        <v>1.3999999999999986</v>
      </c>
      <c r="CZ158">
        <v>143107.6078474113</v>
      </c>
      <c r="DA158">
        <v>3751463.72</v>
      </c>
      <c r="DB158" t="s">
        <v>37</v>
      </c>
      <c r="DC158" t="b">
        <v>1</v>
      </c>
      <c r="DD158">
        <v>3751463.72</v>
      </c>
      <c r="DE158">
        <v>0</v>
      </c>
      <c r="DF158" t="b">
        <v>1</v>
      </c>
      <c r="DG158" s="420" cm="1">
        <f t="array" ref="DG158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159" spans="1:111" x14ac:dyDescent="0.25">
      <c r="A159">
        <v>158</v>
      </c>
      <c r="B159" t="s">
        <v>5</v>
      </c>
      <c r="C159">
        <v>6</v>
      </c>
      <c r="D159" t="s">
        <v>3352</v>
      </c>
      <c r="E159">
        <v>1</v>
      </c>
      <c r="F159">
        <v>11.74</v>
      </c>
      <c r="I159">
        <v>11.74</v>
      </c>
      <c r="J159">
        <v>12.47</v>
      </c>
      <c r="K159">
        <v>3.71</v>
      </c>
      <c r="N159">
        <v>7.29</v>
      </c>
      <c r="O159">
        <v>2.89</v>
      </c>
      <c r="Q159">
        <v>2.89</v>
      </c>
      <c r="R159">
        <v>38.1</v>
      </c>
      <c r="S159">
        <v>35.21</v>
      </c>
      <c r="T159">
        <v>36.659999999999997</v>
      </c>
      <c r="U159">
        <v>37.9</v>
      </c>
      <c r="V159">
        <v>72800</v>
      </c>
      <c r="W159">
        <v>3640</v>
      </c>
      <c r="X159">
        <v>76440</v>
      </c>
      <c r="Y159">
        <v>3057.6</v>
      </c>
      <c r="Z159">
        <v>79497.600000000006</v>
      </c>
      <c r="AB159">
        <v>79497.600000000006</v>
      </c>
      <c r="AD159">
        <v>79497.600000000006</v>
      </c>
      <c r="AF159">
        <v>79497.600000000006</v>
      </c>
      <c r="AH159">
        <v>79497.600000000006</v>
      </c>
      <c r="AJ159">
        <v>79497.600000000006</v>
      </c>
      <c r="AL159">
        <v>79497.600000000006</v>
      </c>
      <c r="AN159">
        <v>79497.600000000006</v>
      </c>
      <c r="AP159">
        <v>79497.600000000006</v>
      </c>
      <c r="AR159">
        <v>79497.600000000006</v>
      </c>
      <c r="AT159">
        <v>79497.600000000006</v>
      </c>
      <c r="AV159">
        <v>79497.600000000006</v>
      </c>
      <c r="AX159">
        <v>79497.600000000006</v>
      </c>
      <c r="AZ159">
        <v>79497.600000000006</v>
      </c>
      <c r="BB159">
        <v>79497.600000000006</v>
      </c>
      <c r="BD159">
        <v>79497.600000000006</v>
      </c>
      <c r="BF159">
        <v>79497.600000000006</v>
      </c>
      <c r="BH159">
        <v>79497.600000000006</v>
      </c>
      <c r="BJ159">
        <v>79497.600000000006</v>
      </c>
      <c r="BL159">
        <v>79497.600000000006</v>
      </c>
      <c r="BN159">
        <v>79497.600000000006</v>
      </c>
      <c r="BP159">
        <v>79497.600000000006</v>
      </c>
      <c r="BR159">
        <v>79497.600000000006</v>
      </c>
      <c r="BT159">
        <v>79497.600000000006</v>
      </c>
      <c r="BV159">
        <v>79497.600000000006</v>
      </c>
      <c r="BX159">
        <v>79497.600000000006</v>
      </c>
      <c r="BY159">
        <v>79497.600000000006</v>
      </c>
      <c r="BZ159">
        <v>2914382.02</v>
      </c>
      <c r="CC159">
        <v>0</v>
      </c>
      <c r="CD159">
        <v>79497.600109110761</v>
      </c>
      <c r="CE159">
        <v>2914382.02</v>
      </c>
      <c r="CF159" t="s">
        <v>36</v>
      </c>
      <c r="CH159">
        <v>79497.600109110761</v>
      </c>
      <c r="CI159">
        <v>0</v>
      </c>
      <c r="CJ159">
        <v>2914382.02</v>
      </c>
      <c r="CN159">
        <v>0</v>
      </c>
      <c r="CO159" t="s">
        <v>39</v>
      </c>
      <c r="CP159" t="s">
        <v>39</v>
      </c>
      <c r="CQ159" t="b">
        <v>1</v>
      </c>
      <c r="CR159" t="s">
        <v>8950</v>
      </c>
      <c r="CS159" t="s">
        <v>1167</v>
      </c>
      <c r="CT159" t="s">
        <v>8960</v>
      </c>
      <c r="CU159" t="s">
        <v>8973</v>
      </c>
      <c r="CV159" t="s">
        <v>6027</v>
      </c>
      <c r="CW159" t="s">
        <v>4895</v>
      </c>
      <c r="CX159" t="s">
        <v>3246</v>
      </c>
      <c r="CY159">
        <v>1.240000000000002</v>
      </c>
      <c r="CZ159">
        <v>98577.024135297499</v>
      </c>
      <c r="DA159">
        <v>2914382.02</v>
      </c>
      <c r="DB159" t="s">
        <v>36</v>
      </c>
      <c r="DC159" t="b">
        <v>1</v>
      </c>
      <c r="DD159">
        <v>2914382.02</v>
      </c>
      <c r="DE159">
        <v>0</v>
      </c>
      <c r="DF159" t="b">
        <v>1</v>
      </c>
      <c r="DG159" s="420" cm="1">
        <f t="array" ref="DG159">_xlfn.XLOOKUP("Дом 4"&amp;Реестр_Д4[[#This Row],[№]]&amp;Реестр_Д4[[#This Row],[Статус]],РД[Дом]&amp;РД[№ кв]&amp;РД[Состояние],РД[Дата подачи на регистрацию],"-",0)</f>
        <v>44867</v>
      </c>
    </row>
    <row r="160" spans="1:111" x14ac:dyDescent="0.25">
      <c r="A160">
        <v>159</v>
      </c>
      <c r="B160" t="s">
        <v>5</v>
      </c>
      <c r="C160">
        <v>6</v>
      </c>
      <c r="D160" t="s">
        <v>3353</v>
      </c>
      <c r="E160">
        <v>3</v>
      </c>
      <c r="F160">
        <v>14.79</v>
      </c>
      <c r="G160">
        <v>14.24</v>
      </c>
      <c r="H160">
        <v>13.63</v>
      </c>
      <c r="I160">
        <v>42.66</v>
      </c>
      <c r="J160">
        <v>13.29</v>
      </c>
      <c r="K160">
        <v>4.72</v>
      </c>
      <c r="L160">
        <v>1.66</v>
      </c>
      <c r="M160">
        <v>2.19</v>
      </c>
      <c r="N160">
        <v>11.45</v>
      </c>
      <c r="O160">
        <v>2.73</v>
      </c>
      <c r="P160">
        <v>2.78</v>
      </c>
      <c r="Q160">
        <v>5.51</v>
      </c>
      <c r="R160">
        <v>81.48</v>
      </c>
      <c r="S160">
        <v>75.97</v>
      </c>
      <c r="T160">
        <v>78.73</v>
      </c>
      <c r="U160">
        <v>80.599999999999994</v>
      </c>
      <c r="V160">
        <v>68992.000000000015</v>
      </c>
      <c r="W160">
        <v>3449.6000000000008</v>
      </c>
      <c r="X160">
        <v>72441.60000000002</v>
      </c>
      <c r="Z160">
        <v>72441.60000000002</v>
      </c>
      <c r="AB160">
        <v>72441.60000000002</v>
      </c>
      <c r="AC160">
        <v>8.9103168000000039</v>
      </c>
      <c r="AD160">
        <v>72450.510316800021</v>
      </c>
      <c r="AF160">
        <v>72450.510316800021</v>
      </c>
      <c r="AH160">
        <v>72450.510316800021</v>
      </c>
      <c r="AI160">
        <v>2173.5153095040005</v>
      </c>
      <c r="AJ160">
        <v>74624.025626304021</v>
      </c>
      <c r="AK160">
        <v>746.24025626304035</v>
      </c>
      <c r="AL160">
        <v>75370.265882567066</v>
      </c>
      <c r="AN160">
        <v>75370.265882567066</v>
      </c>
      <c r="AP160">
        <v>75370.265882567066</v>
      </c>
      <c r="AR160">
        <v>75370.265882567066</v>
      </c>
      <c r="AT160">
        <v>75370.265882567066</v>
      </c>
      <c r="AV160">
        <v>75370.265882567066</v>
      </c>
      <c r="AX160">
        <v>75370.265882567066</v>
      </c>
      <c r="AZ160">
        <v>75370.265882567066</v>
      </c>
      <c r="BB160">
        <v>75370.265882567066</v>
      </c>
      <c r="BD160">
        <v>75370.265882567066</v>
      </c>
      <c r="BF160">
        <v>75370.265882567066</v>
      </c>
      <c r="BH160">
        <v>75370.265882567066</v>
      </c>
      <c r="BJ160">
        <v>75370.265882567066</v>
      </c>
      <c r="BL160">
        <v>75370.265882567066</v>
      </c>
      <c r="BN160">
        <v>75370.265882567066</v>
      </c>
      <c r="BP160">
        <v>75370.265882567066</v>
      </c>
      <c r="BR160">
        <v>75370.265882567066</v>
      </c>
      <c r="BT160">
        <v>75370.265882567066</v>
      </c>
      <c r="BV160">
        <v>75370.265882567066</v>
      </c>
      <c r="BX160">
        <v>75370.265882567066</v>
      </c>
      <c r="BY160">
        <v>75370.27</v>
      </c>
      <c r="BZ160">
        <v>5933901.3600000003</v>
      </c>
      <c r="CB160">
        <v>0.06</v>
      </c>
      <c r="CC160">
        <v>356034.08160000003</v>
      </c>
      <c r="CD160">
        <v>70848.053854947284</v>
      </c>
      <c r="CE160">
        <v>5577867.2800000003</v>
      </c>
      <c r="CF160" t="s">
        <v>38</v>
      </c>
      <c r="CG160">
        <v>15000</v>
      </c>
      <c r="CH160">
        <v>85848.053854947284</v>
      </c>
      <c r="CI160">
        <v>1180950</v>
      </c>
      <c r="CJ160">
        <v>6758817.2800000003</v>
      </c>
      <c r="CL160" t="s">
        <v>978</v>
      </c>
      <c r="CN160">
        <v>0</v>
      </c>
      <c r="CO160" t="s">
        <v>39</v>
      </c>
      <c r="CP160" t="s">
        <v>39</v>
      </c>
      <c r="CQ160" t="b">
        <v>1</v>
      </c>
      <c r="CR160" t="s">
        <v>8950</v>
      </c>
      <c r="CS160" t="s">
        <v>1167</v>
      </c>
      <c r="CT160" t="s">
        <v>8960</v>
      </c>
      <c r="CU160" t="s">
        <v>8975</v>
      </c>
      <c r="CV160" t="s">
        <v>6028</v>
      </c>
      <c r="CW160" t="s">
        <v>4895</v>
      </c>
      <c r="CX160" t="s">
        <v>3246</v>
      </c>
      <c r="CY160">
        <v>1.8699999999999903</v>
      </c>
      <c r="CZ160">
        <v>160535.86070875058</v>
      </c>
      <c r="DA160">
        <v>6758817.2800000003</v>
      </c>
      <c r="DB160" t="s">
        <v>38</v>
      </c>
      <c r="DC160" t="b">
        <v>1</v>
      </c>
      <c r="DD160">
        <v>6758817.2800000003</v>
      </c>
      <c r="DE160">
        <v>0</v>
      </c>
      <c r="DF160" t="b">
        <v>1</v>
      </c>
      <c r="DG160" s="420" cm="1">
        <f t="array" ref="DG160">_xlfn.XLOOKUP("Дом 4"&amp;Реестр_Д4[[#This Row],[№]]&amp;Реестр_Д4[[#This Row],[Статус]],РД[Дом]&amp;РД[№ кв]&amp;РД[Состояние],РД[Дата подачи на регистрацию],"-",0)</f>
        <v>45016</v>
      </c>
    </row>
    <row r="161" spans="1:111" x14ac:dyDescent="0.25">
      <c r="A161">
        <v>160</v>
      </c>
      <c r="B161" t="s">
        <v>5</v>
      </c>
      <c r="C161">
        <v>6</v>
      </c>
      <c r="D161" t="s">
        <v>3354</v>
      </c>
      <c r="E161">
        <v>1</v>
      </c>
      <c r="F161">
        <v>14.13</v>
      </c>
      <c r="I161">
        <v>14.13</v>
      </c>
      <c r="J161">
        <v>9.2100000000000009</v>
      </c>
      <c r="K161">
        <v>3.66</v>
      </c>
      <c r="N161">
        <v>5.55</v>
      </c>
      <c r="O161">
        <v>2.48</v>
      </c>
      <c r="Q161">
        <v>2.48</v>
      </c>
      <c r="R161">
        <v>35.03</v>
      </c>
      <c r="S161">
        <v>32.550000000000004</v>
      </c>
      <c r="T161">
        <v>33.79</v>
      </c>
      <c r="U161">
        <v>34.9</v>
      </c>
      <c r="V161">
        <v>70700</v>
      </c>
      <c r="W161">
        <v>3535</v>
      </c>
      <c r="X161">
        <v>74235</v>
      </c>
      <c r="Y161">
        <v>2969.4</v>
      </c>
      <c r="Z161">
        <v>77204.399999999994</v>
      </c>
      <c r="AA161">
        <v>3860.22</v>
      </c>
      <c r="AB161">
        <v>81064.62</v>
      </c>
      <c r="AC161">
        <v>9.9709482600000001</v>
      </c>
      <c r="AD161">
        <v>81074.590948259996</v>
      </c>
      <c r="AE161">
        <v>4053.7295474130001</v>
      </c>
      <c r="AF161">
        <v>85128.32049567299</v>
      </c>
      <c r="AH161">
        <v>85128.32049567299</v>
      </c>
      <c r="AI161">
        <v>2553.8496148701897</v>
      </c>
      <c r="AJ161">
        <v>87682.170110543186</v>
      </c>
      <c r="AK161">
        <v>2630.4651033162954</v>
      </c>
      <c r="AL161">
        <v>90312.635213859481</v>
      </c>
      <c r="AM161">
        <v>3612.5054085543793</v>
      </c>
      <c r="AN161">
        <v>93925.140622413863</v>
      </c>
      <c r="AO161">
        <v>1878.5028124482776</v>
      </c>
      <c r="AP161">
        <v>95803.643434862141</v>
      </c>
      <c r="AQ161">
        <v>2874.1093030458642</v>
      </c>
      <c r="AR161">
        <v>98677.752737907998</v>
      </c>
      <c r="AS161">
        <v>4933.8876368954006</v>
      </c>
      <c r="AT161">
        <v>103611.64037480341</v>
      </c>
      <c r="AU161">
        <v>3108.3492112441018</v>
      </c>
      <c r="AV161">
        <v>106719.98958604748</v>
      </c>
      <c r="AW161">
        <v>6403.1993751628497</v>
      </c>
      <c r="AX161">
        <v>113123.18896121034</v>
      </c>
      <c r="AZ161">
        <v>113123.18896121034</v>
      </c>
      <c r="BB161">
        <v>113123.18896121034</v>
      </c>
      <c r="BD161">
        <v>113123.18896121034</v>
      </c>
      <c r="BF161">
        <v>113123.18896121034</v>
      </c>
      <c r="BH161">
        <v>113123.18896121034</v>
      </c>
      <c r="BJ161">
        <v>113123.18896121034</v>
      </c>
      <c r="BL161">
        <v>113123.18896121034</v>
      </c>
      <c r="BN161">
        <v>113123.18896121034</v>
      </c>
      <c r="BP161">
        <v>113123.18896121034</v>
      </c>
      <c r="BR161">
        <v>113123.18896121034</v>
      </c>
      <c r="BT161">
        <v>113123.18896121034</v>
      </c>
      <c r="BV161">
        <v>113123.18896121034</v>
      </c>
      <c r="BX161">
        <v>113123.18896121034</v>
      </c>
      <c r="BY161">
        <v>113123.19</v>
      </c>
      <c r="BZ161">
        <v>3822432.59</v>
      </c>
      <c r="CC161">
        <v>0</v>
      </c>
      <c r="CD161">
        <v>113123.18999704056</v>
      </c>
      <c r="CE161">
        <v>3822432.59</v>
      </c>
      <c r="CF161" t="s">
        <v>37</v>
      </c>
      <c r="CG161">
        <v>7500</v>
      </c>
      <c r="CH161">
        <v>120623.18999704056</v>
      </c>
      <c r="CI161">
        <v>253425</v>
      </c>
      <c r="CJ161">
        <v>4075857.59</v>
      </c>
      <c r="CK161" t="s">
        <v>57</v>
      </c>
      <c r="CN161">
        <v>0</v>
      </c>
      <c r="CO161" t="s">
        <v>39</v>
      </c>
      <c r="CP161" t="s">
        <v>39</v>
      </c>
      <c r="CQ161" t="b">
        <v>1</v>
      </c>
      <c r="CR161" t="s">
        <v>8950</v>
      </c>
      <c r="CS161" t="s">
        <v>1167</v>
      </c>
      <c r="CT161" t="s">
        <v>8960</v>
      </c>
      <c r="CU161" t="s">
        <v>8973</v>
      </c>
      <c r="CV161" t="s">
        <v>6029</v>
      </c>
      <c r="CW161" t="s">
        <v>4895</v>
      </c>
      <c r="CX161" t="s">
        <v>3246</v>
      </c>
      <c r="CY161">
        <v>1.1099999999999994</v>
      </c>
      <c r="CZ161">
        <v>133891.74089671494</v>
      </c>
      <c r="DA161">
        <v>4075857.59</v>
      </c>
      <c r="DB161" t="s">
        <v>37</v>
      </c>
      <c r="DC161" t="b">
        <v>1</v>
      </c>
      <c r="DD161">
        <v>4075857.59</v>
      </c>
      <c r="DE161">
        <v>0</v>
      </c>
      <c r="DF161" t="b">
        <v>1</v>
      </c>
      <c r="DG161" s="420" cm="1">
        <f t="array" ref="DG161">_xlfn.XLOOKUP("Дом 4"&amp;Реестр_Д4[[#This Row],[№]]&amp;Реестр_Д4[[#This Row],[Статус]],РД[Дом]&amp;РД[№ кв]&amp;РД[Состояние],РД[Дата подачи на регистрацию],"-",0)</f>
        <v>45239</v>
      </c>
    </row>
    <row r="162" spans="1:111" x14ac:dyDescent="0.25">
      <c r="A162">
        <v>161</v>
      </c>
      <c r="B162" t="s">
        <v>5</v>
      </c>
      <c r="C162">
        <v>7</v>
      </c>
      <c r="D162" t="s">
        <v>42</v>
      </c>
      <c r="E162">
        <v>0</v>
      </c>
      <c r="F162">
        <v>13.95</v>
      </c>
      <c r="I162">
        <v>13.95</v>
      </c>
      <c r="J162">
        <v>5.77</v>
      </c>
      <c r="K162">
        <v>3.6</v>
      </c>
      <c r="N162">
        <v>3.59</v>
      </c>
      <c r="O162">
        <v>4.12</v>
      </c>
      <c r="Q162">
        <v>4.12</v>
      </c>
      <c r="R162">
        <v>31.03</v>
      </c>
      <c r="S162">
        <v>26.91</v>
      </c>
      <c r="T162">
        <v>28.97</v>
      </c>
      <c r="U162">
        <v>29.6</v>
      </c>
      <c r="V162">
        <v>75600</v>
      </c>
      <c r="W162">
        <v>3780</v>
      </c>
      <c r="X162">
        <v>79380</v>
      </c>
      <c r="Z162">
        <v>79380</v>
      </c>
      <c r="AB162">
        <v>79380</v>
      </c>
      <c r="AC162">
        <v>9.7637400000000003</v>
      </c>
      <c r="AD162">
        <v>79389.763739999995</v>
      </c>
      <c r="AF162">
        <v>79389.763739999995</v>
      </c>
      <c r="AH162">
        <v>79389.763739999995</v>
      </c>
      <c r="AJ162">
        <v>79389.763739999995</v>
      </c>
      <c r="AL162">
        <v>79389.763739999995</v>
      </c>
      <c r="AN162">
        <v>79389.763739999995</v>
      </c>
      <c r="AP162">
        <v>79389.763739999995</v>
      </c>
      <c r="AR162">
        <v>79389.763739999995</v>
      </c>
      <c r="AT162">
        <v>79389.763739999995</v>
      </c>
      <c r="AV162">
        <v>79389.763739999995</v>
      </c>
      <c r="AX162">
        <v>79389.763739999995</v>
      </c>
      <c r="AZ162">
        <v>79389.763739999995</v>
      </c>
      <c r="BB162">
        <v>79389.763739999995</v>
      </c>
      <c r="BD162">
        <v>79389.763739999995</v>
      </c>
      <c r="BF162">
        <v>79389.763739999995</v>
      </c>
      <c r="BH162">
        <v>79389.763739999995</v>
      </c>
      <c r="BJ162">
        <v>79389.763739999995</v>
      </c>
      <c r="BL162">
        <v>79389.763739999995</v>
      </c>
      <c r="BN162">
        <v>79389.763739999995</v>
      </c>
      <c r="BP162">
        <v>79389.763739999995</v>
      </c>
      <c r="BR162">
        <v>79389.763739999995</v>
      </c>
      <c r="BT162">
        <v>79389.763739999995</v>
      </c>
      <c r="BV162">
        <v>79389.763739999995</v>
      </c>
      <c r="BX162">
        <v>79389.763739999995</v>
      </c>
      <c r="BY162">
        <v>79389.759999999995</v>
      </c>
      <c r="BZ162">
        <v>2299921.35</v>
      </c>
      <c r="CB162">
        <v>0.05</v>
      </c>
      <c r="CC162">
        <v>114996.0675</v>
      </c>
      <c r="CD162">
        <v>75420.272005522944</v>
      </c>
      <c r="CE162">
        <v>2184925.2799999998</v>
      </c>
      <c r="CF162" t="s">
        <v>37</v>
      </c>
      <c r="CG162">
        <v>7500</v>
      </c>
      <c r="CH162">
        <v>82920.272005522944</v>
      </c>
      <c r="CI162">
        <v>217275</v>
      </c>
      <c r="CJ162">
        <v>2402200.2799999998</v>
      </c>
      <c r="CL162" t="s">
        <v>3540</v>
      </c>
      <c r="CN162">
        <v>0</v>
      </c>
      <c r="CO162" t="s">
        <v>39</v>
      </c>
      <c r="CP162" t="s">
        <v>39</v>
      </c>
      <c r="CQ162" t="b">
        <v>1</v>
      </c>
      <c r="CR162" t="s">
        <v>8950</v>
      </c>
      <c r="CS162" t="s">
        <v>1167</v>
      </c>
      <c r="CT162" t="s">
        <v>8960</v>
      </c>
      <c r="CU162" t="s">
        <v>8970</v>
      </c>
      <c r="CV162" t="s">
        <v>6030</v>
      </c>
      <c r="CW162" t="s">
        <v>4895</v>
      </c>
      <c r="CX162" t="s">
        <v>3246</v>
      </c>
      <c r="CY162">
        <v>0.62999999999999901</v>
      </c>
      <c r="CZ162">
        <v>52239.771363479369</v>
      </c>
      <c r="DA162">
        <v>2402200.2799999998</v>
      </c>
      <c r="DB162" t="s">
        <v>37</v>
      </c>
      <c r="DC162" t="b">
        <v>1</v>
      </c>
      <c r="DD162">
        <v>2402200.2799999998</v>
      </c>
      <c r="DE162">
        <v>0</v>
      </c>
      <c r="DF162" t="b">
        <v>1</v>
      </c>
      <c r="DG162" s="420" cm="1">
        <f t="array" ref="DG162">_xlfn.XLOOKUP("Дом 4"&amp;Реестр_Д4[[#This Row],[№]]&amp;Реестр_Д4[[#This Row],[Статус]],РД[Дом]&amp;РД[№ кв]&amp;РД[Состояние],РД[Дата подачи на регистрацию],"-",0)</f>
        <v>44893</v>
      </c>
    </row>
    <row r="163" spans="1:111" x14ac:dyDescent="0.25">
      <c r="A163">
        <v>162</v>
      </c>
      <c r="B163" t="s">
        <v>5</v>
      </c>
      <c r="C163">
        <v>7</v>
      </c>
      <c r="D163" t="s">
        <v>43</v>
      </c>
      <c r="E163">
        <v>2</v>
      </c>
      <c r="F163">
        <v>17.54</v>
      </c>
      <c r="G163">
        <v>12.04</v>
      </c>
      <c r="I163">
        <v>29.58</v>
      </c>
      <c r="J163">
        <v>17.010000000000002</v>
      </c>
      <c r="K163">
        <v>3.71</v>
      </c>
      <c r="L163">
        <v>2.64</v>
      </c>
      <c r="N163">
        <v>13.06</v>
      </c>
      <c r="O163">
        <v>2.61</v>
      </c>
      <c r="P163">
        <v>2.88</v>
      </c>
      <c r="Q163">
        <v>5.49</v>
      </c>
      <c r="R163">
        <v>71.489999999999995</v>
      </c>
      <c r="S163">
        <v>66</v>
      </c>
      <c r="T163">
        <v>68.75</v>
      </c>
      <c r="U163">
        <v>69.800000000000011</v>
      </c>
      <c r="V163">
        <v>71971.199999999997</v>
      </c>
      <c r="W163">
        <v>3598.56</v>
      </c>
      <c r="X163">
        <v>75569.759999999995</v>
      </c>
      <c r="Z163">
        <v>75569.759999999995</v>
      </c>
      <c r="AA163">
        <v>3778.4879999999998</v>
      </c>
      <c r="AB163">
        <v>79348.248000000007</v>
      </c>
      <c r="AC163">
        <v>9.7598345040000005</v>
      </c>
      <c r="AD163">
        <v>79358.007834503995</v>
      </c>
      <c r="AF163">
        <v>79358.007834503995</v>
      </c>
      <c r="AH163">
        <v>79358.007834503995</v>
      </c>
      <c r="AI163">
        <v>1587.1601566900799</v>
      </c>
      <c r="AJ163">
        <v>80945.167991194074</v>
      </c>
      <c r="AK163">
        <v>809.4516799119408</v>
      </c>
      <c r="AL163">
        <v>81754.619671106018</v>
      </c>
      <c r="AM163">
        <v>1635.0923934221205</v>
      </c>
      <c r="AN163">
        <v>83389.712064528139</v>
      </c>
      <c r="AP163">
        <v>83389.712064528139</v>
      </c>
      <c r="AQ163">
        <v>2501.6913619358443</v>
      </c>
      <c r="AR163">
        <v>85891.403426463978</v>
      </c>
      <c r="AT163">
        <v>85891.403426463978</v>
      </c>
      <c r="AU163">
        <v>2576.7421027939195</v>
      </c>
      <c r="AV163">
        <v>88468.14552925789</v>
      </c>
      <c r="AX163">
        <v>88468.14552925789</v>
      </c>
      <c r="AZ163">
        <v>88468.14552925789</v>
      </c>
      <c r="BB163">
        <v>88468.14552925789</v>
      </c>
      <c r="BD163">
        <v>88468.14552925789</v>
      </c>
      <c r="BF163">
        <v>88468.14552925789</v>
      </c>
      <c r="BH163">
        <v>88468.14552925789</v>
      </c>
      <c r="BI163">
        <v>4423.4072764628945</v>
      </c>
      <c r="BJ163">
        <v>92891.552805720785</v>
      </c>
      <c r="BK163">
        <v>1000</v>
      </c>
      <c r="BL163">
        <v>93891.552805720785</v>
      </c>
      <c r="BM163">
        <v>1877.831056114416</v>
      </c>
      <c r="BN163">
        <v>95769.383861835202</v>
      </c>
      <c r="BO163">
        <v>4788.4691930917606</v>
      </c>
      <c r="BP163">
        <v>100557.85305492696</v>
      </c>
      <c r="BQ163">
        <v>500</v>
      </c>
      <c r="BR163">
        <v>101057.85305492696</v>
      </c>
      <c r="BT163">
        <v>101057.85305492696</v>
      </c>
      <c r="BV163">
        <v>101057.85305492696</v>
      </c>
      <c r="BX163">
        <v>101057.85305492696</v>
      </c>
      <c r="BY163">
        <v>101057.85</v>
      </c>
      <c r="BZ163">
        <v>6947800</v>
      </c>
      <c r="CC163">
        <v>0</v>
      </c>
      <c r="CD163">
        <v>101058.90909090907</v>
      </c>
      <c r="CE163">
        <v>6947800</v>
      </c>
      <c r="CF163" t="s">
        <v>37</v>
      </c>
      <c r="CG163">
        <v>7500</v>
      </c>
      <c r="CH163">
        <v>108558.90909090907</v>
      </c>
      <c r="CI163">
        <v>515625</v>
      </c>
      <c r="CJ163">
        <v>7463425</v>
      </c>
      <c r="CN163">
        <v>0</v>
      </c>
      <c r="CO163" t="s">
        <v>39</v>
      </c>
      <c r="CP163" t="s">
        <v>39</v>
      </c>
      <c r="CQ163" t="b">
        <v>1</v>
      </c>
      <c r="CR163" t="s">
        <v>8950</v>
      </c>
      <c r="CS163" t="s">
        <v>1167</v>
      </c>
      <c r="CT163" t="s">
        <v>8960</v>
      </c>
      <c r="CU163" t="s">
        <v>8971</v>
      </c>
      <c r="CV163" t="s">
        <v>6031</v>
      </c>
      <c r="CW163" t="s">
        <v>6652</v>
      </c>
      <c r="CX163" t="s">
        <v>3246</v>
      </c>
      <c r="CY163">
        <v>1.0500000000000114</v>
      </c>
      <c r="CZ163">
        <v>113986.85454545578</v>
      </c>
      <c r="DA163">
        <v>7463425</v>
      </c>
      <c r="DB163" t="s">
        <v>37</v>
      </c>
      <c r="DC163" t="b">
        <v>1</v>
      </c>
      <c r="DD163">
        <v>7463425</v>
      </c>
      <c r="DE163">
        <v>0</v>
      </c>
      <c r="DF163" t="b">
        <v>1</v>
      </c>
      <c r="DG163" s="420" cm="1">
        <f t="array" ref="DG163">_xlfn.XLOOKUP("Дом 4"&amp;Реестр_Д4[[#This Row],[№]]&amp;Реестр_Д4[[#This Row],[Статус]],РД[Дом]&amp;РД[№ кв]&amp;РД[Состояние],РД[Дата подачи на регистрацию],"-",0)</f>
        <v>45471</v>
      </c>
    </row>
    <row r="164" spans="1:111" x14ac:dyDescent="0.25">
      <c r="A164">
        <v>163</v>
      </c>
      <c r="B164" t="s">
        <v>5</v>
      </c>
      <c r="C164">
        <v>7</v>
      </c>
      <c r="D164" t="s">
        <v>44</v>
      </c>
      <c r="E164">
        <v>1</v>
      </c>
      <c r="F164">
        <v>13.45</v>
      </c>
      <c r="I164">
        <v>13.45</v>
      </c>
      <c r="J164">
        <v>11.31</v>
      </c>
      <c r="K164">
        <v>3.69</v>
      </c>
      <c r="N164">
        <v>5.63</v>
      </c>
      <c r="O164">
        <v>2.59</v>
      </c>
      <c r="Q164">
        <v>2.59</v>
      </c>
      <c r="R164">
        <v>36.67</v>
      </c>
      <c r="S164">
        <v>34.08</v>
      </c>
      <c r="T164">
        <v>35.380000000000003</v>
      </c>
      <c r="U164">
        <v>36.9</v>
      </c>
      <c r="V164">
        <v>72100</v>
      </c>
      <c r="W164">
        <v>3605</v>
      </c>
      <c r="X164">
        <v>75705</v>
      </c>
      <c r="Y164">
        <v>3028.2000000000003</v>
      </c>
      <c r="Z164">
        <v>78733.2</v>
      </c>
      <c r="AA164">
        <v>3936.66</v>
      </c>
      <c r="AB164">
        <v>82669.86</v>
      </c>
      <c r="AC164">
        <v>10.16839278</v>
      </c>
      <c r="AD164">
        <v>82680.028392780005</v>
      </c>
      <c r="AE164">
        <v>4134.0014196390002</v>
      </c>
      <c r="AF164">
        <v>86814.029812419001</v>
      </c>
      <c r="AH164">
        <v>86814.029812419001</v>
      </c>
      <c r="AI164">
        <v>2604.4208943725698</v>
      </c>
      <c r="AJ164">
        <v>89418.450706791569</v>
      </c>
      <c r="AK164">
        <v>894.18450706791566</v>
      </c>
      <c r="AL164">
        <v>90312.635213859481</v>
      </c>
      <c r="AN164">
        <v>90312.635213859481</v>
      </c>
      <c r="AP164">
        <v>90312.635213859481</v>
      </c>
      <c r="AR164">
        <v>90312.635213859481</v>
      </c>
      <c r="AT164">
        <v>90312.635213859481</v>
      </c>
      <c r="AV164">
        <v>90312.635213859481</v>
      </c>
      <c r="AX164">
        <v>90312.635213859481</v>
      </c>
      <c r="AZ164">
        <v>90312.635213859481</v>
      </c>
      <c r="BB164">
        <v>90312.635213859481</v>
      </c>
      <c r="BD164">
        <v>90312.635213859481</v>
      </c>
      <c r="BF164">
        <v>90312.635213859481</v>
      </c>
      <c r="BH164">
        <v>90312.635213859481</v>
      </c>
      <c r="BJ164">
        <v>90312.635213859481</v>
      </c>
      <c r="BL164">
        <v>90312.635213859481</v>
      </c>
      <c r="BN164">
        <v>90312.635213859481</v>
      </c>
      <c r="BP164">
        <v>90312.635213859481</v>
      </c>
      <c r="BR164">
        <v>90312.635213859481</v>
      </c>
      <c r="BT164">
        <v>90312.635213859481</v>
      </c>
      <c r="BV164">
        <v>90312.635213859481</v>
      </c>
      <c r="BX164">
        <v>90312.635213859481</v>
      </c>
      <c r="BY164">
        <v>90312.639999999999</v>
      </c>
      <c r="BZ164">
        <v>3195261.2</v>
      </c>
      <c r="CC164">
        <v>0</v>
      </c>
      <c r="CD164">
        <v>90312.639909553414</v>
      </c>
      <c r="CE164">
        <v>3195261.2</v>
      </c>
      <c r="CF164" t="s">
        <v>37</v>
      </c>
      <c r="CG164">
        <v>4000</v>
      </c>
      <c r="CH164">
        <v>94312.639909553414</v>
      </c>
      <c r="CI164">
        <v>141520</v>
      </c>
      <c r="CJ164">
        <v>3336781.2</v>
      </c>
      <c r="CN164">
        <v>0</v>
      </c>
      <c r="CO164" t="s">
        <v>39</v>
      </c>
      <c r="CP164" t="s">
        <v>39</v>
      </c>
      <c r="CQ164" t="b">
        <v>1</v>
      </c>
      <c r="CR164" t="s">
        <v>8950</v>
      </c>
      <c r="CS164" t="s">
        <v>1167</v>
      </c>
      <c r="CT164" t="s">
        <v>8960</v>
      </c>
      <c r="CU164" t="s">
        <v>8973</v>
      </c>
      <c r="CV164" t="s">
        <v>6032</v>
      </c>
      <c r="CW164" t="s">
        <v>4895</v>
      </c>
      <c r="CX164" t="s">
        <v>3246</v>
      </c>
      <c r="CY164">
        <v>1.519999999999996</v>
      </c>
      <c r="CZ164">
        <v>143355.21266252082</v>
      </c>
      <c r="DA164">
        <v>3336781.2</v>
      </c>
      <c r="DB164" t="s">
        <v>37</v>
      </c>
      <c r="DC164" t="b">
        <v>1</v>
      </c>
      <c r="DD164">
        <v>3336781.2</v>
      </c>
      <c r="DE164">
        <v>0</v>
      </c>
      <c r="DF164" t="b">
        <v>1</v>
      </c>
      <c r="DG164" s="420" cm="1">
        <f t="array" ref="DG164">_xlfn.XLOOKUP("Дом 4"&amp;Реестр_Д4[[#This Row],[№]]&amp;Реестр_Д4[[#This Row],[Статус]],РД[Дом]&amp;РД[№ кв]&amp;РД[Состояние],РД[Дата подачи на регистрацию],"-",0)</f>
        <v>45022</v>
      </c>
    </row>
    <row r="165" spans="1:111" x14ac:dyDescent="0.25">
      <c r="A165">
        <v>164</v>
      </c>
      <c r="B165" t="s">
        <v>5</v>
      </c>
      <c r="C165">
        <v>7</v>
      </c>
      <c r="D165" t="s">
        <v>45</v>
      </c>
      <c r="E165">
        <v>1</v>
      </c>
      <c r="F165">
        <v>13.45</v>
      </c>
      <c r="I165">
        <v>13.45</v>
      </c>
      <c r="J165">
        <v>12.54</v>
      </c>
      <c r="K165">
        <v>3.69</v>
      </c>
      <c r="N165">
        <v>6.62</v>
      </c>
      <c r="O165">
        <v>3.01</v>
      </c>
      <c r="Q165">
        <v>3.01</v>
      </c>
      <c r="R165">
        <v>39.31</v>
      </c>
      <c r="S165">
        <v>36.299999999999997</v>
      </c>
      <c r="T165">
        <v>37.81</v>
      </c>
      <c r="U165">
        <v>39.200000000000003</v>
      </c>
      <c r="V165">
        <v>72800</v>
      </c>
      <c r="W165">
        <v>3640</v>
      </c>
      <c r="X165">
        <v>76440</v>
      </c>
      <c r="Y165">
        <v>3057.6</v>
      </c>
      <c r="Z165">
        <v>79497.600000000006</v>
      </c>
      <c r="AA165">
        <v>3974.880000000001</v>
      </c>
      <c r="AB165">
        <v>83472.48000000001</v>
      </c>
      <c r="AC165">
        <v>10.267115040000002</v>
      </c>
      <c r="AD165">
        <v>83482.747115040009</v>
      </c>
      <c r="AE165">
        <v>4174.137355752001</v>
      </c>
      <c r="AF165">
        <v>87656.884470792007</v>
      </c>
      <c r="AH165">
        <v>87656.884470792007</v>
      </c>
      <c r="AI165">
        <v>2629.7065341237603</v>
      </c>
      <c r="AJ165">
        <v>90286.591004915783</v>
      </c>
      <c r="AK165">
        <v>902.86591004915772</v>
      </c>
      <c r="AL165">
        <v>91189.456914964932</v>
      </c>
      <c r="AM165">
        <v>1823.7891382992989</v>
      </c>
      <c r="AN165">
        <v>93013.246053264229</v>
      </c>
      <c r="AO165">
        <v>1860.2649210652849</v>
      </c>
      <c r="AP165">
        <v>94873.510974329518</v>
      </c>
      <c r="AQ165">
        <v>2846.2053292298856</v>
      </c>
      <c r="AR165">
        <v>97719.716303559399</v>
      </c>
      <c r="AT165">
        <v>97719.716303559399</v>
      </c>
      <c r="AU165">
        <v>2931.5914891067819</v>
      </c>
      <c r="AV165">
        <v>100651.30779266618</v>
      </c>
      <c r="AW165">
        <v>6039.0784675599707</v>
      </c>
      <c r="AX165">
        <v>106690.38626022617</v>
      </c>
      <c r="AZ165">
        <v>106690.38626022617</v>
      </c>
      <c r="BB165">
        <v>106690.38626022617</v>
      </c>
      <c r="BD165">
        <v>106690.38626022617</v>
      </c>
      <c r="BE165">
        <v>1745</v>
      </c>
      <c r="BF165">
        <v>108435.38626022617</v>
      </c>
      <c r="BH165">
        <v>108435.38626022617</v>
      </c>
      <c r="BI165">
        <v>5421.7693130113075</v>
      </c>
      <c r="BJ165">
        <v>113857.15557323744</v>
      </c>
      <c r="BL165">
        <v>113857.15557323744</v>
      </c>
      <c r="BN165">
        <v>113857.15557323744</v>
      </c>
      <c r="BP165">
        <v>113857.15557323744</v>
      </c>
      <c r="BR165">
        <v>113857.15557323744</v>
      </c>
      <c r="BT165">
        <v>113857.15557323744</v>
      </c>
      <c r="BV165">
        <v>113857.15557323744</v>
      </c>
      <c r="BX165">
        <v>113857.15557323744</v>
      </c>
      <c r="BY165">
        <v>113857.16</v>
      </c>
      <c r="BZ165">
        <v>4304939.22</v>
      </c>
      <c r="CC165">
        <v>0</v>
      </c>
      <c r="CD165">
        <v>113857.1600105792</v>
      </c>
      <c r="CE165">
        <v>4304939.22</v>
      </c>
      <c r="CF165" t="s">
        <v>36</v>
      </c>
      <c r="CH165">
        <v>113857.1600105792</v>
      </c>
      <c r="CI165">
        <v>0</v>
      </c>
      <c r="CJ165">
        <v>4304939.22</v>
      </c>
      <c r="CN165">
        <v>0</v>
      </c>
      <c r="CO165" t="s">
        <v>39</v>
      </c>
      <c r="CP165" t="s">
        <v>39</v>
      </c>
      <c r="CQ165" t="b">
        <v>1</v>
      </c>
      <c r="CR165" t="s">
        <v>8950</v>
      </c>
      <c r="CS165" t="s">
        <v>1167</v>
      </c>
      <c r="CT165" t="s">
        <v>8960</v>
      </c>
      <c r="CU165" t="s">
        <v>8973</v>
      </c>
      <c r="CV165" t="s">
        <v>6033</v>
      </c>
      <c r="CW165" t="s">
        <v>4895</v>
      </c>
      <c r="CX165" t="s">
        <v>3246</v>
      </c>
      <c r="CY165">
        <v>1.3900000000000006</v>
      </c>
      <c r="CZ165">
        <v>158261.45241470516</v>
      </c>
      <c r="DA165">
        <v>4304939.22</v>
      </c>
      <c r="DB165" t="s">
        <v>36</v>
      </c>
      <c r="DC165" t="b">
        <v>1</v>
      </c>
      <c r="DD165">
        <v>4304939.22</v>
      </c>
      <c r="DE165">
        <v>0</v>
      </c>
      <c r="DF165" t="b">
        <v>1</v>
      </c>
      <c r="DG165" s="420" cm="1">
        <f t="array" ref="DG165">_xlfn.XLOOKUP("Дом 4"&amp;Реестр_Д4[[#This Row],[№]]&amp;Реестр_Д4[[#This Row],[Статус]],РД[Дом]&amp;РД[№ кв]&amp;РД[Состояние],РД[Дата подачи на регистрацию],"-",0)</f>
        <v>45320</v>
      </c>
    </row>
    <row r="166" spans="1:111" x14ac:dyDescent="0.25">
      <c r="A166">
        <v>165</v>
      </c>
      <c r="B166" t="s">
        <v>5</v>
      </c>
      <c r="C166">
        <v>7</v>
      </c>
      <c r="D166" t="s">
        <v>3351</v>
      </c>
      <c r="E166">
        <v>1</v>
      </c>
      <c r="F166">
        <v>12.11</v>
      </c>
      <c r="I166">
        <v>12.11</v>
      </c>
      <c r="J166">
        <v>12.27</v>
      </c>
      <c r="K166">
        <v>3.84</v>
      </c>
      <c r="N166">
        <v>7.06</v>
      </c>
      <c r="O166">
        <v>2.84</v>
      </c>
      <c r="Q166">
        <v>2.84</v>
      </c>
      <c r="R166">
        <v>38.119999999999997</v>
      </c>
      <c r="S166">
        <v>35.28</v>
      </c>
      <c r="T166">
        <v>36.700000000000003</v>
      </c>
      <c r="U166">
        <v>37.9</v>
      </c>
      <c r="V166">
        <v>72800</v>
      </c>
      <c r="W166">
        <v>3640</v>
      </c>
      <c r="X166">
        <v>76440</v>
      </c>
      <c r="Y166">
        <v>3057.6</v>
      </c>
      <c r="Z166">
        <v>79497.600000000006</v>
      </c>
      <c r="AA166">
        <v>3974.880000000001</v>
      </c>
      <c r="AB166">
        <v>83472.48000000001</v>
      </c>
      <c r="AC166">
        <v>10.267115040000002</v>
      </c>
      <c r="AD166">
        <v>83482.747115040009</v>
      </c>
      <c r="AE166">
        <v>4174.137355752001</v>
      </c>
      <c r="AF166">
        <v>87656.884470792007</v>
      </c>
      <c r="AH166">
        <v>87656.884470792007</v>
      </c>
      <c r="AI166">
        <v>2629.7065341237603</v>
      </c>
      <c r="AJ166">
        <v>90286.591004915783</v>
      </c>
      <c r="AK166">
        <v>902.86591004915772</v>
      </c>
      <c r="AL166">
        <v>91189.456914964932</v>
      </c>
      <c r="AN166">
        <v>91189.456914964932</v>
      </c>
      <c r="AP166">
        <v>91189.456914964932</v>
      </c>
      <c r="AR166">
        <v>91189.456914964932</v>
      </c>
      <c r="AT166">
        <v>91189.456914964932</v>
      </c>
      <c r="AV166">
        <v>91189.456914964932</v>
      </c>
      <c r="AX166">
        <v>91189.456914964932</v>
      </c>
      <c r="AZ166">
        <v>91189.456914964932</v>
      </c>
      <c r="BB166">
        <v>91189.456914964932</v>
      </c>
      <c r="BD166">
        <v>91189.456914964932</v>
      </c>
      <c r="BF166">
        <v>91189.456914964932</v>
      </c>
      <c r="BH166">
        <v>91189.456914964932</v>
      </c>
      <c r="BJ166">
        <v>91189.456914964932</v>
      </c>
      <c r="BL166">
        <v>91189.456914964932</v>
      </c>
      <c r="BN166">
        <v>91189.456914964932</v>
      </c>
      <c r="BP166">
        <v>91189.456914964932</v>
      </c>
      <c r="BR166">
        <v>91189.456914964932</v>
      </c>
      <c r="BT166">
        <v>91189.456914964932</v>
      </c>
      <c r="BV166">
        <v>91189.456914964932</v>
      </c>
      <c r="BX166">
        <v>91189.456914964932</v>
      </c>
      <c r="BY166">
        <v>91189.46</v>
      </c>
      <c r="BZ166">
        <v>3346653.18</v>
      </c>
      <c r="CB166">
        <v>0.06</v>
      </c>
      <c r="CC166">
        <v>200799.19080000001</v>
      </c>
      <c r="CD166">
        <v>85718.092370572209</v>
      </c>
      <c r="CE166">
        <v>3145853.99</v>
      </c>
      <c r="CF166" t="s">
        <v>38</v>
      </c>
      <c r="CG166">
        <v>15000</v>
      </c>
      <c r="CH166">
        <v>100718.09237057219</v>
      </c>
      <c r="CI166">
        <v>550500</v>
      </c>
      <c r="CJ166">
        <v>3696353.99</v>
      </c>
      <c r="CL166" t="s">
        <v>978</v>
      </c>
      <c r="CN166">
        <v>0</v>
      </c>
      <c r="CO166" t="s">
        <v>39</v>
      </c>
      <c r="CP166" t="s">
        <v>39</v>
      </c>
      <c r="CQ166" t="b">
        <v>1</v>
      </c>
      <c r="CR166" t="s">
        <v>8950</v>
      </c>
      <c r="CS166" t="s">
        <v>1167</v>
      </c>
      <c r="CT166" t="s">
        <v>8960</v>
      </c>
      <c r="CU166" t="s">
        <v>8973</v>
      </c>
      <c r="CV166" t="s">
        <v>6034</v>
      </c>
      <c r="CW166" t="s">
        <v>4895</v>
      </c>
      <c r="CX166" t="s">
        <v>3246</v>
      </c>
      <c r="CY166">
        <v>1.1999999999999955</v>
      </c>
      <c r="CZ166">
        <v>120861.71084468624</v>
      </c>
      <c r="DA166">
        <v>3696353.99</v>
      </c>
      <c r="DB166" t="s">
        <v>38</v>
      </c>
      <c r="DC166" t="b">
        <v>1</v>
      </c>
      <c r="DD166">
        <v>3696353.99</v>
      </c>
      <c r="DE166">
        <v>0</v>
      </c>
      <c r="DF166" t="b">
        <v>1</v>
      </c>
      <c r="DG166" s="420" cm="1">
        <f t="array" ref="DG166">_xlfn.XLOOKUP("Дом 4"&amp;Реестр_Д4[[#This Row],[№]]&amp;Реестр_Д4[[#This Row],[Статус]],РД[Дом]&amp;РД[№ кв]&amp;РД[Состояние],РД[Дата подачи на регистрацию],"-",0)</f>
        <v>45033</v>
      </c>
    </row>
    <row r="167" spans="1:111" x14ac:dyDescent="0.25">
      <c r="A167">
        <v>166</v>
      </c>
      <c r="B167" t="s">
        <v>5</v>
      </c>
      <c r="C167">
        <v>7</v>
      </c>
      <c r="D167" t="s">
        <v>3352</v>
      </c>
      <c r="E167">
        <v>1</v>
      </c>
      <c r="F167">
        <v>11.74</v>
      </c>
      <c r="I167">
        <v>11.74</v>
      </c>
      <c r="J167">
        <v>12.47</v>
      </c>
      <c r="K167">
        <v>3.71</v>
      </c>
      <c r="N167">
        <v>7.29</v>
      </c>
      <c r="O167">
        <v>2.89</v>
      </c>
      <c r="Q167">
        <v>2.89</v>
      </c>
      <c r="R167">
        <v>38.1</v>
      </c>
      <c r="S167">
        <v>35.21</v>
      </c>
      <c r="T167">
        <v>36.659999999999997</v>
      </c>
      <c r="U167">
        <v>37.799999999999997</v>
      </c>
      <c r="V167">
        <v>72800</v>
      </c>
      <c r="W167">
        <v>3640</v>
      </c>
      <c r="X167">
        <v>76440</v>
      </c>
      <c r="Y167">
        <v>3057.6</v>
      </c>
      <c r="Z167">
        <v>79497.600000000006</v>
      </c>
      <c r="AA167">
        <v>3974.880000000001</v>
      </c>
      <c r="AB167">
        <v>83472.48000000001</v>
      </c>
      <c r="AC167">
        <v>10.267115040000002</v>
      </c>
      <c r="AD167">
        <v>83482.747115040009</v>
      </c>
      <c r="AE167">
        <v>4174.137355752001</v>
      </c>
      <c r="AF167">
        <v>87656.884470792007</v>
      </c>
      <c r="AH167">
        <v>87656.884470792007</v>
      </c>
      <c r="AI167">
        <v>2629.7065341237603</v>
      </c>
      <c r="AJ167">
        <v>90286.591004915783</v>
      </c>
      <c r="AK167">
        <v>902.86591004915772</v>
      </c>
      <c r="AL167">
        <v>91189.456914964932</v>
      </c>
      <c r="AM167">
        <v>1823.7891382992989</v>
      </c>
      <c r="AN167">
        <v>93013.246053264229</v>
      </c>
      <c r="AO167">
        <v>1860.2649210652849</v>
      </c>
      <c r="AP167">
        <v>94873.510974329518</v>
      </c>
      <c r="AQ167">
        <v>2846.2053292298856</v>
      </c>
      <c r="AR167">
        <v>97719.716303559399</v>
      </c>
      <c r="AT167">
        <v>97719.716303559399</v>
      </c>
      <c r="AV167">
        <v>97719.716303559399</v>
      </c>
      <c r="AX167">
        <v>97719.716303559399</v>
      </c>
      <c r="AZ167">
        <v>97719.716303559399</v>
      </c>
      <c r="BB167">
        <v>97719.716303559399</v>
      </c>
      <c r="BD167">
        <v>97719.716303559399</v>
      </c>
      <c r="BF167">
        <v>97719.716303559399</v>
      </c>
      <c r="BH167">
        <v>97719.716303559399</v>
      </c>
      <c r="BJ167">
        <v>97719.716303559399</v>
      </c>
      <c r="BL167">
        <v>97719.716303559399</v>
      </c>
      <c r="BN167">
        <v>97719.716303559399</v>
      </c>
      <c r="BP167">
        <v>97719.716303559399</v>
      </c>
      <c r="BR167">
        <v>97719.716303559399</v>
      </c>
      <c r="BT167">
        <v>97719.716303559399</v>
      </c>
      <c r="BV167">
        <v>97719.716303559399</v>
      </c>
      <c r="BX167">
        <v>97719.716303559399</v>
      </c>
      <c r="BY167">
        <v>97719.72</v>
      </c>
      <c r="BZ167">
        <v>3582404.94</v>
      </c>
      <c r="CC167">
        <v>0</v>
      </c>
      <c r="CD167">
        <v>97719.720130932925</v>
      </c>
      <c r="CE167">
        <v>3582404.94</v>
      </c>
      <c r="CF167" t="s">
        <v>37</v>
      </c>
      <c r="CG167">
        <v>4500</v>
      </c>
      <c r="CH167">
        <v>102219.72013093292</v>
      </c>
      <c r="CI167">
        <v>164970</v>
      </c>
      <c r="CJ167">
        <v>3747374.94</v>
      </c>
      <c r="CN167">
        <v>0</v>
      </c>
      <c r="CO167" t="s">
        <v>39</v>
      </c>
      <c r="CP167" t="s">
        <v>39</v>
      </c>
      <c r="CQ167" t="b">
        <v>1</v>
      </c>
      <c r="CR167" t="s">
        <v>8950</v>
      </c>
      <c r="CS167" t="s">
        <v>1167</v>
      </c>
      <c r="CT167" t="s">
        <v>8960</v>
      </c>
      <c r="CU167" t="s">
        <v>8973</v>
      </c>
      <c r="CV167" t="s">
        <v>6035</v>
      </c>
      <c r="CW167" t="s">
        <v>4895</v>
      </c>
      <c r="CX167" t="s">
        <v>3246</v>
      </c>
      <c r="CY167">
        <v>1.1400000000000006</v>
      </c>
      <c r="CZ167">
        <v>116530.48094926355</v>
      </c>
      <c r="DA167">
        <v>3747374.94</v>
      </c>
      <c r="DB167" t="s">
        <v>37</v>
      </c>
      <c r="DC167" t="b">
        <v>1</v>
      </c>
      <c r="DD167">
        <v>3747374.94</v>
      </c>
      <c r="DE167">
        <v>0</v>
      </c>
      <c r="DF167" t="b">
        <v>1</v>
      </c>
      <c r="DG167" s="420" cm="1">
        <f t="array" ref="DG167">_xlfn.XLOOKUP("Дом 4"&amp;Реестр_Д4[[#This Row],[№]]&amp;Реестр_Д4[[#This Row],[Статус]],РД[Дом]&amp;РД[№ кв]&amp;РД[Состояние],РД[Дата подачи на регистрацию],"-",0)</f>
        <v>45194</v>
      </c>
    </row>
    <row r="168" spans="1:111" x14ac:dyDescent="0.25">
      <c r="A168">
        <v>167</v>
      </c>
      <c r="B168" t="s">
        <v>5</v>
      </c>
      <c r="C168">
        <v>7</v>
      </c>
      <c r="D168" t="s">
        <v>3353</v>
      </c>
      <c r="E168">
        <v>3</v>
      </c>
      <c r="F168">
        <v>14.79</v>
      </c>
      <c r="G168">
        <v>14.24</v>
      </c>
      <c r="H168">
        <v>13.63</v>
      </c>
      <c r="I168">
        <v>42.66</v>
      </c>
      <c r="J168">
        <v>13.29</v>
      </c>
      <c r="K168">
        <v>4.72</v>
      </c>
      <c r="L168">
        <v>1.66</v>
      </c>
      <c r="M168">
        <v>2.19</v>
      </c>
      <c r="N168">
        <v>11.45</v>
      </c>
      <c r="O168">
        <v>2.73</v>
      </c>
      <c r="P168">
        <v>2.78</v>
      </c>
      <c r="Q168">
        <v>5.51</v>
      </c>
      <c r="R168">
        <v>81.48</v>
      </c>
      <c r="S168">
        <v>75.97</v>
      </c>
      <c r="T168">
        <v>78.73</v>
      </c>
      <c r="U168">
        <v>80.7</v>
      </c>
      <c r="V168">
        <v>68992.000000000015</v>
      </c>
      <c r="W168">
        <v>3449.6000000000008</v>
      </c>
      <c r="X168">
        <v>72441.60000000002</v>
      </c>
      <c r="Z168">
        <v>72441.60000000002</v>
      </c>
      <c r="AB168">
        <v>72441.60000000002</v>
      </c>
      <c r="AC168">
        <v>8.9103168000000039</v>
      </c>
      <c r="AD168">
        <v>72450.510316800021</v>
      </c>
      <c r="AF168">
        <v>72450.510316800021</v>
      </c>
      <c r="AH168">
        <v>72450.510316800021</v>
      </c>
      <c r="AJ168">
        <v>72450.510316800021</v>
      </c>
      <c r="AL168">
        <v>72450.510316800021</v>
      </c>
      <c r="AN168">
        <v>72450.510316800021</v>
      </c>
      <c r="AP168">
        <v>72450.510316800021</v>
      </c>
      <c r="AR168">
        <v>72450.510316800021</v>
      </c>
      <c r="AT168">
        <v>72450.510316800021</v>
      </c>
      <c r="AV168">
        <v>72450.510316800021</v>
      </c>
      <c r="AX168">
        <v>72450.510316800021</v>
      </c>
      <c r="AZ168">
        <v>72450.510316800021</v>
      </c>
      <c r="BB168">
        <v>72450.510316800021</v>
      </c>
      <c r="BD168">
        <v>72450.510316800021</v>
      </c>
      <c r="BF168">
        <v>72450.510316800021</v>
      </c>
      <c r="BH168">
        <v>72450.510316800021</v>
      </c>
      <c r="BJ168">
        <v>72450.510316800021</v>
      </c>
      <c r="BL168">
        <v>72450.510316800021</v>
      </c>
      <c r="BN168">
        <v>72450.510316800021</v>
      </c>
      <c r="BP168">
        <v>72450.510316800021</v>
      </c>
      <c r="BR168">
        <v>72450.510316800021</v>
      </c>
      <c r="BT168">
        <v>72450.510316800021</v>
      </c>
      <c r="BV168">
        <v>72450.510316800021</v>
      </c>
      <c r="BX168">
        <v>72450.510316800021</v>
      </c>
      <c r="BY168">
        <v>72450.509999999995</v>
      </c>
      <c r="BZ168">
        <v>5704028.6500000004</v>
      </c>
      <c r="CC168">
        <v>0</v>
      </c>
      <c r="CD168">
        <v>72450.509970786239</v>
      </c>
      <c r="CE168">
        <v>5704028.6500000004</v>
      </c>
      <c r="CF168" t="s">
        <v>37</v>
      </c>
      <c r="CG168">
        <v>4000</v>
      </c>
      <c r="CH168">
        <v>76450.509970786239</v>
      </c>
      <c r="CI168">
        <v>314920</v>
      </c>
      <c r="CJ168">
        <v>6018948.6500000004</v>
      </c>
      <c r="CN168">
        <v>0</v>
      </c>
      <c r="CO168" t="s">
        <v>39</v>
      </c>
      <c r="CP168" t="s">
        <v>39</v>
      </c>
      <c r="CQ168" t="b">
        <v>1</v>
      </c>
      <c r="CR168" t="s">
        <v>8950</v>
      </c>
      <c r="CS168" t="s">
        <v>1167</v>
      </c>
      <c r="CT168" t="s">
        <v>8960</v>
      </c>
      <c r="CU168" t="s">
        <v>8975</v>
      </c>
      <c r="CV168" t="s">
        <v>6036</v>
      </c>
      <c r="CW168" t="s">
        <v>4895</v>
      </c>
      <c r="CX168" t="s">
        <v>3246</v>
      </c>
      <c r="CY168">
        <v>1.9699999999999989</v>
      </c>
      <c r="CZ168">
        <v>150607.5046424488</v>
      </c>
      <c r="DA168">
        <v>6018948.6500000004</v>
      </c>
      <c r="DB168" t="s">
        <v>37</v>
      </c>
      <c r="DC168" t="b">
        <v>1</v>
      </c>
      <c r="DD168">
        <v>6018948.6500000004</v>
      </c>
      <c r="DE168">
        <v>0</v>
      </c>
      <c r="DF168" t="b">
        <v>1</v>
      </c>
      <c r="DG168" s="420" cm="1">
        <f t="array" ref="DG168">_xlfn.XLOOKUP("Дом 4"&amp;Реестр_Д4[[#This Row],[№]]&amp;Реестр_Д4[[#This Row],[Статус]],РД[Дом]&amp;РД[№ кв]&amp;РД[Состояние],РД[Дата подачи на регистрацию],"-",0)</f>
        <v>44984</v>
      </c>
    </row>
    <row r="169" spans="1:111" x14ac:dyDescent="0.25">
      <c r="A169">
        <v>168</v>
      </c>
      <c r="B169" t="s">
        <v>5</v>
      </c>
      <c r="C169">
        <v>7</v>
      </c>
      <c r="D169" t="s">
        <v>3354</v>
      </c>
      <c r="E169">
        <v>1</v>
      </c>
      <c r="F169">
        <v>14.13</v>
      </c>
      <c r="I169">
        <v>14.13</v>
      </c>
      <c r="J169">
        <v>9.2100000000000009</v>
      </c>
      <c r="K169">
        <v>3.66</v>
      </c>
      <c r="N169">
        <v>5.55</v>
      </c>
      <c r="O169">
        <v>2.48</v>
      </c>
      <c r="Q169">
        <v>2.48</v>
      </c>
      <c r="R169">
        <v>35.03</v>
      </c>
      <c r="S169">
        <v>32.550000000000004</v>
      </c>
      <c r="T169">
        <v>33.79</v>
      </c>
      <c r="U169">
        <v>34.799999999999997</v>
      </c>
      <c r="V169">
        <v>70700</v>
      </c>
      <c r="W169">
        <v>3535</v>
      </c>
      <c r="X169">
        <v>74235</v>
      </c>
      <c r="Y169">
        <v>2969.4</v>
      </c>
      <c r="Z169">
        <v>77204.399999999994</v>
      </c>
      <c r="AB169">
        <v>77204.399999999994</v>
      </c>
      <c r="AD169">
        <v>77204.399999999994</v>
      </c>
      <c r="AF169">
        <v>77204.399999999994</v>
      </c>
      <c r="AH169">
        <v>77204.399999999994</v>
      </c>
      <c r="AJ169">
        <v>77204.399999999994</v>
      </c>
      <c r="AL169">
        <v>77204.399999999994</v>
      </c>
      <c r="AN169">
        <v>77204.399999999994</v>
      </c>
      <c r="AP169">
        <v>77204.399999999994</v>
      </c>
      <c r="AR169">
        <v>77204.399999999994</v>
      </c>
      <c r="AT169">
        <v>77204.399999999994</v>
      </c>
      <c r="AV169">
        <v>77204.399999999994</v>
      </c>
      <c r="AX169">
        <v>77204.399999999994</v>
      </c>
      <c r="AZ169">
        <v>77204.399999999994</v>
      </c>
      <c r="BB169">
        <v>77204.399999999994</v>
      </c>
      <c r="BD169">
        <v>77204.399999999994</v>
      </c>
      <c r="BF169">
        <v>77204.399999999994</v>
      </c>
      <c r="BH169">
        <v>77204.399999999994</v>
      </c>
      <c r="BJ169">
        <v>77204.399999999994</v>
      </c>
      <c r="BL169">
        <v>77204.399999999994</v>
      </c>
      <c r="BN169">
        <v>77204.399999999994</v>
      </c>
      <c r="BP169">
        <v>77204.399999999994</v>
      </c>
      <c r="BR169">
        <v>77204.399999999994</v>
      </c>
      <c r="BT169">
        <v>77204.399999999994</v>
      </c>
      <c r="BV169">
        <v>77204.399999999994</v>
      </c>
      <c r="BX169">
        <v>77204.399999999994</v>
      </c>
      <c r="BY169">
        <v>77204.399999999994</v>
      </c>
      <c r="BZ169">
        <v>2608736.6800000002</v>
      </c>
      <c r="CB169">
        <v>0.03</v>
      </c>
      <c r="CC169">
        <v>78262.100399999996</v>
      </c>
      <c r="CD169">
        <v>74888.269902337983</v>
      </c>
      <c r="CE169">
        <v>2530474.64</v>
      </c>
      <c r="CF169" t="s">
        <v>38</v>
      </c>
      <c r="CG169">
        <v>22000</v>
      </c>
      <c r="CH169">
        <v>96888.269902337983</v>
      </c>
      <c r="CI169">
        <v>743380</v>
      </c>
      <c r="CJ169">
        <v>3273854.64</v>
      </c>
      <c r="CK169" t="s">
        <v>57</v>
      </c>
      <c r="CL169" t="s">
        <v>3540</v>
      </c>
      <c r="CN169">
        <v>0</v>
      </c>
      <c r="CO169" t="s">
        <v>39</v>
      </c>
      <c r="CP169" t="s">
        <v>39</v>
      </c>
      <c r="CQ169" t="b">
        <v>1</v>
      </c>
      <c r="CR169" t="s">
        <v>8950</v>
      </c>
      <c r="CS169" t="s">
        <v>1167</v>
      </c>
      <c r="CT169" t="s">
        <v>8960</v>
      </c>
      <c r="CU169" t="s">
        <v>8973</v>
      </c>
      <c r="CV169" t="s">
        <v>6037</v>
      </c>
      <c r="CW169" t="s">
        <v>4895</v>
      </c>
      <c r="CX169" t="s">
        <v>3246</v>
      </c>
      <c r="CY169">
        <v>1.009999999999998</v>
      </c>
      <c r="CZ169">
        <v>97857.152601361173</v>
      </c>
      <c r="DA169">
        <v>3273854.64</v>
      </c>
      <c r="DB169" t="s">
        <v>38</v>
      </c>
      <c r="DC169" t="b">
        <v>1</v>
      </c>
      <c r="DD169">
        <v>3273854.64</v>
      </c>
      <c r="DE169">
        <v>0</v>
      </c>
      <c r="DF169" t="b">
        <v>1</v>
      </c>
      <c r="DG169" s="420" cm="1">
        <f t="array" ref="DG169">_xlfn.XLOOKUP("Дом 4"&amp;Реестр_Д4[[#This Row],[№]]&amp;Реестр_Д4[[#This Row],[Статус]],РД[Дом]&amp;РД[№ кв]&amp;РД[Состояние],РД[Дата подачи на регистрацию],"-",0)</f>
        <v>44879</v>
      </c>
    </row>
    <row r="170" spans="1:111" x14ac:dyDescent="0.25">
      <c r="A170">
        <v>169</v>
      </c>
      <c r="B170" t="s">
        <v>5</v>
      </c>
      <c r="C170">
        <v>8</v>
      </c>
      <c r="D170" t="s">
        <v>42</v>
      </c>
      <c r="E170">
        <v>0</v>
      </c>
      <c r="F170">
        <v>13.95</v>
      </c>
      <c r="I170">
        <v>13.95</v>
      </c>
      <c r="J170">
        <v>5.77</v>
      </c>
      <c r="K170">
        <v>3.6</v>
      </c>
      <c r="N170">
        <v>3.59</v>
      </c>
      <c r="O170">
        <v>4.12</v>
      </c>
      <c r="Q170">
        <v>4.12</v>
      </c>
      <c r="R170">
        <v>31.03</v>
      </c>
      <c r="S170">
        <v>26.91</v>
      </c>
      <c r="T170">
        <v>28.97</v>
      </c>
      <c r="U170">
        <v>29.5</v>
      </c>
      <c r="V170">
        <v>75600</v>
      </c>
      <c r="W170">
        <v>3780</v>
      </c>
      <c r="X170">
        <v>79380</v>
      </c>
      <c r="Z170">
        <v>79380</v>
      </c>
      <c r="AB170">
        <v>79380</v>
      </c>
      <c r="AC170">
        <v>9.7637400000000003</v>
      </c>
      <c r="AD170">
        <v>79389.763739999995</v>
      </c>
      <c r="AE170">
        <v>3969.4881869999999</v>
      </c>
      <c r="AF170">
        <v>83359.25192699999</v>
      </c>
      <c r="AH170">
        <v>83359.25192699999</v>
      </c>
      <c r="AJ170">
        <v>83359.25192699999</v>
      </c>
      <c r="AL170">
        <v>83359.25192699999</v>
      </c>
      <c r="AN170">
        <v>83359.25192699999</v>
      </c>
      <c r="AP170">
        <v>83359.25192699999</v>
      </c>
      <c r="AR170">
        <v>83359.25192699999</v>
      </c>
      <c r="AT170">
        <v>83359.25192699999</v>
      </c>
      <c r="AV170">
        <v>83359.25192699999</v>
      </c>
      <c r="AX170">
        <v>83359.25192699999</v>
      </c>
      <c r="AZ170">
        <v>83359.25192699999</v>
      </c>
      <c r="BB170">
        <v>83359.25192699999</v>
      </c>
      <c r="BD170">
        <v>83359.25192699999</v>
      </c>
      <c r="BF170">
        <v>83359.25192699999</v>
      </c>
      <c r="BH170">
        <v>83359.25192699999</v>
      </c>
      <c r="BJ170">
        <v>83359.25192699999</v>
      </c>
      <c r="BL170">
        <v>83359.25192699999</v>
      </c>
      <c r="BN170">
        <v>83359.25192699999</v>
      </c>
      <c r="BP170">
        <v>83359.25192699999</v>
      </c>
      <c r="BR170">
        <v>83359.25192699999</v>
      </c>
      <c r="BT170">
        <v>83359.25192699999</v>
      </c>
      <c r="BV170">
        <v>83359.25192699999</v>
      </c>
      <c r="BX170">
        <v>83359.25192699999</v>
      </c>
      <c r="BY170">
        <v>83359.25</v>
      </c>
      <c r="BZ170">
        <v>2414917.4700000002</v>
      </c>
      <c r="CC170">
        <v>0</v>
      </c>
      <c r="CD170">
        <v>83359.249913703839</v>
      </c>
      <c r="CE170">
        <v>2414917.4700000002</v>
      </c>
      <c r="CF170" t="s">
        <v>36</v>
      </c>
      <c r="CH170">
        <v>83359.249913703839</v>
      </c>
      <c r="CI170">
        <v>0</v>
      </c>
      <c r="CJ170">
        <v>2414917.4700000002</v>
      </c>
      <c r="CN170">
        <v>0</v>
      </c>
      <c r="CO170" t="s">
        <v>39</v>
      </c>
      <c r="CP170" t="s">
        <v>39</v>
      </c>
      <c r="CQ170" t="b">
        <v>1</v>
      </c>
      <c r="CR170" t="s">
        <v>8950</v>
      </c>
      <c r="CS170" t="s">
        <v>1167</v>
      </c>
      <c r="CT170" t="s">
        <v>8960</v>
      </c>
      <c r="CU170" t="s">
        <v>8970</v>
      </c>
      <c r="CV170" t="s">
        <v>6038</v>
      </c>
      <c r="CW170" t="s">
        <v>4895</v>
      </c>
      <c r="CX170" t="s">
        <v>3246</v>
      </c>
      <c r="CY170">
        <v>0.53000000000000114</v>
      </c>
      <c r="CZ170">
        <v>44180.40245426313</v>
      </c>
      <c r="DA170">
        <v>2414917.4700000002</v>
      </c>
      <c r="DB170" t="s">
        <v>36</v>
      </c>
      <c r="DC170" t="b">
        <v>1</v>
      </c>
      <c r="DD170">
        <v>2414917.4700000002</v>
      </c>
      <c r="DE170">
        <v>0</v>
      </c>
      <c r="DF170" t="b">
        <v>1</v>
      </c>
      <c r="DG170" s="420" cm="1">
        <f t="array" ref="DG170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171" spans="1:111" x14ac:dyDescent="0.25">
      <c r="A171">
        <v>170</v>
      </c>
      <c r="B171" t="s">
        <v>5</v>
      </c>
      <c r="C171">
        <v>8</v>
      </c>
      <c r="D171" t="s">
        <v>43</v>
      </c>
      <c r="E171">
        <v>2</v>
      </c>
      <c r="F171">
        <v>17.54</v>
      </c>
      <c r="G171">
        <v>12.04</v>
      </c>
      <c r="I171">
        <v>29.58</v>
      </c>
      <c r="J171">
        <v>17.010000000000002</v>
      </c>
      <c r="K171">
        <v>3.71</v>
      </c>
      <c r="L171">
        <v>2.64</v>
      </c>
      <c r="N171">
        <v>13.06</v>
      </c>
      <c r="O171">
        <v>2.61</v>
      </c>
      <c r="P171">
        <v>2.88</v>
      </c>
      <c r="Q171">
        <v>5.49</v>
      </c>
      <c r="R171">
        <v>71.489999999999995</v>
      </c>
      <c r="S171">
        <v>66</v>
      </c>
      <c r="T171">
        <v>68.75</v>
      </c>
      <c r="U171">
        <v>70.199999999999989</v>
      </c>
      <c r="V171">
        <v>71304.800000000003</v>
      </c>
      <c r="W171">
        <v>3565.24</v>
      </c>
      <c r="X171">
        <v>74870.039999999994</v>
      </c>
      <c r="Z171">
        <v>74870.039999999994</v>
      </c>
      <c r="AA171">
        <v>3743.502</v>
      </c>
      <c r="AB171">
        <v>78613.542000000016</v>
      </c>
      <c r="AC171">
        <v>9.6694656660000025</v>
      </c>
      <c r="AD171">
        <v>78623.211465666012</v>
      </c>
      <c r="AF171">
        <v>78623.211465666012</v>
      </c>
      <c r="AH171">
        <v>78623.211465666012</v>
      </c>
      <c r="AI171">
        <v>1572.4642293133202</v>
      </c>
      <c r="AJ171">
        <v>80195.675694979334</v>
      </c>
      <c r="AK171">
        <v>801.95675694979332</v>
      </c>
      <c r="AL171">
        <v>80997.632451929123</v>
      </c>
      <c r="AM171">
        <v>1619.9526490385824</v>
      </c>
      <c r="AN171">
        <v>82617.585100967699</v>
      </c>
      <c r="AP171">
        <v>82617.585100967699</v>
      </c>
      <c r="AQ171">
        <v>2478.527553029031</v>
      </c>
      <c r="AR171">
        <v>85096.112653996737</v>
      </c>
      <c r="AT171">
        <v>85096.112653996737</v>
      </c>
      <c r="AV171">
        <v>85096.112653996737</v>
      </c>
      <c r="AX171">
        <v>85096.112653996737</v>
      </c>
      <c r="AZ171">
        <v>85096.112653996737</v>
      </c>
      <c r="BB171">
        <v>85096.112653996737</v>
      </c>
      <c r="BD171">
        <v>85096.112653996737</v>
      </c>
      <c r="BF171">
        <v>85096.112653996737</v>
      </c>
      <c r="BH171">
        <v>85096.112653996737</v>
      </c>
      <c r="BJ171">
        <v>85096.112653996737</v>
      </c>
      <c r="BL171">
        <v>85096.112653996737</v>
      </c>
      <c r="BN171">
        <v>85096.112653996737</v>
      </c>
      <c r="BP171">
        <v>85096.112653996737</v>
      </c>
      <c r="BR171">
        <v>85096.112653996737</v>
      </c>
      <c r="BT171">
        <v>85096.112653996737</v>
      </c>
      <c r="BV171">
        <v>85096.112653996737</v>
      </c>
      <c r="BX171">
        <v>85096.112653996737</v>
      </c>
      <c r="BY171">
        <v>85096.11</v>
      </c>
      <c r="BZ171">
        <v>5850357.5599999996</v>
      </c>
      <c r="CA171">
        <v>275000</v>
      </c>
      <c r="CC171">
        <v>275000</v>
      </c>
      <c r="CD171">
        <v>81096.109963636351</v>
      </c>
      <c r="CE171">
        <v>5575357.5599999996</v>
      </c>
      <c r="CF171" t="s">
        <v>37</v>
      </c>
      <c r="CG171">
        <v>4000</v>
      </c>
      <c r="CH171">
        <v>85096.109963636351</v>
      </c>
      <c r="CI171">
        <v>275000</v>
      </c>
      <c r="CJ171">
        <v>5850357.5599999996</v>
      </c>
      <c r="CL171" t="s">
        <v>4837</v>
      </c>
      <c r="CN171">
        <v>0</v>
      </c>
      <c r="CO171" t="s">
        <v>39</v>
      </c>
      <c r="CP171" t="s">
        <v>39</v>
      </c>
      <c r="CQ171" t="b">
        <v>1</v>
      </c>
      <c r="CR171" t="s">
        <v>8950</v>
      </c>
      <c r="CS171" t="s">
        <v>1167</v>
      </c>
      <c r="CT171" t="s">
        <v>8960</v>
      </c>
      <c r="CU171" t="s">
        <v>8971</v>
      </c>
      <c r="CV171" t="s">
        <v>6039</v>
      </c>
      <c r="CW171" t="s">
        <v>4895</v>
      </c>
      <c r="CX171" t="s">
        <v>3246</v>
      </c>
      <c r="CY171">
        <v>1.4499999999999886</v>
      </c>
      <c r="CZ171">
        <v>123389.35944727174</v>
      </c>
      <c r="DA171">
        <v>5850357.5599999996</v>
      </c>
      <c r="DB171" t="s">
        <v>37</v>
      </c>
      <c r="DC171" t="b">
        <v>1</v>
      </c>
      <c r="DD171">
        <v>5850357.5599999996</v>
      </c>
      <c r="DE171">
        <v>0</v>
      </c>
      <c r="DF171" t="b">
        <v>1</v>
      </c>
      <c r="DG171" s="420" cm="1">
        <f t="array" ref="DG171">_xlfn.XLOOKUP("Дом 4"&amp;Реестр_Д4[[#This Row],[№]]&amp;Реестр_Д4[[#This Row],[Статус]],РД[Дом]&amp;РД[№ кв]&amp;РД[Состояние],РД[Дата подачи на регистрацию],"-",0)</f>
        <v>45128</v>
      </c>
    </row>
    <row r="172" spans="1:111" x14ac:dyDescent="0.25">
      <c r="A172">
        <v>171</v>
      </c>
      <c r="B172" t="s">
        <v>5</v>
      </c>
      <c r="C172">
        <v>8</v>
      </c>
      <c r="D172" t="s">
        <v>44</v>
      </c>
      <c r="E172">
        <v>1</v>
      </c>
      <c r="F172">
        <v>13.45</v>
      </c>
      <c r="I172">
        <v>13.45</v>
      </c>
      <c r="J172">
        <v>11.31</v>
      </c>
      <c r="K172">
        <v>3.69</v>
      </c>
      <c r="N172">
        <v>5.63</v>
      </c>
      <c r="O172">
        <v>2.59</v>
      </c>
      <c r="Q172">
        <v>2.59</v>
      </c>
      <c r="R172">
        <v>36.67</v>
      </c>
      <c r="S172">
        <v>34.08</v>
      </c>
      <c r="T172">
        <v>35.380000000000003</v>
      </c>
      <c r="U172">
        <v>36.599999999999994</v>
      </c>
      <c r="V172">
        <v>71400</v>
      </c>
      <c r="W172">
        <v>3570</v>
      </c>
      <c r="X172">
        <v>74970</v>
      </c>
      <c r="Y172">
        <v>2998.8</v>
      </c>
      <c r="Z172">
        <v>77968.800000000003</v>
      </c>
      <c r="AB172">
        <v>77968.800000000003</v>
      </c>
      <c r="AD172">
        <v>77968.800000000003</v>
      </c>
      <c r="AF172">
        <v>77968.800000000003</v>
      </c>
      <c r="AH172">
        <v>77968.800000000003</v>
      </c>
      <c r="AJ172">
        <v>77968.800000000003</v>
      </c>
      <c r="AL172">
        <v>77968.800000000003</v>
      </c>
      <c r="AN172">
        <v>77968.800000000003</v>
      </c>
      <c r="AP172">
        <v>77968.800000000003</v>
      </c>
      <c r="AR172">
        <v>77968.800000000003</v>
      </c>
      <c r="AT172">
        <v>77968.800000000003</v>
      </c>
      <c r="AV172">
        <v>77968.800000000003</v>
      </c>
      <c r="AX172">
        <v>77968.800000000003</v>
      </c>
      <c r="AZ172">
        <v>77968.800000000003</v>
      </c>
      <c r="BB172">
        <v>77968.800000000003</v>
      </c>
      <c r="BD172">
        <v>77968.800000000003</v>
      </c>
      <c r="BF172">
        <v>77968.800000000003</v>
      </c>
      <c r="BH172">
        <v>77968.800000000003</v>
      </c>
      <c r="BJ172">
        <v>77968.800000000003</v>
      </c>
      <c r="BL172">
        <v>77968.800000000003</v>
      </c>
      <c r="BN172">
        <v>77968.800000000003</v>
      </c>
      <c r="BP172">
        <v>77968.800000000003</v>
      </c>
      <c r="BR172">
        <v>77968.800000000003</v>
      </c>
      <c r="BT172">
        <v>77968.800000000003</v>
      </c>
      <c r="BV172">
        <v>77968.800000000003</v>
      </c>
      <c r="BX172">
        <v>77968.800000000003</v>
      </c>
      <c r="BY172">
        <v>77968.800000000003</v>
      </c>
      <c r="BZ172">
        <v>2758536.14</v>
      </c>
      <c r="CC172">
        <v>0</v>
      </c>
      <c r="CD172">
        <v>77968.799886941779</v>
      </c>
      <c r="CE172">
        <v>2758536.14</v>
      </c>
      <c r="CF172" t="s">
        <v>36</v>
      </c>
      <c r="CH172">
        <v>77968.799886941779</v>
      </c>
      <c r="CI172">
        <v>0</v>
      </c>
      <c r="CJ172">
        <v>2758536.14</v>
      </c>
      <c r="CN172">
        <v>0</v>
      </c>
      <c r="CO172" t="s">
        <v>39</v>
      </c>
      <c r="CP172" t="s">
        <v>39</v>
      </c>
      <c r="CQ172" t="b">
        <v>1</v>
      </c>
      <c r="CR172" t="s">
        <v>8950</v>
      </c>
      <c r="CS172" t="s">
        <v>1167</v>
      </c>
      <c r="CT172" t="s">
        <v>8960</v>
      </c>
      <c r="CU172" t="s">
        <v>8973</v>
      </c>
      <c r="CV172" t="s">
        <v>6040</v>
      </c>
      <c r="CW172" t="s">
        <v>4895</v>
      </c>
      <c r="CX172" t="s">
        <v>3246</v>
      </c>
      <c r="CY172">
        <v>1.2199999999999918</v>
      </c>
      <c r="CZ172">
        <v>95121.935862068334</v>
      </c>
      <c r="DA172">
        <v>2758536.14</v>
      </c>
      <c r="DB172" t="s">
        <v>36</v>
      </c>
      <c r="DC172" t="b">
        <v>1</v>
      </c>
      <c r="DD172">
        <v>2758536.14</v>
      </c>
      <c r="DE172">
        <v>0</v>
      </c>
      <c r="DF172" t="b">
        <v>1</v>
      </c>
      <c r="DG172" s="420" cm="1">
        <f t="array" ref="DG172">_xlfn.XLOOKUP("Дом 4"&amp;Реестр_Д4[[#This Row],[№]]&amp;Реестр_Д4[[#This Row],[Статус]],РД[Дом]&amp;РД[№ кв]&amp;РД[Состояние],РД[Дата подачи на регистрацию],"-",0)</f>
        <v>44879</v>
      </c>
    </row>
    <row r="173" spans="1:111" x14ac:dyDescent="0.25">
      <c r="A173">
        <v>172</v>
      </c>
      <c r="B173" t="s">
        <v>5</v>
      </c>
      <c r="C173">
        <v>8</v>
      </c>
      <c r="D173" t="s">
        <v>45</v>
      </c>
      <c r="E173">
        <v>1</v>
      </c>
      <c r="F173">
        <v>13.45</v>
      </c>
      <c r="I173">
        <v>13.45</v>
      </c>
      <c r="J173">
        <v>12.54</v>
      </c>
      <c r="K173">
        <v>3.69</v>
      </c>
      <c r="N173">
        <v>6.62</v>
      </c>
      <c r="O173">
        <v>3.01</v>
      </c>
      <c r="Q173">
        <v>3.01</v>
      </c>
      <c r="R173">
        <v>39.31</v>
      </c>
      <c r="S173">
        <v>36.299999999999997</v>
      </c>
      <c r="T173">
        <v>37.81</v>
      </c>
      <c r="U173">
        <v>39.400000000000006</v>
      </c>
      <c r="V173">
        <v>72100</v>
      </c>
      <c r="W173">
        <v>3605</v>
      </c>
      <c r="X173">
        <v>75705</v>
      </c>
      <c r="Y173">
        <v>3028.2000000000003</v>
      </c>
      <c r="Z173">
        <v>78733.2</v>
      </c>
      <c r="AA173">
        <v>3936.66</v>
      </c>
      <c r="AB173">
        <v>82669.86</v>
      </c>
      <c r="AC173">
        <v>10.16839278</v>
      </c>
      <c r="AD173">
        <v>82680.028392780005</v>
      </c>
      <c r="AF173">
        <v>82680.028392780005</v>
      </c>
      <c r="AH173">
        <v>82680.028392780005</v>
      </c>
      <c r="AJ173">
        <v>82680.028392780005</v>
      </c>
      <c r="AL173">
        <v>82680.028392780005</v>
      </c>
      <c r="AN173">
        <v>82680.028392780005</v>
      </c>
      <c r="AP173">
        <v>82680.028392780005</v>
      </c>
      <c r="AR173">
        <v>82680.028392780005</v>
      </c>
      <c r="AT173">
        <v>82680.028392780005</v>
      </c>
      <c r="AV173">
        <v>82680.028392780005</v>
      </c>
      <c r="AX173">
        <v>82680.028392780005</v>
      </c>
      <c r="AZ173">
        <v>82680.028392780005</v>
      </c>
      <c r="BB173">
        <v>82680.028392780005</v>
      </c>
      <c r="BD173">
        <v>82680.028392780005</v>
      </c>
      <c r="BF173">
        <v>82680.028392780005</v>
      </c>
      <c r="BH173">
        <v>82680.028392780005</v>
      </c>
      <c r="BJ173">
        <v>82680.028392780005</v>
      </c>
      <c r="BL173">
        <v>82680.028392780005</v>
      </c>
      <c r="BN173">
        <v>82680.028392780005</v>
      </c>
      <c r="BP173">
        <v>82680.028392780005</v>
      </c>
      <c r="BR173">
        <v>82680.028392780005</v>
      </c>
      <c r="BT173">
        <v>82680.028392780005</v>
      </c>
      <c r="BV173">
        <v>82680.028392780005</v>
      </c>
      <c r="BX173">
        <v>82680.028392780005</v>
      </c>
      <c r="BY173">
        <v>82680.03</v>
      </c>
      <c r="BZ173">
        <v>3126131.93</v>
      </c>
      <c r="CB173">
        <v>0.05</v>
      </c>
      <c r="CC173">
        <v>156306.59650000001</v>
      </c>
      <c r="CD173">
        <v>78546.028299391692</v>
      </c>
      <c r="CE173">
        <v>2969825.33</v>
      </c>
      <c r="CF173" t="s">
        <v>37</v>
      </c>
      <c r="CG173">
        <v>7500</v>
      </c>
      <c r="CH173">
        <v>86046.028299391692</v>
      </c>
      <c r="CI173">
        <v>283575</v>
      </c>
      <c r="CJ173">
        <v>3253400.33</v>
      </c>
      <c r="CL173" t="s">
        <v>3540</v>
      </c>
      <c r="CN173">
        <v>0</v>
      </c>
      <c r="CO173" t="s">
        <v>39</v>
      </c>
      <c r="CP173" t="s">
        <v>39</v>
      </c>
      <c r="CQ173" t="b">
        <v>1</v>
      </c>
      <c r="CR173" t="s">
        <v>8950</v>
      </c>
      <c r="CS173" t="s">
        <v>1167</v>
      </c>
      <c r="CT173" t="s">
        <v>8960</v>
      </c>
      <c r="CU173" t="s">
        <v>8973</v>
      </c>
      <c r="CV173" t="s">
        <v>6041</v>
      </c>
      <c r="CW173" t="s">
        <v>4895</v>
      </c>
      <c r="CX173" t="s">
        <v>3246</v>
      </c>
      <c r="CY173">
        <v>1.5900000000000034</v>
      </c>
      <c r="CZ173">
        <v>136813.18499603309</v>
      </c>
      <c r="DA173">
        <v>3253400.33</v>
      </c>
      <c r="DB173" t="s">
        <v>37</v>
      </c>
      <c r="DC173" t="b">
        <v>1</v>
      </c>
      <c r="DD173">
        <v>3253400.33</v>
      </c>
      <c r="DE173">
        <v>0</v>
      </c>
      <c r="DF173" t="b">
        <v>1</v>
      </c>
      <c r="DG173" s="420" cm="1">
        <f t="array" ref="DG173">_xlfn.XLOOKUP("Дом 4"&amp;Реестр_Д4[[#This Row],[№]]&amp;Реестр_Д4[[#This Row],[Статус]],РД[Дом]&amp;РД[№ кв]&amp;РД[Состояние],РД[Дата подачи на регистрацию],"-",0)</f>
        <v>44911</v>
      </c>
    </row>
    <row r="174" spans="1:111" x14ac:dyDescent="0.25">
      <c r="A174">
        <v>173</v>
      </c>
      <c r="B174" t="s">
        <v>5</v>
      </c>
      <c r="C174">
        <v>8</v>
      </c>
      <c r="D174" t="s">
        <v>3351</v>
      </c>
      <c r="E174">
        <v>1</v>
      </c>
      <c r="F174">
        <v>12.11</v>
      </c>
      <c r="I174">
        <v>12.11</v>
      </c>
      <c r="J174">
        <v>12.27</v>
      </c>
      <c r="K174">
        <v>3.84</v>
      </c>
      <c r="N174">
        <v>7.06</v>
      </c>
      <c r="O174">
        <v>2.84</v>
      </c>
      <c r="Q174">
        <v>2.84</v>
      </c>
      <c r="R174">
        <v>38.119999999999997</v>
      </c>
      <c r="S174">
        <v>35.28</v>
      </c>
      <c r="T174">
        <v>36.700000000000003</v>
      </c>
      <c r="U174">
        <v>38.1</v>
      </c>
      <c r="V174">
        <v>72100</v>
      </c>
      <c r="W174">
        <v>3605</v>
      </c>
      <c r="X174">
        <v>75705</v>
      </c>
      <c r="Y174">
        <v>3028.2000000000003</v>
      </c>
      <c r="Z174">
        <v>78733.2</v>
      </c>
      <c r="AA174">
        <v>3936.66</v>
      </c>
      <c r="AB174">
        <v>82669.86</v>
      </c>
      <c r="AC174">
        <v>10.16839278</v>
      </c>
      <c r="AD174">
        <v>82680.028392780005</v>
      </c>
      <c r="AE174">
        <v>4134.0014196390002</v>
      </c>
      <c r="AF174">
        <v>86814.029812419001</v>
      </c>
      <c r="AH174">
        <v>86814.029812419001</v>
      </c>
      <c r="AI174">
        <v>2604.4208943725698</v>
      </c>
      <c r="AJ174">
        <v>89418.450706791569</v>
      </c>
      <c r="AK174">
        <v>894.18450706791566</v>
      </c>
      <c r="AL174">
        <v>90312.635213859481</v>
      </c>
      <c r="AM174">
        <v>1806.2527042771897</v>
      </c>
      <c r="AN174">
        <v>92118.887918136679</v>
      </c>
      <c r="AO174">
        <v>1842.3777583627336</v>
      </c>
      <c r="AP174">
        <v>93961.265676499403</v>
      </c>
      <c r="AQ174">
        <v>2818.8379702949819</v>
      </c>
      <c r="AR174">
        <v>96780.103646794378</v>
      </c>
      <c r="AT174">
        <v>96780.103646794378</v>
      </c>
      <c r="AV174">
        <v>96780.103646794378</v>
      </c>
      <c r="AX174">
        <v>96780.103646794378</v>
      </c>
      <c r="AZ174">
        <v>96780.103646794378</v>
      </c>
      <c r="BB174">
        <v>96780.103646794378</v>
      </c>
      <c r="BD174">
        <v>96780.103646794378</v>
      </c>
      <c r="BF174">
        <v>96780.103646794378</v>
      </c>
      <c r="BH174">
        <v>96780.103646794378</v>
      </c>
      <c r="BJ174">
        <v>96780.103646794378</v>
      </c>
      <c r="BL174">
        <v>96780.103646794378</v>
      </c>
      <c r="BN174">
        <v>96780.103646794378</v>
      </c>
      <c r="BP174">
        <v>96780.103646794378</v>
      </c>
      <c r="BR174">
        <v>96780.103646794378</v>
      </c>
      <c r="BT174">
        <v>96780.103646794378</v>
      </c>
      <c r="BV174">
        <v>96780.103646794378</v>
      </c>
      <c r="BX174">
        <v>96780.103646794378</v>
      </c>
      <c r="BY174">
        <v>96780.1</v>
      </c>
      <c r="BZ174">
        <v>3551829.67</v>
      </c>
      <c r="CC174">
        <v>0</v>
      </c>
      <c r="CD174">
        <v>96780.099999999991</v>
      </c>
      <c r="CE174">
        <v>3551829.67</v>
      </c>
      <c r="CF174" t="s">
        <v>36</v>
      </c>
      <c r="CH174">
        <v>96780.099999999991</v>
      </c>
      <c r="CI174">
        <v>0</v>
      </c>
      <c r="CJ174">
        <v>3551829.67</v>
      </c>
      <c r="CN174">
        <v>0</v>
      </c>
      <c r="CO174" t="s">
        <v>39</v>
      </c>
      <c r="CP174" t="s">
        <v>39</v>
      </c>
      <c r="CQ174" t="b">
        <v>1</v>
      </c>
      <c r="CR174" t="s">
        <v>8950</v>
      </c>
      <c r="CS174" t="s">
        <v>1167</v>
      </c>
      <c r="CT174" t="s">
        <v>8960</v>
      </c>
      <c r="CU174" t="s">
        <v>8973</v>
      </c>
      <c r="CV174" t="s">
        <v>6042</v>
      </c>
      <c r="CW174" t="s">
        <v>4895</v>
      </c>
      <c r="CX174" t="s">
        <v>3246</v>
      </c>
      <c r="CY174">
        <v>1.3999999999999986</v>
      </c>
      <c r="CZ174">
        <v>135492.13999999984</v>
      </c>
      <c r="DA174">
        <v>3551829.67</v>
      </c>
      <c r="DB174" t="s">
        <v>36</v>
      </c>
      <c r="DC174" t="b">
        <v>1</v>
      </c>
      <c r="DD174">
        <v>3551829.67</v>
      </c>
      <c r="DE174">
        <v>0</v>
      </c>
      <c r="DF174" t="b">
        <v>1</v>
      </c>
      <c r="DG174" s="420" cm="1">
        <f t="array" ref="DG174">_xlfn.XLOOKUP("Дом 4"&amp;Реестр_Д4[[#This Row],[№]]&amp;Реестр_Д4[[#This Row],[Статус]],РД[Дом]&amp;РД[№ кв]&amp;РД[Состояние],РД[Дата подачи на регистрацию],"-",0)</f>
        <v>45132</v>
      </c>
    </row>
    <row r="175" spans="1:111" x14ac:dyDescent="0.25">
      <c r="A175">
        <v>174</v>
      </c>
      <c r="B175" t="s">
        <v>5</v>
      </c>
      <c r="C175">
        <v>8</v>
      </c>
      <c r="D175" t="s">
        <v>3352</v>
      </c>
      <c r="E175">
        <v>1</v>
      </c>
      <c r="F175">
        <v>11.74</v>
      </c>
      <c r="I175">
        <v>11.74</v>
      </c>
      <c r="J175">
        <v>12.47</v>
      </c>
      <c r="K175">
        <v>3.71</v>
      </c>
      <c r="N175">
        <v>7.29</v>
      </c>
      <c r="O175">
        <v>2.89</v>
      </c>
      <c r="Q175">
        <v>2.89</v>
      </c>
      <c r="R175">
        <v>38.1</v>
      </c>
      <c r="S175">
        <v>35.21</v>
      </c>
      <c r="T175">
        <v>36.659999999999997</v>
      </c>
      <c r="U175">
        <v>37.9</v>
      </c>
      <c r="V175">
        <v>72100</v>
      </c>
      <c r="W175">
        <v>3605</v>
      </c>
      <c r="X175">
        <v>75705</v>
      </c>
      <c r="Y175">
        <v>3028.2000000000003</v>
      </c>
      <c r="Z175">
        <v>78733.2</v>
      </c>
      <c r="AA175">
        <v>3936.66</v>
      </c>
      <c r="AB175">
        <v>82669.86</v>
      </c>
      <c r="AC175">
        <v>10.16839278</v>
      </c>
      <c r="AD175">
        <v>82680.028392780005</v>
      </c>
      <c r="AE175">
        <v>4134.0014196390002</v>
      </c>
      <c r="AF175">
        <v>86814.029812419001</v>
      </c>
      <c r="AH175">
        <v>86814.029812419001</v>
      </c>
      <c r="AI175">
        <v>2604.4208943725698</v>
      </c>
      <c r="AJ175">
        <v>89418.450706791569</v>
      </c>
      <c r="AK175">
        <v>894.18450706791566</v>
      </c>
      <c r="AL175">
        <v>90312.635213859481</v>
      </c>
      <c r="AM175">
        <v>1806.2527042771897</v>
      </c>
      <c r="AN175">
        <v>92118.887918136679</v>
      </c>
      <c r="AO175">
        <v>1842.3777583627336</v>
      </c>
      <c r="AP175">
        <v>93961.265676499403</v>
      </c>
      <c r="AR175">
        <v>93961.265676499403</v>
      </c>
      <c r="AT175">
        <v>93961.265676499403</v>
      </c>
      <c r="AV175">
        <v>93961.265676499403</v>
      </c>
      <c r="AX175">
        <v>93961.265676499403</v>
      </c>
      <c r="AZ175">
        <v>93961.265676499403</v>
      </c>
      <c r="BB175">
        <v>93961.265676499403</v>
      </c>
      <c r="BD175">
        <v>93961.265676499403</v>
      </c>
      <c r="BF175">
        <v>93961.265676499403</v>
      </c>
      <c r="BH175">
        <v>93961.265676499403</v>
      </c>
      <c r="BJ175">
        <v>93961.265676499403</v>
      </c>
      <c r="BL175">
        <v>93961.265676499403</v>
      </c>
      <c r="BN175">
        <v>93961.265676499403</v>
      </c>
      <c r="BP175">
        <v>93961.265676499403</v>
      </c>
      <c r="BR175">
        <v>93961.265676499403</v>
      </c>
      <c r="BT175">
        <v>93961.265676499403</v>
      </c>
      <c r="BV175">
        <v>93961.265676499403</v>
      </c>
      <c r="BX175">
        <v>93961.265676499403</v>
      </c>
      <c r="BY175">
        <v>93961.27</v>
      </c>
      <c r="BZ175">
        <v>3444620.16</v>
      </c>
      <c r="CC175">
        <v>0</v>
      </c>
      <c r="CD175">
        <v>93961.270049099854</v>
      </c>
      <c r="CE175">
        <v>3444620.16</v>
      </c>
      <c r="CF175" t="s">
        <v>37</v>
      </c>
      <c r="CG175">
        <v>4000</v>
      </c>
      <c r="CH175">
        <v>97961.270049099854</v>
      </c>
      <c r="CI175">
        <v>146640</v>
      </c>
      <c r="CJ175">
        <v>3591260.1600000001</v>
      </c>
      <c r="CN175">
        <v>0</v>
      </c>
      <c r="CO175" t="s">
        <v>39</v>
      </c>
      <c r="CP175" t="s">
        <v>39</v>
      </c>
      <c r="CQ175" t="b">
        <v>1</v>
      </c>
      <c r="CR175" t="s">
        <v>8950</v>
      </c>
      <c r="CS175" t="s">
        <v>1167</v>
      </c>
      <c r="CT175" t="s">
        <v>8960</v>
      </c>
      <c r="CU175" t="s">
        <v>8973</v>
      </c>
      <c r="CV175" t="s">
        <v>6043</v>
      </c>
      <c r="CW175" t="s">
        <v>4895</v>
      </c>
      <c r="CX175" t="s">
        <v>3246</v>
      </c>
      <c r="CY175">
        <v>1.240000000000002</v>
      </c>
      <c r="CZ175">
        <v>121471.97486088402</v>
      </c>
      <c r="DA175">
        <v>3591260.1600000001</v>
      </c>
      <c r="DB175" t="s">
        <v>37</v>
      </c>
      <c r="DC175" t="b">
        <v>1</v>
      </c>
      <c r="DD175">
        <v>3591260.1600000001</v>
      </c>
      <c r="DE175">
        <v>0</v>
      </c>
      <c r="DF175" t="b">
        <v>1</v>
      </c>
      <c r="DG175" s="420" cm="1">
        <f t="array" ref="DG175">_xlfn.XLOOKUP("Дом 4"&amp;Реестр_Д4[[#This Row],[№]]&amp;Реестр_Д4[[#This Row],[Статус]],РД[Дом]&amp;РД[№ кв]&amp;РД[Состояние],РД[Дата подачи на регистрацию],"-",0)</f>
        <v>45106</v>
      </c>
    </row>
    <row r="176" spans="1:111" x14ac:dyDescent="0.25">
      <c r="A176">
        <v>175</v>
      </c>
      <c r="B176" t="s">
        <v>5</v>
      </c>
      <c r="C176">
        <v>8</v>
      </c>
      <c r="D176" t="s">
        <v>3353</v>
      </c>
      <c r="E176">
        <v>3</v>
      </c>
      <c r="F176">
        <v>14.79</v>
      </c>
      <c r="G176">
        <v>14.24</v>
      </c>
      <c r="H176">
        <v>13.63</v>
      </c>
      <c r="I176">
        <v>42.66</v>
      </c>
      <c r="J176">
        <v>13.29</v>
      </c>
      <c r="K176">
        <v>4.72</v>
      </c>
      <c r="L176">
        <v>1.66</v>
      </c>
      <c r="M176">
        <v>2.19</v>
      </c>
      <c r="N176">
        <v>11.45</v>
      </c>
      <c r="O176">
        <v>2.73</v>
      </c>
      <c r="P176">
        <v>2.78</v>
      </c>
      <c r="Q176">
        <v>5.51</v>
      </c>
      <c r="R176">
        <v>81.48</v>
      </c>
      <c r="S176">
        <v>75.97</v>
      </c>
      <c r="T176">
        <v>78.73</v>
      </c>
      <c r="U176">
        <v>80.7</v>
      </c>
      <c r="V176">
        <v>68364.800000000003</v>
      </c>
      <c r="W176">
        <v>3418.24</v>
      </c>
      <c r="X176">
        <v>71783.040000000008</v>
      </c>
      <c r="Z176">
        <v>71783.040000000008</v>
      </c>
      <c r="AB176">
        <v>71783.040000000008</v>
      </c>
      <c r="AC176">
        <v>8.8293139200000024</v>
      </c>
      <c r="AD176">
        <v>71791.869313920004</v>
      </c>
      <c r="AF176">
        <v>71791.869313920004</v>
      </c>
      <c r="AH176">
        <v>71791.869313920004</v>
      </c>
      <c r="AI176">
        <v>2153.7560794176002</v>
      </c>
      <c r="AJ176">
        <v>73945.625393337599</v>
      </c>
      <c r="AK176">
        <v>739.45625393337605</v>
      </c>
      <c r="AL176">
        <v>74685.08164727097</v>
      </c>
      <c r="AN176">
        <v>74685.08164727097</v>
      </c>
      <c r="AP176">
        <v>74685.08164727097</v>
      </c>
      <c r="AR176">
        <v>74685.08164727097</v>
      </c>
      <c r="AT176">
        <v>74685.08164727097</v>
      </c>
      <c r="AV176">
        <v>74685.08164727097</v>
      </c>
      <c r="AX176">
        <v>74685.08164727097</v>
      </c>
      <c r="AZ176">
        <v>74685.08164727097</v>
      </c>
      <c r="BB176">
        <v>74685.08164727097</v>
      </c>
      <c r="BD176">
        <v>74685.08164727097</v>
      </c>
      <c r="BF176">
        <v>74685.08164727097</v>
      </c>
      <c r="BH176">
        <v>74685.08164727097</v>
      </c>
      <c r="BJ176">
        <v>74685.08164727097</v>
      </c>
      <c r="BL176">
        <v>74685.08164727097</v>
      </c>
      <c r="BN176">
        <v>74685.08164727097</v>
      </c>
      <c r="BP176">
        <v>74685.08164727097</v>
      </c>
      <c r="BR176">
        <v>74685.08164727097</v>
      </c>
      <c r="BT176">
        <v>74685.08164727097</v>
      </c>
      <c r="BV176">
        <v>74685.08164727097</v>
      </c>
      <c r="BX176">
        <v>74685.08164727097</v>
      </c>
      <c r="BY176">
        <v>74685.08</v>
      </c>
      <c r="BZ176">
        <v>5879956.3499999996</v>
      </c>
      <c r="CC176">
        <v>0</v>
      </c>
      <c r="CD176">
        <v>74685.08002032261</v>
      </c>
      <c r="CE176">
        <v>5879956.3499999996</v>
      </c>
      <c r="CF176" t="s">
        <v>38</v>
      </c>
      <c r="CG176">
        <v>15000</v>
      </c>
      <c r="CH176">
        <v>89685.08002032261</v>
      </c>
      <c r="CI176">
        <v>1180950</v>
      </c>
      <c r="CJ176">
        <v>7060906.3499999996</v>
      </c>
      <c r="CN176">
        <v>0</v>
      </c>
      <c r="CO176" t="s">
        <v>39</v>
      </c>
      <c r="CP176" t="s">
        <v>39</v>
      </c>
      <c r="CQ176" t="b">
        <v>1</v>
      </c>
      <c r="CR176" t="s">
        <v>8950</v>
      </c>
      <c r="CS176" t="s">
        <v>1167</v>
      </c>
      <c r="CT176" t="s">
        <v>8960</v>
      </c>
      <c r="CU176" t="s">
        <v>8975</v>
      </c>
      <c r="CV176" t="s">
        <v>6044</v>
      </c>
      <c r="CW176" t="s">
        <v>4895</v>
      </c>
      <c r="CX176" t="s">
        <v>3246</v>
      </c>
      <c r="CY176">
        <v>1.9699999999999989</v>
      </c>
      <c r="CZ176">
        <v>176679.60764003545</v>
      </c>
      <c r="DA176">
        <v>7060906.3499999996</v>
      </c>
      <c r="DB176" t="s">
        <v>38</v>
      </c>
      <c r="DC176" t="b">
        <v>1</v>
      </c>
      <c r="DD176">
        <v>7060906.3499999996</v>
      </c>
      <c r="DE176">
        <v>0</v>
      </c>
      <c r="DF176" t="b">
        <v>1</v>
      </c>
      <c r="DG176" s="420" cm="1">
        <f t="array" ref="DG176">_xlfn.XLOOKUP("Дом 4"&amp;Реестр_Д4[[#This Row],[№]]&amp;Реестр_Д4[[#This Row],[Статус]],РД[Дом]&amp;РД[№ кв]&amp;РД[Состояние],РД[Дата подачи на регистрацию],"-",0)</f>
        <v>45044</v>
      </c>
    </row>
    <row r="177" spans="1:111" x14ac:dyDescent="0.25">
      <c r="A177">
        <v>176</v>
      </c>
      <c r="B177" t="s">
        <v>5</v>
      </c>
      <c r="C177">
        <v>8</v>
      </c>
      <c r="D177" t="s">
        <v>3354</v>
      </c>
      <c r="E177">
        <v>1</v>
      </c>
      <c r="F177">
        <v>14.13</v>
      </c>
      <c r="I177">
        <v>14.13</v>
      </c>
      <c r="J177">
        <v>9.2100000000000009</v>
      </c>
      <c r="K177">
        <v>3.66</v>
      </c>
      <c r="N177">
        <v>5.55</v>
      </c>
      <c r="O177">
        <v>2.48</v>
      </c>
      <c r="Q177">
        <v>2.48</v>
      </c>
      <c r="R177">
        <v>35.03</v>
      </c>
      <c r="S177">
        <v>32.550000000000004</v>
      </c>
      <c r="T177">
        <v>33.79</v>
      </c>
      <c r="U177">
        <v>34.6</v>
      </c>
      <c r="V177">
        <v>70700</v>
      </c>
      <c r="W177">
        <v>3535</v>
      </c>
      <c r="X177">
        <v>74235</v>
      </c>
      <c r="Y177">
        <v>2969.4</v>
      </c>
      <c r="Z177">
        <v>77204.399999999994</v>
      </c>
      <c r="AA177">
        <v>3860.22</v>
      </c>
      <c r="AB177">
        <v>81064.62</v>
      </c>
      <c r="AC177">
        <v>9.9709482600000001</v>
      </c>
      <c r="AD177">
        <v>81074.590948259996</v>
      </c>
      <c r="AE177">
        <v>4053.7295474130001</v>
      </c>
      <c r="AF177">
        <v>85128.32049567299</v>
      </c>
      <c r="AH177">
        <v>85128.32049567299</v>
      </c>
      <c r="AJ177">
        <v>85128.32049567299</v>
      </c>
      <c r="AL177">
        <v>85128.32049567299</v>
      </c>
      <c r="AN177">
        <v>85128.32049567299</v>
      </c>
      <c r="AP177">
        <v>85128.32049567299</v>
      </c>
      <c r="AR177">
        <v>85128.32049567299</v>
      </c>
      <c r="AT177">
        <v>85128.32049567299</v>
      </c>
      <c r="AV177">
        <v>85128.32049567299</v>
      </c>
      <c r="AX177">
        <v>85128.32049567299</v>
      </c>
      <c r="AZ177">
        <v>85128.32049567299</v>
      </c>
      <c r="BB177">
        <v>85128.32049567299</v>
      </c>
      <c r="BD177">
        <v>85128.32049567299</v>
      </c>
      <c r="BF177">
        <v>85128.32049567299</v>
      </c>
      <c r="BH177">
        <v>85128.32049567299</v>
      </c>
      <c r="BJ177">
        <v>85128.32049567299</v>
      </c>
      <c r="BL177">
        <v>85128.32049567299</v>
      </c>
      <c r="BN177">
        <v>85128.32049567299</v>
      </c>
      <c r="BP177">
        <v>85128.32049567299</v>
      </c>
      <c r="BR177">
        <v>85128.32049567299</v>
      </c>
      <c r="BT177">
        <v>85128.32049567299</v>
      </c>
      <c r="BV177">
        <v>85128.32049567299</v>
      </c>
      <c r="BX177">
        <v>85128.32049567299</v>
      </c>
      <c r="BY177">
        <v>85128.320000000007</v>
      </c>
      <c r="BZ177">
        <v>2876485.93</v>
      </c>
      <c r="CB177">
        <v>0.05</v>
      </c>
      <c r="CC177">
        <v>143824.29650000003</v>
      </c>
      <c r="CD177">
        <v>80871.903817697559</v>
      </c>
      <c r="CE177">
        <v>2732661.63</v>
      </c>
      <c r="CF177" t="s">
        <v>36</v>
      </c>
      <c r="CH177">
        <v>80871.903817697559</v>
      </c>
      <c r="CI177">
        <v>0</v>
      </c>
      <c r="CJ177">
        <v>2732661.63</v>
      </c>
      <c r="CK177" t="s">
        <v>57</v>
      </c>
      <c r="CL177" t="s">
        <v>3540</v>
      </c>
      <c r="CN177">
        <v>0</v>
      </c>
      <c r="CO177" t="s">
        <v>39</v>
      </c>
      <c r="CP177" t="s">
        <v>39</v>
      </c>
      <c r="CQ177" t="b">
        <v>1</v>
      </c>
      <c r="CR177" t="s">
        <v>8950</v>
      </c>
      <c r="CS177" t="s">
        <v>1167</v>
      </c>
      <c r="CT177" t="s">
        <v>8960</v>
      </c>
      <c r="CU177" t="s">
        <v>8973</v>
      </c>
      <c r="CV177" t="s">
        <v>6045</v>
      </c>
      <c r="CW177" t="s">
        <v>4895</v>
      </c>
      <c r="CX177" t="s">
        <v>3246</v>
      </c>
      <c r="CY177">
        <v>0.81000000000000227</v>
      </c>
      <c r="CZ177">
        <v>65506.242092335197</v>
      </c>
      <c r="DA177">
        <v>2732661.63</v>
      </c>
      <c r="DB177" t="s">
        <v>36</v>
      </c>
      <c r="DC177" t="b">
        <v>1</v>
      </c>
      <c r="DD177">
        <v>2732661.63</v>
      </c>
      <c r="DE177">
        <v>0</v>
      </c>
      <c r="DF177" t="b">
        <v>1</v>
      </c>
      <c r="DG177" s="420" cm="1">
        <f t="array" ref="DG177">_xlfn.XLOOKUP("Дом 4"&amp;Реестр_Д4[[#This Row],[№]]&amp;Реестр_Д4[[#This Row],[Статус]],РД[Дом]&amp;РД[№ кв]&amp;РД[Состояние],РД[Дата подачи на регистрацию],"-",0)</f>
        <v>44925</v>
      </c>
    </row>
    <row r="178" spans="1:111" x14ac:dyDescent="0.25">
      <c r="A178">
        <v>177</v>
      </c>
      <c r="B178" t="s">
        <v>5</v>
      </c>
      <c r="C178">
        <v>9</v>
      </c>
      <c r="D178" t="s">
        <v>42</v>
      </c>
      <c r="E178">
        <v>0</v>
      </c>
      <c r="F178">
        <v>13.95</v>
      </c>
      <c r="I178">
        <v>13.95</v>
      </c>
      <c r="J178">
        <v>5.77</v>
      </c>
      <c r="K178">
        <v>3.6</v>
      </c>
      <c r="N178">
        <v>3.59</v>
      </c>
      <c r="O178">
        <v>4.12</v>
      </c>
      <c r="Q178">
        <v>4.12</v>
      </c>
      <c r="R178">
        <v>31.03</v>
      </c>
      <c r="S178">
        <v>26.91</v>
      </c>
      <c r="T178">
        <v>28.97</v>
      </c>
      <c r="U178">
        <v>29.6</v>
      </c>
      <c r="V178">
        <v>75600</v>
      </c>
      <c r="W178">
        <v>3780</v>
      </c>
      <c r="X178">
        <v>79380</v>
      </c>
      <c r="Z178">
        <v>79380</v>
      </c>
      <c r="AB178">
        <v>79380</v>
      </c>
      <c r="AC178">
        <v>9.7637400000000003</v>
      </c>
      <c r="AD178">
        <v>79389.763739999995</v>
      </c>
      <c r="AE178">
        <v>3969.4881869999999</v>
      </c>
      <c r="AF178">
        <v>83359.25192699999</v>
      </c>
      <c r="AH178">
        <v>83359.25192699999</v>
      </c>
      <c r="AJ178">
        <v>83359.25192699999</v>
      </c>
      <c r="AL178">
        <v>83359.25192699999</v>
      </c>
      <c r="AN178">
        <v>83359.25192699999</v>
      </c>
      <c r="AP178">
        <v>83359.25192699999</v>
      </c>
      <c r="AR178">
        <v>83359.25192699999</v>
      </c>
      <c r="AT178">
        <v>83359.25192699999</v>
      </c>
      <c r="AV178">
        <v>83359.25192699999</v>
      </c>
      <c r="AX178">
        <v>83359.25192699999</v>
      </c>
      <c r="AZ178">
        <v>83359.25192699999</v>
      </c>
      <c r="BB178">
        <v>83359.25192699999</v>
      </c>
      <c r="BD178">
        <v>83359.25192699999</v>
      </c>
      <c r="BF178">
        <v>83359.25192699999</v>
      </c>
      <c r="BH178">
        <v>83359.25192699999</v>
      </c>
      <c r="BJ178">
        <v>83359.25192699999</v>
      </c>
      <c r="BL178">
        <v>83359.25192699999</v>
      </c>
      <c r="BN178">
        <v>83359.25192699999</v>
      </c>
      <c r="BP178">
        <v>83359.25192699999</v>
      </c>
      <c r="BR178">
        <v>83359.25192699999</v>
      </c>
      <c r="BT178">
        <v>83359.25192699999</v>
      </c>
      <c r="BV178">
        <v>83359.25192699999</v>
      </c>
      <c r="BX178">
        <v>83359.25192699999</v>
      </c>
      <c r="BY178">
        <v>83359.25</v>
      </c>
      <c r="BZ178">
        <v>2414917.4700000002</v>
      </c>
      <c r="CC178">
        <v>0</v>
      </c>
      <c r="CD178">
        <v>83359.249913703839</v>
      </c>
      <c r="CE178">
        <v>2414917.4700000002</v>
      </c>
      <c r="CF178" t="s">
        <v>37</v>
      </c>
      <c r="CG178">
        <v>4000</v>
      </c>
      <c r="CH178">
        <v>87359.249913703839</v>
      </c>
      <c r="CI178">
        <v>115880</v>
      </c>
      <c r="CJ178">
        <v>2530797.4700000002</v>
      </c>
      <c r="CN178">
        <v>0</v>
      </c>
      <c r="CO178" t="s">
        <v>39</v>
      </c>
      <c r="CP178" t="s">
        <v>39</v>
      </c>
      <c r="CQ178" t="b">
        <v>1</v>
      </c>
      <c r="CR178" t="s">
        <v>8950</v>
      </c>
      <c r="CS178" t="s">
        <v>1167</v>
      </c>
      <c r="CT178" t="s">
        <v>8960</v>
      </c>
      <c r="CU178" t="s">
        <v>8970</v>
      </c>
      <c r="CV178" t="s">
        <v>6046</v>
      </c>
      <c r="CW178" t="s">
        <v>4895</v>
      </c>
      <c r="CX178" t="s">
        <v>3246</v>
      </c>
      <c r="CY178">
        <v>0.62999999999999901</v>
      </c>
      <c r="CZ178">
        <v>55036.327445633331</v>
      </c>
      <c r="DA178">
        <v>2530797.4700000002</v>
      </c>
      <c r="DB178" t="s">
        <v>37</v>
      </c>
      <c r="DC178" t="b">
        <v>1</v>
      </c>
      <c r="DD178">
        <v>2530797.4700000002</v>
      </c>
      <c r="DE178">
        <v>0</v>
      </c>
      <c r="DF178" t="b">
        <v>1</v>
      </c>
      <c r="DG178" s="420" cm="1">
        <f t="array" ref="DG178">_xlfn.XLOOKUP("Дом 4"&amp;Реестр_Д4[[#This Row],[№]]&amp;Реестр_Д4[[#This Row],[Статус]],РД[Дом]&amp;РД[№ кв]&amp;РД[Состояние],РД[Дата подачи на регистрацию],"-",0)</f>
        <v>44910</v>
      </c>
    </row>
    <row r="179" spans="1:111" x14ac:dyDescent="0.25">
      <c r="A179">
        <v>178</v>
      </c>
      <c r="B179" t="s">
        <v>5</v>
      </c>
      <c r="C179">
        <v>9</v>
      </c>
      <c r="D179" t="s">
        <v>43</v>
      </c>
      <c r="E179">
        <v>2</v>
      </c>
      <c r="F179">
        <v>17.54</v>
      </c>
      <c r="G179">
        <v>12.04</v>
      </c>
      <c r="I179">
        <v>29.58</v>
      </c>
      <c r="J179">
        <v>17.010000000000002</v>
      </c>
      <c r="K179">
        <v>3.71</v>
      </c>
      <c r="L179">
        <v>2.64</v>
      </c>
      <c r="N179">
        <v>13.06</v>
      </c>
      <c r="O179">
        <v>2.61</v>
      </c>
      <c r="P179">
        <v>2.88</v>
      </c>
      <c r="Q179">
        <v>5.49</v>
      </c>
      <c r="R179">
        <v>71.489999999999995</v>
      </c>
      <c r="S179">
        <v>66</v>
      </c>
      <c r="T179">
        <v>68.75</v>
      </c>
      <c r="U179">
        <v>70.099999999999994</v>
      </c>
      <c r="V179">
        <v>71971.199999999997</v>
      </c>
      <c r="W179">
        <v>3598.56</v>
      </c>
      <c r="X179">
        <v>75569.759999999995</v>
      </c>
      <c r="Z179">
        <v>75569.759999999995</v>
      </c>
      <c r="AA179">
        <v>3778.4879999999998</v>
      </c>
      <c r="AB179">
        <v>79348.248000000007</v>
      </c>
      <c r="AC179">
        <v>9.7598345040000005</v>
      </c>
      <c r="AD179">
        <v>79358.007834503995</v>
      </c>
      <c r="AF179">
        <v>79358.007834503995</v>
      </c>
      <c r="AH179">
        <v>79358.007834503995</v>
      </c>
      <c r="AI179">
        <v>1587.1601566900799</v>
      </c>
      <c r="AJ179">
        <v>80945.167991194074</v>
      </c>
      <c r="AK179">
        <v>809.4516799119408</v>
      </c>
      <c r="AL179">
        <v>81754.619671106018</v>
      </c>
      <c r="AM179">
        <v>1635.0923934221205</v>
      </c>
      <c r="AN179">
        <v>83389.712064528139</v>
      </c>
      <c r="AP179">
        <v>83389.712064528139</v>
      </c>
      <c r="AQ179">
        <v>2501.6913619358443</v>
      </c>
      <c r="AR179">
        <v>85891.403426463978</v>
      </c>
      <c r="AT179">
        <v>85891.403426463978</v>
      </c>
      <c r="AU179">
        <v>2576.7421027939195</v>
      </c>
      <c r="AV179">
        <v>88468.14552925789</v>
      </c>
      <c r="AX179">
        <v>88468.14552925789</v>
      </c>
      <c r="AZ179">
        <v>88468.14552925789</v>
      </c>
      <c r="BB179">
        <v>88468.14552925789</v>
      </c>
      <c r="BD179">
        <v>88468.14552925789</v>
      </c>
      <c r="BF179">
        <v>88468.14552925789</v>
      </c>
      <c r="BH179">
        <v>88468.14552925789</v>
      </c>
      <c r="BI179">
        <v>4423.4072764628945</v>
      </c>
      <c r="BJ179">
        <v>92891.552805720785</v>
      </c>
      <c r="BL179">
        <v>92891.552805720785</v>
      </c>
      <c r="BN179">
        <v>92891.552805720785</v>
      </c>
      <c r="BP179">
        <v>92891.552805720785</v>
      </c>
      <c r="BR179">
        <v>92891.552805720785</v>
      </c>
      <c r="BT179">
        <v>92891.552805720785</v>
      </c>
      <c r="BV179">
        <v>92891.552805720785</v>
      </c>
      <c r="BX179">
        <v>92891.552805720785</v>
      </c>
      <c r="BY179">
        <v>92891.55</v>
      </c>
      <c r="BZ179">
        <v>6386300</v>
      </c>
      <c r="CB179">
        <v>0.02</v>
      </c>
      <c r="CC179">
        <v>127726</v>
      </c>
      <c r="CD179">
        <v>91033.803636363635</v>
      </c>
      <c r="CE179">
        <v>6258574</v>
      </c>
      <c r="CF179" t="s">
        <v>36</v>
      </c>
      <c r="CH179">
        <v>91033.803636363635</v>
      </c>
      <c r="CI179">
        <v>0</v>
      </c>
      <c r="CJ179">
        <v>6258574</v>
      </c>
      <c r="CL179" t="s">
        <v>3540</v>
      </c>
      <c r="CN179">
        <v>0</v>
      </c>
      <c r="CO179" t="s">
        <v>39</v>
      </c>
      <c r="CP179" t="s">
        <v>39</v>
      </c>
      <c r="CQ179" t="b">
        <v>1</v>
      </c>
      <c r="CR179" t="s">
        <v>8950</v>
      </c>
      <c r="CS179" t="s">
        <v>1167</v>
      </c>
      <c r="CT179" t="s">
        <v>8960</v>
      </c>
      <c r="CU179" t="s">
        <v>8971</v>
      </c>
      <c r="CV179" t="s">
        <v>6047</v>
      </c>
      <c r="CW179" t="s">
        <v>6652</v>
      </c>
      <c r="CX179" t="s">
        <v>3246</v>
      </c>
      <c r="CY179">
        <v>1.3499999999999943</v>
      </c>
      <c r="CZ179">
        <v>122895.63490909038</v>
      </c>
      <c r="DA179">
        <v>6258574</v>
      </c>
      <c r="DB179" t="s">
        <v>36</v>
      </c>
      <c r="DC179" t="b">
        <v>1</v>
      </c>
      <c r="DD179">
        <v>6258574</v>
      </c>
      <c r="DE179">
        <v>0</v>
      </c>
      <c r="DF179" t="b">
        <v>1</v>
      </c>
      <c r="DG179" s="420" cm="1">
        <f t="array" ref="DG179">_xlfn.XLOOKUP("Дом 4"&amp;Реестр_Д4[[#This Row],[№]]&amp;Реестр_Д4[[#This Row],[Статус]],РД[Дом]&amp;РД[№ кв]&amp;РД[Состояние],РД[Дата подачи на регистрацию],"-",0)</f>
        <v>45351</v>
      </c>
    </row>
    <row r="180" spans="1:111" x14ac:dyDescent="0.25">
      <c r="A180">
        <v>179</v>
      </c>
      <c r="B180" t="s">
        <v>5</v>
      </c>
      <c r="C180">
        <v>9</v>
      </c>
      <c r="D180" t="s">
        <v>44</v>
      </c>
      <c r="E180">
        <v>1</v>
      </c>
      <c r="F180">
        <v>13.45</v>
      </c>
      <c r="I180">
        <v>13.45</v>
      </c>
      <c r="J180">
        <v>11.31</v>
      </c>
      <c r="K180">
        <v>3.69</v>
      </c>
      <c r="N180">
        <v>5.63</v>
      </c>
      <c r="O180">
        <v>2.59</v>
      </c>
      <c r="Q180">
        <v>2.59</v>
      </c>
      <c r="R180">
        <v>36.67</v>
      </c>
      <c r="S180">
        <v>34.08</v>
      </c>
      <c r="T180">
        <v>35.380000000000003</v>
      </c>
      <c r="U180">
        <v>36.799999999999997</v>
      </c>
      <c r="V180">
        <v>72100</v>
      </c>
      <c r="W180">
        <v>3605</v>
      </c>
      <c r="X180">
        <v>75705</v>
      </c>
      <c r="Y180">
        <v>3028.2000000000003</v>
      </c>
      <c r="Z180">
        <v>78733.2</v>
      </c>
      <c r="AA180">
        <v>3936.66</v>
      </c>
      <c r="AB180">
        <v>82669.86</v>
      </c>
      <c r="AC180">
        <v>10.16839278</v>
      </c>
      <c r="AD180">
        <v>82680.028392780005</v>
      </c>
      <c r="AE180">
        <v>4134.0014196390002</v>
      </c>
      <c r="AF180">
        <v>86814.029812419001</v>
      </c>
      <c r="AH180">
        <v>86814.029812419001</v>
      </c>
      <c r="AI180">
        <v>2604.4208943725698</v>
      </c>
      <c r="AJ180">
        <v>89418.450706791569</v>
      </c>
      <c r="AK180">
        <v>894.18450706791566</v>
      </c>
      <c r="AL180">
        <v>90312.635213859481</v>
      </c>
      <c r="AM180">
        <v>1806.2527042771897</v>
      </c>
      <c r="AN180">
        <v>92118.887918136679</v>
      </c>
      <c r="AO180">
        <v>1842.3777583627336</v>
      </c>
      <c r="AP180">
        <v>93961.265676499403</v>
      </c>
      <c r="AQ180">
        <v>2818.8379702949819</v>
      </c>
      <c r="AR180">
        <v>96780.103646794378</v>
      </c>
      <c r="AS180">
        <v>4839.0051823397189</v>
      </c>
      <c r="AT180">
        <v>101619.1088291341</v>
      </c>
      <c r="AU180">
        <v>3048.5732648740227</v>
      </c>
      <c r="AV180">
        <v>104667.68209400812</v>
      </c>
      <c r="AW180">
        <v>6280.0609256404869</v>
      </c>
      <c r="AX180">
        <v>110947.74301964859</v>
      </c>
      <c r="AZ180">
        <v>110947.74301964859</v>
      </c>
      <c r="BB180">
        <v>110947.74301964859</v>
      </c>
      <c r="BD180">
        <v>110947.74301964859</v>
      </c>
      <c r="BF180">
        <v>110947.74301964859</v>
      </c>
      <c r="BH180">
        <v>110947.74301964859</v>
      </c>
      <c r="BI180">
        <v>5547.3871509824312</v>
      </c>
      <c r="BJ180">
        <v>116495.13017063103</v>
      </c>
      <c r="BL180">
        <v>116495.13017063103</v>
      </c>
      <c r="BN180">
        <v>116495.13017063103</v>
      </c>
      <c r="BP180">
        <v>116495.13017063103</v>
      </c>
      <c r="BR180">
        <v>116495.13017063103</v>
      </c>
      <c r="BT180">
        <v>116495.13017063103</v>
      </c>
      <c r="BV180">
        <v>116495.13017063103</v>
      </c>
      <c r="BX180">
        <v>116495.13017063103</v>
      </c>
      <c r="BY180">
        <v>116495.13</v>
      </c>
      <c r="BZ180">
        <v>4121600</v>
      </c>
      <c r="CC180">
        <v>0</v>
      </c>
      <c r="CD180">
        <v>116495.19502543808</v>
      </c>
      <c r="CE180">
        <v>4121600</v>
      </c>
      <c r="CF180" t="s">
        <v>37</v>
      </c>
      <c r="CG180">
        <v>7500</v>
      </c>
      <c r="CH180">
        <v>123995.19502543808</v>
      </c>
      <c r="CI180">
        <v>265350</v>
      </c>
      <c r="CJ180">
        <v>4386950</v>
      </c>
      <c r="CN180">
        <v>0</v>
      </c>
      <c r="CO180" t="s">
        <v>39</v>
      </c>
      <c r="CP180" t="s">
        <v>39</v>
      </c>
      <c r="CQ180" t="b">
        <v>1</v>
      </c>
      <c r="CR180" t="s">
        <v>8950</v>
      </c>
      <c r="CS180" t="s">
        <v>1167</v>
      </c>
      <c r="CT180" t="s">
        <v>8960</v>
      </c>
      <c r="CU180" t="s">
        <v>8973</v>
      </c>
      <c r="CV180" t="s">
        <v>6048</v>
      </c>
      <c r="CW180" t="s">
        <v>6652</v>
      </c>
      <c r="CX180" t="s">
        <v>3246</v>
      </c>
      <c r="CY180">
        <v>1.4199999999999946</v>
      </c>
      <c r="CZ180">
        <v>176073.17693612142</v>
      </c>
      <c r="DA180">
        <v>4386950</v>
      </c>
      <c r="DB180" t="s">
        <v>37</v>
      </c>
      <c r="DC180" t="b">
        <v>1</v>
      </c>
      <c r="DD180">
        <v>4386950</v>
      </c>
      <c r="DE180">
        <v>0</v>
      </c>
      <c r="DF180" t="b">
        <v>1</v>
      </c>
      <c r="DG180" s="420" cm="1">
        <f t="array" ref="DG180">_xlfn.XLOOKUP("Дом 4"&amp;Реестр_Д4[[#This Row],[№]]&amp;Реестр_Д4[[#This Row],[Статус]],РД[Дом]&amp;РД[№ кв]&amp;РД[Состояние],РД[Дата подачи на регистрацию],"-",0)</f>
        <v>45310</v>
      </c>
    </row>
    <row r="181" spans="1:111" x14ac:dyDescent="0.25">
      <c r="A181">
        <v>180</v>
      </c>
      <c r="B181" t="s">
        <v>5</v>
      </c>
      <c r="C181">
        <v>9</v>
      </c>
      <c r="D181" t="s">
        <v>45</v>
      </c>
      <c r="E181">
        <v>1</v>
      </c>
      <c r="F181">
        <v>13.45</v>
      </c>
      <c r="I181">
        <v>13.45</v>
      </c>
      <c r="J181">
        <v>12.54</v>
      </c>
      <c r="K181">
        <v>3.69</v>
      </c>
      <c r="N181">
        <v>6.62</v>
      </c>
      <c r="O181">
        <v>3.01</v>
      </c>
      <c r="Q181">
        <v>3.01</v>
      </c>
      <c r="R181">
        <v>39.31</v>
      </c>
      <c r="S181">
        <v>36.299999999999997</v>
      </c>
      <c r="T181">
        <v>37.81</v>
      </c>
      <c r="U181">
        <v>39.200000000000003</v>
      </c>
      <c r="V181">
        <v>72800</v>
      </c>
      <c r="W181">
        <v>3640</v>
      </c>
      <c r="X181">
        <v>76440</v>
      </c>
      <c r="Y181">
        <v>3057.6</v>
      </c>
      <c r="Z181">
        <v>79497.600000000006</v>
      </c>
      <c r="AA181">
        <v>3974.880000000001</v>
      </c>
      <c r="AB181">
        <v>83472.48000000001</v>
      </c>
      <c r="AC181">
        <v>10.267115040000002</v>
      </c>
      <c r="AD181">
        <v>83482.747115040009</v>
      </c>
      <c r="AE181">
        <v>4174.137355752001</v>
      </c>
      <c r="AF181">
        <v>87656.884470792007</v>
      </c>
      <c r="AH181">
        <v>87656.884470792007</v>
      </c>
      <c r="AI181">
        <v>2629.7065341237603</v>
      </c>
      <c r="AJ181">
        <v>90286.591004915783</v>
      </c>
      <c r="AK181">
        <v>902.86591004915772</v>
      </c>
      <c r="AL181">
        <v>91189.456914964932</v>
      </c>
      <c r="AM181">
        <v>1823.7891382992989</v>
      </c>
      <c r="AN181">
        <v>93013.246053264229</v>
      </c>
      <c r="AO181">
        <v>1860.2649210652849</v>
      </c>
      <c r="AP181">
        <v>94873.510974329518</v>
      </c>
      <c r="AQ181">
        <v>2846.2053292298856</v>
      </c>
      <c r="AR181">
        <v>97719.716303559399</v>
      </c>
      <c r="AT181">
        <v>97719.716303559399</v>
      </c>
      <c r="AU181">
        <v>2931.5914891067819</v>
      </c>
      <c r="AV181">
        <v>100651.30779266618</v>
      </c>
      <c r="AW181">
        <v>6039.0784675599707</v>
      </c>
      <c r="AX181">
        <v>106690.38626022617</v>
      </c>
      <c r="AZ181">
        <v>106690.38626022617</v>
      </c>
      <c r="BB181">
        <v>106690.38626022617</v>
      </c>
      <c r="BD181">
        <v>106690.38626022617</v>
      </c>
      <c r="BE181">
        <v>1745</v>
      </c>
      <c r="BF181">
        <v>108435.38626022617</v>
      </c>
      <c r="BH181">
        <v>108435.38626022617</v>
      </c>
      <c r="BI181">
        <v>5421.7693130113075</v>
      </c>
      <c r="BJ181">
        <v>113857.15557323744</v>
      </c>
      <c r="BL181">
        <v>113857.15557323744</v>
      </c>
      <c r="BN181">
        <v>113857.15557323744</v>
      </c>
      <c r="BP181">
        <v>113857.15557323744</v>
      </c>
      <c r="BR181">
        <v>113857.15557323744</v>
      </c>
      <c r="BT181">
        <v>113857.15557323744</v>
      </c>
      <c r="BV181">
        <v>113857.15557323744</v>
      </c>
      <c r="BX181">
        <v>113857.15557323744</v>
      </c>
      <c r="BY181">
        <v>113857.16</v>
      </c>
      <c r="BZ181">
        <v>4305000</v>
      </c>
      <c r="CC181">
        <v>0</v>
      </c>
      <c r="CD181">
        <v>113858.76752181962</v>
      </c>
      <c r="CE181">
        <v>4305000</v>
      </c>
      <c r="CF181" t="s">
        <v>38</v>
      </c>
      <c r="CG181">
        <v>22000</v>
      </c>
      <c r="CH181">
        <v>135858.76752181962</v>
      </c>
      <c r="CI181">
        <v>831820</v>
      </c>
      <c r="CJ181">
        <v>5136820</v>
      </c>
      <c r="CN181">
        <v>0</v>
      </c>
      <c r="CO181" t="s">
        <v>39</v>
      </c>
      <c r="CP181" t="s">
        <v>39</v>
      </c>
      <c r="CQ181" t="b">
        <v>1</v>
      </c>
      <c r="CR181" t="s">
        <v>8950</v>
      </c>
      <c r="CS181" t="s">
        <v>1167</v>
      </c>
      <c r="CT181" t="s">
        <v>8960</v>
      </c>
      <c r="CU181" t="s">
        <v>8973</v>
      </c>
      <c r="CV181" t="s">
        <v>6049</v>
      </c>
      <c r="CW181" t="s">
        <v>6652</v>
      </c>
      <c r="CX181" t="s">
        <v>3246</v>
      </c>
      <c r="CY181">
        <v>1.3900000000000006</v>
      </c>
      <c r="CZ181">
        <v>188843.68685532935</v>
      </c>
      <c r="DA181">
        <v>5136820</v>
      </c>
      <c r="DB181" t="s">
        <v>38</v>
      </c>
      <c r="DC181" t="b">
        <v>1</v>
      </c>
      <c r="DD181">
        <v>5136820</v>
      </c>
      <c r="DE181">
        <v>0</v>
      </c>
      <c r="DF181" t="b">
        <v>1</v>
      </c>
      <c r="DG181" s="420" cm="1">
        <f t="array" ref="DG181">_xlfn.XLOOKUP("Дом 4"&amp;Реестр_Д4[[#This Row],[№]]&amp;Реестр_Д4[[#This Row],[Статус]],РД[Дом]&amp;РД[№ кв]&amp;РД[Состояние],РД[Дата подачи на регистрацию],"-",0)</f>
        <v>45348</v>
      </c>
    </row>
    <row r="182" spans="1:111" x14ac:dyDescent="0.25">
      <c r="A182">
        <v>181</v>
      </c>
      <c r="B182" t="s">
        <v>5</v>
      </c>
      <c r="C182">
        <v>9</v>
      </c>
      <c r="D182" t="s">
        <v>3351</v>
      </c>
      <c r="E182">
        <v>1</v>
      </c>
      <c r="F182">
        <v>12.11</v>
      </c>
      <c r="I182">
        <v>12.11</v>
      </c>
      <c r="J182">
        <v>12.27</v>
      </c>
      <c r="K182">
        <v>3.84</v>
      </c>
      <c r="N182">
        <v>7.06</v>
      </c>
      <c r="O182">
        <v>2.84</v>
      </c>
      <c r="Q182">
        <v>2.84</v>
      </c>
      <c r="R182">
        <v>38.119999999999997</v>
      </c>
      <c r="S182">
        <v>35.28</v>
      </c>
      <c r="T182">
        <v>36.700000000000003</v>
      </c>
      <c r="U182">
        <v>37.799999999999997</v>
      </c>
      <c r="V182">
        <v>72800</v>
      </c>
      <c r="W182">
        <v>3640</v>
      </c>
      <c r="X182">
        <v>76440</v>
      </c>
      <c r="Y182">
        <v>3057.6</v>
      </c>
      <c r="Z182">
        <v>79497.600000000006</v>
      </c>
      <c r="AA182">
        <v>3974.880000000001</v>
      </c>
      <c r="AB182">
        <v>83472.48000000001</v>
      </c>
      <c r="AC182">
        <v>10.267115040000002</v>
      </c>
      <c r="AD182">
        <v>83482.747115040009</v>
      </c>
      <c r="AE182">
        <v>4174.137355752001</v>
      </c>
      <c r="AF182">
        <v>87656.884470792007</v>
      </c>
      <c r="AH182">
        <v>87656.884470792007</v>
      </c>
      <c r="AI182">
        <v>2629.7065341237603</v>
      </c>
      <c r="AJ182">
        <v>90286.591004915783</v>
      </c>
      <c r="AL182">
        <v>90286.591004915783</v>
      </c>
      <c r="AN182">
        <v>90286.591004915783</v>
      </c>
      <c r="AP182">
        <v>90286.591004915783</v>
      </c>
      <c r="AR182">
        <v>90286.591004915783</v>
      </c>
      <c r="AT182">
        <v>90286.591004915783</v>
      </c>
      <c r="AV182">
        <v>90286.591004915783</v>
      </c>
      <c r="AX182">
        <v>90286.591004915783</v>
      </c>
      <c r="AZ182">
        <v>90286.591004915783</v>
      </c>
      <c r="BB182">
        <v>90286.591004915783</v>
      </c>
      <c r="BD182">
        <v>90286.591004915783</v>
      </c>
      <c r="BF182">
        <v>90286.591004915783</v>
      </c>
      <c r="BH182">
        <v>90286.591004915783</v>
      </c>
      <c r="BJ182">
        <v>90286.591004915783</v>
      </c>
      <c r="BL182">
        <v>90286.591004915783</v>
      </c>
      <c r="BN182">
        <v>90286.591004915783</v>
      </c>
      <c r="BP182">
        <v>90286.591004915783</v>
      </c>
      <c r="BR182">
        <v>90286.591004915783</v>
      </c>
      <c r="BT182">
        <v>90286.591004915783</v>
      </c>
      <c r="BV182">
        <v>90286.591004915783</v>
      </c>
      <c r="BX182">
        <v>90286.591004915783</v>
      </c>
      <c r="BY182">
        <v>90286.59</v>
      </c>
      <c r="BZ182">
        <v>3313517.85</v>
      </c>
      <c r="CC182">
        <v>0</v>
      </c>
      <c r="CD182">
        <v>90286.589918256126</v>
      </c>
      <c r="CE182">
        <v>3313517.85</v>
      </c>
      <c r="CF182" t="s">
        <v>37</v>
      </c>
      <c r="CG182">
        <v>4000</v>
      </c>
      <c r="CH182">
        <v>94286.589918256126</v>
      </c>
      <c r="CI182">
        <v>146800</v>
      </c>
      <c r="CJ182">
        <v>3460317.85</v>
      </c>
      <c r="CN182">
        <v>0</v>
      </c>
      <c r="CO182" t="s">
        <v>39</v>
      </c>
      <c r="CP182" t="s">
        <v>39</v>
      </c>
      <c r="CQ182" t="b">
        <v>1</v>
      </c>
      <c r="CR182" t="s">
        <v>8950</v>
      </c>
      <c r="CS182" t="s">
        <v>1167</v>
      </c>
      <c r="CT182" t="s">
        <v>8960</v>
      </c>
      <c r="CU182" t="s">
        <v>8973</v>
      </c>
      <c r="CV182" t="s">
        <v>6050</v>
      </c>
      <c r="CW182" t="s">
        <v>4895</v>
      </c>
      <c r="CX182" t="s">
        <v>3246</v>
      </c>
      <c r="CY182">
        <v>1.0999999999999943</v>
      </c>
      <c r="CZ182">
        <v>103715.24891008119</v>
      </c>
      <c r="DA182">
        <v>3460317.85</v>
      </c>
      <c r="DB182" t="s">
        <v>37</v>
      </c>
      <c r="DC182" t="b">
        <v>1</v>
      </c>
      <c r="DD182">
        <v>3460317.85</v>
      </c>
      <c r="DE182">
        <v>0</v>
      </c>
      <c r="DF182" t="b">
        <v>1</v>
      </c>
      <c r="DG182" s="420" cm="1">
        <f t="array" ref="DG182">_xlfn.XLOOKUP("Дом 4"&amp;Реестр_Д4[[#This Row],[№]]&amp;Реестр_Д4[[#This Row],[Статус]],РД[Дом]&amp;РД[№ кв]&amp;РД[Состояние],РД[Дата подачи на регистрацию],"-",0)</f>
        <v>45007</v>
      </c>
    </row>
    <row r="183" spans="1:111" x14ac:dyDescent="0.25">
      <c r="A183">
        <v>182</v>
      </c>
      <c r="B183" t="s">
        <v>5</v>
      </c>
      <c r="C183">
        <v>9</v>
      </c>
      <c r="D183" t="s">
        <v>3352</v>
      </c>
      <c r="E183">
        <v>1</v>
      </c>
      <c r="F183">
        <v>11.74</v>
      </c>
      <c r="I183">
        <v>11.74</v>
      </c>
      <c r="J183">
        <v>12.47</v>
      </c>
      <c r="K183">
        <v>3.71</v>
      </c>
      <c r="N183">
        <v>7.29</v>
      </c>
      <c r="O183">
        <v>2.89</v>
      </c>
      <c r="Q183">
        <v>2.89</v>
      </c>
      <c r="R183">
        <v>38.1</v>
      </c>
      <c r="S183">
        <v>35.21</v>
      </c>
      <c r="T183">
        <v>36.659999999999997</v>
      </c>
      <c r="U183">
        <v>37.700000000000003</v>
      </c>
      <c r="V183">
        <v>72800</v>
      </c>
      <c r="W183">
        <v>3640</v>
      </c>
      <c r="X183">
        <v>76440</v>
      </c>
      <c r="Y183">
        <v>3057.6</v>
      </c>
      <c r="Z183">
        <v>79497.600000000006</v>
      </c>
      <c r="AA183">
        <v>3974.880000000001</v>
      </c>
      <c r="AB183">
        <v>83472.48000000001</v>
      </c>
      <c r="AC183">
        <v>10.267115040000002</v>
      </c>
      <c r="AD183">
        <v>83482.747115040009</v>
      </c>
      <c r="AE183">
        <v>4174.137355752001</v>
      </c>
      <c r="AF183">
        <v>87656.884470792007</v>
      </c>
      <c r="AH183">
        <v>87656.884470792007</v>
      </c>
      <c r="AI183">
        <v>2629.7065341237603</v>
      </c>
      <c r="AJ183">
        <v>90286.591004915783</v>
      </c>
      <c r="AK183">
        <v>902.86591004915772</v>
      </c>
      <c r="AL183">
        <v>91189.456914964932</v>
      </c>
      <c r="AM183">
        <v>1823.7891382992989</v>
      </c>
      <c r="AN183">
        <v>93013.246053264229</v>
      </c>
      <c r="AO183">
        <v>1860.2649210652849</v>
      </c>
      <c r="AP183">
        <v>94873.510974329518</v>
      </c>
      <c r="AQ183">
        <v>2846.2053292298856</v>
      </c>
      <c r="AR183">
        <v>97719.716303559399</v>
      </c>
      <c r="AS183">
        <v>4885.9858151779699</v>
      </c>
      <c r="AT183">
        <v>102605.70211873736</v>
      </c>
      <c r="AU183">
        <v>3078.1710635621207</v>
      </c>
      <c r="AV183">
        <v>105683.87318229947</v>
      </c>
      <c r="AW183">
        <v>6341.0323909379695</v>
      </c>
      <c r="AX183">
        <v>112024.90557323744</v>
      </c>
      <c r="AZ183">
        <v>112024.90557323744</v>
      </c>
      <c r="BB183">
        <v>112024.90557323744</v>
      </c>
      <c r="BD183">
        <v>112024.90557323744</v>
      </c>
      <c r="BF183">
        <v>112024.90557323744</v>
      </c>
      <c r="BH183">
        <v>112024.90557323744</v>
      </c>
      <c r="BI183">
        <v>5601.2452786618733</v>
      </c>
      <c r="BJ183">
        <v>117626.15085189932</v>
      </c>
      <c r="BL183">
        <v>117626.15085189932</v>
      </c>
      <c r="BN183">
        <v>117626.15085189932</v>
      </c>
      <c r="BP183">
        <v>117626.15085189932</v>
      </c>
      <c r="BR183">
        <v>117626.15085189932</v>
      </c>
      <c r="BT183">
        <v>117626.15085189932</v>
      </c>
      <c r="BV183">
        <v>117626.15085189932</v>
      </c>
      <c r="BX183">
        <v>117626.15085189932</v>
      </c>
      <c r="BY183">
        <v>117626.15</v>
      </c>
      <c r="BZ183">
        <v>4312200</v>
      </c>
      <c r="CC183">
        <v>0</v>
      </c>
      <c r="CD183">
        <v>117626.84124386254</v>
      </c>
      <c r="CE183">
        <v>4312200</v>
      </c>
      <c r="CF183" t="s">
        <v>38</v>
      </c>
      <c r="CG183">
        <v>22000</v>
      </c>
      <c r="CH183">
        <v>139626.84124386252</v>
      </c>
      <c r="CI183">
        <v>806520</v>
      </c>
      <c r="CJ183">
        <v>5118720</v>
      </c>
      <c r="CN183">
        <v>0</v>
      </c>
      <c r="CO183" t="s">
        <v>39</v>
      </c>
      <c r="CP183" t="s">
        <v>39</v>
      </c>
      <c r="CQ183" t="b">
        <v>1</v>
      </c>
      <c r="CR183" t="s">
        <v>8950</v>
      </c>
      <c r="CS183" t="s">
        <v>1167</v>
      </c>
      <c r="CT183" t="s">
        <v>8960</v>
      </c>
      <c r="CU183" t="s">
        <v>8973</v>
      </c>
      <c r="CV183" t="s">
        <v>6051</v>
      </c>
      <c r="CW183" t="s">
        <v>6652</v>
      </c>
      <c r="CX183" t="s">
        <v>3246</v>
      </c>
      <c r="CY183">
        <v>1.0399999999999991</v>
      </c>
      <c r="CZ183">
        <v>145211.91489361689</v>
      </c>
      <c r="DA183">
        <v>5118720</v>
      </c>
      <c r="DB183" t="s">
        <v>38</v>
      </c>
      <c r="DC183" t="b">
        <v>1</v>
      </c>
      <c r="DD183">
        <v>5118720</v>
      </c>
      <c r="DE183">
        <v>0</v>
      </c>
      <c r="DF183" t="b">
        <v>1</v>
      </c>
      <c r="DG183" s="420" cm="1">
        <f t="array" ref="DG183">_xlfn.XLOOKUP("Дом 4"&amp;Реестр_Д4[[#This Row],[№]]&amp;Реестр_Д4[[#This Row],[Статус]],РД[Дом]&amp;РД[№ кв]&amp;РД[Состояние],РД[Дата подачи на регистрацию],"-",0)</f>
        <v>45316</v>
      </c>
    </row>
    <row r="184" spans="1:111" x14ac:dyDescent="0.25">
      <c r="A184">
        <v>183</v>
      </c>
      <c r="B184" t="s">
        <v>5</v>
      </c>
      <c r="C184">
        <v>9</v>
      </c>
      <c r="D184" t="s">
        <v>3353</v>
      </c>
      <c r="E184">
        <v>3</v>
      </c>
      <c r="F184">
        <v>14.79</v>
      </c>
      <c r="G184">
        <v>14.24</v>
      </c>
      <c r="H184">
        <v>13.63</v>
      </c>
      <c r="I184">
        <v>42.66</v>
      </c>
      <c r="J184">
        <v>13.29</v>
      </c>
      <c r="K184">
        <v>4.72</v>
      </c>
      <c r="L184">
        <v>1.66</v>
      </c>
      <c r="M184">
        <v>2.19</v>
      </c>
      <c r="N184">
        <v>11.45</v>
      </c>
      <c r="O184">
        <v>2.73</v>
      </c>
      <c r="P184">
        <v>2.78</v>
      </c>
      <c r="Q184">
        <v>5.51</v>
      </c>
      <c r="R184">
        <v>81.48</v>
      </c>
      <c r="S184">
        <v>75.97</v>
      </c>
      <c r="T184">
        <v>78.73</v>
      </c>
      <c r="U184">
        <v>80.7</v>
      </c>
      <c r="V184">
        <v>68992.000000000015</v>
      </c>
      <c r="W184">
        <v>3449.6000000000008</v>
      </c>
      <c r="X184">
        <v>72441.60000000002</v>
      </c>
      <c r="Z184">
        <v>72441.60000000002</v>
      </c>
      <c r="AB184">
        <v>72441.60000000002</v>
      </c>
      <c r="AC184">
        <v>8.9103168000000039</v>
      </c>
      <c r="AD184">
        <v>72450.510316800021</v>
      </c>
      <c r="AF184">
        <v>72450.510316800021</v>
      </c>
      <c r="AH184">
        <v>72450.510316800021</v>
      </c>
      <c r="AJ184">
        <v>72450.510316800021</v>
      </c>
      <c r="AL184">
        <v>72450.510316800021</v>
      </c>
      <c r="AN184">
        <v>72450.510316800021</v>
      </c>
      <c r="AP184">
        <v>72450.510316800021</v>
      </c>
      <c r="AR184">
        <v>72450.510316800021</v>
      </c>
      <c r="AT184">
        <v>72450.510316800021</v>
      </c>
      <c r="AV184">
        <v>72450.510316800021</v>
      </c>
      <c r="AX184">
        <v>72450.510316800021</v>
      </c>
      <c r="AZ184">
        <v>72450.510316800021</v>
      </c>
      <c r="BB184">
        <v>72450.510316800021</v>
      </c>
      <c r="BD184">
        <v>72450.510316800021</v>
      </c>
      <c r="BF184">
        <v>72450.510316800021</v>
      </c>
      <c r="BH184">
        <v>72450.510316800021</v>
      </c>
      <c r="BJ184">
        <v>72450.510316800021</v>
      </c>
      <c r="BL184">
        <v>72450.510316800021</v>
      </c>
      <c r="BN184">
        <v>72450.510316800021</v>
      </c>
      <c r="BP184">
        <v>72450.510316800021</v>
      </c>
      <c r="BR184">
        <v>72450.510316800021</v>
      </c>
      <c r="BT184">
        <v>72450.510316800021</v>
      </c>
      <c r="BV184">
        <v>72450.510316800021</v>
      </c>
      <c r="BX184">
        <v>72450.510316800021</v>
      </c>
      <c r="BY184">
        <v>72450.509999999995</v>
      </c>
      <c r="BZ184">
        <v>5704028.6500000004</v>
      </c>
      <c r="CB184">
        <v>0.05</v>
      </c>
      <c r="CC184">
        <v>285201.43250000005</v>
      </c>
      <c r="CD184">
        <v>68827.984504001011</v>
      </c>
      <c r="CE184">
        <v>5418827.2199999997</v>
      </c>
      <c r="CF184" t="s">
        <v>36</v>
      </c>
      <c r="CH184">
        <v>68827.984504001011</v>
      </c>
      <c r="CI184">
        <v>0</v>
      </c>
      <c r="CJ184">
        <v>5418827.2199999997</v>
      </c>
      <c r="CL184" t="s">
        <v>3540</v>
      </c>
      <c r="CN184">
        <v>0</v>
      </c>
      <c r="CO184" t="s">
        <v>39</v>
      </c>
      <c r="CP184" t="s">
        <v>39</v>
      </c>
      <c r="CQ184" t="b">
        <v>1</v>
      </c>
      <c r="CR184" t="s">
        <v>8950</v>
      </c>
      <c r="CS184" t="s">
        <v>1167</v>
      </c>
      <c r="CT184" t="s">
        <v>8960</v>
      </c>
      <c r="CU184" t="s">
        <v>8975</v>
      </c>
      <c r="CV184" t="s">
        <v>6052</v>
      </c>
      <c r="CW184" t="s">
        <v>4895</v>
      </c>
      <c r="CX184" t="s">
        <v>3246</v>
      </c>
      <c r="CY184">
        <v>1.9699999999999989</v>
      </c>
      <c r="CZ184">
        <v>135591.1294728819</v>
      </c>
      <c r="DA184">
        <v>5418827.2199999997</v>
      </c>
      <c r="DB184" t="s">
        <v>36</v>
      </c>
      <c r="DC184" t="b">
        <v>1</v>
      </c>
      <c r="DD184">
        <v>5418827.2199999997</v>
      </c>
      <c r="DE184">
        <v>0</v>
      </c>
      <c r="DF184" t="b">
        <v>1</v>
      </c>
      <c r="DG184" s="420" cm="1">
        <f t="array" ref="DG184">_xlfn.XLOOKUP("Дом 4"&amp;Реестр_Д4[[#This Row],[№]]&amp;Реестр_Д4[[#This Row],[Статус]],РД[Дом]&amp;РД[№ кв]&amp;РД[Состояние],РД[Дата подачи на регистрацию],"-",0)</f>
        <v>44957</v>
      </c>
    </row>
    <row r="185" spans="1:111" x14ac:dyDescent="0.25">
      <c r="A185">
        <v>184</v>
      </c>
      <c r="B185" t="s">
        <v>5</v>
      </c>
      <c r="C185">
        <v>9</v>
      </c>
      <c r="D185" t="s">
        <v>3354</v>
      </c>
      <c r="E185">
        <v>1</v>
      </c>
      <c r="F185">
        <v>14.13</v>
      </c>
      <c r="I185">
        <v>14.13</v>
      </c>
      <c r="J185">
        <v>9.2100000000000009</v>
      </c>
      <c r="K185">
        <v>3.66</v>
      </c>
      <c r="N185">
        <v>5.55</v>
      </c>
      <c r="O185">
        <v>2.48</v>
      </c>
      <c r="Q185">
        <v>2.48</v>
      </c>
      <c r="R185">
        <v>35.03</v>
      </c>
      <c r="S185">
        <v>32.550000000000004</v>
      </c>
      <c r="T185">
        <v>33.79</v>
      </c>
      <c r="U185">
        <v>34.799999999999997</v>
      </c>
      <c r="V185">
        <v>70700</v>
      </c>
      <c r="W185">
        <v>3535</v>
      </c>
      <c r="X185">
        <v>74235</v>
      </c>
      <c r="Y185">
        <v>2969.4</v>
      </c>
      <c r="Z185">
        <v>77204.399999999994</v>
      </c>
      <c r="AB185">
        <v>77204.399999999994</v>
      </c>
      <c r="AD185">
        <v>77204.399999999994</v>
      </c>
      <c r="AF185">
        <v>77204.399999999994</v>
      </c>
      <c r="AH185">
        <v>77204.399999999994</v>
      </c>
      <c r="AJ185">
        <v>77204.399999999994</v>
      </c>
      <c r="AL185">
        <v>77204.399999999994</v>
      </c>
      <c r="AN185">
        <v>77204.399999999994</v>
      </c>
      <c r="AP185">
        <v>77204.399999999994</v>
      </c>
      <c r="AR185">
        <v>77204.399999999994</v>
      </c>
      <c r="AT185">
        <v>77204.399999999994</v>
      </c>
      <c r="AV185">
        <v>77204.399999999994</v>
      </c>
      <c r="AX185">
        <v>77204.399999999994</v>
      </c>
      <c r="AZ185">
        <v>77204.399999999994</v>
      </c>
      <c r="BB185">
        <v>77204.399999999994</v>
      </c>
      <c r="BD185">
        <v>77204.399999999994</v>
      </c>
      <c r="BF185">
        <v>77204.399999999994</v>
      </c>
      <c r="BH185">
        <v>77204.399999999994</v>
      </c>
      <c r="BJ185">
        <v>77204.399999999994</v>
      </c>
      <c r="BL185">
        <v>77204.399999999994</v>
      </c>
      <c r="BN185">
        <v>77204.399999999994</v>
      </c>
      <c r="BP185">
        <v>77204.399999999994</v>
      </c>
      <c r="BR185">
        <v>77204.399999999994</v>
      </c>
      <c r="BT185">
        <v>77204.399999999994</v>
      </c>
      <c r="BV185">
        <v>77204.399999999994</v>
      </c>
      <c r="BX185">
        <v>77204.399999999994</v>
      </c>
      <c r="BY185">
        <v>77204.399999999994</v>
      </c>
      <c r="BZ185">
        <v>2608736.6800000002</v>
      </c>
      <c r="CB185">
        <v>0.05</v>
      </c>
      <c r="CC185">
        <v>130436.83400000002</v>
      </c>
      <c r="CD185">
        <v>73344.180230837534</v>
      </c>
      <c r="CE185">
        <v>2478299.85</v>
      </c>
      <c r="CF185" t="s">
        <v>37</v>
      </c>
      <c r="CG185">
        <v>7500</v>
      </c>
      <c r="CH185">
        <v>80844.180230837534</v>
      </c>
      <c r="CI185">
        <v>253425</v>
      </c>
      <c r="CJ185">
        <v>2731724.85</v>
      </c>
      <c r="CK185" t="s">
        <v>57</v>
      </c>
      <c r="CL185" t="s">
        <v>3540</v>
      </c>
      <c r="CN185">
        <v>0</v>
      </c>
      <c r="CO185" t="s">
        <v>39</v>
      </c>
      <c r="CP185" t="s">
        <v>39</v>
      </c>
      <c r="CQ185" t="b">
        <v>1</v>
      </c>
      <c r="CR185" t="s">
        <v>8950</v>
      </c>
      <c r="CS185" t="s">
        <v>1167</v>
      </c>
      <c r="CT185" t="s">
        <v>8960</v>
      </c>
      <c r="CU185" t="s">
        <v>8973</v>
      </c>
      <c r="CV185" t="s">
        <v>6053</v>
      </c>
      <c r="CW185" t="s">
        <v>4895</v>
      </c>
      <c r="CX185" t="s">
        <v>3246</v>
      </c>
      <c r="CY185">
        <v>1.009999999999998</v>
      </c>
      <c r="CZ185">
        <v>81652.622033145744</v>
      </c>
      <c r="DA185">
        <v>2731724.85</v>
      </c>
      <c r="DB185" t="s">
        <v>37</v>
      </c>
      <c r="DC185" t="b">
        <v>1</v>
      </c>
      <c r="DD185">
        <v>2731724.85</v>
      </c>
      <c r="DE185">
        <v>0</v>
      </c>
      <c r="DF185" t="b">
        <v>1</v>
      </c>
      <c r="DG185" s="420" cm="1">
        <f t="array" ref="DG185">_xlfn.XLOOKUP("Дом 4"&amp;Реестр_Д4[[#This Row],[№]]&amp;Реестр_Д4[[#This Row],[Статус]],РД[Дом]&amp;РД[№ кв]&amp;РД[Состояние],РД[Дата подачи на регистрацию],"-",0)</f>
        <v>44881</v>
      </c>
    </row>
    <row r="186" spans="1:111" x14ac:dyDescent="0.25">
      <c r="A186">
        <v>185</v>
      </c>
      <c r="B186" t="s">
        <v>5</v>
      </c>
      <c r="C186">
        <v>10</v>
      </c>
      <c r="D186" t="s">
        <v>42</v>
      </c>
      <c r="E186">
        <v>0</v>
      </c>
      <c r="F186">
        <v>13.95</v>
      </c>
      <c r="I186">
        <v>13.95</v>
      </c>
      <c r="J186">
        <v>5.77</v>
      </c>
      <c r="K186">
        <v>3.6</v>
      </c>
      <c r="N186">
        <v>3.59</v>
      </c>
      <c r="O186">
        <v>4.12</v>
      </c>
      <c r="Q186">
        <v>4.12</v>
      </c>
      <c r="R186">
        <v>31.03</v>
      </c>
      <c r="S186">
        <v>26.91</v>
      </c>
      <c r="T186">
        <v>28.97</v>
      </c>
      <c r="U186">
        <v>29.7</v>
      </c>
      <c r="V186">
        <v>75600</v>
      </c>
      <c r="W186">
        <v>3780</v>
      </c>
      <c r="X186">
        <v>79380</v>
      </c>
      <c r="Z186">
        <v>79380</v>
      </c>
      <c r="AB186">
        <v>79380</v>
      </c>
      <c r="AC186">
        <v>9.7637400000000003</v>
      </c>
      <c r="AD186">
        <v>79389.763739999995</v>
      </c>
      <c r="AE186">
        <v>3969.4881869999999</v>
      </c>
      <c r="AF186">
        <v>83359.25192699999</v>
      </c>
      <c r="AH186">
        <v>83359.25192699999</v>
      </c>
      <c r="AJ186">
        <v>83359.25192699999</v>
      </c>
      <c r="AK186">
        <v>833.5925192699998</v>
      </c>
      <c r="AL186">
        <v>84192.844446269984</v>
      </c>
      <c r="AM186">
        <v>1683.8568889253995</v>
      </c>
      <c r="AN186">
        <v>85876.701335195379</v>
      </c>
      <c r="AP186">
        <v>85876.701335195379</v>
      </c>
      <c r="AR186">
        <v>85876.701335195379</v>
      </c>
      <c r="AT186">
        <v>85876.701335195379</v>
      </c>
      <c r="AV186">
        <v>85876.701335195379</v>
      </c>
      <c r="AX186">
        <v>85876.701335195379</v>
      </c>
      <c r="AZ186">
        <v>85876.701335195379</v>
      </c>
      <c r="BB186">
        <v>85876.701335195379</v>
      </c>
      <c r="BD186">
        <v>85876.701335195379</v>
      </c>
      <c r="BF186">
        <v>85876.701335195379</v>
      </c>
      <c r="BH186">
        <v>85876.701335195379</v>
      </c>
      <c r="BJ186">
        <v>85876.701335195379</v>
      </c>
      <c r="BL186">
        <v>85876.701335195379</v>
      </c>
      <c r="BN186">
        <v>85876.701335195379</v>
      </c>
      <c r="BP186">
        <v>85876.701335195379</v>
      </c>
      <c r="BR186">
        <v>85876.701335195379</v>
      </c>
      <c r="BT186">
        <v>85876.701335195379</v>
      </c>
      <c r="BV186">
        <v>85876.701335195379</v>
      </c>
      <c r="BX186">
        <v>85876.701335195379</v>
      </c>
      <c r="BY186">
        <v>85876.7</v>
      </c>
      <c r="BZ186">
        <v>2487848</v>
      </c>
      <c r="CC186">
        <v>0</v>
      </c>
      <c r="CD186">
        <v>85876.700034518464</v>
      </c>
      <c r="CE186">
        <v>2487848</v>
      </c>
      <c r="CF186" t="s">
        <v>37</v>
      </c>
      <c r="CG186">
        <v>4000</v>
      </c>
      <c r="CH186">
        <v>89876.700034518464</v>
      </c>
      <c r="CI186">
        <v>115880</v>
      </c>
      <c r="CJ186">
        <v>2603728</v>
      </c>
      <c r="CN186">
        <v>0</v>
      </c>
      <c r="CO186" t="s">
        <v>39</v>
      </c>
      <c r="CP186" t="s">
        <v>39</v>
      </c>
      <c r="CQ186" t="b">
        <v>1</v>
      </c>
      <c r="CR186" t="s">
        <v>8950</v>
      </c>
      <c r="CS186" t="s">
        <v>1167</v>
      </c>
      <c r="CT186" t="s">
        <v>8960</v>
      </c>
      <c r="CU186" t="s">
        <v>8970</v>
      </c>
      <c r="CV186" t="s">
        <v>6054</v>
      </c>
      <c r="CW186" t="s">
        <v>4895</v>
      </c>
      <c r="CX186" t="s">
        <v>3246</v>
      </c>
      <c r="CY186">
        <v>0.73000000000000043</v>
      </c>
      <c r="CZ186">
        <v>65609.991025198513</v>
      </c>
      <c r="DA186">
        <v>2603728</v>
      </c>
      <c r="DB186" t="s">
        <v>37</v>
      </c>
      <c r="DC186" t="b">
        <v>1</v>
      </c>
      <c r="DD186">
        <v>2603728</v>
      </c>
      <c r="DE186">
        <v>0</v>
      </c>
      <c r="DF186" t="b">
        <v>1</v>
      </c>
      <c r="DG186" s="420" cm="1">
        <f t="array" ref="DG186">_xlfn.XLOOKUP("Дом 4"&amp;Реестр_Д4[[#This Row],[№]]&amp;Реестр_Д4[[#This Row],[Статус]],РД[Дом]&amp;РД[№ кв]&amp;РД[Состояние],РД[Дата подачи на регистрацию],"-",0)</f>
        <v>45069</v>
      </c>
    </row>
    <row r="187" spans="1:111" x14ac:dyDescent="0.25">
      <c r="A187">
        <v>186</v>
      </c>
      <c r="B187" t="s">
        <v>5</v>
      </c>
      <c r="C187">
        <v>10</v>
      </c>
      <c r="D187" t="s">
        <v>43</v>
      </c>
      <c r="E187">
        <v>2</v>
      </c>
      <c r="F187">
        <v>17.54</v>
      </c>
      <c r="G187">
        <v>12.04</v>
      </c>
      <c r="I187">
        <v>29.58</v>
      </c>
      <c r="J187">
        <v>17.010000000000002</v>
      </c>
      <c r="K187">
        <v>3.71</v>
      </c>
      <c r="L187">
        <v>2.64</v>
      </c>
      <c r="N187">
        <v>13.06</v>
      </c>
      <c r="O187">
        <v>2.61</v>
      </c>
      <c r="P187">
        <v>2.88</v>
      </c>
      <c r="Q187">
        <v>5.49</v>
      </c>
      <c r="R187">
        <v>71.489999999999995</v>
      </c>
      <c r="S187">
        <v>66</v>
      </c>
      <c r="T187">
        <v>68.75</v>
      </c>
      <c r="U187">
        <v>69.8</v>
      </c>
      <c r="V187">
        <v>71971.199999999997</v>
      </c>
      <c r="W187">
        <v>3598.56</v>
      </c>
      <c r="X187">
        <v>75569.759999999995</v>
      </c>
      <c r="Z187">
        <v>75569.759999999995</v>
      </c>
      <c r="AA187">
        <v>3778.4879999999998</v>
      </c>
      <c r="AB187">
        <v>79348.248000000007</v>
      </c>
      <c r="AC187">
        <v>9.7598345040000005</v>
      </c>
      <c r="AD187">
        <v>79358.007834503995</v>
      </c>
      <c r="AF187">
        <v>79358.007834503995</v>
      </c>
      <c r="AH187">
        <v>79358.007834503995</v>
      </c>
      <c r="AI187">
        <v>1587.1601566900799</v>
      </c>
      <c r="AJ187">
        <v>80945.167991194074</v>
      </c>
      <c r="AL187">
        <v>80945.167991194074</v>
      </c>
      <c r="AN187">
        <v>80945.167991194074</v>
      </c>
      <c r="AP187">
        <v>80945.167991194074</v>
      </c>
      <c r="AR187">
        <v>80945.167991194074</v>
      </c>
      <c r="AT187">
        <v>80945.167991194074</v>
      </c>
      <c r="AV187">
        <v>80945.167991194074</v>
      </c>
      <c r="AX187">
        <v>80945.167991194074</v>
      </c>
      <c r="AZ187">
        <v>80945.167991194074</v>
      </c>
      <c r="BB187">
        <v>80945.167991194074</v>
      </c>
      <c r="BD187">
        <v>80945.167991194074</v>
      </c>
      <c r="BF187">
        <v>80945.167991194074</v>
      </c>
      <c r="BH187">
        <v>80945.167991194074</v>
      </c>
      <c r="BJ187">
        <v>80945.167991194074</v>
      </c>
      <c r="BL187">
        <v>80945.167991194074</v>
      </c>
      <c r="BN187">
        <v>80945.167991194074</v>
      </c>
      <c r="BP187">
        <v>80945.167991194074</v>
      </c>
      <c r="BR187">
        <v>80945.167991194074</v>
      </c>
      <c r="BT187">
        <v>80945.167991194074</v>
      </c>
      <c r="BV187">
        <v>80945.167991194074</v>
      </c>
      <c r="BX187">
        <v>80945.167991194074</v>
      </c>
      <c r="BY187">
        <v>80945.17</v>
      </c>
      <c r="BZ187">
        <v>5564980.4400000004</v>
      </c>
      <c r="CC187">
        <v>0</v>
      </c>
      <c r="CD187">
        <v>80945.170036363648</v>
      </c>
      <c r="CE187">
        <v>5564980.4400000004</v>
      </c>
      <c r="CF187" t="s">
        <v>37</v>
      </c>
      <c r="CG187">
        <v>4000</v>
      </c>
      <c r="CH187">
        <v>84945.170036363648</v>
      </c>
      <c r="CI187">
        <v>275000</v>
      </c>
      <c r="CJ187">
        <v>5839980.4400000004</v>
      </c>
      <c r="CN187">
        <v>0</v>
      </c>
      <c r="CO187" t="s">
        <v>39</v>
      </c>
      <c r="CP187" t="s">
        <v>39</v>
      </c>
      <c r="CQ187" t="b">
        <v>1</v>
      </c>
      <c r="CR187" t="s">
        <v>8950</v>
      </c>
      <c r="CS187" t="s">
        <v>1167</v>
      </c>
      <c r="CT187" t="s">
        <v>8960</v>
      </c>
      <c r="CU187" t="s">
        <v>8971</v>
      </c>
      <c r="CV187" t="s">
        <v>6055</v>
      </c>
      <c r="CW187" t="s">
        <v>4895</v>
      </c>
      <c r="CX187" t="s">
        <v>3246</v>
      </c>
      <c r="CY187">
        <v>1.0499999999999972</v>
      </c>
      <c r="CZ187">
        <v>89192.428538181586</v>
      </c>
      <c r="DA187">
        <v>5839980.4400000004</v>
      </c>
      <c r="DB187" t="s">
        <v>37</v>
      </c>
      <c r="DC187" t="b">
        <v>1</v>
      </c>
      <c r="DD187">
        <v>5839980.4400000004</v>
      </c>
      <c r="DE187">
        <v>0</v>
      </c>
      <c r="DF187" t="b">
        <v>1</v>
      </c>
      <c r="DG187" s="420" cm="1">
        <f t="array" ref="DG187">_xlfn.XLOOKUP("Дом 4"&amp;Реестр_Д4[[#This Row],[№]]&amp;Реестр_Д4[[#This Row],[Статус]],РД[Дом]&amp;РД[№ кв]&amp;РД[Состояние],РД[Дата подачи на регистрацию],"-",0)</f>
        <v>45007</v>
      </c>
    </row>
    <row r="188" spans="1:111" x14ac:dyDescent="0.25">
      <c r="A188">
        <v>187</v>
      </c>
      <c r="B188" t="s">
        <v>5</v>
      </c>
      <c r="C188">
        <v>10</v>
      </c>
      <c r="D188" t="s">
        <v>44</v>
      </c>
      <c r="E188">
        <v>1</v>
      </c>
      <c r="F188">
        <v>13.45</v>
      </c>
      <c r="I188">
        <v>13.45</v>
      </c>
      <c r="J188">
        <v>11.31</v>
      </c>
      <c r="K188">
        <v>3.69</v>
      </c>
      <c r="N188">
        <v>5.63</v>
      </c>
      <c r="O188">
        <v>2.59</v>
      </c>
      <c r="Q188">
        <v>2.59</v>
      </c>
      <c r="R188">
        <v>36.67</v>
      </c>
      <c r="S188">
        <v>34.08</v>
      </c>
      <c r="T188">
        <v>35.380000000000003</v>
      </c>
      <c r="U188">
        <v>36.499999999999993</v>
      </c>
      <c r="V188">
        <v>72100</v>
      </c>
      <c r="W188">
        <v>3605</v>
      </c>
      <c r="X188">
        <v>75705</v>
      </c>
      <c r="Y188">
        <v>3028.2000000000003</v>
      </c>
      <c r="Z188">
        <v>78733.2</v>
      </c>
      <c r="AA188">
        <v>3936.66</v>
      </c>
      <c r="AB188">
        <v>82669.86</v>
      </c>
      <c r="AC188">
        <v>10.16839278</v>
      </c>
      <c r="AD188">
        <v>82680.028392780005</v>
      </c>
      <c r="AE188">
        <v>4134.0014196390002</v>
      </c>
      <c r="AF188">
        <v>86814.029812419001</v>
      </c>
      <c r="AH188">
        <v>86814.029812419001</v>
      </c>
      <c r="AJ188">
        <v>86814.029812419001</v>
      </c>
      <c r="AL188">
        <v>86814.029812419001</v>
      </c>
      <c r="AN188">
        <v>86814.029812419001</v>
      </c>
      <c r="AP188">
        <v>86814.029812419001</v>
      </c>
      <c r="AR188">
        <v>86814.029812419001</v>
      </c>
      <c r="AT188">
        <v>86814.029812419001</v>
      </c>
      <c r="AV188">
        <v>86814.029812419001</v>
      </c>
      <c r="AX188">
        <v>86814.029812419001</v>
      </c>
      <c r="AZ188">
        <v>86814.029812419001</v>
      </c>
      <c r="BB188">
        <v>86814.029812419001</v>
      </c>
      <c r="BD188">
        <v>86814.029812419001</v>
      </c>
      <c r="BF188">
        <v>86814.029812419001</v>
      </c>
      <c r="BH188">
        <v>86814.029812419001</v>
      </c>
      <c r="BJ188">
        <v>86814.029812419001</v>
      </c>
      <c r="BL188">
        <v>86814.029812419001</v>
      </c>
      <c r="BN188">
        <v>86814.029812419001</v>
      </c>
      <c r="BP188">
        <v>86814.029812419001</v>
      </c>
      <c r="BR188">
        <v>86814.029812419001</v>
      </c>
      <c r="BT188">
        <v>86814.029812419001</v>
      </c>
      <c r="BV188">
        <v>86814.029812419001</v>
      </c>
      <c r="BX188">
        <v>86814.029812419001</v>
      </c>
      <c r="BY188">
        <v>86814.03</v>
      </c>
      <c r="BZ188">
        <v>3071480.38</v>
      </c>
      <c r="CC188">
        <v>0</v>
      </c>
      <c r="CD188">
        <v>86814.029960429616</v>
      </c>
      <c r="CE188">
        <v>3071480.38</v>
      </c>
      <c r="CF188" t="s">
        <v>37</v>
      </c>
      <c r="CG188">
        <v>4000</v>
      </c>
      <c r="CH188">
        <v>90814.029960429616</v>
      </c>
      <c r="CI188">
        <v>141520</v>
      </c>
      <c r="CJ188">
        <v>3213000.38</v>
      </c>
      <c r="CN188">
        <v>0</v>
      </c>
      <c r="CO188" t="s">
        <v>39</v>
      </c>
      <c r="CP188" t="s">
        <v>39</v>
      </c>
      <c r="CQ188" t="b">
        <v>1</v>
      </c>
      <c r="CR188" t="s">
        <v>8950</v>
      </c>
      <c r="CS188" t="s">
        <v>1167</v>
      </c>
      <c r="CT188" t="s">
        <v>8960</v>
      </c>
      <c r="CU188" t="s">
        <v>8973</v>
      </c>
      <c r="CV188" t="s">
        <v>6056</v>
      </c>
      <c r="CW188" t="s">
        <v>4895</v>
      </c>
      <c r="CX188" t="s">
        <v>3246</v>
      </c>
      <c r="CY188">
        <v>1.1199999999999903</v>
      </c>
      <c r="CZ188">
        <v>101711.7135556803</v>
      </c>
      <c r="DA188">
        <v>3213000.38</v>
      </c>
      <c r="DB188" t="s">
        <v>37</v>
      </c>
      <c r="DC188" t="b">
        <v>1</v>
      </c>
      <c r="DD188">
        <v>3213000.38</v>
      </c>
      <c r="DE188">
        <v>0</v>
      </c>
      <c r="DF188" t="b">
        <v>1</v>
      </c>
      <c r="DG188" s="420" cm="1">
        <f t="array" ref="DG188">_xlfn.XLOOKUP("Дом 4"&amp;Реестр_Д4[[#This Row],[№]]&amp;Реестр_Д4[[#This Row],[Статус]],РД[Дом]&amp;РД[№ кв]&amp;РД[Состояние],РД[Дата подачи на регистрацию],"-",0)</f>
        <v>44966</v>
      </c>
    </row>
    <row r="189" spans="1:111" x14ac:dyDescent="0.25">
      <c r="A189">
        <v>188</v>
      </c>
      <c r="B189" t="s">
        <v>5</v>
      </c>
      <c r="C189">
        <v>10</v>
      </c>
      <c r="D189" t="s">
        <v>45</v>
      </c>
      <c r="E189">
        <v>1</v>
      </c>
      <c r="F189">
        <v>13.45</v>
      </c>
      <c r="I189">
        <v>13.45</v>
      </c>
      <c r="J189">
        <v>12.54</v>
      </c>
      <c r="K189">
        <v>3.69</v>
      </c>
      <c r="N189">
        <v>6.62</v>
      </c>
      <c r="O189">
        <v>3.01</v>
      </c>
      <c r="Q189">
        <v>3.01</v>
      </c>
      <c r="R189">
        <v>39.31</v>
      </c>
      <c r="S189">
        <v>36.299999999999997</v>
      </c>
      <c r="T189">
        <v>37.81</v>
      </c>
      <c r="U189">
        <v>39.200000000000003</v>
      </c>
      <c r="V189">
        <v>72800</v>
      </c>
      <c r="W189">
        <v>3640</v>
      </c>
      <c r="X189">
        <v>76440</v>
      </c>
      <c r="Y189">
        <v>3057.6</v>
      </c>
      <c r="Z189">
        <v>79497.600000000006</v>
      </c>
      <c r="AA189">
        <v>3974.880000000001</v>
      </c>
      <c r="AB189">
        <v>83472.48000000001</v>
      </c>
      <c r="AC189">
        <v>10.267115040000002</v>
      </c>
      <c r="AD189">
        <v>83482.747115040009</v>
      </c>
      <c r="AE189">
        <v>4174.137355752001</v>
      </c>
      <c r="AF189">
        <v>87656.884470792007</v>
      </c>
      <c r="AH189">
        <v>87656.884470792007</v>
      </c>
      <c r="AI189">
        <v>2629.7065341237603</v>
      </c>
      <c r="AJ189">
        <v>90286.591004915783</v>
      </c>
      <c r="AL189">
        <v>90286.591004915783</v>
      </c>
      <c r="AN189">
        <v>90286.591004915783</v>
      </c>
      <c r="AP189">
        <v>90286.591004915783</v>
      </c>
      <c r="AR189">
        <v>90286.591004915783</v>
      </c>
      <c r="AT189">
        <v>90286.591004915783</v>
      </c>
      <c r="AV189">
        <v>90286.591004915783</v>
      </c>
      <c r="AX189">
        <v>90286.591004915783</v>
      </c>
      <c r="AZ189">
        <v>90286.591004915783</v>
      </c>
      <c r="BB189">
        <v>90286.591004915783</v>
      </c>
      <c r="BD189">
        <v>90286.591004915783</v>
      </c>
      <c r="BF189">
        <v>90286.591004915783</v>
      </c>
      <c r="BH189">
        <v>90286.591004915783</v>
      </c>
      <c r="BJ189">
        <v>90286.591004915783</v>
      </c>
      <c r="BL189">
        <v>90286.591004915783</v>
      </c>
      <c r="BN189">
        <v>90286.591004915783</v>
      </c>
      <c r="BP189">
        <v>90286.591004915783</v>
      </c>
      <c r="BR189">
        <v>90286.591004915783</v>
      </c>
      <c r="BT189">
        <v>90286.591004915783</v>
      </c>
      <c r="BV189">
        <v>90286.591004915783</v>
      </c>
      <c r="BX189">
        <v>90286.591004915783</v>
      </c>
      <c r="BY189">
        <v>90286.59</v>
      </c>
      <c r="BZ189">
        <v>3413735.97</v>
      </c>
      <c r="CC189">
        <v>0</v>
      </c>
      <c r="CD189">
        <v>90286.590055540859</v>
      </c>
      <c r="CE189">
        <v>3413735.97</v>
      </c>
      <c r="CF189" t="s">
        <v>37</v>
      </c>
      <c r="CG189">
        <v>4000</v>
      </c>
      <c r="CH189">
        <v>94286.590055540859</v>
      </c>
      <c r="CI189">
        <v>151240</v>
      </c>
      <c r="CJ189">
        <v>3564975.97</v>
      </c>
      <c r="CN189">
        <v>0</v>
      </c>
      <c r="CO189" t="s">
        <v>39</v>
      </c>
      <c r="CP189" t="s">
        <v>39</v>
      </c>
      <c r="CQ189" t="b">
        <v>1</v>
      </c>
      <c r="CR189" t="s">
        <v>8950</v>
      </c>
      <c r="CS189" t="s">
        <v>1167</v>
      </c>
      <c r="CT189" t="s">
        <v>8960</v>
      </c>
      <c r="CU189" t="s">
        <v>8973</v>
      </c>
      <c r="CV189" t="s">
        <v>6057</v>
      </c>
      <c r="CW189" t="s">
        <v>4895</v>
      </c>
      <c r="CX189" t="s">
        <v>3246</v>
      </c>
      <c r="CY189">
        <v>1.3900000000000006</v>
      </c>
      <c r="CZ189">
        <v>131058.36017720184</v>
      </c>
      <c r="DA189">
        <v>3564975.97</v>
      </c>
      <c r="DB189" t="s">
        <v>37</v>
      </c>
      <c r="DC189" t="b">
        <v>1</v>
      </c>
      <c r="DD189">
        <v>3564975.97</v>
      </c>
      <c r="DE189">
        <v>0</v>
      </c>
      <c r="DF189" t="b">
        <v>1</v>
      </c>
      <c r="DG189" s="420" cm="1">
        <f t="array" ref="DG189">_xlfn.XLOOKUP("Дом 4"&amp;Реестр_Д4[[#This Row],[№]]&amp;Реестр_Д4[[#This Row],[Статус]],РД[Дом]&amp;РД[№ кв]&amp;РД[Состояние],РД[Дата подачи на регистрацию],"-",0)</f>
        <v>45009</v>
      </c>
    </row>
    <row r="190" spans="1:111" x14ac:dyDescent="0.25">
      <c r="A190">
        <v>189</v>
      </c>
      <c r="B190" t="s">
        <v>5</v>
      </c>
      <c r="C190">
        <v>10</v>
      </c>
      <c r="D190" t="s">
        <v>3351</v>
      </c>
      <c r="E190">
        <v>1</v>
      </c>
      <c r="F190">
        <v>12.11</v>
      </c>
      <c r="I190">
        <v>12.11</v>
      </c>
      <c r="J190">
        <v>12.27</v>
      </c>
      <c r="K190">
        <v>3.84</v>
      </c>
      <c r="N190">
        <v>7.06</v>
      </c>
      <c r="O190">
        <v>2.84</v>
      </c>
      <c r="Q190">
        <v>2.84</v>
      </c>
      <c r="R190">
        <v>38.119999999999997</v>
      </c>
      <c r="S190">
        <v>35.28</v>
      </c>
      <c r="T190">
        <v>36.700000000000003</v>
      </c>
      <c r="U190">
        <v>37.799999999999997</v>
      </c>
      <c r="V190">
        <v>72800</v>
      </c>
      <c r="W190">
        <v>3640</v>
      </c>
      <c r="X190">
        <v>76440</v>
      </c>
      <c r="Y190">
        <v>3057.6</v>
      </c>
      <c r="Z190">
        <v>79497.600000000006</v>
      </c>
      <c r="AA190">
        <v>3974.880000000001</v>
      </c>
      <c r="AB190">
        <v>83472.48000000001</v>
      </c>
      <c r="AC190">
        <v>10.267115040000002</v>
      </c>
      <c r="AD190">
        <v>83482.747115040009</v>
      </c>
      <c r="AE190">
        <v>4174.137355752001</v>
      </c>
      <c r="AF190">
        <v>87656.884470792007</v>
      </c>
      <c r="AH190">
        <v>87656.884470792007</v>
      </c>
      <c r="AI190">
        <v>2629.7065341237603</v>
      </c>
      <c r="AJ190">
        <v>90286.591004915783</v>
      </c>
      <c r="AK190">
        <v>902.86591004915772</v>
      </c>
      <c r="AL190">
        <v>91189.456914964932</v>
      </c>
      <c r="AM190">
        <v>1823.7891382992989</v>
      </c>
      <c r="AN190">
        <v>93013.246053264229</v>
      </c>
      <c r="AO190">
        <v>1860.2649210652849</v>
      </c>
      <c r="AP190">
        <v>94873.510974329518</v>
      </c>
      <c r="AQ190">
        <v>2846.2053292298856</v>
      </c>
      <c r="AR190">
        <v>97719.716303559399</v>
      </c>
      <c r="AS190">
        <v>4885.9858151779699</v>
      </c>
      <c r="AT190">
        <v>102605.70211873736</v>
      </c>
      <c r="AU190">
        <v>3078.1710635621207</v>
      </c>
      <c r="AV190">
        <v>105683.87318229947</v>
      </c>
      <c r="AW190">
        <v>6341.0323909379695</v>
      </c>
      <c r="AX190">
        <v>112024.90557323744</v>
      </c>
      <c r="AZ190">
        <v>112024.90557323744</v>
      </c>
      <c r="BB190">
        <v>112024.90557323744</v>
      </c>
      <c r="BD190">
        <v>112024.90557323744</v>
      </c>
      <c r="BF190">
        <v>112024.90557323744</v>
      </c>
      <c r="BH190">
        <v>112024.90557323744</v>
      </c>
      <c r="BI190">
        <v>5601.2452786618733</v>
      </c>
      <c r="BJ190">
        <v>117626.15085189932</v>
      </c>
      <c r="BK190">
        <v>500</v>
      </c>
      <c r="BL190">
        <v>118126.15085189932</v>
      </c>
      <c r="BM190">
        <v>2362.5230170379864</v>
      </c>
      <c r="BN190">
        <v>120488.6738689373</v>
      </c>
      <c r="BP190">
        <v>120488.6738689373</v>
      </c>
      <c r="BR190">
        <v>120488.6738689373</v>
      </c>
      <c r="BT190">
        <v>120488.6738689373</v>
      </c>
      <c r="BV190">
        <v>120488.6738689373</v>
      </c>
      <c r="BX190">
        <v>120488.6738689373</v>
      </c>
      <c r="BY190">
        <v>120488.67</v>
      </c>
      <c r="BZ190">
        <v>4422000</v>
      </c>
      <c r="CA190">
        <v>88888</v>
      </c>
      <c r="CC190">
        <v>88888</v>
      </c>
      <c r="CD190">
        <v>118068.446866485</v>
      </c>
      <c r="CE190">
        <v>4333112</v>
      </c>
      <c r="CF190" t="s">
        <v>38</v>
      </c>
      <c r="CG190">
        <v>22000</v>
      </c>
      <c r="CH190">
        <v>140068.446866485</v>
      </c>
      <c r="CI190">
        <v>807400</v>
      </c>
      <c r="CJ190">
        <v>5140512</v>
      </c>
      <c r="CL190" t="s">
        <v>4185</v>
      </c>
      <c r="CN190">
        <v>0</v>
      </c>
      <c r="CO190" t="s">
        <v>39</v>
      </c>
      <c r="CP190" t="s">
        <v>39</v>
      </c>
      <c r="CQ190" t="b">
        <v>1</v>
      </c>
      <c r="CR190" t="s">
        <v>8950</v>
      </c>
      <c r="CS190" t="s">
        <v>1167</v>
      </c>
      <c r="CT190" t="s">
        <v>8960</v>
      </c>
      <c r="CU190" t="s">
        <v>8973</v>
      </c>
      <c r="CV190" t="s">
        <v>6058</v>
      </c>
      <c r="CW190" t="s">
        <v>6652</v>
      </c>
      <c r="CX190" t="s">
        <v>3246</v>
      </c>
      <c r="CY190">
        <v>1.0999999999999943</v>
      </c>
      <c r="CZ190">
        <v>154075.2915531327</v>
      </c>
      <c r="DA190">
        <v>5140512</v>
      </c>
      <c r="DB190" t="s">
        <v>38</v>
      </c>
      <c r="DC190" t="b">
        <v>1</v>
      </c>
      <c r="DD190">
        <v>5140512</v>
      </c>
      <c r="DE190">
        <v>0</v>
      </c>
      <c r="DF190" t="b">
        <v>1</v>
      </c>
      <c r="DG190" s="420" cm="1">
        <f t="array" ref="DG190">_xlfn.XLOOKUP("Дом 4"&amp;Реестр_Д4[[#This Row],[№]]&amp;Реестр_Д4[[#This Row],[Статус]],РД[Дом]&amp;РД[№ кв]&amp;РД[Состояние],РД[Дата подачи на регистрацию],"-",0)</f>
        <v>45373</v>
      </c>
    </row>
    <row r="191" spans="1:111" x14ac:dyDescent="0.25">
      <c r="A191">
        <v>190</v>
      </c>
      <c r="B191" t="s">
        <v>5</v>
      </c>
      <c r="C191">
        <v>10</v>
      </c>
      <c r="D191" t="s">
        <v>3352</v>
      </c>
      <c r="E191">
        <v>1</v>
      </c>
      <c r="F191">
        <v>11.74</v>
      </c>
      <c r="I191">
        <v>11.74</v>
      </c>
      <c r="J191">
        <v>12.47</v>
      </c>
      <c r="K191">
        <v>3.71</v>
      </c>
      <c r="N191">
        <v>7.29</v>
      </c>
      <c r="O191">
        <v>2.89</v>
      </c>
      <c r="Q191">
        <v>2.89</v>
      </c>
      <c r="R191">
        <v>38.1</v>
      </c>
      <c r="S191">
        <v>35.21</v>
      </c>
      <c r="T191">
        <v>36.659999999999997</v>
      </c>
      <c r="U191">
        <v>37.5</v>
      </c>
      <c r="V191">
        <v>72800</v>
      </c>
      <c r="W191">
        <v>3640</v>
      </c>
      <c r="X191">
        <v>76440</v>
      </c>
      <c r="Y191">
        <v>3057.6</v>
      </c>
      <c r="Z191">
        <v>79497.600000000006</v>
      </c>
      <c r="AA191">
        <v>3974.880000000001</v>
      </c>
      <c r="AB191">
        <v>83472.48000000001</v>
      </c>
      <c r="AC191">
        <v>10.267115040000002</v>
      </c>
      <c r="AD191">
        <v>83482.747115040009</v>
      </c>
      <c r="AE191">
        <v>4174.137355752001</v>
      </c>
      <c r="AF191">
        <v>87656.884470792007</v>
      </c>
      <c r="AH191">
        <v>87656.884470792007</v>
      </c>
      <c r="AI191">
        <v>2629.7065341237603</v>
      </c>
      <c r="AJ191">
        <v>90286.591004915783</v>
      </c>
      <c r="AK191">
        <v>902.86591004915772</v>
      </c>
      <c r="AL191">
        <v>91189.456914964932</v>
      </c>
      <c r="AN191">
        <v>91189.456914964932</v>
      </c>
      <c r="AP191">
        <v>91189.456914964932</v>
      </c>
      <c r="AR191">
        <v>91189.456914964932</v>
      </c>
      <c r="AT191">
        <v>91189.456914964932</v>
      </c>
      <c r="AV191">
        <v>91189.456914964932</v>
      </c>
      <c r="AX191">
        <v>91189.456914964932</v>
      </c>
      <c r="AZ191">
        <v>91189.456914964932</v>
      </c>
      <c r="BB191">
        <v>91189.456914964932</v>
      </c>
      <c r="BD191">
        <v>91189.456914964932</v>
      </c>
      <c r="BF191">
        <v>91189.456914964932</v>
      </c>
      <c r="BH191">
        <v>91189.456914964932</v>
      </c>
      <c r="BJ191">
        <v>91189.456914964932</v>
      </c>
      <c r="BL191">
        <v>91189.456914964932</v>
      </c>
      <c r="BN191">
        <v>91189.456914964932</v>
      </c>
      <c r="BP191">
        <v>91189.456914964932</v>
      </c>
      <c r="BR191">
        <v>91189.456914964932</v>
      </c>
      <c r="BT191">
        <v>91189.456914964932</v>
      </c>
      <c r="BV191">
        <v>91189.456914964932</v>
      </c>
      <c r="BX191">
        <v>91189.456914964932</v>
      </c>
      <c r="BY191">
        <v>91189.46</v>
      </c>
      <c r="BZ191">
        <v>3343005.6</v>
      </c>
      <c r="CC191">
        <v>0</v>
      </c>
      <c r="CD191">
        <v>91189.459901800336</v>
      </c>
      <c r="CE191">
        <v>3343005.6</v>
      </c>
      <c r="CF191" t="s">
        <v>37</v>
      </c>
      <c r="CG191">
        <v>4000</v>
      </c>
      <c r="CH191">
        <v>95189.459901800336</v>
      </c>
      <c r="CI191">
        <v>146640</v>
      </c>
      <c r="CJ191">
        <v>3489645.6</v>
      </c>
      <c r="CN191">
        <v>0</v>
      </c>
      <c r="CO191" t="s">
        <v>39</v>
      </c>
      <c r="CP191" t="s">
        <v>39</v>
      </c>
      <c r="CQ191" t="b">
        <v>1</v>
      </c>
      <c r="CR191" t="s">
        <v>8950</v>
      </c>
      <c r="CS191" t="s">
        <v>1167</v>
      </c>
      <c r="CT191" t="s">
        <v>8960</v>
      </c>
      <c r="CU191" t="s">
        <v>8973</v>
      </c>
      <c r="CV191" t="s">
        <v>6059</v>
      </c>
      <c r="CW191" t="s">
        <v>4895</v>
      </c>
      <c r="CX191" t="s">
        <v>3246</v>
      </c>
      <c r="CY191">
        <v>0.84000000000000341</v>
      </c>
      <c r="CZ191">
        <v>79959.146317512612</v>
      </c>
      <c r="DA191">
        <v>3489645.6</v>
      </c>
      <c r="DB191" t="s">
        <v>37</v>
      </c>
      <c r="DC191" t="b">
        <v>1</v>
      </c>
      <c r="DD191">
        <v>3489645.6</v>
      </c>
      <c r="DE191">
        <v>0</v>
      </c>
      <c r="DF191" t="b">
        <v>1</v>
      </c>
      <c r="DG191" s="420" cm="1">
        <f t="array" ref="DG191">_xlfn.XLOOKUP("Дом 4"&amp;Реестр_Д4[[#This Row],[№]]&amp;Реестр_Д4[[#This Row],[Статус]],РД[Дом]&amp;РД[№ кв]&amp;РД[Состояние],РД[Дата подачи на регистрацию],"-",0)</f>
        <v>45027</v>
      </c>
    </row>
    <row r="192" spans="1:111" x14ac:dyDescent="0.25">
      <c r="A192">
        <v>191</v>
      </c>
      <c r="B192" t="s">
        <v>5</v>
      </c>
      <c r="C192">
        <v>10</v>
      </c>
      <c r="D192" t="s">
        <v>3353</v>
      </c>
      <c r="E192">
        <v>3</v>
      </c>
      <c r="F192">
        <v>14.79</v>
      </c>
      <c r="G192">
        <v>14.24</v>
      </c>
      <c r="H192">
        <v>13.63</v>
      </c>
      <c r="I192">
        <v>42.66</v>
      </c>
      <c r="J192">
        <v>13.29</v>
      </c>
      <c r="K192">
        <v>4.72</v>
      </c>
      <c r="L192">
        <v>1.66</v>
      </c>
      <c r="M192">
        <v>2.19</v>
      </c>
      <c r="N192">
        <v>11.45</v>
      </c>
      <c r="O192">
        <v>2.73</v>
      </c>
      <c r="P192">
        <v>2.78</v>
      </c>
      <c r="Q192">
        <v>5.51</v>
      </c>
      <c r="R192">
        <v>81.48</v>
      </c>
      <c r="S192">
        <v>75.97</v>
      </c>
      <c r="T192">
        <v>78.73</v>
      </c>
      <c r="U192">
        <v>80.599999999999994</v>
      </c>
      <c r="V192">
        <v>68992.000000000015</v>
      </c>
      <c r="W192">
        <v>3449.6000000000008</v>
      </c>
      <c r="X192">
        <v>72441.60000000002</v>
      </c>
      <c r="Z192">
        <v>72441.60000000002</v>
      </c>
      <c r="AB192">
        <v>72441.60000000002</v>
      </c>
      <c r="AC192">
        <v>8.9103168000000039</v>
      </c>
      <c r="AD192">
        <v>72450.510316800021</v>
      </c>
      <c r="AF192">
        <v>72450.510316800021</v>
      </c>
      <c r="AH192">
        <v>72450.510316800021</v>
      </c>
      <c r="AI192">
        <v>2173.5153095040005</v>
      </c>
      <c r="AJ192">
        <v>74624.025626304021</v>
      </c>
      <c r="AK192">
        <v>746.24025626304035</v>
      </c>
      <c r="AL192">
        <v>75370.265882567066</v>
      </c>
      <c r="AN192">
        <v>75370.265882567066</v>
      </c>
      <c r="AP192">
        <v>75370.265882567066</v>
      </c>
      <c r="AR192">
        <v>75370.265882567066</v>
      </c>
      <c r="AT192">
        <v>75370.265882567066</v>
      </c>
      <c r="AV192">
        <v>75370.265882567066</v>
      </c>
      <c r="AX192">
        <v>75370.265882567066</v>
      </c>
      <c r="AZ192">
        <v>75370.265882567066</v>
      </c>
      <c r="BB192">
        <v>75370.265882567066</v>
      </c>
      <c r="BD192">
        <v>75370.265882567066</v>
      </c>
      <c r="BF192">
        <v>75370.265882567066</v>
      </c>
      <c r="BH192">
        <v>75370.265882567066</v>
      </c>
      <c r="BJ192">
        <v>75370.265882567066</v>
      </c>
      <c r="BL192">
        <v>75370.265882567066</v>
      </c>
      <c r="BN192">
        <v>75370.265882567066</v>
      </c>
      <c r="BP192">
        <v>75370.265882567066</v>
      </c>
      <c r="BR192">
        <v>75370.265882567066</v>
      </c>
      <c r="BT192">
        <v>75370.265882567066</v>
      </c>
      <c r="BV192">
        <v>75370.265882567066</v>
      </c>
      <c r="BX192">
        <v>75370.265882567066</v>
      </c>
      <c r="BY192">
        <v>75370.27</v>
      </c>
      <c r="BZ192">
        <v>5933901.3600000003</v>
      </c>
      <c r="CC192">
        <v>0</v>
      </c>
      <c r="CD192">
        <v>75370.270036834758</v>
      </c>
      <c r="CE192">
        <v>5933901.3600000003</v>
      </c>
      <c r="CF192" t="s">
        <v>37</v>
      </c>
      <c r="CG192">
        <v>4000</v>
      </c>
      <c r="CH192">
        <v>79370.270036834758</v>
      </c>
      <c r="CI192">
        <v>314920</v>
      </c>
      <c r="CJ192">
        <v>6248821.3600000003</v>
      </c>
      <c r="CN192">
        <v>0</v>
      </c>
      <c r="CO192" t="s">
        <v>39</v>
      </c>
      <c r="CP192" t="s">
        <v>39</v>
      </c>
      <c r="CQ192" t="b">
        <v>1</v>
      </c>
      <c r="CR192" t="s">
        <v>8950</v>
      </c>
      <c r="CS192" t="s">
        <v>1167</v>
      </c>
      <c r="CT192" t="s">
        <v>8960</v>
      </c>
      <c r="CU192" t="s">
        <v>8975</v>
      </c>
      <c r="CV192" t="s">
        <v>6060</v>
      </c>
      <c r="CW192" t="s">
        <v>4895</v>
      </c>
      <c r="CX192" t="s">
        <v>3246</v>
      </c>
      <c r="CY192">
        <v>1.8699999999999903</v>
      </c>
      <c r="CZ192">
        <v>148422.40496888023</v>
      </c>
      <c r="DA192">
        <v>6248821.3600000003</v>
      </c>
      <c r="DB192" t="s">
        <v>37</v>
      </c>
      <c r="DC192" t="b">
        <v>1</v>
      </c>
      <c r="DD192">
        <v>6248821.3600000003</v>
      </c>
      <c r="DE192">
        <v>0</v>
      </c>
      <c r="DF192" t="b">
        <v>1</v>
      </c>
      <c r="DG192" s="420" cm="1">
        <f t="array" ref="DG192">_xlfn.XLOOKUP("Дом 4"&amp;Реестр_Д4[[#This Row],[№]]&amp;Реестр_Д4[[#This Row],[Статус]],РД[Дом]&amp;РД[№ кв]&amp;РД[Состояние],РД[Дата подачи на регистрацию],"-",0)</f>
        <v>45041</v>
      </c>
    </row>
    <row r="193" spans="1:111" x14ac:dyDescent="0.25">
      <c r="A193">
        <v>192</v>
      </c>
      <c r="B193" t="s">
        <v>5</v>
      </c>
      <c r="C193">
        <v>10</v>
      </c>
      <c r="D193" t="s">
        <v>3354</v>
      </c>
      <c r="E193">
        <v>1</v>
      </c>
      <c r="F193">
        <v>14.13</v>
      </c>
      <c r="I193">
        <v>14.13</v>
      </c>
      <c r="J193">
        <v>9.2100000000000009</v>
      </c>
      <c r="K193">
        <v>3.66</v>
      </c>
      <c r="N193">
        <v>5.55</v>
      </c>
      <c r="O193">
        <v>2.48</v>
      </c>
      <c r="Q193">
        <v>2.48</v>
      </c>
      <c r="R193">
        <v>35.03</v>
      </c>
      <c r="S193">
        <v>32.550000000000004</v>
      </c>
      <c r="T193">
        <v>33.79</v>
      </c>
      <c r="U193">
        <v>34.9</v>
      </c>
      <c r="V193">
        <v>70700</v>
      </c>
      <c r="W193">
        <v>3535</v>
      </c>
      <c r="X193">
        <v>74235</v>
      </c>
      <c r="Y193">
        <v>2969.4</v>
      </c>
      <c r="Z193">
        <v>77204.399999999994</v>
      </c>
      <c r="AA193">
        <v>3860.22</v>
      </c>
      <c r="AB193">
        <v>81064.62</v>
      </c>
      <c r="AC193">
        <v>9.9709482600000001</v>
      </c>
      <c r="AD193">
        <v>81074.590948259996</v>
      </c>
      <c r="AE193">
        <v>4053.7295474130001</v>
      </c>
      <c r="AF193">
        <v>85128.32049567299</v>
      </c>
      <c r="AH193">
        <v>85128.32049567299</v>
      </c>
      <c r="AI193">
        <v>2553.8496148701897</v>
      </c>
      <c r="AJ193">
        <v>87682.170110543186</v>
      </c>
      <c r="AK193">
        <v>2630.4651033162954</v>
      </c>
      <c r="AL193">
        <v>90312.635213859481</v>
      </c>
      <c r="AM193">
        <v>3612.5054085543793</v>
      </c>
      <c r="AN193">
        <v>93925.140622413863</v>
      </c>
      <c r="AO193">
        <v>1878.5028124482776</v>
      </c>
      <c r="AP193">
        <v>95803.643434862141</v>
      </c>
      <c r="AQ193">
        <v>2874.1093030458642</v>
      </c>
      <c r="AR193">
        <v>98677.752737907998</v>
      </c>
      <c r="AT193">
        <v>98677.752737907998</v>
      </c>
      <c r="AV193">
        <v>98677.752737907998</v>
      </c>
      <c r="AX193">
        <v>98677.752737907998</v>
      </c>
      <c r="AZ193">
        <v>98677.752737907998</v>
      </c>
      <c r="BB193">
        <v>98677.752737907998</v>
      </c>
      <c r="BD193">
        <v>98677.752737907998</v>
      </c>
      <c r="BF193">
        <v>98677.752737907998</v>
      </c>
      <c r="BH193">
        <v>98677.752737907998</v>
      </c>
      <c r="BJ193">
        <v>98677.752737907998</v>
      </c>
      <c r="BL193">
        <v>98677.752737907998</v>
      </c>
      <c r="BN193">
        <v>98677.752737907998</v>
      </c>
      <c r="BP193">
        <v>98677.752737907998</v>
      </c>
      <c r="BR193">
        <v>98677.752737907998</v>
      </c>
      <c r="BT193">
        <v>98677.752737907998</v>
      </c>
      <c r="BV193">
        <v>98677.752737907998</v>
      </c>
      <c r="BX193">
        <v>98677.752737907998</v>
      </c>
      <c r="BY193">
        <v>98677.75</v>
      </c>
      <c r="BZ193">
        <v>3334321.17</v>
      </c>
      <c r="CC193">
        <v>0</v>
      </c>
      <c r="CD193">
        <v>98677.749926013596</v>
      </c>
      <c r="CE193">
        <v>3334321.17</v>
      </c>
      <c r="CF193" t="s">
        <v>37</v>
      </c>
      <c r="CG193">
        <v>4000</v>
      </c>
      <c r="CH193">
        <v>102677.7499260136</v>
      </c>
      <c r="CI193">
        <v>135160</v>
      </c>
      <c r="CJ193">
        <v>3469481.17</v>
      </c>
      <c r="CK193" t="s">
        <v>57</v>
      </c>
      <c r="CN193">
        <v>0</v>
      </c>
      <c r="CO193" t="s">
        <v>39</v>
      </c>
      <c r="CP193" t="s">
        <v>39</v>
      </c>
      <c r="CQ193" t="b">
        <v>1</v>
      </c>
      <c r="CR193" t="s">
        <v>8950</v>
      </c>
      <c r="CS193" t="s">
        <v>1167</v>
      </c>
      <c r="CT193" t="s">
        <v>8960</v>
      </c>
      <c r="CU193" t="s">
        <v>8973</v>
      </c>
      <c r="CV193" t="s">
        <v>6061</v>
      </c>
      <c r="CW193" t="s">
        <v>4895</v>
      </c>
      <c r="CX193" t="s">
        <v>3246</v>
      </c>
      <c r="CY193">
        <v>1.1099999999999994</v>
      </c>
      <c r="CZ193">
        <v>113972.30241787503</v>
      </c>
      <c r="DA193">
        <v>3469481.17</v>
      </c>
      <c r="DB193" t="s">
        <v>37</v>
      </c>
      <c r="DC193" t="b">
        <v>1</v>
      </c>
      <c r="DD193">
        <v>3469481.17</v>
      </c>
      <c r="DE193">
        <v>0</v>
      </c>
      <c r="DF193" t="b">
        <v>1</v>
      </c>
      <c r="DG193" s="420" cm="1">
        <f t="array" ref="DG193">_xlfn.XLOOKUP("Дом 4"&amp;Реестр_Д4[[#This Row],[№]]&amp;Реестр_Д4[[#This Row],[Статус]],РД[Дом]&amp;РД[№ кв]&amp;РД[Состояние],РД[Дата подачи на регистрацию],"-",0)</f>
        <v>45113</v>
      </c>
    </row>
    <row r="194" spans="1:111" x14ac:dyDescent="0.25">
      <c r="A194">
        <v>193</v>
      </c>
      <c r="B194" t="s">
        <v>5</v>
      </c>
      <c r="C194">
        <v>11</v>
      </c>
      <c r="D194" t="s">
        <v>42</v>
      </c>
      <c r="E194">
        <v>0</v>
      </c>
      <c r="F194">
        <v>13.95</v>
      </c>
      <c r="I194">
        <v>13.95</v>
      </c>
      <c r="J194">
        <v>5.77</v>
      </c>
      <c r="K194">
        <v>3.6</v>
      </c>
      <c r="N194">
        <v>3.59</v>
      </c>
      <c r="O194">
        <v>4.12</v>
      </c>
      <c r="Q194">
        <v>4.12</v>
      </c>
      <c r="R194">
        <v>31.03</v>
      </c>
      <c r="S194">
        <v>26.91</v>
      </c>
      <c r="T194">
        <v>28.97</v>
      </c>
      <c r="U194">
        <v>29.6</v>
      </c>
      <c r="V194">
        <v>75600</v>
      </c>
      <c r="W194">
        <v>3780</v>
      </c>
      <c r="X194">
        <v>79380</v>
      </c>
      <c r="Z194">
        <v>79380</v>
      </c>
      <c r="AB194">
        <v>79380</v>
      </c>
      <c r="AC194">
        <v>9.7637400000000003</v>
      </c>
      <c r="AD194">
        <v>79389.763739999995</v>
      </c>
      <c r="AE194">
        <v>3969.4881869999999</v>
      </c>
      <c r="AF194">
        <v>83359.25192699999</v>
      </c>
      <c r="AH194">
        <v>83359.25192699999</v>
      </c>
      <c r="AJ194">
        <v>83359.25192699999</v>
      </c>
      <c r="AL194">
        <v>83359.25192699999</v>
      </c>
      <c r="AN194">
        <v>83359.25192699999</v>
      </c>
      <c r="AP194">
        <v>83359.25192699999</v>
      </c>
      <c r="AR194">
        <v>83359.25192699999</v>
      </c>
      <c r="AT194">
        <v>83359.25192699999</v>
      </c>
      <c r="AV194">
        <v>83359.25192699999</v>
      </c>
      <c r="AX194">
        <v>83359.25192699999</v>
      </c>
      <c r="AZ194">
        <v>83359.25192699999</v>
      </c>
      <c r="BB194">
        <v>83359.25192699999</v>
      </c>
      <c r="BD194">
        <v>83359.25192699999</v>
      </c>
      <c r="BF194">
        <v>83359.25192699999</v>
      </c>
      <c r="BH194">
        <v>83359.25192699999</v>
      </c>
      <c r="BJ194">
        <v>83359.25192699999</v>
      </c>
      <c r="BL194">
        <v>83359.25192699999</v>
      </c>
      <c r="BN194">
        <v>83359.25192699999</v>
      </c>
      <c r="BP194">
        <v>83359.25192699999</v>
      </c>
      <c r="BR194">
        <v>83359.25192699999</v>
      </c>
      <c r="BT194">
        <v>83359.25192699999</v>
      </c>
      <c r="BV194">
        <v>83359.25192699999</v>
      </c>
      <c r="BX194">
        <v>83359.25192699999</v>
      </c>
      <c r="BY194">
        <v>83359.25</v>
      </c>
      <c r="BZ194">
        <v>2414917.4700000002</v>
      </c>
      <c r="CB194">
        <v>0.05</v>
      </c>
      <c r="CC194">
        <v>120745.87350000002</v>
      </c>
      <c r="CD194">
        <v>79191.287538833276</v>
      </c>
      <c r="CE194">
        <v>2294171.6</v>
      </c>
      <c r="CF194" t="s">
        <v>36</v>
      </c>
      <c r="CH194">
        <v>79191.287538833276</v>
      </c>
      <c r="CI194">
        <v>0</v>
      </c>
      <c r="CJ194">
        <v>2294171.6</v>
      </c>
      <c r="CL194" t="s">
        <v>3540</v>
      </c>
      <c r="CN194">
        <v>0</v>
      </c>
      <c r="CO194" t="s">
        <v>39</v>
      </c>
      <c r="CP194" t="s">
        <v>39</v>
      </c>
      <c r="CQ194" t="b">
        <v>1</v>
      </c>
      <c r="CR194" t="s">
        <v>8950</v>
      </c>
      <c r="CS194" t="s">
        <v>1167</v>
      </c>
      <c r="CT194" t="s">
        <v>8960</v>
      </c>
      <c r="CU194" t="s">
        <v>8970</v>
      </c>
      <c r="CV194" t="s">
        <v>6062</v>
      </c>
      <c r="CW194" t="s">
        <v>4895</v>
      </c>
      <c r="CX194" t="s">
        <v>3246</v>
      </c>
      <c r="CY194">
        <v>0.62999999999999901</v>
      </c>
      <c r="CZ194">
        <v>49890.511149464888</v>
      </c>
      <c r="DA194">
        <v>2294171.6</v>
      </c>
      <c r="DB194" t="s">
        <v>36</v>
      </c>
      <c r="DC194" t="b">
        <v>1</v>
      </c>
      <c r="DD194">
        <v>2294171.6</v>
      </c>
      <c r="DE194">
        <v>0</v>
      </c>
      <c r="DF194" t="b">
        <v>1</v>
      </c>
      <c r="DG194" s="420" cm="1">
        <f t="array" ref="DG194">_xlfn.XLOOKUP("Дом 4"&amp;Реестр_Д4[[#This Row],[№]]&amp;Реестр_Д4[[#This Row],[Статус]],РД[Дом]&amp;РД[№ кв]&amp;РД[Состояние],РД[Дата подачи на регистрацию],"-",0)</f>
        <v>44957</v>
      </c>
    </row>
    <row r="195" spans="1:111" x14ac:dyDescent="0.25">
      <c r="A195">
        <v>194</v>
      </c>
      <c r="B195" t="s">
        <v>5</v>
      </c>
      <c r="C195">
        <v>11</v>
      </c>
      <c r="D195" t="s">
        <v>43</v>
      </c>
      <c r="E195">
        <v>2</v>
      </c>
      <c r="F195">
        <v>17.54</v>
      </c>
      <c r="G195">
        <v>12.04</v>
      </c>
      <c r="I195">
        <v>29.58</v>
      </c>
      <c r="J195">
        <v>17.010000000000002</v>
      </c>
      <c r="K195">
        <v>3.71</v>
      </c>
      <c r="L195">
        <v>2.64</v>
      </c>
      <c r="N195">
        <v>13.06</v>
      </c>
      <c r="O195">
        <v>2.61</v>
      </c>
      <c r="P195">
        <v>2.88</v>
      </c>
      <c r="Q195">
        <v>5.49</v>
      </c>
      <c r="R195">
        <v>71.489999999999995</v>
      </c>
      <c r="S195">
        <v>66</v>
      </c>
      <c r="T195">
        <v>68.75</v>
      </c>
      <c r="U195">
        <v>69.8</v>
      </c>
      <c r="V195">
        <v>71304.800000000003</v>
      </c>
      <c r="W195">
        <v>3565.24</v>
      </c>
      <c r="X195">
        <v>74870.039999999994</v>
      </c>
      <c r="Z195">
        <v>74870.039999999994</v>
      </c>
      <c r="AA195">
        <v>3743.502</v>
      </c>
      <c r="AB195">
        <v>78613.542000000016</v>
      </c>
      <c r="AC195">
        <v>9.6694656660000025</v>
      </c>
      <c r="AD195">
        <v>78623.211465666012</v>
      </c>
      <c r="AF195">
        <v>78623.211465666012</v>
      </c>
      <c r="AH195">
        <v>78623.211465666012</v>
      </c>
      <c r="AI195">
        <v>1572.4642293133202</v>
      </c>
      <c r="AJ195">
        <v>80195.675694979334</v>
      </c>
      <c r="AK195">
        <v>801.95675694979332</v>
      </c>
      <c r="AL195">
        <v>80997.632451929123</v>
      </c>
      <c r="AM195">
        <v>1619.9526490385824</v>
      </c>
      <c r="AN195">
        <v>82617.585100967699</v>
      </c>
      <c r="AP195">
        <v>82617.585100967699</v>
      </c>
      <c r="AQ195">
        <v>2478.527553029031</v>
      </c>
      <c r="AR195">
        <v>85096.112653996737</v>
      </c>
      <c r="AT195">
        <v>85096.112653996737</v>
      </c>
      <c r="AU195">
        <v>2552.8833796199019</v>
      </c>
      <c r="AV195">
        <v>87648.99603361664</v>
      </c>
      <c r="AX195">
        <v>87648.99603361664</v>
      </c>
      <c r="AZ195">
        <v>87648.99603361664</v>
      </c>
      <c r="BB195">
        <v>87648.99603361664</v>
      </c>
      <c r="BD195">
        <v>87648.99603361664</v>
      </c>
      <c r="BF195">
        <v>87648.99603361664</v>
      </c>
      <c r="BH195">
        <v>87648.99603361664</v>
      </c>
      <c r="BJ195">
        <v>87648.99603361664</v>
      </c>
      <c r="BL195">
        <v>87648.99603361664</v>
      </c>
      <c r="BN195">
        <v>87648.99603361664</v>
      </c>
      <c r="BP195">
        <v>87648.99603361664</v>
      </c>
      <c r="BR195">
        <v>87648.99603361664</v>
      </c>
      <c r="BT195">
        <v>87648.99603361664</v>
      </c>
      <c r="BV195">
        <v>87648.99603361664</v>
      </c>
      <c r="BX195">
        <v>87648.99603361664</v>
      </c>
      <c r="BY195">
        <v>87649</v>
      </c>
      <c r="BZ195">
        <v>6025900</v>
      </c>
      <c r="CB195">
        <v>0.02</v>
      </c>
      <c r="CC195">
        <v>120518</v>
      </c>
      <c r="CD195">
        <v>85896.465454545454</v>
      </c>
      <c r="CE195">
        <v>5905382</v>
      </c>
      <c r="CF195" t="s">
        <v>36</v>
      </c>
      <c r="CH195">
        <v>85896.465454545454</v>
      </c>
      <c r="CI195">
        <v>0</v>
      </c>
      <c r="CJ195">
        <v>5905382</v>
      </c>
      <c r="CN195">
        <v>0</v>
      </c>
      <c r="CO195" t="s">
        <v>39</v>
      </c>
      <c r="CP195" t="s">
        <v>39</v>
      </c>
      <c r="CQ195" t="b">
        <v>1</v>
      </c>
      <c r="CR195" t="s">
        <v>8950</v>
      </c>
      <c r="CS195" t="s">
        <v>1167</v>
      </c>
      <c r="CT195" t="s">
        <v>8960</v>
      </c>
      <c r="CU195" t="s">
        <v>8971</v>
      </c>
      <c r="CV195" t="s">
        <v>6063</v>
      </c>
      <c r="CW195" t="s">
        <v>6652</v>
      </c>
      <c r="CX195" t="s">
        <v>3246</v>
      </c>
      <c r="CY195">
        <v>1.0499999999999972</v>
      </c>
      <c r="CZ195">
        <v>90191.288727272477</v>
      </c>
      <c r="DA195">
        <v>5905382</v>
      </c>
      <c r="DB195" t="s">
        <v>36</v>
      </c>
      <c r="DC195" t="b">
        <v>1</v>
      </c>
      <c r="DD195">
        <v>5905382</v>
      </c>
      <c r="DE195">
        <v>0</v>
      </c>
      <c r="DF195" t="b">
        <v>1</v>
      </c>
      <c r="DG195" s="420" cm="1">
        <f t="array" ref="DG195">_xlfn.XLOOKUP("Дом 4"&amp;Реестр_Д4[[#This Row],[№]]&amp;Реестр_Д4[[#This Row],[Статус]],РД[Дом]&amp;РД[№ кв]&amp;РД[Состояние],РД[Дата подачи на регистрацию],"-",0)</f>
        <v>45272</v>
      </c>
    </row>
    <row r="196" spans="1:111" x14ac:dyDescent="0.25">
      <c r="A196">
        <v>195</v>
      </c>
      <c r="B196" t="s">
        <v>5</v>
      </c>
      <c r="C196">
        <v>11</v>
      </c>
      <c r="D196" t="s">
        <v>44</v>
      </c>
      <c r="E196">
        <v>1</v>
      </c>
      <c r="F196">
        <v>13.45</v>
      </c>
      <c r="I196">
        <v>13.45</v>
      </c>
      <c r="J196">
        <v>11.31</v>
      </c>
      <c r="K196">
        <v>3.69</v>
      </c>
      <c r="N196">
        <v>5.63</v>
      </c>
      <c r="O196">
        <v>2.59</v>
      </c>
      <c r="Q196">
        <v>2.59</v>
      </c>
      <c r="R196">
        <v>36.67</v>
      </c>
      <c r="S196">
        <v>34.08</v>
      </c>
      <c r="T196">
        <v>35.380000000000003</v>
      </c>
      <c r="U196">
        <v>36.299999999999997</v>
      </c>
      <c r="V196">
        <v>71400</v>
      </c>
      <c r="X196">
        <v>71400</v>
      </c>
      <c r="Z196">
        <v>71400</v>
      </c>
      <c r="AB196">
        <v>71400</v>
      </c>
      <c r="AD196">
        <v>71400</v>
      </c>
      <c r="AF196">
        <v>71400</v>
      </c>
      <c r="AH196">
        <v>71400</v>
      </c>
      <c r="AJ196">
        <v>71400</v>
      </c>
      <c r="AL196">
        <v>71400</v>
      </c>
      <c r="AN196">
        <v>71400</v>
      </c>
      <c r="AP196">
        <v>71400</v>
      </c>
      <c r="AR196">
        <v>71400</v>
      </c>
      <c r="AT196">
        <v>71400</v>
      </c>
      <c r="AV196">
        <v>71400</v>
      </c>
      <c r="AX196">
        <v>71400</v>
      </c>
      <c r="AZ196">
        <v>71400</v>
      </c>
      <c r="BB196">
        <v>71400</v>
      </c>
      <c r="BD196">
        <v>71400</v>
      </c>
      <c r="BF196">
        <v>71400</v>
      </c>
      <c r="BH196">
        <v>71400</v>
      </c>
      <c r="BJ196">
        <v>71400</v>
      </c>
      <c r="BL196">
        <v>71400</v>
      </c>
      <c r="BN196">
        <v>71400</v>
      </c>
      <c r="BP196">
        <v>71400</v>
      </c>
      <c r="BR196">
        <v>71400</v>
      </c>
      <c r="BT196">
        <v>71400</v>
      </c>
      <c r="BV196">
        <v>71400</v>
      </c>
      <c r="BX196">
        <v>71400</v>
      </c>
      <c r="BY196">
        <v>71400</v>
      </c>
      <c r="BZ196">
        <v>2526132</v>
      </c>
      <c r="CB196">
        <v>0.2</v>
      </c>
      <c r="CC196">
        <v>505226.4</v>
      </c>
      <c r="CD196">
        <v>57120</v>
      </c>
      <c r="CE196">
        <v>2020905.6</v>
      </c>
      <c r="CF196" t="s">
        <v>36</v>
      </c>
      <c r="CH196">
        <v>57120</v>
      </c>
      <c r="CI196">
        <v>0</v>
      </c>
      <c r="CJ196">
        <v>2020905.6</v>
      </c>
      <c r="CL196" t="s">
        <v>7644</v>
      </c>
      <c r="CM196">
        <v>4080000</v>
      </c>
      <c r="CN196">
        <v>115319.38948558508</v>
      </c>
      <c r="CO196" t="s">
        <v>39</v>
      </c>
      <c r="CP196" t="s">
        <v>39</v>
      </c>
      <c r="CQ196" t="b">
        <v>1</v>
      </c>
      <c r="CR196" t="s">
        <v>8950</v>
      </c>
      <c r="CS196" t="s">
        <v>1167</v>
      </c>
      <c r="CT196" t="s">
        <v>8960</v>
      </c>
      <c r="CU196" t="s">
        <v>8973</v>
      </c>
      <c r="CV196" t="s">
        <v>6064</v>
      </c>
      <c r="CW196" t="s">
        <v>4895</v>
      </c>
      <c r="CX196" t="s">
        <v>3246</v>
      </c>
      <c r="CY196">
        <v>0.9199999999999946</v>
      </c>
      <c r="CZ196">
        <v>52550.399999999689</v>
      </c>
      <c r="DA196">
        <v>4080000</v>
      </c>
      <c r="DB196" t="s">
        <v>36</v>
      </c>
      <c r="DC196" t="b">
        <v>1</v>
      </c>
      <c r="DD196">
        <v>4080000</v>
      </c>
      <c r="DE196">
        <v>0</v>
      </c>
      <c r="DF196" t="b">
        <v>1</v>
      </c>
      <c r="DG196" s="420" cm="1">
        <f t="array" ref="DG196">_xlfn.XLOOKUP("Дом 4"&amp;Реестр_Д4[[#This Row],[№]]&amp;Реестр_Д4[[#This Row],[Статус]],РД[Дом]&amp;РД[№ кв]&amp;РД[Состояние],РД[Дата подачи на регистрацию],"-",0)</f>
        <v>44797</v>
      </c>
    </row>
    <row r="197" spans="1:111" x14ac:dyDescent="0.25">
      <c r="A197">
        <v>196</v>
      </c>
      <c r="B197" t="s">
        <v>5</v>
      </c>
      <c r="C197">
        <v>11</v>
      </c>
      <c r="D197" t="s">
        <v>45</v>
      </c>
      <c r="E197">
        <v>1</v>
      </c>
      <c r="F197">
        <v>13.45</v>
      </c>
      <c r="I197">
        <v>13.45</v>
      </c>
      <c r="J197">
        <v>12.54</v>
      </c>
      <c r="K197">
        <v>3.69</v>
      </c>
      <c r="N197">
        <v>6.62</v>
      </c>
      <c r="O197">
        <v>3.01</v>
      </c>
      <c r="Q197">
        <v>3.01</v>
      </c>
      <c r="R197">
        <v>39.31</v>
      </c>
      <c r="S197">
        <v>36.299999999999997</v>
      </c>
      <c r="T197">
        <v>37.81</v>
      </c>
      <c r="U197">
        <v>39.4</v>
      </c>
      <c r="V197">
        <v>72100</v>
      </c>
      <c r="W197">
        <v>3605</v>
      </c>
      <c r="X197">
        <v>75705</v>
      </c>
      <c r="Y197">
        <v>3028.2000000000003</v>
      </c>
      <c r="Z197">
        <v>78733.2</v>
      </c>
      <c r="AA197">
        <v>3936.66</v>
      </c>
      <c r="AB197">
        <v>82669.86</v>
      </c>
      <c r="AC197">
        <v>10.16839278</v>
      </c>
      <c r="AD197">
        <v>82680.028392780005</v>
      </c>
      <c r="AE197">
        <v>4134.0014196390002</v>
      </c>
      <c r="AF197">
        <v>86814.029812419001</v>
      </c>
      <c r="AH197">
        <v>86814.029812419001</v>
      </c>
      <c r="AI197">
        <v>2604.4208943725698</v>
      </c>
      <c r="AJ197">
        <v>89418.450706791569</v>
      </c>
      <c r="AK197">
        <v>894.18450706791566</v>
      </c>
      <c r="AL197">
        <v>90312.635213859481</v>
      </c>
      <c r="AM197">
        <v>1806.2527042771897</v>
      </c>
      <c r="AN197">
        <v>92118.887918136679</v>
      </c>
      <c r="AO197">
        <v>1842.3777583627336</v>
      </c>
      <c r="AP197">
        <v>93961.265676499403</v>
      </c>
      <c r="AQ197">
        <v>2818.8379702949819</v>
      </c>
      <c r="AR197">
        <v>96780.103646794378</v>
      </c>
      <c r="AT197">
        <v>96780.103646794378</v>
      </c>
      <c r="AU197">
        <v>2903.4031094038314</v>
      </c>
      <c r="AV197">
        <v>99683.506756198214</v>
      </c>
      <c r="AW197">
        <v>5981.0104053718924</v>
      </c>
      <c r="AX197">
        <v>105664.51716157013</v>
      </c>
      <c r="AZ197">
        <v>105664.51716157013</v>
      </c>
      <c r="BB197">
        <v>105664.51716157013</v>
      </c>
      <c r="BD197">
        <v>105664.51716157013</v>
      </c>
      <c r="BF197">
        <v>105664.51716157013</v>
      </c>
      <c r="BH197">
        <v>105664.51716157013</v>
      </c>
      <c r="BJ197">
        <v>105664.51716157013</v>
      </c>
      <c r="BL197">
        <v>105664.51716157013</v>
      </c>
      <c r="BN197">
        <v>105664.51716157013</v>
      </c>
      <c r="BP197">
        <v>105664.51716157013</v>
      </c>
      <c r="BR197">
        <v>105664.51716157013</v>
      </c>
      <c r="BT197">
        <v>105664.51716157013</v>
      </c>
      <c r="BV197">
        <v>105664.51716157013</v>
      </c>
      <c r="BX197">
        <v>105664.51716157013</v>
      </c>
      <c r="BY197">
        <v>105664.52</v>
      </c>
      <c r="BZ197">
        <v>3995200</v>
      </c>
      <c r="CC197">
        <v>0</v>
      </c>
      <c r="CD197">
        <v>105665.16794498808</v>
      </c>
      <c r="CE197">
        <v>3995200</v>
      </c>
      <c r="CF197" t="s">
        <v>37</v>
      </c>
      <c r="CG197">
        <v>7500</v>
      </c>
      <c r="CH197">
        <v>113165.16794498808</v>
      </c>
      <c r="CI197">
        <v>283575</v>
      </c>
      <c r="CJ197">
        <v>4278775</v>
      </c>
      <c r="CN197">
        <v>0</v>
      </c>
      <c r="CO197" t="s">
        <v>39</v>
      </c>
      <c r="CP197" t="s">
        <v>39</v>
      </c>
      <c r="CQ197" t="b">
        <v>1</v>
      </c>
      <c r="CR197" t="s">
        <v>8950</v>
      </c>
      <c r="CS197" t="s">
        <v>1167</v>
      </c>
      <c r="CT197" t="s">
        <v>8960</v>
      </c>
      <c r="CU197" t="s">
        <v>8973</v>
      </c>
      <c r="CV197" t="s">
        <v>6065</v>
      </c>
      <c r="CW197" t="s">
        <v>6652</v>
      </c>
      <c r="CX197" t="s">
        <v>3246</v>
      </c>
      <c r="CY197">
        <v>1.5899999999999963</v>
      </c>
      <c r="CZ197">
        <v>179932.61703253066</v>
      </c>
      <c r="DA197">
        <v>4278775</v>
      </c>
      <c r="DB197" t="s">
        <v>37</v>
      </c>
      <c r="DC197" t="b">
        <v>1</v>
      </c>
      <c r="DD197">
        <v>4278775</v>
      </c>
      <c r="DE197">
        <v>0</v>
      </c>
      <c r="DF197" t="b">
        <v>1</v>
      </c>
      <c r="DG197" s="420" cm="1">
        <f t="array" ref="DG197">_xlfn.XLOOKUP("Дом 4"&amp;Реестр_Д4[[#This Row],[№]]&amp;Реестр_Д4[[#This Row],[Статус]],РД[Дом]&amp;РД[№ кв]&amp;РД[Состояние],РД[Дата подачи на регистрацию],"-",0)</f>
        <v>45258</v>
      </c>
    </row>
    <row r="198" spans="1:111" x14ac:dyDescent="0.25">
      <c r="A198">
        <v>197</v>
      </c>
      <c r="B198" t="s">
        <v>5</v>
      </c>
      <c r="C198">
        <v>11</v>
      </c>
      <c r="D198" t="s">
        <v>3351</v>
      </c>
      <c r="E198">
        <v>1</v>
      </c>
      <c r="F198">
        <v>12.11</v>
      </c>
      <c r="I198">
        <v>12.11</v>
      </c>
      <c r="J198">
        <v>12.27</v>
      </c>
      <c r="K198">
        <v>3.84</v>
      </c>
      <c r="N198">
        <v>7.06</v>
      </c>
      <c r="O198">
        <v>2.84</v>
      </c>
      <c r="Q198">
        <v>2.84</v>
      </c>
      <c r="R198">
        <v>38.119999999999997</v>
      </c>
      <c r="S198">
        <v>35.28</v>
      </c>
      <c r="T198">
        <v>36.700000000000003</v>
      </c>
      <c r="U198">
        <v>37.799999999999997</v>
      </c>
      <c r="V198">
        <v>72100</v>
      </c>
      <c r="W198">
        <v>3605</v>
      </c>
      <c r="X198">
        <v>75705</v>
      </c>
      <c r="Y198">
        <v>3028.2000000000003</v>
      </c>
      <c r="Z198">
        <v>78733.2</v>
      </c>
      <c r="AA198">
        <v>3936.66</v>
      </c>
      <c r="AB198">
        <v>82669.86</v>
      </c>
      <c r="AC198">
        <v>10.16839278</v>
      </c>
      <c r="AD198">
        <v>82680.028392780005</v>
      </c>
      <c r="AE198">
        <v>4134.0014196390002</v>
      </c>
      <c r="AF198">
        <v>86814.029812419001</v>
      </c>
      <c r="AH198">
        <v>86814.029812419001</v>
      </c>
      <c r="AI198">
        <v>2604.4208943725698</v>
      </c>
      <c r="AJ198">
        <v>89418.450706791569</v>
      </c>
      <c r="AK198">
        <v>894.18450706791566</v>
      </c>
      <c r="AL198">
        <v>90312.635213859481</v>
      </c>
      <c r="AM198">
        <v>1806.2527042771897</v>
      </c>
      <c r="AN198">
        <v>92118.887918136679</v>
      </c>
      <c r="AP198">
        <v>92118.887918136679</v>
      </c>
      <c r="AR198">
        <v>92118.887918136679</v>
      </c>
      <c r="AT198">
        <v>92118.887918136679</v>
      </c>
      <c r="AV198">
        <v>92118.887918136679</v>
      </c>
      <c r="AX198">
        <v>92118.887918136679</v>
      </c>
      <c r="AZ198">
        <v>92118.887918136679</v>
      </c>
      <c r="BB198">
        <v>92118.887918136679</v>
      </c>
      <c r="BD198">
        <v>92118.887918136679</v>
      </c>
      <c r="BF198">
        <v>92118.887918136679</v>
      </c>
      <c r="BH198">
        <v>92118.887918136679</v>
      </c>
      <c r="BJ198">
        <v>92118.887918136679</v>
      </c>
      <c r="BL198">
        <v>92118.887918136679</v>
      </c>
      <c r="BN198">
        <v>92118.887918136679</v>
      </c>
      <c r="BP198">
        <v>92118.887918136679</v>
      </c>
      <c r="BR198">
        <v>92118.887918136679</v>
      </c>
      <c r="BT198">
        <v>92118.887918136679</v>
      </c>
      <c r="BV198">
        <v>92118.887918136679</v>
      </c>
      <c r="BX198">
        <v>92118.887918136679</v>
      </c>
      <c r="BY198">
        <v>92118.89</v>
      </c>
      <c r="BZ198">
        <v>3380763.26</v>
      </c>
      <c r="CC198">
        <v>0</v>
      </c>
      <c r="CD198">
        <v>92118.889918256114</v>
      </c>
      <c r="CE198">
        <v>3380763.26</v>
      </c>
      <c r="CF198" t="s">
        <v>36</v>
      </c>
      <c r="CH198">
        <v>92118.889918256114</v>
      </c>
      <c r="CI198">
        <v>0</v>
      </c>
      <c r="CJ198">
        <v>3380763.26</v>
      </c>
      <c r="CN198">
        <v>0</v>
      </c>
      <c r="CO198" t="s">
        <v>39</v>
      </c>
      <c r="CP198" t="s">
        <v>39</v>
      </c>
      <c r="CQ198" t="b">
        <v>1</v>
      </c>
      <c r="CR198" t="s">
        <v>8950</v>
      </c>
      <c r="CS198" t="s">
        <v>1167</v>
      </c>
      <c r="CT198" t="s">
        <v>8960</v>
      </c>
      <c r="CU198" t="s">
        <v>8973</v>
      </c>
      <c r="CV198" t="s">
        <v>6066</v>
      </c>
      <c r="CW198" t="s">
        <v>4895</v>
      </c>
      <c r="CX198" t="s">
        <v>3246</v>
      </c>
      <c r="CY198">
        <v>1.0999999999999943</v>
      </c>
      <c r="CZ198">
        <v>101330.77891008119</v>
      </c>
      <c r="DA198">
        <v>3380763.26</v>
      </c>
      <c r="DB198" t="s">
        <v>36</v>
      </c>
      <c r="DC198" t="b">
        <v>1</v>
      </c>
      <c r="DD198">
        <v>3380763.26</v>
      </c>
      <c r="DE198">
        <v>0</v>
      </c>
      <c r="DF198" t="b">
        <v>1</v>
      </c>
      <c r="DG198" s="420" cm="1">
        <f t="array" ref="DG198">_xlfn.XLOOKUP("Дом 4"&amp;Реестр_Д4[[#This Row],[№]]&amp;Реестр_Д4[[#This Row],[Статус]],РД[Дом]&amp;РД[№ кв]&amp;РД[Состояние],РД[Дата подачи на регистрацию],"-",0)</f>
        <v>45070</v>
      </c>
    </row>
    <row r="199" spans="1:111" x14ac:dyDescent="0.25">
      <c r="A199">
        <v>198</v>
      </c>
      <c r="B199" t="s">
        <v>5</v>
      </c>
      <c r="C199">
        <v>11</v>
      </c>
      <c r="D199" t="s">
        <v>3352</v>
      </c>
      <c r="E199">
        <v>1</v>
      </c>
      <c r="F199">
        <v>11.74</v>
      </c>
      <c r="I199">
        <v>11.74</v>
      </c>
      <c r="J199">
        <v>12.47</v>
      </c>
      <c r="K199">
        <v>3.71</v>
      </c>
      <c r="N199">
        <v>7.29</v>
      </c>
      <c r="O199">
        <v>2.89</v>
      </c>
      <c r="Q199">
        <v>2.89</v>
      </c>
      <c r="R199">
        <v>38.1</v>
      </c>
      <c r="S199">
        <v>35.21</v>
      </c>
      <c r="T199">
        <v>36.659999999999997</v>
      </c>
      <c r="U199">
        <v>37.9</v>
      </c>
      <c r="V199">
        <v>72100</v>
      </c>
      <c r="W199">
        <v>3605</v>
      </c>
      <c r="X199">
        <v>75705</v>
      </c>
      <c r="Y199">
        <v>3028.2000000000003</v>
      </c>
      <c r="Z199">
        <v>78733.2</v>
      </c>
      <c r="AA199">
        <v>3936.66</v>
      </c>
      <c r="AB199">
        <v>82669.86</v>
      </c>
      <c r="AC199">
        <v>10.16839278</v>
      </c>
      <c r="AD199">
        <v>82680.028392780005</v>
      </c>
      <c r="AE199">
        <v>4134.0014196390002</v>
      </c>
      <c r="AF199">
        <v>86814.029812419001</v>
      </c>
      <c r="AH199">
        <v>86814.029812419001</v>
      </c>
      <c r="AJ199">
        <v>86814.029812419001</v>
      </c>
      <c r="AL199">
        <v>86814.029812419001</v>
      </c>
      <c r="AN199">
        <v>86814.029812419001</v>
      </c>
      <c r="AP199">
        <v>86814.029812419001</v>
      </c>
      <c r="AR199">
        <v>86814.029812419001</v>
      </c>
      <c r="AT199">
        <v>86814.029812419001</v>
      </c>
      <c r="AV199">
        <v>86814.029812419001</v>
      </c>
      <c r="AX199">
        <v>86814.029812419001</v>
      </c>
      <c r="AZ199">
        <v>86814.029812419001</v>
      </c>
      <c r="BB199">
        <v>86814.029812419001</v>
      </c>
      <c r="BD199">
        <v>86814.029812419001</v>
      </c>
      <c r="BF199">
        <v>86814.029812419001</v>
      </c>
      <c r="BH199">
        <v>86814.029812419001</v>
      </c>
      <c r="BJ199">
        <v>86814.029812419001</v>
      </c>
      <c r="BL199">
        <v>86814.029812419001</v>
      </c>
      <c r="BN199">
        <v>86814.029812419001</v>
      </c>
      <c r="BP199">
        <v>86814.029812419001</v>
      </c>
      <c r="BR199">
        <v>86814.029812419001</v>
      </c>
      <c r="BT199">
        <v>86814.029812419001</v>
      </c>
      <c r="BV199">
        <v>86814.029812419001</v>
      </c>
      <c r="BX199">
        <v>86814.029812419001</v>
      </c>
      <c r="BY199">
        <v>86814.03</v>
      </c>
      <c r="BZ199">
        <v>3182602.34</v>
      </c>
      <c r="CC199">
        <v>0</v>
      </c>
      <c r="CD199">
        <v>86814.030005455541</v>
      </c>
      <c r="CE199">
        <v>3182602.34</v>
      </c>
      <c r="CF199" t="s">
        <v>36</v>
      </c>
      <c r="CH199">
        <v>86814.030005455541</v>
      </c>
      <c r="CI199">
        <v>0</v>
      </c>
      <c r="CJ199">
        <v>3182602.34</v>
      </c>
      <c r="CN199">
        <v>0</v>
      </c>
      <c r="CO199" t="s">
        <v>39</v>
      </c>
      <c r="CP199" t="s">
        <v>39</v>
      </c>
      <c r="CQ199" t="b">
        <v>1</v>
      </c>
      <c r="CR199" t="s">
        <v>8950</v>
      </c>
      <c r="CS199" t="s">
        <v>1167</v>
      </c>
      <c r="CT199" t="s">
        <v>8960</v>
      </c>
      <c r="CU199" t="s">
        <v>8973</v>
      </c>
      <c r="CV199" t="s">
        <v>6067</v>
      </c>
      <c r="CW199" t="s">
        <v>4895</v>
      </c>
      <c r="CX199" t="s">
        <v>3246</v>
      </c>
      <c r="CY199">
        <v>1.240000000000002</v>
      </c>
      <c r="CZ199">
        <v>107649.39720676505</v>
      </c>
      <c r="DA199">
        <v>3182602.34</v>
      </c>
      <c r="DB199" t="s">
        <v>36</v>
      </c>
      <c r="DC199" t="b">
        <v>1</v>
      </c>
      <c r="DD199">
        <v>3182602.34</v>
      </c>
      <c r="DE199">
        <v>0</v>
      </c>
      <c r="DF199" t="b">
        <v>1</v>
      </c>
      <c r="DG199" s="420" cm="1">
        <f t="array" ref="DG199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200" spans="1:111" x14ac:dyDescent="0.25">
      <c r="A200">
        <v>199</v>
      </c>
      <c r="B200" t="s">
        <v>5</v>
      </c>
      <c r="C200">
        <v>11</v>
      </c>
      <c r="D200" t="s">
        <v>3353</v>
      </c>
      <c r="E200">
        <v>3</v>
      </c>
      <c r="F200">
        <v>14.79</v>
      </c>
      <c r="G200">
        <v>14.24</v>
      </c>
      <c r="H200">
        <v>13.63</v>
      </c>
      <c r="I200">
        <v>42.66</v>
      </c>
      <c r="J200">
        <v>13.29</v>
      </c>
      <c r="K200">
        <v>4.72</v>
      </c>
      <c r="L200">
        <v>1.66</v>
      </c>
      <c r="M200">
        <v>2.19</v>
      </c>
      <c r="N200">
        <v>11.45</v>
      </c>
      <c r="O200">
        <v>2.73</v>
      </c>
      <c r="P200">
        <v>2.78</v>
      </c>
      <c r="Q200">
        <v>5.51</v>
      </c>
      <c r="R200">
        <v>81.48</v>
      </c>
      <c r="S200">
        <v>75.97</v>
      </c>
      <c r="T200">
        <v>78.73</v>
      </c>
      <c r="U200">
        <v>80.7</v>
      </c>
      <c r="V200">
        <v>68364.800000000003</v>
      </c>
      <c r="W200">
        <v>3418.24</v>
      </c>
      <c r="X200">
        <v>71783.040000000008</v>
      </c>
      <c r="Z200">
        <v>71783.040000000008</v>
      </c>
      <c r="AB200">
        <v>71783.040000000008</v>
      </c>
      <c r="AC200">
        <v>8.8293139200000024</v>
      </c>
      <c r="AD200">
        <v>71791.869313920004</v>
      </c>
      <c r="AF200">
        <v>71791.869313920004</v>
      </c>
      <c r="AH200">
        <v>71791.869313920004</v>
      </c>
      <c r="AI200">
        <v>2153.7560794176002</v>
      </c>
      <c r="AJ200">
        <v>73945.625393337599</v>
      </c>
      <c r="AK200">
        <v>739.45625393337605</v>
      </c>
      <c r="AL200">
        <v>74685.08164727097</v>
      </c>
      <c r="AM200">
        <v>1493.7016329454195</v>
      </c>
      <c r="AN200">
        <v>76178.78328021639</v>
      </c>
      <c r="AO200">
        <v>2285.3634984064915</v>
      </c>
      <c r="AP200">
        <v>78464.146778622875</v>
      </c>
      <c r="AQ200">
        <v>2353.924403358686</v>
      </c>
      <c r="AR200">
        <v>80818.071181981562</v>
      </c>
      <c r="AT200">
        <v>80818.071181981562</v>
      </c>
      <c r="AV200">
        <v>80818.071181981562</v>
      </c>
      <c r="AX200">
        <v>80818.071181981562</v>
      </c>
      <c r="AZ200">
        <v>80818.071181981562</v>
      </c>
      <c r="BB200">
        <v>80818.071181981562</v>
      </c>
      <c r="BD200">
        <v>80818.071181981562</v>
      </c>
      <c r="BF200">
        <v>80818.071181981562</v>
      </c>
      <c r="BH200">
        <v>80818.071181981562</v>
      </c>
      <c r="BJ200">
        <v>80818.071181981562</v>
      </c>
      <c r="BL200">
        <v>80818.071181981562</v>
      </c>
      <c r="BN200">
        <v>80818.071181981562</v>
      </c>
      <c r="BP200">
        <v>80818.071181981562</v>
      </c>
      <c r="BR200">
        <v>80818.071181981562</v>
      </c>
      <c r="BT200">
        <v>80818.071181981562</v>
      </c>
      <c r="BV200">
        <v>80818.071181981562</v>
      </c>
      <c r="BX200">
        <v>80818.071181981562</v>
      </c>
      <c r="BY200">
        <v>80818.070000000007</v>
      </c>
      <c r="BZ200">
        <v>6362806.6500000004</v>
      </c>
      <c r="CC200">
        <v>0</v>
      </c>
      <c r="CD200">
        <v>80818.069986028204</v>
      </c>
      <c r="CE200">
        <v>6362806.6500000004</v>
      </c>
      <c r="CF200" t="s">
        <v>38</v>
      </c>
      <c r="CG200">
        <v>15500</v>
      </c>
      <c r="CH200">
        <v>96318.069986028204</v>
      </c>
      <c r="CI200">
        <v>1220315</v>
      </c>
      <c r="CJ200">
        <v>7583121.6500000004</v>
      </c>
      <c r="CN200">
        <v>0</v>
      </c>
      <c r="CO200" t="s">
        <v>39</v>
      </c>
      <c r="CP200" t="s">
        <v>39</v>
      </c>
      <c r="CQ200" t="b">
        <v>1</v>
      </c>
      <c r="CR200" t="s">
        <v>8950</v>
      </c>
      <c r="CS200" t="s">
        <v>1167</v>
      </c>
      <c r="CT200" t="s">
        <v>8960</v>
      </c>
      <c r="CU200" t="s">
        <v>8975</v>
      </c>
      <c r="CV200" t="s">
        <v>6068</v>
      </c>
      <c r="CW200" t="s">
        <v>4895</v>
      </c>
      <c r="CX200" t="s">
        <v>3246</v>
      </c>
      <c r="CY200">
        <v>1.9699999999999989</v>
      </c>
      <c r="CZ200">
        <v>189746.59787247545</v>
      </c>
      <c r="DA200">
        <v>7583121.6500000004</v>
      </c>
      <c r="DB200" t="s">
        <v>38</v>
      </c>
      <c r="DC200" t="b">
        <v>1</v>
      </c>
      <c r="DD200">
        <v>7583121.6500000004</v>
      </c>
      <c r="DE200">
        <v>0</v>
      </c>
      <c r="DF200" t="b">
        <v>1</v>
      </c>
      <c r="DG200" s="420" cm="1">
        <f t="array" ref="DG200">_xlfn.XLOOKUP("Дом 4"&amp;Реестр_Д4[[#This Row],[№]]&amp;Реестр_Д4[[#This Row],[Статус]],РД[Дом]&amp;РД[№ кв]&amp;РД[Состояние],РД[Дата подачи на регистрацию],"-",0)</f>
        <v>45167</v>
      </c>
    </row>
    <row r="201" spans="1:111" x14ac:dyDescent="0.25">
      <c r="A201">
        <v>200</v>
      </c>
      <c r="B201" t="s">
        <v>5</v>
      </c>
      <c r="C201">
        <v>11</v>
      </c>
      <c r="D201" t="s">
        <v>3354</v>
      </c>
      <c r="E201">
        <v>1</v>
      </c>
      <c r="F201">
        <v>14.13</v>
      </c>
      <c r="I201">
        <v>14.13</v>
      </c>
      <c r="J201">
        <v>9.2100000000000009</v>
      </c>
      <c r="K201">
        <v>3.66</v>
      </c>
      <c r="N201">
        <v>5.55</v>
      </c>
      <c r="O201">
        <v>2.48</v>
      </c>
      <c r="Q201">
        <v>2.48</v>
      </c>
      <c r="R201">
        <v>35.03</v>
      </c>
      <c r="S201">
        <v>32.550000000000004</v>
      </c>
      <c r="T201">
        <v>33.79</v>
      </c>
      <c r="U201">
        <v>34.6</v>
      </c>
      <c r="V201">
        <v>70700</v>
      </c>
      <c r="W201">
        <v>3535</v>
      </c>
      <c r="X201">
        <v>74235</v>
      </c>
      <c r="Y201">
        <v>2969.4</v>
      </c>
      <c r="Z201">
        <v>77204.399999999994</v>
      </c>
      <c r="AA201">
        <v>3860.22</v>
      </c>
      <c r="AB201">
        <v>81064.62</v>
      </c>
      <c r="AC201">
        <v>9.9709482600000001</v>
      </c>
      <c r="AD201">
        <v>81074.590948259996</v>
      </c>
      <c r="AE201">
        <v>4053.7295474130001</v>
      </c>
      <c r="AF201">
        <v>85128.32049567299</v>
      </c>
      <c r="AH201">
        <v>85128.32049567299</v>
      </c>
      <c r="AI201">
        <v>2553.8496148701897</v>
      </c>
      <c r="AJ201">
        <v>87682.170110543186</v>
      </c>
      <c r="AK201">
        <v>2630.4651033162954</v>
      </c>
      <c r="AL201">
        <v>90312.635213859481</v>
      </c>
      <c r="AM201">
        <v>3612.5054085543793</v>
      </c>
      <c r="AN201">
        <v>93925.140622413863</v>
      </c>
      <c r="AO201">
        <v>1878.5028124482776</v>
      </c>
      <c r="AP201">
        <v>95803.643434862141</v>
      </c>
      <c r="AQ201">
        <v>2874.1093030458642</v>
      </c>
      <c r="AR201">
        <v>98677.752737907998</v>
      </c>
      <c r="AT201">
        <v>98677.752737907998</v>
      </c>
      <c r="AV201">
        <v>98677.752737907998</v>
      </c>
      <c r="AX201">
        <v>98677.752737907998</v>
      </c>
      <c r="AZ201">
        <v>98677.752737907998</v>
      </c>
      <c r="BB201">
        <v>98677.752737907998</v>
      </c>
      <c r="BD201">
        <v>98677.752737907998</v>
      </c>
      <c r="BF201">
        <v>98677.752737907998</v>
      </c>
      <c r="BH201">
        <v>98677.752737907998</v>
      </c>
      <c r="BJ201">
        <v>98677.752737907998</v>
      </c>
      <c r="BL201">
        <v>98677.752737907998</v>
      </c>
      <c r="BN201">
        <v>98677.752737907998</v>
      </c>
      <c r="BP201">
        <v>98677.752737907998</v>
      </c>
      <c r="BR201">
        <v>98677.752737907998</v>
      </c>
      <c r="BT201">
        <v>98677.752737907998</v>
      </c>
      <c r="BV201">
        <v>98677.752737907998</v>
      </c>
      <c r="BX201">
        <v>98677.752737907998</v>
      </c>
      <c r="BY201">
        <v>98677.75</v>
      </c>
      <c r="BZ201">
        <v>3334321.17</v>
      </c>
      <c r="CC201">
        <v>0</v>
      </c>
      <c r="CD201">
        <v>98677.749926013596</v>
      </c>
      <c r="CE201">
        <v>3334321.17</v>
      </c>
      <c r="CF201" t="s">
        <v>38</v>
      </c>
      <c r="CG201">
        <v>15500</v>
      </c>
      <c r="CH201">
        <v>114177.7499260136</v>
      </c>
      <c r="CI201">
        <v>523745</v>
      </c>
      <c r="CJ201">
        <v>3858066.17</v>
      </c>
      <c r="CK201" t="s">
        <v>57</v>
      </c>
      <c r="CN201">
        <v>0</v>
      </c>
      <c r="CO201" t="s">
        <v>39</v>
      </c>
      <c r="CP201" t="s">
        <v>39</v>
      </c>
      <c r="CQ201" t="b">
        <v>1</v>
      </c>
      <c r="CR201" t="s">
        <v>8950</v>
      </c>
      <c r="CS201" t="s">
        <v>1167</v>
      </c>
      <c r="CT201" t="s">
        <v>8960</v>
      </c>
      <c r="CU201" t="s">
        <v>8973</v>
      </c>
      <c r="CV201" t="s">
        <v>6069</v>
      </c>
      <c r="CW201" t="s">
        <v>4895</v>
      </c>
      <c r="CX201" t="s">
        <v>3246</v>
      </c>
      <c r="CY201">
        <v>0.81000000000000227</v>
      </c>
      <c r="CZ201">
        <v>92483.977440071278</v>
      </c>
      <c r="DA201">
        <v>3858066.17</v>
      </c>
      <c r="DB201" t="s">
        <v>38</v>
      </c>
      <c r="DC201" t="b">
        <v>1</v>
      </c>
      <c r="DD201">
        <v>3858066.17</v>
      </c>
      <c r="DE201">
        <v>0</v>
      </c>
      <c r="DF201" t="b">
        <v>1</v>
      </c>
      <c r="DG201" s="420" cm="1">
        <f t="array" ref="DG201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202" spans="1:111" x14ac:dyDescent="0.25">
      <c r="A202">
        <v>201</v>
      </c>
      <c r="B202" t="s">
        <v>5</v>
      </c>
      <c r="C202">
        <v>12</v>
      </c>
      <c r="D202" t="s">
        <v>42</v>
      </c>
      <c r="E202">
        <v>0</v>
      </c>
      <c r="F202">
        <v>13.95</v>
      </c>
      <c r="I202">
        <v>13.95</v>
      </c>
      <c r="J202">
        <v>5.77</v>
      </c>
      <c r="K202">
        <v>3.6</v>
      </c>
      <c r="N202">
        <v>3.59</v>
      </c>
      <c r="O202">
        <v>4.12</v>
      </c>
      <c r="Q202">
        <v>4.12</v>
      </c>
      <c r="R202">
        <v>31.03</v>
      </c>
      <c r="S202">
        <v>26.91</v>
      </c>
      <c r="T202">
        <v>28.97</v>
      </c>
      <c r="U202">
        <v>29.7</v>
      </c>
      <c r="V202">
        <v>75600</v>
      </c>
      <c r="W202">
        <v>3780</v>
      </c>
      <c r="X202">
        <v>79380</v>
      </c>
      <c r="Z202">
        <v>79380</v>
      </c>
      <c r="AB202">
        <v>79380</v>
      </c>
      <c r="AC202">
        <v>9.7637400000000003</v>
      </c>
      <c r="AD202">
        <v>79389.763739999995</v>
      </c>
      <c r="AE202">
        <v>3969.4881869999999</v>
      </c>
      <c r="AF202">
        <v>83359.25192699999</v>
      </c>
      <c r="AH202">
        <v>83359.25192699999</v>
      </c>
      <c r="AJ202">
        <v>83359.25192699999</v>
      </c>
      <c r="AK202">
        <v>833.5925192699998</v>
      </c>
      <c r="AL202">
        <v>84192.844446269984</v>
      </c>
      <c r="AM202">
        <v>1683.8568889253995</v>
      </c>
      <c r="AN202">
        <v>85876.701335195379</v>
      </c>
      <c r="AO202">
        <v>4293.8350667597688</v>
      </c>
      <c r="AP202">
        <v>90170.536401955149</v>
      </c>
      <c r="AR202">
        <v>90170.536401955149</v>
      </c>
      <c r="AT202">
        <v>90170.536401955149</v>
      </c>
      <c r="AV202">
        <v>90170.536401955149</v>
      </c>
      <c r="AX202">
        <v>90170.536401955149</v>
      </c>
      <c r="AZ202">
        <v>90170.536401955149</v>
      </c>
      <c r="BB202">
        <v>90170.536401955149</v>
      </c>
      <c r="BD202">
        <v>90170.536401955149</v>
      </c>
      <c r="BF202">
        <v>90170.536401955149</v>
      </c>
      <c r="BH202">
        <v>90170.536401955149</v>
      </c>
      <c r="BJ202">
        <v>90170.536401955149</v>
      </c>
      <c r="BL202">
        <v>90170.536401955149</v>
      </c>
      <c r="BN202">
        <v>90170.536401955149</v>
      </c>
      <c r="BP202">
        <v>90170.536401955149</v>
      </c>
      <c r="BR202">
        <v>90170.536401955149</v>
      </c>
      <c r="BT202">
        <v>90170.536401955149</v>
      </c>
      <c r="BV202">
        <v>90170.536401955149</v>
      </c>
      <c r="BX202">
        <v>90170.536401955149</v>
      </c>
      <c r="BY202">
        <v>90170.54</v>
      </c>
      <c r="BZ202">
        <v>2612240.54</v>
      </c>
      <c r="CC202">
        <v>0</v>
      </c>
      <c r="CD202">
        <v>90170.539868829845</v>
      </c>
      <c r="CE202">
        <v>2612240.54</v>
      </c>
      <c r="CF202" t="s">
        <v>37</v>
      </c>
      <c r="CG202">
        <v>4000</v>
      </c>
      <c r="CH202">
        <v>94170.539868829845</v>
      </c>
      <c r="CI202">
        <v>115880</v>
      </c>
      <c r="CJ202">
        <v>2728120.54</v>
      </c>
      <c r="CN202">
        <v>0</v>
      </c>
      <c r="CO202" t="s">
        <v>39</v>
      </c>
      <c r="CP202" t="s">
        <v>39</v>
      </c>
      <c r="CQ202" t="b">
        <v>1</v>
      </c>
      <c r="CR202" t="s">
        <v>8950</v>
      </c>
      <c r="CS202" t="s">
        <v>1167</v>
      </c>
      <c r="CT202" t="s">
        <v>8960</v>
      </c>
      <c r="CU202" t="s">
        <v>8970</v>
      </c>
      <c r="CV202" t="s">
        <v>6070</v>
      </c>
      <c r="CW202" t="s">
        <v>4895</v>
      </c>
      <c r="CX202" t="s">
        <v>3246</v>
      </c>
      <c r="CY202">
        <v>0.73000000000000043</v>
      </c>
      <c r="CZ202">
        <v>68744.494104245823</v>
      </c>
      <c r="DA202">
        <v>2728120.54</v>
      </c>
      <c r="DB202" t="s">
        <v>37</v>
      </c>
      <c r="DC202" t="b">
        <v>1</v>
      </c>
      <c r="DD202">
        <v>2728120.54</v>
      </c>
      <c r="DE202">
        <v>0</v>
      </c>
      <c r="DF202" t="b">
        <v>1</v>
      </c>
      <c r="DG202" s="420" cm="1">
        <f t="array" ref="DG202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203" spans="1:111" x14ac:dyDescent="0.25">
      <c r="A203">
        <v>202</v>
      </c>
      <c r="B203" t="s">
        <v>5</v>
      </c>
      <c r="C203">
        <v>12</v>
      </c>
      <c r="D203" t="s">
        <v>43</v>
      </c>
      <c r="E203">
        <v>2</v>
      </c>
      <c r="F203">
        <v>17.54</v>
      </c>
      <c r="G203">
        <v>12.04</v>
      </c>
      <c r="I203">
        <v>29.58</v>
      </c>
      <c r="J203">
        <v>17.010000000000002</v>
      </c>
      <c r="K203">
        <v>3.71</v>
      </c>
      <c r="L203">
        <v>2.64</v>
      </c>
      <c r="N203">
        <v>13.06</v>
      </c>
      <c r="O203">
        <v>2.61</v>
      </c>
      <c r="P203">
        <v>2.88</v>
      </c>
      <c r="Q203">
        <v>5.49</v>
      </c>
      <c r="R203">
        <v>71.489999999999995</v>
      </c>
      <c r="S203">
        <v>66</v>
      </c>
      <c r="T203">
        <v>68.75</v>
      </c>
      <c r="U203">
        <v>70.099999999999994</v>
      </c>
      <c r="V203">
        <v>71971.199999999997</v>
      </c>
      <c r="W203">
        <v>3598.56</v>
      </c>
      <c r="X203">
        <v>75569.759999999995</v>
      </c>
      <c r="Z203">
        <v>75569.759999999995</v>
      </c>
      <c r="AA203">
        <v>3778.4879999999998</v>
      </c>
      <c r="AB203">
        <v>79348.248000000007</v>
      </c>
      <c r="AC203">
        <v>9.7598345040000005</v>
      </c>
      <c r="AD203">
        <v>79358.007834503995</v>
      </c>
      <c r="AF203">
        <v>79358.007834503995</v>
      </c>
      <c r="AH203">
        <v>79358.007834503995</v>
      </c>
      <c r="AI203">
        <v>1587.1601566900799</v>
      </c>
      <c r="AJ203">
        <v>80945.167991194074</v>
      </c>
      <c r="AK203">
        <v>809.4516799119408</v>
      </c>
      <c r="AL203">
        <v>81754.619671106018</v>
      </c>
      <c r="AM203">
        <v>1635.0923934221205</v>
      </c>
      <c r="AN203">
        <v>83389.712064528139</v>
      </c>
      <c r="AP203">
        <v>83389.712064528139</v>
      </c>
      <c r="AQ203">
        <v>2501.6913619358443</v>
      </c>
      <c r="AR203">
        <v>85891.403426463978</v>
      </c>
      <c r="AT203">
        <v>85891.403426463978</v>
      </c>
      <c r="AU203">
        <v>2576.7421027939195</v>
      </c>
      <c r="AV203">
        <v>88468.14552925789</v>
      </c>
      <c r="AX203">
        <v>88468.14552925789</v>
      </c>
      <c r="AZ203">
        <v>88468.14552925789</v>
      </c>
      <c r="BB203">
        <v>88468.14552925789</v>
      </c>
      <c r="BD203">
        <v>88468.14552925789</v>
      </c>
      <c r="BF203">
        <v>88468.14552925789</v>
      </c>
      <c r="BH203">
        <v>88468.14552925789</v>
      </c>
      <c r="BJ203">
        <v>88468.14552925789</v>
      </c>
      <c r="BL203">
        <v>88468.14552925789</v>
      </c>
      <c r="BN203">
        <v>88468.14552925789</v>
      </c>
      <c r="BP203">
        <v>88468.14552925789</v>
      </c>
      <c r="BR203">
        <v>88468.14552925789</v>
      </c>
      <c r="BT203">
        <v>88468.14552925789</v>
      </c>
      <c r="BV203">
        <v>88468.14552925789</v>
      </c>
      <c r="BX203">
        <v>88468.14552925789</v>
      </c>
      <c r="BY203">
        <v>88468.15</v>
      </c>
      <c r="BZ203">
        <v>6082185.3099999996</v>
      </c>
      <c r="CB203">
        <v>0.05</v>
      </c>
      <c r="CC203">
        <v>304109.26549999998</v>
      </c>
      <c r="CD203">
        <v>84044.742400000003</v>
      </c>
      <c r="CE203">
        <v>5778076.04</v>
      </c>
      <c r="CF203" t="s">
        <v>37</v>
      </c>
      <c r="CG203">
        <v>7500</v>
      </c>
      <c r="CH203">
        <v>91544.742400000003</v>
      </c>
      <c r="CI203">
        <v>515625</v>
      </c>
      <c r="CJ203">
        <v>6293701.04</v>
      </c>
      <c r="CL203" t="s">
        <v>978</v>
      </c>
      <c r="CN203">
        <v>0</v>
      </c>
      <c r="CO203" t="s">
        <v>39</v>
      </c>
      <c r="CP203" t="s">
        <v>39</v>
      </c>
      <c r="CQ203" t="b">
        <v>1</v>
      </c>
      <c r="CR203" t="s">
        <v>8950</v>
      </c>
      <c r="CS203" t="s">
        <v>1167</v>
      </c>
      <c r="CT203" t="s">
        <v>8960</v>
      </c>
      <c r="CU203" t="s">
        <v>8971</v>
      </c>
      <c r="CV203" t="s">
        <v>6071</v>
      </c>
      <c r="CW203" t="s">
        <v>4895</v>
      </c>
      <c r="CX203" t="s">
        <v>3246</v>
      </c>
      <c r="CY203">
        <v>1.3499999999999943</v>
      </c>
      <c r="CZ203">
        <v>123585.40223999949</v>
      </c>
      <c r="DA203">
        <v>6293701.04</v>
      </c>
      <c r="DB203" t="s">
        <v>37</v>
      </c>
      <c r="DC203" t="b">
        <v>1</v>
      </c>
      <c r="DD203">
        <v>6293701.04</v>
      </c>
      <c r="DE203">
        <v>0</v>
      </c>
      <c r="DF203" t="b">
        <v>1</v>
      </c>
      <c r="DG203" s="420" cm="1">
        <f t="array" ref="DG203">_xlfn.XLOOKUP("Дом 4"&amp;Реестр_Д4[[#This Row],[№]]&amp;Реестр_Д4[[#This Row],[Статус]],РД[Дом]&amp;РД[№ кв]&amp;РД[Состояние],РД[Дата подачи на регистрацию],"-",0)</f>
        <v>45244</v>
      </c>
    </row>
    <row r="204" spans="1:111" x14ac:dyDescent="0.25">
      <c r="A204">
        <v>203</v>
      </c>
      <c r="B204" t="s">
        <v>5</v>
      </c>
      <c r="C204">
        <v>12</v>
      </c>
      <c r="D204" t="s">
        <v>44</v>
      </c>
      <c r="E204">
        <v>1</v>
      </c>
      <c r="F204">
        <v>13.45</v>
      </c>
      <c r="I204">
        <v>13.45</v>
      </c>
      <c r="J204">
        <v>11.31</v>
      </c>
      <c r="K204">
        <v>3.69</v>
      </c>
      <c r="N204">
        <v>5.63</v>
      </c>
      <c r="O204">
        <v>2.59</v>
      </c>
      <c r="Q204">
        <v>2.59</v>
      </c>
      <c r="R204">
        <v>36.67</v>
      </c>
      <c r="S204">
        <v>34.08</v>
      </c>
      <c r="T204">
        <v>35.380000000000003</v>
      </c>
      <c r="U204">
        <v>36.5</v>
      </c>
      <c r="V204">
        <v>72100</v>
      </c>
      <c r="W204">
        <v>3605</v>
      </c>
      <c r="X204">
        <v>75705</v>
      </c>
      <c r="Y204">
        <v>3028.2000000000003</v>
      </c>
      <c r="Z204">
        <v>78733.2</v>
      </c>
      <c r="AB204">
        <v>78733.2</v>
      </c>
      <c r="AD204">
        <v>78733.2</v>
      </c>
      <c r="AF204">
        <v>78733.2</v>
      </c>
      <c r="AH204">
        <v>78733.2</v>
      </c>
      <c r="AJ204">
        <v>78733.2</v>
      </c>
      <c r="AL204">
        <v>78733.2</v>
      </c>
      <c r="AN204">
        <v>78733.2</v>
      </c>
      <c r="AP204">
        <v>78733.2</v>
      </c>
      <c r="AR204">
        <v>78733.2</v>
      </c>
      <c r="AT204">
        <v>78733.2</v>
      </c>
      <c r="AV204">
        <v>78733.2</v>
      </c>
      <c r="AX204">
        <v>78733.2</v>
      </c>
      <c r="AZ204">
        <v>78733.2</v>
      </c>
      <c r="BB204">
        <v>78733.2</v>
      </c>
      <c r="BD204">
        <v>78733.2</v>
      </c>
      <c r="BF204">
        <v>78733.2</v>
      </c>
      <c r="BH204">
        <v>78733.2</v>
      </c>
      <c r="BJ204">
        <v>78733.2</v>
      </c>
      <c r="BL204">
        <v>78733.2</v>
      </c>
      <c r="BN204">
        <v>78733.2</v>
      </c>
      <c r="BP204">
        <v>78733.2</v>
      </c>
      <c r="BR204">
        <v>78733.2</v>
      </c>
      <c r="BT204">
        <v>78733.2</v>
      </c>
      <c r="BV204">
        <v>78733.2</v>
      </c>
      <c r="BX204">
        <v>78733.2</v>
      </c>
      <c r="BY204">
        <v>78733.2</v>
      </c>
      <c r="BZ204">
        <v>2785580.62</v>
      </c>
      <c r="CC204">
        <v>0</v>
      </c>
      <c r="CD204">
        <v>78733.200113058221</v>
      </c>
      <c r="CE204">
        <v>2785580.62</v>
      </c>
      <c r="CF204" t="s">
        <v>36</v>
      </c>
      <c r="CH204">
        <v>78733.200113058221</v>
      </c>
      <c r="CI204">
        <v>0</v>
      </c>
      <c r="CJ204">
        <v>2785580.62</v>
      </c>
      <c r="CN204">
        <v>0</v>
      </c>
      <c r="CO204" t="s">
        <v>39</v>
      </c>
      <c r="CP204" t="s">
        <v>39</v>
      </c>
      <c r="CQ204" t="b">
        <v>1</v>
      </c>
      <c r="CR204" t="s">
        <v>8950</v>
      </c>
      <c r="CS204" t="s">
        <v>1167</v>
      </c>
      <c r="CT204" t="s">
        <v>8960</v>
      </c>
      <c r="CU204" t="s">
        <v>8973</v>
      </c>
      <c r="CV204" t="s">
        <v>6072</v>
      </c>
      <c r="CW204" t="s">
        <v>4895</v>
      </c>
      <c r="CX204" t="s">
        <v>3246</v>
      </c>
      <c r="CY204">
        <v>1.1199999999999974</v>
      </c>
      <c r="CZ204">
        <v>88181.184126625012</v>
      </c>
      <c r="DA204">
        <v>2785580.62</v>
      </c>
      <c r="DB204" t="s">
        <v>36</v>
      </c>
      <c r="DC204" t="b">
        <v>1</v>
      </c>
      <c r="DD204">
        <v>2785580.62</v>
      </c>
      <c r="DE204">
        <v>0</v>
      </c>
      <c r="DF204" t="b">
        <v>1</v>
      </c>
      <c r="DG204" s="420" cm="1">
        <f t="array" ref="DG204">_xlfn.XLOOKUP("Дом 4"&amp;Реестр_Д4[[#This Row],[№]]&amp;Реестр_Д4[[#This Row],[Статус]],РД[Дом]&amp;РД[№ кв]&amp;РД[Состояние],РД[Дата подачи на регистрацию],"-",0)</f>
        <v>44888</v>
      </c>
    </row>
    <row r="205" spans="1:111" x14ac:dyDescent="0.25">
      <c r="A205">
        <v>204</v>
      </c>
      <c r="B205" t="s">
        <v>5</v>
      </c>
      <c r="C205">
        <v>12</v>
      </c>
      <c r="D205" t="s">
        <v>45</v>
      </c>
      <c r="E205">
        <v>1</v>
      </c>
      <c r="F205">
        <v>13.45</v>
      </c>
      <c r="I205">
        <v>13.45</v>
      </c>
      <c r="J205">
        <v>12.54</v>
      </c>
      <c r="K205">
        <v>3.69</v>
      </c>
      <c r="N205">
        <v>6.62</v>
      </c>
      <c r="O205">
        <v>3.01</v>
      </c>
      <c r="Q205">
        <v>3.01</v>
      </c>
      <c r="R205">
        <v>39.31</v>
      </c>
      <c r="S205">
        <v>36.299999999999997</v>
      </c>
      <c r="T205">
        <v>37.81</v>
      </c>
      <c r="U205">
        <v>39.299999999999997</v>
      </c>
      <c r="V205">
        <v>72800</v>
      </c>
      <c r="W205">
        <v>3640</v>
      </c>
      <c r="X205">
        <v>76440</v>
      </c>
      <c r="Y205">
        <v>3057.6</v>
      </c>
      <c r="Z205">
        <v>79497.600000000006</v>
      </c>
      <c r="AA205">
        <v>3974.880000000001</v>
      </c>
      <c r="AB205">
        <v>83472.48000000001</v>
      </c>
      <c r="AC205">
        <v>10.267115040000002</v>
      </c>
      <c r="AD205">
        <v>83482.747115040009</v>
      </c>
      <c r="AE205">
        <v>4174.137355752001</v>
      </c>
      <c r="AF205">
        <v>87656.884470792007</v>
      </c>
      <c r="AH205">
        <v>87656.884470792007</v>
      </c>
      <c r="AI205">
        <v>2629.7065341237603</v>
      </c>
      <c r="AJ205">
        <v>90286.591004915783</v>
      </c>
      <c r="AK205">
        <v>902.86591004915772</v>
      </c>
      <c r="AL205">
        <v>91189.456914964932</v>
      </c>
      <c r="AM205">
        <v>1823.7891382992989</v>
      </c>
      <c r="AN205">
        <v>93013.246053264229</v>
      </c>
      <c r="AO205">
        <v>1860.2649210652849</v>
      </c>
      <c r="AP205">
        <v>94873.510974329518</v>
      </c>
      <c r="AQ205">
        <v>2846.2053292298856</v>
      </c>
      <c r="AR205">
        <v>97719.716303559399</v>
      </c>
      <c r="AT205">
        <v>97719.716303559399</v>
      </c>
      <c r="AU205">
        <v>2931.5914891067819</v>
      </c>
      <c r="AV205">
        <v>100651.30779266618</v>
      </c>
      <c r="AW205">
        <v>6039.0784675599707</v>
      </c>
      <c r="AX205">
        <v>106690.38626022617</v>
      </c>
      <c r="AZ205">
        <v>106690.38626022617</v>
      </c>
      <c r="BB205">
        <v>106690.38626022617</v>
      </c>
      <c r="BD205">
        <v>106690.38626022617</v>
      </c>
      <c r="BE205">
        <v>1745</v>
      </c>
      <c r="BF205">
        <v>108435.38626022617</v>
      </c>
      <c r="BH205">
        <v>108435.38626022617</v>
      </c>
      <c r="BI205">
        <v>5421.7693130113075</v>
      </c>
      <c r="BJ205">
        <v>113857.15557323744</v>
      </c>
      <c r="BL205">
        <v>113857.15557323744</v>
      </c>
      <c r="BN205">
        <v>113857.15557323744</v>
      </c>
      <c r="BP205">
        <v>113857.15557323744</v>
      </c>
      <c r="BR205">
        <v>113857.15557323744</v>
      </c>
      <c r="BT205">
        <v>113857.15557323744</v>
      </c>
      <c r="BV205">
        <v>113857.15557323744</v>
      </c>
      <c r="BX205">
        <v>113857.15557323744</v>
      </c>
      <c r="BY205">
        <v>113857.16</v>
      </c>
      <c r="BZ205">
        <v>4305000</v>
      </c>
      <c r="CC205">
        <v>0</v>
      </c>
      <c r="CD205">
        <v>113858.76752181962</v>
      </c>
      <c r="CE205">
        <v>4305000</v>
      </c>
      <c r="CF205" t="s">
        <v>37</v>
      </c>
      <c r="CG205">
        <v>7500</v>
      </c>
      <c r="CH205">
        <v>121358.76752181962</v>
      </c>
      <c r="CI205">
        <v>283575</v>
      </c>
      <c r="CJ205">
        <v>4588575</v>
      </c>
      <c r="CN205">
        <v>0</v>
      </c>
      <c r="CO205" t="s">
        <v>39</v>
      </c>
      <c r="CP205" t="s">
        <v>39</v>
      </c>
      <c r="CQ205" t="b">
        <v>1</v>
      </c>
      <c r="CR205" t="s">
        <v>8950</v>
      </c>
      <c r="CS205" t="s">
        <v>1167</v>
      </c>
      <c r="CT205" t="s">
        <v>8960</v>
      </c>
      <c r="CU205" t="s">
        <v>8973</v>
      </c>
      <c r="CV205" t="s">
        <v>6073</v>
      </c>
      <c r="CW205" t="s">
        <v>6652</v>
      </c>
      <c r="CX205" t="s">
        <v>3246</v>
      </c>
      <c r="CY205">
        <v>1.490000000000002</v>
      </c>
      <c r="CZ205">
        <v>180824.56360751149</v>
      </c>
      <c r="DA205">
        <v>4588575</v>
      </c>
      <c r="DB205" t="s">
        <v>37</v>
      </c>
      <c r="DC205" t="b">
        <v>1</v>
      </c>
      <c r="DD205">
        <v>4588575</v>
      </c>
      <c r="DE205">
        <v>0</v>
      </c>
      <c r="DF205" t="b">
        <v>1</v>
      </c>
      <c r="DG205" s="420" cm="1">
        <f t="array" ref="DG205">_xlfn.XLOOKUP("Дом 4"&amp;Реестр_Д4[[#This Row],[№]]&amp;Реестр_Д4[[#This Row],[Статус]],РД[Дом]&amp;РД[№ кв]&amp;РД[Состояние],РД[Дата подачи на регистрацию],"-",0)</f>
        <v>45311</v>
      </c>
    </row>
    <row r="206" spans="1:111" x14ac:dyDescent="0.25">
      <c r="A206">
        <v>205</v>
      </c>
      <c r="B206" t="s">
        <v>5</v>
      </c>
      <c r="C206">
        <v>12</v>
      </c>
      <c r="D206" t="s">
        <v>3351</v>
      </c>
      <c r="E206">
        <v>1</v>
      </c>
      <c r="F206">
        <v>12.11</v>
      </c>
      <c r="I206">
        <v>12.11</v>
      </c>
      <c r="J206">
        <v>12.27</v>
      </c>
      <c r="K206">
        <v>3.84</v>
      </c>
      <c r="N206">
        <v>7.06</v>
      </c>
      <c r="O206">
        <v>2.84</v>
      </c>
      <c r="Q206">
        <v>2.84</v>
      </c>
      <c r="R206">
        <v>38.119999999999997</v>
      </c>
      <c r="S206">
        <v>35.28</v>
      </c>
      <c r="T206">
        <v>36.700000000000003</v>
      </c>
      <c r="U206">
        <v>38</v>
      </c>
      <c r="V206">
        <v>72800</v>
      </c>
      <c r="W206">
        <v>3640</v>
      </c>
      <c r="X206">
        <v>76440</v>
      </c>
      <c r="Y206">
        <v>3057.6</v>
      </c>
      <c r="Z206">
        <v>79497.600000000006</v>
      </c>
      <c r="AA206">
        <v>3974.880000000001</v>
      </c>
      <c r="AB206">
        <v>83472.48000000001</v>
      </c>
      <c r="AC206">
        <v>10.267115040000002</v>
      </c>
      <c r="AD206">
        <v>83482.747115040009</v>
      </c>
      <c r="AE206">
        <v>4174.137355752001</v>
      </c>
      <c r="AF206">
        <v>87656.884470792007</v>
      </c>
      <c r="AH206">
        <v>87656.884470792007</v>
      </c>
      <c r="AI206">
        <v>2629.7065341237603</v>
      </c>
      <c r="AJ206">
        <v>90286.591004915783</v>
      </c>
      <c r="AL206">
        <v>90286.591004915783</v>
      </c>
      <c r="AN206">
        <v>90286.591004915783</v>
      </c>
      <c r="AP206">
        <v>90286.591004915783</v>
      </c>
      <c r="AR206">
        <v>90286.591004915783</v>
      </c>
      <c r="AT206">
        <v>90286.591004915783</v>
      </c>
      <c r="AV206">
        <v>90286.591004915783</v>
      </c>
      <c r="AX206">
        <v>90286.591004915783</v>
      </c>
      <c r="AZ206">
        <v>90286.591004915783</v>
      </c>
      <c r="BB206">
        <v>90286.591004915783</v>
      </c>
      <c r="BD206">
        <v>90286.591004915783</v>
      </c>
      <c r="BF206">
        <v>90286.591004915783</v>
      </c>
      <c r="BH206">
        <v>90286.591004915783</v>
      </c>
      <c r="BJ206">
        <v>90286.591004915783</v>
      </c>
      <c r="BL206">
        <v>90286.591004915783</v>
      </c>
      <c r="BN206">
        <v>90286.591004915783</v>
      </c>
      <c r="BP206">
        <v>90286.591004915783</v>
      </c>
      <c r="BR206">
        <v>90286.591004915783</v>
      </c>
      <c r="BT206">
        <v>90286.591004915783</v>
      </c>
      <c r="BV206">
        <v>90286.591004915783</v>
      </c>
      <c r="BX206">
        <v>90286.591004915783</v>
      </c>
      <c r="BY206">
        <v>90286.59</v>
      </c>
      <c r="BZ206">
        <v>3313517.85</v>
      </c>
      <c r="CC206">
        <v>0</v>
      </c>
      <c r="CD206">
        <v>90286.589918256126</v>
      </c>
      <c r="CE206">
        <v>3313517.85</v>
      </c>
      <c r="CF206" t="s">
        <v>37</v>
      </c>
      <c r="CG206">
        <v>4000</v>
      </c>
      <c r="CH206">
        <v>94286.589918256126</v>
      </c>
      <c r="CI206">
        <v>146800</v>
      </c>
      <c r="CJ206">
        <v>3460317.85</v>
      </c>
      <c r="CN206">
        <v>0</v>
      </c>
      <c r="CO206" t="s">
        <v>39</v>
      </c>
      <c r="CP206" t="s">
        <v>39</v>
      </c>
      <c r="CQ206" t="b">
        <v>1</v>
      </c>
      <c r="CR206" t="s">
        <v>8950</v>
      </c>
      <c r="CS206" t="s">
        <v>1167</v>
      </c>
      <c r="CT206" t="s">
        <v>8960</v>
      </c>
      <c r="CU206" t="s">
        <v>8973</v>
      </c>
      <c r="CV206" t="s">
        <v>6074</v>
      </c>
      <c r="CW206" t="s">
        <v>4895</v>
      </c>
      <c r="CX206" t="s">
        <v>3246</v>
      </c>
      <c r="CY206">
        <v>1.2999999999999972</v>
      </c>
      <c r="CZ206">
        <v>122572.5668937327</v>
      </c>
      <c r="DA206">
        <v>3460317.85</v>
      </c>
      <c r="DB206" t="s">
        <v>37</v>
      </c>
      <c r="DC206" t="b">
        <v>1</v>
      </c>
      <c r="DD206">
        <v>3460317.85</v>
      </c>
      <c r="DE206">
        <v>0</v>
      </c>
      <c r="DF206" t="b">
        <v>1</v>
      </c>
      <c r="DG206" s="420" cm="1">
        <f t="array" ref="DG206">_xlfn.XLOOKUP("Дом 4"&amp;Реестр_Д4[[#This Row],[№]]&amp;Реестр_Д4[[#This Row],[Статус]],РД[Дом]&amp;РД[№ кв]&amp;РД[Состояние],РД[Дата подачи на регистрацию],"-",0)</f>
        <v>45019</v>
      </c>
    </row>
    <row r="207" spans="1:111" x14ac:dyDescent="0.25">
      <c r="A207">
        <v>206</v>
      </c>
      <c r="B207" t="s">
        <v>5</v>
      </c>
      <c r="C207">
        <v>12</v>
      </c>
      <c r="D207" t="s">
        <v>3352</v>
      </c>
      <c r="E207">
        <v>1</v>
      </c>
      <c r="F207">
        <v>11.74</v>
      </c>
      <c r="I207">
        <v>11.74</v>
      </c>
      <c r="J207">
        <v>12.47</v>
      </c>
      <c r="K207">
        <v>3.71</v>
      </c>
      <c r="N207">
        <v>7.29</v>
      </c>
      <c r="O207">
        <v>2.89</v>
      </c>
      <c r="Q207">
        <v>2.89</v>
      </c>
      <c r="R207">
        <v>38.1</v>
      </c>
      <c r="S207">
        <v>35.21</v>
      </c>
      <c r="T207">
        <v>36.659999999999997</v>
      </c>
      <c r="U207">
        <v>37.799999999999997</v>
      </c>
      <c r="V207">
        <v>72800</v>
      </c>
      <c r="W207">
        <v>3640</v>
      </c>
      <c r="X207">
        <v>76440</v>
      </c>
      <c r="Y207">
        <v>3057.6</v>
      </c>
      <c r="Z207">
        <v>79497.600000000006</v>
      </c>
      <c r="AA207">
        <v>3974.880000000001</v>
      </c>
      <c r="AB207">
        <v>83472.48000000001</v>
      </c>
      <c r="AC207">
        <v>10.267115040000002</v>
      </c>
      <c r="AD207">
        <v>83482.747115040009</v>
      </c>
      <c r="AE207">
        <v>4174.137355752001</v>
      </c>
      <c r="AF207">
        <v>87656.884470792007</v>
      </c>
      <c r="AH207">
        <v>87656.884470792007</v>
      </c>
      <c r="AI207">
        <v>2629.7065341237603</v>
      </c>
      <c r="AJ207">
        <v>90286.591004915783</v>
      </c>
      <c r="AK207">
        <v>902.86591004915772</v>
      </c>
      <c r="AL207">
        <v>91189.456914964932</v>
      </c>
      <c r="AM207">
        <v>1823.7891382992989</v>
      </c>
      <c r="AN207">
        <v>93013.246053264229</v>
      </c>
      <c r="AO207">
        <v>1860.2649210652849</v>
      </c>
      <c r="AP207">
        <v>94873.510974329518</v>
      </c>
      <c r="AQ207">
        <v>2846.2053292298856</v>
      </c>
      <c r="AR207">
        <v>97719.716303559399</v>
      </c>
      <c r="AS207">
        <v>4885.9858151779699</v>
      </c>
      <c r="AT207">
        <v>102605.70211873736</v>
      </c>
      <c r="AU207">
        <v>3078.1710635621207</v>
      </c>
      <c r="AV207">
        <v>105683.87318229947</v>
      </c>
      <c r="AW207">
        <v>6341.0323909379695</v>
      </c>
      <c r="AX207">
        <v>112024.90557323744</v>
      </c>
      <c r="AZ207">
        <v>112024.90557323744</v>
      </c>
      <c r="BB207">
        <v>112024.90557323744</v>
      </c>
      <c r="BD207">
        <v>112024.90557323744</v>
      </c>
      <c r="BF207">
        <v>112024.90557323744</v>
      </c>
      <c r="BH207">
        <v>112024.90557323744</v>
      </c>
      <c r="BJ207">
        <v>112024.90557323744</v>
      </c>
      <c r="BL207">
        <v>112024.90557323744</v>
      </c>
      <c r="BN207">
        <v>112024.90557323744</v>
      </c>
      <c r="BP207">
        <v>112024.90557323744</v>
      </c>
      <c r="BR207">
        <v>112024.90557323744</v>
      </c>
      <c r="BT207">
        <v>112024.90557323744</v>
      </c>
      <c r="BV207">
        <v>112024.90557323744</v>
      </c>
      <c r="BX207">
        <v>112024.90557323744</v>
      </c>
      <c r="BY207">
        <v>112024.91</v>
      </c>
      <c r="BZ207">
        <v>4106833.2</v>
      </c>
      <c r="CC207">
        <v>0</v>
      </c>
      <c r="CD207">
        <v>112024.90998363341</v>
      </c>
      <c r="CE207">
        <v>4106833.2</v>
      </c>
      <c r="CF207" t="s">
        <v>36</v>
      </c>
      <c r="CH207">
        <v>112024.90998363341</v>
      </c>
      <c r="CI207">
        <v>0</v>
      </c>
      <c r="CJ207">
        <v>4106833.2</v>
      </c>
      <c r="CN207">
        <v>0</v>
      </c>
      <c r="CO207" t="s">
        <v>39</v>
      </c>
      <c r="CP207" t="s">
        <v>39</v>
      </c>
      <c r="CQ207" t="b">
        <v>1</v>
      </c>
      <c r="CR207" t="s">
        <v>8950</v>
      </c>
      <c r="CS207" t="s">
        <v>1167</v>
      </c>
      <c r="CT207" t="s">
        <v>8960</v>
      </c>
      <c r="CU207" t="s">
        <v>8973</v>
      </c>
      <c r="CV207" t="s">
        <v>6075</v>
      </c>
      <c r="CW207" t="s">
        <v>4895</v>
      </c>
      <c r="CX207" t="s">
        <v>3246</v>
      </c>
      <c r="CY207">
        <v>1.1400000000000006</v>
      </c>
      <c r="CZ207">
        <v>127708.39738134216</v>
      </c>
      <c r="DA207">
        <v>4106833.2</v>
      </c>
      <c r="DB207" t="s">
        <v>36</v>
      </c>
      <c r="DC207" t="b">
        <v>1</v>
      </c>
      <c r="DD207">
        <v>4106833.2</v>
      </c>
      <c r="DE207">
        <v>0</v>
      </c>
      <c r="DF207" t="b">
        <v>1</v>
      </c>
      <c r="DG207" s="420" cm="1">
        <f t="array" ref="DG207">_xlfn.XLOOKUP("Дом 4"&amp;Реестр_Д4[[#This Row],[№]]&amp;Реестр_Д4[[#This Row],[Статус]],РД[Дом]&amp;РД[№ кв]&amp;РД[Состояние],РД[Дата подачи на регистрацию],"-",0)</f>
        <v>45226</v>
      </c>
    </row>
    <row r="208" spans="1:111" x14ac:dyDescent="0.25">
      <c r="A208">
        <v>207</v>
      </c>
      <c r="B208" t="s">
        <v>5</v>
      </c>
      <c r="C208">
        <v>12</v>
      </c>
      <c r="D208" t="s">
        <v>3353</v>
      </c>
      <c r="E208">
        <v>3</v>
      </c>
      <c r="F208">
        <v>14.79</v>
      </c>
      <c r="G208">
        <v>14.24</v>
      </c>
      <c r="H208">
        <v>13.63</v>
      </c>
      <c r="I208">
        <v>42.66</v>
      </c>
      <c r="J208">
        <v>13.29</v>
      </c>
      <c r="K208">
        <v>4.72</v>
      </c>
      <c r="L208">
        <v>1.66</v>
      </c>
      <c r="M208">
        <v>2.19</v>
      </c>
      <c r="N208">
        <v>11.45</v>
      </c>
      <c r="O208">
        <v>2.73</v>
      </c>
      <c r="P208">
        <v>2.78</v>
      </c>
      <c r="Q208">
        <v>5.51</v>
      </c>
      <c r="R208">
        <v>81.48</v>
      </c>
      <c r="S208">
        <v>75.97</v>
      </c>
      <c r="T208">
        <v>78.73</v>
      </c>
      <c r="U208">
        <v>80.599999999999994</v>
      </c>
      <c r="V208">
        <v>68992.000000000015</v>
      </c>
      <c r="W208">
        <v>3449.6000000000008</v>
      </c>
      <c r="X208">
        <v>72441.60000000002</v>
      </c>
      <c r="Z208">
        <v>72441.60000000002</v>
      </c>
      <c r="AB208">
        <v>72441.60000000002</v>
      </c>
      <c r="AC208">
        <v>8.9103168000000039</v>
      </c>
      <c r="AD208">
        <v>72450.510316800021</v>
      </c>
      <c r="AF208">
        <v>72450.510316800021</v>
      </c>
      <c r="AH208">
        <v>72450.510316800021</v>
      </c>
      <c r="AJ208">
        <v>72450.510316800021</v>
      </c>
      <c r="AL208">
        <v>72450.510316800021</v>
      </c>
      <c r="AN208">
        <v>72450.510316800021</v>
      </c>
      <c r="AP208">
        <v>72450.510316800021</v>
      </c>
      <c r="AR208">
        <v>72450.510316800021</v>
      </c>
      <c r="AT208">
        <v>72450.510316800021</v>
      </c>
      <c r="AV208">
        <v>72450.510316800021</v>
      </c>
      <c r="AX208">
        <v>72450.510316800021</v>
      </c>
      <c r="AZ208">
        <v>72450.510316800021</v>
      </c>
      <c r="BB208">
        <v>72450.510316800021</v>
      </c>
      <c r="BD208">
        <v>72450.510316800021</v>
      </c>
      <c r="BF208">
        <v>72450.510316800021</v>
      </c>
      <c r="BH208">
        <v>72450.510316800021</v>
      </c>
      <c r="BJ208">
        <v>72450.510316800021</v>
      </c>
      <c r="BL208">
        <v>72450.510316800021</v>
      </c>
      <c r="BN208">
        <v>72450.510316800021</v>
      </c>
      <c r="BP208">
        <v>72450.510316800021</v>
      </c>
      <c r="BR208">
        <v>72450.510316800021</v>
      </c>
      <c r="BT208">
        <v>72450.510316800021</v>
      </c>
      <c r="BV208">
        <v>72450.510316800021</v>
      </c>
      <c r="BX208">
        <v>72450.510316800021</v>
      </c>
      <c r="BY208">
        <v>72450.509999999995</v>
      </c>
      <c r="BZ208">
        <v>5704028.6500000004</v>
      </c>
      <c r="CC208">
        <v>0</v>
      </c>
      <c r="CD208">
        <v>72450.509970786239</v>
      </c>
      <c r="CE208">
        <v>5704028.6500000004</v>
      </c>
      <c r="CF208" t="s">
        <v>37</v>
      </c>
      <c r="CG208">
        <v>4000</v>
      </c>
      <c r="CH208">
        <v>76450.509970786239</v>
      </c>
      <c r="CI208">
        <v>314920</v>
      </c>
      <c r="CJ208">
        <v>6018948.6500000004</v>
      </c>
      <c r="CN208">
        <v>0</v>
      </c>
      <c r="CO208" t="s">
        <v>39</v>
      </c>
      <c r="CP208" t="s">
        <v>39</v>
      </c>
      <c r="CQ208" t="b">
        <v>1</v>
      </c>
      <c r="CR208" t="s">
        <v>8950</v>
      </c>
      <c r="CS208" t="s">
        <v>1167</v>
      </c>
      <c r="CT208" t="s">
        <v>8960</v>
      </c>
      <c r="CU208" t="s">
        <v>8975</v>
      </c>
      <c r="CV208" t="s">
        <v>6076</v>
      </c>
      <c r="CW208" t="s">
        <v>4895</v>
      </c>
      <c r="CX208" t="s">
        <v>3246</v>
      </c>
      <c r="CY208">
        <v>1.8699999999999903</v>
      </c>
      <c r="CZ208">
        <v>142962.45364536953</v>
      </c>
      <c r="DA208">
        <v>6018948.6500000004</v>
      </c>
      <c r="DB208" t="s">
        <v>37</v>
      </c>
      <c r="DC208" t="b">
        <v>1</v>
      </c>
      <c r="DD208">
        <v>6018948.6500000004</v>
      </c>
      <c r="DE208">
        <v>0</v>
      </c>
      <c r="DF208" t="b">
        <v>1</v>
      </c>
      <c r="DG208" s="420" cm="1">
        <f t="array" ref="DG208">_xlfn.XLOOKUP("Дом 4"&amp;Реестр_Д4[[#This Row],[№]]&amp;Реестр_Д4[[#This Row],[Статус]],РД[Дом]&amp;РД[№ кв]&amp;РД[Состояние],РД[Дата подачи на регистрацию],"-",0)</f>
        <v>45019</v>
      </c>
    </row>
    <row r="209" spans="1:111" x14ac:dyDescent="0.25">
      <c r="A209">
        <v>208</v>
      </c>
      <c r="B209" t="s">
        <v>5</v>
      </c>
      <c r="C209">
        <v>12</v>
      </c>
      <c r="D209" t="s">
        <v>3354</v>
      </c>
      <c r="E209">
        <v>1</v>
      </c>
      <c r="F209">
        <v>14.13</v>
      </c>
      <c r="I209">
        <v>14.13</v>
      </c>
      <c r="J209">
        <v>9.2100000000000009</v>
      </c>
      <c r="K209">
        <v>3.66</v>
      </c>
      <c r="N209">
        <v>5.55</v>
      </c>
      <c r="O209">
        <v>2.48</v>
      </c>
      <c r="Q209">
        <v>2.48</v>
      </c>
      <c r="R209">
        <v>35.03</v>
      </c>
      <c r="S209">
        <v>32.550000000000004</v>
      </c>
      <c r="T209">
        <v>33.79</v>
      </c>
      <c r="U209">
        <v>34.700000000000003</v>
      </c>
      <c r="V209">
        <v>70700</v>
      </c>
      <c r="W209">
        <v>3535</v>
      </c>
      <c r="X209">
        <v>74235</v>
      </c>
      <c r="Y209">
        <v>2969.4</v>
      </c>
      <c r="Z209">
        <v>77204.399999999994</v>
      </c>
      <c r="AA209">
        <v>3860.22</v>
      </c>
      <c r="AB209">
        <v>81064.62</v>
      </c>
      <c r="AC209">
        <v>9.9709482600000001</v>
      </c>
      <c r="AD209">
        <v>81074.590948259996</v>
      </c>
      <c r="AE209">
        <v>4053.7295474130001</v>
      </c>
      <c r="AF209">
        <v>85128.32049567299</v>
      </c>
      <c r="AH209">
        <v>85128.32049567299</v>
      </c>
      <c r="AJ209">
        <v>85128.32049567299</v>
      </c>
      <c r="AL209">
        <v>85128.32049567299</v>
      </c>
      <c r="AN209">
        <v>85128.32049567299</v>
      </c>
      <c r="AP209">
        <v>85128.32049567299</v>
      </c>
      <c r="AR209">
        <v>85128.32049567299</v>
      </c>
      <c r="AT209">
        <v>85128.32049567299</v>
      </c>
      <c r="AV209">
        <v>85128.32049567299</v>
      </c>
      <c r="AX209">
        <v>85128.32049567299</v>
      </c>
      <c r="AZ209">
        <v>85128.32049567299</v>
      </c>
      <c r="BB209">
        <v>85128.32049567299</v>
      </c>
      <c r="BD209">
        <v>85128.32049567299</v>
      </c>
      <c r="BF209">
        <v>85128.32049567299</v>
      </c>
      <c r="BH209">
        <v>85128.32049567299</v>
      </c>
      <c r="BJ209">
        <v>85128.32049567299</v>
      </c>
      <c r="BL209">
        <v>85128.32049567299</v>
      </c>
      <c r="BN209">
        <v>85128.32049567299</v>
      </c>
      <c r="BP209">
        <v>85128.32049567299</v>
      </c>
      <c r="BR209">
        <v>85128.32049567299</v>
      </c>
      <c r="BT209">
        <v>85128.32049567299</v>
      </c>
      <c r="BV209">
        <v>85128.32049567299</v>
      </c>
      <c r="BX209">
        <v>85128.32049567299</v>
      </c>
      <c r="BY209">
        <v>85128.320000000007</v>
      </c>
      <c r="BZ209">
        <v>2876485.93</v>
      </c>
      <c r="CB209">
        <v>0.05</v>
      </c>
      <c r="CC209">
        <v>143824.29650000003</v>
      </c>
      <c r="CD209">
        <v>80871.903817697559</v>
      </c>
      <c r="CE209">
        <v>2732661.63</v>
      </c>
      <c r="CF209" t="s">
        <v>37</v>
      </c>
      <c r="CG209">
        <v>4000</v>
      </c>
      <c r="CH209">
        <v>84871.903817697559</v>
      </c>
      <c r="CI209">
        <v>135160</v>
      </c>
      <c r="CJ209">
        <v>2867821.63</v>
      </c>
      <c r="CK209" t="s">
        <v>57</v>
      </c>
      <c r="CL209" t="s">
        <v>3540</v>
      </c>
      <c r="CN209">
        <v>0</v>
      </c>
      <c r="CO209" t="s">
        <v>39</v>
      </c>
      <c r="CP209" t="s">
        <v>39</v>
      </c>
      <c r="CQ209" t="b">
        <v>1</v>
      </c>
      <c r="CR209" t="s">
        <v>8950</v>
      </c>
      <c r="CS209" t="s">
        <v>1167</v>
      </c>
      <c r="CT209" t="s">
        <v>8960</v>
      </c>
      <c r="CU209" t="s">
        <v>8973</v>
      </c>
      <c r="CV209" t="s">
        <v>6077</v>
      </c>
      <c r="CW209" t="s">
        <v>4895</v>
      </c>
      <c r="CX209" t="s">
        <v>3246</v>
      </c>
      <c r="CY209">
        <v>0.91000000000000369</v>
      </c>
      <c r="CZ209">
        <v>77233.43247410508</v>
      </c>
      <c r="DA209">
        <v>2867821.63</v>
      </c>
      <c r="DB209" t="s">
        <v>37</v>
      </c>
      <c r="DC209" t="b">
        <v>1</v>
      </c>
      <c r="DD209">
        <v>2867821.63</v>
      </c>
      <c r="DE209">
        <v>0</v>
      </c>
      <c r="DF209" t="b">
        <v>1</v>
      </c>
      <c r="DG209" s="420" cm="1">
        <f t="array" ref="DG209">_xlfn.XLOOKUP("Дом 4"&amp;Реестр_Д4[[#This Row],[№]]&amp;Реестр_Д4[[#This Row],[Статус]],РД[Дом]&amp;РД[№ кв]&amp;РД[Состояние],РД[Дата подачи на регистрацию],"-",0)</f>
        <v>44924</v>
      </c>
    </row>
    <row r="210" spans="1:111" x14ac:dyDescent="0.25">
      <c r="A210">
        <v>209</v>
      </c>
      <c r="B210" t="s">
        <v>5</v>
      </c>
      <c r="C210">
        <v>13</v>
      </c>
      <c r="D210" t="s">
        <v>42</v>
      </c>
      <c r="E210">
        <v>0</v>
      </c>
      <c r="F210">
        <v>13.95</v>
      </c>
      <c r="I210">
        <v>13.95</v>
      </c>
      <c r="J210">
        <v>5.77</v>
      </c>
      <c r="K210">
        <v>3.6</v>
      </c>
      <c r="N210">
        <v>3.59</v>
      </c>
      <c r="O210">
        <v>4.12</v>
      </c>
      <c r="Q210">
        <v>4.12</v>
      </c>
      <c r="R210">
        <v>31.03</v>
      </c>
      <c r="S210">
        <v>26.91</v>
      </c>
      <c r="T210">
        <v>28.97</v>
      </c>
      <c r="U210">
        <v>29.499999999999996</v>
      </c>
      <c r="V210">
        <v>75600</v>
      </c>
      <c r="W210">
        <v>3780</v>
      </c>
      <c r="X210">
        <v>79380</v>
      </c>
      <c r="Z210">
        <v>79380</v>
      </c>
      <c r="AB210">
        <v>79380</v>
      </c>
      <c r="AD210">
        <v>79380</v>
      </c>
      <c r="AF210">
        <v>79380</v>
      </c>
      <c r="AH210">
        <v>79380</v>
      </c>
      <c r="AJ210">
        <v>79380</v>
      </c>
      <c r="AL210">
        <v>79380</v>
      </c>
      <c r="AN210">
        <v>79380</v>
      </c>
      <c r="AP210">
        <v>79380</v>
      </c>
      <c r="AR210">
        <v>79380</v>
      </c>
      <c r="AT210">
        <v>79380</v>
      </c>
      <c r="AV210">
        <v>79380</v>
      </c>
      <c r="AX210">
        <v>79380</v>
      </c>
      <c r="AZ210">
        <v>79380</v>
      </c>
      <c r="BB210">
        <v>79380</v>
      </c>
      <c r="BD210">
        <v>79380</v>
      </c>
      <c r="BF210">
        <v>79380</v>
      </c>
      <c r="BH210">
        <v>79380</v>
      </c>
      <c r="BJ210">
        <v>79380</v>
      </c>
      <c r="BL210">
        <v>79380</v>
      </c>
      <c r="BN210">
        <v>79380</v>
      </c>
      <c r="BP210">
        <v>79380</v>
      </c>
      <c r="BR210">
        <v>79380</v>
      </c>
      <c r="BT210">
        <v>79380</v>
      </c>
      <c r="BV210">
        <v>79380</v>
      </c>
      <c r="BX210">
        <v>79380</v>
      </c>
      <c r="BY210">
        <v>79380</v>
      </c>
      <c r="BZ210">
        <v>2299638.6</v>
      </c>
      <c r="CB210">
        <v>0.05</v>
      </c>
      <c r="CC210">
        <v>114981.93</v>
      </c>
      <c r="CD210">
        <v>75411</v>
      </c>
      <c r="CE210">
        <v>2184656.67</v>
      </c>
      <c r="CF210" t="s">
        <v>36</v>
      </c>
      <c r="CH210">
        <v>75411</v>
      </c>
      <c r="CI210">
        <v>0</v>
      </c>
      <c r="CJ210">
        <v>2184656.67</v>
      </c>
      <c r="CL210" t="s">
        <v>3540</v>
      </c>
      <c r="CN210">
        <v>0</v>
      </c>
      <c r="CO210" t="s">
        <v>39</v>
      </c>
      <c r="CP210" t="s">
        <v>39</v>
      </c>
      <c r="CQ210" t="b">
        <v>1</v>
      </c>
      <c r="CR210" t="s">
        <v>8950</v>
      </c>
      <c r="CS210" t="s">
        <v>1167</v>
      </c>
      <c r="CT210" t="s">
        <v>8960</v>
      </c>
      <c r="CU210" t="s">
        <v>8970</v>
      </c>
      <c r="CV210" t="s">
        <v>6078</v>
      </c>
      <c r="CW210" t="s">
        <v>4895</v>
      </c>
      <c r="CX210" t="s">
        <v>3246</v>
      </c>
      <c r="CY210">
        <v>0.52999999999999758</v>
      </c>
      <c r="CZ210">
        <v>39967.82999999982</v>
      </c>
      <c r="DA210">
        <v>2184656.67</v>
      </c>
      <c r="DB210" t="s">
        <v>36</v>
      </c>
      <c r="DC210" t="b">
        <v>1</v>
      </c>
      <c r="DD210">
        <v>2184656.67</v>
      </c>
      <c r="DE210">
        <v>0</v>
      </c>
      <c r="DF210" t="b">
        <v>1</v>
      </c>
      <c r="DG210" s="420" cm="1">
        <f t="array" ref="DG210">_xlfn.XLOOKUP("Дом 4"&amp;Реестр_Д4[[#This Row],[№]]&amp;Реестр_Д4[[#This Row],[Статус]],РД[Дом]&amp;РД[№ кв]&amp;РД[Состояние],РД[Дата подачи на регистрацию],"-",0)</f>
        <v>44853</v>
      </c>
    </row>
    <row r="211" spans="1:111" x14ac:dyDescent="0.25">
      <c r="A211">
        <v>210</v>
      </c>
      <c r="B211" t="s">
        <v>5</v>
      </c>
      <c r="C211">
        <v>13</v>
      </c>
      <c r="D211" t="s">
        <v>43</v>
      </c>
      <c r="E211">
        <v>2</v>
      </c>
      <c r="F211">
        <v>17.54</v>
      </c>
      <c r="G211">
        <v>12.04</v>
      </c>
      <c r="I211">
        <v>29.58</v>
      </c>
      <c r="J211">
        <v>17.010000000000002</v>
      </c>
      <c r="K211">
        <v>3.71</v>
      </c>
      <c r="L211">
        <v>2.64</v>
      </c>
      <c r="N211">
        <v>13.06</v>
      </c>
      <c r="O211">
        <v>2.61</v>
      </c>
      <c r="P211">
        <v>2.88</v>
      </c>
      <c r="Q211">
        <v>5.49</v>
      </c>
      <c r="R211">
        <v>71.489999999999995</v>
      </c>
      <c r="S211">
        <v>66</v>
      </c>
      <c r="T211">
        <v>68.75</v>
      </c>
      <c r="U211">
        <v>70.099999999999994</v>
      </c>
      <c r="V211">
        <v>71971.199999999997</v>
      </c>
      <c r="W211">
        <v>3598.56</v>
      </c>
      <c r="X211">
        <v>75569.759999999995</v>
      </c>
      <c r="Z211">
        <v>75569.759999999995</v>
      </c>
      <c r="AA211">
        <v>3778.4879999999998</v>
      </c>
      <c r="AB211">
        <v>79348.248000000007</v>
      </c>
      <c r="AC211">
        <v>9.7598345040000005</v>
      </c>
      <c r="AD211">
        <v>79358.007834503995</v>
      </c>
      <c r="AF211">
        <v>79358.007834503995</v>
      </c>
      <c r="AH211">
        <v>79358.007834503995</v>
      </c>
      <c r="AI211">
        <v>1587.1601566900799</v>
      </c>
      <c r="AJ211">
        <v>80945.167991194074</v>
      </c>
      <c r="AK211">
        <v>809.4516799119408</v>
      </c>
      <c r="AL211">
        <v>81754.619671106018</v>
      </c>
      <c r="AM211">
        <v>1635.0923934221205</v>
      </c>
      <c r="AN211">
        <v>83389.712064528139</v>
      </c>
      <c r="AP211">
        <v>83389.712064528139</v>
      </c>
      <c r="AQ211">
        <v>2501.6913619358443</v>
      </c>
      <c r="AR211">
        <v>85891.403426463978</v>
      </c>
      <c r="AT211">
        <v>85891.403426463978</v>
      </c>
      <c r="AU211">
        <v>2576.7421027939195</v>
      </c>
      <c r="AV211">
        <v>88468.14552925789</v>
      </c>
      <c r="AX211">
        <v>88468.14552925789</v>
      </c>
      <c r="AZ211">
        <v>88468.14552925789</v>
      </c>
      <c r="BB211">
        <v>88468.14552925789</v>
      </c>
      <c r="BD211">
        <v>88468.14552925789</v>
      </c>
      <c r="BF211">
        <v>88468.14552925789</v>
      </c>
      <c r="BH211">
        <v>88468.14552925789</v>
      </c>
      <c r="BI211">
        <v>4423.4072764628945</v>
      </c>
      <c r="BJ211">
        <v>92891.552805720785</v>
      </c>
      <c r="BK211">
        <v>1000</v>
      </c>
      <c r="BL211">
        <v>93891.552805720785</v>
      </c>
      <c r="BN211">
        <v>93891.552805720785</v>
      </c>
      <c r="BP211">
        <v>93891.552805720785</v>
      </c>
      <c r="BR211">
        <v>93891.552805720785</v>
      </c>
      <c r="BT211">
        <v>93891.552805720785</v>
      </c>
      <c r="BV211">
        <v>93891.552805720785</v>
      </c>
      <c r="BX211">
        <v>93891.552805720785</v>
      </c>
      <c r="BY211">
        <v>93891.55</v>
      </c>
      <c r="BZ211">
        <v>6455100</v>
      </c>
      <c r="CB211">
        <v>0.03</v>
      </c>
      <c r="CC211">
        <v>193653</v>
      </c>
      <c r="CD211">
        <v>91075.592727272742</v>
      </c>
      <c r="CE211">
        <v>6261447</v>
      </c>
      <c r="CF211" t="s">
        <v>36</v>
      </c>
      <c r="CH211">
        <v>91075.592727272742</v>
      </c>
      <c r="CI211">
        <v>0</v>
      </c>
      <c r="CJ211">
        <v>6261447</v>
      </c>
      <c r="CL211" t="s">
        <v>978</v>
      </c>
      <c r="CN211">
        <v>0</v>
      </c>
      <c r="CO211" t="s">
        <v>39</v>
      </c>
      <c r="CP211" t="s">
        <v>39</v>
      </c>
      <c r="CQ211" t="b">
        <v>1</v>
      </c>
      <c r="CR211" t="s">
        <v>8950</v>
      </c>
      <c r="CT211" t="s">
        <v>8960</v>
      </c>
      <c r="CU211" t="s">
        <v>8971</v>
      </c>
      <c r="CV211" t="s">
        <v>6079</v>
      </c>
      <c r="CW211" t="s">
        <v>6652</v>
      </c>
      <c r="CX211" t="s">
        <v>3246</v>
      </c>
      <c r="CY211">
        <v>1.3499999999999943</v>
      </c>
      <c r="CZ211">
        <v>122952.05018181769</v>
      </c>
      <c r="DA211">
        <v>6261447</v>
      </c>
      <c r="DB211" t="s">
        <v>36</v>
      </c>
      <c r="DC211" t="b">
        <v>1</v>
      </c>
      <c r="DD211">
        <v>6261447</v>
      </c>
      <c r="DE211">
        <v>0</v>
      </c>
      <c r="DF211" t="b">
        <v>1</v>
      </c>
      <c r="DG211" s="420" cm="1">
        <f t="array" ref="DG211">_xlfn.XLOOKUP("Дом 4"&amp;Реестр_Д4[[#This Row],[№]]&amp;Реестр_Д4[[#This Row],[Статус]],РД[Дом]&amp;РД[№ кв]&amp;РД[Состояние],РД[Дата подачи на регистрацию],"-",0)</f>
        <v>45351</v>
      </c>
    </row>
    <row r="212" spans="1:111" x14ac:dyDescent="0.25">
      <c r="A212">
        <v>211</v>
      </c>
      <c r="B212" t="s">
        <v>5</v>
      </c>
      <c r="C212">
        <v>13</v>
      </c>
      <c r="D212" t="s">
        <v>44</v>
      </c>
      <c r="E212">
        <v>1</v>
      </c>
      <c r="F212">
        <v>13.45</v>
      </c>
      <c r="I212">
        <v>13.45</v>
      </c>
      <c r="J212">
        <v>11.31</v>
      </c>
      <c r="K212">
        <v>3.69</v>
      </c>
      <c r="N212">
        <v>5.63</v>
      </c>
      <c r="O212">
        <v>2.59</v>
      </c>
      <c r="Q212">
        <v>2.59</v>
      </c>
      <c r="R212">
        <v>36.67</v>
      </c>
      <c r="S212">
        <v>34.08</v>
      </c>
      <c r="T212">
        <v>35.380000000000003</v>
      </c>
      <c r="U212">
        <v>36.799999999999997</v>
      </c>
      <c r="V212">
        <v>72100</v>
      </c>
      <c r="W212">
        <v>3605</v>
      </c>
      <c r="X212">
        <v>75705</v>
      </c>
      <c r="Y212">
        <v>3028.2000000000003</v>
      </c>
      <c r="Z212">
        <v>78733.2</v>
      </c>
      <c r="AA212">
        <v>3936.66</v>
      </c>
      <c r="AB212">
        <v>82669.86</v>
      </c>
      <c r="AC212">
        <v>10.16839278</v>
      </c>
      <c r="AD212">
        <v>82680.028392780005</v>
      </c>
      <c r="AE212">
        <v>4134.0014196390002</v>
      </c>
      <c r="AF212">
        <v>86814.029812419001</v>
      </c>
      <c r="AH212">
        <v>86814.029812419001</v>
      </c>
      <c r="AJ212">
        <v>86814.029812419001</v>
      </c>
      <c r="AL212">
        <v>86814.029812419001</v>
      </c>
      <c r="AN212">
        <v>86814.029812419001</v>
      </c>
      <c r="AP212">
        <v>86814.029812419001</v>
      </c>
      <c r="AR212">
        <v>86814.029812419001</v>
      </c>
      <c r="AT212">
        <v>86814.029812419001</v>
      </c>
      <c r="AV212">
        <v>86814.029812419001</v>
      </c>
      <c r="AX212">
        <v>86814.029812419001</v>
      </c>
      <c r="AZ212">
        <v>86814.029812419001</v>
      </c>
      <c r="BB212">
        <v>86814.029812419001</v>
      </c>
      <c r="BD212">
        <v>86814.029812419001</v>
      </c>
      <c r="BF212">
        <v>86814.029812419001</v>
      </c>
      <c r="BH212">
        <v>86814.029812419001</v>
      </c>
      <c r="BJ212">
        <v>86814.029812419001</v>
      </c>
      <c r="BL212">
        <v>86814.029812419001</v>
      </c>
      <c r="BN212">
        <v>86814.029812419001</v>
      </c>
      <c r="BP212">
        <v>86814.029812419001</v>
      </c>
      <c r="BR212">
        <v>86814.029812419001</v>
      </c>
      <c r="BT212">
        <v>86814.029812419001</v>
      </c>
      <c r="BV212">
        <v>86814.029812419001</v>
      </c>
      <c r="BX212">
        <v>86814.029812419001</v>
      </c>
      <c r="BY212">
        <v>86814.03</v>
      </c>
      <c r="BZ212">
        <v>3071480.38</v>
      </c>
      <c r="CC212">
        <v>0</v>
      </c>
      <c r="CD212">
        <v>86814.029960429616</v>
      </c>
      <c r="CE212">
        <v>3071480.38</v>
      </c>
      <c r="CF212" t="s">
        <v>37</v>
      </c>
      <c r="CG212">
        <v>4000</v>
      </c>
      <c r="CH212">
        <v>90814.029960429616</v>
      </c>
      <c r="CI212">
        <v>141520</v>
      </c>
      <c r="CJ212">
        <v>3213000.38</v>
      </c>
      <c r="CN212">
        <v>0</v>
      </c>
      <c r="CO212" t="s">
        <v>39</v>
      </c>
      <c r="CP212" t="s">
        <v>39</v>
      </c>
      <c r="CQ212" t="b">
        <v>1</v>
      </c>
      <c r="CR212" t="s">
        <v>8950</v>
      </c>
      <c r="CT212" t="s">
        <v>8960</v>
      </c>
      <c r="CU212" t="s">
        <v>8973</v>
      </c>
      <c r="CV212" t="s">
        <v>6080</v>
      </c>
      <c r="CW212" t="s">
        <v>4895</v>
      </c>
      <c r="CX212" t="s">
        <v>3246</v>
      </c>
      <c r="CY212">
        <v>1.4199999999999946</v>
      </c>
      <c r="CZ212">
        <v>128955.92254380956</v>
      </c>
      <c r="DA212">
        <v>3213000.38</v>
      </c>
      <c r="DB212" t="s">
        <v>37</v>
      </c>
      <c r="DC212" t="b">
        <v>1</v>
      </c>
      <c r="DD212">
        <v>3213000.38</v>
      </c>
      <c r="DE212">
        <v>0</v>
      </c>
      <c r="DF212" t="b">
        <v>1</v>
      </c>
      <c r="DG212" s="420" cm="1">
        <f t="array" ref="DG212">_xlfn.XLOOKUP("Дом 4"&amp;Реестр_Д4[[#This Row],[№]]&amp;Реестр_Д4[[#This Row],[Статус]],РД[Дом]&amp;РД[№ кв]&amp;РД[Состояние],РД[Дата подачи на регистрацию],"-",0)</f>
        <v>44953</v>
      </c>
    </row>
    <row r="213" spans="1:111" x14ac:dyDescent="0.25">
      <c r="A213">
        <v>212</v>
      </c>
      <c r="B213" t="s">
        <v>5</v>
      </c>
      <c r="C213">
        <v>13</v>
      </c>
      <c r="D213" t="s">
        <v>45</v>
      </c>
      <c r="E213">
        <v>1</v>
      </c>
      <c r="F213">
        <v>13.45</v>
      </c>
      <c r="I213">
        <v>13.45</v>
      </c>
      <c r="J213">
        <v>12.54</v>
      </c>
      <c r="K213">
        <v>3.69</v>
      </c>
      <c r="N213">
        <v>6.62</v>
      </c>
      <c r="O213">
        <v>3.01</v>
      </c>
      <c r="Q213">
        <v>3.01</v>
      </c>
      <c r="R213">
        <v>39.31</v>
      </c>
      <c r="S213">
        <v>36.299999999999997</v>
      </c>
      <c r="T213">
        <v>37.81</v>
      </c>
      <c r="U213">
        <v>39.4</v>
      </c>
      <c r="V213">
        <v>72800</v>
      </c>
      <c r="W213">
        <v>3640</v>
      </c>
      <c r="X213">
        <v>76440</v>
      </c>
      <c r="Y213">
        <v>3057.6</v>
      </c>
      <c r="Z213">
        <v>79497.600000000006</v>
      </c>
      <c r="AA213">
        <v>3974.880000000001</v>
      </c>
      <c r="AB213">
        <v>83472.48000000001</v>
      </c>
      <c r="AC213">
        <v>10.267115040000002</v>
      </c>
      <c r="AD213">
        <v>83482.747115040009</v>
      </c>
      <c r="AE213">
        <v>4174.137355752001</v>
      </c>
      <c r="AF213">
        <v>87656.884470792007</v>
      </c>
      <c r="AH213">
        <v>87656.884470792007</v>
      </c>
      <c r="AI213">
        <v>2629.7065341237603</v>
      </c>
      <c r="AJ213">
        <v>90286.591004915783</v>
      </c>
      <c r="AK213">
        <v>902.86591004915772</v>
      </c>
      <c r="AL213">
        <v>91189.456914964932</v>
      </c>
      <c r="AM213">
        <v>1823.7891382992989</v>
      </c>
      <c r="AN213">
        <v>93013.246053264229</v>
      </c>
      <c r="AO213">
        <v>1860.2649210652849</v>
      </c>
      <c r="AP213">
        <v>94873.510974329518</v>
      </c>
      <c r="AQ213">
        <v>2846.2053292298856</v>
      </c>
      <c r="AR213">
        <v>97719.716303559399</v>
      </c>
      <c r="AT213">
        <v>97719.716303559399</v>
      </c>
      <c r="AV213">
        <v>97719.716303559399</v>
      </c>
      <c r="AX213">
        <v>97719.716303559399</v>
      </c>
      <c r="AZ213">
        <v>97719.716303559399</v>
      </c>
      <c r="BB213">
        <v>97719.716303559399</v>
      </c>
      <c r="BD213">
        <v>97719.716303559399</v>
      </c>
      <c r="BF213">
        <v>97719.716303559399</v>
      </c>
      <c r="BH213">
        <v>97719.716303559399</v>
      </c>
      <c r="BJ213">
        <v>97719.716303559399</v>
      </c>
      <c r="BL213">
        <v>97719.716303559399</v>
      </c>
      <c r="BN213">
        <v>97719.716303559399</v>
      </c>
      <c r="BP213">
        <v>97719.716303559399</v>
      </c>
      <c r="BR213">
        <v>97719.716303559399</v>
      </c>
      <c r="BT213">
        <v>97719.716303559399</v>
      </c>
      <c r="BV213">
        <v>97719.716303559399</v>
      </c>
      <c r="BX213">
        <v>97719.716303559399</v>
      </c>
      <c r="BY213">
        <v>97719.72</v>
      </c>
      <c r="BZ213">
        <v>3694782.61</v>
      </c>
      <c r="CC213">
        <v>0</v>
      </c>
      <c r="CD213">
        <v>97719.719915366295</v>
      </c>
      <c r="CE213">
        <v>3694782.61</v>
      </c>
      <c r="CF213" t="s">
        <v>37</v>
      </c>
      <c r="CG213">
        <v>4500</v>
      </c>
      <c r="CH213">
        <v>102219.7199153663</v>
      </c>
      <c r="CI213">
        <v>170145</v>
      </c>
      <c r="CJ213">
        <v>3864927.61</v>
      </c>
      <c r="CN213">
        <v>0</v>
      </c>
      <c r="CO213" t="s">
        <v>39</v>
      </c>
      <c r="CP213" t="s">
        <v>39</v>
      </c>
      <c r="CQ213" t="b">
        <v>1</v>
      </c>
      <c r="CR213" t="s">
        <v>8950</v>
      </c>
      <c r="CT213" t="s">
        <v>8960</v>
      </c>
      <c r="CU213" t="s">
        <v>8973</v>
      </c>
      <c r="CV213" t="s">
        <v>6081</v>
      </c>
      <c r="CW213" t="s">
        <v>4895</v>
      </c>
      <c r="CX213" t="s">
        <v>3246</v>
      </c>
      <c r="CY213">
        <v>1.5899999999999963</v>
      </c>
      <c r="CZ213">
        <v>162529.35466543204</v>
      </c>
      <c r="DA213">
        <v>3864927.61</v>
      </c>
      <c r="DB213" t="s">
        <v>37</v>
      </c>
      <c r="DC213" t="b">
        <v>1</v>
      </c>
      <c r="DD213">
        <v>3864927.61</v>
      </c>
      <c r="DE213">
        <v>0</v>
      </c>
      <c r="DF213" t="b">
        <v>1</v>
      </c>
      <c r="DG213" s="420" cm="1">
        <f t="array" ref="DG213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214" spans="1:111" x14ac:dyDescent="0.25">
      <c r="A214">
        <v>213</v>
      </c>
      <c r="B214" t="s">
        <v>5</v>
      </c>
      <c r="C214">
        <v>13</v>
      </c>
      <c r="D214" t="s">
        <v>3351</v>
      </c>
      <c r="E214">
        <v>1</v>
      </c>
      <c r="F214">
        <v>12.11</v>
      </c>
      <c r="I214">
        <v>12.11</v>
      </c>
      <c r="J214">
        <v>12.27</v>
      </c>
      <c r="K214">
        <v>3.84</v>
      </c>
      <c r="N214">
        <v>7.06</v>
      </c>
      <c r="O214">
        <v>2.84</v>
      </c>
      <c r="Q214">
        <v>2.84</v>
      </c>
      <c r="R214">
        <v>38.119999999999997</v>
      </c>
      <c r="S214">
        <v>35.28</v>
      </c>
      <c r="T214">
        <v>36.700000000000003</v>
      </c>
      <c r="U214">
        <v>37.799999999999997</v>
      </c>
      <c r="V214">
        <v>72800</v>
      </c>
      <c r="W214">
        <v>3640</v>
      </c>
      <c r="X214">
        <v>76440</v>
      </c>
      <c r="Y214">
        <v>3057.6</v>
      </c>
      <c r="Z214">
        <v>79497.600000000006</v>
      </c>
      <c r="AA214">
        <v>3974.880000000001</v>
      </c>
      <c r="AB214">
        <v>83472.48000000001</v>
      </c>
      <c r="AC214">
        <v>10.267115040000002</v>
      </c>
      <c r="AD214">
        <v>83482.747115040009</v>
      </c>
      <c r="AE214">
        <v>4174.137355752001</v>
      </c>
      <c r="AF214">
        <v>87656.884470792007</v>
      </c>
      <c r="AH214">
        <v>87656.884470792007</v>
      </c>
      <c r="AI214">
        <v>2629.7065341237603</v>
      </c>
      <c r="AJ214">
        <v>90286.591004915783</v>
      </c>
      <c r="AK214">
        <v>902.86591004915772</v>
      </c>
      <c r="AL214">
        <v>91189.456914964932</v>
      </c>
      <c r="AM214">
        <v>1823.7891382992989</v>
      </c>
      <c r="AN214">
        <v>93013.246053264229</v>
      </c>
      <c r="AO214">
        <v>1860.2649210652849</v>
      </c>
      <c r="AP214">
        <v>94873.510974329518</v>
      </c>
      <c r="AQ214">
        <v>2846.2053292298856</v>
      </c>
      <c r="AR214">
        <v>97719.716303559399</v>
      </c>
      <c r="AS214">
        <v>4885.9858151779699</v>
      </c>
      <c r="AT214">
        <v>102605.70211873736</v>
      </c>
      <c r="AU214">
        <v>3078.1710635621207</v>
      </c>
      <c r="AV214">
        <v>105683.87318229947</v>
      </c>
      <c r="AW214">
        <v>6341.0323909379695</v>
      </c>
      <c r="AX214">
        <v>112024.90557323744</v>
      </c>
      <c r="AZ214">
        <v>112024.90557323744</v>
      </c>
      <c r="BB214">
        <v>112024.90557323744</v>
      </c>
      <c r="BD214">
        <v>112024.90557323744</v>
      </c>
      <c r="BF214">
        <v>112024.90557323744</v>
      </c>
      <c r="BH214">
        <v>112024.90557323744</v>
      </c>
      <c r="BI214">
        <v>5601.2452786618733</v>
      </c>
      <c r="BJ214">
        <v>117626.15085189932</v>
      </c>
      <c r="BK214">
        <v>500</v>
      </c>
      <c r="BL214">
        <v>118126.15085189932</v>
      </c>
      <c r="BM214">
        <v>2362.5230170379864</v>
      </c>
      <c r="BN214">
        <v>120488.6738689373</v>
      </c>
      <c r="BO214">
        <v>6024.4336934468656</v>
      </c>
      <c r="BP214">
        <v>126513.10756238416</v>
      </c>
      <c r="BQ214">
        <v>500</v>
      </c>
      <c r="BR214">
        <v>127013.10756238416</v>
      </c>
      <c r="BT214">
        <v>127013.10756238416</v>
      </c>
      <c r="BV214">
        <v>127013.10756238416</v>
      </c>
      <c r="BX214">
        <v>127013.10756238416</v>
      </c>
      <c r="BY214">
        <v>127013.11</v>
      </c>
      <c r="BZ214">
        <v>4661400</v>
      </c>
      <c r="CB214">
        <v>0.03</v>
      </c>
      <c r="CC214">
        <v>139842</v>
      </c>
      <c r="CD214">
        <v>123203.21525885558</v>
      </c>
      <c r="CE214">
        <v>4521558</v>
      </c>
      <c r="CF214" t="s">
        <v>38</v>
      </c>
      <c r="CG214">
        <v>22000</v>
      </c>
      <c r="CH214">
        <v>145203.21525885558</v>
      </c>
      <c r="CI214">
        <v>807400</v>
      </c>
      <c r="CJ214">
        <v>5328958</v>
      </c>
      <c r="CL214" t="s">
        <v>6789</v>
      </c>
      <c r="CN214">
        <v>0</v>
      </c>
      <c r="CO214" t="s">
        <v>39</v>
      </c>
      <c r="CP214" t="s">
        <v>39</v>
      </c>
      <c r="CQ214" t="b">
        <v>1</v>
      </c>
      <c r="CR214" t="s">
        <v>8950</v>
      </c>
      <c r="CT214" t="s">
        <v>8960</v>
      </c>
      <c r="CU214" t="s">
        <v>8973</v>
      </c>
      <c r="CV214" t="s">
        <v>6082</v>
      </c>
      <c r="CW214" t="s">
        <v>6652</v>
      </c>
      <c r="CX214" t="s">
        <v>3246</v>
      </c>
      <c r="CY214">
        <v>1.0999999999999943</v>
      </c>
      <c r="CZ214">
        <v>159723.53678474031</v>
      </c>
      <c r="DA214">
        <v>5328958</v>
      </c>
      <c r="DB214" t="s">
        <v>38</v>
      </c>
      <c r="DC214" t="b">
        <v>1</v>
      </c>
      <c r="DD214">
        <v>5328958</v>
      </c>
      <c r="DE214">
        <v>0</v>
      </c>
      <c r="DF214" t="b">
        <v>1</v>
      </c>
      <c r="DG214" s="420" cm="1">
        <f t="array" ref="DG214">_xlfn.XLOOKUP("Дом 4"&amp;Реестр_Д4[[#This Row],[№]]&amp;Реестр_Д4[[#This Row],[Статус]],РД[Дом]&amp;РД[№ кв]&amp;РД[Состояние],РД[Дата подачи на регистрацию],"-",0)</f>
        <v>45516</v>
      </c>
    </row>
    <row r="215" spans="1:111" x14ac:dyDescent="0.25">
      <c r="A215">
        <v>214</v>
      </c>
      <c r="B215" t="s">
        <v>5</v>
      </c>
      <c r="C215">
        <v>13</v>
      </c>
      <c r="D215" t="s">
        <v>3352</v>
      </c>
      <c r="E215">
        <v>1</v>
      </c>
      <c r="F215">
        <v>11.74</v>
      </c>
      <c r="I215">
        <v>11.74</v>
      </c>
      <c r="J215">
        <v>12.47</v>
      </c>
      <c r="K215">
        <v>3.71</v>
      </c>
      <c r="N215">
        <v>7.29</v>
      </c>
      <c r="O215">
        <v>2.89</v>
      </c>
      <c r="Q215">
        <v>2.89</v>
      </c>
      <c r="R215">
        <v>38.1</v>
      </c>
      <c r="S215">
        <v>35.21</v>
      </c>
      <c r="T215">
        <v>36.659999999999997</v>
      </c>
      <c r="U215">
        <v>37.700000000000003</v>
      </c>
      <c r="V215">
        <v>72800</v>
      </c>
      <c r="W215">
        <v>3640</v>
      </c>
      <c r="X215">
        <v>76440</v>
      </c>
      <c r="Y215">
        <v>3057.6</v>
      </c>
      <c r="Z215">
        <v>79497.600000000006</v>
      </c>
      <c r="AA215">
        <v>3974.880000000001</v>
      </c>
      <c r="AB215">
        <v>83472.48000000001</v>
      </c>
      <c r="AC215">
        <v>10.267115040000002</v>
      </c>
      <c r="AD215">
        <v>83482.747115040009</v>
      </c>
      <c r="AE215">
        <v>4174.137355752001</v>
      </c>
      <c r="AF215">
        <v>87656.884470792007</v>
      </c>
      <c r="AH215">
        <v>87656.884470792007</v>
      </c>
      <c r="AI215">
        <v>2629.7065341237603</v>
      </c>
      <c r="AJ215">
        <v>90286.591004915783</v>
      </c>
      <c r="AK215">
        <v>902.86591004915772</v>
      </c>
      <c r="AL215">
        <v>91189.456914964932</v>
      </c>
      <c r="AM215">
        <v>1823.7891382992989</v>
      </c>
      <c r="AN215">
        <v>93013.246053264229</v>
      </c>
      <c r="AO215">
        <v>1860.2649210652849</v>
      </c>
      <c r="AP215">
        <v>94873.510974329518</v>
      </c>
      <c r="AQ215">
        <v>2846.2053292298856</v>
      </c>
      <c r="AR215">
        <v>97719.716303559399</v>
      </c>
      <c r="AT215">
        <v>97719.716303559399</v>
      </c>
      <c r="AV215">
        <v>97719.716303559399</v>
      </c>
      <c r="AX215">
        <v>97719.716303559399</v>
      </c>
      <c r="AZ215">
        <v>97719.716303559399</v>
      </c>
      <c r="BB215">
        <v>97719.716303559399</v>
      </c>
      <c r="BD215">
        <v>97719.716303559399</v>
      </c>
      <c r="BF215">
        <v>97719.716303559399</v>
      </c>
      <c r="BH215">
        <v>97719.716303559399</v>
      </c>
      <c r="BJ215">
        <v>97719.716303559399</v>
      </c>
      <c r="BL215">
        <v>97719.716303559399</v>
      </c>
      <c r="BN215">
        <v>97719.716303559399</v>
      </c>
      <c r="BP215">
        <v>97719.716303559399</v>
      </c>
      <c r="BR215">
        <v>97719.716303559399</v>
      </c>
      <c r="BT215">
        <v>97719.716303559399</v>
      </c>
      <c r="BV215">
        <v>97719.716303559399</v>
      </c>
      <c r="BX215">
        <v>97719.716303559399</v>
      </c>
      <c r="BY215">
        <v>97719.72</v>
      </c>
      <c r="BZ215">
        <v>3582404.94</v>
      </c>
      <c r="CC215">
        <v>0</v>
      </c>
      <c r="CD215">
        <v>97719.720130932925</v>
      </c>
      <c r="CE215">
        <v>3582404.94</v>
      </c>
      <c r="CF215" t="s">
        <v>37</v>
      </c>
      <c r="CG215">
        <v>4500</v>
      </c>
      <c r="CH215">
        <v>102219.72013093292</v>
      </c>
      <c r="CI215">
        <v>164970</v>
      </c>
      <c r="CJ215">
        <v>3747374.94</v>
      </c>
      <c r="CN215">
        <v>0</v>
      </c>
      <c r="CO215" t="s">
        <v>39</v>
      </c>
      <c r="CP215" t="s">
        <v>39</v>
      </c>
      <c r="CQ215" t="b">
        <v>1</v>
      </c>
      <c r="CR215" t="s">
        <v>8950</v>
      </c>
      <c r="CT215" t="s">
        <v>8960</v>
      </c>
      <c r="CU215" t="s">
        <v>8973</v>
      </c>
      <c r="CV215" t="s">
        <v>6083</v>
      </c>
      <c r="CW215" t="s">
        <v>4895</v>
      </c>
      <c r="CX215" t="s">
        <v>3246</v>
      </c>
      <c r="CY215">
        <v>1.0399999999999991</v>
      </c>
      <c r="CZ215">
        <v>106308.50893617014</v>
      </c>
      <c r="DA215">
        <v>3747374.94</v>
      </c>
      <c r="DB215" t="s">
        <v>37</v>
      </c>
      <c r="DC215" t="b">
        <v>1</v>
      </c>
      <c r="DD215">
        <v>3747374.94</v>
      </c>
      <c r="DE215">
        <v>0</v>
      </c>
      <c r="DF215" t="b">
        <v>1</v>
      </c>
      <c r="DG215" s="420" cm="1">
        <f t="array" ref="DG215">_xlfn.XLOOKUP("Дом 4"&amp;Реестр_Д4[[#This Row],[№]]&amp;Реестр_Д4[[#This Row],[Статус]],РД[Дом]&amp;РД[№ кв]&amp;РД[Состояние],РД[Дата подачи на регистрацию],"-",0)</f>
        <v>45166</v>
      </c>
    </row>
    <row r="216" spans="1:111" x14ac:dyDescent="0.25">
      <c r="A216">
        <v>215</v>
      </c>
      <c r="B216" t="s">
        <v>5</v>
      </c>
      <c r="C216">
        <v>13</v>
      </c>
      <c r="D216" t="s">
        <v>3353</v>
      </c>
      <c r="E216">
        <v>3</v>
      </c>
      <c r="F216">
        <v>14.79</v>
      </c>
      <c r="G216">
        <v>14.24</v>
      </c>
      <c r="H216">
        <v>13.63</v>
      </c>
      <c r="I216">
        <v>42.66</v>
      </c>
      <c r="J216">
        <v>13.29</v>
      </c>
      <c r="K216">
        <v>4.72</v>
      </c>
      <c r="L216">
        <v>1.66</v>
      </c>
      <c r="M216">
        <v>2.19</v>
      </c>
      <c r="N216">
        <v>11.45</v>
      </c>
      <c r="O216">
        <v>2.73</v>
      </c>
      <c r="P216">
        <v>2.78</v>
      </c>
      <c r="Q216">
        <v>5.51</v>
      </c>
      <c r="R216">
        <v>81.48</v>
      </c>
      <c r="S216">
        <v>75.97</v>
      </c>
      <c r="T216">
        <v>78.73</v>
      </c>
      <c r="U216">
        <v>80.400000000000006</v>
      </c>
      <c r="V216">
        <v>68992.000000000015</v>
      </c>
      <c r="W216">
        <v>3449.6000000000008</v>
      </c>
      <c r="X216">
        <v>72441.60000000002</v>
      </c>
      <c r="Z216">
        <v>72441.60000000002</v>
      </c>
      <c r="AB216">
        <v>72441.60000000002</v>
      </c>
      <c r="AD216">
        <v>72441.60000000002</v>
      </c>
      <c r="AF216">
        <v>72441.60000000002</v>
      </c>
      <c r="AH216">
        <v>72441.60000000002</v>
      </c>
      <c r="AJ216">
        <v>72441.60000000002</v>
      </c>
      <c r="AL216">
        <v>72441.60000000002</v>
      </c>
      <c r="AN216">
        <v>72441.60000000002</v>
      </c>
      <c r="AP216">
        <v>72441.60000000002</v>
      </c>
      <c r="AR216">
        <v>72441.60000000002</v>
      </c>
      <c r="AT216">
        <v>72441.60000000002</v>
      </c>
      <c r="AV216">
        <v>72441.60000000002</v>
      </c>
      <c r="AX216">
        <v>72441.60000000002</v>
      </c>
      <c r="AZ216">
        <v>72441.60000000002</v>
      </c>
      <c r="BB216">
        <v>72441.60000000002</v>
      </c>
      <c r="BD216">
        <v>72441.60000000002</v>
      </c>
      <c r="BF216">
        <v>72441.60000000002</v>
      </c>
      <c r="BH216">
        <v>72441.60000000002</v>
      </c>
      <c r="BJ216">
        <v>72441.60000000002</v>
      </c>
      <c r="BL216">
        <v>72441.60000000002</v>
      </c>
      <c r="BN216">
        <v>72441.60000000002</v>
      </c>
      <c r="BP216">
        <v>72441.60000000002</v>
      </c>
      <c r="BR216">
        <v>72441.60000000002</v>
      </c>
      <c r="BT216">
        <v>72441.60000000002</v>
      </c>
      <c r="BV216">
        <v>72441.60000000002</v>
      </c>
      <c r="BX216">
        <v>72441.60000000002</v>
      </c>
      <c r="BY216">
        <v>72441.600000000006</v>
      </c>
      <c r="BZ216">
        <v>5703327.1699999999</v>
      </c>
      <c r="CC216">
        <v>0</v>
      </c>
      <c r="CD216">
        <v>72441.60002540327</v>
      </c>
      <c r="CE216">
        <v>5703327.1699999999</v>
      </c>
      <c r="CF216" t="s">
        <v>36</v>
      </c>
      <c r="CH216">
        <v>72441.60002540327</v>
      </c>
      <c r="CI216">
        <v>0</v>
      </c>
      <c r="CJ216">
        <v>5703327.1699999999</v>
      </c>
      <c r="CN216">
        <v>0</v>
      </c>
      <c r="CO216" t="s">
        <v>39</v>
      </c>
      <c r="CP216" t="s">
        <v>39</v>
      </c>
      <c r="CQ216" t="b">
        <v>1</v>
      </c>
      <c r="CR216" t="s">
        <v>8950</v>
      </c>
      <c r="CT216" t="s">
        <v>8960</v>
      </c>
      <c r="CU216" t="s">
        <v>8975</v>
      </c>
      <c r="CV216" t="s">
        <v>6084</v>
      </c>
      <c r="CW216" t="s">
        <v>4895</v>
      </c>
      <c r="CX216" t="s">
        <v>3246</v>
      </c>
      <c r="CY216">
        <v>1.6700000000000017</v>
      </c>
      <c r="CZ216">
        <v>120977.4720424236</v>
      </c>
      <c r="DA216">
        <v>5703327.1699999999</v>
      </c>
      <c r="DB216" t="s">
        <v>36</v>
      </c>
      <c r="DC216" t="b">
        <v>1</v>
      </c>
      <c r="DD216">
        <v>5703327.1699999999</v>
      </c>
      <c r="DE216">
        <v>0</v>
      </c>
      <c r="DF216" t="b">
        <v>1</v>
      </c>
      <c r="DG216" s="420" cm="1">
        <f t="array" ref="DG216">_xlfn.XLOOKUP("Дом 4"&amp;Реестр_Д4[[#This Row],[№]]&amp;Реестр_Д4[[#This Row],[Статус]],РД[Дом]&amp;РД[№ кв]&amp;РД[Состояние],РД[Дата подачи на регистрацию],"-",0)</f>
        <v>44881</v>
      </c>
    </row>
    <row r="217" spans="1:111" x14ac:dyDescent="0.25">
      <c r="A217">
        <v>216</v>
      </c>
      <c r="B217" t="s">
        <v>5</v>
      </c>
      <c r="C217">
        <v>13</v>
      </c>
      <c r="D217" t="s">
        <v>3354</v>
      </c>
      <c r="E217">
        <v>1</v>
      </c>
      <c r="F217">
        <v>14.13</v>
      </c>
      <c r="I217">
        <v>14.13</v>
      </c>
      <c r="J217">
        <v>9.2100000000000009</v>
      </c>
      <c r="K217">
        <v>3.66</v>
      </c>
      <c r="N217">
        <v>5.55</v>
      </c>
      <c r="O217">
        <v>2.48</v>
      </c>
      <c r="Q217">
        <v>2.48</v>
      </c>
      <c r="R217">
        <v>35.03</v>
      </c>
      <c r="S217">
        <v>32.550000000000004</v>
      </c>
      <c r="T217">
        <v>33.79</v>
      </c>
      <c r="U217">
        <v>34.6</v>
      </c>
      <c r="V217">
        <v>70700</v>
      </c>
      <c r="W217">
        <v>3535</v>
      </c>
      <c r="X217">
        <v>74235</v>
      </c>
      <c r="Y217">
        <v>2969.4</v>
      </c>
      <c r="Z217">
        <v>77204.399999999994</v>
      </c>
      <c r="AA217">
        <v>3860.22</v>
      </c>
      <c r="AB217">
        <v>81064.62</v>
      </c>
      <c r="AC217">
        <v>9.9709482600000001</v>
      </c>
      <c r="AD217">
        <v>81074.590948259996</v>
      </c>
      <c r="AE217">
        <v>4053.7295474130001</v>
      </c>
      <c r="AF217">
        <v>85128.32049567299</v>
      </c>
      <c r="AH217">
        <v>85128.32049567299</v>
      </c>
      <c r="AI217">
        <v>2553.8496148701897</v>
      </c>
      <c r="AJ217">
        <v>87682.170110543186</v>
      </c>
      <c r="AK217">
        <v>2630.4651033162954</v>
      </c>
      <c r="AL217">
        <v>90312.635213859481</v>
      </c>
      <c r="AM217">
        <v>3612.5054085543793</v>
      </c>
      <c r="AN217">
        <v>93925.140622413863</v>
      </c>
      <c r="AO217">
        <v>1878.5028124482776</v>
      </c>
      <c r="AP217">
        <v>95803.643434862141</v>
      </c>
      <c r="AQ217">
        <v>2874.1093030458642</v>
      </c>
      <c r="AR217">
        <v>98677.752737907998</v>
      </c>
      <c r="AS217">
        <v>4933.8876368954006</v>
      </c>
      <c r="AT217">
        <v>103611.64037480341</v>
      </c>
      <c r="AU217">
        <v>3108.3492112441018</v>
      </c>
      <c r="AV217">
        <v>106719.98958604748</v>
      </c>
      <c r="AW217">
        <v>6403.1993751628497</v>
      </c>
      <c r="AX217">
        <v>113123.18896121034</v>
      </c>
      <c r="AZ217">
        <v>113123.18896121034</v>
      </c>
      <c r="BB217">
        <v>113123.18896121034</v>
      </c>
      <c r="BD217">
        <v>113123.18896121034</v>
      </c>
      <c r="BF217">
        <v>113123.18896121034</v>
      </c>
      <c r="BH217">
        <v>113123.18896121034</v>
      </c>
      <c r="BI217">
        <v>5656.1594480605172</v>
      </c>
      <c r="BJ217">
        <v>118779.34840927084</v>
      </c>
      <c r="BK217">
        <v>500</v>
      </c>
      <c r="BL217">
        <v>119279.34840927084</v>
      </c>
      <c r="BN217">
        <v>119279.34840927084</v>
      </c>
      <c r="BP217">
        <v>119279.34840927084</v>
      </c>
      <c r="BR217">
        <v>119279.34840927084</v>
      </c>
      <c r="BT217">
        <v>119279.34840927084</v>
      </c>
      <c r="BV217">
        <v>119279.34840927084</v>
      </c>
      <c r="BX217">
        <v>119279.34840927084</v>
      </c>
      <c r="BY217">
        <v>119279.35</v>
      </c>
      <c r="BZ217">
        <v>4030500</v>
      </c>
      <c r="CA217">
        <v>88888</v>
      </c>
      <c r="CC217">
        <v>88888</v>
      </c>
      <c r="CD217">
        <v>116650.25155371412</v>
      </c>
      <c r="CE217">
        <v>3941612</v>
      </c>
      <c r="CF217" t="s">
        <v>38</v>
      </c>
      <c r="CG217">
        <v>22000</v>
      </c>
      <c r="CH217">
        <v>138650.2515537141</v>
      </c>
      <c r="CI217">
        <v>743380</v>
      </c>
      <c r="CJ217">
        <v>4684992</v>
      </c>
      <c r="CK217" t="s">
        <v>57</v>
      </c>
      <c r="CL217" t="s">
        <v>4185</v>
      </c>
      <c r="CN217">
        <v>0</v>
      </c>
      <c r="CO217" t="s">
        <v>39</v>
      </c>
      <c r="CP217" t="s">
        <v>39</v>
      </c>
      <c r="CQ217" t="b">
        <v>1</v>
      </c>
      <c r="CR217" t="s">
        <v>8950</v>
      </c>
      <c r="CT217" t="s">
        <v>8960</v>
      </c>
      <c r="CU217" t="s">
        <v>8973</v>
      </c>
      <c r="CV217" t="s">
        <v>6085</v>
      </c>
      <c r="CW217" t="s">
        <v>6652</v>
      </c>
      <c r="CX217" t="s">
        <v>3246</v>
      </c>
      <c r="CY217">
        <v>0.81000000000000227</v>
      </c>
      <c r="CZ217">
        <v>112306.70375850874</v>
      </c>
      <c r="DA217">
        <v>4684992</v>
      </c>
      <c r="DB217" t="s">
        <v>38</v>
      </c>
      <c r="DC217" t="b">
        <v>1</v>
      </c>
      <c r="DD217">
        <v>4684992</v>
      </c>
      <c r="DE217">
        <v>0</v>
      </c>
      <c r="DF217" t="b">
        <v>1</v>
      </c>
      <c r="DG217" s="420" cm="1">
        <f t="array" ref="DG217">_xlfn.XLOOKUP("Дом 4"&amp;Реестр_Д4[[#This Row],[№]]&amp;Реестр_Д4[[#This Row],[Статус]],РД[Дом]&amp;РД[№ кв]&amp;РД[Состояние],РД[Дата подачи на регистрацию],"-",0)</f>
        <v>45363</v>
      </c>
    </row>
    <row r="218" spans="1:111" x14ac:dyDescent="0.25">
      <c r="A218">
        <v>217</v>
      </c>
      <c r="B218" t="s">
        <v>5</v>
      </c>
      <c r="C218">
        <v>14</v>
      </c>
      <c r="D218" t="s">
        <v>42</v>
      </c>
      <c r="E218">
        <v>0</v>
      </c>
      <c r="F218">
        <v>13.95</v>
      </c>
      <c r="I218">
        <v>13.95</v>
      </c>
      <c r="J218">
        <v>5.77</v>
      </c>
      <c r="K218">
        <v>3.6</v>
      </c>
      <c r="N218">
        <v>3.59</v>
      </c>
      <c r="O218">
        <v>4.12</v>
      </c>
      <c r="Q218">
        <v>4.12</v>
      </c>
      <c r="R218">
        <v>31.03</v>
      </c>
      <c r="S218">
        <v>26.91</v>
      </c>
      <c r="T218">
        <v>28.97</v>
      </c>
      <c r="U218">
        <v>29.6</v>
      </c>
      <c r="V218">
        <v>75600</v>
      </c>
      <c r="W218">
        <v>3780</v>
      </c>
      <c r="X218">
        <v>79380</v>
      </c>
      <c r="Z218">
        <v>79380</v>
      </c>
      <c r="AB218">
        <v>79380</v>
      </c>
      <c r="AC218">
        <v>9.7637400000000003</v>
      </c>
      <c r="AD218">
        <v>79389.763739999995</v>
      </c>
      <c r="AE218">
        <v>3969.4881869999999</v>
      </c>
      <c r="AF218">
        <v>83359.25192699999</v>
      </c>
      <c r="AH218">
        <v>83359.25192699999</v>
      </c>
      <c r="AJ218">
        <v>83359.25192699999</v>
      </c>
      <c r="AK218">
        <v>833.5925192699998</v>
      </c>
      <c r="AL218">
        <v>84192.844446269984</v>
      </c>
      <c r="AN218">
        <v>84192.844446269984</v>
      </c>
      <c r="AP218">
        <v>84192.844446269984</v>
      </c>
      <c r="AR218">
        <v>84192.844446269984</v>
      </c>
      <c r="AT218">
        <v>84192.844446269984</v>
      </c>
      <c r="AV218">
        <v>84192.844446269984</v>
      </c>
      <c r="AX218">
        <v>84192.844446269984</v>
      </c>
      <c r="AZ218">
        <v>84192.844446269984</v>
      </c>
      <c r="BB218">
        <v>84192.844446269984</v>
      </c>
      <c r="BD218">
        <v>84192.844446269984</v>
      </c>
      <c r="BF218">
        <v>84192.844446269984</v>
      </c>
      <c r="BH218">
        <v>84192.844446269984</v>
      </c>
      <c r="BJ218">
        <v>84192.844446269984</v>
      </c>
      <c r="BL218">
        <v>84192.844446269984</v>
      </c>
      <c r="BN218">
        <v>84192.844446269984</v>
      </c>
      <c r="BP218">
        <v>84192.844446269984</v>
      </c>
      <c r="BR218">
        <v>84192.844446269984</v>
      </c>
      <c r="BT218">
        <v>84192.844446269984</v>
      </c>
      <c r="BV218">
        <v>84192.844446269984</v>
      </c>
      <c r="BX218">
        <v>84192.844446269984</v>
      </c>
      <c r="BY218">
        <v>84192.84</v>
      </c>
      <c r="BZ218">
        <v>2439066.5699999998</v>
      </c>
      <c r="CA218">
        <v>20000</v>
      </c>
      <c r="CC218">
        <v>20000</v>
      </c>
      <c r="CD218">
        <v>83502.470486710386</v>
      </c>
      <c r="CE218">
        <v>2419066.5699999998</v>
      </c>
      <c r="CF218" t="s">
        <v>36</v>
      </c>
      <c r="CH218">
        <v>83502.470486710386</v>
      </c>
      <c r="CI218">
        <v>0</v>
      </c>
      <c r="CJ218">
        <v>2419066.5699999998</v>
      </c>
      <c r="CL218" t="s">
        <v>3441</v>
      </c>
      <c r="CN218">
        <v>0</v>
      </c>
      <c r="CO218" t="s">
        <v>39</v>
      </c>
      <c r="CP218" t="s">
        <v>39</v>
      </c>
      <c r="CQ218" t="b">
        <v>1</v>
      </c>
      <c r="CR218" t="s">
        <v>8950</v>
      </c>
      <c r="CT218" t="s">
        <v>8960</v>
      </c>
      <c r="CU218" t="s">
        <v>8970</v>
      </c>
      <c r="CV218" t="s">
        <v>6086</v>
      </c>
      <c r="CW218" t="s">
        <v>4895</v>
      </c>
      <c r="CX218" t="s">
        <v>3246</v>
      </c>
      <c r="CY218">
        <v>0.62999999999999901</v>
      </c>
      <c r="CZ218">
        <v>52606.55640662746</v>
      </c>
      <c r="DA218">
        <v>2419066.5699999998</v>
      </c>
      <c r="DB218" t="s">
        <v>36</v>
      </c>
      <c r="DC218" t="b">
        <v>1</v>
      </c>
      <c r="DD218">
        <v>2419066.5699999998</v>
      </c>
      <c r="DE218">
        <v>0</v>
      </c>
      <c r="DF218" t="b">
        <v>1</v>
      </c>
      <c r="DG218" s="420" cm="1">
        <f t="array" ref="DG218">_xlfn.XLOOKUP("Дом 4"&amp;Реестр_Д4[[#This Row],[№]]&amp;Реестр_Д4[[#This Row],[Статус]],РД[Дом]&amp;РД[№ кв]&amp;РД[Состояние],РД[Дата подачи на регистрацию],"-",0)</f>
        <v>45022</v>
      </c>
    </row>
    <row r="219" spans="1:111" x14ac:dyDescent="0.25">
      <c r="A219">
        <v>218</v>
      </c>
      <c r="B219" t="s">
        <v>5</v>
      </c>
      <c r="C219">
        <v>14</v>
      </c>
      <c r="D219" t="s">
        <v>43</v>
      </c>
      <c r="E219">
        <v>2</v>
      </c>
      <c r="F219">
        <v>17.54</v>
      </c>
      <c r="G219">
        <v>12.04</v>
      </c>
      <c r="I219">
        <v>29.58</v>
      </c>
      <c r="J219">
        <v>17.010000000000002</v>
      </c>
      <c r="K219">
        <v>3.71</v>
      </c>
      <c r="L219">
        <v>2.64</v>
      </c>
      <c r="N219">
        <v>13.06</v>
      </c>
      <c r="O219">
        <v>2.61</v>
      </c>
      <c r="P219">
        <v>2.88</v>
      </c>
      <c r="Q219">
        <v>5.49</v>
      </c>
      <c r="R219">
        <v>71.489999999999995</v>
      </c>
      <c r="S219">
        <v>66</v>
      </c>
      <c r="T219">
        <v>68.75</v>
      </c>
      <c r="U219">
        <v>70.2</v>
      </c>
      <c r="V219">
        <v>71304.800000000003</v>
      </c>
      <c r="W219">
        <v>3565.24</v>
      </c>
      <c r="X219">
        <v>74870.039999999994</v>
      </c>
      <c r="Z219">
        <v>74870.039999999994</v>
      </c>
      <c r="AA219">
        <v>3743.502</v>
      </c>
      <c r="AB219">
        <v>78613.542000000016</v>
      </c>
      <c r="AC219">
        <v>9.6694656660000025</v>
      </c>
      <c r="AD219">
        <v>78623.211465666012</v>
      </c>
      <c r="AF219">
        <v>78623.211465666012</v>
      </c>
      <c r="AH219">
        <v>78623.211465666012</v>
      </c>
      <c r="AI219">
        <v>1572.4642293133202</v>
      </c>
      <c r="AJ219">
        <v>80195.675694979334</v>
      </c>
      <c r="AK219">
        <v>801.95675694979332</v>
      </c>
      <c r="AL219">
        <v>80997.632451929123</v>
      </c>
      <c r="AM219">
        <v>1619.9526490385824</v>
      </c>
      <c r="AN219">
        <v>82617.585100967699</v>
      </c>
      <c r="AP219">
        <v>82617.585100967699</v>
      </c>
      <c r="AQ219">
        <v>2478.527553029031</v>
      </c>
      <c r="AR219">
        <v>85096.112653996737</v>
      </c>
      <c r="AT219">
        <v>85096.112653996737</v>
      </c>
      <c r="AU219">
        <v>2552.8833796199019</v>
      </c>
      <c r="AV219">
        <v>87648.99603361664</v>
      </c>
      <c r="AX219">
        <v>87648.99603361664</v>
      </c>
      <c r="AZ219">
        <v>87648.99603361664</v>
      </c>
      <c r="BB219">
        <v>87648.99603361664</v>
      </c>
      <c r="BD219">
        <v>87648.99603361664</v>
      </c>
      <c r="BF219">
        <v>87648.99603361664</v>
      </c>
      <c r="BH219">
        <v>87648.99603361664</v>
      </c>
      <c r="BJ219">
        <v>87648.99603361664</v>
      </c>
      <c r="BL219">
        <v>87648.99603361664</v>
      </c>
      <c r="BN219">
        <v>87648.99603361664</v>
      </c>
      <c r="BP219">
        <v>87648.99603361664</v>
      </c>
      <c r="BR219">
        <v>87648.99603361664</v>
      </c>
      <c r="BT219">
        <v>87648.99603361664</v>
      </c>
      <c r="BV219">
        <v>87648.99603361664</v>
      </c>
      <c r="BX219">
        <v>87648.99603361664</v>
      </c>
      <c r="BY219">
        <v>87649</v>
      </c>
      <c r="BZ219">
        <v>6025868.75</v>
      </c>
      <c r="CC219">
        <v>0</v>
      </c>
      <c r="CD219">
        <v>87649</v>
      </c>
      <c r="CE219">
        <v>6025868.75</v>
      </c>
      <c r="CF219" t="s">
        <v>36</v>
      </c>
      <c r="CH219">
        <v>87649</v>
      </c>
      <c r="CI219">
        <v>0</v>
      </c>
      <c r="CJ219">
        <v>6025868.75</v>
      </c>
      <c r="CN219">
        <v>0</v>
      </c>
      <c r="CO219" t="s">
        <v>39</v>
      </c>
      <c r="CP219" t="s">
        <v>39</v>
      </c>
      <c r="CQ219" t="b">
        <v>1</v>
      </c>
      <c r="CR219" t="s">
        <v>8950</v>
      </c>
      <c r="CT219" t="s">
        <v>8960</v>
      </c>
      <c r="CU219" t="s">
        <v>8971</v>
      </c>
      <c r="CV219" t="s">
        <v>6087</v>
      </c>
      <c r="CW219" t="s">
        <v>4895</v>
      </c>
      <c r="CX219" t="s">
        <v>3246</v>
      </c>
      <c r="CY219">
        <v>1.4500000000000028</v>
      </c>
      <c r="CZ219">
        <v>127091.05000000024</v>
      </c>
      <c r="DA219">
        <v>6025868.75</v>
      </c>
      <c r="DB219" t="s">
        <v>36</v>
      </c>
      <c r="DC219" t="b">
        <v>1</v>
      </c>
      <c r="DD219">
        <v>6025868.75</v>
      </c>
      <c r="DE219">
        <v>0</v>
      </c>
      <c r="DF219" t="b">
        <v>1</v>
      </c>
      <c r="DG219" s="420" cm="1">
        <f t="array" ref="DG219">_xlfn.XLOOKUP("Дом 4"&amp;Реестр_Д4[[#This Row],[№]]&amp;Реестр_Д4[[#This Row],[Статус]],РД[Дом]&amp;РД[№ кв]&amp;РД[Состояние],РД[Дата подачи на регистрацию],"-",0)</f>
        <v>45258</v>
      </c>
    </row>
    <row r="220" spans="1:111" x14ac:dyDescent="0.25">
      <c r="A220">
        <v>219</v>
      </c>
      <c r="B220" t="s">
        <v>5</v>
      </c>
      <c r="C220">
        <v>14</v>
      </c>
      <c r="D220" t="s">
        <v>44</v>
      </c>
      <c r="E220">
        <v>1</v>
      </c>
      <c r="F220">
        <v>13.45</v>
      </c>
      <c r="I220">
        <v>13.45</v>
      </c>
      <c r="J220">
        <v>11.31</v>
      </c>
      <c r="K220">
        <v>3.69</v>
      </c>
      <c r="N220">
        <v>5.63</v>
      </c>
      <c r="O220">
        <v>2.59</v>
      </c>
      <c r="Q220">
        <v>2.59</v>
      </c>
      <c r="R220">
        <v>36.67</v>
      </c>
      <c r="S220">
        <v>34.08</v>
      </c>
      <c r="T220">
        <v>35.380000000000003</v>
      </c>
      <c r="U220">
        <v>36.599999999999994</v>
      </c>
      <c r="V220">
        <v>71400</v>
      </c>
      <c r="W220">
        <v>3570</v>
      </c>
      <c r="X220">
        <v>74970</v>
      </c>
      <c r="Y220">
        <v>2998.8</v>
      </c>
      <c r="Z220">
        <v>77968.800000000003</v>
      </c>
      <c r="AB220">
        <v>77968.800000000003</v>
      </c>
      <c r="AD220">
        <v>77968.800000000003</v>
      </c>
      <c r="AF220">
        <v>77968.800000000003</v>
      </c>
      <c r="AH220">
        <v>77968.800000000003</v>
      </c>
      <c r="AJ220">
        <v>77968.800000000003</v>
      </c>
      <c r="AL220">
        <v>77968.800000000003</v>
      </c>
      <c r="AN220">
        <v>77968.800000000003</v>
      </c>
      <c r="AP220">
        <v>77968.800000000003</v>
      </c>
      <c r="AR220">
        <v>77968.800000000003</v>
      </c>
      <c r="AT220">
        <v>77968.800000000003</v>
      </c>
      <c r="AV220">
        <v>77968.800000000003</v>
      </c>
      <c r="AX220">
        <v>77968.800000000003</v>
      </c>
      <c r="AZ220">
        <v>77968.800000000003</v>
      </c>
      <c r="BB220">
        <v>77968.800000000003</v>
      </c>
      <c r="BD220">
        <v>77968.800000000003</v>
      </c>
      <c r="BF220">
        <v>77968.800000000003</v>
      </c>
      <c r="BH220">
        <v>77968.800000000003</v>
      </c>
      <c r="BJ220">
        <v>77968.800000000003</v>
      </c>
      <c r="BL220">
        <v>77968.800000000003</v>
      </c>
      <c r="BN220">
        <v>77968.800000000003</v>
      </c>
      <c r="BP220">
        <v>77968.800000000003</v>
      </c>
      <c r="BR220">
        <v>77968.800000000003</v>
      </c>
      <c r="BT220">
        <v>77968.800000000003</v>
      </c>
      <c r="BV220">
        <v>77968.800000000003</v>
      </c>
      <c r="BX220">
        <v>77968.800000000003</v>
      </c>
      <c r="BY220">
        <v>77968.800000000003</v>
      </c>
      <c r="BZ220">
        <v>2758536.14</v>
      </c>
      <c r="CC220">
        <v>0</v>
      </c>
      <c r="CD220">
        <v>77968.799886941779</v>
      </c>
      <c r="CE220">
        <v>2758536.14</v>
      </c>
      <c r="CF220" t="s">
        <v>37</v>
      </c>
      <c r="CG220">
        <v>7500</v>
      </c>
      <c r="CH220">
        <v>85468.799886941779</v>
      </c>
      <c r="CI220">
        <v>265350</v>
      </c>
      <c r="CJ220">
        <v>3023886.14</v>
      </c>
      <c r="CN220">
        <v>0</v>
      </c>
      <c r="CO220" t="s">
        <v>39</v>
      </c>
      <c r="CP220" t="s">
        <v>39</v>
      </c>
      <c r="CQ220" t="b">
        <v>1</v>
      </c>
      <c r="CR220" t="s">
        <v>8950</v>
      </c>
      <c r="CT220" t="s">
        <v>8960</v>
      </c>
      <c r="CU220" t="s">
        <v>8973</v>
      </c>
      <c r="CV220" t="s">
        <v>6088</v>
      </c>
      <c r="CW220" t="s">
        <v>4895</v>
      </c>
      <c r="CX220" t="s">
        <v>3246</v>
      </c>
      <c r="CY220">
        <v>1.2199999999999918</v>
      </c>
      <c r="CZ220">
        <v>104271.93586206826</v>
      </c>
      <c r="DA220">
        <v>3023886.14</v>
      </c>
      <c r="DB220" t="s">
        <v>37</v>
      </c>
      <c r="DC220" t="b">
        <v>1</v>
      </c>
      <c r="DD220">
        <v>3023886.14</v>
      </c>
      <c r="DE220">
        <v>0</v>
      </c>
      <c r="DF220" t="b">
        <v>1</v>
      </c>
      <c r="DG220" s="420" cm="1">
        <f t="array" ref="DG220">_xlfn.XLOOKUP("Дом 4"&amp;Реестр_Д4[[#This Row],[№]]&amp;Реестр_Д4[[#This Row],[Статус]],РД[Дом]&amp;РД[№ кв]&amp;РД[Состояние],РД[Дата подачи на регистрацию],"-",0)</f>
        <v>44865</v>
      </c>
    </row>
    <row r="221" spans="1:111" x14ac:dyDescent="0.25">
      <c r="A221">
        <v>220</v>
      </c>
      <c r="B221" t="s">
        <v>5</v>
      </c>
      <c r="C221">
        <v>14</v>
      </c>
      <c r="D221" t="s">
        <v>45</v>
      </c>
      <c r="E221">
        <v>1</v>
      </c>
      <c r="F221">
        <v>13.45</v>
      </c>
      <c r="I221">
        <v>13.45</v>
      </c>
      <c r="J221">
        <v>12.54</v>
      </c>
      <c r="K221">
        <v>3.69</v>
      </c>
      <c r="N221">
        <v>6.62</v>
      </c>
      <c r="O221">
        <v>3.01</v>
      </c>
      <c r="Q221">
        <v>3.01</v>
      </c>
      <c r="R221">
        <v>39.31</v>
      </c>
      <c r="S221">
        <v>36.299999999999997</v>
      </c>
      <c r="T221">
        <v>37.81</v>
      </c>
      <c r="U221">
        <v>38.9</v>
      </c>
      <c r="V221">
        <v>72100</v>
      </c>
      <c r="W221">
        <v>3605</v>
      </c>
      <c r="X221">
        <v>75705</v>
      </c>
      <c r="Y221">
        <v>3028.2000000000003</v>
      </c>
      <c r="Z221">
        <v>78733.2</v>
      </c>
      <c r="AA221">
        <v>3936.66</v>
      </c>
      <c r="AB221">
        <v>82669.86</v>
      </c>
      <c r="AC221">
        <v>10.16839278</v>
      </c>
      <c r="AD221">
        <v>82680.028392780005</v>
      </c>
      <c r="AE221">
        <v>4134.0014196390002</v>
      </c>
      <c r="AF221">
        <v>86814.029812419001</v>
      </c>
      <c r="AH221">
        <v>86814.029812419001</v>
      </c>
      <c r="AI221">
        <v>2604.4208943725698</v>
      </c>
      <c r="AJ221">
        <v>89418.450706791569</v>
      </c>
      <c r="AK221">
        <v>894.18450706791566</v>
      </c>
      <c r="AL221">
        <v>90312.635213859481</v>
      </c>
      <c r="AM221">
        <v>1806.2527042771897</v>
      </c>
      <c r="AN221">
        <v>92118.887918136679</v>
      </c>
      <c r="AO221">
        <v>1842.3777583627336</v>
      </c>
      <c r="AP221">
        <v>93961.265676499403</v>
      </c>
      <c r="AQ221">
        <v>2818.8379702949819</v>
      </c>
      <c r="AR221">
        <v>96780.103646794378</v>
      </c>
      <c r="AT221">
        <v>96780.103646794378</v>
      </c>
      <c r="AU221">
        <v>2903.4031094038314</v>
      </c>
      <c r="AV221">
        <v>99683.506756198214</v>
      </c>
      <c r="AW221">
        <v>5981.0104053718924</v>
      </c>
      <c r="AX221">
        <v>105664.51716157013</v>
      </c>
      <c r="AZ221">
        <v>105664.51716157013</v>
      </c>
      <c r="BB221">
        <v>105664.51716157013</v>
      </c>
      <c r="BD221">
        <v>105664.51716157013</v>
      </c>
      <c r="BE221">
        <v>1745</v>
      </c>
      <c r="BF221">
        <v>107409.51716157013</v>
      </c>
      <c r="BH221">
        <v>107409.51716157013</v>
      </c>
      <c r="BJ221">
        <v>107409.51716157013</v>
      </c>
      <c r="BL221">
        <v>107409.51716157013</v>
      </c>
      <c r="BN221">
        <v>107409.51716157013</v>
      </c>
      <c r="BP221">
        <v>107409.51716157013</v>
      </c>
      <c r="BR221">
        <v>107409.51716157013</v>
      </c>
      <c r="BT221">
        <v>107409.51716157013</v>
      </c>
      <c r="BV221">
        <v>107409.51716157013</v>
      </c>
      <c r="BX221">
        <v>107409.51716157013</v>
      </c>
      <c r="BY221">
        <v>107409.52</v>
      </c>
      <c r="BZ221">
        <v>4061200</v>
      </c>
      <c r="CC221">
        <v>0</v>
      </c>
      <c r="CD221">
        <v>107410.73790002643</v>
      </c>
      <c r="CE221">
        <v>4061200</v>
      </c>
      <c r="CF221" t="s">
        <v>37</v>
      </c>
      <c r="CG221">
        <v>7500</v>
      </c>
      <c r="CH221">
        <v>114910.73790002643</v>
      </c>
      <c r="CI221">
        <v>283575</v>
      </c>
      <c r="CJ221">
        <v>4344775</v>
      </c>
      <c r="CN221">
        <v>0</v>
      </c>
      <c r="CO221" t="s">
        <v>39</v>
      </c>
      <c r="CP221" t="s">
        <v>39</v>
      </c>
      <c r="CQ221" t="b">
        <v>1</v>
      </c>
      <c r="CR221" t="s">
        <v>8950</v>
      </c>
      <c r="CT221" t="s">
        <v>8960</v>
      </c>
      <c r="CU221" t="s">
        <v>8973</v>
      </c>
      <c r="CV221" t="s">
        <v>6089</v>
      </c>
      <c r="CW221" t="s">
        <v>6652</v>
      </c>
      <c r="CX221" t="s">
        <v>3246</v>
      </c>
      <c r="CY221">
        <v>1.0899999999999963</v>
      </c>
      <c r="CZ221">
        <v>125252.7043110284</v>
      </c>
      <c r="DA221">
        <v>4344775</v>
      </c>
      <c r="DB221" t="s">
        <v>37</v>
      </c>
      <c r="DC221" t="b">
        <v>1</v>
      </c>
      <c r="DD221">
        <v>4344775</v>
      </c>
      <c r="DE221">
        <v>0</v>
      </c>
      <c r="DF221" t="b">
        <v>1</v>
      </c>
      <c r="DG221" s="420" cm="1">
        <f t="array" ref="DG221">_xlfn.XLOOKUP("Дом 4"&amp;Реестр_Д4[[#This Row],[№]]&amp;Реестр_Д4[[#This Row],[Статус]],РД[Дом]&amp;РД[№ кв]&amp;РД[Состояние],РД[Дата подачи на регистрацию],"-",0)</f>
        <v>45289</v>
      </c>
    </row>
    <row r="222" spans="1:111" x14ac:dyDescent="0.25">
      <c r="A222">
        <v>221</v>
      </c>
      <c r="B222" t="s">
        <v>5</v>
      </c>
      <c r="C222">
        <v>14</v>
      </c>
      <c r="D222" t="s">
        <v>3351</v>
      </c>
      <c r="E222">
        <v>1</v>
      </c>
      <c r="F222">
        <v>12.11</v>
      </c>
      <c r="I222">
        <v>12.11</v>
      </c>
      <c r="J222">
        <v>12.27</v>
      </c>
      <c r="K222">
        <v>3.84</v>
      </c>
      <c r="N222">
        <v>7.06</v>
      </c>
      <c r="O222">
        <v>2.84</v>
      </c>
      <c r="Q222">
        <v>2.84</v>
      </c>
      <c r="R222">
        <v>38.119999999999997</v>
      </c>
      <c r="S222">
        <v>35.28</v>
      </c>
      <c r="T222">
        <v>36.700000000000003</v>
      </c>
      <c r="U222">
        <v>37.999999999999993</v>
      </c>
      <c r="V222">
        <v>72100</v>
      </c>
      <c r="W222">
        <v>3605</v>
      </c>
      <c r="X222">
        <v>75705</v>
      </c>
      <c r="Y222">
        <v>3028.2000000000003</v>
      </c>
      <c r="Z222">
        <v>78733.2</v>
      </c>
      <c r="AA222">
        <v>3936.66</v>
      </c>
      <c r="AB222">
        <v>82669.86</v>
      </c>
      <c r="AC222">
        <v>10.16839278</v>
      </c>
      <c r="AD222">
        <v>82680.028392780005</v>
      </c>
      <c r="AE222">
        <v>4134.0014196390002</v>
      </c>
      <c r="AF222">
        <v>86814.029812419001</v>
      </c>
      <c r="AH222">
        <v>86814.029812419001</v>
      </c>
      <c r="AI222">
        <v>2604.4208943725698</v>
      </c>
      <c r="AJ222">
        <v>89418.450706791569</v>
      </c>
      <c r="AK222">
        <v>894.18450706791566</v>
      </c>
      <c r="AL222">
        <v>90312.635213859481</v>
      </c>
      <c r="AM222">
        <v>1806.2527042771897</v>
      </c>
      <c r="AN222">
        <v>92118.887918136679</v>
      </c>
      <c r="AO222">
        <v>1842.3777583627336</v>
      </c>
      <c r="AP222">
        <v>93961.265676499403</v>
      </c>
      <c r="AR222">
        <v>93961.265676499403</v>
      </c>
      <c r="AT222">
        <v>93961.265676499403</v>
      </c>
      <c r="AV222">
        <v>93961.265676499403</v>
      </c>
      <c r="AX222">
        <v>93961.265676499403</v>
      </c>
      <c r="AZ222">
        <v>93961.265676499403</v>
      </c>
      <c r="BB222">
        <v>93961.265676499403</v>
      </c>
      <c r="BD222">
        <v>93961.265676499403</v>
      </c>
      <c r="BF222">
        <v>93961.265676499403</v>
      </c>
      <c r="BH222">
        <v>93961.265676499403</v>
      </c>
      <c r="BJ222">
        <v>93961.265676499403</v>
      </c>
      <c r="BL222">
        <v>93961.265676499403</v>
      </c>
      <c r="BN222">
        <v>93961.265676499403</v>
      </c>
      <c r="BP222">
        <v>93961.265676499403</v>
      </c>
      <c r="BR222">
        <v>93961.265676499403</v>
      </c>
      <c r="BT222">
        <v>93961.265676499403</v>
      </c>
      <c r="BV222">
        <v>93961.265676499403</v>
      </c>
      <c r="BX222">
        <v>93961.265676499403</v>
      </c>
      <c r="BY222">
        <v>93961.27</v>
      </c>
      <c r="BZ222">
        <v>3448378.61</v>
      </c>
      <c r="CC222">
        <v>0</v>
      </c>
      <c r="CD222">
        <v>93961.270027247941</v>
      </c>
      <c r="CE222">
        <v>3448378.61</v>
      </c>
      <c r="CF222" t="s">
        <v>38</v>
      </c>
      <c r="CG222">
        <v>15000</v>
      </c>
      <c r="CH222">
        <v>108961.27002724794</v>
      </c>
      <c r="CI222">
        <v>550500</v>
      </c>
      <c r="CJ222">
        <v>3998878.61</v>
      </c>
      <c r="CN222">
        <v>0</v>
      </c>
      <c r="CO222" t="s">
        <v>39</v>
      </c>
      <c r="CP222" t="s">
        <v>39</v>
      </c>
      <c r="CQ222" t="b">
        <v>1</v>
      </c>
      <c r="CR222" t="s">
        <v>8950</v>
      </c>
      <c r="CT222" t="s">
        <v>8960</v>
      </c>
      <c r="CU222" t="s">
        <v>8973</v>
      </c>
      <c r="CV222" t="s">
        <v>6090</v>
      </c>
      <c r="CW222" t="s">
        <v>4895</v>
      </c>
      <c r="CX222" t="s">
        <v>3246</v>
      </c>
      <c r="CY222">
        <v>1.2999999999999901</v>
      </c>
      <c r="CZ222">
        <v>141649.65103542124</v>
      </c>
      <c r="DA222">
        <v>3998878.61</v>
      </c>
      <c r="DB222" t="s">
        <v>38</v>
      </c>
      <c r="DC222" t="b">
        <v>1</v>
      </c>
      <c r="DD222">
        <v>3998878.61</v>
      </c>
      <c r="DE222">
        <v>0</v>
      </c>
      <c r="DF222" t="b">
        <v>1</v>
      </c>
      <c r="DG222" s="420" cm="1">
        <f t="array" ref="DG222">_xlfn.XLOOKUP("Дом 4"&amp;Реестр_Д4[[#This Row],[№]]&amp;Реестр_Д4[[#This Row],[Статус]],РД[Дом]&amp;РД[№ кв]&amp;РД[Состояние],РД[Дата подачи на регистрацию],"-",0)</f>
        <v>45096</v>
      </c>
    </row>
    <row r="223" spans="1:111" x14ac:dyDescent="0.25">
      <c r="A223">
        <v>222</v>
      </c>
      <c r="B223" t="s">
        <v>5</v>
      </c>
      <c r="C223">
        <v>14</v>
      </c>
      <c r="D223" t="s">
        <v>3352</v>
      </c>
      <c r="E223">
        <v>1</v>
      </c>
      <c r="F223">
        <v>11.74</v>
      </c>
      <c r="I223">
        <v>11.74</v>
      </c>
      <c r="J223">
        <v>12.47</v>
      </c>
      <c r="K223">
        <v>3.71</v>
      </c>
      <c r="N223">
        <v>7.29</v>
      </c>
      <c r="O223">
        <v>2.89</v>
      </c>
      <c r="Q223">
        <v>2.89</v>
      </c>
      <c r="R223">
        <v>38.1</v>
      </c>
      <c r="S223">
        <v>35.21</v>
      </c>
      <c r="T223">
        <v>36.659999999999997</v>
      </c>
      <c r="U223">
        <v>37.700000000000003</v>
      </c>
      <c r="V223">
        <v>72100</v>
      </c>
      <c r="W223">
        <v>3605</v>
      </c>
      <c r="X223">
        <v>75705</v>
      </c>
      <c r="Y223">
        <v>3028.2000000000003</v>
      </c>
      <c r="Z223">
        <v>78733.2</v>
      </c>
      <c r="AA223">
        <v>3936.66</v>
      </c>
      <c r="AB223">
        <v>82669.86</v>
      </c>
      <c r="AC223">
        <v>10.16839278</v>
      </c>
      <c r="AD223">
        <v>82680.028392780005</v>
      </c>
      <c r="AE223">
        <v>4134.0014196390002</v>
      </c>
      <c r="AF223">
        <v>86814.029812419001</v>
      </c>
      <c r="AH223">
        <v>86814.029812419001</v>
      </c>
      <c r="AI223">
        <v>2604.4208943725698</v>
      </c>
      <c r="AJ223">
        <v>89418.450706791569</v>
      </c>
      <c r="AK223">
        <v>894.18450706791566</v>
      </c>
      <c r="AL223">
        <v>90312.635213859481</v>
      </c>
      <c r="AM223">
        <v>1806.2527042771897</v>
      </c>
      <c r="AN223">
        <v>92118.887918136679</v>
      </c>
      <c r="AO223">
        <v>1842.3777583627336</v>
      </c>
      <c r="AP223">
        <v>93961.265676499403</v>
      </c>
      <c r="AQ223">
        <v>2818.8379702949819</v>
      </c>
      <c r="AR223">
        <v>96780.103646794378</v>
      </c>
      <c r="AS223">
        <v>4839.0051823397189</v>
      </c>
      <c r="AT223">
        <v>101619.1088291341</v>
      </c>
      <c r="AU223">
        <v>3048.5732648740227</v>
      </c>
      <c r="AV223">
        <v>104667.68209400812</v>
      </c>
      <c r="AW223">
        <v>6280.0609256404869</v>
      </c>
      <c r="AX223">
        <v>110947.74301964859</v>
      </c>
      <c r="AZ223">
        <v>110947.74301964859</v>
      </c>
      <c r="BB223">
        <v>110947.74301964859</v>
      </c>
      <c r="BD223">
        <v>110947.74301964859</v>
      </c>
      <c r="BF223">
        <v>110947.74301964859</v>
      </c>
      <c r="BH223">
        <v>110947.74301964859</v>
      </c>
      <c r="BI223">
        <v>5547.3871509824312</v>
      </c>
      <c r="BJ223">
        <v>116495.13017063103</v>
      </c>
      <c r="BK223">
        <v>500</v>
      </c>
      <c r="BL223">
        <v>116995.13017063103</v>
      </c>
      <c r="BM223">
        <v>2339.9026034126209</v>
      </c>
      <c r="BN223">
        <v>119335.03277404366</v>
      </c>
      <c r="BP223">
        <v>119335.03277404366</v>
      </c>
      <c r="BR223">
        <v>119335.03277404366</v>
      </c>
      <c r="BT223">
        <v>119335.03277404366</v>
      </c>
      <c r="BV223">
        <v>119335.03277404366</v>
      </c>
      <c r="BX223">
        <v>119335.03277404366</v>
      </c>
      <c r="BY223">
        <v>119335.03</v>
      </c>
      <c r="BZ223">
        <v>4374900</v>
      </c>
      <c r="CA223">
        <v>88888</v>
      </c>
      <c r="CC223">
        <v>88888</v>
      </c>
      <c r="CD223">
        <v>116912.4931805783</v>
      </c>
      <c r="CE223">
        <v>4286012</v>
      </c>
      <c r="CF223" t="s">
        <v>38</v>
      </c>
      <c r="CG223">
        <v>22000</v>
      </c>
      <c r="CH223">
        <v>138912.49318057828</v>
      </c>
      <c r="CI223">
        <v>806520</v>
      </c>
      <c r="CJ223">
        <v>5092532</v>
      </c>
      <c r="CL223" t="s">
        <v>4185</v>
      </c>
      <c r="CN223">
        <v>0</v>
      </c>
      <c r="CO223" t="s">
        <v>39</v>
      </c>
      <c r="CP223" t="s">
        <v>39</v>
      </c>
      <c r="CQ223" t="b">
        <v>1</v>
      </c>
      <c r="CR223" t="s">
        <v>8950</v>
      </c>
      <c r="CT223" t="s">
        <v>8960</v>
      </c>
      <c r="CU223" t="s">
        <v>8973</v>
      </c>
      <c r="CV223" t="s">
        <v>6091</v>
      </c>
      <c r="CW223" t="s">
        <v>6652</v>
      </c>
      <c r="CX223" t="s">
        <v>3246</v>
      </c>
      <c r="CY223">
        <v>1.0399999999999991</v>
      </c>
      <c r="CZ223">
        <v>144468.99290780129</v>
      </c>
      <c r="DA223">
        <v>5092532</v>
      </c>
      <c r="DB223" t="s">
        <v>38</v>
      </c>
      <c r="DC223" t="b">
        <v>1</v>
      </c>
      <c r="DD223">
        <v>5092532</v>
      </c>
      <c r="DE223">
        <v>0</v>
      </c>
      <c r="DF223" t="b">
        <v>1</v>
      </c>
      <c r="DG223" s="420" cm="1">
        <f t="array" ref="DG223">_xlfn.XLOOKUP("Дом 4"&amp;Реестр_Д4[[#This Row],[№]]&amp;Реестр_Д4[[#This Row],[Статус]],РД[Дом]&amp;РД[№ кв]&amp;РД[Состояние],РД[Дата подачи на регистрацию],"-",0)</f>
        <v>45372</v>
      </c>
    </row>
    <row r="224" spans="1:111" x14ac:dyDescent="0.25">
      <c r="A224">
        <v>223</v>
      </c>
      <c r="B224" t="s">
        <v>5</v>
      </c>
      <c r="C224">
        <v>14</v>
      </c>
      <c r="D224" t="s">
        <v>3353</v>
      </c>
      <c r="E224">
        <v>3</v>
      </c>
      <c r="F224">
        <v>14.79</v>
      </c>
      <c r="G224">
        <v>14.24</v>
      </c>
      <c r="H224">
        <v>13.63</v>
      </c>
      <c r="I224">
        <v>42.66</v>
      </c>
      <c r="J224">
        <v>13.29</v>
      </c>
      <c r="K224">
        <v>4.72</v>
      </c>
      <c r="L224">
        <v>1.66</v>
      </c>
      <c r="M224">
        <v>2.19</v>
      </c>
      <c r="N224">
        <v>11.45</v>
      </c>
      <c r="O224">
        <v>2.73</v>
      </c>
      <c r="P224">
        <v>2.78</v>
      </c>
      <c r="Q224">
        <v>5.51</v>
      </c>
      <c r="R224">
        <v>81.48</v>
      </c>
      <c r="S224">
        <v>75.97</v>
      </c>
      <c r="T224">
        <v>78.73</v>
      </c>
      <c r="U224">
        <v>79.8</v>
      </c>
      <c r="V224">
        <v>68364.800000000003</v>
      </c>
      <c r="W224">
        <v>3418.24</v>
      </c>
      <c r="X224">
        <v>71783.040000000008</v>
      </c>
      <c r="Z224">
        <v>71783.040000000008</v>
      </c>
      <c r="AB224">
        <v>71783.040000000008</v>
      </c>
      <c r="AC224">
        <v>8.8293139200000024</v>
      </c>
      <c r="AD224">
        <v>71791.869313920004</v>
      </c>
      <c r="AF224">
        <v>71791.869313920004</v>
      </c>
      <c r="AH224">
        <v>71791.869313920004</v>
      </c>
      <c r="AI224">
        <v>2153.7560794176002</v>
      </c>
      <c r="AJ224">
        <v>73945.625393337599</v>
      </c>
      <c r="AK224">
        <v>739.45625393337605</v>
      </c>
      <c r="AL224">
        <v>74685.08164727097</v>
      </c>
      <c r="AM224">
        <v>1493.7016329454195</v>
      </c>
      <c r="AN224">
        <v>76178.78328021639</v>
      </c>
      <c r="AP224">
        <v>76178.78328021639</v>
      </c>
      <c r="AR224">
        <v>76178.78328021639</v>
      </c>
      <c r="AT224">
        <v>76178.78328021639</v>
      </c>
      <c r="AV224">
        <v>76178.78328021639</v>
      </c>
      <c r="AX224">
        <v>76178.78328021639</v>
      </c>
      <c r="AZ224">
        <v>76178.78328021639</v>
      </c>
      <c r="BB224">
        <v>76178.78328021639</v>
      </c>
      <c r="BD224">
        <v>76178.78328021639</v>
      </c>
      <c r="BF224">
        <v>76178.78328021639</v>
      </c>
      <c r="BH224">
        <v>76178.78328021639</v>
      </c>
      <c r="BJ224">
        <v>76178.78328021639</v>
      </c>
      <c r="BL224">
        <v>76178.78328021639</v>
      </c>
      <c r="BN224">
        <v>76178.78328021639</v>
      </c>
      <c r="BP224">
        <v>76178.78328021639</v>
      </c>
      <c r="BR224">
        <v>76178.78328021639</v>
      </c>
      <c r="BT224">
        <v>76178.78328021639</v>
      </c>
      <c r="BV224">
        <v>76178.78328021639</v>
      </c>
      <c r="BX224">
        <v>76178.78328021639</v>
      </c>
      <c r="BY224">
        <v>76178.78</v>
      </c>
      <c r="BZ224">
        <v>5997555.3499999996</v>
      </c>
      <c r="CB224">
        <v>0.03</v>
      </c>
      <c r="CC224">
        <v>179926.66049999997</v>
      </c>
      <c r="CD224">
        <v>73893.416613743175</v>
      </c>
      <c r="CE224">
        <v>5817628.6900000004</v>
      </c>
      <c r="CF224" t="s">
        <v>36</v>
      </c>
      <c r="CH224">
        <v>73893.416613743175</v>
      </c>
      <c r="CI224">
        <v>0</v>
      </c>
      <c r="CJ224">
        <v>5817628.6900000004</v>
      </c>
      <c r="CL224" t="s">
        <v>3540</v>
      </c>
      <c r="CN224">
        <v>0</v>
      </c>
      <c r="CO224" t="s">
        <v>39</v>
      </c>
      <c r="CP224" t="s">
        <v>39</v>
      </c>
      <c r="CQ224" t="b">
        <v>1</v>
      </c>
      <c r="CR224" t="s">
        <v>8950</v>
      </c>
      <c r="CT224" t="s">
        <v>8960</v>
      </c>
      <c r="CU224" t="s">
        <v>8975</v>
      </c>
      <c r="CV224" t="s">
        <v>6092</v>
      </c>
      <c r="CW224" t="s">
        <v>4895</v>
      </c>
      <c r="CX224" t="s">
        <v>3246</v>
      </c>
      <c r="CY224">
        <v>1.0699999999999932</v>
      </c>
      <c r="CZ224">
        <v>79065.955776704694</v>
      </c>
      <c r="DA224">
        <v>5817628.6900000004</v>
      </c>
      <c r="DB224" t="s">
        <v>36</v>
      </c>
      <c r="DC224" t="b">
        <v>1</v>
      </c>
      <c r="DD224">
        <v>5817628.6900000004</v>
      </c>
      <c r="DE224">
        <v>0</v>
      </c>
      <c r="DF224" t="b">
        <v>1</v>
      </c>
      <c r="DG224" s="420" cm="1">
        <f t="array" ref="DG224">_xlfn.XLOOKUP("Дом 4"&amp;Реестр_Д4[[#This Row],[№]]&amp;Реестр_Д4[[#This Row],[Статус]],РД[Дом]&amp;РД[№ кв]&amp;РД[Состояние],РД[Дата подачи на регистрацию],"-",0)</f>
        <v>45070</v>
      </c>
    </row>
    <row r="225" spans="1:111" x14ac:dyDescent="0.25">
      <c r="A225">
        <v>224</v>
      </c>
      <c r="B225" t="s">
        <v>5</v>
      </c>
      <c r="C225">
        <v>14</v>
      </c>
      <c r="D225" t="s">
        <v>3354</v>
      </c>
      <c r="E225">
        <v>1</v>
      </c>
      <c r="F225">
        <v>14.13</v>
      </c>
      <c r="I225">
        <v>14.13</v>
      </c>
      <c r="J225">
        <v>9.2100000000000009</v>
      </c>
      <c r="K225">
        <v>3.66</v>
      </c>
      <c r="N225">
        <v>5.55</v>
      </c>
      <c r="O225">
        <v>2.48</v>
      </c>
      <c r="Q225">
        <v>2.48</v>
      </c>
      <c r="R225">
        <v>35.03</v>
      </c>
      <c r="S225">
        <v>32.550000000000004</v>
      </c>
      <c r="T225">
        <v>33.79</v>
      </c>
      <c r="U225">
        <v>34.999999999999993</v>
      </c>
      <c r="V225">
        <v>70700</v>
      </c>
      <c r="W225">
        <v>3535</v>
      </c>
      <c r="X225">
        <v>74235</v>
      </c>
      <c r="Y225">
        <v>2969.4</v>
      </c>
      <c r="Z225">
        <v>77204.399999999994</v>
      </c>
      <c r="AA225">
        <v>3860.22</v>
      </c>
      <c r="AB225">
        <v>81064.62</v>
      </c>
      <c r="AC225">
        <v>9.9709482600000001</v>
      </c>
      <c r="AD225">
        <v>81074.590948259996</v>
      </c>
      <c r="AE225">
        <v>4053.7295474130001</v>
      </c>
      <c r="AF225">
        <v>85128.32049567299</v>
      </c>
      <c r="AH225">
        <v>85128.32049567299</v>
      </c>
      <c r="AI225">
        <v>2553.8496148701897</v>
      </c>
      <c r="AJ225">
        <v>87682.170110543186</v>
      </c>
      <c r="AK225">
        <v>2630.4651033162954</v>
      </c>
      <c r="AL225">
        <v>90312.635213859481</v>
      </c>
      <c r="AM225">
        <v>3612.5054085543793</v>
      </c>
      <c r="AN225">
        <v>93925.140622413863</v>
      </c>
      <c r="AO225">
        <v>1878.5028124482776</v>
      </c>
      <c r="AP225">
        <v>95803.643434862141</v>
      </c>
      <c r="AQ225">
        <v>2874.1093030458642</v>
      </c>
      <c r="AR225">
        <v>98677.752737907998</v>
      </c>
      <c r="AT225">
        <v>98677.752737907998</v>
      </c>
      <c r="AV225">
        <v>98677.752737907998</v>
      </c>
      <c r="AX225">
        <v>98677.752737907998</v>
      </c>
      <c r="AZ225">
        <v>98677.752737907998</v>
      </c>
      <c r="BB225">
        <v>98677.752737907998</v>
      </c>
      <c r="BD225">
        <v>98677.752737907998</v>
      </c>
      <c r="BF225">
        <v>98677.752737907998</v>
      </c>
      <c r="BH225">
        <v>98677.752737907998</v>
      </c>
      <c r="BJ225">
        <v>98677.752737907998</v>
      </c>
      <c r="BL225">
        <v>98677.752737907998</v>
      </c>
      <c r="BN225">
        <v>98677.752737907998</v>
      </c>
      <c r="BP225">
        <v>98677.752737907998</v>
      </c>
      <c r="BR225">
        <v>98677.752737907998</v>
      </c>
      <c r="BT225">
        <v>98677.752737907998</v>
      </c>
      <c r="BV225">
        <v>98677.752737907998</v>
      </c>
      <c r="BX225">
        <v>98677.752737907998</v>
      </c>
      <c r="BY225">
        <v>98677.75</v>
      </c>
      <c r="BZ225">
        <v>3334321.17</v>
      </c>
      <c r="CB225">
        <v>0.02</v>
      </c>
      <c r="CC225">
        <v>66686.4234</v>
      </c>
      <c r="CD225">
        <v>96704.195028114831</v>
      </c>
      <c r="CE225">
        <v>3267634.75</v>
      </c>
      <c r="CF225" t="s">
        <v>38</v>
      </c>
      <c r="CG225">
        <v>15500</v>
      </c>
      <c r="CH225">
        <v>112204.19502811485</v>
      </c>
      <c r="CI225">
        <v>523745</v>
      </c>
      <c r="CJ225">
        <v>3791379.75</v>
      </c>
      <c r="CK225" t="s">
        <v>57</v>
      </c>
      <c r="CL225" t="s">
        <v>4518</v>
      </c>
      <c r="CN225">
        <v>0</v>
      </c>
      <c r="CO225" t="s">
        <v>39</v>
      </c>
      <c r="CP225" t="s">
        <v>39</v>
      </c>
      <c r="CQ225" t="b">
        <v>1</v>
      </c>
      <c r="CR225" t="s">
        <v>8950</v>
      </c>
      <c r="CT225" t="s">
        <v>8960</v>
      </c>
      <c r="CU225" t="s">
        <v>8973</v>
      </c>
      <c r="CV225" t="s">
        <v>6093</v>
      </c>
      <c r="CW225" t="s">
        <v>4895</v>
      </c>
      <c r="CX225" t="s">
        <v>3246</v>
      </c>
      <c r="CY225">
        <v>1.2099999999999935</v>
      </c>
      <c r="CZ225">
        <v>135767.07598401824</v>
      </c>
      <c r="DA225">
        <v>3791379.75</v>
      </c>
      <c r="DB225" t="s">
        <v>38</v>
      </c>
      <c r="DC225" t="b">
        <v>1</v>
      </c>
      <c r="DD225">
        <v>3791379.75</v>
      </c>
      <c r="DE225">
        <v>0</v>
      </c>
      <c r="DF225" t="b">
        <v>1</v>
      </c>
      <c r="DG225" s="420" cm="1">
        <f t="array" ref="DG225">_xlfn.XLOOKUP("Дом 4"&amp;Реестр_Д4[[#This Row],[№]]&amp;Реестр_Д4[[#This Row],[Статус]],РД[Дом]&amp;РД[№ кв]&amp;РД[Состояние],РД[Дата подачи на регистрацию],"-",0)</f>
        <v>45157</v>
      </c>
    </row>
    <row r="226" spans="1:111" x14ac:dyDescent="0.25">
      <c r="A226">
        <v>225</v>
      </c>
      <c r="B226" t="s">
        <v>5</v>
      </c>
      <c r="C226">
        <v>15</v>
      </c>
      <c r="D226" t="s">
        <v>42</v>
      </c>
      <c r="E226">
        <v>0</v>
      </c>
      <c r="F226">
        <v>13.95</v>
      </c>
      <c r="I226">
        <v>13.95</v>
      </c>
      <c r="J226">
        <v>5.77</v>
      </c>
      <c r="K226">
        <v>3.6</v>
      </c>
      <c r="N226">
        <v>3.59</v>
      </c>
      <c r="O226">
        <v>4.12</v>
      </c>
      <c r="Q226">
        <v>4.12</v>
      </c>
      <c r="R226">
        <v>31.03</v>
      </c>
      <c r="S226">
        <v>26.91</v>
      </c>
      <c r="T226">
        <v>28.97</v>
      </c>
      <c r="U226">
        <v>29.7</v>
      </c>
      <c r="V226">
        <v>75600</v>
      </c>
      <c r="W226">
        <v>3780</v>
      </c>
      <c r="X226">
        <v>79380</v>
      </c>
      <c r="Z226">
        <v>79380</v>
      </c>
      <c r="AB226">
        <v>79380</v>
      </c>
      <c r="AD226">
        <v>79380</v>
      </c>
      <c r="AF226">
        <v>79380</v>
      </c>
      <c r="AH226">
        <v>79380</v>
      </c>
      <c r="AJ226">
        <v>79380</v>
      </c>
      <c r="AL226">
        <v>79380</v>
      </c>
      <c r="AN226">
        <v>79380</v>
      </c>
      <c r="AP226">
        <v>79380</v>
      </c>
      <c r="AR226">
        <v>79380</v>
      </c>
      <c r="AT226">
        <v>79380</v>
      </c>
      <c r="AV226">
        <v>79380</v>
      </c>
      <c r="AX226">
        <v>79380</v>
      </c>
      <c r="AZ226">
        <v>79380</v>
      </c>
      <c r="BB226">
        <v>79380</v>
      </c>
      <c r="BD226">
        <v>79380</v>
      </c>
      <c r="BF226">
        <v>79380</v>
      </c>
      <c r="BH226">
        <v>79380</v>
      </c>
      <c r="BJ226">
        <v>79380</v>
      </c>
      <c r="BL226">
        <v>79380</v>
      </c>
      <c r="BN226">
        <v>79380</v>
      </c>
      <c r="BP226">
        <v>79380</v>
      </c>
      <c r="BR226">
        <v>79380</v>
      </c>
      <c r="BT226">
        <v>79380</v>
      </c>
      <c r="BV226">
        <v>79380</v>
      </c>
      <c r="BX226">
        <v>79380</v>
      </c>
      <c r="BY226">
        <v>79380</v>
      </c>
      <c r="BZ226">
        <v>2299638.6</v>
      </c>
      <c r="CB226">
        <v>0.05</v>
      </c>
      <c r="CC226">
        <v>114981.93</v>
      </c>
      <c r="CD226">
        <v>75411</v>
      </c>
      <c r="CE226">
        <v>2184656.67</v>
      </c>
      <c r="CF226" t="s">
        <v>36</v>
      </c>
      <c r="CH226">
        <v>75411</v>
      </c>
      <c r="CI226">
        <v>0</v>
      </c>
      <c r="CJ226">
        <v>2184656.67</v>
      </c>
      <c r="CL226" t="s">
        <v>3540</v>
      </c>
      <c r="CN226">
        <v>0</v>
      </c>
      <c r="CO226" t="s">
        <v>39</v>
      </c>
      <c r="CP226" t="s">
        <v>39</v>
      </c>
      <c r="CQ226" t="b">
        <v>1</v>
      </c>
      <c r="CR226" t="s">
        <v>8950</v>
      </c>
      <c r="CT226" t="s">
        <v>8960</v>
      </c>
      <c r="CU226" t="s">
        <v>8970</v>
      </c>
      <c r="CV226" t="s">
        <v>6094</v>
      </c>
      <c r="CW226" t="s">
        <v>4895</v>
      </c>
      <c r="CX226" t="s">
        <v>3246</v>
      </c>
      <c r="CY226">
        <v>0.73000000000000043</v>
      </c>
      <c r="CZ226">
        <v>55050.030000000035</v>
      </c>
      <c r="DA226">
        <v>2184656.67</v>
      </c>
      <c r="DB226" t="s">
        <v>36</v>
      </c>
      <c r="DC226" t="b">
        <v>1</v>
      </c>
      <c r="DD226">
        <v>2184656.67</v>
      </c>
      <c r="DE226">
        <v>0</v>
      </c>
      <c r="DF226" t="b">
        <v>1</v>
      </c>
      <c r="DG226" s="420" cm="1">
        <f t="array" ref="DG226">_xlfn.XLOOKUP("Дом 4"&amp;Реестр_Д4[[#This Row],[№]]&amp;Реестр_Д4[[#This Row],[Статус]],РД[Дом]&amp;РД[№ кв]&amp;РД[Состояние],РД[Дата подачи на регистрацию],"-",0)</f>
        <v>44888</v>
      </c>
    </row>
    <row r="227" spans="1:111" x14ac:dyDescent="0.25">
      <c r="A227">
        <v>226</v>
      </c>
      <c r="B227" t="s">
        <v>5</v>
      </c>
      <c r="C227">
        <v>15</v>
      </c>
      <c r="D227" t="s">
        <v>43</v>
      </c>
      <c r="E227">
        <v>2</v>
      </c>
      <c r="F227">
        <v>17.54</v>
      </c>
      <c r="G227">
        <v>12.04</v>
      </c>
      <c r="I227">
        <v>29.58</v>
      </c>
      <c r="J227">
        <v>17.010000000000002</v>
      </c>
      <c r="K227">
        <v>3.71</v>
      </c>
      <c r="L227">
        <v>2.64</v>
      </c>
      <c r="N227">
        <v>13.06</v>
      </c>
      <c r="O227">
        <v>2.61</v>
      </c>
      <c r="P227">
        <v>2.88</v>
      </c>
      <c r="Q227">
        <v>5.49</v>
      </c>
      <c r="R227">
        <v>71.489999999999995</v>
      </c>
      <c r="S227">
        <v>66</v>
      </c>
      <c r="T227">
        <v>68.75</v>
      </c>
      <c r="U227">
        <v>69.899999999999991</v>
      </c>
      <c r="V227">
        <v>71971.199999999997</v>
      </c>
      <c r="W227">
        <v>3598.56</v>
      </c>
      <c r="X227">
        <v>75569.759999999995</v>
      </c>
      <c r="Z227">
        <v>75569.759999999995</v>
      </c>
      <c r="AA227">
        <v>3778.4879999999998</v>
      </c>
      <c r="AB227">
        <v>79348.248000000007</v>
      </c>
      <c r="AC227">
        <v>9.7598345040000005</v>
      </c>
      <c r="AD227">
        <v>79358.007834503995</v>
      </c>
      <c r="AF227">
        <v>79358.007834503995</v>
      </c>
      <c r="AH227">
        <v>79358.007834503995</v>
      </c>
      <c r="AI227">
        <v>1587.1601566900799</v>
      </c>
      <c r="AJ227">
        <v>80945.167991194074</v>
      </c>
      <c r="AK227">
        <v>809.4516799119408</v>
      </c>
      <c r="AL227">
        <v>81754.619671106018</v>
      </c>
      <c r="AM227">
        <v>1635.0923934221205</v>
      </c>
      <c r="AN227">
        <v>83389.712064528139</v>
      </c>
      <c r="AP227">
        <v>83389.712064528139</v>
      </c>
      <c r="AQ227">
        <v>2501.6913619358443</v>
      </c>
      <c r="AR227">
        <v>85891.403426463978</v>
      </c>
      <c r="AT227">
        <v>85891.403426463978</v>
      </c>
      <c r="AU227">
        <v>2576.7421027939195</v>
      </c>
      <c r="AV227">
        <v>88468.14552925789</v>
      </c>
      <c r="AX227">
        <v>88468.14552925789</v>
      </c>
      <c r="AZ227">
        <v>88468.14552925789</v>
      </c>
      <c r="BB227">
        <v>88468.14552925789</v>
      </c>
      <c r="BD227">
        <v>88468.14552925789</v>
      </c>
      <c r="BF227">
        <v>88468.14552925789</v>
      </c>
      <c r="BH227">
        <v>88468.14552925789</v>
      </c>
      <c r="BI227">
        <v>4423.4072764628945</v>
      </c>
      <c r="BJ227">
        <v>92891.552805720785</v>
      </c>
      <c r="BK227">
        <v>1000</v>
      </c>
      <c r="BL227">
        <v>93891.552805720785</v>
      </c>
      <c r="BM227">
        <v>1877.831056114416</v>
      </c>
      <c r="BN227">
        <v>95769.383861835202</v>
      </c>
      <c r="BO227">
        <v>4788.4691930917606</v>
      </c>
      <c r="BP227">
        <v>100557.85305492696</v>
      </c>
      <c r="BQ227">
        <v>500</v>
      </c>
      <c r="BR227">
        <v>101057.85305492696</v>
      </c>
      <c r="BT227">
        <v>101057.85305492696</v>
      </c>
      <c r="BV227">
        <v>101057.85305492696</v>
      </c>
      <c r="BX227">
        <v>101057.85305492696</v>
      </c>
      <c r="BY227">
        <v>101057.85</v>
      </c>
      <c r="BZ227">
        <v>6947800</v>
      </c>
      <c r="CC227">
        <v>0</v>
      </c>
      <c r="CD227">
        <v>101058.90909090907</v>
      </c>
      <c r="CE227">
        <v>6947800</v>
      </c>
      <c r="CF227" t="s">
        <v>37</v>
      </c>
      <c r="CG227">
        <v>7500</v>
      </c>
      <c r="CH227">
        <v>108558.90909090907</v>
      </c>
      <c r="CI227">
        <v>515625</v>
      </c>
      <c r="CJ227">
        <v>7463425</v>
      </c>
      <c r="CN227">
        <v>0</v>
      </c>
      <c r="CO227" t="s">
        <v>39</v>
      </c>
      <c r="CP227" t="s">
        <v>39</v>
      </c>
      <c r="CQ227" t="b">
        <v>1</v>
      </c>
      <c r="CR227" t="s">
        <v>8950</v>
      </c>
      <c r="CT227" t="s">
        <v>8960</v>
      </c>
      <c r="CU227" t="s">
        <v>8971</v>
      </c>
      <c r="CV227" t="s">
        <v>6095</v>
      </c>
      <c r="CW227" t="s">
        <v>6652</v>
      </c>
      <c r="CX227" t="s">
        <v>3246</v>
      </c>
      <c r="CY227">
        <v>1.1499999999999917</v>
      </c>
      <c r="CZ227">
        <v>124842.74545454452</v>
      </c>
      <c r="DA227">
        <v>7463425</v>
      </c>
      <c r="DB227" t="s">
        <v>37</v>
      </c>
      <c r="DC227" t="b">
        <v>1</v>
      </c>
      <c r="DD227">
        <v>7463425</v>
      </c>
      <c r="DE227">
        <v>0</v>
      </c>
      <c r="DF227" t="b">
        <v>1</v>
      </c>
      <c r="DG227" s="420" cm="1">
        <f t="array" ref="DG227">_xlfn.XLOOKUP("Дом 4"&amp;Реестр_Д4[[#This Row],[№]]&amp;Реестр_Д4[[#This Row],[Статус]],РД[Дом]&amp;РД[№ кв]&amp;РД[Состояние],РД[Дата подачи на регистрацию],"-",0)</f>
        <v>45433</v>
      </c>
    </row>
    <row r="228" spans="1:111" x14ac:dyDescent="0.25">
      <c r="A228">
        <v>227</v>
      </c>
      <c r="B228" t="s">
        <v>5</v>
      </c>
      <c r="C228">
        <v>15</v>
      </c>
      <c r="D228" t="s">
        <v>44</v>
      </c>
      <c r="E228">
        <v>1</v>
      </c>
      <c r="F228">
        <v>13.45</v>
      </c>
      <c r="I228">
        <v>13.45</v>
      </c>
      <c r="J228">
        <v>11.31</v>
      </c>
      <c r="K228">
        <v>3.69</v>
      </c>
      <c r="N228">
        <v>5.63</v>
      </c>
      <c r="O228">
        <v>2.59</v>
      </c>
      <c r="Q228">
        <v>2.59</v>
      </c>
      <c r="R228">
        <v>36.67</v>
      </c>
      <c r="S228">
        <v>34.08</v>
      </c>
      <c r="T228">
        <v>35.380000000000003</v>
      </c>
      <c r="U228">
        <v>36.499999999999993</v>
      </c>
      <c r="V228">
        <v>72100</v>
      </c>
      <c r="W228">
        <v>3605</v>
      </c>
      <c r="X228">
        <v>75705</v>
      </c>
      <c r="Y228">
        <v>3028.2000000000003</v>
      </c>
      <c r="Z228">
        <v>78733.2</v>
      </c>
      <c r="AA228">
        <v>3936.66</v>
      </c>
      <c r="AB228">
        <v>82669.86</v>
      </c>
      <c r="AC228">
        <v>10.16839278</v>
      </c>
      <c r="AD228">
        <v>82680.028392780005</v>
      </c>
      <c r="AE228">
        <v>4134.0014196390002</v>
      </c>
      <c r="AF228">
        <v>86814.029812419001</v>
      </c>
      <c r="AH228">
        <v>86814.029812419001</v>
      </c>
      <c r="AI228">
        <v>2604.4208943725698</v>
      </c>
      <c r="AJ228">
        <v>89418.450706791569</v>
      </c>
      <c r="AK228">
        <v>894.18450706791566</v>
      </c>
      <c r="AL228">
        <v>90312.635213859481</v>
      </c>
      <c r="AM228">
        <v>1806.2527042771897</v>
      </c>
      <c r="AN228">
        <v>92118.887918136679</v>
      </c>
      <c r="AO228">
        <v>1842.3777583627336</v>
      </c>
      <c r="AP228">
        <v>93961.265676499403</v>
      </c>
      <c r="AQ228">
        <v>2818.8379702949819</v>
      </c>
      <c r="AR228">
        <v>96780.103646794378</v>
      </c>
      <c r="AS228">
        <v>4839.0051823397189</v>
      </c>
      <c r="AT228">
        <v>101619.1088291341</v>
      </c>
      <c r="AU228">
        <v>3048.5732648740227</v>
      </c>
      <c r="AV228">
        <v>104667.68209400812</v>
      </c>
      <c r="AW228">
        <v>6280.0609256404869</v>
      </c>
      <c r="AX228">
        <v>110947.74301964859</v>
      </c>
      <c r="AZ228">
        <v>110947.74301964859</v>
      </c>
      <c r="BB228">
        <v>110947.74301964859</v>
      </c>
      <c r="BD228">
        <v>110947.74301964859</v>
      </c>
      <c r="BF228">
        <v>110947.74301964859</v>
      </c>
      <c r="BH228">
        <v>110947.74301964859</v>
      </c>
      <c r="BJ228">
        <v>110947.74301964859</v>
      </c>
      <c r="BL228">
        <v>110947.74301964859</v>
      </c>
      <c r="BN228">
        <v>110947.74301964859</v>
      </c>
      <c r="BP228">
        <v>110947.74301964859</v>
      </c>
      <c r="BR228">
        <v>110947.74301964859</v>
      </c>
      <c r="BT228">
        <v>110947.74301964859</v>
      </c>
      <c r="BV228">
        <v>110947.74301964859</v>
      </c>
      <c r="BX228">
        <v>110947.74301964859</v>
      </c>
      <c r="BY228">
        <v>110947.74</v>
      </c>
      <c r="BZ228">
        <v>3925331.04</v>
      </c>
      <c r="CA228">
        <v>20000</v>
      </c>
      <c r="CC228">
        <v>20000</v>
      </c>
      <c r="CD228">
        <v>110382.44884115319</v>
      </c>
      <c r="CE228">
        <v>3905331.04</v>
      </c>
      <c r="CF228" t="s">
        <v>38</v>
      </c>
      <c r="CG228">
        <v>22000</v>
      </c>
      <c r="CH228">
        <v>132382.44884115318</v>
      </c>
      <c r="CI228">
        <v>778360</v>
      </c>
      <c r="CJ228">
        <v>4683691.04</v>
      </c>
      <c r="CL228" t="s">
        <v>3441</v>
      </c>
      <c r="CN228">
        <v>0</v>
      </c>
      <c r="CO228" t="s">
        <v>39</v>
      </c>
      <c r="CP228" t="s">
        <v>39</v>
      </c>
      <c r="CQ228" t="b">
        <v>1</v>
      </c>
      <c r="CR228" t="s">
        <v>8950</v>
      </c>
      <c r="CT228" t="s">
        <v>8960</v>
      </c>
      <c r="CU228" t="s">
        <v>8973</v>
      </c>
      <c r="CV228" t="s">
        <v>6096</v>
      </c>
      <c r="CW228" t="s">
        <v>4895</v>
      </c>
      <c r="CX228" t="s">
        <v>3246</v>
      </c>
      <c r="CY228">
        <v>1.1199999999999903</v>
      </c>
      <c r="CZ228">
        <v>148268.34270209027</v>
      </c>
      <c r="DA228">
        <v>4683691.04</v>
      </c>
      <c r="DB228" t="s">
        <v>38</v>
      </c>
      <c r="DC228" t="b">
        <v>1</v>
      </c>
      <c r="DD228">
        <v>4683691.04</v>
      </c>
      <c r="DE228">
        <v>0</v>
      </c>
      <c r="DF228" t="b">
        <v>1</v>
      </c>
      <c r="DG228" s="420" cm="1">
        <f t="array" ref="DG228">_xlfn.XLOOKUP("Дом 4"&amp;Реестр_Д4[[#This Row],[№]]&amp;Реестр_Д4[[#This Row],[Статус]],РД[Дом]&amp;РД[№ кв]&amp;РД[Состояние],РД[Дата подачи на регистрацию],"-",0)</f>
        <v>45260</v>
      </c>
    </row>
    <row r="229" spans="1:111" x14ac:dyDescent="0.25">
      <c r="A229">
        <v>228</v>
      </c>
      <c r="B229" t="s">
        <v>5</v>
      </c>
      <c r="C229">
        <v>15</v>
      </c>
      <c r="D229" t="s">
        <v>45</v>
      </c>
      <c r="E229">
        <v>1</v>
      </c>
      <c r="F229">
        <v>13.45</v>
      </c>
      <c r="I229">
        <v>13.45</v>
      </c>
      <c r="J229">
        <v>12.54</v>
      </c>
      <c r="K229">
        <v>3.69</v>
      </c>
      <c r="N229">
        <v>6.62</v>
      </c>
      <c r="O229">
        <v>3.01</v>
      </c>
      <c r="Q229">
        <v>3.01</v>
      </c>
      <c r="R229">
        <v>39.31</v>
      </c>
      <c r="S229">
        <v>36.299999999999997</v>
      </c>
      <c r="T229">
        <v>37.81</v>
      </c>
      <c r="U229">
        <v>39</v>
      </c>
      <c r="V229">
        <v>72800</v>
      </c>
      <c r="W229">
        <v>3640</v>
      </c>
      <c r="X229">
        <v>76440</v>
      </c>
      <c r="Y229">
        <v>3057.6</v>
      </c>
      <c r="Z229">
        <v>79497.600000000006</v>
      </c>
      <c r="AA229">
        <v>3974.880000000001</v>
      </c>
      <c r="AB229">
        <v>83472.48000000001</v>
      </c>
      <c r="AC229">
        <v>10.267115040000002</v>
      </c>
      <c r="AD229">
        <v>83482.747115040009</v>
      </c>
      <c r="AE229">
        <v>4174.137355752001</v>
      </c>
      <c r="AF229">
        <v>87656.884470792007</v>
      </c>
      <c r="AH229">
        <v>87656.884470792007</v>
      </c>
      <c r="AI229">
        <v>2629.7065341237603</v>
      </c>
      <c r="AJ229">
        <v>90286.591004915783</v>
      </c>
      <c r="AK229">
        <v>902.86591004915772</v>
      </c>
      <c r="AL229">
        <v>91189.456914964932</v>
      </c>
      <c r="AN229">
        <v>91189.456914964932</v>
      </c>
      <c r="AP229">
        <v>91189.456914964932</v>
      </c>
      <c r="AR229">
        <v>91189.456914964932</v>
      </c>
      <c r="AT229">
        <v>91189.456914964932</v>
      </c>
      <c r="AV229">
        <v>91189.456914964932</v>
      </c>
      <c r="AX229">
        <v>91189.456914964932</v>
      </c>
      <c r="AZ229">
        <v>91189.456914964932</v>
      </c>
      <c r="BB229">
        <v>91189.456914964932</v>
      </c>
      <c r="BD229">
        <v>91189.456914964932</v>
      </c>
      <c r="BF229">
        <v>91189.456914964932</v>
      </c>
      <c r="BH229">
        <v>91189.456914964932</v>
      </c>
      <c r="BJ229">
        <v>91189.456914964932</v>
      </c>
      <c r="BL229">
        <v>91189.456914964932</v>
      </c>
      <c r="BN229">
        <v>91189.456914964932</v>
      </c>
      <c r="BP229">
        <v>91189.456914964932</v>
      </c>
      <c r="BR229">
        <v>91189.456914964932</v>
      </c>
      <c r="BT229">
        <v>91189.456914964932</v>
      </c>
      <c r="BV229">
        <v>91189.456914964932</v>
      </c>
      <c r="BX229">
        <v>91189.456914964932</v>
      </c>
      <c r="BY229">
        <v>91189.46</v>
      </c>
      <c r="BZ229">
        <v>3447873.48</v>
      </c>
      <c r="CC229">
        <v>0</v>
      </c>
      <c r="CD229">
        <v>91189.45993123512</v>
      </c>
      <c r="CE229">
        <v>3447873.48</v>
      </c>
      <c r="CF229" t="s">
        <v>38</v>
      </c>
      <c r="CG229">
        <v>15000</v>
      </c>
      <c r="CH229">
        <v>106189.45993123512</v>
      </c>
      <c r="CI229">
        <v>567150</v>
      </c>
      <c r="CJ229">
        <v>4015023.48</v>
      </c>
      <c r="CN229">
        <v>0</v>
      </c>
      <c r="CO229" t="s">
        <v>39</v>
      </c>
      <c r="CP229" t="s">
        <v>39</v>
      </c>
      <c r="CQ229" t="b">
        <v>1</v>
      </c>
      <c r="CR229" t="s">
        <v>8950</v>
      </c>
      <c r="CT229" t="s">
        <v>8960</v>
      </c>
      <c r="CU229" t="s">
        <v>8973</v>
      </c>
      <c r="CV229" t="s">
        <v>6097</v>
      </c>
      <c r="CW229" t="s">
        <v>4895</v>
      </c>
      <c r="CX229" t="s">
        <v>3246</v>
      </c>
      <c r="CY229">
        <v>1.1899999999999975</v>
      </c>
      <c r="CZ229">
        <v>126365.45731816956</v>
      </c>
      <c r="DA229">
        <v>4015023.48</v>
      </c>
      <c r="DB229" t="s">
        <v>38</v>
      </c>
      <c r="DC229" t="b">
        <v>1</v>
      </c>
      <c r="DD229">
        <v>4015023.48</v>
      </c>
      <c r="DE229">
        <v>0</v>
      </c>
      <c r="DF229" t="b">
        <v>1</v>
      </c>
      <c r="DG229" s="420" cm="1">
        <f t="array" ref="DG229">_xlfn.XLOOKUP("Дом 4"&amp;Реестр_Д4[[#This Row],[№]]&amp;Реестр_Д4[[#This Row],[Статус]],РД[Дом]&amp;РД[№ кв]&amp;РД[Состояние],РД[Дата подачи на регистрацию],"-",0)</f>
        <v>45044</v>
      </c>
    </row>
    <row r="230" spans="1:111" x14ac:dyDescent="0.25">
      <c r="A230">
        <v>229</v>
      </c>
      <c r="B230" t="s">
        <v>5</v>
      </c>
      <c r="C230">
        <v>15</v>
      </c>
      <c r="D230" t="s">
        <v>3351</v>
      </c>
      <c r="E230">
        <v>1</v>
      </c>
      <c r="F230">
        <v>12.11</v>
      </c>
      <c r="I230">
        <v>12.11</v>
      </c>
      <c r="J230">
        <v>12.27</v>
      </c>
      <c r="K230">
        <v>3.84</v>
      </c>
      <c r="N230">
        <v>7.06</v>
      </c>
      <c r="O230">
        <v>2.84</v>
      </c>
      <c r="Q230">
        <v>2.84</v>
      </c>
      <c r="R230">
        <v>38.119999999999997</v>
      </c>
      <c r="S230">
        <v>35.28</v>
      </c>
      <c r="T230">
        <v>36.700000000000003</v>
      </c>
      <c r="U230">
        <v>37.900000000000006</v>
      </c>
      <c r="V230">
        <v>72800</v>
      </c>
      <c r="W230">
        <v>3640</v>
      </c>
      <c r="X230">
        <v>76440</v>
      </c>
      <c r="Y230">
        <v>3057.6</v>
      </c>
      <c r="Z230">
        <v>79497.600000000006</v>
      </c>
      <c r="AA230">
        <v>3974.880000000001</v>
      </c>
      <c r="AB230">
        <v>83472.48000000001</v>
      </c>
      <c r="AC230">
        <v>10.267115040000002</v>
      </c>
      <c r="AD230">
        <v>83482.747115040009</v>
      </c>
      <c r="AE230">
        <v>4174.137355752001</v>
      </c>
      <c r="AF230">
        <v>87656.884470792007</v>
      </c>
      <c r="AH230">
        <v>87656.884470792007</v>
      </c>
      <c r="AI230">
        <v>2629.7065341237603</v>
      </c>
      <c r="AJ230">
        <v>90286.591004915783</v>
      </c>
      <c r="AK230">
        <v>902.86591004915772</v>
      </c>
      <c r="AL230">
        <v>91189.456914964932</v>
      </c>
      <c r="AN230">
        <v>91189.456914964932</v>
      </c>
      <c r="AP230">
        <v>91189.456914964932</v>
      </c>
      <c r="AR230">
        <v>91189.456914964932</v>
      </c>
      <c r="AT230">
        <v>91189.456914964932</v>
      </c>
      <c r="AV230">
        <v>91189.456914964932</v>
      </c>
      <c r="AX230">
        <v>91189.456914964932</v>
      </c>
      <c r="AZ230">
        <v>91189.456914964932</v>
      </c>
      <c r="BB230">
        <v>91189.456914964932</v>
      </c>
      <c r="BD230">
        <v>91189.456914964932</v>
      </c>
      <c r="BF230">
        <v>91189.456914964932</v>
      </c>
      <c r="BH230">
        <v>91189.456914964932</v>
      </c>
      <c r="BJ230">
        <v>91189.456914964932</v>
      </c>
      <c r="BL230">
        <v>91189.456914964932</v>
      </c>
      <c r="BN230">
        <v>91189.456914964932</v>
      </c>
      <c r="BP230">
        <v>91189.456914964932</v>
      </c>
      <c r="BR230">
        <v>91189.456914964932</v>
      </c>
      <c r="BT230">
        <v>91189.456914964932</v>
      </c>
      <c r="BV230">
        <v>91189.456914964932</v>
      </c>
      <c r="BX230">
        <v>91189.456914964932</v>
      </c>
      <c r="BY230">
        <v>91189.46</v>
      </c>
      <c r="BZ230">
        <v>3346653.18</v>
      </c>
      <c r="CC230">
        <v>0</v>
      </c>
      <c r="CD230">
        <v>91189.459945504103</v>
      </c>
      <c r="CE230">
        <v>3346653.18</v>
      </c>
      <c r="CF230" t="s">
        <v>37</v>
      </c>
      <c r="CG230">
        <v>4000</v>
      </c>
      <c r="CH230">
        <v>95189.459945504103</v>
      </c>
      <c r="CI230">
        <v>146800</v>
      </c>
      <c r="CJ230">
        <v>3493453.18</v>
      </c>
      <c r="CN230">
        <v>0</v>
      </c>
      <c r="CO230" t="s">
        <v>39</v>
      </c>
      <c r="CP230" t="s">
        <v>39</v>
      </c>
      <c r="CQ230" t="b">
        <v>1</v>
      </c>
      <c r="CR230" t="s">
        <v>8950</v>
      </c>
      <c r="CS230" t="s">
        <v>1167</v>
      </c>
      <c r="CT230" t="s">
        <v>8960</v>
      </c>
      <c r="CU230" t="s">
        <v>8973</v>
      </c>
      <c r="CV230" t="s">
        <v>6098</v>
      </c>
      <c r="CW230" t="s">
        <v>4895</v>
      </c>
      <c r="CX230" t="s">
        <v>3246</v>
      </c>
      <c r="CY230">
        <v>1.2000000000000028</v>
      </c>
      <c r="CZ230">
        <v>114227.35193460518</v>
      </c>
      <c r="DA230">
        <v>3493453.18</v>
      </c>
      <c r="DB230" t="s">
        <v>37</v>
      </c>
      <c r="DC230" t="b">
        <v>1</v>
      </c>
      <c r="DD230">
        <v>3493453.18</v>
      </c>
      <c r="DE230">
        <v>0</v>
      </c>
      <c r="DF230" t="b">
        <v>1</v>
      </c>
      <c r="DG230" s="420" cm="1">
        <f t="array" ref="DG230">_xlfn.XLOOKUP("Дом 4"&amp;Реестр_Д4[[#This Row],[№]]&amp;Реестр_Д4[[#This Row],[Статус]],РД[Дом]&amp;РД[№ кв]&amp;РД[Состояние],РД[Дата подачи на регистрацию],"-",0)</f>
        <v>45056</v>
      </c>
    </row>
    <row r="231" spans="1:111" x14ac:dyDescent="0.25">
      <c r="A231">
        <v>230</v>
      </c>
      <c r="B231" t="s">
        <v>5</v>
      </c>
      <c r="C231">
        <v>15</v>
      </c>
      <c r="D231" t="s">
        <v>3352</v>
      </c>
      <c r="E231">
        <v>1</v>
      </c>
      <c r="F231">
        <v>11.74</v>
      </c>
      <c r="I231">
        <v>11.74</v>
      </c>
      <c r="J231">
        <v>12.47</v>
      </c>
      <c r="K231">
        <v>3.71</v>
      </c>
      <c r="N231">
        <v>7.29</v>
      </c>
      <c r="O231">
        <v>2.89</v>
      </c>
      <c r="Q231">
        <v>2.89</v>
      </c>
      <c r="R231">
        <v>38.1</v>
      </c>
      <c r="S231">
        <v>35.21</v>
      </c>
      <c r="T231">
        <v>36.659999999999997</v>
      </c>
      <c r="U231">
        <v>37.799999999999997</v>
      </c>
      <c r="V231">
        <v>72800</v>
      </c>
      <c r="W231">
        <v>3640</v>
      </c>
      <c r="X231">
        <v>76440</v>
      </c>
      <c r="Y231">
        <v>3057.6</v>
      </c>
      <c r="Z231">
        <v>79497.600000000006</v>
      </c>
      <c r="AA231">
        <v>3974.880000000001</v>
      </c>
      <c r="AB231">
        <v>83472.48000000001</v>
      </c>
      <c r="AC231">
        <v>10.267115040000002</v>
      </c>
      <c r="AD231">
        <v>83482.747115040009</v>
      </c>
      <c r="AE231">
        <v>4174.137355752001</v>
      </c>
      <c r="AF231">
        <v>87656.884470792007</v>
      </c>
      <c r="AH231">
        <v>87656.884470792007</v>
      </c>
      <c r="AI231">
        <v>2629.7065341237603</v>
      </c>
      <c r="AJ231">
        <v>90286.591004915783</v>
      </c>
      <c r="AK231">
        <v>902.86591004915772</v>
      </c>
      <c r="AL231">
        <v>91189.456914964932</v>
      </c>
      <c r="AN231">
        <v>91189.456914964932</v>
      </c>
      <c r="AP231">
        <v>91189.456914964932</v>
      </c>
      <c r="AR231">
        <v>91189.456914964932</v>
      </c>
      <c r="AT231">
        <v>91189.456914964932</v>
      </c>
      <c r="AV231">
        <v>91189.456914964932</v>
      </c>
      <c r="AX231">
        <v>91189.456914964932</v>
      </c>
      <c r="AZ231">
        <v>91189.456914964932</v>
      </c>
      <c r="BB231">
        <v>91189.456914964932</v>
      </c>
      <c r="BD231">
        <v>91189.456914964932</v>
      </c>
      <c r="BF231">
        <v>91189.456914964932</v>
      </c>
      <c r="BH231">
        <v>91189.456914964932</v>
      </c>
      <c r="BJ231">
        <v>91189.456914964932</v>
      </c>
      <c r="BL231">
        <v>91189.456914964932</v>
      </c>
      <c r="BN231">
        <v>91189.456914964932</v>
      </c>
      <c r="BP231">
        <v>91189.456914964932</v>
      </c>
      <c r="BR231">
        <v>91189.456914964932</v>
      </c>
      <c r="BT231">
        <v>91189.456914964932</v>
      </c>
      <c r="BV231">
        <v>91189.456914964932</v>
      </c>
      <c r="BX231">
        <v>91189.456914964932</v>
      </c>
      <c r="BY231">
        <v>91189.46</v>
      </c>
      <c r="BZ231">
        <v>3343005.6</v>
      </c>
      <c r="CC231">
        <v>0</v>
      </c>
      <c r="CD231">
        <v>91189.459901800336</v>
      </c>
      <c r="CE231">
        <v>3343005.6</v>
      </c>
      <c r="CF231" t="s">
        <v>37</v>
      </c>
      <c r="CG231">
        <v>4000</v>
      </c>
      <c r="CH231">
        <v>95189.459901800336</v>
      </c>
      <c r="CI231">
        <v>146640</v>
      </c>
      <c r="CJ231">
        <v>3489645.6</v>
      </c>
      <c r="CN231">
        <v>0</v>
      </c>
      <c r="CO231" t="s">
        <v>39</v>
      </c>
      <c r="CP231" t="s">
        <v>39</v>
      </c>
      <c r="CQ231" t="b">
        <v>1</v>
      </c>
      <c r="CR231" t="s">
        <v>8950</v>
      </c>
      <c r="CT231" t="s">
        <v>8960</v>
      </c>
      <c r="CU231" t="s">
        <v>8973</v>
      </c>
      <c r="CV231" t="s">
        <v>6099</v>
      </c>
      <c r="CW231" t="s">
        <v>4895</v>
      </c>
      <c r="CX231" t="s">
        <v>3246</v>
      </c>
      <c r="CY231">
        <v>1.1400000000000006</v>
      </c>
      <c r="CZ231">
        <v>108515.98428805244</v>
      </c>
      <c r="DA231">
        <v>3489645.6</v>
      </c>
      <c r="DB231" t="s">
        <v>37</v>
      </c>
      <c r="DC231" t="b">
        <v>1</v>
      </c>
      <c r="DD231">
        <v>3489645.6</v>
      </c>
      <c r="DE231">
        <v>0</v>
      </c>
      <c r="DF231" t="b">
        <v>1</v>
      </c>
      <c r="DG231" s="420" cm="1">
        <f t="array" ref="DG231">_xlfn.XLOOKUP("Дом 4"&amp;Реестр_Д4[[#This Row],[№]]&amp;Реестр_Д4[[#This Row],[Статус]],РД[Дом]&amp;РД[№ кв]&amp;РД[Состояние],РД[Дата подачи на регистрацию],"-",0)</f>
        <v>45040</v>
      </c>
    </row>
    <row r="232" spans="1:111" x14ac:dyDescent="0.25">
      <c r="A232">
        <v>231</v>
      </c>
      <c r="B232" t="s">
        <v>5</v>
      </c>
      <c r="C232">
        <v>15</v>
      </c>
      <c r="D232" t="s">
        <v>3353</v>
      </c>
      <c r="E232">
        <v>3</v>
      </c>
      <c r="F232">
        <v>14.79</v>
      </c>
      <c r="G232">
        <v>14.24</v>
      </c>
      <c r="H232">
        <v>13.63</v>
      </c>
      <c r="I232">
        <v>42.66</v>
      </c>
      <c r="J232">
        <v>13.29</v>
      </c>
      <c r="K232">
        <v>4.72</v>
      </c>
      <c r="L232">
        <v>1.66</v>
      </c>
      <c r="M232">
        <v>2.19</v>
      </c>
      <c r="N232">
        <v>11.45</v>
      </c>
      <c r="O232">
        <v>2.73</v>
      </c>
      <c r="P232">
        <v>2.78</v>
      </c>
      <c r="Q232">
        <v>5.51</v>
      </c>
      <c r="R232">
        <v>81.48</v>
      </c>
      <c r="S232">
        <v>75.97</v>
      </c>
      <c r="T232">
        <v>78.73</v>
      </c>
      <c r="U232">
        <v>81.000000000000014</v>
      </c>
      <c r="V232">
        <v>68992.000000000015</v>
      </c>
      <c r="W232">
        <v>3449.6000000000008</v>
      </c>
      <c r="X232">
        <v>72441.60000000002</v>
      </c>
      <c r="Z232">
        <v>72441.60000000002</v>
      </c>
      <c r="AB232">
        <v>72441.60000000002</v>
      </c>
      <c r="AC232">
        <v>8.9103168000000039</v>
      </c>
      <c r="AD232">
        <v>72450.510316800021</v>
      </c>
      <c r="AF232">
        <v>72450.510316800021</v>
      </c>
      <c r="AH232">
        <v>72450.510316800021</v>
      </c>
      <c r="AI232">
        <v>2173.5153095040005</v>
      </c>
      <c r="AJ232">
        <v>74624.025626304021</v>
      </c>
      <c r="AK232">
        <v>746.24025626304035</v>
      </c>
      <c r="AL232">
        <v>75370.265882567066</v>
      </c>
      <c r="AM232">
        <v>1507.4053176513414</v>
      </c>
      <c r="AN232">
        <v>76877.671200218407</v>
      </c>
      <c r="AP232">
        <v>76877.671200218407</v>
      </c>
      <c r="AR232">
        <v>76877.671200218407</v>
      </c>
      <c r="AT232">
        <v>76877.671200218407</v>
      </c>
      <c r="AV232">
        <v>76877.671200218407</v>
      </c>
      <c r="AX232">
        <v>76877.671200218407</v>
      </c>
      <c r="AZ232">
        <v>76877.671200218407</v>
      </c>
      <c r="BB232">
        <v>76877.671200218407</v>
      </c>
      <c r="BD232">
        <v>76877.671200218407</v>
      </c>
      <c r="BF232">
        <v>76877.671200218407</v>
      </c>
      <c r="BH232">
        <v>76877.671200218407</v>
      </c>
      <c r="BJ232">
        <v>76877.671200218407</v>
      </c>
      <c r="BL232">
        <v>76877.671200218407</v>
      </c>
      <c r="BN232">
        <v>76877.671200218407</v>
      </c>
      <c r="BP232">
        <v>76877.671200218407</v>
      </c>
      <c r="BR232">
        <v>76877.671200218407</v>
      </c>
      <c r="BT232">
        <v>76877.671200218407</v>
      </c>
      <c r="BV232">
        <v>76877.671200218407</v>
      </c>
      <c r="BX232">
        <v>76877.671200218407</v>
      </c>
      <c r="BY232">
        <v>76877.67</v>
      </c>
      <c r="BZ232">
        <v>6052578.96</v>
      </c>
      <c r="CB232">
        <v>0.06</v>
      </c>
      <c r="CC232">
        <v>363154.73759999999</v>
      </c>
      <c r="CD232">
        <v>72265.009780261651</v>
      </c>
      <c r="CE232">
        <v>5689424.2199999997</v>
      </c>
      <c r="CF232" t="s">
        <v>36</v>
      </c>
      <c r="CH232">
        <v>72265.009780261651</v>
      </c>
      <c r="CI232">
        <v>0</v>
      </c>
      <c r="CJ232">
        <v>5689424.2199999997</v>
      </c>
      <c r="CL232" t="s">
        <v>978</v>
      </c>
      <c r="CN232">
        <v>0</v>
      </c>
      <c r="CO232" t="s">
        <v>39</v>
      </c>
      <c r="CP232" t="s">
        <v>39</v>
      </c>
      <c r="CQ232" t="b">
        <v>1</v>
      </c>
      <c r="CR232" t="s">
        <v>8950</v>
      </c>
      <c r="CT232" t="s">
        <v>8960</v>
      </c>
      <c r="CU232" t="s">
        <v>8975</v>
      </c>
      <c r="CV232" t="s">
        <v>6100</v>
      </c>
      <c r="CW232" t="s">
        <v>4895</v>
      </c>
      <c r="CX232" t="s">
        <v>3246</v>
      </c>
      <c r="CY232">
        <v>2.2700000000000102</v>
      </c>
      <c r="CZ232">
        <v>164041.57220119468</v>
      </c>
      <c r="DA232">
        <v>5689424.2199999997</v>
      </c>
      <c r="DB232" t="s">
        <v>36</v>
      </c>
      <c r="DC232" t="b">
        <v>1</v>
      </c>
      <c r="DD232">
        <v>5689424.2199999997</v>
      </c>
      <c r="DE232">
        <v>0</v>
      </c>
      <c r="DF232" t="b">
        <v>1</v>
      </c>
      <c r="DG232" s="420" cm="1">
        <f t="array" ref="DG232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233" spans="1:111" x14ac:dyDescent="0.25">
      <c r="A233">
        <v>232</v>
      </c>
      <c r="B233" t="s">
        <v>5</v>
      </c>
      <c r="C233">
        <v>15</v>
      </c>
      <c r="D233" t="s">
        <v>3354</v>
      </c>
      <c r="E233">
        <v>1</v>
      </c>
      <c r="F233">
        <v>14.13</v>
      </c>
      <c r="I233">
        <v>14.13</v>
      </c>
      <c r="J233">
        <v>9.2100000000000009</v>
      </c>
      <c r="K233">
        <v>3.66</v>
      </c>
      <c r="N233">
        <v>5.55</v>
      </c>
      <c r="O233">
        <v>2.48</v>
      </c>
      <c r="Q233">
        <v>2.48</v>
      </c>
      <c r="R233">
        <v>35.03</v>
      </c>
      <c r="S233">
        <v>32.550000000000004</v>
      </c>
      <c r="T233">
        <v>33.79</v>
      </c>
      <c r="U233">
        <v>34.799999999999997</v>
      </c>
      <c r="V233">
        <v>70700</v>
      </c>
      <c r="W233">
        <v>3535</v>
      </c>
      <c r="X233">
        <v>74235</v>
      </c>
      <c r="Y233">
        <v>2969.4</v>
      </c>
      <c r="Z233">
        <v>77204.399999999994</v>
      </c>
      <c r="AA233">
        <v>3860.22</v>
      </c>
      <c r="AB233">
        <v>81064.62</v>
      </c>
      <c r="AC233">
        <v>9.9709482600000001</v>
      </c>
      <c r="AD233">
        <v>81074.590948259996</v>
      </c>
      <c r="AE233">
        <v>4053.7295474130001</v>
      </c>
      <c r="AF233">
        <v>85128.32049567299</v>
      </c>
      <c r="AH233">
        <v>85128.32049567299</v>
      </c>
      <c r="AI233">
        <v>2553.8496148701897</v>
      </c>
      <c r="AJ233">
        <v>87682.170110543186</v>
      </c>
      <c r="AK233">
        <v>2630.4651033162954</v>
      </c>
      <c r="AL233">
        <v>90312.635213859481</v>
      </c>
      <c r="AM233">
        <v>3612.5054085543793</v>
      </c>
      <c r="AN233">
        <v>93925.140622413863</v>
      </c>
      <c r="AO233">
        <v>1878.5028124482776</v>
      </c>
      <c r="AP233">
        <v>95803.643434862141</v>
      </c>
      <c r="AQ233">
        <v>2874.1093030458642</v>
      </c>
      <c r="AR233">
        <v>98677.752737907998</v>
      </c>
      <c r="AT233">
        <v>98677.752737907998</v>
      </c>
      <c r="AU233">
        <v>2960.33258213724</v>
      </c>
      <c r="AV233">
        <v>101638.08532004524</v>
      </c>
      <c r="AW233">
        <v>6098.2851192027138</v>
      </c>
      <c r="AX233">
        <v>107736.37043924796</v>
      </c>
      <c r="AZ233">
        <v>107736.37043924796</v>
      </c>
      <c r="BB233">
        <v>107736.37043924796</v>
      </c>
      <c r="BD233">
        <v>107736.37043924796</v>
      </c>
      <c r="BF233">
        <v>107736.37043924796</v>
      </c>
      <c r="BH233">
        <v>107736.37043924796</v>
      </c>
      <c r="BJ233">
        <v>107736.37043924796</v>
      </c>
      <c r="BL233">
        <v>107736.37043924796</v>
      </c>
      <c r="BN233">
        <v>107736.37043924796</v>
      </c>
      <c r="BP233">
        <v>107736.37043924796</v>
      </c>
      <c r="BR233">
        <v>107736.37043924796</v>
      </c>
      <c r="BT233">
        <v>107736.37043924796</v>
      </c>
      <c r="BV233">
        <v>107736.37043924796</v>
      </c>
      <c r="BX233">
        <v>107736.37043924796</v>
      </c>
      <c r="BY233">
        <v>107736.37</v>
      </c>
      <c r="BZ233">
        <v>3640411.94</v>
      </c>
      <c r="CC233">
        <v>0</v>
      </c>
      <c r="CD233">
        <v>107736.36993193252</v>
      </c>
      <c r="CE233">
        <v>3640411.94</v>
      </c>
      <c r="CF233" t="s">
        <v>37</v>
      </c>
      <c r="CG233">
        <v>4500</v>
      </c>
      <c r="CH233">
        <v>112236.36993193252</v>
      </c>
      <c r="CI233">
        <v>152055</v>
      </c>
      <c r="CJ233">
        <v>3792466.94</v>
      </c>
      <c r="CK233" t="s">
        <v>57</v>
      </c>
      <c r="CN233">
        <v>0</v>
      </c>
      <c r="CO233" t="s">
        <v>39</v>
      </c>
      <c r="CP233" t="s">
        <v>39</v>
      </c>
      <c r="CQ233" t="b">
        <v>1</v>
      </c>
      <c r="CR233" t="s">
        <v>8950</v>
      </c>
      <c r="CT233" t="s">
        <v>8960</v>
      </c>
      <c r="CU233" t="s">
        <v>8973</v>
      </c>
      <c r="CV233" t="s">
        <v>6101</v>
      </c>
      <c r="CW233" t="s">
        <v>4895</v>
      </c>
      <c r="CX233" t="s">
        <v>3246</v>
      </c>
      <c r="CY233">
        <v>1.009999999999998</v>
      </c>
      <c r="CZ233">
        <v>113358.73363125164</v>
      </c>
      <c r="DA233">
        <v>3792466.94</v>
      </c>
      <c r="DB233" t="s">
        <v>37</v>
      </c>
      <c r="DC233" t="b">
        <v>1</v>
      </c>
      <c r="DD233">
        <v>3792466.94</v>
      </c>
      <c r="DE233">
        <v>0</v>
      </c>
      <c r="DF233" t="b">
        <v>1</v>
      </c>
      <c r="DG233" s="420" cm="1">
        <f t="array" ref="DG233">_xlfn.XLOOKUP("Дом 4"&amp;Реестр_Д4[[#This Row],[№]]&amp;Реестр_Д4[[#This Row],[Статус]],РД[Дом]&amp;РД[№ кв]&amp;РД[Состояние],РД[Дата подачи на регистрацию],"-",0)</f>
        <v>45180</v>
      </c>
    </row>
    <row r="234" spans="1:111" x14ac:dyDescent="0.25">
      <c r="A234">
        <v>233</v>
      </c>
      <c r="B234" t="s">
        <v>5</v>
      </c>
      <c r="C234">
        <v>16</v>
      </c>
      <c r="D234" t="s">
        <v>42</v>
      </c>
      <c r="E234">
        <v>0</v>
      </c>
      <c r="F234">
        <v>13.95</v>
      </c>
      <c r="I234">
        <v>13.95</v>
      </c>
      <c r="J234">
        <v>5.77</v>
      </c>
      <c r="K234">
        <v>3.6</v>
      </c>
      <c r="N234">
        <v>3.59</v>
      </c>
      <c r="O234">
        <v>4.12</v>
      </c>
      <c r="Q234">
        <v>4.12</v>
      </c>
      <c r="R234">
        <v>31.03</v>
      </c>
      <c r="S234">
        <v>26.91</v>
      </c>
      <c r="T234">
        <v>28.97</v>
      </c>
      <c r="U234">
        <v>29.499999999999996</v>
      </c>
      <c r="V234">
        <v>75600</v>
      </c>
      <c r="W234">
        <v>3780</v>
      </c>
      <c r="X234">
        <v>79380</v>
      </c>
      <c r="Z234">
        <v>79380</v>
      </c>
      <c r="AB234">
        <v>79380</v>
      </c>
      <c r="AD234">
        <v>79380</v>
      </c>
      <c r="AF234">
        <v>79380</v>
      </c>
      <c r="AH234">
        <v>79380</v>
      </c>
      <c r="AJ234">
        <v>79380</v>
      </c>
      <c r="AL234">
        <v>79380</v>
      </c>
      <c r="AN234">
        <v>79380</v>
      </c>
      <c r="AP234">
        <v>79380</v>
      </c>
      <c r="AR234">
        <v>79380</v>
      </c>
      <c r="AT234">
        <v>79380</v>
      </c>
      <c r="AV234">
        <v>79380</v>
      </c>
      <c r="AX234">
        <v>79380</v>
      </c>
      <c r="AZ234">
        <v>79380</v>
      </c>
      <c r="BB234">
        <v>79380</v>
      </c>
      <c r="BD234">
        <v>79380</v>
      </c>
      <c r="BF234">
        <v>79380</v>
      </c>
      <c r="BH234">
        <v>79380</v>
      </c>
      <c r="BJ234">
        <v>79380</v>
      </c>
      <c r="BL234">
        <v>79380</v>
      </c>
      <c r="BN234">
        <v>79380</v>
      </c>
      <c r="BP234">
        <v>79380</v>
      </c>
      <c r="BR234">
        <v>79380</v>
      </c>
      <c r="BT234">
        <v>79380</v>
      </c>
      <c r="BV234">
        <v>79380</v>
      </c>
      <c r="BX234">
        <v>79380</v>
      </c>
      <c r="BY234">
        <v>79380</v>
      </c>
      <c r="BZ234">
        <v>2299638.6</v>
      </c>
      <c r="CC234">
        <v>0</v>
      </c>
      <c r="CD234">
        <v>79380</v>
      </c>
      <c r="CE234">
        <v>2299638.6</v>
      </c>
      <c r="CF234" t="s">
        <v>36</v>
      </c>
      <c r="CH234">
        <v>79380</v>
      </c>
      <c r="CI234">
        <v>0</v>
      </c>
      <c r="CJ234">
        <v>2299638.6</v>
      </c>
      <c r="CN234">
        <v>0</v>
      </c>
      <c r="CO234" t="s">
        <v>39</v>
      </c>
      <c r="CP234" t="s">
        <v>39</v>
      </c>
      <c r="CQ234" t="b">
        <v>1</v>
      </c>
      <c r="CR234" t="s">
        <v>8950</v>
      </c>
      <c r="CT234" t="s">
        <v>8960</v>
      </c>
      <c r="CU234" t="s">
        <v>8970</v>
      </c>
      <c r="CV234" t="s">
        <v>6102</v>
      </c>
      <c r="CW234" t="s">
        <v>4895</v>
      </c>
      <c r="CX234" t="s">
        <v>3246</v>
      </c>
      <c r="CY234">
        <v>0.52999999999999758</v>
      </c>
      <c r="CZ234">
        <v>42071.399999999805</v>
      </c>
      <c r="DA234">
        <v>2299638.6</v>
      </c>
      <c r="DB234" t="s">
        <v>36</v>
      </c>
      <c r="DC234" t="b">
        <v>1</v>
      </c>
      <c r="DD234">
        <v>2299638.6</v>
      </c>
      <c r="DE234">
        <v>0</v>
      </c>
      <c r="DF234" t="b">
        <v>1</v>
      </c>
      <c r="DG234" s="420" cm="1">
        <f t="array" ref="DG234">_xlfn.XLOOKUP("Дом 4"&amp;Реестр_Д4[[#This Row],[№]]&amp;Реестр_Д4[[#This Row],[Статус]],РД[Дом]&amp;РД[№ кв]&amp;РД[Состояние],РД[Дата подачи на регистрацию],"-",0)</f>
        <v>44844</v>
      </c>
    </row>
    <row r="235" spans="1:111" x14ac:dyDescent="0.25">
      <c r="A235">
        <v>234</v>
      </c>
      <c r="B235" t="s">
        <v>5</v>
      </c>
      <c r="C235">
        <v>16</v>
      </c>
      <c r="D235" t="s">
        <v>43</v>
      </c>
      <c r="E235">
        <v>2</v>
      </c>
      <c r="F235">
        <v>17.54</v>
      </c>
      <c r="G235">
        <v>12.04</v>
      </c>
      <c r="I235">
        <v>29.58</v>
      </c>
      <c r="J235">
        <v>17.010000000000002</v>
      </c>
      <c r="K235">
        <v>3.71</v>
      </c>
      <c r="L235">
        <v>2.64</v>
      </c>
      <c r="N235">
        <v>13.06</v>
      </c>
      <c r="O235">
        <v>2.61</v>
      </c>
      <c r="P235">
        <v>2.88</v>
      </c>
      <c r="Q235">
        <v>5.49</v>
      </c>
      <c r="R235">
        <v>71.489999999999995</v>
      </c>
      <c r="S235">
        <v>66</v>
      </c>
      <c r="T235">
        <v>68.75</v>
      </c>
      <c r="U235">
        <v>70.299999999999983</v>
      </c>
      <c r="V235">
        <v>71971.199999999997</v>
      </c>
      <c r="W235">
        <v>3598.56</v>
      </c>
      <c r="X235">
        <v>75569.759999999995</v>
      </c>
      <c r="Z235">
        <v>75569.759999999995</v>
      </c>
      <c r="AA235">
        <v>3778.4879999999998</v>
      </c>
      <c r="AB235">
        <v>79348.248000000007</v>
      </c>
      <c r="AC235">
        <v>9.7598345040000005</v>
      </c>
      <c r="AD235">
        <v>79358.007834503995</v>
      </c>
      <c r="AF235">
        <v>79358.007834503995</v>
      </c>
      <c r="AH235">
        <v>79358.007834503995</v>
      </c>
      <c r="AI235">
        <v>1587.1601566900799</v>
      </c>
      <c r="AJ235">
        <v>80945.167991194074</v>
      </c>
      <c r="AK235">
        <v>809.4516799119408</v>
      </c>
      <c r="AL235">
        <v>81754.619671106018</v>
      </c>
      <c r="AM235">
        <v>1635.0923934221205</v>
      </c>
      <c r="AN235">
        <v>83389.712064528139</v>
      </c>
      <c r="AP235">
        <v>83389.712064528139</v>
      </c>
      <c r="AQ235">
        <v>2501.6913619358443</v>
      </c>
      <c r="AR235">
        <v>85891.403426463978</v>
      </c>
      <c r="AT235">
        <v>85891.403426463978</v>
      </c>
      <c r="AU235">
        <v>2576.7421027939195</v>
      </c>
      <c r="AV235">
        <v>88468.14552925789</v>
      </c>
      <c r="AX235">
        <v>88468.14552925789</v>
      </c>
      <c r="AZ235">
        <v>88468.14552925789</v>
      </c>
      <c r="BB235">
        <v>88468.14552925789</v>
      </c>
      <c r="BD235">
        <v>88468.14552925789</v>
      </c>
      <c r="BF235">
        <v>88468.14552925789</v>
      </c>
      <c r="BH235">
        <v>88468.14552925789</v>
      </c>
      <c r="BJ235">
        <v>88468.14552925789</v>
      </c>
      <c r="BL235">
        <v>88468.14552925789</v>
      </c>
      <c r="BN235">
        <v>88468.14552925789</v>
      </c>
      <c r="BP235">
        <v>88468.14552925789</v>
      </c>
      <c r="BR235">
        <v>88468.14552925789</v>
      </c>
      <c r="BT235">
        <v>88468.14552925789</v>
      </c>
      <c r="BV235">
        <v>88468.14552925789</v>
      </c>
      <c r="BX235">
        <v>88468.14552925789</v>
      </c>
      <c r="BY235">
        <v>88468.15</v>
      </c>
      <c r="BZ235">
        <v>6082185.3099999996</v>
      </c>
      <c r="CB235">
        <v>0.02</v>
      </c>
      <c r="CC235">
        <v>121643.7062</v>
      </c>
      <c r="CD235">
        <v>86698.786909090908</v>
      </c>
      <c r="CE235">
        <v>5960541.5999999996</v>
      </c>
      <c r="CF235" t="s">
        <v>37</v>
      </c>
      <c r="CG235">
        <v>7500</v>
      </c>
      <c r="CH235">
        <v>94198.786909090908</v>
      </c>
      <c r="CI235">
        <v>515625</v>
      </c>
      <c r="CJ235">
        <v>6476166.5999999996</v>
      </c>
      <c r="CL235" t="s">
        <v>3540</v>
      </c>
      <c r="CN235">
        <v>0</v>
      </c>
      <c r="CO235" t="s">
        <v>39</v>
      </c>
      <c r="CP235" t="s">
        <v>39</v>
      </c>
      <c r="CQ235" t="b">
        <v>1</v>
      </c>
      <c r="CR235" t="s">
        <v>8950</v>
      </c>
      <c r="CT235" t="s">
        <v>8960</v>
      </c>
      <c r="CU235" t="s">
        <v>8971</v>
      </c>
      <c r="CV235" t="s">
        <v>6103</v>
      </c>
      <c r="CW235" t="s">
        <v>4895</v>
      </c>
      <c r="CX235" t="s">
        <v>3246</v>
      </c>
      <c r="CY235">
        <v>1.5499999999999827</v>
      </c>
      <c r="CZ235">
        <v>146008.11970908931</v>
      </c>
      <c r="DA235">
        <v>6476166.5999999996</v>
      </c>
      <c r="DB235" t="s">
        <v>37</v>
      </c>
      <c r="DC235" t="b">
        <v>1</v>
      </c>
      <c r="DD235">
        <v>6476166.5999999996</v>
      </c>
      <c r="DE235">
        <v>0</v>
      </c>
      <c r="DF235" t="b">
        <v>1</v>
      </c>
      <c r="DG235" s="420" cm="1">
        <f t="array" ref="DG235">_xlfn.XLOOKUP("Дом 4"&amp;Реестр_Д4[[#This Row],[№]]&amp;Реестр_Д4[[#This Row],[Статус]],РД[Дом]&amp;РД[№ кв]&amp;РД[Состояние],РД[Дата подачи на регистрацию],"-",0)</f>
        <v>45247</v>
      </c>
    </row>
    <row r="236" spans="1:111" x14ac:dyDescent="0.25">
      <c r="A236">
        <v>235</v>
      </c>
      <c r="B236" t="s">
        <v>5</v>
      </c>
      <c r="C236">
        <v>16</v>
      </c>
      <c r="D236" t="s">
        <v>44</v>
      </c>
      <c r="E236">
        <v>1</v>
      </c>
      <c r="F236">
        <v>13.45</v>
      </c>
      <c r="I236">
        <v>13.45</v>
      </c>
      <c r="J236">
        <v>11.31</v>
      </c>
      <c r="K236">
        <v>3.69</v>
      </c>
      <c r="N236">
        <v>5.63</v>
      </c>
      <c r="O236">
        <v>2.59</v>
      </c>
      <c r="Q236">
        <v>2.59</v>
      </c>
      <c r="R236">
        <v>36.67</v>
      </c>
      <c r="S236">
        <v>34.08</v>
      </c>
      <c r="T236">
        <v>35.380000000000003</v>
      </c>
      <c r="U236">
        <v>36.499999999999993</v>
      </c>
      <c r="V236">
        <v>72100</v>
      </c>
      <c r="W236">
        <v>3605</v>
      </c>
      <c r="X236">
        <v>75705</v>
      </c>
      <c r="Y236">
        <v>3028.2000000000003</v>
      </c>
      <c r="Z236">
        <v>78733.2</v>
      </c>
      <c r="AA236">
        <v>3936.66</v>
      </c>
      <c r="AB236">
        <v>82669.86</v>
      </c>
      <c r="AC236">
        <v>10.16839278</v>
      </c>
      <c r="AD236">
        <v>82680.028392780005</v>
      </c>
      <c r="AE236">
        <v>4134.0014196390002</v>
      </c>
      <c r="AF236">
        <v>86814.029812419001</v>
      </c>
      <c r="AH236">
        <v>86814.029812419001</v>
      </c>
      <c r="AI236">
        <v>2604.4208943725698</v>
      </c>
      <c r="AJ236">
        <v>89418.450706791569</v>
      </c>
      <c r="AL236">
        <v>89418.450706791569</v>
      </c>
      <c r="AN236">
        <v>89418.450706791569</v>
      </c>
      <c r="AP236">
        <v>89418.450706791569</v>
      </c>
      <c r="AR236">
        <v>89418.450706791569</v>
      </c>
      <c r="AT236">
        <v>89418.450706791569</v>
      </c>
      <c r="AV236">
        <v>89418.450706791569</v>
      </c>
      <c r="AX236">
        <v>89418.450706791569</v>
      </c>
      <c r="AZ236">
        <v>89418.450706791569</v>
      </c>
      <c r="BB236">
        <v>89418.450706791569</v>
      </c>
      <c r="BD236">
        <v>89418.450706791569</v>
      </c>
      <c r="BF236">
        <v>89418.450706791569</v>
      </c>
      <c r="BH236">
        <v>89418.450706791569</v>
      </c>
      <c r="BJ236">
        <v>89418.450706791569</v>
      </c>
      <c r="BL236">
        <v>89418.450706791569</v>
      </c>
      <c r="BN236">
        <v>89418.450706791569</v>
      </c>
      <c r="BP236">
        <v>89418.450706791569</v>
      </c>
      <c r="BR236">
        <v>89418.450706791569</v>
      </c>
      <c r="BT236">
        <v>89418.450706791569</v>
      </c>
      <c r="BV236">
        <v>89418.450706791569</v>
      </c>
      <c r="BX236">
        <v>89418.450706791569</v>
      </c>
      <c r="BY236">
        <v>89418.45</v>
      </c>
      <c r="BZ236">
        <v>3163624.76</v>
      </c>
      <c r="CC236">
        <v>0</v>
      </c>
      <c r="CD236">
        <v>89418.449971735434</v>
      </c>
      <c r="CE236">
        <v>3163624.76</v>
      </c>
      <c r="CF236" t="s">
        <v>37</v>
      </c>
      <c r="CG236">
        <v>4000</v>
      </c>
      <c r="CH236">
        <v>93418.449971735434</v>
      </c>
      <c r="CI236">
        <v>141520</v>
      </c>
      <c r="CJ236">
        <v>3305144.76</v>
      </c>
      <c r="CN236">
        <v>0</v>
      </c>
      <c r="CO236" t="s">
        <v>39</v>
      </c>
      <c r="CP236" t="s">
        <v>39</v>
      </c>
      <c r="CQ236" t="b">
        <v>1</v>
      </c>
      <c r="CR236" t="s">
        <v>8950</v>
      </c>
      <c r="CT236" t="s">
        <v>8960</v>
      </c>
      <c r="CU236" t="s">
        <v>8973</v>
      </c>
      <c r="CV236" t="s">
        <v>6104</v>
      </c>
      <c r="CW236" t="s">
        <v>4895</v>
      </c>
      <c r="CX236" t="s">
        <v>3246</v>
      </c>
      <c r="CY236">
        <v>1.1199999999999903</v>
      </c>
      <c r="CZ236">
        <v>104628.66396834278</v>
      </c>
      <c r="DA236">
        <v>3305144.76</v>
      </c>
      <c r="DB236" t="s">
        <v>37</v>
      </c>
      <c r="DC236" t="b">
        <v>1</v>
      </c>
      <c r="DD236">
        <v>3305144.76</v>
      </c>
      <c r="DE236">
        <v>0</v>
      </c>
      <c r="DF236" t="b">
        <v>1</v>
      </c>
      <c r="DG236" s="420" cm="1">
        <f t="array" ref="DG236">_xlfn.XLOOKUP("Дом 4"&amp;Реестр_Д4[[#This Row],[№]]&amp;Реестр_Д4[[#This Row],[Статус]],РД[Дом]&amp;РД[№ кв]&amp;РД[Состояние],РД[Дата подачи на регистрацию],"-",0)</f>
        <v>45005</v>
      </c>
    </row>
    <row r="237" spans="1:111" x14ac:dyDescent="0.25">
      <c r="A237">
        <v>236</v>
      </c>
      <c r="B237" t="s">
        <v>5</v>
      </c>
      <c r="C237">
        <v>16</v>
      </c>
      <c r="D237" t="s">
        <v>45</v>
      </c>
      <c r="E237">
        <v>1</v>
      </c>
      <c r="F237">
        <v>13.45</v>
      </c>
      <c r="I237">
        <v>13.45</v>
      </c>
      <c r="J237">
        <v>12.54</v>
      </c>
      <c r="K237">
        <v>3.69</v>
      </c>
      <c r="N237">
        <v>6.62</v>
      </c>
      <c r="O237">
        <v>3.01</v>
      </c>
      <c r="Q237">
        <v>3.01</v>
      </c>
      <c r="R237">
        <v>39.31</v>
      </c>
      <c r="S237">
        <v>36.299999999999997</v>
      </c>
      <c r="T237">
        <v>37.81</v>
      </c>
      <c r="U237">
        <v>39.200000000000003</v>
      </c>
      <c r="V237">
        <v>72800</v>
      </c>
      <c r="W237">
        <v>3640</v>
      </c>
      <c r="X237">
        <v>76440</v>
      </c>
      <c r="Y237">
        <v>3057.6</v>
      </c>
      <c r="Z237">
        <v>79497.600000000006</v>
      </c>
      <c r="AB237">
        <v>79497.600000000006</v>
      </c>
      <c r="AD237">
        <v>79497.600000000006</v>
      </c>
      <c r="AF237">
        <v>79497.600000000006</v>
      </c>
      <c r="AH237">
        <v>79497.600000000006</v>
      </c>
      <c r="AJ237">
        <v>79497.600000000006</v>
      </c>
      <c r="AL237">
        <v>79497.600000000006</v>
      </c>
      <c r="AN237">
        <v>79497.600000000006</v>
      </c>
      <c r="AP237">
        <v>79497.600000000006</v>
      </c>
      <c r="AR237">
        <v>79497.600000000006</v>
      </c>
      <c r="AT237">
        <v>79497.600000000006</v>
      </c>
      <c r="AV237">
        <v>79497.600000000006</v>
      </c>
      <c r="AX237">
        <v>79497.600000000006</v>
      </c>
      <c r="AZ237">
        <v>79497.600000000006</v>
      </c>
      <c r="BB237">
        <v>79497.600000000006</v>
      </c>
      <c r="BD237">
        <v>79497.600000000006</v>
      </c>
      <c r="BF237">
        <v>79497.600000000006</v>
      </c>
      <c r="BH237">
        <v>79497.600000000006</v>
      </c>
      <c r="BJ237">
        <v>79497.600000000006</v>
      </c>
      <c r="BL237">
        <v>79497.600000000006</v>
      </c>
      <c r="BN237">
        <v>79497.600000000006</v>
      </c>
      <c r="BP237">
        <v>79497.600000000006</v>
      </c>
      <c r="BR237">
        <v>79497.600000000006</v>
      </c>
      <c r="BT237">
        <v>79497.600000000006</v>
      </c>
      <c r="BV237">
        <v>79497.600000000006</v>
      </c>
      <c r="BX237">
        <v>79497.600000000006</v>
      </c>
      <c r="BY237">
        <v>79497.600000000006</v>
      </c>
      <c r="BZ237">
        <v>3005804.26</v>
      </c>
      <c r="CB237">
        <v>0.05</v>
      </c>
      <c r="CC237">
        <v>150290.21299999999</v>
      </c>
      <c r="CD237">
        <v>75522.720179846598</v>
      </c>
      <c r="CE237">
        <v>2855514.05</v>
      </c>
      <c r="CF237" t="s">
        <v>36</v>
      </c>
      <c r="CH237">
        <v>75522.720179846598</v>
      </c>
      <c r="CI237">
        <v>0</v>
      </c>
      <c r="CJ237">
        <v>2855514.05</v>
      </c>
      <c r="CL237" t="s">
        <v>3540</v>
      </c>
      <c r="CN237">
        <v>0</v>
      </c>
      <c r="CO237" t="s">
        <v>39</v>
      </c>
      <c r="CP237" t="s">
        <v>39</v>
      </c>
      <c r="CQ237" t="b">
        <v>1</v>
      </c>
      <c r="CR237" t="s">
        <v>8950</v>
      </c>
      <c r="CT237" t="s">
        <v>8960</v>
      </c>
      <c r="CU237" t="s">
        <v>8973</v>
      </c>
      <c r="CV237" t="s">
        <v>6105</v>
      </c>
      <c r="CW237" t="s">
        <v>4895</v>
      </c>
      <c r="CX237" t="s">
        <v>3246</v>
      </c>
      <c r="CY237">
        <v>1.3900000000000006</v>
      </c>
      <c r="CZ237">
        <v>104976.58104998679</v>
      </c>
      <c r="DA237">
        <v>2855514.05</v>
      </c>
      <c r="DB237" t="s">
        <v>36</v>
      </c>
      <c r="DC237" t="b">
        <v>1</v>
      </c>
      <c r="DD237">
        <v>2855514.05</v>
      </c>
      <c r="DE237">
        <v>0</v>
      </c>
      <c r="DF237" t="b">
        <v>1</v>
      </c>
      <c r="DG237" s="420" cm="1">
        <f t="array" ref="DG237">_xlfn.XLOOKUP("Дом 4"&amp;Реестр_Д4[[#This Row],[№]]&amp;Реестр_Д4[[#This Row],[Статус]],РД[Дом]&amp;РД[№ кв]&amp;РД[Состояние],РД[Дата подачи на регистрацию],"-",0)</f>
        <v>44858</v>
      </c>
    </row>
    <row r="238" spans="1:111" x14ac:dyDescent="0.25">
      <c r="A238">
        <v>237</v>
      </c>
      <c r="B238" t="s">
        <v>5</v>
      </c>
      <c r="C238">
        <v>16</v>
      </c>
      <c r="D238" t="s">
        <v>3351</v>
      </c>
      <c r="E238">
        <v>1</v>
      </c>
      <c r="F238">
        <v>12.11</v>
      </c>
      <c r="I238">
        <v>12.11</v>
      </c>
      <c r="J238">
        <v>12.27</v>
      </c>
      <c r="K238">
        <v>3.84</v>
      </c>
      <c r="N238">
        <v>7.06</v>
      </c>
      <c r="O238">
        <v>2.84</v>
      </c>
      <c r="Q238">
        <v>2.84</v>
      </c>
      <c r="R238">
        <v>38.119999999999997</v>
      </c>
      <c r="S238">
        <v>35.28</v>
      </c>
      <c r="T238">
        <v>36.700000000000003</v>
      </c>
      <c r="U238">
        <v>38</v>
      </c>
      <c r="V238">
        <v>72800</v>
      </c>
      <c r="W238">
        <v>3640</v>
      </c>
      <c r="X238">
        <v>76440</v>
      </c>
      <c r="Y238">
        <v>3057.6</v>
      </c>
      <c r="Z238">
        <v>79497.600000000006</v>
      </c>
      <c r="AA238">
        <v>3974.880000000001</v>
      </c>
      <c r="AB238">
        <v>83472.48000000001</v>
      </c>
      <c r="AC238">
        <v>10.267115040000002</v>
      </c>
      <c r="AD238">
        <v>83482.747115040009</v>
      </c>
      <c r="AE238">
        <v>4174.137355752001</v>
      </c>
      <c r="AF238">
        <v>87656.884470792007</v>
      </c>
      <c r="AH238">
        <v>87656.884470792007</v>
      </c>
      <c r="AJ238">
        <v>87656.884470792007</v>
      </c>
      <c r="AL238">
        <v>87656.884470792007</v>
      </c>
      <c r="AN238">
        <v>87656.884470792007</v>
      </c>
      <c r="AP238">
        <v>87656.884470792007</v>
      </c>
      <c r="AR238">
        <v>87656.884470792007</v>
      </c>
      <c r="AT238">
        <v>87656.884470792007</v>
      </c>
      <c r="AV238">
        <v>87656.884470792007</v>
      </c>
      <c r="AX238">
        <v>87656.884470792007</v>
      </c>
      <c r="AZ238">
        <v>87656.884470792007</v>
      </c>
      <c r="BB238">
        <v>87656.884470792007</v>
      </c>
      <c r="BD238">
        <v>87656.884470792007</v>
      </c>
      <c r="BF238">
        <v>87656.884470792007</v>
      </c>
      <c r="BH238">
        <v>87656.884470792007</v>
      </c>
      <c r="BJ238">
        <v>87656.884470792007</v>
      </c>
      <c r="BL238">
        <v>87656.884470792007</v>
      </c>
      <c r="BN238">
        <v>87656.884470792007</v>
      </c>
      <c r="BP238">
        <v>87656.884470792007</v>
      </c>
      <c r="BR238">
        <v>87656.884470792007</v>
      </c>
      <c r="BT238">
        <v>87656.884470792007</v>
      </c>
      <c r="BV238">
        <v>87656.884470792007</v>
      </c>
      <c r="BX238">
        <v>87656.884470792007</v>
      </c>
      <c r="BY238">
        <v>87656.88</v>
      </c>
      <c r="BZ238">
        <v>3217007.5</v>
      </c>
      <c r="CC238">
        <v>0</v>
      </c>
      <c r="CD238">
        <v>87656.880108991812</v>
      </c>
      <c r="CE238">
        <v>3217007.5</v>
      </c>
      <c r="CF238" t="s">
        <v>36</v>
      </c>
      <c r="CH238">
        <v>87656.880108991812</v>
      </c>
      <c r="CI238">
        <v>0</v>
      </c>
      <c r="CJ238">
        <v>3217007.5</v>
      </c>
      <c r="CN238">
        <v>0</v>
      </c>
      <c r="CO238" t="s">
        <v>39</v>
      </c>
      <c r="CP238" t="s">
        <v>39</v>
      </c>
      <c r="CQ238" t="b">
        <v>1</v>
      </c>
      <c r="CR238" t="s">
        <v>8950</v>
      </c>
      <c r="CT238" t="s">
        <v>8960</v>
      </c>
      <c r="CU238" t="s">
        <v>8973</v>
      </c>
      <c r="CV238" t="s">
        <v>6106</v>
      </c>
      <c r="CW238" t="s">
        <v>4895</v>
      </c>
      <c r="CX238" t="s">
        <v>3246</v>
      </c>
      <c r="CY238">
        <v>1.2999999999999972</v>
      </c>
      <c r="CZ238">
        <v>113953.94414168912</v>
      </c>
      <c r="DA238">
        <v>3217007.5</v>
      </c>
      <c r="DB238" t="s">
        <v>36</v>
      </c>
      <c r="DC238" t="b">
        <v>1</v>
      </c>
      <c r="DD238">
        <v>3217007.5</v>
      </c>
      <c r="DE238">
        <v>0</v>
      </c>
      <c r="DF238" t="b">
        <v>1</v>
      </c>
      <c r="DG238" s="420" cm="1">
        <f t="array" ref="DG238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239" spans="1:111" x14ac:dyDescent="0.25">
      <c r="A239">
        <v>238</v>
      </c>
      <c r="B239" t="s">
        <v>5</v>
      </c>
      <c r="C239">
        <v>16</v>
      </c>
      <c r="D239" t="s">
        <v>3352</v>
      </c>
      <c r="E239">
        <v>1</v>
      </c>
      <c r="F239">
        <v>11.74</v>
      </c>
      <c r="I239">
        <v>11.74</v>
      </c>
      <c r="J239">
        <v>12.47</v>
      </c>
      <c r="K239">
        <v>3.71</v>
      </c>
      <c r="N239">
        <v>7.29</v>
      </c>
      <c r="O239">
        <v>2.89</v>
      </c>
      <c r="Q239">
        <v>2.89</v>
      </c>
      <c r="R239">
        <v>38.1</v>
      </c>
      <c r="S239">
        <v>35.21</v>
      </c>
      <c r="T239">
        <v>36.659999999999997</v>
      </c>
      <c r="U239">
        <v>37.700000000000003</v>
      </c>
      <c r="V239">
        <v>72800</v>
      </c>
      <c r="W239">
        <v>3640</v>
      </c>
      <c r="X239">
        <v>76440</v>
      </c>
      <c r="Y239">
        <v>3057.6</v>
      </c>
      <c r="Z239">
        <v>79497.600000000006</v>
      </c>
      <c r="AA239">
        <v>3974.880000000001</v>
      </c>
      <c r="AB239">
        <v>83472.48000000001</v>
      </c>
      <c r="AC239">
        <v>10.267115040000002</v>
      </c>
      <c r="AD239">
        <v>83482.747115040009</v>
      </c>
      <c r="AE239">
        <v>4174.137355752001</v>
      </c>
      <c r="AF239">
        <v>87656.884470792007</v>
      </c>
      <c r="AH239">
        <v>87656.884470792007</v>
      </c>
      <c r="AJ239">
        <v>87656.884470792007</v>
      </c>
      <c r="AL239">
        <v>87656.884470792007</v>
      </c>
      <c r="AN239">
        <v>87656.884470792007</v>
      </c>
      <c r="AP239">
        <v>87656.884470792007</v>
      </c>
      <c r="AR239">
        <v>87656.884470792007</v>
      </c>
      <c r="AT239">
        <v>87656.884470792007</v>
      </c>
      <c r="AV239">
        <v>87656.884470792007</v>
      </c>
      <c r="AX239">
        <v>87656.884470792007</v>
      </c>
      <c r="AZ239">
        <v>87656.884470792007</v>
      </c>
      <c r="BB239">
        <v>87656.884470792007</v>
      </c>
      <c r="BD239">
        <v>87656.884470792007</v>
      </c>
      <c r="BF239">
        <v>87656.884470792007</v>
      </c>
      <c r="BH239">
        <v>87656.884470792007</v>
      </c>
      <c r="BJ239">
        <v>87656.884470792007</v>
      </c>
      <c r="BL239">
        <v>87656.884470792007</v>
      </c>
      <c r="BN239">
        <v>87656.884470792007</v>
      </c>
      <c r="BP239">
        <v>87656.884470792007</v>
      </c>
      <c r="BR239">
        <v>87656.884470792007</v>
      </c>
      <c r="BT239">
        <v>87656.884470792007</v>
      </c>
      <c r="BV239">
        <v>87656.884470792007</v>
      </c>
      <c r="BX239">
        <v>87656.884470792007</v>
      </c>
      <c r="BY239">
        <v>87656.88</v>
      </c>
      <c r="BZ239">
        <v>3213501.22</v>
      </c>
      <c r="CC239">
        <v>0</v>
      </c>
      <c r="CD239">
        <v>87656.879978177865</v>
      </c>
      <c r="CE239">
        <v>3213501.22</v>
      </c>
      <c r="CF239" t="s">
        <v>37</v>
      </c>
      <c r="CG239">
        <v>4000</v>
      </c>
      <c r="CH239">
        <v>91656.879978177865</v>
      </c>
      <c r="CI239">
        <v>146640</v>
      </c>
      <c r="CJ239">
        <v>3360141.22</v>
      </c>
      <c r="CN239">
        <v>0</v>
      </c>
      <c r="CO239" t="s">
        <v>39</v>
      </c>
      <c r="CP239" t="s">
        <v>39</v>
      </c>
      <c r="CQ239" t="b">
        <v>1</v>
      </c>
      <c r="CR239" t="s">
        <v>8950</v>
      </c>
      <c r="CT239" t="s">
        <v>8960</v>
      </c>
      <c r="CU239" t="s">
        <v>8973</v>
      </c>
      <c r="CV239" t="s">
        <v>6107</v>
      </c>
      <c r="CW239" t="s">
        <v>4895</v>
      </c>
      <c r="CX239" t="s">
        <v>3246</v>
      </c>
      <c r="CY239">
        <v>1.0399999999999991</v>
      </c>
      <c r="CZ239">
        <v>95323.1551773049</v>
      </c>
      <c r="DA239">
        <v>3360141.22</v>
      </c>
      <c r="DB239" t="s">
        <v>37</v>
      </c>
      <c r="DC239" t="b">
        <v>1</v>
      </c>
      <c r="DD239">
        <v>3360141.22</v>
      </c>
      <c r="DE239">
        <v>0</v>
      </c>
      <c r="DF239" t="b">
        <v>1</v>
      </c>
      <c r="DG239" s="420" cm="1">
        <f t="array" ref="DG239">_xlfn.XLOOKUP("Дом 4"&amp;Реестр_Д4[[#This Row],[№]]&amp;Реестр_Д4[[#This Row],[Статус]],РД[Дом]&amp;РД[№ кв]&amp;РД[Состояние],РД[Дата подачи на регистрацию],"-",0)</f>
        <v>44923</v>
      </c>
    </row>
    <row r="240" spans="1:111" x14ac:dyDescent="0.25">
      <c r="A240">
        <v>239</v>
      </c>
      <c r="B240" t="s">
        <v>5</v>
      </c>
      <c r="C240">
        <v>16</v>
      </c>
      <c r="D240" t="s">
        <v>3353</v>
      </c>
      <c r="E240">
        <v>3</v>
      </c>
      <c r="F240">
        <v>14.79</v>
      </c>
      <c r="G240">
        <v>14.24</v>
      </c>
      <c r="H240">
        <v>13.63</v>
      </c>
      <c r="I240">
        <v>42.66</v>
      </c>
      <c r="J240">
        <v>13.29</v>
      </c>
      <c r="K240">
        <v>4.72</v>
      </c>
      <c r="L240">
        <v>1.66</v>
      </c>
      <c r="M240">
        <v>2.19</v>
      </c>
      <c r="N240">
        <v>11.45</v>
      </c>
      <c r="O240">
        <v>2.73</v>
      </c>
      <c r="P240">
        <v>2.78</v>
      </c>
      <c r="Q240">
        <v>5.51</v>
      </c>
      <c r="R240">
        <v>81.48</v>
      </c>
      <c r="S240">
        <v>75.97</v>
      </c>
      <c r="T240">
        <v>78.73</v>
      </c>
      <c r="U240">
        <v>80.899999999999977</v>
      </c>
      <c r="V240">
        <v>68992.000000000015</v>
      </c>
      <c r="W240">
        <v>3449.6000000000008</v>
      </c>
      <c r="X240">
        <v>72441.60000000002</v>
      </c>
      <c r="Z240">
        <v>72441.60000000002</v>
      </c>
      <c r="AB240">
        <v>72441.60000000002</v>
      </c>
      <c r="AC240">
        <v>8.9103168000000039</v>
      </c>
      <c r="AD240">
        <v>72450.510316800021</v>
      </c>
      <c r="AF240">
        <v>72450.510316800021</v>
      </c>
      <c r="AH240">
        <v>72450.510316800021</v>
      </c>
      <c r="AI240">
        <v>2173.5153095040005</v>
      </c>
      <c r="AJ240">
        <v>74624.025626304021</v>
      </c>
      <c r="AK240">
        <v>746.24025626304035</v>
      </c>
      <c r="AL240">
        <v>75370.265882567066</v>
      </c>
      <c r="AM240">
        <v>1507.4053176513414</v>
      </c>
      <c r="AN240">
        <v>76877.671200218407</v>
      </c>
      <c r="AO240">
        <v>2306.330136006552</v>
      </c>
      <c r="AP240">
        <v>79184.001336224959</v>
      </c>
      <c r="AQ240">
        <v>2375.5200400867488</v>
      </c>
      <c r="AR240">
        <v>81559.521376311706</v>
      </c>
      <c r="AS240">
        <v>4077.9760688155857</v>
      </c>
      <c r="AT240">
        <v>85637.497445127286</v>
      </c>
      <c r="AU240">
        <v>2569.1249233538183</v>
      </c>
      <c r="AV240">
        <v>88206.622368481098</v>
      </c>
      <c r="AW240">
        <v>5292.3973421088658</v>
      </c>
      <c r="AX240">
        <v>93499.019710589957</v>
      </c>
      <c r="AY240">
        <v>2804.9705913176986</v>
      </c>
      <c r="AZ240">
        <v>96303.990301907659</v>
      </c>
      <c r="BB240">
        <v>96303.990301907659</v>
      </c>
      <c r="BD240">
        <v>96303.990301907659</v>
      </c>
      <c r="BF240">
        <v>96303.990301907659</v>
      </c>
      <c r="BH240">
        <v>96303.990301907659</v>
      </c>
      <c r="BI240">
        <v>4815.1995150953835</v>
      </c>
      <c r="BJ240">
        <v>101119.18981700305</v>
      </c>
      <c r="BL240">
        <v>101119.18981700305</v>
      </c>
      <c r="BN240">
        <v>101119.18981700305</v>
      </c>
      <c r="BP240">
        <v>101119.18981700305</v>
      </c>
      <c r="BR240">
        <v>101119.18981700305</v>
      </c>
      <c r="BT240">
        <v>101119.18981700305</v>
      </c>
      <c r="BV240">
        <v>101119.18981700305</v>
      </c>
      <c r="BX240">
        <v>101119.18981700305</v>
      </c>
      <c r="BY240">
        <v>101119.19</v>
      </c>
      <c r="BZ240">
        <v>7961200</v>
      </c>
      <c r="CA240">
        <v>189078.5</v>
      </c>
      <c r="CB240">
        <v>0.05</v>
      </c>
      <c r="CC240">
        <v>587138.5</v>
      </c>
      <c r="CD240">
        <v>93662.663533595827</v>
      </c>
      <c r="CE240">
        <v>7374061.5</v>
      </c>
      <c r="CF240" t="s">
        <v>36</v>
      </c>
      <c r="CH240">
        <v>93662.663533595827</v>
      </c>
      <c r="CI240">
        <v>0</v>
      </c>
      <c r="CJ240">
        <v>7374061.5</v>
      </c>
      <c r="CL240" t="s">
        <v>978</v>
      </c>
      <c r="CN240">
        <v>0</v>
      </c>
      <c r="CO240" t="s">
        <v>39</v>
      </c>
      <c r="CP240" t="s">
        <v>39</v>
      </c>
      <c r="CQ240" t="b">
        <v>1</v>
      </c>
      <c r="CR240" t="s">
        <v>8950</v>
      </c>
      <c r="CT240" t="s">
        <v>8960</v>
      </c>
      <c r="CU240" t="s">
        <v>8975</v>
      </c>
      <c r="CV240" t="s">
        <v>6108</v>
      </c>
      <c r="CW240" t="s">
        <v>6652</v>
      </c>
      <c r="CX240" t="s">
        <v>3246</v>
      </c>
      <c r="CY240">
        <v>2.1699999999999875</v>
      </c>
      <c r="CZ240">
        <v>203247.97986790177</v>
      </c>
      <c r="DA240">
        <v>7374061.5</v>
      </c>
      <c r="DB240" t="s">
        <v>36</v>
      </c>
      <c r="DC240" t="b">
        <v>1</v>
      </c>
      <c r="DD240">
        <v>7374061.5</v>
      </c>
      <c r="DE240">
        <v>0</v>
      </c>
      <c r="DF240" t="b">
        <v>1</v>
      </c>
      <c r="DG240" s="420" cm="1">
        <f t="array" ref="DG240">_xlfn.XLOOKUP("Дом 4"&amp;Реестр_Д4[[#This Row],[№]]&amp;Реестр_Д4[[#This Row],[Статус]],РД[Дом]&amp;РД[№ кв]&amp;РД[Состояние],РД[Дата подачи на регистрацию],"-",0)</f>
        <v>45311</v>
      </c>
    </row>
    <row r="241" spans="1:111" x14ac:dyDescent="0.25">
      <c r="A241">
        <v>240</v>
      </c>
      <c r="B241" t="s">
        <v>5</v>
      </c>
      <c r="C241">
        <v>16</v>
      </c>
      <c r="D241" t="s">
        <v>3354</v>
      </c>
      <c r="E241">
        <v>1</v>
      </c>
      <c r="F241">
        <v>14.13</v>
      </c>
      <c r="I241">
        <v>14.13</v>
      </c>
      <c r="J241">
        <v>9.2100000000000009</v>
      </c>
      <c r="K241">
        <v>3.66</v>
      </c>
      <c r="N241">
        <v>5.55</v>
      </c>
      <c r="O241">
        <v>2.48</v>
      </c>
      <c r="Q241">
        <v>2.48</v>
      </c>
      <c r="R241">
        <v>35.03</v>
      </c>
      <c r="S241">
        <v>32.550000000000004</v>
      </c>
      <c r="T241">
        <v>33.79</v>
      </c>
      <c r="U241">
        <v>34.699999999999996</v>
      </c>
      <c r="V241">
        <v>70700</v>
      </c>
      <c r="W241">
        <v>3535</v>
      </c>
      <c r="X241">
        <v>74235</v>
      </c>
      <c r="Y241">
        <v>2969.4</v>
      </c>
      <c r="Z241">
        <v>77204.399999999994</v>
      </c>
      <c r="AA241">
        <v>3860.22</v>
      </c>
      <c r="AB241">
        <v>81064.62</v>
      </c>
      <c r="AD241">
        <v>81064.62</v>
      </c>
      <c r="AF241">
        <v>81064.62</v>
      </c>
      <c r="AH241">
        <v>81064.62</v>
      </c>
      <c r="AJ241">
        <v>81064.62</v>
      </c>
      <c r="AL241">
        <v>81064.62</v>
      </c>
      <c r="AN241">
        <v>81064.62</v>
      </c>
      <c r="AP241">
        <v>81064.62</v>
      </c>
      <c r="AR241">
        <v>81064.62</v>
      </c>
      <c r="AT241">
        <v>81064.62</v>
      </c>
      <c r="AV241">
        <v>81064.62</v>
      </c>
      <c r="AX241">
        <v>81064.62</v>
      </c>
      <c r="AZ241">
        <v>81064.62</v>
      </c>
      <c r="BB241">
        <v>81064.62</v>
      </c>
      <c r="BD241">
        <v>81064.62</v>
      </c>
      <c r="BF241">
        <v>81064.62</v>
      </c>
      <c r="BH241">
        <v>81064.62</v>
      </c>
      <c r="BJ241">
        <v>81064.62</v>
      </c>
      <c r="BL241">
        <v>81064.62</v>
      </c>
      <c r="BN241">
        <v>81064.62</v>
      </c>
      <c r="BP241">
        <v>81064.62</v>
      </c>
      <c r="BR241">
        <v>81064.62</v>
      </c>
      <c r="BT241">
        <v>81064.62</v>
      </c>
      <c r="BV241">
        <v>81064.62</v>
      </c>
      <c r="BX241">
        <v>81064.62</v>
      </c>
      <c r="BY241">
        <v>81064.62</v>
      </c>
      <c r="BZ241">
        <v>2739173.51</v>
      </c>
      <c r="CB241">
        <v>0.05</v>
      </c>
      <c r="CC241">
        <v>136958.67549999998</v>
      </c>
      <c r="CD241">
        <v>77011.388872447467</v>
      </c>
      <c r="CE241">
        <v>2602214.83</v>
      </c>
      <c r="CF241" t="s">
        <v>36</v>
      </c>
      <c r="CH241">
        <v>77011.388872447467</v>
      </c>
      <c r="CI241">
        <v>0</v>
      </c>
      <c r="CJ241">
        <v>2602214.83</v>
      </c>
      <c r="CK241" t="s">
        <v>57</v>
      </c>
      <c r="CL241" t="s">
        <v>3540</v>
      </c>
      <c r="CN241">
        <v>0</v>
      </c>
      <c r="CO241" t="s">
        <v>39</v>
      </c>
      <c r="CP241" t="s">
        <v>39</v>
      </c>
      <c r="CQ241" t="b">
        <v>1</v>
      </c>
      <c r="CR241" t="s">
        <v>8950</v>
      </c>
      <c r="CT241" t="s">
        <v>8960</v>
      </c>
      <c r="CU241" t="s">
        <v>8973</v>
      </c>
      <c r="CV241" t="s">
        <v>6109</v>
      </c>
      <c r="CW241" t="s">
        <v>4895</v>
      </c>
      <c r="CX241" t="s">
        <v>3246</v>
      </c>
      <c r="CY241">
        <v>0.90999999999999659</v>
      </c>
      <c r="CZ241">
        <v>70080.363873926937</v>
      </c>
      <c r="DA241">
        <v>2602214.83</v>
      </c>
      <c r="DB241" t="s">
        <v>36</v>
      </c>
      <c r="DC241" t="b">
        <v>1</v>
      </c>
      <c r="DD241">
        <v>2602214.83</v>
      </c>
      <c r="DE241">
        <v>0</v>
      </c>
      <c r="DF241" t="b">
        <v>1</v>
      </c>
      <c r="DG241" s="420" cm="1">
        <f t="array" ref="DG241">_xlfn.XLOOKUP("Дом 4"&amp;Реестр_Д4[[#This Row],[№]]&amp;Реестр_Д4[[#This Row],[Статус]],РД[Дом]&amp;РД[№ кв]&amp;РД[Состояние],РД[Дата подачи на регистрацию],"-",0)</f>
        <v>44894</v>
      </c>
    </row>
    <row r="242" spans="1:111" x14ac:dyDescent="0.25">
      <c r="A242">
        <v>241</v>
      </c>
      <c r="B242" t="s">
        <v>16</v>
      </c>
      <c r="C242">
        <v>2</v>
      </c>
      <c r="D242" t="s">
        <v>42</v>
      </c>
      <c r="E242">
        <v>0</v>
      </c>
      <c r="F242">
        <v>14.73</v>
      </c>
      <c r="I242">
        <v>14.73</v>
      </c>
      <c r="J242">
        <v>5.74</v>
      </c>
      <c r="K242">
        <v>3.61</v>
      </c>
      <c r="N242">
        <v>3.6</v>
      </c>
      <c r="O242">
        <v>3.34</v>
      </c>
      <c r="Q242">
        <v>3.34</v>
      </c>
      <c r="R242">
        <v>31.02</v>
      </c>
      <c r="S242">
        <v>27.68</v>
      </c>
      <c r="T242">
        <v>29.35</v>
      </c>
      <c r="U242">
        <v>30.3</v>
      </c>
      <c r="V242">
        <v>75600</v>
      </c>
      <c r="W242">
        <v>3780</v>
      </c>
      <c r="X242">
        <v>79380</v>
      </c>
      <c r="Z242">
        <v>79380</v>
      </c>
      <c r="AB242">
        <v>79380</v>
      </c>
      <c r="AC242">
        <v>9.7637400000000003</v>
      </c>
      <c r="AD242">
        <v>79389.763739999995</v>
      </c>
      <c r="AE242">
        <v>3969.4881869999999</v>
      </c>
      <c r="AF242">
        <v>83359.25192699999</v>
      </c>
      <c r="AH242">
        <v>83359.25192699999</v>
      </c>
      <c r="AJ242">
        <v>83359.25192699999</v>
      </c>
      <c r="AK242">
        <v>833.5925192699998</v>
      </c>
      <c r="AL242">
        <v>84192.844446269984</v>
      </c>
      <c r="AM242">
        <v>1683.8568889253995</v>
      </c>
      <c r="AN242">
        <v>85876.701335195379</v>
      </c>
      <c r="AO242">
        <v>4293.8350667597688</v>
      </c>
      <c r="AP242">
        <v>90170.536401955149</v>
      </c>
      <c r="AR242">
        <v>90170.536401955149</v>
      </c>
      <c r="AT242">
        <v>90170.536401955149</v>
      </c>
      <c r="AV242">
        <v>90170.536401955149</v>
      </c>
      <c r="AX242">
        <v>90170.536401955149</v>
      </c>
      <c r="AZ242">
        <v>90170.536401955149</v>
      </c>
      <c r="BB242">
        <v>90170.536401955149</v>
      </c>
      <c r="BD242">
        <v>90170.536401955149</v>
      </c>
      <c r="BF242">
        <v>90170.536401955149</v>
      </c>
      <c r="BH242">
        <v>90170.536401955149</v>
      </c>
      <c r="BJ242">
        <v>90170.536401955149</v>
      </c>
      <c r="BL242">
        <v>90170.536401955149</v>
      </c>
      <c r="BN242">
        <v>90170.536401955149</v>
      </c>
      <c r="BP242">
        <v>90170.536401955149</v>
      </c>
      <c r="BR242">
        <v>90170.536401955149</v>
      </c>
      <c r="BT242">
        <v>90170.536401955149</v>
      </c>
      <c r="BV242">
        <v>90170.536401955149</v>
      </c>
      <c r="BX242">
        <v>90170.536401955149</v>
      </c>
      <c r="BY242">
        <v>90170.54</v>
      </c>
      <c r="BZ242">
        <v>2646505.35</v>
      </c>
      <c r="CC242">
        <v>0</v>
      </c>
      <c r="CD242">
        <v>90170.540034071542</v>
      </c>
      <c r="CE242">
        <v>2646505.35</v>
      </c>
      <c r="CF242" t="s">
        <v>38</v>
      </c>
      <c r="CG242">
        <v>15000</v>
      </c>
      <c r="CH242">
        <v>105170.54003407154</v>
      </c>
      <c r="CI242">
        <v>440250</v>
      </c>
      <c r="CJ242">
        <v>3086755.35</v>
      </c>
      <c r="CN242">
        <v>0</v>
      </c>
      <c r="CO242" t="s">
        <v>39</v>
      </c>
      <c r="CP242" t="s">
        <v>39</v>
      </c>
      <c r="CQ242" t="b">
        <v>1</v>
      </c>
      <c r="CR242" t="s">
        <v>8950</v>
      </c>
      <c r="CT242" t="s">
        <v>8960</v>
      </c>
      <c r="CU242" t="s">
        <v>8970</v>
      </c>
      <c r="CV242" t="s">
        <v>6110</v>
      </c>
      <c r="CW242" t="s">
        <v>4895</v>
      </c>
      <c r="CX242" t="s">
        <v>3246</v>
      </c>
      <c r="CY242">
        <v>0.9499999999999994</v>
      </c>
      <c r="CZ242">
        <v>99912.013032367875</v>
      </c>
      <c r="DA242">
        <v>3086755.35</v>
      </c>
      <c r="DB242" t="s">
        <v>38</v>
      </c>
      <c r="DC242" t="b">
        <v>1</v>
      </c>
      <c r="DD242">
        <v>3086755.35</v>
      </c>
      <c r="DE242">
        <v>0</v>
      </c>
      <c r="DF242" t="b">
        <v>1</v>
      </c>
      <c r="DG242" s="420" cm="1">
        <f t="array" ref="DG242">_xlfn.XLOOKUP("Дом 4"&amp;Реестр_Д4[[#This Row],[№]]&amp;Реестр_Д4[[#This Row],[Статус]],РД[Дом]&amp;РД[№ кв]&amp;РД[Состояние],РД[Дата подачи на регистрацию],"-",0)</f>
        <v>45106</v>
      </c>
    </row>
    <row r="243" spans="1:111" x14ac:dyDescent="0.25">
      <c r="A243">
        <v>242</v>
      </c>
      <c r="B243" t="s">
        <v>16</v>
      </c>
      <c r="C243">
        <v>2</v>
      </c>
      <c r="D243" t="s">
        <v>43</v>
      </c>
      <c r="E243">
        <v>2</v>
      </c>
      <c r="F243">
        <v>17.22</v>
      </c>
      <c r="G243">
        <v>12.24</v>
      </c>
      <c r="I243">
        <v>29.46</v>
      </c>
      <c r="J243">
        <v>17.010000000000002</v>
      </c>
      <c r="K243">
        <v>3.67</v>
      </c>
      <c r="L243">
        <v>2.4</v>
      </c>
      <c r="N243">
        <v>12.71</v>
      </c>
      <c r="O243">
        <v>2.78</v>
      </c>
      <c r="P243">
        <v>2.61</v>
      </c>
      <c r="Q243">
        <v>5.39</v>
      </c>
      <c r="R243">
        <v>70.64</v>
      </c>
      <c r="S243">
        <v>65.25</v>
      </c>
      <c r="T243">
        <v>67.95</v>
      </c>
      <c r="U243">
        <v>69.7</v>
      </c>
      <c r="V243">
        <v>71304.800000000003</v>
      </c>
      <c r="W243">
        <v>3565.24</v>
      </c>
      <c r="X243">
        <v>74870.039999999994</v>
      </c>
      <c r="Z243">
        <v>74870.039999999994</v>
      </c>
      <c r="AA243">
        <v>3743.502</v>
      </c>
      <c r="AB243">
        <v>78613.542000000016</v>
      </c>
      <c r="AC243">
        <v>9.6694656660000025</v>
      </c>
      <c r="AD243">
        <v>78623.211465666012</v>
      </c>
      <c r="AF243">
        <v>78623.211465666012</v>
      </c>
      <c r="AH243">
        <v>78623.211465666012</v>
      </c>
      <c r="AI243">
        <v>1572.4642293133202</v>
      </c>
      <c r="AJ243">
        <v>80195.675694979334</v>
      </c>
      <c r="AK243">
        <v>801.95675694979332</v>
      </c>
      <c r="AL243">
        <v>80997.632451929123</v>
      </c>
      <c r="AM243">
        <v>1619.9526490385824</v>
      </c>
      <c r="AN243">
        <v>82617.585100967699</v>
      </c>
      <c r="AP243">
        <v>82617.585100967699</v>
      </c>
      <c r="AQ243">
        <v>2478.527553029031</v>
      </c>
      <c r="AR243">
        <v>85096.112653996737</v>
      </c>
      <c r="AT243">
        <v>85096.112653996737</v>
      </c>
      <c r="AU243">
        <v>2552.8833796199019</v>
      </c>
      <c r="AV243">
        <v>87648.99603361664</v>
      </c>
      <c r="AX243">
        <v>87648.99603361664</v>
      </c>
      <c r="AZ243">
        <v>87648.99603361664</v>
      </c>
      <c r="BB243">
        <v>87648.99603361664</v>
      </c>
      <c r="BD243">
        <v>87648.99603361664</v>
      </c>
      <c r="BF243">
        <v>87648.99603361664</v>
      </c>
      <c r="BH243">
        <v>87648.99603361664</v>
      </c>
      <c r="BJ243">
        <v>87648.99603361664</v>
      </c>
      <c r="BL243">
        <v>87648.99603361664</v>
      </c>
      <c r="BN243">
        <v>87648.99603361664</v>
      </c>
      <c r="BP243">
        <v>87648.99603361664</v>
      </c>
      <c r="BR243">
        <v>87648.99603361664</v>
      </c>
      <c r="BT243">
        <v>87648.99603361664</v>
      </c>
      <c r="BV243">
        <v>87648.99603361664</v>
      </c>
      <c r="BX243">
        <v>87648.99603361664</v>
      </c>
      <c r="BY243">
        <v>87649</v>
      </c>
      <c r="BZ243">
        <v>5955749.5499999998</v>
      </c>
      <c r="CB243">
        <v>0.02</v>
      </c>
      <c r="CC243">
        <v>119114.99099999999</v>
      </c>
      <c r="CD243">
        <v>85896.020014716691</v>
      </c>
      <c r="CE243">
        <v>5836634.5599999996</v>
      </c>
      <c r="CF243" t="s">
        <v>36</v>
      </c>
      <c r="CH243">
        <v>85896.020014716691</v>
      </c>
      <c r="CI243">
        <v>0</v>
      </c>
      <c r="CJ243">
        <v>5836634.5599999996</v>
      </c>
      <c r="CL243" t="s">
        <v>3540</v>
      </c>
      <c r="CN243">
        <v>0</v>
      </c>
      <c r="CO243" t="s">
        <v>39</v>
      </c>
      <c r="CP243" t="s">
        <v>39</v>
      </c>
      <c r="CQ243" t="b">
        <v>1</v>
      </c>
      <c r="CR243" t="s">
        <v>8950</v>
      </c>
      <c r="CT243" t="s">
        <v>8960</v>
      </c>
      <c r="CU243" t="s">
        <v>8971</v>
      </c>
      <c r="CV243" t="s">
        <v>6111</v>
      </c>
      <c r="CW243" t="s">
        <v>4895</v>
      </c>
      <c r="CX243" t="s">
        <v>3246</v>
      </c>
      <c r="CY243">
        <v>1.75</v>
      </c>
      <c r="CZ243">
        <v>150318.03502575422</v>
      </c>
      <c r="DA243">
        <v>5836634.5599999996</v>
      </c>
      <c r="DB243" t="s">
        <v>36</v>
      </c>
      <c r="DC243" t="b">
        <v>1</v>
      </c>
      <c r="DD243">
        <v>5836634.5599999996</v>
      </c>
      <c r="DE243">
        <v>0</v>
      </c>
      <c r="DF243" t="b">
        <v>1</v>
      </c>
      <c r="DG243" s="420" cm="1">
        <f t="array" ref="DG243">_xlfn.XLOOKUP("Дом 4"&amp;Реестр_Д4[[#This Row],[№]]&amp;Реестр_Д4[[#This Row],[Статус]],РД[Дом]&amp;РД[№ кв]&amp;РД[Состояние],РД[Дата подачи на регистрацию],"-",0)</f>
        <v>45245</v>
      </c>
    </row>
    <row r="244" spans="1:111" x14ac:dyDescent="0.25">
      <c r="A244">
        <v>243</v>
      </c>
      <c r="B244" t="s">
        <v>16</v>
      </c>
      <c r="C244">
        <v>2</v>
      </c>
      <c r="D244" t="s">
        <v>44</v>
      </c>
      <c r="E244">
        <v>0</v>
      </c>
      <c r="F244">
        <v>19.22</v>
      </c>
      <c r="I244">
        <v>19.22</v>
      </c>
      <c r="J244">
        <v>9.57</v>
      </c>
      <c r="K244">
        <v>3.76</v>
      </c>
      <c r="N244">
        <v>2.56</v>
      </c>
      <c r="O244">
        <v>2.68</v>
      </c>
      <c r="Q244">
        <v>2.68</v>
      </c>
      <c r="R244">
        <v>37.79</v>
      </c>
      <c r="S244">
        <v>35.11</v>
      </c>
      <c r="T244">
        <v>36.450000000000003</v>
      </c>
      <c r="U244">
        <v>37.299999999999997</v>
      </c>
      <c r="V244">
        <v>76356</v>
      </c>
      <c r="W244">
        <v>3817.8</v>
      </c>
      <c r="X244">
        <v>80173.8</v>
      </c>
      <c r="Z244">
        <v>80173.8</v>
      </c>
      <c r="AB244">
        <v>80173.8</v>
      </c>
      <c r="AC244">
        <v>9.8613774000000003</v>
      </c>
      <c r="AD244">
        <v>80183.6613774</v>
      </c>
      <c r="AE244">
        <v>4009.1830688700002</v>
      </c>
      <c r="AF244">
        <v>84192.844446269999</v>
      </c>
      <c r="AH244">
        <v>84192.844446269999</v>
      </c>
      <c r="AJ244">
        <v>84192.844446269999</v>
      </c>
      <c r="AK244">
        <v>841.92844446269999</v>
      </c>
      <c r="AL244">
        <v>85034.772890732711</v>
      </c>
      <c r="AM244">
        <v>1700.695457814654</v>
      </c>
      <c r="AN244">
        <v>86735.468348547351</v>
      </c>
      <c r="AO244">
        <v>4336.7734174273673</v>
      </c>
      <c r="AP244">
        <v>91072.241765974715</v>
      </c>
      <c r="AQ244">
        <v>2732.1672529792413</v>
      </c>
      <c r="AR244">
        <v>93804.409018953957</v>
      </c>
      <c r="AS244">
        <v>4690.2204509476978</v>
      </c>
      <c r="AT244">
        <v>98494.629469901658</v>
      </c>
      <c r="AU244">
        <v>2954.8388840970497</v>
      </c>
      <c r="AV244">
        <v>101449.4683539987</v>
      </c>
      <c r="AX244">
        <v>101449.4683539987</v>
      </c>
      <c r="AZ244">
        <v>101449.4683539987</v>
      </c>
      <c r="BB244">
        <v>101449.4683539987</v>
      </c>
      <c r="BD244">
        <v>101449.4683539987</v>
      </c>
      <c r="BF244">
        <v>101449.4683539987</v>
      </c>
      <c r="BH244">
        <v>101449.4683539987</v>
      </c>
      <c r="BJ244">
        <v>101449.4683539987</v>
      </c>
      <c r="BL244">
        <v>101449.4683539987</v>
      </c>
      <c r="BN244">
        <v>101449.4683539987</v>
      </c>
      <c r="BP244">
        <v>101449.4683539987</v>
      </c>
      <c r="BR244">
        <v>101449.4683539987</v>
      </c>
      <c r="BT244">
        <v>101449.4683539987</v>
      </c>
      <c r="BV244">
        <v>101449.4683539987</v>
      </c>
      <c r="BX244">
        <v>101449.4683539987</v>
      </c>
      <c r="BY244">
        <v>101449.47</v>
      </c>
      <c r="BZ244">
        <v>3697833.18</v>
      </c>
      <c r="CC244">
        <v>0</v>
      </c>
      <c r="CD244">
        <v>101449.46995884774</v>
      </c>
      <c r="CE244">
        <v>3697833.18</v>
      </c>
      <c r="CF244" t="s">
        <v>36</v>
      </c>
      <c r="CH244">
        <v>101449.46995884774</v>
      </c>
      <c r="CI244">
        <v>0</v>
      </c>
      <c r="CJ244">
        <v>3697833.18</v>
      </c>
      <c r="CN244">
        <v>0</v>
      </c>
      <c r="CO244" t="s">
        <v>39</v>
      </c>
      <c r="CP244" t="s">
        <v>39</v>
      </c>
      <c r="CQ244" t="b">
        <v>1</v>
      </c>
      <c r="CR244" t="s">
        <v>8950</v>
      </c>
      <c r="CT244" t="s">
        <v>8960</v>
      </c>
      <c r="CU244" t="s">
        <v>8970</v>
      </c>
      <c r="CV244" t="s">
        <v>6112</v>
      </c>
      <c r="CW244" t="s">
        <v>4895</v>
      </c>
      <c r="CX244" t="s">
        <v>3246</v>
      </c>
      <c r="CY244">
        <v>0.8499999999999942</v>
      </c>
      <c r="CZ244">
        <v>86232.049465019998</v>
      </c>
      <c r="DA244">
        <v>3697833.18</v>
      </c>
      <c r="DB244" t="s">
        <v>36</v>
      </c>
      <c r="DC244" t="b">
        <v>1</v>
      </c>
      <c r="DD244">
        <v>3697833.18</v>
      </c>
      <c r="DE244">
        <v>0</v>
      </c>
      <c r="DF244" t="b">
        <v>1</v>
      </c>
      <c r="DG244" s="420" cm="1">
        <f t="array" ref="DG244">_xlfn.XLOOKUP("Дом 4"&amp;Реестр_Д4[[#This Row],[№]]&amp;Реестр_Д4[[#This Row],[Статус]],РД[Дом]&amp;РД[№ кв]&amp;РД[Состояние],РД[Дата подачи на регистрацию],"-",0)</f>
        <v>45257</v>
      </c>
    </row>
    <row r="245" spans="1:111" x14ac:dyDescent="0.25">
      <c r="A245">
        <v>244</v>
      </c>
      <c r="B245" t="s">
        <v>16</v>
      </c>
      <c r="C245">
        <v>2</v>
      </c>
      <c r="D245" t="s">
        <v>45</v>
      </c>
      <c r="E245">
        <v>2</v>
      </c>
      <c r="F245">
        <v>18.12</v>
      </c>
      <c r="G245">
        <v>9.8800000000000008</v>
      </c>
      <c r="I245">
        <v>28</v>
      </c>
      <c r="J245">
        <v>15.3</v>
      </c>
      <c r="K245">
        <v>3.49</v>
      </c>
      <c r="L245">
        <v>2.34</v>
      </c>
      <c r="N245">
        <v>8.1</v>
      </c>
      <c r="O245">
        <v>2.63</v>
      </c>
      <c r="Q245">
        <v>2.63</v>
      </c>
      <c r="R245">
        <v>59.86</v>
      </c>
      <c r="S245">
        <v>57.23</v>
      </c>
      <c r="T245">
        <v>58.55</v>
      </c>
      <c r="U245">
        <v>60.499999999999993</v>
      </c>
      <c r="V245">
        <v>67972.800000000003</v>
      </c>
      <c r="W245">
        <v>3398.6400000000003</v>
      </c>
      <c r="X245">
        <v>71371.44</v>
      </c>
      <c r="Z245">
        <v>71371.44</v>
      </c>
      <c r="AB245">
        <v>71371.44</v>
      </c>
      <c r="AD245">
        <v>71371.44</v>
      </c>
      <c r="AF245">
        <v>71371.44</v>
      </c>
      <c r="AH245">
        <v>71371.44</v>
      </c>
      <c r="AJ245">
        <v>71371.44</v>
      </c>
      <c r="AL245">
        <v>71371.44</v>
      </c>
      <c r="AN245">
        <v>71371.44</v>
      </c>
      <c r="AP245">
        <v>71371.44</v>
      </c>
      <c r="AR245">
        <v>71371.44</v>
      </c>
      <c r="AT245">
        <v>71371.44</v>
      </c>
      <c r="AV245">
        <v>71371.44</v>
      </c>
      <c r="AX245">
        <v>71371.44</v>
      </c>
      <c r="AZ245">
        <v>71371.44</v>
      </c>
      <c r="BB245">
        <v>71371.44</v>
      </c>
      <c r="BD245">
        <v>71371.44</v>
      </c>
      <c r="BF245">
        <v>71371.44</v>
      </c>
      <c r="BH245">
        <v>71371.44</v>
      </c>
      <c r="BJ245">
        <v>71371.44</v>
      </c>
      <c r="BL245">
        <v>71371.44</v>
      </c>
      <c r="BN245">
        <v>71371.44</v>
      </c>
      <c r="BP245">
        <v>71371.44</v>
      </c>
      <c r="BR245">
        <v>71371.44</v>
      </c>
      <c r="BT245">
        <v>71371.44</v>
      </c>
      <c r="BV245">
        <v>71371.44</v>
      </c>
      <c r="BX245">
        <v>71371.44</v>
      </c>
      <c r="BY245">
        <v>71371.44</v>
      </c>
      <c r="BZ245">
        <v>4178797.81</v>
      </c>
      <c r="CC245">
        <v>0</v>
      </c>
      <c r="CD245">
        <v>71371.439965841171</v>
      </c>
      <c r="CE245">
        <v>4178797.81</v>
      </c>
      <c r="CF245" t="s">
        <v>36</v>
      </c>
      <c r="CH245">
        <v>71371.439965841171</v>
      </c>
      <c r="CI245">
        <v>0</v>
      </c>
      <c r="CJ245">
        <v>4178797.81</v>
      </c>
      <c r="CN245">
        <v>0</v>
      </c>
      <c r="CO245" t="s">
        <v>39</v>
      </c>
      <c r="CP245" t="s">
        <v>39</v>
      </c>
      <c r="CQ245" t="b">
        <v>1</v>
      </c>
      <c r="CR245" t="s">
        <v>8950</v>
      </c>
      <c r="CT245" t="s">
        <v>8960</v>
      </c>
      <c r="CU245" t="s">
        <v>8971</v>
      </c>
      <c r="CV245" t="s">
        <v>6113</v>
      </c>
      <c r="CW245" t="s">
        <v>4895</v>
      </c>
      <c r="CX245" t="s">
        <v>3246</v>
      </c>
      <c r="CY245">
        <v>1.9499999999999955</v>
      </c>
      <c r="CZ245">
        <v>139174.30793338997</v>
      </c>
      <c r="DA245">
        <v>4178797.81</v>
      </c>
      <c r="DB245" t="s">
        <v>36</v>
      </c>
      <c r="DC245" t="b">
        <v>1</v>
      </c>
      <c r="DD245">
        <v>4178797.81</v>
      </c>
      <c r="DE245">
        <v>0</v>
      </c>
      <c r="DF245" t="b">
        <v>1</v>
      </c>
      <c r="DG245" s="420" cm="1">
        <f t="array" ref="DG245">_xlfn.XLOOKUP("Дом 4"&amp;Реестр_Д4[[#This Row],[№]]&amp;Реестр_Д4[[#This Row],[Статус]],РД[Дом]&amp;РД[№ кв]&amp;РД[Состояние],РД[Дата подачи на регистрацию],"-",0)</f>
        <v>44860</v>
      </c>
    </row>
    <row r="246" spans="1:111" x14ac:dyDescent="0.25">
      <c r="A246">
        <v>245</v>
      </c>
      <c r="B246" t="s">
        <v>16</v>
      </c>
      <c r="C246">
        <v>2</v>
      </c>
      <c r="D246" t="s">
        <v>3351</v>
      </c>
      <c r="E246">
        <v>2</v>
      </c>
      <c r="F246">
        <v>15.36</v>
      </c>
      <c r="G246">
        <v>9.8699999999999992</v>
      </c>
      <c r="I246">
        <v>25.23</v>
      </c>
      <c r="J246">
        <v>16.260000000000002</v>
      </c>
      <c r="K246">
        <v>3.74</v>
      </c>
      <c r="L246">
        <v>2.09</v>
      </c>
      <c r="N246">
        <v>8.06</v>
      </c>
      <c r="O246">
        <v>2.63</v>
      </c>
      <c r="Q246">
        <v>2.63</v>
      </c>
      <c r="R246">
        <v>58.01</v>
      </c>
      <c r="S246">
        <v>55.379999999999995</v>
      </c>
      <c r="T246">
        <v>56.7</v>
      </c>
      <c r="U246">
        <v>58.399999999999991</v>
      </c>
      <c r="V246">
        <v>67972.800000000003</v>
      </c>
      <c r="W246">
        <v>3398.6400000000003</v>
      </c>
      <c r="X246">
        <v>71371.44</v>
      </c>
      <c r="Z246">
        <v>71371.44</v>
      </c>
      <c r="AA246">
        <v>3568.5720000000001</v>
      </c>
      <c r="AB246">
        <v>74940.012000000002</v>
      </c>
      <c r="AC246">
        <v>9.2176214760000015</v>
      </c>
      <c r="AD246">
        <v>74949.229621475999</v>
      </c>
      <c r="AF246">
        <v>74949.229621475999</v>
      </c>
      <c r="AH246">
        <v>74949.229621475999</v>
      </c>
      <c r="AI246">
        <v>1498.98459242952</v>
      </c>
      <c r="AJ246">
        <v>76448.214213905521</v>
      </c>
      <c r="AK246">
        <v>764.48214213905521</v>
      </c>
      <c r="AL246">
        <v>77212.696356044573</v>
      </c>
      <c r="AN246">
        <v>77212.696356044573</v>
      </c>
      <c r="AP246">
        <v>77212.696356044573</v>
      </c>
      <c r="AR246">
        <v>77212.696356044573</v>
      </c>
      <c r="AT246">
        <v>77212.696356044573</v>
      </c>
      <c r="AV246">
        <v>77212.696356044573</v>
      </c>
      <c r="AX246">
        <v>77212.696356044573</v>
      </c>
      <c r="AZ246">
        <v>77212.696356044573</v>
      </c>
      <c r="BB246">
        <v>77212.696356044573</v>
      </c>
      <c r="BD246">
        <v>77212.696356044573</v>
      </c>
      <c r="BF246">
        <v>77212.696356044573</v>
      </c>
      <c r="BH246">
        <v>77212.696356044573</v>
      </c>
      <c r="BJ246">
        <v>77212.696356044573</v>
      </c>
      <c r="BL246">
        <v>77212.696356044573</v>
      </c>
      <c r="BN246">
        <v>77212.696356044573</v>
      </c>
      <c r="BP246">
        <v>77212.696356044573</v>
      </c>
      <c r="BR246">
        <v>77212.696356044573</v>
      </c>
      <c r="BT246">
        <v>77212.696356044573</v>
      </c>
      <c r="BV246">
        <v>77212.696356044573</v>
      </c>
      <c r="BX246">
        <v>77212.696356044573</v>
      </c>
      <c r="BY246">
        <v>77212.7</v>
      </c>
      <c r="BZ246">
        <v>4377960.09</v>
      </c>
      <c r="CC246">
        <v>0</v>
      </c>
      <c r="CD246">
        <v>77212.7</v>
      </c>
      <c r="CE246">
        <v>4377960.09</v>
      </c>
      <c r="CF246" t="s">
        <v>37</v>
      </c>
      <c r="CG246">
        <v>4000</v>
      </c>
      <c r="CH246">
        <v>81212.7</v>
      </c>
      <c r="CI246">
        <v>226800</v>
      </c>
      <c r="CJ246">
        <v>4604760.09</v>
      </c>
      <c r="CN246">
        <v>0</v>
      </c>
      <c r="CO246" t="s">
        <v>39</v>
      </c>
      <c r="CP246" t="s">
        <v>39</v>
      </c>
      <c r="CQ246" t="b">
        <v>1</v>
      </c>
      <c r="CR246" t="s">
        <v>8950</v>
      </c>
      <c r="CT246" t="s">
        <v>8960</v>
      </c>
      <c r="CU246" t="s">
        <v>8971</v>
      </c>
      <c r="CV246" t="s">
        <v>6114</v>
      </c>
      <c r="CW246" t="s">
        <v>4895</v>
      </c>
      <c r="CX246" t="s">
        <v>3246</v>
      </c>
      <c r="CY246">
        <v>1.6999999999999886</v>
      </c>
      <c r="CZ246">
        <v>138061.58999999909</v>
      </c>
      <c r="DA246">
        <v>4604760.09</v>
      </c>
      <c r="DB246" t="s">
        <v>37</v>
      </c>
      <c r="DC246" t="b">
        <v>1</v>
      </c>
      <c r="DD246">
        <v>4604760.09</v>
      </c>
      <c r="DE246">
        <v>0</v>
      </c>
      <c r="DF246" t="b">
        <v>1</v>
      </c>
      <c r="DG246" s="420" cm="1">
        <f t="array" ref="DG246">_xlfn.XLOOKUP("Дом 4"&amp;Реестр_Д4[[#This Row],[№]]&amp;Реестр_Д4[[#This Row],[Статус]],РД[Дом]&amp;РД[№ кв]&amp;РД[Состояние],РД[Дата подачи на регистрацию],"-",0)</f>
        <v>45037</v>
      </c>
    </row>
    <row r="247" spans="1:111" x14ac:dyDescent="0.25">
      <c r="A247">
        <v>246</v>
      </c>
      <c r="B247" t="s">
        <v>16</v>
      </c>
      <c r="C247">
        <v>2</v>
      </c>
      <c r="D247" t="s">
        <v>3352</v>
      </c>
      <c r="E247">
        <v>2</v>
      </c>
      <c r="F247">
        <v>21.84</v>
      </c>
      <c r="G247">
        <v>13.21</v>
      </c>
      <c r="I247">
        <v>35.049999999999997</v>
      </c>
      <c r="J247">
        <v>12.48</v>
      </c>
      <c r="K247">
        <v>5.53</v>
      </c>
      <c r="L247">
        <v>2.2799999999999998</v>
      </c>
      <c r="N247">
        <v>14.5</v>
      </c>
      <c r="O247">
        <v>4.1399999999999997</v>
      </c>
      <c r="Q247">
        <v>4.1399999999999997</v>
      </c>
      <c r="R247">
        <v>73.98</v>
      </c>
      <c r="S247">
        <v>69.84</v>
      </c>
      <c r="T247">
        <v>71.91</v>
      </c>
      <c r="U247">
        <v>73.8</v>
      </c>
      <c r="V247">
        <v>73304</v>
      </c>
      <c r="W247">
        <v>3665.2</v>
      </c>
      <c r="X247">
        <v>76969.2</v>
      </c>
      <c r="Z247">
        <v>76969.2</v>
      </c>
      <c r="AA247">
        <v>3848.46</v>
      </c>
      <c r="AB247">
        <v>80817.66</v>
      </c>
      <c r="AC247">
        <v>9.940572180000002</v>
      </c>
      <c r="AD247">
        <v>80827.600572180003</v>
      </c>
      <c r="AF247">
        <v>80827.600572180003</v>
      </c>
      <c r="AH247">
        <v>80827.600572180003</v>
      </c>
      <c r="AI247">
        <v>1616.5520114435999</v>
      </c>
      <c r="AJ247">
        <v>82444.152583623596</v>
      </c>
      <c r="AK247">
        <v>824.441525836236</v>
      </c>
      <c r="AL247">
        <v>83268.594109459838</v>
      </c>
      <c r="AM247">
        <v>1665.3718821891969</v>
      </c>
      <c r="AN247">
        <v>84933.965991649035</v>
      </c>
      <c r="AP247">
        <v>84933.965991649035</v>
      </c>
      <c r="AQ247">
        <v>2548.0189797494709</v>
      </c>
      <c r="AR247">
        <v>87481.984971398502</v>
      </c>
      <c r="AT247">
        <v>87481.984971398502</v>
      </c>
      <c r="AU247">
        <v>2624.459549141955</v>
      </c>
      <c r="AV247">
        <v>90106.444520540463</v>
      </c>
      <c r="AX247">
        <v>90106.444520540463</v>
      </c>
      <c r="AZ247">
        <v>90106.444520540463</v>
      </c>
      <c r="BB247">
        <v>90106.444520540463</v>
      </c>
      <c r="BD247">
        <v>90106.444520540463</v>
      </c>
      <c r="BF247">
        <v>90106.444520540463</v>
      </c>
      <c r="BH247">
        <v>90106.444520540463</v>
      </c>
      <c r="BI247">
        <v>4505.3222260270231</v>
      </c>
      <c r="BJ247">
        <v>94611.766746567489</v>
      </c>
      <c r="BK247">
        <v>1000</v>
      </c>
      <c r="BL247">
        <v>95611.766746567489</v>
      </c>
      <c r="BM247">
        <v>1912.2353349313496</v>
      </c>
      <c r="BN247">
        <v>97524.002081498838</v>
      </c>
      <c r="BO247">
        <v>4876.2001040749419</v>
      </c>
      <c r="BP247">
        <v>102400.20218557378</v>
      </c>
      <c r="BQ247">
        <v>500</v>
      </c>
      <c r="BR247">
        <v>102900.20218557378</v>
      </c>
      <c r="BT247">
        <v>102900.20218557378</v>
      </c>
      <c r="BV247">
        <v>102900.20218557378</v>
      </c>
      <c r="BX247">
        <v>102900.20218557378</v>
      </c>
      <c r="BY247">
        <v>102900.2</v>
      </c>
      <c r="BZ247">
        <v>7779205.5999999996</v>
      </c>
      <c r="CA247">
        <v>200000</v>
      </c>
      <c r="CC247">
        <v>200000</v>
      </c>
      <c r="CD247">
        <v>105398.49256014464</v>
      </c>
      <c r="CE247">
        <v>7579205.5999999996</v>
      </c>
      <c r="CF247" t="s">
        <v>36</v>
      </c>
      <c r="CH247">
        <v>105398.49256014464</v>
      </c>
      <c r="CI247">
        <v>0</v>
      </c>
      <c r="CJ247">
        <v>7579205.5999999996</v>
      </c>
      <c r="CK247" t="s">
        <v>4634</v>
      </c>
      <c r="CL247" t="s">
        <v>7756</v>
      </c>
      <c r="CN247">
        <v>0</v>
      </c>
      <c r="CO247" t="s">
        <v>39</v>
      </c>
      <c r="CP247" t="s">
        <v>39</v>
      </c>
      <c r="CQ247" t="b">
        <v>1</v>
      </c>
      <c r="CR247" t="s">
        <v>8950</v>
      </c>
      <c r="CT247" t="s">
        <v>8960</v>
      </c>
      <c r="CU247" t="s">
        <v>8974</v>
      </c>
      <c r="CV247" t="s">
        <v>6115</v>
      </c>
      <c r="CW247" t="s">
        <v>6652</v>
      </c>
      <c r="CX247" t="s">
        <v>3246</v>
      </c>
      <c r="CY247">
        <v>1.8900000000000008</v>
      </c>
      <c r="CZ247">
        <v>199203.15093867341</v>
      </c>
      <c r="DA247">
        <v>7579205.5999999996</v>
      </c>
      <c r="DB247" t="s">
        <v>36</v>
      </c>
      <c r="DC247" t="b">
        <v>1</v>
      </c>
      <c r="DD247">
        <v>7579205.5999999996</v>
      </c>
      <c r="DE247">
        <v>0</v>
      </c>
      <c r="DF247" t="b">
        <v>1</v>
      </c>
      <c r="DG247" s="420" cm="1">
        <f t="array" ref="DG247">_xlfn.XLOOKUP("Дом 4"&amp;Реестр_Д4[[#This Row],[№]]&amp;Реестр_Д4[[#This Row],[Статус]],РД[Дом]&amp;РД[№ кв]&amp;РД[Состояние],РД[Дата подачи на регистрацию],"-",0)</f>
        <v>45565</v>
      </c>
    </row>
    <row r="248" spans="1:111" x14ac:dyDescent="0.25">
      <c r="A248">
        <v>247</v>
      </c>
      <c r="B248" t="s">
        <v>16</v>
      </c>
      <c r="C248">
        <v>2</v>
      </c>
      <c r="D248" t="s">
        <v>3353</v>
      </c>
      <c r="E248">
        <v>1</v>
      </c>
      <c r="F248">
        <v>10.68</v>
      </c>
      <c r="I248">
        <v>10.68</v>
      </c>
      <c r="J248">
        <v>12.75</v>
      </c>
      <c r="K248">
        <v>3.65</v>
      </c>
      <c r="N248">
        <v>5.45</v>
      </c>
      <c r="O248">
        <v>2.62</v>
      </c>
      <c r="Q248">
        <v>2.62</v>
      </c>
      <c r="R248">
        <v>35.15</v>
      </c>
      <c r="S248">
        <v>32.53</v>
      </c>
      <c r="T248">
        <v>33.840000000000003</v>
      </c>
      <c r="U248">
        <v>34.899999999999991</v>
      </c>
      <c r="V248">
        <v>70700</v>
      </c>
      <c r="W248">
        <v>3535</v>
      </c>
      <c r="X248">
        <v>74235</v>
      </c>
      <c r="Y248">
        <v>2969.4</v>
      </c>
      <c r="Z248">
        <v>77204.399999999994</v>
      </c>
      <c r="AA248">
        <v>3860.22</v>
      </c>
      <c r="AB248">
        <v>81064.62</v>
      </c>
      <c r="AC248">
        <v>9.9709482600000001</v>
      </c>
      <c r="AD248">
        <v>81074.590948259996</v>
      </c>
      <c r="AE248">
        <v>4053.7295474130001</v>
      </c>
      <c r="AF248">
        <v>85128.32049567299</v>
      </c>
      <c r="AH248">
        <v>85128.32049567299</v>
      </c>
      <c r="AJ248">
        <v>85128.32049567299</v>
      </c>
      <c r="AL248">
        <v>85128.32049567299</v>
      </c>
      <c r="AN248">
        <v>85128.32049567299</v>
      </c>
      <c r="AP248">
        <v>85128.32049567299</v>
      </c>
      <c r="AR248">
        <v>85128.32049567299</v>
      </c>
      <c r="AT248">
        <v>85128.32049567299</v>
      </c>
      <c r="AV248">
        <v>85128.32049567299</v>
      </c>
      <c r="AX248">
        <v>85128.32049567299</v>
      </c>
      <c r="AZ248">
        <v>85128.32049567299</v>
      </c>
      <c r="BB248">
        <v>85128.32049567299</v>
      </c>
      <c r="BD248">
        <v>85128.32049567299</v>
      </c>
      <c r="BF248">
        <v>85128.32049567299</v>
      </c>
      <c r="BH248">
        <v>85128.32049567299</v>
      </c>
      <c r="BJ248">
        <v>85128.32049567299</v>
      </c>
      <c r="BL248">
        <v>85128.32049567299</v>
      </c>
      <c r="BN248">
        <v>85128.32049567299</v>
      </c>
      <c r="BP248">
        <v>85128.32049567299</v>
      </c>
      <c r="BR248">
        <v>85128.32049567299</v>
      </c>
      <c r="BT248">
        <v>85128.32049567299</v>
      </c>
      <c r="BV248">
        <v>85128.32049567299</v>
      </c>
      <c r="BX248">
        <v>85128.32049567299</v>
      </c>
      <c r="BY248">
        <v>85128.320000000007</v>
      </c>
      <c r="BZ248">
        <v>2880742.35</v>
      </c>
      <c r="CC248">
        <v>0</v>
      </c>
      <c r="CD248">
        <v>85128.320035460987</v>
      </c>
      <c r="CE248">
        <v>2880742.35</v>
      </c>
      <c r="CF248" t="s">
        <v>36</v>
      </c>
      <c r="CH248">
        <v>85128.320035460987</v>
      </c>
      <c r="CI248">
        <v>0</v>
      </c>
      <c r="CJ248">
        <v>2880742.35</v>
      </c>
      <c r="CK248" t="s">
        <v>57</v>
      </c>
      <c r="CN248">
        <v>0</v>
      </c>
      <c r="CO248" t="s">
        <v>39</v>
      </c>
      <c r="CP248" t="s">
        <v>39</v>
      </c>
      <c r="CQ248" t="b">
        <v>1</v>
      </c>
      <c r="CR248" t="s">
        <v>8950</v>
      </c>
      <c r="CT248" t="s">
        <v>8960</v>
      </c>
      <c r="CU248" t="s">
        <v>8973</v>
      </c>
      <c r="CV248" t="s">
        <v>6116</v>
      </c>
      <c r="CW248" t="s">
        <v>4895</v>
      </c>
      <c r="CX248" t="s">
        <v>3246</v>
      </c>
      <c r="CY248">
        <v>1.0599999999999881</v>
      </c>
      <c r="CZ248">
        <v>90236.019237587636</v>
      </c>
      <c r="DA248">
        <v>2880742.35</v>
      </c>
      <c r="DB248" t="s">
        <v>36</v>
      </c>
      <c r="DC248" t="b">
        <v>1</v>
      </c>
      <c r="DD248">
        <v>2880742.35</v>
      </c>
      <c r="DE248">
        <v>0</v>
      </c>
      <c r="DF248" t="b">
        <v>1</v>
      </c>
      <c r="DG248" s="420" cm="1">
        <f t="array" ref="DG248">_xlfn.XLOOKUP("Дом 4"&amp;Реестр_Д4[[#This Row],[№]]&amp;Реестр_Д4[[#This Row],[Статус]],РД[Дом]&amp;РД[№ кв]&amp;РД[Состояние],РД[Дата подачи на регистрацию],"-",0)</f>
        <v>44966</v>
      </c>
    </row>
    <row r="249" spans="1:111" x14ac:dyDescent="0.25">
      <c r="A249">
        <v>248</v>
      </c>
      <c r="B249" t="s">
        <v>16</v>
      </c>
      <c r="C249">
        <v>3</v>
      </c>
      <c r="D249" t="s">
        <v>42</v>
      </c>
      <c r="E249">
        <v>0</v>
      </c>
      <c r="F249">
        <v>14.73</v>
      </c>
      <c r="I249">
        <v>14.73</v>
      </c>
      <c r="J249">
        <v>5.74</v>
      </c>
      <c r="K249">
        <v>3.61</v>
      </c>
      <c r="N249">
        <v>3.6</v>
      </c>
      <c r="O249">
        <v>3.34</v>
      </c>
      <c r="Q249">
        <v>3.34</v>
      </c>
      <c r="R249">
        <v>31.02</v>
      </c>
      <c r="S249">
        <v>27.68</v>
      </c>
      <c r="T249">
        <v>29.35</v>
      </c>
      <c r="U249">
        <v>30.199999999999996</v>
      </c>
      <c r="V249">
        <v>75600</v>
      </c>
      <c r="W249">
        <v>3780</v>
      </c>
      <c r="X249">
        <v>79380</v>
      </c>
      <c r="Z249">
        <v>79380</v>
      </c>
      <c r="AB249">
        <v>79380</v>
      </c>
      <c r="AD249">
        <v>79380</v>
      </c>
      <c r="AF249">
        <v>79380</v>
      </c>
      <c r="AH249">
        <v>79380</v>
      </c>
      <c r="AJ249">
        <v>79380</v>
      </c>
      <c r="AL249">
        <v>79380</v>
      </c>
      <c r="AN249">
        <v>79380</v>
      </c>
      <c r="AP249">
        <v>79380</v>
      </c>
      <c r="AR249">
        <v>79380</v>
      </c>
      <c r="AT249">
        <v>79380</v>
      </c>
      <c r="AV249">
        <v>79380</v>
      </c>
      <c r="AX249">
        <v>79380</v>
      </c>
      <c r="AZ249">
        <v>79380</v>
      </c>
      <c r="BB249">
        <v>79380</v>
      </c>
      <c r="BD249">
        <v>79380</v>
      </c>
      <c r="BF249">
        <v>79380</v>
      </c>
      <c r="BH249">
        <v>79380</v>
      </c>
      <c r="BJ249">
        <v>79380</v>
      </c>
      <c r="BL249">
        <v>79380</v>
      </c>
      <c r="BN249">
        <v>79380</v>
      </c>
      <c r="BP249">
        <v>79380</v>
      </c>
      <c r="BR249">
        <v>79380</v>
      </c>
      <c r="BT249">
        <v>79380</v>
      </c>
      <c r="BV249">
        <v>79380</v>
      </c>
      <c r="BX249">
        <v>79380</v>
      </c>
      <c r="BY249">
        <v>79380</v>
      </c>
      <c r="BZ249">
        <v>2329803</v>
      </c>
      <c r="CC249">
        <v>0</v>
      </c>
      <c r="CD249">
        <v>79380</v>
      </c>
      <c r="CE249">
        <v>2329803</v>
      </c>
      <c r="CF249" t="s">
        <v>36</v>
      </c>
      <c r="CH249">
        <v>79380</v>
      </c>
      <c r="CI249">
        <v>0</v>
      </c>
      <c r="CJ249">
        <v>2329803</v>
      </c>
      <c r="CN249">
        <v>0</v>
      </c>
      <c r="CO249" t="s">
        <v>39</v>
      </c>
      <c r="CP249" t="s">
        <v>39</v>
      </c>
      <c r="CQ249" t="b">
        <v>1</v>
      </c>
      <c r="CR249" t="s">
        <v>8950</v>
      </c>
      <c r="CT249" t="s">
        <v>8960</v>
      </c>
      <c r="CU249" t="s">
        <v>8970</v>
      </c>
      <c r="CV249" t="s">
        <v>6117</v>
      </c>
      <c r="CW249" t="s">
        <v>4895</v>
      </c>
      <c r="CX249" t="s">
        <v>3246</v>
      </c>
      <c r="CY249">
        <v>0.8499999999999942</v>
      </c>
      <c r="CZ249">
        <v>67472.999999999549</v>
      </c>
      <c r="DA249">
        <v>2329803</v>
      </c>
      <c r="DB249" t="s">
        <v>36</v>
      </c>
      <c r="DC249" t="b">
        <v>1</v>
      </c>
      <c r="DD249">
        <v>2329803</v>
      </c>
      <c r="DE249">
        <v>0</v>
      </c>
      <c r="DF249" t="b">
        <v>1</v>
      </c>
      <c r="DG249" s="420" cm="1">
        <f t="array" ref="DG249">_xlfn.XLOOKUP("Дом 4"&amp;Реестр_Д4[[#This Row],[№]]&amp;Реестр_Д4[[#This Row],[Статус]],РД[Дом]&amp;РД[№ кв]&amp;РД[Состояние],РД[Дата подачи на регистрацию],"-",0)</f>
        <v>44802</v>
      </c>
    </row>
    <row r="250" spans="1:111" x14ac:dyDescent="0.25">
      <c r="A250">
        <v>249</v>
      </c>
      <c r="B250" t="s">
        <v>16</v>
      </c>
      <c r="C250">
        <v>3</v>
      </c>
      <c r="D250" t="s">
        <v>43</v>
      </c>
      <c r="E250">
        <v>2</v>
      </c>
      <c r="F250">
        <v>17.22</v>
      </c>
      <c r="G250">
        <v>12.24</v>
      </c>
      <c r="I250">
        <v>29.46</v>
      </c>
      <c r="J250">
        <v>17.010000000000002</v>
      </c>
      <c r="K250">
        <v>3.67</v>
      </c>
      <c r="L250">
        <v>2.4</v>
      </c>
      <c r="N250">
        <v>12.71</v>
      </c>
      <c r="O250">
        <v>2.61</v>
      </c>
      <c r="P250">
        <v>2.78</v>
      </c>
      <c r="Q250">
        <v>5.39</v>
      </c>
      <c r="R250">
        <v>70.64</v>
      </c>
      <c r="S250">
        <v>65.25</v>
      </c>
      <c r="T250">
        <v>67.95</v>
      </c>
      <c r="U250">
        <v>69.5</v>
      </c>
      <c r="V250">
        <v>71304.800000000003</v>
      </c>
      <c r="W250">
        <v>3565.24</v>
      </c>
      <c r="X250">
        <v>74870.039999999994</v>
      </c>
      <c r="Z250">
        <v>74870.039999999994</v>
      </c>
      <c r="AA250">
        <v>3743.502</v>
      </c>
      <c r="AB250">
        <v>78613.542000000016</v>
      </c>
      <c r="AC250">
        <v>9.6694656660000025</v>
      </c>
      <c r="AD250">
        <v>78623.211465666012</v>
      </c>
      <c r="AF250">
        <v>78623.211465666012</v>
      </c>
      <c r="AH250">
        <v>78623.211465666012</v>
      </c>
      <c r="AI250">
        <v>1572.4642293133202</v>
      </c>
      <c r="AJ250">
        <v>80195.675694979334</v>
      </c>
      <c r="AK250">
        <v>801.95675694979332</v>
      </c>
      <c r="AL250">
        <v>80997.632451929123</v>
      </c>
      <c r="AM250">
        <v>1619.9526490385824</v>
      </c>
      <c r="AN250">
        <v>82617.585100967699</v>
      </c>
      <c r="AP250">
        <v>82617.585100967699</v>
      </c>
      <c r="AQ250">
        <v>2478.527553029031</v>
      </c>
      <c r="AR250">
        <v>85096.112653996737</v>
      </c>
      <c r="AT250">
        <v>85096.112653996737</v>
      </c>
      <c r="AU250">
        <v>2552.8833796199019</v>
      </c>
      <c r="AV250">
        <v>87648.99603361664</v>
      </c>
      <c r="AX250">
        <v>87648.99603361664</v>
      </c>
      <c r="AZ250">
        <v>87648.99603361664</v>
      </c>
      <c r="BB250">
        <v>87648.99603361664</v>
      </c>
      <c r="BD250">
        <v>87648.99603361664</v>
      </c>
      <c r="BF250">
        <v>87648.99603361664</v>
      </c>
      <c r="BH250">
        <v>87648.99603361664</v>
      </c>
      <c r="BI250">
        <v>4382.449801680832</v>
      </c>
      <c r="BJ250">
        <v>92031.445835297476</v>
      </c>
      <c r="BL250">
        <v>92031.445835297476</v>
      </c>
      <c r="BN250">
        <v>92031.445835297476</v>
      </c>
      <c r="BP250">
        <v>92031.445835297476</v>
      </c>
      <c r="BR250">
        <v>92031.445835297476</v>
      </c>
      <c r="BT250">
        <v>92031.445835297476</v>
      </c>
      <c r="BV250">
        <v>92031.445835297476</v>
      </c>
      <c r="BX250">
        <v>92031.445835297476</v>
      </c>
      <c r="BY250">
        <v>92031.45</v>
      </c>
      <c r="BZ250">
        <v>6253600</v>
      </c>
      <c r="CA250">
        <v>200000</v>
      </c>
      <c r="CC250">
        <v>200000</v>
      </c>
      <c r="CD250">
        <v>89089.036055923469</v>
      </c>
      <c r="CE250">
        <v>6053600</v>
      </c>
      <c r="CF250" t="s">
        <v>37</v>
      </c>
      <c r="CG250">
        <v>7500</v>
      </c>
      <c r="CH250">
        <v>96589.036055923469</v>
      </c>
      <c r="CI250">
        <v>509625</v>
      </c>
      <c r="CJ250">
        <v>6563225</v>
      </c>
      <c r="CL250" t="s">
        <v>321</v>
      </c>
      <c r="CN250">
        <v>0</v>
      </c>
      <c r="CO250" t="s">
        <v>39</v>
      </c>
      <c r="CP250" t="s">
        <v>39</v>
      </c>
      <c r="CQ250" t="b">
        <v>1</v>
      </c>
      <c r="CR250" t="s">
        <v>8950</v>
      </c>
      <c r="CT250" t="s">
        <v>8960</v>
      </c>
      <c r="CU250" t="s">
        <v>8971</v>
      </c>
      <c r="CV250" t="s">
        <v>6118</v>
      </c>
      <c r="CW250" t="s">
        <v>6652</v>
      </c>
      <c r="CX250" t="s">
        <v>3246</v>
      </c>
      <c r="CY250">
        <v>1.5499999999999972</v>
      </c>
      <c r="CZ250">
        <v>149713.00588668112</v>
      </c>
      <c r="DA250">
        <v>6563225</v>
      </c>
      <c r="DB250" t="s">
        <v>37</v>
      </c>
      <c r="DC250" t="b">
        <v>1</v>
      </c>
      <c r="DD250">
        <v>6563225</v>
      </c>
      <c r="DE250">
        <v>0</v>
      </c>
      <c r="DF250" t="b">
        <v>1</v>
      </c>
      <c r="DG250" s="420" cm="1">
        <f t="array" ref="DG250">_xlfn.XLOOKUP("Дом 4"&amp;Реестр_Д4[[#This Row],[№]]&amp;Реестр_Д4[[#This Row],[Статус]],РД[Дом]&amp;РД[№ кв]&amp;РД[Состояние],РД[Дата подачи на регистрацию],"-",0)</f>
        <v>45315</v>
      </c>
    </row>
    <row r="251" spans="1:111" x14ac:dyDescent="0.25">
      <c r="A251">
        <v>250</v>
      </c>
      <c r="B251" t="s">
        <v>16</v>
      </c>
      <c r="C251">
        <v>3</v>
      </c>
      <c r="D251" t="s">
        <v>44</v>
      </c>
      <c r="E251">
        <v>0</v>
      </c>
      <c r="F251">
        <v>19.22</v>
      </c>
      <c r="I251">
        <v>19.22</v>
      </c>
      <c r="J251">
        <v>9.57</v>
      </c>
      <c r="K251">
        <v>3.76</v>
      </c>
      <c r="N251">
        <v>2.56</v>
      </c>
      <c r="O251">
        <v>2.68</v>
      </c>
      <c r="Q251">
        <v>2.68</v>
      </c>
      <c r="R251">
        <v>37.79</v>
      </c>
      <c r="S251">
        <v>35.11</v>
      </c>
      <c r="T251">
        <v>36.450000000000003</v>
      </c>
      <c r="U251">
        <v>37.4</v>
      </c>
      <c r="V251">
        <v>76356</v>
      </c>
      <c r="W251">
        <v>3817.8</v>
      </c>
      <c r="X251">
        <v>80173.8</v>
      </c>
      <c r="Z251">
        <v>80173.8</v>
      </c>
      <c r="AB251">
        <v>80173.8</v>
      </c>
      <c r="AC251">
        <v>9.8613774000000003</v>
      </c>
      <c r="AD251">
        <v>80183.6613774</v>
      </c>
      <c r="AE251">
        <v>4009.1830688700002</v>
      </c>
      <c r="AF251">
        <v>84192.844446269999</v>
      </c>
      <c r="AH251">
        <v>84192.844446269999</v>
      </c>
      <c r="AJ251">
        <v>84192.844446269999</v>
      </c>
      <c r="AK251">
        <v>841.92844446269999</v>
      </c>
      <c r="AL251">
        <v>85034.772890732711</v>
      </c>
      <c r="AM251">
        <v>1700.695457814654</v>
      </c>
      <c r="AN251">
        <v>86735.468348547351</v>
      </c>
      <c r="AO251">
        <v>4336.7734174273673</v>
      </c>
      <c r="AP251">
        <v>91072.241765974715</v>
      </c>
      <c r="AQ251">
        <v>2732.1672529792413</v>
      </c>
      <c r="AR251">
        <v>93804.409018953957</v>
      </c>
      <c r="AT251">
        <v>93804.409018953957</v>
      </c>
      <c r="AV251">
        <v>93804.409018953957</v>
      </c>
      <c r="AX251">
        <v>93804.409018953957</v>
      </c>
      <c r="AZ251">
        <v>93804.409018953957</v>
      </c>
      <c r="BB251">
        <v>93804.409018953957</v>
      </c>
      <c r="BD251">
        <v>93804.409018953957</v>
      </c>
      <c r="BF251">
        <v>93804.409018953957</v>
      </c>
      <c r="BH251">
        <v>93804.409018953957</v>
      </c>
      <c r="BJ251">
        <v>93804.409018953957</v>
      </c>
      <c r="BL251">
        <v>93804.409018953957</v>
      </c>
      <c r="BN251">
        <v>93804.409018953957</v>
      </c>
      <c r="BP251">
        <v>93804.409018953957</v>
      </c>
      <c r="BR251">
        <v>93804.409018953957</v>
      </c>
      <c r="BT251">
        <v>93804.409018953957</v>
      </c>
      <c r="BV251">
        <v>93804.409018953957</v>
      </c>
      <c r="BX251">
        <v>93804.409018953957</v>
      </c>
      <c r="BY251">
        <v>93804.41</v>
      </c>
      <c r="BZ251">
        <v>3419170.74</v>
      </c>
      <c r="CC251">
        <v>0</v>
      </c>
      <c r="CD251">
        <v>93804.409876543214</v>
      </c>
      <c r="CE251">
        <v>3419170.74</v>
      </c>
      <c r="CF251" t="s">
        <v>38</v>
      </c>
      <c r="CG251">
        <v>15500</v>
      </c>
      <c r="CH251">
        <v>109304.4098765432</v>
      </c>
      <c r="CI251">
        <v>564975</v>
      </c>
      <c r="CJ251">
        <v>3984145.74</v>
      </c>
      <c r="CN251">
        <v>0</v>
      </c>
      <c r="CO251" t="s">
        <v>39</v>
      </c>
      <c r="CP251" t="s">
        <v>39</v>
      </c>
      <c r="CQ251" t="b">
        <v>1</v>
      </c>
      <c r="CR251" t="s">
        <v>8950</v>
      </c>
      <c r="CT251" t="s">
        <v>8960</v>
      </c>
      <c r="CU251" t="s">
        <v>8970</v>
      </c>
      <c r="CV251" t="s">
        <v>6119</v>
      </c>
      <c r="CW251" t="s">
        <v>4895</v>
      </c>
      <c r="CX251" t="s">
        <v>3246</v>
      </c>
      <c r="CY251">
        <v>0.94999999999999563</v>
      </c>
      <c r="CZ251">
        <v>103839.1893827156</v>
      </c>
      <c r="DA251">
        <v>3984145.74</v>
      </c>
      <c r="DB251" t="s">
        <v>38</v>
      </c>
      <c r="DC251" t="b">
        <v>1</v>
      </c>
      <c r="DD251">
        <v>3984145.74</v>
      </c>
      <c r="DE251">
        <v>0</v>
      </c>
      <c r="DF251" t="b">
        <v>1</v>
      </c>
      <c r="DG251" s="420" cm="1">
        <f t="array" ref="DG251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252" spans="1:111" x14ac:dyDescent="0.25">
      <c r="A252">
        <v>251</v>
      </c>
      <c r="B252" t="s">
        <v>16</v>
      </c>
      <c r="C252">
        <v>3</v>
      </c>
      <c r="D252" t="s">
        <v>45</v>
      </c>
      <c r="E252">
        <v>2</v>
      </c>
      <c r="F252">
        <v>18.12</v>
      </c>
      <c r="G252">
        <v>9.8800000000000008</v>
      </c>
      <c r="I252">
        <v>28</v>
      </c>
      <c r="J252">
        <v>15.3</v>
      </c>
      <c r="K252">
        <v>3.49</v>
      </c>
      <c r="L252">
        <v>2.34</v>
      </c>
      <c r="N252">
        <v>8.1</v>
      </c>
      <c r="O252">
        <v>2.63</v>
      </c>
      <c r="Q252">
        <v>2.63</v>
      </c>
      <c r="R252">
        <v>59.86</v>
      </c>
      <c r="S252">
        <v>57.23</v>
      </c>
      <c r="T252">
        <v>58.55</v>
      </c>
      <c r="U252">
        <v>60.400000000000006</v>
      </c>
      <c r="V252">
        <v>67972.800000000003</v>
      </c>
      <c r="W252">
        <v>3398.6400000000003</v>
      </c>
      <c r="X252">
        <v>71371.44</v>
      </c>
      <c r="Z252">
        <v>71371.44</v>
      </c>
      <c r="AA252">
        <v>3568.5720000000001</v>
      </c>
      <c r="AB252">
        <v>74940.012000000002</v>
      </c>
      <c r="AC252">
        <v>9.2176214760000015</v>
      </c>
      <c r="AD252">
        <v>74949.229621475999</v>
      </c>
      <c r="AF252">
        <v>74949.229621475999</v>
      </c>
      <c r="AH252">
        <v>74949.229621475999</v>
      </c>
      <c r="AI252">
        <v>1498.98459242952</v>
      </c>
      <c r="AJ252">
        <v>76448.214213905521</v>
      </c>
      <c r="AK252">
        <v>764.48214213905521</v>
      </c>
      <c r="AL252">
        <v>77212.696356044573</v>
      </c>
      <c r="AM252">
        <v>1544.2539271208916</v>
      </c>
      <c r="AN252">
        <v>78756.950283165468</v>
      </c>
      <c r="AO252">
        <v>2362.708508494964</v>
      </c>
      <c r="AP252">
        <v>81119.658791660433</v>
      </c>
      <c r="AR252">
        <v>81119.658791660433</v>
      </c>
      <c r="AT252">
        <v>81119.658791660433</v>
      </c>
      <c r="AV252">
        <v>81119.658791660433</v>
      </c>
      <c r="AX252">
        <v>81119.658791660433</v>
      </c>
      <c r="AZ252">
        <v>81119.658791660433</v>
      </c>
      <c r="BB252">
        <v>81119.658791660433</v>
      </c>
      <c r="BD252">
        <v>81119.658791660433</v>
      </c>
      <c r="BF252">
        <v>81119.658791660433</v>
      </c>
      <c r="BH252">
        <v>81119.658791660433</v>
      </c>
      <c r="BJ252">
        <v>81119.658791660433</v>
      </c>
      <c r="BL252">
        <v>81119.658791660433</v>
      </c>
      <c r="BN252">
        <v>81119.658791660433</v>
      </c>
      <c r="BP252">
        <v>81119.658791660433</v>
      </c>
      <c r="BR252">
        <v>81119.658791660433</v>
      </c>
      <c r="BT252">
        <v>81119.658791660433</v>
      </c>
      <c r="BV252">
        <v>81119.658791660433</v>
      </c>
      <c r="BX252">
        <v>81119.658791660433</v>
      </c>
      <c r="BY252">
        <v>81119.66</v>
      </c>
      <c r="BZ252">
        <v>4749556.09</v>
      </c>
      <c r="CA252">
        <v>40000</v>
      </c>
      <c r="CC252">
        <v>40000</v>
      </c>
      <c r="CD252">
        <v>80436.483176771988</v>
      </c>
      <c r="CE252">
        <v>4709556.09</v>
      </c>
      <c r="CF252" t="s">
        <v>37</v>
      </c>
      <c r="CG252">
        <v>4000</v>
      </c>
      <c r="CH252">
        <v>84436.483176771988</v>
      </c>
      <c r="CI252">
        <v>234200</v>
      </c>
      <c r="CJ252">
        <v>4943756.09</v>
      </c>
      <c r="CL252" t="s">
        <v>3566</v>
      </c>
      <c r="CN252">
        <v>0</v>
      </c>
      <c r="CO252" t="s">
        <v>39</v>
      </c>
      <c r="CP252" t="s">
        <v>39</v>
      </c>
      <c r="CQ252" t="b">
        <v>1</v>
      </c>
      <c r="CR252" t="s">
        <v>8950</v>
      </c>
      <c r="CT252" t="s">
        <v>8960</v>
      </c>
      <c r="CU252" t="s">
        <v>8971</v>
      </c>
      <c r="CV252" t="s">
        <v>6120</v>
      </c>
      <c r="CW252" t="s">
        <v>4895</v>
      </c>
      <c r="CX252" t="s">
        <v>3246</v>
      </c>
      <c r="CY252">
        <v>1.8500000000000083</v>
      </c>
      <c r="CZ252">
        <v>156207.4938770289</v>
      </c>
      <c r="DA252">
        <v>4943756.09</v>
      </c>
      <c r="DB252" t="s">
        <v>37</v>
      </c>
      <c r="DC252" t="b">
        <v>1</v>
      </c>
      <c r="DD252">
        <v>4943756.09</v>
      </c>
      <c r="DE252">
        <v>0</v>
      </c>
      <c r="DF252" t="b">
        <v>1</v>
      </c>
      <c r="DG252" s="420" cm="1">
        <f t="array" ref="DG252">_xlfn.XLOOKUP("Дом 4"&amp;Реестр_Д4[[#This Row],[№]]&amp;Реестр_Д4[[#This Row],[Статус]],РД[Дом]&amp;РД[№ кв]&amp;РД[Состояние],РД[Дата подачи на регистрацию],"-",0)</f>
        <v>45097</v>
      </c>
    </row>
    <row r="253" spans="1:111" x14ac:dyDescent="0.25">
      <c r="A253">
        <v>252</v>
      </c>
      <c r="B253" t="s">
        <v>16</v>
      </c>
      <c r="C253">
        <v>3</v>
      </c>
      <c r="D253" t="s">
        <v>3351</v>
      </c>
      <c r="E253">
        <v>2</v>
      </c>
      <c r="F253">
        <v>15.36</v>
      </c>
      <c r="G253">
        <v>9.8699999999999992</v>
      </c>
      <c r="I253">
        <v>25.23</v>
      </c>
      <c r="J253">
        <v>16.260000000000002</v>
      </c>
      <c r="K253">
        <v>3.74</v>
      </c>
      <c r="L253">
        <v>2.09</v>
      </c>
      <c r="N253">
        <v>8.06</v>
      </c>
      <c r="O253">
        <v>2.63</v>
      </c>
      <c r="Q253">
        <v>2.63</v>
      </c>
      <c r="R253">
        <v>58.01</v>
      </c>
      <c r="S253">
        <v>55.379999999999995</v>
      </c>
      <c r="T253">
        <v>56.7</v>
      </c>
      <c r="U253">
        <v>58.2</v>
      </c>
      <c r="V253">
        <v>67972.800000000003</v>
      </c>
      <c r="W253">
        <v>3398.6400000000003</v>
      </c>
      <c r="X253">
        <v>71371.44</v>
      </c>
      <c r="Z253">
        <v>71371.44</v>
      </c>
      <c r="AA253">
        <v>3568.5720000000001</v>
      </c>
      <c r="AB253">
        <v>74940.012000000002</v>
      </c>
      <c r="AC253">
        <v>9.2176214760000015</v>
      </c>
      <c r="AD253">
        <v>74949.229621475999</v>
      </c>
      <c r="AF253">
        <v>74949.229621475999</v>
      </c>
      <c r="AH253">
        <v>74949.229621475999</v>
      </c>
      <c r="AI253">
        <v>1498.98459242952</v>
      </c>
      <c r="AJ253">
        <v>76448.214213905521</v>
      </c>
      <c r="AK253">
        <v>764.48214213905521</v>
      </c>
      <c r="AL253">
        <v>77212.696356044573</v>
      </c>
      <c r="AM253">
        <v>1544.2539271208916</v>
      </c>
      <c r="AN253">
        <v>78756.950283165468</v>
      </c>
      <c r="AO253">
        <v>2362.708508494964</v>
      </c>
      <c r="AP253">
        <v>81119.658791660433</v>
      </c>
      <c r="AQ253">
        <v>2433.5897637498128</v>
      </c>
      <c r="AR253">
        <v>83553.248555410246</v>
      </c>
      <c r="AS253">
        <v>4177.6624277705123</v>
      </c>
      <c r="AT253">
        <v>87730.910983180758</v>
      </c>
      <c r="AU253">
        <v>2631.9273294954228</v>
      </c>
      <c r="AV253">
        <v>90362.838312676176</v>
      </c>
      <c r="AX253">
        <v>90362.838312676176</v>
      </c>
      <c r="AZ253">
        <v>90362.838312676176</v>
      </c>
      <c r="BB253">
        <v>90362.838312676176</v>
      </c>
      <c r="BD253">
        <v>90362.838312676176</v>
      </c>
      <c r="BF253">
        <v>90362.838312676176</v>
      </c>
      <c r="BG253">
        <v>2000</v>
      </c>
      <c r="BH253">
        <v>92362.838312676176</v>
      </c>
      <c r="BI253">
        <v>4618.1419156338088</v>
      </c>
      <c r="BJ253">
        <v>96980.980228309985</v>
      </c>
      <c r="BL253">
        <v>96980.980228309985</v>
      </c>
      <c r="BN253">
        <v>96980.980228309985</v>
      </c>
      <c r="BP253">
        <v>96980.980228309985</v>
      </c>
      <c r="BR253">
        <v>96980.980228309985</v>
      </c>
      <c r="BT253">
        <v>96980.980228309985</v>
      </c>
      <c r="BV253">
        <v>96980.980228309985</v>
      </c>
      <c r="BX253">
        <v>96980.980228309985</v>
      </c>
      <c r="BY253">
        <v>96980.98</v>
      </c>
      <c r="BZ253">
        <v>5498900</v>
      </c>
      <c r="CB253">
        <v>0.03</v>
      </c>
      <c r="CC253">
        <v>164967</v>
      </c>
      <c r="CD253">
        <v>94072.892416225746</v>
      </c>
      <c r="CE253">
        <v>5333933</v>
      </c>
      <c r="CF253" t="s">
        <v>38</v>
      </c>
      <c r="CG253">
        <v>22000</v>
      </c>
      <c r="CH253">
        <v>116072.89241622576</v>
      </c>
      <c r="CI253">
        <v>1247400</v>
      </c>
      <c r="CJ253">
        <v>6581333</v>
      </c>
      <c r="CL253" t="s">
        <v>3953</v>
      </c>
      <c r="CN253">
        <v>0</v>
      </c>
      <c r="CO253" t="s">
        <v>39</v>
      </c>
      <c r="CP253" t="s">
        <v>39</v>
      </c>
      <c r="CQ253" t="b">
        <v>1</v>
      </c>
      <c r="CR253" t="s">
        <v>8950</v>
      </c>
      <c r="CT253" t="s">
        <v>8960</v>
      </c>
      <c r="CU253" t="s">
        <v>8971</v>
      </c>
      <c r="CV253" t="s">
        <v>6121</v>
      </c>
      <c r="CW253" t="s">
        <v>6652</v>
      </c>
      <c r="CX253" t="s">
        <v>3246</v>
      </c>
      <c r="CY253">
        <v>1.4999999999999929</v>
      </c>
      <c r="CZ253">
        <v>174109.3386243378</v>
      </c>
      <c r="DA253">
        <v>6581333</v>
      </c>
      <c r="DB253" t="s">
        <v>38</v>
      </c>
      <c r="DC253" t="b">
        <v>1</v>
      </c>
      <c r="DD253">
        <v>6581333</v>
      </c>
      <c r="DE253">
        <v>0</v>
      </c>
      <c r="DF253" t="b">
        <v>1</v>
      </c>
      <c r="DG253" s="420" cm="1">
        <f t="array" ref="DG253">_xlfn.XLOOKUP("Дом 4"&amp;Реестр_Д4[[#This Row],[№]]&amp;Реестр_Д4[[#This Row],[Статус]],РД[Дом]&amp;РД[№ кв]&amp;РД[Состояние],РД[Дата подачи на регистрацию],"-",0)</f>
        <v>45371</v>
      </c>
    </row>
    <row r="254" spans="1:111" x14ac:dyDescent="0.25">
      <c r="A254">
        <v>253</v>
      </c>
      <c r="B254" t="s">
        <v>16</v>
      </c>
      <c r="C254">
        <v>3</v>
      </c>
      <c r="D254" t="s">
        <v>3352</v>
      </c>
      <c r="E254">
        <v>3</v>
      </c>
      <c r="F254">
        <v>16.27</v>
      </c>
      <c r="G254">
        <v>10.96</v>
      </c>
      <c r="H254">
        <v>10.7</v>
      </c>
      <c r="I254">
        <v>37.93</v>
      </c>
      <c r="J254">
        <v>13.42</v>
      </c>
      <c r="K254">
        <v>4.53</v>
      </c>
      <c r="L254">
        <v>2.27</v>
      </c>
      <c r="N254">
        <v>12.94</v>
      </c>
      <c r="O254">
        <v>2.83</v>
      </c>
      <c r="Q254">
        <v>2.83</v>
      </c>
      <c r="R254">
        <v>73.92</v>
      </c>
      <c r="S254">
        <v>71.09</v>
      </c>
      <c r="T254">
        <v>72.510000000000005</v>
      </c>
      <c r="U254">
        <v>74.600000000000023</v>
      </c>
      <c r="V254">
        <v>68364.800000000003</v>
      </c>
      <c r="W254">
        <v>3418.24</v>
      </c>
      <c r="X254">
        <v>71783.040000000008</v>
      </c>
      <c r="Z254">
        <v>71783.040000000008</v>
      </c>
      <c r="AB254">
        <v>71783.040000000008</v>
      </c>
      <c r="AC254">
        <v>8.8293139200000024</v>
      </c>
      <c r="AD254">
        <v>71791.869313920004</v>
      </c>
      <c r="AF254">
        <v>71791.869313920004</v>
      </c>
      <c r="AH254">
        <v>71791.869313920004</v>
      </c>
      <c r="AJ254">
        <v>71791.869313920004</v>
      </c>
      <c r="AL254">
        <v>71791.869313920004</v>
      </c>
      <c r="AN254">
        <v>71791.869313920004</v>
      </c>
      <c r="AP254">
        <v>71791.869313920004</v>
      </c>
      <c r="AR254">
        <v>71791.869313920004</v>
      </c>
      <c r="AT254">
        <v>71791.869313920004</v>
      </c>
      <c r="AV254">
        <v>71791.869313920004</v>
      </c>
      <c r="AX254">
        <v>71791.869313920004</v>
      </c>
      <c r="AZ254">
        <v>71791.869313920004</v>
      </c>
      <c r="BB254">
        <v>71791.869313920004</v>
      </c>
      <c r="BD254">
        <v>71791.869313920004</v>
      </c>
      <c r="BF254">
        <v>71791.869313920004</v>
      </c>
      <c r="BH254">
        <v>71791.869313920004</v>
      </c>
      <c r="BJ254">
        <v>71791.869313920004</v>
      </c>
      <c r="BL254">
        <v>71791.869313920004</v>
      </c>
      <c r="BN254">
        <v>71791.869313920004</v>
      </c>
      <c r="BP254">
        <v>71791.869313920004</v>
      </c>
      <c r="BR254">
        <v>71791.869313920004</v>
      </c>
      <c r="BT254">
        <v>71791.869313920004</v>
      </c>
      <c r="BV254">
        <v>71791.869313920004</v>
      </c>
      <c r="BX254">
        <v>71791.869313920004</v>
      </c>
      <c r="BY254">
        <v>71791.87</v>
      </c>
      <c r="BZ254">
        <v>5205628.49</v>
      </c>
      <c r="CA254">
        <v>260281.44</v>
      </c>
      <c r="CC254">
        <v>260281.44</v>
      </c>
      <c r="CD254">
        <v>68202.279961384629</v>
      </c>
      <c r="CE254">
        <v>4945347.3199999994</v>
      </c>
      <c r="CF254" t="s">
        <v>36</v>
      </c>
      <c r="CH254">
        <v>68202.279961384629</v>
      </c>
      <c r="CI254">
        <v>0</v>
      </c>
      <c r="CJ254">
        <v>4945347.32</v>
      </c>
      <c r="CL254" t="s">
        <v>3540</v>
      </c>
      <c r="CN254">
        <v>0</v>
      </c>
      <c r="CO254" t="s">
        <v>39</v>
      </c>
      <c r="CP254" t="s">
        <v>39</v>
      </c>
      <c r="CQ254" t="b">
        <v>1</v>
      </c>
      <c r="CR254" t="s">
        <v>8950</v>
      </c>
      <c r="CT254" t="s">
        <v>8960</v>
      </c>
      <c r="CU254" t="s">
        <v>8975</v>
      </c>
      <c r="CV254" t="s">
        <v>6122</v>
      </c>
      <c r="CW254" t="s">
        <v>4895</v>
      </c>
      <c r="CX254" t="s">
        <v>3246</v>
      </c>
      <c r="CY254">
        <v>2.0900000000000034</v>
      </c>
      <c r="CZ254">
        <v>142542.76511929411</v>
      </c>
      <c r="DA254">
        <v>4945347.32</v>
      </c>
      <c r="DB254" t="s">
        <v>36</v>
      </c>
      <c r="DC254" t="b">
        <v>1</v>
      </c>
      <c r="DD254">
        <v>4945347.32</v>
      </c>
      <c r="DE254">
        <v>0</v>
      </c>
      <c r="DF254" t="b">
        <v>1</v>
      </c>
      <c r="DG254" s="420" cm="1">
        <f t="array" ref="DG254">_xlfn.XLOOKUP("Дом 4"&amp;Реестр_Д4[[#This Row],[№]]&amp;Реестр_Д4[[#This Row],[Статус]],РД[Дом]&amp;РД[№ кв]&amp;РД[Состояние],РД[Дата подачи на регистрацию],"-",0)</f>
        <v>44984</v>
      </c>
    </row>
    <row r="255" spans="1:111" x14ac:dyDescent="0.25">
      <c r="A255">
        <v>254</v>
      </c>
      <c r="B255" t="s">
        <v>16</v>
      </c>
      <c r="C255">
        <v>3</v>
      </c>
      <c r="D255" t="s">
        <v>3353</v>
      </c>
      <c r="E255">
        <v>1</v>
      </c>
      <c r="F255">
        <v>10.68</v>
      </c>
      <c r="I255">
        <v>10.68</v>
      </c>
      <c r="J255">
        <v>12.75</v>
      </c>
      <c r="K255">
        <v>3.65</v>
      </c>
      <c r="N255">
        <v>5.45</v>
      </c>
      <c r="O255">
        <v>2.62</v>
      </c>
      <c r="Q255">
        <v>2.62</v>
      </c>
      <c r="R255">
        <v>35.15</v>
      </c>
      <c r="S255">
        <v>32.53</v>
      </c>
      <c r="T255">
        <v>33.840000000000003</v>
      </c>
      <c r="U255">
        <v>34.799999999999997</v>
      </c>
      <c r="V255">
        <v>70700</v>
      </c>
      <c r="W255">
        <v>3535</v>
      </c>
      <c r="X255">
        <v>74235</v>
      </c>
      <c r="Y255">
        <v>2969.4</v>
      </c>
      <c r="Z255">
        <v>77204.399999999994</v>
      </c>
      <c r="AA255">
        <v>3860.22</v>
      </c>
      <c r="AB255">
        <v>81064.62</v>
      </c>
      <c r="AC255">
        <v>9.9709482600000001</v>
      </c>
      <c r="AD255">
        <v>81074.590948259996</v>
      </c>
      <c r="AE255">
        <v>4053.7295474130001</v>
      </c>
      <c r="AF255">
        <v>85128.32049567299</v>
      </c>
      <c r="AH255">
        <v>85128.32049567299</v>
      </c>
      <c r="AI255">
        <v>2553.8496148701897</v>
      </c>
      <c r="AJ255">
        <v>87682.170110543186</v>
      </c>
      <c r="AK255">
        <v>2630.4651033162954</v>
      </c>
      <c r="AL255">
        <v>90312.635213859481</v>
      </c>
      <c r="AN255">
        <v>90312.635213859481</v>
      </c>
      <c r="AP255">
        <v>90312.635213859481</v>
      </c>
      <c r="AR255">
        <v>90312.635213859481</v>
      </c>
      <c r="AT255">
        <v>90312.635213859481</v>
      </c>
      <c r="AV255">
        <v>90312.635213859481</v>
      </c>
      <c r="AX255">
        <v>90312.635213859481</v>
      </c>
      <c r="AZ255">
        <v>90312.635213859481</v>
      </c>
      <c r="BB255">
        <v>90312.635213859481</v>
      </c>
      <c r="BD255">
        <v>90312.635213859481</v>
      </c>
      <c r="BF255">
        <v>90312.635213859481</v>
      </c>
      <c r="BH255">
        <v>90312.635213859481</v>
      </c>
      <c r="BJ255">
        <v>90312.635213859481</v>
      </c>
      <c r="BL255">
        <v>90312.635213859481</v>
      </c>
      <c r="BN255">
        <v>90312.635213859481</v>
      </c>
      <c r="BP255">
        <v>90312.635213859481</v>
      </c>
      <c r="BR255">
        <v>90312.635213859481</v>
      </c>
      <c r="BT255">
        <v>90312.635213859481</v>
      </c>
      <c r="BV255">
        <v>90312.635213859481</v>
      </c>
      <c r="BX255">
        <v>90312.635213859481</v>
      </c>
      <c r="BY255">
        <v>90312.639999999999</v>
      </c>
      <c r="BZ255">
        <v>3056179.74</v>
      </c>
      <c r="CC255">
        <v>0</v>
      </c>
      <c r="CD255">
        <v>90312.640070921989</v>
      </c>
      <c r="CE255">
        <v>3056179.74</v>
      </c>
      <c r="CF255" t="s">
        <v>37</v>
      </c>
      <c r="CG255">
        <v>4000</v>
      </c>
      <c r="CH255">
        <v>94312.640070921989</v>
      </c>
      <c r="CI255">
        <v>135360</v>
      </c>
      <c r="CJ255">
        <v>3191539.74</v>
      </c>
      <c r="CK255" t="s">
        <v>57</v>
      </c>
      <c r="CN255">
        <v>0</v>
      </c>
      <c r="CO255" t="s">
        <v>39</v>
      </c>
      <c r="CP255" t="s">
        <v>39</v>
      </c>
      <c r="CQ255" t="b">
        <v>1</v>
      </c>
      <c r="CR255" t="s">
        <v>8950</v>
      </c>
      <c r="CT255" t="s">
        <v>8960</v>
      </c>
      <c r="CU255" t="s">
        <v>8973</v>
      </c>
      <c r="CV255" t="s">
        <v>6123</v>
      </c>
      <c r="CW255" t="s">
        <v>4895</v>
      </c>
      <c r="CX255" t="s">
        <v>3246</v>
      </c>
      <c r="CY255">
        <v>0.95999999999999375</v>
      </c>
      <c r="CZ255">
        <v>90540.134468084521</v>
      </c>
      <c r="DA255">
        <v>3191539.74</v>
      </c>
      <c r="DB255" t="s">
        <v>37</v>
      </c>
      <c r="DC255" t="b">
        <v>1</v>
      </c>
      <c r="DD255">
        <v>3191539.74</v>
      </c>
      <c r="DE255">
        <v>0</v>
      </c>
      <c r="DF255" t="b">
        <v>1</v>
      </c>
      <c r="DG255" s="420" cm="1">
        <f t="array" ref="DG255">_xlfn.XLOOKUP("Дом 4"&amp;Реестр_Д4[[#This Row],[№]]&amp;Реестр_Д4[[#This Row],[Статус]],РД[Дом]&amp;РД[№ кв]&amp;РД[Состояние],РД[Дата подачи на регистрацию],"-",0)</f>
        <v>45044</v>
      </c>
    </row>
    <row r="256" spans="1:111" x14ac:dyDescent="0.25">
      <c r="A256">
        <v>255</v>
      </c>
      <c r="B256" t="s">
        <v>16</v>
      </c>
      <c r="C256">
        <v>4</v>
      </c>
      <c r="D256" t="s">
        <v>42</v>
      </c>
      <c r="E256">
        <v>0</v>
      </c>
      <c r="F256">
        <v>14.73</v>
      </c>
      <c r="I256">
        <v>14.73</v>
      </c>
      <c r="J256">
        <v>5.74</v>
      </c>
      <c r="K256">
        <v>3.61</v>
      </c>
      <c r="N256">
        <v>3.6</v>
      </c>
      <c r="O256">
        <v>3.34</v>
      </c>
      <c r="Q256">
        <v>3.34</v>
      </c>
      <c r="R256">
        <v>31.02</v>
      </c>
      <c r="S256">
        <v>27.68</v>
      </c>
      <c r="T256">
        <v>29.35</v>
      </c>
      <c r="U256">
        <v>30.299999999999997</v>
      </c>
      <c r="V256">
        <v>75600</v>
      </c>
      <c r="W256">
        <v>3780</v>
      </c>
      <c r="X256">
        <v>79380</v>
      </c>
      <c r="Z256">
        <v>79380</v>
      </c>
      <c r="AB256">
        <v>79380</v>
      </c>
      <c r="AC256">
        <v>9.7637400000000003</v>
      </c>
      <c r="AD256">
        <v>79389.763739999995</v>
      </c>
      <c r="AE256">
        <v>3969.4881869999999</v>
      </c>
      <c r="AF256">
        <v>83359.25192699999</v>
      </c>
      <c r="AH256">
        <v>83359.25192699999</v>
      </c>
      <c r="AJ256">
        <v>83359.25192699999</v>
      </c>
      <c r="AL256">
        <v>83359.25192699999</v>
      </c>
      <c r="AN256">
        <v>83359.25192699999</v>
      </c>
      <c r="AP256">
        <v>83359.25192699999</v>
      </c>
      <c r="AR256">
        <v>83359.25192699999</v>
      </c>
      <c r="AT256">
        <v>83359.25192699999</v>
      </c>
      <c r="AV256">
        <v>83359.25192699999</v>
      </c>
      <c r="AX256">
        <v>83359.25192699999</v>
      </c>
      <c r="AZ256">
        <v>83359.25192699999</v>
      </c>
      <c r="BB256">
        <v>83359.25192699999</v>
      </c>
      <c r="BD256">
        <v>83359.25192699999</v>
      </c>
      <c r="BF256">
        <v>83359.25192699999</v>
      </c>
      <c r="BH256">
        <v>83359.25192699999</v>
      </c>
      <c r="BJ256">
        <v>83359.25192699999</v>
      </c>
      <c r="BL256">
        <v>83359.25192699999</v>
      </c>
      <c r="BN256">
        <v>83359.25192699999</v>
      </c>
      <c r="BP256">
        <v>83359.25192699999</v>
      </c>
      <c r="BR256">
        <v>83359.25192699999</v>
      </c>
      <c r="BT256">
        <v>83359.25192699999</v>
      </c>
      <c r="BV256">
        <v>83359.25192699999</v>
      </c>
      <c r="BX256">
        <v>83359.25192699999</v>
      </c>
      <c r="BY256">
        <v>83359.25</v>
      </c>
      <c r="BZ256">
        <v>2446593.9900000002</v>
      </c>
      <c r="CC256">
        <v>0</v>
      </c>
      <c r="CD256">
        <v>83359.250085178879</v>
      </c>
      <c r="CE256">
        <v>2446593.9900000002</v>
      </c>
      <c r="CF256" t="s">
        <v>36</v>
      </c>
      <c r="CH256">
        <v>83359.250085178879</v>
      </c>
      <c r="CI256">
        <v>0</v>
      </c>
      <c r="CJ256">
        <v>2446593.9900000002</v>
      </c>
      <c r="CN256">
        <v>0</v>
      </c>
      <c r="CO256" t="s">
        <v>39</v>
      </c>
      <c r="CP256" t="s">
        <v>39</v>
      </c>
      <c r="CQ256" t="b">
        <v>1</v>
      </c>
      <c r="CR256" t="s">
        <v>8950</v>
      </c>
      <c r="CT256" t="s">
        <v>8960</v>
      </c>
      <c r="CU256" t="s">
        <v>8970</v>
      </c>
      <c r="CV256" t="s">
        <v>6124</v>
      </c>
      <c r="CW256" t="s">
        <v>4895</v>
      </c>
      <c r="CX256" t="s">
        <v>3246</v>
      </c>
      <c r="CY256">
        <v>0.94999999999999563</v>
      </c>
      <c r="CZ256">
        <v>79191.287580919583</v>
      </c>
      <c r="DA256">
        <v>2446593.9900000002</v>
      </c>
      <c r="DB256" t="s">
        <v>36</v>
      </c>
      <c r="DC256" t="b">
        <v>1</v>
      </c>
      <c r="DD256">
        <v>2446593.9900000002</v>
      </c>
      <c r="DE256">
        <v>0</v>
      </c>
      <c r="DF256" t="b">
        <v>1</v>
      </c>
      <c r="DG256" s="420" cm="1">
        <f t="array" ref="DG256">_xlfn.XLOOKUP("Дом 4"&amp;Реестр_Д4[[#This Row],[№]]&amp;Реестр_Д4[[#This Row],[Статус]],РД[Дом]&amp;РД[№ кв]&amp;РД[Состояние],РД[Дата подачи на регистрацию],"-",0)</f>
        <v>45006</v>
      </c>
    </row>
    <row r="257" spans="1:111" x14ac:dyDescent="0.25">
      <c r="A257">
        <v>256</v>
      </c>
      <c r="B257" t="s">
        <v>16</v>
      </c>
      <c r="C257">
        <v>4</v>
      </c>
      <c r="D257" t="s">
        <v>43</v>
      </c>
      <c r="E257">
        <v>2</v>
      </c>
      <c r="F257">
        <v>17.22</v>
      </c>
      <c r="G257">
        <v>12.24</v>
      </c>
      <c r="I257">
        <v>29.46</v>
      </c>
      <c r="J257">
        <v>17.010000000000002</v>
      </c>
      <c r="K257">
        <v>3.67</v>
      </c>
      <c r="L257">
        <v>2.4</v>
      </c>
      <c r="N257">
        <v>12.71</v>
      </c>
      <c r="O257">
        <v>2.61</v>
      </c>
      <c r="P257">
        <v>2.78</v>
      </c>
      <c r="Q257">
        <v>5.39</v>
      </c>
      <c r="R257">
        <v>70.64</v>
      </c>
      <c r="S257">
        <v>65.25</v>
      </c>
      <c r="T257">
        <v>67.95</v>
      </c>
      <c r="U257">
        <v>69.399999999999991</v>
      </c>
      <c r="V257">
        <v>71304.800000000003</v>
      </c>
      <c r="W257">
        <v>3565.24</v>
      </c>
      <c r="X257">
        <v>74870.039999999994</v>
      </c>
      <c r="Z257">
        <v>74870.039999999994</v>
      </c>
      <c r="AA257">
        <v>3743.502</v>
      </c>
      <c r="AB257">
        <v>78613.542000000016</v>
      </c>
      <c r="AC257">
        <v>9.6694656660000025</v>
      </c>
      <c r="AD257">
        <v>78623.211465666012</v>
      </c>
      <c r="AF257">
        <v>78623.211465666012</v>
      </c>
      <c r="AH257">
        <v>78623.211465666012</v>
      </c>
      <c r="AI257">
        <v>1572.4642293133202</v>
      </c>
      <c r="AJ257">
        <v>80195.675694979334</v>
      </c>
      <c r="AK257">
        <v>801.95675694979332</v>
      </c>
      <c r="AL257">
        <v>80997.632451929123</v>
      </c>
      <c r="AM257">
        <v>1619.9526490385824</v>
      </c>
      <c r="AN257">
        <v>82617.585100967699</v>
      </c>
      <c r="AP257">
        <v>82617.585100967699</v>
      </c>
      <c r="AQ257">
        <v>2478.527553029031</v>
      </c>
      <c r="AR257">
        <v>85096.112653996737</v>
      </c>
      <c r="AT257">
        <v>85096.112653996737</v>
      </c>
      <c r="AU257">
        <v>2552.8833796199019</v>
      </c>
      <c r="AV257">
        <v>87648.99603361664</v>
      </c>
      <c r="AX257">
        <v>87648.99603361664</v>
      </c>
      <c r="AZ257">
        <v>87648.99603361664</v>
      </c>
      <c r="BB257">
        <v>87648.99603361664</v>
      </c>
      <c r="BD257">
        <v>87648.99603361664</v>
      </c>
      <c r="BF257">
        <v>87648.99603361664</v>
      </c>
      <c r="BH257">
        <v>87648.99603361664</v>
      </c>
      <c r="BJ257">
        <v>87648.99603361664</v>
      </c>
      <c r="BL257">
        <v>87648.99603361664</v>
      </c>
      <c r="BN257">
        <v>87648.99603361664</v>
      </c>
      <c r="BP257">
        <v>87648.99603361664</v>
      </c>
      <c r="BR257">
        <v>87648.99603361664</v>
      </c>
      <c r="BT257">
        <v>87648.99603361664</v>
      </c>
      <c r="BV257">
        <v>87648.99603361664</v>
      </c>
      <c r="BX257">
        <v>87648.99603361664</v>
      </c>
      <c r="BY257">
        <v>87649</v>
      </c>
      <c r="BZ257">
        <v>5955749.5499999998</v>
      </c>
      <c r="CB257">
        <v>0.02</v>
      </c>
      <c r="CC257">
        <v>119114.99099999999</v>
      </c>
      <c r="CD257">
        <v>85896.020014716691</v>
      </c>
      <c r="CE257">
        <v>5836634.5599999996</v>
      </c>
      <c r="CF257" t="s">
        <v>37</v>
      </c>
      <c r="CG257">
        <v>7500</v>
      </c>
      <c r="CH257">
        <v>93396.020014716691</v>
      </c>
      <c r="CI257">
        <v>509625</v>
      </c>
      <c r="CJ257">
        <v>6346259.5599999996</v>
      </c>
      <c r="CL257" t="s">
        <v>3540</v>
      </c>
      <c r="CN257">
        <v>0</v>
      </c>
      <c r="CO257" t="s">
        <v>39</v>
      </c>
      <c r="CP257" t="s">
        <v>39</v>
      </c>
      <c r="CQ257" t="b">
        <v>1</v>
      </c>
      <c r="CR257" t="s">
        <v>8950</v>
      </c>
      <c r="CT257" t="s">
        <v>8960</v>
      </c>
      <c r="CU257" t="s">
        <v>8971</v>
      </c>
      <c r="CV257" t="s">
        <v>6125</v>
      </c>
      <c r="CW257" t="s">
        <v>4895</v>
      </c>
      <c r="CX257" t="s">
        <v>3246</v>
      </c>
      <c r="CY257">
        <v>1.4499999999999886</v>
      </c>
      <c r="CZ257">
        <v>135424.22902133811</v>
      </c>
      <c r="DA257">
        <v>6346259.5599999996</v>
      </c>
      <c r="DB257" t="s">
        <v>37</v>
      </c>
      <c r="DC257" t="b">
        <v>1</v>
      </c>
      <c r="DD257">
        <v>6346259.5599999996</v>
      </c>
      <c r="DE257">
        <v>0</v>
      </c>
      <c r="DF257" t="b">
        <v>1</v>
      </c>
      <c r="DG257" s="420" cm="1">
        <f t="array" ref="DG257">_xlfn.XLOOKUP("Дом 4"&amp;Реестр_Д4[[#This Row],[№]]&amp;Реестр_Д4[[#This Row],[Статус]],РД[Дом]&amp;РД[№ кв]&amp;РД[Состояние],РД[Дата подачи на регистрацию],"-",0)</f>
        <v>45244</v>
      </c>
    </row>
    <row r="258" spans="1:111" x14ac:dyDescent="0.25">
      <c r="A258">
        <v>257</v>
      </c>
      <c r="B258" t="s">
        <v>16</v>
      </c>
      <c r="C258">
        <v>4</v>
      </c>
      <c r="D258" t="s">
        <v>44</v>
      </c>
      <c r="E258">
        <v>0</v>
      </c>
      <c r="F258">
        <v>19.22</v>
      </c>
      <c r="I258">
        <v>19.22</v>
      </c>
      <c r="J258">
        <v>9.57</v>
      </c>
      <c r="K258">
        <v>3.76</v>
      </c>
      <c r="N258">
        <v>2.56</v>
      </c>
      <c r="O258">
        <v>2.68</v>
      </c>
      <c r="Q258">
        <v>2.68</v>
      </c>
      <c r="R258">
        <v>37.79</v>
      </c>
      <c r="S258">
        <v>35.11</v>
      </c>
      <c r="T258">
        <v>36.450000000000003</v>
      </c>
      <c r="U258">
        <v>37.4</v>
      </c>
      <c r="V258">
        <v>76356</v>
      </c>
      <c r="W258">
        <v>3817.8</v>
      </c>
      <c r="X258">
        <v>80173.8</v>
      </c>
      <c r="Z258">
        <v>80173.8</v>
      </c>
      <c r="AB258">
        <v>80173.8</v>
      </c>
      <c r="AC258">
        <v>9.8613774000000003</v>
      </c>
      <c r="AD258">
        <v>80183.6613774</v>
      </c>
      <c r="AE258">
        <v>4009.1830688700002</v>
      </c>
      <c r="AF258">
        <v>84192.844446269999</v>
      </c>
      <c r="AH258">
        <v>84192.844446269999</v>
      </c>
      <c r="AJ258">
        <v>84192.844446269999</v>
      </c>
      <c r="AK258">
        <v>841.92844446269999</v>
      </c>
      <c r="AL258">
        <v>85034.772890732711</v>
      </c>
      <c r="AM258">
        <v>1700.695457814654</v>
      </c>
      <c r="AN258">
        <v>86735.468348547351</v>
      </c>
      <c r="AO258">
        <v>4336.7734174273673</v>
      </c>
      <c r="AP258">
        <v>91072.241765974715</v>
      </c>
      <c r="AQ258">
        <v>2732.1672529792413</v>
      </c>
      <c r="AR258">
        <v>93804.409018953957</v>
      </c>
      <c r="AT258">
        <v>93804.409018953957</v>
      </c>
      <c r="AV258">
        <v>93804.409018953957</v>
      </c>
      <c r="AX258">
        <v>93804.409018953957</v>
      </c>
      <c r="AZ258">
        <v>93804.409018953957</v>
      </c>
      <c r="BB258">
        <v>93804.409018953957</v>
      </c>
      <c r="BD258">
        <v>93804.409018953957</v>
      </c>
      <c r="BF258">
        <v>93804.409018953957</v>
      </c>
      <c r="BH258">
        <v>93804.409018953957</v>
      </c>
      <c r="BJ258">
        <v>93804.409018953957</v>
      </c>
      <c r="BL258">
        <v>93804.409018953957</v>
      </c>
      <c r="BN258">
        <v>93804.409018953957</v>
      </c>
      <c r="BP258">
        <v>93804.409018953957</v>
      </c>
      <c r="BR258">
        <v>93804.409018953957</v>
      </c>
      <c r="BT258">
        <v>93804.409018953957</v>
      </c>
      <c r="BV258">
        <v>93804.409018953957</v>
      </c>
      <c r="BX258">
        <v>93804.409018953957</v>
      </c>
      <c r="BY258">
        <v>93804.41</v>
      </c>
      <c r="BZ258">
        <v>3419170.74</v>
      </c>
      <c r="CC258">
        <v>0</v>
      </c>
      <c r="CD258">
        <v>93804.409876543214</v>
      </c>
      <c r="CE258">
        <v>3419170.74</v>
      </c>
      <c r="CF258" t="s">
        <v>36</v>
      </c>
      <c r="CH258">
        <v>93804.409876543214</v>
      </c>
      <c r="CI258">
        <v>0</v>
      </c>
      <c r="CJ258">
        <v>3419170.74</v>
      </c>
      <c r="CN258">
        <v>0</v>
      </c>
      <c r="CO258" t="s">
        <v>39</v>
      </c>
      <c r="CP258" t="s">
        <v>39</v>
      </c>
      <c r="CQ258" t="b">
        <v>1</v>
      </c>
      <c r="CR258" t="s">
        <v>8950</v>
      </c>
      <c r="CT258" t="s">
        <v>8960</v>
      </c>
      <c r="CU258" t="s">
        <v>8970</v>
      </c>
      <c r="CV258" t="s">
        <v>6126</v>
      </c>
      <c r="CW258" t="s">
        <v>4895</v>
      </c>
      <c r="CX258" t="s">
        <v>3246</v>
      </c>
      <c r="CY258">
        <v>0.94999999999999563</v>
      </c>
      <c r="CZ258">
        <v>89114.18938271566</v>
      </c>
      <c r="DA258">
        <v>3419170.74</v>
      </c>
      <c r="DB258" t="s">
        <v>36</v>
      </c>
      <c r="DC258" t="b">
        <v>1</v>
      </c>
      <c r="DD258">
        <v>3419170.74</v>
      </c>
      <c r="DE258">
        <v>0</v>
      </c>
      <c r="DF258" t="b">
        <v>1</v>
      </c>
      <c r="DG258" s="420" cm="1">
        <f t="array" ref="DG258">_xlfn.XLOOKUP("Дом 4"&amp;Реестр_Д4[[#This Row],[№]]&amp;Реестр_Д4[[#This Row],[Статус]],РД[Дом]&amp;РД[№ кв]&amp;РД[Состояние],РД[Дата подачи на регистрацию],"-",0)</f>
        <v>45132</v>
      </c>
    </row>
    <row r="259" spans="1:111" x14ac:dyDescent="0.25">
      <c r="A259">
        <v>258</v>
      </c>
      <c r="B259" t="s">
        <v>16</v>
      </c>
      <c r="C259">
        <v>4</v>
      </c>
      <c r="D259" t="s">
        <v>45</v>
      </c>
      <c r="E259">
        <v>2</v>
      </c>
      <c r="F259">
        <v>18.12</v>
      </c>
      <c r="G259">
        <v>9.8800000000000008</v>
      </c>
      <c r="I259">
        <v>28</v>
      </c>
      <c r="J259">
        <v>15.3</v>
      </c>
      <c r="K259">
        <v>3.49</v>
      </c>
      <c r="L259">
        <v>2.34</v>
      </c>
      <c r="N259">
        <v>8.1</v>
      </c>
      <c r="O259">
        <v>2.63</v>
      </c>
      <c r="Q259">
        <v>2.63</v>
      </c>
      <c r="R259">
        <v>59.86</v>
      </c>
      <c r="S259">
        <v>57.23</v>
      </c>
      <c r="T259">
        <v>58.55</v>
      </c>
      <c r="U259">
        <v>60.4</v>
      </c>
      <c r="V259">
        <v>68639.199999999997</v>
      </c>
      <c r="W259">
        <v>3431.96</v>
      </c>
      <c r="X259">
        <v>72071.16</v>
      </c>
      <c r="Z259">
        <v>72071.16</v>
      </c>
      <c r="AA259">
        <v>3603.558</v>
      </c>
      <c r="AB259">
        <v>75674.717999999993</v>
      </c>
      <c r="AC259">
        <v>9.3079903140000013</v>
      </c>
      <c r="AD259">
        <v>75684.02599031401</v>
      </c>
      <c r="AF259">
        <v>75684.02599031401</v>
      </c>
      <c r="AH259">
        <v>75684.02599031401</v>
      </c>
      <c r="AI259">
        <v>1513.6805198062802</v>
      </c>
      <c r="AJ259">
        <v>77197.70651012029</v>
      </c>
      <c r="AL259">
        <v>77197.70651012029</v>
      </c>
      <c r="AN259">
        <v>77197.70651012029</v>
      </c>
      <c r="AP259">
        <v>77197.70651012029</v>
      </c>
      <c r="AR259">
        <v>77197.70651012029</v>
      </c>
      <c r="AT259">
        <v>77197.70651012029</v>
      </c>
      <c r="AV259">
        <v>77197.70651012029</v>
      </c>
      <c r="AX259">
        <v>77197.70651012029</v>
      </c>
      <c r="AZ259">
        <v>77197.70651012029</v>
      </c>
      <c r="BB259">
        <v>77197.70651012029</v>
      </c>
      <c r="BD259">
        <v>77197.70651012029</v>
      </c>
      <c r="BF259">
        <v>77197.70651012029</v>
      </c>
      <c r="BH259">
        <v>77197.70651012029</v>
      </c>
      <c r="BJ259">
        <v>77197.70651012029</v>
      </c>
      <c r="BL259">
        <v>77197.70651012029</v>
      </c>
      <c r="BN259">
        <v>77197.70651012029</v>
      </c>
      <c r="BP259">
        <v>77197.70651012029</v>
      </c>
      <c r="BR259">
        <v>77197.70651012029</v>
      </c>
      <c r="BT259">
        <v>77197.70651012029</v>
      </c>
      <c r="BV259">
        <v>77197.70651012029</v>
      </c>
      <c r="BX259">
        <v>77197.70651012029</v>
      </c>
      <c r="BY259">
        <v>77197.710000000006</v>
      </c>
      <c r="BZ259">
        <v>4519925.92</v>
      </c>
      <c r="CB259">
        <v>0.03</v>
      </c>
      <c r="CC259">
        <v>135597.7776</v>
      </c>
      <c r="CD259">
        <v>74881.778650725872</v>
      </c>
      <c r="CE259">
        <v>4384328.1399999997</v>
      </c>
      <c r="CF259" t="s">
        <v>38</v>
      </c>
      <c r="CG259">
        <v>15000</v>
      </c>
      <c r="CH259">
        <v>89881.778650725872</v>
      </c>
      <c r="CI259">
        <v>878250</v>
      </c>
      <c r="CJ259">
        <v>5262578.1399999997</v>
      </c>
      <c r="CL259" t="s">
        <v>3540</v>
      </c>
      <c r="CN259">
        <v>0</v>
      </c>
      <c r="CO259" t="s">
        <v>39</v>
      </c>
      <c r="CP259" t="s">
        <v>39</v>
      </c>
      <c r="CQ259" t="b">
        <v>1</v>
      </c>
      <c r="CR259" t="s">
        <v>8950</v>
      </c>
      <c r="CT259" t="s">
        <v>8960</v>
      </c>
      <c r="CU259" t="s">
        <v>8971</v>
      </c>
      <c r="CV259" t="s">
        <v>6127</v>
      </c>
      <c r="CW259" t="s">
        <v>4895</v>
      </c>
      <c r="CX259" t="s">
        <v>3246</v>
      </c>
      <c r="CY259">
        <v>1.8500000000000016</v>
      </c>
      <c r="CZ259">
        <v>166281.29050384299</v>
      </c>
      <c r="DA259">
        <v>5262578.1399999997</v>
      </c>
      <c r="DB259" t="s">
        <v>38</v>
      </c>
      <c r="DC259" t="b">
        <v>1</v>
      </c>
      <c r="DD259">
        <v>5262578.1399999997</v>
      </c>
      <c r="DE259">
        <v>0</v>
      </c>
      <c r="DF259" t="b">
        <v>1</v>
      </c>
      <c r="DG259" s="420" cm="1">
        <f t="array" ref="DG259">_xlfn.XLOOKUP("Дом 4"&amp;Реестр_Д4[[#This Row],[№]]&amp;Реестр_Д4[[#This Row],[Статус]],РД[Дом]&amp;РД[№ кв]&amp;РД[Состояние],РД[Дата подачи на регистрацию],"-",0)</f>
        <v>45002</v>
      </c>
    </row>
    <row r="260" spans="1:111" x14ac:dyDescent="0.25">
      <c r="A260">
        <v>259</v>
      </c>
      <c r="B260" t="s">
        <v>16</v>
      </c>
      <c r="C260">
        <v>4</v>
      </c>
      <c r="D260" t="s">
        <v>3351</v>
      </c>
      <c r="E260">
        <v>2</v>
      </c>
      <c r="F260">
        <v>15.36</v>
      </c>
      <c r="G260">
        <v>9.8699999999999992</v>
      </c>
      <c r="I260">
        <v>25.23</v>
      </c>
      <c r="J260">
        <v>16.260000000000002</v>
      </c>
      <c r="K260">
        <v>3.74</v>
      </c>
      <c r="L260">
        <v>2.09</v>
      </c>
      <c r="N260">
        <v>8.06</v>
      </c>
      <c r="O260">
        <v>2.63</v>
      </c>
      <c r="Q260">
        <v>2.63</v>
      </c>
      <c r="R260">
        <v>58.01</v>
      </c>
      <c r="S260">
        <v>55.379999999999995</v>
      </c>
      <c r="T260">
        <v>56.7</v>
      </c>
      <c r="U260">
        <v>58.399999999999991</v>
      </c>
      <c r="V260">
        <v>68639.199999999997</v>
      </c>
      <c r="W260">
        <v>3431.96</v>
      </c>
      <c r="X260">
        <v>72071.16</v>
      </c>
      <c r="Z260">
        <v>72071.16</v>
      </c>
      <c r="AA260">
        <v>3603.558</v>
      </c>
      <c r="AB260">
        <v>75674.717999999993</v>
      </c>
      <c r="AC260">
        <v>9.3079903140000013</v>
      </c>
      <c r="AD260">
        <v>75684.02599031401</v>
      </c>
      <c r="AF260">
        <v>75684.02599031401</v>
      </c>
      <c r="AH260">
        <v>75684.02599031401</v>
      </c>
      <c r="AJ260">
        <v>75684.02599031401</v>
      </c>
      <c r="AL260">
        <v>75684.02599031401</v>
      </c>
      <c r="AN260">
        <v>75684.02599031401</v>
      </c>
      <c r="AP260">
        <v>75684.02599031401</v>
      </c>
      <c r="AR260">
        <v>75684.02599031401</v>
      </c>
      <c r="AT260">
        <v>75684.02599031401</v>
      </c>
      <c r="AV260">
        <v>75684.02599031401</v>
      </c>
      <c r="AX260">
        <v>75684.02599031401</v>
      </c>
      <c r="AZ260">
        <v>75684.02599031401</v>
      </c>
      <c r="BB260">
        <v>75684.02599031401</v>
      </c>
      <c r="BD260">
        <v>75684.02599031401</v>
      </c>
      <c r="BF260">
        <v>75684.02599031401</v>
      </c>
      <c r="BH260">
        <v>75684.02599031401</v>
      </c>
      <c r="BJ260">
        <v>75684.02599031401</v>
      </c>
      <c r="BL260">
        <v>75684.02599031401</v>
      </c>
      <c r="BN260">
        <v>75684.02599031401</v>
      </c>
      <c r="BP260">
        <v>75684.02599031401</v>
      </c>
      <c r="BR260">
        <v>75684.02599031401</v>
      </c>
      <c r="BT260">
        <v>75684.02599031401</v>
      </c>
      <c r="BV260">
        <v>75684.02599031401</v>
      </c>
      <c r="BX260">
        <v>75684.02599031401</v>
      </c>
      <c r="BY260">
        <v>75684.03</v>
      </c>
      <c r="BZ260">
        <v>4291284.5</v>
      </c>
      <c r="CC260">
        <v>0</v>
      </c>
      <c r="CD260">
        <v>75684.02998236331</v>
      </c>
      <c r="CE260">
        <v>4291284.5</v>
      </c>
      <c r="CF260" t="s">
        <v>36</v>
      </c>
      <c r="CH260">
        <v>75684.02998236331</v>
      </c>
      <c r="CI260">
        <v>0</v>
      </c>
      <c r="CJ260">
        <v>4291284.5</v>
      </c>
      <c r="CN260">
        <v>0</v>
      </c>
      <c r="CO260" t="s">
        <v>39</v>
      </c>
      <c r="CP260" t="s">
        <v>39</v>
      </c>
      <c r="CQ260" t="b">
        <v>1</v>
      </c>
      <c r="CR260" t="s">
        <v>8950</v>
      </c>
      <c r="CT260" t="s">
        <v>8960</v>
      </c>
      <c r="CU260" t="s">
        <v>8971</v>
      </c>
      <c r="CV260" t="s">
        <v>6128</v>
      </c>
      <c r="CW260" t="s">
        <v>4895</v>
      </c>
      <c r="CX260" t="s">
        <v>3246</v>
      </c>
      <c r="CY260">
        <v>1.6999999999999886</v>
      </c>
      <c r="CZ260">
        <v>128662.85097001676</v>
      </c>
      <c r="DA260">
        <v>4291284.5</v>
      </c>
      <c r="DB260" t="s">
        <v>36</v>
      </c>
      <c r="DC260" t="b">
        <v>1</v>
      </c>
      <c r="DD260">
        <v>4291284.5</v>
      </c>
      <c r="DE260">
        <v>0</v>
      </c>
      <c r="DF260" t="b">
        <v>1</v>
      </c>
      <c r="DG260" s="420" cm="1">
        <f t="array" ref="DG260">_xlfn.XLOOKUP("Дом 4"&amp;Реестр_Д4[[#This Row],[№]]&amp;Реестр_Д4[[#This Row],[Статус]],РД[Дом]&amp;РД[№ кв]&amp;РД[Состояние],РД[Дата подачи на регистрацию],"-",0)</f>
        <v>44978</v>
      </c>
    </row>
    <row r="261" spans="1:111" x14ac:dyDescent="0.25">
      <c r="A261">
        <v>260</v>
      </c>
      <c r="B261" t="s">
        <v>16</v>
      </c>
      <c r="C261">
        <v>4</v>
      </c>
      <c r="D261" t="s">
        <v>3352</v>
      </c>
      <c r="E261">
        <v>3</v>
      </c>
      <c r="F261">
        <v>16.27</v>
      </c>
      <c r="G261">
        <v>10.96</v>
      </c>
      <c r="H261">
        <v>10.7</v>
      </c>
      <c r="I261">
        <v>37.93</v>
      </c>
      <c r="J261">
        <v>13.42</v>
      </c>
      <c r="K261">
        <v>4.53</v>
      </c>
      <c r="L261">
        <v>2.27</v>
      </c>
      <c r="N261">
        <v>12.94</v>
      </c>
      <c r="O261">
        <v>2.83</v>
      </c>
      <c r="Q261">
        <v>2.83</v>
      </c>
      <c r="R261">
        <v>73.92</v>
      </c>
      <c r="S261">
        <v>71.09</v>
      </c>
      <c r="T261">
        <v>72.510000000000005</v>
      </c>
      <c r="U261">
        <v>74.400000000000006</v>
      </c>
      <c r="V261">
        <v>68992.000000000015</v>
      </c>
      <c r="W261">
        <v>3449.6000000000008</v>
      </c>
      <c r="X261">
        <v>72441.60000000002</v>
      </c>
      <c r="Z261">
        <v>72441.60000000002</v>
      </c>
      <c r="AB261">
        <v>72441.60000000002</v>
      </c>
      <c r="AC261">
        <v>8.9103168000000039</v>
      </c>
      <c r="AD261">
        <v>72450.510316800021</v>
      </c>
      <c r="AF261">
        <v>72450.510316800021</v>
      </c>
      <c r="AH261">
        <v>72450.510316800021</v>
      </c>
      <c r="AI261">
        <v>2173.5153095040005</v>
      </c>
      <c r="AJ261">
        <v>74624.025626304021</v>
      </c>
      <c r="AK261">
        <v>746.24025626304035</v>
      </c>
      <c r="AL261">
        <v>75370.265882567066</v>
      </c>
      <c r="AN261">
        <v>75370.265882567066</v>
      </c>
      <c r="AP261">
        <v>75370.265882567066</v>
      </c>
      <c r="AR261">
        <v>75370.265882567066</v>
      </c>
      <c r="AT261">
        <v>75370.265882567066</v>
      </c>
      <c r="AV261">
        <v>75370.265882567066</v>
      </c>
      <c r="AX261">
        <v>75370.265882567066</v>
      </c>
      <c r="AZ261">
        <v>75370.265882567066</v>
      </c>
      <c r="BB261">
        <v>75370.265882567066</v>
      </c>
      <c r="BD261">
        <v>75370.265882567066</v>
      </c>
      <c r="BF261">
        <v>75370.265882567066</v>
      </c>
      <c r="BH261">
        <v>75370.265882567066</v>
      </c>
      <c r="BJ261">
        <v>75370.265882567066</v>
      </c>
      <c r="BL261">
        <v>75370.265882567066</v>
      </c>
      <c r="BN261">
        <v>75370.265882567066</v>
      </c>
      <c r="BP261">
        <v>75370.265882567066</v>
      </c>
      <c r="BR261">
        <v>75370.265882567066</v>
      </c>
      <c r="BT261">
        <v>75370.265882567066</v>
      </c>
      <c r="BV261">
        <v>75370.265882567066</v>
      </c>
      <c r="BX261">
        <v>75370.265882567066</v>
      </c>
      <c r="BY261">
        <v>75370.27</v>
      </c>
      <c r="BZ261">
        <v>5465098.2800000003</v>
      </c>
      <c r="CC261">
        <v>0</v>
      </c>
      <c r="CD261">
        <v>75370.27003171976</v>
      </c>
      <c r="CE261">
        <v>5465098.2800000003</v>
      </c>
      <c r="CF261" t="s">
        <v>36</v>
      </c>
      <c r="CH261">
        <v>75370.27003171976</v>
      </c>
      <c r="CI261">
        <v>0</v>
      </c>
      <c r="CJ261">
        <v>5465098.2800000003</v>
      </c>
      <c r="CN261">
        <v>0</v>
      </c>
      <c r="CO261" t="s">
        <v>39</v>
      </c>
      <c r="CP261" t="s">
        <v>39</v>
      </c>
      <c r="CQ261" t="b">
        <v>1</v>
      </c>
      <c r="CR261" t="s">
        <v>8950</v>
      </c>
      <c r="CT261" t="s">
        <v>8960</v>
      </c>
      <c r="CU261" t="s">
        <v>8975</v>
      </c>
      <c r="CV261" t="s">
        <v>6129</v>
      </c>
      <c r="CW261" t="s">
        <v>4895</v>
      </c>
      <c r="CX261" t="s">
        <v>3246</v>
      </c>
      <c r="CY261">
        <v>1.8900000000000008</v>
      </c>
      <c r="CZ261">
        <v>142449.81035995038</v>
      </c>
      <c r="DA261">
        <v>5465098.2800000003</v>
      </c>
      <c r="DB261" t="s">
        <v>36</v>
      </c>
      <c r="DC261" t="b">
        <v>1</v>
      </c>
      <c r="DD261">
        <v>5465098.2800000003</v>
      </c>
      <c r="DE261">
        <v>0</v>
      </c>
      <c r="DF261" t="b">
        <v>1</v>
      </c>
      <c r="DG261" s="420" cm="1">
        <f t="array" ref="DG261">_xlfn.XLOOKUP("Дом 4"&amp;Реестр_Д4[[#This Row],[№]]&amp;Реестр_Д4[[#This Row],[Статус]],РД[Дом]&amp;РД[№ кв]&amp;РД[Состояние],РД[Дата подачи на регистрацию],"-",0)</f>
        <v>45045</v>
      </c>
    </row>
    <row r="262" spans="1:111" x14ac:dyDescent="0.25">
      <c r="A262">
        <v>261</v>
      </c>
      <c r="B262" t="s">
        <v>16</v>
      </c>
      <c r="C262">
        <v>4</v>
      </c>
      <c r="D262" t="s">
        <v>3353</v>
      </c>
      <c r="E262">
        <v>1</v>
      </c>
      <c r="F262">
        <v>10.68</v>
      </c>
      <c r="I262">
        <v>10.68</v>
      </c>
      <c r="J262">
        <v>12.75</v>
      </c>
      <c r="K262">
        <v>3.65</v>
      </c>
      <c r="N262">
        <v>5.45</v>
      </c>
      <c r="O262">
        <v>2.62</v>
      </c>
      <c r="Q262">
        <v>2.62</v>
      </c>
      <c r="R262">
        <v>35.15</v>
      </c>
      <c r="S262">
        <v>32.53</v>
      </c>
      <c r="T262">
        <v>33.840000000000003</v>
      </c>
      <c r="U262">
        <v>34.799999999999997</v>
      </c>
      <c r="V262">
        <v>70700</v>
      </c>
      <c r="W262">
        <v>3535</v>
      </c>
      <c r="X262">
        <v>74235</v>
      </c>
      <c r="Y262">
        <v>2969.4</v>
      </c>
      <c r="Z262">
        <v>77204.399999999994</v>
      </c>
      <c r="AA262">
        <v>3860.22</v>
      </c>
      <c r="AB262">
        <v>81064.62</v>
      </c>
      <c r="AC262">
        <v>9.9709482600000001</v>
      </c>
      <c r="AD262">
        <v>81074.590948259996</v>
      </c>
      <c r="AE262">
        <v>4053.7295474130001</v>
      </c>
      <c r="AF262">
        <v>85128.32049567299</v>
      </c>
      <c r="AH262">
        <v>85128.32049567299</v>
      </c>
      <c r="AJ262">
        <v>85128.32049567299</v>
      </c>
      <c r="AL262">
        <v>85128.32049567299</v>
      </c>
      <c r="AN262">
        <v>85128.32049567299</v>
      </c>
      <c r="AP262">
        <v>85128.32049567299</v>
      </c>
      <c r="AR262">
        <v>85128.32049567299</v>
      </c>
      <c r="AT262">
        <v>85128.32049567299</v>
      </c>
      <c r="AV262">
        <v>85128.32049567299</v>
      </c>
      <c r="AX262">
        <v>85128.32049567299</v>
      </c>
      <c r="AZ262">
        <v>85128.32049567299</v>
      </c>
      <c r="BB262">
        <v>85128.32049567299</v>
      </c>
      <c r="BD262">
        <v>85128.32049567299</v>
      </c>
      <c r="BF262">
        <v>85128.32049567299</v>
      </c>
      <c r="BH262">
        <v>85128.32049567299</v>
      </c>
      <c r="BJ262">
        <v>85128.32049567299</v>
      </c>
      <c r="BL262">
        <v>85128.32049567299</v>
      </c>
      <c r="BN262">
        <v>85128.32049567299</v>
      </c>
      <c r="BP262">
        <v>85128.32049567299</v>
      </c>
      <c r="BR262">
        <v>85128.32049567299</v>
      </c>
      <c r="BT262">
        <v>85128.32049567299</v>
      </c>
      <c r="BV262">
        <v>85128.32049567299</v>
      </c>
      <c r="BX262">
        <v>85128.32049567299</v>
      </c>
      <c r="BY262">
        <v>85128.320000000007</v>
      </c>
      <c r="BZ262">
        <v>2880742.35</v>
      </c>
      <c r="CA262">
        <v>60000</v>
      </c>
      <c r="CC262">
        <v>60000</v>
      </c>
      <c r="CD262">
        <v>83355.270390070917</v>
      </c>
      <c r="CE262">
        <v>2820742.35</v>
      </c>
      <c r="CF262" t="s">
        <v>36</v>
      </c>
      <c r="CH262">
        <v>83355.270390070917</v>
      </c>
      <c r="CI262">
        <v>0</v>
      </c>
      <c r="CJ262">
        <v>2820742.35</v>
      </c>
      <c r="CK262" t="s">
        <v>57</v>
      </c>
      <c r="CL262" t="s">
        <v>3515</v>
      </c>
      <c r="CN262">
        <v>0</v>
      </c>
      <c r="CO262" t="s">
        <v>39</v>
      </c>
      <c r="CP262" t="s">
        <v>39</v>
      </c>
      <c r="CQ262" t="b">
        <v>1</v>
      </c>
      <c r="CR262" t="s">
        <v>8950</v>
      </c>
      <c r="CT262" t="s">
        <v>8960</v>
      </c>
      <c r="CU262" t="s">
        <v>8973</v>
      </c>
      <c r="CV262" t="s">
        <v>6130</v>
      </c>
      <c r="CW262" t="s">
        <v>4895</v>
      </c>
      <c r="CX262" t="s">
        <v>3246</v>
      </c>
      <c r="CY262">
        <v>0.95999999999999375</v>
      </c>
      <c r="CZ262">
        <v>80021.059574467552</v>
      </c>
      <c r="DA262">
        <v>2820742.35</v>
      </c>
      <c r="DB262" t="s">
        <v>36</v>
      </c>
      <c r="DC262" t="b">
        <v>1</v>
      </c>
      <c r="DD262">
        <v>2820742.35</v>
      </c>
      <c r="DE262">
        <v>0</v>
      </c>
      <c r="DF262" t="b">
        <v>1</v>
      </c>
      <c r="DG262" s="420" cm="1">
        <f t="array" ref="DG262">_xlfn.XLOOKUP("Дом 4"&amp;Реестр_Д4[[#This Row],[№]]&amp;Реестр_Д4[[#This Row],[Статус]],РД[Дом]&amp;РД[№ кв]&amp;РД[Состояние],РД[Дата подачи на регистрацию],"-",0)</f>
        <v>44984</v>
      </c>
    </row>
    <row r="263" spans="1:111" x14ac:dyDescent="0.25">
      <c r="A263">
        <v>262</v>
      </c>
      <c r="B263" t="s">
        <v>16</v>
      </c>
      <c r="C263">
        <v>5</v>
      </c>
      <c r="D263" t="s">
        <v>42</v>
      </c>
      <c r="E263">
        <v>0</v>
      </c>
      <c r="F263">
        <v>14.73</v>
      </c>
      <c r="I263">
        <v>14.73</v>
      </c>
      <c r="J263">
        <v>5.74</v>
      </c>
      <c r="K263">
        <v>3.61</v>
      </c>
      <c r="N263">
        <v>3.6</v>
      </c>
      <c r="O263">
        <v>3.34</v>
      </c>
      <c r="Q263">
        <v>3.34</v>
      </c>
      <c r="R263">
        <v>31.02</v>
      </c>
      <c r="S263">
        <v>27.68</v>
      </c>
      <c r="T263">
        <v>29.35</v>
      </c>
      <c r="U263">
        <v>30.1</v>
      </c>
      <c r="V263">
        <v>75600</v>
      </c>
      <c r="W263">
        <v>3780</v>
      </c>
      <c r="X263">
        <v>79380</v>
      </c>
      <c r="Z263">
        <v>79380</v>
      </c>
      <c r="AB263">
        <v>79380</v>
      </c>
      <c r="AC263">
        <v>9.7637400000000003</v>
      </c>
      <c r="AD263">
        <v>79389.763739999995</v>
      </c>
      <c r="AE263">
        <v>3969.4881869999999</v>
      </c>
      <c r="AF263">
        <v>83359.25192699999</v>
      </c>
      <c r="AH263">
        <v>83359.25192699999</v>
      </c>
      <c r="AJ263">
        <v>83359.25192699999</v>
      </c>
      <c r="AL263">
        <v>83359.25192699999</v>
      </c>
      <c r="AN263">
        <v>83359.25192699999</v>
      </c>
      <c r="AP263">
        <v>83359.25192699999</v>
      </c>
      <c r="AR263">
        <v>83359.25192699999</v>
      </c>
      <c r="AT263">
        <v>83359.25192699999</v>
      </c>
      <c r="AV263">
        <v>83359.25192699999</v>
      </c>
      <c r="AX263">
        <v>83359.25192699999</v>
      </c>
      <c r="AZ263">
        <v>83359.25192699999</v>
      </c>
      <c r="BB263">
        <v>83359.25192699999</v>
      </c>
      <c r="BD263">
        <v>83359.25192699999</v>
      </c>
      <c r="BF263">
        <v>83359.25192699999</v>
      </c>
      <c r="BH263">
        <v>83359.25192699999</v>
      </c>
      <c r="BJ263">
        <v>83359.25192699999</v>
      </c>
      <c r="BL263">
        <v>83359.25192699999</v>
      </c>
      <c r="BN263">
        <v>83359.25192699999</v>
      </c>
      <c r="BP263">
        <v>83359.25192699999</v>
      </c>
      <c r="BR263">
        <v>83359.25192699999</v>
      </c>
      <c r="BT263">
        <v>83359.25192699999</v>
      </c>
      <c r="BV263">
        <v>83359.25192699999</v>
      </c>
      <c r="BX263">
        <v>83359.25192699999</v>
      </c>
      <c r="BY263">
        <v>83359.25</v>
      </c>
      <c r="BZ263">
        <v>2446593.9900000002</v>
      </c>
      <c r="CC263">
        <v>0</v>
      </c>
      <c r="CD263">
        <v>83359.250085178879</v>
      </c>
      <c r="CE263">
        <v>2446593.9900000002</v>
      </c>
      <c r="CF263" t="s">
        <v>36</v>
      </c>
      <c r="CH263">
        <v>83359.250085178879</v>
      </c>
      <c r="CI263">
        <v>0</v>
      </c>
      <c r="CJ263">
        <v>2446593.9900000002</v>
      </c>
      <c r="CN263">
        <v>0</v>
      </c>
      <c r="CO263" t="s">
        <v>39</v>
      </c>
      <c r="CP263" t="s">
        <v>39</v>
      </c>
      <c r="CQ263" t="b">
        <v>1</v>
      </c>
      <c r="CR263" t="s">
        <v>8950</v>
      </c>
      <c r="CT263" t="s">
        <v>8960</v>
      </c>
      <c r="CU263" t="s">
        <v>8970</v>
      </c>
      <c r="CV263" t="s">
        <v>6131</v>
      </c>
      <c r="CW263" t="s">
        <v>4895</v>
      </c>
      <c r="CX263" t="s">
        <v>3246</v>
      </c>
      <c r="CY263">
        <v>0.74999999999999645</v>
      </c>
      <c r="CZ263">
        <v>62519.437563883861</v>
      </c>
      <c r="DA263">
        <v>2446593.9900000002</v>
      </c>
      <c r="DB263" t="s">
        <v>36</v>
      </c>
      <c r="DC263" t="b">
        <v>1</v>
      </c>
      <c r="DD263">
        <v>2446593.9900000002</v>
      </c>
      <c r="DE263">
        <v>0</v>
      </c>
      <c r="DF263" t="b">
        <v>1</v>
      </c>
      <c r="DG263" s="420" cm="1">
        <f t="array" ref="DG263">_xlfn.XLOOKUP("Дом 4"&amp;Реестр_Д4[[#This Row],[№]]&amp;Реестр_Д4[[#This Row],[Статус]],РД[Дом]&amp;РД[№ кв]&amp;РД[Состояние],РД[Дата подачи на регистрацию],"-",0)</f>
        <v>44957</v>
      </c>
    </row>
    <row r="264" spans="1:111" x14ac:dyDescent="0.25">
      <c r="A264">
        <v>263</v>
      </c>
      <c r="B264" t="s">
        <v>16</v>
      </c>
      <c r="C264">
        <v>5</v>
      </c>
      <c r="D264" t="s">
        <v>43</v>
      </c>
      <c r="E264">
        <v>2</v>
      </c>
      <c r="F264">
        <v>17.22</v>
      </c>
      <c r="G264">
        <v>12.24</v>
      </c>
      <c r="I264">
        <v>29.46</v>
      </c>
      <c r="J264">
        <v>17.010000000000002</v>
      </c>
      <c r="K264">
        <v>3.67</v>
      </c>
      <c r="L264">
        <v>2.4</v>
      </c>
      <c r="N264">
        <v>12.71</v>
      </c>
      <c r="O264">
        <v>2.61</v>
      </c>
      <c r="P264">
        <v>2.78</v>
      </c>
      <c r="Q264">
        <v>5.39</v>
      </c>
      <c r="R264">
        <v>70.64</v>
      </c>
      <c r="S264">
        <v>65.25</v>
      </c>
      <c r="T264">
        <v>67.95</v>
      </c>
      <c r="U264">
        <v>69.599999999999994</v>
      </c>
      <c r="V264">
        <v>71304.800000000003</v>
      </c>
      <c r="W264">
        <v>3565.24</v>
      </c>
      <c r="X264">
        <v>74870.039999999994</v>
      </c>
      <c r="Z264">
        <v>74870.039999999994</v>
      </c>
      <c r="AA264">
        <v>3743.502</v>
      </c>
      <c r="AB264">
        <v>78613.542000000016</v>
      </c>
      <c r="AC264">
        <v>9.6694656660000025</v>
      </c>
      <c r="AD264">
        <v>78623.211465666012</v>
      </c>
      <c r="AF264">
        <v>78623.211465666012</v>
      </c>
      <c r="AH264">
        <v>78623.211465666012</v>
      </c>
      <c r="AI264">
        <v>1572.4642293133202</v>
      </c>
      <c r="AJ264">
        <v>80195.675694979334</v>
      </c>
      <c r="AK264">
        <v>801.95675694979332</v>
      </c>
      <c r="AL264">
        <v>80997.632451929123</v>
      </c>
      <c r="AM264">
        <v>1619.9526490385824</v>
      </c>
      <c r="AN264">
        <v>82617.585100967699</v>
      </c>
      <c r="AP264">
        <v>82617.585100967699</v>
      </c>
      <c r="AQ264">
        <v>2478.527553029031</v>
      </c>
      <c r="AR264">
        <v>85096.112653996737</v>
      </c>
      <c r="AT264">
        <v>85096.112653996737</v>
      </c>
      <c r="AU264">
        <v>2552.8833796199019</v>
      </c>
      <c r="AV264">
        <v>87648.99603361664</v>
      </c>
      <c r="AX264">
        <v>87648.99603361664</v>
      </c>
      <c r="AZ264">
        <v>87648.99603361664</v>
      </c>
      <c r="BB264">
        <v>87648.99603361664</v>
      </c>
      <c r="BD264">
        <v>87648.99603361664</v>
      </c>
      <c r="BF264">
        <v>87648.99603361664</v>
      </c>
      <c r="BH264">
        <v>87648.99603361664</v>
      </c>
      <c r="BI264">
        <v>4382.449801680832</v>
      </c>
      <c r="BJ264">
        <v>92031.445835297476</v>
      </c>
      <c r="BK264">
        <v>1000</v>
      </c>
      <c r="BL264">
        <v>93031.445835297476</v>
      </c>
      <c r="BM264">
        <v>1860.6289167059497</v>
      </c>
      <c r="BN264">
        <v>94892.07475200342</v>
      </c>
      <c r="BP264">
        <v>94892.07475200342</v>
      </c>
      <c r="BR264">
        <v>94892.07475200342</v>
      </c>
      <c r="BT264">
        <v>94892.07475200342</v>
      </c>
      <c r="BV264">
        <v>94892.07475200342</v>
      </c>
      <c r="BX264">
        <v>94892.07475200342</v>
      </c>
      <c r="BY264">
        <v>94892.07</v>
      </c>
      <c r="BZ264">
        <v>6448000</v>
      </c>
      <c r="CC264">
        <v>0</v>
      </c>
      <c r="CD264">
        <v>94893.303899926395</v>
      </c>
      <c r="CE264">
        <v>6448000</v>
      </c>
      <c r="CF264" t="s">
        <v>37</v>
      </c>
      <c r="CG264">
        <v>7500</v>
      </c>
      <c r="CH264">
        <v>102393.3038999264</v>
      </c>
      <c r="CI264">
        <v>509625</v>
      </c>
      <c r="CJ264">
        <v>6957625</v>
      </c>
      <c r="CN264">
        <v>0</v>
      </c>
      <c r="CO264" t="s">
        <v>39</v>
      </c>
      <c r="CP264" t="s">
        <v>39</v>
      </c>
      <c r="CQ264" t="b">
        <v>1</v>
      </c>
      <c r="CR264" t="s">
        <v>8950</v>
      </c>
      <c r="CT264" t="s">
        <v>8960</v>
      </c>
      <c r="CU264" t="s">
        <v>8971</v>
      </c>
      <c r="CV264" t="s">
        <v>6132</v>
      </c>
      <c r="CW264" t="s">
        <v>6652</v>
      </c>
      <c r="CX264" t="s">
        <v>3246</v>
      </c>
      <c r="CY264">
        <v>1.6499999999999917</v>
      </c>
      <c r="CZ264">
        <v>168948.9514348777</v>
      </c>
      <c r="DA264">
        <v>6957625</v>
      </c>
      <c r="DB264" t="s">
        <v>37</v>
      </c>
      <c r="DC264" t="b">
        <v>1</v>
      </c>
      <c r="DD264">
        <v>6957625</v>
      </c>
      <c r="DE264">
        <v>0</v>
      </c>
      <c r="DF264" t="b">
        <v>1</v>
      </c>
      <c r="DG264" s="420" cm="1">
        <f t="array" ref="DG264">_xlfn.XLOOKUP("Дом 4"&amp;Реестр_Д4[[#This Row],[№]]&amp;Реестр_Д4[[#This Row],[Статус]],РД[Дом]&amp;РД[№ кв]&amp;РД[Состояние],РД[Дата подачи на регистрацию],"-",0)</f>
        <v>45384</v>
      </c>
    </row>
    <row r="265" spans="1:111" x14ac:dyDescent="0.25">
      <c r="A265">
        <v>264</v>
      </c>
      <c r="B265" t="s">
        <v>16</v>
      </c>
      <c r="C265">
        <v>5</v>
      </c>
      <c r="D265" t="s">
        <v>44</v>
      </c>
      <c r="E265">
        <v>0</v>
      </c>
      <c r="F265">
        <v>19.22</v>
      </c>
      <c r="I265">
        <v>19.22</v>
      </c>
      <c r="J265">
        <v>9.57</v>
      </c>
      <c r="K265">
        <v>3.76</v>
      </c>
      <c r="N265">
        <v>2.56</v>
      </c>
      <c r="O265">
        <v>2.68</v>
      </c>
      <c r="Q265">
        <v>2.68</v>
      </c>
      <c r="R265">
        <v>37.79</v>
      </c>
      <c r="S265">
        <v>35.11</v>
      </c>
      <c r="T265">
        <v>36.450000000000003</v>
      </c>
      <c r="U265">
        <v>37.4</v>
      </c>
      <c r="V265">
        <v>76356</v>
      </c>
      <c r="W265">
        <v>3817.8</v>
      </c>
      <c r="X265">
        <v>80173.8</v>
      </c>
      <c r="Z265">
        <v>80173.8</v>
      </c>
      <c r="AB265">
        <v>80173.8</v>
      </c>
      <c r="AC265">
        <v>9.8613774000000003</v>
      </c>
      <c r="AD265">
        <v>80183.6613774</v>
      </c>
      <c r="AE265">
        <v>4009.1830688700002</v>
      </c>
      <c r="AF265">
        <v>84192.844446269999</v>
      </c>
      <c r="AH265">
        <v>84192.844446269999</v>
      </c>
      <c r="AJ265">
        <v>84192.844446269999</v>
      </c>
      <c r="AK265">
        <v>841.92844446269999</v>
      </c>
      <c r="AL265">
        <v>85034.772890732711</v>
      </c>
      <c r="AN265">
        <v>85034.772890732711</v>
      </c>
      <c r="AP265">
        <v>85034.772890732711</v>
      </c>
      <c r="AR265">
        <v>85034.772890732711</v>
      </c>
      <c r="AT265">
        <v>85034.772890732711</v>
      </c>
      <c r="AV265">
        <v>85034.772890732711</v>
      </c>
      <c r="AX265">
        <v>85034.772890732711</v>
      </c>
      <c r="AZ265">
        <v>85034.772890732711</v>
      </c>
      <c r="BB265">
        <v>85034.772890732711</v>
      </c>
      <c r="BD265">
        <v>85034.772890732711</v>
      </c>
      <c r="BF265">
        <v>85034.772890732711</v>
      </c>
      <c r="BH265">
        <v>85034.772890732711</v>
      </c>
      <c r="BJ265">
        <v>85034.772890732711</v>
      </c>
      <c r="BL265">
        <v>85034.772890732711</v>
      </c>
      <c r="BN265">
        <v>85034.772890732711</v>
      </c>
      <c r="BP265">
        <v>85034.772890732711</v>
      </c>
      <c r="BR265">
        <v>85034.772890732711</v>
      </c>
      <c r="BT265">
        <v>85034.772890732711</v>
      </c>
      <c r="BV265">
        <v>85034.772890732711</v>
      </c>
      <c r="BX265">
        <v>85034.772890732711</v>
      </c>
      <c r="BY265">
        <v>85034.77</v>
      </c>
      <c r="BZ265">
        <v>3099517.37</v>
      </c>
      <c r="CC265">
        <v>0</v>
      </c>
      <c r="CD265">
        <v>85034.770096021937</v>
      </c>
      <c r="CE265">
        <v>3099517.37</v>
      </c>
      <c r="CF265" t="s">
        <v>37</v>
      </c>
      <c r="CG265">
        <v>4000</v>
      </c>
      <c r="CH265">
        <v>89034.770096021937</v>
      </c>
      <c r="CI265">
        <v>145800</v>
      </c>
      <c r="CJ265">
        <v>3245317.37</v>
      </c>
      <c r="CN265">
        <v>0</v>
      </c>
      <c r="CO265" t="s">
        <v>39</v>
      </c>
      <c r="CP265" t="s">
        <v>39</v>
      </c>
      <c r="CQ265" t="b">
        <v>1</v>
      </c>
      <c r="CR265" t="s">
        <v>8950</v>
      </c>
      <c r="CT265" t="s">
        <v>8960</v>
      </c>
      <c r="CU265" t="s">
        <v>8970</v>
      </c>
      <c r="CV265" t="s">
        <v>6133</v>
      </c>
      <c r="CW265" t="s">
        <v>4895</v>
      </c>
      <c r="CX265" t="s">
        <v>3246</v>
      </c>
      <c r="CY265">
        <v>0.94999999999999563</v>
      </c>
      <c r="CZ265">
        <v>84583.031591220468</v>
      </c>
      <c r="DA265">
        <v>3245317.37</v>
      </c>
      <c r="DB265" t="s">
        <v>37</v>
      </c>
      <c r="DC265" t="b">
        <v>1</v>
      </c>
      <c r="DD265">
        <v>3245317.37</v>
      </c>
      <c r="DE265">
        <v>0</v>
      </c>
      <c r="DF265" t="b">
        <v>1</v>
      </c>
      <c r="DG265" s="420" cm="1">
        <f t="array" ref="DG265">_xlfn.XLOOKUP("Дом 4"&amp;Реестр_Д4[[#This Row],[№]]&amp;Реестр_Д4[[#This Row],[Статус]],РД[Дом]&amp;РД[№ кв]&amp;РД[Состояние],РД[Дата подачи на регистрацию],"-",0)</f>
        <v>45021</v>
      </c>
    </row>
    <row r="266" spans="1:111" x14ac:dyDescent="0.25">
      <c r="A266">
        <v>265</v>
      </c>
      <c r="B266" t="s">
        <v>16</v>
      </c>
      <c r="C266">
        <v>5</v>
      </c>
      <c r="D266" t="s">
        <v>45</v>
      </c>
      <c r="E266">
        <v>2</v>
      </c>
      <c r="F266">
        <v>18.12</v>
      </c>
      <c r="G266">
        <v>9.8800000000000008</v>
      </c>
      <c r="I266">
        <v>28</v>
      </c>
      <c r="J266">
        <v>15.3</v>
      </c>
      <c r="K266">
        <v>3.49</v>
      </c>
      <c r="L266">
        <v>2.34</v>
      </c>
      <c r="N266">
        <v>8.1</v>
      </c>
      <c r="O266">
        <v>2.63</v>
      </c>
      <c r="Q266">
        <v>2.63</v>
      </c>
      <c r="R266">
        <v>59.86</v>
      </c>
      <c r="S266">
        <v>57.23</v>
      </c>
      <c r="T266">
        <v>58.55</v>
      </c>
      <c r="U266">
        <v>60.400000000000006</v>
      </c>
      <c r="V266">
        <v>67972.800000000003</v>
      </c>
      <c r="W266">
        <v>3398.6400000000003</v>
      </c>
      <c r="X266">
        <v>71371.44</v>
      </c>
      <c r="Z266">
        <v>71371.44</v>
      </c>
      <c r="AA266">
        <v>3568.5720000000001</v>
      </c>
      <c r="AB266">
        <v>74940.012000000002</v>
      </c>
      <c r="AC266">
        <v>9.2176214760000015</v>
      </c>
      <c r="AD266">
        <v>74949.229621475999</v>
      </c>
      <c r="AF266">
        <v>74949.229621475999</v>
      </c>
      <c r="AH266">
        <v>74949.229621475999</v>
      </c>
      <c r="AJ266">
        <v>74949.229621475999</v>
      </c>
      <c r="AL266">
        <v>74949.229621475999</v>
      </c>
      <c r="AN266">
        <v>74949.229621475999</v>
      </c>
      <c r="AP266">
        <v>74949.229621475999</v>
      </c>
      <c r="AR266">
        <v>74949.229621475999</v>
      </c>
      <c r="AT266">
        <v>74949.229621475999</v>
      </c>
      <c r="AV266">
        <v>74949.229621475999</v>
      </c>
      <c r="AX266">
        <v>74949.229621475999</v>
      </c>
      <c r="AZ266">
        <v>74949.229621475999</v>
      </c>
      <c r="BB266">
        <v>74949.229621475999</v>
      </c>
      <c r="BD266">
        <v>74949.229621475999</v>
      </c>
      <c r="BF266">
        <v>74949.229621475999</v>
      </c>
      <c r="BH266">
        <v>74949.229621475999</v>
      </c>
      <c r="BJ266">
        <v>74949.229621475999</v>
      </c>
      <c r="BL266">
        <v>74949.229621475999</v>
      </c>
      <c r="BN266">
        <v>74949.229621475999</v>
      </c>
      <c r="BP266">
        <v>74949.229621475999</v>
      </c>
      <c r="BR266">
        <v>74949.229621475999</v>
      </c>
      <c r="BT266">
        <v>74949.229621475999</v>
      </c>
      <c r="BV266">
        <v>74949.229621475999</v>
      </c>
      <c r="BX266">
        <v>74949.229621475999</v>
      </c>
      <c r="BY266">
        <v>74949.23</v>
      </c>
      <c r="BZ266">
        <v>4388277.42</v>
      </c>
      <c r="CB266">
        <v>0.05</v>
      </c>
      <c r="CC266">
        <v>219413.87100000001</v>
      </c>
      <c r="CD266">
        <v>71201.768573868496</v>
      </c>
      <c r="CE266">
        <v>4168863.55</v>
      </c>
      <c r="CF266" t="s">
        <v>38</v>
      </c>
      <c r="CG266">
        <v>15000</v>
      </c>
      <c r="CH266">
        <v>86201.768573868496</v>
      </c>
      <c r="CI266">
        <v>878250</v>
      </c>
      <c r="CJ266">
        <v>5047113.55</v>
      </c>
      <c r="CL266" t="s">
        <v>3540</v>
      </c>
      <c r="CN266">
        <v>0</v>
      </c>
      <c r="CO266" t="s">
        <v>39</v>
      </c>
      <c r="CP266" t="s">
        <v>39</v>
      </c>
      <c r="CQ266" t="b">
        <v>1</v>
      </c>
      <c r="CR266" t="s">
        <v>8950</v>
      </c>
      <c r="CT266" t="s">
        <v>8960</v>
      </c>
      <c r="CU266" t="s">
        <v>8971</v>
      </c>
      <c r="CV266" t="s">
        <v>6134</v>
      </c>
      <c r="CW266" t="s">
        <v>4895</v>
      </c>
      <c r="CX266" t="s">
        <v>3246</v>
      </c>
      <c r="CY266">
        <v>1.8500000000000083</v>
      </c>
      <c r="CZ266">
        <v>159473.27186165744</v>
      </c>
      <c r="DA266">
        <v>5047113.55</v>
      </c>
      <c r="DB266" t="s">
        <v>38</v>
      </c>
      <c r="DC266" t="b">
        <v>1</v>
      </c>
      <c r="DD266">
        <v>5047113.55</v>
      </c>
      <c r="DE266">
        <v>0</v>
      </c>
      <c r="DF266" t="b">
        <v>1</v>
      </c>
      <c r="DG266" s="420" cm="1">
        <f t="array" ref="DG266">_xlfn.XLOOKUP("Дом 4"&amp;Реестр_Д4[[#This Row],[№]]&amp;Реестр_Д4[[#This Row],[Статус]],РД[Дом]&amp;РД[№ кв]&amp;РД[Состояние],РД[Дата подачи на регистрацию],"-",0)</f>
        <v>44956</v>
      </c>
    </row>
    <row r="267" spans="1:111" x14ac:dyDescent="0.25">
      <c r="A267">
        <v>266</v>
      </c>
      <c r="B267" t="s">
        <v>16</v>
      </c>
      <c r="C267">
        <v>5</v>
      </c>
      <c r="D267" t="s">
        <v>3351</v>
      </c>
      <c r="E267">
        <v>2</v>
      </c>
      <c r="F267">
        <v>15.36</v>
      </c>
      <c r="G267">
        <v>9.8699999999999992</v>
      </c>
      <c r="I267">
        <v>25.23</v>
      </c>
      <c r="J267">
        <v>16.260000000000002</v>
      </c>
      <c r="K267">
        <v>3.74</v>
      </c>
      <c r="L267">
        <v>2.09</v>
      </c>
      <c r="N267">
        <v>8.06</v>
      </c>
      <c r="O267">
        <v>2.63</v>
      </c>
      <c r="Q267">
        <v>2.63</v>
      </c>
      <c r="R267">
        <v>58.01</v>
      </c>
      <c r="S267">
        <v>55.379999999999995</v>
      </c>
      <c r="T267">
        <v>56.7</v>
      </c>
      <c r="U267">
        <v>58.3</v>
      </c>
      <c r="V267">
        <v>67972.800000000003</v>
      </c>
      <c r="W267">
        <v>3398.6400000000003</v>
      </c>
      <c r="X267">
        <v>71371.44</v>
      </c>
      <c r="Z267">
        <v>71371.44</v>
      </c>
      <c r="AB267">
        <v>71371.44</v>
      </c>
      <c r="AD267">
        <v>71371.44</v>
      </c>
      <c r="AF267">
        <v>71371.44</v>
      </c>
      <c r="AH267">
        <v>71371.44</v>
      </c>
      <c r="AJ267">
        <v>71371.44</v>
      </c>
      <c r="AL267">
        <v>71371.44</v>
      </c>
      <c r="AN267">
        <v>71371.44</v>
      </c>
      <c r="AP267">
        <v>71371.44</v>
      </c>
      <c r="AR267">
        <v>71371.44</v>
      </c>
      <c r="AT267">
        <v>71371.44</v>
      </c>
      <c r="AV267">
        <v>71371.44</v>
      </c>
      <c r="AX267">
        <v>71371.44</v>
      </c>
      <c r="AZ267">
        <v>71371.44</v>
      </c>
      <c r="BB267">
        <v>71371.44</v>
      </c>
      <c r="BD267">
        <v>71371.44</v>
      </c>
      <c r="BF267">
        <v>71371.44</v>
      </c>
      <c r="BH267">
        <v>71371.44</v>
      </c>
      <c r="BJ267">
        <v>71371.44</v>
      </c>
      <c r="BL267">
        <v>71371.44</v>
      </c>
      <c r="BN267">
        <v>71371.44</v>
      </c>
      <c r="BP267">
        <v>71371.44</v>
      </c>
      <c r="BR267">
        <v>71371.44</v>
      </c>
      <c r="BT267">
        <v>71371.44</v>
      </c>
      <c r="BV267">
        <v>71371.44</v>
      </c>
      <c r="BX267">
        <v>71371.44</v>
      </c>
      <c r="BY267">
        <v>71371.44</v>
      </c>
      <c r="BZ267">
        <v>4046760.65</v>
      </c>
      <c r="CB267">
        <v>0.05</v>
      </c>
      <c r="CC267">
        <v>202338.0325</v>
      </c>
      <c r="CD267">
        <v>67802.870017636684</v>
      </c>
      <c r="CE267">
        <v>3844422.73</v>
      </c>
      <c r="CF267" t="s">
        <v>36</v>
      </c>
      <c r="CH267">
        <v>67802.870017636684</v>
      </c>
      <c r="CI267">
        <v>0</v>
      </c>
      <c r="CJ267">
        <v>3844422.73</v>
      </c>
      <c r="CL267" t="s">
        <v>3540</v>
      </c>
      <c r="CN267">
        <v>0</v>
      </c>
      <c r="CO267" t="s">
        <v>39</v>
      </c>
      <c r="CP267" t="s">
        <v>39</v>
      </c>
      <c r="CQ267" t="b">
        <v>1</v>
      </c>
      <c r="CR267" t="s">
        <v>8950</v>
      </c>
      <c r="CT267" t="s">
        <v>8960</v>
      </c>
      <c r="CU267" t="s">
        <v>8971</v>
      </c>
      <c r="CV267" t="s">
        <v>6135</v>
      </c>
      <c r="CW267" t="s">
        <v>4895</v>
      </c>
      <c r="CX267" t="s">
        <v>3246</v>
      </c>
      <c r="CY267">
        <v>1.5999999999999943</v>
      </c>
      <c r="CZ267">
        <v>108484.59202821832</v>
      </c>
      <c r="DA267">
        <v>3844422.73</v>
      </c>
      <c r="DB267" t="s">
        <v>36</v>
      </c>
      <c r="DC267" t="b">
        <v>1</v>
      </c>
      <c r="DD267">
        <v>3844422.73</v>
      </c>
      <c r="DE267">
        <v>0</v>
      </c>
      <c r="DF267" t="b">
        <v>1</v>
      </c>
      <c r="DG267" s="420" cm="1">
        <f t="array" ref="DG267">_xlfn.XLOOKUP("Дом 4"&amp;Реестр_Д4[[#This Row],[№]]&amp;Реестр_Д4[[#This Row],[Статус]],РД[Дом]&amp;РД[№ кв]&amp;РД[Состояние],РД[Дата подачи на регистрацию],"-",0)</f>
        <v>44851</v>
      </c>
    </row>
    <row r="268" spans="1:111" x14ac:dyDescent="0.25">
      <c r="A268">
        <v>267</v>
      </c>
      <c r="B268" t="s">
        <v>16</v>
      </c>
      <c r="C268">
        <v>5</v>
      </c>
      <c r="D268" t="s">
        <v>3352</v>
      </c>
      <c r="E268">
        <v>3</v>
      </c>
      <c r="F268">
        <v>16.27</v>
      </c>
      <c r="G268">
        <v>10.96</v>
      </c>
      <c r="H268">
        <v>10.7</v>
      </c>
      <c r="I268">
        <v>37.93</v>
      </c>
      <c r="J268">
        <v>13.42</v>
      </c>
      <c r="K268">
        <v>4.53</v>
      </c>
      <c r="L268">
        <v>2.27</v>
      </c>
      <c r="N268">
        <v>12.94</v>
      </c>
      <c r="O268">
        <v>2.83</v>
      </c>
      <c r="Q268">
        <v>2.83</v>
      </c>
      <c r="R268">
        <v>73.92</v>
      </c>
      <c r="S268">
        <v>71.09</v>
      </c>
      <c r="T268">
        <v>72.510000000000005</v>
      </c>
      <c r="U268">
        <v>74.599999999999994</v>
      </c>
      <c r="V268">
        <v>68364.800000000003</v>
      </c>
      <c r="W268">
        <v>3418.24</v>
      </c>
      <c r="X268">
        <v>71783.040000000008</v>
      </c>
      <c r="Z268">
        <v>71783.040000000008</v>
      </c>
      <c r="AB268">
        <v>71783.040000000008</v>
      </c>
      <c r="AC268">
        <v>8.8293139200000024</v>
      </c>
      <c r="AD268">
        <v>71791.869313920004</v>
      </c>
      <c r="AF268">
        <v>71791.869313920004</v>
      </c>
      <c r="AH268">
        <v>71791.869313920004</v>
      </c>
      <c r="AI268">
        <v>2153.7560794176002</v>
      </c>
      <c r="AJ268">
        <v>73945.625393337599</v>
      </c>
      <c r="AK268">
        <v>739.45625393337605</v>
      </c>
      <c r="AL268">
        <v>74685.08164727097</v>
      </c>
      <c r="AM268">
        <v>1493.7016329454195</v>
      </c>
      <c r="AN268">
        <v>76178.78328021639</v>
      </c>
      <c r="AP268">
        <v>76178.78328021639</v>
      </c>
      <c r="AQ268">
        <v>2285.3634984064915</v>
      </c>
      <c r="AR268">
        <v>78464.146778622875</v>
      </c>
      <c r="AT268">
        <v>78464.146778622875</v>
      </c>
      <c r="AV268">
        <v>78464.146778622875</v>
      </c>
      <c r="AX268">
        <v>78464.146778622875</v>
      </c>
      <c r="AZ268">
        <v>78464.146778622875</v>
      </c>
      <c r="BB268">
        <v>78464.146778622875</v>
      </c>
      <c r="BD268">
        <v>78464.146778622875</v>
      </c>
      <c r="BF268">
        <v>78464.146778622875</v>
      </c>
      <c r="BH268">
        <v>78464.146778622875</v>
      </c>
      <c r="BJ268">
        <v>78464.146778622875</v>
      </c>
      <c r="BL268">
        <v>78464.146778622875</v>
      </c>
      <c r="BN268">
        <v>78464.146778622875</v>
      </c>
      <c r="BP268">
        <v>78464.146778622875</v>
      </c>
      <c r="BR268">
        <v>78464.146778622875</v>
      </c>
      <c r="BT268">
        <v>78464.146778622875</v>
      </c>
      <c r="BV268">
        <v>78464.146778622875</v>
      </c>
      <c r="BX268">
        <v>78464.146778622875</v>
      </c>
      <c r="BY268">
        <v>78464.149999999994</v>
      </c>
      <c r="BZ268">
        <v>5689435.5199999996</v>
      </c>
      <c r="CB268">
        <v>0.06</v>
      </c>
      <c r="CC268">
        <v>341366.13119999995</v>
      </c>
      <c r="CD268">
        <v>73756.301061922481</v>
      </c>
      <c r="CE268">
        <v>5348069.3899999997</v>
      </c>
      <c r="CF268" t="s">
        <v>36</v>
      </c>
      <c r="CH268">
        <v>73756.301061922481</v>
      </c>
      <c r="CI268">
        <v>0</v>
      </c>
      <c r="CJ268">
        <v>5348069.3899999997</v>
      </c>
      <c r="CL268" t="s">
        <v>978</v>
      </c>
      <c r="CN268">
        <v>0</v>
      </c>
      <c r="CO268" t="s">
        <v>39</v>
      </c>
      <c r="CP268" t="s">
        <v>39</v>
      </c>
      <c r="CQ268" t="b">
        <v>1</v>
      </c>
      <c r="CR268" t="s">
        <v>8950</v>
      </c>
      <c r="CT268" t="s">
        <v>8960</v>
      </c>
      <c r="CU268" t="s">
        <v>8975</v>
      </c>
      <c r="CV268" t="s">
        <v>6136</v>
      </c>
      <c r="CW268" t="s">
        <v>4895</v>
      </c>
      <c r="CX268" t="s">
        <v>3246</v>
      </c>
      <c r="CY268">
        <v>2.0899999999999892</v>
      </c>
      <c r="CZ268">
        <v>154150.66921941718</v>
      </c>
      <c r="DA268">
        <v>5348069.3899999997</v>
      </c>
      <c r="DB268" t="s">
        <v>36</v>
      </c>
      <c r="DC268" t="b">
        <v>1</v>
      </c>
      <c r="DD268">
        <v>5348069.3899999997</v>
      </c>
      <c r="DE268">
        <v>0</v>
      </c>
      <c r="DF268" t="b">
        <v>1</v>
      </c>
      <c r="DG268" s="420" cm="1">
        <f t="array" ref="DG268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269" spans="1:111" x14ac:dyDescent="0.25">
      <c r="A269">
        <v>268</v>
      </c>
      <c r="B269" t="s">
        <v>16</v>
      </c>
      <c r="C269">
        <v>5</v>
      </c>
      <c r="D269" t="s">
        <v>3353</v>
      </c>
      <c r="E269">
        <v>1</v>
      </c>
      <c r="F269">
        <v>10.68</v>
      </c>
      <c r="I269">
        <v>10.68</v>
      </c>
      <c r="J269">
        <v>12.75</v>
      </c>
      <c r="K269">
        <v>3.65</v>
      </c>
      <c r="N269">
        <v>5.45</v>
      </c>
      <c r="O269">
        <v>2.62</v>
      </c>
      <c r="Q269">
        <v>2.62</v>
      </c>
      <c r="R269">
        <v>35.15</v>
      </c>
      <c r="S269">
        <v>32.53</v>
      </c>
      <c r="T269">
        <v>33.840000000000003</v>
      </c>
      <c r="U269">
        <v>34.699999999999996</v>
      </c>
      <c r="V269">
        <v>70700</v>
      </c>
      <c r="W269">
        <v>3535</v>
      </c>
      <c r="X269">
        <v>74235</v>
      </c>
      <c r="Z269">
        <v>74235</v>
      </c>
      <c r="AB269">
        <v>74235</v>
      </c>
      <c r="AD269">
        <v>74235</v>
      </c>
      <c r="AF269">
        <v>74235</v>
      </c>
      <c r="AH269">
        <v>74235</v>
      </c>
      <c r="AJ269">
        <v>74235</v>
      </c>
      <c r="AL269">
        <v>74235</v>
      </c>
      <c r="AN269">
        <v>74235</v>
      </c>
      <c r="AP269">
        <v>74235</v>
      </c>
      <c r="AR269">
        <v>74235</v>
      </c>
      <c r="AT269">
        <v>74235</v>
      </c>
      <c r="AV269">
        <v>74235</v>
      </c>
      <c r="AX269">
        <v>74235</v>
      </c>
      <c r="AZ269">
        <v>74235</v>
      </c>
      <c r="BB269">
        <v>74235</v>
      </c>
      <c r="BD269">
        <v>74235</v>
      </c>
      <c r="BF269">
        <v>74235</v>
      </c>
      <c r="BH269">
        <v>74235</v>
      </c>
      <c r="BJ269">
        <v>74235</v>
      </c>
      <c r="BL269">
        <v>74235</v>
      </c>
      <c r="BN269">
        <v>74235</v>
      </c>
      <c r="BP269">
        <v>74235</v>
      </c>
      <c r="BR269">
        <v>74235</v>
      </c>
      <c r="BT269">
        <v>74235</v>
      </c>
      <c r="BV269">
        <v>74235</v>
      </c>
      <c r="BX269">
        <v>74235</v>
      </c>
      <c r="BY269">
        <v>74235</v>
      </c>
      <c r="BZ269">
        <v>2512112.4</v>
      </c>
      <c r="CC269">
        <v>0</v>
      </c>
      <c r="CD269">
        <v>74234.999999999985</v>
      </c>
      <c r="CE269">
        <v>2512112.4</v>
      </c>
      <c r="CF269" t="s">
        <v>37</v>
      </c>
      <c r="CG269">
        <v>7500</v>
      </c>
      <c r="CH269">
        <v>81734.999999999985</v>
      </c>
      <c r="CI269">
        <v>253800</v>
      </c>
      <c r="CJ269">
        <v>2765912.4</v>
      </c>
      <c r="CK269" t="s">
        <v>57</v>
      </c>
      <c r="CN269">
        <v>0</v>
      </c>
      <c r="CO269" t="s">
        <v>39</v>
      </c>
      <c r="CP269" t="s">
        <v>39</v>
      </c>
      <c r="CQ269" t="b">
        <v>1</v>
      </c>
      <c r="CR269" t="s">
        <v>8950</v>
      </c>
      <c r="CT269" t="s">
        <v>8960</v>
      </c>
      <c r="CU269" t="s">
        <v>8973</v>
      </c>
      <c r="CV269" t="s">
        <v>6137</v>
      </c>
      <c r="CW269" t="s">
        <v>4895</v>
      </c>
      <c r="CX269" t="s">
        <v>3246</v>
      </c>
      <c r="CY269">
        <v>0.85999999999999233</v>
      </c>
      <c r="CZ269">
        <v>70292.099999999366</v>
      </c>
      <c r="DA269">
        <v>2765912.4</v>
      </c>
      <c r="DB269" t="s">
        <v>37</v>
      </c>
      <c r="DC269" t="b">
        <v>1</v>
      </c>
      <c r="DD269">
        <v>2765912.4</v>
      </c>
      <c r="DE269">
        <v>0</v>
      </c>
      <c r="DF269" t="b">
        <v>1</v>
      </c>
      <c r="DG269" s="420" cm="1">
        <f t="array" ref="DG269">_xlfn.XLOOKUP("Дом 4"&amp;Реестр_Д4[[#This Row],[№]]&amp;Реестр_Д4[[#This Row],[Статус]],РД[Дом]&amp;РД[№ кв]&amp;РД[Состояние],РД[Дата подачи на регистрацию],"-",0)</f>
        <v>44788</v>
      </c>
    </row>
    <row r="270" spans="1:111" x14ac:dyDescent="0.25">
      <c r="A270">
        <v>269</v>
      </c>
      <c r="B270" t="s">
        <v>16</v>
      </c>
      <c r="C270">
        <v>6</v>
      </c>
      <c r="D270" t="s">
        <v>42</v>
      </c>
      <c r="E270">
        <v>0</v>
      </c>
      <c r="F270">
        <v>14.73</v>
      </c>
      <c r="I270">
        <v>14.73</v>
      </c>
      <c r="J270">
        <v>5.74</v>
      </c>
      <c r="K270">
        <v>3.61</v>
      </c>
      <c r="N270">
        <v>3.6</v>
      </c>
      <c r="O270">
        <v>3.34</v>
      </c>
      <c r="Q270">
        <v>3.34</v>
      </c>
      <c r="R270">
        <v>31.02</v>
      </c>
      <c r="S270">
        <v>27.68</v>
      </c>
      <c r="T270">
        <v>29.35</v>
      </c>
      <c r="U270">
        <v>30.2</v>
      </c>
      <c r="V270">
        <v>75600</v>
      </c>
      <c r="W270">
        <v>3780</v>
      </c>
      <c r="X270">
        <v>79380</v>
      </c>
      <c r="Z270">
        <v>79380</v>
      </c>
      <c r="AB270">
        <v>79380</v>
      </c>
      <c r="AD270">
        <v>79380</v>
      </c>
      <c r="AF270">
        <v>79380</v>
      </c>
      <c r="AH270">
        <v>79380</v>
      </c>
      <c r="AJ270">
        <v>79380</v>
      </c>
      <c r="AL270">
        <v>79380</v>
      </c>
      <c r="AN270">
        <v>79380</v>
      </c>
      <c r="AP270">
        <v>79380</v>
      </c>
      <c r="AR270">
        <v>79380</v>
      </c>
      <c r="AT270">
        <v>79380</v>
      </c>
      <c r="AV270">
        <v>79380</v>
      </c>
      <c r="AX270">
        <v>79380</v>
      </c>
      <c r="AZ270">
        <v>79380</v>
      </c>
      <c r="BB270">
        <v>79380</v>
      </c>
      <c r="BD270">
        <v>79380</v>
      </c>
      <c r="BF270">
        <v>79380</v>
      </c>
      <c r="BH270">
        <v>79380</v>
      </c>
      <c r="BJ270">
        <v>79380</v>
      </c>
      <c r="BL270">
        <v>79380</v>
      </c>
      <c r="BN270">
        <v>79380</v>
      </c>
      <c r="BP270">
        <v>79380</v>
      </c>
      <c r="BR270">
        <v>79380</v>
      </c>
      <c r="BT270">
        <v>79380</v>
      </c>
      <c r="BV270">
        <v>79380</v>
      </c>
      <c r="BX270">
        <v>79380</v>
      </c>
      <c r="BY270">
        <v>79380</v>
      </c>
      <c r="BZ270">
        <v>2329803</v>
      </c>
      <c r="CC270">
        <v>0</v>
      </c>
      <c r="CD270">
        <v>79380</v>
      </c>
      <c r="CE270">
        <v>2329803</v>
      </c>
      <c r="CF270" t="s">
        <v>36</v>
      </c>
      <c r="CH270">
        <v>79380</v>
      </c>
      <c r="CI270">
        <v>0</v>
      </c>
      <c r="CJ270">
        <v>2329803</v>
      </c>
      <c r="CN270">
        <v>0</v>
      </c>
      <c r="CO270" t="s">
        <v>39</v>
      </c>
      <c r="CP270" t="s">
        <v>39</v>
      </c>
      <c r="CQ270" t="b">
        <v>1</v>
      </c>
      <c r="CR270" t="s">
        <v>8950</v>
      </c>
      <c r="CT270" t="s">
        <v>8960</v>
      </c>
      <c r="CU270" t="s">
        <v>8970</v>
      </c>
      <c r="CV270" t="s">
        <v>6138</v>
      </c>
      <c r="CW270" t="s">
        <v>4895</v>
      </c>
      <c r="CX270" t="s">
        <v>3246</v>
      </c>
      <c r="CY270">
        <v>0.84999999999999787</v>
      </c>
      <c r="CZ270">
        <v>67472.999999999825</v>
      </c>
      <c r="DA270">
        <v>2329803</v>
      </c>
      <c r="DB270" t="s">
        <v>36</v>
      </c>
      <c r="DC270" t="b">
        <v>1</v>
      </c>
      <c r="DD270">
        <v>2329803</v>
      </c>
      <c r="DE270">
        <v>0</v>
      </c>
      <c r="DF270" t="b">
        <v>1</v>
      </c>
      <c r="DG270" s="420" cm="1">
        <f t="array" ref="DG270">_xlfn.XLOOKUP("Дом 4"&amp;Реестр_Д4[[#This Row],[№]]&amp;Реестр_Д4[[#This Row],[Статус]],РД[Дом]&amp;РД[№ кв]&amp;РД[Состояние],РД[Дата подачи на регистрацию],"-",0)</f>
        <v>44816</v>
      </c>
    </row>
    <row r="271" spans="1:111" x14ac:dyDescent="0.25">
      <c r="A271">
        <v>270</v>
      </c>
      <c r="B271" t="s">
        <v>16</v>
      </c>
      <c r="C271">
        <v>6</v>
      </c>
      <c r="D271" t="s">
        <v>43</v>
      </c>
      <c r="E271">
        <v>2</v>
      </c>
      <c r="F271">
        <v>17.22</v>
      </c>
      <c r="G271">
        <v>12.24</v>
      </c>
      <c r="I271">
        <v>29.46</v>
      </c>
      <c r="J271">
        <v>17.010000000000002</v>
      </c>
      <c r="K271">
        <v>3.67</v>
      </c>
      <c r="L271">
        <v>2.4</v>
      </c>
      <c r="N271">
        <v>12.71</v>
      </c>
      <c r="O271">
        <v>2.61</v>
      </c>
      <c r="P271">
        <v>2.78</v>
      </c>
      <c r="Q271">
        <v>5.39</v>
      </c>
      <c r="R271">
        <v>70.64</v>
      </c>
      <c r="S271">
        <v>65.25</v>
      </c>
      <c r="T271">
        <v>67.95</v>
      </c>
      <c r="U271">
        <v>69.5</v>
      </c>
      <c r="V271">
        <v>71304.800000000003</v>
      </c>
      <c r="W271">
        <v>3565.24</v>
      </c>
      <c r="X271">
        <v>74870.039999999994</v>
      </c>
      <c r="Z271">
        <v>74870.039999999994</v>
      </c>
      <c r="AA271">
        <v>3743.502</v>
      </c>
      <c r="AB271">
        <v>78613.542000000016</v>
      </c>
      <c r="AC271">
        <v>9.6694656660000025</v>
      </c>
      <c r="AD271">
        <v>78623.211465666012</v>
      </c>
      <c r="AF271">
        <v>78623.211465666012</v>
      </c>
      <c r="AH271">
        <v>78623.211465666012</v>
      </c>
      <c r="AI271">
        <v>1572.4642293133202</v>
      </c>
      <c r="AJ271">
        <v>80195.675694979334</v>
      </c>
      <c r="AK271">
        <v>801.95675694979332</v>
      </c>
      <c r="AL271">
        <v>80997.632451929123</v>
      </c>
      <c r="AM271">
        <v>1619.9526490385824</v>
      </c>
      <c r="AN271">
        <v>82617.585100967699</v>
      </c>
      <c r="AP271">
        <v>82617.585100967699</v>
      </c>
      <c r="AQ271">
        <v>2478.527553029031</v>
      </c>
      <c r="AR271">
        <v>85096.112653996737</v>
      </c>
      <c r="AT271">
        <v>85096.112653996737</v>
      </c>
      <c r="AU271">
        <v>2552.8833796199019</v>
      </c>
      <c r="AV271">
        <v>87648.99603361664</v>
      </c>
      <c r="AX271">
        <v>87648.99603361664</v>
      </c>
      <c r="AZ271">
        <v>87648.99603361664</v>
      </c>
      <c r="BB271">
        <v>87648.99603361664</v>
      </c>
      <c r="BD271">
        <v>87648.99603361664</v>
      </c>
      <c r="BF271">
        <v>87648.99603361664</v>
      </c>
      <c r="BH271">
        <v>87648.99603361664</v>
      </c>
      <c r="BJ271">
        <v>87648.99603361664</v>
      </c>
      <c r="BL271">
        <v>87648.99603361664</v>
      </c>
      <c r="BN271">
        <v>87648.99603361664</v>
      </c>
      <c r="BP271">
        <v>87648.99603361664</v>
      </c>
      <c r="BR271">
        <v>87648.99603361664</v>
      </c>
      <c r="BT271">
        <v>87648.99603361664</v>
      </c>
      <c r="BV271">
        <v>87648.99603361664</v>
      </c>
      <c r="BX271">
        <v>87648.99603361664</v>
      </c>
      <c r="BY271">
        <v>87649</v>
      </c>
      <c r="BZ271">
        <v>5955749.5499999998</v>
      </c>
      <c r="CC271">
        <v>0</v>
      </c>
      <c r="CD271">
        <v>87649</v>
      </c>
      <c r="CE271">
        <v>5955749.5499999998</v>
      </c>
      <c r="CF271" t="s">
        <v>37</v>
      </c>
      <c r="CG271">
        <v>4500</v>
      </c>
      <c r="CH271">
        <v>92149</v>
      </c>
      <c r="CI271">
        <v>305775</v>
      </c>
      <c r="CJ271">
        <v>6261524.5499999998</v>
      </c>
      <c r="CN271">
        <v>0</v>
      </c>
      <c r="CO271" t="s">
        <v>39</v>
      </c>
      <c r="CP271" t="s">
        <v>39</v>
      </c>
      <c r="CQ271" t="b">
        <v>1</v>
      </c>
      <c r="CR271" t="s">
        <v>8950</v>
      </c>
      <c r="CT271" t="s">
        <v>8960</v>
      </c>
      <c r="CU271" t="s">
        <v>8971</v>
      </c>
      <c r="CV271" t="s">
        <v>6139</v>
      </c>
      <c r="CW271" t="s">
        <v>4895</v>
      </c>
      <c r="CX271" t="s">
        <v>3246</v>
      </c>
      <c r="CY271">
        <v>1.5499999999999972</v>
      </c>
      <c r="CZ271">
        <v>142830.94999999975</v>
      </c>
      <c r="DA271">
        <v>6261524.5499999998</v>
      </c>
      <c r="DB271" t="s">
        <v>37</v>
      </c>
      <c r="DC271" t="b">
        <v>1</v>
      </c>
      <c r="DD271">
        <v>6261524.5499999998</v>
      </c>
      <c r="DE271">
        <v>0</v>
      </c>
      <c r="DF271" t="b">
        <v>1</v>
      </c>
      <c r="DG271" s="420" cm="1">
        <f t="array" ref="DG271">_xlfn.XLOOKUP("Дом 4"&amp;Реестр_Д4[[#This Row],[№]]&amp;Реестр_Д4[[#This Row],[Статус]],РД[Дом]&amp;РД[№ кв]&amp;РД[Состояние],РД[Дата подачи на регистрацию],"-",0)</f>
        <v>45176</v>
      </c>
    </row>
    <row r="272" spans="1:111" x14ac:dyDescent="0.25">
      <c r="A272">
        <v>271</v>
      </c>
      <c r="B272" t="s">
        <v>16</v>
      </c>
      <c r="C272">
        <v>6</v>
      </c>
      <c r="D272" t="s">
        <v>44</v>
      </c>
      <c r="E272">
        <v>0</v>
      </c>
      <c r="F272">
        <v>19.22</v>
      </c>
      <c r="I272">
        <v>19.22</v>
      </c>
      <c r="J272">
        <v>9.57</v>
      </c>
      <c r="K272">
        <v>3.76</v>
      </c>
      <c r="N272">
        <v>2.56</v>
      </c>
      <c r="O272">
        <v>2.68</v>
      </c>
      <c r="Q272">
        <v>2.68</v>
      </c>
      <c r="R272">
        <v>37.79</v>
      </c>
      <c r="S272">
        <v>35.11</v>
      </c>
      <c r="T272">
        <v>36.450000000000003</v>
      </c>
      <c r="U272">
        <v>37.299999999999997</v>
      </c>
      <c r="V272">
        <v>76356</v>
      </c>
      <c r="X272">
        <v>76356</v>
      </c>
      <c r="Z272">
        <v>76356</v>
      </c>
      <c r="AB272">
        <v>76356</v>
      </c>
      <c r="AD272">
        <v>76356</v>
      </c>
      <c r="AF272">
        <v>76356</v>
      </c>
      <c r="AH272">
        <v>76356</v>
      </c>
      <c r="AJ272">
        <v>76356</v>
      </c>
      <c r="AL272">
        <v>76356</v>
      </c>
      <c r="AN272">
        <v>76356</v>
      </c>
      <c r="AP272">
        <v>76356</v>
      </c>
      <c r="AR272">
        <v>76356</v>
      </c>
      <c r="AT272">
        <v>76356</v>
      </c>
      <c r="AV272">
        <v>76356</v>
      </c>
      <c r="AX272">
        <v>76356</v>
      </c>
      <c r="AZ272">
        <v>76356</v>
      </c>
      <c r="BB272">
        <v>76356</v>
      </c>
      <c r="BD272">
        <v>76356</v>
      </c>
      <c r="BF272">
        <v>76356</v>
      </c>
      <c r="BH272">
        <v>76356</v>
      </c>
      <c r="BJ272">
        <v>76356</v>
      </c>
      <c r="BL272">
        <v>76356</v>
      </c>
      <c r="BN272">
        <v>76356</v>
      </c>
      <c r="BP272">
        <v>76356</v>
      </c>
      <c r="BR272">
        <v>76356</v>
      </c>
      <c r="BT272">
        <v>76356</v>
      </c>
      <c r="BV272">
        <v>76356</v>
      </c>
      <c r="BX272">
        <v>76356</v>
      </c>
      <c r="BY272">
        <v>76356</v>
      </c>
      <c r="BZ272">
        <v>2783176.2</v>
      </c>
      <c r="CC272">
        <v>0</v>
      </c>
      <c r="CD272">
        <v>76356</v>
      </c>
      <c r="CE272">
        <v>2783176.2</v>
      </c>
      <c r="CF272" t="s">
        <v>36</v>
      </c>
      <c r="CH272">
        <v>76356</v>
      </c>
      <c r="CI272">
        <v>0</v>
      </c>
      <c r="CJ272">
        <v>2783176.2</v>
      </c>
      <c r="CN272">
        <v>0</v>
      </c>
      <c r="CO272" t="s">
        <v>39</v>
      </c>
      <c r="CP272" t="s">
        <v>39</v>
      </c>
      <c r="CQ272" t="b">
        <v>1</v>
      </c>
      <c r="CR272" t="s">
        <v>8950</v>
      </c>
      <c r="CT272" t="s">
        <v>8960</v>
      </c>
      <c r="CU272" t="s">
        <v>8970</v>
      </c>
      <c r="CV272" t="s">
        <v>6140</v>
      </c>
      <c r="CW272" t="s">
        <v>4895</v>
      </c>
      <c r="CX272" t="s">
        <v>3246</v>
      </c>
      <c r="CY272">
        <v>0.8499999999999942</v>
      </c>
      <c r="CZ272">
        <v>64902.599999999569</v>
      </c>
      <c r="DA272">
        <v>2783176.2</v>
      </c>
      <c r="DB272" t="s">
        <v>36</v>
      </c>
      <c r="DC272" t="b">
        <v>1</v>
      </c>
      <c r="DD272">
        <v>2783176.2</v>
      </c>
      <c r="DE272">
        <v>0</v>
      </c>
      <c r="DF272" t="b">
        <v>1</v>
      </c>
      <c r="DG272" s="420" cm="1">
        <f t="array" ref="DG272">_xlfn.XLOOKUP("Дом 4"&amp;Реестр_Д4[[#This Row],[№]]&amp;Реестр_Д4[[#This Row],[Статус]],РД[Дом]&amp;РД[№ кв]&amp;РД[Состояние],РД[Дата подачи на регистрацию],"-",0)</f>
        <v>44797</v>
      </c>
    </row>
    <row r="273" spans="1:111" x14ac:dyDescent="0.25">
      <c r="A273">
        <v>272</v>
      </c>
      <c r="B273" t="s">
        <v>16</v>
      </c>
      <c r="C273">
        <v>6</v>
      </c>
      <c r="D273" t="s">
        <v>45</v>
      </c>
      <c r="E273">
        <v>2</v>
      </c>
      <c r="F273">
        <v>18.12</v>
      </c>
      <c r="G273">
        <v>9.8800000000000008</v>
      </c>
      <c r="I273">
        <v>28</v>
      </c>
      <c r="J273">
        <v>15.3</v>
      </c>
      <c r="K273">
        <v>3.49</v>
      </c>
      <c r="L273">
        <v>2.34</v>
      </c>
      <c r="N273">
        <v>8.1</v>
      </c>
      <c r="O273">
        <v>2.63</v>
      </c>
      <c r="Q273">
        <v>2.63</v>
      </c>
      <c r="R273">
        <v>59.86</v>
      </c>
      <c r="S273">
        <v>57.23</v>
      </c>
      <c r="T273">
        <v>58.55</v>
      </c>
      <c r="U273">
        <v>60.5</v>
      </c>
      <c r="V273">
        <v>68639.199999999997</v>
      </c>
      <c r="W273">
        <v>3431.96</v>
      </c>
      <c r="X273">
        <v>72071.16</v>
      </c>
      <c r="Z273">
        <v>72071.16</v>
      </c>
      <c r="AA273">
        <v>3603.558</v>
      </c>
      <c r="AB273">
        <v>75674.717999999993</v>
      </c>
      <c r="AC273">
        <v>9.3079903140000013</v>
      </c>
      <c r="AD273">
        <v>75684.02599031401</v>
      </c>
      <c r="AF273">
        <v>75684.02599031401</v>
      </c>
      <c r="AH273">
        <v>75684.02599031401</v>
      </c>
      <c r="AI273">
        <v>1513.6805198062802</v>
      </c>
      <c r="AJ273">
        <v>77197.70651012029</v>
      </c>
      <c r="AK273">
        <v>771.97706510120292</v>
      </c>
      <c r="AL273">
        <v>77969.683575221497</v>
      </c>
      <c r="AM273">
        <v>1559.3936715044299</v>
      </c>
      <c r="AN273">
        <v>79529.077246725923</v>
      </c>
      <c r="AO273">
        <v>2385.8723174017778</v>
      </c>
      <c r="AP273">
        <v>81914.949564127703</v>
      </c>
      <c r="AQ273">
        <v>2457.4484869238308</v>
      </c>
      <c r="AR273">
        <v>84372.398051051539</v>
      </c>
      <c r="AT273">
        <v>84372.398051051539</v>
      </c>
      <c r="AV273">
        <v>84372.398051051539</v>
      </c>
      <c r="AX273">
        <v>84372.398051051539</v>
      </c>
      <c r="AZ273">
        <v>84372.398051051539</v>
      </c>
      <c r="BB273">
        <v>84372.398051051539</v>
      </c>
      <c r="BD273">
        <v>84372.398051051539</v>
      </c>
      <c r="BF273">
        <v>84372.398051051539</v>
      </c>
      <c r="BH273">
        <v>84372.398051051539</v>
      </c>
      <c r="BJ273">
        <v>84372.398051051539</v>
      </c>
      <c r="BL273">
        <v>84372.398051051539</v>
      </c>
      <c r="BN273">
        <v>84372.398051051539</v>
      </c>
      <c r="BP273">
        <v>84372.398051051539</v>
      </c>
      <c r="BR273">
        <v>84372.398051051539</v>
      </c>
      <c r="BT273">
        <v>84372.398051051539</v>
      </c>
      <c r="BV273">
        <v>84372.398051051539</v>
      </c>
      <c r="BX273">
        <v>84372.398051051539</v>
      </c>
      <c r="BY273">
        <v>84372.4</v>
      </c>
      <c r="BZ273">
        <v>4940004.0199999996</v>
      </c>
      <c r="CC273">
        <v>0</v>
      </c>
      <c r="CD273">
        <v>84372.4</v>
      </c>
      <c r="CE273">
        <v>4940004.0199999996</v>
      </c>
      <c r="CF273" t="s">
        <v>37</v>
      </c>
      <c r="CG273">
        <v>4500</v>
      </c>
      <c r="CH273">
        <v>88872.4</v>
      </c>
      <c r="CI273">
        <v>263475</v>
      </c>
      <c r="CJ273">
        <v>5203479.0199999996</v>
      </c>
      <c r="CN273">
        <v>0</v>
      </c>
      <c r="CO273" t="s">
        <v>39</v>
      </c>
      <c r="CP273" t="s">
        <v>39</v>
      </c>
      <c r="CQ273" t="b">
        <v>1</v>
      </c>
      <c r="CR273" t="s">
        <v>8950</v>
      </c>
      <c r="CT273" t="s">
        <v>8960</v>
      </c>
      <c r="CU273" t="s">
        <v>8971</v>
      </c>
      <c r="CV273" t="s">
        <v>6141</v>
      </c>
      <c r="CW273" t="s">
        <v>4895</v>
      </c>
      <c r="CX273" t="s">
        <v>3246</v>
      </c>
      <c r="CY273">
        <v>1.9500000000000028</v>
      </c>
      <c r="CZ273">
        <v>173301.18000000023</v>
      </c>
      <c r="DA273">
        <v>5203479.0199999996</v>
      </c>
      <c r="DB273" t="s">
        <v>37</v>
      </c>
      <c r="DC273" t="b">
        <v>1</v>
      </c>
      <c r="DD273">
        <v>5203479.0199999996</v>
      </c>
      <c r="DE273">
        <v>0</v>
      </c>
      <c r="DF273" t="b">
        <v>1</v>
      </c>
      <c r="DG273" s="420" cm="1">
        <f t="array" ref="DG273">_xlfn.XLOOKUP("Дом 4"&amp;Реестр_Д4[[#This Row],[№]]&amp;Реестр_Д4[[#This Row],[Статус]],РД[Дом]&amp;РД[№ кв]&amp;РД[Состояние],РД[Дата подачи на регистрацию],"-",0)</f>
        <v>45149</v>
      </c>
    </row>
    <row r="274" spans="1:111" x14ac:dyDescent="0.25">
      <c r="A274">
        <v>273</v>
      </c>
      <c r="B274" t="s">
        <v>16</v>
      </c>
      <c r="C274">
        <v>6</v>
      </c>
      <c r="D274" t="s">
        <v>3351</v>
      </c>
      <c r="E274">
        <v>2</v>
      </c>
      <c r="F274">
        <v>15.36</v>
      </c>
      <c r="G274">
        <v>9.8699999999999992</v>
      </c>
      <c r="I274">
        <v>25.23</v>
      </c>
      <c r="J274">
        <v>16.260000000000002</v>
      </c>
      <c r="K274">
        <v>3.74</v>
      </c>
      <c r="L274">
        <v>2.09</v>
      </c>
      <c r="N274">
        <v>8.06</v>
      </c>
      <c r="O274">
        <v>2.63</v>
      </c>
      <c r="Q274">
        <v>2.63</v>
      </c>
      <c r="R274">
        <v>58.01</v>
      </c>
      <c r="S274">
        <v>55.379999999999995</v>
      </c>
      <c r="T274">
        <v>56.7</v>
      </c>
      <c r="U274">
        <v>58.3</v>
      </c>
      <c r="V274">
        <v>68639.199999999997</v>
      </c>
      <c r="W274">
        <v>3431.96</v>
      </c>
      <c r="X274">
        <v>72071.16</v>
      </c>
      <c r="Z274">
        <v>72071.16</v>
      </c>
      <c r="AA274">
        <v>3603.558</v>
      </c>
      <c r="AB274">
        <v>75674.717999999993</v>
      </c>
      <c r="AC274">
        <v>9.3079903140000013</v>
      </c>
      <c r="AD274">
        <v>75684.02599031401</v>
      </c>
      <c r="AF274">
        <v>75684.02599031401</v>
      </c>
      <c r="AH274">
        <v>75684.02599031401</v>
      </c>
      <c r="AJ274">
        <v>75684.02599031401</v>
      </c>
      <c r="AL274">
        <v>75684.02599031401</v>
      </c>
      <c r="AN274">
        <v>75684.02599031401</v>
      </c>
      <c r="AP274">
        <v>75684.02599031401</v>
      </c>
      <c r="AR274">
        <v>75684.02599031401</v>
      </c>
      <c r="AT274">
        <v>75684.02599031401</v>
      </c>
      <c r="AV274">
        <v>75684.02599031401</v>
      </c>
      <c r="AX274">
        <v>75684.02599031401</v>
      </c>
      <c r="AZ274">
        <v>75684.02599031401</v>
      </c>
      <c r="BB274">
        <v>75684.02599031401</v>
      </c>
      <c r="BD274">
        <v>75684.02599031401</v>
      </c>
      <c r="BF274">
        <v>75684.02599031401</v>
      </c>
      <c r="BH274">
        <v>75684.02599031401</v>
      </c>
      <c r="BJ274">
        <v>75684.02599031401</v>
      </c>
      <c r="BL274">
        <v>75684.02599031401</v>
      </c>
      <c r="BN274">
        <v>75684.02599031401</v>
      </c>
      <c r="BP274">
        <v>75684.02599031401</v>
      </c>
      <c r="BR274">
        <v>75684.02599031401</v>
      </c>
      <c r="BT274">
        <v>75684.02599031401</v>
      </c>
      <c r="BV274">
        <v>75684.02599031401</v>
      </c>
      <c r="BX274">
        <v>75684.02599031401</v>
      </c>
      <c r="BY274">
        <v>75684.03</v>
      </c>
      <c r="BZ274">
        <v>4291284.5</v>
      </c>
      <c r="CB274">
        <v>0.05</v>
      </c>
      <c r="CC274">
        <v>214564.22500000001</v>
      </c>
      <c r="CD274">
        <v>71899.828571428559</v>
      </c>
      <c r="CE274">
        <v>4076720.28</v>
      </c>
      <c r="CF274" t="s">
        <v>37</v>
      </c>
      <c r="CG274">
        <v>4000</v>
      </c>
      <c r="CH274">
        <v>75899.828571428559</v>
      </c>
      <c r="CI274">
        <v>226800.00000000047</v>
      </c>
      <c r="CJ274">
        <v>4303520.28</v>
      </c>
      <c r="CL274" t="s">
        <v>3540</v>
      </c>
      <c r="CN274">
        <v>0</v>
      </c>
      <c r="CO274" t="s">
        <v>39</v>
      </c>
      <c r="CP274" t="s">
        <v>39</v>
      </c>
      <c r="CQ274" t="b">
        <v>1</v>
      </c>
      <c r="CR274" t="s">
        <v>8950</v>
      </c>
      <c r="CT274" t="s">
        <v>8960</v>
      </c>
      <c r="CU274" t="s">
        <v>8971</v>
      </c>
      <c r="CV274" t="s">
        <v>6142</v>
      </c>
      <c r="CW274" t="s">
        <v>4895</v>
      </c>
      <c r="CX274" t="s">
        <v>3246</v>
      </c>
      <c r="CY274">
        <v>1.5999999999999943</v>
      </c>
      <c r="CZ274">
        <v>121439.72571428526</v>
      </c>
      <c r="DA274">
        <v>4303520.28</v>
      </c>
      <c r="DB274" t="s">
        <v>37</v>
      </c>
      <c r="DC274" t="b">
        <v>1</v>
      </c>
      <c r="DD274">
        <v>4303520.28</v>
      </c>
      <c r="DE274">
        <v>0</v>
      </c>
      <c r="DF274" t="b">
        <v>1</v>
      </c>
      <c r="DG274" s="420" cm="1">
        <f t="array" ref="DG274">_xlfn.XLOOKUP("Дом 4"&amp;Реестр_Д4[[#This Row],[№]]&amp;Реестр_Д4[[#This Row],[Статус]],РД[Дом]&amp;РД[№ кв]&amp;РД[Состояние],РД[Дата подачи на регистрацию],"-",0)</f>
        <v>44952</v>
      </c>
    </row>
    <row r="275" spans="1:111" x14ac:dyDescent="0.25">
      <c r="A275">
        <v>274</v>
      </c>
      <c r="B275" t="s">
        <v>16</v>
      </c>
      <c r="C275">
        <v>6</v>
      </c>
      <c r="D275" t="s">
        <v>3352</v>
      </c>
      <c r="E275">
        <v>3</v>
      </c>
      <c r="F275">
        <v>16.27</v>
      </c>
      <c r="G275">
        <v>10.96</v>
      </c>
      <c r="H275">
        <v>10.7</v>
      </c>
      <c r="I275">
        <v>37.93</v>
      </c>
      <c r="J275">
        <v>13.42</v>
      </c>
      <c r="K275">
        <v>4.53</v>
      </c>
      <c r="L275">
        <v>2.27</v>
      </c>
      <c r="N275">
        <v>12.94</v>
      </c>
      <c r="O275">
        <v>2.83</v>
      </c>
      <c r="Q275">
        <v>2.83</v>
      </c>
      <c r="R275">
        <v>73.92</v>
      </c>
      <c r="S275">
        <v>71.09</v>
      </c>
      <c r="T275">
        <v>72.510000000000005</v>
      </c>
      <c r="U275">
        <v>74.400000000000006</v>
      </c>
      <c r="V275">
        <v>68992.000000000015</v>
      </c>
      <c r="W275">
        <v>3449.6000000000008</v>
      </c>
      <c r="X275">
        <v>72441.60000000002</v>
      </c>
      <c r="Z275">
        <v>72441.60000000002</v>
      </c>
      <c r="AB275">
        <v>72441.60000000002</v>
      </c>
      <c r="AC275">
        <v>8.9103168000000039</v>
      </c>
      <c r="AD275">
        <v>72450.510316800021</v>
      </c>
      <c r="AF275">
        <v>72450.510316800021</v>
      </c>
      <c r="AH275">
        <v>72450.510316800021</v>
      </c>
      <c r="AI275">
        <v>2173.5153095040005</v>
      </c>
      <c r="AJ275">
        <v>74624.025626304021</v>
      </c>
      <c r="AK275">
        <v>746.24025626304035</v>
      </c>
      <c r="AL275">
        <v>75370.265882567066</v>
      </c>
      <c r="AM275">
        <v>1507.4053176513414</v>
      </c>
      <c r="AN275">
        <v>76877.671200218407</v>
      </c>
      <c r="AO275">
        <v>2306.330136006552</v>
      </c>
      <c r="AP275">
        <v>79184.001336224959</v>
      </c>
      <c r="AQ275">
        <v>2375.5200400867488</v>
      </c>
      <c r="AR275">
        <v>81559.521376311706</v>
      </c>
      <c r="AT275">
        <v>81559.521376311706</v>
      </c>
      <c r="AU275">
        <v>2446.7856412893511</v>
      </c>
      <c r="AV275">
        <v>84006.307017601051</v>
      </c>
      <c r="AW275">
        <v>5040.3784210560625</v>
      </c>
      <c r="AX275">
        <v>89046.685438657121</v>
      </c>
      <c r="AY275">
        <v>2671.4005631597133</v>
      </c>
      <c r="AZ275">
        <v>91718.086001816831</v>
      </c>
      <c r="BB275">
        <v>91718.086001816831</v>
      </c>
      <c r="BD275">
        <v>91718.086001816831</v>
      </c>
      <c r="BF275">
        <v>91718.086001816831</v>
      </c>
      <c r="BH275">
        <v>91718.086001816831</v>
      </c>
      <c r="BI275">
        <v>4585.9043000908414</v>
      </c>
      <c r="BJ275">
        <v>96303.990301907674</v>
      </c>
      <c r="BK275">
        <v>500</v>
      </c>
      <c r="BL275">
        <v>96803.990301907674</v>
      </c>
      <c r="BM275">
        <v>1936.0798060381535</v>
      </c>
      <c r="BN275">
        <v>98740.070107945823</v>
      </c>
      <c r="BP275">
        <v>98740.070107945823</v>
      </c>
      <c r="BQ275">
        <v>500</v>
      </c>
      <c r="BR275">
        <v>99240.070107945823</v>
      </c>
      <c r="BT275">
        <v>99240.070107945823</v>
      </c>
      <c r="BV275">
        <v>99240.070107945823</v>
      </c>
      <c r="BX275">
        <v>99240.070107945823</v>
      </c>
      <c r="BY275">
        <v>99240.07</v>
      </c>
      <c r="BZ275">
        <v>7195900</v>
      </c>
      <c r="CB275">
        <v>0.03</v>
      </c>
      <c r="CC275">
        <v>215877</v>
      </c>
      <c r="CD275">
        <v>96262.901668735343</v>
      </c>
      <c r="CE275">
        <v>6980023</v>
      </c>
      <c r="CF275" t="s">
        <v>36</v>
      </c>
      <c r="CH275">
        <v>96262.901668735343</v>
      </c>
      <c r="CI275">
        <v>0</v>
      </c>
      <c r="CJ275">
        <v>6980023</v>
      </c>
      <c r="CL275" t="s">
        <v>7231</v>
      </c>
      <c r="CN275">
        <v>0</v>
      </c>
      <c r="CO275" t="s">
        <v>39</v>
      </c>
      <c r="CP275" t="s">
        <v>39</v>
      </c>
      <c r="CQ275" t="b">
        <v>1</v>
      </c>
      <c r="CR275" t="s">
        <v>8950</v>
      </c>
      <c r="CT275" t="s">
        <v>8960</v>
      </c>
      <c r="CU275" t="s">
        <v>8975</v>
      </c>
      <c r="CV275" t="s">
        <v>6143</v>
      </c>
      <c r="CW275" t="s">
        <v>6652</v>
      </c>
      <c r="CX275" t="s">
        <v>3246</v>
      </c>
      <c r="CY275">
        <v>1.8900000000000008</v>
      </c>
      <c r="CZ275">
        <v>181936.88415390984</v>
      </c>
      <c r="DA275">
        <v>6980023</v>
      </c>
      <c r="DB275" t="s">
        <v>36</v>
      </c>
      <c r="DC275" t="b">
        <v>1</v>
      </c>
      <c r="DD275">
        <v>6980023</v>
      </c>
      <c r="DE275">
        <v>0</v>
      </c>
      <c r="DF275" t="b">
        <v>1</v>
      </c>
      <c r="DG275" s="420" cm="1">
        <f t="array" ref="DG275">_xlfn.XLOOKUP("Дом 4"&amp;Реестр_Д4[[#This Row],[№]]&amp;Реестр_Д4[[#This Row],[Статус]],РД[Дом]&amp;РД[№ кв]&amp;РД[Состояние],РД[Дата подачи на регистрацию],"-",0)</f>
        <v>45434</v>
      </c>
    </row>
    <row r="276" spans="1:111" x14ac:dyDescent="0.25">
      <c r="A276">
        <v>275</v>
      </c>
      <c r="B276" t="s">
        <v>16</v>
      </c>
      <c r="C276">
        <v>6</v>
      </c>
      <c r="D276" t="s">
        <v>3353</v>
      </c>
      <c r="E276">
        <v>1</v>
      </c>
      <c r="F276">
        <v>10.68</v>
      </c>
      <c r="I276">
        <v>10.68</v>
      </c>
      <c r="J276">
        <v>12.75</v>
      </c>
      <c r="K276">
        <v>3.65</v>
      </c>
      <c r="N276">
        <v>5.45</v>
      </c>
      <c r="O276">
        <v>2.62</v>
      </c>
      <c r="Q276">
        <v>2.62</v>
      </c>
      <c r="R276">
        <v>35.15</v>
      </c>
      <c r="S276">
        <v>32.53</v>
      </c>
      <c r="T276">
        <v>33.840000000000003</v>
      </c>
      <c r="U276">
        <v>34.9</v>
      </c>
      <c r="V276">
        <v>70700</v>
      </c>
      <c r="W276">
        <v>3535</v>
      </c>
      <c r="X276">
        <v>74235</v>
      </c>
      <c r="Z276">
        <v>74235</v>
      </c>
      <c r="AB276">
        <v>74235</v>
      </c>
      <c r="AD276">
        <v>74235</v>
      </c>
      <c r="AF276">
        <v>74235</v>
      </c>
      <c r="AH276">
        <v>74235</v>
      </c>
      <c r="AJ276">
        <v>74235</v>
      </c>
      <c r="AL276">
        <v>74235</v>
      </c>
      <c r="AN276">
        <v>74235</v>
      </c>
      <c r="AP276">
        <v>74235</v>
      </c>
      <c r="AR276">
        <v>74235</v>
      </c>
      <c r="AT276">
        <v>74235</v>
      </c>
      <c r="AV276">
        <v>74235</v>
      </c>
      <c r="AX276">
        <v>74235</v>
      </c>
      <c r="AZ276">
        <v>74235</v>
      </c>
      <c r="BB276">
        <v>74235</v>
      </c>
      <c r="BD276">
        <v>74235</v>
      </c>
      <c r="BF276">
        <v>74235</v>
      </c>
      <c r="BH276">
        <v>74235</v>
      </c>
      <c r="BJ276">
        <v>74235</v>
      </c>
      <c r="BL276">
        <v>74235</v>
      </c>
      <c r="BN276">
        <v>74235</v>
      </c>
      <c r="BP276">
        <v>74235</v>
      </c>
      <c r="BR276">
        <v>74235</v>
      </c>
      <c r="BT276">
        <v>74235</v>
      </c>
      <c r="BV276">
        <v>74235</v>
      </c>
      <c r="BX276">
        <v>74235</v>
      </c>
      <c r="BY276">
        <v>74235</v>
      </c>
      <c r="BZ276">
        <v>2512112.4</v>
      </c>
      <c r="CC276">
        <v>0</v>
      </c>
      <c r="CD276">
        <v>74234.999999999985</v>
      </c>
      <c r="CE276">
        <v>2512112.4</v>
      </c>
      <c r="CF276" t="s">
        <v>38</v>
      </c>
      <c r="CG276">
        <v>22000</v>
      </c>
      <c r="CH276">
        <v>96234.999999999985</v>
      </c>
      <c r="CI276">
        <v>744480</v>
      </c>
      <c r="CJ276">
        <v>3256592.4</v>
      </c>
      <c r="CK276" t="s">
        <v>57</v>
      </c>
      <c r="CN276">
        <v>0</v>
      </c>
      <c r="CO276" t="s">
        <v>39</v>
      </c>
      <c r="CP276" t="s">
        <v>39</v>
      </c>
      <c r="CQ276" t="b">
        <v>1</v>
      </c>
      <c r="CR276" t="s">
        <v>8950</v>
      </c>
      <c r="CT276" t="s">
        <v>8960</v>
      </c>
      <c r="CU276" t="s">
        <v>8973</v>
      </c>
      <c r="CV276" t="s">
        <v>6144</v>
      </c>
      <c r="CW276" t="s">
        <v>4895</v>
      </c>
      <c r="CX276" t="s">
        <v>3246</v>
      </c>
      <c r="CY276">
        <v>1.0599999999999952</v>
      </c>
      <c r="CZ276">
        <v>102009.09999999953</v>
      </c>
      <c r="DA276">
        <v>3256592.4</v>
      </c>
      <c r="DB276" t="s">
        <v>38</v>
      </c>
      <c r="DC276" t="b">
        <v>1</v>
      </c>
      <c r="DD276">
        <v>3256592.4</v>
      </c>
      <c r="DE276">
        <v>0</v>
      </c>
      <c r="DF276" t="b">
        <v>1</v>
      </c>
      <c r="DG276" s="420" cm="1">
        <f t="array" ref="DG276">_xlfn.XLOOKUP("Дом 4"&amp;Реестр_Д4[[#This Row],[№]]&amp;Реестр_Д4[[#This Row],[Статус]],РД[Дом]&amp;РД[№ кв]&amp;РД[Состояние],РД[Дата подачи на регистрацию],"-",0)</f>
        <v>44797</v>
      </c>
    </row>
    <row r="277" spans="1:111" x14ac:dyDescent="0.25">
      <c r="A277">
        <v>276</v>
      </c>
      <c r="B277" t="s">
        <v>16</v>
      </c>
      <c r="C277">
        <v>7</v>
      </c>
      <c r="D277" t="s">
        <v>42</v>
      </c>
      <c r="E277">
        <v>0</v>
      </c>
      <c r="F277">
        <v>14.73</v>
      </c>
      <c r="I277">
        <v>14.73</v>
      </c>
      <c r="J277">
        <v>5.74</v>
      </c>
      <c r="K277">
        <v>3.61</v>
      </c>
      <c r="N277">
        <v>3.6</v>
      </c>
      <c r="O277">
        <v>3.34</v>
      </c>
      <c r="Q277">
        <v>3.34</v>
      </c>
      <c r="R277">
        <v>31.02</v>
      </c>
      <c r="S277">
        <v>27.68</v>
      </c>
      <c r="T277">
        <v>29.35</v>
      </c>
      <c r="U277">
        <v>30.4</v>
      </c>
      <c r="V277">
        <v>75600</v>
      </c>
      <c r="W277">
        <v>3780</v>
      </c>
      <c r="X277">
        <v>79380</v>
      </c>
      <c r="Z277">
        <v>79380</v>
      </c>
      <c r="AB277">
        <v>79380</v>
      </c>
      <c r="AC277">
        <v>9.7637400000000003</v>
      </c>
      <c r="AD277">
        <v>79389.763739999995</v>
      </c>
      <c r="AE277">
        <v>3969.4881869999999</v>
      </c>
      <c r="AF277">
        <v>83359.25192699999</v>
      </c>
      <c r="AH277">
        <v>83359.25192699999</v>
      </c>
      <c r="AJ277">
        <v>83359.25192699999</v>
      </c>
      <c r="AK277">
        <v>833.5925192699998</v>
      </c>
      <c r="AL277">
        <v>84192.844446269984</v>
      </c>
      <c r="AM277">
        <v>1683.8568889253995</v>
      </c>
      <c r="AN277">
        <v>85876.701335195379</v>
      </c>
      <c r="AO277">
        <v>4293.8350667597688</v>
      </c>
      <c r="AP277">
        <v>90170.536401955149</v>
      </c>
      <c r="AR277">
        <v>90170.536401955149</v>
      </c>
      <c r="AT277">
        <v>90170.536401955149</v>
      </c>
      <c r="AV277">
        <v>90170.536401955149</v>
      </c>
      <c r="AX277">
        <v>90170.536401955149</v>
      </c>
      <c r="AZ277">
        <v>90170.536401955149</v>
      </c>
      <c r="BB277">
        <v>90170.536401955149</v>
      </c>
      <c r="BD277">
        <v>90170.536401955149</v>
      </c>
      <c r="BF277">
        <v>90170.536401955149</v>
      </c>
      <c r="BH277">
        <v>90170.536401955149</v>
      </c>
      <c r="BJ277">
        <v>90170.536401955149</v>
      </c>
      <c r="BL277">
        <v>90170.536401955149</v>
      </c>
      <c r="BN277">
        <v>90170.536401955149</v>
      </c>
      <c r="BP277">
        <v>90170.536401955149</v>
      </c>
      <c r="BR277">
        <v>90170.536401955149</v>
      </c>
      <c r="BT277">
        <v>90170.536401955149</v>
      </c>
      <c r="BV277">
        <v>90170.536401955149</v>
      </c>
      <c r="BX277">
        <v>90170.536401955149</v>
      </c>
      <c r="BY277">
        <v>90170.54</v>
      </c>
      <c r="BZ277">
        <v>2646505.35</v>
      </c>
      <c r="CC277">
        <v>0</v>
      </c>
      <c r="CD277">
        <v>90170.540034071542</v>
      </c>
      <c r="CE277">
        <v>2646505.35</v>
      </c>
      <c r="CF277" t="s">
        <v>38</v>
      </c>
      <c r="CG277">
        <v>15000</v>
      </c>
      <c r="CH277">
        <v>105170.54003407154</v>
      </c>
      <c r="CI277">
        <v>440250</v>
      </c>
      <c r="CJ277">
        <v>3086755.35</v>
      </c>
      <c r="CN277">
        <v>0</v>
      </c>
      <c r="CO277" t="s">
        <v>39</v>
      </c>
      <c r="CP277" t="s">
        <v>39</v>
      </c>
      <c r="CQ277" t="b">
        <v>1</v>
      </c>
      <c r="CR277" t="s">
        <v>8950</v>
      </c>
      <c r="CT277" t="s">
        <v>8960</v>
      </c>
      <c r="CU277" t="s">
        <v>8970</v>
      </c>
      <c r="CV277" t="s">
        <v>6145</v>
      </c>
      <c r="CW277" t="s">
        <v>4895</v>
      </c>
      <c r="CX277" t="s">
        <v>3246</v>
      </c>
      <c r="CY277">
        <v>1.0499999999999972</v>
      </c>
      <c r="CZ277">
        <v>110429.06703577482</v>
      </c>
      <c r="DA277">
        <v>4000000</v>
      </c>
      <c r="DB277" t="s">
        <v>38</v>
      </c>
      <c r="DC277" t="b">
        <v>1</v>
      </c>
      <c r="DD277">
        <v>3086755.35</v>
      </c>
      <c r="DE277">
        <v>0</v>
      </c>
      <c r="DF277" t="b">
        <v>1</v>
      </c>
      <c r="DG277" s="420" cm="1">
        <f t="array" ref="DG277">_xlfn.XLOOKUP("Дом 4"&amp;Реестр_Д4[[#This Row],[№]]&amp;Реестр_Д4[[#This Row],[Статус]],РД[Дом]&amp;РД[№ кв]&amp;РД[Состояние],РД[Дата подачи на регистрацию],"-",0)</f>
        <v>45104</v>
      </c>
    </row>
    <row r="278" spans="1:111" x14ac:dyDescent="0.25">
      <c r="A278">
        <v>277</v>
      </c>
      <c r="B278" t="s">
        <v>16</v>
      </c>
      <c r="C278">
        <v>7</v>
      </c>
      <c r="D278" t="s">
        <v>43</v>
      </c>
      <c r="E278">
        <v>2</v>
      </c>
      <c r="F278">
        <v>17.22</v>
      </c>
      <c r="G278">
        <v>12.24</v>
      </c>
      <c r="I278">
        <v>29.46</v>
      </c>
      <c r="J278">
        <v>17.010000000000002</v>
      </c>
      <c r="K278">
        <v>3.67</v>
      </c>
      <c r="L278">
        <v>2.4</v>
      </c>
      <c r="N278">
        <v>12.71</v>
      </c>
      <c r="O278">
        <v>2.61</v>
      </c>
      <c r="P278">
        <v>2.78</v>
      </c>
      <c r="Q278">
        <v>5.39</v>
      </c>
      <c r="R278">
        <v>70.64</v>
      </c>
      <c r="S278">
        <v>65.25</v>
      </c>
      <c r="T278">
        <v>67.95</v>
      </c>
      <c r="U278">
        <v>69.599999999999994</v>
      </c>
      <c r="V278">
        <v>71304.800000000003</v>
      </c>
      <c r="W278">
        <v>3565.24</v>
      </c>
      <c r="X278">
        <v>74870.039999999994</v>
      </c>
      <c r="Z278">
        <v>74870.039999999994</v>
      </c>
      <c r="AA278">
        <v>3743.502</v>
      </c>
      <c r="AB278">
        <v>78613.542000000016</v>
      </c>
      <c r="AC278">
        <v>9.6694656660000025</v>
      </c>
      <c r="AD278">
        <v>78623.211465666012</v>
      </c>
      <c r="AF278">
        <v>78623.211465666012</v>
      </c>
      <c r="AH278">
        <v>78623.211465666012</v>
      </c>
      <c r="AI278">
        <v>1572.4642293133202</v>
      </c>
      <c r="AJ278">
        <v>80195.675694979334</v>
      </c>
      <c r="AK278">
        <v>801.95675694979332</v>
      </c>
      <c r="AL278">
        <v>80997.632451929123</v>
      </c>
      <c r="AM278">
        <v>1619.9526490385824</v>
      </c>
      <c r="AN278">
        <v>82617.585100967699</v>
      </c>
      <c r="AP278">
        <v>82617.585100967699</v>
      </c>
      <c r="AQ278">
        <v>2478.527553029031</v>
      </c>
      <c r="AR278">
        <v>85096.112653996737</v>
      </c>
      <c r="AT278">
        <v>85096.112653996737</v>
      </c>
      <c r="AU278">
        <v>2552.8833796199019</v>
      </c>
      <c r="AV278">
        <v>87648.99603361664</v>
      </c>
      <c r="AX278">
        <v>87648.99603361664</v>
      </c>
      <c r="AZ278">
        <v>87648.99603361664</v>
      </c>
      <c r="BB278">
        <v>87648.99603361664</v>
      </c>
      <c r="BD278">
        <v>87648.99603361664</v>
      </c>
      <c r="BF278">
        <v>87648.99603361664</v>
      </c>
      <c r="BH278">
        <v>87648.99603361664</v>
      </c>
      <c r="BI278">
        <v>4382.449801680832</v>
      </c>
      <c r="BJ278">
        <v>92031.445835297476</v>
      </c>
      <c r="BK278">
        <v>1000</v>
      </c>
      <c r="BL278">
        <v>93031.445835297476</v>
      </c>
      <c r="BM278">
        <v>1860.6289167059497</v>
      </c>
      <c r="BN278">
        <v>94892.07475200342</v>
      </c>
      <c r="BP278">
        <v>94892.07475200342</v>
      </c>
      <c r="BR278">
        <v>94892.07475200342</v>
      </c>
      <c r="BT278">
        <v>94892.07475200342</v>
      </c>
      <c r="BV278">
        <v>94892.07475200342</v>
      </c>
      <c r="BX278">
        <v>94892.07475200342</v>
      </c>
      <c r="BY278">
        <v>94892.07</v>
      </c>
      <c r="BZ278">
        <v>6448000</v>
      </c>
      <c r="CA278">
        <v>90000</v>
      </c>
      <c r="CC278">
        <v>90000</v>
      </c>
      <c r="CD278">
        <v>93568.800588668135</v>
      </c>
      <c r="CE278">
        <v>6358000</v>
      </c>
      <c r="CF278" t="s">
        <v>36</v>
      </c>
      <c r="CH278">
        <v>93568.800588668135</v>
      </c>
      <c r="CI278">
        <v>0</v>
      </c>
      <c r="CJ278">
        <v>6358000</v>
      </c>
      <c r="CL278" t="s">
        <v>7136</v>
      </c>
      <c r="CN278">
        <v>0</v>
      </c>
      <c r="CO278" t="s">
        <v>39</v>
      </c>
      <c r="CP278" t="s">
        <v>39</v>
      </c>
      <c r="CQ278" t="b">
        <v>1</v>
      </c>
      <c r="CR278" t="s">
        <v>8950</v>
      </c>
      <c r="CT278" t="s">
        <v>8960</v>
      </c>
      <c r="CU278" t="s">
        <v>8971</v>
      </c>
      <c r="CV278" t="s">
        <v>6146</v>
      </c>
      <c r="CW278" t="s">
        <v>6652</v>
      </c>
      <c r="CX278" t="s">
        <v>3246</v>
      </c>
      <c r="CY278">
        <v>1.6499999999999917</v>
      </c>
      <c r="CZ278">
        <v>154388.52097130162</v>
      </c>
      <c r="DA278">
        <v>6358000</v>
      </c>
      <c r="DB278" t="s">
        <v>36</v>
      </c>
      <c r="DC278" t="b">
        <v>1</v>
      </c>
      <c r="DD278">
        <v>6358000</v>
      </c>
      <c r="DE278">
        <v>0</v>
      </c>
      <c r="DF278" t="b">
        <v>1</v>
      </c>
      <c r="DG278" s="420" cm="1">
        <f t="array" ref="DG278">_xlfn.XLOOKUP("Дом 4"&amp;Реестр_Д4[[#This Row],[№]]&amp;Реестр_Д4[[#This Row],[Статус]],РД[Дом]&amp;РД[№ кв]&amp;РД[Состояние],РД[Дата подачи на регистрацию],"-",0)</f>
        <v>45393</v>
      </c>
    </row>
    <row r="279" spans="1:111" x14ac:dyDescent="0.25">
      <c r="A279">
        <v>278</v>
      </c>
      <c r="B279" t="s">
        <v>16</v>
      </c>
      <c r="C279">
        <v>7</v>
      </c>
      <c r="D279" t="s">
        <v>44</v>
      </c>
      <c r="E279">
        <v>0</v>
      </c>
      <c r="F279">
        <v>19.22</v>
      </c>
      <c r="I279">
        <v>19.22</v>
      </c>
      <c r="J279">
        <v>9.57</v>
      </c>
      <c r="K279">
        <v>3.76</v>
      </c>
      <c r="N279">
        <v>2.56</v>
      </c>
      <c r="O279">
        <v>2.68</v>
      </c>
      <c r="Q279">
        <v>2.68</v>
      </c>
      <c r="R279">
        <v>37.79</v>
      </c>
      <c r="S279">
        <v>35.11</v>
      </c>
      <c r="T279">
        <v>36.450000000000003</v>
      </c>
      <c r="U279">
        <v>37.4</v>
      </c>
      <c r="V279">
        <v>76356</v>
      </c>
      <c r="W279">
        <v>3817.8</v>
      </c>
      <c r="X279">
        <v>80173.8</v>
      </c>
      <c r="Z279">
        <v>80173.8</v>
      </c>
      <c r="AB279">
        <v>80173.8</v>
      </c>
      <c r="AC279">
        <v>9.8613774000000003</v>
      </c>
      <c r="AD279">
        <v>80183.6613774</v>
      </c>
      <c r="AE279">
        <v>4009.1830688700002</v>
      </c>
      <c r="AF279">
        <v>84192.844446269999</v>
      </c>
      <c r="AH279">
        <v>84192.844446269999</v>
      </c>
      <c r="AJ279">
        <v>84192.844446269999</v>
      </c>
      <c r="AK279">
        <v>841.92844446269999</v>
      </c>
      <c r="AL279">
        <v>85034.772890732711</v>
      </c>
      <c r="AM279">
        <v>1700.695457814654</v>
      </c>
      <c r="AN279">
        <v>86735.468348547351</v>
      </c>
      <c r="AO279">
        <v>4336.7734174273673</v>
      </c>
      <c r="AP279">
        <v>91072.241765974715</v>
      </c>
      <c r="AR279">
        <v>91072.241765974715</v>
      </c>
      <c r="AT279">
        <v>91072.241765974715</v>
      </c>
      <c r="AV279">
        <v>91072.241765974715</v>
      </c>
      <c r="AX279">
        <v>91072.241765974715</v>
      </c>
      <c r="AZ279">
        <v>91072.241765974715</v>
      </c>
      <c r="BB279">
        <v>91072.241765974715</v>
      </c>
      <c r="BD279">
        <v>91072.241765974715</v>
      </c>
      <c r="BF279">
        <v>91072.241765974715</v>
      </c>
      <c r="BH279">
        <v>91072.241765974715</v>
      </c>
      <c r="BJ279">
        <v>91072.241765974715</v>
      </c>
      <c r="BL279">
        <v>91072.241765974715</v>
      </c>
      <c r="BN279">
        <v>91072.241765974715</v>
      </c>
      <c r="BP279">
        <v>91072.241765974715</v>
      </c>
      <c r="BR279">
        <v>91072.241765974715</v>
      </c>
      <c r="BT279">
        <v>91072.241765974715</v>
      </c>
      <c r="BV279">
        <v>91072.241765974715</v>
      </c>
      <c r="BX279">
        <v>91072.241765974715</v>
      </c>
      <c r="BY279">
        <v>91072.24</v>
      </c>
      <c r="BZ279">
        <v>3319583.15</v>
      </c>
      <c r="CC279">
        <v>0</v>
      </c>
      <c r="CD279">
        <v>91072.240054869675</v>
      </c>
      <c r="CE279">
        <v>3319583.15</v>
      </c>
      <c r="CF279" t="s">
        <v>37</v>
      </c>
      <c r="CG279">
        <v>4000</v>
      </c>
      <c r="CH279">
        <v>95072.240054869675</v>
      </c>
      <c r="CI279">
        <v>145800</v>
      </c>
      <c r="CJ279">
        <v>3465383.15</v>
      </c>
      <c r="CN279">
        <v>0</v>
      </c>
      <c r="CO279" t="s">
        <v>39</v>
      </c>
      <c r="CP279" t="s">
        <v>39</v>
      </c>
      <c r="CQ279" t="b">
        <v>1</v>
      </c>
      <c r="CR279" t="s">
        <v>8950</v>
      </c>
      <c r="CT279" t="s">
        <v>8960</v>
      </c>
      <c r="CU279" t="s">
        <v>8970</v>
      </c>
      <c r="CV279" t="s">
        <v>6147</v>
      </c>
      <c r="CW279" t="s">
        <v>4895</v>
      </c>
      <c r="CX279" t="s">
        <v>3246</v>
      </c>
      <c r="CY279">
        <v>0.94999999999999563</v>
      </c>
      <c r="CZ279">
        <v>90318.628052125787</v>
      </c>
      <c r="DA279">
        <v>3465383.15</v>
      </c>
      <c r="DB279" t="s">
        <v>37</v>
      </c>
      <c r="DC279" t="b">
        <v>1</v>
      </c>
      <c r="DD279">
        <v>3465383.15</v>
      </c>
      <c r="DE279">
        <v>0</v>
      </c>
      <c r="DF279" t="b">
        <v>1</v>
      </c>
      <c r="DG279" s="420" cm="1">
        <f t="array" ref="DG279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280" spans="1:111" x14ac:dyDescent="0.25">
      <c r="A280">
        <v>279</v>
      </c>
      <c r="B280" t="s">
        <v>16</v>
      </c>
      <c r="C280">
        <v>7</v>
      </c>
      <c r="D280" t="s">
        <v>45</v>
      </c>
      <c r="E280">
        <v>2</v>
      </c>
      <c r="F280">
        <v>18.12</v>
      </c>
      <c r="G280">
        <v>9.8800000000000008</v>
      </c>
      <c r="I280">
        <v>28</v>
      </c>
      <c r="J280">
        <v>15.3</v>
      </c>
      <c r="K280">
        <v>3.49</v>
      </c>
      <c r="L280">
        <v>2.34</v>
      </c>
      <c r="N280">
        <v>8.1</v>
      </c>
      <c r="O280">
        <v>2.63</v>
      </c>
      <c r="Q280">
        <v>2.63</v>
      </c>
      <c r="R280">
        <v>59.86</v>
      </c>
      <c r="S280">
        <v>57.23</v>
      </c>
      <c r="T280">
        <v>58.55</v>
      </c>
      <c r="U280">
        <v>60.3</v>
      </c>
      <c r="V280">
        <v>67972.800000000003</v>
      </c>
      <c r="W280">
        <v>3398.6400000000003</v>
      </c>
      <c r="X280">
        <v>71371.44</v>
      </c>
      <c r="Z280">
        <v>71371.44</v>
      </c>
      <c r="AA280">
        <v>3568.5720000000001</v>
      </c>
      <c r="AB280">
        <v>74940.012000000002</v>
      </c>
      <c r="AC280">
        <v>9.2176214760000015</v>
      </c>
      <c r="AD280">
        <v>74949.229621475999</v>
      </c>
      <c r="AF280">
        <v>74949.229621475999</v>
      </c>
      <c r="AH280">
        <v>74949.229621475999</v>
      </c>
      <c r="AI280">
        <v>1498.98459242952</v>
      </c>
      <c r="AJ280">
        <v>76448.214213905521</v>
      </c>
      <c r="AK280">
        <v>764.48214213905521</v>
      </c>
      <c r="AL280">
        <v>77212.696356044573</v>
      </c>
      <c r="AN280">
        <v>77212.696356044573</v>
      </c>
      <c r="AP280">
        <v>77212.696356044573</v>
      </c>
      <c r="AR280">
        <v>77212.696356044573</v>
      </c>
      <c r="AT280">
        <v>77212.696356044573</v>
      </c>
      <c r="AV280">
        <v>77212.696356044573</v>
      </c>
      <c r="AX280">
        <v>77212.696356044573</v>
      </c>
      <c r="AZ280">
        <v>77212.696356044573</v>
      </c>
      <c r="BB280">
        <v>77212.696356044573</v>
      </c>
      <c r="BD280">
        <v>77212.696356044573</v>
      </c>
      <c r="BF280">
        <v>77212.696356044573</v>
      </c>
      <c r="BH280">
        <v>77212.696356044573</v>
      </c>
      <c r="BJ280">
        <v>77212.696356044573</v>
      </c>
      <c r="BL280">
        <v>77212.696356044573</v>
      </c>
      <c r="BN280">
        <v>77212.696356044573</v>
      </c>
      <c r="BP280">
        <v>77212.696356044573</v>
      </c>
      <c r="BR280">
        <v>77212.696356044573</v>
      </c>
      <c r="BT280">
        <v>77212.696356044573</v>
      </c>
      <c r="BV280">
        <v>77212.696356044573</v>
      </c>
      <c r="BX280">
        <v>77212.696356044573</v>
      </c>
      <c r="BY280">
        <v>77212.7</v>
      </c>
      <c r="BZ280">
        <v>4520803.59</v>
      </c>
      <c r="CB280">
        <v>0.02</v>
      </c>
      <c r="CC280">
        <v>90416.071800000005</v>
      </c>
      <c r="CD280">
        <v>75668.44611443211</v>
      </c>
      <c r="CE280">
        <v>4430387.5199999996</v>
      </c>
      <c r="CF280" t="s">
        <v>37</v>
      </c>
      <c r="CG280">
        <v>4000</v>
      </c>
      <c r="CH280">
        <v>79668.44611443211</v>
      </c>
      <c r="CI280">
        <v>234200</v>
      </c>
      <c r="CJ280">
        <v>4664587.5199999996</v>
      </c>
      <c r="CL280" t="s">
        <v>321</v>
      </c>
      <c r="CN280">
        <v>0</v>
      </c>
      <c r="CO280" t="s">
        <v>39</v>
      </c>
      <c r="CP280" t="s">
        <v>39</v>
      </c>
      <c r="CQ280" t="b">
        <v>1</v>
      </c>
      <c r="CR280" t="s">
        <v>8950</v>
      </c>
      <c r="CT280" t="s">
        <v>8960</v>
      </c>
      <c r="CU280" t="s">
        <v>8971</v>
      </c>
      <c r="CV280" t="s">
        <v>6148</v>
      </c>
      <c r="CW280" t="s">
        <v>4895</v>
      </c>
      <c r="CX280" t="s">
        <v>3246</v>
      </c>
      <c r="CY280">
        <v>1.75</v>
      </c>
      <c r="CZ280">
        <v>139419.7807002562</v>
      </c>
      <c r="DA280">
        <v>4664587.5199999996</v>
      </c>
      <c r="DB280" t="s">
        <v>37</v>
      </c>
      <c r="DC280" t="b">
        <v>1</v>
      </c>
      <c r="DD280">
        <v>4664587.5199999996</v>
      </c>
      <c r="DE280">
        <v>0</v>
      </c>
      <c r="DF280" t="b">
        <v>1</v>
      </c>
      <c r="DG280" s="420" cm="1">
        <f t="array" ref="DG280">_xlfn.XLOOKUP("Дом 4"&amp;Реестр_Д4[[#This Row],[№]]&amp;Реестр_Д4[[#This Row],[Статус]],РД[Дом]&amp;РД[№ кв]&amp;РД[Состояние],РД[Дата подачи на регистрацию],"-",0)</f>
        <v>45028</v>
      </c>
    </row>
    <row r="281" spans="1:111" x14ac:dyDescent="0.25">
      <c r="A281">
        <v>280</v>
      </c>
      <c r="B281" t="s">
        <v>16</v>
      </c>
      <c r="C281">
        <v>7</v>
      </c>
      <c r="D281" t="s">
        <v>3351</v>
      </c>
      <c r="E281">
        <v>2</v>
      </c>
      <c r="F281">
        <v>15.36</v>
      </c>
      <c r="G281">
        <v>9.8699999999999992</v>
      </c>
      <c r="I281">
        <v>25.23</v>
      </c>
      <c r="J281">
        <v>16.260000000000002</v>
      </c>
      <c r="K281">
        <v>3.74</v>
      </c>
      <c r="L281">
        <v>2.09</v>
      </c>
      <c r="N281">
        <v>8.06</v>
      </c>
      <c r="O281">
        <v>2.63</v>
      </c>
      <c r="Q281">
        <v>2.63</v>
      </c>
      <c r="R281">
        <v>58.01</v>
      </c>
      <c r="S281">
        <v>55.379999999999995</v>
      </c>
      <c r="T281">
        <v>56.7</v>
      </c>
      <c r="U281">
        <v>58.099999999999994</v>
      </c>
      <c r="V281">
        <v>67972.800000000003</v>
      </c>
      <c r="W281">
        <v>3398.6400000000003</v>
      </c>
      <c r="X281">
        <v>71371.44</v>
      </c>
      <c r="Z281">
        <v>71371.44</v>
      </c>
      <c r="AA281">
        <v>3568.5720000000001</v>
      </c>
      <c r="AB281">
        <v>74940.012000000002</v>
      </c>
      <c r="AC281">
        <v>9.2176214760000015</v>
      </c>
      <c r="AD281">
        <v>74949.229621475999</v>
      </c>
      <c r="AF281">
        <v>74949.229621475999</v>
      </c>
      <c r="AH281">
        <v>74949.229621475999</v>
      </c>
      <c r="AJ281">
        <v>74949.229621475999</v>
      </c>
      <c r="AL281">
        <v>74949.229621475999</v>
      </c>
      <c r="AN281">
        <v>74949.229621475999</v>
      </c>
      <c r="AP281">
        <v>74949.229621475999</v>
      </c>
      <c r="AR281">
        <v>74949.229621475999</v>
      </c>
      <c r="AT281">
        <v>74949.229621475999</v>
      </c>
      <c r="AV281">
        <v>74949.229621475999</v>
      </c>
      <c r="AX281">
        <v>74949.229621475999</v>
      </c>
      <c r="AZ281">
        <v>74949.229621475999</v>
      </c>
      <c r="BB281">
        <v>74949.229621475999</v>
      </c>
      <c r="BD281">
        <v>74949.229621475999</v>
      </c>
      <c r="BF281">
        <v>74949.229621475999</v>
      </c>
      <c r="BH281">
        <v>74949.229621475999</v>
      </c>
      <c r="BJ281">
        <v>74949.229621475999</v>
      </c>
      <c r="BL281">
        <v>74949.229621475999</v>
      </c>
      <c r="BN281">
        <v>74949.229621475999</v>
      </c>
      <c r="BP281">
        <v>74949.229621475999</v>
      </c>
      <c r="BR281">
        <v>74949.229621475999</v>
      </c>
      <c r="BT281">
        <v>74949.229621475999</v>
      </c>
      <c r="BV281">
        <v>74949.229621475999</v>
      </c>
      <c r="BX281">
        <v>74949.229621475999</v>
      </c>
      <c r="BY281">
        <v>74949.23</v>
      </c>
      <c r="BZ281">
        <v>4249621.34</v>
      </c>
      <c r="CB281">
        <v>0.05</v>
      </c>
      <c r="CC281">
        <v>212481.06700000001</v>
      </c>
      <c r="CD281">
        <v>71201.768430335098</v>
      </c>
      <c r="CE281">
        <v>4037140.27</v>
      </c>
      <c r="CF281" t="s">
        <v>37</v>
      </c>
      <c r="CG281">
        <v>4000</v>
      </c>
      <c r="CH281">
        <v>75201.768430335098</v>
      </c>
      <c r="CI281">
        <v>226799.99999999953</v>
      </c>
      <c r="CJ281">
        <v>4263940.2699999996</v>
      </c>
      <c r="CL281" t="s">
        <v>3540</v>
      </c>
      <c r="CN281">
        <v>0</v>
      </c>
      <c r="CO281" t="s">
        <v>39</v>
      </c>
      <c r="CP281" t="s">
        <v>39</v>
      </c>
      <c r="CQ281" t="b">
        <v>1</v>
      </c>
      <c r="CR281" t="s">
        <v>8950</v>
      </c>
      <c r="CT281" t="s">
        <v>8960</v>
      </c>
      <c r="CU281" t="s">
        <v>8971</v>
      </c>
      <c r="CV281" t="s">
        <v>6149</v>
      </c>
      <c r="CW281" t="s">
        <v>4895</v>
      </c>
      <c r="CX281" t="s">
        <v>3246</v>
      </c>
      <c r="CY281">
        <v>1.3999999999999917</v>
      </c>
      <c r="CZ281">
        <v>105282.4758024685</v>
      </c>
      <c r="DA281">
        <v>4263940.2699999996</v>
      </c>
      <c r="DB281" t="s">
        <v>37</v>
      </c>
      <c r="DC281" t="b">
        <v>1</v>
      </c>
      <c r="DD281">
        <v>4263940.2699999996</v>
      </c>
      <c r="DE281">
        <v>0</v>
      </c>
      <c r="DF281" t="b">
        <v>1</v>
      </c>
      <c r="DG281" s="420" cm="1">
        <f t="array" ref="DG281">_xlfn.XLOOKUP("Дом 4"&amp;Реестр_Д4[[#This Row],[№]]&amp;Реестр_Д4[[#This Row],[Статус]],РД[Дом]&amp;РД[№ кв]&amp;РД[Состояние],РД[Дата подачи на регистрацию],"-",0)</f>
        <v>44964</v>
      </c>
    </row>
    <row r="282" spans="1:111" x14ac:dyDescent="0.25">
      <c r="A282">
        <v>281</v>
      </c>
      <c r="B282" t="s">
        <v>16</v>
      </c>
      <c r="C282">
        <v>7</v>
      </c>
      <c r="D282" t="s">
        <v>3352</v>
      </c>
      <c r="E282">
        <v>3</v>
      </c>
      <c r="F282">
        <v>16.27</v>
      </c>
      <c r="G282">
        <v>10.96</v>
      </c>
      <c r="H282">
        <v>10.7</v>
      </c>
      <c r="I282">
        <v>37.93</v>
      </c>
      <c r="J282">
        <v>13.42</v>
      </c>
      <c r="K282">
        <v>4.53</v>
      </c>
      <c r="L282">
        <v>2.27</v>
      </c>
      <c r="N282">
        <v>12.94</v>
      </c>
      <c r="O282">
        <v>2.83</v>
      </c>
      <c r="Q282">
        <v>2.83</v>
      </c>
      <c r="R282">
        <v>73.92</v>
      </c>
      <c r="S282">
        <v>71.09</v>
      </c>
      <c r="T282">
        <v>72.510000000000005</v>
      </c>
      <c r="U282">
        <v>74.8</v>
      </c>
      <c r="V282">
        <v>68364.800000000003</v>
      </c>
      <c r="W282">
        <v>3418.24</v>
      </c>
      <c r="X282">
        <v>71783.040000000008</v>
      </c>
      <c r="Z282">
        <v>71783.040000000008</v>
      </c>
      <c r="AB282">
        <v>71783.040000000008</v>
      </c>
      <c r="AC282">
        <v>8.8293139200000024</v>
      </c>
      <c r="AD282">
        <v>71791.869313920004</v>
      </c>
      <c r="AF282">
        <v>71791.869313920004</v>
      </c>
      <c r="AH282">
        <v>71791.869313920004</v>
      </c>
      <c r="AI282">
        <v>2153.7560794176002</v>
      </c>
      <c r="AJ282">
        <v>73945.625393337599</v>
      </c>
      <c r="AK282">
        <v>739.45625393337605</v>
      </c>
      <c r="AL282">
        <v>74685.08164727097</v>
      </c>
      <c r="AM282">
        <v>1493.7016329454195</v>
      </c>
      <c r="AN282">
        <v>76178.78328021639</v>
      </c>
      <c r="AO282">
        <v>2285.3634984064915</v>
      </c>
      <c r="AP282">
        <v>78464.146778622875</v>
      </c>
      <c r="AQ282">
        <v>2353.924403358686</v>
      </c>
      <c r="AR282">
        <v>80818.071181981562</v>
      </c>
      <c r="AT282">
        <v>80818.071181981562</v>
      </c>
      <c r="AU282">
        <v>2424.5421354594469</v>
      </c>
      <c r="AV282">
        <v>83242.613317441006</v>
      </c>
      <c r="AW282">
        <v>4994.5567990464606</v>
      </c>
      <c r="AX282">
        <v>88237.170116487468</v>
      </c>
      <c r="AY282">
        <v>2647.1151034946238</v>
      </c>
      <c r="AZ282">
        <v>90884.285219982092</v>
      </c>
      <c r="BB282">
        <v>90884.285219982092</v>
      </c>
      <c r="BD282">
        <v>90884.285219982092</v>
      </c>
      <c r="BF282">
        <v>90884.285219982092</v>
      </c>
      <c r="BH282">
        <v>90884.285219982092</v>
      </c>
      <c r="BI282">
        <v>4544.2142609991051</v>
      </c>
      <c r="BJ282">
        <v>95428.499480981191</v>
      </c>
      <c r="BK282">
        <v>500</v>
      </c>
      <c r="BL282">
        <v>95928.499480981191</v>
      </c>
      <c r="BM282">
        <v>1918.569989619624</v>
      </c>
      <c r="BN282">
        <v>97847.069470600807</v>
      </c>
      <c r="BP282">
        <v>97847.069470600807</v>
      </c>
      <c r="BQ282">
        <v>500</v>
      </c>
      <c r="BR282">
        <v>98347.069470600807</v>
      </c>
      <c r="BT282">
        <v>98347.069470600807</v>
      </c>
      <c r="BV282">
        <v>98347.069470600807</v>
      </c>
      <c r="BX282">
        <v>98347.069470600807</v>
      </c>
      <c r="BY282">
        <v>98347.07</v>
      </c>
      <c r="BZ282">
        <v>7131200</v>
      </c>
      <c r="CC282">
        <v>0</v>
      </c>
      <c r="CD282">
        <v>98347.814094607631</v>
      </c>
      <c r="CE282">
        <v>7131200</v>
      </c>
      <c r="CF282" t="s">
        <v>37</v>
      </c>
      <c r="CG282">
        <v>7500</v>
      </c>
      <c r="CH282">
        <v>105847.81409460765</v>
      </c>
      <c r="CI282">
        <v>543825</v>
      </c>
      <c r="CJ282">
        <v>7675025</v>
      </c>
      <c r="CN282">
        <v>0</v>
      </c>
      <c r="CO282" t="s">
        <v>39</v>
      </c>
      <c r="CP282" t="s">
        <v>39</v>
      </c>
      <c r="CQ282" t="b">
        <v>1</v>
      </c>
      <c r="CR282" t="s">
        <v>8950</v>
      </c>
      <c r="CT282" t="s">
        <v>8960</v>
      </c>
      <c r="CU282" t="s">
        <v>8975</v>
      </c>
      <c r="CV282" t="s">
        <v>6150</v>
      </c>
      <c r="CW282" t="s">
        <v>6652</v>
      </c>
      <c r="CX282" t="s">
        <v>3246</v>
      </c>
      <c r="CY282">
        <v>2.289999999999992</v>
      </c>
      <c r="CZ282">
        <v>242391.49427665063</v>
      </c>
      <c r="DA282">
        <v>7675025</v>
      </c>
      <c r="DB282" t="s">
        <v>37</v>
      </c>
      <c r="DC282" t="b">
        <v>1</v>
      </c>
      <c r="DD282">
        <v>7675025</v>
      </c>
      <c r="DE282">
        <v>0</v>
      </c>
      <c r="DF282" t="b">
        <v>1</v>
      </c>
      <c r="DG282" s="420" cm="1">
        <f t="array" ref="DG282">_xlfn.XLOOKUP("Дом 4"&amp;Реестр_Д4[[#This Row],[№]]&amp;Реестр_Д4[[#This Row],[Статус]],РД[Дом]&amp;РД[№ кв]&amp;РД[Состояние],РД[Дата подачи на регистрацию],"-",0)</f>
        <v>45439</v>
      </c>
    </row>
    <row r="283" spans="1:111" x14ac:dyDescent="0.25">
      <c r="A283">
        <v>282</v>
      </c>
      <c r="B283" t="s">
        <v>16</v>
      </c>
      <c r="C283">
        <v>7</v>
      </c>
      <c r="D283" t="s">
        <v>3353</v>
      </c>
      <c r="E283">
        <v>1</v>
      </c>
      <c r="F283">
        <v>10.68</v>
      </c>
      <c r="I283">
        <v>10.68</v>
      </c>
      <c r="J283">
        <v>12.75</v>
      </c>
      <c r="K283">
        <v>3.65</v>
      </c>
      <c r="N283">
        <v>5.45</v>
      </c>
      <c r="O283">
        <v>2.62</v>
      </c>
      <c r="Q283">
        <v>2.62</v>
      </c>
      <c r="R283">
        <v>35.15</v>
      </c>
      <c r="S283">
        <v>32.53</v>
      </c>
      <c r="T283">
        <v>33.840000000000003</v>
      </c>
      <c r="U283">
        <v>34.899999999999991</v>
      </c>
      <c r="V283">
        <v>70700</v>
      </c>
      <c r="X283">
        <v>70700</v>
      </c>
      <c r="Z283">
        <v>70700</v>
      </c>
      <c r="AB283">
        <v>70700</v>
      </c>
      <c r="AD283">
        <v>70700</v>
      </c>
      <c r="AF283">
        <v>70700</v>
      </c>
      <c r="AH283">
        <v>70700</v>
      </c>
      <c r="AJ283">
        <v>70700</v>
      </c>
      <c r="AL283">
        <v>70700</v>
      </c>
      <c r="AN283">
        <v>70700</v>
      </c>
      <c r="AP283">
        <v>70700</v>
      </c>
      <c r="AR283">
        <v>70700</v>
      </c>
      <c r="AT283">
        <v>70700</v>
      </c>
      <c r="AV283">
        <v>70700</v>
      </c>
      <c r="AX283">
        <v>70700</v>
      </c>
      <c r="AZ283">
        <v>70700</v>
      </c>
      <c r="BB283">
        <v>70700</v>
      </c>
      <c r="BD283">
        <v>70700</v>
      </c>
      <c r="BF283">
        <v>70700</v>
      </c>
      <c r="BH283">
        <v>70700</v>
      </c>
      <c r="BJ283">
        <v>70700</v>
      </c>
      <c r="BL283">
        <v>70700</v>
      </c>
      <c r="BN283">
        <v>70700</v>
      </c>
      <c r="BP283">
        <v>70700</v>
      </c>
      <c r="BR283">
        <v>70700</v>
      </c>
      <c r="BT283">
        <v>70700</v>
      </c>
      <c r="BV283">
        <v>70700</v>
      </c>
      <c r="BX283">
        <v>70700</v>
      </c>
      <c r="BY283">
        <v>70700</v>
      </c>
      <c r="BZ283">
        <v>2392488</v>
      </c>
      <c r="CC283">
        <v>0</v>
      </c>
      <c r="CD283">
        <v>70700</v>
      </c>
      <c r="CE283">
        <v>2392488</v>
      </c>
      <c r="CF283" t="s">
        <v>36</v>
      </c>
      <c r="CH283">
        <v>70700</v>
      </c>
      <c r="CI283">
        <v>0</v>
      </c>
      <c r="CJ283">
        <v>2392488</v>
      </c>
      <c r="CK283" t="s">
        <v>57</v>
      </c>
      <c r="CN283">
        <v>0</v>
      </c>
      <c r="CO283" t="s">
        <v>39</v>
      </c>
      <c r="CP283" t="s">
        <v>39</v>
      </c>
      <c r="CQ283" t="b">
        <v>1</v>
      </c>
      <c r="CR283" t="s">
        <v>8950</v>
      </c>
      <c r="CT283" t="s">
        <v>8960</v>
      </c>
      <c r="CU283" t="s">
        <v>8973</v>
      </c>
      <c r="CV283" t="s">
        <v>6151</v>
      </c>
      <c r="CW283" t="s">
        <v>4895</v>
      </c>
      <c r="CX283" t="s">
        <v>3246</v>
      </c>
      <c r="CY283">
        <v>1.0599999999999881</v>
      </c>
      <c r="CZ283">
        <v>74941.999999999156</v>
      </c>
      <c r="DA283">
        <v>2392488</v>
      </c>
      <c r="DB283" t="s">
        <v>36</v>
      </c>
      <c r="DC283" t="b">
        <v>1</v>
      </c>
      <c r="DD283">
        <v>2392488</v>
      </c>
      <c r="DE283">
        <v>0</v>
      </c>
      <c r="DF283" t="b">
        <v>1</v>
      </c>
      <c r="DG283" s="420" cm="1">
        <f t="array" ref="DG283">_xlfn.XLOOKUP("Дом 4"&amp;Реестр_Д4[[#This Row],[№]]&amp;Реестр_Д4[[#This Row],[Статус]],РД[Дом]&amp;РД[№ кв]&amp;РД[Состояние],РД[Дата подачи на регистрацию],"-",0)</f>
        <v>44792</v>
      </c>
    </row>
    <row r="284" spans="1:111" x14ac:dyDescent="0.25">
      <c r="A284">
        <v>283</v>
      </c>
      <c r="B284" t="s">
        <v>16</v>
      </c>
      <c r="C284">
        <v>8</v>
      </c>
      <c r="D284" t="s">
        <v>42</v>
      </c>
      <c r="E284">
        <v>0</v>
      </c>
      <c r="F284">
        <v>14.73</v>
      </c>
      <c r="I284">
        <v>14.73</v>
      </c>
      <c r="J284">
        <v>5.74</v>
      </c>
      <c r="K284">
        <v>3.61</v>
      </c>
      <c r="N284">
        <v>3.6</v>
      </c>
      <c r="O284">
        <v>3.34</v>
      </c>
      <c r="Q284">
        <v>3.34</v>
      </c>
      <c r="R284">
        <v>31.02</v>
      </c>
      <c r="S284">
        <v>27.68</v>
      </c>
      <c r="T284">
        <v>29.35</v>
      </c>
      <c r="U284">
        <v>30.2</v>
      </c>
      <c r="V284">
        <v>75600</v>
      </c>
      <c r="W284">
        <v>3780</v>
      </c>
      <c r="X284">
        <v>79380</v>
      </c>
      <c r="Z284">
        <v>79380</v>
      </c>
      <c r="AB284">
        <v>79380</v>
      </c>
      <c r="AC284">
        <v>9.7637400000000003</v>
      </c>
      <c r="AD284">
        <v>79389.763739999995</v>
      </c>
      <c r="AE284">
        <v>3969.4881869999999</v>
      </c>
      <c r="AF284">
        <v>83359.25192699999</v>
      </c>
      <c r="AH284">
        <v>83359.25192699999</v>
      </c>
      <c r="AJ284">
        <v>83359.25192699999</v>
      </c>
      <c r="AL284">
        <v>83359.25192699999</v>
      </c>
      <c r="AN284">
        <v>83359.25192699999</v>
      </c>
      <c r="AP284">
        <v>83359.25192699999</v>
      </c>
      <c r="AR284">
        <v>83359.25192699999</v>
      </c>
      <c r="AT284">
        <v>83359.25192699999</v>
      </c>
      <c r="AV284">
        <v>83359.25192699999</v>
      </c>
      <c r="AX284">
        <v>83359.25192699999</v>
      </c>
      <c r="AZ284">
        <v>83359.25192699999</v>
      </c>
      <c r="BB284">
        <v>83359.25192699999</v>
      </c>
      <c r="BD284">
        <v>83359.25192699999</v>
      </c>
      <c r="BF284">
        <v>83359.25192699999</v>
      </c>
      <c r="BH284">
        <v>83359.25192699999</v>
      </c>
      <c r="BJ284">
        <v>83359.25192699999</v>
      </c>
      <c r="BL284">
        <v>83359.25192699999</v>
      </c>
      <c r="BN284">
        <v>83359.25192699999</v>
      </c>
      <c r="BP284">
        <v>83359.25192699999</v>
      </c>
      <c r="BR284">
        <v>83359.25192699999</v>
      </c>
      <c r="BT284">
        <v>83359.25192699999</v>
      </c>
      <c r="BV284">
        <v>83359.25192699999</v>
      </c>
      <c r="BX284">
        <v>83359.25192699999</v>
      </c>
      <c r="BY284">
        <v>83359.25</v>
      </c>
      <c r="BZ284">
        <v>2446593.9900000002</v>
      </c>
      <c r="CC284">
        <v>0</v>
      </c>
      <c r="CD284">
        <v>83359.250085178879</v>
      </c>
      <c r="CE284">
        <v>2446593.9900000002</v>
      </c>
      <c r="CF284" t="s">
        <v>37</v>
      </c>
      <c r="CG284">
        <v>4000</v>
      </c>
      <c r="CH284">
        <v>87359.250085178879</v>
      </c>
      <c r="CI284">
        <v>117400</v>
      </c>
      <c r="CJ284">
        <v>2563993.9900000002</v>
      </c>
      <c r="CN284">
        <v>0</v>
      </c>
      <c r="CO284" t="s">
        <v>39</v>
      </c>
      <c r="CP284" t="s">
        <v>39</v>
      </c>
      <c r="CQ284" t="b">
        <v>1</v>
      </c>
      <c r="CR284" t="s">
        <v>8950</v>
      </c>
      <c r="CT284" t="s">
        <v>8960</v>
      </c>
      <c r="CU284" t="s">
        <v>8970</v>
      </c>
      <c r="CV284" t="s">
        <v>6152</v>
      </c>
      <c r="CW284" t="s">
        <v>4895</v>
      </c>
      <c r="CX284" t="s">
        <v>3246</v>
      </c>
      <c r="CY284">
        <v>0.84999999999999787</v>
      </c>
      <c r="CZ284">
        <v>74255.362572401849</v>
      </c>
      <c r="DA284">
        <v>2563993.9900000002</v>
      </c>
      <c r="DB284" t="s">
        <v>37</v>
      </c>
      <c r="DC284" t="b">
        <v>1</v>
      </c>
      <c r="DD284">
        <v>2563993.9900000002</v>
      </c>
      <c r="DE284">
        <v>0</v>
      </c>
      <c r="DF284" t="b">
        <v>1</v>
      </c>
      <c r="DG284" s="420" cm="1">
        <f t="array" ref="DG284">_xlfn.XLOOKUP("Дом 4"&amp;Реестр_Д4[[#This Row],[№]]&amp;Реестр_Д4[[#This Row],[Статус]],РД[Дом]&amp;РД[№ кв]&amp;РД[Состояние],РД[Дата подачи на регистрацию],"-",0)</f>
        <v>44992</v>
      </c>
    </row>
    <row r="285" spans="1:111" x14ac:dyDescent="0.25">
      <c r="A285">
        <v>284</v>
      </c>
      <c r="B285" t="s">
        <v>16</v>
      </c>
      <c r="C285">
        <v>8</v>
      </c>
      <c r="D285" t="s">
        <v>43</v>
      </c>
      <c r="E285">
        <v>2</v>
      </c>
      <c r="F285">
        <v>17.22</v>
      </c>
      <c r="G285">
        <v>12.24</v>
      </c>
      <c r="I285">
        <v>29.46</v>
      </c>
      <c r="J285">
        <v>17.010000000000002</v>
      </c>
      <c r="K285">
        <v>3.67</v>
      </c>
      <c r="L285">
        <v>2.4</v>
      </c>
      <c r="N285">
        <v>12.71</v>
      </c>
      <c r="O285">
        <v>2.61</v>
      </c>
      <c r="P285">
        <v>2.78</v>
      </c>
      <c r="Q285">
        <v>5.39</v>
      </c>
      <c r="R285">
        <v>70.64</v>
      </c>
      <c r="S285">
        <v>65.25</v>
      </c>
      <c r="T285">
        <v>67.95</v>
      </c>
      <c r="U285">
        <v>69.599999999999994</v>
      </c>
      <c r="V285">
        <v>71304.800000000003</v>
      </c>
      <c r="W285">
        <v>3565.24</v>
      </c>
      <c r="X285">
        <v>74870.039999999994</v>
      </c>
      <c r="Z285">
        <v>74870.039999999994</v>
      </c>
      <c r="AB285">
        <v>74870.039999999994</v>
      </c>
      <c r="AD285">
        <v>74870.039999999994</v>
      </c>
      <c r="AF285">
        <v>74870.039999999994</v>
      </c>
      <c r="AH285">
        <v>74870.039999999994</v>
      </c>
      <c r="AJ285">
        <v>74870.039999999994</v>
      </c>
      <c r="AL285">
        <v>74870.039999999994</v>
      </c>
      <c r="AN285">
        <v>74870.039999999994</v>
      </c>
      <c r="AP285">
        <v>74870.039999999994</v>
      </c>
      <c r="AR285">
        <v>74870.039999999994</v>
      </c>
      <c r="AT285">
        <v>74870.039999999994</v>
      </c>
      <c r="AV285">
        <v>74870.039999999994</v>
      </c>
      <c r="AX285">
        <v>74870.039999999994</v>
      </c>
      <c r="AZ285">
        <v>74870.039999999994</v>
      </c>
      <c r="BB285">
        <v>74870.039999999994</v>
      </c>
      <c r="BD285">
        <v>74870.039999999994</v>
      </c>
      <c r="BF285">
        <v>74870.039999999994</v>
      </c>
      <c r="BH285">
        <v>74870.039999999994</v>
      </c>
      <c r="BJ285">
        <v>74870.039999999994</v>
      </c>
      <c r="BL285">
        <v>74870.039999999994</v>
      </c>
      <c r="BN285">
        <v>74870.039999999994</v>
      </c>
      <c r="BP285">
        <v>74870.039999999994</v>
      </c>
      <c r="BR285">
        <v>74870.039999999994</v>
      </c>
      <c r="BT285">
        <v>74870.039999999994</v>
      </c>
      <c r="BV285">
        <v>74870.039999999994</v>
      </c>
      <c r="BX285">
        <v>74870.039999999994</v>
      </c>
      <c r="BY285">
        <v>74870.039999999994</v>
      </c>
      <c r="BZ285">
        <v>5087419.22</v>
      </c>
      <c r="CC285">
        <v>0</v>
      </c>
      <c r="CD285">
        <v>74870.040029433396</v>
      </c>
      <c r="CE285">
        <v>5087419.22</v>
      </c>
      <c r="CF285" t="s">
        <v>36</v>
      </c>
      <c r="CH285">
        <v>74870.040029433396</v>
      </c>
      <c r="CI285">
        <v>0</v>
      </c>
      <c r="CJ285">
        <v>5087419.22</v>
      </c>
      <c r="CN285">
        <v>0</v>
      </c>
      <c r="CO285" t="s">
        <v>39</v>
      </c>
      <c r="CP285" t="s">
        <v>39</v>
      </c>
      <c r="CQ285" t="b">
        <v>1</v>
      </c>
      <c r="CR285" t="s">
        <v>8950</v>
      </c>
      <c r="CT285" t="s">
        <v>8960</v>
      </c>
      <c r="CU285" t="s">
        <v>8971</v>
      </c>
      <c r="CV285" t="s">
        <v>6153</v>
      </c>
      <c r="CW285" t="s">
        <v>4895</v>
      </c>
      <c r="CX285" t="s">
        <v>3246</v>
      </c>
      <c r="CY285">
        <v>1.6499999999999917</v>
      </c>
      <c r="CZ285">
        <v>123535.56604856446</v>
      </c>
      <c r="DA285">
        <v>5087419.22</v>
      </c>
      <c r="DB285" t="s">
        <v>36</v>
      </c>
      <c r="DC285" t="b">
        <v>1</v>
      </c>
      <c r="DD285">
        <v>5087419.22</v>
      </c>
      <c r="DE285">
        <v>0</v>
      </c>
      <c r="DF285" t="b">
        <v>1</v>
      </c>
      <c r="DG285" s="420" cm="1">
        <f t="array" ref="DG285">_xlfn.XLOOKUP("Дом 4"&amp;Реестр_Д4[[#This Row],[№]]&amp;Реестр_Д4[[#This Row],[Статус]],РД[Дом]&amp;РД[№ кв]&amp;РД[Состояние],РД[Дата подачи на регистрацию],"-",0)</f>
        <v>44889</v>
      </c>
    </row>
    <row r="286" spans="1:111" x14ac:dyDescent="0.25">
      <c r="A286">
        <v>285</v>
      </c>
      <c r="B286" t="s">
        <v>16</v>
      </c>
      <c r="C286">
        <v>8</v>
      </c>
      <c r="D286" t="s">
        <v>44</v>
      </c>
      <c r="E286">
        <v>0</v>
      </c>
      <c r="F286">
        <v>19.22</v>
      </c>
      <c r="I286">
        <v>19.22</v>
      </c>
      <c r="J286">
        <v>9.57</v>
      </c>
      <c r="K286">
        <v>3.76</v>
      </c>
      <c r="N286">
        <v>2.56</v>
      </c>
      <c r="O286">
        <v>2.68</v>
      </c>
      <c r="Q286">
        <v>2.68</v>
      </c>
      <c r="R286">
        <v>37.79</v>
      </c>
      <c r="S286">
        <v>35.11</v>
      </c>
      <c r="T286">
        <v>36.450000000000003</v>
      </c>
      <c r="U286">
        <v>37.4</v>
      </c>
      <c r="V286">
        <v>76356</v>
      </c>
      <c r="W286">
        <v>3817.8</v>
      </c>
      <c r="X286">
        <v>80173.8</v>
      </c>
      <c r="Z286">
        <v>80173.8</v>
      </c>
      <c r="AB286">
        <v>80173.8</v>
      </c>
      <c r="AC286">
        <v>9.8613774000000003</v>
      </c>
      <c r="AD286">
        <v>80183.6613774</v>
      </c>
      <c r="AE286">
        <v>4009.1830688700002</v>
      </c>
      <c r="AF286">
        <v>84192.844446269999</v>
      </c>
      <c r="AH286">
        <v>84192.844446269999</v>
      </c>
      <c r="AJ286">
        <v>84192.844446269999</v>
      </c>
      <c r="AK286">
        <v>841.92844446269999</v>
      </c>
      <c r="AL286">
        <v>85034.772890732711</v>
      </c>
      <c r="AM286">
        <v>1700.695457814654</v>
      </c>
      <c r="AN286">
        <v>86735.468348547351</v>
      </c>
      <c r="AO286">
        <v>4336.7734174273673</v>
      </c>
      <c r="AP286">
        <v>91072.241765974715</v>
      </c>
      <c r="AR286">
        <v>91072.241765974715</v>
      </c>
      <c r="AT286">
        <v>91072.241765974715</v>
      </c>
      <c r="AV286">
        <v>91072.241765974715</v>
      </c>
      <c r="AX286">
        <v>91072.241765974715</v>
      </c>
      <c r="AZ286">
        <v>91072.241765974715</v>
      </c>
      <c r="BB286">
        <v>91072.241765974715</v>
      </c>
      <c r="BD286">
        <v>91072.241765974715</v>
      </c>
      <c r="BF286">
        <v>91072.241765974715</v>
      </c>
      <c r="BH286">
        <v>91072.241765974715</v>
      </c>
      <c r="BJ286">
        <v>91072.241765974715</v>
      </c>
      <c r="BL286">
        <v>91072.241765974715</v>
      </c>
      <c r="BN286">
        <v>91072.241765974715</v>
      </c>
      <c r="BP286">
        <v>91072.241765974715</v>
      </c>
      <c r="BR286">
        <v>91072.241765974715</v>
      </c>
      <c r="BT286">
        <v>91072.241765974715</v>
      </c>
      <c r="BV286">
        <v>91072.241765974715</v>
      </c>
      <c r="BX286">
        <v>91072.241765974715</v>
      </c>
      <c r="BY286">
        <v>91072.24</v>
      </c>
      <c r="BZ286">
        <v>3319583.15</v>
      </c>
      <c r="CC286">
        <v>0</v>
      </c>
      <c r="CD286">
        <v>91072.240054869675</v>
      </c>
      <c r="CE286">
        <v>3319583.15</v>
      </c>
      <c r="CF286" t="s">
        <v>37</v>
      </c>
      <c r="CG286">
        <v>4000</v>
      </c>
      <c r="CH286">
        <v>95072.240054869675</v>
      </c>
      <c r="CI286">
        <v>145800</v>
      </c>
      <c r="CJ286">
        <v>3465383.15</v>
      </c>
      <c r="CN286">
        <v>0</v>
      </c>
      <c r="CO286" t="s">
        <v>39</v>
      </c>
      <c r="CP286" t="s">
        <v>39</v>
      </c>
      <c r="CQ286" t="b">
        <v>1</v>
      </c>
      <c r="CR286" t="s">
        <v>8950</v>
      </c>
      <c r="CT286" t="s">
        <v>8960</v>
      </c>
      <c r="CU286" t="s">
        <v>8970</v>
      </c>
      <c r="CV286" t="s">
        <v>6154</v>
      </c>
      <c r="CW286" t="s">
        <v>4895</v>
      </c>
      <c r="CX286" t="s">
        <v>3246</v>
      </c>
      <c r="CY286">
        <v>0.94999999999999563</v>
      </c>
      <c r="CZ286">
        <v>90318.628052125787</v>
      </c>
      <c r="DA286">
        <v>3465383.15</v>
      </c>
      <c r="DB286" t="s">
        <v>37</v>
      </c>
      <c r="DC286" t="b">
        <v>1</v>
      </c>
      <c r="DD286">
        <v>3465383.15</v>
      </c>
      <c r="DE286">
        <v>0</v>
      </c>
      <c r="DF286" t="b">
        <v>1</v>
      </c>
      <c r="DG286" s="420" cm="1">
        <f t="array" ref="DG286">_xlfn.XLOOKUP("Дом 4"&amp;Реестр_Д4[[#This Row],[№]]&amp;Реестр_Д4[[#This Row],[Статус]],РД[Дом]&amp;РД[№ кв]&amp;РД[Состояние],РД[Дата подачи на регистрацию],"-",0)</f>
        <v>45078</v>
      </c>
    </row>
    <row r="287" spans="1:111" x14ac:dyDescent="0.25">
      <c r="A287">
        <v>286</v>
      </c>
      <c r="B287" t="s">
        <v>16</v>
      </c>
      <c r="C287">
        <v>8</v>
      </c>
      <c r="D287" t="s">
        <v>45</v>
      </c>
      <c r="E287">
        <v>2</v>
      </c>
      <c r="F287">
        <v>18.12</v>
      </c>
      <c r="G287">
        <v>9.8800000000000008</v>
      </c>
      <c r="I287">
        <v>28</v>
      </c>
      <c r="J287">
        <v>15.3</v>
      </c>
      <c r="K287">
        <v>3.49</v>
      </c>
      <c r="L287">
        <v>2.34</v>
      </c>
      <c r="N287">
        <v>8.1</v>
      </c>
      <c r="O287">
        <v>2.63</v>
      </c>
      <c r="Q287">
        <v>2.63</v>
      </c>
      <c r="R287">
        <v>59.86</v>
      </c>
      <c r="S287">
        <v>57.23</v>
      </c>
      <c r="T287">
        <v>58.55</v>
      </c>
      <c r="U287">
        <v>60.499999999999993</v>
      </c>
      <c r="V287">
        <v>68639.199999999997</v>
      </c>
      <c r="W287">
        <v>3431.96</v>
      </c>
      <c r="X287">
        <v>72071.16</v>
      </c>
      <c r="Z287">
        <v>72071.16</v>
      </c>
      <c r="AA287">
        <v>3603.558</v>
      </c>
      <c r="AB287">
        <v>75674.717999999993</v>
      </c>
      <c r="AC287">
        <v>9.3079903140000013</v>
      </c>
      <c r="AD287">
        <v>75684.02599031401</v>
      </c>
      <c r="AF287">
        <v>75684.02599031401</v>
      </c>
      <c r="AH287">
        <v>75684.02599031401</v>
      </c>
      <c r="AI287">
        <v>1513.6805198062802</v>
      </c>
      <c r="AJ287">
        <v>77197.70651012029</v>
      </c>
      <c r="AK287">
        <v>771.97706510120292</v>
      </c>
      <c r="AL287">
        <v>77969.683575221497</v>
      </c>
      <c r="AN287">
        <v>77969.683575221497</v>
      </c>
      <c r="AP287">
        <v>77969.683575221497</v>
      </c>
      <c r="AR287">
        <v>77969.683575221497</v>
      </c>
      <c r="AT287">
        <v>77969.683575221497</v>
      </c>
      <c r="AV287">
        <v>77969.683575221497</v>
      </c>
      <c r="AX287">
        <v>77969.683575221497</v>
      </c>
      <c r="AZ287">
        <v>77969.683575221497</v>
      </c>
      <c r="BB287">
        <v>77969.683575221497</v>
      </c>
      <c r="BD287">
        <v>77969.683575221497</v>
      </c>
      <c r="BF287">
        <v>77969.683575221497</v>
      </c>
      <c r="BH287">
        <v>77969.683575221497</v>
      </c>
      <c r="BJ287">
        <v>77969.683575221497</v>
      </c>
      <c r="BL287">
        <v>77969.683575221497</v>
      </c>
      <c r="BN287">
        <v>77969.683575221497</v>
      </c>
      <c r="BP287">
        <v>77969.683575221497</v>
      </c>
      <c r="BR287">
        <v>77969.683575221497</v>
      </c>
      <c r="BT287">
        <v>77969.683575221497</v>
      </c>
      <c r="BV287">
        <v>77969.683575221497</v>
      </c>
      <c r="BX287">
        <v>77969.683575221497</v>
      </c>
      <c r="BY287">
        <v>77969.679999999993</v>
      </c>
      <c r="BZ287">
        <v>4565124.76</v>
      </c>
      <c r="CB287">
        <v>0.06</v>
      </c>
      <c r="CC287">
        <v>273907.48559999996</v>
      </c>
      <c r="CD287">
        <v>73291.499060631933</v>
      </c>
      <c r="CE287">
        <v>4291217.2699999996</v>
      </c>
      <c r="CF287" t="s">
        <v>37</v>
      </c>
      <c r="CG287">
        <v>4000</v>
      </c>
      <c r="CH287">
        <v>77291.499060631933</v>
      </c>
      <c r="CI287">
        <v>234200</v>
      </c>
      <c r="CJ287">
        <v>4525417.2699999996</v>
      </c>
      <c r="CL287" t="s">
        <v>978</v>
      </c>
      <c r="CN287">
        <v>0</v>
      </c>
      <c r="CO287" t="s">
        <v>39</v>
      </c>
      <c r="CP287" t="s">
        <v>39</v>
      </c>
      <c r="CQ287" t="b">
        <v>1</v>
      </c>
      <c r="CR287" t="s">
        <v>8950</v>
      </c>
      <c r="CT287" t="s">
        <v>8960</v>
      </c>
      <c r="CU287" t="s">
        <v>8971</v>
      </c>
      <c r="CV287" t="s">
        <v>6155</v>
      </c>
      <c r="CW287" t="s">
        <v>4895</v>
      </c>
      <c r="CX287" t="s">
        <v>3246</v>
      </c>
      <c r="CY287">
        <v>1.9499999999999955</v>
      </c>
      <c r="CZ287">
        <v>150718.42316823194</v>
      </c>
      <c r="DA287">
        <v>4525417.2699999996</v>
      </c>
      <c r="DB287" t="s">
        <v>37</v>
      </c>
      <c r="DC287" t="b">
        <v>1</v>
      </c>
      <c r="DD287">
        <v>4525417.2699999996</v>
      </c>
      <c r="DE287">
        <v>0</v>
      </c>
      <c r="DF287" t="b">
        <v>1</v>
      </c>
      <c r="DG287" s="420" cm="1">
        <f t="array" ref="DG287">_xlfn.XLOOKUP("Дом 4"&amp;Реестр_Д4[[#This Row],[№]]&amp;Реестр_Д4[[#This Row],[Статус]],РД[Дом]&amp;РД[№ кв]&amp;РД[Состояние],РД[Дата подачи на регистрацию],"-",0)</f>
        <v>45029</v>
      </c>
    </row>
    <row r="288" spans="1:111" x14ac:dyDescent="0.25">
      <c r="A288">
        <v>287</v>
      </c>
      <c r="B288" t="s">
        <v>16</v>
      </c>
      <c r="C288">
        <v>8</v>
      </c>
      <c r="D288" t="s">
        <v>3351</v>
      </c>
      <c r="E288">
        <v>2</v>
      </c>
      <c r="F288">
        <v>15.36</v>
      </c>
      <c r="G288">
        <v>9.8699999999999992</v>
      </c>
      <c r="I288">
        <v>25.23</v>
      </c>
      <c r="J288">
        <v>16.260000000000002</v>
      </c>
      <c r="K288">
        <v>3.74</v>
      </c>
      <c r="L288">
        <v>2.09</v>
      </c>
      <c r="N288">
        <v>8.06</v>
      </c>
      <c r="O288">
        <v>2.63</v>
      </c>
      <c r="Q288">
        <v>2.63</v>
      </c>
      <c r="R288">
        <v>58.01</v>
      </c>
      <c r="S288">
        <v>55.379999999999995</v>
      </c>
      <c r="T288">
        <v>56.7</v>
      </c>
      <c r="U288">
        <v>58.3</v>
      </c>
      <c r="V288">
        <v>68639.199999999997</v>
      </c>
      <c r="W288">
        <v>3431.96</v>
      </c>
      <c r="X288">
        <v>72071.16</v>
      </c>
      <c r="Z288">
        <v>72071.16</v>
      </c>
      <c r="AA288">
        <v>3603.558</v>
      </c>
      <c r="AB288">
        <v>75674.717999999993</v>
      </c>
      <c r="AC288">
        <v>9.3079903140000013</v>
      </c>
      <c r="AD288">
        <v>75684.02599031401</v>
      </c>
      <c r="AF288">
        <v>75684.02599031401</v>
      </c>
      <c r="AH288">
        <v>75684.02599031401</v>
      </c>
      <c r="AJ288">
        <v>75684.02599031401</v>
      </c>
      <c r="AL288">
        <v>75684.02599031401</v>
      </c>
      <c r="AN288">
        <v>75684.02599031401</v>
      </c>
      <c r="AP288">
        <v>75684.02599031401</v>
      </c>
      <c r="AR288">
        <v>75684.02599031401</v>
      </c>
      <c r="AT288">
        <v>75684.02599031401</v>
      </c>
      <c r="AV288">
        <v>75684.02599031401</v>
      </c>
      <c r="AX288">
        <v>75684.02599031401</v>
      </c>
      <c r="AZ288">
        <v>75684.02599031401</v>
      </c>
      <c r="BB288">
        <v>75684.02599031401</v>
      </c>
      <c r="BD288">
        <v>75684.02599031401</v>
      </c>
      <c r="BF288">
        <v>75684.02599031401</v>
      </c>
      <c r="BH288">
        <v>75684.02599031401</v>
      </c>
      <c r="BJ288">
        <v>75684.02599031401</v>
      </c>
      <c r="BL288">
        <v>75684.02599031401</v>
      </c>
      <c r="BN288">
        <v>75684.02599031401</v>
      </c>
      <c r="BP288">
        <v>75684.02599031401</v>
      </c>
      <c r="BR288">
        <v>75684.02599031401</v>
      </c>
      <c r="BT288">
        <v>75684.02599031401</v>
      </c>
      <c r="BV288">
        <v>75684.02599031401</v>
      </c>
      <c r="BX288">
        <v>75684.02599031401</v>
      </c>
      <c r="BY288">
        <v>75684.03</v>
      </c>
      <c r="BZ288">
        <v>4291284.5</v>
      </c>
      <c r="CC288">
        <v>0</v>
      </c>
      <c r="CD288">
        <v>75684.02998236331</v>
      </c>
      <c r="CE288">
        <v>4291284.5</v>
      </c>
      <c r="CF288" t="s">
        <v>36</v>
      </c>
      <c r="CH288">
        <v>75684.02998236331</v>
      </c>
      <c r="CI288">
        <v>0</v>
      </c>
      <c r="CJ288">
        <v>4291284.5</v>
      </c>
      <c r="CN288">
        <v>0</v>
      </c>
      <c r="CO288" t="s">
        <v>39</v>
      </c>
      <c r="CP288" t="s">
        <v>39</v>
      </c>
      <c r="CQ288" t="b">
        <v>1</v>
      </c>
      <c r="CR288" t="s">
        <v>8950</v>
      </c>
      <c r="CT288" t="s">
        <v>8960</v>
      </c>
      <c r="CU288" t="s">
        <v>8971</v>
      </c>
      <c r="CV288" t="s">
        <v>6156</v>
      </c>
      <c r="CW288" t="s">
        <v>4895</v>
      </c>
      <c r="CX288" t="s">
        <v>3246</v>
      </c>
      <c r="CY288">
        <v>1.5999999999999943</v>
      </c>
      <c r="CZ288">
        <v>121094.44797178089</v>
      </c>
      <c r="DA288">
        <v>4291284.5</v>
      </c>
      <c r="DB288" t="s">
        <v>36</v>
      </c>
      <c r="DC288" t="b">
        <v>1</v>
      </c>
      <c r="DD288">
        <v>4291284.5</v>
      </c>
      <c r="DE288">
        <v>0</v>
      </c>
      <c r="DF288" t="b">
        <v>1</v>
      </c>
      <c r="DG288" s="420" cm="1">
        <f t="array" ref="DG288">_xlfn.XLOOKUP("Дом 4"&amp;Реестр_Д4[[#This Row],[№]]&amp;Реестр_Д4[[#This Row],[Статус]],РД[Дом]&amp;РД[№ кв]&amp;РД[Состояние],РД[Дата подачи на регистрацию],"-",0)</f>
        <v>44923</v>
      </c>
    </row>
    <row r="289" spans="1:111" x14ac:dyDescent="0.25">
      <c r="A289">
        <v>288</v>
      </c>
      <c r="B289" t="s">
        <v>16</v>
      </c>
      <c r="C289">
        <v>8</v>
      </c>
      <c r="D289" t="s">
        <v>3352</v>
      </c>
      <c r="E289">
        <v>3</v>
      </c>
      <c r="F289">
        <v>16.27</v>
      </c>
      <c r="G289">
        <v>10.96</v>
      </c>
      <c r="H289">
        <v>10.7</v>
      </c>
      <c r="I289">
        <v>37.93</v>
      </c>
      <c r="J289">
        <v>13.42</v>
      </c>
      <c r="K289">
        <v>4.53</v>
      </c>
      <c r="L289">
        <v>2.27</v>
      </c>
      <c r="N289">
        <v>12.94</v>
      </c>
      <c r="O289">
        <v>2.83</v>
      </c>
      <c r="Q289">
        <v>2.83</v>
      </c>
      <c r="R289">
        <v>73.92</v>
      </c>
      <c r="S289">
        <v>71.09</v>
      </c>
      <c r="T289">
        <v>72.510000000000005</v>
      </c>
      <c r="U289">
        <v>74.7</v>
      </c>
      <c r="V289">
        <v>68992.000000000015</v>
      </c>
      <c r="W289">
        <v>3449.6000000000008</v>
      </c>
      <c r="X289">
        <v>72441.60000000002</v>
      </c>
      <c r="Z289">
        <v>72441.60000000002</v>
      </c>
      <c r="AB289">
        <v>72441.60000000002</v>
      </c>
      <c r="AC289">
        <v>8.9103168000000039</v>
      </c>
      <c r="AD289">
        <v>72450.510316800021</v>
      </c>
      <c r="AF289">
        <v>72450.510316800021</v>
      </c>
      <c r="AH289">
        <v>72450.510316800021</v>
      </c>
      <c r="AI289">
        <v>2173.5153095040005</v>
      </c>
      <c r="AJ289">
        <v>74624.025626304021</v>
      </c>
      <c r="AK289">
        <v>746.24025626304035</v>
      </c>
      <c r="AL289">
        <v>75370.265882567066</v>
      </c>
      <c r="AN289">
        <v>75370.265882567066</v>
      </c>
      <c r="AP289">
        <v>75370.265882567066</v>
      </c>
      <c r="AR289">
        <v>75370.265882567066</v>
      </c>
      <c r="AT289">
        <v>75370.265882567066</v>
      </c>
      <c r="AV289">
        <v>75370.265882567066</v>
      </c>
      <c r="AX289">
        <v>75370.265882567066</v>
      </c>
      <c r="AZ289">
        <v>75370.265882567066</v>
      </c>
      <c r="BB289">
        <v>75370.265882567066</v>
      </c>
      <c r="BD289">
        <v>75370.265882567066</v>
      </c>
      <c r="BF289">
        <v>75370.265882567066</v>
      </c>
      <c r="BH289">
        <v>75370.265882567066</v>
      </c>
      <c r="BJ289">
        <v>75370.265882567066</v>
      </c>
      <c r="BL289">
        <v>75370.265882567066</v>
      </c>
      <c r="BN289">
        <v>75370.265882567066</v>
      </c>
      <c r="BP289">
        <v>75370.265882567066</v>
      </c>
      <c r="BR289">
        <v>75370.265882567066</v>
      </c>
      <c r="BT289">
        <v>75370.265882567066</v>
      </c>
      <c r="BV289">
        <v>75370.265882567066</v>
      </c>
      <c r="BX289">
        <v>75370.265882567066</v>
      </c>
      <c r="BY289">
        <v>75370.27</v>
      </c>
      <c r="BZ289">
        <v>5465098.2800000003</v>
      </c>
      <c r="CC289">
        <v>0</v>
      </c>
      <c r="CD289">
        <v>75370.27003171976</v>
      </c>
      <c r="CE289">
        <v>5465098.2800000003</v>
      </c>
      <c r="CF289" t="s">
        <v>37</v>
      </c>
      <c r="CG289">
        <v>4000</v>
      </c>
      <c r="CH289">
        <v>79370.27003171976</v>
      </c>
      <c r="CI289">
        <v>290040</v>
      </c>
      <c r="CJ289">
        <v>5755138.2800000003</v>
      </c>
      <c r="CN289">
        <v>0</v>
      </c>
      <c r="CO289" t="s">
        <v>39</v>
      </c>
      <c r="CP289" t="s">
        <v>39</v>
      </c>
      <c r="CQ289" t="b">
        <v>1</v>
      </c>
      <c r="CR289" t="s">
        <v>8950</v>
      </c>
      <c r="CT289" t="s">
        <v>8960</v>
      </c>
      <c r="CU289" t="s">
        <v>8975</v>
      </c>
      <c r="CV289" t="s">
        <v>6157</v>
      </c>
      <c r="CW289" t="s">
        <v>4895</v>
      </c>
      <c r="CX289" t="s">
        <v>3246</v>
      </c>
      <c r="CY289">
        <v>2.1899999999999977</v>
      </c>
      <c r="CZ289">
        <v>173820.89136946609</v>
      </c>
      <c r="DA289">
        <v>5755138.2800000003</v>
      </c>
      <c r="DB289" t="s">
        <v>37</v>
      </c>
      <c r="DC289" t="b">
        <v>1</v>
      </c>
      <c r="DD289">
        <v>5755138.2800000003</v>
      </c>
      <c r="DE289">
        <v>0</v>
      </c>
      <c r="DF289" t="b">
        <v>1</v>
      </c>
      <c r="DG289" s="420" cm="1">
        <f t="array" ref="DG289">_xlfn.XLOOKUP("Дом 4"&amp;Реестр_Д4[[#This Row],[№]]&amp;Реестр_Д4[[#This Row],[Статус]],РД[Дом]&amp;РД[№ кв]&amp;РД[Состояние],РД[Дата подачи на регистрацию],"-",0)</f>
        <v>45057</v>
      </c>
    </row>
    <row r="290" spans="1:111" x14ac:dyDescent="0.25">
      <c r="A290">
        <v>289</v>
      </c>
      <c r="B290" t="s">
        <v>16</v>
      </c>
      <c r="C290">
        <v>8</v>
      </c>
      <c r="D290" t="s">
        <v>3353</v>
      </c>
      <c r="E290">
        <v>1</v>
      </c>
      <c r="F290">
        <v>10.68</v>
      </c>
      <c r="I290">
        <v>10.68</v>
      </c>
      <c r="J290">
        <v>12.75</v>
      </c>
      <c r="K290">
        <v>3.65</v>
      </c>
      <c r="N290">
        <v>5.45</v>
      </c>
      <c r="O290">
        <v>2.62</v>
      </c>
      <c r="Q290">
        <v>2.62</v>
      </c>
      <c r="R290">
        <v>35.15</v>
      </c>
      <c r="S290">
        <v>32.53</v>
      </c>
      <c r="T290">
        <v>33.840000000000003</v>
      </c>
      <c r="U290">
        <v>34.699999999999996</v>
      </c>
      <c r="V290">
        <v>70700</v>
      </c>
      <c r="W290">
        <v>3535</v>
      </c>
      <c r="X290">
        <v>74235</v>
      </c>
      <c r="Z290">
        <v>74235</v>
      </c>
      <c r="AB290">
        <v>74235</v>
      </c>
      <c r="AD290">
        <v>74235</v>
      </c>
      <c r="AF290">
        <v>74235</v>
      </c>
      <c r="AH290">
        <v>74235</v>
      </c>
      <c r="AJ290">
        <v>74235</v>
      </c>
      <c r="AL290">
        <v>74235</v>
      </c>
      <c r="AN290">
        <v>74235</v>
      </c>
      <c r="AP290">
        <v>74235</v>
      </c>
      <c r="AR290">
        <v>74235</v>
      </c>
      <c r="AT290">
        <v>74235</v>
      </c>
      <c r="AV290">
        <v>74235</v>
      </c>
      <c r="AX290">
        <v>74235</v>
      </c>
      <c r="AZ290">
        <v>74235</v>
      </c>
      <c r="BB290">
        <v>74235</v>
      </c>
      <c r="BD290">
        <v>74235</v>
      </c>
      <c r="BF290">
        <v>74235</v>
      </c>
      <c r="BH290">
        <v>74235</v>
      </c>
      <c r="BJ290">
        <v>74235</v>
      </c>
      <c r="BL290">
        <v>74235</v>
      </c>
      <c r="BN290">
        <v>74235</v>
      </c>
      <c r="BP290">
        <v>74235</v>
      </c>
      <c r="BR290">
        <v>74235</v>
      </c>
      <c r="BT290">
        <v>74235</v>
      </c>
      <c r="BV290">
        <v>74235</v>
      </c>
      <c r="BX290">
        <v>74235</v>
      </c>
      <c r="BY290">
        <v>74235</v>
      </c>
      <c r="BZ290">
        <v>2512112.4</v>
      </c>
      <c r="CC290">
        <v>0</v>
      </c>
      <c r="CD290">
        <v>74234.999999999985</v>
      </c>
      <c r="CE290">
        <v>2512112.4</v>
      </c>
      <c r="CF290" t="s">
        <v>36</v>
      </c>
      <c r="CH290">
        <v>74234.999999999985</v>
      </c>
      <c r="CI290">
        <v>0</v>
      </c>
      <c r="CJ290">
        <v>2512112.4</v>
      </c>
      <c r="CK290" t="s">
        <v>57</v>
      </c>
      <c r="CN290">
        <v>0</v>
      </c>
      <c r="CO290" t="s">
        <v>39</v>
      </c>
      <c r="CP290" t="s">
        <v>39</v>
      </c>
      <c r="CQ290" t="b">
        <v>1</v>
      </c>
      <c r="CR290" t="s">
        <v>8950</v>
      </c>
      <c r="CT290" t="s">
        <v>8960</v>
      </c>
      <c r="CU290" t="s">
        <v>8973</v>
      </c>
      <c r="CV290" t="s">
        <v>6158</v>
      </c>
      <c r="CW290" t="s">
        <v>4895</v>
      </c>
      <c r="CX290" t="s">
        <v>3246</v>
      </c>
      <c r="CY290">
        <v>0.85999999999999233</v>
      </c>
      <c r="CZ290">
        <v>63842.099999999416</v>
      </c>
      <c r="DA290">
        <v>2512112.4</v>
      </c>
      <c r="DB290" t="s">
        <v>36</v>
      </c>
      <c r="DC290" t="b">
        <v>1</v>
      </c>
      <c r="DD290">
        <v>2512112.4</v>
      </c>
      <c r="DE290">
        <v>0</v>
      </c>
      <c r="DF290" t="b">
        <v>1</v>
      </c>
      <c r="DG290" s="420" cm="1">
        <f t="array" ref="DG290">_xlfn.XLOOKUP("Дом 4"&amp;Реестр_Д4[[#This Row],[№]]&amp;Реестр_Д4[[#This Row],[Статус]],РД[Дом]&amp;РД[№ кв]&amp;РД[Состояние],РД[Дата подачи на регистрацию],"-",0)</f>
        <v>44784</v>
      </c>
    </row>
    <row r="291" spans="1:111" x14ac:dyDescent="0.25">
      <c r="A291">
        <v>290</v>
      </c>
      <c r="B291" t="s">
        <v>16</v>
      </c>
      <c r="C291">
        <v>9</v>
      </c>
      <c r="D291" t="s">
        <v>42</v>
      </c>
      <c r="E291">
        <v>0</v>
      </c>
      <c r="F291">
        <v>14.73</v>
      </c>
      <c r="I291">
        <v>14.73</v>
      </c>
      <c r="J291">
        <v>5.74</v>
      </c>
      <c r="K291">
        <v>3.61</v>
      </c>
      <c r="N291">
        <v>3.6</v>
      </c>
      <c r="O291">
        <v>3.34</v>
      </c>
      <c r="Q291">
        <v>3.34</v>
      </c>
      <c r="R291">
        <v>31.02</v>
      </c>
      <c r="S291">
        <v>27.68</v>
      </c>
      <c r="T291">
        <v>29.35</v>
      </c>
      <c r="U291">
        <v>30.1</v>
      </c>
      <c r="V291">
        <v>75600</v>
      </c>
      <c r="W291">
        <v>3780</v>
      </c>
      <c r="X291">
        <v>79380</v>
      </c>
      <c r="Z291">
        <v>79380</v>
      </c>
      <c r="AB291">
        <v>79380</v>
      </c>
      <c r="AC291">
        <v>9.7637400000000003</v>
      </c>
      <c r="AD291">
        <v>79389.763739999995</v>
      </c>
      <c r="AE291">
        <v>3969.4881869999999</v>
      </c>
      <c r="AF291">
        <v>83359.25192699999</v>
      </c>
      <c r="AH291">
        <v>83359.25192699999</v>
      </c>
      <c r="AJ291">
        <v>83359.25192699999</v>
      </c>
      <c r="AK291">
        <v>833.5925192699998</v>
      </c>
      <c r="AL291">
        <v>84192.844446269984</v>
      </c>
      <c r="AM291">
        <v>1683.8568889253995</v>
      </c>
      <c r="AN291">
        <v>85876.701335195379</v>
      </c>
      <c r="AO291">
        <v>4293.8350667597688</v>
      </c>
      <c r="AP291">
        <v>90170.536401955149</v>
      </c>
      <c r="AR291">
        <v>90170.536401955149</v>
      </c>
      <c r="AT291">
        <v>90170.536401955149</v>
      </c>
      <c r="AV291">
        <v>90170.536401955149</v>
      </c>
      <c r="AX291">
        <v>90170.536401955149</v>
      </c>
      <c r="AZ291">
        <v>90170.536401955149</v>
      </c>
      <c r="BB291">
        <v>90170.536401955149</v>
      </c>
      <c r="BD291">
        <v>90170.536401955149</v>
      </c>
      <c r="BF291">
        <v>90170.536401955149</v>
      </c>
      <c r="BH291">
        <v>90170.536401955149</v>
      </c>
      <c r="BJ291">
        <v>90170.536401955149</v>
      </c>
      <c r="BL291">
        <v>90170.536401955149</v>
      </c>
      <c r="BN291">
        <v>90170.536401955149</v>
      </c>
      <c r="BP291">
        <v>90170.536401955149</v>
      </c>
      <c r="BR291">
        <v>90170.536401955149</v>
      </c>
      <c r="BT291">
        <v>90170.536401955149</v>
      </c>
      <c r="BV291">
        <v>90170.536401955149</v>
      </c>
      <c r="BX291">
        <v>90170.536401955149</v>
      </c>
      <c r="BY291">
        <v>90170.54</v>
      </c>
      <c r="BZ291">
        <v>2646505.35</v>
      </c>
      <c r="CC291">
        <v>0</v>
      </c>
      <c r="CD291">
        <v>90170.540034071542</v>
      </c>
      <c r="CE291">
        <v>2646505.35</v>
      </c>
      <c r="CF291" t="s">
        <v>38</v>
      </c>
      <c r="CG291">
        <v>15000</v>
      </c>
      <c r="CH291">
        <v>105170.54003407154</v>
      </c>
      <c r="CI291">
        <v>440250</v>
      </c>
      <c r="CJ291">
        <v>3086755.35</v>
      </c>
      <c r="CN291">
        <v>0</v>
      </c>
      <c r="CO291" t="s">
        <v>39</v>
      </c>
      <c r="CP291" t="s">
        <v>39</v>
      </c>
      <c r="CQ291" t="b">
        <v>1</v>
      </c>
      <c r="CR291" t="s">
        <v>8950</v>
      </c>
      <c r="CT291" t="s">
        <v>8960</v>
      </c>
      <c r="CU291" t="s">
        <v>8970</v>
      </c>
      <c r="CV291" t="s">
        <v>6159</v>
      </c>
      <c r="CW291" t="s">
        <v>4895</v>
      </c>
      <c r="CX291" t="s">
        <v>3246</v>
      </c>
      <c r="CY291">
        <v>0.74999999999999645</v>
      </c>
      <c r="CZ291">
        <v>78877.905025553278</v>
      </c>
      <c r="DA291">
        <v>3086755.35</v>
      </c>
      <c r="DB291" t="s">
        <v>38</v>
      </c>
      <c r="DC291" t="b">
        <v>1</v>
      </c>
      <c r="DD291">
        <v>3086755.35</v>
      </c>
      <c r="DE291">
        <v>0</v>
      </c>
      <c r="DF291" t="b">
        <v>1</v>
      </c>
      <c r="DG291" s="420" cm="1">
        <f t="array" ref="DG291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292" spans="1:111" x14ac:dyDescent="0.25">
      <c r="A292">
        <v>291</v>
      </c>
      <c r="B292" t="s">
        <v>16</v>
      </c>
      <c r="C292">
        <v>9</v>
      </c>
      <c r="D292" t="s">
        <v>43</v>
      </c>
      <c r="E292">
        <v>2</v>
      </c>
      <c r="F292">
        <v>17.22</v>
      </c>
      <c r="G292">
        <v>12.24</v>
      </c>
      <c r="I292">
        <v>29.46</v>
      </c>
      <c r="J292">
        <v>17.010000000000002</v>
      </c>
      <c r="K292">
        <v>3.67</v>
      </c>
      <c r="L292">
        <v>2.4</v>
      </c>
      <c r="N292">
        <v>12.71</v>
      </c>
      <c r="O292">
        <v>2.61</v>
      </c>
      <c r="P292">
        <v>2.78</v>
      </c>
      <c r="Q292">
        <v>5.39</v>
      </c>
      <c r="R292">
        <v>70.64</v>
      </c>
      <c r="S292">
        <v>65.25</v>
      </c>
      <c r="T292">
        <v>67.95</v>
      </c>
      <c r="U292">
        <v>69.5</v>
      </c>
      <c r="V292">
        <v>71304.800000000003</v>
      </c>
      <c r="W292">
        <v>3565.24</v>
      </c>
      <c r="X292">
        <v>74870.039999999994</v>
      </c>
      <c r="Z292">
        <v>74870.039999999994</v>
      </c>
      <c r="AA292">
        <v>3743.502</v>
      </c>
      <c r="AB292">
        <v>78613.542000000016</v>
      </c>
      <c r="AC292">
        <v>9.6694656660000025</v>
      </c>
      <c r="AD292">
        <v>78623.211465666012</v>
      </c>
      <c r="AF292">
        <v>78623.211465666012</v>
      </c>
      <c r="AH292">
        <v>78623.211465666012</v>
      </c>
      <c r="AI292">
        <v>1572.4642293133202</v>
      </c>
      <c r="AJ292">
        <v>80195.675694979334</v>
      </c>
      <c r="AK292">
        <v>801.95675694979332</v>
      </c>
      <c r="AL292">
        <v>80997.632451929123</v>
      </c>
      <c r="AM292">
        <v>1619.9526490385824</v>
      </c>
      <c r="AN292">
        <v>82617.585100967699</v>
      </c>
      <c r="AP292">
        <v>82617.585100967699</v>
      </c>
      <c r="AQ292">
        <v>2478.527553029031</v>
      </c>
      <c r="AR292">
        <v>85096.112653996737</v>
      </c>
      <c r="AT292">
        <v>85096.112653996737</v>
      </c>
      <c r="AU292">
        <v>2552.8833796199019</v>
      </c>
      <c r="AV292">
        <v>87648.99603361664</v>
      </c>
      <c r="AX292">
        <v>87648.99603361664</v>
      </c>
      <c r="AZ292">
        <v>87648.99603361664</v>
      </c>
      <c r="BB292">
        <v>87648.99603361664</v>
      </c>
      <c r="BD292">
        <v>87648.99603361664</v>
      </c>
      <c r="BF292">
        <v>87648.99603361664</v>
      </c>
      <c r="BH292">
        <v>87648.99603361664</v>
      </c>
      <c r="BJ292">
        <v>87648.99603361664</v>
      </c>
      <c r="BL292">
        <v>87648.99603361664</v>
      </c>
      <c r="BN292">
        <v>87648.99603361664</v>
      </c>
      <c r="BP292">
        <v>87648.99603361664</v>
      </c>
      <c r="BR292">
        <v>87648.99603361664</v>
      </c>
      <c r="BT292">
        <v>87648.99603361664</v>
      </c>
      <c r="BV292">
        <v>87648.99603361664</v>
      </c>
      <c r="BX292">
        <v>87648.99603361664</v>
      </c>
      <c r="BY292">
        <v>87649</v>
      </c>
      <c r="BZ292">
        <v>5955749.5499999998</v>
      </c>
      <c r="CC292">
        <v>0</v>
      </c>
      <c r="CD292">
        <v>87649</v>
      </c>
      <c r="CE292">
        <v>5955749.5499999998</v>
      </c>
      <c r="CF292" t="s">
        <v>37</v>
      </c>
      <c r="CG292">
        <v>4500</v>
      </c>
      <c r="CH292">
        <v>92149</v>
      </c>
      <c r="CI292">
        <v>305775</v>
      </c>
      <c r="CJ292">
        <v>6261524.5499999998</v>
      </c>
      <c r="CN292">
        <v>0</v>
      </c>
      <c r="CO292" t="s">
        <v>39</v>
      </c>
      <c r="CP292" t="s">
        <v>39</v>
      </c>
      <c r="CQ292" t="b">
        <v>1</v>
      </c>
      <c r="CR292" t="s">
        <v>8950</v>
      </c>
      <c r="CT292" t="s">
        <v>8960</v>
      </c>
      <c r="CU292" t="s">
        <v>8971</v>
      </c>
      <c r="CV292" t="s">
        <v>6160</v>
      </c>
      <c r="CW292" t="s">
        <v>4895</v>
      </c>
      <c r="CX292" t="s">
        <v>3246</v>
      </c>
      <c r="CY292">
        <v>1.5499999999999972</v>
      </c>
      <c r="CZ292">
        <v>142830.94999999975</v>
      </c>
      <c r="DA292">
        <v>6261524.5499999998</v>
      </c>
      <c r="DB292" t="s">
        <v>37</v>
      </c>
      <c r="DC292" t="b">
        <v>1</v>
      </c>
      <c r="DD292">
        <v>6261524.5499999998</v>
      </c>
      <c r="DE292">
        <v>0</v>
      </c>
      <c r="DF292" t="b">
        <v>1</v>
      </c>
      <c r="DG292" s="420" cm="1">
        <f t="array" ref="DG292">_xlfn.XLOOKUP("Дом 4"&amp;Реестр_Д4[[#This Row],[№]]&amp;Реестр_Д4[[#This Row],[Статус]],РД[Дом]&amp;РД[№ кв]&amp;РД[Состояние],РД[Дата подачи на регистрацию],"-",0)</f>
        <v>45187</v>
      </c>
    </row>
    <row r="293" spans="1:111" x14ac:dyDescent="0.25">
      <c r="A293">
        <v>292</v>
      </c>
      <c r="B293" t="s">
        <v>16</v>
      </c>
      <c r="C293">
        <v>9</v>
      </c>
      <c r="D293" t="s">
        <v>44</v>
      </c>
      <c r="E293">
        <v>0</v>
      </c>
      <c r="F293">
        <v>19.22</v>
      </c>
      <c r="I293">
        <v>19.22</v>
      </c>
      <c r="J293">
        <v>9.57</v>
      </c>
      <c r="K293">
        <v>3.76</v>
      </c>
      <c r="N293">
        <v>2.56</v>
      </c>
      <c r="O293">
        <v>2.68</v>
      </c>
      <c r="Q293">
        <v>2.68</v>
      </c>
      <c r="R293">
        <v>37.79</v>
      </c>
      <c r="S293">
        <v>35.11</v>
      </c>
      <c r="T293">
        <v>36.450000000000003</v>
      </c>
      <c r="U293">
        <v>37.299999999999997</v>
      </c>
      <c r="V293">
        <v>76356</v>
      </c>
      <c r="W293">
        <v>3817.8</v>
      </c>
      <c r="X293">
        <v>80173.8</v>
      </c>
      <c r="Z293">
        <v>80173.8</v>
      </c>
      <c r="AB293">
        <v>80173.8</v>
      </c>
      <c r="AC293">
        <v>9.8613774000000003</v>
      </c>
      <c r="AD293">
        <v>80183.6613774</v>
      </c>
      <c r="AE293">
        <v>4009.1830688700002</v>
      </c>
      <c r="AF293">
        <v>84192.844446269999</v>
      </c>
      <c r="AH293">
        <v>84192.844446269999</v>
      </c>
      <c r="AJ293">
        <v>84192.844446269999</v>
      </c>
      <c r="AL293">
        <v>84192.844446269999</v>
      </c>
      <c r="AN293">
        <v>84192.844446269999</v>
      </c>
      <c r="AP293">
        <v>84192.844446269999</v>
      </c>
      <c r="AR293">
        <v>84192.844446269999</v>
      </c>
      <c r="AT293">
        <v>84192.844446269999</v>
      </c>
      <c r="AV293">
        <v>84192.844446269999</v>
      </c>
      <c r="AX293">
        <v>84192.844446269999</v>
      </c>
      <c r="AZ293">
        <v>84192.844446269999</v>
      </c>
      <c r="BB293">
        <v>84192.844446269999</v>
      </c>
      <c r="BD293">
        <v>84192.844446269999</v>
      </c>
      <c r="BF293">
        <v>84192.844446269999</v>
      </c>
      <c r="BH293">
        <v>84192.844446269999</v>
      </c>
      <c r="BJ293">
        <v>84192.844446269999</v>
      </c>
      <c r="BL293">
        <v>84192.844446269999</v>
      </c>
      <c r="BN293">
        <v>84192.844446269999</v>
      </c>
      <c r="BP293">
        <v>84192.844446269999</v>
      </c>
      <c r="BR293">
        <v>84192.844446269999</v>
      </c>
      <c r="BT293">
        <v>84192.844446269999</v>
      </c>
      <c r="BV293">
        <v>84192.844446269999</v>
      </c>
      <c r="BX293">
        <v>84192.844446269999</v>
      </c>
      <c r="BY293">
        <v>84192.84</v>
      </c>
      <c r="BZ293">
        <v>3068829.02</v>
      </c>
      <c r="CC293">
        <v>0</v>
      </c>
      <c r="CD293">
        <v>84192.840054869681</v>
      </c>
      <c r="CE293">
        <v>3068829.02</v>
      </c>
      <c r="CF293" t="s">
        <v>38</v>
      </c>
      <c r="CG293">
        <v>15000</v>
      </c>
      <c r="CH293">
        <v>99192.840054869681</v>
      </c>
      <c r="CI293">
        <v>546750</v>
      </c>
      <c r="CJ293">
        <v>3615579.02</v>
      </c>
      <c r="CN293">
        <v>0</v>
      </c>
      <c r="CO293" t="s">
        <v>39</v>
      </c>
      <c r="CP293" t="s">
        <v>39</v>
      </c>
      <c r="CQ293" t="b">
        <v>1</v>
      </c>
      <c r="CR293" t="s">
        <v>8950</v>
      </c>
      <c r="CT293" t="s">
        <v>8960</v>
      </c>
      <c r="CU293" t="s">
        <v>8970</v>
      </c>
      <c r="CV293" t="s">
        <v>6161</v>
      </c>
      <c r="CW293" t="s">
        <v>4895</v>
      </c>
      <c r="CX293" t="s">
        <v>3246</v>
      </c>
      <c r="CY293">
        <v>0.8499999999999942</v>
      </c>
      <c r="CZ293">
        <v>84313.91404663866</v>
      </c>
      <c r="DA293">
        <v>3615579.02</v>
      </c>
      <c r="DB293" t="s">
        <v>38</v>
      </c>
      <c r="DC293" t="b">
        <v>1</v>
      </c>
      <c r="DD293">
        <v>3615579.02</v>
      </c>
      <c r="DE293">
        <v>0</v>
      </c>
      <c r="DF293" t="b">
        <v>1</v>
      </c>
      <c r="DG293" s="420" cm="1">
        <f t="array" ref="DG293">_xlfn.XLOOKUP("Дом 4"&amp;Реестр_Д4[[#This Row],[№]]&amp;Реестр_Д4[[#This Row],[Статус]],РД[Дом]&amp;РД[№ кв]&amp;РД[Состояние],РД[Дата подачи на регистрацию],"-",0)</f>
        <v>44970</v>
      </c>
    </row>
    <row r="294" spans="1:111" x14ac:dyDescent="0.25">
      <c r="A294">
        <v>293</v>
      </c>
      <c r="B294" t="s">
        <v>16</v>
      </c>
      <c r="C294">
        <v>9</v>
      </c>
      <c r="D294" t="s">
        <v>45</v>
      </c>
      <c r="E294">
        <v>2</v>
      </c>
      <c r="F294">
        <v>18.12</v>
      </c>
      <c r="G294">
        <v>9.8800000000000008</v>
      </c>
      <c r="I294">
        <v>28</v>
      </c>
      <c r="J294">
        <v>15.3</v>
      </c>
      <c r="K294">
        <v>3.49</v>
      </c>
      <c r="L294">
        <v>2.34</v>
      </c>
      <c r="N294">
        <v>8.1</v>
      </c>
      <c r="O294">
        <v>2.63</v>
      </c>
      <c r="Q294">
        <v>2.63</v>
      </c>
      <c r="R294">
        <v>59.86</v>
      </c>
      <c r="S294">
        <v>57.23</v>
      </c>
      <c r="T294">
        <v>58.55</v>
      </c>
      <c r="U294">
        <v>59.9</v>
      </c>
      <c r="V294">
        <v>67972.800000000003</v>
      </c>
      <c r="W294">
        <v>3398.6400000000003</v>
      </c>
      <c r="X294">
        <v>71371.44</v>
      </c>
      <c r="Z294">
        <v>71371.44</v>
      </c>
      <c r="AA294">
        <v>3568.5720000000001</v>
      </c>
      <c r="AB294">
        <v>74940.012000000002</v>
      </c>
      <c r="AC294">
        <v>9.2176214760000015</v>
      </c>
      <c r="AD294">
        <v>74949.229621475999</v>
      </c>
      <c r="AF294">
        <v>74949.229621475999</v>
      </c>
      <c r="AH294">
        <v>74949.229621475999</v>
      </c>
      <c r="AI294">
        <v>1498.98459242952</v>
      </c>
      <c r="AJ294">
        <v>76448.214213905521</v>
      </c>
      <c r="AK294">
        <v>764.48214213905521</v>
      </c>
      <c r="AL294">
        <v>77212.696356044573</v>
      </c>
      <c r="AM294">
        <v>1544.2539271208916</v>
      </c>
      <c r="AN294">
        <v>78756.950283165468</v>
      </c>
      <c r="AO294">
        <v>2362.708508494964</v>
      </c>
      <c r="AP294">
        <v>81119.658791660433</v>
      </c>
      <c r="AQ294">
        <v>2433.5897637498128</v>
      </c>
      <c r="AR294">
        <v>83553.248555410246</v>
      </c>
      <c r="AS294">
        <v>4177.6624277705123</v>
      </c>
      <c r="AT294">
        <v>87730.910983180758</v>
      </c>
      <c r="AU294">
        <v>2631.9273294954228</v>
      </c>
      <c r="AV294">
        <v>90362.838312676176</v>
      </c>
      <c r="AX294">
        <v>90362.838312676176</v>
      </c>
      <c r="AZ294">
        <v>90362.838312676176</v>
      </c>
      <c r="BB294">
        <v>90362.838312676176</v>
      </c>
      <c r="BD294">
        <v>90362.838312676176</v>
      </c>
      <c r="BF294">
        <v>90362.838312676176</v>
      </c>
      <c r="BH294">
        <v>90362.838312676176</v>
      </c>
      <c r="BJ294">
        <v>90362.838312676176</v>
      </c>
      <c r="BL294">
        <v>90362.838312676176</v>
      </c>
      <c r="BN294">
        <v>90362.838312676176</v>
      </c>
      <c r="BP294">
        <v>90362.838312676176</v>
      </c>
      <c r="BR294">
        <v>90362.838312676176</v>
      </c>
      <c r="BT294">
        <v>90362.838312676176</v>
      </c>
      <c r="BV294">
        <v>90362.838312676176</v>
      </c>
      <c r="BX294">
        <v>90362.838312676176</v>
      </c>
      <c r="BY294">
        <v>90362.84</v>
      </c>
      <c r="BZ294">
        <v>5290744.28</v>
      </c>
      <c r="CB294">
        <v>0.02</v>
      </c>
      <c r="CC294">
        <v>105814.88559999999</v>
      </c>
      <c r="CD294">
        <v>88555.583091374894</v>
      </c>
      <c r="CE294">
        <v>5184929.3899999997</v>
      </c>
      <c r="CF294" t="s">
        <v>37</v>
      </c>
      <c r="CG294">
        <v>7500</v>
      </c>
      <c r="CH294">
        <v>96055.583091374894</v>
      </c>
      <c r="CI294">
        <v>439125</v>
      </c>
      <c r="CJ294">
        <v>5624054.3899999997</v>
      </c>
      <c r="CL294" t="s">
        <v>3540</v>
      </c>
      <c r="CN294">
        <v>0</v>
      </c>
      <c r="CO294" t="s">
        <v>39</v>
      </c>
      <c r="CP294" t="s">
        <v>39</v>
      </c>
      <c r="CQ294" t="b">
        <v>1</v>
      </c>
      <c r="CR294" t="s">
        <v>8950</v>
      </c>
      <c r="CT294" t="s">
        <v>8960</v>
      </c>
      <c r="CU294" t="s">
        <v>8971</v>
      </c>
      <c r="CV294" t="s">
        <v>6162</v>
      </c>
      <c r="CW294" t="s">
        <v>4895</v>
      </c>
      <c r="CX294" t="s">
        <v>3246</v>
      </c>
      <c r="CY294">
        <v>1.3500000000000014</v>
      </c>
      <c r="CZ294">
        <v>129675.03717335624</v>
      </c>
      <c r="DA294">
        <v>5624054.3899999997</v>
      </c>
      <c r="DB294" t="s">
        <v>37</v>
      </c>
      <c r="DC294" t="b">
        <v>1</v>
      </c>
      <c r="DD294">
        <v>5624054.3899999997</v>
      </c>
      <c r="DE294">
        <v>0</v>
      </c>
      <c r="DF294" t="b">
        <v>1</v>
      </c>
      <c r="DG294" s="420" cm="1">
        <f t="array" ref="DG294">_xlfn.XLOOKUP("Дом 4"&amp;Реестр_Д4[[#This Row],[№]]&amp;Реестр_Д4[[#This Row],[Статус]],РД[Дом]&amp;РД[№ кв]&amp;РД[Состояние],РД[Дата подачи на регистрацию],"-",0)</f>
        <v>45226</v>
      </c>
    </row>
    <row r="295" spans="1:111" x14ac:dyDescent="0.25">
      <c r="A295">
        <v>294</v>
      </c>
      <c r="B295" t="s">
        <v>16</v>
      </c>
      <c r="C295">
        <v>9</v>
      </c>
      <c r="D295" t="s">
        <v>3351</v>
      </c>
      <c r="E295">
        <v>2</v>
      </c>
      <c r="F295">
        <v>15.36</v>
      </c>
      <c r="G295">
        <v>9.8699999999999992</v>
      </c>
      <c r="I295">
        <v>25.23</v>
      </c>
      <c r="J295">
        <v>16.260000000000002</v>
      </c>
      <c r="K295">
        <v>3.74</v>
      </c>
      <c r="L295">
        <v>2.09</v>
      </c>
      <c r="N295">
        <v>8.06</v>
      </c>
      <c r="O295">
        <v>2.63</v>
      </c>
      <c r="Q295">
        <v>2.63</v>
      </c>
      <c r="R295">
        <v>58.01</v>
      </c>
      <c r="S295">
        <v>55.379999999999995</v>
      </c>
      <c r="T295">
        <v>56.7</v>
      </c>
      <c r="U295">
        <v>58.3</v>
      </c>
      <c r="V295">
        <v>67972.800000000003</v>
      </c>
      <c r="W295">
        <v>3398.6400000000003</v>
      </c>
      <c r="X295">
        <v>71371.44</v>
      </c>
      <c r="Z295">
        <v>71371.44</v>
      </c>
      <c r="AB295">
        <v>71371.44</v>
      </c>
      <c r="AD295">
        <v>71371.44</v>
      </c>
      <c r="AF295">
        <v>71371.44</v>
      </c>
      <c r="AH295">
        <v>71371.44</v>
      </c>
      <c r="AJ295">
        <v>71371.44</v>
      </c>
      <c r="AL295">
        <v>71371.44</v>
      </c>
      <c r="AN295">
        <v>71371.44</v>
      </c>
      <c r="AP295">
        <v>71371.44</v>
      </c>
      <c r="AR295">
        <v>71371.44</v>
      </c>
      <c r="AT295">
        <v>71371.44</v>
      </c>
      <c r="AV295">
        <v>71371.44</v>
      </c>
      <c r="AX295">
        <v>71371.44</v>
      </c>
      <c r="AZ295">
        <v>71371.44</v>
      </c>
      <c r="BB295">
        <v>71371.44</v>
      </c>
      <c r="BD295">
        <v>71371.44</v>
      </c>
      <c r="BF295">
        <v>71371.44</v>
      </c>
      <c r="BH295">
        <v>71371.44</v>
      </c>
      <c r="BJ295">
        <v>71371.44</v>
      </c>
      <c r="BL295">
        <v>71371.44</v>
      </c>
      <c r="BN295">
        <v>71371.44</v>
      </c>
      <c r="BP295">
        <v>71371.44</v>
      </c>
      <c r="BR295">
        <v>71371.44</v>
      </c>
      <c r="BT295">
        <v>71371.44</v>
      </c>
      <c r="BV295">
        <v>71371.44</v>
      </c>
      <c r="BX295">
        <v>71371.44</v>
      </c>
      <c r="BY295">
        <v>71371.44</v>
      </c>
      <c r="BZ295">
        <v>4046760.65</v>
      </c>
      <c r="CB295">
        <v>0.05</v>
      </c>
      <c r="CC295">
        <v>202338.0325</v>
      </c>
      <c r="CD295">
        <v>67802.870017636684</v>
      </c>
      <c r="CE295">
        <v>3844422.73</v>
      </c>
      <c r="CF295" t="s">
        <v>37</v>
      </c>
      <c r="CG295">
        <v>7500</v>
      </c>
      <c r="CH295">
        <v>75302.870017636684</v>
      </c>
      <c r="CI295">
        <v>425250.00000000047</v>
      </c>
      <c r="CJ295">
        <v>4269672.7300000004</v>
      </c>
      <c r="CL295" t="s">
        <v>3540</v>
      </c>
      <c r="CN295">
        <v>0</v>
      </c>
      <c r="CO295" t="s">
        <v>39</v>
      </c>
      <c r="CP295" t="s">
        <v>39</v>
      </c>
      <c r="CQ295" t="b">
        <v>1</v>
      </c>
      <c r="CR295" t="s">
        <v>8950</v>
      </c>
      <c r="CT295" t="s">
        <v>8960</v>
      </c>
      <c r="CU295" t="s">
        <v>8971</v>
      </c>
      <c r="CV295" t="s">
        <v>6163</v>
      </c>
      <c r="CW295" t="s">
        <v>4895</v>
      </c>
      <c r="CX295" t="s">
        <v>3246</v>
      </c>
      <c r="CY295">
        <v>1.5999999999999943</v>
      </c>
      <c r="CZ295">
        <v>120484.59202821826</v>
      </c>
      <c r="DA295">
        <v>4269672.7300000004</v>
      </c>
      <c r="DB295" t="s">
        <v>37</v>
      </c>
      <c r="DC295" t="b">
        <v>1</v>
      </c>
      <c r="DD295">
        <v>4269672.7300000004</v>
      </c>
      <c r="DE295">
        <v>0</v>
      </c>
      <c r="DF295" t="b">
        <v>1</v>
      </c>
      <c r="DG295" s="420" cm="1">
        <f t="array" ref="DG295">_xlfn.XLOOKUP("Дом 4"&amp;Реестр_Д4[[#This Row],[№]]&amp;Реестр_Д4[[#This Row],[Статус]],РД[Дом]&amp;РД[№ кв]&amp;РД[Состояние],РД[Дата подачи на регистрацию],"-",0)</f>
        <v>44876</v>
      </c>
    </row>
    <row r="296" spans="1:111" x14ac:dyDescent="0.25">
      <c r="A296">
        <v>295</v>
      </c>
      <c r="B296" t="s">
        <v>16</v>
      </c>
      <c r="C296">
        <v>9</v>
      </c>
      <c r="D296" t="s">
        <v>3352</v>
      </c>
      <c r="E296">
        <v>3</v>
      </c>
      <c r="F296">
        <v>16.27</v>
      </c>
      <c r="G296">
        <v>10.96</v>
      </c>
      <c r="H296">
        <v>10.7</v>
      </c>
      <c r="I296">
        <v>37.93</v>
      </c>
      <c r="J296">
        <v>13.42</v>
      </c>
      <c r="K296">
        <v>4.53</v>
      </c>
      <c r="L296">
        <v>2.27</v>
      </c>
      <c r="N296">
        <v>12.94</v>
      </c>
      <c r="O296">
        <v>2.83</v>
      </c>
      <c r="Q296">
        <v>2.83</v>
      </c>
      <c r="R296">
        <v>73.92</v>
      </c>
      <c r="S296">
        <v>71.09</v>
      </c>
      <c r="T296">
        <v>72.510000000000005</v>
      </c>
      <c r="U296">
        <v>74.400000000000006</v>
      </c>
      <c r="V296">
        <v>68364.800000000003</v>
      </c>
      <c r="W296">
        <v>3418.24</v>
      </c>
      <c r="X296">
        <v>71783.040000000008</v>
      </c>
      <c r="Z296">
        <v>71783.040000000008</v>
      </c>
      <c r="AB296">
        <v>71783.040000000008</v>
      </c>
      <c r="AC296">
        <v>8.8293139200000024</v>
      </c>
      <c r="AD296">
        <v>71791.869313920004</v>
      </c>
      <c r="AF296">
        <v>71791.869313920004</v>
      </c>
      <c r="AH296">
        <v>71791.869313920004</v>
      </c>
      <c r="AI296">
        <v>2153.7560794176002</v>
      </c>
      <c r="AJ296">
        <v>73945.625393337599</v>
      </c>
      <c r="AK296">
        <v>739.45625393337605</v>
      </c>
      <c r="AL296">
        <v>74685.08164727097</v>
      </c>
      <c r="AM296">
        <v>1493.7016329454195</v>
      </c>
      <c r="AN296">
        <v>76178.78328021639</v>
      </c>
      <c r="AP296">
        <v>76178.78328021639</v>
      </c>
      <c r="AR296">
        <v>76178.78328021639</v>
      </c>
      <c r="AT296">
        <v>76178.78328021639</v>
      </c>
      <c r="AV296">
        <v>76178.78328021639</v>
      </c>
      <c r="AX296">
        <v>76178.78328021639</v>
      </c>
      <c r="AZ296">
        <v>76178.78328021639</v>
      </c>
      <c r="BB296">
        <v>76178.78328021639</v>
      </c>
      <c r="BD296">
        <v>76178.78328021639</v>
      </c>
      <c r="BF296">
        <v>76178.78328021639</v>
      </c>
      <c r="BH296">
        <v>76178.78328021639</v>
      </c>
      <c r="BJ296">
        <v>76178.78328021639</v>
      </c>
      <c r="BL296">
        <v>76178.78328021639</v>
      </c>
      <c r="BN296">
        <v>76178.78328021639</v>
      </c>
      <c r="BP296">
        <v>76178.78328021639</v>
      </c>
      <c r="BR296">
        <v>76178.78328021639</v>
      </c>
      <c r="BT296">
        <v>76178.78328021639</v>
      </c>
      <c r="BV296">
        <v>76178.78328021639</v>
      </c>
      <c r="BX296">
        <v>76178.78328021639</v>
      </c>
      <c r="BY296">
        <v>76178.78</v>
      </c>
      <c r="BZ296">
        <v>5523723.3399999999</v>
      </c>
      <c r="CC296">
        <v>0</v>
      </c>
      <c r="CD296">
        <v>76178.78003034064</v>
      </c>
      <c r="CE296">
        <v>5523723.3399999999</v>
      </c>
      <c r="CF296" t="s">
        <v>38</v>
      </c>
      <c r="CG296">
        <v>15000</v>
      </c>
      <c r="CH296">
        <v>91178.78003034064</v>
      </c>
      <c r="CI296">
        <v>1087650</v>
      </c>
      <c r="CJ296">
        <v>6611373.3399999999</v>
      </c>
      <c r="CN296">
        <v>0</v>
      </c>
      <c r="CO296" t="s">
        <v>39</v>
      </c>
      <c r="CP296" t="s">
        <v>39</v>
      </c>
      <c r="CQ296" t="b">
        <v>1</v>
      </c>
      <c r="CR296" t="s">
        <v>8950</v>
      </c>
      <c r="CT296" t="s">
        <v>8960</v>
      </c>
      <c r="CU296" t="s">
        <v>8975</v>
      </c>
      <c r="CV296" t="s">
        <v>6164</v>
      </c>
      <c r="CW296" t="s">
        <v>4895</v>
      </c>
      <c r="CX296" t="s">
        <v>3246</v>
      </c>
      <c r="CY296">
        <v>1.8900000000000008</v>
      </c>
      <c r="CZ296">
        <v>172327.89425734387</v>
      </c>
      <c r="DA296">
        <v>6611373.3399999999</v>
      </c>
      <c r="DB296" t="s">
        <v>38</v>
      </c>
      <c r="DC296" t="b">
        <v>1</v>
      </c>
      <c r="DD296">
        <v>6611373.3399999999</v>
      </c>
      <c r="DE296">
        <v>0</v>
      </c>
      <c r="DF296" t="b">
        <v>1</v>
      </c>
      <c r="DG296" s="420" cm="1">
        <f t="array" ref="DG296">_xlfn.XLOOKUP("Дом 4"&amp;Реестр_Д4[[#This Row],[№]]&amp;Реестр_Д4[[#This Row],[Статус]],РД[Дом]&amp;РД[№ кв]&amp;РД[Состояние],РД[Дата подачи на регистрацию],"-",0)</f>
        <v>45058</v>
      </c>
    </row>
    <row r="297" spans="1:111" x14ac:dyDescent="0.25">
      <c r="A297">
        <v>296</v>
      </c>
      <c r="B297" t="s">
        <v>16</v>
      </c>
      <c r="C297">
        <v>9</v>
      </c>
      <c r="D297" t="s">
        <v>3353</v>
      </c>
      <c r="E297">
        <v>1</v>
      </c>
      <c r="F297">
        <v>10.68</v>
      </c>
      <c r="I297">
        <v>10.68</v>
      </c>
      <c r="J297">
        <v>12.75</v>
      </c>
      <c r="K297">
        <v>3.65</v>
      </c>
      <c r="N297">
        <v>5.45</v>
      </c>
      <c r="O297">
        <v>2.62</v>
      </c>
      <c r="Q297">
        <v>2.62</v>
      </c>
      <c r="R297">
        <v>35.15</v>
      </c>
      <c r="S297">
        <v>32.53</v>
      </c>
      <c r="T297">
        <v>33.840000000000003</v>
      </c>
      <c r="U297">
        <v>35</v>
      </c>
      <c r="V297">
        <v>70700</v>
      </c>
      <c r="W297">
        <v>3535</v>
      </c>
      <c r="X297">
        <v>74235</v>
      </c>
      <c r="Z297">
        <v>74235</v>
      </c>
      <c r="AB297">
        <v>74235</v>
      </c>
      <c r="AD297">
        <v>74235</v>
      </c>
      <c r="AF297">
        <v>74235</v>
      </c>
      <c r="AH297">
        <v>74235</v>
      </c>
      <c r="AJ297">
        <v>74235</v>
      </c>
      <c r="AL297">
        <v>74235</v>
      </c>
      <c r="AN297">
        <v>74235</v>
      </c>
      <c r="AP297">
        <v>74235</v>
      </c>
      <c r="AR297">
        <v>74235</v>
      </c>
      <c r="AT297">
        <v>74235</v>
      </c>
      <c r="AV297">
        <v>74235</v>
      </c>
      <c r="AX297">
        <v>74235</v>
      </c>
      <c r="AZ297">
        <v>74235</v>
      </c>
      <c r="BB297">
        <v>74235</v>
      </c>
      <c r="BD297">
        <v>74235</v>
      </c>
      <c r="BF297">
        <v>74235</v>
      </c>
      <c r="BH297">
        <v>74235</v>
      </c>
      <c r="BJ297">
        <v>74235</v>
      </c>
      <c r="BL297">
        <v>74235</v>
      </c>
      <c r="BN297">
        <v>74235</v>
      </c>
      <c r="BP297">
        <v>74235</v>
      </c>
      <c r="BR297">
        <v>74235</v>
      </c>
      <c r="BT297">
        <v>74235</v>
      </c>
      <c r="BV297">
        <v>74235</v>
      </c>
      <c r="BX297">
        <v>74235</v>
      </c>
      <c r="BY297">
        <v>74235</v>
      </c>
      <c r="BZ297">
        <v>2512112.4</v>
      </c>
      <c r="CC297">
        <v>0</v>
      </c>
      <c r="CD297">
        <v>74234.999999999985</v>
      </c>
      <c r="CE297">
        <v>2512112.4</v>
      </c>
      <c r="CF297" t="s">
        <v>36</v>
      </c>
      <c r="CH297">
        <v>74234.999999999985</v>
      </c>
      <c r="CI297">
        <v>0</v>
      </c>
      <c r="CJ297">
        <v>2512112.4</v>
      </c>
      <c r="CK297" t="s">
        <v>57</v>
      </c>
      <c r="CN297">
        <v>0</v>
      </c>
      <c r="CO297" t="s">
        <v>39</v>
      </c>
      <c r="CP297" t="s">
        <v>39</v>
      </c>
      <c r="CQ297" t="b">
        <v>1</v>
      </c>
      <c r="CR297" t="s">
        <v>8950</v>
      </c>
      <c r="CT297" t="s">
        <v>8960</v>
      </c>
      <c r="CU297" t="s">
        <v>8973</v>
      </c>
      <c r="CV297" t="s">
        <v>6165</v>
      </c>
      <c r="CW297" t="s">
        <v>4895</v>
      </c>
      <c r="CX297" t="s">
        <v>3246</v>
      </c>
      <c r="CY297">
        <v>1.1599999999999966</v>
      </c>
      <c r="CZ297">
        <v>86112.599999999729</v>
      </c>
      <c r="DA297">
        <v>2512112.4</v>
      </c>
      <c r="DB297" t="s">
        <v>36</v>
      </c>
      <c r="DC297" t="b">
        <v>1</v>
      </c>
      <c r="DD297">
        <v>2512112.4</v>
      </c>
      <c r="DE297">
        <v>0</v>
      </c>
      <c r="DF297" t="b">
        <v>1</v>
      </c>
      <c r="DG297" s="420" cm="1">
        <f t="array" ref="DG297">_xlfn.XLOOKUP("Дом 4"&amp;Реестр_Д4[[#This Row],[№]]&amp;Реестр_Д4[[#This Row],[Статус]],РД[Дом]&amp;РД[№ кв]&amp;РД[Состояние],РД[Дата подачи на регистрацию],"-",0)</f>
        <v>44791</v>
      </c>
    </row>
    <row r="298" spans="1:111" x14ac:dyDescent="0.25">
      <c r="A298">
        <v>297</v>
      </c>
      <c r="B298" t="s">
        <v>16</v>
      </c>
      <c r="C298">
        <v>10</v>
      </c>
      <c r="D298" t="s">
        <v>42</v>
      </c>
      <c r="E298">
        <v>0</v>
      </c>
      <c r="F298">
        <v>14.73</v>
      </c>
      <c r="I298">
        <v>14.73</v>
      </c>
      <c r="J298">
        <v>5.74</v>
      </c>
      <c r="K298">
        <v>3.61</v>
      </c>
      <c r="N298">
        <v>3.6</v>
      </c>
      <c r="O298">
        <v>3.34</v>
      </c>
      <c r="Q298">
        <v>3.34</v>
      </c>
      <c r="R298">
        <v>31.02</v>
      </c>
      <c r="S298">
        <v>27.68</v>
      </c>
      <c r="T298">
        <v>29.35</v>
      </c>
      <c r="U298">
        <v>30.199999999999996</v>
      </c>
      <c r="V298">
        <v>75600</v>
      </c>
      <c r="W298">
        <v>3780</v>
      </c>
      <c r="X298">
        <v>79380</v>
      </c>
      <c r="Z298">
        <v>79380</v>
      </c>
      <c r="AB298">
        <v>79380</v>
      </c>
      <c r="AC298">
        <v>9.7637400000000003</v>
      </c>
      <c r="AD298">
        <v>79389.763739999995</v>
      </c>
      <c r="AE298">
        <v>3969.4881869999999</v>
      </c>
      <c r="AF298">
        <v>83359.25192699999</v>
      </c>
      <c r="AH298">
        <v>83359.25192699999</v>
      </c>
      <c r="AJ298">
        <v>83359.25192699999</v>
      </c>
      <c r="AK298">
        <v>833.5925192699998</v>
      </c>
      <c r="AL298">
        <v>84192.844446269984</v>
      </c>
      <c r="AM298">
        <v>1683.8568889253995</v>
      </c>
      <c r="AN298">
        <v>85876.701335195379</v>
      </c>
      <c r="AO298">
        <v>4293.8350667597688</v>
      </c>
      <c r="AP298">
        <v>90170.536401955149</v>
      </c>
      <c r="AQ298">
        <v>2705.1160920586544</v>
      </c>
      <c r="AR298">
        <v>92875.652494013804</v>
      </c>
      <c r="AS298">
        <v>4643.7826247006906</v>
      </c>
      <c r="AT298">
        <v>97519.435118714493</v>
      </c>
      <c r="AU298">
        <v>2925.5830535614346</v>
      </c>
      <c r="AV298">
        <v>100445.01817227592</v>
      </c>
      <c r="AW298">
        <v>6026.7010903365554</v>
      </c>
      <c r="AX298">
        <v>106471.71926261247</v>
      </c>
      <c r="AZ298">
        <v>106471.71926261247</v>
      </c>
      <c r="BB298">
        <v>106471.71926261247</v>
      </c>
      <c r="BD298">
        <v>106471.71926261247</v>
      </c>
      <c r="BE298">
        <v>3194.1515778783746</v>
      </c>
      <c r="BF298">
        <v>109665.87084049088</v>
      </c>
      <c r="BH298">
        <v>109665.87084049088</v>
      </c>
      <c r="BJ298">
        <v>109665.87084049088</v>
      </c>
      <c r="BL298">
        <v>109665.87084049088</v>
      </c>
      <c r="BN298">
        <v>109665.87084049088</v>
      </c>
      <c r="BP298">
        <v>109665.87084049088</v>
      </c>
      <c r="BR298">
        <v>109665.87084049088</v>
      </c>
      <c r="BT298">
        <v>109665.87084049088</v>
      </c>
      <c r="BV298">
        <v>109665.87084049088</v>
      </c>
      <c r="BX298">
        <v>109665.87084049088</v>
      </c>
      <c r="BY298">
        <v>109665.87</v>
      </c>
      <c r="BZ298">
        <v>3218700</v>
      </c>
      <c r="CC298">
        <v>0</v>
      </c>
      <c r="CD298">
        <v>109666.09880749574</v>
      </c>
      <c r="CE298">
        <v>3218700</v>
      </c>
      <c r="CF298" t="s">
        <v>37</v>
      </c>
      <c r="CG298">
        <v>7500</v>
      </c>
      <c r="CH298">
        <v>117166.09880749574</v>
      </c>
      <c r="CI298">
        <v>220125</v>
      </c>
      <c r="CJ298">
        <v>3438825</v>
      </c>
      <c r="CN298">
        <v>0</v>
      </c>
      <c r="CO298" t="s">
        <v>39</v>
      </c>
      <c r="CP298" t="s">
        <v>39</v>
      </c>
      <c r="CQ298" t="b">
        <v>1</v>
      </c>
      <c r="CR298" t="s">
        <v>8950</v>
      </c>
      <c r="CT298" t="s">
        <v>8960</v>
      </c>
      <c r="CU298" t="s">
        <v>8970</v>
      </c>
      <c r="CV298" t="s">
        <v>6166</v>
      </c>
      <c r="CW298" t="s">
        <v>6652</v>
      </c>
      <c r="CX298" t="s">
        <v>3246</v>
      </c>
      <c r="CY298">
        <v>0.8499999999999942</v>
      </c>
      <c r="CZ298">
        <v>99591.183986370714</v>
      </c>
      <c r="DA298">
        <v>3438825</v>
      </c>
      <c r="DB298" t="s">
        <v>37</v>
      </c>
      <c r="DC298" t="b">
        <v>1</v>
      </c>
      <c r="DD298">
        <v>3438825</v>
      </c>
      <c r="DE298">
        <v>0</v>
      </c>
      <c r="DF298" t="b">
        <v>1</v>
      </c>
      <c r="DG298" s="420" cm="1">
        <f t="array" ref="DG298">_xlfn.XLOOKUP("Дом 4"&amp;Реестр_Д4[[#This Row],[№]]&amp;Реестр_Д4[[#This Row],[Статус]],РД[Дом]&amp;РД[№ кв]&amp;РД[Состояние],РД[Дата подачи на регистрацию],"-",0)</f>
        <v>45267</v>
      </c>
    </row>
    <row r="299" spans="1:111" x14ac:dyDescent="0.25">
      <c r="A299">
        <v>298</v>
      </c>
      <c r="B299" t="s">
        <v>16</v>
      </c>
      <c r="C299">
        <v>10</v>
      </c>
      <c r="D299" t="s">
        <v>43</v>
      </c>
      <c r="E299">
        <v>2</v>
      </c>
      <c r="F299">
        <v>17.22</v>
      </c>
      <c r="G299">
        <v>12.24</v>
      </c>
      <c r="I299">
        <v>29.46</v>
      </c>
      <c r="J299">
        <v>17.010000000000002</v>
      </c>
      <c r="K299">
        <v>3.67</v>
      </c>
      <c r="L299">
        <v>2.4</v>
      </c>
      <c r="N299">
        <v>12.71</v>
      </c>
      <c r="O299">
        <v>2.61</v>
      </c>
      <c r="P299">
        <v>2.78</v>
      </c>
      <c r="Q299">
        <v>5.39</v>
      </c>
      <c r="R299">
        <v>70.64</v>
      </c>
      <c r="S299">
        <v>65.25</v>
      </c>
      <c r="T299">
        <v>67.95</v>
      </c>
      <c r="U299">
        <v>69.099999999999994</v>
      </c>
      <c r="V299">
        <v>71304.800000000003</v>
      </c>
      <c r="W299">
        <v>3565.24</v>
      </c>
      <c r="X299">
        <v>74870.039999999994</v>
      </c>
      <c r="Z299">
        <v>74870.039999999994</v>
      </c>
      <c r="AA299">
        <v>3743.502</v>
      </c>
      <c r="AB299">
        <v>78613.542000000016</v>
      </c>
      <c r="AC299">
        <v>9.6694656660000025</v>
      </c>
      <c r="AD299">
        <v>78623.211465666012</v>
      </c>
      <c r="AF299">
        <v>78623.211465666012</v>
      </c>
      <c r="AH299">
        <v>78623.211465666012</v>
      </c>
      <c r="AI299">
        <v>1572.4642293133202</v>
      </c>
      <c r="AJ299">
        <v>80195.675694979334</v>
      </c>
      <c r="AK299">
        <v>801.95675694979332</v>
      </c>
      <c r="AL299">
        <v>80997.632451929123</v>
      </c>
      <c r="AM299">
        <v>1619.9526490385824</v>
      </c>
      <c r="AN299">
        <v>82617.585100967699</v>
      </c>
      <c r="AP299">
        <v>82617.585100967699</v>
      </c>
      <c r="AR299">
        <v>82617.585100967699</v>
      </c>
      <c r="AT299">
        <v>82617.585100967699</v>
      </c>
      <c r="AV299">
        <v>82617.585100967699</v>
      </c>
      <c r="AX299">
        <v>82617.585100967699</v>
      </c>
      <c r="AZ299">
        <v>82617.585100967699</v>
      </c>
      <c r="BB299">
        <v>82617.585100967699</v>
      </c>
      <c r="BD299">
        <v>82617.585100967699</v>
      </c>
      <c r="BF299">
        <v>82617.585100967699</v>
      </c>
      <c r="BH299">
        <v>82617.585100967699</v>
      </c>
      <c r="BJ299">
        <v>82617.585100967699</v>
      </c>
      <c r="BL299">
        <v>82617.585100967699</v>
      </c>
      <c r="BN299">
        <v>82617.585100967699</v>
      </c>
      <c r="BP299">
        <v>82617.585100967699</v>
      </c>
      <c r="BR299">
        <v>82617.585100967699</v>
      </c>
      <c r="BT299">
        <v>82617.585100967699</v>
      </c>
      <c r="BV299">
        <v>82617.585100967699</v>
      </c>
      <c r="BX299">
        <v>82617.585100967699</v>
      </c>
      <c r="BY299">
        <v>82617.59</v>
      </c>
      <c r="BZ299">
        <v>5613865.2400000002</v>
      </c>
      <c r="CA299">
        <v>271800</v>
      </c>
      <c r="CC299">
        <v>271800</v>
      </c>
      <c r="CD299">
        <v>78617.589992641646</v>
      </c>
      <c r="CE299">
        <v>5342065.24</v>
      </c>
      <c r="CF299" t="s">
        <v>37</v>
      </c>
      <c r="CG299">
        <v>4000</v>
      </c>
      <c r="CH299">
        <v>82617.589992641646</v>
      </c>
      <c r="CI299">
        <v>271800</v>
      </c>
      <c r="CJ299">
        <v>5613865.2400000002</v>
      </c>
      <c r="CL299" t="s">
        <v>4840</v>
      </c>
      <c r="CN299">
        <v>0</v>
      </c>
      <c r="CO299" t="s">
        <v>39</v>
      </c>
      <c r="CP299" t="s">
        <v>39</v>
      </c>
      <c r="CQ299" t="b">
        <v>1</v>
      </c>
      <c r="CR299" t="s">
        <v>8950</v>
      </c>
      <c r="CT299" t="s">
        <v>8960</v>
      </c>
      <c r="CU299" t="s">
        <v>8971</v>
      </c>
      <c r="CV299" t="s">
        <v>6167</v>
      </c>
      <c r="CW299" t="s">
        <v>4895</v>
      </c>
      <c r="CX299" t="s">
        <v>3246</v>
      </c>
      <c r="CY299">
        <v>1.1499999999999917</v>
      </c>
      <c r="CZ299">
        <v>95010.228491537186</v>
      </c>
      <c r="DA299">
        <v>5613865.2400000002</v>
      </c>
      <c r="DB299" t="s">
        <v>37</v>
      </c>
      <c r="DC299" t="b">
        <v>1</v>
      </c>
      <c r="DD299">
        <v>5613865.2400000002</v>
      </c>
      <c r="DE299">
        <v>0</v>
      </c>
      <c r="DF299" t="b">
        <v>1</v>
      </c>
      <c r="DG299" s="420" cm="1">
        <f t="array" ref="DG299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300" spans="1:111" x14ac:dyDescent="0.25">
      <c r="A300">
        <v>299</v>
      </c>
      <c r="B300" t="s">
        <v>16</v>
      </c>
      <c r="C300">
        <v>10</v>
      </c>
      <c r="D300" t="s">
        <v>44</v>
      </c>
      <c r="E300">
        <v>0</v>
      </c>
      <c r="F300">
        <v>19.22</v>
      </c>
      <c r="I300">
        <v>19.22</v>
      </c>
      <c r="J300">
        <v>9.57</v>
      </c>
      <c r="K300">
        <v>3.76</v>
      </c>
      <c r="N300">
        <v>2.56</v>
      </c>
      <c r="O300">
        <v>2.68</v>
      </c>
      <c r="Q300">
        <v>2.68</v>
      </c>
      <c r="R300">
        <v>37.79</v>
      </c>
      <c r="S300">
        <v>35.11</v>
      </c>
      <c r="T300">
        <v>36.450000000000003</v>
      </c>
      <c r="U300">
        <v>37.299999999999997</v>
      </c>
      <c r="V300">
        <v>76356</v>
      </c>
      <c r="W300">
        <v>3817.8</v>
      </c>
      <c r="X300">
        <v>80173.8</v>
      </c>
      <c r="Z300">
        <v>80173.8</v>
      </c>
      <c r="AB300">
        <v>80173.8</v>
      </c>
      <c r="AC300">
        <v>9.8613774000000003</v>
      </c>
      <c r="AD300">
        <v>80183.6613774</v>
      </c>
      <c r="AE300">
        <v>4009.1830688700002</v>
      </c>
      <c r="AF300">
        <v>84192.844446269999</v>
      </c>
      <c r="AH300">
        <v>84192.844446269999</v>
      </c>
      <c r="AJ300">
        <v>84192.844446269999</v>
      </c>
      <c r="AK300">
        <v>841.92844446269999</v>
      </c>
      <c r="AL300">
        <v>85034.772890732711</v>
      </c>
      <c r="AM300">
        <v>1700.695457814654</v>
      </c>
      <c r="AN300">
        <v>86735.468348547351</v>
      </c>
      <c r="AO300">
        <v>4336.7734174273673</v>
      </c>
      <c r="AP300">
        <v>91072.241765974715</v>
      </c>
      <c r="AQ300">
        <v>2732.1672529792413</v>
      </c>
      <c r="AR300">
        <v>93804.409018953957</v>
      </c>
      <c r="AS300">
        <v>4690.2204509476978</v>
      </c>
      <c r="AT300">
        <v>98494.629469901658</v>
      </c>
      <c r="AU300">
        <v>2954.8388840970497</v>
      </c>
      <c r="AV300">
        <v>101449.4683539987</v>
      </c>
      <c r="AX300">
        <v>101449.4683539987</v>
      </c>
      <c r="AZ300">
        <v>101449.4683539987</v>
      </c>
      <c r="BB300">
        <v>101449.4683539987</v>
      </c>
      <c r="BD300">
        <v>101449.4683539987</v>
      </c>
      <c r="BE300">
        <v>3043.4840506199607</v>
      </c>
      <c r="BF300">
        <v>104492.95240461866</v>
      </c>
      <c r="BH300">
        <v>104492.95240461866</v>
      </c>
      <c r="BI300">
        <v>5224.6476202309332</v>
      </c>
      <c r="BJ300">
        <v>109717.60002484958</v>
      </c>
      <c r="BK300">
        <v>500</v>
      </c>
      <c r="BL300">
        <v>110217.60002484958</v>
      </c>
      <c r="BM300">
        <v>2204.3520004969919</v>
      </c>
      <c r="BN300">
        <v>112421.95202534656</v>
      </c>
      <c r="BO300">
        <v>5621.0976012673291</v>
      </c>
      <c r="BP300">
        <v>118043.04962661392</v>
      </c>
      <c r="BQ300">
        <v>500</v>
      </c>
      <c r="BR300">
        <v>118543.04962661392</v>
      </c>
      <c r="BT300">
        <v>118543.04962661392</v>
      </c>
      <c r="BV300">
        <v>118543.04962661392</v>
      </c>
      <c r="BX300">
        <v>118543.04962661392</v>
      </c>
      <c r="BY300">
        <v>118543.05</v>
      </c>
      <c r="BZ300">
        <v>4320900</v>
      </c>
      <c r="CC300">
        <v>0</v>
      </c>
      <c r="CD300">
        <v>118543.2098765432</v>
      </c>
      <c r="CE300">
        <v>4320900</v>
      </c>
      <c r="CF300" t="s">
        <v>38</v>
      </c>
      <c r="CG300">
        <v>22000</v>
      </c>
      <c r="CH300">
        <v>140543.2098765432</v>
      </c>
      <c r="CI300">
        <v>801900</v>
      </c>
      <c r="CJ300">
        <v>5122800</v>
      </c>
      <c r="CN300">
        <v>0</v>
      </c>
      <c r="CO300" t="s">
        <v>39</v>
      </c>
      <c r="CP300" t="s">
        <v>39</v>
      </c>
      <c r="CQ300" t="b">
        <v>1</v>
      </c>
      <c r="CR300" t="s">
        <v>8950</v>
      </c>
      <c r="CT300" t="s">
        <v>8960</v>
      </c>
      <c r="CU300" t="s">
        <v>8970</v>
      </c>
      <c r="CV300" t="s">
        <v>6168</v>
      </c>
      <c r="CW300" t="s">
        <v>57</v>
      </c>
      <c r="CX300" t="s">
        <v>3246</v>
      </c>
      <c r="CY300">
        <v>0.8499999999999942</v>
      </c>
      <c r="CZ300">
        <v>119461.72839506093</v>
      </c>
      <c r="DA300">
        <v>5122800</v>
      </c>
      <c r="DB300" t="s">
        <v>38</v>
      </c>
      <c r="DC300" t="b">
        <v>1</v>
      </c>
      <c r="DD300">
        <v>5122800</v>
      </c>
      <c r="DE300">
        <v>0</v>
      </c>
      <c r="DF300" t="b">
        <v>1</v>
      </c>
      <c r="DG300" s="420" cm="1">
        <f t="array" ref="DG300">_xlfn.XLOOKUP("Дом 4"&amp;Реестр_Д4[[#This Row],[№]]&amp;Реестр_Д4[[#This Row],[Статус]],РД[Дом]&amp;РД[№ кв]&amp;РД[Состояние],РД[Дата подачи на регистрацию],"-",0)</f>
        <v>45443</v>
      </c>
    </row>
    <row r="301" spans="1:111" x14ac:dyDescent="0.25">
      <c r="A301">
        <v>300</v>
      </c>
      <c r="B301" t="s">
        <v>16</v>
      </c>
      <c r="C301">
        <v>10</v>
      </c>
      <c r="D301" t="s">
        <v>45</v>
      </c>
      <c r="E301">
        <v>2</v>
      </c>
      <c r="F301">
        <v>18.12</v>
      </c>
      <c r="G301">
        <v>9.8800000000000008</v>
      </c>
      <c r="I301">
        <v>28</v>
      </c>
      <c r="J301">
        <v>15.3</v>
      </c>
      <c r="K301">
        <v>3.49</v>
      </c>
      <c r="L301">
        <v>2.34</v>
      </c>
      <c r="N301">
        <v>8.1</v>
      </c>
      <c r="O301">
        <v>2.63</v>
      </c>
      <c r="Q301">
        <v>2.63</v>
      </c>
      <c r="R301">
        <v>59.86</v>
      </c>
      <c r="S301">
        <v>57.23</v>
      </c>
      <c r="T301">
        <v>58.55</v>
      </c>
      <c r="U301">
        <v>60.5</v>
      </c>
      <c r="V301">
        <v>68639.199999999997</v>
      </c>
      <c r="W301">
        <v>3431.96</v>
      </c>
      <c r="X301">
        <v>72071.16</v>
      </c>
      <c r="Z301">
        <v>72071.16</v>
      </c>
      <c r="AA301">
        <v>3603.558</v>
      </c>
      <c r="AB301">
        <v>75674.717999999993</v>
      </c>
      <c r="AC301">
        <v>9.3079903140000013</v>
      </c>
      <c r="AD301">
        <v>75684.02599031401</v>
      </c>
      <c r="AF301">
        <v>75684.02599031401</v>
      </c>
      <c r="AH301">
        <v>75684.02599031401</v>
      </c>
      <c r="AI301">
        <v>1513.6805198062802</v>
      </c>
      <c r="AJ301">
        <v>77197.70651012029</v>
      </c>
      <c r="AK301">
        <v>771.97706510120292</v>
      </c>
      <c r="AL301">
        <v>77969.683575221497</v>
      </c>
      <c r="AM301">
        <v>1559.3936715044299</v>
      </c>
      <c r="AN301">
        <v>79529.077246725923</v>
      </c>
      <c r="AO301">
        <v>2385.8723174017778</v>
      </c>
      <c r="AP301">
        <v>81914.949564127703</v>
      </c>
      <c r="AQ301">
        <v>2457.4484869238308</v>
      </c>
      <c r="AR301">
        <v>84372.398051051539</v>
      </c>
      <c r="AT301">
        <v>84372.398051051539</v>
      </c>
      <c r="AV301">
        <v>84372.398051051539</v>
      </c>
      <c r="AX301">
        <v>84372.398051051539</v>
      </c>
      <c r="AZ301">
        <v>84372.398051051539</v>
      </c>
      <c r="BB301">
        <v>84372.398051051539</v>
      </c>
      <c r="BD301">
        <v>84372.398051051539</v>
      </c>
      <c r="BF301">
        <v>84372.398051051539</v>
      </c>
      <c r="BH301">
        <v>84372.398051051539</v>
      </c>
      <c r="BJ301">
        <v>84372.398051051539</v>
      </c>
      <c r="BL301">
        <v>84372.398051051539</v>
      </c>
      <c r="BN301">
        <v>84372.398051051539</v>
      </c>
      <c r="BP301">
        <v>84372.398051051539</v>
      </c>
      <c r="BR301">
        <v>84372.398051051539</v>
      </c>
      <c r="BT301">
        <v>84372.398051051539</v>
      </c>
      <c r="BV301">
        <v>84372.398051051539</v>
      </c>
      <c r="BX301">
        <v>84372.398051051539</v>
      </c>
      <c r="BY301">
        <v>84372.4</v>
      </c>
      <c r="BZ301">
        <v>4940004.0199999996</v>
      </c>
      <c r="CC301">
        <v>0</v>
      </c>
      <c r="CD301">
        <v>84372.4</v>
      </c>
      <c r="CE301">
        <v>4940004.0199999996</v>
      </c>
      <c r="CF301" t="s">
        <v>37</v>
      </c>
      <c r="CG301">
        <v>4500</v>
      </c>
      <c r="CH301">
        <v>88872.4</v>
      </c>
      <c r="CI301">
        <v>263475</v>
      </c>
      <c r="CJ301">
        <v>5203479.0199999996</v>
      </c>
      <c r="CN301">
        <v>0</v>
      </c>
      <c r="CO301" t="s">
        <v>39</v>
      </c>
      <c r="CP301" t="s">
        <v>39</v>
      </c>
      <c r="CQ301" t="b">
        <v>1</v>
      </c>
      <c r="CR301" t="s">
        <v>8950</v>
      </c>
      <c r="CT301" t="s">
        <v>8960</v>
      </c>
      <c r="CU301" t="s">
        <v>8971</v>
      </c>
      <c r="CV301" t="s">
        <v>6169</v>
      </c>
      <c r="CW301" t="s">
        <v>4895</v>
      </c>
      <c r="CX301" t="s">
        <v>3246</v>
      </c>
      <c r="CY301">
        <v>1.9500000000000028</v>
      </c>
      <c r="CZ301">
        <v>173301.18000000023</v>
      </c>
      <c r="DA301">
        <v>5203479.0199999996</v>
      </c>
      <c r="DB301" t="s">
        <v>37</v>
      </c>
      <c r="DC301" t="b">
        <v>1</v>
      </c>
      <c r="DD301">
        <v>5203479.0199999996</v>
      </c>
      <c r="DE301">
        <v>0</v>
      </c>
      <c r="DF301" t="b">
        <v>1</v>
      </c>
      <c r="DG301" s="420" cm="1">
        <f t="array" ref="DG301">_xlfn.XLOOKUP("Дом 4"&amp;Реестр_Д4[[#This Row],[№]]&amp;Реестр_Д4[[#This Row],[Статус]],РД[Дом]&amp;РД[№ кв]&amp;РД[Состояние],РД[Дата подачи на регистрацию],"-",0)</f>
        <v>45156</v>
      </c>
    </row>
    <row r="302" spans="1:111" x14ac:dyDescent="0.25">
      <c r="A302">
        <v>301</v>
      </c>
      <c r="B302" t="s">
        <v>16</v>
      </c>
      <c r="C302">
        <v>10</v>
      </c>
      <c r="D302" t="s">
        <v>3351</v>
      </c>
      <c r="E302">
        <v>2</v>
      </c>
      <c r="F302">
        <v>15.36</v>
      </c>
      <c r="G302">
        <v>9.8699999999999992</v>
      </c>
      <c r="I302">
        <v>25.23</v>
      </c>
      <c r="J302">
        <v>16.260000000000002</v>
      </c>
      <c r="K302">
        <v>3.74</v>
      </c>
      <c r="L302">
        <v>2.09</v>
      </c>
      <c r="N302">
        <v>8.06</v>
      </c>
      <c r="O302">
        <v>2.63</v>
      </c>
      <c r="Q302">
        <v>2.63</v>
      </c>
      <c r="R302">
        <v>58.01</v>
      </c>
      <c r="S302">
        <v>55.379999999999995</v>
      </c>
      <c r="T302">
        <v>56.7</v>
      </c>
      <c r="U302">
        <v>58</v>
      </c>
      <c r="V302">
        <v>68639.199999999997</v>
      </c>
      <c r="W302">
        <v>3431.96</v>
      </c>
      <c r="X302">
        <v>72071.16</v>
      </c>
      <c r="Z302">
        <v>72071.16</v>
      </c>
      <c r="AA302">
        <v>3603.558</v>
      </c>
      <c r="AB302">
        <v>75674.717999999993</v>
      </c>
      <c r="AC302">
        <v>9.3079903140000013</v>
      </c>
      <c r="AD302">
        <v>75684.02599031401</v>
      </c>
      <c r="AF302">
        <v>75684.02599031401</v>
      </c>
      <c r="AH302">
        <v>75684.02599031401</v>
      </c>
      <c r="AJ302">
        <v>75684.02599031401</v>
      </c>
      <c r="AL302">
        <v>75684.02599031401</v>
      </c>
      <c r="AN302">
        <v>75684.02599031401</v>
      </c>
      <c r="AP302">
        <v>75684.02599031401</v>
      </c>
      <c r="AR302">
        <v>75684.02599031401</v>
      </c>
      <c r="AT302">
        <v>75684.02599031401</v>
      </c>
      <c r="AV302">
        <v>75684.02599031401</v>
      </c>
      <c r="AX302">
        <v>75684.02599031401</v>
      </c>
      <c r="AZ302">
        <v>75684.02599031401</v>
      </c>
      <c r="BB302">
        <v>75684.02599031401</v>
      </c>
      <c r="BD302">
        <v>75684.02599031401</v>
      </c>
      <c r="BF302">
        <v>75684.02599031401</v>
      </c>
      <c r="BH302">
        <v>75684.02599031401</v>
      </c>
      <c r="BJ302">
        <v>75684.02599031401</v>
      </c>
      <c r="BL302">
        <v>75684.02599031401</v>
      </c>
      <c r="BN302">
        <v>75684.02599031401</v>
      </c>
      <c r="BP302">
        <v>75684.02599031401</v>
      </c>
      <c r="BR302">
        <v>75684.02599031401</v>
      </c>
      <c r="BT302">
        <v>75684.02599031401</v>
      </c>
      <c r="BV302">
        <v>75684.02599031401</v>
      </c>
      <c r="BX302">
        <v>75684.02599031401</v>
      </c>
      <c r="BY302">
        <v>75684.03</v>
      </c>
      <c r="BZ302">
        <v>4291284.5</v>
      </c>
      <c r="CA302">
        <v>120000</v>
      </c>
      <c r="CC302">
        <v>120000</v>
      </c>
      <c r="CD302">
        <v>73567.6278659612</v>
      </c>
      <c r="CE302">
        <v>4171284.5</v>
      </c>
      <c r="CF302" t="s">
        <v>38</v>
      </c>
      <c r="CG302">
        <v>15000</v>
      </c>
      <c r="CH302">
        <v>88567.6278659612</v>
      </c>
      <c r="CI302">
        <v>850500</v>
      </c>
      <c r="CJ302">
        <v>5021784.5</v>
      </c>
      <c r="CL302" t="s">
        <v>3515</v>
      </c>
      <c r="CN302">
        <v>0</v>
      </c>
      <c r="CO302" t="s">
        <v>39</v>
      </c>
      <c r="CP302" t="s">
        <v>39</v>
      </c>
      <c r="CQ302" t="b">
        <v>1</v>
      </c>
      <c r="CR302" t="s">
        <v>8950</v>
      </c>
      <c r="CT302" t="s">
        <v>8960</v>
      </c>
      <c r="CU302" t="s">
        <v>8971</v>
      </c>
      <c r="CV302" t="s">
        <v>6170</v>
      </c>
      <c r="CW302" t="s">
        <v>4895</v>
      </c>
      <c r="CX302" t="s">
        <v>3246</v>
      </c>
      <c r="CY302">
        <v>1.2999999999999972</v>
      </c>
      <c r="CZ302">
        <v>115137.91622574932</v>
      </c>
      <c r="DA302">
        <v>5021784.5</v>
      </c>
      <c r="DB302" t="s">
        <v>38</v>
      </c>
      <c r="DC302" t="b">
        <v>1</v>
      </c>
      <c r="DD302">
        <v>5021784.5</v>
      </c>
      <c r="DE302">
        <v>0</v>
      </c>
      <c r="DF302" t="b">
        <v>1</v>
      </c>
      <c r="DG302" s="420" cm="1">
        <f t="array" ref="DG302">_xlfn.XLOOKUP("Дом 4"&amp;Реестр_Д4[[#This Row],[№]]&amp;Реестр_Д4[[#This Row],[Статус]],РД[Дом]&amp;РД[№ кв]&amp;РД[Состояние],РД[Дата подачи на регистрацию],"-",0)</f>
        <v>44984</v>
      </c>
    </row>
    <row r="303" spans="1:111" x14ac:dyDescent="0.25">
      <c r="A303">
        <v>302</v>
      </c>
      <c r="B303" t="s">
        <v>16</v>
      </c>
      <c r="C303">
        <v>10</v>
      </c>
      <c r="D303" t="s">
        <v>3352</v>
      </c>
      <c r="E303">
        <v>3</v>
      </c>
      <c r="F303">
        <v>16.27</v>
      </c>
      <c r="G303">
        <v>10.96</v>
      </c>
      <c r="H303">
        <v>10.7</v>
      </c>
      <c r="I303">
        <v>37.93</v>
      </c>
      <c r="J303">
        <v>13.42</v>
      </c>
      <c r="K303">
        <v>4.53</v>
      </c>
      <c r="L303">
        <v>2.27</v>
      </c>
      <c r="N303">
        <v>12.94</v>
      </c>
      <c r="O303">
        <v>2.83</v>
      </c>
      <c r="Q303">
        <v>2.83</v>
      </c>
      <c r="R303">
        <v>73.92</v>
      </c>
      <c r="S303">
        <v>71.09</v>
      </c>
      <c r="T303">
        <v>72.510000000000005</v>
      </c>
      <c r="U303">
        <v>74.400000000000006</v>
      </c>
      <c r="V303">
        <v>68992.000000000015</v>
      </c>
      <c r="W303">
        <v>3449.6000000000008</v>
      </c>
      <c r="X303">
        <v>72441.60000000002</v>
      </c>
      <c r="Z303">
        <v>72441.60000000002</v>
      </c>
      <c r="AB303">
        <v>72441.60000000002</v>
      </c>
      <c r="AC303">
        <v>8.9103168000000039</v>
      </c>
      <c r="AD303">
        <v>72450.510316800021</v>
      </c>
      <c r="AF303">
        <v>72450.510316800021</v>
      </c>
      <c r="AH303">
        <v>72450.510316800021</v>
      </c>
      <c r="AI303">
        <v>2173.5153095040005</v>
      </c>
      <c r="AJ303">
        <v>74624.025626304021</v>
      </c>
      <c r="AK303">
        <v>746.24025626304035</v>
      </c>
      <c r="AL303">
        <v>75370.265882567066</v>
      </c>
      <c r="AM303">
        <v>1507.4053176513414</v>
      </c>
      <c r="AN303">
        <v>76877.671200218407</v>
      </c>
      <c r="AO303">
        <v>2306.330136006552</v>
      </c>
      <c r="AP303">
        <v>79184.001336224959</v>
      </c>
      <c r="AQ303">
        <v>2375.5200400867488</v>
      </c>
      <c r="AR303">
        <v>81559.521376311706</v>
      </c>
      <c r="AT303">
        <v>81559.521376311706</v>
      </c>
      <c r="AU303">
        <v>2446.7856412893511</v>
      </c>
      <c r="AV303">
        <v>84006.307017601051</v>
      </c>
      <c r="AW303">
        <v>5040.3784210560625</v>
      </c>
      <c r="AX303">
        <v>89046.685438657121</v>
      </c>
      <c r="AY303">
        <v>2671.4005631597133</v>
      </c>
      <c r="AZ303">
        <v>91718.086001816831</v>
      </c>
      <c r="BB303">
        <v>91718.086001816831</v>
      </c>
      <c r="BD303">
        <v>91718.086001816831</v>
      </c>
      <c r="BF303">
        <v>91718.086001816831</v>
      </c>
      <c r="BH303">
        <v>91718.086001816831</v>
      </c>
      <c r="BI303">
        <v>4585.9043000908414</v>
      </c>
      <c r="BJ303">
        <v>96303.990301907674</v>
      </c>
      <c r="BK303">
        <v>500</v>
      </c>
      <c r="BL303">
        <v>96803.990301907674</v>
      </c>
      <c r="BM303">
        <v>1936.0798060381535</v>
      </c>
      <c r="BN303">
        <v>98740.070107945823</v>
      </c>
      <c r="BP303">
        <v>98740.070107945823</v>
      </c>
      <c r="BQ303">
        <v>500</v>
      </c>
      <c r="BR303">
        <v>99240.070107945823</v>
      </c>
      <c r="BT303">
        <v>99240.070107945823</v>
      </c>
      <c r="BV303">
        <v>99240.070107945823</v>
      </c>
      <c r="BX303">
        <v>99240.070107945823</v>
      </c>
      <c r="BY303">
        <v>99240.07</v>
      </c>
      <c r="BZ303">
        <v>7195900</v>
      </c>
      <c r="CC303">
        <v>0</v>
      </c>
      <c r="CD303">
        <v>99240.104813129219</v>
      </c>
      <c r="CE303">
        <v>7195900</v>
      </c>
      <c r="CF303" t="s">
        <v>37</v>
      </c>
      <c r="CG303">
        <v>7500</v>
      </c>
      <c r="CH303">
        <v>106740.10481312922</v>
      </c>
      <c r="CI303">
        <v>543825</v>
      </c>
      <c r="CJ303">
        <v>7739725</v>
      </c>
      <c r="CN303">
        <v>0</v>
      </c>
      <c r="CO303" t="s">
        <v>39</v>
      </c>
      <c r="CP303" t="s">
        <v>39</v>
      </c>
      <c r="CQ303" t="b">
        <v>1</v>
      </c>
      <c r="CR303" t="s">
        <v>8950</v>
      </c>
      <c r="CT303" t="s">
        <v>8960</v>
      </c>
      <c r="CU303" t="s">
        <v>8975</v>
      </c>
      <c r="CV303" t="s">
        <v>6171</v>
      </c>
      <c r="CW303" t="s">
        <v>6652</v>
      </c>
      <c r="CX303" t="s">
        <v>3246</v>
      </c>
      <c r="CY303">
        <v>1.8900000000000008</v>
      </c>
      <c r="CZ303">
        <v>201738.79809681428</v>
      </c>
      <c r="DA303">
        <v>7739725</v>
      </c>
      <c r="DB303" t="s">
        <v>37</v>
      </c>
      <c r="DC303" t="b">
        <v>1</v>
      </c>
      <c r="DD303">
        <v>7739725</v>
      </c>
      <c r="DE303">
        <v>0</v>
      </c>
      <c r="DF303" t="b">
        <v>1</v>
      </c>
      <c r="DG303" s="420" cm="1">
        <f t="array" ref="DG303">_xlfn.XLOOKUP("Дом 4"&amp;Реестр_Д4[[#This Row],[№]]&amp;Реестр_Д4[[#This Row],[Статус]],РД[Дом]&amp;РД[№ кв]&amp;РД[Состояние],РД[Дата подачи на регистрацию],"-",0)</f>
        <v>45443</v>
      </c>
    </row>
    <row r="304" spans="1:111" x14ac:dyDescent="0.25">
      <c r="A304">
        <v>303</v>
      </c>
      <c r="B304" t="s">
        <v>16</v>
      </c>
      <c r="C304">
        <v>10</v>
      </c>
      <c r="D304" t="s">
        <v>3353</v>
      </c>
      <c r="E304">
        <v>1</v>
      </c>
      <c r="F304">
        <v>10.68</v>
      </c>
      <c r="I304">
        <v>10.68</v>
      </c>
      <c r="J304">
        <v>12.75</v>
      </c>
      <c r="K304">
        <v>3.65</v>
      </c>
      <c r="N304">
        <v>5.45</v>
      </c>
      <c r="O304">
        <v>2.62</v>
      </c>
      <c r="Q304">
        <v>2.62</v>
      </c>
      <c r="R304">
        <v>35.15</v>
      </c>
      <c r="S304">
        <v>32.53</v>
      </c>
      <c r="T304">
        <v>33.840000000000003</v>
      </c>
      <c r="U304">
        <v>34.899999999999991</v>
      </c>
      <c r="V304">
        <v>70700</v>
      </c>
      <c r="W304">
        <v>3535</v>
      </c>
      <c r="X304">
        <v>74235</v>
      </c>
      <c r="Y304">
        <v>2969.4</v>
      </c>
      <c r="Z304">
        <v>77204.399999999994</v>
      </c>
      <c r="AB304">
        <v>77204.399999999994</v>
      </c>
      <c r="AD304">
        <v>77204.399999999994</v>
      </c>
      <c r="AF304">
        <v>77204.399999999994</v>
      </c>
      <c r="AH304">
        <v>77204.399999999994</v>
      </c>
      <c r="AJ304">
        <v>77204.399999999994</v>
      </c>
      <c r="AL304">
        <v>77204.399999999994</v>
      </c>
      <c r="AN304">
        <v>77204.399999999994</v>
      </c>
      <c r="AP304">
        <v>77204.399999999994</v>
      </c>
      <c r="AR304">
        <v>77204.399999999994</v>
      </c>
      <c r="AT304">
        <v>77204.399999999994</v>
      </c>
      <c r="AV304">
        <v>77204.399999999994</v>
      </c>
      <c r="AX304">
        <v>77204.399999999994</v>
      </c>
      <c r="AZ304">
        <v>77204.399999999994</v>
      </c>
      <c r="BB304">
        <v>77204.399999999994</v>
      </c>
      <c r="BD304">
        <v>77204.399999999994</v>
      </c>
      <c r="BF304">
        <v>77204.399999999994</v>
      </c>
      <c r="BH304">
        <v>77204.399999999994</v>
      </c>
      <c r="BJ304">
        <v>77204.399999999994</v>
      </c>
      <c r="BL304">
        <v>77204.399999999994</v>
      </c>
      <c r="BN304">
        <v>77204.399999999994</v>
      </c>
      <c r="BP304">
        <v>77204.399999999994</v>
      </c>
      <c r="BR304">
        <v>77204.399999999994</v>
      </c>
      <c r="BT304">
        <v>77204.399999999994</v>
      </c>
      <c r="BV304">
        <v>77204.399999999994</v>
      </c>
      <c r="BX304">
        <v>77204.399999999994</v>
      </c>
      <c r="BY304">
        <v>77204.399999999994</v>
      </c>
      <c r="BZ304">
        <v>2612596.9</v>
      </c>
      <c r="CB304">
        <v>0.05</v>
      </c>
      <c r="CC304">
        <v>130629.845</v>
      </c>
      <c r="CD304">
        <v>73344.179964539013</v>
      </c>
      <c r="CE304">
        <v>2481967.0500000003</v>
      </c>
      <c r="CF304" t="s">
        <v>37</v>
      </c>
      <c r="CG304">
        <v>7500</v>
      </c>
      <c r="CH304">
        <v>80844.179964539013</v>
      </c>
      <c r="CI304">
        <v>253799.99999999953</v>
      </c>
      <c r="CJ304">
        <v>2735767.05</v>
      </c>
      <c r="CK304" t="s">
        <v>57</v>
      </c>
      <c r="CL304" t="s">
        <v>3540</v>
      </c>
      <c r="CN304">
        <v>0</v>
      </c>
      <c r="CO304" t="s">
        <v>39</v>
      </c>
      <c r="CP304" t="s">
        <v>39</v>
      </c>
      <c r="CQ304" t="b">
        <v>1</v>
      </c>
      <c r="CR304" t="s">
        <v>8950</v>
      </c>
      <c r="CT304" t="s">
        <v>8960</v>
      </c>
      <c r="CU304" t="s">
        <v>8973</v>
      </c>
      <c r="CV304" t="s">
        <v>6172</v>
      </c>
      <c r="CW304" t="s">
        <v>4895</v>
      </c>
      <c r="CX304" t="s">
        <v>3246</v>
      </c>
      <c r="CY304">
        <v>1.0599999999999881</v>
      </c>
      <c r="CZ304">
        <v>85694.830762410391</v>
      </c>
      <c r="DA304">
        <v>2735767.05</v>
      </c>
      <c r="DB304" t="s">
        <v>37</v>
      </c>
      <c r="DC304" t="b">
        <v>1</v>
      </c>
      <c r="DD304">
        <v>2735767.05</v>
      </c>
      <c r="DE304">
        <v>0</v>
      </c>
      <c r="DF304" t="b">
        <v>1</v>
      </c>
      <c r="DG304" s="420" cm="1">
        <f t="array" ref="DG304">_xlfn.XLOOKUP("Дом 4"&amp;Реестр_Д4[[#This Row],[№]]&amp;Реестр_Д4[[#This Row],[Статус]],РД[Дом]&amp;РД[№ кв]&amp;РД[Состояние],РД[Дата подачи на регистрацию],"-",0)</f>
        <v>44895</v>
      </c>
    </row>
    <row r="305" spans="1:111" x14ac:dyDescent="0.25">
      <c r="A305">
        <v>304</v>
      </c>
      <c r="B305" t="s">
        <v>16</v>
      </c>
      <c r="C305">
        <v>11</v>
      </c>
      <c r="D305" t="s">
        <v>42</v>
      </c>
      <c r="E305">
        <v>0</v>
      </c>
      <c r="F305">
        <v>14.73</v>
      </c>
      <c r="I305">
        <v>14.73</v>
      </c>
      <c r="J305">
        <v>5.74</v>
      </c>
      <c r="K305">
        <v>3.61</v>
      </c>
      <c r="N305">
        <v>3.6</v>
      </c>
      <c r="O305">
        <v>3.34</v>
      </c>
      <c r="Q305">
        <v>3.34</v>
      </c>
      <c r="R305">
        <v>31.02</v>
      </c>
      <c r="S305">
        <v>27.68</v>
      </c>
      <c r="T305">
        <v>29.35</v>
      </c>
      <c r="U305">
        <v>29.999999999999996</v>
      </c>
      <c r="V305">
        <v>75600</v>
      </c>
      <c r="W305">
        <v>3780</v>
      </c>
      <c r="X305">
        <v>79380</v>
      </c>
      <c r="Z305">
        <v>79380</v>
      </c>
      <c r="AB305">
        <v>79380</v>
      </c>
      <c r="AC305">
        <v>9.7637400000000003</v>
      </c>
      <c r="AD305">
        <v>79389.763739999995</v>
      </c>
      <c r="AE305">
        <v>3969.4881869999999</v>
      </c>
      <c r="AF305">
        <v>83359.25192699999</v>
      </c>
      <c r="AH305">
        <v>83359.25192699999</v>
      </c>
      <c r="AJ305">
        <v>83359.25192699999</v>
      </c>
      <c r="AK305">
        <v>833.5925192699998</v>
      </c>
      <c r="AL305">
        <v>84192.844446269984</v>
      </c>
      <c r="AN305">
        <v>84192.844446269984</v>
      </c>
      <c r="AP305">
        <v>84192.844446269984</v>
      </c>
      <c r="AR305">
        <v>84192.844446269984</v>
      </c>
      <c r="AT305">
        <v>84192.844446269984</v>
      </c>
      <c r="AV305">
        <v>84192.844446269984</v>
      </c>
      <c r="AX305">
        <v>84192.844446269984</v>
      </c>
      <c r="AZ305">
        <v>84192.844446269984</v>
      </c>
      <c r="BB305">
        <v>84192.844446269984</v>
      </c>
      <c r="BD305">
        <v>84192.844446269984</v>
      </c>
      <c r="BF305">
        <v>84192.844446269984</v>
      </c>
      <c r="BH305">
        <v>84192.844446269984</v>
      </c>
      <c r="BJ305">
        <v>84192.844446269984</v>
      </c>
      <c r="BL305">
        <v>84192.844446269984</v>
      </c>
      <c r="BN305">
        <v>84192.844446269984</v>
      </c>
      <c r="BP305">
        <v>84192.844446269984</v>
      </c>
      <c r="BR305">
        <v>84192.844446269984</v>
      </c>
      <c r="BT305">
        <v>84192.844446269984</v>
      </c>
      <c r="BV305">
        <v>84192.844446269984</v>
      </c>
      <c r="BX305">
        <v>84192.844446269984</v>
      </c>
      <c r="BY305">
        <v>84192.84</v>
      </c>
      <c r="BZ305">
        <v>2471059.85</v>
      </c>
      <c r="CC305">
        <v>0</v>
      </c>
      <c r="CD305">
        <v>84192.839863713802</v>
      </c>
      <c r="CE305">
        <v>2471059.85</v>
      </c>
      <c r="CF305" t="s">
        <v>37</v>
      </c>
      <c r="CG305">
        <v>4000</v>
      </c>
      <c r="CH305">
        <v>88192.839863713802</v>
      </c>
      <c r="CI305">
        <v>117400</v>
      </c>
      <c r="CJ305">
        <v>2588459.85</v>
      </c>
      <c r="CN305">
        <v>0</v>
      </c>
      <c r="CO305" t="s">
        <v>39</v>
      </c>
      <c r="CP305" t="s">
        <v>39</v>
      </c>
      <c r="CQ305" t="b">
        <v>1</v>
      </c>
      <c r="CR305" t="s">
        <v>8950</v>
      </c>
      <c r="CT305" t="s">
        <v>8960</v>
      </c>
      <c r="CU305" t="s">
        <v>8970</v>
      </c>
      <c r="CV305" t="s">
        <v>6173</v>
      </c>
      <c r="CW305" t="s">
        <v>4895</v>
      </c>
      <c r="CX305" t="s">
        <v>3246</v>
      </c>
      <c r="CY305">
        <v>0.64999999999999503</v>
      </c>
      <c r="CZ305">
        <v>57325.345911413533</v>
      </c>
      <c r="DA305">
        <v>2588459.85</v>
      </c>
      <c r="DB305" t="s">
        <v>37</v>
      </c>
      <c r="DC305" t="b">
        <v>1</v>
      </c>
      <c r="DD305">
        <v>2588459.85</v>
      </c>
      <c r="DE305">
        <v>0</v>
      </c>
      <c r="DF305" t="b">
        <v>1</v>
      </c>
      <c r="DG305" s="420" cm="1">
        <f t="array" ref="DG305">_xlfn.XLOOKUP("Дом 4"&amp;Реестр_Д4[[#This Row],[№]]&amp;Реестр_Д4[[#This Row],[Статус]],РД[Дом]&amp;РД[№ кв]&amp;РД[Состояние],РД[Дата подачи на регистрацию],"-",0)</f>
        <v>45023</v>
      </c>
    </row>
    <row r="306" spans="1:111" x14ac:dyDescent="0.25">
      <c r="A306">
        <v>305</v>
      </c>
      <c r="B306" t="s">
        <v>16</v>
      </c>
      <c r="C306">
        <v>11</v>
      </c>
      <c r="D306" t="s">
        <v>43</v>
      </c>
      <c r="E306">
        <v>2</v>
      </c>
      <c r="F306">
        <v>17.22</v>
      </c>
      <c r="G306">
        <v>12.24</v>
      </c>
      <c r="I306">
        <v>29.46</v>
      </c>
      <c r="J306">
        <v>17.010000000000002</v>
      </c>
      <c r="K306">
        <v>3.67</v>
      </c>
      <c r="L306">
        <v>2.4</v>
      </c>
      <c r="N306">
        <v>12.71</v>
      </c>
      <c r="O306">
        <v>2.61</v>
      </c>
      <c r="P306">
        <v>2.78</v>
      </c>
      <c r="Q306">
        <v>5.39</v>
      </c>
      <c r="R306">
        <v>70.64</v>
      </c>
      <c r="S306">
        <v>65.25</v>
      </c>
      <c r="T306">
        <v>67.95</v>
      </c>
      <c r="U306">
        <v>69.400000000000006</v>
      </c>
      <c r="V306">
        <v>71304.800000000003</v>
      </c>
      <c r="W306">
        <v>3565.24</v>
      </c>
      <c r="X306">
        <v>74870.039999999994</v>
      </c>
      <c r="Z306">
        <v>74870.039999999994</v>
      </c>
      <c r="AA306">
        <v>3743.502</v>
      </c>
      <c r="AB306">
        <v>78613.542000000016</v>
      </c>
      <c r="AC306">
        <v>9.6694656660000025</v>
      </c>
      <c r="AD306">
        <v>78623.211465666012</v>
      </c>
      <c r="AF306">
        <v>78623.211465666012</v>
      </c>
      <c r="AH306">
        <v>78623.211465666012</v>
      </c>
      <c r="AI306">
        <v>1572.4642293133202</v>
      </c>
      <c r="AJ306">
        <v>80195.675694979334</v>
      </c>
      <c r="AK306">
        <v>801.95675694979332</v>
      </c>
      <c r="AL306">
        <v>80997.632451929123</v>
      </c>
      <c r="AM306">
        <v>1619.9526490385824</v>
      </c>
      <c r="AN306">
        <v>82617.585100967699</v>
      </c>
      <c r="AP306">
        <v>82617.585100967699</v>
      </c>
      <c r="AQ306">
        <v>2478.527553029031</v>
      </c>
      <c r="AR306">
        <v>85096.112653996737</v>
      </c>
      <c r="AT306">
        <v>85096.112653996737</v>
      </c>
      <c r="AU306">
        <v>2552.8833796199019</v>
      </c>
      <c r="AV306">
        <v>87648.99603361664</v>
      </c>
      <c r="AX306">
        <v>87648.99603361664</v>
      </c>
      <c r="AZ306">
        <v>87648.99603361664</v>
      </c>
      <c r="BB306">
        <v>87648.99603361664</v>
      </c>
      <c r="BD306">
        <v>87648.99603361664</v>
      </c>
      <c r="BF306">
        <v>87648.99603361664</v>
      </c>
      <c r="BH306">
        <v>87648.99603361664</v>
      </c>
      <c r="BJ306">
        <v>87648.99603361664</v>
      </c>
      <c r="BL306">
        <v>87648.99603361664</v>
      </c>
      <c r="BN306">
        <v>87648.99603361664</v>
      </c>
      <c r="BP306">
        <v>87648.99603361664</v>
      </c>
      <c r="BR306">
        <v>87648.99603361664</v>
      </c>
      <c r="BT306">
        <v>87648.99603361664</v>
      </c>
      <c r="BV306">
        <v>87648.99603361664</v>
      </c>
      <c r="BX306">
        <v>87648.99603361664</v>
      </c>
      <c r="BY306">
        <v>87649</v>
      </c>
      <c r="BZ306">
        <v>5955749.5499999998</v>
      </c>
      <c r="CA306">
        <v>114381.95</v>
      </c>
      <c r="CC306">
        <v>114381.95</v>
      </c>
      <c r="CD306">
        <v>85965.674760853566</v>
      </c>
      <c r="CE306">
        <v>5841367.5999999996</v>
      </c>
      <c r="CF306" t="s">
        <v>37</v>
      </c>
      <c r="CG306">
        <v>7500</v>
      </c>
      <c r="CH306">
        <v>93465.674760853566</v>
      </c>
      <c r="CI306">
        <v>509625</v>
      </c>
      <c r="CJ306">
        <v>6350992.5999999996</v>
      </c>
      <c r="CL306" t="s">
        <v>5046</v>
      </c>
      <c r="CN306">
        <v>0</v>
      </c>
      <c r="CO306" t="s">
        <v>39</v>
      </c>
      <c r="CP306" t="s">
        <v>39</v>
      </c>
      <c r="CQ306" t="b">
        <v>1</v>
      </c>
      <c r="CR306" t="s">
        <v>8950</v>
      </c>
      <c r="CT306" t="s">
        <v>8960</v>
      </c>
      <c r="CU306" t="s">
        <v>8971</v>
      </c>
      <c r="CV306" t="s">
        <v>6174</v>
      </c>
      <c r="CW306" t="s">
        <v>4895</v>
      </c>
      <c r="CX306" t="s">
        <v>3246</v>
      </c>
      <c r="CY306">
        <v>1.4500000000000028</v>
      </c>
      <c r="CZ306">
        <v>135525.22840323794</v>
      </c>
      <c r="DA306">
        <v>6350992.5999999996</v>
      </c>
      <c r="DB306" t="s">
        <v>37</v>
      </c>
      <c r="DC306" t="b">
        <v>1</v>
      </c>
      <c r="DD306">
        <v>6350992.5999999996</v>
      </c>
      <c r="DE306">
        <v>0</v>
      </c>
      <c r="DF306" t="b">
        <v>1</v>
      </c>
      <c r="DG306" s="420" cm="1">
        <f t="array" ref="DG306">_xlfn.XLOOKUP("Дом 4"&amp;Реестр_Д4[[#This Row],[№]]&amp;Реестр_Д4[[#This Row],[Статус]],РД[Дом]&amp;РД[№ кв]&amp;РД[Состояние],РД[Дата подачи на регистрацию],"-",0)</f>
        <v>45230</v>
      </c>
    </row>
    <row r="307" spans="1:111" x14ac:dyDescent="0.25">
      <c r="A307">
        <v>306</v>
      </c>
      <c r="B307" t="s">
        <v>16</v>
      </c>
      <c r="C307">
        <v>11</v>
      </c>
      <c r="D307" t="s">
        <v>44</v>
      </c>
      <c r="E307">
        <v>0</v>
      </c>
      <c r="F307">
        <v>19.22</v>
      </c>
      <c r="I307">
        <v>19.22</v>
      </c>
      <c r="J307">
        <v>9.57</v>
      </c>
      <c r="K307">
        <v>3.76</v>
      </c>
      <c r="N307">
        <v>2.56</v>
      </c>
      <c r="O307">
        <v>2.68</v>
      </c>
      <c r="Q307">
        <v>2.68</v>
      </c>
      <c r="R307">
        <v>37.79</v>
      </c>
      <c r="S307">
        <v>35.11</v>
      </c>
      <c r="T307">
        <v>36.450000000000003</v>
      </c>
      <c r="U307">
        <v>37.4</v>
      </c>
      <c r="V307">
        <v>76356</v>
      </c>
      <c r="W307">
        <v>3817.8</v>
      </c>
      <c r="X307">
        <v>80173.8</v>
      </c>
      <c r="Z307">
        <v>80173.8</v>
      </c>
      <c r="AB307">
        <v>80173.8</v>
      </c>
      <c r="AC307">
        <v>9.8613774000000003</v>
      </c>
      <c r="AD307">
        <v>80183.6613774</v>
      </c>
      <c r="AE307">
        <v>4009.1830688700002</v>
      </c>
      <c r="AF307">
        <v>84192.844446269999</v>
      </c>
      <c r="AH307">
        <v>84192.844446269999</v>
      </c>
      <c r="AJ307">
        <v>84192.844446269999</v>
      </c>
      <c r="AK307">
        <v>841.92844446269999</v>
      </c>
      <c r="AL307">
        <v>85034.772890732711</v>
      </c>
      <c r="AN307">
        <v>85034.772890732711</v>
      </c>
      <c r="AP307">
        <v>85034.772890732711</v>
      </c>
      <c r="AR307">
        <v>85034.772890732711</v>
      </c>
      <c r="AT307">
        <v>85034.772890732711</v>
      </c>
      <c r="AV307">
        <v>85034.772890732711</v>
      </c>
      <c r="AX307">
        <v>85034.772890732711</v>
      </c>
      <c r="AZ307">
        <v>85034.772890732711</v>
      </c>
      <c r="BB307">
        <v>85034.772890732711</v>
      </c>
      <c r="BD307">
        <v>85034.772890732711</v>
      </c>
      <c r="BF307">
        <v>85034.772890732711</v>
      </c>
      <c r="BH307">
        <v>85034.772890732711</v>
      </c>
      <c r="BJ307">
        <v>85034.772890732711</v>
      </c>
      <c r="BL307">
        <v>85034.772890732711</v>
      </c>
      <c r="BN307">
        <v>85034.772890732711</v>
      </c>
      <c r="BP307">
        <v>85034.772890732711</v>
      </c>
      <c r="BR307">
        <v>85034.772890732711</v>
      </c>
      <c r="BT307">
        <v>85034.772890732711</v>
      </c>
      <c r="BV307">
        <v>85034.772890732711</v>
      </c>
      <c r="BX307">
        <v>85034.772890732711</v>
      </c>
      <c r="BY307">
        <v>85034.77</v>
      </c>
      <c r="BZ307">
        <v>3099517.37</v>
      </c>
      <c r="CC307">
        <v>0</v>
      </c>
      <c r="CD307">
        <v>85034.770096021937</v>
      </c>
      <c r="CE307">
        <v>3099517.37</v>
      </c>
      <c r="CF307" t="s">
        <v>38</v>
      </c>
      <c r="CG307">
        <v>15000</v>
      </c>
      <c r="CH307">
        <v>100034.77009602194</v>
      </c>
      <c r="CI307">
        <v>546750</v>
      </c>
      <c r="CJ307">
        <v>3646267.37</v>
      </c>
      <c r="CN307">
        <v>0</v>
      </c>
      <c r="CO307" t="s">
        <v>39</v>
      </c>
      <c r="CP307" t="s">
        <v>39</v>
      </c>
      <c r="CQ307" t="b">
        <v>1</v>
      </c>
      <c r="CR307" t="s">
        <v>8950</v>
      </c>
      <c r="CT307" t="s">
        <v>8960</v>
      </c>
      <c r="CU307" t="s">
        <v>8970</v>
      </c>
      <c r="CV307" t="s">
        <v>6175</v>
      </c>
      <c r="CW307" t="s">
        <v>4895</v>
      </c>
      <c r="CX307" t="s">
        <v>3246</v>
      </c>
      <c r="CY307">
        <v>0.94999999999999563</v>
      </c>
      <c r="CZ307">
        <v>95033.031591220395</v>
      </c>
      <c r="DA307">
        <v>3646267.37</v>
      </c>
      <c r="DB307" t="s">
        <v>38</v>
      </c>
      <c r="DC307" t="b">
        <v>1</v>
      </c>
      <c r="DD307">
        <v>3646267.37</v>
      </c>
      <c r="DE307">
        <v>0</v>
      </c>
      <c r="DF307" t="b">
        <v>1</v>
      </c>
      <c r="DG307" s="420" cm="1">
        <f t="array" ref="DG307">_xlfn.XLOOKUP("Дом 4"&amp;Реестр_Д4[[#This Row],[№]]&amp;Реестр_Д4[[#This Row],[Статус]],РД[Дом]&amp;РД[№ кв]&amp;РД[Состояние],РД[Дата подачи на регистрацию],"-",0)</f>
        <v>45043</v>
      </c>
    </row>
    <row r="308" spans="1:111" x14ac:dyDescent="0.25">
      <c r="A308">
        <v>307</v>
      </c>
      <c r="B308" t="s">
        <v>16</v>
      </c>
      <c r="C308">
        <v>11</v>
      </c>
      <c r="D308" t="s">
        <v>45</v>
      </c>
      <c r="E308">
        <v>2</v>
      </c>
      <c r="F308">
        <v>18.12</v>
      </c>
      <c r="G308">
        <v>9.8800000000000008</v>
      </c>
      <c r="I308">
        <v>28</v>
      </c>
      <c r="J308">
        <v>15.3</v>
      </c>
      <c r="K308">
        <v>3.49</v>
      </c>
      <c r="L308">
        <v>2.34</v>
      </c>
      <c r="N308">
        <v>8.1</v>
      </c>
      <c r="O308">
        <v>2.63</v>
      </c>
      <c r="Q308">
        <v>2.63</v>
      </c>
      <c r="R308">
        <v>59.86</v>
      </c>
      <c r="S308">
        <v>57.23</v>
      </c>
      <c r="T308">
        <v>58.55</v>
      </c>
      <c r="U308">
        <v>60.5</v>
      </c>
      <c r="V308">
        <v>68639.199999999997</v>
      </c>
      <c r="W308">
        <v>3431.96</v>
      </c>
      <c r="X308">
        <v>72071.16</v>
      </c>
      <c r="Z308">
        <v>72071.16</v>
      </c>
      <c r="AA308">
        <v>3603.558</v>
      </c>
      <c r="AB308">
        <v>75674.717999999993</v>
      </c>
      <c r="AC308">
        <v>9.3079903140000013</v>
      </c>
      <c r="AD308">
        <v>75684.02599031401</v>
      </c>
      <c r="AF308">
        <v>75684.02599031401</v>
      </c>
      <c r="AH308">
        <v>75684.02599031401</v>
      </c>
      <c r="AI308">
        <v>1513.6805198062802</v>
      </c>
      <c r="AJ308">
        <v>77197.70651012029</v>
      </c>
      <c r="AK308">
        <v>771.97706510120292</v>
      </c>
      <c r="AL308">
        <v>77969.683575221497</v>
      </c>
      <c r="AM308">
        <v>1559.3936715044299</v>
      </c>
      <c r="AN308">
        <v>79529.077246725923</v>
      </c>
      <c r="AO308">
        <v>2385.8723174017778</v>
      </c>
      <c r="AP308">
        <v>81914.949564127703</v>
      </c>
      <c r="AR308">
        <v>81914.949564127703</v>
      </c>
      <c r="AT308">
        <v>81914.949564127703</v>
      </c>
      <c r="AV308">
        <v>81914.949564127703</v>
      </c>
      <c r="AX308">
        <v>81914.949564127703</v>
      </c>
      <c r="AZ308">
        <v>81914.949564127703</v>
      </c>
      <c r="BB308">
        <v>81914.949564127703</v>
      </c>
      <c r="BD308">
        <v>81914.949564127703</v>
      </c>
      <c r="BF308">
        <v>81914.949564127703</v>
      </c>
      <c r="BH308">
        <v>81914.949564127703</v>
      </c>
      <c r="BJ308">
        <v>81914.949564127703</v>
      </c>
      <c r="BL308">
        <v>81914.949564127703</v>
      </c>
      <c r="BN308">
        <v>81914.949564127703</v>
      </c>
      <c r="BP308">
        <v>81914.949564127703</v>
      </c>
      <c r="BR308">
        <v>81914.949564127703</v>
      </c>
      <c r="BT308">
        <v>81914.949564127703</v>
      </c>
      <c r="BV308">
        <v>81914.949564127703</v>
      </c>
      <c r="BX308">
        <v>81914.949564127703</v>
      </c>
      <c r="BY308">
        <v>81914.95</v>
      </c>
      <c r="BZ308">
        <v>4796120.32</v>
      </c>
      <c r="CC308">
        <v>0</v>
      </c>
      <c r="CD308">
        <v>81914.949957301462</v>
      </c>
      <c r="CE308">
        <v>4796120.32</v>
      </c>
      <c r="CF308" t="s">
        <v>36</v>
      </c>
      <c r="CH308">
        <v>81914.949957301462</v>
      </c>
      <c r="CI308">
        <v>0</v>
      </c>
      <c r="CJ308">
        <v>4796120.32</v>
      </c>
      <c r="CN308">
        <v>0</v>
      </c>
      <c r="CO308" t="s">
        <v>39</v>
      </c>
      <c r="CP308" t="s">
        <v>39</v>
      </c>
      <c r="CQ308" t="b">
        <v>1</v>
      </c>
      <c r="CR308" t="s">
        <v>8950</v>
      </c>
      <c r="CT308" t="s">
        <v>8960</v>
      </c>
      <c r="CU308" t="s">
        <v>8971</v>
      </c>
      <c r="CV308" t="s">
        <v>6176</v>
      </c>
      <c r="CW308" t="s">
        <v>4895</v>
      </c>
      <c r="CX308" t="s">
        <v>3246</v>
      </c>
      <c r="CY308">
        <v>1.9500000000000028</v>
      </c>
      <c r="CZ308">
        <v>159734.15241673807</v>
      </c>
      <c r="DA308">
        <v>4796120.32</v>
      </c>
      <c r="DB308" t="s">
        <v>36</v>
      </c>
      <c r="DC308" t="b">
        <v>1</v>
      </c>
      <c r="DD308">
        <v>4796120.32</v>
      </c>
      <c r="DE308">
        <v>0</v>
      </c>
      <c r="DF308" t="b">
        <v>1</v>
      </c>
      <c r="DG308" s="420" cm="1">
        <f t="array" ref="DG308">_xlfn.XLOOKUP("Дом 4"&amp;Реестр_Д4[[#This Row],[№]]&amp;Реестр_Д4[[#This Row],[Статус]],РД[Дом]&amp;РД[№ кв]&amp;РД[Состояние],РД[Дата подачи на регистрацию],"-",0)</f>
        <v>45083</v>
      </c>
    </row>
    <row r="309" spans="1:111" x14ac:dyDescent="0.25">
      <c r="A309">
        <v>308</v>
      </c>
      <c r="B309" t="s">
        <v>16</v>
      </c>
      <c r="C309">
        <v>11</v>
      </c>
      <c r="D309" t="s">
        <v>3351</v>
      </c>
      <c r="E309">
        <v>2</v>
      </c>
      <c r="F309">
        <v>15.36</v>
      </c>
      <c r="G309">
        <v>9.8699999999999992</v>
      </c>
      <c r="I309">
        <v>25.23</v>
      </c>
      <c r="J309">
        <v>16.260000000000002</v>
      </c>
      <c r="K309">
        <v>3.74</v>
      </c>
      <c r="L309">
        <v>2.09</v>
      </c>
      <c r="N309">
        <v>8.06</v>
      </c>
      <c r="O309">
        <v>2.63</v>
      </c>
      <c r="Q309">
        <v>2.63</v>
      </c>
      <c r="R309">
        <v>58.01</v>
      </c>
      <c r="S309">
        <v>55.379999999999995</v>
      </c>
      <c r="T309">
        <v>56.7</v>
      </c>
      <c r="U309">
        <v>58.1</v>
      </c>
      <c r="V309">
        <v>68639.199999999997</v>
      </c>
      <c r="W309">
        <v>3431.96</v>
      </c>
      <c r="X309">
        <v>72071.16</v>
      </c>
      <c r="Z309">
        <v>72071.16</v>
      </c>
      <c r="AA309">
        <v>3603.558</v>
      </c>
      <c r="AB309">
        <v>75674.717999999993</v>
      </c>
      <c r="AC309">
        <v>9.3079903140000013</v>
      </c>
      <c r="AD309">
        <v>75684.02599031401</v>
      </c>
      <c r="AF309">
        <v>75684.02599031401</v>
      </c>
      <c r="AH309">
        <v>75684.02599031401</v>
      </c>
      <c r="AJ309">
        <v>75684.02599031401</v>
      </c>
      <c r="AL309">
        <v>75684.02599031401</v>
      </c>
      <c r="AN309">
        <v>75684.02599031401</v>
      </c>
      <c r="AP309">
        <v>75684.02599031401</v>
      </c>
      <c r="AR309">
        <v>75684.02599031401</v>
      </c>
      <c r="AT309">
        <v>75684.02599031401</v>
      </c>
      <c r="AV309">
        <v>75684.02599031401</v>
      </c>
      <c r="AX309">
        <v>75684.02599031401</v>
      </c>
      <c r="AZ309">
        <v>75684.02599031401</v>
      </c>
      <c r="BB309">
        <v>75684.02599031401</v>
      </c>
      <c r="BD309">
        <v>75684.02599031401</v>
      </c>
      <c r="BF309">
        <v>75684.02599031401</v>
      </c>
      <c r="BH309">
        <v>75684.02599031401</v>
      </c>
      <c r="BJ309">
        <v>75684.02599031401</v>
      </c>
      <c r="BL309">
        <v>75684.02599031401</v>
      </c>
      <c r="BN309">
        <v>75684.02599031401</v>
      </c>
      <c r="BP309">
        <v>75684.02599031401</v>
      </c>
      <c r="BR309">
        <v>75684.02599031401</v>
      </c>
      <c r="BT309">
        <v>75684.02599031401</v>
      </c>
      <c r="BV309">
        <v>75684.02599031401</v>
      </c>
      <c r="BX309">
        <v>75684.02599031401</v>
      </c>
      <c r="BY309">
        <v>75684.03</v>
      </c>
      <c r="BZ309">
        <v>4291284.5</v>
      </c>
      <c r="CB309">
        <v>0.05</v>
      </c>
      <c r="CC309">
        <v>214564.22500000001</v>
      </c>
      <c r="CD309">
        <v>71899.828571428559</v>
      </c>
      <c r="CE309">
        <v>4076720.28</v>
      </c>
      <c r="CF309" t="s">
        <v>37</v>
      </c>
      <c r="CG309">
        <v>4000</v>
      </c>
      <c r="CH309">
        <v>75899.828571428559</v>
      </c>
      <c r="CI309">
        <v>226800.00000000047</v>
      </c>
      <c r="CJ309">
        <v>4303520.28</v>
      </c>
      <c r="CL309" t="s">
        <v>3983</v>
      </c>
      <c r="CN309">
        <v>0</v>
      </c>
      <c r="CO309" t="s">
        <v>39</v>
      </c>
      <c r="CP309" t="s">
        <v>39</v>
      </c>
      <c r="CQ309" t="b">
        <v>1</v>
      </c>
      <c r="CR309" t="s">
        <v>8950</v>
      </c>
      <c r="CT309" t="s">
        <v>8960</v>
      </c>
      <c r="CU309" t="s">
        <v>8971</v>
      </c>
      <c r="CV309" t="s">
        <v>6177</v>
      </c>
      <c r="CW309" t="s">
        <v>4895</v>
      </c>
      <c r="CX309" t="s">
        <v>3246</v>
      </c>
      <c r="CY309">
        <v>1.3999999999999986</v>
      </c>
      <c r="CZ309">
        <v>106259.75999999988</v>
      </c>
      <c r="DA309">
        <v>4303520.28</v>
      </c>
      <c r="DB309" t="s">
        <v>37</v>
      </c>
      <c r="DC309" t="b">
        <v>1</v>
      </c>
      <c r="DD309">
        <v>4303520.28</v>
      </c>
      <c r="DE309">
        <v>0</v>
      </c>
      <c r="DF309" t="b">
        <v>1</v>
      </c>
      <c r="DG309" s="420" cm="1">
        <f t="array" ref="DG309">_xlfn.XLOOKUP("Дом 4"&amp;Реестр_Д4[[#This Row],[№]]&amp;Реестр_Д4[[#This Row],[Статус]],РД[Дом]&amp;РД[№ кв]&amp;РД[Состояние],РД[Дата подачи на регистрацию],"-",0)</f>
        <v>44949</v>
      </c>
    </row>
    <row r="310" spans="1:111" x14ac:dyDescent="0.25">
      <c r="A310">
        <v>309</v>
      </c>
      <c r="B310" t="s">
        <v>16</v>
      </c>
      <c r="C310">
        <v>11</v>
      </c>
      <c r="D310" t="s">
        <v>3352</v>
      </c>
      <c r="E310">
        <v>3</v>
      </c>
      <c r="F310">
        <v>16.27</v>
      </c>
      <c r="G310">
        <v>10.96</v>
      </c>
      <c r="H310">
        <v>10.7</v>
      </c>
      <c r="I310">
        <v>37.93</v>
      </c>
      <c r="J310">
        <v>13.42</v>
      </c>
      <c r="K310">
        <v>4.53</v>
      </c>
      <c r="L310">
        <v>2.27</v>
      </c>
      <c r="N310">
        <v>12.94</v>
      </c>
      <c r="O310">
        <v>2.83</v>
      </c>
      <c r="Q310">
        <v>2.83</v>
      </c>
      <c r="R310">
        <v>73.92</v>
      </c>
      <c r="S310">
        <v>71.09</v>
      </c>
      <c r="T310">
        <v>72.510000000000005</v>
      </c>
      <c r="U310">
        <v>74.599999999999994</v>
      </c>
      <c r="V310">
        <v>68992.000000000015</v>
      </c>
      <c r="W310">
        <v>3449.6000000000008</v>
      </c>
      <c r="X310">
        <v>72441.60000000002</v>
      </c>
      <c r="Z310">
        <v>72441.60000000002</v>
      </c>
      <c r="AB310">
        <v>72441.60000000002</v>
      </c>
      <c r="AC310">
        <v>8.9103168000000039</v>
      </c>
      <c r="AD310">
        <v>72450.510316800021</v>
      </c>
      <c r="AF310">
        <v>72450.510316800021</v>
      </c>
      <c r="AH310">
        <v>72450.510316800021</v>
      </c>
      <c r="AI310">
        <v>2173.5153095040005</v>
      </c>
      <c r="AJ310">
        <v>74624.025626304021</v>
      </c>
      <c r="AK310">
        <v>746.24025626304035</v>
      </c>
      <c r="AL310">
        <v>75370.265882567066</v>
      </c>
      <c r="AM310">
        <v>1507.4053176513414</v>
      </c>
      <c r="AN310">
        <v>76877.671200218407</v>
      </c>
      <c r="AP310">
        <v>76877.671200218407</v>
      </c>
      <c r="AR310">
        <v>76877.671200218407</v>
      </c>
      <c r="AT310">
        <v>76877.671200218407</v>
      </c>
      <c r="AV310">
        <v>76877.671200218407</v>
      </c>
      <c r="AX310">
        <v>76877.671200218407</v>
      </c>
      <c r="AZ310">
        <v>76877.671200218407</v>
      </c>
      <c r="BB310">
        <v>76877.671200218407</v>
      </c>
      <c r="BD310">
        <v>76877.671200218407</v>
      </c>
      <c r="BF310">
        <v>76877.671200218407</v>
      </c>
      <c r="BH310">
        <v>76877.671200218407</v>
      </c>
      <c r="BJ310">
        <v>76877.671200218407</v>
      </c>
      <c r="BL310">
        <v>76877.671200218407</v>
      </c>
      <c r="BN310">
        <v>76877.671200218407</v>
      </c>
      <c r="BP310">
        <v>76877.671200218407</v>
      </c>
      <c r="BR310">
        <v>76877.671200218407</v>
      </c>
      <c r="BT310">
        <v>76877.671200218407</v>
      </c>
      <c r="BV310">
        <v>76877.671200218407</v>
      </c>
      <c r="BX310">
        <v>76877.671200218407</v>
      </c>
      <c r="BY310">
        <v>76877.67</v>
      </c>
      <c r="BZ310">
        <v>5574399.8499999996</v>
      </c>
      <c r="CC310">
        <v>0</v>
      </c>
      <c r="CD310">
        <v>76877.669976554942</v>
      </c>
      <c r="CE310">
        <v>5574399.8499999996</v>
      </c>
      <c r="CF310" t="s">
        <v>37</v>
      </c>
      <c r="CG310">
        <v>4000</v>
      </c>
      <c r="CH310">
        <v>80877.669976554942</v>
      </c>
      <c r="CI310">
        <v>290040</v>
      </c>
      <c r="CJ310">
        <v>5864439.8499999996</v>
      </c>
      <c r="CN310">
        <v>0</v>
      </c>
      <c r="CO310" t="s">
        <v>39</v>
      </c>
      <c r="CP310" t="s">
        <v>39</v>
      </c>
      <c r="CQ310" t="b">
        <v>1</v>
      </c>
      <c r="CR310" t="s">
        <v>8950</v>
      </c>
      <c r="CT310" t="s">
        <v>8960</v>
      </c>
      <c r="CU310" t="s">
        <v>8975</v>
      </c>
      <c r="CV310" t="s">
        <v>6178</v>
      </c>
      <c r="CW310" t="s">
        <v>4895</v>
      </c>
      <c r="CX310" t="s">
        <v>3246</v>
      </c>
      <c r="CY310">
        <v>2.0899999999999892</v>
      </c>
      <c r="CZ310">
        <v>169034.33025099896</v>
      </c>
      <c r="DA310">
        <v>5864439.8499999996</v>
      </c>
      <c r="DB310" t="s">
        <v>37</v>
      </c>
      <c r="DC310" t="b">
        <v>1</v>
      </c>
      <c r="DD310">
        <v>5864439.8499999996</v>
      </c>
      <c r="DE310">
        <v>0</v>
      </c>
      <c r="DF310" t="b">
        <v>1</v>
      </c>
      <c r="DG310" s="420" cm="1">
        <f t="array" ref="DG310">_xlfn.XLOOKUP("Дом 4"&amp;Реестр_Д4[[#This Row],[№]]&amp;Реестр_Д4[[#This Row],[Статус]],РД[Дом]&amp;РД[№ кв]&amp;РД[Состояние],РД[Дата подачи на регистрацию],"-",0)</f>
        <v>45103</v>
      </c>
    </row>
    <row r="311" spans="1:111" x14ac:dyDescent="0.25">
      <c r="A311">
        <v>310</v>
      </c>
      <c r="B311" t="s">
        <v>16</v>
      </c>
      <c r="C311">
        <v>11</v>
      </c>
      <c r="D311" t="s">
        <v>3353</v>
      </c>
      <c r="E311">
        <v>1</v>
      </c>
      <c r="F311">
        <v>10.68</v>
      </c>
      <c r="I311">
        <v>10.68</v>
      </c>
      <c r="J311">
        <v>12.75</v>
      </c>
      <c r="K311">
        <v>3.65</v>
      </c>
      <c r="N311">
        <v>5.45</v>
      </c>
      <c r="O311">
        <v>2.62</v>
      </c>
      <c r="Q311">
        <v>2.62</v>
      </c>
      <c r="R311">
        <v>35.15</v>
      </c>
      <c r="S311">
        <v>32.53</v>
      </c>
      <c r="T311">
        <v>33.840000000000003</v>
      </c>
      <c r="U311">
        <v>34.9</v>
      </c>
      <c r="V311">
        <v>70700</v>
      </c>
      <c r="X311">
        <v>70700</v>
      </c>
      <c r="Z311">
        <v>70700</v>
      </c>
      <c r="AB311">
        <v>70700</v>
      </c>
      <c r="AD311">
        <v>70700</v>
      </c>
      <c r="AF311">
        <v>70700</v>
      </c>
      <c r="AH311">
        <v>70700</v>
      </c>
      <c r="AJ311">
        <v>70700</v>
      </c>
      <c r="AL311">
        <v>70700</v>
      </c>
      <c r="AN311">
        <v>70700</v>
      </c>
      <c r="AP311">
        <v>70700</v>
      </c>
      <c r="AR311">
        <v>70700</v>
      </c>
      <c r="AT311">
        <v>70700</v>
      </c>
      <c r="AV311">
        <v>70700</v>
      </c>
      <c r="AX311">
        <v>70700</v>
      </c>
      <c r="AZ311">
        <v>70700</v>
      </c>
      <c r="BB311">
        <v>70700</v>
      </c>
      <c r="BD311">
        <v>70700</v>
      </c>
      <c r="BF311">
        <v>70700</v>
      </c>
      <c r="BH311">
        <v>70700</v>
      </c>
      <c r="BJ311">
        <v>70700</v>
      </c>
      <c r="BL311">
        <v>70700</v>
      </c>
      <c r="BN311">
        <v>70700</v>
      </c>
      <c r="BP311">
        <v>70700</v>
      </c>
      <c r="BR311">
        <v>70700</v>
      </c>
      <c r="BT311">
        <v>70700</v>
      </c>
      <c r="BV311">
        <v>70700</v>
      </c>
      <c r="BX311">
        <v>70700</v>
      </c>
      <c r="BY311">
        <v>70700</v>
      </c>
      <c r="BZ311">
        <v>2392488</v>
      </c>
      <c r="CC311">
        <v>0</v>
      </c>
      <c r="CD311">
        <v>70700</v>
      </c>
      <c r="CE311">
        <v>2392488</v>
      </c>
      <c r="CF311" t="s">
        <v>36</v>
      </c>
      <c r="CH311">
        <v>70700</v>
      </c>
      <c r="CI311">
        <v>0</v>
      </c>
      <c r="CJ311">
        <v>2392488</v>
      </c>
      <c r="CK311" t="s">
        <v>57</v>
      </c>
      <c r="CN311">
        <v>0</v>
      </c>
      <c r="CO311" t="s">
        <v>39</v>
      </c>
      <c r="CP311" t="s">
        <v>39</v>
      </c>
      <c r="CQ311" t="b">
        <v>1</v>
      </c>
      <c r="CR311" t="s">
        <v>8950</v>
      </c>
      <c r="CT311" t="s">
        <v>8960</v>
      </c>
      <c r="CU311" t="s">
        <v>8973</v>
      </c>
      <c r="CV311" t="s">
        <v>6179</v>
      </c>
      <c r="CW311" t="s">
        <v>4895</v>
      </c>
      <c r="CX311" t="s">
        <v>3246</v>
      </c>
      <c r="CY311">
        <v>1.0599999999999952</v>
      </c>
      <c r="CZ311">
        <v>74941.999999999665</v>
      </c>
      <c r="DA311">
        <v>2392488</v>
      </c>
      <c r="DB311" t="s">
        <v>36</v>
      </c>
      <c r="DC311" t="b">
        <v>1</v>
      </c>
      <c r="DD311">
        <v>2392488</v>
      </c>
      <c r="DE311">
        <v>0</v>
      </c>
      <c r="DF311" t="b">
        <v>1</v>
      </c>
      <c r="DG311" s="420" cm="1">
        <f t="array" ref="DG311">_xlfn.XLOOKUP("Дом 4"&amp;Реестр_Д4[[#This Row],[№]]&amp;Реестр_Д4[[#This Row],[Статус]],РД[Дом]&amp;РД[№ кв]&amp;РД[Состояние],РД[Дата подачи на регистрацию],"-",0)</f>
        <v>44777</v>
      </c>
    </row>
    <row r="312" spans="1:111" x14ac:dyDescent="0.25">
      <c r="A312">
        <v>311</v>
      </c>
      <c r="B312" t="s">
        <v>16</v>
      </c>
      <c r="C312">
        <v>12</v>
      </c>
      <c r="D312" t="s">
        <v>42</v>
      </c>
      <c r="E312">
        <v>0</v>
      </c>
      <c r="F312">
        <v>14.73</v>
      </c>
      <c r="I312">
        <v>14.73</v>
      </c>
      <c r="J312">
        <v>5.74</v>
      </c>
      <c r="K312">
        <v>3.61</v>
      </c>
      <c r="N312">
        <v>3.6</v>
      </c>
      <c r="O312">
        <v>3.34</v>
      </c>
      <c r="Q312">
        <v>3.34</v>
      </c>
      <c r="R312">
        <v>31.02</v>
      </c>
      <c r="S312">
        <v>27.68</v>
      </c>
      <c r="T312">
        <v>29.35</v>
      </c>
      <c r="U312">
        <v>30.1</v>
      </c>
      <c r="V312">
        <v>75600</v>
      </c>
      <c r="W312">
        <v>3780</v>
      </c>
      <c r="X312">
        <v>79380</v>
      </c>
      <c r="Z312">
        <v>79380</v>
      </c>
      <c r="AB312">
        <v>79380</v>
      </c>
      <c r="AC312">
        <v>9.7637400000000003</v>
      </c>
      <c r="AD312">
        <v>79389.763739999995</v>
      </c>
      <c r="AE312">
        <v>3969.4881869999999</v>
      </c>
      <c r="AF312">
        <v>83359.25192699999</v>
      </c>
      <c r="AH312">
        <v>83359.25192699999</v>
      </c>
      <c r="AJ312">
        <v>83359.25192699999</v>
      </c>
      <c r="AK312">
        <v>833.5925192699998</v>
      </c>
      <c r="AL312">
        <v>84192.844446269984</v>
      </c>
      <c r="AM312">
        <v>1683.8568889253995</v>
      </c>
      <c r="AN312">
        <v>85876.701335195379</v>
      </c>
      <c r="AO312">
        <v>4293.8350667597688</v>
      </c>
      <c r="AP312">
        <v>90170.536401955149</v>
      </c>
      <c r="AQ312">
        <v>2705.1160920586544</v>
      </c>
      <c r="AR312">
        <v>92875.652494013804</v>
      </c>
      <c r="AS312">
        <v>4643.7826247006906</v>
      </c>
      <c r="AT312">
        <v>97519.435118714493</v>
      </c>
      <c r="AV312">
        <v>97519.435118714493</v>
      </c>
      <c r="AX312">
        <v>97519.435118714493</v>
      </c>
      <c r="AZ312">
        <v>97519.435118714493</v>
      </c>
      <c r="BB312">
        <v>97519.435118714493</v>
      </c>
      <c r="BD312">
        <v>97519.435118714493</v>
      </c>
      <c r="BF312">
        <v>97519.435118714493</v>
      </c>
      <c r="BH312">
        <v>97519.435118714493</v>
      </c>
      <c r="BJ312">
        <v>97519.435118714493</v>
      </c>
      <c r="BL312">
        <v>97519.435118714493</v>
      </c>
      <c r="BN312">
        <v>97519.435118714493</v>
      </c>
      <c r="BP312">
        <v>97519.435118714493</v>
      </c>
      <c r="BR312">
        <v>97519.435118714493</v>
      </c>
      <c r="BT312">
        <v>97519.435118714493</v>
      </c>
      <c r="BV312">
        <v>97519.435118714493</v>
      </c>
      <c r="BX312">
        <v>97519.435118714493</v>
      </c>
      <c r="BY312">
        <v>97519.44</v>
      </c>
      <c r="BZ312">
        <v>2862195.56</v>
      </c>
      <c r="CB312">
        <v>0.06</v>
      </c>
      <c r="CC312">
        <v>171731.73360000001</v>
      </c>
      <c r="CD312">
        <v>91668.273594548547</v>
      </c>
      <c r="CE312">
        <v>2690463.83</v>
      </c>
      <c r="CF312" t="s">
        <v>37</v>
      </c>
      <c r="CG312">
        <v>4500</v>
      </c>
      <c r="CH312">
        <v>96168.273594548547</v>
      </c>
      <c r="CI312">
        <v>132075</v>
      </c>
      <c r="CJ312">
        <v>2822538.83</v>
      </c>
      <c r="CL312" t="s">
        <v>978</v>
      </c>
      <c r="CN312">
        <v>0</v>
      </c>
      <c r="CO312" t="s">
        <v>39</v>
      </c>
      <c r="CP312" t="s">
        <v>39</v>
      </c>
      <c r="CQ312" t="b">
        <v>1</v>
      </c>
      <c r="CR312" t="s">
        <v>8950</v>
      </c>
      <c r="CT312" t="s">
        <v>8960</v>
      </c>
      <c r="CU312" t="s">
        <v>8970</v>
      </c>
      <c r="CV312" t="s">
        <v>6180</v>
      </c>
      <c r="CW312" t="s">
        <v>4895</v>
      </c>
      <c r="CX312" t="s">
        <v>3246</v>
      </c>
      <c r="CY312">
        <v>0.74999999999999645</v>
      </c>
      <c r="CZ312">
        <v>72126.205195911069</v>
      </c>
      <c r="DA312">
        <v>2822538.83</v>
      </c>
      <c r="DB312" t="s">
        <v>37</v>
      </c>
      <c r="DC312" t="b">
        <v>1</v>
      </c>
      <c r="DD312">
        <v>2822538.83</v>
      </c>
      <c r="DE312">
        <v>0</v>
      </c>
      <c r="DF312" t="b">
        <v>1</v>
      </c>
      <c r="DG312" s="420" cm="1">
        <f t="array" ref="DG312">_xlfn.XLOOKUP("Дом 4"&amp;Реестр_Д4[[#This Row],[№]]&amp;Реестр_Д4[[#This Row],[Статус]],РД[Дом]&amp;РД[№ кв]&amp;РД[Состояние],РД[Дата подачи на регистрацию],"-",0)</f>
        <v>45162</v>
      </c>
    </row>
    <row r="313" spans="1:111" x14ac:dyDescent="0.25">
      <c r="A313">
        <v>312</v>
      </c>
      <c r="B313" t="s">
        <v>16</v>
      </c>
      <c r="C313">
        <v>12</v>
      </c>
      <c r="D313" t="s">
        <v>43</v>
      </c>
      <c r="E313">
        <v>2</v>
      </c>
      <c r="F313">
        <v>17.22</v>
      </c>
      <c r="G313">
        <v>12.24</v>
      </c>
      <c r="I313">
        <v>29.46</v>
      </c>
      <c r="J313">
        <v>17.010000000000002</v>
      </c>
      <c r="K313">
        <v>3.67</v>
      </c>
      <c r="L313">
        <v>2.4</v>
      </c>
      <c r="N313">
        <v>12.71</v>
      </c>
      <c r="O313">
        <v>2.61</v>
      </c>
      <c r="P313">
        <v>2.78</v>
      </c>
      <c r="Q313">
        <v>5.39</v>
      </c>
      <c r="R313">
        <v>70.64</v>
      </c>
      <c r="S313">
        <v>65.25</v>
      </c>
      <c r="T313">
        <v>67.95</v>
      </c>
      <c r="U313">
        <v>69.5</v>
      </c>
      <c r="V313">
        <v>71304.800000000003</v>
      </c>
      <c r="W313">
        <v>3565.24</v>
      </c>
      <c r="X313">
        <v>74870.039999999994</v>
      </c>
      <c r="Z313">
        <v>74870.039999999994</v>
      </c>
      <c r="AA313">
        <v>3743.502</v>
      </c>
      <c r="AB313">
        <v>78613.542000000016</v>
      </c>
      <c r="AC313">
        <v>9.6694656660000025</v>
      </c>
      <c r="AD313">
        <v>78623.211465666012</v>
      </c>
      <c r="AF313">
        <v>78623.211465666012</v>
      </c>
      <c r="AH313">
        <v>78623.211465666012</v>
      </c>
      <c r="AI313">
        <v>1572.4642293133202</v>
      </c>
      <c r="AJ313">
        <v>80195.675694979334</v>
      </c>
      <c r="AK313">
        <v>801.95675694979332</v>
      </c>
      <c r="AL313">
        <v>80997.632451929123</v>
      </c>
      <c r="AM313">
        <v>1619.9526490385824</v>
      </c>
      <c r="AN313">
        <v>82617.585100967699</v>
      </c>
      <c r="AP313">
        <v>82617.585100967699</v>
      </c>
      <c r="AQ313">
        <v>2478.527553029031</v>
      </c>
      <c r="AR313">
        <v>85096.112653996737</v>
      </c>
      <c r="AT313">
        <v>85096.112653996737</v>
      </c>
      <c r="AV313">
        <v>85096.112653996737</v>
      </c>
      <c r="AX313">
        <v>85096.112653996737</v>
      </c>
      <c r="AZ313">
        <v>85096.112653996737</v>
      </c>
      <c r="BB313">
        <v>85096.112653996737</v>
      </c>
      <c r="BD313">
        <v>85096.112653996737</v>
      </c>
      <c r="BF313">
        <v>85096.112653996737</v>
      </c>
      <c r="BH313">
        <v>85096.112653996737</v>
      </c>
      <c r="BJ313">
        <v>85096.112653996737</v>
      </c>
      <c r="BL313">
        <v>85096.112653996737</v>
      </c>
      <c r="BN313">
        <v>85096.112653996737</v>
      </c>
      <c r="BP313">
        <v>85096.112653996737</v>
      </c>
      <c r="BR313">
        <v>85096.112653996737</v>
      </c>
      <c r="BT313">
        <v>85096.112653996737</v>
      </c>
      <c r="BV313">
        <v>85096.112653996737</v>
      </c>
      <c r="BX313">
        <v>85096.112653996737</v>
      </c>
      <c r="BY313">
        <v>85096.11</v>
      </c>
      <c r="BZ313">
        <v>5782280.6699999999</v>
      </c>
      <c r="CC313">
        <v>0</v>
      </c>
      <c r="CD313">
        <v>85096.109933774831</v>
      </c>
      <c r="CE313">
        <v>5782280.6699999999</v>
      </c>
      <c r="CF313" t="s">
        <v>37</v>
      </c>
      <c r="CG313">
        <v>4000</v>
      </c>
      <c r="CH313">
        <v>89096.109933774831</v>
      </c>
      <c r="CI313">
        <v>271800</v>
      </c>
      <c r="CJ313">
        <v>6054080.6699999999</v>
      </c>
      <c r="CN313">
        <v>0</v>
      </c>
      <c r="CO313" t="s">
        <v>39</v>
      </c>
      <c r="CP313" t="s">
        <v>39</v>
      </c>
      <c r="CQ313" t="b">
        <v>1</v>
      </c>
      <c r="CR313" t="s">
        <v>8950</v>
      </c>
      <c r="CT313" t="s">
        <v>8960</v>
      </c>
      <c r="CU313" t="s">
        <v>8971</v>
      </c>
      <c r="CV313" t="s">
        <v>6181</v>
      </c>
      <c r="CW313" t="s">
        <v>4895</v>
      </c>
      <c r="CX313" t="s">
        <v>3246</v>
      </c>
      <c r="CY313">
        <v>1.5499999999999972</v>
      </c>
      <c r="CZ313">
        <v>138098.97039735073</v>
      </c>
      <c r="DA313">
        <v>6054080.6699999999</v>
      </c>
      <c r="DB313" t="s">
        <v>37</v>
      </c>
      <c r="DC313" t="b">
        <v>1</v>
      </c>
      <c r="DD313">
        <v>6054080.6699999999</v>
      </c>
      <c r="DE313">
        <v>0</v>
      </c>
      <c r="DF313" t="b">
        <v>1</v>
      </c>
      <c r="DG313" s="420" cm="1">
        <f t="array" ref="DG313">_xlfn.XLOOKUP("Дом 4"&amp;Реестр_Д4[[#This Row],[№]]&amp;Реестр_Д4[[#This Row],[Статус]],РД[Дом]&amp;РД[№ кв]&amp;РД[Состояние],РД[Дата подачи на регистрацию],"-",0)</f>
        <v>45128</v>
      </c>
    </row>
    <row r="314" spans="1:111" x14ac:dyDescent="0.25">
      <c r="A314">
        <v>313</v>
      </c>
      <c r="B314" t="s">
        <v>16</v>
      </c>
      <c r="C314">
        <v>12</v>
      </c>
      <c r="D314" t="s">
        <v>44</v>
      </c>
      <c r="E314">
        <v>0</v>
      </c>
      <c r="F314">
        <v>19.22</v>
      </c>
      <c r="I314">
        <v>19.22</v>
      </c>
      <c r="J314">
        <v>9.57</v>
      </c>
      <c r="K314">
        <v>3.76</v>
      </c>
      <c r="N314">
        <v>2.56</v>
      </c>
      <c r="O314">
        <v>2.68</v>
      </c>
      <c r="Q314">
        <v>2.68</v>
      </c>
      <c r="R314">
        <v>37.79</v>
      </c>
      <c r="S314">
        <v>35.11</v>
      </c>
      <c r="T314">
        <v>36.450000000000003</v>
      </c>
      <c r="U314">
        <v>37.200000000000003</v>
      </c>
      <c r="V314">
        <v>76356</v>
      </c>
      <c r="W314">
        <v>3817.8</v>
      </c>
      <c r="X314">
        <v>80173.8</v>
      </c>
      <c r="Z314">
        <v>80173.8</v>
      </c>
      <c r="AB314">
        <v>80173.8</v>
      </c>
      <c r="AC314">
        <v>9.8613774000000003</v>
      </c>
      <c r="AD314">
        <v>80183.6613774</v>
      </c>
      <c r="AE314">
        <v>4009.1830688700002</v>
      </c>
      <c r="AF314">
        <v>84192.844446269999</v>
      </c>
      <c r="AH314">
        <v>84192.844446269999</v>
      </c>
      <c r="AJ314">
        <v>84192.844446269999</v>
      </c>
      <c r="AK314">
        <v>841.92844446269999</v>
      </c>
      <c r="AL314">
        <v>85034.772890732711</v>
      </c>
      <c r="AM314">
        <v>1700.695457814654</v>
      </c>
      <c r="AN314">
        <v>86735.468348547351</v>
      </c>
      <c r="AO314">
        <v>4336.7734174273673</v>
      </c>
      <c r="AP314">
        <v>91072.241765974715</v>
      </c>
      <c r="AQ314">
        <v>2732.1672529792413</v>
      </c>
      <c r="AR314">
        <v>93804.409018953957</v>
      </c>
      <c r="AS314">
        <v>4690.2204509476978</v>
      </c>
      <c r="AT314">
        <v>98494.629469901658</v>
      </c>
      <c r="AU314">
        <v>2954.8388840970497</v>
      </c>
      <c r="AV314">
        <v>101449.4683539987</v>
      </c>
      <c r="AX314">
        <v>101449.4683539987</v>
      </c>
      <c r="AZ314">
        <v>101449.4683539987</v>
      </c>
      <c r="BB314">
        <v>101449.4683539987</v>
      </c>
      <c r="BD314">
        <v>101449.4683539987</v>
      </c>
      <c r="BF314">
        <v>101449.4683539987</v>
      </c>
      <c r="BH314">
        <v>101449.4683539987</v>
      </c>
      <c r="BJ314">
        <v>101449.4683539987</v>
      </c>
      <c r="BL314">
        <v>101449.4683539987</v>
      </c>
      <c r="BN314">
        <v>101449.4683539987</v>
      </c>
      <c r="BP314">
        <v>101449.4683539987</v>
      </c>
      <c r="BR314">
        <v>101449.4683539987</v>
      </c>
      <c r="BT314">
        <v>101449.4683539987</v>
      </c>
      <c r="BV314">
        <v>101449.4683539987</v>
      </c>
      <c r="BX314">
        <v>101449.4683539987</v>
      </c>
      <c r="BY314">
        <v>101449.47</v>
      </c>
      <c r="BZ314">
        <v>3697833.18</v>
      </c>
      <c r="CC314">
        <v>0</v>
      </c>
      <c r="CD314">
        <v>101449.46995884774</v>
      </c>
      <c r="CE314">
        <v>3697833.18</v>
      </c>
      <c r="CF314" t="s">
        <v>37</v>
      </c>
      <c r="CG314">
        <v>7500</v>
      </c>
      <c r="CH314">
        <v>108949.46995884774</v>
      </c>
      <c r="CI314">
        <v>273375</v>
      </c>
      <c r="CJ314">
        <v>3971208.18</v>
      </c>
      <c r="CN314">
        <v>0</v>
      </c>
      <c r="CO314" t="s">
        <v>39</v>
      </c>
      <c r="CP314" t="s">
        <v>39</v>
      </c>
      <c r="CQ314" t="b">
        <v>1</v>
      </c>
      <c r="CR314" t="s">
        <v>8950</v>
      </c>
      <c r="CT314" t="s">
        <v>8960</v>
      </c>
      <c r="CU314" t="s">
        <v>8970</v>
      </c>
      <c r="CV314" t="s">
        <v>6182</v>
      </c>
      <c r="CW314" t="s">
        <v>4895</v>
      </c>
      <c r="CX314" t="s">
        <v>3246</v>
      </c>
      <c r="CY314">
        <v>0.74999999999999301</v>
      </c>
      <c r="CZ314">
        <v>81712.102469135047</v>
      </c>
      <c r="DA314">
        <v>3971208.18</v>
      </c>
      <c r="DB314" t="s">
        <v>37</v>
      </c>
      <c r="DC314" t="b">
        <v>1</v>
      </c>
      <c r="DD314">
        <v>3971208.18</v>
      </c>
      <c r="DE314">
        <v>0</v>
      </c>
      <c r="DF314" t="b">
        <v>1</v>
      </c>
      <c r="DG314" s="420" cm="1">
        <f t="array" ref="DG314">_xlfn.XLOOKUP("Дом 4"&amp;Реестр_Д4[[#This Row],[№]]&amp;Реестр_Д4[[#This Row],[Статус]],РД[Дом]&amp;РД[№ кв]&amp;РД[Состояние],РД[Дата подачи на регистрацию],"-",0)</f>
        <v>45252</v>
      </c>
    </row>
    <row r="315" spans="1:111" x14ac:dyDescent="0.25">
      <c r="A315">
        <v>314</v>
      </c>
      <c r="B315" t="s">
        <v>16</v>
      </c>
      <c r="C315">
        <v>12</v>
      </c>
      <c r="D315" t="s">
        <v>45</v>
      </c>
      <c r="E315">
        <v>2</v>
      </c>
      <c r="F315">
        <v>18.12</v>
      </c>
      <c r="G315">
        <v>9.8800000000000008</v>
      </c>
      <c r="I315">
        <v>28</v>
      </c>
      <c r="J315">
        <v>15.3</v>
      </c>
      <c r="K315">
        <v>3.49</v>
      </c>
      <c r="L315">
        <v>2.34</v>
      </c>
      <c r="N315">
        <v>8.1</v>
      </c>
      <c r="O315">
        <v>2.63</v>
      </c>
      <c r="Q315">
        <v>2.63</v>
      </c>
      <c r="R315">
        <v>59.86</v>
      </c>
      <c r="S315">
        <v>57.23</v>
      </c>
      <c r="T315">
        <v>58.55</v>
      </c>
      <c r="U315">
        <v>60.499999999999986</v>
      </c>
      <c r="V315">
        <v>68639.199999999997</v>
      </c>
      <c r="W315">
        <v>3431.96</v>
      </c>
      <c r="X315">
        <v>72071.16</v>
      </c>
      <c r="Z315">
        <v>72071.16</v>
      </c>
      <c r="AA315">
        <v>3603.558</v>
      </c>
      <c r="AB315">
        <v>75674.717999999993</v>
      </c>
      <c r="AC315">
        <v>9.3079903140000013</v>
      </c>
      <c r="AD315">
        <v>75684.02599031401</v>
      </c>
      <c r="AF315">
        <v>75684.02599031401</v>
      </c>
      <c r="AH315">
        <v>75684.02599031401</v>
      </c>
      <c r="AI315">
        <v>1513.6805198062802</v>
      </c>
      <c r="AJ315">
        <v>77197.70651012029</v>
      </c>
      <c r="AK315">
        <v>771.97706510120292</v>
      </c>
      <c r="AL315">
        <v>77969.683575221497</v>
      </c>
      <c r="AN315">
        <v>77969.683575221497</v>
      </c>
      <c r="AP315">
        <v>77969.683575221497</v>
      </c>
      <c r="AR315">
        <v>77969.683575221497</v>
      </c>
      <c r="AT315">
        <v>77969.683575221497</v>
      </c>
      <c r="AV315">
        <v>77969.683575221497</v>
      </c>
      <c r="AX315">
        <v>77969.683575221497</v>
      </c>
      <c r="AZ315">
        <v>77969.683575221497</v>
      </c>
      <c r="BB315">
        <v>77969.683575221497</v>
      </c>
      <c r="BD315">
        <v>77969.683575221497</v>
      </c>
      <c r="BF315">
        <v>77969.683575221497</v>
      </c>
      <c r="BH315">
        <v>77969.683575221497</v>
      </c>
      <c r="BJ315">
        <v>77969.683575221497</v>
      </c>
      <c r="BL315">
        <v>77969.683575221497</v>
      </c>
      <c r="BN315">
        <v>77969.683575221497</v>
      </c>
      <c r="BP315">
        <v>77969.683575221497</v>
      </c>
      <c r="BR315">
        <v>77969.683575221497</v>
      </c>
      <c r="BT315">
        <v>77969.683575221497</v>
      </c>
      <c r="BV315">
        <v>77969.683575221497</v>
      </c>
      <c r="BX315">
        <v>77969.683575221497</v>
      </c>
      <c r="BY315">
        <v>77969.679999999993</v>
      </c>
      <c r="BZ315">
        <v>4565124.76</v>
      </c>
      <c r="CC315">
        <v>0</v>
      </c>
      <c r="CD315">
        <v>77969.679931682316</v>
      </c>
      <c r="CE315">
        <v>4565124.76</v>
      </c>
      <c r="CF315" t="s">
        <v>36</v>
      </c>
      <c r="CH315">
        <v>77969.679931682316</v>
      </c>
      <c r="CI315">
        <v>0</v>
      </c>
      <c r="CJ315">
        <v>4565124.76</v>
      </c>
      <c r="CN315">
        <v>0</v>
      </c>
      <c r="CO315" t="s">
        <v>39</v>
      </c>
      <c r="CP315" t="s">
        <v>39</v>
      </c>
      <c r="CQ315" t="b">
        <v>1</v>
      </c>
      <c r="CR315" t="s">
        <v>8950</v>
      </c>
      <c r="CT315" t="s">
        <v>8960</v>
      </c>
      <c r="CU315" t="s">
        <v>8971</v>
      </c>
      <c r="CV315" t="s">
        <v>6183</v>
      </c>
      <c r="CW315" t="s">
        <v>4895</v>
      </c>
      <c r="CX315" t="s">
        <v>3246</v>
      </c>
      <c r="CY315">
        <v>1.9499999999999889</v>
      </c>
      <c r="CZ315">
        <v>152040.87586677962</v>
      </c>
      <c r="DA315">
        <v>4565124.76</v>
      </c>
      <c r="DB315" t="s">
        <v>36</v>
      </c>
      <c r="DC315" t="b">
        <v>1</v>
      </c>
      <c r="DD315">
        <v>4565124.76</v>
      </c>
      <c r="DE315">
        <v>0</v>
      </c>
      <c r="DF315" t="b">
        <v>1</v>
      </c>
      <c r="DG315" s="420" cm="1">
        <f t="array" ref="DG315">_xlfn.XLOOKUP("Дом 4"&amp;Реестр_Д4[[#This Row],[№]]&amp;Реестр_Д4[[#This Row],[Статус]],РД[Дом]&amp;РД[№ кв]&amp;РД[Состояние],РД[Дата подачи на регистрацию],"-",0)</f>
        <v>45044</v>
      </c>
    </row>
    <row r="316" spans="1:111" x14ac:dyDescent="0.25">
      <c r="A316">
        <v>315</v>
      </c>
      <c r="B316" t="s">
        <v>16</v>
      </c>
      <c r="C316">
        <v>12</v>
      </c>
      <c r="D316" t="s">
        <v>3351</v>
      </c>
      <c r="E316">
        <v>2</v>
      </c>
      <c r="F316">
        <v>15.36</v>
      </c>
      <c r="G316">
        <v>9.8699999999999992</v>
      </c>
      <c r="I316">
        <v>25.23</v>
      </c>
      <c r="J316">
        <v>16.260000000000002</v>
      </c>
      <c r="K316">
        <v>3.74</v>
      </c>
      <c r="L316">
        <v>2.09</v>
      </c>
      <c r="N316">
        <v>8.06</v>
      </c>
      <c r="O316">
        <v>2.63</v>
      </c>
      <c r="Q316">
        <v>2.63</v>
      </c>
      <c r="R316">
        <v>58.01</v>
      </c>
      <c r="S316">
        <v>55.379999999999995</v>
      </c>
      <c r="T316">
        <v>56.7</v>
      </c>
      <c r="U316">
        <v>57.999999999999993</v>
      </c>
      <c r="V316">
        <v>68639.199999999997</v>
      </c>
      <c r="W316">
        <v>3431.96</v>
      </c>
      <c r="X316">
        <v>72071.16</v>
      </c>
      <c r="Z316">
        <v>72071.16</v>
      </c>
      <c r="AA316">
        <v>3603.558</v>
      </c>
      <c r="AB316">
        <v>75674.717999999993</v>
      </c>
      <c r="AC316">
        <v>9.3079903140000013</v>
      </c>
      <c r="AD316">
        <v>75684.02599031401</v>
      </c>
      <c r="AF316">
        <v>75684.02599031401</v>
      </c>
      <c r="AH316">
        <v>75684.02599031401</v>
      </c>
      <c r="AJ316">
        <v>75684.02599031401</v>
      </c>
      <c r="AL316">
        <v>75684.02599031401</v>
      </c>
      <c r="AN316">
        <v>75684.02599031401</v>
      </c>
      <c r="AP316">
        <v>75684.02599031401</v>
      </c>
      <c r="AR316">
        <v>75684.02599031401</v>
      </c>
      <c r="AT316">
        <v>75684.02599031401</v>
      </c>
      <c r="AV316">
        <v>75684.02599031401</v>
      </c>
      <c r="AX316">
        <v>75684.02599031401</v>
      </c>
      <c r="AZ316">
        <v>75684.02599031401</v>
      </c>
      <c r="BB316">
        <v>75684.02599031401</v>
      </c>
      <c r="BD316">
        <v>75684.02599031401</v>
      </c>
      <c r="BF316">
        <v>75684.02599031401</v>
      </c>
      <c r="BH316">
        <v>75684.02599031401</v>
      </c>
      <c r="BJ316">
        <v>75684.02599031401</v>
      </c>
      <c r="BL316">
        <v>75684.02599031401</v>
      </c>
      <c r="BN316">
        <v>75684.02599031401</v>
      </c>
      <c r="BP316">
        <v>75684.02599031401</v>
      </c>
      <c r="BR316">
        <v>75684.02599031401</v>
      </c>
      <c r="BT316">
        <v>75684.02599031401</v>
      </c>
      <c r="BV316">
        <v>75684.02599031401</v>
      </c>
      <c r="BX316">
        <v>75684.02599031401</v>
      </c>
      <c r="BY316">
        <v>75684.03</v>
      </c>
      <c r="BZ316">
        <v>4291284.5</v>
      </c>
      <c r="CA316">
        <v>120000</v>
      </c>
      <c r="CC316">
        <v>120000</v>
      </c>
      <c r="CD316">
        <v>73567.6278659612</v>
      </c>
      <c r="CE316">
        <v>4171284.5</v>
      </c>
      <c r="CF316" t="s">
        <v>37</v>
      </c>
      <c r="CG316">
        <v>4000</v>
      </c>
      <c r="CH316">
        <v>77567.6278659612</v>
      </c>
      <c r="CI316">
        <v>226800</v>
      </c>
      <c r="CJ316">
        <v>4398084.5</v>
      </c>
      <c r="CL316" t="s">
        <v>3515</v>
      </c>
      <c r="CN316">
        <v>0</v>
      </c>
      <c r="CO316" t="s">
        <v>39</v>
      </c>
      <c r="CP316" t="s">
        <v>39</v>
      </c>
      <c r="CQ316" t="b">
        <v>1</v>
      </c>
      <c r="CR316" t="s">
        <v>8950</v>
      </c>
      <c r="CT316" t="s">
        <v>8960</v>
      </c>
      <c r="CU316" t="s">
        <v>8971</v>
      </c>
      <c r="CV316" t="s">
        <v>6184</v>
      </c>
      <c r="CW316" t="s">
        <v>4895</v>
      </c>
      <c r="CX316" t="s">
        <v>3246</v>
      </c>
      <c r="CY316">
        <v>1.2999999999999901</v>
      </c>
      <c r="CZ316">
        <v>100837.91622574881</v>
      </c>
      <c r="DA316">
        <v>4398084.5</v>
      </c>
      <c r="DB316" t="s">
        <v>37</v>
      </c>
      <c r="DC316" t="b">
        <v>1</v>
      </c>
      <c r="DD316">
        <v>4398084.5</v>
      </c>
      <c r="DE316">
        <v>0</v>
      </c>
      <c r="DF316" t="b">
        <v>1</v>
      </c>
      <c r="DG316" s="420" cm="1">
        <f t="array" ref="DG316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317" spans="1:111" x14ac:dyDescent="0.25">
      <c r="A317">
        <v>316</v>
      </c>
      <c r="B317" t="s">
        <v>16</v>
      </c>
      <c r="C317">
        <v>12</v>
      </c>
      <c r="D317" t="s">
        <v>3352</v>
      </c>
      <c r="E317">
        <v>3</v>
      </c>
      <c r="F317">
        <v>16.27</v>
      </c>
      <c r="G317">
        <v>10.96</v>
      </c>
      <c r="H317">
        <v>10.7</v>
      </c>
      <c r="I317">
        <v>37.93</v>
      </c>
      <c r="J317">
        <v>13.42</v>
      </c>
      <c r="K317">
        <v>4.53</v>
      </c>
      <c r="L317">
        <v>2.27</v>
      </c>
      <c r="N317">
        <v>12.94</v>
      </c>
      <c r="O317">
        <v>2.83</v>
      </c>
      <c r="Q317">
        <v>2.83</v>
      </c>
      <c r="R317">
        <v>73.92</v>
      </c>
      <c r="S317">
        <v>71.09</v>
      </c>
      <c r="T317">
        <v>72.510000000000005</v>
      </c>
      <c r="U317">
        <v>74.600000000000023</v>
      </c>
      <c r="V317">
        <v>68992.000000000015</v>
      </c>
      <c r="W317">
        <v>3449.6000000000008</v>
      </c>
      <c r="X317">
        <v>72441.60000000002</v>
      </c>
      <c r="Z317">
        <v>72441.60000000002</v>
      </c>
      <c r="AB317">
        <v>72441.60000000002</v>
      </c>
      <c r="AC317">
        <v>8.9103168000000039</v>
      </c>
      <c r="AD317">
        <v>72450.510316800021</v>
      </c>
      <c r="AF317">
        <v>72450.510316800021</v>
      </c>
      <c r="AH317">
        <v>72450.510316800021</v>
      </c>
      <c r="AI317">
        <v>2173.5153095040005</v>
      </c>
      <c r="AJ317">
        <v>74624.025626304021</v>
      </c>
      <c r="AK317">
        <v>746.24025626304035</v>
      </c>
      <c r="AL317">
        <v>75370.265882567066</v>
      </c>
      <c r="AM317">
        <v>1507.4053176513414</v>
      </c>
      <c r="AN317">
        <v>76877.671200218407</v>
      </c>
      <c r="AO317">
        <v>2306.330136006552</v>
      </c>
      <c r="AP317">
        <v>79184.001336224959</v>
      </c>
      <c r="AQ317">
        <v>2375.5200400867488</v>
      </c>
      <c r="AR317">
        <v>81559.521376311706</v>
      </c>
      <c r="AT317">
        <v>81559.521376311706</v>
      </c>
      <c r="AU317">
        <v>2446.7856412893511</v>
      </c>
      <c r="AV317">
        <v>84006.307017601051</v>
      </c>
      <c r="AW317">
        <v>5040.3784210560625</v>
      </c>
      <c r="AX317">
        <v>89046.685438657121</v>
      </c>
      <c r="AY317">
        <v>2671.4005631597133</v>
      </c>
      <c r="AZ317">
        <v>91718.086001816831</v>
      </c>
      <c r="BB317">
        <v>91718.086001816831</v>
      </c>
      <c r="BD317">
        <v>91718.086001816831</v>
      </c>
      <c r="BF317">
        <v>91718.086001816831</v>
      </c>
      <c r="BH317">
        <v>91718.086001816831</v>
      </c>
      <c r="BI317">
        <v>4585.9043000908414</v>
      </c>
      <c r="BJ317">
        <v>96303.990301907674</v>
      </c>
      <c r="BK317">
        <v>500</v>
      </c>
      <c r="BL317">
        <v>96803.990301907674</v>
      </c>
      <c r="BM317">
        <v>1936.0798060381535</v>
      </c>
      <c r="BN317">
        <v>98740.070107945823</v>
      </c>
      <c r="BP317">
        <v>98740.070107945823</v>
      </c>
      <c r="BQ317">
        <v>500</v>
      </c>
      <c r="BR317">
        <v>99240.070107945823</v>
      </c>
      <c r="BT317">
        <v>99240.070107945823</v>
      </c>
      <c r="BV317">
        <v>99240.070107945823</v>
      </c>
      <c r="BX317">
        <v>99240.070107945823</v>
      </c>
      <c r="BY317">
        <v>99240.07</v>
      </c>
      <c r="BZ317">
        <v>7195900</v>
      </c>
      <c r="CB317">
        <v>0.02</v>
      </c>
      <c r="CC317">
        <v>143918</v>
      </c>
      <c r="CD317">
        <v>97255.302716866645</v>
      </c>
      <c r="CE317">
        <v>7051982</v>
      </c>
      <c r="CF317" t="s">
        <v>38</v>
      </c>
      <c r="CG317">
        <v>22000</v>
      </c>
      <c r="CH317">
        <v>119255.30271686664</v>
      </c>
      <c r="CI317">
        <v>1595220</v>
      </c>
      <c r="CJ317">
        <v>8647202</v>
      </c>
      <c r="CL317" t="s">
        <v>321</v>
      </c>
      <c r="CN317">
        <v>0</v>
      </c>
      <c r="CO317" t="s">
        <v>39</v>
      </c>
      <c r="CP317" t="s">
        <v>39</v>
      </c>
      <c r="CQ317" t="b">
        <v>1</v>
      </c>
      <c r="CR317" t="s">
        <v>8950</v>
      </c>
      <c r="CT317" t="s">
        <v>8960</v>
      </c>
      <c r="CU317" t="s">
        <v>8975</v>
      </c>
      <c r="CV317" t="s">
        <v>6185</v>
      </c>
      <c r="CW317" t="s">
        <v>6652</v>
      </c>
      <c r="CX317" t="s">
        <v>3246</v>
      </c>
      <c r="CY317">
        <v>2.0900000000000034</v>
      </c>
      <c r="CZ317">
        <v>249243.58267825167</v>
      </c>
      <c r="DA317">
        <v>8647202</v>
      </c>
      <c r="DB317" t="s">
        <v>38</v>
      </c>
      <c r="DC317" t="b">
        <v>1</v>
      </c>
      <c r="DD317">
        <v>8647202</v>
      </c>
      <c r="DE317">
        <v>0</v>
      </c>
      <c r="DF317" t="b">
        <v>1</v>
      </c>
      <c r="DG317" s="420" cm="1">
        <f t="array" ref="DG317">_xlfn.XLOOKUP("Дом 4"&amp;Реестр_Д4[[#This Row],[№]]&amp;Реестр_Д4[[#This Row],[Статус]],РД[Дом]&amp;РД[№ кв]&amp;РД[Состояние],РД[Дата подачи на регистрацию],"-",0)</f>
        <v>45545</v>
      </c>
    </row>
    <row r="318" spans="1:111" x14ac:dyDescent="0.25">
      <c r="A318">
        <v>317</v>
      </c>
      <c r="B318" t="s">
        <v>16</v>
      </c>
      <c r="C318">
        <v>12</v>
      </c>
      <c r="D318" t="s">
        <v>3353</v>
      </c>
      <c r="E318">
        <v>1</v>
      </c>
      <c r="F318">
        <v>10.68</v>
      </c>
      <c r="I318">
        <v>10.68</v>
      </c>
      <c r="J318">
        <v>12.75</v>
      </c>
      <c r="K318">
        <v>3.65</v>
      </c>
      <c r="N318">
        <v>5.45</v>
      </c>
      <c r="O318">
        <v>2.62</v>
      </c>
      <c r="Q318">
        <v>2.62</v>
      </c>
      <c r="R318">
        <v>35.15</v>
      </c>
      <c r="S318">
        <v>32.53</v>
      </c>
      <c r="T318">
        <v>33.840000000000003</v>
      </c>
      <c r="U318">
        <v>34.699999999999996</v>
      </c>
      <c r="V318">
        <v>70700</v>
      </c>
      <c r="W318">
        <v>3535</v>
      </c>
      <c r="X318">
        <v>74235</v>
      </c>
      <c r="Y318">
        <v>2969.4</v>
      </c>
      <c r="Z318">
        <v>77204.399999999994</v>
      </c>
      <c r="AB318">
        <v>77204.399999999994</v>
      </c>
      <c r="AD318">
        <v>77204.399999999994</v>
      </c>
      <c r="AF318">
        <v>77204.399999999994</v>
      </c>
      <c r="AH318">
        <v>77204.399999999994</v>
      </c>
      <c r="AJ318">
        <v>77204.399999999994</v>
      </c>
      <c r="AL318">
        <v>77204.399999999994</v>
      </c>
      <c r="AN318">
        <v>77204.399999999994</v>
      </c>
      <c r="AP318">
        <v>77204.399999999994</v>
      </c>
      <c r="AR318">
        <v>77204.399999999994</v>
      </c>
      <c r="AT318">
        <v>77204.399999999994</v>
      </c>
      <c r="AV318">
        <v>77204.399999999994</v>
      </c>
      <c r="AX318">
        <v>77204.399999999994</v>
      </c>
      <c r="AZ318">
        <v>77204.399999999994</v>
      </c>
      <c r="BB318">
        <v>77204.399999999994</v>
      </c>
      <c r="BD318">
        <v>77204.399999999994</v>
      </c>
      <c r="BF318">
        <v>77204.399999999994</v>
      </c>
      <c r="BH318">
        <v>77204.399999999994</v>
      </c>
      <c r="BJ318">
        <v>77204.399999999994</v>
      </c>
      <c r="BL318">
        <v>77204.399999999994</v>
      </c>
      <c r="BN318">
        <v>77204.399999999994</v>
      </c>
      <c r="BP318">
        <v>77204.399999999994</v>
      </c>
      <c r="BR318">
        <v>77204.399999999994</v>
      </c>
      <c r="BT318">
        <v>77204.399999999994</v>
      </c>
      <c r="BV318">
        <v>77204.399999999994</v>
      </c>
      <c r="BX318">
        <v>77204.399999999994</v>
      </c>
      <c r="BY318">
        <v>77204.399999999994</v>
      </c>
      <c r="BZ318">
        <v>2612596.9</v>
      </c>
      <c r="CC318">
        <v>0</v>
      </c>
      <c r="CD318">
        <v>77204.400118203295</v>
      </c>
      <c r="CE318">
        <v>2612596.9</v>
      </c>
      <c r="CF318" t="s">
        <v>36</v>
      </c>
      <c r="CH318">
        <v>77204.400118203295</v>
      </c>
      <c r="CI318">
        <v>0</v>
      </c>
      <c r="CJ318">
        <v>2612596.9</v>
      </c>
      <c r="CK318" t="s">
        <v>57</v>
      </c>
      <c r="CN318">
        <v>0</v>
      </c>
      <c r="CO318" t="s">
        <v>39</v>
      </c>
      <c r="CP318" t="s">
        <v>39</v>
      </c>
      <c r="CQ318" t="b">
        <v>1</v>
      </c>
      <c r="CR318" t="s">
        <v>8950</v>
      </c>
      <c r="CT318" t="s">
        <v>8960</v>
      </c>
      <c r="CU318" t="s">
        <v>8973</v>
      </c>
      <c r="CV318" t="s">
        <v>6186</v>
      </c>
      <c r="CW318" t="s">
        <v>4895</v>
      </c>
      <c r="CX318" t="s">
        <v>3246</v>
      </c>
      <c r="CY318">
        <v>0.85999999999999233</v>
      </c>
      <c r="CZ318">
        <v>66395.784101654237</v>
      </c>
      <c r="DA318">
        <v>2612596.9</v>
      </c>
      <c r="DB318" t="s">
        <v>36</v>
      </c>
      <c r="DC318" t="b">
        <v>1</v>
      </c>
      <c r="DD318">
        <v>2612596.9</v>
      </c>
      <c r="DE318">
        <v>0</v>
      </c>
      <c r="DF318" t="b">
        <v>1</v>
      </c>
      <c r="DG318" s="420" cm="1">
        <f t="array" ref="DG318">_xlfn.XLOOKUP("Дом 4"&amp;Реестр_Д4[[#This Row],[№]]&amp;Реестр_Д4[[#This Row],[Статус]],РД[Дом]&amp;РД[№ кв]&amp;РД[Состояние],РД[Дата подачи на регистрацию],"-",0)</f>
        <v>44813</v>
      </c>
    </row>
    <row r="319" spans="1:111" x14ac:dyDescent="0.25">
      <c r="A319">
        <v>318</v>
      </c>
      <c r="B319" t="s">
        <v>16</v>
      </c>
      <c r="C319">
        <v>13</v>
      </c>
      <c r="D319" t="s">
        <v>42</v>
      </c>
      <c r="E319">
        <v>0</v>
      </c>
      <c r="F319">
        <v>14.73</v>
      </c>
      <c r="I319">
        <v>14.73</v>
      </c>
      <c r="J319">
        <v>5.74</v>
      </c>
      <c r="K319">
        <v>3.61</v>
      </c>
      <c r="N319">
        <v>3.6</v>
      </c>
      <c r="O319">
        <v>3.34</v>
      </c>
      <c r="Q319">
        <v>3.34</v>
      </c>
      <c r="R319">
        <v>31.02</v>
      </c>
      <c r="S319">
        <v>27.68</v>
      </c>
      <c r="T319">
        <v>29.35</v>
      </c>
      <c r="U319">
        <v>30.5</v>
      </c>
      <c r="V319">
        <v>75600</v>
      </c>
      <c r="W319">
        <v>3780</v>
      </c>
      <c r="X319">
        <v>79380</v>
      </c>
      <c r="Z319">
        <v>79380</v>
      </c>
      <c r="AB319">
        <v>79380</v>
      </c>
      <c r="AC319">
        <v>9.7637400000000003</v>
      </c>
      <c r="AD319">
        <v>79389.763739999995</v>
      </c>
      <c r="AE319">
        <v>3969.4881869999999</v>
      </c>
      <c r="AF319">
        <v>83359.25192699999</v>
      </c>
      <c r="AH319">
        <v>83359.25192699999</v>
      </c>
      <c r="AJ319">
        <v>83359.25192699999</v>
      </c>
      <c r="AL319">
        <v>83359.25192699999</v>
      </c>
      <c r="AN319">
        <v>83359.25192699999</v>
      </c>
      <c r="AP319">
        <v>83359.25192699999</v>
      </c>
      <c r="AR319">
        <v>83359.25192699999</v>
      </c>
      <c r="AT319">
        <v>83359.25192699999</v>
      </c>
      <c r="AV319">
        <v>83359.25192699999</v>
      </c>
      <c r="AX319">
        <v>83359.25192699999</v>
      </c>
      <c r="AZ319">
        <v>83359.25192699999</v>
      </c>
      <c r="BB319">
        <v>83359.25192699999</v>
      </c>
      <c r="BD319">
        <v>83359.25192699999</v>
      </c>
      <c r="BF319">
        <v>83359.25192699999</v>
      </c>
      <c r="BH319">
        <v>83359.25192699999</v>
      </c>
      <c r="BJ319">
        <v>83359.25192699999</v>
      </c>
      <c r="BL319">
        <v>83359.25192699999</v>
      </c>
      <c r="BN319">
        <v>83359.25192699999</v>
      </c>
      <c r="BP319">
        <v>83359.25192699999</v>
      </c>
      <c r="BR319">
        <v>83359.25192699999</v>
      </c>
      <c r="BT319">
        <v>83359.25192699999</v>
      </c>
      <c r="BV319">
        <v>83359.25192699999</v>
      </c>
      <c r="BX319">
        <v>83359.25192699999</v>
      </c>
      <c r="BY319">
        <v>83359.25</v>
      </c>
      <c r="BZ319">
        <v>2446593.9900000002</v>
      </c>
      <c r="CB319">
        <v>0.03</v>
      </c>
      <c r="CC319">
        <v>73397.819699999993</v>
      </c>
      <c r="CD319">
        <v>80858.472572402039</v>
      </c>
      <c r="CE319">
        <v>2373196.17</v>
      </c>
      <c r="CF319" t="s">
        <v>38</v>
      </c>
      <c r="CG319">
        <v>15000</v>
      </c>
      <c r="CH319">
        <v>95858.472572402039</v>
      </c>
      <c r="CI319">
        <v>440250</v>
      </c>
      <c r="CJ319">
        <v>2813446.17</v>
      </c>
      <c r="CL319" t="s">
        <v>978</v>
      </c>
      <c r="CN319">
        <v>0</v>
      </c>
      <c r="CO319" t="s">
        <v>39</v>
      </c>
      <c r="CP319" t="s">
        <v>39</v>
      </c>
      <c r="CQ319" t="b">
        <v>1</v>
      </c>
      <c r="CR319" t="s">
        <v>8950</v>
      </c>
      <c r="CT319" t="s">
        <v>8960</v>
      </c>
      <c r="CU319" t="s">
        <v>8970</v>
      </c>
      <c r="CV319" t="s">
        <v>6187</v>
      </c>
      <c r="CW319" t="s">
        <v>4895</v>
      </c>
      <c r="CX319" t="s">
        <v>3246</v>
      </c>
      <c r="CY319">
        <v>1.1499999999999986</v>
      </c>
      <c r="CZ319">
        <v>110237.24345826219</v>
      </c>
      <c r="DA319">
        <v>2813446.17</v>
      </c>
      <c r="DB319" t="s">
        <v>38</v>
      </c>
      <c r="DC319" t="b">
        <v>1</v>
      </c>
      <c r="DD319">
        <v>2813446.17</v>
      </c>
      <c r="DE319">
        <v>0</v>
      </c>
      <c r="DF319" t="b">
        <v>1</v>
      </c>
      <c r="DG319" s="420" cm="1">
        <f t="array" ref="DG319">_xlfn.XLOOKUP("Дом 4"&amp;Реестр_Д4[[#This Row],[№]]&amp;Реестр_Д4[[#This Row],[Статус]],РД[Дом]&amp;РД[№ кв]&amp;РД[Состояние],РД[Дата подачи на регистрацию],"-",0)</f>
        <v>45036</v>
      </c>
    </row>
    <row r="320" spans="1:111" x14ac:dyDescent="0.25">
      <c r="A320">
        <v>319</v>
      </c>
      <c r="B320" t="s">
        <v>16</v>
      </c>
      <c r="C320">
        <v>13</v>
      </c>
      <c r="D320" t="s">
        <v>43</v>
      </c>
      <c r="E320">
        <v>2</v>
      </c>
      <c r="F320">
        <v>17.22</v>
      </c>
      <c r="G320">
        <v>12.24</v>
      </c>
      <c r="I320">
        <v>29.46</v>
      </c>
      <c r="J320">
        <v>17.010000000000002</v>
      </c>
      <c r="K320">
        <v>3.67</v>
      </c>
      <c r="L320">
        <v>2.4</v>
      </c>
      <c r="N320">
        <v>12.71</v>
      </c>
      <c r="O320">
        <v>2.61</v>
      </c>
      <c r="P320">
        <v>2.78</v>
      </c>
      <c r="Q320">
        <v>5.39</v>
      </c>
      <c r="R320">
        <v>70.64</v>
      </c>
      <c r="S320">
        <v>65.25</v>
      </c>
      <c r="T320">
        <v>67.95</v>
      </c>
      <c r="U320">
        <v>69.400000000000006</v>
      </c>
      <c r="V320">
        <v>71304.800000000003</v>
      </c>
      <c r="W320">
        <v>3565.24</v>
      </c>
      <c r="X320">
        <v>74870.039999999994</v>
      </c>
      <c r="Z320">
        <v>74870.039999999994</v>
      </c>
      <c r="AA320">
        <v>3743.502</v>
      </c>
      <c r="AB320">
        <v>78613.542000000016</v>
      </c>
      <c r="AC320">
        <v>9.6694656660000025</v>
      </c>
      <c r="AD320">
        <v>78623.211465666012</v>
      </c>
      <c r="AF320">
        <v>78623.211465666012</v>
      </c>
      <c r="AH320">
        <v>78623.211465666012</v>
      </c>
      <c r="AI320">
        <v>1572.4642293133202</v>
      </c>
      <c r="AJ320">
        <v>80195.675694979334</v>
      </c>
      <c r="AK320">
        <v>801.95675694979332</v>
      </c>
      <c r="AL320">
        <v>80997.632451929123</v>
      </c>
      <c r="AM320">
        <v>1619.9526490385824</v>
      </c>
      <c r="AN320">
        <v>82617.585100967699</v>
      </c>
      <c r="AP320">
        <v>82617.585100967699</v>
      </c>
      <c r="AQ320">
        <v>2478.527553029031</v>
      </c>
      <c r="AR320">
        <v>85096.112653996737</v>
      </c>
      <c r="AT320">
        <v>85096.112653996737</v>
      </c>
      <c r="AU320">
        <v>2552.8833796199019</v>
      </c>
      <c r="AV320">
        <v>87648.99603361664</v>
      </c>
      <c r="AX320">
        <v>87648.99603361664</v>
      </c>
      <c r="AZ320">
        <v>87648.99603361664</v>
      </c>
      <c r="BB320">
        <v>87648.99603361664</v>
      </c>
      <c r="BD320">
        <v>87648.99603361664</v>
      </c>
      <c r="BF320">
        <v>87648.99603361664</v>
      </c>
      <c r="BH320">
        <v>87648.99603361664</v>
      </c>
      <c r="BJ320">
        <v>87648.99603361664</v>
      </c>
      <c r="BL320">
        <v>87648.99603361664</v>
      </c>
      <c r="BN320">
        <v>87648.99603361664</v>
      </c>
      <c r="BP320">
        <v>87648.99603361664</v>
      </c>
      <c r="BR320">
        <v>87648.99603361664</v>
      </c>
      <c r="BT320">
        <v>87648.99603361664</v>
      </c>
      <c r="BV320">
        <v>87648.99603361664</v>
      </c>
      <c r="BX320">
        <v>87648.99603361664</v>
      </c>
      <c r="BY320">
        <v>87649</v>
      </c>
      <c r="BZ320">
        <v>5955800</v>
      </c>
      <c r="CC320">
        <v>0</v>
      </c>
      <c r="CD320">
        <v>87649.74245768947</v>
      </c>
      <c r="CE320">
        <v>5955800</v>
      </c>
      <c r="CF320" t="s">
        <v>38</v>
      </c>
      <c r="CG320">
        <v>22000</v>
      </c>
      <c r="CH320">
        <v>109649.74245768948</v>
      </c>
      <c r="CI320">
        <v>1494900</v>
      </c>
      <c r="CJ320">
        <v>7450700</v>
      </c>
      <c r="CN320">
        <v>0</v>
      </c>
      <c r="CO320" t="s">
        <v>39</v>
      </c>
      <c r="CP320" t="s">
        <v>39</v>
      </c>
      <c r="CQ320" t="b">
        <v>1</v>
      </c>
      <c r="CR320" t="s">
        <v>8950</v>
      </c>
      <c r="CT320" t="s">
        <v>8960</v>
      </c>
      <c r="CU320" t="s">
        <v>8971</v>
      </c>
      <c r="CV320" t="s">
        <v>6188</v>
      </c>
      <c r="CW320" t="s">
        <v>6652</v>
      </c>
      <c r="CX320" t="s">
        <v>3246</v>
      </c>
      <c r="CY320">
        <v>1.4500000000000028</v>
      </c>
      <c r="CZ320">
        <v>158992.12656365003</v>
      </c>
      <c r="DA320">
        <v>7450700</v>
      </c>
      <c r="DB320" t="s">
        <v>38</v>
      </c>
      <c r="DC320" t="b">
        <v>1</v>
      </c>
      <c r="DD320">
        <v>7450700</v>
      </c>
      <c r="DE320">
        <v>0</v>
      </c>
      <c r="DF320" t="b">
        <v>1</v>
      </c>
      <c r="DG320" s="420" cm="1">
        <f t="array" ref="DG320">_xlfn.XLOOKUP("Дом 4"&amp;Реестр_Д4[[#This Row],[№]]&amp;Реестр_Д4[[#This Row],[Статус]],РД[Дом]&amp;РД[№ кв]&amp;РД[Состояние],РД[Дата подачи на регистрацию],"-",0)</f>
        <v>45271</v>
      </c>
    </row>
    <row r="321" spans="1:111" x14ac:dyDescent="0.25">
      <c r="A321">
        <v>320</v>
      </c>
      <c r="B321" t="s">
        <v>16</v>
      </c>
      <c r="C321">
        <v>13</v>
      </c>
      <c r="D321" t="s">
        <v>44</v>
      </c>
      <c r="E321">
        <v>0</v>
      </c>
      <c r="F321">
        <v>19.22</v>
      </c>
      <c r="I321">
        <v>19.22</v>
      </c>
      <c r="J321">
        <v>9.57</v>
      </c>
      <c r="K321">
        <v>3.76</v>
      </c>
      <c r="N321">
        <v>2.56</v>
      </c>
      <c r="O321">
        <v>2.68</v>
      </c>
      <c r="Q321">
        <v>2.68</v>
      </c>
      <c r="R321">
        <v>37.79</v>
      </c>
      <c r="S321">
        <v>35.11</v>
      </c>
      <c r="T321">
        <v>36.450000000000003</v>
      </c>
      <c r="U321">
        <v>37.299999999999997</v>
      </c>
      <c r="V321">
        <v>76356</v>
      </c>
      <c r="W321">
        <v>3817.8</v>
      </c>
      <c r="X321">
        <v>80173.8</v>
      </c>
      <c r="Z321">
        <v>80173.8</v>
      </c>
      <c r="AB321">
        <v>80173.8</v>
      </c>
      <c r="AC321">
        <v>9.8613774000000003</v>
      </c>
      <c r="AD321">
        <v>80183.6613774</v>
      </c>
      <c r="AE321">
        <v>4009.1830688700002</v>
      </c>
      <c r="AF321">
        <v>84192.844446269999</v>
      </c>
      <c r="AH321">
        <v>84192.844446269999</v>
      </c>
      <c r="AJ321">
        <v>84192.844446269999</v>
      </c>
      <c r="AK321">
        <v>841.92844446269999</v>
      </c>
      <c r="AL321">
        <v>85034.772890732711</v>
      </c>
      <c r="AM321">
        <v>1700.695457814654</v>
      </c>
      <c r="AN321">
        <v>86735.468348547351</v>
      </c>
      <c r="AO321">
        <v>4336.7734174273673</v>
      </c>
      <c r="AP321">
        <v>91072.241765974715</v>
      </c>
      <c r="AQ321">
        <v>2732.1672529792413</v>
      </c>
      <c r="AR321">
        <v>93804.409018953957</v>
      </c>
      <c r="AT321">
        <v>93804.409018953957</v>
      </c>
      <c r="AV321">
        <v>93804.409018953957</v>
      </c>
      <c r="AX321">
        <v>93804.409018953957</v>
      </c>
      <c r="AZ321">
        <v>93804.409018953957</v>
      </c>
      <c r="BB321">
        <v>93804.409018953957</v>
      </c>
      <c r="BD321">
        <v>93804.409018953957</v>
      </c>
      <c r="BF321">
        <v>93804.409018953957</v>
      </c>
      <c r="BH321">
        <v>93804.409018953957</v>
      </c>
      <c r="BJ321">
        <v>93804.409018953957</v>
      </c>
      <c r="BL321">
        <v>93804.409018953957</v>
      </c>
      <c r="BN321">
        <v>93804.409018953957</v>
      </c>
      <c r="BP321">
        <v>93804.409018953957</v>
      </c>
      <c r="BR321">
        <v>93804.409018953957</v>
      </c>
      <c r="BT321">
        <v>93804.409018953957</v>
      </c>
      <c r="BV321">
        <v>93804.409018953957</v>
      </c>
      <c r="BX321">
        <v>93804.409018953957</v>
      </c>
      <c r="BY321">
        <v>93804.41</v>
      </c>
      <c r="BZ321">
        <v>3419170.74</v>
      </c>
      <c r="CC321">
        <v>0</v>
      </c>
      <c r="CD321">
        <v>93804.409876543214</v>
      </c>
      <c r="CE321">
        <v>3419170.74</v>
      </c>
      <c r="CF321" t="s">
        <v>37</v>
      </c>
      <c r="CG321">
        <v>4500</v>
      </c>
      <c r="CH321">
        <v>98304.409876543214</v>
      </c>
      <c r="CI321">
        <v>164025</v>
      </c>
      <c r="CJ321">
        <v>3583195.74</v>
      </c>
      <c r="CN321">
        <v>0</v>
      </c>
      <c r="CO321" t="s">
        <v>39</v>
      </c>
      <c r="CP321" t="s">
        <v>39</v>
      </c>
      <c r="CQ321" t="b">
        <v>1</v>
      </c>
      <c r="CR321" t="s">
        <v>8950</v>
      </c>
      <c r="CT321" t="s">
        <v>8960</v>
      </c>
      <c r="CU321" t="s">
        <v>8970</v>
      </c>
      <c r="CV321" t="s">
        <v>6189</v>
      </c>
      <c r="CW321" t="s">
        <v>4895</v>
      </c>
      <c r="CX321" t="s">
        <v>3246</v>
      </c>
      <c r="CY321">
        <v>0.8499999999999942</v>
      </c>
      <c r="CZ321">
        <v>83558.748395061179</v>
      </c>
      <c r="DA321">
        <v>3583195.74</v>
      </c>
      <c r="DB321" t="s">
        <v>37</v>
      </c>
      <c r="DC321" t="b">
        <v>1</v>
      </c>
      <c r="DD321">
        <v>3583195.74</v>
      </c>
      <c r="DE321">
        <v>0</v>
      </c>
      <c r="DF321" t="b">
        <v>1</v>
      </c>
      <c r="DG321" s="420" cm="1">
        <f t="array" ref="DG321">_xlfn.XLOOKUP("Дом 4"&amp;Реестр_Д4[[#This Row],[№]]&amp;Реестр_Д4[[#This Row],[Статус]],РД[Дом]&amp;РД[№ кв]&amp;РД[Состояние],РД[Дата подачи на регистрацию],"-",0)</f>
        <v>45166</v>
      </c>
    </row>
    <row r="322" spans="1:111" x14ac:dyDescent="0.25">
      <c r="A322">
        <v>321</v>
      </c>
      <c r="B322" t="s">
        <v>16</v>
      </c>
      <c r="C322">
        <v>13</v>
      </c>
      <c r="D322" t="s">
        <v>45</v>
      </c>
      <c r="E322">
        <v>2</v>
      </c>
      <c r="F322">
        <v>18.12</v>
      </c>
      <c r="G322">
        <v>9.8800000000000008</v>
      </c>
      <c r="I322">
        <v>28</v>
      </c>
      <c r="J322">
        <v>15.3</v>
      </c>
      <c r="K322">
        <v>3.49</v>
      </c>
      <c r="L322">
        <v>2.34</v>
      </c>
      <c r="N322">
        <v>8.1</v>
      </c>
      <c r="O322">
        <v>2.63</v>
      </c>
      <c r="Q322">
        <v>2.63</v>
      </c>
      <c r="R322">
        <v>59.86</v>
      </c>
      <c r="S322">
        <v>57.23</v>
      </c>
      <c r="T322">
        <v>58.55</v>
      </c>
      <c r="U322">
        <v>60.3</v>
      </c>
      <c r="V322">
        <v>68639.199999999997</v>
      </c>
      <c r="W322">
        <v>3431.96</v>
      </c>
      <c r="X322">
        <v>72071.16</v>
      </c>
      <c r="Z322">
        <v>72071.16</v>
      </c>
      <c r="AB322">
        <v>72071.16</v>
      </c>
      <c r="AD322">
        <v>72071.16</v>
      </c>
      <c r="AF322">
        <v>72071.16</v>
      </c>
      <c r="AH322">
        <v>72071.16</v>
      </c>
      <c r="AJ322">
        <v>72071.16</v>
      </c>
      <c r="AL322">
        <v>72071.16</v>
      </c>
      <c r="AN322">
        <v>72071.16</v>
      </c>
      <c r="AP322">
        <v>72071.16</v>
      </c>
      <c r="AR322">
        <v>72071.16</v>
      </c>
      <c r="AT322">
        <v>72071.16</v>
      </c>
      <c r="AV322">
        <v>72071.16</v>
      </c>
      <c r="AX322">
        <v>72071.16</v>
      </c>
      <c r="AZ322">
        <v>72071.16</v>
      </c>
      <c r="BB322">
        <v>72071.16</v>
      </c>
      <c r="BD322">
        <v>72071.16</v>
      </c>
      <c r="BF322">
        <v>72071.16</v>
      </c>
      <c r="BH322">
        <v>72071.16</v>
      </c>
      <c r="BJ322">
        <v>72071.16</v>
      </c>
      <c r="BL322">
        <v>72071.16</v>
      </c>
      <c r="BN322">
        <v>72071.16</v>
      </c>
      <c r="BP322">
        <v>72071.16</v>
      </c>
      <c r="BR322">
        <v>72071.16</v>
      </c>
      <c r="BT322">
        <v>72071.16</v>
      </c>
      <c r="BV322">
        <v>72071.16</v>
      </c>
      <c r="BX322">
        <v>72071.16</v>
      </c>
      <c r="BY322">
        <v>72071.16</v>
      </c>
      <c r="BZ322">
        <v>4219766.42</v>
      </c>
      <c r="CC322">
        <v>0</v>
      </c>
      <c r="CD322">
        <v>72071.160034158835</v>
      </c>
      <c r="CE322">
        <v>4219766.42</v>
      </c>
      <c r="CF322" t="s">
        <v>37</v>
      </c>
      <c r="CG322">
        <v>7500</v>
      </c>
      <c r="CH322">
        <v>79571.160034158835</v>
      </c>
      <c r="CI322">
        <v>439125</v>
      </c>
      <c r="CJ322">
        <v>4658891.42</v>
      </c>
      <c r="CN322">
        <v>0</v>
      </c>
      <c r="CO322" t="s">
        <v>39</v>
      </c>
      <c r="CP322" t="s">
        <v>39</v>
      </c>
      <c r="CQ322" t="b">
        <v>1</v>
      </c>
      <c r="CR322" t="s">
        <v>8950</v>
      </c>
      <c r="CT322" t="s">
        <v>8960</v>
      </c>
      <c r="CU322" t="s">
        <v>8971</v>
      </c>
      <c r="CV322" t="s">
        <v>6190</v>
      </c>
      <c r="CW322" t="s">
        <v>4895</v>
      </c>
      <c r="CX322" t="s">
        <v>3246</v>
      </c>
      <c r="CY322">
        <v>1.75</v>
      </c>
      <c r="CZ322">
        <v>139249.53005977796</v>
      </c>
      <c r="DA322">
        <v>4658891.42</v>
      </c>
      <c r="DB322" t="s">
        <v>37</v>
      </c>
      <c r="DC322" t="b">
        <v>1</v>
      </c>
      <c r="DD322">
        <v>4658891.42</v>
      </c>
      <c r="DE322">
        <v>0</v>
      </c>
      <c r="DF322" t="b">
        <v>1</v>
      </c>
      <c r="DG322" s="420" cm="1">
        <f t="array" ref="DG322">_xlfn.XLOOKUP("Дом 4"&amp;Реестр_Д4[[#This Row],[№]]&amp;Реестр_Д4[[#This Row],[Статус]],РД[Дом]&amp;РД[№ кв]&amp;РД[Состояние],РД[Дата подачи на регистрацию],"-",0)</f>
        <v>44886</v>
      </c>
    </row>
    <row r="323" spans="1:111" x14ac:dyDescent="0.25">
      <c r="A323">
        <v>322</v>
      </c>
      <c r="B323" t="s">
        <v>16</v>
      </c>
      <c r="C323">
        <v>13</v>
      </c>
      <c r="D323" t="s">
        <v>3351</v>
      </c>
      <c r="E323">
        <v>2</v>
      </c>
      <c r="F323">
        <v>15.36</v>
      </c>
      <c r="G323">
        <v>9.8699999999999992</v>
      </c>
      <c r="I323">
        <v>25.23</v>
      </c>
      <c r="J323">
        <v>16.260000000000002</v>
      </c>
      <c r="K323">
        <v>3.74</v>
      </c>
      <c r="L323">
        <v>2.09</v>
      </c>
      <c r="N323">
        <v>8.06</v>
      </c>
      <c r="O323">
        <v>2.63</v>
      </c>
      <c r="Q323">
        <v>2.63</v>
      </c>
      <c r="R323">
        <v>58.01</v>
      </c>
      <c r="S323">
        <v>55.379999999999995</v>
      </c>
      <c r="T323">
        <v>56.7</v>
      </c>
      <c r="U323">
        <v>58.099999999999994</v>
      </c>
      <c r="V323">
        <v>68639.199999999997</v>
      </c>
      <c r="X323">
        <v>68639.199999999997</v>
      </c>
      <c r="Z323">
        <v>68639.199999999997</v>
      </c>
      <c r="AB323">
        <v>68639.199999999997</v>
      </c>
      <c r="AD323">
        <v>68639.199999999997</v>
      </c>
      <c r="AF323">
        <v>68639.199999999997</v>
      </c>
      <c r="AH323">
        <v>68639.199999999997</v>
      </c>
      <c r="AJ323">
        <v>68639.199999999997</v>
      </c>
      <c r="AL323">
        <v>68639.199999999997</v>
      </c>
      <c r="AN323">
        <v>68639.199999999997</v>
      </c>
      <c r="AP323">
        <v>68639.199999999997</v>
      </c>
      <c r="AR323">
        <v>68639.199999999997</v>
      </c>
      <c r="AT323">
        <v>68639.199999999997</v>
      </c>
      <c r="AV323">
        <v>68639.199999999997</v>
      </c>
      <c r="AX323">
        <v>68639.199999999997</v>
      </c>
      <c r="AZ323">
        <v>68639.199999999997</v>
      </c>
      <c r="BB323">
        <v>68639.199999999997</v>
      </c>
      <c r="BD323">
        <v>68639.199999999997</v>
      </c>
      <c r="BF323">
        <v>68639.199999999997</v>
      </c>
      <c r="BH323">
        <v>68639.199999999997</v>
      </c>
      <c r="BJ323">
        <v>68639.199999999997</v>
      </c>
      <c r="BL323">
        <v>68639.199999999997</v>
      </c>
      <c r="BN323">
        <v>68639.199999999997</v>
      </c>
      <c r="BP323">
        <v>68639.199999999997</v>
      </c>
      <c r="BR323">
        <v>68639.199999999997</v>
      </c>
      <c r="BT323">
        <v>68639.199999999997</v>
      </c>
      <c r="BV323">
        <v>68639.199999999997</v>
      </c>
      <c r="BX323">
        <v>68639.199999999997</v>
      </c>
      <c r="BY323">
        <v>68639.199999999997</v>
      </c>
      <c r="BZ323">
        <v>3891842.64</v>
      </c>
      <c r="CA323">
        <v>11.34</v>
      </c>
      <c r="CC323">
        <v>11.34</v>
      </c>
      <c r="CD323">
        <v>68639</v>
      </c>
      <c r="CE323">
        <v>3891831.3</v>
      </c>
      <c r="CF323" t="s">
        <v>36</v>
      </c>
      <c r="CH323">
        <v>68639</v>
      </c>
      <c r="CI323">
        <v>0</v>
      </c>
      <c r="CJ323">
        <v>3891831.3</v>
      </c>
      <c r="CL323" t="s">
        <v>321</v>
      </c>
      <c r="CN323">
        <v>0</v>
      </c>
      <c r="CO323" t="s">
        <v>39</v>
      </c>
      <c r="CP323" t="s">
        <v>39</v>
      </c>
      <c r="CQ323" t="b">
        <v>1</v>
      </c>
      <c r="CR323" t="s">
        <v>8950</v>
      </c>
      <c r="CT323" t="s">
        <v>8960</v>
      </c>
      <c r="CU323" t="s">
        <v>8971</v>
      </c>
      <c r="CV323" t="s">
        <v>6191</v>
      </c>
      <c r="CW323" t="s">
        <v>4895</v>
      </c>
      <c r="CX323" t="s">
        <v>3246</v>
      </c>
      <c r="CY323">
        <v>1.3999999999999917</v>
      </c>
      <c r="CZ323">
        <v>96094.599999999409</v>
      </c>
      <c r="DA323">
        <v>3891831.3</v>
      </c>
      <c r="DB323" t="s">
        <v>36</v>
      </c>
      <c r="DC323" t="b">
        <v>1</v>
      </c>
      <c r="DD323">
        <v>3891831.3</v>
      </c>
      <c r="DE323">
        <v>0</v>
      </c>
      <c r="DF323" t="b">
        <v>1</v>
      </c>
      <c r="DG323" s="420" cm="1">
        <f t="array" ref="DG323">_xlfn.XLOOKUP("Дом 4"&amp;Реестр_Д4[[#This Row],[№]]&amp;Реестр_Д4[[#This Row],[Статус]],РД[Дом]&amp;РД[№ кв]&amp;РД[Состояние],РД[Дата подачи на регистрацию],"-",0)</f>
        <v>44799</v>
      </c>
    </row>
    <row r="324" spans="1:111" x14ac:dyDescent="0.25">
      <c r="A324">
        <v>323</v>
      </c>
      <c r="B324" t="s">
        <v>16</v>
      </c>
      <c r="C324">
        <v>13</v>
      </c>
      <c r="D324" t="s">
        <v>3352</v>
      </c>
      <c r="E324">
        <v>3</v>
      </c>
      <c r="F324">
        <v>16.27</v>
      </c>
      <c r="G324">
        <v>10.96</v>
      </c>
      <c r="H324">
        <v>10.7</v>
      </c>
      <c r="I324">
        <v>37.93</v>
      </c>
      <c r="J324">
        <v>13.42</v>
      </c>
      <c r="K324">
        <v>4.53</v>
      </c>
      <c r="L324">
        <v>2.27</v>
      </c>
      <c r="N324">
        <v>12.94</v>
      </c>
      <c r="O324">
        <v>2.83</v>
      </c>
      <c r="Q324">
        <v>2.83</v>
      </c>
      <c r="R324">
        <v>73.92</v>
      </c>
      <c r="S324">
        <v>71.09</v>
      </c>
      <c r="T324">
        <v>72.510000000000005</v>
      </c>
      <c r="U324">
        <v>74</v>
      </c>
      <c r="V324">
        <v>68992.000000000015</v>
      </c>
      <c r="W324">
        <v>3449.6000000000008</v>
      </c>
      <c r="X324">
        <v>72441.60000000002</v>
      </c>
      <c r="Z324">
        <v>72441.60000000002</v>
      </c>
      <c r="AB324">
        <v>72441.60000000002</v>
      </c>
      <c r="AC324">
        <v>8.9103168000000039</v>
      </c>
      <c r="AD324">
        <v>72450.510316800021</v>
      </c>
      <c r="AF324">
        <v>72450.510316800021</v>
      </c>
      <c r="AH324">
        <v>72450.510316800021</v>
      </c>
      <c r="AI324">
        <v>2173.5153095040005</v>
      </c>
      <c r="AJ324">
        <v>74624.025626304021</v>
      </c>
      <c r="AK324">
        <v>746.24025626304035</v>
      </c>
      <c r="AL324">
        <v>75370.265882567066</v>
      </c>
      <c r="AM324">
        <v>1507.4053176513414</v>
      </c>
      <c r="AN324">
        <v>76877.671200218407</v>
      </c>
      <c r="AO324">
        <v>2306.330136006552</v>
      </c>
      <c r="AP324">
        <v>79184.001336224959</v>
      </c>
      <c r="AQ324">
        <v>2375.5200400867488</v>
      </c>
      <c r="AR324">
        <v>81559.521376311706</v>
      </c>
      <c r="AT324">
        <v>81559.521376311706</v>
      </c>
      <c r="AU324">
        <v>2446.7856412893511</v>
      </c>
      <c r="AV324">
        <v>84006.307017601051</v>
      </c>
      <c r="AW324">
        <v>5040.3784210560625</v>
      </c>
      <c r="AX324">
        <v>89046.685438657121</v>
      </c>
      <c r="AY324">
        <v>2671.4005631597133</v>
      </c>
      <c r="AZ324">
        <v>91718.086001816831</v>
      </c>
      <c r="BB324">
        <v>91718.086001816831</v>
      </c>
      <c r="BD324">
        <v>91718.086001816831</v>
      </c>
      <c r="BF324">
        <v>91718.086001816831</v>
      </c>
      <c r="BH324">
        <v>91718.086001816831</v>
      </c>
      <c r="BI324">
        <v>4585.9043000908414</v>
      </c>
      <c r="BJ324">
        <v>96303.990301907674</v>
      </c>
      <c r="BK324">
        <v>500</v>
      </c>
      <c r="BL324">
        <v>96803.990301907674</v>
      </c>
      <c r="BM324">
        <v>1936.0798060381535</v>
      </c>
      <c r="BN324">
        <v>98740.070107945823</v>
      </c>
      <c r="BP324">
        <v>98740.070107945823</v>
      </c>
      <c r="BQ324">
        <v>500</v>
      </c>
      <c r="BR324">
        <v>99240.070107945823</v>
      </c>
      <c r="BT324">
        <v>99240.070107945823</v>
      </c>
      <c r="BV324">
        <v>99240.070107945823</v>
      </c>
      <c r="BX324">
        <v>99240.070107945823</v>
      </c>
      <c r="BY324">
        <v>99240.07</v>
      </c>
      <c r="BZ324">
        <v>7195900</v>
      </c>
      <c r="CB324">
        <v>0.03</v>
      </c>
      <c r="CC324">
        <v>215877</v>
      </c>
      <c r="CD324">
        <v>96262.901668735343</v>
      </c>
      <c r="CE324">
        <v>6980023</v>
      </c>
      <c r="CF324" t="s">
        <v>37</v>
      </c>
      <c r="CG324">
        <v>7500</v>
      </c>
      <c r="CH324">
        <v>103762.90166873534</v>
      </c>
      <c r="CI324">
        <v>543825</v>
      </c>
      <c r="CJ324">
        <v>7523848</v>
      </c>
      <c r="CL324" t="s">
        <v>978</v>
      </c>
      <c r="CN324">
        <v>0</v>
      </c>
      <c r="CO324" t="s">
        <v>39</v>
      </c>
      <c r="CP324" t="s">
        <v>39</v>
      </c>
      <c r="CQ324" t="b">
        <v>1</v>
      </c>
      <c r="CR324" t="s">
        <v>8950</v>
      </c>
      <c r="CT324" t="s">
        <v>8960</v>
      </c>
      <c r="CU324" t="s">
        <v>8975</v>
      </c>
      <c r="CV324" t="s">
        <v>6192</v>
      </c>
      <c r="CW324" t="s">
        <v>6652</v>
      </c>
      <c r="CX324" t="s">
        <v>3246</v>
      </c>
      <c r="CY324">
        <v>1.4899999999999949</v>
      </c>
      <c r="CZ324">
        <v>154606.72348641514</v>
      </c>
      <c r="DA324">
        <v>7523848</v>
      </c>
      <c r="DB324" t="s">
        <v>37</v>
      </c>
      <c r="DC324" t="b">
        <v>1</v>
      </c>
      <c r="DD324">
        <v>7523848</v>
      </c>
      <c r="DE324">
        <v>0</v>
      </c>
      <c r="DF324" t="b">
        <v>1</v>
      </c>
      <c r="DG324" s="420" cm="1">
        <f t="array" ref="DG324">_xlfn.XLOOKUP("Дом 4"&amp;Реестр_Д4[[#This Row],[№]]&amp;Реестр_Д4[[#This Row],[Статус]],РД[Дом]&amp;РД[№ кв]&amp;РД[Состояние],РД[Дата подачи на регистрацию],"-",0)</f>
        <v>45434</v>
      </c>
    </row>
    <row r="325" spans="1:111" x14ac:dyDescent="0.25">
      <c r="A325">
        <v>324</v>
      </c>
      <c r="B325" t="s">
        <v>16</v>
      </c>
      <c r="C325">
        <v>13</v>
      </c>
      <c r="D325" t="s">
        <v>3353</v>
      </c>
      <c r="E325">
        <v>1</v>
      </c>
      <c r="F325">
        <v>10.68</v>
      </c>
      <c r="I325">
        <v>10.68</v>
      </c>
      <c r="J325">
        <v>12.75</v>
      </c>
      <c r="K325">
        <v>3.65</v>
      </c>
      <c r="N325">
        <v>5.45</v>
      </c>
      <c r="O325">
        <v>2.62</v>
      </c>
      <c r="Q325">
        <v>2.62</v>
      </c>
      <c r="R325">
        <v>35.15</v>
      </c>
      <c r="S325">
        <v>32.53</v>
      </c>
      <c r="T325">
        <v>33.840000000000003</v>
      </c>
      <c r="U325">
        <v>34.799999999999997</v>
      </c>
      <c r="V325">
        <v>70700</v>
      </c>
      <c r="W325">
        <v>3535</v>
      </c>
      <c r="X325">
        <v>74235</v>
      </c>
      <c r="Z325">
        <v>74235</v>
      </c>
      <c r="AB325">
        <v>74235</v>
      </c>
      <c r="AD325">
        <v>74235</v>
      </c>
      <c r="AF325">
        <v>74235</v>
      </c>
      <c r="AH325">
        <v>74235</v>
      </c>
      <c r="AJ325">
        <v>74235</v>
      </c>
      <c r="AL325">
        <v>74235</v>
      </c>
      <c r="AN325">
        <v>74235</v>
      </c>
      <c r="AP325">
        <v>74235</v>
      </c>
      <c r="AR325">
        <v>74235</v>
      </c>
      <c r="AT325">
        <v>74235</v>
      </c>
      <c r="AV325">
        <v>74235</v>
      </c>
      <c r="AX325">
        <v>74235</v>
      </c>
      <c r="AZ325">
        <v>74235</v>
      </c>
      <c r="BB325">
        <v>74235</v>
      </c>
      <c r="BD325">
        <v>74235</v>
      </c>
      <c r="BF325">
        <v>74235</v>
      </c>
      <c r="BH325">
        <v>74235</v>
      </c>
      <c r="BJ325">
        <v>74235</v>
      </c>
      <c r="BL325">
        <v>74235</v>
      </c>
      <c r="BN325">
        <v>74235</v>
      </c>
      <c r="BP325">
        <v>74235</v>
      </c>
      <c r="BR325">
        <v>74235</v>
      </c>
      <c r="BT325">
        <v>74235</v>
      </c>
      <c r="BV325">
        <v>74235</v>
      </c>
      <c r="BX325">
        <v>74235</v>
      </c>
      <c r="BY325">
        <v>74235</v>
      </c>
      <c r="BZ325">
        <v>2512112.4</v>
      </c>
      <c r="CC325">
        <v>0</v>
      </c>
      <c r="CD325">
        <v>74234.999999999985</v>
      </c>
      <c r="CE325">
        <v>2512112.4</v>
      </c>
      <c r="CF325" t="s">
        <v>37</v>
      </c>
      <c r="CG325">
        <v>7500</v>
      </c>
      <c r="CH325">
        <v>81734.999999999985</v>
      </c>
      <c r="CI325">
        <v>253800</v>
      </c>
      <c r="CJ325">
        <v>2765912.4</v>
      </c>
      <c r="CK325" t="s">
        <v>57</v>
      </c>
      <c r="CN325">
        <v>0</v>
      </c>
      <c r="CO325" t="s">
        <v>39</v>
      </c>
      <c r="CP325" t="s">
        <v>39</v>
      </c>
      <c r="CQ325" t="b">
        <v>1</v>
      </c>
      <c r="CR325" t="s">
        <v>8950</v>
      </c>
      <c r="CT325" t="s">
        <v>8960</v>
      </c>
      <c r="CU325" t="s">
        <v>8973</v>
      </c>
      <c r="CV325" t="s">
        <v>6193</v>
      </c>
      <c r="CW325" t="s">
        <v>4895</v>
      </c>
      <c r="CX325" t="s">
        <v>3246</v>
      </c>
      <c r="CY325">
        <v>0.95999999999999375</v>
      </c>
      <c r="CZ325">
        <v>78465.599999999482</v>
      </c>
      <c r="DA325">
        <v>2765912.4</v>
      </c>
      <c r="DB325" t="s">
        <v>37</v>
      </c>
      <c r="DC325" t="b">
        <v>1</v>
      </c>
      <c r="DD325">
        <v>2765912.4</v>
      </c>
      <c r="DE325">
        <v>0</v>
      </c>
      <c r="DF325" t="b">
        <v>1</v>
      </c>
      <c r="DG325" s="420" cm="1">
        <f t="array" ref="DG325">_xlfn.XLOOKUP("Дом 4"&amp;Реестр_Д4[[#This Row],[№]]&amp;Реестр_Д4[[#This Row],[Статус]],РД[Дом]&amp;РД[№ кв]&amp;РД[Состояние],РД[Дата подачи на регистрацию],"-",0)</f>
        <v>44776</v>
      </c>
    </row>
    <row r="326" spans="1:111" x14ac:dyDescent="0.25">
      <c r="A326">
        <v>325</v>
      </c>
      <c r="B326" t="s">
        <v>16</v>
      </c>
      <c r="C326">
        <v>14</v>
      </c>
      <c r="D326" t="s">
        <v>42</v>
      </c>
      <c r="E326">
        <v>0</v>
      </c>
      <c r="F326">
        <v>14.73</v>
      </c>
      <c r="I326">
        <v>14.73</v>
      </c>
      <c r="J326">
        <v>5.74</v>
      </c>
      <c r="K326">
        <v>3.61</v>
      </c>
      <c r="N326">
        <v>3.6</v>
      </c>
      <c r="O326">
        <v>3.34</v>
      </c>
      <c r="Q326">
        <v>3.34</v>
      </c>
      <c r="R326">
        <v>31.02</v>
      </c>
      <c r="S326">
        <v>27.68</v>
      </c>
      <c r="T326">
        <v>29.35</v>
      </c>
      <c r="U326">
        <v>30.299999999999997</v>
      </c>
      <c r="V326">
        <v>75600</v>
      </c>
      <c r="W326">
        <v>3780</v>
      </c>
      <c r="X326">
        <v>79380</v>
      </c>
      <c r="Z326">
        <v>79380</v>
      </c>
      <c r="AB326">
        <v>79380</v>
      </c>
      <c r="AC326">
        <v>9.7637400000000003</v>
      </c>
      <c r="AD326">
        <v>79389.763739999995</v>
      </c>
      <c r="AE326">
        <v>3969.4881869999999</v>
      </c>
      <c r="AF326">
        <v>83359.25192699999</v>
      </c>
      <c r="AH326">
        <v>83359.25192699999</v>
      </c>
      <c r="AJ326">
        <v>83359.25192699999</v>
      </c>
      <c r="AL326">
        <v>83359.25192699999</v>
      </c>
      <c r="AN326">
        <v>83359.25192699999</v>
      </c>
      <c r="AP326">
        <v>83359.25192699999</v>
      </c>
      <c r="AR326">
        <v>83359.25192699999</v>
      </c>
      <c r="AT326">
        <v>83359.25192699999</v>
      </c>
      <c r="AV326">
        <v>83359.25192699999</v>
      </c>
      <c r="AX326">
        <v>83359.25192699999</v>
      </c>
      <c r="AZ326">
        <v>83359.25192699999</v>
      </c>
      <c r="BB326">
        <v>83359.25192699999</v>
      </c>
      <c r="BD326">
        <v>83359.25192699999</v>
      </c>
      <c r="BF326">
        <v>83359.25192699999</v>
      </c>
      <c r="BH326">
        <v>83359.25192699999</v>
      </c>
      <c r="BJ326">
        <v>83359.25192699999</v>
      </c>
      <c r="BL326">
        <v>83359.25192699999</v>
      </c>
      <c r="BN326">
        <v>83359.25192699999</v>
      </c>
      <c r="BP326">
        <v>83359.25192699999</v>
      </c>
      <c r="BR326">
        <v>83359.25192699999</v>
      </c>
      <c r="BT326">
        <v>83359.25192699999</v>
      </c>
      <c r="BV326">
        <v>83359.25192699999</v>
      </c>
      <c r="BX326">
        <v>83359.25192699999</v>
      </c>
      <c r="BY326">
        <v>83359.25</v>
      </c>
      <c r="BZ326">
        <v>2446593.9900000002</v>
      </c>
      <c r="CC326">
        <v>0</v>
      </c>
      <c r="CD326">
        <v>83359.250085178879</v>
      </c>
      <c r="CE326">
        <v>2446593.9900000002</v>
      </c>
      <c r="CF326" t="s">
        <v>36</v>
      </c>
      <c r="CH326">
        <v>83359.250085178879</v>
      </c>
      <c r="CI326">
        <v>0</v>
      </c>
      <c r="CJ326">
        <v>2446593.9900000002</v>
      </c>
      <c r="CN326">
        <v>0</v>
      </c>
      <c r="CO326" t="s">
        <v>39</v>
      </c>
      <c r="CP326" t="s">
        <v>39</v>
      </c>
      <c r="CQ326" t="b">
        <v>1</v>
      </c>
      <c r="CR326" t="s">
        <v>8950</v>
      </c>
      <c r="CT326" t="s">
        <v>8960</v>
      </c>
      <c r="CU326" t="s">
        <v>8970</v>
      </c>
      <c r="CV326" t="s">
        <v>6194</v>
      </c>
      <c r="CW326" t="s">
        <v>4895</v>
      </c>
      <c r="CX326" t="s">
        <v>3246</v>
      </c>
      <c r="CY326">
        <v>0.94999999999999563</v>
      </c>
      <c r="CZ326">
        <v>79191.287580919583</v>
      </c>
      <c r="DA326">
        <v>2446593.9900000002</v>
      </c>
      <c r="DB326" t="s">
        <v>36</v>
      </c>
      <c r="DC326" t="b">
        <v>1</v>
      </c>
      <c r="DD326">
        <v>2446593.9900000002</v>
      </c>
      <c r="DE326">
        <v>0</v>
      </c>
      <c r="DF326" t="b">
        <v>1</v>
      </c>
      <c r="DG326" s="420" cm="1">
        <f t="array" ref="DG326">_xlfn.XLOOKUP("Дом 4"&amp;Реестр_Д4[[#This Row],[№]]&amp;Реестр_Д4[[#This Row],[Статус]],РД[Дом]&amp;РД[№ кв]&amp;РД[Состояние],РД[Дата подачи на регистрацию],"-",0)</f>
        <v>44910</v>
      </c>
    </row>
    <row r="327" spans="1:111" x14ac:dyDescent="0.25">
      <c r="A327">
        <v>326</v>
      </c>
      <c r="B327" t="s">
        <v>16</v>
      </c>
      <c r="C327">
        <v>14</v>
      </c>
      <c r="D327" t="s">
        <v>43</v>
      </c>
      <c r="E327">
        <v>2</v>
      </c>
      <c r="F327">
        <v>17.22</v>
      </c>
      <c r="G327">
        <v>12.24</v>
      </c>
      <c r="I327">
        <v>29.46</v>
      </c>
      <c r="J327">
        <v>17.010000000000002</v>
      </c>
      <c r="K327">
        <v>3.67</v>
      </c>
      <c r="L327">
        <v>2.4</v>
      </c>
      <c r="N327">
        <v>12.71</v>
      </c>
      <c r="O327">
        <v>2.61</v>
      </c>
      <c r="P327">
        <v>2.78</v>
      </c>
      <c r="Q327">
        <v>5.39</v>
      </c>
      <c r="R327">
        <v>70.64</v>
      </c>
      <c r="S327">
        <v>65.25</v>
      </c>
      <c r="T327">
        <v>67.95</v>
      </c>
      <c r="U327">
        <v>69.599999999999994</v>
      </c>
      <c r="V327">
        <v>71304.800000000003</v>
      </c>
      <c r="W327">
        <v>3565.24</v>
      </c>
      <c r="X327">
        <v>74870.039999999994</v>
      </c>
      <c r="Z327">
        <v>74870.039999999994</v>
      </c>
      <c r="AA327">
        <v>3743.502</v>
      </c>
      <c r="AB327">
        <v>78613.542000000016</v>
      </c>
      <c r="AC327">
        <v>9.6694656660000025</v>
      </c>
      <c r="AD327">
        <v>78623.211465666012</v>
      </c>
      <c r="AF327">
        <v>78623.211465666012</v>
      </c>
      <c r="AH327">
        <v>78623.211465666012</v>
      </c>
      <c r="AI327">
        <v>1572.4642293133202</v>
      </c>
      <c r="AJ327">
        <v>80195.675694979334</v>
      </c>
      <c r="AK327">
        <v>801.95675694979332</v>
      </c>
      <c r="AL327">
        <v>80997.632451929123</v>
      </c>
      <c r="AM327">
        <v>1619.9526490385824</v>
      </c>
      <c r="AN327">
        <v>82617.585100967699</v>
      </c>
      <c r="AP327">
        <v>82617.585100967699</v>
      </c>
      <c r="AQ327">
        <v>2478.527553029031</v>
      </c>
      <c r="AR327">
        <v>85096.112653996737</v>
      </c>
      <c r="AT327">
        <v>85096.112653996737</v>
      </c>
      <c r="AU327">
        <v>2552.8833796199019</v>
      </c>
      <c r="AV327">
        <v>87648.99603361664</v>
      </c>
      <c r="AX327">
        <v>87648.99603361664</v>
      </c>
      <c r="AZ327">
        <v>87648.99603361664</v>
      </c>
      <c r="BB327">
        <v>87648.99603361664</v>
      </c>
      <c r="BD327">
        <v>87648.99603361664</v>
      </c>
      <c r="BF327">
        <v>87648.99603361664</v>
      </c>
      <c r="BH327">
        <v>87648.99603361664</v>
      </c>
      <c r="BJ327">
        <v>87648.99603361664</v>
      </c>
      <c r="BL327">
        <v>87648.99603361664</v>
      </c>
      <c r="BN327">
        <v>87648.99603361664</v>
      </c>
      <c r="BP327">
        <v>87648.99603361664</v>
      </c>
      <c r="BR327">
        <v>87648.99603361664</v>
      </c>
      <c r="BT327">
        <v>87648.99603361664</v>
      </c>
      <c r="BV327">
        <v>87648.99603361664</v>
      </c>
      <c r="BX327">
        <v>87648.99603361664</v>
      </c>
      <c r="BY327">
        <v>87649</v>
      </c>
      <c r="BZ327">
        <v>5955749.5499999998</v>
      </c>
      <c r="CC327">
        <v>0</v>
      </c>
      <c r="CD327">
        <v>87649</v>
      </c>
      <c r="CE327">
        <v>5955749.5499999998</v>
      </c>
      <c r="CF327" t="s">
        <v>37</v>
      </c>
      <c r="CG327">
        <v>7500</v>
      </c>
      <c r="CH327">
        <v>95149</v>
      </c>
      <c r="CI327">
        <v>509625</v>
      </c>
      <c r="CJ327">
        <v>6465374.5499999998</v>
      </c>
      <c r="CN327">
        <v>0</v>
      </c>
      <c r="CO327" t="s">
        <v>39</v>
      </c>
      <c r="CP327" t="s">
        <v>39</v>
      </c>
      <c r="CQ327" t="b">
        <v>1</v>
      </c>
      <c r="CR327" t="s">
        <v>8950</v>
      </c>
      <c r="CT327" t="s">
        <v>8960</v>
      </c>
      <c r="CU327" t="s">
        <v>8971</v>
      </c>
      <c r="CV327" t="s">
        <v>6195</v>
      </c>
      <c r="CW327" t="s">
        <v>4895</v>
      </c>
      <c r="CX327" t="s">
        <v>3246</v>
      </c>
      <c r="CY327">
        <v>1.6499999999999917</v>
      </c>
      <c r="CZ327">
        <v>156995.84999999919</v>
      </c>
      <c r="DA327">
        <v>6465374.5499999998</v>
      </c>
      <c r="DB327" t="s">
        <v>37</v>
      </c>
      <c r="DC327" t="b">
        <v>1</v>
      </c>
      <c r="DD327">
        <v>6465374.5499999998</v>
      </c>
      <c r="DE327">
        <v>0</v>
      </c>
      <c r="DF327" t="b">
        <v>1</v>
      </c>
      <c r="DG327" s="420" cm="1">
        <f t="array" ref="DG327">_xlfn.XLOOKUP("Дом 4"&amp;Реестр_Д4[[#This Row],[№]]&amp;Реестр_Д4[[#This Row],[Статус]],РД[Дом]&amp;РД[№ кв]&amp;РД[Состояние],РД[Дата подачи на регистрацию],"-",0)</f>
        <v>45273</v>
      </c>
    </row>
    <row r="328" spans="1:111" x14ac:dyDescent="0.25">
      <c r="A328">
        <v>327</v>
      </c>
      <c r="B328" t="s">
        <v>16</v>
      </c>
      <c r="C328">
        <v>14</v>
      </c>
      <c r="D328" t="s">
        <v>44</v>
      </c>
      <c r="E328">
        <v>0</v>
      </c>
      <c r="F328">
        <v>19.22</v>
      </c>
      <c r="I328">
        <v>19.22</v>
      </c>
      <c r="J328">
        <v>9.57</v>
      </c>
      <c r="K328">
        <v>3.76</v>
      </c>
      <c r="N328">
        <v>2.56</v>
      </c>
      <c r="O328">
        <v>2.68</v>
      </c>
      <c r="Q328">
        <v>2.68</v>
      </c>
      <c r="R328">
        <v>37.79</v>
      </c>
      <c r="S328">
        <v>35.11</v>
      </c>
      <c r="T328">
        <v>36.450000000000003</v>
      </c>
      <c r="U328">
        <v>37.4</v>
      </c>
      <c r="V328">
        <v>76356</v>
      </c>
      <c r="W328">
        <v>3817.8</v>
      </c>
      <c r="X328">
        <v>80173.8</v>
      </c>
      <c r="Z328">
        <v>80173.8</v>
      </c>
      <c r="AB328">
        <v>80173.8</v>
      </c>
      <c r="AC328">
        <v>9.8613774000000003</v>
      </c>
      <c r="AD328">
        <v>80183.6613774</v>
      </c>
      <c r="AE328">
        <v>4009.1830688700002</v>
      </c>
      <c r="AF328">
        <v>84192.844446269999</v>
      </c>
      <c r="AH328">
        <v>84192.844446269999</v>
      </c>
      <c r="AJ328">
        <v>84192.844446269999</v>
      </c>
      <c r="AK328">
        <v>841.92844446269999</v>
      </c>
      <c r="AL328">
        <v>85034.772890732711</v>
      </c>
      <c r="AM328">
        <v>1700.695457814654</v>
      </c>
      <c r="AN328">
        <v>86735.468348547351</v>
      </c>
      <c r="AO328">
        <v>4336.7734174273673</v>
      </c>
      <c r="AP328">
        <v>91072.241765974715</v>
      </c>
      <c r="AQ328">
        <v>2732.1672529792413</v>
      </c>
      <c r="AR328">
        <v>93804.409018953957</v>
      </c>
      <c r="AS328">
        <v>4690.2204509476978</v>
      </c>
      <c r="AT328">
        <v>98494.629469901658</v>
      </c>
      <c r="AU328">
        <v>2954.8388840970497</v>
      </c>
      <c r="AV328">
        <v>101449.4683539987</v>
      </c>
      <c r="AX328">
        <v>101449.4683539987</v>
      </c>
      <c r="AZ328">
        <v>101449.4683539987</v>
      </c>
      <c r="BB328">
        <v>101449.4683539987</v>
      </c>
      <c r="BD328">
        <v>101449.4683539987</v>
      </c>
      <c r="BF328">
        <v>101449.4683539987</v>
      </c>
      <c r="BH328">
        <v>101449.4683539987</v>
      </c>
      <c r="BI328">
        <v>5072.4734176999355</v>
      </c>
      <c r="BJ328">
        <v>106521.94177169864</v>
      </c>
      <c r="BL328">
        <v>106521.94177169864</v>
      </c>
      <c r="BN328">
        <v>106521.94177169864</v>
      </c>
      <c r="BP328">
        <v>106521.94177169864</v>
      </c>
      <c r="BR328">
        <v>106521.94177169864</v>
      </c>
      <c r="BT328">
        <v>106521.94177169864</v>
      </c>
      <c r="BV328">
        <v>106521.94177169864</v>
      </c>
      <c r="BX328">
        <v>106521.94177169864</v>
      </c>
      <c r="BY328">
        <v>106521.94</v>
      </c>
      <c r="BZ328">
        <v>3882800</v>
      </c>
      <c r="CC328">
        <v>0</v>
      </c>
      <c r="CD328">
        <v>106524.00548696844</v>
      </c>
      <c r="CE328">
        <v>3882800</v>
      </c>
      <c r="CF328" t="s">
        <v>36</v>
      </c>
      <c r="CH328">
        <v>106524.00548696844</v>
      </c>
      <c r="CI328">
        <v>0</v>
      </c>
      <c r="CJ328">
        <v>3882800</v>
      </c>
      <c r="CN328">
        <v>0</v>
      </c>
      <c r="CO328" t="s">
        <v>39</v>
      </c>
      <c r="CP328" t="s">
        <v>39</v>
      </c>
      <c r="CQ328" t="b">
        <v>1</v>
      </c>
      <c r="CR328" t="s">
        <v>8950</v>
      </c>
      <c r="CT328" t="s">
        <v>8960</v>
      </c>
      <c r="CU328" t="s">
        <v>8970</v>
      </c>
      <c r="CV328" t="s">
        <v>6196</v>
      </c>
      <c r="CW328" t="s">
        <v>6652</v>
      </c>
      <c r="CX328" t="s">
        <v>3246</v>
      </c>
      <c r="CY328">
        <v>0.94999999999999563</v>
      </c>
      <c r="CZ328">
        <v>101197.80521261955</v>
      </c>
      <c r="DA328">
        <v>3882800</v>
      </c>
      <c r="DB328" t="s">
        <v>36</v>
      </c>
      <c r="DC328" t="b">
        <v>1</v>
      </c>
      <c r="DD328">
        <v>3882800</v>
      </c>
      <c r="DE328">
        <v>0</v>
      </c>
      <c r="DF328" t="b">
        <v>1</v>
      </c>
      <c r="DG328" s="420" cm="1">
        <f t="array" ref="DG328">_xlfn.XLOOKUP("Дом 4"&amp;Реестр_Д4[[#This Row],[№]]&amp;Реестр_Д4[[#This Row],[Статус]],РД[Дом]&amp;РД[№ кв]&amp;РД[Состояние],РД[Дата подачи на регистрацию],"-",0)</f>
        <v>45310</v>
      </c>
    </row>
    <row r="329" spans="1:111" x14ac:dyDescent="0.25">
      <c r="A329">
        <v>328</v>
      </c>
      <c r="B329" t="s">
        <v>16</v>
      </c>
      <c r="C329">
        <v>14</v>
      </c>
      <c r="D329" t="s">
        <v>45</v>
      </c>
      <c r="E329">
        <v>2</v>
      </c>
      <c r="F329">
        <v>18.12</v>
      </c>
      <c r="G329">
        <v>9.8800000000000008</v>
      </c>
      <c r="I329">
        <v>28</v>
      </c>
      <c r="J329">
        <v>15.3</v>
      </c>
      <c r="K329">
        <v>3.49</v>
      </c>
      <c r="L329">
        <v>2.34</v>
      </c>
      <c r="N329">
        <v>8.1</v>
      </c>
      <c r="O329">
        <v>2.63</v>
      </c>
      <c r="Q329">
        <v>2.63</v>
      </c>
      <c r="R329">
        <v>59.86</v>
      </c>
      <c r="S329">
        <v>57.23</v>
      </c>
      <c r="T329">
        <v>58.55</v>
      </c>
      <c r="U329">
        <v>60.399999999999991</v>
      </c>
      <c r="V329">
        <v>68639.199999999997</v>
      </c>
      <c r="W329">
        <v>3431.96</v>
      </c>
      <c r="X329">
        <v>72071.16</v>
      </c>
      <c r="Z329">
        <v>72071.16</v>
      </c>
      <c r="AA329">
        <v>3603.558</v>
      </c>
      <c r="AB329">
        <v>75674.717999999993</v>
      </c>
      <c r="AC329">
        <v>9.3079903140000013</v>
      </c>
      <c r="AD329">
        <v>75684.02599031401</v>
      </c>
      <c r="AF329">
        <v>75684.02599031401</v>
      </c>
      <c r="AH329">
        <v>75684.02599031401</v>
      </c>
      <c r="AJ329">
        <v>75684.02599031401</v>
      </c>
      <c r="AL329">
        <v>75684.02599031401</v>
      </c>
      <c r="AN329">
        <v>75684.02599031401</v>
      </c>
      <c r="AP329">
        <v>75684.02599031401</v>
      </c>
      <c r="AR329">
        <v>75684.02599031401</v>
      </c>
      <c r="AT329">
        <v>75684.02599031401</v>
      </c>
      <c r="AV329">
        <v>75684.02599031401</v>
      </c>
      <c r="AX329">
        <v>75684.02599031401</v>
      </c>
      <c r="AZ329">
        <v>75684.02599031401</v>
      </c>
      <c r="BB329">
        <v>75684.02599031401</v>
      </c>
      <c r="BD329">
        <v>75684.02599031401</v>
      </c>
      <c r="BF329">
        <v>75684.02599031401</v>
      </c>
      <c r="BH329">
        <v>75684.02599031401</v>
      </c>
      <c r="BJ329">
        <v>75684.02599031401</v>
      </c>
      <c r="BL329">
        <v>75684.02599031401</v>
      </c>
      <c r="BN329">
        <v>75684.02599031401</v>
      </c>
      <c r="BP329">
        <v>75684.02599031401</v>
      </c>
      <c r="BR329">
        <v>75684.02599031401</v>
      </c>
      <c r="BT329">
        <v>75684.02599031401</v>
      </c>
      <c r="BV329">
        <v>75684.02599031401</v>
      </c>
      <c r="BX329">
        <v>75684.02599031401</v>
      </c>
      <c r="BY329">
        <v>75684.03</v>
      </c>
      <c r="BZ329">
        <v>4431299.96</v>
      </c>
      <c r="CC329">
        <v>0</v>
      </c>
      <c r="CD329">
        <v>75684.030059777971</v>
      </c>
      <c r="CE329">
        <v>4431299.96</v>
      </c>
      <c r="CF329" t="s">
        <v>36</v>
      </c>
      <c r="CH329">
        <v>75684.030059777971</v>
      </c>
      <c r="CI329">
        <v>0</v>
      </c>
      <c r="CJ329">
        <v>4431299.96</v>
      </c>
      <c r="CN329">
        <v>0</v>
      </c>
      <c r="CO329" t="s">
        <v>39</v>
      </c>
      <c r="CP329" t="s">
        <v>39</v>
      </c>
      <c r="CQ329" t="b">
        <v>1</v>
      </c>
      <c r="CR329" t="s">
        <v>8950</v>
      </c>
      <c r="CT329" t="s">
        <v>8960</v>
      </c>
      <c r="CU329" t="s">
        <v>8971</v>
      </c>
      <c r="CV329" t="s">
        <v>6197</v>
      </c>
      <c r="CW329" t="s">
        <v>4895</v>
      </c>
      <c r="CX329" t="s">
        <v>3246</v>
      </c>
      <c r="CY329">
        <v>1.8499999999999943</v>
      </c>
      <c r="CZ329">
        <v>140015.4556105888</v>
      </c>
      <c r="DA329">
        <v>4431299.96</v>
      </c>
      <c r="DB329" t="s">
        <v>36</v>
      </c>
      <c r="DC329" t="b">
        <v>1</v>
      </c>
      <c r="DD329">
        <v>4431299.96</v>
      </c>
      <c r="DE329">
        <v>0</v>
      </c>
      <c r="DF329" t="b">
        <v>1</v>
      </c>
      <c r="DG329" s="420" cm="1">
        <f t="array" ref="DG329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330" spans="1:111" x14ac:dyDescent="0.25">
      <c r="A330">
        <v>329</v>
      </c>
      <c r="B330" t="s">
        <v>16</v>
      </c>
      <c r="C330">
        <v>14</v>
      </c>
      <c r="D330" t="s">
        <v>3351</v>
      </c>
      <c r="E330">
        <v>2</v>
      </c>
      <c r="F330">
        <v>15.36</v>
      </c>
      <c r="G330">
        <v>9.8699999999999992</v>
      </c>
      <c r="I330">
        <v>25.23</v>
      </c>
      <c r="J330">
        <v>16.260000000000002</v>
      </c>
      <c r="K330">
        <v>3.74</v>
      </c>
      <c r="L330">
        <v>2.09</v>
      </c>
      <c r="N330">
        <v>8.06</v>
      </c>
      <c r="O330">
        <v>2.63</v>
      </c>
      <c r="Q330">
        <v>2.63</v>
      </c>
      <c r="R330">
        <v>58.01</v>
      </c>
      <c r="S330">
        <v>55.379999999999995</v>
      </c>
      <c r="T330">
        <v>56.7</v>
      </c>
      <c r="U330">
        <v>58.099999999999994</v>
      </c>
      <c r="V330">
        <v>68639.199999999997</v>
      </c>
      <c r="W330">
        <v>3431.96</v>
      </c>
      <c r="X330">
        <v>72071.16</v>
      </c>
      <c r="Z330">
        <v>72071.16</v>
      </c>
      <c r="AB330">
        <v>72071.16</v>
      </c>
      <c r="AD330">
        <v>72071.16</v>
      </c>
      <c r="AF330">
        <v>72071.16</v>
      </c>
      <c r="AH330">
        <v>72071.16</v>
      </c>
      <c r="AJ330">
        <v>72071.16</v>
      </c>
      <c r="AL330">
        <v>72071.16</v>
      </c>
      <c r="AN330">
        <v>72071.16</v>
      </c>
      <c r="AP330">
        <v>72071.16</v>
      </c>
      <c r="AR330">
        <v>72071.16</v>
      </c>
      <c r="AT330">
        <v>72071.16</v>
      </c>
      <c r="AV330">
        <v>72071.16</v>
      </c>
      <c r="AX330">
        <v>72071.16</v>
      </c>
      <c r="AZ330">
        <v>72071.16</v>
      </c>
      <c r="BB330">
        <v>72071.16</v>
      </c>
      <c r="BD330">
        <v>72071.16</v>
      </c>
      <c r="BF330">
        <v>72071.16</v>
      </c>
      <c r="BH330">
        <v>72071.16</v>
      </c>
      <c r="BJ330">
        <v>72071.16</v>
      </c>
      <c r="BL330">
        <v>72071.16</v>
      </c>
      <c r="BN330">
        <v>72071.16</v>
      </c>
      <c r="BP330">
        <v>72071.16</v>
      </c>
      <c r="BR330">
        <v>72071.16</v>
      </c>
      <c r="BT330">
        <v>72071.16</v>
      </c>
      <c r="BV330">
        <v>72071.16</v>
      </c>
      <c r="BX330">
        <v>72071.16</v>
      </c>
      <c r="BY330">
        <v>72071.16</v>
      </c>
      <c r="BZ330">
        <v>4086434.77</v>
      </c>
      <c r="CB330">
        <v>0.05</v>
      </c>
      <c r="CC330">
        <v>204321.73850000001</v>
      </c>
      <c r="CD330">
        <v>68467.599999999991</v>
      </c>
      <c r="CE330">
        <v>3882112.92</v>
      </c>
      <c r="CF330" t="s">
        <v>36</v>
      </c>
      <c r="CH330">
        <v>68467.599999999991</v>
      </c>
      <c r="CI330">
        <v>0</v>
      </c>
      <c r="CJ330">
        <v>3882112.92</v>
      </c>
      <c r="CL330" t="s">
        <v>3540</v>
      </c>
      <c r="CN330">
        <v>0</v>
      </c>
      <c r="CO330" t="s">
        <v>39</v>
      </c>
      <c r="CP330" t="s">
        <v>39</v>
      </c>
      <c r="CQ330" t="b">
        <v>1</v>
      </c>
      <c r="CR330" t="s">
        <v>8950</v>
      </c>
      <c r="CT330" t="s">
        <v>8960</v>
      </c>
      <c r="CU330" t="s">
        <v>8971</v>
      </c>
      <c r="CV330" t="s">
        <v>6198</v>
      </c>
      <c r="CW330" t="s">
        <v>4895</v>
      </c>
      <c r="CX330" t="s">
        <v>3246</v>
      </c>
      <c r="CY330">
        <v>1.3999999999999917</v>
      </c>
      <c r="CZ330">
        <v>95854.639999999403</v>
      </c>
      <c r="DA330">
        <v>3882112.92</v>
      </c>
      <c r="DB330" t="s">
        <v>36</v>
      </c>
      <c r="DC330" t="b">
        <v>1</v>
      </c>
      <c r="DD330">
        <v>3882112.92</v>
      </c>
      <c r="DE330">
        <v>0</v>
      </c>
      <c r="DF330" t="b">
        <v>1</v>
      </c>
      <c r="DG330" s="420" cm="1">
        <f t="array" ref="DG330">_xlfn.XLOOKUP("Дом 4"&amp;Реестр_Д4[[#This Row],[№]]&amp;Реестр_Д4[[#This Row],[Статус]],РД[Дом]&amp;РД[№ кв]&amp;РД[Состояние],РД[Дата подачи на регистрацию],"-",0)</f>
        <v>44877</v>
      </c>
    </row>
    <row r="331" spans="1:111" x14ac:dyDescent="0.25">
      <c r="A331">
        <v>330</v>
      </c>
      <c r="B331" t="s">
        <v>16</v>
      </c>
      <c r="C331">
        <v>14</v>
      </c>
      <c r="D331" t="s">
        <v>3352</v>
      </c>
      <c r="E331">
        <v>3</v>
      </c>
      <c r="F331">
        <v>16.27</v>
      </c>
      <c r="G331">
        <v>10.96</v>
      </c>
      <c r="H331">
        <v>10.7</v>
      </c>
      <c r="I331">
        <v>37.93</v>
      </c>
      <c r="J331">
        <v>13.42</v>
      </c>
      <c r="K331">
        <v>4.53</v>
      </c>
      <c r="L331">
        <v>2.27</v>
      </c>
      <c r="N331">
        <v>12.94</v>
      </c>
      <c r="O331">
        <v>2.83</v>
      </c>
      <c r="Q331">
        <v>2.83</v>
      </c>
      <c r="R331">
        <v>73.92</v>
      </c>
      <c r="S331">
        <v>71.09</v>
      </c>
      <c r="T331">
        <v>72.510000000000005</v>
      </c>
      <c r="U331">
        <v>74.5</v>
      </c>
      <c r="V331">
        <v>68992.000000000015</v>
      </c>
      <c r="W331">
        <v>3449.6000000000008</v>
      </c>
      <c r="X331">
        <v>72441.60000000002</v>
      </c>
      <c r="Z331">
        <v>72441.60000000002</v>
      </c>
      <c r="AB331">
        <v>72441.60000000002</v>
      </c>
      <c r="AC331">
        <v>8.9103168000000039</v>
      </c>
      <c r="AD331">
        <v>72450.510316800021</v>
      </c>
      <c r="AF331">
        <v>72450.510316800021</v>
      </c>
      <c r="AH331">
        <v>72450.510316800021</v>
      </c>
      <c r="AI331">
        <v>2173.5153095040005</v>
      </c>
      <c r="AJ331">
        <v>74624.025626304021</v>
      </c>
      <c r="AK331">
        <v>746.24025626304035</v>
      </c>
      <c r="AL331">
        <v>75370.265882567066</v>
      </c>
      <c r="AM331">
        <v>1507.4053176513414</v>
      </c>
      <c r="AN331">
        <v>76877.671200218407</v>
      </c>
      <c r="AP331">
        <v>76877.671200218407</v>
      </c>
      <c r="AQ331">
        <v>2306.330136006552</v>
      </c>
      <c r="AR331">
        <v>79184.001336224959</v>
      </c>
      <c r="AT331">
        <v>79184.001336224959</v>
      </c>
      <c r="AV331">
        <v>79184.001336224959</v>
      </c>
      <c r="AX331">
        <v>79184.001336224959</v>
      </c>
      <c r="AZ331">
        <v>79184.001336224959</v>
      </c>
      <c r="BB331">
        <v>79184.001336224959</v>
      </c>
      <c r="BD331">
        <v>79184.001336224959</v>
      </c>
      <c r="BF331">
        <v>79184.001336224959</v>
      </c>
      <c r="BH331">
        <v>79184.001336224959</v>
      </c>
      <c r="BJ331">
        <v>79184.001336224959</v>
      </c>
      <c r="BL331">
        <v>79184.001336224959</v>
      </c>
      <c r="BN331">
        <v>79184.001336224959</v>
      </c>
      <c r="BP331">
        <v>79184.001336224959</v>
      </c>
      <c r="BR331">
        <v>79184.001336224959</v>
      </c>
      <c r="BT331">
        <v>79184.001336224959</v>
      </c>
      <c r="BV331">
        <v>79184.001336224959</v>
      </c>
      <c r="BX331">
        <v>79184.001336224959</v>
      </c>
      <c r="BY331">
        <v>79184</v>
      </c>
      <c r="BZ331">
        <v>5741631.8399999999</v>
      </c>
      <c r="CB331">
        <v>0.06</v>
      </c>
      <c r="CC331">
        <v>344497.91039999999</v>
      </c>
      <c r="CD331">
        <v>74432.960005516477</v>
      </c>
      <c r="CE331">
        <v>5397133.9299999997</v>
      </c>
      <c r="CF331" t="s">
        <v>36</v>
      </c>
      <c r="CH331">
        <v>74432.960005516477</v>
      </c>
      <c r="CI331">
        <v>0</v>
      </c>
      <c r="CJ331">
        <v>5397133.9299999997</v>
      </c>
      <c r="CL331" t="s">
        <v>978</v>
      </c>
      <c r="CN331">
        <v>0</v>
      </c>
      <c r="CO331" t="s">
        <v>39</v>
      </c>
      <c r="CP331" t="s">
        <v>39</v>
      </c>
      <c r="CQ331" t="b">
        <v>1</v>
      </c>
      <c r="CR331" t="s">
        <v>8950</v>
      </c>
      <c r="CT331" t="s">
        <v>8960</v>
      </c>
      <c r="CU331" t="s">
        <v>8975</v>
      </c>
      <c r="CV331" t="s">
        <v>6199</v>
      </c>
      <c r="CW331" t="s">
        <v>4895</v>
      </c>
      <c r="CX331" t="s">
        <v>3246</v>
      </c>
      <c r="CY331">
        <v>1.9899999999999949</v>
      </c>
      <c r="CZ331">
        <v>148121.5904109774</v>
      </c>
      <c r="DA331">
        <v>5397133.9299999997</v>
      </c>
      <c r="DB331" t="s">
        <v>36</v>
      </c>
      <c r="DC331" t="b">
        <v>1</v>
      </c>
      <c r="DD331">
        <v>5397133.9299999997</v>
      </c>
      <c r="DE331">
        <v>0</v>
      </c>
      <c r="DF331" t="b">
        <v>1</v>
      </c>
      <c r="DG331" s="420" cm="1">
        <f t="array" ref="DG331">_xlfn.XLOOKUP("Дом 4"&amp;Реестр_Д4[[#This Row],[№]]&amp;Реестр_Д4[[#This Row],[Статус]],РД[Дом]&amp;РД[№ кв]&amp;РД[Состояние],РД[Дата подачи на регистрацию],"-",0)</f>
        <v>45173</v>
      </c>
    </row>
    <row r="332" spans="1:111" x14ac:dyDescent="0.25">
      <c r="A332">
        <v>331</v>
      </c>
      <c r="B332" t="s">
        <v>16</v>
      </c>
      <c r="C332">
        <v>14</v>
      </c>
      <c r="D332" t="s">
        <v>3353</v>
      </c>
      <c r="E332">
        <v>1</v>
      </c>
      <c r="F332">
        <v>10.68</v>
      </c>
      <c r="I332">
        <v>10.68</v>
      </c>
      <c r="J332">
        <v>12.75</v>
      </c>
      <c r="K332">
        <v>3.65</v>
      </c>
      <c r="N332">
        <v>5.45</v>
      </c>
      <c r="O332">
        <v>2.62</v>
      </c>
      <c r="Q332">
        <v>2.62</v>
      </c>
      <c r="R332">
        <v>35.15</v>
      </c>
      <c r="S332">
        <v>32.53</v>
      </c>
      <c r="T332">
        <v>33.840000000000003</v>
      </c>
      <c r="U332">
        <v>34.799999999999997</v>
      </c>
      <c r="V332">
        <v>70700</v>
      </c>
      <c r="X332">
        <v>70700</v>
      </c>
      <c r="Z332">
        <v>70700</v>
      </c>
      <c r="AB332">
        <v>70700</v>
      </c>
      <c r="AD332">
        <v>70700</v>
      </c>
      <c r="AF332">
        <v>70700</v>
      </c>
      <c r="AH332">
        <v>70700</v>
      </c>
      <c r="AJ332">
        <v>70700</v>
      </c>
      <c r="AL332">
        <v>70700</v>
      </c>
      <c r="AN332">
        <v>70700</v>
      </c>
      <c r="AP332">
        <v>70700</v>
      </c>
      <c r="AR332">
        <v>70700</v>
      </c>
      <c r="AT332">
        <v>70700</v>
      </c>
      <c r="AV332">
        <v>70700</v>
      </c>
      <c r="AX332">
        <v>70700</v>
      </c>
      <c r="AZ332">
        <v>70700</v>
      </c>
      <c r="BB332">
        <v>70700</v>
      </c>
      <c r="BD332">
        <v>70700</v>
      </c>
      <c r="BF332">
        <v>70700</v>
      </c>
      <c r="BH332">
        <v>70700</v>
      </c>
      <c r="BJ332">
        <v>70700</v>
      </c>
      <c r="BL332">
        <v>70700</v>
      </c>
      <c r="BN332">
        <v>70700</v>
      </c>
      <c r="BP332">
        <v>70700</v>
      </c>
      <c r="BR332">
        <v>70700</v>
      </c>
      <c r="BT332">
        <v>70700</v>
      </c>
      <c r="BV332">
        <v>70700</v>
      </c>
      <c r="BX332">
        <v>70700</v>
      </c>
      <c r="BY332">
        <v>70700</v>
      </c>
      <c r="BZ332">
        <v>2392488</v>
      </c>
      <c r="CC332">
        <v>0</v>
      </c>
      <c r="CD332">
        <v>70700</v>
      </c>
      <c r="CE332">
        <v>2392488</v>
      </c>
      <c r="CF332" t="s">
        <v>38</v>
      </c>
      <c r="CG332">
        <v>20000</v>
      </c>
      <c r="CH332">
        <v>90700</v>
      </c>
      <c r="CI332">
        <v>676800</v>
      </c>
      <c r="CJ332">
        <v>3069288</v>
      </c>
      <c r="CK332" t="s">
        <v>57</v>
      </c>
      <c r="CN332">
        <v>0</v>
      </c>
      <c r="CO332" t="s">
        <v>39</v>
      </c>
      <c r="CP332" t="s">
        <v>39</v>
      </c>
      <c r="CQ332" t="b">
        <v>1</v>
      </c>
      <c r="CR332" t="s">
        <v>8950</v>
      </c>
      <c r="CS332" t="s">
        <v>1167</v>
      </c>
      <c r="CT332" t="s">
        <v>8960</v>
      </c>
      <c r="CU332" t="s">
        <v>8973</v>
      </c>
      <c r="CV332" t="s">
        <v>6200</v>
      </c>
      <c r="CW332" t="s">
        <v>4895</v>
      </c>
      <c r="CX332" t="s">
        <v>3246</v>
      </c>
      <c r="CY332">
        <v>0.95999999999999375</v>
      </c>
      <c r="CZ332">
        <v>87071.999999999418</v>
      </c>
      <c r="DA332">
        <v>3069288</v>
      </c>
      <c r="DB332" t="s">
        <v>38</v>
      </c>
      <c r="DC332" t="b">
        <v>1</v>
      </c>
      <c r="DD332">
        <v>3069288</v>
      </c>
      <c r="DE332">
        <v>0</v>
      </c>
      <c r="DF332" t="b">
        <v>1</v>
      </c>
      <c r="DG332" s="420" cm="1">
        <f t="array" ref="DG332">_xlfn.XLOOKUP("Дом 4"&amp;Реестр_Д4[[#This Row],[№]]&amp;Реестр_Д4[[#This Row],[Статус]],РД[Дом]&amp;РД[№ кв]&amp;РД[Состояние],РД[Дата подачи на регистрацию],"-",0)</f>
        <v>44778</v>
      </c>
    </row>
    <row r="333" spans="1:111" x14ac:dyDescent="0.25">
      <c r="A333">
        <v>332</v>
      </c>
      <c r="B333" t="s">
        <v>16</v>
      </c>
      <c r="C333">
        <v>15</v>
      </c>
      <c r="D333" t="s">
        <v>42</v>
      </c>
      <c r="E333">
        <v>0</v>
      </c>
      <c r="F333">
        <v>14.73</v>
      </c>
      <c r="I333">
        <v>14.73</v>
      </c>
      <c r="J333">
        <v>5.74</v>
      </c>
      <c r="K333">
        <v>3.61</v>
      </c>
      <c r="N333">
        <v>3.6</v>
      </c>
      <c r="O333">
        <v>3.34</v>
      </c>
      <c r="Q333">
        <v>3.34</v>
      </c>
      <c r="R333">
        <v>31.02</v>
      </c>
      <c r="S333">
        <v>27.68</v>
      </c>
      <c r="T333">
        <v>29.35</v>
      </c>
      <c r="U333">
        <v>30.299999999999997</v>
      </c>
      <c r="V333">
        <v>75600</v>
      </c>
      <c r="W333">
        <v>3780</v>
      </c>
      <c r="X333">
        <v>79380</v>
      </c>
      <c r="Z333">
        <v>79380</v>
      </c>
      <c r="AB333">
        <v>79380</v>
      </c>
      <c r="AC333">
        <v>9.7637400000000003</v>
      </c>
      <c r="AD333">
        <v>79389.763739999995</v>
      </c>
      <c r="AE333">
        <v>3969.4881869999999</v>
      </c>
      <c r="AF333">
        <v>83359.25192699999</v>
      </c>
      <c r="AH333">
        <v>83359.25192699999</v>
      </c>
      <c r="AJ333">
        <v>83359.25192699999</v>
      </c>
      <c r="AK333">
        <v>833.5925192699998</v>
      </c>
      <c r="AL333">
        <v>84192.844446269984</v>
      </c>
      <c r="AM333">
        <v>1683.8568889253995</v>
      </c>
      <c r="AN333">
        <v>85876.701335195379</v>
      </c>
      <c r="AO333">
        <v>4293.8350667597688</v>
      </c>
      <c r="AP333">
        <v>90170.536401955149</v>
      </c>
      <c r="AQ333">
        <v>2705.1160920586544</v>
      </c>
      <c r="AR333">
        <v>92875.652494013804</v>
      </c>
      <c r="AT333">
        <v>92875.652494013804</v>
      </c>
      <c r="AV333">
        <v>92875.652494013804</v>
      </c>
      <c r="AX333">
        <v>92875.652494013804</v>
      </c>
      <c r="AZ333">
        <v>92875.652494013804</v>
      </c>
      <c r="BB333">
        <v>92875.652494013804</v>
      </c>
      <c r="BD333">
        <v>92875.652494013804</v>
      </c>
      <c r="BF333">
        <v>92875.652494013804</v>
      </c>
      <c r="BH333">
        <v>92875.652494013804</v>
      </c>
      <c r="BJ333">
        <v>92875.652494013804</v>
      </c>
      <c r="BL333">
        <v>92875.652494013804</v>
      </c>
      <c r="BN333">
        <v>92875.652494013804</v>
      </c>
      <c r="BP333">
        <v>92875.652494013804</v>
      </c>
      <c r="BR333">
        <v>92875.652494013804</v>
      </c>
      <c r="BT333">
        <v>92875.652494013804</v>
      </c>
      <c r="BV333">
        <v>92875.652494013804</v>
      </c>
      <c r="BX333">
        <v>92875.652494013804</v>
      </c>
      <c r="BY333">
        <v>92875.65</v>
      </c>
      <c r="BZ333">
        <v>2725900.33</v>
      </c>
      <c r="CA333">
        <v>20000</v>
      </c>
      <c r="CC333">
        <v>20000</v>
      </c>
      <c r="CD333">
        <v>92194.219080068142</v>
      </c>
      <c r="CE333">
        <v>2705900.33</v>
      </c>
      <c r="CF333" t="s">
        <v>36</v>
      </c>
      <c r="CH333">
        <v>92194.219080068142</v>
      </c>
      <c r="CI333">
        <v>0</v>
      </c>
      <c r="CJ333">
        <v>2705900.33</v>
      </c>
      <c r="CL333" t="s">
        <v>3441</v>
      </c>
      <c r="CN333">
        <v>0</v>
      </c>
      <c r="CO333" t="s">
        <v>39</v>
      </c>
      <c r="CP333" t="s">
        <v>39</v>
      </c>
      <c r="CQ333" t="b">
        <v>1</v>
      </c>
      <c r="CR333" t="s">
        <v>8950</v>
      </c>
      <c r="CT333" t="s">
        <v>8960</v>
      </c>
      <c r="CU333" t="s">
        <v>8970</v>
      </c>
      <c r="CV333" t="s">
        <v>6201</v>
      </c>
      <c r="CW333" t="s">
        <v>4895</v>
      </c>
      <c r="CX333" t="s">
        <v>3246</v>
      </c>
      <c r="CY333">
        <v>0.94999999999999563</v>
      </c>
      <c r="CZ333">
        <v>87584.508126064335</v>
      </c>
      <c r="DA333">
        <v>2705900.33</v>
      </c>
      <c r="DB333" t="s">
        <v>36</v>
      </c>
      <c r="DC333" t="b">
        <v>1</v>
      </c>
      <c r="DD333">
        <v>2705900.33</v>
      </c>
      <c r="DE333">
        <v>0</v>
      </c>
      <c r="DF333" t="b">
        <v>1</v>
      </c>
      <c r="DG333" s="420" cm="1">
        <f t="array" ref="DG333">_xlfn.XLOOKUP("Дом 4"&amp;Реестр_Д4[[#This Row],[№]]&amp;Реестр_Д4[[#This Row],[Статус]],РД[Дом]&amp;РД[№ кв]&amp;РД[Состояние],РД[Дата подачи на регистрацию],"-",0)</f>
        <v>45145</v>
      </c>
    </row>
    <row r="334" spans="1:111" x14ac:dyDescent="0.25">
      <c r="A334">
        <v>333</v>
      </c>
      <c r="B334" t="s">
        <v>16</v>
      </c>
      <c r="C334">
        <v>15</v>
      </c>
      <c r="D334" t="s">
        <v>43</v>
      </c>
      <c r="E334">
        <v>2</v>
      </c>
      <c r="F334">
        <v>17.22</v>
      </c>
      <c r="G334">
        <v>12.24</v>
      </c>
      <c r="I334">
        <v>29.46</v>
      </c>
      <c r="J334">
        <v>17.010000000000002</v>
      </c>
      <c r="K334">
        <v>3.67</v>
      </c>
      <c r="L334">
        <v>2.4</v>
      </c>
      <c r="N334">
        <v>12.71</v>
      </c>
      <c r="O334">
        <v>2.61</v>
      </c>
      <c r="P334">
        <v>2.78</v>
      </c>
      <c r="Q334">
        <v>5.39</v>
      </c>
      <c r="R334">
        <v>70.64</v>
      </c>
      <c r="S334">
        <v>65.25</v>
      </c>
      <c r="T334">
        <v>67.95</v>
      </c>
      <c r="U334">
        <v>69.3</v>
      </c>
      <c r="V334">
        <v>71304.800000000003</v>
      </c>
      <c r="W334">
        <v>3565.24</v>
      </c>
      <c r="X334">
        <v>74870.039999999994</v>
      </c>
      <c r="Z334">
        <v>74870.039999999994</v>
      </c>
      <c r="AA334">
        <v>3743.502</v>
      </c>
      <c r="AB334">
        <v>78613.542000000016</v>
      </c>
      <c r="AC334">
        <v>9.6694656660000025</v>
      </c>
      <c r="AD334">
        <v>78623.211465666012</v>
      </c>
      <c r="AF334">
        <v>78623.211465666012</v>
      </c>
      <c r="AH334">
        <v>78623.211465666012</v>
      </c>
      <c r="AI334">
        <v>1572.4642293133202</v>
      </c>
      <c r="AJ334">
        <v>80195.675694979334</v>
      </c>
      <c r="AK334">
        <v>801.95675694979332</v>
      </c>
      <c r="AL334">
        <v>80997.632451929123</v>
      </c>
      <c r="AM334">
        <v>1619.9526490385824</v>
      </c>
      <c r="AN334">
        <v>82617.585100967699</v>
      </c>
      <c r="AP334">
        <v>82617.585100967699</v>
      </c>
      <c r="AQ334">
        <v>2478.527553029031</v>
      </c>
      <c r="AR334">
        <v>85096.112653996737</v>
      </c>
      <c r="AT334">
        <v>85096.112653996737</v>
      </c>
      <c r="AU334">
        <v>2552.8833796199019</v>
      </c>
      <c r="AV334">
        <v>87648.99603361664</v>
      </c>
      <c r="AX334">
        <v>87648.99603361664</v>
      </c>
      <c r="AZ334">
        <v>87648.99603361664</v>
      </c>
      <c r="BB334">
        <v>87648.99603361664</v>
      </c>
      <c r="BD334">
        <v>87648.99603361664</v>
      </c>
      <c r="BF334">
        <v>87648.99603361664</v>
      </c>
      <c r="BH334">
        <v>87648.99603361664</v>
      </c>
      <c r="BI334">
        <v>4382.449801680832</v>
      </c>
      <c r="BJ334">
        <v>92031.445835297476</v>
      </c>
      <c r="BK334">
        <v>1000</v>
      </c>
      <c r="BL334">
        <v>93031.445835297476</v>
      </c>
      <c r="BM334">
        <v>1860.6289167059497</v>
      </c>
      <c r="BN334">
        <v>94892.07475200342</v>
      </c>
      <c r="BP334">
        <v>94892.07475200342</v>
      </c>
      <c r="BQ334">
        <v>500</v>
      </c>
      <c r="BR334">
        <v>95392.07475200342</v>
      </c>
      <c r="BT334">
        <v>95392.07475200342</v>
      </c>
      <c r="BV334">
        <v>95392.07475200342</v>
      </c>
      <c r="BX334">
        <v>95392.07475200342</v>
      </c>
      <c r="BY334">
        <v>95392.07</v>
      </c>
      <c r="BZ334">
        <v>6481900</v>
      </c>
      <c r="CB334">
        <v>0.03</v>
      </c>
      <c r="CC334">
        <v>194457</v>
      </c>
      <c r="CD334">
        <v>92530.434142752027</v>
      </c>
      <c r="CE334">
        <v>6287443</v>
      </c>
      <c r="CF334" t="s">
        <v>37</v>
      </c>
      <c r="CG334">
        <v>7500</v>
      </c>
      <c r="CH334">
        <v>100030.43414275204</v>
      </c>
      <c r="CI334">
        <v>509625</v>
      </c>
      <c r="CJ334">
        <v>6797068</v>
      </c>
      <c r="CL334" t="s">
        <v>6840</v>
      </c>
      <c r="CN334">
        <v>0</v>
      </c>
      <c r="CO334" t="s">
        <v>39</v>
      </c>
      <c r="CP334" t="s">
        <v>39</v>
      </c>
      <c r="CQ334" t="b">
        <v>1</v>
      </c>
      <c r="CR334" t="s">
        <v>8950</v>
      </c>
      <c r="CT334" t="s">
        <v>8960</v>
      </c>
      <c r="CU334" t="s">
        <v>8971</v>
      </c>
      <c r="CV334" t="s">
        <v>6202</v>
      </c>
      <c r="CW334" t="s">
        <v>6652</v>
      </c>
      <c r="CX334" t="s">
        <v>3246</v>
      </c>
      <c r="CY334">
        <v>1.3499999999999943</v>
      </c>
      <c r="CZ334">
        <v>135041.08609271466</v>
      </c>
      <c r="DA334">
        <v>6797068</v>
      </c>
      <c r="DB334" t="s">
        <v>37</v>
      </c>
      <c r="DC334" t="b">
        <v>1</v>
      </c>
      <c r="DD334">
        <v>6797068</v>
      </c>
      <c r="DE334">
        <v>0</v>
      </c>
      <c r="DF334" t="b">
        <v>1</v>
      </c>
      <c r="DG334" s="420" cm="1">
        <f t="array" ref="DG334">_xlfn.XLOOKUP("Дом 4"&amp;Реестр_Д4[[#This Row],[№]]&amp;Реестр_Д4[[#This Row],[Статус]],РД[Дом]&amp;РД[№ кв]&amp;РД[Состояние],РД[Дата подачи на регистрацию],"-",0)</f>
        <v>45443</v>
      </c>
    </row>
    <row r="335" spans="1:111" x14ac:dyDescent="0.25">
      <c r="A335">
        <v>334</v>
      </c>
      <c r="B335" t="s">
        <v>16</v>
      </c>
      <c r="C335">
        <v>15</v>
      </c>
      <c r="D335" t="s">
        <v>44</v>
      </c>
      <c r="E335">
        <v>0</v>
      </c>
      <c r="F335">
        <v>19.22</v>
      </c>
      <c r="I335">
        <v>19.22</v>
      </c>
      <c r="J335">
        <v>9.57</v>
      </c>
      <c r="K335">
        <v>3.76</v>
      </c>
      <c r="N335">
        <v>2.56</v>
      </c>
      <c r="O335">
        <v>2.68</v>
      </c>
      <c r="Q335">
        <v>2.68</v>
      </c>
      <c r="R335">
        <v>37.79</v>
      </c>
      <c r="S335">
        <v>35.11</v>
      </c>
      <c r="T335">
        <v>36.450000000000003</v>
      </c>
      <c r="U335">
        <v>37.4</v>
      </c>
      <c r="V335">
        <v>76356</v>
      </c>
      <c r="W335">
        <v>3817.8</v>
      </c>
      <c r="X335">
        <v>80173.8</v>
      </c>
      <c r="Z335">
        <v>80173.8</v>
      </c>
      <c r="AB335">
        <v>80173.8</v>
      </c>
      <c r="AC335">
        <v>9.8613774000000003</v>
      </c>
      <c r="AD335">
        <v>80183.6613774</v>
      </c>
      <c r="AE335">
        <v>4009.1830688700002</v>
      </c>
      <c r="AF335">
        <v>84192.844446269999</v>
      </c>
      <c r="AH335">
        <v>84192.844446269999</v>
      </c>
      <c r="AJ335">
        <v>84192.844446269999</v>
      </c>
      <c r="AK335">
        <v>841.92844446269999</v>
      </c>
      <c r="AL335">
        <v>85034.772890732711</v>
      </c>
      <c r="AM335">
        <v>1700.695457814654</v>
      </c>
      <c r="AN335">
        <v>86735.468348547351</v>
      </c>
      <c r="AP335">
        <v>86735.468348547351</v>
      </c>
      <c r="AR335">
        <v>86735.468348547351</v>
      </c>
      <c r="AT335">
        <v>86735.468348547351</v>
      </c>
      <c r="AV335">
        <v>86735.468348547351</v>
      </c>
      <c r="AX335">
        <v>86735.468348547351</v>
      </c>
      <c r="AZ335">
        <v>86735.468348547351</v>
      </c>
      <c r="BB335">
        <v>86735.468348547351</v>
      </c>
      <c r="BD335">
        <v>86735.468348547351</v>
      </c>
      <c r="BF335">
        <v>86735.468348547351</v>
      </c>
      <c r="BH335">
        <v>86735.468348547351</v>
      </c>
      <c r="BJ335">
        <v>86735.468348547351</v>
      </c>
      <c r="BL335">
        <v>86735.468348547351</v>
      </c>
      <c r="BN335">
        <v>86735.468348547351</v>
      </c>
      <c r="BP335">
        <v>86735.468348547351</v>
      </c>
      <c r="BR335">
        <v>86735.468348547351</v>
      </c>
      <c r="BT335">
        <v>86735.468348547351</v>
      </c>
      <c r="BV335">
        <v>86735.468348547351</v>
      </c>
      <c r="BX335">
        <v>86735.468348547351</v>
      </c>
      <c r="BY335">
        <v>86735.47</v>
      </c>
      <c r="BZ335">
        <v>3161507.88</v>
      </c>
      <c r="CB335">
        <v>0.06</v>
      </c>
      <c r="CC335">
        <v>189690.47279999999</v>
      </c>
      <c r="CD335">
        <v>81531.341838134438</v>
      </c>
      <c r="CE335">
        <v>2971817.41</v>
      </c>
      <c r="CF335" t="s">
        <v>36</v>
      </c>
      <c r="CH335">
        <v>81531.341838134438</v>
      </c>
      <c r="CI335">
        <v>0</v>
      </c>
      <c r="CJ335">
        <v>2971817.41</v>
      </c>
      <c r="CL335" t="s">
        <v>978</v>
      </c>
      <c r="CN335">
        <v>0</v>
      </c>
      <c r="CO335" t="s">
        <v>39</v>
      </c>
      <c r="CP335" t="s">
        <v>39</v>
      </c>
      <c r="CQ335" t="b">
        <v>1</v>
      </c>
      <c r="CR335" t="s">
        <v>8950</v>
      </c>
      <c r="CT335" t="s">
        <v>8960</v>
      </c>
      <c r="CU335" t="s">
        <v>8970</v>
      </c>
      <c r="CV335" t="s">
        <v>6203</v>
      </c>
      <c r="CW335" t="s">
        <v>4895</v>
      </c>
      <c r="CX335" t="s">
        <v>3246</v>
      </c>
      <c r="CY335">
        <v>0.94999999999999563</v>
      </c>
      <c r="CZ335">
        <v>77454.774746227355</v>
      </c>
      <c r="DA335">
        <v>2971817.41</v>
      </c>
      <c r="DB335" t="s">
        <v>36</v>
      </c>
      <c r="DC335" t="b">
        <v>1</v>
      </c>
      <c r="DD335">
        <v>2971817.41</v>
      </c>
      <c r="DE335">
        <v>0</v>
      </c>
      <c r="DF335" t="b">
        <v>1</v>
      </c>
      <c r="DG335" s="420" cm="1">
        <f t="array" ref="DG335">_xlfn.XLOOKUP("Дом 4"&amp;Реестр_Д4[[#This Row],[№]]&amp;Реестр_Д4[[#This Row],[Статус]],РД[Дом]&amp;РД[№ кв]&amp;РД[Состояние],РД[Дата подачи на регистрацию],"-",0)</f>
        <v>45065</v>
      </c>
    </row>
    <row r="336" spans="1:111" x14ac:dyDescent="0.25">
      <c r="A336">
        <v>335</v>
      </c>
      <c r="B336" t="s">
        <v>16</v>
      </c>
      <c r="C336">
        <v>15</v>
      </c>
      <c r="D336" t="s">
        <v>45</v>
      </c>
      <c r="E336">
        <v>2</v>
      </c>
      <c r="F336">
        <v>18.12</v>
      </c>
      <c r="G336">
        <v>9.8800000000000008</v>
      </c>
      <c r="I336">
        <v>28</v>
      </c>
      <c r="J336">
        <v>15.3</v>
      </c>
      <c r="K336">
        <v>3.49</v>
      </c>
      <c r="L336">
        <v>2.34</v>
      </c>
      <c r="N336">
        <v>8.1</v>
      </c>
      <c r="O336">
        <v>2.63</v>
      </c>
      <c r="Q336">
        <v>2.63</v>
      </c>
      <c r="R336">
        <v>59.86</v>
      </c>
      <c r="S336">
        <v>57.23</v>
      </c>
      <c r="T336">
        <v>58.55</v>
      </c>
      <c r="U336">
        <v>60.4</v>
      </c>
      <c r="V336">
        <v>68639.199999999997</v>
      </c>
      <c r="W336">
        <v>3431.96</v>
      </c>
      <c r="X336">
        <v>72071.16</v>
      </c>
      <c r="Z336">
        <v>72071.16</v>
      </c>
      <c r="AA336">
        <v>3603.558</v>
      </c>
      <c r="AB336">
        <v>75674.717999999993</v>
      </c>
      <c r="AC336">
        <v>9.3079903140000013</v>
      </c>
      <c r="AD336">
        <v>75684.02599031401</v>
      </c>
      <c r="AF336">
        <v>75684.02599031401</v>
      </c>
      <c r="AH336">
        <v>75684.02599031401</v>
      </c>
      <c r="AJ336">
        <v>75684.02599031401</v>
      </c>
      <c r="AL336">
        <v>75684.02599031401</v>
      </c>
      <c r="AN336">
        <v>75684.02599031401</v>
      </c>
      <c r="AP336">
        <v>75684.02599031401</v>
      </c>
      <c r="AR336">
        <v>75684.02599031401</v>
      </c>
      <c r="AT336">
        <v>75684.02599031401</v>
      </c>
      <c r="AV336">
        <v>75684.02599031401</v>
      </c>
      <c r="AX336">
        <v>75684.02599031401</v>
      </c>
      <c r="AZ336">
        <v>75684.02599031401</v>
      </c>
      <c r="BB336">
        <v>75684.02599031401</v>
      </c>
      <c r="BD336">
        <v>75684.02599031401</v>
      </c>
      <c r="BF336">
        <v>75684.02599031401</v>
      </c>
      <c r="BH336">
        <v>75684.02599031401</v>
      </c>
      <c r="BJ336">
        <v>75684.02599031401</v>
      </c>
      <c r="BL336">
        <v>75684.02599031401</v>
      </c>
      <c r="BN336">
        <v>75684.02599031401</v>
      </c>
      <c r="BP336">
        <v>75684.02599031401</v>
      </c>
      <c r="BR336">
        <v>75684.02599031401</v>
      </c>
      <c r="BT336">
        <v>75684.02599031401</v>
      </c>
      <c r="BV336">
        <v>75684.02599031401</v>
      </c>
      <c r="BX336">
        <v>75684.02599031401</v>
      </c>
      <c r="BY336">
        <v>75684.03</v>
      </c>
      <c r="BZ336">
        <v>4431299.96</v>
      </c>
      <c r="CB336">
        <v>0.05</v>
      </c>
      <c r="CC336">
        <v>221564.99799999999</v>
      </c>
      <c r="CD336">
        <v>71899.82852263024</v>
      </c>
      <c r="CE336">
        <v>4209734.96</v>
      </c>
      <c r="CF336" t="s">
        <v>36</v>
      </c>
      <c r="CH336">
        <v>71899.82852263024</v>
      </c>
      <c r="CI336">
        <v>0</v>
      </c>
      <c r="CJ336">
        <v>4209734.96</v>
      </c>
      <c r="CL336" t="s">
        <v>3540</v>
      </c>
      <c r="CN336">
        <v>0</v>
      </c>
      <c r="CO336" t="s">
        <v>39</v>
      </c>
      <c r="CP336" t="s">
        <v>39</v>
      </c>
      <c r="CQ336" t="b">
        <v>1</v>
      </c>
      <c r="CR336" t="s">
        <v>8950</v>
      </c>
      <c r="CT336" t="s">
        <v>8960</v>
      </c>
      <c r="CU336" t="s">
        <v>8971</v>
      </c>
      <c r="CV336" t="s">
        <v>6204</v>
      </c>
      <c r="CW336" t="s">
        <v>4895</v>
      </c>
      <c r="CX336" t="s">
        <v>3246</v>
      </c>
      <c r="CY336">
        <v>1.8500000000000016</v>
      </c>
      <c r="CZ336">
        <v>133014.68276686606</v>
      </c>
      <c r="DA336">
        <v>4209734.96</v>
      </c>
      <c r="DB336" t="s">
        <v>36</v>
      </c>
      <c r="DC336" t="b">
        <v>1</v>
      </c>
      <c r="DD336">
        <v>4209734.96</v>
      </c>
      <c r="DE336">
        <v>0</v>
      </c>
      <c r="DF336" t="b">
        <v>1</v>
      </c>
      <c r="DG336" s="420" cm="1">
        <f t="array" ref="DG336">_xlfn.XLOOKUP("Дом 4"&amp;Реестр_Д4[[#This Row],[№]]&amp;Реестр_Д4[[#This Row],[Статус]],РД[Дом]&amp;РД[№ кв]&amp;РД[Состояние],РД[Дата подачи на регистрацию],"-",0)</f>
        <v>44900</v>
      </c>
    </row>
    <row r="337" spans="1:111" x14ac:dyDescent="0.25">
      <c r="A337">
        <v>336</v>
      </c>
      <c r="B337" t="s">
        <v>16</v>
      </c>
      <c r="C337">
        <v>15</v>
      </c>
      <c r="D337" t="s">
        <v>3351</v>
      </c>
      <c r="E337">
        <v>2</v>
      </c>
      <c r="F337">
        <v>15.36</v>
      </c>
      <c r="G337">
        <v>9.8699999999999992</v>
      </c>
      <c r="I337">
        <v>25.23</v>
      </c>
      <c r="J337">
        <v>16.260000000000002</v>
      </c>
      <c r="K337">
        <v>3.74</v>
      </c>
      <c r="L337">
        <v>2.09</v>
      </c>
      <c r="N337">
        <v>8.06</v>
      </c>
      <c r="O337">
        <v>2.63</v>
      </c>
      <c r="Q337">
        <v>2.63</v>
      </c>
      <c r="R337">
        <v>58.01</v>
      </c>
      <c r="S337">
        <v>55.379999999999995</v>
      </c>
      <c r="T337">
        <v>56.7</v>
      </c>
      <c r="U337">
        <v>58.099999999999987</v>
      </c>
      <c r="V337">
        <v>68639.199999999997</v>
      </c>
      <c r="W337">
        <v>3431.96</v>
      </c>
      <c r="X337">
        <v>72071.16</v>
      </c>
      <c r="Z337">
        <v>72071.16</v>
      </c>
      <c r="AA337">
        <v>3603.558</v>
      </c>
      <c r="AB337">
        <v>75674.717999999993</v>
      </c>
      <c r="AC337">
        <v>9.3079903140000013</v>
      </c>
      <c r="AD337">
        <v>75684.02599031401</v>
      </c>
      <c r="AF337">
        <v>75684.02599031401</v>
      </c>
      <c r="AH337">
        <v>75684.02599031401</v>
      </c>
      <c r="AJ337">
        <v>75684.02599031401</v>
      </c>
      <c r="AL337">
        <v>75684.02599031401</v>
      </c>
      <c r="AN337">
        <v>75684.02599031401</v>
      </c>
      <c r="AP337">
        <v>75684.02599031401</v>
      </c>
      <c r="AR337">
        <v>75684.02599031401</v>
      </c>
      <c r="AT337">
        <v>75684.02599031401</v>
      </c>
      <c r="AV337">
        <v>75684.02599031401</v>
      </c>
      <c r="AX337">
        <v>75684.02599031401</v>
      </c>
      <c r="AZ337">
        <v>75684.02599031401</v>
      </c>
      <c r="BB337">
        <v>75684.02599031401</v>
      </c>
      <c r="BD337">
        <v>75684.02599031401</v>
      </c>
      <c r="BF337">
        <v>75684.02599031401</v>
      </c>
      <c r="BH337">
        <v>75684.02599031401</v>
      </c>
      <c r="BJ337">
        <v>75684.02599031401</v>
      </c>
      <c r="BL337">
        <v>75684.02599031401</v>
      </c>
      <c r="BN337">
        <v>75684.02599031401</v>
      </c>
      <c r="BP337">
        <v>75684.02599031401</v>
      </c>
      <c r="BR337">
        <v>75684.02599031401</v>
      </c>
      <c r="BT337">
        <v>75684.02599031401</v>
      </c>
      <c r="BV337">
        <v>75684.02599031401</v>
      </c>
      <c r="BX337">
        <v>75684.02599031401</v>
      </c>
      <c r="BY337">
        <v>75684.03</v>
      </c>
      <c r="BZ337">
        <v>4291284.5</v>
      </c>
      <c r="CB337">
        <v>0.05</v>
      </c>
      <c r="CC337">
        <v>214564.22500000001</v>
      </c>
      <c r="CD337">
        <v>71899.828571428559</v>
      </c>
      <c r="CE337">
        <v>4076720.28</v>
      </c>
      <c r="CF337" t="s">
        <v>38</v>
      </c>
      <c r="CG337">
        <v>15000</v>
      </c>
      <c r="CH337">
        <v>86899.828571428559</v>
      </c>
      <c r="CI337">
        <v>850500.00000000047</v>
      </c>
      <c r="CJ337">
        <v>4927220.28</v>
      </c>
      <c r="CL337" t="s">
        <v>3540</v>
      </c>
      <c r="CN337">
        <v>0</v>
      </c>
      <c r="CO337" t="s">
        <v>39</v>
      </c>
      <c r="CP337" t="s">
        <v>39</v>
      </c>
      <c r="CQ337" t="b">
        <v>1</v>
      </c>
      <c r="CR337" t="s">
        <v>8950</v>
      </c>
      <c r="CT337" t="s">
        <v>8960</v>
      </c>
      <c r="CU337" t="s">
        <v>8971</v>
      </c>
      <c r="CV337" t="s">
        <v>6205</v>
      </c>
      <c r="CW337" t="s">
        <v>4895</v>
      </c>
      <c r="CX337" t="s">
        <v>3246</v>
      </c>
      <c r="CY337">
        <v>1.3999999999999844</v>
      </c>
      <c r="CZ337">
        <v>121659.75999999864</v>
      </c>
      <c r="DA337">
        <v>4927220.28</v>
      </c>
      <c r="DB337" t="s">
        <v>38</v>
      </c>
      <c r="DC337" t="b">
        <v>1</v>
      </c>
      <c r="DD337">
        <v>4927220.28</v>
      </c>
      <c r="DE337">
        <v>0</v>
      </c>
      <c r="DF337" t="b">
        <v>1</v>
      </c>
      <c r="DG337" s="420" cm="1">
        <f t="array" ref="DG337">_xlfn.XLOOKUP("Дом 4"&amp;Реестр_Д4[[#This Row],[№]]&amp;Реестр_Д4[[#This Row],[Статус]],РД[Дом]&amp;РД[№ кв]&amp;РД[Состояние],РД[Дата подачи на регистрацию],"-",0)</f>
        <v>44984</v>
      </c>
    </row>
    <row r="338" spans="1:111" x14ac:dyDescent="0.25">
      <c r="A338">
        <v>337</v>
      </c>
      <c r="B338" t="s">
        <v>16</v>
      </c>
      <c r="C338">
        <v>15</v>
      </c>
      <c r="D338" t="s">
        <v>3352</v>
      </c>
      <c r="E338">
        <v>3</v>
      </c>
      <c r="F338">
        <v>16.27</v>
      </c>
      <c r="G338">
        <v>10.96</v>
      </c>
      <c r="H338">
        <v>10.7</v>
      </c>
      <c r="I338">
        <v>37.93</v>
      </c>
      <c r="J338">
        <v>13.42</v>
      </c>
      <c r="K338">
        <v>4.53</v>
      </c>
      <c r="L338">
        <v>2.27</v>
      </c>
      <c r="N338">
        <v>12.94</v>
      </c>
      <c r="O338">
        <v>2.83</v>
      </c>
      <c r="Q338">
        <v>2.83</v>
      </c>
      <c r="R338">
        <v>73.92</v>
      </c>
      <c r="S338">
        <v>71.09</v>
      </c>
      <c r="T338">
        <v>72.510000000000005</v>
      </c>
      <c r="U338">
        <v>74.5</v>
      </c>
      <c r="V338">
        <v>68992.000000000015</v>
      </c>
      <c r="W338">
        <v>3449.6000000000008</v>
      </c>
      <c r="X338">
        <v>72441.60000000002</v>
      </c>
      <c r="Z338">
        <v>72441.60000000002</v>
      </c>
      <c r="AB338">
        <v>72441.60000000002</v>
      </c>
      <c r="AC338">
        <v>8.9103168000000039</v>
      </c>
      <c r="AD338">
        <v>72450.510316800021</v>
      </c>
      <c r="AF338">
        <v>72450.510316800021</v>
      </c>
      <c r="AH338">
        <v>72450.510316800021</v>
      </c>
      <c r="AI338">
        <v>2173.5153095040005</v>
      </c>
      <c r="AJ338">
        <v>74624.025626304021</v>
      </c>
      <c r="AK338">
        <v>746.24025626304035</v>
      </c>
      <c r="AL338">
        <v>75370.265882567066</v>
      </c>
      <c r="AM338">
        <v>1507.4053176513414</v>
      </c>
      <c r="AN338">
        <v>76877.671200218407</v>
      </c>
      <c r="AO338">
        <v>2306.330136006552</v>
      </c>
      <c r="AP338">
        <v>79184.001336224959</v>
      </c>
      <c r="AQ338">
        <v>2375.5200400867488</v>
      </c>
      <c r="AR338">
        <v>81559.521376311706</v>
      </c>
      <c r="AT338">
        <v>81559.521376311706</v>
      </c>
      <c r="AU338">
        <v>2446.7856412893511</v>
      </c>
      <c r="AV338">
        <v>84006.307017601051</v>
      </c>
      <c r="AW338">
        <v>5040.3784210560625</v>
      </c>
      <c r="AX338">
        <v>89046.685438657121</v>
      </c>
      <c r="AY338">
        <v>2671.4005631597133</v>
      </c>
      <c r="AZ338">
        <v>91718.086001816831</v>
      </c>
      <c r="BB338">
        <v>91718.086001816831</v>
      </c>
      <c r="BD338">
        <v>91718.086001816831</v>
      </c>
      <c r="BF338">
        <v>91718.086001816831</v>
      </c>
      <c r="BH338">
        <v>91718.086001816831</v>
      </c>
      <c r="BJ338">
        <v>91718.086001816831</v>
      </c>
      <c r="BL338">
        <v>91718.086001816831</v>
      </c>
      <c r="BN338">
        <v>91718.086001816831</v>
      </c>
      <c r="BP338">
        <v>91718.086001816831</v>
      </c>
      <c r="BR338">
        <v>91718.086001816831</v>
      </c>
      <c r="BT338">
        <v>91718.086001816831</v>
      </c>
      <c r="BV338">
        <v>91718.086001816831</v>
      </c>
      <c r="BX338">
        <v>91718.086001816831</v>
      </c>
      <c r="BY338">
        <v>91718.09</v>
      </c>
      <c r="BZ338">
        <v>6650500</v>
      </c>
      <c r="CA338">
        <v>170000</v>
      </c>
      <c r="CC338">
        <v>170000</v>
      </c>
      <c r="CD338">
        <v>89373.879464901387</v>
      </c>
      <c r="CE338">
        <v>6480500</v>
      </c>
      <c r="CF338" t="s">
        <v>36</v>
      </c>
      <c r="CH338">
        <v>89373.879464901387</v>
      </c>
      <c r="CI338">
        <v>0</v>
      </c>
      <c r="CJ338">
        <v>6480500</v>
      </c>
      <c r="CL338" t="s">
        <v>3390</v>
      </c>
      <c r="CN338">
        <v>0</v>
      </c>
      <c r="CO338" t="s">
        <v>39</v>
      </c>
      <c r="CP338" t="s">
        <v>39</v>
      </c>
      <c r="CQ338" t="b">
        <v>1</v>
      </c>
      <c r="CR338" t="s">
        <v>8950</v>
      </c>
      <c r="CT338" t="s">
        <v>8960</v>
      </c>
      <c r="CU338" t="s">
        <v>8975</v>
      </c>
      <c r="CV338" t="s">
        <v>6206</v>
      </c>
      <c r="CW338" t="s">
        <v>6652</v>
      </c>
      <c r="CX338" t="s">
        <v>3246</v>
      </c>
      <c r="CY338">
        <v>1.9899999999999949</v>
      </c>
      <c r="CZ338">
        <v>177854.02013515329</v>
      </c>
      <c r="DA338">
        <v>6480500</v>
      </c>
      <c r="DB338" t="s">
        <v>36</v>
      </c>
      <c r="DC338" t="b">
        <v>1</v>
      </c>
      <c r="DD338">
        <v>6480500</v>
      </c>
      <c r="DE338">
        <v>0</v>
      </c>
      <c r="DF338" t="b">
        <v>1</v>
      </c>
      <c r="DG338" s="420" cm="1">
        <f t="array" ref="DG338">_xlfn.XLOOKUP("Дом 4"&amp;Реестр_Д4[[#This Row],[№]]&amp;Реестр_Д4[[#This Row],[Статус]],РД[Дом]&amp;РД[№ кв]&amp;РД[Состояние],РД[Дата подачи на регистрацию],"-",0)</f>
        <v>45278</v>
      </c>
    </row>
    <row r="339" spans="1:111" x14ac:dyDescent="0.25">
      <c r="A339">
        <v>338</v>
      </c>
      <c r="B339" t="s">
        <v>16</v>
      </c>
      <c r="C339">
        <v>15</v>
      </c>
      <c r="D339" t="s">
        <v>3353</v>
      </c>
      <c r="E339">
        <v>1</v>
      </c>
      <c r="F339">
        <v>10.68</v>
      </c>
      <c r="I339">
        <v>10.68</v>
      </c>
      <c r="J339">
        <v>12.75</v>
      </c>
      <c r="K339">
        <v>3.65</v>
      </c>
      <c r="N339">
        <v>5.45</v>
      </c>
      <c r="O339">
        <v>2.62</v>
      </c>
      <c r="Q339">
        <v>2.62</v>
      </c>
      <c r="R339">
        <v>35.15</v>
      </c>
      <c r="S339">
        <v>32.53</v>
      </c>
      <c r="T339">
        <v>33.840000000000003</v>
      </c>
      <c r="U339">
        <v>34.799999999999997</v>
      </c>
      <c r="V339">
        <v>70700</v>
      </c>
      <c r="W339">
        <v>3535</v>
      </c>
      <c r="X339">
        <v>74235</v>
      </c>
      <c r="Y339">
        <v>2969.4</v>
      </c>
      <c r="Z339">
        <v>77204.399999999994</v>
      </c>
      <c r="AB339">
        <v>77204.399999999994</v>
      </c>
      <c r="AD339">
        <v>77204.399999999994</v>
      </c>
      <c r="AF339">
        <v>77204.399999999994</v>
      </c>
      <c r="AH339">
        <v>77204.399999999994</v>
      </c>
      <c r="AJ339">
        <v>77204.399999999994</v>
      </c>
      <c r="AL339">
        <v>77204.399999999994</v>
      </c>
      <c r="AN339">
        <v>77204.399999999994</v>
      </c>
      <c r="AP339">
        <v>77204.399999999994</v>
      </c>
      <c r="AR339">
        <v>77204.399999999994</v>
      </c>
      <c r="AT339">
        <v>77204.399999999994</v>
      </c>
      <c r="AV339">
        <v>77204.399999999994</v>
      </c>
      <c r="AX339">
        <v>77204.399999999994</v>
      </c>
      <c r="AZ339">
        <v>77204.399999999994</v>
      </c>
      <c r="BB339">
        <v>77204.399999999994</v>
      </c>
      <c r="BD339">
        <v>77204.399999999994</v>
      </c>
      <c r="BF339">
        <v>77204.399999999994</v>
      </c>
      <c r="BH339">
        <v>77204.399999999994</v>
      </c>
      <c r="BJ339">
        <v>77204.399999999994</v>
      </c>
      <c r="BL339">
        <v>77204.399999999994</v>
      </c>
      <c r="BN339">
        <v>77204.399999999994</v>
      </c>
      <c r="BP339">
        <v>77204.399999999994</v>
      </c>
      <c r="BR339">
        <v>77204.399999999994</v>
      </c>
      <c r="BT339">
        <v>77204.399999999994</v>
      </c>
      <c r="BV339">
        <v>77204.399999999994</v>
      </c>
      <c r="BX339">
        <v>77204.399999999994</v>
      </c>
      <c r="BY339">
        <v>77204.399999999994</v>
      </c>
      <c r="BZ339">
        <v>2612596.9</v>
      </c>
      <c r="CC339">
        <v>0</v>
      </c>
      <c r="CD339">
        <v>77204.400118203295</v>
      </c>
      <c r="CE339">
        <v>2612596.9</v>
      </c>
      <c r="CF339" t="s">
        <v>36</v>
      </c>
      <c r="CH339">
        <v>77204.400118203295</v>
      </c>
      <c r="CI339">
        <v>0</v>
      </c>
      <c r="CJ339">
        <v>2612596.9</v>
      </c>
      <c r="CK339" t="s">
        <v>57</v>
      </c>
      <c r="CN339">
        <v>0</v>
      </c>
      <c r="CO339" t="s">
        <v>39</v>
      </c>
      <c r="CP339" t="s">
        <v>39</v>
      </c>
      <c r="CQ339" t="b">
        <v>1</v>
      </c>
      <c r="CR339" t="s">
        <v>8950</v>
      </c>
      <c r="CT339" t="s">
        <v>8960</v>
      </c>
      <c r="CU339" t="s">
        <v>8973</v>
      </c>
      <c r="CV339" t="s">
        <v>6207</v>
      </c>
      <c r="CW339" t="s">
        <v>4895</v>
      </c>
      <c r="CX339" t="s">
        <v>3246</v>
      </c>
      <c r="CY339">
        <v>0.95999999999999375</v>
      </c>
      <c r="CZ339">
        <v>74116.224113474687</v>
      </c>
      <c r="DA339">
        <v>2612596.9</v>
      </c>
      <c r="DB339" t="s">
        <v>36</v>
      </c>
      <c r="DC339" t="b">
        <v>1</v>
      </c>
      <c r="DD339">
        <v>2612596.9</v>
      </c>
      <c r="DE339">
        <v>0</v>
      </c>
      <c r="DF339" t="b">
        <v>1</v>
      </c>
      <c r="DG339" s="420" cm="1">
        <f t="array" ref="DG339">_xlfn.XLOOKUP("Дом 4"&amp;Реестр_Д4[[#This Row],[№]]&amp;Реестр_Д4[[#This Row],[Статус]],РД[Дом]&amp;РД[№ кв]&amp;РД[Состояние],РД[Дата подачи на регистрацию],"-",0)</f>
        <v>44796</v>
      </c>
    </row>
    <row r="340" spans="1:111" x14ac:dyDescent="0.25">
      <c r="A340">
        <v>339</v>
      </c>
      <c r="B340" t="s">
        <v>16</v>
      </c>
      <c r="C340">
        <v>16</v>
      </c>
      <c r="D340" t="s">
        <v>42</v>
      </c>
      <c r="E340">
        <v>0</v>
      </c>
      <c r="F340">
        <v>14.73</v>
      </c>
      <c r="I340">
        <v>14.73</v>
      </c>
      <c r="J340">
        <v>5.74</v>
      </c>
      <c r="K340">
        <v>3.61</v>
      </c>
      <c r="N340">
        <v>3.6</v>
      </c>
      <c r="O340">
        <v>3.34</v>
      </c>
      <c r="Q340">
        <v>3.34</v>
      </c>
      <c r="R340">
        <v>31.02</v>
      </c>
      <c r="S340">
        <v>27.68</v>
      </c>
      <c r="T340">
        <v>29.35</v>
      </c>
      <c r="U340">
        <v>30.299999999999997</v>
      </c>
      <c r="V340">
        <v>75600</v>
      </c>
      <c r="W340">
        <v>3780</v>
      </c>
      <c r="X340">
        <v>79380</v>
      </c>
      <c r="Z340">
        <v>79380</v>
      </c>
      <c r="AB340">
        <v>79380</v>
      </c>
      <c r="AC340">
        <v>9.7637400000000003</v>
      </c>
      <c r="AD340">
        <v>79389.763739999995</v>
      </c>
      <c r="AE340">
        <v>3969.4881869999999</v>
      </c>
      <c r="AF340">
        <v>83359.25192699999</v>
      </c>
      <c r="AH340">
        <v>83359.25192699999</v>
      </c>
      <c r="AJ340">
        <v>83359.25192699999</v>
      </c>
      <c r="AK340">
        <v>833.5925192699998</v>
      </c>
      <c r="AL340">
        <v>84192.844446269984</v>
      </c>
      <c r="AM340">
        <v>1683.8568889253995</v>
      </c>
      <c r="AN340">
        <v>85876.701335195379</v>
      </c>
      <c r="AO340">
        <v>4293.8350667597688</v>
      </c>
      <c r="AP340">
        <v>90170.536401955149</v>
      </c>
      <c r="AR340">
        <v>90170.536401955149</v>
      </c>
      <c r="AT340">
        <v>90170.536401955149</v>
      </c>
      <c r="AV340">
        <v>90170.536401955149</v>
      </c>
      <c r="AX340">
        <v>90170.536401955149</v>
      </c>
      <c r="AZ340">
        <v>90170.536401955149</v>
      </c>
      <c r="BB340">
        <v>90170.536401955149</v>
      </c>
      <c r="BD340">
        <v>90170.536401955149</v>
      </c>
      <c r="BF340">
        <v>90170.536401955149</v>
      </c>
      <c r="BH340">
        <v>90170.536401955149</v>
      </c>
      <c r="BJ340">
        <v>90170.536401955149</v>
      </c>
      <c r="BL340">
        <v>90170.536401955149</v>
      </c>
      <c r="BN340">
        <v>90170.536401955149</v>
      </c>
      <c r="BP340">
        <v>90170.536401955149</v>
      </c>
      <c r="BR340">
        <v>90170.536401955149</v>
      </c>
      <c r="BT340">
        <v>90170.536401955149</v>
      </c>
      <c r="BV340">
        <v>90170.536401955149</v>
      </c>
      <c r="BX340">
        <v>90170.536401955149</v>
      </c>
      <c r="BY340">
        <v>90170.54</v>
      </c>
      <c r="BZ340">
        <v>2646505.35</v>
      </c>
      <c r="CC340">
        <v>0</v>
      </c>
      <c r="CD340">
        <v>90170.540034071542</v>
      </c>
      <c r="CE340">
        <v>2646505.35</v>
      </c>
      <c r="CF340" t="s">
        <v>38</v>
      </c>
      <c r="CG340">
        <v>15000</v>
      </c>
      <c r="CH340">
        <v>105170.54003407154</v>
      </c>
      <c r="CI340">
        <v>440250</v>
      </c>
      <c r="CJ340">
        <v>3086755.35</v>
      </c>
      <c r="CN340">
        <v>0</v>
      </c>
      <c r="CO340" t="s">
        <v>39</v>
      </c>
      <c r="CP340" t="s">
        <v>39</v>
      </c>
      <c r="CQ340" t="b">
        <v>1</v>
      </c>
      <c r="CR340" t="s">
        <v>8950</v>
      </c>
      <c r="CT340" t="s">
        <v>8960</v>
      </c>
      <c r="CU340" t="s">
        <v>8970</v>
      </c>
      <c r="CV340" t="s">
        <v>6208</v>
      </c>
      <c r="CW340" t="s">
        <v>4895</v>
      </c>
      <c r="CX340" t="s">
        <v>3246</v>
      </c>
      <c r="CY340">
        <v>0.94999999999999563</v>
      </c>
      <c r="CZ340">
        <v>99912.013032367511</v>
      </c>
      <c r="DA340">
        <v>3086755.35</v>
      </c>
      <c r="DB340" t="s">
        <v>38</v>
      </c>
      <c r="DC340" t="b">
        <v>1</v>
      </c>
      <c r="DD340">
        <v>3086755.35</v>
      </c>
      <c r="DE340">
        <v>0</v>
      </c>
      <c r="DF340" t="b">
        <v>1</v>
      </c>
      <c r="DG340" s="420" cm="1">
        <f t="array" ref="DG340">_xlfn.XLOOKUP("Дом 4"&amp;Реестр_Д4[[#This Row],[№]]&amp;Реестр_Д4[[#This Row],[Статус]],РД[Дом]&amp;РД[№ кв]&amp;РД[Состояние],РД[Дата подачи на регистрацию],"-",0)</f>
        <v>45106</v>
      </c>
    </row>
    <row r="341" spans="1:111" x14ac:dyDescent="0.25">
      <c r="A341">
        <v>340</v>
      </c>
      <c r="B341" t="s">
        <v>16</v>
      </c>
      <c r="C341">
        <v>16</v>
      </c>
      <c r="D341" t="s">
        <v>43</v>
      </c>
      <c r="E341">
        <v>2</v>
      </c>
      <c r="F341">
        <v>17.22</v>
      </c>
      <c r="G341">
        <v>12.24</v>
      </c>
      <c r="I341">
        <v>29.46</v>
      </c>
      <c r="J341">
        <v>17.010000000000002</v>
      </c>
      <c r="K341">
        <v>3.67</v>
      </c>
      <c r="L341">
        <v>2.4</v>
      </c>
      <c r="N341">
        <v>12.71</v>
      </c>
      <c r="O341">
        <v>2.61</v>
      </c>
      <c r="P341">
        <v>2.78</v>
      </c>
      <c r="Q341">
        <v>5.39</v>
      </c>
      <c r="R341">
        <v>70.64</v>
      </c>
      <c r="S341">
        <v>65.25</v>
      </c>
      <c r="T341">
        <v>67.95</v>
      </c>
      <c r="U341">
        <v>69.5</v>
      </c>
      <c r="V341">
        <v>71304.800000000003</v>
      </c>
      <c r="W341">
        <v>3565.24</v>
      </c>
      <c r="X341">
        <v>74870.039999999994</v>
      </c>
      <c r="Z341">
        <v>74870.039999999994</v>
      </c>
      <c r="AA341">
        <v>3743.502</v>
      </c>
      <c r="AB341">
        <v>78613.542000000016</v>
      </c>
      <c r="AC341">
        <v>9.6694656660000025</v>
      </c>
      <c r="AD341">
        <v>78623.211465666012</v>
      </c>
      <c r="AF341">
        <v>78623.211465666012</v>
      </c>
      <c r="AH341">
        <v>78623.211465666012</v>
      </c>
      <c r="AI341">
        <v>1572.4642293133202</v>
      </c>
      <c r="AJ341">
        <v>80195.675694979334</v>
      </c>
      <c r="AK341">
        <v>801.95675694979332</v>
      </c>
      <c r="AL341">
        <v>80997.632451929123</v>
      </c>
      <c r="AM341">
        <v>1619.9526490385824</v>
      </c>
      <c r="AN341">
        <v>82617.585100967699</v>
      </c>
      <c r="AP341">
        <v>82617.585100967699</v>
      </c>
      <c r="AR341">
        <v>82617.585100967699</v>
      </c>
      <c r="AT341">
        <v>82617.585100967699</v>
      </c>
      <c r="AV341">
        <v>82617.585100967699</v>
      </c>
      <c r="AX341">
        <v>82617.585100967699</v>
      </c>
      <c r="AZ341">
        <v>82617.585100967699</v>
      </c>
      <c r="BB341">
        <v>82617.585100967699</v>
      </c>
      <c r="BD341">
        <v>82617.585100967699</v>
      </c>
      <c r="BF341">
        <v>82617.585100967699</v>
      </c>
      <c r="BH341">
        <v>82617.585100967699</v>
      </c>
      <c r="BJ341">
        <v>82617.585100967699</v>
      </c>
      <c r="BL341">
        <v>82617.585100967699</v>
      </c>
      <c r="BN341">
        <v>82617.585100967699</v>
      </c>
      <c r="BP341">
        <v>82617.585100967699</v>
      </c>
      <c r="BR341">
        <v>82617.585100967699</v>
      </c>
      <c r="BT341">
        <v>82617.585100967699</v>
      </c>
      <c r="BV341">
        <v>82617.585100967699</v>
      </c>
      <c r="BX341">
        <v>82617.585100967699</v>
      </c>
      <c r="BY341">
        <v>82617.59</v>
      </c>
      <c r="BZ341">
        <v>5613865.2400000002</v>
      </c>
      <c r="CA341">
        <v>271800</v>
      </c>
      <c r="CC341">
        <v>271800</v>
      </c>
      <c r="CD341">
        <v>78617.589992641646</v>
      </c>
      <c r="CE341">
        <v>5342065.24</v>
      </c>
      <c r="CF341" t="s">
        <v>37</v>
      </c>
      <c r="CG341">
        <v>4000</v>
      </c>
      <c r="CH341">
        <v>82617.589992641646</v>
      </c>
      <c r="CI341">
        <v>271800</v>
      </c>
      <c r="CJ341">
        <v>5613865.2400000002</v>
      </c>
      <c r="CL341" t="s">
        <v>4839</v>
      </c>
      <c r="CN341">
        <v>0</v>
      </c>
      <c r="CO341" t="s">
        <v>39</v>
      </c>
      <c r="CP341" t="s">
        <v>39</v>
      </c>
      <c r="CQ341" t="b">
        <v>1</v>
      </c>
      <c r="CR341" t="s">
        <v>8950</v>
      </c>
      <c r="CT341" t="s">
        <v>8960</v>
      </c>
      <c r="CU341" t="s">
        <v>8971</v>
      </c>
      <c r="CV341" t="s">
        <v>6209</v>
      </c>
      <c r="CW341" t="s">
        <v>4895</v>
      </c>
      <c r="CX341" t="s">
        <v>3246</v>
      </c>
      <c r="CY341">
        <v>1.5499999999999972</v>
      </c>
      <c r="CZ341">
        <v>128057.26448859432</v>
      </c>
      <c r="DA341">
        <v>5613865.2400000002</v>
      </c>
      <c r="DB341" t="s">
        <v>37</v>
      </c>
      <c r="DC341" t="b">
        <v>1</v>
      </c>
      <c r="DD341">
        <v>5613865.2400000002</v>
      </c>
      <c r="DE341">
        <v>0</v>
      </c>
      <c r="DF341" t="b">
        <v>1</v>
      </c>
      <c r="DG341" s="420" cm="1">
        <f t="array" ref="DG341">_xlfn.XLOOKUP("Дом 4"&amp;Реестр_Д4[[#This Row],[№]]&amp;Реестр_Д4[[#This Row],[Статус]],РД[Дом]&amp;РД[№ кв]&amp;РД[Состояние],РД[Дата подачи на регистрацию],"-",0)</f>
        <v>45105</v>
      </c>
    </row>
    <row r="342" spans="1:111" x14ac:dyDescent="0.25">
      <c r="A342">
        <v>341</v>
      </c>
      <c r="B342" t="s">
        <v>16</v>
      </c>
      <c r="C342">
        <v>16</v>
      </c>
      <c r="D342" t="s">
        <v>44</v>
      </c>
      <c r="E342">
        <v>0</v>
      </c>
      <c r="F342">
        <v>19.22</v>
      </c>
      <c r="I342">
        <v>19.22</v>
      </c>
      <c r="J342">
        <v>9.57</v>
      </c>
      <c r="K342">
        <v>3.76</v>
      </c>
      <c r="N342">
        <v>2.56</v>
      </c>
      <c r="O342">
        <v>2.68</v>
      </c>
      <c r="Q342">
        <v>2.68</v>
      </c>
      <c r="R342">
        <v>37.79</v>
      </c>
      <c r="S342">
        <v>35.11</v>
      </c>
      <c r="T342">
        <v>36.450000000000003</v>
      </c>
      <c r="U342">
        <v>37.299999999999997</v>
      </c>
      <c r="V342">
        <v>76356</v>
      </c>
      <c r="W342">
        <v>3817.8</v>
      </c>
      <c r="X342">
        <v>80173.8</v>
      </c>
      <c r="Z342">
        <v>80173.8</v>
      </c>
      <c r="AB342">
        <v>80173.8</v>
      </c>
      <c r="AC342">
        <v>9.8613774000000003</v>
      </c>
      <c r="AD342">
        <v>80183.6613774</v>
      </c>
      <c r="AE342">
        <v>4009.1830688700002</v>
      </c>
      <c r="AF342">
        <v>84192.844446269999</v>
      </c>
      <c r="AH342">
        <v>84192.844446269999</v>
      </c>
      <c r="AJ342">
        <v>84192.844446269999</v>
      </c>
      <c r="AK342">
        <v>841.92844446269999</v>
      </c>
      <c r="AL342">
        <v>85034.772890732711</v>
      </c>
      <c r="AM342">
        <v>1700.695457814654</v>
      </c>
      <c r="AN342">
        <v>86735.468348547351</v>
      </c>
      <c r="AO342">
        <v>4336.7734174273673</v>
      </c>
      <c r="AP342">
        <v>91072.241765974715</v>
      </c>
      <c r="AQ342">
        <v>2732.1672529792413</v>
      </c>
      <c r="AR342">
        <v>93804.409018953957</v>
      </c>
      <c r="AS342">
        <v>4690.2204509476978</v>
      </c>
      <c r="AT342">
        <v>98494.629469901658</v>
      </c>
      <c r="AU342">
        <v>2954.8388840970497</v>
      </c>
      <c r="AV342">
        <v>101449.4683539987</v>
      </c>
      <c r="AX342">
        <v>101449.4683539987</v>
      </c>
      <c r="AZ342">
        <v>101449.4683539987</v>
      </c>
      <c r="BB342">
        <v>101449.4683539987</v>
      </c>
      <c r="BD342">
        <v>101449.4683539987</v>
      </c>
      <c r="BE342">
        <v>3043.4840506199607</v>
      </c>
      <c r="BF342">
        <v>104492.95240461866</v>
      </c>
      <c r="BH342">
        <v>104492.95240461866</v>
      </c>
      <c r="BI342">
        <v>5224.6476202309332</v>
      </c>
      <c r="BJ342">
        <v>109717.60002484958</v>
      </c>
      <c r="BK342">
        <v>500</v>
      </c>
      <c r="BL342">
        <v>110217.60002484958</v>
      </c>
      <c r="BN342">
        <v>110217.60002484958</v>
      </c>
      <c r="BP342">
        <v>110217.60002484958</v>
      </c>
      <c r="BR342">
        <v>110217.60002484958</v>
      </c>
      <c r="BT342">
        <v>110217.60002484958</v>
      </c>
      <c r="BV342">
        <v>110217.60002484958</v>
      </c>
      <c r="BX342">
        <v>110217.60002484958</v>
      </c>
      <c r="BY342">
        <v>110217.60000000001</v>
      </c>
      <c r="BZ342">
        <v>4017500</v>
      </c>
      <c r="CC342">
        <v>0</v>
      </c>
      <c r="CD342">
        <v>110219.47873799724</v>
      </c>
      <c r="CE342">
        <v>4017500</v>
      </c>
      <c r="CF342" t="s">
        <v>37</v>
      </c>
      <c r="CG342">
        <v>7500</v>
      </c>
      <c r="CH342">
        <v>117719.47873799724</v>
      </c>
      <c r="CI342">
        <v>273375</v>
      </c>
      <c r="CJ342">
        <v>4290875</v>
      </c>
      <c r="CN342">
        <v>0</v>
      </c>
      <c r="CO342" t="s">
        <v>39</v>
      </c>
      <c r="CP342" t="s">
        <v>39</v>
      </c>
      <c r="CQ342" t="b">
        <v>1</v>
      </c>
      <c r="CR342" t="s">
        <v>8950</v>
      </c>
      <c r="CT342" t="s">
        <v>8960</v>
      </c>
      <c r="CU342" t="s">
        <v>8970</v>
      </c>
      <c r="CV342" t="s">
        <v>6210</v>
      </c>
      <c r="CW342" t="s">
        <v>6652</v>
      </c>
      <c r="CX342" t="s">
        <v>3246</v>
      </c>
      <c r="CY342">
        <v>0.8499999999999942</v>
      </c>
      <c r="CZ342">
        <v>100061.556927297</v>
      </c>
      <c r="DA342">
        <v>4290875</v>
      </c>
      <c r="DB342" t="s">
        <v>37</v>
      </c>
      <c r="DC342" t="b">
        <v>1</v>
      </c>
      <c r="DD342">
        <v>4290875</v>
      </c>
      <c r="DE342">
        <v>0</v>
      </c>
      <c r="DF342" t="b">
        <v>1</v>
      </c>
      <c r="DG342" s="420" cm="1">
        <f t="array" ref="DG342">_xlfn.XLOOKUP("Дом 4"&amp;Реестр_Д4[[#This Row],[№]]&amp;Реестр_Д4[[#This Row],[Статус]],РД[Дом]&amp;РД[№ кв]&amp;РД[Состояние],РД[Дата подачи на регистрацию],"-",0)</f>
        <v>45351</v>
      </c>
    </row>
    <row r="343" spans="1:111" x14ac:dyDescent="0.25">
      <c r="A343">
        <v>342</v>
      </c>
      <c r="B343" t="s">
        <v>16</v>
      </c>
      <c r="C343">
        <v>16</v>
      </c>
      <c r="D343" t="s">
        <v>45</v>
      </c>
      <c r="E343">
        <v>2</v>
      </c>
      <c r="F343">
        <v>18.12</v>
      </c>
      <c r="G343">
        <v>9.8800000000000008</v>
      </c>
      <c r="I343">
        <v>28</v>
      </c>
      <c r="J343">
        <v>15.3</v>
      </c>
      <c r="K343">
        <v>3.49</v>
      </c>
      <c r="L343">
        <v>2.34</v>
      </c>
      <c r="N343">
        <v>8.1</v>
      </c>
      <c r="O343">
        <v>2.63</v>
      </c>
      <c r="Q343">
        <v>2.63</v>
      </c>
      <c r="R343">
        <v>59.86</v>
      </c>
      <c r="S343">
        <v>57.23</v>
      </c>
      <c r="T343">
        <v>58.55</v>
      </c>
      <c r="U343">
        <v>60.5</v>
      </c>
      <c r="V343">
        <v>68639.199999999997</v>
      </c>
      <c r="W343">
        <v>3431.96</v>
      </c>
      <c r="X343">
        <v>72071.16</v>
      </c>
      <c r="Z343">
        <v>72071.16</v>
      </c>
      <c r="AB343">
        <v>72071.16</v>
      </c>
      <c r="AD343">
        <v>72071.16</v>
      </c>
      <c r="AF343">
        <v>72071.16</v>
      </c>
      <c r="AH343">
        <v>72071.16</v>
      </c>
      <c r="AJ343">
        <v>72071.16</v>
      </c>
      <c r="AL343">
        <v>72071.16</v>
      </c>
      <c r="AN343">
        <v>72071.16</v>
      </c>
      <c r="AP343">
        <v>72071.16</v>
      </c>
      <c r="AR343">
        <v>72071.16</v>
      </c>
      <c r="AT343">
        <v>72071.16</v>
      </c>
      <c r="AV343">
        <v>72071.16</v>
      </c>
      <c r="AX343">
        <v>72071.16</v>
      </c>
      <c r="AZ343">
        <v>72071.16</v>
      </c>
      <c r="BB343">
        <v>72071.16</v>
      </c>
      <c r="BD343">
        <v>72071.16</v>
      </c>
      <c r="BF343">
        <v>72071.16</v>
      </c>
      <c r="BH343">
        <v>72071.16</v>
      </c>
      <c r="BJ343">
        <v>72071.16</v>
      </c>
      <c r="BL343">
        <v>72071.16</v>
      </c>
      <c r="BN343">
        <v>72071.16</v>
      </c>
      <c r="BP343">
        <v>72071.16</v>
      </c>
      <c r="BR343">
        <v>72071.16</v>
      </c>
      <c r="BT343">
        <v>72071.16</v>
      </c>
      <c r="BV343">
        <v>72071.16</v>
      </c>
      <c r="BX343">
        <v>72071.16</v>
      </c>
      <c r="BY343">
        <v>72071.16</v>
      </c>
      <c r="BZ343">
        <v>4219766.42</v>
      </c>
      <c r="CC343">
        <v>0</v>
      </c>
      <c r="CD343">
        <v>72071.160034158835</v>
      </c>
      <c r="CE343">
        <v>4219766.42</v>
      </c>
      <c r="CF343" t="s">
        <v>36</v>
      </c>
      <c r="CH343">
        <v>72071.160034158835</v>
      </c>
      <c r="CI343">
        <v>0</v>
      </c>
      <c r="CJ343">
        <v>4219766.42</v>
      </c>
      <c r="CN343">
        <v>0</v>
      </c>
      <c r="CO343" t="s">
        <v>39</v>
      </c>
      <c r="CP343" t="s">
        <v>39</v>
      </c>
      <c r="CQ343" t="b">
        <v>1</v>
      </c>
      <c r="CR343" t="s">
        <v>8950</v>
      </c>
      <c r="CT343" t="s">
        <v>8960</v>
      </c>
      <c r="CU343" t="s">
        <v>8971</v>
      </c>
      <c r="CV343" t="s">
        <v>6211</v>
      </c>
      <c r="CW343" t="s">
        <v>4895</v>
      </c>
      <c r="CX343" t="s">
        <v>3246</v>
      </c>
      <c r="CY343">
        <v>1.9500000000000028</v>
      </c>
      <c r="CZ343">
        <v>140538.76206660992</v>
      </c>
      <c r="DA343">
        <v>4219766.42</v>
      </c>
      <c r="DB343" t="s">
        <v>36</v>
      </c>
      <c r="DC343" t="b">
        <v>1</v>
      </c>
      <c r="DD343">
        <v>4219766.42</v>
      </c>
      <c r="DE343">
        <v>0</v>
      </c>
      <c r="DF343" t="b">
        <v>1</v>
      </c>
      <c r="DG343" s="420" cm="1">
        <f t="array" ref="DG343">_xlfn.XLOOKUP("Дом 4"&amp;Реестр_Д4[[#This Row],[№]]&amp;Реестр_Д4[[#This Row],[Статус]],РД[Дом]&amp;РД[№ кв]&amp;РД[Состояние],РД[Дата подачи на регистрацию],"-",0)</f>
        <v>44826</v>
      </c>
    </row>
    <row r="344" spans="1:111" x14ac:dyDescent="0.25">
      <c r="A344">
        <v>343</v>
      </c>
      <c r="B344" t="s">
        <v>16</v>
      </c>
      <c r="C344">
        <v>16</v>
      </c>
      <c r="D344" t="s">
        <v>3351</v>
      </c>
      <c r="E344">
        <v>2</v>
      </c>
      <c r="F344">
        <v>15.36</v>
      </c>
      <c r="G344">
        <v>9.8699999999999992</v>
      </c>
      <c r="I344">
        <v>25.23</v>
      </c>
      <c r="J344">
        <v>16.260000000000002</v>
      </c>
      <c r="K344">
        <v>3.74</v>
      </c>
      <c r="L344">
        <v>2.09</v>
      </c>
      <c r="N344">
        <v>8.06</v>
      </c>
      <c r="O344">
        <v>2.63</v>
      </c>
      <c r="Q344">
        <v>2.63</v>
      </c>
      <c r="R344">
        <v>58.01</v>
      </c>
      <c r="S344">
        <v>55.379999999999995</v>
      </c>
      <c r="T344">
        <v>56.7</v>
      </c>
      <c r="U344">
        <v>57.999999999999993</v>
      </c>
      <c r="V344">
        <v>68639.199999999997</v>
      </c>
      <c r="W344">
        <v>3431.96</v>
      </c>
      <c r="X344">
        <v>72071.16</v>
      </c>
      <c r="Z344">
        <v>72071.16</v>
      </c>
      <c r="AA344">
        <v>3603.558</v>
      </c>
      <c r="AB344">
        <v>75674.717999999993</v>
      </c>
      <c r="AC344">
        <v>9.3079903140000013</v>
      </c>
      <c r="AD344">
        <v>75684.02599031401</v>
      </c>
      <c r="AF344">
        <v>75684.02599031401</v>
      </c>
      <c r="AH344">
        <v>75684.02599031401</v>
      </c>
      <c r="AI344">
        <v>1513.6805198062802</v>
      </c>
      <c r="AJ344">
        <v>77197.70651012029</v>
      </c>
      <c r="AK344">
        <v>771.97706510120292</v>
      </c>
      <c r="AL344">
        <v>77969.683575221497</v>
      </c>
      <c r="AM344">
        <v>1559.3936715044299</v>
      </c>
      <c r="AN344">
        <v>79529.077246725923</v>
      </c>
      <c r="AO344">
        <v>2385.8723174017778</v>
      </c>
      <c r="AP344">
        <v>81914.949564127703</v>
      </c>
      <c r="AQ344">
        <v>2457.4484869238308</v>
      </c>
      <c r="AR344">
        <v>84372.398051051539</v>
      </c>
      <c r="AS344">
        <v>4218.6199025525775</v>
      </c>
      <c r="AT344">
        <v>88591.017953604111</v>
      </c>
      <c r="AU344">
        <v>2657.7305386081234</v>
      </c>
      <c r="AV344">
        <v>91248.748492212238</v>
      </c>
      <c r="AX344">
        <v>91248.748492212238</v>
      </c>
      <c r="AZ344">
        <v>91248.748492212238</v>
      </c>
      <c r="BB344">
        <v>91248.748492212238</v>
      </c>
      <c r="BD344">
        <v>91248.748492212238</v>
      </c>
      <c r="BF344">
        <v>91248.748492212238</v>
      </c>
      <c r="BH344">
        <v>91248.748492212238</v>
      </c>
      <c r="BJ344">
        <v>91248.748492212238</v>
      </c>
      <c r="BL344">
        <v>91248.748492212238</v>
      </c>
      <c r="BN344">
        <v>91248.748492212238</v>
      </c>
      <c r="BP344">
        <v>91248.748492212238</v>
      </c>
      <c r="BR344">
        <v>91248.748492212238</v>
      </c>
      <c r="BT344">
        <v>91248.748492212238</v>
      </c>
      <c r="BV344">
        <v>91248.748492212238</v>
      </c>
      <c r="BX344">
        <v>91248.748492212238</v>
      </c>
      <c r="BY344">
        <v>91248.75</v>
      </c>
      <c r="BZ344">
        <v>5173804.13</v>
      </c>
      <c r="CB344">
        <v>0.05</v>
      </c>
      <c r="CC344">
        <v>258690.2065</v>
      </c>
      <c r="CD344">
        <v>86686.312522045846</v>
      </c>
      <c r="CE344">
        <v>4915113.92</v>
      </c>
      <c r="CF344" t="s">
        <v>38</v>
      </c>
      <c r="CG344">
        <v>22000</v>
      </c>
      <c r="CH344">
        <v>108686.31252204585</v>
      </c>
      <c r="CI344">
        <v>1247400</v>
      </c>
      <c r="CJ344">
        <v>6162513.9199999999</v>
      </c>
      <c r="CL344" t="s">
        <v>978</v>
      </c>
      <c r="CN344">
        <v>0</v>
      </c>
      <c r="CO344" t="s">
        <v>39</v>
      </c>
      <c r="CP344" t="s">
        <v>39</v>
      </c>
      <c r="CQ344" t="b">
        <v>1</v>
      </c>
      <c r="CR344" t="s">
        <v>8950</v>
      </c>
      <c r="CT344" t="s">
        <v>8960</v>
      </c>
      <c r="CU344" t="s">
        <v>8971</v>
      </c>
      <c r="CV344" t="s">
        <v>6212</v>
      </c>
      <c r="CW344" t="s">
        <v>4895</v>
      </c>
      <c r="CX344" t="s">
        <v>3246</v>
      </c>
      <c r="CY344">
        <v>1.2999999999999901</v>
      </c>
      <c r="CZ344">
        <v>141292.20627865853</v>
      </c>
      <c r="DA344">
        <v>6162513.9199999999</v>
      </c>
      <c r="DB344" t="s">
        <v>38</v>
      </c>
      <c r="DC344" t="b">
        <v>1</v>
      </c>
      <c r="DD344">
        <v>6162513.9199999999</v>
      </c>
      <c r="DE344">
        <v>0</v>
      </c>
      <c r="DF344" t="b">
        <v>1</v>
      </c>
      <c r="DG344" s="420" cm="1">
        <f t="array" ref="DG344">_xlfn.XLOOKUP("Дом 4"&amp;Реестр_Д4[[#This Row],[№]]&amp;Реестр_Д4[[#This Row],[Статус]],РД[Дом]&amp;РД[№ кв]&amp;РД[Состояние],РД[Дата подачи на регистрацию],"-",0)</f>
        <v>45255</v>
      </c>
    </row>
    <row r="345" spans="1:111" x14ac:dyDescent="0.25">
      <c r="A345">
        <v>344</v>
      </c>
      <c r="B345" t="s">
        <v>16</v>
      </c>
      <c r="C345">
        <v>16</v>
      </c>
      <c r="D345" t="s">
        <v>3352</v>
      </c>
      <c r="E345">
        <v>3</v>
      </c>
      <c r="F345">
        <v>16.27</v>
      </c>
      <c r="G345">
        <v>10.96</v>
      </c>
      <c r="H345">
        <v>10.7</v>
      </c>
      <c r="I345">
        <v>37.93</v>
      </c>
      <c r="J345">
        <v>13.42</v>
      </c>
      <c r="K345">
        <v>4.53</v>
      </c>
      <c r="L345">
        <v>2.27</v>
      </c>
      <c r="N345">
        <v>12.94</v>
      </c>
      <c r="O345">
        <v>2.83</v>
      </c>
      <c r="Q345">
        <v>2.83</v>
      </c>
      <c r="R345">
        <v>73.92</v>
      </c>
      <c r="S345">
        <v>71.09</v>
      </c>
      <c r="T345">
        <v>72.510000000000005</v>
      </c>
      <c r="U345">
        <v>74.400000000000006</v>
      </c>
      <c r="V345">
        <v>68992.000000000015</v>
      </c>
      <c r="W345">
        <v>3449.6000000000008</v>
      </c>
      <c r="X345">
        <v>72441.60000000002</v>
      </c>
      <c r="Z345">
        <v>72441.60000000002</v>
      </c>
      <c r="AB345">
        <v>72441.60000000002</v>
      </c>
      <c r="AC345">
        <v>8.9103168000000039</v>
      </c>
      <c r="AD345">
        <v>72450.510316800021</v>
      </c>
      <c r="AF345">
        <v>72450.510316800021</v>
      </c>
      <c r="AH345">
        <v>72450.510316800021</v>
      </c>
      <c r="AI345">
        <v>2173.5153095040005</v>
      </c>
      <c r="AJ345">
        <v>74624.025626304021</v>
      </c>
      <c r="AK345">
        <v>746.24025626304035</v>
      </c>
      <c r="AL345">
        <v>75370.265882567066</v>
      </c>
      <c r="AM345">
        <v>1507.4053176513414</v>
      </c>
      <c r="AN345">
        <v>76877.671200218407</v>
      </c>
      <c r="AO345">
        <v>2306.330136006552</v>
      </c>
      <c r="AP345">
        <v>79184.001336224959</v>
      </c>
      <c r="AQ345">
        <v>2375.5200400867488</v>
      </c>
      <c r="AR345">
        <v>81559.521376311706</v>
      </c>
      <c r="AT345">
        <v>81559.521376311706</v>
      </c>
      <c r="AU345">
        <v>2446.7856412893511</v>
      </c>
      <c r="AV345">
        <v>84006.307017601051</v>
      </c>
      <c r="AW345">
        <v>5040.3784210560625</v>
      </c>
      <c r="AX345">
        <v>89046.685438657121</v>
      </c>
      <c r="AY345">
        <v>2671.4005631597133</v>
      </c>
      <c r="AZ345">
        <v>91718.086001816831</v>
      </c>
      <c r="BB345">
        <v>91718.086001816831</v>
      </c>
      <c r="BD345">
        <v>91718.086001816831</v>
      </c>
      <c r="BF345">
        <v>91718.086001816831</v>
      </c>
      <c r="BH345">
        <v>91718.086001816831</v>
      </c>
      <c r="BI345">
        <v>4585.9043000908414</v>
      </c>
      <c r="BJ345">
        <v>96303.990301907674</v>
      </c>
      <c r="BK345">
        <v>500</v>
      </c>
      <c r="BL345">
        <v>96803.990301907674</v>
      </c>
      <c r="BM345">
        <v>1936.0798060381535</v>
      </c>
      <c r="BN345">
        <v>98740.070107945823</v>
      </c>
      <c r="BP345">
        <v>98740.070107945823</v>
      </c>
      <c r="BQ345">
        <v>500</v>
      </c>
      <c r="BR345">
        <v>99240.070107945823</v>
      </c>
      <c r="BT345">
        <v>99240.070107945823</v>
      </c>
      <c r="BV345">
        <v>99240.070107945823</v>
      </c>
      <c r="BX345">
        <v>99240.070107945823</v>
      </c>
      <c r="BY345">
        <v>99240.07</v>
      </c>
      <c r="BZ345">
        <v>7195900</v>
      </c>
      <c r="CB345">
        <v>0.02</v>
      </c>
      <c r="CC345">
        <v>143918</v>
      </c>
      <c r="CD345">
        <v>97255.302716866645</v>
      </c>
      <c r="CE345">
        <v>7051982</v>
      </c>
      <c r="CF345" t="s">
        <v>37</v>
      </c>
      <c r="CG345">
        <v>7500</v>
      </c>
      <c r="CH345">
        <v>104755.30271686664</v>
      </c>
      <c r="CI345">
        <v>543825</v>
      </c>
      <c r="CJ345">
        <v>7595807</v>
      </c>
      <c r="CL345" t="s">
        <v>7229</v>
      </c>
      <c r="CN345">
        <v>0</v>
      </c>
      <c r="CO345" t="s">
        <v>39</v>
      </c>
      <c r="CP345" t="s">
        <v>39</v>
      </c>
      <c r="CQ345" t="b">
        <v>1</v>
      </c>
      <c r="CR345" t="s">
        <v>8950</v>
      </c>
      <c r="CT345" t="s">
        <v>8960</v>
      </c>
      <c r="CU345" t="s">
        <v>8975</v>
      </c>
      <c r="CV345" t="s">
        <v>6213</v>
      </c>
      <c r="CW345" t="s">
        <v>6652</v>
      </c>
      <c r="CX345" t="s">
        <v>3246</v>
      </c>
      <c r="CY345">
        <v>1.8900000000000008</v>
      </c>
      <c r="CZ345">
        <v>197987.522134878</v>
      </c>
      <c r="DA345">
        <v>7595807</v>
      </c>
      <c r="DB345" t="s">
        <v>37</v>
      </c>
      <c r="DC345" t="b">
        <v>1</v>
      </c>
      <c r="DD345">
        <v>7595807</v>
      </c>
      <c r="DE345">
        <v>0</v>
      </c>
      <c r="DF345" t="b">
        <v>1</v>
      </c>
      <c r="DG345" s="420" cm="1">
        <f t="array" ref="DG345">_xlfn.XLOOKUP("Дом 4"&amp;Реестр_Д4[[#This Row],[№]]&amp;Реестр_Д4[[#This Row],[Статус]],РД[Дом]&amp;РД[№ кв]&amp;РД[Состояние],РД[Дата подачи на регистрацию],"-",0)</f>
        <v>45470</v>
      </c>
    </row>
    <row r="346" spans="1:111" x14ac:dyDescent="0.25">
      <c r="A346">
        <v>345</v>
      </c>
      <c r="B346" t="s">
        <v>16</v>
      </c>
      <c r="C346">
        <v>16</v>
      </c>
      <c r="D346" t="s">
        <v>3353</v>
      </c>
      <c r="E346">
        <v>1</v>
      </c>
      <c r="F346">
        <v>10.68</v>
      </c>
      <c r="I346">
        <v>10.68</v>
      </c>
      <c r="J346">
        <v>12.75</v>
      </c>
      <c r="K346">
        <v>3.65</v>
      </c>
      <c r="N346">
        <v>5.45</v>
      </c>
      <c r="O346">
        <v>2.62</v>
      </c>
      <c r="Q346">
        <v>2.62</v>
      </c>
      <c r="R346">
        <v>35.15</v>
      </c>
      <c r="S346">
        <v>32.53</v>
      </c>
      <c r="T346">
        <v>33.840000000000003</v>
      </c>
      <c r="U346">
        <v>34.6</v>
      </c>
      <c r="V346">
        <v>70700</v>
      </c>
      <c r="X346">
        <v>70700</v>
      </c>
      <c r="Z346">
        <v>70700</v>
      </c>
      <c r="AB346">
        <v>70700</v>
      </c>
      <c r="AD346">
        <v>70700</v>
      </c>
      <c r="AF346">
        <v>70700</v>
      </c>
      <c r="AH346">
        <v>70700</v>
      </c>
      <c r="AJ346">
        <v>70700</v>
      </c>
      <c r="AL346">
        <v>70700</v>
      </c>
      <c r="AN346">
        <v>70700</v>
      </c>
      <c r="AP346">
        <v>70700</v>
      </c>
      <c r="AR346">
        <v>70700</v>
      </c>
      <c r="AT346">
        <v>70700</v>
      </c>
      <c r="AV346">
        <v>70700</v>
      </c>
      <c r="AX346">
        <v>70700</v>
      </c>
      <c r="AZ346">
        <v>70700</v>
      </c>
      <c r="BB346">
        <v>70700</v>
      </c>
      <c r="BD346">
        <v>70700</v>
      </c>
      <c r="BF346">
        <v>70700</v>
      </c>
      <c r="BH346">
        <v>70700</v>
      </c>
      <c r="BJ346">
        <v>70700</v>
      </c>
      <c r="BL346">
        <v>70700</v>
      </c>
      <c r="BN346">
        <v>70700</v>
      </c>
      <c r="BP346">
        <v>70700</v>
      </c>
      <c r="BR346">
        <v>70700</v>
      </c>
      <c r="BT346">
        <v>70700</v>
      </c>
      <c r="BV346">
        <v>70700</v>
      </c>
      <c r="BX346">
        <v>70700</v>
      </c>
      <c r="BY346">
        <v>70700</v>
      </c>
      <c r="BZ346">
        <v>2392488</v>
      </c>
      <c r="CC346">
        <v>0</v>
      </c>
      <c r="CD346">
        <v>70700</v>
      </c>
      <c r="CE346">
        <v>2392488</v>
      </c>
      <c r="CF346" t="s">
        <v>36</v>
      </c>
      <c r="CH346">
        <v>70700</v>
      </c>
      <c r="CI346">
        <v>0</v>
      </c>
      <c r="CJ346">
        <v>2392488</v>
      </c>
      <c r="CK346" t="s">
        <v>57</v>
      </c>
      <c r="CN346">
        <v>0</v>
      </c>
      <c r="CO346" t="s">
        <v>39</v>
      </c>
      <c r="CP346" t="s">
        <v>39</v>
      </c>
      <c r="CQ346" t="b">
        <v>1</v>
      </c>
      <c r="CR346" t="s">
        <v>8950</v>
      </c>
      <c r="CT346" t="s">
        <v>8960</v>
      </c>
      <c r="CU346" t="s">
        <v>8973</v>
      </c>
      <c r="CV346" t="s">
        <v>6214</v>
      </c>
      <c r="CW346" t="s">
        <v>4895</v>
      </c>
      <c r="CX346" t="s">
        <v>3246</v>
      </c>
      <c r="CY346">
        <v>0.75999999999999812</v>
      </c>
      <c r="CZ346">
        <v>53731.999999999862</v>
      </c>
      <c r="DA346">
        <v>2392488</v>
      </c>
      <c r="DB346" t="s">
        <v>36</v>
      </c>
      <c r="DC346" t="b">
        <v>1</v>
      </c>
      <c r="DD346">
        <v>2392488</v>
      </c>
      <c r="DE346">
        <v>0</v>
      </c>
      <c r="DF346" t="b">
        <v>1</v>
      </c>
      <c r="DG346" s="420" cm="1">
        <f t="array" ref="DG346">_xlfn.XLOOKUP("Дом 4"&amp;Реестр_Д4[[#This Row],[№]]&amp;Реестр_Д4[[#This Row],[Статус]],РД[Дом]&amp;РД[№ кв]&amp;РД[Состояние],РД[Дата подачи на регистрацию],"-",0)</f>
        <v>44784</v>
      </c>
    </row>
    <row r="347" spans="1:111" x14ac:dyDescent="0.25">
      <c r="A347">
        <v>346</v>
      </c>
      <c r="B347" t="s">
        <v>16</v>
      </c>
      <c r="C347">
        <v>17</v>
      </c>
      <c r="D347" t="s">
        <v>42</v>
      </c>
      <c r="E347">
        <v>0</v>
      </c>
      <c r="F347">
        <v>14.73</v>
      </c>
      <c r="I347">
        <v>14.73</v>
      </c>
      <c r="J347">
        <v>5.74</v>
      </c>
      <c r="K347">
        <v>3.61</v>
      </c>
      <c r="N347">
        <v>3.6</v>
      </c>
      <c r="O347">
        <v>3.34</v>
      </c>
      <c r="Q347">
        <v>3.34</v>
      </c>
      <c r="R347">
        <v>31.02</v>
      </c>
      <c r="S347">
        <v>27.68</v>
      </c>
      <c r="T347">
        <v>29.35</v>
      </c>
      <c r="U347">
        <v>30.099999999999991</v>
      </c>
      <c r="V347">
        <v>75600</v>
      </c>
      <c r="W347">
        <v>3780</v>
      </c>
      <c r="X347">
        <v>79380</v>
      </c>
      <c r="Z347">
        <v>79380</v>
      </c>
      <c r="AB347">
        <v>79380</v>
      </c>
      <c r="AC347">
        <v>9.7637400000000003</v>
      </c>
      <c r="AD347">
        <v>79389.763739999995</v>
      </c>
      <c r="AE347">
        <v>3969.4881869999999</v>
      </c>
      <c r="AF347">
        <v>83359.25192699999</v>
      </c>
      <c r="AH347">
        <v>83359.25192699999</v>
      </c>
      <c r="AJ347">
        <v>83359.25192699999</v>
      </c>
      <c r="AL347">
        <v>83359.25192699999</v>
      </c>
      <c r="AN347">
        <v>83359.25192699999</v>
      </c>
      <c r="AP347">
        <v>83359.25192699999</v>
      </c>
      <c r="AR347">
        <v>83359.25192699999</v>
      </c>
      <c r="AT347">
        <v>83359.25192699999</v>
      </c>
      <c r="AV347">
        <v>83359.25192699999</v>
      </c>
      <c r="AX347">
        <v>83359.25192699999</v>
      </c>
      <c r="AZ347">
        <v>83359.25192699999</v>
      </c>
      <c r="BB347">
        <v>83359.25192699999</v>
      </c>
      <c r="BD347">
        <v>83359.25192699999</v>
      </c>
      <c r="BF347">
        <v>83359.25192699999</v>
      </c>
      <c r="BH347">
        <v>83359.25192699999</v>
      </c>
      <c r="BJ347">
        <v>83359.25192699999</v>
      </c>
      <c r="BL347">
        <v>83359.25192699999</v>
      </c>
      <c r="BN347">
        <v>83359.25192699999</v>
      </c>
      <c r="BP347">
        <v>83359.25192699999</v>
      </c>
      <c r="BR347">
        <v>83359.25192699999</v>
      </c>
      <c r="BT347">
        <v>83359.25192699999</v>
      </c>
      <c r="BV347">
        <v>83359.25192699999</v>
      </c>
      <c r="BX347">
        <v>83359.25192699999</v>
      </c>
      <c r="BY347">
        <v>83359.25</v>
      </c>
      <c r="BZ347">
        <v>2446593.9900000002</v>
      </c>
      <c r="CC347">
        <v>0</v>
      </c>
      <c r="CD347">
        <v>83359.250085178879</v>
      </c>
      <c r="CE347">
        <v>2446593.9900000002</v>
      </c>
      <c r="CF347" t="s">
        <v>37</v>
      </c>
      <c r="CG347">
        <v>4000</v>
      </c>
      <c r="CH347">
        <v>87359.250085178879</v>
      </c>
      <c r="CI347">
        <v>117400</v>
      </c>
      <c r="CJ347">
        <v>2563993.9900000002</v>
      </c>
      <c r="CN347">
        <v>0</v>
      </c>
      <c r="CO347" t="s">
        <v>39</v>
      </c>
      <c r="CP347" t="s">
        <v>39</v>
      </c>
      <c r="CQ347" t="b">
        <v>1</v>
      </c>
      <c r="CR347" t="s">
        <v>8950</v>
      </c>
      <c r="CT347" t="s">
        <v>8960</v>
      </c>
      <c r="CU347" t="s">
        <v>8970</v>
      </c>
      <c r="CV347" t="s">
        <v>6215</v>
      </c>
      <c r="CW347" t="s">
        <v>4895</v>
      </c>
      <c r="CX347" t="s">
        <v>3246</v>
      </c>
      <c r="CY347">
        <v>0.74999999999999301</v>
      </c>
      <c r="CZ347">
        <v>65519.437563883541</v>
      </c>
      <c r="DA347">
        <v>2563993.9900000002</v>
      </c>
      <c r="DB347" t="s">
        <v>37</v>
      </c>
      <c r="DC347" t="b">
        <v>1</v>
      </c>
      <c r="DD347">
        <v>2563993.9900000002</v>
      </c>
      <c r="DE347">
        <v>0</v>
      </c>
      <c r="DF347" t="b">
        <v>1</v>
      </c>
      <c r="DG347" s="420" cm="1">
        <f t="array" ref="DG347">_xlfn.XLOOKUP("Дом 4"&amp;Реестр_Д4[[#This Row],[№]]&amp;Реестр_Д4[[#This Row],[Статус]],РД[Дом]&amp;РД[№ кв]&amp;РД[Состояние],РД[Дата подачи на регистрацию],"-",0)</f>
        <v>44977</v>
      </c>
    </row>
    <row r="348" spans="1:111" x14ac:dyDescent="0.25">
      <c r="A348">
        <v>347</v>
      </c>
      <c r="B348" t="s">
        <v>16</v>
      </c>
      <c r="C348">
        <v>17</v>
      </c>
      <c r="D348" t="s">
        <v>43</v>
      </c>
      <c r="E348">
        <v>2</v>
      </c>
      <c r="F348">
        <v>17.22</v>
      </c>
      <c r="G348">
        <v>12.24</v>
      </c>
      <c r="I348">
        <v>29.46</v>
      </c>
      <c r="J348">
        <v>17.010000000000002</v>
      </c>
      <c r="K348">
        <v>3.67</v>
      </c>
      <c r="L348">
        <v>2.4</v>
      </c>
      <c r="N348">
        <v>12.71</v>
      </c>
      <c r="O348">
        <v>2.61</v>
      </c>
      <c r="P348">
        <v>2.78</v>
      </c>
      <c r="Q348">
        <v>5.39</v>
      </c>
      <c r="R348">
        <v>70.64</v>
      </c>
      <c r="S348">
        <v>65.25</v>
      </c>
      <c r="T348">
        <v>67.95</v>
      </c>
      <c r="U348">
        <v>69.599999999999994</v>
      </c>
      <c r="V348">
        <v>71304.800000000003</v>
      </c>
      <c r="W348">
        <v>3565.24</v>
      </c>
      <c r="X348">
        <v>74870.039999999994</v>
      </c>
      <c r="Z348">
        <v>74870.039999999994</v>
      </c>
      <c r="AA348">
        <v>3743.502</v>
      </c>
      <c r="AB348">
        <v>78613.542000000016</v>
      </c>
      <c r="AC348">
        <v>9.6694656660000025</v>
      </c>
      <c r="AD348">
        <v>78623.211465666012</v>
      </c>
      <c r="AF348">
        <v>78623.211465666012</v>
      </c>
      <c r="AH348">
        <v>78623.211465666012</v>
      </c>
      <c r="AI348">
        <v>1572.4642293133202</v>
      </c>
      <c r="AJ348">
        <v>80195.675694979334</v>
      </c>
      <c r="AK348">
        <v>801.95675694979332</v>
      </c>
      <c r="AL348">
        <v>80997.632451929123</v>
      </c>
      <c r="AM348">
        <v>1619.9526490385824</v>
      </c>
      <c r="AN348">
        <v>82617.585100967699</v>
      </c>
      <c r="AP348">
        <v>82617.585100967699</v>
      </c>
      <c r="AQ348">
        <v>2478.527553029031</v>
      </c>
      <c r="AR348">
        <v>85096.112653996737</v>
      </c>
      <c r="AT348">
        <v>85096.112653996737</v>
      </c>
      <c r="AU348">
        <v>2552.8833796199019</v>
      </c>
      <c r="AV348">
        <v>87648.99603361664</v>
      </c>
      <c r="AX348">
        <v>87648.99603361664</v>
      </c>
      <c r="AZ348">
        <v>87648.99603361664</v>
      </c>
      <c r="BB348">
        <v>87648.99603361664</v>
      </c>
      <c r="BD348">
        <v>87648.99603361664</v>
      </c>
      <c r="BF348">
        <v>87648.99603361664</v>
      </c>
      <c r="BH348">
        <v>87648.99603361664</v>
      </c>
      <c r="BI348">
        <v>4382.449801680832</v>
      </c>
      <c r="BJ348">
        <v>92031.445835297476</v>
      </c>
      <c r="BK348">
        <v>1000</v>
      </c>
      <c r="BL348">
        <v>93031.445835297476</v>
      </c>
      <c r="BM348">
        <v>1860.6289167059497</v>
      </c>
      <c r="BN348">
        <v>94892.07475200342</v>
      </c>
      <c r="BP348">
        <v>94892.07475200342</v>
      </c>
      <c r="BQ348">
        <v>500</v>
      </c>
      <c r="BR348">
        <v>95392.07475200342</v>
      </c>
      <c r="BT348">
        <v>95392.07475200342</v>
      </c>
      <c r="BV348">
        <v>95392.07475200342</v>
      </c>
      <c r="BX348">
        <v>95392.07475200342</v>
      </c>
      <c r="BY348">
        <v>95392.07</v>
      </c>
      <c r="BZ348">
        <v>6481900</v>
      </c>
      <c r="CB348">
        <v>0.03</v>
      </c>
      <c r="CC348">
        <v>194457</v>
      </c>
      <c r="CD348">
        <v>92530.434142752027</v>
      </c>
      <c r="CE348">
        <v>6287443</v>
      </c>
      <c r="CF348" t="s">
        <v>37</v>
      </c>
      <c r="CG348">
        <v>7500</v>
      </c>
      <c r="CH348">
        <v>100030.43414275204</v>
      </c>
      <c r="CI348">
        <v>509625</v>
      </c>
      <c r="CJ348">
        <v>6797068</v>
      </c>
      <c r="CL348" t="s">
        <v>7232</v>
      </c>
      <c r="CN348">
        <v>0</v>
      </c>
      <c r="CO348" t="s">
        <v>39</v>
      </c>
      <c r="CP348" t="s">
        <v>39</v>
      </c>
      <c r="CQ348" t="b">
        <v>1</v>
      </c>
      <c r="CR348" t="s">
        <v>8950</v>
      </c>
      <c r="CT348" t="s">
        <v>8960</v>
      </c>
      <c r="CU348" t="s">
        <v>8971</v>
      </c>
      <c r="CV348" t="s">
        <v>6216</v>
      </c>
      <c r="CW348" t="s">
        <v>6652</v>
      </c>
      <c r="CX348" t="s">
        <v>3246</v>
      </c>
      <c r="CY348">
        <v>1.6499999999999917</v>
      </c>
      <c r="CZ348">
        <v>165050.21633554</v>
      </c>
      <c r="DA348">
        <v>6797068</v>
      </c>
      <c r="DB348" t="s">
        <v>37</v>
      </c>
      <c r="DC348" t="b">
        <v>1</v>
      </c>
      <c r="DD348">
        <v>6797068</v>
      </c>
      <c r="DE348">
        <v>0</v>
      </c>
      <c r="DF348" t="b">
        <v>1</v>
      </c>
      <c r="DG348" s="420" cm="1">
        <f t="array" ref="DG348">_xlfn.XLOOKUP("Дом 4"&amp;Реестр_Д4[[#This Row],[№]]&amp;Реестр_Д4[[#This Row],[Статус]],РД[Дом]&amp;РД[№ кв]&amp;РД[Состояние],РД[Дата подачи на регистрацию],"-",0)</f>
        <v>45428</v>
      </c>
    </row>
    <row r="349" spans="1:111" x14ac:dyDescent="0.25">
      <c r="A349">
        <v>348</v>
      </c>
      <c r="B349" t="s">
        <v>16</v>
      </c>
      <c r="C349">
        <v>17</v>
      </c>
      <c r="D349" t="s">
        <v>44</v>
      </c>
      <c r="E349">
        <v>0</v>
      </c>
      <c r="F349">
        <v>19.22</v>
      </c>
      <c r="I349">
        <v>19.22</v>
      </c>
      <c r="J349">
        <v>9.57</v>
      </c>
      <c r="K349">
        <v>3.76</v>
      </c>
      <c r="N349">
        <v>2.56</v>
      </c>
      <c r="O349">
        <v>2.68</v>
      </c>
      <c r="Q349">
        <v>2.68</v>
      </c>
      <c r="R349">
        <v>37.79</v>
      </c>
      <c r="S349">
        <v>35.11</v>
      </c>
      <c r="T349">
        <v>36.450000000000003</v>
      </c>
      <c r="U349">
        <v>37.700000000000003</v>
      </c>
      <c r="V349">
        <v>76356</v>
      </c>
      <c r="W349">
        <v>3817.8</v>
      </c>
      <c r="X349">
        <v>80173.8</v>
      </c>
      <c r="Z349">
        <v>80173.8</v>
      </c>
      <c r="AB349">
        <v>80173.8</v>
      </c>
      <c r="AC349">
        <v>9.8613774000000003</v>
      </c>
      <c r="AD349">
        <v>80183.6613774</v>
      </c>
      <c r="AE349">
        <v>4009.1830688700002</v>
      </c>
      <c r="AF349">
        <v>84192.844446269999</v>
      </c>
      <c r="AH349">
        <v>84192.844446269999</v>
      </c>
      <c r="AJ349">
        <v>84192.844446269999</v>
      </c>
      <c r="AK349">
        <v>841.92844446269999</v>
      </c>
      <c r="AL349">
        <v>85034.772890732711</v>
      </c>
      <c r="AM349">
        <v>1700.695457814654</v>
      </c>
      <c r="AN349">
        <v>86735.468348547351</v>
      </c>
      <c r="AO349">
        <v>4336.7734174273673</v>
      </c>
      <c r="AP349">
        <v>91072.241765974715</v>
      </c>
      <c r="AQ349">
        <v>2732.1672529792413</v>
      </c>
      <c r="AR349">
        <v>93804.409018953957</v>
      </c>
      <c r="AS349">
        <v>4690.2204509476978</v>
      </c>
      <c r="AT349">
        <v>98494.629469901658</v>
      </c>
      <c r="AU349">
        <v>2954.8388840970497</v>
      </c>
      <c r="AV349">
        <v>101449.4683539987</v>
      </c>
      <c r="AX349">
        <v>101449.4683539987</v>
      </c>
      <c r="AZ349">
        <v>101449.4683539987</v>
      </c>
      <c r="BB349">
        <v>101449.4683539987</v>
      </c>
      <c r="BD349">
        <v>101449.4683539987</v>
      </c>
      <c r="BF349">
        <v>101449.4683539987</v>
      </c>
      <c r="BH349">
        <v>101449.4683539987</v>
      </c>
      <c r="BJ349">
        <v>101449.4683539987</v>
      </c>
      <c r="BL349">
        <v>101449.4683539987</v>
      </c>
      <c r="BN349">
        <v>101449.4683539987</v>
      </c>
      <c r="BP349">
        <v>101449.4683539987</v>
      </c>
      <c r="BR349">
        <v>101449.4683539987</v>
      </c>
      <c r="BT349">
        <v>101449.4683539987</v>
      </c>
      <c r="BV349">
        <v>101449.4683539987</v>
      </c>
      <c r="BX349">
        <v>101449.4683539987</v>
      </c>
      <c r="BY349">
        <v>101449.47</v>
      </c>
      <c r="BZ349">
        <v>3697833.18</v>
      </c>
      <c r="CA349">
        <v>55555</v>
      </c>
      <c r="CC349">
        <v>55555</v>
      </c>
      <c r="CD349">
        <v>99925.327297668031</v>
      </c>
      <c r="CE349">
        <v>3642278.18</v>
      </c>
      <c r="CF349" t="s">
        <v>36</v>
      </c>
      <c r="CH349">
        <v>99925.327297668031</v>
      </c>
      <c r="CI349">
        <v>0</v>
      </c>
      <c r="CJ349">
        <v>3642278.18</v>
      </c>
      <c r="CL349" t="s">
        <v>3441</v>
      </c>
      <c r="CN349">
        <v>0</v>
      </c>
      <c r="CO349" t="s">
        <v>39</v>
      </c>
      <c r="CP349" t="s">
        <v>39</v>
      </c>
      <c r="CQ349" t="b">
        <v>1</v>
      </c>
      <c r="CR349" t="s">
        <v>8950</v>
      </c>
      <c r="CT349" t="s">
        <v>8960</v>
      </c>
      <c r="CU349" t="s">
        <v>8970</v>
      </c>
      <c r="CV349" t="s">
        <v>6217</v>
      </c>
      <c r="CW349" t="s">
        <v>4895</v>
      </c>
      <c r="CX349" t="s">
        <v>3246</v>
      </c>
      <c r="CY349">
        <v>1.2499999999999929</v>
      </c>
      <c r="CZ349">
        <v>124906.65912208433</v>
      </c>
      <c r="DA349">
        <v>3642278.18</v>
      </c>
      <c r="DB349" t="s">
        <v>36</v>
      </c>
      <c r="DC349" t="b">
        <v>1</v>
      </c>
      <c r="DD349">
        <v>3642278.18</v>
      </c>
      <c r="DE349">
        <v>0</v>
      </c>
      <c r="DF349" t="b">
        <v>1</v>
      </c>
      <c r="DG349" s="420" cm="1">
        <f t="array" ref="DG349">_xlfn.XLOOKUP("Дом 4"&amp;Реестр_Д4[[#This Row],[№]]&amp;Реестр_Д4[[#This Row],[Статус]],РД[Дом]&amp;РД[№ кв]&amp;РД[Состояние],РД[Дата подачи на регистрацию],"-",0)</f>
        <v>45265</v>
      </c>
    </row>
    <row r="350" spans="1:111" x14ac:dyDescent="0.25">
      <c r="A350">
        <v>349</v>
      </c>
      <c r="B350" t="s">
        <v>16</v>
      </c>
      <c r="C350">
        <v>17</v>
      </c>
      <c r="D350" t="s">
        <v>45</v>
      </c>
      <c r="E350">
        <v>2</v>
      </c>
      <c r="F350">
        <v>18.12</v>
      </c>
      <c r="G350">
        <v>9.8800000000000008</v>
      </c>
      <c r="I350">
        <v>28</v>
      </c>
      <c r="J350">
        <v>15.3</v>
      </c>
      <c r="K350">
        <v>3.49</v>
      </c>
      <c r="L350">
        <v>2.34</v>
      </c>
      <c r="N350">
        <v>8.1</v>
      </c>
      <c r="O350">
        <v>2.63</v>
      </c>
      <c r="Q350">
        <v>2.63</v>
      </c>
      <c r="R350">
        <v>59.86</v>
      </c>
      <c r="S350">
        <v>57.23</v>
      </c>
      <c r="T350">
        <v>58.55</v>
      </c>
      <c r="U350">
        <v>60.499999999999986</v>
      </c>
      <c r="V350">
        <v>68639.199999999997</v>
      </c>
      <c r="W350">
        <v>3431.96</v>
      </c>
      <c r="X350">
        <v>72071.16</v>
      </c>
      <c r="Z350">
        <v>72071.16</v>
      </c>
      <c r="AB350">
        <v>72071.16</v>
      </c>
      <c r="AD350">
        <v>72071.16</v>
      </c>
      <c r="AF350">
        <v>72071.16</v>
      </c>
      <c r="AH350">
        <v>72071.16</v>
      </c>
      <c r="AJ350">
        <v>72071.16</v>
      </c>
      <c r="AL350">
        <v>72071.16</v>
      </c>
      <c r="AN350">
        <v>72071.16</v>
      </c>
      <c r="AP350">
        <v>72071.16</v>
      </c>
      <c r="AR350">
        <v>72071.16</v>
      </c>
      <c r="AT350">
        <v>72071.16</v>
      </c>
      <c r="AV350">
        <v>72071.16</v>
      </c>
      <c r="AX350">
        <v>72071.16</v>
      </c>
      <c r="AZ350">
        <v>72071.16</v>
      </c>
      <c r="BB350">
        <v>72071.16</v>
      </c>
      <c r="BD350">
        <v>72071.16</v>
      </c>
      <c r="BF350">
        <v>72071.16</v>
      </c>
      <c r="BH350">
        <v>72071.16</v>
      </c>
      <c r="BJ350">
        <v>72071.16</v>
      </c>
      <c r="BL350">
        <v>72071.16</v>
      </c>
      <c r="BN350">
        <v>72071.16</v>
      </c>
      <c r="BP350">
        <v>72071.16</v>
      </c>
      <c r="BR350">
        <v>72071.16</v>
      </c>
      <c r="BT350">
        <v>72071.16</v>
      </c>
      <c r="BV350">
        <v>72071.16</v>
      </c>
      <c r="BX350">
        <v>72071.16</v>
      </c>
      <c r="BY350">
        <v>72071.16</v>
      </c>
      <c r="BZ350">
        <v>4219766.42</v>
      </c>
      <c r="CC350">
        <v>0</v>
      </c>
      <c r="CD350">
        <v>72071.160034158835</v>
      </c>
      <c r="CE350">
        <v>4219766.42</v>
      </c>
      <c r="CF350" t="s">
        <v>37</v>
      </c>
      <c r="CG350">
        <v>7500</v>
      </c>
      <c r="CH350">
        <v>79571.160034158835</v>
      </c>
      <c r="CI350">
        <v>439125</v>
      </c>
      <c r="CJ350">
        <v>4658891.42</v>
      </c>
      <c r="CN350">
        <v>0</v>
      </c>
      <c r="CO350" t="s">
        <v>39</v>
      </c>
      <c r="CP350" t="s">
        <v>39</v>
      </c>
      <c r="CQ350" t="b">
        <v>1</v>
      </c>
      <c r="CR350" t="s">
        <v>8950</v>
      </c>
      <c r="CT350" t="s">
        <v>8960</v>
      </c>
      <c r="CU350" t="s">
        <v>8971</v>
      </c>
      <c r="CV350" t="s">
        <v>6218</v>
      </c>
      <c r="CW350" t="s">
        <v>4895</v>
      </c>
      <c r="CX350" t="s">
        <v>3246</v>
      </c>
      <c r="CY350">
        <v>1.9499999999999889</v>
      </c>
      <c r="CZ350">
        <v>155163.76206660882</v>
      </c>
      <c r="DA350">
        <v>4658891.42</v>
      </c>
      <c r="DB350" t="s">
        <v>37</v>
      </c>
      <c r="DC350" t="b">
        <v>1</v>
      </c>
      <c r="DD350">
        <v>4658891.42</v>
      </c>
      <c r="DE350">
        <v>0</v>
      </c>
      <c r="DF350" t="b">
        <v>1</v>
      </c>
      <c r="DG350" s="420" cm="1">
        <f t="array" ref="DG350">_xlfn.XLOOKUP("Дом 4"&amp;Реестр_Д4[[#This Row],[№]]&amp;Реестр_Д4[[#This Row],[Статус]],РД[Дом]&amp;РД[№ кв]&amp;РД[Состояние],РД[Дата подачи на регистрацию],"-",0)</f>
        <v>44791</v>
      </c>
    </row>
    <row r="351" spans="1:111" x14ac:dyDescent="0.25">
      <c r="A351">
        <v>350</v>
      </c>
      <c r="B351" t="s">
        <v>16</v>
      </c>
      <c r="C351">
        <v>17</v>
      </c>
      <c r="D351" t="s">
        <v>3351</v>
      </c>
      <c r="E351">
        <v>2</v>
      </c>
      <c r="F351">
        <v>15.36</v>
      </c>
      <c r="G351">
        <v>9.8699999999999992</v>
      </c>
      <c r="I351">
        <v>25.23</v>
      </c>
      <c r="J351">
        <v>16.260000000000002</v>
      </c>
      <c r="K351">
        <v>3.74</v>
      </c>
      <c r="L351">
        <v>2.09</v>
      </c>
      <c r="N351">
        <v>8.06</v>
      </c>
      <c r="O351">
        <v>2.63</v>
      </c>
      <c r="Q351">
        <v>2.63</v>
      </c>
      <c r="R351">
        <v>58.01</v>
      </c>
      <c r="S351">
        <v>55.379999999999995</v>
      </c>
      <c r="T351">
        <v>56.7</v>
      </c>
      <c r="U351">
        <v>58.3</v>
      </c>
      <c r="V351">
        <v>68639.199999999997</v>
      </c>
      <c r="W351">
        <v>3431.96</v>
      </c>
      <c r="X351">
        <v>72071.16</v>
      </c>
      <c r="Z351">
        <v>72071.16</v>
      </c>
      <c r="AA351">
        <v>3603.558</v>
      </c>
      <c r="AB351">
        <v>75674.717999999993</v>
      </c>
      <c r="AC351">
        <v>9.3079903140000013</v>
      </c>
      <c r="AD351">
        <v>75684.02599031401</v>
      </c>
      <c r="AF351">
        <v>75684.02599031401</v>
      </c>
      <c r="AH351">
        <v>75684.02599031401</v>
      </c>
      <c r="AI351">
        <v>1513.6805198062802</v>
      </c>
      <c r="AJ351">
        <v>77197.70651012029</v>
      </c>
      <c r="AK351">
        <v>771.97706510120292</v>
      </c>
      <c r="AL351">
        <v>77969.683575221497</v>
      </c>
      <c r="AM351">
        <v>1559.3936715044299</v>
      </c>
      <c r="AN351">
        <v>79529.077246725923</v>
      </c>
      <c r="AP351">
        <v>79529.077246725923</v>
      </c>
      <c r="AR351">
        <v>79529.077246725923</v>
      </c>
      <c r="AT351">
        <v>79529.077246725923</v>
      </c>
      <c r="AV351">
        <v>79529.077246725923</v>
      </c>
      <c r="AX351">
        <v>79529.077246725923</v>
      </c>
      <c r="AZ351">
        <v>79529.077246725923</v>
      </c>
      <c r="BB351">
        <v>79529.077246725923</v>
      </c>
      <c r="BD351">
        <v>79529.077246725923</v>
      </c>
      <c r="BF351">
        <v>79529.077246725923</v>
      </c>
      <c r="BH351">
        <v>79529.077246725923</v>
      </c>
      <c r="BJ351">
        <v>79529.077246725923</v>
      </c>
      <c r="BL351">
        <v>79529.077246725923</v>
      </c>
      <c r="BN351">
        <v>79529.077246725923</v>
      </c>
      <c r="BP351">
        <v>79529.077246725923</v>
      </c>
      <c r="BR351">
        <v>79529.077246725923</v>
      </c>
      <c r="BT351">
        <v>79529.077246725923</v>
      </c>
      <c r="BV351">
        <v>79529.077246725923</v>
      </c>
      <c r="BX351">
        <v>79529.077246725923</v>
      </c>
      <c r="BY351">
        <v>79529.08</v>
      </c>
      <c r="BZ351">
        <v>4509298.84</v>
      </c>
      <c r="CC351">
        <v>0</v>
      </c>
      <c r="CD351">
        <v>79529.080070546726</v>
      </c>
      <c r="CE351">
        <v>4509298.84</v>
      </c>
      <c r="CF351" t="s">
        <v>38</v>
      </c>
      <c r="CG351">
        <v>15000</v>
      </c>
      <c r="CH351">
        <v>94529.080070546726</v>
      </c>
      <c r="CI351">
        <v>850500</v>
      </c>
      <c r="CJ351">
        <v>5359798.84</v>
      </c>
      <c r="CN351">
        <v>0</v>
      </c>
      <c r="CO351" t="s">
        <v>39</v>
      </c>
      <c r="CP351" t="s">
        <v>39</v>
      </c>
      <c r="CQ351" t="b">
        <v>1</v>
      </c>
      <c r="CR351" t="s">
        <v>8950</v>
      </c>
      <c r="CT351" t="s">
        <v>8960</v>
      </c>
      <c r="CU351" t="s">
        <v>8971</v>
      </c>
      <c r="CV351" t="s">
        <v>6219</v>
      </c>
      <c r="CW351" t="s">
        <v>4895</v>
      </c>
      <c r="CX351" t="s">
        <v>3246</v>
      </c>
      <c r="CY351">
        <v>1.5999999999999943</v>
      </c>
      <c r="CZ351">
        <v>151246.52811287422</v>
      </c>
      <c r="DA351">
        <v>5359798.84</v>
      </c>
      <c r="DB351" t="s">
        <v>38</v>
      </c>
      <c r="DC351" t="b">
        <v>1</v>
      </c>
      <c r="DD351">
        <v>5359798.84</v>
      </c>
      <c r="DE351">
        <v>0</v>
      </c>
      <c r="DF351" t="b">
        <v>1</v>
      </c>
      <c r="DG351" s="420" cm="1">
        <f t="array" ref="DG351">_xlfn.XLOOKUP("Дом 4"&amp;Реестр_Д4[[#This Row],[№]]&amp;Реестр_Д4[[#This Row],[Статус]],РД[Дом]&amp;РД[№ кв]&amp;РД[Состояние],РД[Дата подачи на регистрацию],"-",0)</f>
        <v>45097</v>
      </c>
    </row>
    <row r="352" spans="1:111" x14ac:dyDescent="0.25">
      <c r="A352">
        <v>351</v>
      </c>
      <c r="B352" t="s">
        <v>16</v>
      </c>
      <c r="C352">
        <v>17</v>
      </c>
      <c r="D352" t="s">
        <v>3352</v>
      </c>
      <c r="E352">
        <v>3</v>
      </c>
      <c r="F352">
        <v>16.27</v>
      </c>
      <c r="G352">
        <v>10.96</v>
      </c>
      <c r="H352">
        <v>10.7</v>
      </c>
      <c r="I352">
        <v>37.93</v>
      </c>
      <c r="J352">
        <v>13.42</v>
      </c>
      <c r="K352">
        <v>4.53</v>
      </c>
      <c r="L352">
        <v>2.27</v>
      </c>
      <c r="N352">
        <v>12.94</v>
      </c>
      <c r="O352">
        <v>2.83</v>
      </c>
      <c r="Q352">
        <v>2.83</v>
      </c>
      <c r="R352">
        <v>73.92</v>
      </c>
      <c r="S352">
        <v>71.09</v>
      </c>
      <c r="T352">
        <v>72.510000000000005</v>
      </c>
      <c r="U352">
        <v>74.3</v>
      </c>
      <c r="V352">
        <v>68992.000000000015</v>
      </c>
      <c r="W352">
        <v>3449.6000000000008</v>
      </c>
      <c r="X352">
        <v>72441.60000000002</v>
      </c>
      <c r="Z352">
        <v>72441.60000000002</v>
      </c>
      <c r="AB352">
        <v>72441.60000000002</v>
      </c>
      <c r="AC352">
        <v>8.9103168000000039</v>
      </c>
      <c r="AD352">
        <v>72450.510316800021</v>
      </c>
      <c r="AF352">
        <v>72450.510316800021</v>
      </c>
      <c r="AH352">
        <v>72450.510316800021</v>
      </c>
      <c r="AI352">
        <v>2173.5153095040005</v>
      </c>
      <c r="AJ352">
        <v>74624.025626304021</v>
      </c>
      <c r="AK352">
        <v>746.24025626304035</v>
      </c>
      <c r="AL352">
        <v>75370.265882567066</v>
      </c>
      <c r="AN352">
        <v>75370.265882567066</v>
      </c>
      <c r="AP352">
        <v>75370.265882567066</v>
      </c>
      <c r="AR352">
        <v>75370.265882567066</v>
      </c>
      <c r="AT352">
        <v>75370.265882567066</v>
      </c>
      <c r="AV352">
        <v>75370.265882567066</v>
      </c>
      <c r="AX352">
        <v>75370.265882567066</v>
      </c>
      <c r="AZ352">
        <v>75370.265882567066</v>
      </c>
      <c r="BB352">
        <v>75370.265882567066</v>
      </c>
      <c r="BD352">
        <v>75370.265882567066</v>
      </c>
      <c r="BF352">
        <v>75370.265882567066</v>
      </c>
      <c r="BH352">
        <v>75370.265882567066</v>
      </c>
      <c r="BJ352">
        <v>75370.265882567066</v>
      </c>
      <c r="BL352">
        <v>75370.265882567066</v>
      </c>
      <c r="BN352">
        <v>75370.265882567066</v>
      </c>
      <c r="BP352">
        <v>75370.265882567066</v>
      </c>
      <c r="BR352">
        <v>75370.265882567066</v>
      </c>
      <c r="BT352">
        <v>75370.265882567066</v>
      </c>
      <c r="BV352">
        <v>75370.265882567066</v>
      </c>
      <c r="BX352">
        <v>75370.265882567066</v>
      </c>
      <c r="BY352">
        <v>75370.27</v>
      </c>
      <c r="BZ352">
        <v>5465098.2800000003</v>
      </c>
      <c r="CA352">
        <v>165000</v>
      </c>
      <c r="CC352">
        <v>165000</v>
      </c>
      <c r="CD352">
        <v>73094.721831471514</v>
      </c>
      <c r="CE352">
        <v>5300098.28</v>
      </c>
      <c r="CF352" t="s">
        <v>37</v>
      </c>
      <c r="CG352">
        <v>4000</v>
      </c>
      <c r="CH352">
        <v>77094.721831471514</v>
      </c>
      <c r="CI352">
        <v>290040</v>
      </c>
      <c r="CJ352">
        <v>5590138.2800000003</v>
      </c>
      <c r="CL352" t="s">
        <v>3441</v>
      </c>
      <c r="CN352">
        <v>0</v>
      </c>
      <c r="CO352" t="s">
        <v>39</v>
      </c>
      <c r="CP352" t="s">
        <v>39</v>
      </c>
      <c r="CQ352" t="b">
        <v>1</v>
      </c>
      <c r="CR352" t="s">
        <v>8950</v>
      </c>
      <c r="CT352" t="s">
        <v>8960</v>
      </c>
      <c r="CU352" t="s">
        <v>8975</v>
      </c>
      <c r="CV352" t="s">
        <v>6220</v>
      </c>
      <c r="CW352" t="s">
        <v>4895</v>
      </c>
      <c r="CX352" t="s">
        <v>3246</v>
      </c>
      <c r="CY352">
        <v>1.789999999999992</v>
      </c>
      <c r="CZ352">
        <v>137999.55207833339</v>
      </c>
      <c r="DA352">
        <v>5590138.2800000003</v>
      </c>
      <c r="DB352" t="s">
        <v>37</v>
      </c>
      <c r="DC352" t="b">
        <v>1</v>
      </c>
      <c r="DD352">
        <v>5590138.2800000003</v>
      </c>
      <c r="DE352">
        <v>0</v>
      </c>
      <c r="DF352" t="b">
        <v>1</v>
      </c>
      <c r="DG352" s="420" cm="1">
        <f t="array" ref="DG352">_xlfn.XLOOKUP("Дом 4"&amp;Реестр_Д4[[#This Row],[№]]&amp;Реестр_Д4[[#This Row],[Статус]],РД[Дом]&amp;РД[№ кв]&amp;РД[Состояние],РД[Дата подачи на регистрацию],"-",0)</f>
        <v>45040</v>
      </c>
    </row>
    <row r="353" spans="1:111" x14ac:dyDescent="0.25">
      <c r="A353">
        <v>352</v>
      </c>
      <c r="B353" t="s">
        <v>16</v>
      </c>
      <c r="C353">
        <v>17</v>
      </c>
      <c r="D353" t="s">
        <v>3353</v>
      </c>
      <c r="E353">
        <v>1</v>
      </c>
      <c r="F353">
        <v>10.68</v>
      </c>
      <c r="I353">
        <v>10.68</v>
      </c>
      <c r="J353">
        <v>12.75</v>
      </c>
      <c r="K353">
        <v>3.65</v>
      </c>
      <c r="N353">
        <v>5.45</v>
      </c>
      <c r="O353">
        <v>2.62</v>
      </c>
      <c r="Q353">
        <v>2.62</v>
      </c>
      <c r="R353">
        <v>35.15</v>
      </c>
      <c r="S353">
        <v>32.53</v>
      </c>
      <c r="T353">
        <v>33.840000000000003</v>
      </c>
      <c r="U353">
        <v>34.699999999999996</v>
      </c>
      <c r="V353">
        <v>70700</v>
      </c>
      <c r="W353">
        <v>3535</v>
      </c>
      <c r="X353">
        <v>74235</v>
      </c>
      <c r="Y353">
        <v>2969.4</v>
      </c>
      <c r="Z353">
        <v>77204.399999999994</v>
      </c>
      <c r="AA353">
        <v>3860.22</v>
      </c>
      <c r="AB353">
        <v>81064.62</v>
      </c>
      <c r="AC353">
        <v>9.9709482600000001</v>
      </c>
      <c r="AD353">
        <v>81074.590948259996</v>
      </c>
      <c r="AE353">
        <v>4053.7295474130001</v>
      </c>
      <c r="AF353">
        <v>85128.32049567299</v>
      </c>
      <c r="AH353">
        <v>85128.32049567299</v>
      </c>
      <c r="AI353">
        <v>2553.8496148701897</v>
      </c>
      <c r="AJ353">
        <v>87682.170110543186</v>
      </c>
      <c r="AK353">
        <v>2630.4651033162954</v>
      </c>
      <c r="AL353">
        <v>90312.635213859481</v>
      </c>
      <c r="AM353">
        <v>3612.5054085543793</v>
      </c>
      <c r="AN353">
        <v>93925.140622413863</v>
      </c>
      <c r="AO353">
        <v>1878.5028124482776</v>
      </c>
      <c r="AP353">
        <v>95803.643434862141</v>
      </c>
      <c r="AR353">
        <v>95803.643434862141</v>
      </c>
      <c r="AT353">
        <v>95803.643434862141</v>
      </c>
      <c r="AV353">
        <v>95803.643434862141</v>
      </c>
      <c r="AX353">
        <v>95803.643434862141</v>
      </c>
      <c r="AZ353">
        <v>95803.643434862141</v>
      </c>
      <c r="BB353">
        <v>95803.643434862141</v>
      </c>
      <c r="BD353">
        <v>95803.643434862141</v>
      </c>
      <c r="BF353">
        <v>95803.643434862141</v>
      </c>
      <c r="BH353">
        <v>95803.643434862141</v>
      </c>
      <c r="BJ353">
        <v>95803.643434862141</v>
      </c>
      <c r="BL353">
        <v>95803.643434862141</v>
      </c>
      <c r="BN353">
        <v>95803.643434862141</v>
      </c>
      <c r="BP353">
        <v>95803.643434862141</v>
      </c>
      <c r="BR353">
        <v>95803.643434862141</v>
      </c>
      <c r="BT353">
        <v>95803.643434862141</v>
      </c>
      <c r="BV353">
        <v>95803.643434862141</v>
      </c>
      <c r="BX353">
        <v>95803.643434862141</v>
      </c>
      <c r="BY353">
        <v>95803.64</v>
      </c>
      <c r="BZ353">
        <v>3241995.18</v>
      </c>
      <c r="CC353">
        <v>0</v>
      </c>
      <c r="CD353">
        <v>95803.640070921974</v>
      </c>
      <c r="CE353">
        <v>3241995.18</v>
      </c>
      <c r="CF353" t="s">
        <v>37</v>
      </c>
      <c r="CG353">
        <v>4000</v>
      </c>
      <c r="CH353">
        <v>99803.640070921974</v>
      </c>
      <c r="CI353">
        <v>135360</v>
      </c>
      <c r="CJ353">
        <v>3377355.18</v>
      </c>
      <c r="CK353" t="s">
        <v>57</v>
      </c>
      <c r="CN353">
        <v>0</v>
      </c>
      <c r="CO353" t="s">
        <v>39</v>
      </c>
      <c r="CP353" t="s">
        <v>39</v>
      </c>
      <c r="CQ353" t="b">
        <v>1</v>
      </c>
      <c r="CR353" t="s">
        <v>8950</v>
      </c>
      <c r="CT353" t="s">
        <v>8960</v>
      </c>
      <c r="CU353" t="s">
        <v>8973</v>
      </c>
      <c r="CV353" t="s">
        <v>6221</v>
      </c>
      <c r="CW353" t="s">
        <v>4895</v>
      </c>
      <c r="CX353" t="s">
        <v>3246</v>
      </c>
      <c r="CY353">
        <v>0.85999999999999233</v>
      </c>
      <c r="CZ353">
        <v>85831.130460992121</v>
      </c>
      <c r="DA353">
        <v>3377355.18</v>
      </c>
      <c r="DB353" t="s">
        <v>37</v>
      </c>
      <c r="DC353" t="b">
        <v>1</v>
      </c>
      <c r="DD353">
        <v>3377355.18</v>
      </c>
      <c r="DE353">
        <v>0</v>
      </c>
      <c r="DF353" t="b">
        <v>1</v>
      </c>
      <c r="DG353" s="420" cm="1">
        <f t="array" ref="DG353">_xlfn.XLOOKUP("Дом 4"&amp;Реестр_Д4[[#This Row],[№]]&amp;Реестр_Д4[[#This Row],[Статус]],РД[Дом]&amp;РД[№ кв]&amp;РД[Состояние],РД[Дата подачи на регистрацию],"-",0)</f>
        <v>45119</v>
      </c>
    </row>
    <row r="354" spans="1:111" x14ac:dyDescent="0.25">
      <c r="A354">
        <v>353</v>
      </c>
      <c r="B354" t="s">
        <v>16</v>
      </c>
      <c r="C354">
        <v>18</v>
      </c>
      <c r="D354" t="s">
        <v>42</v>
      </c>
      <c r="E354">
        <v>0</v>
      </c>
      <c r="F354">
        <v>14.73</v>
      </c>
      <c r="I354">
        <v>14.73</v>
      </c>
      <c r="J354">
        <v>5.74</v>
      </c>
      <c r="K354">
        <v>3.61</v>
      </c>
      <c r="N354">
        <v>3.6</v>
      </c>
      <c r="O354">
        <v>3.34</v>
      </c>
      <c r="Q354">
        <v>3.34</v>
      </c>
      <c r="R354">
        <v>31.02</v>
      </c>
      <c r="S354">
        <v>27.68</v>
      </c>
      <c r="T354">
        <v>29.35</v>
      </c>
      <c r="U354">
        <v>30.299999999999997</v>
      </c>
      <c r="V354">
        <v>75600</v>
      </c>
      <c r="W354">
        <v>3780</v>
      </c>
      <c r="X354">
        <v>79380</v>
      </c>
      <c r="Z354">
        <v>79380</v>
      </c>
      <c r="AB354">
        <v>79380</v>
      </c>
      <c r="AC354">
        <v>9.7637400000000003</v>
      </c>
      <c r="AD354">
        <v>79389.763739999995</v>
      </c>
      <c r="AE354">
        <v>3969.4881869999999</v>
      </c>
      <c r="AF354">
        <v>83359.25192699999</v>
      </c>
      <c r="AH354">
        <v>83359.25192699999</v>
      </c>
      <c r="AJ354">
        <v>83359.25192699999</v>
      </c>
      <c r="AK354">
        <v>833.5925192699998</v>
      </c>
      <c r="AL354">
        <v>84192.844446269984</v>
      </c>
      <c r="AM354">
        <v>1683.8568889253995</v>
      </c>
      <c r="AN354">
        <v>85876.701335195379</v>
      </c>
      <c r="AO354">
        <v>4293.8350667597688</v>
      </c>
      <c r="AP354">
        <v>90170.536401955149</v>
      </c>
      <c r="AQ354">
        <v>2705.1160920586544</v>
      </c>
      <c r="AR354">
        <v>92875.652494013804</v>
      </c>
      <c r="AS354">
        <v>4643.7826247006906</v>
      </c>
      <c r="AT354">
        <v>97519.435118714493</v>
      </c>
      <c r="AU354">
        <v>2925.5830535614346</v>
      </c>
      <c r="AV354">
        <v>100445.01817227592</v>
      </c>
      <c r="AW354">
        <v>6026.7010903365554</v>
      </c>
      <c r="AX354">
        <v>106471.71926261247</v>
      </c>
      <c r="AZ354">
        <v>106471.71926261247</v>
      </c>
      <c r="BB354">
        <v>106471.71926261247</v>
      </c>
      <c r="BD354">
        <v>106471.71926261247</v>
      </c>
      <c r="BE354">
        <v>3194.1515778783746</v>
      </c>
      <c r="BF354">
        <v>109665.87084049088</v>
      </c>
      <c r="BH354">
        <v>109665.87084049088</v>
      </c>
      <c r="BI354">
        <v>5483.293542024544</v>
      </c>
      <c r="BJ354">
        <v>115149.16438251542</v>
      </c>
      <c r="BK354">
        <v>500</v>
      </c>
      <c r="BL354">
        <v>115649.16438251542</v>
      </c>
      <c r="BM354">
        <v>2312.9832876503083</v>
      </c>
      <c r="BN354">
        <v>117962.14767016572</v>
      </c>
      <c r="BP354">
        <v>117962.14767016572</v>
      </c>
      <c r="BR354">
        <v>117962.14767016572</v>
      </c>
      <c r="BT354">
        <v>117962.14767016572</v>
      </c>
      <c r="BV354">
        <v>117962.14767016572</v>
      </c>
      <c r="BX354">
        <v>117962.14767016572</v>
      </c>
      <c r="BY354">
        <v>117962.15</v>
      </c>
      <c r="BZ354">
        <v>3462200</v>
      </c>
      <c r="CA354">
        <v>88888</v>
      </c>
      <c r="CC354">
        <v>88888</v>
      </c>
      <c r="CD354">
        <v>114933.96933560476</v>
      </c>
      <c r="CE354">
        <v>3373312</v>
      </c>
      <c r="CF354" t="s">
        <v>36</v>
      </c>
      <c r="CH354">
        <v>114933.96933560476</v>
      </c>
      <c r="CI354">
        <v>0</v>
      </c>
      <c r="CJ354">
        <v>3373312</v>
      </c>
      <c r="CL354" t="s">
        <v>4185</v>
      </c>
      <c r="CN354">
        <v>0</v>
      </c>
      <c r="CO354" t="s">
        <v>39</v>
      </c>
      <c r="CP354" t="s">
        <v>39</v>
      </c>
      <c r="CQ354" t="b">
        <v>1</v>
      </c>
      <c r="CR354" t="s">
        <v>8950</v>
      </c>
      <c r="CT354" t="s">
        <v>8960</v>
      </c>
      <c r="CU354" t="s">
        <v>8970</v>
      </c>
      <c r="CV354" t="s">
        <v>6222</v>
      </c>
      <c r="CW354" t="s">
        <v>6652</v>
      </c>
      <c r="CX354" t="s">
        <v>3246</v>
      </c>
      <c r="CY354">
        <v>0.94999999999999563</v>
      </c>
      <c r="CZ354">
        <v>109187.27086882404</v>
      </c>
      <c r="DA354">
        <v>3373312</v>
      </c>
      <c r="DB354" t="s">
        <v>36</v>
      </c>
      <c r="DC354" t="b">
        <v>1</v>
      </c>
      <c r="DD354">
        <v>3373312</v>
      </c>
      <c r="DE354">
        <v>0</v>
      </c>
      <c r="DF354" t="b">
        <v>1</v>
      </c>
      <c r="DG354" s="420" cm="1">
        <f t="array" ref="DG354">_xlfn.XLOOKUP("Дом 4"&amp;Реестр_Д4[[#This Row],[№]]&amp;Реестр_Д4[[#This Row],[Статус]],РД[Дом]&amp;РД[№ кв]&amp;РД[Состояние],РД[Дата подачи на регистрацию],"-",0)</f>
        <v>45379</v>
      </c>
    </row>
    <row r="355" spans="1:111" x14ac:dyDescent="0.25">
      <c r="A355">
        <v>354</v>
      </c>
      <c r="B355" t="s">
        <v>16</v>
      </c>
      <c r="C355">
        <v>18</v>
      </c>
      <c r="D355" t="s">
        <v>43</v>
      </c>
      <c r="E355">
        <v>2</v>
      </c>
      <c r="F355">
        <v>17.22</v>
      </c>
      <c r="G355">
        <v>12.24</v>
      </c>
      <c r="I355">
        <v>29.46</v>
      </c>
      <c r="J355">
        <v>17.010000000000002</v>
      </c>
      <c r="K355">
        <v>3.67</v>
      </c>
      <c r="L355">
        <v>2.4</v>
      </c>
      <c r="N355">
        <v>12.71</v>
      </c>
      <c r="O355">
        <v>2.61</v>
      </c>
      <c r="P355">
        <v>2.78</v>
      </c>
      <c r="Q355">
        <v>5.39</v>
      </c>
      <c r="R355">
        <v>70.64</v>
      </c>
      <c r="S355">
        <v>65.25</v>
      </c>
      <c r="T355">
        <v>67.95</v>
      </c>
      <c r="U355">
        <v>69.3</v>
      </c>
      <c r="V355">
        <v>71304.800000000003</v>
      </c>
      <c r="W355">
        <v>3565.24</v>
      </c>
      <c r="X355">
        <v>74870.039999999994</v>
      </c>
      <c r="Z355">
        <v>74870.039999999994</v>
      </c>
      <c r="AA355">
        <v>3743.502</v>
      </c>
      <c r="AB355">
        <v>78613.542000000016</v>
      </c>
      <c r="AC355">
        <v>9.6694656660000025</v>
      </c>
      <c r="AD355">
        <v>78623.211465666012</v>
      </c>
      <c r="AF355">
        <v>78623.211465666012</v>
      </c>
      <c r="AH355">
        <v>78623.211465666012</v>
      </c>
      <c r="AI355">
        <v>1572.4642293133202</v>
      </c>
      <c r="AJ355">
        <v>80195.675694979334</v>
      </c>
      <c r="AK355">
        <v>801.95675694979332</v>
      </c>
      <c r="AL355">
        <v>80997.632451929123</v>
      </c>
      <c r="AM355">
        <v>1619.9526490385824</v>
      </c>
      <c r="AN355">
        <v>82617.585100967699</v>
      </c>
      <c r="AP355">
        <v>82617.585100967699</v>
      </c>
      <c r="AQ355">
        <v>2478.527553029031</v>
      </c>
      <c r="AR355">
        <v>85096.112653996737</v>
      </c>
      <c r="AT355">
        <v>85096.112653996737</v>
      </c>
      <c r="AU355">
        <v>2552.8833796199019</v>
      </c>
      <c r="AV355">
        <v>87648.99603361664</v>
      </c>
      <c r="AX355">
        <v>87648.99603361664</v>
      </c>
      <c r="AZ355">
        <v>87648.99603361664</v>
      </c>
      <c r="BB355">
        <v>87648.99603361664</v>
      </c>
      <c r="BD355">
        <v>87648.99603361664</v>
      </c>
      <c r="BF355">
        <v>87648.99603361664</v>
      </c>
      <c r="BH355">
        <v>87648.99603361664</v>
      </c>
      <c r="BJ355">
        <v>87648.99603361664</v>
      </c>
      <c r="BL355">
        <v>87648.99603361664</v>
      </c>
      <c r="BN355">
        <v>87648.99603361664</v>
      </c>
      <c r="BP355">
        <v>87648.99603361664</v>
      </c>
      <c r="BR355">
        <v>87648.99603361664</v>
      </c>
      <c r="BT355">
        <v>87648.99603361664</v>
      </c>
      <c r="BV355">
        <v>87648.99603361664</v>
      </c>
      <c r="BX355">
        <v>87648.99603361664</v>
      </c>
      <c r="BY355">
        <v>87649</v>
      </c>
      <c r="BZ355">
        <v>5955749.5499999998</v>
      </c>
      <c r="CA355">
        <v>300000</v>
      </c>
      <c r="CC355">
        <v>300000</v>
      </c>
      <c r="CD355">
        <v>83233.988962472402</v>
      </c>
      <c r="CE355">
        <v>5655749.5499999998</v>
      </c>
      <c r="CF355" t="s">
        <v>38</v>
      </c>
      <c r="CG355">
        <v>22000</v>
      </c>
      <c r="CH355">
        <v>105233.9889624724</v>
      </c>
      <c r="CI355">
        <v>1494900</v>
      </c>
      <c r="CJ355">
        <v>7150649.5499999998</v>
      </c>
      <c r="CL355" t="s">
        <v>321</v>
      </c>
      <c r="CN355">
        <v>0</v>
      </c>
      <c r="CO355" t="s">
        <v>39</v>
      </c>
      <c r="CP355" t="s">
        <v>39</v>
      </c>
      <c r="CQ355" t="b">
        <v>1</v>
      </c>
      <c r="CR355" t="s">
        <v>8950</v>
      </c>
      <c r="CT355" t="s">
        <v>8960</v>
      </c>
      <c r="CU355" t="s">
        <v>8971</v>
      </c>
      <c r="CV355" t="s">
        <v>6223</v>
      </c>
      <c r="CW355" t="s">
        <v>4895</v>
      </c>
      <c r="CX355" t="s">
        <v>3246</v>
      </c>
      <c r="CY355">
        <v>1.3499999999999943</v>
      </c>
      <c r="CZ355">
        <v>142065.88509933717</v>
      </c>
      <c r="DA355">
        <v>7150649.5499999998</v>
      </c>
      <c r="DB355" t="s">
        <v>38</v>
      </c>
      <c r="DC355" t="b">
        <v>1</v>
      </c>
      <c r="DD355">
        <v>7150649.5499999998</v>
      </c>
      <c r="DE355">
        <v>0</v>
      </c>
      <c r="DF355" t="b">
        <v>1</v>
      </c>
      <c r="DG355" s="420" cm="1">
        <f t="array" ref="DG355">_xlfn.XLOOKUP("Дом 4"&amp;Реестр_Д4[[#This Row],[№]]&amp;Реестр_Д4[[#This Row],[Статус]],РД[Дом]&amp;РД[№ кв]&amp;РД[Состояние],РД[Дата подачи на регистрацию],"-",0)</f>
        <v>45212</v>
      </c>
    </row>
    <row r="356" spans="1:111" x14ac:dyDescent="0.25">
      <c r="A356">
        <v>355</v>
      </c>
      <c r="B356" t="s">
        <v>16</v>
      </c>
      <c r="C356">
        <v>18</v>
      </c>
      <c r="D356" t="s">
        <v>44</v>
      </c>
      <c r="E356">
        <v>0</v>
      </c>
      <c r="F356">
        <v>19.22</v>
      </c>
      <c r="I356">
        <v>19.22</v>
      </c>
      <c r="J356">
        <v>9.57</v>
      </c>
      <c r="K356">
        <v>3.76</v>
      </c>
      <c r="N356">
        <v>2.56</v>
      </c>
      <c r="O356">
        <v>2.68</v>
      </c>
      <c r="Q356">
        <v>2.68</v>
      </c>
      <c r="R356">
        <v>37.79</v>
      </c>
      <c r="S356">
        <v>35.11</v>
      </c>
      <c r="T356">
        <v>36.450000000000003</v>
      </c>
      <c r="U356">
        <v>37.299999999999997</v>
      </c>
      <c r="V356">
        <v>76356</v>
      </c>
      <c r="W356">
        <v>3817.8</v>
      </c>
      <c r="X356">
        <v>80173.8</v>
      </c>
      <c r="Z356">
        <v>80173.8</v>
      </c>
      <c r="AB356">
        <v>80173.8</v>
      </c>
      <c r="AC356">
        <v>9.8613774000000003</v>
      </c>
      <c r="AD356">
        <v>80183.6613774</v>
      </c>
      <c r="AE356">
        <v>4009.1830688700002</v>
      </c>
      <c r="AF356">
        <v>84192.844446269999</v>
      </c>
      <c r="AH356">
        <v>84192.844446269999</v>
      </c>
      <c r="AJ356">
        <v>84192.844446269999</v>
      </c>
      <c r="AK356">
        <v>841.92844446269999</v>
      </c>
      <c r="AL356">
        <v>85034.772890732711</v>
      </c>
      <c r="AM356">
        <v>1700.695457814654</v>
      </c>
      <c r="AN356">
        <v>86735.468348547351</v>
      </c>
      <c r="AO356">
        <v>4336.7734174273673</v>
      </c>
      <c r="AP356">
        <v>91072.241765974715</v>
      </c>
      <c r="AQ356">
        <v>2732.1672529792413</v>
      </c>
      <c r="AR356">
        <v>93804.409018953957</v>
      </c>
      <c r="AT356">
        <v>93804.409018953957</v>
      </c>
      <c r="AU356">
        <v>2814.1322705686184</v>
      </c>
      <c r="AV356">
        <v>96618.541289522575</v>
      </c>
      <c r="AX356">
        <v>96618.541289522575</v>
      </c>
      <c r="AZ356">
        <v>96618.541289522575</v>
      </c>
      <c r="BB356">
        <v>96618.541289522575</v>
      </c>
      <c r="BD356">
        <v>96618.541289522575</v>
      </c>
      <c r="BF356">
        <v>96618.541289522575</v>
      </c>
      <c r="BH356">
        <v>96618.541289522575</v>
      </c>
      <c r="BJ356">
        <v>96618.541289522575</v>
      </c>
      <c r="BL356">
        <v>96618.541289522575</v>
      </c>
      <c r="BN356">
        <v>96618.541289522575</v>
      </c>
      <c r="BP356">
        <v>96618.541289522575</v>
      </c>
      <c r="BR356">
        <v>96618.541289522575</v>
      </c>
      <c r="BT356">
        <v>96618.541289522575</v>
      </c>
      <c r="BV356">
        <v>96618.541289522575</v>
      </c>
      <c r="BX356">
        <v>96618.541289522575</v>
      </c>
      <c r="BY356">
        <v>96618.54</v>
      </c>
      <c r="BZ356">
        <v>3521745.78</v>
      </c>
      <c r="CC356">
        <v>0</v>
      </c>
      <c r="CD356">
        <v>96618.539917695467</v>
      </c>
      <c r="CE356">
        <v>3521745.78</v>
      </c>
      <c r="CF356" t="s">
        <v>38</v>
      </c>
      <c r="CG356">
        <v>15500</v>
      </c>
      <c r="CH356">
        <v>112118.53991769548</v>
      </c>
      <c r="CI356">
        <v>564975</v>
      </c>
      <c r="CJ356">
        <v>4086720.78</v>
      </c>
      <c r="CN356">
        <v>0</v>
      </c>
      <c r="CO356" t="s">
        <v>39</v>
      </c>
      <c r="CP356" t="s">
        <v>39</v>
      </c>
      <c r="CQ356" t="b">
        <v>1</v>
      </c>
      <c r="CR356" t="s">
        <v>8950</v>
      </c>
      <c r="CT356" t="s">
        <v>8960</v>
      </c>
      <c r="CU356" t="s">
        <v>8970</v>
      </c>
      <c r="CV356" t="s">
        <v>6224</v>
      </c>
      <c r="CW356" t="s">
        <v>4895</v>
      </c>
      <c r="CX356" t="s">
        <v>3246</v>
      </c>
      <c r="CY356">
        <v>0.8499999999999942</v>
      </c>
      <c r="CZ356">
        <v>95300.758930040509</v>
      </c>
      <c r="DA356">
        <v>4086720.78</v>
      </c>
      <c r="DB356" t="s">
        <v>38</v>
      </c>
      <c r="DC356" t="b">
        <v>1</v>
      </c>
      <c r="DD356">
        <v>4086720.78</v>
      </c>
      <c r="DE356">
        <v>0</v>
      </c>
      <c r="DF356" t="b">
        <v>1</v>
      </c>
      <c r="DG356" s="420" cm="1">
        <f t="array" ref="DG356">_xlfn.XLOOKUP("Дом 4"&amp;Реестр_Д4[[#This Row],[№]]&amp;Реестр_Д4[[#This Row],[Статус]],РД[Дом]&amp;РД[№ кв]&amp;РД[Состояние],РД[Дата подачи на регистрацию],"-",0)</f>
        <v>45181</v>
      </c>
    </row>
    <row r="357" spans="1:111" x14ac:dyDescent="0.25">
      <c r="A357">
        <v>356</v>
      </c>
      <c r="B357" t="s">
        <v>16</v>
      </c>
      <c r="C357">
        <v>18</v>
      </c>
      <c r="D357" t="s">
        <v>45</v>
      </c>
      <c r="E357">
        <v>2</v>
      </c>
      <c r="F357">
        <v>18.12</v>
      </c>
      <c r="G357">
        <v>9.8800000000000008</v>
      </c>
      <c r="I357">
        <v>28</v>
      </c>
      <c r="J357">
        <v>15.3</v>
      </c>
      <c r="K357">
        <v>3.49</v>
      </c>
      <c r="L357">
        <v>2.34</v>
      </c>
      <c r="N357">
        <v>8.1</v>
      </c>
      <c r="O357">
        <v>2.63</v>
      </c>
      <c r="Q357">
        <v>2.63</v>
      </c>
      <c r="R357">
        <v>59.86</v>
      </c>
      <c r="S357">
        <v>57.23</v>
      </c>
      <c r="T357">
        <v>58.55</v>
      </c>
      <c r="U357">
        <v>60.5</v>
      </c>
      <c r="V357">
        <v>68639.199999999997</v>
      </c>
      <c r="W357">
        <v>3431.96</v>
      </c>
      <c r="X357">
        <v>72071.16</v>
      </c>
      <c r="Z357">
        <v>72071.16</v>
      </c>
      <c r="AA357">
        <v>3603.558</v>
      </c>
      <c r="AB357">
        <v>75674.717999999993</v>
      </c>
      <c r="AC357">
        <v>9.3079903140000013</v>
      </c>
      <c r="AD357">
        <v>75684.02599031401</v>
      </c>
      <c r="AF357">
        <v>75684.02599031401</v>
      </c>
      <c r="AH357">
        <v>75684.02599031401</v>
      </c>
      <c r="AJ357">
        <v>75684.02599031401</v>
      </c>
      <c r="AL357">
        <v>75684.02599031401</v>
      </c>
      <c r="AN357">
        <v>75684.02599031401</v>
      </c>
      <c r="AP357">
        <v>75684.02599031401</v>
      </c>
      <c r="AR357">
        <v>75684.02599031401</v>
      </c>
      <c r="AT357">
        <v>75684.02599031401</v>
      </c>
      <c r="AV357">
        <v>75684.02599031401</v>
      </c>
      <c r="AX357">
        <v>75684.02599031401</v>
      </c>
      <c r="AZ357">
        <v>75684.02599031401</v>
      </c>
      <c r="BB357">
        <v>75684.02599031401</v>
      </c>
      <c r="BD357">
        <v>75684.02599031401</v>
      </c>
      <c r="BF357">
        <v>75684.02599031401</v>
      </c>
      <c r="BH357">
        <v>75684.02599031401</v>
      </c>
      <c r="BJ357">
        <v>75684.02599031401</v>
      </c>
      <c r="BL357">
        <v>75684.02599031401</v>
      </c>
      <c r="BN357">
        <v>75684.02599031401</v>
      </c>
      <c r="BP357">
        <v>75684.02599031401</v>
      </c>
      <c r="BR357">
        <v>75684.02599031401</v>
      </c>
      <c r="BT357">
        <v>75684.02599031401</v>
      </c>
      <c r="BV357">
        <v>75684.02599031401</v>
      </c>
      <c r="BX357">
        <v>75684.02599031401</v>
      </c>
      <c r="BY357">
        <v>75684.03</v>
      </c>
      <c r="BZ357">
        <v>4431299.96</v>
      </c>
      <c r="CC357">
        <v>0</v>
      </c>
      <c r="CD357">
        <v>75684.030059777971</v>
      </c>
      <c r="CE357">
        <v>4431299.96</v>
      </c>
      <c r="CF357" t="s">
        <v>36</v>
      </c>
      <c r="CH357">
        <v>75684.030059777971</v>
      </c>
      <c r="CI357">
        <v>0</v>
      </c>
      <c r="CJ357">
        <v>4431299.96</v>
      </c>
      <c r="CN357">
        <v>0</v>
      </c>
      <c r="CO357" t="s">
        <v>39</v>
      </c>
      <c r="CP357" t="s">
        <v>39</v>
      </c>
      <c r="CQ357" t="b">
        <v>1</v>
      </c>
      <c r="CR357" t="s">
        <v>8950</v>
      </c>
      <c r="CT357" t="s">
        <v>8960</v>
      </c>
      <c r="CU357" t="s">
        <v>8971</v>
      </c>
      <c r="CV357" t="s">
        <v>6225</v>
      </c>
      <c r="CW357" t="s">
        <v>4895</v>
      </c>
      <c r="CX357" t="s">
        <v>3246</v>
      </c>
      <c r="CY357">
        <v>1.9500000000000028</v>
      </c>
      <c r="CZ357">
        <v>147583.85861656725</v>
      </c>
      <c r="DA357">
        <v>4431299.96</v>
      </c>
      <c r="DB357" t="s">
        <v>36</v>
      </c>
      <c r="DC357" t="b">
        <v>1</v>
      </c>
      <c r="DD357">
        <v>4431299.96</v>
      </c>
      <c r="DE357">
        <v>0</v>
      </c>
      <c r="DF357" t="b">
        <v>1</v>
      </c>
      <c r="DG357" s="420" cm="1">
        <f t="array" ref="DG357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358" spans="1:111" x14ac:dyDescent="0.25">
      <c r="A358">
        <v>357</v>
      </c>
      <c r="B358" t="s">
        <v>16</v>
      </c>
      <c r="C358">
        <v>18</v>
      </c>
      <c r="D358" t="s">
        <v>3351</v>
      </c>
      <c r="E358">
        <v>2</v>
      </c>
      <c r="F358">
        <v>15.36</v>
      </c>
      <c r="G358">
        <v>9.8699999999999992</v>
      </c>
      <c r="I358">
        <v>25.23</v>
      </c>
      <c r="J358">
        <v>16.260000000000002</v>
      </c>
      <c r="K358">
        <v>3.74</v>
      </c>
      <c r="L358">
        <v>2.09</v>
      </c>
      <c r="N358">
        <v>8.06</v>
      </c>
      <c r="O358">
        <v>2.63</v>
      </c>
      <c r="Q358">
        <v>2.63</v>
      </c>
      <c r="R358">
        <v>58.01</v>
      </c>
      <c r="S358">
        <v>55.379999999999995</v>
      </c>
      <c r="T358">
        <v>56.7</v>
      </c>
      <c r="U358">
        <v>58</v>
      </c>
      <c r="V358">
        <v>68639.199999999997</v>
      </c>
      <c r="W358">
        <v>3431.96</v>
      </c>
      <c r="X358">
        <v>72071.16</v>
      </c>
      <c r="Z358">
        <v>72071.16</v>
      </c>
      <c r="AA358">
        <v>3603.558</v>
      </c>
      <c r="AB358">
        <v>75674.717999999993</v>
      </c>
      <c r="AC358">
        <v>9.3079903140000013</v>
      </c>
      <c r="AD358">
        <v>75684.02599031401</v>
      </c>
      <c r="AF358">
        <v>75684.02599031401</v>
      </c>
      <c r="AH358">
        <v>75684.02599031401</v>
      </c>
      <c r="AJ358">
        <v>75684.02599031401</v>
      </c>
      <c r="AL358">
        <v>75684.02599031401</v>
      </c>
      <c r="AN358">
        <v>75684.02599031401</v>
      </c>
      <c r="AP358">
        <v>75684.02599031401</v>
      </c>
      <c r="AR358">
        <v>75684.02599031401</v>
      </c>
      <c r="AT358">
        <v>75684.02599031401</v>
      </c>
      <c r="AV358">
        <v>75684.02599031401</v>
      </c>
      <c r="AX358">
        <v>75684.02599031401</v>
      </c>
      <c r="AZ358">
        <v>75684.02599031401</v>
      </c>
      <c r="BB358">
        <v>75684.02599031401</v>
      </c>
      <c r="BD358">
        <v>75684.02599031401</v>
      </c>
      <c r="BF358">
        <v>75684.02599031401</v>
      </c>
      <c r="BH358">
        <v>75684.02599031401</v>
      </c>
      <c r="BJ358">
        <v>75684.02599031401</v>
      </c>
      <c r="BL358">
        <v>75684.02599031401</v>
      </c>
      <c r="BN358">
        <v>75684.02599031401</v>
      </c>
      <c r="BP358">
        <v>75684.02599031401</v>
      </c>
      <c r="BR358">
        <v>75684.02599031401</v>
      </c>
      <c r="BT358">
        <v>75684.02599031401</v>
      </c>
      <c r="BV358">
        <v>75684.02599031401</v>
      </c>
      <c r="BX358">
        <v>75684.02599031401</v>
      </c>
      <c r="BY358">
        <v>75684.03</v>
      </c>
      <c r="BZ358">
        <v>4291284.5</v>
      </c>
      <c r="CC358">
        <v>0</v>
      </c>
      <c r="CD358">
        <v>75684.02998236331</v>
      </c>
      <c r="CE358">
        <v>4291284.5</v>
      </c>
      <c r="CF358" t="s">
        <v>37</v>
      </c>
      <c r="CG358">
        <v>4000</v>
      </c>
      <c r="CH358">
        <v>79684.02998236331</v>
      </c>
      <c r="CI358">
        <v>226800</v>
      </c>
      <c r="CJ358">
        <v>4518084.5</v>
      </c>
      <c r="CN358">
        <v>0</v>
      </c>
      <c r="CO358" t="s">
        <v>39</v>
      </c>
      <c r="CP358" t="s">
        <v>39</v>
      </c>
      <c r="CQ358" t="b">
        <v>1</v>
      </c>
      <c r="CR358" t="s">
        <v>8950</v>
      </c>
      <c r="CT358" t="s">
        <v>8960</v>
      </c>
      <c r="CU358" t="s">
        <v>8971</v>
      </c>
      <c r="CV358" t="s">
        <v>6226</v>
      </c>
      <c r="CW358" t="s">
        <v>4895</v>
      </c>
      <c r="CX358" t="s">
        <v>3246</v>
      </c>
      <c r="CY358">
        <v>1.2999999999999972</v>
      </c>
      <c r="CZ358">
        <v>103589.23897707208</v>
      </c>
      <c r="DA358">
        <v>4518084.5</v>
      </c>
      <c r="DB358" t="s">
        <v>37</v>
      </c>
      <c r="DC358" t="b">
        <v>1</v>
      </c>
      <c r="DD358">
        <v>4518084.5</v>
      </c>
      <c r="DE358">
        <v>0</v>
      </c>
      <c r="DF358" t="b">
        <v>1</v>
      </c>
      <c r="DG358" s="420" cm="1">
        <f t="array" ref="DG358">_xlfn.XLOOKUP("Дом 4"&amp;Реестр_Д4[[#This Row],[№]]&amp;Реестр_Д4[[#This Row],[Статус]],РД[Дом]&amp;РД[№ кв]&amp;РД[Состояние],РД[Дата подачи на регистрацию],"-",0)</f>
        <v>44970</v>
      </c>
    </row>
    <row r="359" spans="1:111" x14ac:dyDescent="0.25">
      <c r="A359">
        <v>358</v>
      </c>
      <c r="B359" t="s">
        <v>16</v>
      </c>
      <c r="C359">
        <v>18</v>
      </c>
      <c r="D359" t="s">
        <v>3352</v>
      </c>
      <c r="E359">
        <v>3</v>
      </c>
      <c r="F359">
        <v>16.27</v>
      </c>
      <c r="G359">
        <v>10.96</v>
      </c>
      <c r="H359">
        <v>10.7</v>
      </c>
      <c r="I359">
        <v>37.93</v>
      </c>
      <c r="J359">
        <v>13.42</v>
      </c>
      <c r="K359">
        <v>4.53</v>
      </c>
      <c r="L359">
        <v>2.27</v>
      </c>
      <c r="N359">
        <v>12.94</v>
      </c>
      <c r="O359">
        <v>2.83</v>
      </c>
      <c r="Q359">
        <v>2.83</v>
      </c>
      <c r="R359">
        <v>73.92</v>
      </c>
      <c r="S359">
        <v>71.09</v>
      </c>
      <c r="T359">
        <v>72.510000000000005</v>
      </c>
      <c r="U359">
        <v>74.100000000000023</v>
      </c>
      <c r="V359">
        <v>68992.000000000015</v>
      </c>
      <c r="W359">
        <v>3449.6000000000008</v>
      </c>
      <c r="X359">
        <v>72441.60000000002</v>
      </c>
      <c r="Z359">
        <v>72441.60000000002</v>
      </c>
      <c r="AB359">
        <v>72441.60000000002</v>
      </c>
      <c r="AC359">
        <v>8.9103168000000039</v>
      </c>
      <c r="AD359">
        <v>72450.510316800021</v>
      </c>
      <c r="AF359">
        <v>72450.510316800021</v>
      </c>
      <c r="AH359">
        <v>72450.510316800021</v>
      </c>
      <c r="AI359">
        <v>2173.5153095040005</v>
      </c>
      <c r="AJ359">
        <v>74624.025626304021</v>
      </c>
      <c r="AK359">
        <v>746.24025626304035</v>
      </c>
      <c r="AL359">
        <v>75370.265882567066</v>
      </c>
      <c r="AM359">
        <v>1507.4053176513414</v>
      </c>
      <c r="AN359">
        <v>76877.671200218407</v>
      </c>
      <c r="AP359">
        <v>76877.671200218407</v>
      </c>
      <c r="AQ359">
        <v>2306.330136006552</v>
      </c>
      <c r="AR359">
        <v>79184.001336224959</v>
      </c>
      <c r="AT359">
        <v>79184.001336224959</v>
      </c>
      <c r="AV359">
        <v>79184.001336224959</v>
      </c>
      <c r="AX359">
        <v>79184.001336224959</v>
      </c>
      <c r="AZ359">
        <v>79184.001336224959</v>
      </c>
      <c r="BB359">
        <v>79184.001336224959</v>
      </c>
      <c r="BD359">
        <v>79184.001336224959</v>
      </c>
      <c r="BF359">
        <v>79184.001336224959</v>
      </c>
      <c r="BH359">
        <v>79184.001336224959</v>
      </c>
      <c r="BJ359">
        <v>79184.001336224959</v>
      </c>
      <c r="BL359">
        <v>79184.001336224959</v>
      </c>
      <c r="BN359">
        <v>79184.001336224959</v>
      </c>
      <c r="BP359">
        <v>79184.001336224959</v>
      </c>
      <c r="BR359">
        <v>79184.001336224959</v>
      </c>
      <c r="BT359">
        <v>79184.001336224959</v>
      </c>
      <c r="BV359">
        <v>79184.001336224959</v>
      </c>
      <c r="BX359">
        <v>79184.001336224959</v>
      </c>
      <c r="BY359">
        <v>79184</v>
      </c>
      <c r="BZ359">
        <v>5741631.8399999999</v>
      </c>
      <c r="CC359">
        <v>0</v>
      </c>
      <c r="CD359">
        <v>79183.999999999985</v>
      </c>
      <c r="CE359">
        <v>5741631.8399999999</v>
      </c>
      <c r="CF359" t="s">
        <v>36</v>
      </c>
      <c r="CH359">
        <v>79183.999999999985</v>
      </c>
      <c r="CI359">
        <v>0</v>
      </c>
      <c r="CJ359">
        <v>5741631.8399999999</v>
      </c>
      <c r="CN359">
        <v>0</v>
      </c>
      <c r="CO359" t="s">
        <v>39</v>
      </c>
      <c r="CP359" t="s">
        <v>39</v>
      </c>
      <c r="CQ359" t="b">
        <v>1</v>
      </c>
      <c r="CR359" t="s">
        <v>8950</v>
      </c>
      <c r="CT359" t="s">
        <v>8960</v>
      </c>
      <c r="CU359" t="s">
        <v>8975</v>
      </c>
      <c r="CV359" t="s">
        <v>6227</v>
      </c>
      <c r="CW359" t="s">
        <v>4895</v>
      </c>
      <c r="CX359" t="s">
        <v>3246</v>
      </c>
      <c r="CY359">
        <v>1.5900000000000034</v>
      </c>
      <c r="CZ359">
        <v>125902.56000000025</v>
      </c>
      <c r="DA359">
        <v>5741631.8399999999</v>
      </c>
      <c r="DB359" t="s">
        <v>36</v>
      </c>
      <c r="DC359" t="b">
        <v>1</v>
      </c>
      <c r="DD359">
        <v>5741631.8399999999</v>
      </c>
      <c r="DE359">
        <v>0</v>
      </c>
      <c r="DF359" t="b">
        <v>1</v>
      </c>
      <c r="DG359" s="420" cm="1">
        <f t="array" ref="DG359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360" spans="1:111" x14ac:dyDescent="0.25">
      <c r="A360">
        <v>359</v>
      </c>
      <c r="B360" t="s">
        <v>16</v>
      </c>
      <c r="C360">
        <v>18</v>
      </c>
      <c r="D360" t="s">
        <v>3353</v>
      </c>
      <c r="E360">
        <v>1</v>
      </c>
      <c r="F360">
        <v>10.68</v>
      </c>
      <c r="I360">
        <v>10.68</v>
      </c>
      <c r="J360">
        <v>12.75</v>
      </c>
      <c r="K360">
        <v>3.65</v>
      </c>
      <c r="N360">
        <v>5.45</v>
      </c>
      <c r="O360">
        <v>2.62</v>
      </c>
      <c r="Q360">
        <v>2.62</v>
      </c>
      <c r="R360">
        <v>35.15</v>
      </c>
      <c r="S360">
        <v>32.53</v>
      </c>
      <c r="T360">
        <v>33.840000000000003</v>
      </c>
      <c r="U360">
        <v>34.699999999999996</v>
      </c>
      <c r="V360">
        <v>71400</v>
      </c>
      <c r="W360">
        <v>3570</v>
      </c>
      <c r="X360">
        <v>74970</v>
      </c>
      <c r="Y360">
        <v>2998.8</v>
      </c>
      <c r="Z360">
        <v>77968.800000000003</v>
      </c>
      <c r="AA360">
        <v>3898.440000000001</v>
      </c>
      <c r="AB360">
        <v>81867.240000000005</v>
      </c>
      <c r="AC360">
        <v>10.069670520000001</v>
      </c>
      <c r="AD360">
        <v>81877.309670520001</v>
      </c>
      <c r="AE360">
        <v>4093.8654835259999</v>
      </c>
      <c r="AF360">
        <v>85971.175154045995</v>
      </c>
      <c r="AH360">
        <v>85971.175154045995</v>
      </c>
      <c r="AI360">
        <v>2579.1352546213802</v>
      </c>
      <c r="AJ360">
        <v>88550.31040866737</v>
      </c>
      <c r="AK360">
        <v>2656.509312260021</v>
      </c>
      <c r="AL360">
        <v>91206.819720927393</v>
      </c>
      <c r="AM360">
        <v>3648.272788837096</v>
      </c>
      <c r="AN360">
        <v>94855.092509764494</v>
      </c>
      <c r="AO360">
        <v>1897.1018501952899</v>
      </c>
      <c r="AP360">
        <v>96752.194359959787</v>
      </c>
      <c r="AQ360">
        <v>2902.5658307987933</v>
      </c>
      <c r="AR360">
        <v>99654.760190758578</v>
      </c>
      <c r="AS360">
        <v>4982.7380095379294</v>
      </c>
      <c r="AT360">
        <v>104637.49820029653</v>
      </c>
      <c r="AU360">
        <v>3139.1249460088952</v>
      </c>
      <c r="AV360">
        <v>107776.6231463054</v>
      </c>
      <c r="AW360">
        <v>6466.5973887783248</v>
      </c>
      <c r="AX360">
        <v>114243.22053508372</v>
      </c>
      <c r="AZ360">
        <v>114243.22053508372</v>
      </c>
      <c r="BB360">
        <v>114243.22053508372</v>
      </c>
      <c r="BD360">
        <v>114243.22053508372</v>
      </c>
      <c r="BF360">
        <v>114243.22053508372</v>
      </c>
      <c r="BH360">
        <v>114243.22053508372</v>
      </c>
      <c r="BI360">
        <v>5712.1610267541873</v>
      </c>
      <c r="BJ360">
        <v>119955.38156183792</v>
      </c>
      <c r="BK360">
        <v>500</v>
      </c>
      <c r="BL360">
        <v>120455.38156183792</v>
      </c>
      <c r="BM360">
        <v>2409.1076312367586</v>
      </c>
      <c r="BN360">
        <v>122864.48919307468</v>
      </c>
      <c r="BO360">
        <v>6143.2244596537339</v>
      </c>
      <c r="BP360">
        <v>129007.7136527284</v>
      </c>
      <c r="BR360">
        <v>129007.7136527284</v>
      </c>
      <c r="BT360">
        <v>129007.7136527284</v>
      </c>
      <c r="BV360">
        <v>129007.7136527284</v>
      </c>
      <c r="BX360">
        <v>129007.7136527284</v>
      </c>
      <c r="BY360">
        <v>129007.71</v>
      </c>
      <c r="BZ360">
        <v>4365700</v>
      </c>
      <c r="CC360">
        <v>0</v>
      </c>
      <c r="CD360">
        <v>129010.04728132386</v>
      </c>
      <c r="CE360">
        <v>4365700</v>
      </c>
      <c r="CF360" t="s">
        <v>38</v>
      </c>
      <c r="CG360">
        <v>22000</v>
      </c>
      <c r="CH360">
        <v>151010.04728132387</v>
      </c>
      <c r="CI360">
        <v>744480</v>
      </c>
      <c r="CJ360">
        <v>5110180</v>
      </c>
      <c r="CK360" t="s">
        <v>57</v>
      </c>
      <c r="CN360">
        <v>0</v>
      </c>
      <c r="CO360" t="s">
        <v>39</v>
      </c>
      <c r="CP360" t="s">
        <v>39</v>
      </c>
      <c r="CQ360" t="b">
        <v>1</v>
      </c>
      <c r="CR360" t="s">
        <v>8950</v>
      </c>
      <c r="CT360" t="s">
        <v>8960</v>
      </c>
      <c r="CU360" t="s">
        <v>8973</v>
      </c>
      <c r="CV360" t="s">
        <v>6228</v>
      </c>
      <c r="CW360" t="s">
        <v>6652</v>
      </c>
      <c r="CX360" t="s">
        <v>3246</v>
      </c>
      <c r="CY360">
        <v>0.85999999999999233</v>
      </c>
      <c r="CZ360">
        <v>129868.64066193736</v>
      </c>
      <c r="DA360">
        <v>5110180</v>
      </c>
      <c r="DB360" t="s">
        <v>38</v>
      </c>
      <c r="DC360" t="b">
        <v>1</v>
      </c>
      <c r="DD360">
        <v>5110180</v>
      </c>
      <c r="DE360">
        <v>0</v>
      </c>
      <c r="DF360" t="b">
        <v>1</v>
      </c>
      <c r="DG360" s="420" cm="1">
        <f t="array" ref="DG360">_xlfn.XLOOKUP("Дом 4"&amp;Реестр_Д4[[#This Row],[№]]&amp;Реестр_Д4[[#This Row],[Статус]],РД[Дом]&amp;РД[№ кв]&amp;РД[Состояние],РД[Дата подачи на регистрацию],"-",0)</f>
        <v>45407</v>
      </c>
    </row>
    <row r="361" spans="1:111" x14ac:dyDescent="0.25">
      <c r="A361">
        <v>360</v>
      </c>
      <c r="B361" t="s">
        <v>16</v>
      </c>
      <c r="C361">
        <v>19</v>
      </c>
      <c r="D361" t="s">
        <v>42</v>
      </c>
      <c r="E361">
        <v>0</v>
      </c>
      <c r="F361">
        <v>14.73</v>
      </c>
      <c r="I361">
        <v>14.73</v>
      </c>
      <c r="J361">
        <v>5.74</v>
      </c>
      <c r="K361">
        <v>3.61</v>
      </c>
      <c r="N361">
        <v>3.6</v>
      </c>
      <c r="O361">
        <v>3.34</v>
      </c>
      <c r="Q361">
        <v>3.34</v>
      </c>
      <c r="R361">
        <v>31.02</v>
      </c>
      <c r="S361">
        <v>27.68</v>
      </c>
      <c r="T361">
        <v>29.35</v>
      </c>
      <c r="U361">
        <v>30.199999999999996</v>
      </c>
      <c r="V361">
        <v>83160</v>
      </c>
      <c r="W361">
        <v>4158</v>
      </c>
      <c r="X361">
        <v>87318</v>
      </c>
      <c r="Z361">
        <v>87318</v>
      </c>
      <c r="AB361">
        <v>87318</v>
      </c>
      <c r="AC361">
        <v>10.740114</v>
      </c>
      <c r="AD361">
        <v>87328.740114</v>
      </c>
      <c r="AE361">
        <v>4366.4370057000006</v>
      </c>
      <c r="AF361">
        <v>91695.177119700005</v>
      </c>
      <c r="AH361">
        <v>91695.177119700005</v>
      </c>
      <c r="AJ361">
        <v>91695.177119700005</v>
      </c>
      <c r="AK361">
        <v>916.95177119699997</v>
      </c>
      <c r="AL361">
        <v>92612.128890897002</v>
      </c>
      <c r="AM361">
        <v>1852.2425778179399</v>
      </c>
      <c r="AN361">
        <v>94464.371468714948</v>
      </c>
      <c r="AO361">
        <v>4723.2185734357472</v>
      </c>
      <c r="AP361">
        <v>99187.590042150681</v>
      </c>
      <c r="AQ361">
        <v>2975.627701264521</v>
      </c>
      <c r="AR361">
        <v>102163.2177434152</v>
      </c>
      <c r="AT361">
        <v>102163.2177434152</v>
      </c>
      <c r="AV361">
        <v>102163.2177434152</v>
      </c>
      <c r="AX361">
        <v>102163.2177434152</v>
      </c>
      <c r="AZ361">
        <v>102163.2177434152</v>
      </c>
      <c r="BB361">
        <v>102163.2177434152</v>
      </c>
      <c r="BD361">
        <v>102163.2177434152</v>
      </c>
      <c r="BF361">
        <v>102163.2177434152</v>
      </c>
      <c r="BH361">
        <v>102163.2177434152</v>
      </c>
      <c r="BJ361">
        <v>102163.2177434152</v>
      </c>
      <c r="BL361">
        <v>102163.2177434152</v>
      </c>
      <c r="BN361">
        <v>102163.2177434152</v>
      </c>
      <c r="BP361">
        <v>102163.2177434152</v>
      </c>
      <c r="BR361">
        <v>102163.2177434152</v>
      </c>
      <c r="BT361">
        <v>102163.2177434152</v>
      </c>
      <c r="BV361">
        <v>102163.2177434152</v>
      </c>
      <c r="BX361">
        <v>102163.2177434152</v>
      </c>
      <c r="BY361">
        <v>102163.22</v>
      </c>
      <c r="BZ361">
        <v>2998490.51</v>
      </c>
      <c r="CB361">
        <v>0.06</v>
      </c>
      <c r="CC361">
        <v>179909.43059999999</v>
      </c>
      <c r="CD361">
        <v>96033.426916524695</v>
      </c>
      <c r="CE361">
        <v>2818581.08</v>
      </c>
      <c r="CF361" t="s">
        <v>38</v>
      </c>
      <c r="CG361">
        <v>15500</v>
      </c>
      <c r="CH361">
        <v>111533.4269165247</v>
      </c>
      <c r="CI361">
        <v>454925</v>
      </c>
      <c r="CJ361">
        <v>3273506.08</v>
      </c>
      <c r="CL361" t="s">
        <v>978</v>
      </c>
      <c r="CN361">
        <v>0</v>
      </c>
      <c r="CO361" t="s">
        <v>39</v>
      </c>
      <c r="CP361" t="s">
        <v>39</v>
      </c>
      <c r="CQ361" t="b">
        <v>1</v>
      </c>
      <c r="CR361" t="s">
        <v>8950</v>
      </c>
      <c r="CT361" t="s">
        <v>8960</v>
      </c>
      <c r="CU361" t="s">
        <v>8970</v>
      </c>
      <c r="CV361" t="s">
        <v>6229</v>
      </c>
      <c r="CW361" t="s">
        <v>4895</v>
      </c>
      <c r="CX361" t="s">
        <v>3246</v>
      </c>
      <c r="CY361">
        <v>0.8499999999999942</v>
      </c>
      <c r="CZ361">
        <v>94803.412879045354</v>
      </c>
      <c r="DA361">
        <v>3273506.08</v>
      </c>
      <c r="DB361" t="s">
        <v>38</v>
      </c>
      <c r="DC361" t="b">
        <v>1</v>
      </c>
      <c r="DD361">
        <v>3273506.08</v>
      </c>
      <c r="DE361">
        <v>0</v>
      </c>
      <c r="DF361" t="b">
        <v>1</v>
      </c>
      <c r="DG361" s="420" cm="1">
        <f t="array" ref="DG361">_xlfn.XLOOKUP("Дом 4"&amp;Реестр_Д4[[#This Row],[№]]&amp;Реестр_Д4[[#This Row],[Статус]],РД[Дом]&amp;РД[№ кв]&amp;РД[Состояние],РД[Дата подачи на регистрацию],"-",0)</f>
        <v>45161</v>
      </c>
    </row>
    <row r="362" spans="1:111" x14ac:dyDescent="0.25">
      <c r="A362">
        <v>361</v>
      </c>
      <c r="B362" t="s">
        <v>16</v>
      </c>
      <c r="C362">
        <v>19</v>
      </c>
      <c r="D362" t="s">
        <v>43</v>
      </c>
      <c r="E362">
        <v>2</v>
      </c>
      <c r="F362">
        <v>17.22</v>
      </c>
      <c r="G362">
        <v>12.24</v>
      </c>
      <c r="I362">
        <v>29.46</v>
      </c>
      <c r="J362">
        <v>17.010000000000002</v>
      </c>
      <c r="K362">
        <v>3.67</v>
      </c>
      <c r="L362">
        <v>2.4</v>
      </c>
      <c r="N362">
        <v>12.71</v>
      </c>
      <c r="O362">
        <v>2.61</v>
      </c>
      <c r="P362">
        <v>2.78</v>
      </c>
      <c r="Q362">
        <v>5.39</v>
      </c>
      <c r="R362">
        <v>70.64</v>
      </c>
      <c r="S362">
        <v>65.25</v>
      </c>
      <c r="T362">
        <v>67.95</v>
      </c>
      <c r="U362">
        <v>69.3</v>
      </c>
      <c r="V362">
        <v>76636</v>
      </c>
      <c r="W362">
        <v>3831.8</v>
      </c>
      <c r="X362">
        <v>80467.8</v>
      </c>
      <c r="Z362">
        <v>80467.8</v>
      </c>
      <c r="AA362">
        <v>4023.39</v>
      </c>
      <c r="AB362">
        <v>84491.19</v>
      </c>
      <c r="AC362">
        <v>10.392416369999999</v>
      </c>
      <c r="AD362">
        <v>84501.582416370002</v>
      </c>
      <c r="AF362">
        <v>84501.582416370002</v>
      </c>
      <c r="AH362">
        <v>84501.582416370002</v>
      </c>
      <c r="AI362">
        <v>1690.0316483274</v>
      </c>
      <c r="AJ362">
        <v>86191.614064697409</v>
      </c>
      <c r="AK362">
        <v>861.9161406469741</v>
      </c>
      <c r="AL362">
        <v>87053.530205344388</v>
      </c>
      <c r="AM362">
        <v>1741.0706041068879</v>
      </c>
      <c r="AN362">
        <v>88794.60080945128</v>
      </c>
      <c r="AP362">
        <v>88794.60080945128</v>
      </c>
      <c r="AQ362">
        <v>2663.8380242835383</v>
      </c>
      <c r="AR362">
        <v>91458.438833734821</v>
      </c>
      <c r="AT362">
        <v>91458.438833734821</v>
      </c>
      <c r="AU362">
        <v>2743.7531650120445</v>
      </c>
      <c r="AV362">
        <v>94202.191998746886</v>
      </c>
      <c r="AX362">
        <v>94202.191998746886</v>
      </c>
      <c r="AZ362">
        <v>94202.191998746886</v>
      </c>
      <c r="BB362">
        <v>94202.191998746886</v>
      </c>
      <c r="BD362">
        <v>94202.191998746886</v>
      </c>
      <c r="BF362">
        <v>94202.191998746886</v>
      </c>
      <c r="BH362">
        <v>94202.191998746886</v>
      </c>
      <c r="BJ362">
        <v>94202.191998746886</v>
      </c>
      <c r="BL362">
        <v>94202.191998746886</v>
      </c>
      <c r="BN362">
        <v>94202.191998746886</v>
      </c>
      <c r="BP362">
        <v>94202.191998746886</v>
      </c>
      <c r="BR362">
        <v>94202.191998746886</v>
      </c>
      <c r="BT362">
        <v>94202.191998746886</v>
      </c>
      <c r="BV362">
        <v>94202.191998746886</v>
      </c>
      <c r="BX362">
        <v>94202.191998746886</v>
      </c>
      <c r="BY362">
        <v>94202.19</v>
      </c>
      <c r="BZ362">
        <v>6401100</v>
      </c>
      <c r="CA362">
        <v>305775</v>
      </c>
      <c r="CC362">
        <v>305775</v>
      </c>
      <c r="CD362">
        <v>89703.090507726272</v>
      </c>
      <c r="CE362">
        <v>6095325</v>
      </c>
      <c r="CF362" t="s">
        <v>37</v>
      </c>
      <c r="CG362">
        <v>7500</v>
      </c>
      <c r="CH362">
        <v>97203.090507726272</v>
      </c>
      <c r="CI362">
        <v>509625</v>
      </c>
      <c r="CJ362">
        <v>6604950</v>
      </c>
      <c r="CL362" t="s">
        <v>6925</v>
      </c>
      <c r="CN362">
        <v>0</v>
      </c>
      <c r="CO362" t="s">
        <v>39</v>
      </c>
      <c r="CP362" t="s">
        <v>39</v>
      </c>
      <c r="CQ362" t="b">
        <v>1</v>
      </c>
      <c r="CR362" t="s">
        <v>8950</v>
      </c>
      <c r="CT362" t="s">
        <v>8960</v>
      </c>
      <c r="CU362" t="s">
        <v>8971</v>
      </c>
      <c r="CV362" t="s">
        <v>6230</v>
      </c>
      <c r="CW362" t="s">
        <v>6652</v>
      </c>
      <c r="CX362" t="s">
        <v>3246</v>
      </c>
      <c r="CY362">
        <v>1.3499999999999943</v>
      </c>
      <c r="CZ362">
        <v>131224.17218542992</v>
      </c>
      <c r="DA362">
        <v>6604950</v>
      </c>
      <c r="DB362" t="s">
        <v>37</v>
      </c>
      <c r="DC362" t="b">
        <v>1</v>
      </c>
      <c r="DD362">
        <v>6604950</v>
      </c>
      <c r="DE362">
        <v>0</v>
      </c>
      <c r="DF362" t="b">
        <v>1</v>
      </c>
      <c r="DG362" s="420" cm="1">
        <f t="array" ref="DG362">_xlfn.XLOOKUP("Дом 4"&amp;Реестр_Д4[[#This Row],[№]]&amp;Реестр_Д4[[#This Row],[Статус]],РД[Дом]&amp;РД[№ кв]&amp;РД[Состояние],РД[Дата подачи на регистрацию],"-",0)</f>
        <v>45278</v>
      </c>
    </row>
    <row r="363" spans="1:111" x14ac:dyDescent="0.25">
      <c r="A363">
        <v>362</v>
      </c>
      <c r="B363" t="s">
        <v>16</v>
      </c>
      <c r="C363">
        <v>19</v>
      </c>
      <c r="D363" t="s">
        <v>44</v>
      </c>
      <c r="E363">
        <v>0</v>
      </c>
      <c r="F363">
        <v>19.22</v>
      </c>
      <c r="I363">
        <v>19.22</v>
      </c>
      <c r="J363">
        <v>9.57</v>
      </c>
      <c r="K363">
        <v>3.76</v>
      </c>
      <c r="N363">
        <v>2.56</v>
      </c>
      <c r="O363">
        <v>2.68</v>
      </c>
      <c r="Q363">
        <v>2.68</v>
      </c>
      <c r="R363">
        <v>37.79</v>
      </c>
      <c r="S363">
        <v>35.11</v>
      </c>
      <c r="T363">
        <v>36.450000000000003</v>
      </c>
      <c r="U363">
        <v>37.299999999999997</v>
      </c>
      <c r="V363">
        <v>82404</v>
      </c>
      <c r="W363">
        <v>4120.2</v>
      </c>
      <c r="X363">
        <v>86524.2</v>
      </c>
      <c r="Z363">
        <v>86524.2</v>
      </c>
      <c r="AB363">
        <v>86524.2</v>
      </c>
      <c r="AD363">
        <v>86524.2</v>
      </c>
      <c r="AF363">
        <v>86524.2</v>
      </c>
      <c r="AH363">
        <v>86524.2</v>
      </c>
      <c r="AJ363">
        <v>86524.2</v>
      </c>
      <c r="AL363">
        <v>86524.2</v>
      </c>
      <c r="AN363">
        <v>86524.2</v>
      </c>
      <c r="AP363">
        <v>86524.2</v>
      </c>
      <c r="AR363">
        <v>86524.2</v>
      </c>
      <c r="AT363">
        <v>86524.2</v>
      </c>
      <c r="AV363">
        <v>86524.2</v>
      </c>
      <c r="AX363">
        <v>86524.2</v>
      </c>
      <c r="AZ363">
        <v>86524.2</v>
      </c>
      <c r="BB363">
        <v>86524.2</v>
      </c>
      <c r="BD363">
        <v>86524.2</v>
      </c>
      <c r="BF363">
        <v>86524.2</v>
      </c>
      <c r="BH363">
        <v>86524.2</v>
      </c>
      <c r="BJ363">
        <v>86524.2</v>
      </c>
      <c r="BL363">
        <v>86524.2</v>
      </c>
      <c r="BN363">
        <v>86524.2</v>
      </c>
      <c r="BP363">
        <v>86524.2</v>
      </c>
      <c r="BR363">
        <v>86524.2</v>
      </c>
      <c r="BT363">
        <v>86524.2</v>
      </c>
      <c r="BV363">
        <v>86524.2</v>
      </c>
      <c r="BX363">
        <v>86524.2</v>
      </c>
      <c r="BY363">
        <v>86524.2</v>
      </c>
      <c r="BZ363">
        <v>3153807.09</v>
      </c>
      <c r="CC363">
        <v>0</v>
      </c>
      <c r="CD363">
        <v>86524.199999999983</v>
      </c>
      <c r="CE363">
        <v>3153807.09</v>
      </c>
      <c r="CF363" t="s">
        <v>36</v>
      </c>
      <c r="CH363">
        <v>86524.199999999983</v>
      </c>
      <c r="CI363">
        <v>0</v>
      </c>
      <c r="CJ363">
        <v>3153807.09</v>
      </c>
      <c r="CN363">
        <v>0</v>
      </c>
      <c r="CO363" t="s">
        <v>39</v>
      </c>
      <c r="CP363" t="s">
        <v>39</v>
      </c>
      <c r="CQ363" t="b">
        <v>1</v>
      </c>
      <c r="CR363" t="s">
        <v>8950</v>
      </c>
      <c r="CT363" t="s">
        <v>8960</v>
      </c>
      <c r="CU363" t="s">
        <v>8970</v>
      </c>
      <c r="CV363" t="s">
        <v>6231</v>
      </c>
      <c r="CW363" t="s">
        <v>4895</v>
      </c>
      <c r="CX363" t="s">
        <v>3246</v>
      </c>
      <c r="CY363">
        <v>0.8499999999999942</v>
      </c>
      <c r="CZ363">
        <v>73545.569999999498</v>
      </c>
      <c r="DA363">
        <v>3153807.09</v>
      </c>
      <c r="DB363" t="s">
        <v>36</v>
      </c>
      <c r="DC363" t="b">
        <v>1</v>
      </c>
      <c r="DD363">
        <v>3153807.09</v>
      </c>
      <c r="DE363">
        <v>0</v>
      </c>
      <c r="DF363" t="b">
        <v>1</v>
      </c>
      <c r="DG363" s="420" cm="1">
        <f t="array" ref="DG363">_xlfn.XLOOKUP("Дом 4"&amp;Реестр_Д4[[#This Row],[№]]&amp;Реестр_Д4[[#This Row],[Статус]],РД[Дом]&amp;РД[№ кв]&amp;РД[Состояние],РД[Дата подачи на регистрацию],"-",0)</f>
        <v>44819</v>
      </c>
    </row>
    <row r="364" spans="1:111" x14ac:dyDescent="0.25">
      <c r="A364">
        <v>363</v>
      </c>
      <c r="B364" t="s">
        <v>16</v>
      </c>
      <c r="C364">
        <v>19</v>
      </c>
      <c r="D364" t="s">
        <v>45</v>
      </c>
      <c r="E364">
        <v>2</v>
      </c>
      <c r="F364">
        <v>18.12</v>
      </c>
      <c r="G364">
        <v>9.8800000000000008</v>
      </c>
      <c r="I364">
        <v>28</v>
      </c>
      <c r="J364">
        <v>15.3</v>
      </c>
      <c r="K364">
        <v>3.49</v>
      </c>
      <c r="L364">
        <v>2.34</v>
      </c>
      <c r="N364">
        <v>8.1</v>
      </c>
      <c r="O364">
        <v>2.63</v>
      </c>
      <c r="Q364">
        <v>2.63</v>
      </c>
      <c r="R364">
        <v>59.86</v>
      </c>
      <c r="S364">
        <v>57.23</v>
      </c>
      <c r="T364">
        <v>58.55</v>
      </c>
      <c r="U364">
        <v>60.3</v>
      </c>
      <c r="V364">
        <v>73970.399999999994</v>
      </c>
      <c r="W364">
        <v>3698.52</v>
      </c>
      <c r="X364">
        <v>77668.92</v>
      </c>
      <c r="Z364">
        <v>77668.92</v>
      </c>
      <c r="AA364">
        <v>3883.4459999999999</v>
      </c>
      <c r="AB364">
        <v>81552.365999999995</v>
      </c>
      <c r="AC364">
        <v>10.030941018</v>
      </c>
      <c r="AD364">
        <v>81562.396941018</v>
      </c>
      <c r="AF364">
        <v>81562.396941018</v>
      </c>
      <c r="AH364">
        <v>81562.396941018</v>
      </c>
      <c r="AI364">
        <v>1631.2479388203601</v>
      </c>
      <c r="AJ364">
        <v>83193.644879838364</v>
      </c>
      <c r="AK364">
        <v>831.93644879838371</v>
      </c>
      <c r="AL364">
        <v>84025.581328636748</v>
      </c>
      <c r="AM364">
        <v>1680.5116265727347</v>
      </c>
      <c r="AN364">
        <v>85706.092955209489</v>
      </c>
      <c r="AO364">
        <v>2571.1827886562846</v>
      </c>
      <c r="AP364">
        <v>88277.275743865772</v>
      </c>
      <c r="AQ364">
        <v>2648.318272315973</v>
      </c>
      <c r="AR364">
        <v>90925.594016181742</v>
      </c>
      <c r="AS364">
        <v>4546.2797008090874</v>
      </c>
      <c r="AT364">
        <v>95471.873716990827</v>
      </c>
      <c r="AU364">
        <v>2864.1562115097249</v>
      </c>
      <c r="AV364">
        <v>98336.029928500546</v>
      </c>
      <c r="AX364">
        <v>98336.029928500546</v>
      </c>
      <c r="AZ364">
        <v>98336.029928500546</v>
      </c>
      <c r="BB364">
        <v>98336.029928500546</v>
      </c>
      <c r="BD364">
        <v>98336.029928500546</v>
      </c>
      <c r="BF364">
        <v>98336.029928500546</v>
      </c>
      <c r="BH364">
        <v>98336.029928500546</v>
      </c>
      <c r="BI364">
        <v>4916.8014964250278</v>
      </c>
      <c r="BJ364">
        <v>103252.83142492558</v>
      </c>
      <c r="BK364">
        <v>1000</v>
      </c>
      <c r="BL364">
        <v>104252.83142492558</v>
      </c>
      <c r="BM364">
        <v>2085.0566284985116</v>
      </c>
      <c r="BN364">
        <v>106337.88805342407</v>
      </c>
      <c r="BO364">
        <v>5316.8944026712052</v>
      </c>
      <c r="BP364">
        <v>111654.7824560953</v>
      </c>
      <c r="BQ364">
        <v>500</v>
      </c>
      <c r="BR364">
        <v>112154.7824560953</v>
      </c>
      <c r="BT364">
        <v>112154.7824560953</v>
      </c>
      <c r="BV364">
        <v>112154.7824560953</v>
      </c>
      <c r="BX364">
        <v>112154.7824560953</v>
      </c>
      <c r="BY364">
        <v>112154.78</v>
      </c>
      <c r="BZ364">
        <v>6566700</v>
      </c>
      <c r="CB364">
        <v>0.03</v>
      </c>
      <c r="CC364">
        <v>197001</v>
      </c>
      <c r="CD364">
        <v>108790.76003415884</v>
      </c>
      <c r="CE364">
        <v>6369699</v>
      </c>
      <c r="CF364" t="s">
        <v>38</v>
      </c>
      <c r="CG364">
        <v>22000</v>
      </c>
      <c r="CH364">
        <v>130790.76003415884</v>
      </c>
      <c r="CI364">
        <v>1288100</v>
      </c>
      <c r="CJ364">
        <v>7657799</v>
      </c>
      <c r="CL364" t="s">
        <v>978</v>
      </c>
      <c r="CN364">
        <v>0</v>
      </c>
      <c r="CO364" t="s">
        <v>39</v>
      </c>
      <c r="CP364" t="s">
        <v>39</v>
      </c>
      <c r="CQ364" t="b">
        <v>1</v>
      </c>
      <c r="CR364" t="s">
        <v>8950</v>
      </c>
      <c r="CT364" t="s">
        <v>8960</v>
      </c>
      <c r="CU364" t="s">
        <v>8971</v>
      </c>
      <c r="CV364" t="s">
        <v>6232</v>
      </c>
      <c r="CW364" t="s">
        <v>6652</v>
      </c>
      <c r="CX364" t="s">
        <v>3246</v>
      </c>
      <c r="CY364">
        <v>1.75</v>
      </c>
      <c r="CZ364">
        <v>228883.83005977797</v>
      </c>
      <c r="DA364">
        <v>7657799</v>
      </c>
      <c r="DB364" t="s">
        <v>38</v>
      </c>
      <c r="DC364" t="b">
        <v>1</v>
      </c>
      <c r="DD364">
        <v>7657799</v>
      </c>
      <c r="DE364">
        <v>0</v>
      </c>
      <c r="DF364" t="b">
        <v>1</v>
      </c>
      <c r="DG364" s="420" cm="1">
        <f t="array" ref="DG364">_xlfn.XLOOKUP("Дом 4"&amp;Реестр_Д4[[#This Row],[№]]&amp;Реестр_Д4[[#This Row],[Статус]],РД[Дом]&amp;РД[№ кв]&amp;РД[Состояние],РД[Дата подачи на регистрацию],"-",0)</f>
        <v>45552</v>
      </c>
    </row>
    <row r="365" spans="1:111" x14ac:dyDescent="0.25">
      <c r="A365">
        <v>364</v>
      </c>
      <c r="B365" t="s">
        <v>16</v>
      </c>
      <c r="C365">
        <v>19</v>
      </c>
      <c r="D365" t="s">
        <v>3351</v>
      </c>
      <c r="E365">
        <v>2</v>
      </c>
      <c r="F365">
        <v>15.36</v>
      </c>
      <c r="G365">
        <v>9.8699999999999992</v>
      </c>
      <c r="I365">
        <v>25.23</v>
      </c>
      <c r="J365">
        <v>16.260000000000002</v>
      </c>
      <c r="K365">
        <v>3.74</v>
      </c>
      <c r="L365">
        <v>2.09</v>
      </c>
      <c r="N365">
        <v>8.06</v>
      </c>
      <c r="O365">
        <v>2.63</v>
      </c>
      <c r="Q365">
        <v>2.63</v>
      </c>
      <c r="R365">
        <v>58.01</v>
      </c>
      <c r="S365">
        <v>55.379999999999995</v>
      </c>
      <c r="T365">
        <v>56.7</v>
      </c>
      <c r="U365">
        <v>57.999999999999993</v>
      </c>
      <c r="V365">
        <v>73970.399999999994</v>
      </c>
      <c r="W365">
        <v>3698.52</v>
      </c>
      <c r="X365">
        <v>77668.92</v>
      </c>
      <c r="Z365">
        <v>77668.92</v>
      </c>
      <c r="AA365">
        <v>3883.4459999999999</v>
      </c>
      <c r="AB365">
        <v>81552.365999999995</v>
      </c>
      <c r="AC365">
        <v>10.030941018</v>
      </c>
      <c r="AD365">
        <v>81562.396941018</v>
      </c>
      <c r="AF365">
        <v>81562.396941018</v>
      </c>
      <c r="AH365">
        <v>81562.396941018</v>
      </c>
      <c r="AJ365">
        <v>81562.396941018</v>
      </c>
      <c r="AL365">
        <v>81562.396941018</v>
      </c>
      <c r="AN365">
        <v>81562.396941018</v>
      </c>
      <c r="AP365">
        <v>81562.396941018</v>
      </c>
      <c r="AR365">
        <v>81562.396941018</v>
      </c>
      <c r="AT365">
        <v>81562.396941018</v>
      </c>
      <c r="AV365">
        <v>81562.396941018</v>
      </c>
      <c r="AX365">
        <v>81562.396941018</v>
      </c>
      <c r="AZ365">
        <v>81562.396941018</v>
      </c>
      <c r="BB365">
        <v>81562.396941018</v>
      </c>
      <c r="BD365">
        <v>81562.396941018</v>
      </c>
      <c r="BF365">
        <v>81562.396941018</v>
      </c>
      <c r="BH365">
        <v>81562.396941018</v>
      </c>
      <c r="BJ365">
        <v>81562.396941018</v>
      </c>
      <c r="BL365">
        <v>81562.396941018</v>
      </c>
      <c r="BN365">
        <v>81562.396941018</v>
      </c>
      <c r="BP365">
        <v>81562.396941018</v>
      </c>
      <c r="BR365">
        <v>81562.396941018</v>
      </c>
      <c r="BT365">
        <v>81562.396941018</v>
      </c>
      <c r="BV365">
        <v>81562.396941018</v>
      </c>
      <c r="BX365">
        <v>81562.396941018</v>
      </c>
      <c r="BY365">
        <v>81562.399999999994</v>
      </c>
      <c r="BZ365">
        <v>4624588.08</v>
      </c>
      <c r="CB365">
        <v>0.05</v>
      </c>
      <c r="CC365">
        <v>231229.40400000001</v>
      </c>
      <c r="CD365">
        <v>77484.280070546723</v>
      </c>
      <c r="CE365">
        <v>4393358.68</v>
      </c>
      <c r="CF365" t="s">
        <v>37</v>
      </c>
      <c r="CG365">
        <v>4000</v>
      </c>
      <c r="CH365">
        <v>81484.280070546723</v>
      </c>
      <c r="CI365">
        <v>226800</v>
      </c>
      <c r="CJ365">
        <v>4620158.68</v>
      </c>
      <c r="CL365" t="s">
        <v>3540</v>
      </c>
      <c r="CN365">
        <v>0</v>
      </c>
      <c r="CO365" t="s">
        <v>39</v>
      </c>
      <c r="CP365" t="s">
        <v>39</v>
      </c>
      <c r="CQ365" t="b">
        <v>1</v>
      </c>
      <c r="CR365" t="s">
        <v>8950</v>
      </c>
      <c r="CT365" t="s">
        <v>8960</v>
      </c>
      <c r="CU365" t="s">
        <v>8971</v>
      </c>
      <c r="CV365" t="s">
        <v>6233</v>
      </c>
      <c r="CW365" t="s">
        <v>4895</v>
      </c>
      <c r="CX365" t="s">
        <v>3246</v>
      </c>
      <c r="CY365">
        <v>1.2999999999999901</v>
      </c>
      <c r="CZ365">
        <v>105929.56409170992</v>
      </c>
      <c r="DA365">
        <v>4620158.68</v>
      </c>
      <c r="DB365" t="s">
        <v>37</v>
      </c>
      <c r="DC365" t="b">
        <v>1</v>
      </c>
      <c r="DD365">
        <v>4620158.68</v>
      </c>
      <c r="DE365">
        <v>0</v>
      </c>
      <c r="DF365" t="b">
        <v>1</v>
      </c>
      <c r="DG365" s="420" cm="1">
        <f t="array" ref="DG365">_xlfn.XLOOKUP("Дом 4"&amp;Реестр_Д4[[#This Row],[№]]&amp;Реестр_Д4[[#This Row],[Статус]],РД[Дом]&amp;РД[№ кв]&amp;РД[Состояние],РД[Дата подачи на регистрацию],"-",0)</f>
        <v>44914</v>
      </c>
    </row>
    <row r="366" spans="1:111" x14ac:dyDescent="0.25">
      <c r="A366">
        <v>365</v>
      </c>
      <c r="B366" t="s">
        <v>16</v>
      </c>
      <c r="C366">
        <v>19</v>
      </c>
      <c r="D366" t="s">
        <v>3352</v>
      </c>
      <c r="E366">
        <v>3</v>
      </c>
      <c r="F366">
        <v>16.27</v>
      </c>
      <c r="G366">
        <v>10.96</v>
      </c>
      <c r="H366">
        <v>10.7</v>
      </c>
      <c r="I366">
        <v>37.93</v>
      </c>
      <c r="J366">
        <v>13.42</v>
      </c>
      <c r="K366">
        <v>4.53</v>
      </c>
      <c r="L366">
        <v>2.27</v>
      </c>
      <c r="N366">
        <v>12.94</v>
      </c>
      <c r="O366">
        <v>2.83</v>
      </c>
      <c r="Q366">
        <v>2.83</v>
      </c>
      <c r="R366">
        <v>73.92</v>
      </c>
      <c r="S366">
        <v>71.09</v>
      </c>
      <c r="T366">
        <v>72.510000000000005</v>
      </c>
      <c r="U366">
        <v>74.2</v>
      </c>
      <c r="V366">
        <v>74009.600000000006</v>
      </c>
      <c r="W366">
        <v>3700.4800000000009</v>
      </c>
      <c r="X366">
        <v>77710.080000000002</v>
      </c>
      <c r="Z366">
        <v>77710.080000000002</v>
      </c>
      <c r="AB366">
        <v>77710.080000000002</v>
      </c>
      <c r="AC366">
        <v>9.5583398400000004</v>
      </c>
      <c r="AD366">
        <v>77719.638339840007</v>
      </c>
      <c r="AF366">
        <v>77719.638339840007</v>
      </c>
      <c r="AH366">
        <v>77719.638339840007</v>
      </c>
      <c r="AI366">
        <v>2331.5891501952001</v>
      </c>
      <c r="AJ366">
        <v>80051.227490035206</v>
      </c>
      <c r="AK366">
        <v>800.51227490035205</v>
      </c>
      <c r="AL366">
        <v>80851.739764935555</v>
      </c>
      <c r="AM366">
        <v>1617.0347952987113</v>
      </c>
      <c r="AN366">
        <v>82468.774560234262</v>
      </c>
      <c r="AP366">
        <v>82468.774560234262</v>
      </c>
      <c r="AQ366">
        <v>2474.0632368070278</v>
      </c>
      <c r="AR366">
        <v>84942.837797041284</v>
      </c>
      <c r="AT366">
        <v>84942.837797041284</v>
      </c>
      <c r="AV366">
        <v>84942.837797041284</v>
      </c>
      <c r="AX366">
        <v>84942.837797041284</v>
      </c>
      <c r="AZ366">
        <v>84942.837797041284</v>
      </c>
      <c r="BB366">
        <v>84942.837797041284</v>
      </c>
      <c r="BD366">
        <v>84942.837797041284</v>
      </c>
      <c r="BF366">
        <v>84942.837797041284</v>
      </c>
      <c r="BH366">
        <v>84942.837797041284</v>
      </c>
      <c r="BJ366">
        <v>84942.837797041284</v>
      </c>
      <c r="BL366">
        <v>84942.837797041284</v>
      </c>
      <c r="BN366">
        <v>84942.837797041284</v>
      </c>
      <c r="BP366">
        <v>84942.837797041284</v>
      </c>
      <c r="BR366">
        <v>84942.837797041284</v>
      </c>
      <c r="BT366">
        <v>84942.837797041284</v>
      </c>
      <c r="BV366">
        <v>84942.837797041284</v>
      </c>
      <c r="BX366">
        <v>84942.837797041284</v>
      </c>
      <c r="BY366">
        <v>84942.84</v>
      </c>
      <c r="BZ366">
        <v>6159205.3300000001</v>
      </c>
      <c r="CB366">
        <v>0.06</v>
      </c>
      <c r="CC366">
        <v>369552.3198</v>
      </c>
      <c r="CD366">
        <v>79846.269617983722</v>
      </c>
      <c r="CE366">
        <v>5789653.0099999998</v>
      </c>
      <c r="CF366" t="s">
        <v>37</v>
      </c>
      <c r="CG366">
        <v>4500</v>
      </c>
      <c r="CH366">
        <v>84346.269617983722</v>
      </c>
      <c r="CI366">
        <v>326295</v>
      </c>
      <c r="CJ366">
        <v>6115948.0099999998</v>
      </c>
      <c r="CL366" t="s">
        <v>978</v>
      </c>
      <c r="CN366">
        <v>0</v>
      </c>
      <c r="CO366" t="s">
        <v>39</v>
      </c>
      <c r="CP366" t="s">
        <v>39</v>
      </c>
      <c r="CQ366" t="b">
        <v>1</v>
      </c>
      <c r="CR366" t="s">
        <v>8950</v>
      </c>
      <c r="CT366" t="s">
        <v>8960</v>
      </c>
      <c r="CU366" t="s">
        <v>8975</v>
      </c>
      <c r="CV366" t="s">
        <v>6234</v>
      </c>
      <c r="CW366" t="s">
        <v>4895</v>
      </c>
      <c r="CX366" t="s">
        <v>3246</v>
      </c>
      <c r="CY366">
        <v>1.6899999999999975</v>
      </c>
      <c r="CZ366">
        <v>142545.1956543923</v>
      </c>
      <c r="DA366">
        <v>6115948.0099999998</v>
      </c>
      <c r="DB366" t="s">
        <v>37</v>
      </c>
      <c r="DC366" t="b">
        <v>1</v>
      </c>
      <c r="DD366">
        <v>6115948.0099999998</v>
      </c>
      <c r="DE366">
        <v>0</v>
      </c>
      <c r="DF366" t="b">
        <v>1</v>
      </c>
      <c r="DG366" s="420" cm="1">
        <f t="array" ref="DG366">_xlfn.XLOOKUP("Дом 4"&amp;Реестр_Д4[[#This Row],[№]]&amp;Реестр_Д4[[#This Row],[Статус]],РД[Дом]&amp;РД[№ кв]&amp;РД[Состояние],РД[Дата подачи на регистрацию],"-",0)</f>
        <v>45162</v>
      </c>
    </row>
    <row r="367" spans="1:111" x14ac:dyDescent="0.25">
      <c r="A367">
        <v>366</v>
      </c>
      <c r="B367" t="s">
        <v>16</v>
      </c>
      <c r="C367">
        <v>19</v>
      </c>
      <c r="D367" t="s">
        <v>3353</v>
      </c>
      <c r="E367">
        <v>1</v>
      </c>
      <c r="F367">
        <v>10.68</v>
      </c>
      <c r="I367">
        <v>10.68</v>
      </c>
      <c r="J367">
        <v>12.75</v>
      </c>
      <c r="K367">
        <v>3.65</v>
      </c>
      <c r="N367">
        <v>5.45</v>
      </c>
      <c r="O367">
        <v>2.62</v>
      </c>
      <c r="Q367">
        <v>2.62</v>
      </c>
      <c r="R367">
        <v>35.15</v>
      </c>
      <c r="S367">
        <v>32.53</v>
      </c>
      <c r="T367">
        <v>33.840000000000003</v>
      </c>
      <c r="U367">
        <v>34.599999999999994</v>
      </c>
      <c r="V367">
        <v>77000</v>
      </c>
      <c r="W367">
        <v>3850</v>
      </c>
      <c r="X367">
        <v>80850</v>
      </c>
      <c r="Y367">
        <v>3234</v>
      </c>
      <c r="Z367">
        <v>84084</v>
      </c>
      <c r="AA367">
        <v>4204.2</v>
      </c>
      <c r="AB367">
        <v>88288.2</v>
      </c>
      <c r="AC367">
        <v>10.8594486</v>
      </c>
      <c r="AD367">
        <v>88299.05944859999</v>
      </c>
      <c r="AE367">
        <v>4414.95297243</v>
      </c>
      <c r="AF367">
        <v>92714.012421029984</v>
      </c>
      <c r="AH367">
        <v>92714.012421029984</v>
      </c>
      <c r="AI367">
        <v>2781.4203726308992</v>
      </c>
      <c r="AJ367">
        <v>95495.432793660875</v>
      </c>
      <c r="AK367">
        <v>2864.8629838098268</v>
      </c>
      <c r="AL367">
        <v>98360.295777470717</v>
      </c>
      <c r="AM367">
        <v>3934.4118310988288</v>
      </c>
      <c r="AN367">
        <v>102294.70760856954</v>
      </c>
      <c r="AO367">
        <v>2045.8941521713907</v>
      </c>
      <c r="AP367">
        <v>104340.60176074092</v>
      </c>
      <c r="AQ367">
        <v>3130.2180528222279</v>
      </c>
      <c r="AR367">
        <v>107470.81981356315</v>
      </c>
      <c r="AS367">
        <v>5373.5409906781579</v>
      </c>
      <c r="AT367">
        <v>112844.36080424133</v>
      </c>
      <c r="AU367">
        <v>3385.3308241272393</v>
      </c>
      <c r="AV367">
        <v>116229.69162836856</v>
      </c>
      <c r="AW367">
        <v>6973.7814977021135</v>
      </c>
      <c r="AX367">
        <v>123203.47312607068</v>
      </c>
      <c r="AZ367">
        <v>123203.47312607068</v>
      </c>
      <c r="BB367">
        <v>123203.47312607068</v>
      </c>
      <c r="BD367">
        <v>123203.47312607068</v>
      </c>
      <c r="BF367">
        <v>123203.47312607068</v>
      </c>
      <c r="BH367">
        <v>123203.47312607068</v>
      </c>
      <c r="BI367">
        <v>6160.1736563035338</v>
      </c>
      <c r="BJ367">
        <v>129363.6467823742</v>
      </c>
      <c r="BK367">
        <v>500</v>
      </c>
      <c r="BL367">
        <v>129863.6467823742</v>
      </c>
      <c r="BM367">
        <v>2597.2729356474838</v>
      </c>
      <c r="BN367">
        <v>132460.9197180217</v>
      </c>
      <c r="BO367">
        <v>6623.0459859010853</v>
      </c>
      <c r="BP367">
        <v>139083.96570392279</v>
      </c>
      <c r="BQ367">
        <v>500</v>
      </c>
      <c r="BR367">
        <v>139583.96570392279</v>
      </c>
      <c r="BS367">
        <v>11100</v>
      </c>
      <c r="BT367">
        <v>150683.96570392279</v>
      </c>
      <c r="BU367">
        <v>8300</v>
      </c>
      <c r="BV367">
        <v>158983.96570392279</v>
      </c>
      <c r="BX367">
        <v>158983.96570392279</v>
      </c>
      <c r="BY367">
        <v>158983.97</v>
      </c>
      <c r="BZ367">
        <v>5500900</v>
      </c>
      <c r="CA367">
        <v>1245100</v>
      </c>
      <c r="CC367">
        <v>1245100</v>
      </c>
      <c r="CD367">
        <v>123000</v>
      </c>
      <c r="CE367">
        <v>4255800</v>
      </c>
      <c r="CF367" t="s">
        <v>38</v>
      </c>
      <c r="CG367">
        <v>22000</v>
      </c>
      <c r="CH367">
        <v>145000</v>
      </c>
      <c r="CI367">
        <v>761200</v>
      </c>
      <c r="CJ367">
        <v>5017000</v>
      </c>
      <c r="CK367" t="s">
        <v>57</v>
      </c>
      <c r="CL367" t="s">
        <v>8841</v>
      </c>
      <c r="CN367">
        <v>0</v>
      </c>
      <c r="CO367" t="s">
        <v>39</v>
      </c>
      <c r="CP367" t="s">
        <v>39</v>
      </c>
      <c r="CQ367" t="b">
        <v>1</v>
      </c>
      <c r="CR367" t="s">
        <v>8950</v>
      </c>
      <c r="CS367" t="s">
        <v>1167</v>
      </c>
      <c r="CT367" t="s">
        <v>8960</v>
      </c>
      <c r="CU367" t="s">
        <v>8973</v>
      </c>
      <c r="CV367" t="s">
        <v>6235</v>
      </c>
      <c r="CW367" t="s">
        <v>6652</v>
      </c>
      <c r="CX367" t="s">
        <v>3124</v>
      </c>
      <c r="CY367">
        <v>0.75999999999999091</v>
      </c>
      <c r="CZ367">
        <v>0</v>
      </c>
      <c r="DA367">
        <v>5974900</v>
      </c>
      <c r="DB367" t="s">
        <v>38</v>
      </c>
      <c r="DC367" t="b">
        <v>1</v>
      </c>
      <c r="DD367">
        <v>5017000</v>
      </c>
      <c r="DE367">
        <v>0</v>
      </c>
      <c r="DF367" t="b">
        <v>1</v>
      </c>
      <c r="DG367" s="420" cm="1">
        <f t="array" ref="DG367">_xlfn.XLOOKUP("Дом 4"&amp;Реестр_Д4[[#This Row],[№]]&amp;Реестр_Д4[[#This Row],[Статус]],РД[Дом]&amp;РД[№ кв]&amp;РД[Состояние],РД[Дата подачи на регистрацию],"-",0)</f>
        <v>45826</v>
      </c>
    </row>
    <row r="368" spans="1:111" x14ac:dyDescent="0.25">
      <c r="A368">
        <v>367</v>
      </c>
      <c r="B368" t="s">
        <v>16</v>
      </c>
      <c r="C368">
        <v>20</v>
      </c>
      <c r="D368" t="s">
        <v>42</v>
      </c>
      <c r="E368">
        <v>0</v>
      </c>
      <c r="F368">
        <v>14.73</v>
      </c>
      <c r="I368">
        <v>14.73</v>
      </c>
      <c r="J368">
        <v>5.74</v>
      </c>
      <c r="K368">
        <v>3.61</v>
      </c>
      <c r="N368">
        <v>3.6</v>
      </c>
      <c r="O368">
        <v>3.34</v>
      </c>
      <c r="Q368">
        <v>3.34</v>
      </c>
      <c r="R368">
        <v>31.02</v>
      </c>
      <c r="S368">
        <v>27.68</v>
      </c>
      <c r="T368">
        <v>29.35</v>
      </c>
      <c r="U368">
        <v>30.4</v>
      </c>
      <c r="V368">
        <v>81648</v>
      </c>
      <c r="W368">
        <v>4082.4</v>
      </c>
      <c r="X368">
        <v>85730.4</v>
      </c>
      <c r="Z368">
        <v>85730.4</v>
      </c>
      <c r="AB368">
        <v>85730.4</v>
      </c>
      <c r="AC368">
        <v>10.5448392</v>
      </c>
      <c r="AD368">
        <v>85740.94483919999</v>
      </c>
      <c r="AE368">
        <v>4287.0472419600001</v>
      </c>
      <c r="AF368">
        <v>90027.992081159988</v>
      </c>
      <c r="AH368">
        <v>90027.992081159988</v>
      </c>
      <c r="AJ368">
        <v>90027.992081159988</v>
      </c>
      <c r="AK368">
        <v>900.27992081160005</v>
      </c>
      <c r="AL368">
        <v>90928.272001971607</v>
      </c>
      <c r="AN368">
        <v>90928.272001971607</v>
      </c>
      <c r="AP368">
        <v>90928.272001971607</v>
      </c>
      <c r="AR368">
        <v>90928.272001971607</v>
      </c>
      <c r="AT368">
        <v>90928.272001971607</v>
      </c>
      <c r="AV368">
        <v>90928.272001971607</v>
      </c>
      <c r="AX368">
        <v>90928.272001971607</v>
      </c>
      <c r="AZ368">
        <v>90928.272001971607</v>
      </c>
      <c r="BB368">
        <v>90928.272001971607</v>
      </c>
      <c r="BD368">
        <v>90928.272001971607</v>
      </c>
      <c r="BF368">
        <v>90928.272001971607</v>
      </c>
      <c r="BH368">
        <v>90928.272001971607</v>
      </c>
      <c r="BJ368">
        <v>90928.272001971607</v>
      </c>
      <c r="BL368">
        <v>90928.272001971607</v>
      </c>
      <c r="BN368">
        <v>90928.272001971607</v>
      </c>
      <c r="BP368">
        <v>90928.272001971607</v>
      </c>
      <c r="BR368">
        <v>90928.272001971607</v>
      </c>
      <c r="BT368">
        <v>90928.272001971607</v>
      </c>
      <c r="BV368">
        <v>90928.272001971607</v>
      </c>
      <c r="BX368">
        <v>90928.272001971607</v>
      </c>
      <c r="BY368">
        <v>90928.27</v>
      </c>
      <c r="BZ368">
        <v>2668744.7200000002</v>
      </c>
      <c r="CC368">
        <v>0</v>
      </c>
      <c r="CD368">
        <v>90928.269846678028</v>
      </c>
      <c r="CE368">
        <v>2668744.7200000002</v>
      </c>
      <c r="CF368" t="s">
        <v>37</v>
      </c>
      <c r="CG368">
        <v>4000</v>
      </c>
      <c r="CH368">
        <v>94928.269846678028</v>
      </c>
      <c r="CI368">
        <v>117400</v>
      </c>
      <c r="CJ368">
        <v>2786144.72</v>
      </c>
      <c r="CN368">
        <v>0</v>
      </c>
      <c r="CO368" t="s">
        <v>39</v>
      </c>
      <c r="CP368" t="s">
        <v>39</v>
      </c>
      <c r="CQ368" t="b">
        <v>1</v>
      </c>
      <c r="CR368" t="s">
        <v>8950</v>
      </c>
      <c r="CT368" t="s">
        <v>8960</v>
      </c>
      <c r="CU368" t="s">
        <v>8970</v>
      </c>
      <c r="CV368" t="s">
        <v>6236</v>
      </c>
      <c r="CW368" t="s">
        <v>4895</v>
      </c>
      <c r="CX368" t="s">
        <v>3246</v>
      </c>
      <c r="CY368">
        <v>1.0499999999999972</v>
      </c>
      <c r="CZ368">
        <v>99674.683339011666</v>
      </c>
      <c r="DA368">
        <v>2786144.72</v>
      </c>
      <c r="DB368" t="s">
        <v>37</v>
      </c>
      <c r="DC368" t="b">
        <v>1</v>
      </c>
      <c r="DD368">
        <v>2786144.72</v>
      </c>
      <c r="DE368">
        <v>0</v>
      </c>
      <c r="DF368" t="b">
        <v>1</v>
      </c>
      <c r="DG368" s="420" cm="1">
        <f t="array" ref="DG368">_xlfn.XLOOKUP("Дом 4"&amp;Реестр_Д4[[#This Row],[№]]&amp;Реестр_Д4[[#This Row],[Статус]],РД[Дом]&amp;РД[№ кв]&amp;РД[Состояние],РД[Дата подачи на регистрацию],"-",0)</f>
        <v>45021</v>
      </c>
    </row>
    <row r="369" spans="1:111" x14ac:dyDescent="0.25">
      <c r="A369">
        <v>368</v>
      </c>
      <c r="B369" t="s">
        <v>16</v>
      </c>
      <c r="C369">
        <v>20</v>
      </c>
      <c r="D369" t="s">
        <v>43</v>
      </c>
      <c r="E369">
        <v>2</v>
      </c>
      <c r="F369">
        <v>17.22</v>
      </c>
      <c r="G369">
        <v>12.24</v>
      </c>
      <c r="I369">
        <v>29.46</v>
      </c>
      <c r="J369">
        <v>17.010000000000002</v>
      </c>
      <c r="K369">
        <v>3.67</v>
      </c>
      <c r="L369">
        <v>2.4</v>
      </c>
      <c r="N369">
        <v>12.71</v>
      </c>
      <c r="O369">
        <v>2.61</v>
      </c>
      <c r="P369">
        <v>2.78</v>
      </c>
      <c r="Q369">
        <v>5.39</v>
      </c>
      <c r="R369">
        <v>70.64</v>
      </c>
      <c r="S369">
        <v>65.25</v>
      </c>
      <c r="T369">
        <v>67.95</v>
      </c>
      <c r="U369">
        <v>69.5</v>
      </c>
      <c r="V369">
        <v>76636</v>
      </c>
      <c r="W369">
        <v>3831.8</v>
      </c>
      <c r="X369">
        <v>80467.8</v>
      </c>
      <c r="Z369">
        <v>80467.8</v>
      </c>
      <c r="AA369">
        <v>4023.39</v>
      </c>
      <c r="AB369">
        <v>84491.19</v>
      </c>
      <c r="AC369">
        <v>10.392416369999999</v>
      </c>
      <c r="AD369">
        <v>84501.582416370002</v>
      </c>
      <c r="AF369">
        <v>84501.582416370002</v>
      </c>
      <c r="AH369">
        <v>84501.582416370002</v>
      </c>
      <c r="AI369">
        <v>1690.0316483274</v>
      </c>
      <c r="AJ369">
        <v>86191.614064697409</v>
      </c>
      <c r="AK369">
        <v>861.9161406469741</v>
      </c>
      <c r="AL369">
        <v>87053.530205344388</v>
      </c>
      <c r="AM369">
        <v>1741.0706041068879</v>
      </c>
      <c r="AN369">
        <v>88794.60080945128</v>
      </c>
      <c r="AP369">
        <v>88794.60080945128</v>
      </c>
      <c r="AQ369">
        <v>2663.8380242835383</v>
      </c>
      <c r="AR369">
        <v>91458.438833734821</v>
      </c>
      <c r="AT369">
        <v>91458.438833734821</v>
      </c>
      <c r="AU369">
        <v>2743.7531650120445</v>
      </c>
      <c r="AV369">
        <v>94202.191998746886</v>
      </c>
      <c r="AX369">
        <v>94202.191998746886</v>
      </c>
      <c r="AZ369">
        <v>94202.191998746886</v>
      </c>
      <c r="BB369">
        <v>94202.191998746886</v>
      </c>
      <c r="BD369">
        <v>94202.191998746886</v>
      </c>
      <c r="BF369">
        <v>94202.191998746886</v>
      </c>
      <c r="BH369">
        <v>94202.191998746886</v>
      </c>
      <c r="BI369">
        <v>4710.1095999373438</v>
      </c>
      <c r="BJ369">
        <v>98912.301598684222</v>
      </c>
      <c r="BK369">
        <v>1000</v>
      </c>
      <c r="BL369">
        <v>99912.301598684222</v>
      </c>
      <c r="BM369">
        <v>1998.2460319736845</v>
      </c>
      <c r="BN369">
        <v>101910.54763065792</v>
      </c>
      <c r="BP369">
        <v>101910.54763065792</v>
      </c>
      <c r="BQ369">
        <v>500</v>
      </c>
      <c r="BR369">
        <v>102410.54763065792</v>
      </c>
      <c r="BT369">
        <v>102410.54763065792</v>
      </c>
      <c r="BV369">
        <v>102410.54763065792</v>
      </c>
      <c r="BX369">
        <v>102410.54763065792</v>
      </c>
      <c r="BY369">
        <v>102410.55</v>
      </c>
      <c r="BZ369">
        <v>6958800</v>
      </c>
      <c r="CB369">
        <v>0.03</v>
      </c>
      <c r="CC369">
        <v>208764</v>
      </c>
      <c r="CD369">
        <v>99338.278145695367</v>
      </c>
      <c r="CE369">
        <v>6750036</v>
      </c>
      <c r="CF369" t="s">
        <v>37</v>
      </c>
      <c r="CG369">
        <v>7500</v>
      </c>
      <c r="CH369">
        <v>106838.27814569537</v>
      </c>
      <c r="CI369">
        <v>509625</v>
      </c>
      <c r="CJ369">
        <v>7259661</v>
      </c>
      <c r="CL369" t="s">
        <v>6840</v>
      </c>
      <c r="CN369">
        <v>0</v>
      </c>
      <c r="CO369" t="s">
        <v>39</v>
      </c>
      <c r="CP369" t="s">
        <v>39</v>
      </c>
      <c r="CQ369" t="b">
        <v>1</v>
      </c>
      <c r="CR369" t="s">
        <v>8950</v>
      </c>
      <c r="CT369" t="s">
        <v>8960</v>
      </c>
      <c r="CU369" t="s">
        <v>8971</v>
      </c>
      <c r="CV369" t="s">
        <v>6237</v>
      </c>
      <c r="CW369" t="s">
        <v>6652</v>
      </c>
      <c r="CX369" t="s">
        <v>3246</v>
      </c>
      <c r="CY369">
        <v>1.5499999999999972</v>
      </c>
      <c r="CZ369">
        <v>165599.33112582751</v>
      </c>
      <c r="DA369">
        <v>7259661</v>
      </c>
      <c r="DB369" t="s">
        <v>37</v>
      </c>
      <c r="DC369" t="b">
        <v>1</v>
      </c>
      <c r="DD369">
        <v>7259661</v>
      </c>
      <c r="DE369">
        <v>0</v>
      </c>
      <c r="DF369" t="b">
        <v>1</v>
      </c>
      <c r="DG369" s="420" cm="1">
        <f t="array" ref="DG369">_xlfn.XLOOKUP("Дом 4"&amp;Реестр_Д4[[#This Row],[№]]&amp;Реестр_Д4[[#This Row],[Статус]],РД[Дом]&amp;РД[№ кв]&amp;РД[Состояние],РД[Дата подачи на регистрацию],"-",0)</f>
        <v>45535</v>
      </c>
    </row>
    <row r="370" spans="1:111" x14ac:dyDescent="0.25">
      <c r="A370">
        <v>369</v>
      </c>
      <c r="B370" t="s">
        <v>16</v>
      </c>
      <c r="C370">
        <v>20</v>
      </c>
      <c r="D370" t="s">
        <v>44</v>
      </c>
      <c r="E370">
        <v>0</v>
      </c>
      <c r="F370">
        <v>19.22</v>
      </c>
      <c r="I370">
        <v>19.22</v>
      </c>
      <c r="J370">
        <v>9.57</v>
      </c>
      <c r="K370">
        <v>3.76</v>
      </c>
      <c r="N370">
        <v>2.56</v>
      </c>
      <c r="O370">
        <v>2.68</v>
      </c>
      <c r="Q370">
        <v>2.68</v>
      </c>
      <c r="R370">
        <v>37.79</v>
      </c>
      <c r="S370">
        <v>35.11</v>
      </c>
      <c r="T370">
        <v>36.450000000000003</v>
      </c>
      <c r="U370">
        <v>37.4</v>
      </c>
      <c r="V370">
        <v>82404</v>
      </c>
      <c r="W370">
        <v>4120.2</v>
      </c>
      <c r="X370">
        <v>86524.2</v>
      </c>
      <c r="Z370">
        <v>86524.2</v>
      </c>
      <c r="AB370">
        <v>86524.2</v>
      </c>
      <c r="AC370">
        <v>10.6424766</v>
      </c>
      <c r="AD370">
        <v>86534.842476599995</v>
      </c>
      <c r="AE370">
        <v>4326.7421238300003</v>
      </c>
      <c r="AF370">
        <v>90861.584600429996</v>
      </c>
      <c r="AH370">
        <v>90861.584600429996</v>
      </c>
      <c r="AJ370">
        <v>90861.584600429996</v>
      </c>
      <c r="AK370">
        <v>908.61584600430001</v>
      </c>
      <c r="AL370">
        <v>91770.200446434275</v>
      </c>
      <c r="AN370">
        <v>91770.200446434275</v>
      </c>
      <c r="AP370">
        <v>91770.200446434275</v>
      </c>
      <c r="AR370">
        <v>91770.200446434275</v>
      </c>
      <c r="AT370">
        <v>91770.200446434275</v>
      </c>
      <c r="AV370">
        <v>91770.200446434275</v>
      </c>
      <c r="AX370">
        <v>91770.200446434275</v>
      </c>
      <c r="AZ370">
        <v>91770.200446434275</v>
      </c>
      <c r="BB370">
        <v>91770.200446434275</v>
      </c>
      <c r="BD370">
        <v>91770.200446434275</v>
      </c>
      <c r="BF370">
        <v>91770.200446434275</v>
      </c>
      <c r="BH370">
        <v>91770.200446434275</v>
      </c>
      <c r="BJ370">
        <v>91770.200446434275</v>
      </c>
      <c r="BL370">
        <v>91770.200446434275</v>
      </c>
      <c r="BN370">
        <v>91770.200446434275</v>
      </c>
      <c r="BP370">
        <v>91770.200446434275</v>
      </c>
      <c r="BR370">
        <v>91770.200446434275</v>
      </c>
      <c r="BT370">
        <v>91770.200446434275</v>
      </c>
      <c r="BV370">
        <v>91770.200446434275</v>
      </c>
      <c r="BX370">
        <v>91770.200446434275</v>
      </c>
      <c r="BY370">
        <v>91770.2</v>
      </c>
      <c r="BZ370">
        <v>3345023.79</v>
      </c>
      <c r="CC370">
        <v>0</v>
      </c>
      <c r="CD370">
        <v>91770.2</v>
      </c>
      <c r="CE370">
        <v>3345023.79</v>
      </c>
      <c r="CF370" t="s">
        <v>37</v>
      </c>
      <c r="CG370">
        <v>4000</v>
      </c>
      <c r="CH370">
        <v>95770.2</v>
      </c>
      <c r="CI370">
        <v>145800</v>
      </c>
      <c r="CJ370">
        <v>3490823.79</v>
      </c>
      <c r="CN370">
        <v>0</v>
      </c>
      <c r="CO370" t="s">
        <v>39</v>
      </c>
      <c r="CP370" t="s">
        <v>39</v>
      </c>
      <c r="CQ370" t="b">
        <v>1</v>
      </c>
      <c r="CR370" t="s">
        <v>8950</v>
      </c>
      <c r="CT370" t="s">
        <v>8960</v>
      </c>
      <c r="CU370" t="s">
        <v>8970</v>
      </c>
      <c r="CV370" t="s">
        <v>6238</v>
      </c>
      <c r="CW370" t="s">
        <v>4895</v>
      </c>
      <c r="CX370" t="s">
        <v>3246</v>
      </c>
      <c r="CY370">
        <v>0.94999999999999563</v>
      </c>
      <c r="CZ370">
        <v>90981.689999999595</v>
      </c>
      <c r="DA370">
        <v>3490823.79</v>
      </c>
      <c r="DB370" t="s">
        <v>37</v>
      </c>
      <c r="DC370" t="b">
        <v>1</v>
      </c>
      <c r="DD370">
        <v>3490823.79</v>
      </c>
      <c r="DE370">
        <v>0</v>
      </c>
      <c r="DF370" t="b">
        <v>1</v>
      </c>
      <c r="DG370" s="420" cm="1">
        <f t="array" ref="DG370">_xlfn.XLOOKUP("Дом 4"&amp;Реестр_Д4[[#This Row],[№]]&amp;Реестр_Д4[[#This Row],[Статус]],РД[Дом]&amp;РД[№ кв]&amp;РД[Состояние],РД[Дата подачи на регистрацию],"-",0)</f>
        <v>45043</v>
      </c>
    </row>
    <row r="371" spans="1:111" x14ac:dyDescent="0.25">
      <c r="A371">
        <v>370</v>
      </c>
      <c r="B371" t="s">
        <v>16</v>
      </c>
      <c r="C371">
        <v>20</v>
      </c>
      <c r="D371" t="s">
        <v>45</v>
      </c>
      <c r="E371">
        <v>2</v>
      </c>
      <c r="F371">
        <v>18.12</v>
      </c>
      <c r="G371">
        <v>9.8800000000000008</v>
      </c>
      <c r="I371">
        <v>28</v>
      </c>
      <c r="J371">
        <v>15.3</v>
      </c>
      <c r="K371">
        <v>3.49</v>
      </c>
      <c r="L371">
        <v>2.34</v>
      </c>
      <c r="N371">
        <v>8.1</v>
      </c>
      <c r="O371">
        <v>2.63</v>
      </c>
      <c r="Q371">
        <v>2.63</v>
      </c>
      <c r="R371">
        <v>59.86</v>
      </c>
      <c r="S371">
        <v>57.23</v>
      </c>
      <c r="T371">
        <v>58.55</v>
      </c>
      <c r="U371">
        <v>60.399999999999991</v>
      </c>
      <c r="V371">
        <v>73970.399999999994</v>
      </c>
      <c r="W371">
        <v>3698.52</v>
      </c>
      <c r="X371">
        <v>77668.92</v>
      </c>
      <c r="Z371">
        <v>77668.92</v>
      </c>
      <c r="AA371">
        <v>3883.4459999999999</v>
      </c>
      <c r="AB371">
        <v>81552.365999999995</v>
      </c>
      <c r="AC371">
        <v>10.030941018</v>
      </c>
      <c r="AD371">
        <v>81562.396941018</v>
      </c>
      <c r="AF371">
        <v>81562.396941018</v>
      </c>
      <c r="AH371">
        <v>81562.396941018</v>
      </c>
      <c r="AI371">
        <v>1631.2479388203601</v>
      </c>
      <c r="AJ371">
        <v>83193.644879838364</v>
      </c>
      <c r="AK371">
        <v>831.93644879838371</v>
      </c>
      <c r="AL371">
        <v>84025.581328636748</v>
      </c>
      <c r="AM371">
        <v>1680.5116265727347</v>
      </c>
      <c r="AN371">
        <v>85706.092955209489</v>
      </c>
      <c r="AO371">
        <v>2571.1827886562846</v>
      </c>
      <c r="AP371">
        <v>88277.275743865772</v>
      </c>
      <c r="AQ371">
        <v>2648.318272315973</v>
      </c>
      <c r="AR371">
        <v>90925.594016181742</v>
      </c>
      <c r="AS371">
        <v>4546.2797008090874</v>
      </c>
      <c r="AT371">
        <v>95471.873716990827</v>
      </c>
      <c r="AU371">
        <v>2864.1562115097249</v>
      </c>
      <c r="AV371">
        <v>98336.029928500546</v>
      </c>
      <c r="AX371">
        <v>98336.029928500546</v>
      </c>
      <c r="AZ371">
        <v>98336.029928500546</v>
      </c>
      <c r="BB371">
        <v>98336.029928500546</v>
      </c>
      <c r="BD371">
        <v>98336.029928500546</v>
      </c>
      <c r="BF371">
        <v>98336.029928500546</v>
      </c>
      <c r="BH371">
        <v>98336.029928500546</v>
      </c>
      <c r="BI371">
        <v>4916.8014964250278</v>
      </c>
      <c r="BJ371">
        <v>103252.83142492558</v>
      </c>
      <c r="BK371">
        <v>1000</v>
      </c>
      <c r="BL371">
        <v>104252.83142492558</v>
      </c>
      <c r="BM371">
        <v>2085.0566284985116</v>
      </c>
      <c r="BN371">
        <v>106337.88805342407</v>
      </c>
      <c r="BO371">
        <v>5316.8944026712052</v>
      </c>
      <c r="BP371">
        <v>111654.7824560953</v>
      </c>
      <c r="BQ371">
        <v>500</v>
      </c>
      <c r="BR371">
        <v>112154.7824560953</v>
      </c>
      <c r="BT371">
        <v>112154.7824560953</v>
      </c>
      <c r="BV371">
        <v>112154.7824560953</v>
      </c>
      <c r="BX371">
        <v>112154.7824560953</v>
      </c>
      <c r="BY371">
        <v>112154.78</v>
      </c>
      <c r="BZ371">
        <v>6566700</v>
      </c>
      <c r="CA371">
        <v>170000</v>
      </c>
      <c r="CC371">
        <v>170000</v>
      </c>
      <c r="CD371">
        <v>109251.92143467124</v>
      </c>
      <c r="CE371">
        <v>6396700</v>
      </c>
      <c r="CF371" t="s">
        <v>37</v>
      </c>
      <c r="CG371">
        <v>7500</v>
      </c>
      <c r="CH371">
        <v>116751.92143467124</v>
      </c>
      <c r="CI371">
        <v>439125</v>
      </c>
      <c r="CJ371">
        <v>6835825</v>
      </c>
      <c r="CL371" t="s">
        <v>7756</v>
      </c>
      <c r="CN371">
        <v>0</v>
      </c>
      <c r="CO371" t="s">
        <v>39</v>
      </c>
      <c r="CP371" t="s">
        <v>39</v>
      </c>
      <c r="CQ371" t="b">
        <v>1</v>
      </c>
      <c r="CR371" t="s">
        <v>8950</v>
      </c>
      <c r="CT371" t="s">
        <v>8960</v>
      </c>
      <c r="CU371" t="s">
        <v>8971</v>
      </c>
      <c r="CV371" t="s">
        <v>6239</v>
      </c>
      <c r="CW371" t="s">
        <v>6652</v>
      </c>
      <c r="CX371" t="s">
        <v>3246</v>
      </c>
      <c r="CY371">
        <v>1.8499999999999943</v>
      </c>
      <c r="CZ371">
        <v>215991.0546541411</v>
      </c>
      <c r="DA371">
        <v>6835825</v>
      </c>
      <c r="DB371" t="s">
        <v>37</v>
      </c>
      <c r="DC371" t="b">
        <v>1</v>
      </c>
      <c r="DD371">
        <v>6835825</v>
      </c>
      <c r="DE371">
        <v>0</v>
      </c>
      <c r="DF371" t="b">
        <v>1</v>
      </c>
      <c r="DG371" s="420" cm="1">
        <f t="array" ref="DG371">_xlfn.XLOOKUP("Дом 4"&amp;Реестр_Д4[[#This Row],[№]]&amp;Реестр_Д4[[#This Row],[Статус]],РД[Дом]&amp;РД[№ кв]&amp;РД[Состояние],РД[Дата подачи на регистрацию],"-",0)</f>
        <v>45565</v>
      </c>
    </row>
    <row r="372" spans="1:111" x14ac:dyDescent="0.25">
      <c r="A372">
        <v>371</v>
      </c>
      <c r="B372" t="s">
        <v>16</v>
      </c>
      <c r="C372">
        <v>20</v>
      </c>
      <c r="D372" t="s">
        <v>3351</v>
      </c>
      <c r="E372">
        <v>2</v>
      </c>
      <c r="F372">
        <v>15.36</v>
      </c>
      <c r="G372">
        <v>9.8699999999999992</v>
      </c>
      <c r="I372">
        <v>25.23</v>
      </c>
      <c r="J372">
        <v>16.260000000000002</v>
      </c>
      <c r="K372">
        <v>3.74</v>
      </c>
      <c r="L372">
        <v>2.09</v>
      </c>
      <c r="N372">
        <v>8.06</v>
      </c>
      <c r="O372">
        <v>2.63</v>
      </c>
      <c r="Q372">
        <v>2.63</v>
      </c>
      <c r="R372">
        <v>58.01</v>
      </c>
      <c r="S372">
        <v>55.379999999999995</v>
      </c>
      <c r="T372">
        <v>56.7</v>
      </c>
      <c r="U372">
        <v>58.099999999999994</v>
      </c>
      <c r="V372">
        <v>73970.399999999994</v>
      </c>
      <c r="W372">
        <v>3698.52</v>
      </c>
      <c r="X372">
        <v>77668.92</v>
      </c>
      <c r="Z372">
        <v>77668.92</v>
      </c>
      <c r="AA372">
        <v>3883.4459999999999</v>
      </c>
      <c r="AB372">
        <v>81552.365999999995</v>
      </c>
      <c r="AC372">
        <v>10.030941018</v>
      </c>
      <c r="AD372">
        <v>81562.396941018</v>
      </c>
      <c r="AF372">
        <v>81562.396941018</v>
      </c>
      <c r="AH372">
        <v>81562.396941018</v>
      </c>
      <c r="AI372">
        <v>1631.2479388203601</v>
      </c>
      <c r="AJ372">
        <v>83193.644879838364</v>
      </c>
      <c r="AK372">
        <v>831.93644879838371</v>
      </c>
      <c r="AL372">
        <v>84025.581328636748</v>
      </c>
      <c r="AM372">
        <v>1680.5116265727347</v>
      </c>
      <c r="AN372">
        <v>85706.092955209489</v>
      </c>
      <c r="AO372">
        <v>2571.1827886562846</v>
      </c>
      <c r="AP372">
        <v>88277.275743865772</v>
      </c>
      <c r="AQ372">
        <v>2648.318272315973</v>
      </c>
      <c r="AR372">
        <v>90925.594016181742</v>
      </c>
      <c r="AS372">
        <v>4546.2797008090874</v>
      </c>
      <c r="AT372">
        <v>95471.873716990827</v>
      </c>
      <c r="AU372">
        <v>2864.1562115097249</v>
      </c>
      <c r="AV372">
        <v>98336.029928500546</v>
      </c>
      <c r="AX372">
        <v>98336.029928500546</v>
      </c>
      <c r="AZ372">
        <v>98336.029928500546</v>
      </c>
      <c r="BB372">
        <v>98336.029928500546</v>
      </c>
      <c r="BD372">
        <v>98336.029928500546</v>
      </c>
      <c r="BF372">
        <v>98336.029928500546</v>
      </c>
      <c r="BH372">
        <v>98336.029928500546</v>
      </c>
      <c r="BJ372">
        <v>98336.029928500546</v>
      </c>
      <c r="BL372">
        <v>98336.029928500546</v>
      </c>
      <c r="BN372">
        <v>98336.029928500546</v>
      </c>
      <c r="BP372">
        <v>98336.029928500546</v>
      </c>
      <c r="BR372">
        <v>98336.029928500546</v>
      </c>
      <c r="BT372">
        <v>98336.029928500546</v>
      </c>
      <c r="BV372">
        <v>98336.029928500546</v>
      </c>
      <c r="BX372">
        <v>98336.029928500546</v>
      </c>
      <c r="BY372">
        <v>98336.03</v>
      </c>
      <c r="BZ372">
        <v>5575652.9000000004</v>
      </c>
      <c r="CC372">
        <v>0</v>
      </c>
      <c r="CD372">
        <v>98336.029982363325</v>
      </c>
      <c r="CE372">
        <v>5575652.9000000004</v>
      </c>
      <c r="CF372" t="s">
        <v>36</v>
      </c>
      <c r="CH372">
        <v>98336.029982363325</v>
      </c>
      <c r="CI372">
        <v>0</v>
      </c>
      <c r="CJ372">
        <v>5575652.9000000004</v>
      </c>
      <c r="CN372">
        <v>0</v>
      </c>
      <c r="CO372" t="s">
        <v>39</v>
      </c>
      <c r="CP372" t="s">
        <v>39</v>
      </c>
      <c r="CQ372" t="b">
        <v>1</v>
      </c>
      <c r="CR372" t="s">
        <v>8950</v>
      </c>
      <c r="CT372" t="s">
        <v>8960</v>
      </c>
      <c r="CU372" t="s">
        <v>8971</v>
      </c>
      <c r="CV372" t="s">
        <v>6240</v>
      </c>
      <c r="CW372" t="s">
        <v>4895</v>
      </c>
      <c r="CX372" t="s">
        <v>3246</v>
      </c>
      <c r="CY372">
        <v>1.3999999999999917</v>
      </c>
      <c r="CZ372">
        <v>137670.4419753078</v>
      </c>
      <c r="DA372">
        <v>5575652.9000000004</v>
      </c>
      <c r="DB372" t="s">
        <v>36</v>
      </c>
      <c r="DC372" t="b">
        <v>1</v>
      </c>
      <c r="DD372">
        <v>5575652.9000000004</v>
      </c>
      <c r="DE372">
        <v>0</v>
      </c>
      <c r="DF372" t="b">
        <v>1</v>
      </c>
      <c r="DG372" s="420" cm="1">
        <f t="array" ref="DG372">_xlfn.XLOOKUP("Дом 4"&amp;Реестр_Д4[[#This Row],[№]]&amp;Реестр_Д4[[#This Row],[Статус]],РД[Дом]&amp;РД[№ кв]&amp;РД[Состояние],РД[Дата подачи на регистрацию],"-",0)</f>
        <v>45230</v>
      </c>
    </row>
    <row r="373" spans="1:111" x14ac:dyDescent="0.25">
      <c r="A373">
        <v>372</v>
      </c>
      <c r="B373" t="s">
        <v>16</v>
      </c>
      <c r="C373">
        <v>20</v>
      </c>
      <c r="D373" t="s">
        <v>3352</v>
      </c>
      <c r="E373">
        <v>3</v>
      </c>
      <c r="F373">
        <v>16.27</v>
      </c>
      <c r="G373">
        <v>10.96</v>
      </c>
      <c r="H373">
        <v>10.7</v>
      </c>
      <c r="I373">
        <v>37.93</v>
      </c>
      <c r="J373">
        <v>13.42</v>
      </c>
      <c r="K373">
        <v>4.53</v>
      </c>
      <c r="L373">
        <v>2.27</v>
      </c>
      <c r="N373">
        <v>12.94</v>
      </c>
      <c r="O373">
        <v>2.83</v>
      </c>
      <c r="Q373">
        <v>2.83</v>
      </c>
      <c r="R373">
        <v>73.92</v>
      </c>
      <c r="S373">
        <v>71.09</v>
      </c>
      <c r="T373">
        <v>72.510000000000005</v>
      </c>
      <c r="U373">
        <v>74.400000000000006</v>
      </c>
      <c r="V373">
        <v>74009.600000000006</v>
      </c>
      <c r="W373">
        <v>3700.4800000000009</v>
      </c>
      <c r="X373">
        <v>77710.080000000002</v>
      </c>
      <c r="Z373">
        <v>77710.080000000002</v>
      </c>
      <c r="AB373">
        <v>77710.080000000002</v>
      </c>
      <c r="AC373">
        <v>9.5583398400000004</v>
      </c>
      <c r="AD373">
        <v>77719.638339840007</v>
      </c>
      <c r="AF373">
        <v>77719.638339840007</v>
      </c>
      <c r="AH373">
        <v>77719.638339840007</v>
      </c>
      <c r="AI373">
        <v>2331.5891501952001</v>
      </c>
      <c r="AJ373">
        <v>80051.227490035206</v>
      </c>
      <c r="AK373">
        <v>800.51227490035205</v>
      </c>
      <c r="AL373">
        <v>80851.739764935555</v>
      </c>
      <c r="AM373">
        <v>1617.0347952987113</v>
      </c>
      <c r="AN373">
        <v>82468.774560234262</v>
      </c>
      <c r="AP373">
        <v>82468.774560234262</v>
      </c>
      <c r="AQ373">
        <v>2474.0632368070278</v>
      </c>
      <c r="AR373">
        <v>84942.837797041284</v>
      </c>
      <c r="AT373">
        <v>84942.837797041284</v>
      </c>
      <c r="AV373">
        <v>84942.837797041284</v>
      </c>
      <c r="AX373">
        <v>84942.837797041284</v>
      </c>
      <c r="AZ373">
        <v>84942.837797041284</v>
      </c>
      <c r="BB373">
        <v>84942.837797041284</v>
      </c>
      <c r="BD373">
        <v>84942.837797041284</v>
      </c>
      <c r="BF373">
        <v>84942.837797041284</v>
      </c>
      <c r="BH373">
        <v>84942.837797041284</v>
      </c>
      <c r="BJ373">
        <v>84942.837797041284</v>
      </c>
      <c r="BL373">
        <v>84942.837797041284</v>
      </c>
      <c r="BN373">
        <v>84942.837797041284</v>
      </c>
      <c r="BP373">
        <v>84942.837797041284</v>
      </c>
      <c r="BR373">
        <v>84942.837797041284</v>
      </c>
      <c r="BT373">
        <v>84942.837797041284</v>
      </c>
      <c r="BV373">
        <v>84942.837797041284</v>
      </c>
      <c r="BX373">
        <v>84942.837797041284</v>
      </c>
      <c r="BY373">
        <v>84942.84</v>
      </c>
      <c r="BZ373">
        <v>6159205.3300000001</v>
      </c>
      <c r="CB373">
        <v>0.06</v>
      </c>
      <c r="CC373">
        <v>369552.3198</v>
      </c>
      <c r="CD373">
        <v>79846.269617983722</v>
      </c>
      <c r="CE373">
        <v>5789653.0099999998</v>
      </c>
      <c r="CF373" t="s">
        <v>37</v>
      </c>
      <c r="CG373">
        <v>4000</v>
      </c>
      <c r="CH373">
        <v>83846.269617983722</v>
      </c>
      <c r="CI373">
        <v>290040</v>
      </c>
      <c r="CJ373">
        <v>6079693.0099999998</v>
      </c>
      <c r="CL373" t="s">
        <v>978</v>
      </c>
      <c r="CN373">
        <v>0</v>
      </c>
      <c r="CO373" t="s">
        <v>39</v>
      </c>
      <c r="CP373" t="s">
        <v>39</v>
      </c>
      <c r="CQ373" t="b">
        <v>1</v>
      </c>
      <c r="CR373" t="s">
        <v>8950</v>
      </c>
      <c r="CT373" t="s">
        <v>8960</v>
      </c>
      <c r="CU373" t="s">
        <v>8975</v>
      </c>
      <c r="CV373" t="s">
        <v>6241</v>
      </c>
      <c r="CW373" t="s">
        <v>4895</v>
      </c>
      <c r="CX373" t="s">
        <v>3246</v>
      </c>
      <c r="CY373">
        <v>1.8900000000000008</v>
      </c>
      <c r="CZ373">
        <v>158469.44957798929</v>
      </c>
      <c r="DA373">
        <v>6079693.0099999998</v>
      </c>
      <c r="DB373" t="s">
        <v>37</v>
      </c>
      <c r="DC373" t="b">
        <v>1</v>
      </c>
      <c r="DD373">
        <v>6079693.0099999998</v>
      </c>
      <c r="DE373">
        <v>0</v>
      </c>
      <c r="DF373" t="b">
        <v>1</v>
      </c>
      <c r="DG373" s="420" cm="1">
        <f t="array" ref="DG373">_xlfn.XLOOKUP("Дом 4"&amp;Реестр_Д4[[#This Row],[№]]&amp;Реестр_Д4[[#This Row],[Статус]],РД[Дом]&amp;РД[№ кв]&amp;РД[Состояние],РД[Дата подачи на регистрацию],"-",0)</f>
        <v>45152</v>
      </c>
    </row>
    <row r="374" spans="1:111" x14ac:dyDescent="0.25">
      <c r="A374">
        <v>373</v>
      </c>
      <c r="B374" t="s">
        <v>16</v>
      </c>
      <c r="C374">
        <v>20</v>
      </c>
      <c r="D374" t="s">
        <v>3353</v>
      </c>
      <c r="E374">
        <v>1</v>
      </c>
      <c r="F374">
        <v>10.68</v>
      </c>
      <c r="I374">
        <v>10.68</v>
      </c>
      <c r="J374">
        <v>12.75</v>
      </c>
      <c r="K374">
        <v>3.65</v>
      </c>
      <c r="N374">
        <v>5.45</v>
      </c>
      <c r="O374">
        <v>2.62</v>
      </c>
      <c r="Q374">
        <v>2.62</v>
      </c>
      <c r="R374">
        <v>35.15</v>
      </c>
      <c r="S374">
        <v>32.53</v>
      </c>
      <c r="T374">
        <v>33.840000000000003</v>
      </c>
      <c r="U374">
        <v>34.699999999999996</v>
      </c>
      <c r="V374">
        <v>76300</v>
      </c>
      <c r="W374">
        <v>3815</v>
      </c>
      <c r="X374">
        <v>80115</v>
      </c>
      <c r="Y374">
        <v>3204.6</v>
      </c>
      <c r="Z374">
        <v>83319.600000000006</v>
      </c>
      <c r="AA374">
        <v>4165.9800000000005</v>
      </c>
      <c r="AB374">
        <v>87485.58</v>
      </c>
      <c r="AC374">
        <v>10.76072634</v>
      </c>
      <c r="AD374">
        <v>87496.34072634</v>
      </c>
      <c r="AE374">
        <v>4374.8170363170002</v>
      </c>
      <c r="AF374">
        <v>91871.157762657007</v>
      </c>
      <c r="AH374">
        <v>91871.157762657007</v>
      </c>
      <c r="AI374">
        <v>2756.1347328797101</v>
      </c>
      <c r="AJ374">
        <v>94627.29249553672</v>
      </c>
      <c r="AL374">
        <v>94627.29249553672</v>
      </c>
      <c r="AN374">
        <v>94627.29249553672</v>
      </c>
      <c r="AP374">
        <v>94627.29249553672</v>
      </c>
      <c r="AR374">
        <v>94627.29249553672</v>
      </c>
      <c r="AT374">
        <v>94627.29249553672</v>
      </c>
      <c r="AV374">
        <v>94627.29249553672</v>
      </c>
      <c r="AX374">
        <v>94627.29249553672</v>
      </c>
      <c r="AZ374">
        <v>94627.29249553672</v>
      </c>
      <c r="BB374">
        <v>94627.29249553672</v>
      </c>
      <c r="BD374">
        <v>94627.29249553672</v>
      </c>
      <c r="BF374">
        <v>94627.29249553672</v>
      </c>
      <c r="BH374">
        <v>94627.29249553672</v>
      </c>
      <c r="BJ374">
        <v>94627.29249553672</v>
      </c>
      <c r="BL374">
        <v>94627.29249553672</v>
      </c>
      <c r="BN374">
        <v>94627.29249553672</v>
      </c>
      <c r="BP374">
        <v>94627.29249553672</v>
      </c>
      <c r="BR374">
        <v>94627.29249553672</v>
      </c>
      <c r="BT374">
        <v>94627.29249553672</v>
      </c>
      <c r="BV374">
        <v>94627.29249553672</v>
      </c>
      <c r="BX374">
        <v>94627.29249553672</v>
      </c>
      <c r="BY374">
        <v>94627.29</v>
      </c>
      <c r="BZ374">
        <v>3202187.49</v>
      </c>
      <c r="CA374">
        <v>20000</v>
      </c>
      <c r="CC374">
        <v>20000</v>
      </c>
      <c r="CD374">
        <v>94036.273345153662</v>
      </c>
      <c r="CE374">
        <v>3182187.49</v>
      </c>
      <c r="CF374" t="s">
        <v>37</v>
      </c>
      <c r="CG374">
        <v>4000</v>
      </c>
      <c r="CH374">
        <v>98036.273345153662</v>
      </c>
      <c r="CI374">
        <v>135360</v>
      </c>
      <c r="CJ374">
        <v>3317547.49</v>
      </c>
      <c r="CK374" t="s">
        <v>57</v>
      </c>
      <c r="CL374" t="s">
        <v>3441</v>
      </c>
      <c r="CN374">
        <v>0</v>
      </c>
      <c r="CO374" t="s">
        <v>39</v>
      </c>
      <c r="CP374" t="s">
        <v>39</v>
      </c>
      <c r="CQ374" t="b">
        <v>1</v>
      </c>
      <c r="CR374" t="s">
        <v>8950</v>
      </c>
      <c r="CT374" t="s">
        <v>8960</v>
      </c>
      <c r="CU374" t="s">
        <v>8973</v>
      </c>
      <c r="CV374" t="s">
        <v>6242</v>
      </c>
      <c r="CW374" t="s">
        <v>4895</v>
      </c>
      <c r="CX374" t="s">
        <v>3246</v>
      </c>
      <c r="CY374">
        <v>0.85999999999999233</v>
      </c>
      <c r="CZ374">
        <v>84311.195076831398</v>
      </c>
      <c r="DA374">
        <v>3317547.49</v>
      </c>
      <c r="DB374" t="s">
        <v>37</v>
      </c>
      <c r="DC374" t="b">
        <v>1</v>
      </c>
      <c r="DD374">
        <v>3317547.49</v>
      </c>
      <c r="DE374">
        <v>0</v>
      </c>
      <c r="DF374" t="b">
        <v>1</v>
      </c>
      <c r="DG374" s="420" cm="1">
        <f t="array" ref="DG374">_xlfn.XLOOKUP("Дом 4"&amp;Реестр_Д4[[#This Row],[№]]&amp;Реестр_Д4[[#This Row],[Статус]],РД[Дом]&amp;РД[№ кв]&amp;РД[Состояние],РД[Дата подачи на регистрацию],"-",0)</f>
        <v>44995</v>
      </c>
    </row>
    <row r="375" spans="1:111" x14ac:dyDescent="0.25">
      <c r="A375">
        <v>374</v>
      </c>
      <c r="B375" t="s">
        <v>16</v>
      </c>
      <c r="C375">
        <v>21</v>
      </c>
      <c r="D375" t="s">
        <v>42</v>
      </c>
      <c r="E375">
        <v>0</v>
      </c>
      <c r="F375">
        <v>14.73</v>
      </c>
      <c r="I375">
        <v>14.73</v>
      </c>
      <c r="J375">
        <v>5.74</v>
      </c>
      <c r="K375">
        <v>3.61</v>
      </c>
      <c r="N375">
        <v>3.6</v>
      </c>
      <c r="O375">
        <v>3.34</v>
      </c>
      <c r="Q375">
        <v>3.34</v>
      </c>
      <c r="R375">
        <v>31.02</v>
      </c>
      <c r="S375">
        <v>27.68</v>
      </c>
      <c r="T375">
        <v>29.35</v>
      </c>
      <c r="U375">
        <v>30.2</v>
      </c>
      <c r="V375">
        <v>83160</v>
      </c>
      <c r="W375">
        <v>4158</v>
      </c>
      <c r="X375">
        <v>87318</v>
      </c>
      <c r="Z375">
        <v>87318</v>
      </c>
      <c r="AB375">
        <v>87318</v>
      </c>
      <c r="AC375">
        <v>10.740114</v>
      </c>
      <c r="AD375">
        <v>87328.740114</v>
      </c>
      <c r="AE375">
        <v>4366.4370057000006</v>
      </c>
      <c r="AF375">
        <v>91695.177119700005</v>
      </c>
      <c r="AH375">
        <v>91695.177119700005</v>
      </c>
      <c r="AJ375">
        <v>91695.177119700005</v>
      </c>
      <c r="AK375">
        <v>916.95177119699997</v>
      </c>
      <c r="AL375">
        <v>92612.128890897002</v>
      </c>
      <c r="AM375">
        <v>1852.2425778179399</v>
      </c>
      <c r="AN375">
        <v>94464.371468714948</v>
      </c>
      <c r="AO375">
        <v>4723.2185734357472</v>
      </c>
      <c r="AP375">
        <v>99187.590042150681</v>
      </c>
      <c r="AQ375">
        <v>2975.627701264521</v>
      </c>
      <c r="AR375">
        <v>102163.2177434152</v>
      </c>
      <c r="AT375">
        <v>102163.2177434152</v>
      </c>
      <c r="AU375">
        <v>3064.8965323024563</v>
      </c>
      <c r="AV375">
        <v>105228.11427571769</v>
      </c>
      <c r="AW375">
        <v>6313.6868565430605</v>
      </c>
      <c r="AX375">
        <v>111541.80113226072</v>
      </c>
      <c r="AZ375">
        <v>111541.80113226072</v>
      </c>
      <c r="BB375">
        <v>111541.80113226072</v>
      </c>
      <c r="BD375">
        <v>111541.80113226072</v>
      </c>
      <c r="BF375">
        <v>111541.80113226072</v>
      </c>
      <c r="BH375">
        <v>111541.80113226072</v>
      </c>
      <c r="BJ375">
        <v>111541.80113226072</v>
      </c>
      <c r="BL375">
        <v>111541.80113226072</v>
      </c>
      <c r="BN375">
        <v>111541.80113226072</v>
      </c>
      <c r="BP375">
        <v>111541.80113226072</v>
      </c>
      <c r="BR375">
        <v>111541.80113226072</v>
      </c>
      <c r="BT375">
        <v>111541.80113226072</v>
      </c>
      <c r="BV375">
        <v>111541.80113226072</v>
      </c>
      <c r="BX375">
        <v>111541.80113226072</v>
      </c>
      <c r="BY375">
        <v>111541.8</v>
      </c>
      <c r="BZ375">
        <v>3273751.83</v>
      </c>
      <c r="CC375">
        <v>0</v>
      </c>
      <c r="CD375">
        <v>111541.8</v>
      </c>
      <c r="CE375">
        <v>3273751.83</v>
      </c>
      <c r="CF375" t="s">
        <v>37</v>
      </c>
      <c r="CG375">
        <v>4500</v>
      </c>
      <c r="CH375">
        <v>116041.8</v>
      </c>
      <c r="CI375">
        <v>132075</v>
      </c>
      <c r="CJ375">
        <v>3405826.83</v>
      </c>
      <c r="CN375">
        <v>0</v>
      </c>
      <c r="CO375" t="s">
        <v>39</v>
      </c>
      <c r="CP375" t="s">
        <v>39</v>
      </c>
      <c r="CQ375" t="b">
        <v>1</v>
      </c>
      <c r="CR375" t="s">
        <v>8950</v>
      </c>
      <c r="CT375" t="s">
        <v>8960</v>
      </c>
      <c r="CU375" t="s">
        <v>8970</v>
      </c>
      <c r="CV375" t="s">
        <v>6243</v>
      </c>
      <c r="CW375" t="s">
        <v>4895</v>
      </c>
      <c r="CX375" t="s">
        <v>3246</v>
      </c>
      <c r="CY375">
        <v>0.84999999999999787</v>
      </c>
      <c r="CZ375">
        <v>98635.529999999737</v>
      </c>
      <c r="DA375">
        <v>3405826.83</v>
      </c>
      <c r="DB375" t="s">
        <v>37</v>
      </c>
      <c r="DC375" t="b">
        <v>1</v>
      </c>
      <c r="DD375">
        <v>3405826.83</v>
      </c>
      <c r="DE375">
        <v>0</v>
      </c>
      <c r="DF375" t="b">
        <v>1</v>
      </c>
      <c r="DG375" s="420" cm="1">
        <f t="array" ref="DG375">_xlfn.XLOOKUP("Дом 4"&amp;Реестр_Д4[[#This Row],[№]]&amp;Реестр_Д4[[#This Row],[Статус]],РД[Дом]&amp;РД[№ кв]&amp;РД[Состояние],РД[Дата подачи на регистрацию],"-",0)</f>
        <v>45187</v>
      </c>
    </row>
    <row r="376" spans="1:111" x14ac:dyDescent="0.25">
      <c r="A376">
        <v>375</v>
      </c>
      <c r="B376" t="s">
        <v>16</v>
      </c>
      <c r="C376">
        <v>21</v>
      </c>
      <c r="D376" t="s">
        <v>43</v>
      </c>
      <c r="E376">
        <v>2</v>
      </c>
      <c r="F376">
        <v>17.22</v>
      </c>
      <c r="G376">
        <v>12.24</v>
      </c>
      <c r="I376">
        <v>29.46</v>
      </c>
      <c r="J376">
        <v>17.010000000000002</v>
      </c>
      <c r="K376">
        <v>3.67</v>
      </c>
      <c r="L376">
        <v>2.4</v>
      </c>
      <c r="N376">
        <v>12.71</v>
      </c>
      <c r="O376">
        <v>2.61</v>
      </c>
      <c r="P376">
        <v>2.78</v>
      </c>
      <c r="Q376">
        <v>5.39</v>
      </c>
      <c r="R376">
        <v>70.64</v>
      </c>
      <c r="S376">
        <v>65.25</v>
      </c>
      <c r="T376">
        <v>67.95</v>
      </c>
      <c r="U376">
        <v>69.5</v>
      </c>
      <c r="V376">
        <v>76636</v>
      </c>
      <c r="W376">
        <v>3831.8</v>
      </c>
      <c r="X376">
        <v>80467.8</v>
      </c>
      <c r="Z376">
        <v>80467.8</v>
      </c>
      <c r="AA376">
        <v>4023.39</v>
      </c>
      <c r="AB376">
        <v>84491.19</v>
      </c>
      <c r="AC376">
        <v>10.392416369999999</v>
      </c>
      <c r="AD376">
        <v>84501.582416370002</v>
      </c>
      <c r="AF376">
        <v>84501.582416370002</v>
      </c>
      <c r="AH376">
        <v>84501.582416370002</v>
      </c>
      <c r="AI376">
        <v>1690.0316483274</v>
      </c>
      <c r="AJ376">
        <v>86191.614064697409</v>
      </c>
      <c r="AK376">
        <v>861.9161406469741</v>
      </c>
      <c r="AL376">
        <v>87053.530205344388</v>
      </c>
      <c r="AM376">
        <v>1741.0706041068879</v>
      </c>
      <c r="AN376">
        <v>88794.60080945128</v>
      </c>
      <c r="AP376">
        <v>88794.60080945128</v>
      </c>
      <c r="AR376">
        <v>88794.60080945128</v>
      </c>
      <c r="AT376">
        <v>88794.60080945128</v>
      </c>
      <c r="AV376">
        <v>88794.60080945128</v>
      </c>
      <c r="AX376">
        <v>88794.60080945128</v>
      </c>
      <c r="AZ376">
        <v>88794.60080945128</v>
      </c>
      <c r="BB376">
        <v>88794.60080945128</v>
      </c>
      <c r="BD376">
        <v>88794.60080945128</v>
      </c>
      <c r="BF376">
        <v>88794.60080945128</v>
      </c>
      <c r="BH376">
        <v>88794.60080945128</v>
      </c>
      <c r="BJ376">
        <v>88794.60080945128</v>
      </c>
      <c r="BL376">
        <v>88794.60080945128</v>
      </c>
      <c r="BN376">
        <v>88794.60080945128</v>
      </c>
      <c r="BP376">
        <v>88794.60080945128</v>
      </c>
      <c r="BR376">
        <v>88794.60080945128</v>
      </c>
      <c r="BT376">
        <v>88794.60080945128</v>
      </c>
      <c r="BV376">
        <v>88794.60080945128</v>
      </c>
      <c r="BX376">
        <v>88794.60080945128</v>
      </c>
      <c r="BY376">
        <v>88794.6</v>
      </c>
      <c r="BZ376">
        <v>6033593.0700000003</v>
      </c>
      <c r="CA376">
        <v>271800</v>
      </c>
      <c r="CC376">
        <v>271800</v>
      </c>
      <c r="CD376">
        <v>84794.6</v>
      </c>
      <c r="CE376">
        <v>5761793.0700000003</v>
      </c>
      <c r="CF376" t="s">
        <v>37</v>
      </c>
      <c r="CG376">
        <v>4000</v>
      </c>
      <c r="CH376">
        <v>88794.6</v>
      </c>
      <c r="CI376">
        <v>271800</v>
      </c>
      <c r="CJ376">
        <v>6033593.0700000003</v>
      </c>
      <c r="CL376" t="s">
        <v>4839</v>
      </c>
      <c r="CN376">
        <v>0</v>
      </c>
      <c r="CO376" t="s">
        <v>39</v>
      </c>
      <c r="CP376" t="s">
        <v>39</v>
      </c>
      <c r="CQ376" t="b">
        <v>1</v>
      </c>
      <c r="CR376" t="s">
        <v>8950</v>
      </c>
      <c r="CT376" t="s">
        <v>8960</v>
      </c>
      <c r="CU376" t="s">
        <v>8971</v>
      </c>
      <c r="CV376" t="s">
        <v>6244</v>
      </c>
      <c r="CW376" t="s">
        <v>4895</v>
      </c>
      <c r="CX376" t="s">
        <v>3246</v>
      </c>
      <c r="CY376">
        <v>1.5499999999999972</v>
      </c>
      <c r="CZ376">
        <v>137631.62999999974</v>
      </c>
      <c r="DA376">
        <v>6033593.0700000003</v>
      </c>
      <c r="DB376" t="s">
        <v>37</v>
      </c>
      <c r="DC376" t="b">
        <v>1</v>
      </c>
      <c r="DD376">
        <v>6033593.0700000003</v>
      </c>
      <c r="DE376">
        <v>0</v>
      </c>
      <c r="DF376" t="b">
        <v>1</v>
      </c>
      <c r="DG376" s="420" cm="1">
        <f t="array" ref="DG376">_xlfn.XLOOKUP("Дом 4"&amp;Реестр_Д4[[#This Row],[№]]&amp;Реестр_Д4[[#This Row],[Статус]],РД[Дом]&amp;РД[№ кв]&amp;РД[Состояние],РД[Дата подачи на регистрацию],"-",0)</f>
        <v>45106</v>
      </c>
    </row>
    <row r="377" spans="1:111" x14ac:dyDescent="0.25">
      <c r="A377">
        <v>376</v>
      </c>
      <c r="B377" t="s">
        <v>16</v>
      </c>
      <c r="C377">
        <v>21</v>
      </c>
      <c r="D377" t="s">
        <v>44</v>
      </c>
      <c r="E377">
        <v>0</v>
      </c>
      <c r="F377">
        <v>19.22</v>
      </c>
      <c r="I377">
        <v>19.22</v>
      </c>
      <c r="J377">
        <v>9.57</v>
      </c>
      <c r="K377">
        <v>3.76</v>
      </c>
      <c r="N377">
        <v>2.56</v>
      </c>
      <c r="O377">
        <v>2.68</v>
      </c>
      <c r="Q377">
        <v>2.68</v>
      </c>
      <c r="R377">
        <v>37.79</v>
      </c>
      <c r="S377">
        <v>35.11</v>
      </c>
      <c r="T377">
        <v>36.450000000000003</v>
      </c>
      <c r="U377">
        <v>37.4</v>
      </c>
      <c r="V377">
        <v>82404</v>
      </c>
      <c r="W377">
        <v>4120.2</v>
      </c>
      <c r="X377">
        <v>86524.2</v>
      </c>
      <c r="Z377">
        <v>86524.2</v>
      </c>
      <c r="AB377">
        <v>86524.2</v>
      </c>
      <c r="AC377">
        <v>10.6424766</v>
      </c>
      <c r="AD377">
        <v>86534.842476599995</v>
      </c>
      <c r="AE377">
        <v>4326.7421238300003</v>
      </c>
      <c r="AF377">
        <v>90861.584600429996</v>
      </c>
      <c r="AH377">
        <v>90861.584600429996</v>
      </c>
      <c r="AJ377">
        <v>90861.584600429996</v>
      </c>
      <c r="AK377">
        <v>908.61584600430001</v>
      </c>
      <c r="AL377">
        <v>91770.200446434275</v>
      </c>
      <c r="AM377">
        <v>1835.4040089286859</v>
      </c>
      <c r="AN377">
        <v>93605.604455362976</v>
      </c>
      <c r="AP377">
        <v>93605.604455362976</v>
      </c>
      <c r="AQ377">
        <v>2808.168133660889</v>
      </c>
      <c r="AR377">
        <v>96413.772589023865</v>
      </c>
      <c r="AT377">
        <v>96413.772589023865</v>
      </c>
      <c r="AV377">
        <v>96413.772589023865</v>
      </c>
      <c r="AX377">
        <v>96413.772589023865</v>
      </c>
      <c r="AZ377">
        <v>96413.772589023865</v>
      </c>
      <c r="BB377">
        <v>96413.772589023865</v>
      </c>
      <c r="BD377">
        <v>96413.772589023865</v>
      </c>
      <c r="BF377">
        <v>96413.772589023865</v>
      </c>
      <c r="BH377">
        <v>96413.772589023865</v>
      </c>
      <c r="BJ377">
        <v>96413.772589023865</v>
      </c>
      <c r="BL377">
        <v>96413.772589023865</v>
      </c>
      <c r="BN377">
        <v>96413.772589023865</v>
      </c>
      <c r="BP377">
        <v>96413.772589023865</v>
      </c>
      <c r="BR377">
        <v>96413.772589023865</v>
      </c>
      <c r="BT377">
        <v>96413.772589023865</v>
      </c>
      <c r="BV377">
        <v>96413.772589023865</v>
      </c>
      <c r="BX377">
        <v>96413.772589023865</v>
      </c>
      <c r="BY377">
        <v>96413.77</v>
      </c>
      <c r="BZ377">
        <v>3514281.92</v>
      </c>
      <c r="CB377">
        <v>0.1</v>
      </c>
      <c r="CC377">
        <v>351428.19200000004</v>
      </c>
      <c r="CD377">
        <v>86772.393141289431</v>
      </c>
      <c r="CE377">
        <v>3162853.73</v>
      </c>
      <c r="CF377" t="s">
        <v>37</v>
      </c>
      <c r="CG377">
        <v>4500</v>
      </c>
      <c r="CH377">
        <v>91272.393141289431</v>
      </c>
      <c r="CI377">
        <v>164025</v>
      </c>
      <c r="CJ377">
        <v>3326878.73</v>
      </c>
      <c r="CL377" t="s">
        <v>350</v>
      </c>
      <c r="CN377">
        <v>0</v>
      </c>
      <c r="CO377" t="s">
        <v>39</v>
      </c>
      <c r="CP377" t="s">
        <v>39</v>
      </c>
      <c r="CQ377" t="b">
        <v>1</v>
      </c>
      <c r="CR377" t="s">
        <v>8950</v>
      </c>
      <c r="CT377" t="s">
        <v>8960</v>
      </c>
      <c r="CU377" t="s">
        <v>8970</v>
      </c>
      <c r="CV377" t="s">
        <v>6245</v>
      </c>
      <c r="CW377" t="s">
        <v>4895</v>
      </c>
      <c r="CX377" t="s">
        <v>3246</v>
      </c>
      <c r="CY377">
        <v>0.94999999999999563</v>
      </c>
      <c r="CZ377">
        <v>86708.77348422457</v>
      </c>
      <c r="DA377">
        <v>3326878.73</v>
      </c>
      <c r="DB377" t="s">
        <v>37</v>
      </c>
      <c r="DC377" t="b">
        <v>1</v>
      </c>
      <c r="DD377">
        <v>3326878.73</v>
      </c>
      <c r="DE377">
        <v>0</v>
      </c>
      <c r="DF377" t="b">
        <v>1</v>
      </c>
      <c r="DG377" s="420" cm="1">
        <f t="array" ref="DG377">_xlfn.XLOOKUP("Дом 4"&amp;Реестр_Д4[[#This Row],[№]]&amp;Реестр_Д4[[#This Row],[Статус]],РД[Дом]&amp;РД[№ кв]&amp;РД[Состояние],РД[Дата подачи на регистрацию],"-",0)</f>
        <v>45156</v>
      </c>
    </row>
    <row r="378" spans="1:111" x14ac:dyDescent="0.25">
      <c r="A378">
        <v>377</v>
      </c>
      <c r="B378" t="s">
        <v>16</v>
      </c>
      <c r="C378">
        <v>21</v>
      </c>
      <c r="D378" t="s">
        <v>45</v>
      </c>
      <c r="E378">
        <v>2</v>
      </c>
      <c r="F378">
        <v>18.12</v>
      </c>
      <c r="G378">
        <v>9.8800000000000008</v>
      </c>
      <c r="I378">
        <v>28</v>
      </c>
      <c r="J378">
        <v>15.3</v>
      </c>
      <c r="K378">
        <v>3.49</v>
      </c>
      <c r="L378">
        <v>2.34</v>
      </c>
      <c r="N378">
        <v>8.1</v>
      </c>
      <c r="O378">
        <v>2.63</v>
      </c>
      <c r="Q378">
        <v>2.63</v>
      </c>
      <c r="R378">
        <v>59.86</v>
      </c>
      <c r="S378">
        <v>57.23</v>
      </c>
      <c r="T378">
        <v>58.55</v>
      </c>
      <c r="U378">
        <v>60.3</v>
      </c>
      <c r="V378">
        <v>73970.399999999994</v>
      </c>
      <c r="W378">
        <v>3698.52</v>
      </c>
      <c r="X378">
        <v>77668.92</v>
      </c>
      <c r="Z378">
        <v>77668.92</v>
      </c>
      <c r="AA378">
        <v>3883.4459999999999</v>
      </c>
      <c r="AB378">
        <v>81552.365999999995</v>
      </c>
      <c r="AC378">
        <v>10.030941018</v>
      </c>
      <c r="AD378">
        <v>81562.396941018</v>
      </c>
      <c r="AF378">
        <v>81562.396941018</v>
      </c>
      <c r="AH378">
        <v>81562.396941018</v>
      </c>
      <c r="AI378">
        <v>1631.2479388203601</v>
      </c>
      <c r="AJ378">
        <v>83193.644879838364</v>
      </c>
      <c r="AK378">
        <v>831.93644879838371</v>
      </c>
      <c r="AL378">
        <v>84025.581328636748</v>
      </c>
      <c r="AM378">
        <v>1680.5116265727347</v>
      </c>
      <c r="AN378">
        <v>85706.092955209489</v>
      </c>
      <c r="AO378">
        <v>2571.1827886562846</v>
      </c>
      <c r="AP378">
        <v>88277.275743865772</v>
      </c>
      <c r="AQ378">
        <v>2648.318272315973</v>
      </c>
      <c r="AR378">
        <v>90925.594016181742</v>
      </c>
      <c r="AS378">
        <v>4546.2797008090874</v>
      </c>
      <c r="AT378">
        <v>95471.873716990827</v>
      </c>
      <c r="AU378">
        <v>2864.1562115097249</v>
      </c>
      <c r="AV378">
        <v>98336.029928500546</v>
      </c>
      <c r="AX378">
        <v>98336.029928500546</v>
      </c>
      <c r="AZ378">
        <v>98336.029928500546</v>
      </c>
      <c r="BB378">
        <v>98336.029928500546</v>
      </c>
      <c r="BD378">
        <v>98336.029928500546</v>
      </c>
      <c r="BF378">
        <v>98336.029928500546</v>
      </c>
      <c r="BH378">
        <v>98336.029928500546</v>
      </c>
      <c r="BI378">
        <v>4916.8014964250278</v>
      </c>
      <c r="BJ378">
        <v>103252.83142492558</v>
      </c>
      <c r="BK378">
        <v>1000</v>
      </c>
      <c r="BL378">
        <v>104252.83142492558</v>
      </c>
      <c r="BN378">
        <v>104252.83142492558</v>
      </c>
      <c r="BP378">
        <v>104252.83142492558</v>
      </c>
      <c r="BR378">
        <v>104252.83142492558</v>
      </c>
      <c r="BT378">
        <v>104252.83142492558</v>
      </c>
      <c r="BV378">
        <v>104252.83142492558</v>
      </c>
      <c r="BX378">
        <v>104252.83142492558</v>
      </c>
      <c r="BY378">
        <v>104252.83</v>
      </c>
      <c r="BZ378">
        <v>6104100</v>
      </c>
      <c r="CB378">
        <v>0.03</v>
      </c>
      <c r="CC378">
        <v>183123</v>
      </c>
      <c r="CD378">
        <v>101126.8488471392</v>
      </c>
      <c r="CE378">
        <v>5920977</v>
      </c>
      <c r="CF378" t="s">
        <v>36</v>
      </c>
      <c r="CH378">
        <v>101126.8488471392</v>
      </c>
      <c r="CI378">
        <v>0</v>
      </c>
      <c r="CJ378">
        <v>5920977</v>
      </c>
      <c r="CL378" t="s">
        <v>6840</v>
      </c>
      <c r="CN378">
        <v>0</v>
      </c>
      <c r="CO378" t="s">
        <v>39</v>
      </c>
      <c r="CP378" t="s">
        <v>39</v>
      </c>
      <c r="CQ378" t="b">
        <v>1</v>
      </c>
      <c r="CR378" t="s">
        <v>8950</v>
      </c>
      <c r="CT378" t="s">
        <v>8960</v>
      </c>
      <c r="CU378" t="s">
        <v>8971</v>
      </c>
      <c r="CV378" t="s">
        <v>6246</v>
      </c>
      <c r="CW378" t="s">
        <v>6652</v>
      </c>
      <c r="CX378" t="s">
        <v>3246</v>
      </c>
      <c r="CY378">
        <v>1.75</v>
      </c>
      <c r="CZ378">
        <v>176971.98548249362</v>
      </c>
      <c r="DA378">
        <v>5920977</v>
      </c>
      <c r="DB378" t="s">
        <v>36</v>
      </c>
      <c r="DC378" t="b">
        <v>1</v>
      </c>
      <c r="DD378">
        <v>5920977</v>
      </c>
      <c r="DE378">
        <v>0</v>
      </c>
      <c r="DF378" t="b">
        <v>1</v>
      </c>
      <c r="DG378" s="420" cm="1">
        <f t="array" ref="DG378">_xlfn.XLOOKUP("Дом 4"&amp;Реестр_Д4[[#This Row],[№]]&amp;Реестр_Д4[[#This Row],[Статус]],РД[Дом]&amp;РД[№ кв]&amp;РД[Состояние],РД[Дата подачи на регистрацию],"-",0)</f>
        <v>45353</v>
      </c>
    </row>
    <row r="379" spans="1:111" x14ac:dyDescent="0.25">
      <c r="A379">
        <v>378</v>
      </c>
      <c r="B379" t="s">
        <v>16</v>
      </c>
      <c r="C379">
        <v>21</v>
      </c>
      <c r="D379" t="s">
        <v>3351</v>
      </c>
      <c r="E379">
        <v>2</v>
      </c>
      <c r="F379">
        <v>15.36</v>
      </c>
      <c r="G379">
        <v>9.8699999999999992</v>
      </c>
      <c r="I379">
        <v>25.23</v>
      </c>
      <c r="J379">
        <v>16.260000000000002</v>
      </c>
      <c r="K379">
        <v>3.74</v>
      </c>
      <c r="L379">
        <v>2.09</v>
      </c>
      <c r="N379">
        <v>8.06</v>
      </c>
      <c r="O379">
        <v>2.63</v>
      </c>
      <c r="Q379">
        <v>2.63</v>
      </c>
      <c r="R379">
        <v>58.01</v>
      </c>
      <c r="S379">
        <v>55.379999999999995</v>
      </c>
      <c r="T379">
        <v>56.7</v>
      </c>
      <c r="U379">
        <v>58.29999999999999</v>
      </c>
      <c r="V379">
        <v>73970.399999999994</v>
      </c>
      <c r="W379">
        <v>3698.52</v>
      </c>
      <c r="X379">
        <v>77668.92</v>
      </c>
      <c r="Z379">
        <v>77668.92</v>
      </c>
      <c r="AA379">
        <v>3883.4459999999999</v>
      </c>
      <c r="AB379">
        <v>81552.365999999995</v>
      </c>
      <c r="AC379">
        <v>10.030941018</v>
      </c>
      <c r="AD379">
        <v>81562.396941018</v>
      </c>
      <c r="AF379">
        <v>81562.396941018</v>
      </c>
      <c r="AH379">
        <v>81562.396941018</v>
      </c>
      <c r="AI379">
        <v>1631.2479388203601</v>
      </c>
      <c r="AJ379">
        <v>83193.644879838364</v>
      </c>
      <c r="AL379">
        <v>83193.644879838364</v>
      </c>
      <c r="AN379">
        <v>83193.644879838364</v>
      </c>
      <c r="AP379">
        <v>83193.644879838364</v>
      </c>
      <c r="AR379">
        <v>83193.644879838364</v>
      </c>
      <c r="AT379">
        <v>83193.644879838364</v>
      </c>
      <c r="AV379">
        <v>83193.644879838364</v>
      </c>
      <c r="AX379">
        <v>83193.644879838364</v>
      </c>
      <c r="AZ379">
        <v>83193.644879838364</v>
      </c>
      <c r="BB379">
        <v>83193.644879838364</v>
      </c>
      <c r="BD379">
        <v>83193.644879838364</v>
      </c>
      <c r="BF379">
        <v>83193.644879838364</v>
      </c>
      <c r="BH379">
        <v>83193.644879838364</v>
      </c>
      <c r="BJ379">
        <v>83193.644879838364</v>
      </c>
      <c r="BL379">
        <v>83193.644879838364</v>
      </c>
      <c r="BN379">
        <v>83193.644879838364</v>
      </c>
      <c r="BP379">
        <v>83193.644879838364</v>
      </c>
      <c r="BR379">
        <v>83193.644879838364</v>
      </c>
      <c r="BT379">
        <v>83193.644879838364</v>
      </c>
      <c r="BV379">
        <v>83193.644879838364</v>
      </c>
      <c r="BX379">
        <v>83193.644879838364</v>
      </c>
      <c r="BY379">
        <v>83193.64</v>
      </c>
      <c r="BZ379">
        <v>4717079.3899999997</v>
      </c>
      <c r="CB379">
        <v>0.02</v>
      </c>
      <c r="CC379">
        <v>94341.587799999994</v>
      </c>
      <c r="CD379">
        <v>81529.767195767185</v>
      </c>
      <c r="CE379">
        <v>4622737.8</v>
      </c>
      <c r="CF379" t="s">
        <v>38</v>
      </c>
      <c r="CG379">
        <v>15000</v>
      </c>
      <c r="CH379">
        <v>96529.767195767185</v>
      </c>
      <c r="CI379">
        <v>850500</v>
      </c>
      <c r="CJ379">
        <v>5473237.7999999998</v>
      </c>
      <c r="CL379" t="s">
        <v>4518</v>
      </c>
      <c r="CN379">
        <v>0</v>
      </c>
      <c r="CO379" t="s">
        <v>39</v>
      </c>
      <c r="CP379" t="s">
        <v>39</v>
      </c>
      <c r="CQ379" t="b">
        <v>1</v>
      </c>
      <c r="CR379" t="s">
        <v>8950</v>
      </c>
      <c r="CS379" t="s">
        <v>1167</v>
      </c>
      <c r="CT379" t="s">
        <v>8960</v>
      </c>
      <c r="CU379" t="s">
        <v>8971</v>
      </c>
      <c r="CV379" t="s">
        <v>6247</v>
      </c>
      <c r="CW379" t="s">
        <v>4895</v>
      </c>
      <c r="CX379" t="s">
        <v>3246</v>
      </c>
      <c r="CY379">
        <v>1.5999999999999872</v>
      </c>
      <c r="CZ379">
        <v>154447.62751322627</v>
      </c>
      <c r="DA379">
        <v>5473237.7999999998</v>
      </c>
      <c r="DB379" t="s">
        <v>38</v>
      </c>
      <c r="DC379" t="b">
        <v>1</v>
      </c>
      <c r="DD379">
        <v>5473237.7999999998</v>
      </c>
      <c r="DE379">
        <v>0</v>
      </c>
      <c r="DF379" t="b">
        <v>1</v>
      </c>
      <c r="DG379" s="420" cm="1">
        <f t="array" ref="DG379">_xlfn.XLOOKUP("Дом 4"&amp;Реестр_Д4[[#This Row],[№]]&amp;Реестр_Д4[[#This Row],[Статус]],РД[Дом]&amp;РД[№ кв]&amp;РД[Состояние],РД[Дата подачи на регистрацию],"-",0)</f>
        <v>45020</v>
      </c>
    </row>
    <row r="380" spans="1:111" x14ac:dyDescent="0.25">
      <c r="A380">
        <v>379</v>
      </c>
      <c r="B380" t="s">
        <v>16</v>
      </c>
      <c r="C380">
        <v>21</v>
      </c>
      <c r="D380" t="s">
        <v>3352</v>
      </c>
      <c r="E380">
        <v>3</v>
      </c>
      <c r="F380">
        <v>16.27</v>
      </c>
      <c r="G380">
        <v>10.96</v>
      </c>
      <c r="H380">
        <v>10.7</v>
      </c>
      <c r="I380">
        <v>37.93</v>
      </c>
      <c r="J380">
        <v>13.42</v>
      </c>
      <c r="K380">
        <v>4.53</v>
      </c>
      <c r="L380">
        <v>2.27</v>
      </c>
      <c r="N380">
        <v>12.94</v>
      </c>
      <c r="O380">
        <v>2.83</v>
      </c>
      <c r="Q380">
        <v>2.83</v>
      </c>
      <c r="R380">
        <v>73.92</v>
      </c>
      <c r="S380">
        <v>71.09</v>
      </c>
      <c r="T380">
        <v>72.510000000000005</v>
      </c>
      <c r="U380">
        <v>74.7</v>
      </c>
      <c r="V380">
        <v>74009.600000000006</v>
      </c>
      <c r="W380">
        <v>3700.4800000000009</v>
      </c>
      <c r="X380">
        <v>77710.080000000002</v>
      </c>
      <c r="Z380">
        <v>77710.080000000002</v>
      </c>
      <c r="AB380">
        <v>77710.080000000002</v>
      </c>
      <c r="AC380">
        <v>9.5583398400000004</v>
      </c>
      <c r="AD380">
        <v>77719.638339840007</v>
      </c>
      <c r="AF380">
        <v>77719.638339840007</v>
      </c>
      <c r="AH380">
        <v>77719.638339840007</v>
      </c>
      <c r="AI380">
        <v>2331.5891501952001</v>
      </c>
      <c r="AJ380">
        <v>80051.227490035206</v>
      </c>
      <c r="AK380">
        <v>800.51227490035205</v>
      </c>
      <c r="AL380">
        <v>80851.739764935555</v>
      </c>
      <c r="AM380">
        <v>1617.0347952987113</v>
      </c>
      <c r="AN380">
        <v>82468.774560234262</v>
      </c>
      <c r="AP380">
        <v>82468.774560234262</v>
      </c>
      <c r="AR380">
        <v>82468.774560234262</v>
      </c>
      <c r="AT380">
        <v>82468.774560234262</v>
      </c>
      <c r="AV380">
        <v>82468.774560234262</v>
      </c>
      <c r="AX380">
        <v>82468.774560234262</v>
      </c>
      <c r="AZ380">
        <v>82468.774560234262</v>
      </c>
      <c r="BB380">
        <v>82468.774560234262</v>
      </c>
      <c r="BD380">
        <v>82468.774560234262</v>
      </c>
      <c r="BF380">
        <v>82468.774560234262</v>
      </c>
      <c r="BH380">
        <v>82468.774560234262</v>
      </c>
      <c r="BJ380">
        <v>82468.774560234262</v>
      </c>
      <c r="BL380">
        <v>82468.774560234262</v>
      </c>
      <c r="BN380">
        <v>82468.774560234262</v>
      </c>
      <c r="BP380">
        <v>82468.774560234262</v>
      </c>
      <c r="BR380">
        <v>82468.774560234262</v>
      </c>
      <c r="BT380">
        <v>82468.774560234262</v>
      </c>
      <c r="BV380">
        <v>82468.774560234262</v>
      </c>
      <c r="BX380">
        <v>82468.774560234262</v>
      </c>
      <c r="BY380">
        <v>82468.77</v>
      </c>
      <c r="BZ380">
        <v>5979810.5099999998</v>
      </c>
      <c r="CC380">
        <v>0</v>
      </c>
      <c r="CD380">
        <v>82468.769962763748</v>
      </c>
      <c r="CE380">
        <v>5979810.5099999998</v>
      </c>
      <c r="CF380" t="s">
        <v>37</v>
      </c>
      <c r="CG380">
        <v>4000</v>
      </c>
      <c r="CH380">
        <v>86468.769962763748</v>
      </c>
      <c r="CI380">
        <v>290040</v>
      </c>
      <c r="CJ380">
        <v>6269850.5099999998</v>
      </c>
      <c r="CN380">
        <v>0</v>
      </c>
      <c r="CO380" t="s">
        <v>39</v>
      </c>
      <c r="CP380" t="s">
        <v>39</v>
      </c>
      <c r="CQ380" t="b">
        <v>1</v>
      </c>
      <c r="CR380" t="s">
        <v>8950</v>
      </c>
      <c r="CT380" t="s">
        <v>8960</v>
      </c>
      <c r="CU380" t="s">
        <v>8975</v>
      </c>
      <c r="CV380" t="s">
        <v>6248</v>
      </c>
      <c r="CW380" t="s">
        <v>4895</v>
      </c>
      <c r="CX380" t="s">
        <v>3246</v>
      </c>
      <c r="CY380">
        <v>2.1899999999999977</v>
      </c>
      <c r="CZ380">
        <v>189366.60621845239</v>
      </c>
      <c r="DA380">
        <v>6269850.5099999998</v>
      </c>
      <c r="DB380" t="s">
        <v>37</v>
      </c>
      <c r="DC380" t="b">
        <v>1</v>
      </c>
      <c r="DD380">
        <v>6269850.5099999998</v>
      </c>
      <c r="DE380">
        <v>0</v>
      </c>
      <c r="DF380" t="b">
        <v>1</v>
      </c>
      <c r="DG380" s="420" cm="1">
        <f t="array" ref="DG380">_xlfn.XLOOKUP("Дом 4"&amp;Реестр_Д4[[#This Row],[№]]&amp;Реестр_Д4[[#This Row],[Статус]],РД[Дом]&amp;РД[№ кв]&amp;РД[Состояние],РД[Дата подачи на регистрацию],"-",0)</f>
        <v>45101</v>
      </c>
    </row>
    <row r="381" spans="1:111" x14ac:dyDescent="0.25">
      <c r="A381">
        <v>380</v>
      </c>
      <c r="B381" t="s">
        <v>16</v>
      </c>
      <c r="C381">
        <v>21</v>
      </c>
      <c r="D381" t="s">
        <v>3353</v>
      </c>
      <c r="E381">
        <v>1</v>
      </c>
      <c r="F381">
        <v>10.68</v>
      </c>
      <c r="I381">
        <v>10.68</v>
      </c>
      <c r="J381">
        <v>12.75</v>
      </c>
      <c r="K381">
        <v>3.65</v>
      </c>
      <c r="N381">
        <v>5.45</v>
      </c>
      <c r="O381">
        <v>2.62</v>
      </c>
      <c r="Q381">
        <v>2.62</v>
      </c>
      <c r="R381">
        <v>35.15</v>
      </c>
      <c r="S381">
        <v>32.53</v>
      </c>
      <c r="T381">
        <v>33.840000000000003</v>
      </c>
      <c r="U381">
        <v>34.699999999999996</v>
      </c>
      <c r="V381">
        <v>77000</v>
      </c>
      <c r="W381">
        <v>3850</v>
      </c>
      <c r="X381">
        <v>80850</v>
      </c>
      <c r="Y381">
        <v>3234</v>
      </c>
      <c r="Z381">
        <v>84084</v>
      </c>
      <c r="AA381">
        <v>4204.2</v>
      </c>
      <c r="AB381">
        <v>88288.2</v>
      </c>
      <c r="AC381">
        <v>10.8594486</v>
      </c>
      <c r="AD381">
        <v>88299.05944859999</v>
      </c>
      <c r="AE381">
        <v>4414.95297243</v>
      </c>
      <c r="AF381">
        <v>92714.012421029984</v>
      </c>
      <c r="AH381">
        <v>92714.012421029984</v>
      </c>
      <c r="AI381">
        <v>2781.4203726308992</v>
      </c>
      <c r="AJ381">
        <v>95495.432793660875</v>
      </c>
      <c r="AK381">
        <v>2864.8629838098268</v>
      </c>
      <c r="AL381">
        <v>98360.295777470717</v>
      </c>
      <c r="AM381">
        <v>3934.4118310988288</v>
      </c>
      <c r="AN381">
        <v>102294.70760856954</v>
      </c>
      <c r="AO381">
        <v>2045.8941521713907</v>
      </c>
      <c r="AP381">
        <v>104340.60176074092</v>
      </c>
      <c r="AQ381">
        <v>3130.2180528222279</v>
      </c>
      <c r="AR381">
        <v>107470.81981356315</v>
      </c>
      <c r="AT381">
        <v>107470.81981356315</v>
      </c>
      <c r="AU381">
        <v>3224.1245944068942</v>
      </c>
      <c r="AV381">
        <v>110694.94440797003</v>
      </c>
      <c r="AW381">
        <v>6641.6966644782024</v>
      </c>
      <c r="AX381">
        <v>117336.64107244826</v>
      </c>
      <c r="AZ381">
        <v>117336.64107244826</v>
      </c>
      <c r="BB381">
        <v>117336.64107244826</v>
      </c>
      <c r="BD381">
        <v>117336.64107244826</v>
      </c>
      <c r="BF381">
        <v>117336.64107244826</v>
      </c>
      <c r="BH381">
        <v>117336.64107244826</v>
      </c>
      <c r="BJ381">
        <v>117336.64107244826</v>
      </c>
      <c r="BL381">
        <v>117336.64107244826</v>
      </c>
      <c r="BN381">
        <v>117336.64107244826</v>
      </c>
      <c r="BP381">
        <v>117336.64107244826</v>
      </c>
      <c r="BR381">
        <v>117336.64107244826</v>
      </c>
      <c r="BT381">
        <v>117336.64107244826</v>
      </c>
      <c r="BV381">
        <v>117336.64107244826</v>
      </c>
      <c r="BX381">
        <v>117336.64107244826</v>
      </c>
      <c r="BY381">
        <v>117336.64</v>
      </c>
      <c r="BZ381">
        <v>3970671.9</v>
      </c>
      <c r="CC381">
        <v>0</v>
      </c>
      <c r="CD381">
        <v>117336.64007092196</v>
      </c>
      <c r="CE381">
        <v>3970671.9</v>
      </c>
      <c r="CF381" t="s">
        <v>37</v>
      </c>
      <c r="CG381">
        <v>7500</v>
      </c>
      <c r="CH381">
        <v>124836.64007092196</v>
      </c>
      <c r="CI381">
        <v>253800.00000000047</v>
      </c>
      <c r="CJ381">
        <v>4224471.9000000004</v>
      </c>
      <c r="CK381" t="s">
        <v>57</v>
      </c>
      <c r="CN381">
        <v>0</v>
      </c>
      <c r="CO381" t="s">
        <v>39</v>
      </c>
      <c r="CP381" t="s">
        <v>39</v>
      </c>
      <c r="CQ381" t="b">
        <v>1</v>
      </c>
      <c r="CR381" t="s">
        <v>8950</v>
      </c>
      <c r="CT381" t="s">
        <v>8960</v>
      </c>
      <c r="CU381" t="s">
        <v>8973</v>
      </c>
      <c r="CV381" t="s">
        <v>6249</v>
      </c>
      <c r="CW381" t="s">
        <v>4895</v>
      </c>
      <c r="CX381" t="s">
        <v>3246</v>
      </c>
      <c r="CY381">
        <v>0.85999999999999233</v>
      </c>
      <c r="CZ381">
        <v>107359.51046099194</v>
      </c>
      <c r="DA381">
        <v>4224471.9000000004</v>
      </c>
      <c r="DB381" t="s">
        <v>37</v>
      </c>
      <c r="DC381" t="b">
        <v>1</v>
      </c>
      <c r="DD381">
        <v>4224471.9000000004</v>
      </c>
      <c r="DE381">
        <v>0</v>
      </c>
      <c r="DF381" t="b">
        <v>1</v>
      </c>
      <c r="DG381" s="420" cm="1">
        <f t="array" ref="DG381">_xlfn.XLOOKUP("Дом 4"&amp;Реестр_Д4[[#This Row],[№]]&amp;Реестр_Д4[[#This Row],[Статус]],РД[Дом]&amp;РД[№ кв]&amp;РД[Состояние],РД[Дата подачи на регистрацию],"-",0)</f>
        <v>45199</v>
      </c>
    </row>
    <row r="382" spans="1:111" x14ac:dyDescent="0.25">
      <c r="A382">
        <v>381</v>
      </c>
      <c r="B382" t="s">
        <v>16</v>
      </c>
      <c r="C382">
        <v>22</v>
      </c>
      <c r="D382" t="s">
        <v>42</v>
      </c>
      <c r="E382">
        <v>0</v>
      </c>
      <c r="F382">
        <v>14.73</v>
      </c>
      <c r="I382">
        <v>14.73</v>
      </c>
      <c r="J382">
        <v>5.74</v>
      </c>
      <c r="K382">
        <v>3.61</v>
      </c>
      <c r="N382">
        <v>3.6</v>
      </c>
      <c r="O382">
        <v>3.34</v>
      </c>
      <c r="Q382">
        <v>3.34</v>
      </c>
      <c r="R382">
        <v>31.02</v>
      </c>
      <c r="S382">
        <v>27.68</v>
      </c>
      <c r="T382">
        <v>29.35</v>
      </c>
      <c r="U382">
        <v>30.199999999999996</v>
      </c>
      <c r="V382">
        <v>83160</v>
      </c>
      <c r="W382">
        <v>4158</v>
      </c>
      <c r="X382">
        <v>87318</v>
      </c>
      <c r="Z382">
        <v>87318</v>
      </c>
      <c r="AB382">
        <v>87318</v>
      </c>
      <c r="AC382">
        <v>10.740114</v>
      </c>
      <c r="AD382">
        <v>87328.740114</v>
      </c>
      <c r="AE382">
        <v>4366.4370057000006</v>
      </c>
      <c r="AF382">
        <v>91695.177119700005</v>
      </c>
      <c r="AH382">
        <v>91695.177119700005</v>
      </c>
      <c r="AJ382">
        <v>91695.177119700005</v>
      </c>
      <c r="AK382">
        <v>916.95177119699997</v>
      </c>
      <c r="AL382">
        <v>92612.128890897002</v>
      </c>
      <c r="AM382">
        <v>1852.2425778179399</v>
      </c>
      <c r="AN382">
        <v>94464.371468714948</v>
      </c>
      <c r="AO382">
        <v>4723.2185734357472</v>
      </c>
      <c r="AP382">
        <v>99187.590042150681</v>
      </c>
      <c r="AQ382">
        <v>2975.627701264521</v>
      </c>
      <c r="AR382">
        <v>102163.2177434152</v>
      </c>
      <c r="AT382">
        <v>102163.2177434152</v>
      </c>
      <c r="AV382">
        <v>102163.2177434152</v>
      </c>
      <c r="AX382">
        <v>102163.2177434152</v>
      </c>
      <c r="AZ382">
        <v>102163.2177434152</v>
      </c>
      <c r="BB382">
        <v>102163.2177434152</v>
      </c>
      <c r="BD382">
        <v>102163.2177434152</v>
      </c>
      <c r="BF382">
        <v>102163.2177434152</v>
      </c>
      <c r="BH382">
        <v>102163.2177434152</v>
      </c>
      <c r="BJ382">
        <v>102163.2177434152</v>
      </c>
      <c r="BL382">
        <v>102163.2177434152</v>
      </c>
      <c r="BN382">
        <v>102163.2177434152</v>
      </c>
      <c r="BP382">
        <v>102163.2177434152</v>
      </c>
      <c r="BR382">
        <v>102163.2177434152</v>
      </c>
      <c r="BT382">
        <v>102163.2177434152</v>
      </c>
      <c r="BV382">
        <v>102163.2177434152</v>
      </c>
      <c r="BX382">
        <v>102163.2177434152</v>
      </c>
      <c r="BY382">
        <v>102163.22</v>
      </c>
      <c r="BZ382">
        <v>2998490.51</v>
      </c>
      <c r="CC382">
        <v>0</v>
      </c>
      <c r="CD382">
        <v>102163.22010221463</v>
      </c>
      <c r="CE382">
        <v>2998490.51</v>
      </c>
      <c r="CF382" t="s">
        <v>38</v>
      </c>
      <c r="CG382">
        <v>15000</v>
      </c>
      <c r="CH382">
        <v>117163.22010221463</v>
      </c>
      <c r="CI382">
        <v>440250</v>
      </c>
      <c r="CJ382">
        <v>3438740.51</v>
      </c>
      <c r="CN382">
        <v>0</v>
      </c>
      <c r="CO382" t="s">
        <v>39</v>
      </c>
      <c r="CP382" t="s">
        <v>39</v>
      </c>
      <c r="CQ382" t="b">
        <v>1</v>
      </c>
      <c r="CR382" t="s">
        <v>8950</v>
      </c>
      <c r="CT382" t="s">
        <v>8960</v>
      </c>
      <c r="CU382" t="s">
        <v>8970</v>
      </c>
      <c r="CV382" t="s">
        <v>6250</v>
      </c>
      <c r="CW382" t="s">
        <v>4895</v>
      </c>
      <c r="CX382" t="s">
        <v>3246</v>
      </c>
      <c r="CY382">
        <v>0.8499999999999942</v>
      </c>
      <c r="CZ382">
        <v>99588.737086881767</v>
      </c>
      <c r="DA382">
        <v>3438740.51</v>
      </c>
      <c r="DB382" t="s">
        <v>38</v>
      </c>
      <c r="DC382" t="b">
        <v>1</v>
      </c>
      <c r="DD382">
        <v>3438740.51</v>
      </c>
      <c r="DE382">
        <v>0</v>
      </c>
      <c r="DF382" t="b">
        <v>1</v>
      </c>
      <c r="DG382" s="420" cm="1">
        <f t="array" ref="DG382">_xlfn.XLOOKUP("Дом 4"&amp;Реестр_Д4[[#This Row],[№]]&amp;Реестр_Д4[[#This Row],[Статус]],РД[Дом]&amp;РД[№ кв]&amp;РД[Состояние],РД[Дата подачи на регистрацию],"-",0)</f>
        <v>45120</v>
      </c>
    </row>
    <row r="383" spans="1:111" x14ac:dyDescent="0.25">
      <c r="A383">
        <v>382</v>
      </c>
      <c r="B383" t="s">
        <v>16</v>
      </c>
      <c r="C383">
        <v>22</v>
      </c>
      <c r="D383" t="s">
        <v>43</v>
      </c>
      <c r="E383">
        <v>2</v>
      </c>
      <c r="F383">
        <v>17.22</v>
      </c>
      <c r="G383">
        <v>12.24</v>
      </c>
      <c r="I383">
        <v>29.46</v>
      </c>
      <c r="J383">
        <v>17.010000000000002</v>
      </c>
      <c r="K383">
        <v>3.67</v>
      </c>
      <c r="L383">
        <v>2.4</v>
      </c>
      <c r="N383">
        <v>12.71</v>
      </c>
      <c r="O383">
        <v>2.61</v>
      </c>
      <c r="P383">
        <v>2.78</v>
      </c>
      <c r="Q383">
        <v>5.39</v>
      </c>
      <c r="R383">
        <v>70.64</v>
      </c>
      <c r="S383">
        <v>65.25</v>
      </c>
      <c r="T383">
        <v>67.95</v>
      </c>
      <c r="U383">
        <v>69.400000000000006</v>
      </c>
      <c r="V383">
        <v>76636</v>
      </c>
      <c r="W383">
        <v>3831.8</v>
      </c>
      <c r="X383">
        <v>80467.8</v>
      </c>
      <c r="Z383">
        <v>80467.8</v>
      </c>
      <c r="AA383">
        <v>4023.39</v>
      </c>
      <c r="AB383">
        <v>84491.19</v>
      </c>
      <c r="AC383">
        <v>10.392416369999999</v>
      </c>
      <c r="AD383">
        <v>84501.582416370002</v>
      </c>
      <c r="AF383">
        <v>84501.582416370002</v>
      </c>
      <c r="AH383">
        <v>84501.582416370002</v>
      </c>
      <c r="AI383">
        <v>1690.0316483274</v>
      </c>
      <c r="AJ383">
        <v>86191.614064697409</v>
      </c>
      <c r="AK383">
        <v>861.9161406469741</v>
      </c>
      <c r="AL383">
        <v>87053.530205344388</v>
      </c>
      <c r="AM383">
        <v>1741.0706041068879</v>
      </c>
      <c r="AN383">
        <v>88794.60080945128</v>
      </c>
      <c r="AP383">
        <v>88794.60080945128</v>
      </c>
      <c r="AQ383">
        <v>2663.8380242835383</v>
      </c>
      <c r="AR383">
        <v>91458.438833734821</v>
      </c>
      <c r="AT383">
        <v>91458.438833734821</v>
      </c>
      <c r="AU383">
        <v>2743.7531650120445</v>
      </c>
      <c r="AV383">
        <v>94202.191998746886</v>
      </c>
      <c r="AX383">
        <v>94202.191998746886</v>
      </c>
      <c r="AZ383">
        <v>94202.191998746886</v>
      </c>
      <c r="BB383">
        <v>94202.191998746886</v>
      </c>
      <c r="BD383">
        <v>94202.191998746886</v>
      </c>
      <c r="BF383">
        <v>94202.191998746886</v>
      </c>
      <c r="BH383">
        <v>94202.191998746886</v>
      </c>
      <c r="BI383">
        <v>4710.1095999373438</v>
      </c>
      <c r="BJ383">
        <v>98912.301598684222</v>
      </c>
      <c r="BK383">
        <v>1000</v>
      </c>
      <c r="BL383">
        <v>99912.301598684222</v>
      </c>
      <c r="BM383">
        <v>1998.2460319736845</v>
      </c>
      <c r="BN383">
        <v>101910.54763065792</v>
      </c>
      <c r="BP383">
        <v>101910.54763065792</v>
      </c>
      <c r="BQ383">
        <v>500</v>
      </c>
      <c r="BR383">
        <v>102410.54763065792</v>
      </c>
      <c r="BT383">
        <v>102410.54763065792</v>
      </c>
      <c r="BV383">
        <v>102410.54763065792</v>
      </c>
      <c r="BX383">
        <v>102410.54763065792</v>
      </c>
      <c r="BY383">
        <v>102410.55</v>
      </c>
      <c r="BZ383">
        <v>6958800</v>
      </c>
      <c r="CB383">
        <v>0.04</v>
      </c>
      <c r="CC383">
        <v>278352</v>
      </c>
      <c r="CD383">
        <v>98314.172185430463</v>
      </c>
      <c r="CE383">
        <v>6680448</v>
      </c>
      <c r="CF383" t="s">
        <v>37</v>
      </c>
      <c r="CG383">
        <v>7500</v>
      </c>
      <c r="CH383">
        <v>105814.17218543046</v>
      </c>
      <c r="CI383">
        <v>509625</v>
      </c>
      <c r="CJ383">
        <v>7190073</v>
      </c>
      <c r="CL383" t="s">
        <v>978</v>
      </c>
      <c r="CN383">
        <v>0</v>
      </c>
      <c r="CO383" t="s">
        <v>39</v>
      </c>
      <c r="CP383" t="s">
        <v>39</v>
      </c>
      <c r="CQ383" t="b">
        <v>1</v>
      </c>
      <c r="CR383" t="s">
        <v>8950</v>
      </c>
      <c r="CT383" t="s">
        <v>8960</v>
      </c>
      <c r="CU383" t="s">
        <v>8971</v>
      </c>
      <c r="CV383" t="s">
        <v>6251</v>
      </c>
      <c r="CW383" t="s">
        <v>6652</v>
      </c>
      <c r="CX383" t="s">
        <v>3246</v>
      </c>
      <c r="CY383">
        <v>1.4500000000000028</v>
      </c>
      <c r="CZ383">
        <v>153430.54966887448</v>
      </c>
      <c r="DA383">
        <v>7190073</v>
      </c>
      <c r="DB383" t="s">
        <v>37</v>
      </c>
      <c r="DC383" t="b">
        <v>1</v>
      </c>
      <c r="DD383">
        <v>7190073</v>
      </c>
      <c r="DE383">
        <v>0</v>
      </c>
      <c r="DF383" t="b">
        <v>1</v>
      </c>
      <c r="DG383" s="420" cm="1">
        <f t="array" ref="DG383">_xlfn.XLOOKUP("Дом 4"&amp;Реестр_Д4[[#This Row],[№]]&amp;Реестр_Д4[[#This Row],[Статус]],РД[Дом]&amp;РД[№ кв]&amp;РД[Состояние],РД[Дата подачи на регистрацию],"-",0)</f>
        <v>45527</v>
      </c>
    </row>
    <row r="384" spans="1:111" x14ac:dyDescent="0.25">
      <c r="A384">
        <v>383</v>
      </c>
      <c r="B384" t="s">
        <v>16</v>
      </c>
      <c r="C384">
        <v>22</v>
      </c>
      <c r="D384" t="s">
        <v>44</v>
      </c>
      <c r="E384">
        <v>0</v>
      </c>
      <c r="F384">
        <v>19.22</v>
      </c>
      <c r="I384">
        <v>19.22</v>
      </c>
      <c r="J384">
        <v>9.57</v>
      </c>
      <c r="K384">
        <v>3.76</v>
      </c>
      <c r="N384">
        <v>2.56</v>
      </c>
      <c r="O384">
        <v>2.68</v>
      </c>
      <c r="Q384">
        <v>2.68</v>
      </c>
      <c r="R384">
        <v>37.79</v>
      </c>
      <c r="S384">
        <v>35.11</v>
      </c>
      <c r="T384">
        <v>36.450000000000003</v>
      </c>
      <c r="U384">
        <v>37.5</v>
      </c>
      <c r="V384">
        <v>82404</v>
      </c>
      <c r="W384">
        <v>4120.2</v>
      </c>
      <c r="X384">
        <v>86524.2</v>
      </c>
      <c r="Z384">
        <v>86524.2</v>
      </c>
      <c r="AB384">
        <v>86524.2</v>
      </c>
      <c r="AC384">
        <v>10.6424766</v>
      </c>
      <c r="AD384">
        <v>86534.842476599995</v>
      </c>
      <c r="AE384">
        <v>4326.7421238300003</v>
      </c>
      <c r="AF384">
        <v>90861.584600429996</v>
      </c>
      <c r="AH384">
        <v>90861.584600429996</v>
      </c>
      <c r="AJ384">
        <v>90861.584600429996</v>
      </c>
      <c r="AK384">
        <v>908.61584600430001</v>
      </c>
      <c r="AL384">
        <v>91770.200446434275</v>
      </c>
      <c r="AM384">
        <v>1835.4040089286859</v>
      </c>
      <c r="AN384">
        <v>93605.604455362976</v>
      </c>
      <c r="AP384">
        <v>93605.604455362976</v>
      </c>
      <c r="AR384">
        <v>93605.604455362976</v>
      </c>
      <c r="AT384">
        <v>93605.604455362976</v>
      </c>
      <c r="AV384">
        <v>93605.604455362976</v>
      </c>
      <c r="AX384">
        <v>93605.604455362976</v>
      </c>
      <c r="AZ384">
        <v>93605.604455362976</v>
      </c>
      <c r="BB384">
        <v>93605.604455362976</v>
      </c>
      <c r="BD384">
        <v>93605.604455362976</v>
      </c>
      <c r="BF384">
        <v>93605.604455362976</v>
      </c>
      <c r="BH384">
        <v>93605.604455362976</v>
      </c>
      <c r="BJ384">
        <v>93605.604455362976</v>
      </c>
      <c r="BL384">
        <v>93605.604455362976</v>
      </c>
      <c r="BN384">
        <v>93605.604455362976</v>
      </c>
      <c r="BP384">
        <v>93605.604455362976</v>
      </c>
      <c r="BR384">
        <v>93605.604455362976</v>
      </c>
      <c r="BT384">
        <v>93605.604455362976</v>
      </c>
      <c r="BV384">
        <v>93605.604455362976</v>
      </c>
      <c r="BX384">
        <v>93605.604455362976</v>
      </c>
      <c r="BY384">
        <v>93605.6</v>
      </c>
      <c r="BZ384">
        <v>3411924.12</v>
      </c>
      <c r="CA384">
        <v>55555</v>
      </c>
      <c r="CC384">
        <v>55555</v>
      </c>
      <c r="CD384">
        <v>92081.457338820299</v>
      </c>
      <c r="CE384">
        <v>3356369.12</v>
      </c>
      <c r="CF384" t="s">
        <v>36</v>
      </c>
      <c r="CH384">
        <v>92081.457338820299</v>
      </c>
      <c r="CI384">
        <v>0</v>
      </c>
      <c r="CJ384">
        <v>3356369.12</v>
      </c>
      <c r="CL384" t="s">
        <v>3441</v>
      </c>
      <c r="CN384">
        <v>0</v>
      </c>
      <c r="CO384" t="s">
        <v>39</v>
      </c>
      <c r="CP384" t="s">
        <v>39</v>
      </c>
      <c r="CQ384" t="b">
        <v>1</v>
      </c>
      <c r="CR384" t="s">
        <v>8950</v>
      </c>
      <c r="CT384" t="s">
        <v>8960</v>
      </c>
      <c r="CU384" t="s">
        <v>8970</v>
      </c>
      <c r="CV384" t="s">
        <v>6252</v>
      </c>
      <c r="CW384" t="s">
        <v>4895</v>
      </c>
      <c r="CX384" t="s">
        <v>3246</v>
      </c>
      <c r="CY384">
        <v>1.0499999999999972</v>
      </c>
      <c r="CZ384">
        <v>96685.530205761053</v>
      </c>
      <c r="DA384">
        <v>3356369.12</v>
      </c>
      <c r="DB384" t="s">
        <v>36</v>
      </c>
      <c r="DC384" t="b">
        <v>1</v>
      </c>
      <c r="DD384">
        <v>3356369.12</v>
      </c>
      <c r="DE384">
        <v>0</v>
      </c>
      <c r="DF384" t="b">
        <v>1</v>
      </c>
      <c r="DG384" s="420" cm="1">
        <f t="array" ref="DG384">_xlfn.XLOOKUP("Дом 4"&amp;Реестр_Д4[[#This Row],[№]]&amp;Реестр_Д4[[#This Row],[Статус]],РД[Дом]&amp;РД[№ кв]&amp;РД[Состояние],РД[Дата подачи на регистрацию],"-",0)</f>
        <v>45106</v>
      </c>
    </row>
    <row r="385" spans="1:111" x14ac:dyDescent="0.25">
      <c r="A385">
        <v>384</v>
      </c>
      <c r="B385" t="s">
        <v>16</v>
      </c>
      <c r="C385">
        <v>22</v>
      </c>
      <c r="D385" t="s">
        <v>45</v>
      </c>
      <c r="E385">
        <v>2</v>
      </c>
      <c r="F385">
        <v>18.12</v>
      </c>
      <c r="G385">
        <v>9.8800000000000008</v>
      </c>
      <c r="I385">
        <v>28</v>
      </c>
      <c r="J385">
        <v>15.3</v>
      </c>
      <c r="K385">
        <v>3.49</v>
      </c>
      <c r="L385">
        <v>2.34</v>
      </c>
      <c r="N385">
        <v>8.1</v>
      </c>
      <c r="O385">
        <v>2.63</v>
      </c>
      <c r="Q385">
        <v>2.63</v>
      </c>
      <c r="R385">
        <v>59.86</v>
      </c>
      <c r="S385">
        <v>57.23</v>
      </c>
      <c r="T385">
        <v>58.55</v>
      </c>
      <c r="U385">
        <v>60.399999999999991</v>
      </c>
      <c r="V385">
        <v>73970.399999999994</v>
      </c>
      <c r="W385">
        <v>3698.52</v>
      </c>
      <c r="X385">
        <v>77668.92</v>
      </c>
      <c r="Z385">
        <v>77668.92</v>
      </c>
      <c r="AA385">
        <v>3883.4459999999999</v>
      </c>
      <c r="AB385">
        <v>81552.365999999995</v>
      </c>
      <c r="AC385">
        <v>10.030941018</v>
      </c>
      <c r="AD385">
        <v>81562.396941018</v>
      </c>
      <c r="AF385">
        <v>81562.396941018</v>
      </c>
      <c r="AH385">
        <v>81562.396941018</v>
      </c>
      <c r="AI385">
        <v>1631.2479388203601</v>
      </c>
      <c r="AJ385">
        <v>83193.644879838364</v>
      </c>
      <c r="AK385">
        <v>831.93644879838371</v>
      </c>
      <c r="AL385">
        <v>84025.581328636748</v>
      </c>
      <c r="AM385">
        <v>1680.5116265727347</v>
      </c>
      <c r="AN385">
        <v>85706.092955209489</v>
      </c>
      <c r="AO385">
        <v>2571.1827886562846</v>
      </c>
      <c r="AP385">
        <v>88277.275743865772</v>
      </c>
      <c r="AR385">
        <v>88277.275743865772</v>
      </c>
      <c r="AT385">
        <v>88277.275743865772</v>
      </c>
      <c r="AV385">
        <v>88277.275743865772</v>
      </c>
      <c r="AX385">
        <v>88277.275743865772</v>
      </c>
      <c r="AZ385">
        <v>88277.275743865772</v>
      </c>
      <c r="BB385">
        <v>88277.275743865772</v>
      </c>
      <c r="BD385">
        <v>88277.275743865772</v>
      </c>
      <c r="BF385">
        <v>88277.275743865772</v>
      </c>
      <c r="BH385">
        <v>88277.275743865772</v>
      </c>
      <c r="BJ385">
        <v>88277.275743865772</v>
      </c>
      <c r="BL385">
        <v>88277.275743865772</v>
      </c>
      <c r="BN385">
        <v>88277.275743865772</v>
      </c>
      <c r="BP385">
        <v>88277.275743865772</v>
      </c>
      <c r="BR385">
        <v>88277.275743865772</v>
      </c>
      <c r="BT385">
        <v>88277.275743865772</v>
      </c>
      <c r="BV385">
        <v>88277.275743865772</v>
      </c>
      <c r="BX385">
        <v>88277.275743865772</v>
      </c>
      <c r="BY385">
        <v>88277.28</v>
      </c>
      <c r="BZ385">
        <v>5168634.74</v>
      </c>
      <c r="CC385">
        <v>0</v>
      </c>
      <c r="CD385">
        <v>88277.279931682337</v>
      </c>
      <c r="CE385">
        <v>5168634.74</v>
      </c>
      <c r="CF385" t="s">
        <v>37</v>
      </c>
      <c r="CG385">
        <v>4000</v>
      </c>
      <c r="CH385">
        <v>92277.279931682337</v>
      </c>
      <c r="CI385">
        <v>234200</v>
      </c>
      <c r="CJ385">
        <v>5402834.7400000002</v>
      </c>
      <c r="CN385">
        <v>0</v>
      </c>
      <c r="CO385" t="s">
        <v>39</v>
      </c>
      <c r="CP385" t="s">
        <v>39</v>
      </c>
      <c r="CQ385" t="b">
        <v>1</v>
      </c>
      <c r="CR385" t="s">
        <v>8950</v>
      </c>
      <c r="CT385" t="s">
        <v>8960</v>
      </c>
      <c r="CU385" t="s">
        <v>8971</v>
      </c>
      <c r="CV385" t="s">
        <v>6253</v>
      </c>
      <c r="CW385" t="s">
        <v>4895</v>
      </c>
      <c r="CX385" t="s">
        <v>3246</v>
      </c>
      <c r="CY385">
        <v>1.8499999999999943</v>
      </c>
      <c r="CZ385">
        <v>170712.96787361181</v>
      </c>
      <c r="DA385">
        <v>5402834.7400000002</v>
      </c>
      <c r="DB385" t="s">
        <v>37</v>
      </c>
      <c r="DC385" t="b">
        <v>1</v>
      </c>
      <c r="DD385">
        <v>5402834.7400000002</v>
      </c>
      <c r="DE385">
        <v>0</v>
      </c>
      <c r="DF385" t="b">
        <v>1</v>
      </c>
      <c r="DG385" s="420" cm="1">
        <f t="array" ref="DG385">_xlfn.XLOOKUP("Дом 4"&amp;Реестр_Д4[[#This Row],[№]]&amp;Реестр_Д4[[#This Row],[Статус]],РД[Дом]&amp;РД[№ кв]&amp;РД[Состояние],РД[Дата подачи на регистрацию],"-",0)</f>
        <v>45117</v>
      </c>
    </row>
    <row r="386" spans="1:111" x14ac:dyDescent="0.25">
      <c r="A386">
        <v>385</v>
      </c>
      <c r="B386" t="s">
        <v>16</v>
      </c>
      <c r="C386">
        <v>22</v>
      </c>
      <c r="D386" t="s">
        <v>3351</v>
      </c>
      <c r="E386">
        <v>2</v>
      </c>
      <c r="F386">
        <v>15.36</v>
      </c>
      <c r="G386">
        <v>9.8699999999999992</v>
      </c>
      <c r="I386">
        <v>25.23</v>
      </c>
      <c r="J386">
        <v>16.260000000000002</v>
      </c>
      <c r="K386">
        <v>3.74</v>
      </c>
      <c r="L386">
        <v>2.09</v>
      </c>
      <c r="N386">
        <v>8.06</v>
      </c>
      <c r="O386">
        <v>2.63</v>
      </c>
      <c r="Q386">
        <v>2.63</v>
      </c>
      <c r="R386">
        <v>58.01</v>
      </c>
      <c r="S386">
        <v>55.379999999999995</v>
      </c>
      <c r="T386">
        <v>56.7</v>
      </c>
      <c r="U386">
        <v>58.3</v>
      </c>
      <c r="V386">
        <v>73970.399999999994</v>
      </c>
      <c r="W386">
        <v>3698.52</v>
      </c>
      <c r="X386">
        <v>77668.92</v>
      </c>
      <c r="Z386">
        <v>77668.92</v>
      </c>
      <c r="AA386">
        <v>3883.4459999999999</v>
      </c>
      <c r="AB386">
        <v>81552.365999999995</v>
      </c>
      <c r="AC386">
        <v>10.030941018</v>
      </c>
      <c r="AD386">
        <v>81562.396941018</v>
      </c>
      <c r="AF386">
        <v>81562.396941018</v>
      </c>
      <c r="AH386">
        <v>81562.396941018</v>
      </c>
      <c r="AI386">
        <v>1631.2479388203601</v>
      </c>
      <c r="AJ386">
        <v>83193.644879838364</v>
      </c>
      <c r="AK386">
        <v>831.93644879838371</v>
      </c>
      <c r="AL386">
        <v>84025.581328636748</v>
      </c>
      <c r="AM386">
        <v>1680.5116265727347</v>
      </c>
      <c r="AN386">
        <v>85706.092955209489</v>
      </c>
      <c r="AO386">
        <v>2571.1827886562846</v>
      </c>
      <c r="AP386">
        <v>88277.275743865772</v>
      </c>
      <c r="AQ386">
        <v>2648.318272315973</v>
      </c>
      <c r="AR386">
        <v>90925.594016181742</v>
      </c>
      <c r="AS386">
        <v>4546.2797008090874</v>
      </c>
      <c r="AT386">
        <v>95471.873716990827</v>
      </c>
      <c r="AU386">
        <v>2864.1562115097249</v>
      </c>
      <c r="AV386">
        <v>98336.029928500546</v>
      </c>
      <c r="AX386">
        <v>98336.029928500546</v>
      </c>
      <c r="AZ386">
        <v>98336.029928500546</v>
      </c>
      <c r="BB386">
        <v>98336.029928500546</v>
      </c>
      <c r="BD386">
        <v>98336.029928500546</v>
      </c>
      <c r="BF386">
        <v>98336.029928500546</v>
      </c>
      <c r="BH386">
        <v>98336.029928500546</v>
      </c>
      <c r="BJ386">
        <v>98336.029928500546</v>
      </c>
      <c r="BL386">
        <v>98336.029928500546</v>
      </c>
      <c r="BN386">
        <v>98336.029928500546</v>
      </c>
      <c r="BP386">
        <v>98336.029928500546</v>
      </c>
      <c r="BR386">
        <v>98336.029928500546</v>
      </c>
      <c r="BT386">
        <v>98336.029928500546</v>
      </c>
      <c r="BV386">
        <v>98336.029928500546</v>
      </c>
      <c r="BX386">
        <v>98336.029928500546</v>
      </c>
      <c r="BY386">
        <v>98336.03</v>
      </c>
      <c r="BZ386">
        <v>5575652.9000000004</v>
      </c>
      <c r="CB386">
        <v>0.02</v>
      </c>
      <c r="CC386">
        <v>111513.058</v>
      </c>
      <c r="CD386">
        <v>96369.309347442671</v>
      </c>
      <c r="CE386">
        <v>5464139.8399999999</v>
      </c>
      <c r="CF386" t="s">
        <v>37</v>
      </c>
      <c r="CG386">
        <v>7500</v>
      </c>
      <c r="CH386">
        <v>103869.30934744269</v>
      </c>
      <c r="CI386">
        <v>425250</v>
      </c>
      <c r="CJ386">
        <v>5889389.8399999999</v>
      </c>
      <c r="CL386" t="s">
        <v>3540</v>
      </c>
      <c r="CN386">
        <v>0</v>
      </c>
      <c r="CO386" t="s">
        <v>39</v>
      </c>
      <c r="CP386" t="s">
        <v>39</v>
      </c>
      <c r="CQ386" t="b">
        <v>1</v>
      </c>
      <c r="CR386" t="s">
        <v>8950</v>
      </c>
      <c r="CT386" t="s">
        <v>8960</v>
      </c>
      <c r="CU386" t="s">
        <v>8971</v>
      </c>
      <c r="CV386" t="s">
        <v>6254</v>
      </c>
      <c r="CW386" t="s">
        <v>4895</v>
      </c>
      <c r="CX386" t="s">
        <v>3246</v>
      </c>
      <c r="CY386">
        <v>1.5999999999999943</v>
      </c>
      <c r="CZ386">
        <v>166190.89495590769</v>
      </c>
      <c r="DA386">
        <v>5889389.8399999999</v>
      </c>
      <c r="DB386" t="s">
        <v>37</v>
      </c>
      <c r="DC386" t="b">
        <v>1</v>
      </c>
      <c r="DD386">
        <v>5889389.8399999999</v>
      </c>
      <c r="DE386">
        <v>0</v>
      </c>
      <c r="DF386" t="b">
        <v>1</v>
      </c>
      <c r="DG386" s="420" cm="1">
        <f t="array" ref="DG386">_xlfn.XLOOKUP("Дом 4"&amp;Реестр_Д4[[#This Row],[№]]&amp;Реестр_Д4[[#This Row],[Статус]],РД[Дом]&amp;РД[№ кв]&amp;РД[Состояние],РД[Дата подачи на регистрацию],"-",0)</f>
        <v>45236</v>
      </c>
    </row>
    <row r="387" spans="1:111" x14ac:dyDescent="0.25">
      <c r="A387">
        <v>386</v>
      </c>
      <c r="B387" t="s">
        <v>16</v>
      </c>
      <c r="C387">
        <v>22</v>
      </c>
      <c r="D387" t="s">
        <v>3352</v>
      </c>
      <c r="E387">
        <v>3</v>
      </c>
      <c r="F387">
        <v>16.27</v>
      </c>
      <c r="G387">
        <v>10.96</v>
      </c>
      <c r="H387">
        <v>10.7</v>
      </c>
      <c r="I387">
        <v>37.93</v>
      </c>
      <c r="J387">
        <v>13.42</v>
      </c>
      <c r="K387">
        <v>4.53</v>
      </c>
      <c r="L387">
        <v>2.27</v>
      </c>
      <c r="N387">
        <v>12.94</v>
      </c>
      <c r="O387">
        <v>2.83</v>
      </c>
      <c r="Q387">
        <v>2.83</v>
      </c>
      <c r="R387">
        <v>73.92</v>
      </c>
      <c r="S387">
        <v>71.09</v>
      </c>
      <c r="T387">
        <v>72.510000000000005</v>
      </c>
      <c r="U387">
        <v>74.200000000000017</v>
      </c>
      <c r="V387">
        <v>74009.600000000006</v>
      </c>
      <c r="W387">
        <v>3700.4800000000009</v>
      </c>
      <c r="X387">
        <v>77710.080000000002</v>
      </c>
      <c r="Z387">
        <v>77710.080000000002</v>
      </c>
      <c r="AB387">
        <v>77710.080000000002</v>
      </c>
      <c r="AC387">
        <v>9.5583398400000004</v>
      </c>
      <c r="AD387">
        <v>77719.638339840007</v>
      </c>
      <c r="AF387">
        <v>77719.638339840007</v>
      </c>
      <c r="AH387">
        <v>77719.638339840007</v>
      </c>
      <c r="AI387">
        <v>2331.5891501952001</v>
      </c>
      <c r="AJ387">
        <v>80051.227490035206</v>
      </c>
      <c r="AK387">
        <v>800.51227490035205</v>
      </c>
      <c r="AL387">
        <v>80851.739764935555</v>
      </c>
      <c r="AM387">
        <v>1617.0347952987113</v>
      </c>
      <c r="AN387">
        <v>82468.774560234262</v>
      </c>
      <c r="AO387">
        <v>2474.0632368070278</v>
      </c>
      <c r="AP387">
        <v>84942.837797041284</v>
      </c>
      <c r="AQ387">
        <v>2548.2851339112385</v>
      </c>
      <c r="AR387">
        <v>87491.122930952522</v>
      </c>
      <c r="AT387">
        <v>87491.122930952522</v>
      </c>
      <c r="AV387">
        <v>87491.122930952522</v>
      </c>
      <c r="AX387">
        <v>87491.122930952522</v>
      </c>
      <c r="AZ387">
        <v>87491.122930952522</v>
      </c>
      <c r="BB387">
        <v>87491.122930952522</v>
      </c>
      <c r="BD387">
        <v>87491.122930952522</v>
      </c>
      <c r="BF387">
        <v>87491.122930952522</v>
      </c>
      <c r="BH387">
        <v>87491.122930952522</v>
      </c>
      <c r="BJ387">
        <v>87491.122930952522</v>
      </c>
      <c r="BL387">
        <v>87491.122930952522</v>
      </c>
      <c r="BN387">
        <v>87491.122930952522</v>
      </c>
      <c r="BP387">
        <v>87491.122930952522</v>
      </c>
      <c r="BR387">
        <v>87491.122930952522</v>
      </c>
      <c r="BT387">
        <v>87491.122930952522</v>
      </c>
      <c r="BV387">
        <v>87491.122930952522</v>
      </c>
      <c r="BX387">
        <v>87491.122930952522</v>
      </c>
      <c r="BY387">
        <v>87491.12</v>
      </c>
      <c r="BZ387">
        <v>6343981.1100000003</v>
      </c>
      <c r="CC387">
        <v>0</v>
      </c>
      <c r="CD387">
        <v>87491.119983450553</v>
      </c>
      <c r="CE387">
        <v>6343981.1100000003</v>
      </c>
      <c r="CF387" t="s">
        <v>38</v>
      </c>
      <c r="CG387">
        <v>15500</v>
      </c>
      <c r="CH387">
        <v>102991.11998345055</v>
      </c>
      <c r="CI387">
        <v>1123905</v>
      </c>
      <c r="CJ387">
        <v>7467886.1100000003</v>
      </c>
      <c r="CN387">
        <v>0</v>
      </c>
      <c r="CO387" t="s">
        <v>39</v>
      </c>
      <c r="CP387" t="s">
        <v>39</v>
      </c>
      <c r="CQ387" t="b">
        <v>1</v>
      </c>
      <c r="CR387" t="s">
        <v>8950</v>
      </c>
      <c r="CT387" t="s">
        <v>8960</v>
      </c>
      <c r="CU387" t="s">
        <v>8975</v>
      </c>
      <c r="CV387" t="s">
        <v>6255</v>
      </c>
      <c r="CW387" t="s">
        <v>4895</v>
      </c>
      <c r="CX387" t="s">
        <v>3246</v>
      </c>
      <c r="CY387">
        <v>1.6900000000000119</v>
      </c>
      <c r="CZ387">
        <v>174054.99277203265</v>
      </c>
      <c r="DA387">
        <v>7467886.1100000003</v>
      </c>
      <c r="DB387" t="s">
        <v>38</v>
      </c>
      <c r="DC387" t="b">
        <v>1</v>
      </c>
      <c r="DD387">
        <v>7467886.1100000003</v>
      </c>
      <c r="DE387">
        <v>0</v>
      </c>
      <c r="DF387" t="b">
        <v>1</v>
      </c>
      <c r="DG387" s="420" cm="1">
        <f t="array" ref="DG387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388" spans="1:111" x14ac:dyDescent="0.25">
      <c r="A388">
        <v>387</v>
      </c>
      <c r="B388" t="s">
        <v>16</v>
      </c>
      <c r="C388">
        <v>22</v>
      </c>
      <c r="D388" t="s">
        <v>3353</v>
      </c>
      <c r="E388">
        <v>1</v>
      </c>
      <c r="F388">
        <v>10.68</v>
      </c>
      <c r="I388">
        <v>10.68</v>
      </c>
      <c r="J388">
        <v>12.75</v>
      </c>
      <c r="K388">
        <v>3.65</v>
      </c>
      <c r="N388">
        <v>5.45</v>
      </c>
      <c r="O388">
        <v>2.62</v>
      </c>
      <c r="Q388">
        <v>2.62</v>
      </c>
      <c r="R388">
        <v>35.15</v>
      </c>
      <c r="S388">
        <v>32.53</v>
      </c>
      <c r="T388">
        <v>33.840000000000003</v>
      </c>
      <c r="U388">
        <v>34.5</v>
      </c>
      <c r="V388">
        <v>77000</v>
      </c>
      <c r="W388">
        <v>3850</v>
      </c>
      <c r="X388">
        <v>80850</v>
      </c>
      <c r="Y388">
        <v>3234</v>
      </c>
      <c r="Z388">
        <v>84084</v>
      </c>
      <c r="AA388">
        <v>4204.2</v>
      </c>
      <c r="AB388">
        <v>88288.2</v>
      </c>
      <c r="AC388">
        <v>10.8594486</v>
      </c>
      <c r="AD388">
        <v>88299.05944859999</v>
      </c>
      <c r="AE388">
        <v>4414.95297243</v>
      </c>
      <c r="AF388">
        <v>92714.012421029984</v>
      </c>
      <c r="AH388">
        <v>92714.012421029984</v>
      </c>
      <c r="AI388">
        <v>2781.4203726308992</v>
      </c>
      <c r="AJ388">
        <v>95495.432793660875</v>
      </c>
      <c r="AK388">
        <v>2864.8629838098268</v>
      </c>
      <c r="AL388">
        <v>98360.295777470717</v>
      </c>
      <c r="AM388">
        <v>3934.4118310988288</v>
      </c>
      <c r="AN388">
        <v>102294.70760856954</v>
      </c>
      <c r="AO388">
        <v>2045.8941521713907</v>
      </c>
      <c r="AP388">
        <v>104340.60176074092</v>
      </c>
      <c r="AR388">
        <v>104340.60176074092</v>
      </c>
      <c r="AT388">
        <v>104340.60176074092</v>
      </c>
      <c r="AV388">
        <v>104340.60176074092</v>
      </c>
      <c r="AX388">
        <v>104340.60176074092</v>
      </c>
      <c r="AZ388">
        <v>104340.60176074092</v>
      </c>
      <c r="BB388">
        <v>104340.60176074092</v>
      </c>
      <c r="BD388">
        <v>104340.60176074092</v>
      </c>
      <c r="BF388">
        <v>104340.60176074092</v>
      </c>
      <c r="BH388">
        <v>104340.60176074092</v>
      </c>
      <c r="BJ388">
        <v>104340.60176074092</v>
      </c>
      <c r="BL388">
        <v>104340.60176074092</v>
      </c>
      <c r="BN388">
        <v>104340.60176074092</v>
      </c>
      <c r="BP388">
        <v>104340.60176074092</v>
      </c>
      <c r="BR388">
        <v>104340.60176074092</v>
      </c>
      <c r="BT388">
        <v>104340.60176074092</v>
      </c>
      <c r="BV388">
        <v>104340.60176074092</v>
      </c>
      <c r="BX388">
        <v>104340.60176074092</v>
      </c>
      <c r="BY388">
        <v>104340.6</v>
      </c>
      <c r="BZ388">
        <v>3530885.9</v>
      </c>
      <c r="CB388">
        <v>0.02</v>
      </c>
      <c r="CC388">
        <v>70617.717999999993</v>
      </c>
      <c r="CD388">
        <v>102253.7878250591</v>
      </c>
      <c r="CE388">
        <v>3460268.18</v>
      </c>
      <c r="CF388" t="s">
        <v>36</v>
      </c>
      <c r="CH388">
        <v>102253.7878250591</v>
      </c>
      <c r="CI388">
        <v>0</v>
      </c>
      <c r="CJ388">
        <v>3460268.18</v>
      </c>
      <c r="CK388" t="s">
        <v>57</v>
      </c>
      <c r="CL388" t="s">
        <v>321</v>
      </c>
      <c r="CN388">
        <v>0</v>
      </c>
      <c r="CO388" t="s">
        <v>39</v>
      </c>
      <c r="CP388" t="s">
        <v>39</v>
      </c>
      <c r="CQ388" t="b">
        <v>1</v>
      </c>
      <c r="CR388" t="s">
        <v>8950</v>
      </c>
      <c r="CT388" t="s">
        <v>8960</v>
      </c>
      <c r="CU388" t="s">
        <v>8973</v>
      </c>
      <c r="CV388" t="s">
        <v>6256</v>
      </c>
      <c r="CW388" t="s">
        <v>4895</v>
      </c>
      <c r="CX388" t="s">
        <v>3246</v>
      </c>
      <c r="CY388">
        <v>0.65999999999999659</v>
      </c>
      <c r="CZ388">
        <v>67487.499964538656</v>
      </c>
      <c r="DA388">
        <v>3460268.18</v>
      </c>
      <c r="DB388" t="s">
        <v>36</v>
      </c>
      <c r="DC388" t="b">
        <v>1</v>
      </c>
      <c r="DD388">
        <v>3460268.18</v>
      </c>
      <c r="DE388">
        <v>0</v>
      </c>
      <c r="DF388" t="b">
        <v>1</v>
      </c>
      <c r="DG388" s="420" cm="1">
        <f t="array" ref="DG388">_xlfn.XLOOKUP("Дом 4"&amp;Реестр_Д4[[#This Row],[№]]&amp;Реестр_Д4[[#This Row],[Статус]],РД[Дом]&amp;РД[№ кв]&amp;РД[Состояние],РД[Дата подачи на регистрацию],"-",0)</f>
        <v>45090</v>
      </c>
    </row>
    <row r="389" spans="1:111" x14ac:dyDescent="0.25">
      <c r="A389">
        <v>388</v>
      </c>
      <c r="B389" t="s">
        <v>16</v>
      </c>
      <c r="C389">
        <v>23</v>
      </c>
      <c r="D389" t="s">
        <v>42</v>
      </c>
      <c r="E389">
        <v>0</v>
      </c>
      <c r="F389">
        <v>14.73</v>
      </c>
      <c r="I389">
        <v>14.73</v>
      </c>
      <c r="J389">
        <v>5.74</v>
      </c>
      <c r="K389">
        <v>3.61</v>
      </c>
      <c r="N389">
        <v>3.6</v>
      </c>
      <c r="O389">
        <v>3.34</v>
      </c>
      <c r="Q389">
        <v>3.34</v>
      </c>
      <c r="R389">
        <v>31.02</v>
      </c>
      <c r="S389">
        <v>27.68</v>
      </c>
      <c r="T389">
        <v>29.35</v>
      </c>
      <c r="U389">
        <v>30.299999999999997</v>
      </c>
      <c r="V389">
        <v>83160</v>
      </c>
      <c r="W389">
        <v>4158</v>
      </c>
      <c r="X389">
        <v>87318</v>
      </c>
      <c r="Z389">
        <v>87318</v>
      </c>
      <c r="AB389">
        <v>87318</v>
      </c>
      <c r="AC389">
        <v>10.740114</v>
      </c>
      <c r="AD389">
        <v>87328.740114</v>
      </c>
      <c r="AE389">
        <v>4366.4370057000006</v>
      </c>
      <c r="AF389">
        <v>91695.177119700005</v>
      </c>
      <c r="AH389">
        <v>91695.177119700005</v>
      </c>
      <c r="AJ389">
        <v>91695.177119700005</v>
      </c>
      <c r="AK389">
        <v>916.95177119699997</v>
      </c>
      <c r="AL389">
        <v>92612.128890897002</v>
      </c>
      <c r="AN389">
        <v>92612.128890897002</v>
      </c>
      <c r="AP389">
        <v>92612.128890897002</v>
      </c>
      <c r="AR389">
        <v>92612.128890897002</v>
      </c>
      <c r="AT389">
        <v>92612.128890897002</v>
      </c>
      <c r="AV389">
        <v>92612.128890897002</v>
      </c>
      <c r="AX389">
        <v>92612.128890897002</v>
      </c>
      <c r="AZ389">
        <v>92612.128890897002</v>
      </c>
      <c r="BB389">
        <v>92612.128890897002</v>
      </c>
      <c r="BD389">
        <v>92612.128890897002</v>
      </c>
      <c r="BF389">
        <v>92612.128890897002</v>
      </c>
      <c r="BH389">
        <v>92612.128890897002</v>
      </c>
      <c r="BJ389">
        <v>92612.128890897002</v>
      </c>
      <c r="BL389">
        <v>92612.128890897002</v>
      </c>
      <c r="BN389">
        <v>92612.128890897002</v>
      </c>
      <c r="BP389">
        <v>92612.128890897002</v>
      </c>
      <c r="BR389">
        <v>92612.128890897002</v>
      </c>
      <c r="BT389">
        <v>92612.128890897002</v>
      </c>
      <c r="BV389">
        <v>92612.128890897002</v>
      </c>
      <c r="BX389">
        <v>92612.128890897002</v>
      </c>
      <c r="BY389">
        <v>92612.13</v>
      </c>
      <c r="BZ389">
        <v>2718166.02</v>
      </c>
      <c r="CC389">
        <v>0</v>
      </c>
      <c r="CD389">
        <v>92612.130153321967</v>
      </c>
      <c r="CE389">
        <v>2718166.02</v>
      </c>
      <c r="CF389" t="s">
        <v>38</v>
      </c>
      <c r="CG389">
        <v>15000</v>
      </c>
      <c r="CH389">
        <v>107612.13015332197</v>
      </c>
      <c r="CI389">
        <v>440250</v>
      </c>
      <c r="CJ389">
        <v>3158416.02</v>
      </c>
      <c r="CN389">
        <v>0</v>
      </c>
      <c r="CO389" t="s">
        <v>39</v>
      </c>
      <c r="CP389" t="s">
        <v>39</v>
      </c>
      <c r="CQ389" t="b">
        <v>1</v>
      </c>
      <c r="CR389" t="s">
        <v>8950</v>
      </c>
      <c r="CT389" t="s">
        <v>8960</v>
      </c>
      <c r="CU389" t="s">
        <v>8970</v>
      </c>
      <c r="CV389" t="s">
        <v>6257</v>
      </c>
      <c r="CW389" t="s">
        <v>4895</v>
      </c>
      <c r="CX389" t="s">
        <v>3246</v>
      </c>
      <c r="CY389">
        <v>0.94999999999999563</v>
      </c>
      <c r="CZ389">
        <v>102231.5236456554</v>
      </c>
      <c r="DA389">
        <v>3158416.02</v>
      </c>
      <c r="DB389" t="s">
        <v>38</v>
      </c>
      <c r="DC389" t="b">
        <v>1</v>
      </c>
      <c r="DD389">
        <v>3158416.02</v>
      </c>
      <c r="DE389">
        <v>0</v>
      </c>
      <c r="DF389" t="b">
        <v>1</v>
      </c>
      <c r="DG389" s="420" cm="1">
        <f t="array" ref="DG389">_xlfn.XLOOKUP("Дом 4"&amp;Реестр_Д4[[#This Row],[№]]&amp;Реестр_Д4[[#This Row],[Статус]],РД[Дом]&amp;РД[№ кв]&amp;РД[Состояние],РД[Дата подачи на регистрацию],"-",0)</f>
        <v>45030</v>
      </c>
    </row>
    <row r="390" spans="1:111" x14ac:dyDescent="0.25">
      <c r="A390">
        <v>389</v>
      </c>
      <c r="B390" t="s">
        <v>16</v>
      </c>
      <c r="C390">
        <v>23</v>
      </c>
      <c r="D390" t="s">
        <v>43</v>
      </c>
      <c r="E390">
        <v>2</v>
      </c>
      <c r="F390">
        <v>17.22</v>
      </c>
      <c r="G390">
        <v>12.24</v>
      </c>
      <c r="I390">
        <v>29.46</v>
      </c>
      <c r="J390">
        <v>17.010000000000002</v>
      </c>
      <c r="K390">
        <v>3.67</v>
      </c>
      <c r="L390">
        <v>2.4</v>
      </c>
      <c r="N390">
        <v>12.71</v>
      </c>
      <c r="O390">
        <v>2.61</v>
      </c>
      <c r="P390">
        <v>2.78</v>
      </c>
      <c r="Q390">
        <v>5.39</v>
      </c>
      <c r="R390">
        <v>70.64</v>
      </c>
      <c r="S390">
        <v>65.25</v>
      </c>
      <c r="T390">
        <v>67.95</v>
      </c>
      <c r="U390">
        <v>69.300000000000011</v>
      </c>
      <c r="V390">
        <v>76636</v>
      </c>
      <c r="W390">
        <v>3831.8</v>
      </c>
      <c r="X390">
        <v>80467.8</v>
      </c>
      <c r="Z390">
        <v>80467.8</v>
      </c>
      <c r="AA390">
        <v>4023.39</v>
      </c>
      <c r="AB390">
        <v>84491.19</v>
      </c>
      <c r="AC390">
        <v>10.392416369999999</v>
      </c>
      <c r="AD390">
        <v>84501.582416370002</v>
      </c>
      <c r="AF390">
        <v>84501.582416370002</v>
      </c>
      <c r="AH390">
        <v>84501.582416370002</v>
      </c>
      <c r="AI390">
        <v>1690.0316483274</v>
      </c>
      <c r="AJ390">
        <v>86191.614064697409</v>
      </c>
      <c r="AK390">
        <v>861.9161406469741</v>
      </c>
      <c r="AL390">
        <v>87053.530205344388</v>
      </c>
      <c r="AM390">
        <v>1741.0706041068879</v>
      </c>
      <c r="AN390">
        <v>88794.60080945128</v>
      </c>
      <c r="AP390">
        <v>88794.60080945128</v>
      </c>
      <c r="AQ390">
        <v>2663.8380242835383</v>
      </c>
      <c r="AR390">
        <v>91458.438833734821</v>
      </c>
      <c r="AT390">
        <v>91458.438833734821</v>
      </c>
      <c r="AU390">
        <v>2743.7531650120445</v>
      </c>
      <c r="AV390">
        <v>94202.191998746886</v>
      </c>
      <c r="AX390">
        <v>94202.191998746886</v>
      </c>
      <c r="AZ390">
        <v>94202.191998746886</v>
      </c>
      <c r="BB390">
        <v>94202.191998746886</v>
      </c>
      <c r="BD390">
        <v>94202.191998746886</v>
      </c>
      <c r="BF390">
        <v>94202.191998746886</v>
      </c>
      <c r="BH390">
        <v>94202.191998746886</v>
      </c>
      <c r="BI390">
        <v>4710.1095999373438</v>
      </c>
      <c r="BJ390">
        <v>98912.301598684222</v>
      </c>
      <c r="BK390">
        <v>1000</v>
      </c>
      <c r="BL390">
        <v>99912.301598684222</v>
      </c>
      <c r="BM390">
        <v>1998.2460319736845</v>
      </c>
      <c r="BN390">
        <v>101910.54763065792</v>
      </c>
      <c r="BP390">
        <v>101910.54763065792</v>
      </c>
      <c r="BQ390">
        <v>500</v>
      </c>
      <c r="BR390">
        <v>102410.54763065792</v>
      </c>
      <c r="BT390">
        <v>102410.54763065792</v>
      </c>
      <c r="BV390">
        <v>102410.54763065792</v>
      </c>
      <c r="BX390">
        <v>102410.54763065792</v>
      </c>
      <c r="BY390">
        <v>102410.55</v>
      </c>
      <c r="BZ390">
        <v>6958800</v>
      </c>
      <c r="CC390">
        <v>0</v>
      </c>
      <c r="CD390">
        <v>102410.59602649006</v>
      </c>
      <c r="CE390">
        <v>6958800</v>
      </c>
      <c r="CF390" t="s">
        <v>38</v>
      </c>
      <c r="CG390">
        <v>22000</v>
      </c>
      <c r="CH390">
        <v>124410.59602649006</v>
      </c>
      <c r="CI390">
        <v>1494900</v>
      </c>
      <c r="CJ390">
        <v>8453700</v>
      </c>
      <c r="CN390">
        <v>0</v>
      </c>
      <c r="CO390" t="s">
        <v>39</v>
      </c>
      <c r="CP390" t="s">
        <v>39</v>
      </c>
      <c r="CQ390" t="b">
        <v>1</v>
      </c>
      <c r="CR390" t="s">
        <v>8950</v>
      </c>
      <c r="CT390" t="s">
        <v>8960</v>
      </c>
      <c r="CU390" t="s">
        <v>8971</v>
      </c>
      <c r="CV390" t="s">
        <v>6258</v>
      </c>
      <c r="CW390" t="s">
        <v>6652</v>
      </c>
      <c r="CX390" t="s">
        <v>3246</v>
      </c>
      <c r="CY390">
        <v>1.3500000000000083</v>
      </c>
      <c r="CZ390">
        <v>167954.30463576264</v>
      </c>
      <c r="DA390">
        <v>8453700</v>
      </c>
      <c r="DB390" t="s">
        <v>38</v>
      </c>
      <c r="DC390" t="b">
        <v>1</v>
      </c>
      <c r="DD390">
        <v>8453700</v>
      </c>
      <c r="DE390">
        <v>0</v>
      </c>
      <c r="DF390" t="b">
        <v>1</v>
      </c>
      <c r="DG390" s="420" cm="1">
        <f t="array" ref="DG390">_xlfn.XLOOKUP("Дом 4"&amp;Реестр_Д4[[#This Row],[№]]&amp;Реестр_Д4[[#This Row],[Статус]],РД[Дом]&amp;РД[№ кв]&amp;РД[Состояние],РД[Дата подачи на регистрацию],"-",0)</f>
        <v>45541</v>
      </c>
    </row>
    <row r="391" spans="1:111" x14ac:dyDescent="0.25">
      <c r="A391">
        <v>390</v>
      </c>
      <c r="B391" t="s">
        <v>16</v>
      </c>
      <c r="C391">
        <v>23</v>
      </c>
      <c r="D391" t="s">
        <v>44</v>
      </c>
      <c r="E391">
        <v>0</v>
      </c>
      <c r="F391">
        <v>19.22</v>
      </c>
      <c r="I391">
        <v>19.22</v>
      </c>
      <c r="J391">
        <v>9.57</v>
      </c>
      <c r="K391">
        <v>3.76</v>
      </c>
      <c r="N391">
        <v>2.56</v>
      </c>
      <c r="O391">
        <v>2.68</v>
      </c>
      <c r="Q391">
        <v>2.68</v>
      </c>
      <c r="R391">
        <v>37.79</v>
      </c>
      <c r="S391">
        <v>35.11</v>
      </c>
      <c r="T391">
        <v>36.450000000000003</v>
      </c>
      <c r="U391">
        <v>37.4</v>
      </c>
      <c r="V391">
        <v>82404</v>
      </c>
      <c r="W391">
        <v>4120.2</v>
      </c>
      <c r="X391">
        <v>86524.2</v>
      </c>
      <c r="Z391">
        <v>86524.2</v>
      </c>
      <c r="AB391">
        <v>86524.2</v>
      </c>
      <c r="AC391">
        <v>10.6424766</v>
      </c>
      <c r="AD391">
        <v>86534.842476599995</v>
      </c>
      <c r="AE391">
        <v>4326.7421238300003</v>
      </c>
      <c r="AF391">
        <v>90861.584600429996</v>
      </c>
      <c r="AH391">
        <v>90861.584600429996</v>
      </c>
      <c r="AJ391">
        <v>90861.584600429996</v>
      </c>
      <c r="AK391">
        <v>908.61584600430001</v>
      </c>
      <c r="AL391">
        <v>91770.200446434275</v>
      </c>
      <c r="AM391">
        <v>1835.4040089286859</v>
      </c>
      <c r="AN391">
        <v>93605.604455362976</v>
      </c>
      <c r="AP391">
        <v>93605.604455362976</v>
      </c>
      <c r="AQ391">
        <v>2808.168133660889</v>
      </c>
      <c r="AR391">
        <v>96413.772589023865</v>
      </c>
      <c r="AS391">
        <v>4820.6886294511933</v>
      </c>
      <c r="AT391">
        <v>101234.46121847506</v>
      </c>
      <c r="AU391">
        <v>3037.0338365542516</v>
      </c>
      <c r="AV391">
        <v>104271.49505502931</v>
      </c>
      <c r="AX391">
        <v>104271.49505502931</v>
      </c>
      <c r="AZ391">
        <v>104271.49505502931</v>
      </c>
      <c r="BB391">
        <v>104271.49505502931</v>
      </c>
      <c r="BD391">
        <v>104271.49505502931</v>
      </c>
      <c r="BE391">
        <v>3128.144851650879</v>
      </c>
      <c r="BF391">
        <v>107399.6399066802</v>
      </c>
      <c r="BH391">
        <v>107399.6399066802</v>
      </c>
      <c r="BI391">
        <v>5369.9819953340102</v>
      </c>
      <c r="BJ391">
        <v>112769.6219020142</v>
      </c>
      <c r="BK391">
        <v>500</v>
      </c>
      <c r="BL391">
        <v>113269.6219020142</v>
      </c>
      <c r="BM391">
        <v>2265.3924380402841</v>
      </c>
      <c r="BN391">
        <v>115535.01434005448</v>
      </c>
      <c r="BO391">
        <v>5776.7507170027247</v>
      </c>
      <c r="BP391">
        <v>121311.76505705722</v>
      </c>
      <c r="BR391">
        <v>121311.76505705722</v>
      </c>
      <c r="BT391">
        <v>121311.76505705722</v>
      </c>
      <c r="BV391">
        <v>121311.76505705722</v>
      </c>
      <c r="BX391">
        <v>121311.76505705722</v>
      </c>
      <c r="BY391">
        <v>121311.77</v>
      </c>
      <c r="BZ391">
        <v>4421900</v>
      </c>
      <c r="CC391">
        <v>0</v>
      </c>
      <c r="CD391">
        <v>121314.12894375857</v>
      </c>
      <c r="CE391">
        <v>4421900</v>
      </c>
      <c r="CF391" t="s">
        <v>38</v>
      </c>
      <c r="CG391">
        <v>22000</v>
      </c>
      <c r="CH391">
        <v>143314.12894375855</v>
      </c>
      <c r="CI391">
        <v>801900</v>
      </c>
      <c r="CJ391">
        <v>5223800</v>
      </c>
      <c r="CN391">
        <v>0</v>
      </c>
      <c r="CO391" t="s">
        <v>39</v>
      </c>
      <c r="CP391" t="s">
        <v>39</v>
      </c>
      <c r="CQ391" t="b">
        <v>1</v>
      </c>
      <c r="CR391" t="s">
        <v>8950</v>
      </c>
      <c r="CT391" t="s">
        <v>8960</v>
      </c>
      <c r="CU391" t="s">
        <v>8970</v>
      </c>
      <c r="CV391" t="s">
        <v>6259</v>
      </c>
      <c r="CW391" t="s">
        <v>6652</v>
      </c>
      <c r="CX391" t="s">
        <v>3246</v>
      </c>
      <c r="CY391">
        <v>0.94999999999999563</v>
      </c>
      <c r="CZ391">
        <v>136148.42249657001</v>
      </c>
      <c r="DA391">
        <v>5223800</v>
      </c>
      <c r="DB391" t="s">
        <v>38</v>
      </c>
      <c r="DC391" t="b">
        <v>1</v>
      </c>
      <c r="DD391">
        <v>5223800</v>
      </c>
      <c r="DE391">
        <v>0</v>
      </c>
      <c r="DF391" t="b">
        <v>1</v>
      </c>
      <c r="DG391" s="420" cm="1">
        <f t="array" ref="DG391">_xlfn.XLOOKUP("Дом 4"&amp;Реестр_Д4[[#This Row],[№]]&amp;Реестр_Д4[[#This Row],[Статус]],РД[Дом]&amp;РД[№ кв]&amp;РД[Состояние],РД[Дата подачи на регистрацию],"-",0)</f>
        <v>45398</v>
      </c>
    </row>
    <row r="392" spans="1:111" x14ac:dyDescent="0.25">
      <c r="A392">
        <v>391</v>
      </c>
      <c r="B392" t="s">
        <v>16</v>
      </c>
      <c r="C392">
        <v>23</v>
      </c>
      <c r="D392" t="s">
        <v>45</v>
      </c>
      <c r="E392">
        <v>2</v>
      </c>
      <c r="F392">
        <v>18.12</v>
      </c>
      <c r="G392">
        <v>9.8800000000000008</v>
      </c>
      <c r="I392">
        <v>28</v>
      </c>
      <c r="J392">
        <v>15.3</v>
      </c>
      <c r="K392">
        <v>3.49</v>
      </c>
      <c r="L392">
        <v>2.34</v>
      </c>
      <c r="N392">
        <v>8.1</v>
      </c>
      <c r="O392">
        <v>2.63</v>
      </c>
      <c r="Q392">
        <v>2.63</v>
      </c>
      <c r="R392">
        <v>59.86</v>
      </c>
      <c r="S392">
        <v>57.23</v>
      </c>
      <c r="T392">
        <v>58.55</v>
      </c>
      <c r="U392">
        <v>60.3</v>
      </c>
      <c r="V392">
        <v>73970.399999999994</v>
      </c>
      <c r="W392">
        <v>3698.52</v>
      </c>
      <c r="X392">
        <v>77668.92</v>
      </c>
      <c r="Z392">
        <v>77668.92</v>
      </c>
      <c r="AA392">
        <v>3883.4459999999999</v>
      </c>
      <c r="AB392">
        <v>81552.365999999995</v>
      </c>
      <c r="AC392">
        <v>10.030941018</v>
      </c>
      <c r="AD392">
        <v>81562.396941018</v>
      </c>
      <c r="AF392">
        <v>81562.396941018</v>
      </c>
      <c r="AH392">
        <v>81562.396941018</v>
      </c>
      <c r="AI392">
        <v>1631.2479388203601</v>
      </c>
      <c r="AJ392">
        <v>83193.644879838364</v>
      </c>
      <c r="AK392">
        <v>831.93644879838371</v>
      </c>
      <c r="AL392">
        <v>84025.581328636748</v>
      </c>
      <c r="AM392">
        <v>1680.5116265727347</v>
      </c>
      <c r="AN392">
        <v>85706.092955209489</v>
      </c>
      <c r="AO392">
        <v>2571.1827886562846</v>
      </c>
      <c r="AP392">
        <v>88277.275743865772</v>
      </c>
      <c r="AQ392">
        <v>2648.318272315973</v>
      </c>
      <c r="AR392">
        <v>90925.594016181742</v>
      </c>
      <c r="AS392">
        <v>4546.2797008090874</v>
      </c>
      <c r="AT392">
        <v>95471.873716990827</v>
      </c>
      <c r="AU392">
        <v>2864.1562115097249</v>
      </c>
      <c r="AV392">
        <v>98336.029928500546</v>
      </c>
      <c r="AX392">
        <v>98336.029928500546</v>
      </c>
      <c r="AZ392">
        <v>98336.029928500546</v>
      </c>
      <c r="BB392">
        <v>98336.029928500546</v>
      </c>
      <c r="BD392">
        <v>98336.029928500546</v>
      </c>
      <c r="BF392">
        <v>98336.029928500546</v>
      </c>
      <c r="BH392">
        <v>98336.029928500546</v>
      </c>
      <c r="BI392">
        <v>4916.8014964250278</v>
      </c>
      <c r="BJ392">
        <v>103252.83142492558</v>
      </c>
      <c r="BK392">
        <v>1000</v>
      </c>
      <c r="BL392">
        <v>104252.83142492558</v>
      </c>
      <c r="BM392">
        <v>2085.0566284985116</v>
      </c>
      <c r="BN392">
        <v>106337.88805342407</v>
      </c>
      <c r="BO392">
        <v>5316.8944026712052</v>
      </c>
      <c r="BP392">
        <v>111654.7824560953</v>
      </c>
      <c r="BQ392">
        <v>500</v>
      </c>
      <c r="BR392">
        <v>112154.7824560953</v>
      </c>
      <c r="BS392">
        <v>9600</v>
      </c>
      <c r="BT392">
        <v>121754.7824560953</v>
      </c>
      <c r="BU392">
        <v>6000</v>
      </c>
      <c r="BV392">
        <v>127754.7824560953</v>
      </c>
      <c r="BW392">
        <v>7754.78</v>
      </c>
      <c r="BX392">
        <v>120000.0024560953</v>
      </c>
      <c r="BY392">
        <v>120000</v>
      </c>
      <c r="BZ392">
        <v>7236000</v>
      </c>
      <c r="CC392">
        <v>0</v>
      </c>
      <c r="CD392">
        <v>120000</v>
      </c>
      <c r="CE392">
        <v>7236000</v>
      </c>
      <c r="CF392" t="s">
        <v>36</v>
      </c>
      <c r="CH392">
        <v>120000</v>
      </c>
      <c r="CI392">
        <v>0</v>
      </c>
      <c r="CJ392">
        <v>7236000</v>
      </c>
      <c r="CN392">
        <v>0</v>
      </c>
      <c r="CO392" t="s">
        <v>3</v>
      </c>
      <c r="CP392" t="s">
        <v>3</v>
      </c>
      <c r="CQ392" t="b">
        <v>1</v>
      </c>
      <c r="CR392" t="s">
        <v>8951</v>
      </c>
      <c r="CS392" t="s">
        <v>1167</v>
      </c>
      <c r="CT392" t="s">
        <v>8960</v>
      </c>
      <c r="CU392" t="s">
        <v>8971</v>
      </c>
      <c r="CV392" t="s">
        <v>6260</v>
      </c>
      <c r="CW392" t="s">
        <v>6652</v>
      </c>
      <c r="CX392" t="s">
        <v>3124</v>
      </c>
      <c r="CY392">
        <v>1.75</v>
      </c>
      <c r="CZ392">
        <v>0</v>
      </c>
      <c r="DA392">
        <v>7121643</v>
      </c>
      <c r="DB392" t="s">
        <v>36</v>
      </c>
      <c r="DC392" t="b">
        <v>1</v>
      </c>
      <c r="DD392">
        <v>7703700</v>
      </c>
      <c r="DE392">
        <v>467700</v>
      </c>
      <c r="DF392" t="b">
        <v>1</v>
      </c>
      <c r="DG392" s="420" t="str" cm="1">
        <f t="array" ref="DG392">_xlfn.XLOOKUP("Дом 4"&amp;Реестр_Д4[[#This Row],[№]]&amp;Реестр_Д4[[#This Row],[Статус]],РД[Дом]&amp;РД[№ кв]&amp;РД[Состояние],РД[Дата подачи на регистрацию],"-",0)</f>
        <v>-</v>
      </c>
    </row>
    <row r="393" spans="1:111" x14ac:dyDescent="0.25">
      <c r="A393">
        <v>392</v>
      </c>
      <c r="B393" t="s">
        <v>16</v>
      </c>
      <c r="C393">
        <v>23</v>
      </c>
      <c r="D393" t="s">
        <v>3351</v>
      </c>
      <c r="E393">
        <v>2</v>
      </c>
      <c r="F393">
        <v>15.36</v>
      </c>
      <c r="G393">
        <v>9.8699999999999992</v>
      </c>
      <c r="I393">
        <v>25.23</v>
      </c>
      <c r="J393">
        <v>16.260000000000002</v>
      </c>
      <c r="K393">
        <v>3.74</v>
      </c>
      <c r="L393">
        <v>2.09</v>
      </c>
      <c r="N393">
        <v>8.06</v>
      </c>
      <c r="O393">
        <v>2.63</v>
      </c>
      <c r="Q393">
        <v>2.63</v>
      </c>
      <c r="R393">
        <v>58.01</v>
      </c>
      <c r="S393">
        <v>55.379999999999995</v>
      </c>
      <c r="T393">
        <v>56.7</v>
      </c>
      <c r="U393">
        <v>58.099999999999994</v>
      </c>
      <c r="V393">
        <v>73970.399999999994</v>
      </c>
      <c r="W393">
        <v>3698.52</v>
      </c>
      <c r="X393">
        <v>77668.92</v>
      </c>
      <c r="Z393">
        <v>77668.92</v>
      </c>
      <c r="AB393">
        <v>77668.92</v>
      </c>
      <c r="AD393">
        <v>77668.92</v>
      </c>
      <c r="AF393">
        <v>77668.92</v>
      </c>
      <c r="AH393">
        <v>77668.92</v>
      </c>
      <c r="AJ393">
        <v>77668.92</v>
      </c>
      <c r="AL393">
        <v>77668.92</v>
      </c>
      <c r="AN393">
        <v>77668.92</v>
      </c>
      <c r="AP393">
        <v>77668.92</v>
      </c>
      <c r="AR393">
        <v>77668.92</v>
      </c>
      <c r="AT393">
        <v>77668.92</v>
      </c>
      <c r="AV393">
        <v>77668.92</v>
      </c>
      <c r="AX393">
        <v>77668.92</v>
      </c>
      <c r="AZ393">
        <v>77668.92</v>
      </c>
      <c r="BB393">
        <v>77668.92</v>
      </c>
      <c r="BD393">
        <v>77668.92</v>
      </c>
      <c r="BF393">
        <v>77668.92</v>
      </c>
      <c r="BH393">
        <v>77668.92</v>
      </c>
      <c r="BJ393">
        <v>77668.92</v>
      </c>
      <c r="BL393">
        <v>77668.92</v>
      </c>
      <c r="BN393">
        <v>77668.92</v>
      </c>
      <c r="BP393">
        <v>77668.92</v>
      </c>
      <c r="BR393">
        <v>77668.92</v>
      </c>
      <c r="BT393">
        <v>77668.92</v>
      </c>
      <c r="BV393">
        <v>77668.92</v>
      </c>
      <c r="BX393">
        <v>77668.92</v>
      </c>
      <c r="BY393">
        <v>77668.92</v>
      </c>
      <c r="BZ393">
        <v>4403827.76</v>
      </c>
      <c r="CB393">
        <v>0.05</v>
      </c>
      <c r="CC393">
        <v>220191.38800000001</v>
      </c>
      <c r="CD393">
        <v>73785.473897707227</v>
      </c>
      <c r="CE393">
        <v>4183636.37</v>
      </c>
      <c r="CF393" t="s">
        <v>36</v>
      </c>
      <c r="CH393">
        <v>73785.473897707227</v>
      </c>
      <c r="CI393">
        <v>0</v>
      </c>
      <c r="CJ393">
        <v>4183636.37</v>
      </c>
      <c r="CL393" t="s">
        <v>3540</v>
      </c>
      <c r="CN393">
        <v>0</v>
      </c>
      <c r="CO393" t="s">
        <v>39</v>
      </c>
      <c r="CP393" t="s">
        <v>39</v>
      </c>
      <c r="CQ393" t="b">
        <v>1</v>
      </c>
      <c r="CR393" t="s">
        <v>8950</v>
      </c>
      <c r="CT393" t="s">
        <v>8960</v>
      </c>
      <c r="CU393" t="s">
        <v>8971</v>
      </c>
      <c r="CV393" t="s">
        <v>6261</v>
      </c>
      <c r="CW393" t="s">
        <v>4895</v>
      </c>
      <c r="CX393" t="s">
        <v>3246</v>
      </c>
      <c r="CY393">
        <v>1.3999999999999917</v>
      </c>
      <c r="CZ393">
        <v>103299.66345678948</v>
      </c>
      <c r="DA393">
        <v>4183636.37</v>
      </c>
      <c r="DB393" t="s">
        <v>36</v>
      </c>
      <c r="DC393" t="b">
        <v>1</v>
      </c>
      <c r="DD393">
        <v>4183636.37</v>
      </c>
      <c r="DE393">
        <v>0</v>
      </c>
      <c r="DF393" t="b">
        <v>1</v>
      </c>
      <c r="DG393" s="420" cm="1">
        <f t="array" ref="DG393">_xlfn.XLOOKUP("Дом 4"&amp;Реестр_Д4[[#This Row],[№]]&amp;Реестр_Д4[[#This Row],[Статус]],РД[Дом]&amp;РД[№ кв]&amp;РД[Состояние],РД[Дата подачи на регистрацию],"-",0)</f>
        <v>44888</v>
      </c>
    </row>
    <row r="394" spans="1:111" x14ac:dyDescent="0.25">
      <c r="A394">
        <v>393</v>
      </c>
      <c r="B394" t="s">
        <v>16</v>
      </c>
      <c r="C394">
        <v>23</v>
      </c>
      <c r="D394" t="s">
        <v>3352</v>
      </c>
      <c r="E394">
        <v>3</v>
      </c>
      <c r="F394">
        <v>16.27</v>
      </c>
      <c r="G394">
        <v>10.96</v>
      </c>
      <c r="H394">
        <v>10.7</v>
      </c>
      <c r="I394">
        <v>37.93</v>
      </c>
      <c r="J394">
        <v>13.42</v>
      </c>
      <c r="K394">
        <v>4.53</v>
      </c>
      <c r="L394">
        <v>2.27</v>
      </c>
      <c r="N394">
        <v>12.94</v>
      </c>
      <c r="O394">
        <v>2.83</v>
      </c>
      <c r="Q394">
        <v>2.83</v>
      </c>
      <c r="R394">
        <v>73.92</v>
      </c>
      <c r="S394">
        <v>71.09</v>
      </c>
      <c r="T394">
        <v>72.510000000000005</v>
      </c>
      <c r="U394">
        <v>74.5</v>
      </c>
      <c r="V394">
        <v>74009.600000000006</v>
      </c>
      <c r="W394">
        <v>3700.4800000000009</v>
      </c>
      <c r="X394">
        <v>77710.080000000002</v>
      </c>
      <c r="Z394">
        <v>77710.080000000002</v>
      </c>
      <c r="AB394">
        <v>77710.080000000002</v>
      </c>
      <c r="AC394">
        <v>9.5583398400000004</v>
      </c>
      <c r="AD394">
        <v>77719.638339840007</v>
      </c>
      <c r="AF394">
        <v>77719.638339840007</v>
      </c>
      <c r="AH394">
        <v>77719.638339840007</v>
      </c>
      <c r="AI394">
        <v>2331.5891501952001</v>
      </c>
      <c r="AJ394">
        <v>80051.227490035206</v>
      </c>
      <c r="AK394">
        <v>800.51227490035205</v>
      </c>
      <c r="AL394">
        <v>80851.739764935555</v>
      </c>
      <c r="AM394">
        <v>1617.0347952987113</v>
      </c>
      <c r="AN394">
        <v>82468.774560234262</v>
      </c>
      <c r="AP394">
        <v>82468.774560234262</v>
      </c>
      <c r="AR394">
        <v>82468.774560234262</v>
      </c>
      <c r="AT394">
        <v>82468.774560234262</v>
      </c>
      <c r="AV394">
        <v>82468.774560234262</v>
      </c>
      <c r="AX394">
        <v>82468.774560234262</v>
      </c>
      <c r="AZ394">
        <v>82468.774560234262</v>
      </c>
      <c r="BB394">
        <v>82468.774560234262</v>
      </c>
      <c r="BD394">
        <v>82468.774560234262</v>
      </c>
      <c r="BF394">
        <v>82468.774560234262</v>
      </c>
      <c r="BH394">
        <v>82468.774560234262</v>
      </c>
      <c r="BJ394">
        <v>82468.774560234262</v>
      </c>
      <c r="BL394">
        <v>82468.774560234262</v>
      </c>
      <c r="BN394">
        <v>82468.774560234262</v>
      </c>
      <c r="BP394">
        <v>82468.774560234262</v>
      </c>
      <c r="BR394">
        <v>82468.774560234262</v>
      </c>
      <c r="BT394">
        <v>82468.774560234262</v>
      </c>
      <c r="BV394">
        <v>82468.774560234262</v>
      </c>
      <c r="BX394">
        <v>82468.774560234262</v>
      </c>
      <c r="BY394">
        <v>82468.77</v>
      </c>
      <c r="BZ394">
        <v>5979810.5099999998</v>
      </c>
      <c r="CC394">
        <v>0</v>
      </c>
      <c r="CD394">
        <v>82468.769962763748</v>
      </c>
      <c r="CE394">
        <v>5979810.5099999998</v>
      </c>
      <c r="CF394" t="s">
        <v>36</v>
      </c>
      <c r="CH394">
        <v>82468.769962763748</v>
      </c>
      <c r="CI394">
        <v>0</v>
      </c>
      <c r="CJ394">
        <v>5979810.5099999998</v>
      </c>
      <c r="CN394">
        <v>0</v>
      </c>
      <c r="CO394" t="s">
        <v>39</v>
      </c>
      <c r="CP394" t="s">
        <v>39</v>
      </c>
      <c r="CQ394" t="b">
        <v>1</v>
      </c>
      <c r="CR394" t="s">
        <v>8950</v>
      </c>
      <c r="CT394" t="s">
        <v>8960</v>
      </c>
      <c r="CU394" t="s">
        <v>8975</v>
      </c>
      <c r="CV394" t="s">
        <v>6262</v>
      </c>
      <c r="CW394" t="s">
        <v>4895</v>
      </c>
      <c r="CX394" t="s">
        <v>3246</v>
      </c>
      <c r="CY394">
        <v>1.9899999999999949</v>
      </c>
      <c r="CZ394">
        <v>164112.85222589943</v>
      </c>
      <c r="DA394">
        <v>5979810.5099999998</v>
      </c>
      <c r="DB394" t="s">
        <v>36</v>
      </c>
      <c r="DC394" t="b">
        <v>1</v>
      </c>
      <c r="DD394">
        <v>5979810.5099999998</v>
      </c>
      <c r="DE394">
        <v>0</v>
      </c>
      <c r="DF394" t="b">
        <v>1</v>
      </c>
      <c r="DG394" s="420" cm="1">
        <f t="array" ref="DG394">_xlfn.XLOOKUP("Дом 4"&amp;Реестр_Д4[[#This Row],[№]]&amp;Реестр_Д4[[#This Row],[Статус]],РД[Дом]&amp;РД[№ кв]&amp;РД[Состояние],РД[Дата подачи на регистрацию],"-",0)</f>
        <v>45084</v>
      </c>
    </row>
    <row r="395" spans="1:111" x14ac:dyDescent="0.25">
      <c r="A395">
        <v>394</v>
      </c>
      <c r="B395" t="s">
        <v>16</v>
      </c>
      <c r="C395">
        <v>23</v>
      </c>
      <c r="D395" t="s">
        <v>3353</v>
      </c>
      <c r="E395">
        <v>1</v>
      </c>
      <c r="F395">
        <v>10.68</v>
      </c>
      <c r="I395">
        <v>10.68</v>
      </c>
      <c r="J395">
        <v>12.75</v>
      </c>
      <c r="K395">
        <v>3.65</v>
      </c>
      <c r="N395">
        <v>5.45</v>
      </c>
      <c r="O395">
        <v>2.62</v>
      </c>
      <c r="Q395">
        <v>2.62</v>
      </c>
      <c r="R395">
        <v>35.15</v>
      </c>
      <c r="S395">
        <v>32.53</v>
      </c>
      <c r="T395">
        <v>33.840000000000003</v>
      </c>
      <c r="U395">
        <v>34.599999999999994</v>
      </c>
      <c r="V395">
        <v>77000</v>
      </c>
      <c r="W395">
        <v>3850</v>
      </c>
      <c r="X395">
        <v>80850</v>
      </c>
      <c r="Y395">
        <v>3234</v>
      </c>
      <c r="Z395">
        <v>84084</v>
      </c>
      <c r="AA395">
        <v>4204.2</v>
      </c>
      <c r="AB395">
        <v>88288.2</v>
      </c>
      <c r="AC395">
        <v>10.8594486</v>
      </c>
      <c r="AD395">
        <v>88299.05944859999</v>
      </c>
      <c r="AE395">
        <v>4414.95297243</v>
      </c>
      <c r="AF395">
        <v>92714.012421029984</v>
      </c>
      <c r="AH395">
        <v>92714.012421029984</v>
      </c>
      <c r="AI395">
        <v>2781.4203726308992</v>
      </c>
      <c r="AJ395">
        <v>95495.432793660875</v>
      </c>
      <c r="AK395">
        <v>2864.8629838098268</v>
      </c>
      <c r="AL395">
        <v>98360.295777470717</v>
      </c>
      <c r="AM395">
        <v>3934.4118310988288</v>
      </c>
      <c r="AN395">
        <v>102294.70760856954</v>
      </c>
      <c r="AO395">
        <v>2045.8941521713907</v>
      </c>
      <c r="AP395">
        <v>104340.60176074092</v>
      </c>
      <c r="AR395">
        <v>104340.60176074092</v>
      </c>
      <c r="AT395">
        <v>104340.60176074092</v>
      </c>
      <c r="AV395">
        <v>104340.60176074092</v>
      </c>
      <c r="AX395">
        <v>104340.60176074092</v>
      </c>
      <c r="AZ395">
        <v>104340.60176074092</v>
      </c>
      <c r="BB395">
        <v>104340.60176074092</v>
      </c>
      <c r="BD395">
        <v>104340.60176074092</v>
      </c>
      <c r="BF395">
        <v>104340.60176074092</v>
      </c>
      <c r="BH395">
        <v>104340.60176074092</v>
      </c>
      <c r="BJ395">
        <v>104340.60176074092</v>
      </c>
      <c r="BL395">
        <v>104340.60176074092</v>
      </c>
      <c r="BN395">
        <v>104340.60176074092</v>
      </c>
      <c r="BP395">
        <v>104340.60176074092</v>
      </c>
      <c r="BR395">
        <v>104340.60176074092</v>
      </c>
      <c r="BT395">
        <v>104340.60176074092</v>
      </c>
      <c r="BV395">
        <v>104340.60176074092</v>
      </c>
      <c r="BX395">
        <v>104340.60176074092</v>
      </c>
      <c r="BY395">
        <v>104340.6</v>
      </c>
      <c r="BZ395">
        <v>3530885.9</v>
      </c>
      <c r="CB395">
        <v>0.02</v>
      </c>
      <c r="CC395">
        <v>70617.717999999993</v>
      </c>
      <c r="CD395">
        <v>102253.7878250591</v>
      </c>
      <c r="CE395">
        <v>3460268.18</v>
      </c>
      <c r="CF395" t="s">
        <v>36</v>
      </c>
      <c r="CH395">
        <v>102253.7878250591</v>
      </c>
      <c r="CI395">
        <v>0</v>
      </c>
      <c r="CJ395">
        <v>3460268.18</v>
      </c>
      <c r="CK395" t="s">
        <v>57</v>
      </c>
      <c r="CL395" t="s">
        <v>4518</v>
      </c>
      <c r="CN395">
        <v>0</v>
      </c>
      <c r="CO395" t="s">
        <v>39</v>
      </c>
      <c r="CP395" t="s">
        <v>39</v>
      </c>
      <c r="CQ395" t="b">
        <v>1</v>
      </c>
      <c r="CR395" t="s">
        <v>8950</v>
      </c>
      <c r="CT395" t="s">
        <v>8960</v>
      </c>
      <c r="CU395" t="s">
        <v>8973</v>
      </c>
      <c r="CV395" t="s">
        <v>6263</v>
      </c>
      <c r="CW395" t="s">
        <v>4895</v>
      </c>
      <c r="CX395" t="s">
        <v>3246</v>
      </c>
      <c r="CY395">
        <v>0.75999999999999091</v>
      </c>
      <c r="CZ395">
        <v>77712.878747043986</v>
      </c>
      <c r="DA395">
        <v>3460268.18</v>
      </c>
      <c r="DB395" t="s">
        <v>36</v>
      </c>
      <c r="DC395" t="b">
        <v>1</v>
      </c>
      <c r="DD395">
        <v>3460268.18</v>
      </c>
      <c r="DE395">
        <v>0</v>
      </c>
      <c r="DF395" t="b">
        <v>1</v>
      </c>
      <c r="DG395" s="420" cm="1">
        <f t="array" ref="DG395">_xlfn.XLOOKUP("Дом 4"&amp;Реестр_Д4[[#This Row],[№]]&amp;Реестр_Д4[[#This Row],[Статус]],РД[Дом]&amp;РД[№ кв]&amp;РД[Состояние],РД[Дата подачи на регистрацию],"-",0)</f>
        <v>45084</v>
      </c>
    </row>
    <row r="396" spans="1:111" x14ac:dyDescent="0.25">
      <c r="A396">
        <v>395</v>
      </c>
      <c r="B396" t="s">
        <v>16</v>
      </c>
      <c r="C396">
        <v>24</v>
      </c>
      <c r="D396" t="s">
        <v>42</v>
      </c>
      <c r="E396">
        <v>0</v>
      </c>
      <c r="F396">
        <v>14.73</v>
      </c>
      <c r="I396">
        <v>14.73</v>
      </c>
      <c r="J396">
        <v>5.74</v>
      </c>
      <c r="K396">
        <v>3.61</v>
      </c>
      <c r="N396">
        <v>3.6</v>
      </c>
      <c r="O396">
        <v>3.34</v>
      </c>
      <c r="Q396">
        <v>3.34</v>
      </c>
      <c r="R396">
        <v>31.02</v>
      </c>
      <c r="S396">
        <v>27.68</v>
      </c>
      <c r="T396">
        <v>29.35</v>
      </c>
      <c r="U396">
        <v>30.299999999999997</v>
      </c>
      <c r="V396">
        <v>83160</v>
      </c>
      <c r="W396">
        <v>4158</v>
      </c>
      <c r="X396">
        <v>87318</v>
      </c>
      <c r="Z396">
        <v>87318</v>
      </c>
      <c r="AB396">
        <v>87318</v>
      </c>
      <c r="AC396">
        <v>10.740114</v>
      </c>
      <c r="AD396">
        <v>87328.740114</v>
      </c>
      <c r="AE396">
        <v>4366.4370057000006</v>
      </c>
      <c r="AF396">
        <v>91695.177119700005</v>
      </c>
      <c r="AH396">
        <v>91695.177119700005</v>
      </c>
      <c r="AJ396">
        <v>91695.177119700005</v>
      </c>
      <c r="AK396">
        <v>916.95177119699997</v>
      </c>
      <c r="AL396">
        <v>92612.128890897002</v>
      </c>
      <c r="AM396">
        <v>1852.2425778179399</v>
      </c>
      <c r="AN396">
        <v>94464.371468714948</v>
      </c>
      <c r="AO396">
        <v>4723.2185734357472</v>
      </c>
      <c r="AP396">
        <v>99187.590042150681</v>
      </c>
      <c r="AQ396">
        <v>2975.627701264521</v>
      </c>
      <c r="AR396">
        <v>102163.2177434152</v>
      </c>
      <c r="AT396">
        <v>102163.2177434152</v>
      </c>
      <c r="AV396">
        <v>102163.2177434152</v>
      </c>
      <c r="AX396">
        <v>102163.2177434152</v>
      </c>
      <c r="AZ396">
        <v>102163.2177434152</v>
      </c>
      <c r="BB396">
        <v>102163.2177434152</v>
      </c>
      <c r="BD396">
        <v>102163.2177434152</v>
      </c>
      <c r="BF396">
        <v>102163.2177434152</v>
      </c>
      <c r="BH396">
        <v>102163.2177434152</v>
      </c>
      <c r="BJ396">
        <v>102163.2177434152</v>
      </c>
      <c r="BL396">
        <v>102163.2177434152</v>
      </c>
      <c r="BN396">
        <v>102163.2177434152</v>
      </c>
      <c r="BP396">
        <v>102163.2177434152</v>
      </c>
      <c r="BR396">
        <v>102163.2177434152</v>
      </c>
      <c r="BT396">
        <v>102163.2177434152</v>
      </c>
      <c r="BV396">
        <v>102163.2177434152</v>
      </c>
      <c r="BX396">
        <v>102163.2177434152</v>
      </c>
      <c r="BY396">
        <v>102163.22</v>
      </c>
      <c r="BZ396">
        <v>2998490.51</v>
      </c>
      <c r="CC396">
        <v>0</v>
      </c>
      <c r="CD396">
        <v>102163.22010221463</v>
      </c>
      <c r="CE396">
        <v>2998490.51</v>
      </c>
      <c r="CF396" t="s">
        <v>37</v>
      </c>
      <c r="CG396">
        <v>4500</v>
      </c>
      <c r="CH396">
        <v>106663.22010221463</v>
      </c>
      <c r="CI396">
        <v>132075</v>
      </c>
      <c r="CJ396">
        <v>3130565.51</v>
      </c>
      <c r="CN396">
        <v>0</v>
      </c>
      <c r="CO396" t="s">
        <v>39</v>
      </c>
      <c r="CP396" t="s">
        <v>39</v>
      </c>
      <c r="CQ396" t="b">
        <v>1</v>
      </c>
      <c r="CR396" t="s">
        <v>8950</v>
      </c>
      <c r="CT396" t="s">
        <v>8960</v>
      </c>
      <c r="CU396" t="s">
        <v>8970</v>
      </c>
      <c r="CV396" t="s">
        <v>6264</v>
      </c>
      <c r="CW396" t="s">
        <v>4895</v>
      </c>
      <c r="CX396" t="s">
        <v>3246</v>
      </c>
      <c r="CY396">
        <v>0.94999999999999563</v>
      </c>
      <c r="CZ396">
        <v>101330.05909710344</v>
      </c>
      <c r="DA396">
        <v>3130565.51</v>
      </c>
      <c r="DB396" t="s">
        <v>37</v>
      </c>
      <c r="DC396" t="b">
        <v>1</v>
      </c>
      <c r="DD396">
        <v>3130565.51</v>
      </c>
      <c r="DE396">
        <v>0</v>
      </c>
      <c r="DF396" t="b">
        <v>1</v>
      </c>
      <c r="DG396" s="420" cm="1">
        <f t="array" ref="DG396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397" spans="1:111" x14ac:dyDescent="0.25">
      <c r="A397">
        <v>396</v>
      </c>
      <c r="B397" t="s">
        <v>16</v>
      </c>
      <c r="C397">
        <v>24</v>
      </c>
      <c r="D397" t="s">
        <v>43</v>
      </c>
      <c r="E397">
        <v>2</v>
      </c>
      <c r="F397">
        <v>17.22</v>
      </c>
      <c r="G397">
        <v>12.24</v>
      </c>
      <c r="I397">
        <v>29.46</v>
      </c>
      <c r="J397">
        <v>17.010000000000002</v>
      </c>
      <c r="K397">
        <v>3.67</v>
      </c>
      <c r="L397">
        <v>2.4</v>
      </c>
      <c r="N397">
        <v>12.71</v>
      </c>
      <c r="O397">
        <v>2.61</v>
      </c>
      <c r="P397">
        <v>2.78</v>
      </c>
      <c r="Q397">
        <v>5.39</v>
      </c>
      <c r="R397">
        <v>70.64</v>
      </c>
      <c r="S397">
        <v>65.25</v>
      </c>
      <c r="T397">
        <v>67.95</v>
      </c>
      <c r="U397">
        <v>69.3</v>
      </c>
      <c r="V397">
        <v>76636</v>
      </c>
      <c r="W397">
        <v>3831.8</v>
      </c>
      <c r="X397">
        <v>80467.8</v>
      </c>
      <c r="Z397">
        <v>80467.8</v>
      </c>
      <c r="AA397">
        <v>4023.39</v>
      </c>
      <c r="AB397">
        <v>84491.19</v>
      </c>
      <c r="AC397">
        <v>10.392416369999999</v>
      </c>
      <c r="AD397">
        <v>84501.582416370002</v>
      </c>
      <c r="AF397">
        <v>84501.582416370002</v>
      </c>
      <c r="AH397">
        <v>84501.582416370002</v>
      </c>
      <c r="AJ397">
        <v>84501.582416370002</v>
      </c>
      <c r="AL397">
        <v>84501.582416370002</v>
      </c>
      <c r="AN397">
        <v>84501.582416370002</v>
      </c>
      <c r="AP397">
        <v>84501.582416370002</v>
      </c>
      <c r="AR397">
        <v>84501.582416370002</v>
      </c>
      <c r="AT397">
        <v>84501.582416370002</v>
      </c>
      <c r="AV397">
        <v>84501.582416370002</v>
      </c>
      <c r="AX397">
        <v>84501.582416370002</v>
      </c>
      <c r="AZ397">
        <v>84501.582416370002</v>
      </c>
      <c r="BB397">
        <v>84501.582416370002</v>
      </c>
      <c r="BD397">
        <v>84501.582416370002</v>
      </c>
      <c r="BF397">
        <v>84501.582416370002</v>
      </c>
      <c r="BH397">
        <v>84501.582416370002</v>
      </c>
      <c r="BJ397">
        <v>84501.582416370002</v>
      </c>
      <c r="BL397">
        <v>84501.582416370002</v>
      </c>
      <c r="BN397">
        <v>84501.582416370002</v>
      </c>
      <c r="BP397">
        <v>84501.582416370002</v>
      </c>
      <c r="BR397">
        <v>84501.582416370002</v>
      </c>
      <c r="BT397">
        <v>84501.582416370002</v>
      </c>
      <c r="BV397">
        <v>84501.582416370002</v>
      </c>
      <c r="BX397">
        <v>84501.582416370002</v>
      </c>
      <c r="BY397">
        <v>84501.58</v>
      </c>
      <c r="BZ397">
        <v>5741882.3600000003</v>
      </c>
      <c r="CB397">
        <v>0.05</v>
      </c>
      <c r="CC397">
        <v>287094.11800000002</v>
      </c>
      <c r="CD397">
        <v>80276.500956585718</v>
      </c>
      <c r="CE397">
        <v>5454788.2400000002</v>
      </c>
      <c r="CF397" t="s">
        <v>37</v>
      </c>
      <c r="CG397">
        <v>4000</v>
      </c>
      <c r="CH397">
        <v>84276.500956585718</v>
      </c>
      <c r="CI397">
        <v>271800</v>
      </c>
      <c r="CJ397">
        <v>5726588.2400000002</v>
      </c>
      <c r="CL397" t="s">
        <v>3733</v>
      </c>
      <c r="CN397">
        <v>0</v>
      </c>
      <c r="CO397" t="s">
        <v>39</v>
      </c>
      <c r="CP397" t="s">
        <v>39</v>
      </c>
      <c r="CQ397" t="b">
        <v>1</v>
      </c>
      <c r="CR397" t="s">
        <v>8950</v>
      </c>
      <c r="CT397" t="s">
        <v>8960</v>
      </c>
      <c r="CU397" t="s">
        <v>8971</v>
      </c>
      <c r="CV397" t="s">
        <v>6265</v>
      </c>
      <c r="CW397" t="s">
        <v>4895</v>
      </c>
      <c r="CX397" t="s">
        <v>3246</v>
      </c>
      <c r="CY397">
        <v>1.3499999999999943</v>
      </c>
      <c r="CZ397">
        <v>113773.27629139024</v>
      </c>
      <c r="DA397">
        <v>5726588.2400000002</v>
      </c>
      <c r="DB397" t="s">
        <v>37</v>
      </c>
      <c r="DC397" t="b">
        <v>1</v>
      </c>
      <c r="DD397">
        <v>5726588.2400000002</v>
      </c>
      <c r="DE397">
        <v>0</v>
      </c>
      <c r="DF397" t="b">
        <v>1</v>
      </c>
      <c r="DG397" s="420" cm="1">
        <f t="array" ref="DG397">_xlfn.XLOOKUP("Дом 4"&amp;Реестр_Д4[[#This Row],[№]]&amp;Реестр_Д4[[#This Row],[Статус]],РД[Дом]&amp;РД[№ кв]&amp;РД[Состояние],РД[Дата подачи на регистрацию],"-",0)</f>
        <v>44917</v>
      </c>
    </row>
    <row r="398" spans="1:111" x14ac:dyDescent="0.25">
      <c r="A398">
        <v>397</v>
      </c>
      <c r="B398" t="s">
        <v>16</v>
      </c>
      <c r="C398">
        <v>24</v>
      </c>
      <c r="D398" t="s">
        <v>44</v>
      </c>
      <c r="E398">
        <v>0</v>
      </c>
      <c r="F398">
        <v>19.22</v>
      </c>
      <c r="I398">
        <v>19.22</v>
      </c>
      <c r="J398">
        <v>9.57</v>
      </c>
      <c r="K398">
        <v>3.76</v>
      </c>
      <c r="N398">
        <v>2.56</v>
      </c>
      <c r="O398">
        <v>2.68</v>
      </c>
      <c r="Q398">
        <v>2.68</v>
      </c>
      <c r="R398">
        <v>37.79</v>
      </c>
      <c r="S398">
        <v>35.11</v>
      </c>
      <c r="T398">
        <v>36.450000000000003</v>
      </c>
      <c r="U398">
        <v>37.299999999999997</v>
      </c>
      <c r="V398">
        <v>82404</v>
      </c>
      <c r="W398">
        <v>4120.2</v>
      </c>
      <c r="X398">
        <v>86524.2</v>
      </c>
      <c r="Z398">
        <v>86524.2</v>
      </c>
      <c r="AB398">
        <v>86524.2</v>
      </c>
      <c r="AC398">
        <v>10.6424766</v>
      </c>
      <c r="AD398">
        <v>86534.842476599995</v>
      </c>
      <c r="AE398">
        <v>4326.7421238300003</v>
      </c>
      <c r="AF398">
        <v>90861.584600429996</v>
      </c>
      <c r="AH398">
        <v>90861.584600429996</v>
      </c>
      <c r="AJ398">
        <v>90861.584600429996</v>
      </c>
      <c r="AK398">
        <v>908.61584600430001</v>
      </c>
      <c r="AL398">
        <v>91770.200446434275</v>
      </c>
      <c r="AM398">
        <v>1835.4040089286859</v>
      </c>
      <c r="AN398">
        <v>93605.604455362976</v>
      </c>
      <c r="AP398">
        <v>93605.604455362976</v>
      </c>
      <c r="AQ398">
        <v>2808.168133660889</v>
      </c>
      <c r="AR398">
        <v>96413.772589023865</v>
      </c>
      <c r="AT398">
        <v>96413.772589023865</v>
      </c>
      <c r="AV398">
        <v>96413.772589023865</v>
      </c>
      <c r="AX398">
        <v>96413.772589023865</v>
      </c>
      <c r="AZ398">
        <v>96413.772589023865</v>
      </c>
      <c r="BB398">
        <v>96413.772589023865</v>
      </c>
      <c r="BD398">
        <v>96413.772589023865</v>
      </c>
      <c r="BF398">
        <v>96413.772589023865</v>
      </c>
      <c r="BH398">
        <v>96413.772589023865</v>
      </c>
      <c r="BJ398">
        <v>96413.772589023865</v>
      </c>
      <c r="BL398">
        <v>96413.772589023865</v>
      </c>
      <c r="BN398">
        <v>96413.772589023865</v>
      </c>
      <c r="BP398">
        <v>96413.772589023865</v>
      </c>
      <c r="BR398">
        <v>96413.772589023865</v>
      </c>
      <c r="BT398">
        <v>96413.772589023865</v>
      </c>
      <c r="BV398">
        <v>96413.772589023865</v>
      </c>
      <c r="BX398">
        <v>96413.772589023865</v>
      </c>
      <c r="BY398">
        <v>96413.77</v>
      </c>
      <c r="BZ398">
        <v>3514281.92</v>
      </c>
      <c r="CC398">
        <v>0</v>
      </c>
      <c r="CD398">
        <v>96413.770096021937</v>
      </c>
      <c r="CE398">
        <v>3514281.92</v>
      </c>
      <c r="CF398" t="s">
        <v>36</v>
      </c>
      <c r="CH398">
        <v>96413.770096021937</v>
      </c>
      <c r="CI398">
        <v>0</v>
      </c>
      <c r="CJ398">
        <v>3514281.92</v>
      </c>
      <c r="CN398">
        <v>0</v>
      </c>
      <c r="CO398" t="s">
        <v>39</v>
      </c>
      <c r="CP398" t="s">
        <v>39</v>
      </c>
      <c r="CQ398" t="b">
        <v>1</v>
      </c>
      <c r="CR398" t="s">
        <v>8950</v>
      </c>
      <c r="CT398" t="s">
        <v>8960</v>
      </c>
      <c r="CU398" t="s">
        <v>8970</v>
      </c>
      <c r="CV398" t="s">
        <v>6266</v>
      </c>
      <c r="CW398" t="s">
        <v>4895</v>
      </c>
      <c r="CX398" t="s">
        <v>3246</v>
      </c>
      <c r="CY398">
        <v>0.8499999999999942</v>
      </c>
      <c r="CZ398">
        <v>81951.704581618105</v>
      </c>
      <c r="DA398">
        <v>3514281.92</v>
      </c>
      <c r="DB398" t="s">
        <v>36</v>
      </c>
      <c r="DC398" t="b">
        <v>1</v>
      </c>
      <c r="DD398">
        <v>3514281.92</v>
      </c>
      <c r="DE398">
        <v>0</v>
      </c>
      <c r="DF398" t="b">
        <v>1</v>
      </c>
      <c r="DG398" s="420" cm="1">
        <f t="array" ref="DG398">_xlfn.XLOOKUP("Дом 4"&amp;Реестр_Д4[[#This Row],[№]]&amp;Реестр_Д4[[#This Row],[Статус]],РД[Дом]&amp;РД[№ кв]&amp;РД[Состояние],РД[Дата подачи на регистрацию],"-",0)</f>
        <v>45191</v>
      </c>
    </row>
    <row r="399" spans="1:111" x14ac:dyDescent="0.25">
      <c r="A399">
        <v>398</v>
      </c>
      <c r="B399" t="s">
        <v>16</v>
      </c>
      <c r="C399">
        <v>24</v>
      </c>
      <c r="D399" t="s">
        <v>45</v>
      </c>
      <c r="E399">
        <v>2</v>
      </c>
      <c r="F399">
        <v>18.12</v>
      </c>
      <c r="G399">
        <v>9.8800000000000008</v>
      </c>
      <c r="I399">
        <v>28</v>
      </c>
      <c r="J399">
        <v>15.3</v>
      </c>
      <c r="K399">
        <v>3.49</v>
      </c>
      <c r="L399">
        <v>2.34</v>
      </c>
      <c r="N399">
        <v>8.1</v>
      </c>
      <c r="O399">
        <v>2.63</v>
      </c>
      <c r="Q399">
        <v>2.63</v>
      </c>
      <c r="R399">
        <v>59.86</v>
      </c>
      <c r="S399">
        <v>57.23</v>
      </c>
      <c r="T399">
        <v>58.55</v>
      </c>
      <c r="U399">
        <v>60.5</v>
      </c>
      <c r="V399">
        <v>73970.399999999994</v>
      </c>
      <c r="W399">
        <v>3698.52</v>
      </c>
      <c r="X399">
        <v>77668.92</v>
      </c>
      <c r="Z399">
        <v>77668.92</v>
      </c>
      <c r="AA399">
        <v>3883.4459999999999</v>
      </c>
      <c r="AB399">
        <v>81552.365999999995</v>
      </c>
      <c r="AC399">
        <v>10.030941018</v>
      </c>
      <c r="AD399">
        <v>81562.396941018</v>
      </c>
      <c r="AF399">
        <v>81562.396941018</v>
      </c>
      <c r="AH399">
        <v>81562.396941018</v>
      </c>
      <c r="AI399">
        <v>1631.2479388203601</v>
      </c>
      <c r="AJ399">
        <v>83193.644879838364</v>
      </c>
      <c r="AK399">
        <v>831.93644879838371</v>
      </c>
      <c r="AL399">
        <v>84025.581328636748</v>
      </c>
      <c r="AM399">
        <v>1680.5116265727347</v>
      </c>
      <c r="AN399">
        <v>85706.092955209489</v>
      </c>
      <c r="AO399">
        <v>2571.1827886562846</v>
      </c>
      <c r="AP399">
        <v>88277.275743865772</v>
      </c>
      <c r="AQ399">
        <v>2648.318272315973</v>
      </c>
      <c r="AR399">
        <v>90925.594016181742</v>
      </c>
      <c r="AS399">
        <v>4546.2797008090874</v>
      </c>
      <c r="AT399">
        <v>95471.873716990827</v>
      </c>
      <c r="AU399">
        <v>2864.1562115097249</v>
      </c>
      <c r="AV399">
        <v>98336.029928500546</v>
      </c>
      <c r="AX399">
        <v>98336.029928500546</v>
      </c>
      <c r="AZ399">
        <v>98336.029928500546</v>
      </c>
      <c r="BB399">
        <v>98336.029928500546</v>
      </c>
      <c r="BD399">
        <v>98336.029928500546</v>
      </c>
      <c r="BF399">
        <v>98336.029928500546</v>
      </c>
      <c r="BH399">
        <v>98336.029928500546</v>
      </c>
      <c r="BI399">
        <v>4916.8014964250278</v>
      </c>
      <c r="BJ399">
        <v>103252.83142492558</v>
      </c>
      <c r="BK399">
        <v>1000</v>
      </c>
      <c r="BL399">
        <v>104252.83142492558</v>
      </c>
      <c r="BM399">
        <v>2085.0566284985116</v>
      </c>
      <c r="BN399">
        <v>106337.88805342407</v>
      </c>
      <c r="BO399">
        <v>5316.8944026712052</v>
      </c>
      <c r="BP399">
        <v>111654.7824560953</v>
      </c>
      <c r="BQ399">
        <v>500</v>
      </c>
      <c r="BR399">
        <v>112154.7824560953</v>
      </c>
      <c r="BS399">
        <v>9600</v>
      </c>
      <c r="BT399">
        <v>121754.7824560953</v>
      </c>
      <c r="BU399">
        <v>6000</v>
      </c>
      <c r="BV399">
        <v>127754.7824560953</v>
      </c>
      <c r="BW399">
        <v>7754.78</v>
      </c>
      <c r="BX399">
        <v>120000.0024560953</v>
      </c>
      <c r="BY399">
        <v>120000</v>
      </c>
      <c r="BZ399">
        <v>7260000</v>
      </c>
      <c r="CC399">
        <v>0</v>
      </c>
      <c r="CD399">
        <v>120000</v>
      </c>
      <c r="CE399">
        <v>7260000</v>
      </c>
      <c r="CF399" t="s">
        <v>36</v>
      </c>
      <c r="CH399">
        <v>120000</v>
      </c>
      <c r="CI399">
        <v>0</v>
      </c>
      <c r="CJ399">
        <v>7260000</v>
      </c>
      <c r="CN399">
        <v>0</v>
      </c>
      <c r="CO399" t="s">
        <v>3</v>
      </c>
      <c r="CP399" t="s">
        <v>3</v>
      </c>
      <c r="CQ399" t="b">
        <v>1</v>
      </c>
      <c r="CR399" t="s">
        <v>8951</v>
      </c>
      <c r="CS399" t="s">
        <v>1167</v>
      </c>
      <c r="CT399" t="s">
        <v>8960</v>
      </c>
      <c r="CU399" t="s">
        <v>8971</v>
      </c>
      <c r="CV399" t="s">
        <v>6267</v>
      </c>
      <c r="CW399" t="s">
        <v>6652</v>
      </c>
      <c r="CX399" t="s">
        <v>3124</v>
      </c>
      <c r="CY399">
        <v>1.9500000000000028</v>
      </c>
      <c r="CZ399">
        <v>0</v>
      </c>
      <c r="DA399">
        <v>7366200</v>
      </c>
      <c r="DB399" t="s">
        <v>36</v>
      </c>
      <c r="DC399" t="b">
        <v>1</v>
      </c>
      <c r="DD399">
        <v>7729200</v>
      </c>
      <c r="DE399">
        <v>469200</v>
      </c>
      <c r="DF399" t="b">
        <v>1</v>
      </c>
      <c r="DG399" s="420" t="str" cm="1">
        <f t="array" ref="DG399">_xlfn.XLOOKUP("Дом 4"&amp;Реестр_Д4[[#This Row],[№]]&amp;Реестр_Д4[[#This Row],[Статус]],РД[Дом]&amp;РД[№ кв]&amp;РД[Состояние],РД[Дата подачи на регистрацию],"-",0)</f>
        <v>-</v>
      </c>
    </row>
    <row r="400" spans="1:111" x14ac:dyDescent="0.25">
      <c r="A400">
        <v>399</v>
      </c>
      <c r="B400" t="s">
        <v>16</v>
      </c>
      <c r="C400">
        <v>24</v>
      </c>
      <c r="D400" t="s">
        <v>3351</v>
      </c>
      <c r="E400">
        <v>2</v>
      </c>
      <c r="F400">
        <v>15.36</v>
      </c>
      <c r="G400">
        <v>9.8699999999999992</v>
      </c>
      <c r="I400">
        <v>25.23</v>
      </c>
      <c r="J400">
        <v>16.260000000000002</v>
      </c>
      <c r="K400">
        <v>3.74</v>
      </c>
      <c r="L400">
        <v>2.09</v>
      </c>
      <c r="N400">
        <v>8.06</v>
      </c>
      <c r="O400">
        <v>2.63</v>
      </c>
      <c r="Q400">
        <v>2.63</v>
      </c>
      <c r="R400">
        <v>58.01</v>
      </c>
      <c r="S400">
        <v>55.379999999999995</v>
      </c>
      <c r="T400">
        <v>56.7</v>
      </c>
      <c r="U400">
        <v>58.099999999999994</v>
      </c>
      <c r="V400">
        <v>73970.399999999994</v>
      </c>
      <c r="W400">
        <v>3698.52</v>
      </c>
      <c r="X400">
        <v>77668.92</v>
      </c>
      <c r="Z400">
        <v>77668.92</v>
      </c>
      <c r="AA400">
        <v>3883.4459999999999</v>
      </c>
      <c r="AB400">
        <v>81552.365999999995</v>
      </c>
      <c r="AC400">
        <v>10.030941018</v>
      </c>
      <c r="AD400">
        <v>81562.396941018</v>
      </c>
      <c r="AF400">
        <v>81562.396941018</v>
      </c>
      <c r="AH400">
        <v>81562.396941018</v>
      </c>
      <c r="AI400">
        <v>1631.2479388203601</v>
      </c>
      <c r="AJ400">
        <v>83193.644879838364</v>
      </c>
      <c r="AK400">
        <v>831.93644879838371</v>
      </c>
      <c r="AL400">
        <v>84025.581328636748</v>
      </c>
      <c r="AM400">
        <v>1680.5116265727347</v>
      </c>
      <c r="AN400">
        <v>85706.092955209489</v>
      </c>
      <c r="AO400">
        <v>2571.1827886562846</v>
      </c>
      <c r="AP400">
        <v>88277.275743865772</v>
      </c>
      <c r="AQ400">
        <v>2648.318272315973</v>
      </c>
      <c r="AR400">
        <v>90925.594016181742</v>
      </c>
      <c r="AT400">
        <v>90925.594016181742</v>
      </c>
      <c r="AV400">
        <v>90925.594016181742</v>
      </c>
      <c r="AX400">
        <v>90925.594016181742</v>
      </c>
      <c r="AZ400">
        <v>90925.594016181742</v>
      </c>
      <c r="BB400">
        <v>90925.594016181742</v>
      </c>
      <c r="BD400">
        <v>90925.594016181742</v>
      </c>
      <c r="BF400">
        <v>90925.594016181742</v>
      </c>
      <c r="BH400">
        <v>90925.594016181742</v>
      </c>
      <c r="BJ400">
        <v>90925.594016181742</v>
      </c>
      <c r="BL400">
        <v>90925.594016181742</v>
      </c>
      <c r="BN400">
        <v>90925.594016181742</v>
      </c>
      <c r="BP400">
        <v>90925.594016181742</v>
      </c>
      <c r="BR400">
        <v>90925.594016181742</v>
      </c>
      <c r="BT400">
        <v>90925.594016181742</v>
      </c>
      <c r="BV400">
        <v>90925.594016181742</v>
      </c>
      <c r="BX400">
        <v>90925.594016181742</v>
      </c>
      <c r="BY400">
        <v>90925.59</v>
      </c>
      <c r="BZ400">
        <v>5155480.95</v>
      </c>
      <c r="CC400">
        <v>0</v>
      </c>
      <c r="CD400">
        <v>90925.589947089946</v>
      </c>
      <c r="CE400">
        <v>5155480.95</v>
      </c>
      <c r="CF400" t="s">
        <v>38</v>
      </c>
      <c r="CG400">
        <v>15500</v>
      </c>
      <c r="CH400">
        <v>106425.58994708996</v>
      </c>
      <c r="CI400">
        <v>878850</v>
      </c>
      <c r="CJ400">
        <v>6034330.9500000002</v>
      </c>
      <c r="CN400">
        <v>0</v>
      </c>
      <c r="CO400" t="s">
        <v>39</v>
      </c>
      <c r="CP400" t="s">
        <v>39</v>
      </c>
      <c r="CQ400" t="b">
        <v>1</v>
      </c>
      <c r="CR400" t="s">
        <v>8950</v>
      </c>
      <c r="CT400" t="s">
        <v>8960</v>
      </c>
      <c r="CU400" t="s">
        <v>8971</v>
      </c>
      <c r="CV400" t="s">
        <v>6268</v>
      </c>
      <c r="CW400" t="s">
        <v>4895</v>
      </c>
      <c r="CX400" t="s">
        <v>3246</v>
      </c>
      <c r="CY400">
        <v>1.3999999999999917</v>
      </c>
      <c r="CZ400">
        <v>148995.82592592502</v>
      </c>
      <c r="DA400">
        <v>6034330.9500000002</v>
      </c>
      <c r="DB400" t="s">
        <v>38</v>
      </c>
      <c r="DC400" t="b">
        <v>1</v>
      </c>
      <c r="DD400">
        <v>6034330.9500000002</v>
      </c>
      <c r="DE400">
        <v>0</v>
      </c>
      <c r="DF400" t="b">
        <v>1</v>
      </c>
      <c r="DG400" s="420" cm="1">
        <f t="array" ref="DG400">_xlfn.XLOOKUP("Дом 4"&amp;Реестр_Д4[[#This Row],[№]]&amp;Реестр_Д4[[#This Row],[Статус]],РД[Дом]&amp;РД[№ кв]&amp;РД[Состояние],РД[Дата подачи на регистрацию],"-",0)</f>
        <v>45161</v>
      </c>
    </row>
    <row r="401" spans="1:111" x14ac:dyDescent="0.25">
      <c r="A401">
        <v>400</v>
      </c>
      <c r="B401" t="s">
        <v>16</v>
      </c>
      <c r="C401">
        <v>24</v>
      </c>
      <c r="D401" t="s">
        <v>3352</v>
      </c>
      <c r="E401">
        <v>3</v>
      </c>
      <c r="F401">
        <v>16.27</v>
      </c>
      <c r="G401">
        <v>10.96</v>
      </c>
      <c r="H401">
        <v>10.7</v>
      </c>
      <c r="I401">
        <v>37.93</v>
      </c>
      <c r="J401">
        <v>13.42</v>
      </c>
      <c r="K401">
        <v>4.53</v>
      </c>
      <c r="L401">
        <v>2.27</v>
      </c>
      <c r="N401">
        <v>12.94</v>
      </c>
      <c r="O401">
        <v>2.83</v>
      </c>
      <c r="Q401">
        <v>2.83</v>
      </c>
      <c r="R401">
        <v>73.92</v>
      </c>
      <c r="S401">
        <v>71.09</v>
      </c>
      <c r="T401">
        <v>72.510000000000005</v>
      </c>
      <c r="U401">
        <v>74.800000000000011</v>
      </c>
      <c r="V401">
        <v>74009.600000000006</v>
      </c>
      <c r="W401">
        <v>3700.4800000000009</v>
      </c>
      <c r="X401">
        <v>77710.080000000002</v>
      </c>
      <c r="Z401">
        <v>77710.080000000002</v>
      </c>
      <c r="AB401">
        <v>77710.080000000002</v>
      </c>
      <c r="AC401">
        <v>9.5583398400000004</v>
      </c>
      <c r="AD401">
        <v>77719.638339840007</v>
      </c>
      <c r="AF401">
        <v>77719.638339840007</v>
      </c>
      <c r="AH401">
        <v>77719.638339840007</v>
      </c>
      <c r="AI401">
        <v>2331.5891501952001</v>
      </c>
      <c r="AJ401">
        <v>80051.227490035206</v>
      </c>
      <c r="AK401">
        <v>800.51227490035205</v>
      </c>
      <c r="AL401">
        <v>80851.739764935555</v>
      </c>
      <c r="AM401">
        <v>1617.0347952987113</v>
      </c>
      <c r="AN401">
        <v>82468.774560234262</v>
      </c>
      <c r="AP401">
        <v>82468.774560234262</v>
      </c>
      <c r="AR401">
        <v>82468.774560234262</v>
      </c>
      <c r="AT401">
        <v>82468.774560234262</v>
      </c>
      <c r="AV401">
        <v>82468.774560234262</v>
      </c>
      <c r="AX401">
        <v>82468.774560234262</v>
      </c>
      <c r="AZ401">
        <v>82468.774560234262</v>
      </c>
      <c r="BB401">
        <v>82468.774560234262</v>
      </c>
      <c r="BD401">
        <v>82468.774560234262</v>
      </c>
      <c r="BF401">
        <v>82468.774560234262</v>
      </c>
      <c r="BH401">
        <v>82468.774560234262</v>
      </c>
      <c r="BJ401">
        <v>82468.774560234262</v>
      </c>
      <c r="BL401">
        <v>82468.774560234262</v>
      </c>
      <c r="BN401">
        <v>82468.774560234262</v>
      </c>
      <c r="BP401">
        <v>82468.774560234262</v>
      </c>
      <c r="BR401">
        <v>82468.774560234262</v>
      </c>
      <c r="BT401">
        <v>82468.774560234262</v>
      </c>
      <c r="BV401">
        <v>82468.774560234262</v>
      </c>
      <c r="BX401">
        <v>82468.774560234262</v>
      </c>
      <c r="BY401">
        <v>82468.77</v>
      </c>
      <c r="BZ401">
        <v>5979810.5099999998</v>
      </c>
      <c r="CB401">
        <v>0.06</v>
      </c>
      <c r="CC401">
        <v>358788.63059999997</v>
      </c>
      <c r="CD401">
        <v>77520.643773272634</v>
      </c>
      <c r="CE401">
        <v>5621021.8799999999</v>
      </c>
      <c r="CF401" t="s">
        <v>37</v>
      </c>
      <c r="CG401">
        <v>4000</v>
      </c>
      <c r="CH401">
        <v>81520.643773272634</v>
      </c>
      <c r="CI401">
        <v>290040</v>
      </c>
      <c r="CJ401">
        <v>5911061.8799999999</v>
      </c>
      <c r="CL401" t="s">
        <v>978</v>
      </c>
      <c r="CN401">
        <v>0</v>
      </c>
      <c r="CO401" t="s">
        <v>39</v>
      </c>
      <c r="CP401" t="s">
        <v>39</v>
      </c>
      <c r="CQ401" t="b">
        <v>1</v>
      </c>
      <c r="CR401" t="s">
        <v>8950</v>
      </c>
      <c r="CT401" t="s">
        <v>8960</v>
      </c>
      <c r="CU401" t="s">
        <v>8975</v>
      </c>
      <c r="CV401" t="s">
        <v>6269</v>
      </c>
      <c r="CW401" t="s">
        <v>4895</v>
      </c>
      <c r="CX401" t="s">
        <v>3246</v>
      </c>
      <c r="CY401">
        <v>2.2900000000000063</v>
      </c>
      <c r="CZ401">
        <v>186682.27424079488</v>
      </c>
      <c r="DA401">
        <v>5911061.8799999999</v>
      </c>
      <c r="DB401" t="s">
        <v>37</v>
      </c>
      <c r="DC401" t="b">
        <v>1</v>
      </c>
      <c r="DD401">
        <v>5911061.8799999999</v>
      </c>
      <c r="DE401">
        <v>0</v>
      </c>
      <c r="DF401" t="b">
        <v>1</v>
      </c>
      <c r="DG401" s="420" cm="1">
        <f t="array" ref="DG401">_xlfn.XLOOKUP("Дом 4"&amp;Реестр_Д4[[#This Row],[№]]&amp;Реестр_Д4[[#This Row],[Статус]],РД[Дом]&amp;РД[№ кв]&amp;РД[Состояние],РД[Дата подачи на регистрацию],"-",0)</f>
        <v>45076</v>
      </c>
    </row>
    <row r="402" spans="1:111" x14ac:dyDescent="0.25">
      <c r="A402">
        <v>401</v>
      </c>
      <c r="B402" t="s">
        <v>16</v>
      </c>
      <c r="C402">
        <v>24</v>
      </c>
      <c r="D402" t="s">
        <v>3353</v>
      </c>
      <c r="E402">
        <v>1</v>
      </c>
      <c r="F402">
        <v>10.68</v>
      </c>
      <c r="I402">
        <v>10.68</v>
      </c>
      <c r="J402">
        <v>12.75</v>
      </c>
      <c r="K402">
        <v>3.65</v>
      </c>
      <c r="N402">
        <v>5.45</v>
      </c>
      <c r="O402">
        <v>2.62</v>
      </c>
      <c r="Q402">
        <v>2.62</v>
      </c>
      <c r="R402">
        <v>35.15</v>
      </c>
      <c r="S402">
        <v>32.53</v>
      </c>
      <c r="T402">
        <v>33.840000000000003</v>
      </c>
      <c r="U402">
        <v>34.799999999999997</v>
      </c>
      <c r="V402">
        <v>77000</v>
      </c>
      <c r="W402">
        <v>3850</v>
      </c>
      <c r="X402">
        <v>80850</v>
      </c>
      <c r="Y402">
        <v>3234</v>
      </c>
      <c r="Z402">
        <v>84084</v>
      </c>
      <c r="AA402">
        <v>4204.2</v>
      </c>
      <c r="AB402">
        <v>88288.2</v>
      </c>
      <c r="AC402">
        <v>10.8594486</v>
      </c>
      <c r="AD402">
        <v>88299.05944859999</v>
      </c>
      <c r="AE402">
        <v>4414.95297243</v>
      </c>
      <c r="AF402">
        <v>92714.012421029984</v>
      </c>
      <c r="AH402">
        <v>92714.012421029984</v>
      </c>
      <c r="AJ402">
        <v>92714.012421029984</v>
      </c>
      <c r="AL402">
        <v>92714.012421029984</v>
      </c>
      <c r="AN402">
        <v>92714.012421029984</v>
      </c>
      <c r="AP402">
        <v>92714.012421029984</v>
      </c>
      <c r="AR402">
        <v>92714.012421029984</v>
      </c>
      <c r="AT402">
        <v>92714.012421029984</v>
      </c>
      <c r="AV402">
        <v>92714.012421029984</v>
      </c>
      <c r="AX402">
        <v>92714.012421029984</v>
      </c>
      <c r="AZ402">
        <v>92714.012421029984</v>
      </c>
      <c r="BB402">
        <v>92714.012421029984</v>
      </c>
      <c r="BD402">
        <v>92714.012421029984</v>
      </c>
      <c r="BF402">
        <v>92714.012421029984</v>
      </c>
      <c r="BH402">
        <v>92714.012421029984</v>
      </c>
      <c r="BJ402">
        <v>92714.012421029984</v>
      </c>
      <c r="BL402">
        <v>92714.012421029984</v>
      </c>
      <c r="BN402">
        <v>92714.012421029984</v>
      </c>
      <c r="BP402">
        <v>92714.012421029984</v>
      </c>
      <c r="BR402">
        <v>92714.012421029984</v>
      </c>
      <c r="BT402">
        <v>92714.012421029984</v>
      </c>
      <c r="BV402">
        <v>92714.012421029984</v>
      </c>
      <c r="BX402">
        <v>92714.012421029984</v>
      </c>
      <c r="BY402">
        <v>92714.01</v>
      </c>
      <c r="BZ402">
        <v>3137442.1</v>
      </c>
      <c r="CC402">
        <v>0</v>
      </c>
      <c r="CD402">
        <v>92714.010047281321</v>
      </c>
      <c r="CE402">
        <v>3137442.1</v>
      </c>
      <c r="CF402" t="s">
        <v>36</v>
      </c>
      <c r="CH402">
        <v>92714.010047281321</v>
      </c>
      <c r="CI402">
        <v>0</v>
      </c>
      <c r="CJ402">
        <v>3137442.1</v>
      </c>
      <c r="CK402" t="s">
        <v>57</v>
      </c>
      <c r="CN402">
        <v>0</v>
      </c>
      <c r="CO402" t="s">
        <v>39</v>
      </c>
      <c r="CP402" t="s">
        <v>39</v>
      </c>
      <c r="CQ402" t="b">
        <v>1</v>
      </c>
      <c r="CR402" t="s">
        <v>8950</v>
      </c>
      <c r="CT402" t="s">
        <v>8960</v>
      </c>
      <c r="CU402" t="s">
        <v>8973</v>
      </c>
      <c r="CV402" t="s">
        <v>6270</v>
      </c>
      <c r="CW402" t="s">
        <v>4895</v>
      </c>
      <c r="CX402" t="s">
        <v>3246</v>
      </c>
      <c r="CY402">
        <v>0.95999999999999375</v>
      </c>
      <c r="CZ402">
        <v>89005.449645389483</v>
      </c>
      <c r="DA402">
        <v>3137442.1</v>
      </c>
      <c r="DB402" t="s">
        <v>36</v>
      </c>
      <c r="DC402" t="b">
        <v>1</v>
      </c>
      <c r="DD402">
        <v>3137442.1</v>
      </c>
      <c r="DE402">
        <v>0</v>
      </c>
      <c r="DF402" t="b">
        <v>1</v>
      </c>
      <c r="DG402" s="420" cm="1">
        <f t="array" ref="DG402">_xlfn.XLOOKUP("Дом 4"&amp;Реестр_Д4[[#This Row],[№]]&amp;Реестр_Д4[[#This Row],[Статус]],РД[Дом]&amp;РД[№ кв]&amp;РД[Состояние],РД[Дата подачи на регистрацию],"-",0)</f>
        <v>44966</v>
      </c>
    </row>
    <row r="403" spans="1:111" x14ac:dyDescent="0.25">
      <c r="A403">
        <v>402</v>
      </c>
      <c r="B403" t="s">
        <v>15</v>
      </c>
      <c r="C403">
        <v>2</v>
      </c>
      <c r="D403">
        <v>1</v>
      </c>
      <c r="E403">
        <v>1</v>
      </c>
      <c r="F403">
        <v>14.05</v>
      </c>
      <c r="I403">
        <v>14.05</v>
      </c>
      <c r="J403">
        <v>12.32</v>
      </c>
      <c r="K403">
        <v>3.87</v>
      </c>
      <c r="N403">
        <v>8.14</v>
      </c>
      <c r="O403">
        <v>2.72</v>
      </c>
      <c r="Q403">
        <v>2.72</v>
      </c>
      <c r="R403">
        <v>41.1</v>
      </c>
      <c r="S403">
        <v>38.380000000000003</v>
      </c>
      <c r="T403">
        <v>39.74</v>
      </c>
      <c r="U403">
        <v>40.999999999999993</v>
      </c>
      <c r="V403">
        <v>71400</v>
      </c>
      <c r="W403">
        <v>3570</v>
      </c>
      <c r="X403">
        <v>74970</v>
      </c>
      <c r="Y403">
        <v>2998.8</v>
      </c>
      <c r="Z403">
        <v>77968.800000000003</v>
      </c>
      <c r="AA403">
        <v>3898.440000000001</v>
      </c>
      <c r="AB403">
        <v>81867.240000000005</v>
      </c>
      <c r="AC403">
        <v>10.069670520000001</v>
      </c>
      <c r="AD403">
        <v>81877.309670520001</v>
      </c>
      <c r="AE403">
        <v>4093.8654835259999</v>
      </c>
      <c r="AF403">
        <v>85971.175154045995</v>
      </c>
      <c r="AH403">
        <v>85971.175154045995</v>
      </c>
      <c r="AI403">
        <v>2579.1352546213802</v>
      </c>
      <c r="AJ403">
        <v>88550.31040866737</v>
      </c>
      <c r="AK403">
        <v>885.50310408667372</v>
      </c>
      <c r="AL403">
        <v>89435.813512754044</v>
      </c>
      <c r="AM403">
        <v>1788.7162702550809</v>
      </c>
      <c r="AN403">
        <v>91224.529783009129</v>
      </c>
      <c r="AP403">
        <v>91224.529783009129</v>
      </c>
      <c r="AR403">
        <v>91224.529783009129</v>
      </c>
      <c r="AT403">
        <v>91224.529783009129</v>
      </c>
      <c r="AV403">
        <v>91224.529783009129</v>
      </c>
      <c r="AX403">
        <v>91224.529783009129</v>
      </c>
      <c r="AZ403">
        <v>91224.529783009129</v>
      </c>
      <c r="BB403">
        <v>91224.529783009129</v>
      </c>
      <c r="BD403">
        <v>91224.529783009129</v>
      </c>
      <c r="BF403">
        <v>91224.529783009129</v>
      </c>
      <c r="BH403">
        <v>91224.529783009129</v>
      </c>
      <c r="BJ403">
        <v>91224.529783009129</v>
      </c>
      <c r="BL403">
        <v>91224.529783009129</v>
      </c>
      <c r="BN403">
        <v>91224.529783009129</v>
      </c>
      <c r="BP403">
        <v>91224.529783009129</v>
      </c>
      <c r="BR403">
        <v>91224.529783009129</v>
      </c>
      <c r="BT403">
        <v>91224.529783009129</v>
      </c>
      <c r="BV403">
        <v>91224.529783009129</v>
      </c>
      <c r="BX403">
        <v>91224.529783009129</v>
      </c>
      <c r="BY403">
        <v>91224.53</v>
      </c>
      <c r="BZ403">
        <v>3625262.82</v>
      </c>
      <c r="CA403">
        <v>158960</v>
      </c>
      <c r="CC403">
        <v>158960</v>
      </c>
      <c r="CD403">
        <v>87224.529944640148</v>
      </c>
      <c r="CE403">
        <v>3466302.82</v>
      </c>
      <c r="CF403" t="s">
        <v>37</v>
      </c>
      <c r="CG403">
        <v>4000</v>
      </c>
      <c r="CH403">
        <v>91224.529944640148</v>
      </c>
      <c r="CI403">
        <v>158960</v>
      </c>
      <c r="CJ403">
        <v>3625262.82</v>
      </c>
      <c r="CL403" t="s">
        <v>4839</v>
      </c>
      <c r="CN403">
        <v>0</v>
      </c>
      <c r="CO403" t="s">
        <v>39</v>
      </c>
      <c r="CP403" t="s">
        <v>39</v>
      </c>
      <c r="CQ403" t="b">
        <v>1</v>
      </c>
      <c r="CR403" t="s">
        <v>8950</v>
      </c>
      <c r="CT403" t="s">
        <v>8960</v>
      </c>
      <c r="CU403" t="s">
        <v>8973</v>
      </c>
      <c r="CV403" t="s">
        <v>6271</v>
      </c>
      <c r="CW403" t="s">
        <v>4895</v>
      </c>
      <c r="CX403" t="s">
        <v>3246</v>
      </c>
      <c r="CY403">
        <v>1.2599999999999909</v>
      </c>
      <c r="CZ403">
        <v>114942.90773024576</v>
      </c>
      <c r="DA403">
        <v>3625262.82</v>
      </c>
      <c r="DB403" t="s">
        <v>37</v>
      </c>
      <c r="DC403" t="b">
        <v>1</v>
      </c>
      <c r="DD403">
        <v>3625262.82</v>
      </c>
      <c r="DE403">
        <v>0</v>
      </c>
      <c r="DF403" t="b">
        <v>1</v>
      </c>
      <c r="DG403" s="420" cm="1">
        <f t="array" ref="DG403">_xlfn.XLOOKUP("Дом 4"&amp;Реестр_Д4[[#This Row],[№]]&amp;Реестр_Д4[[#This Row],[Статус]],РД[Дом]&amp;РД[№ кв]&amp;РД[Состояние],РД[Дата подачи на регистрацию],"-",0)</f>
        <v>45127</v>
      </c>
    </row>
    <row r="404" spans="1:111" x14ac:dyDescent="0.25">
      <c r="A404">
        <v>403</v>
      </c>
      <c r="B404" t="s">
        <v>15</v>
      </c>
      <c r="C404">
        <v>2</v>
      </c>
      <c r="D404">
        <v>2</v>
      </c>
      <c r="E404">
        <v>1</v>
      </c>
      <c r="F404">
        <v>14.29</v>
      </c>
      <c r="I404">
        <v>14.29</v>
      </c>
      <c r="J404">
        <v>12.32</v>
      </c>
      <c r="K404">
        <v>3.72</v>
      </c>
      <c r="N404">
        <v>6.91</v>
      </c>
      <c r="O404">
        <v>2.72</v>
      </c>
      <c r="Q404">
        <v>2.72</v>
      </c>
      <c r="R404">
        <v>39.96</v>
      </c>
      <c r="S404">
        <v>37.24</v>
      </c>
      <c r="T404">
        <v>38.6</v>
      </c>
      <c r="U404">
        <v>39.799999999999997</v>
      </c>
      <c r="V404">
        <v>71400</v>
      </c>
      <c r="W404">
        <v>3570</v>
      </c>
      <c r="X404">
        <v>74970</v>
      </c>
      <c r="Y404">
        <v>2998.8</v>
      </c>
      <c r="Z404">
        <v>77968.800000000003</v>
      </c>
      <c r="AA404">
        <v>3898.440000000001</v>
      </c>
      <c r="AB404">
        <v>81867.240000000005</v>
      </c>
      <c r="AC404">
        <v>10.069670520000001</v>
      </c>
      <c r="AD404">
        <v>81877.309670520001</v>
      </c>
      <c r="AE404">
        <v>4093.8654835259999</v>
      </c>
      <c r="AF404">
        <v>85971.175154045995</v>
      </c>
      <c r="AH404">
        <v>85971.175154045995</v>
      </c>
      <c r="AI404">
        <v>2579.1352546213802</v>
      </c>
      <c r="AJ404">
        <v>88550.31040866737</v>
      </c>
      <c r="AK404">
        <v>885.50310408667372</v>
      </c>
      <c r="AL404">
        <v>89435.813512754044</v>
      </c>
      <c r="AM404">
        <v>1788.7162702550809</v>
      </c>
      <c r="AN404">
        <v>91224.529783009129</v>
      </c>
      <c r="AO404">
        <v>1824.4905956601824</v>
      </c>
      <c r="AP404">
        <v>93049.020378669316</v>
      </c>
      <c r="AQ404">
        <v>2791.4706113600796</v>
      </c>
      <c r="AR404">
        <v>95840.490990029415</v>
      </c>
      <c r="AT404">
        <v>95840.490990029415</v>
      </c>
      <c r="AV404">
        <v>95840.490990029415</v>
      </c>
      <c r="AX404">
        <v>95840.490990029415</v>
      </c>
      <c r="AZ404">
        <v>95840.490990029415</v>
      </c>
      <c r="BB404">
        <v>95840.490990029415</v>
      </c>
      <c r="BD404">
        <v>95840.490990029415</v>
      </c>
      <c r="BF404">
        <v>95840.490990029415</v>
      </c>
      <c r="BH404">
        <v>95840.490990029415</v>
      </c>
      <c r="BJ404">
        <v>95840.490990029415</v>
      </c>
      <c r="BL404">
        <v>95840.490990029415</v>
      </c>
      <c r="BN404">
        <v>95840.490990029415</v>
      </c>
      <c r="BP404">
        <v>95840.490990029415</v>
      </c>
      <c r="BR404">
        <v>95840.490990029415</v>
      </c>
      <c r="BT404">
        <v>95840.490990029415</v>
      </c>
      <c r="BV404">
        <v>95840.490990029415</v>
      </c>
      <c r="BX404">
        <v>95840.490990029415</v>
      </c>
      <c r="BY404">
        <v>95840.49</v>
      </c>
      <c r="BZ404">
        <v>3699442.91</v>
      </c>
      <c r="CC404">
        <v>0</v>
      </c>
      <c r="CD404">
        <v>95840.489896373052</v>
      </c>
      <c r="CE404">
        <v>3699442.91</v>
      </c>
      <c r="CF404" t="s">
        <v>38</v>
      </c>
      <c r="CG404">
        <v>15500</v>
      </c>
      <c r="CH404">
        <v>111340.48989637304</v>
      </c>
      <c r="CI404">
        <v>598300</v>
      </c>
      <c r="CJ404">
        <v>4297742.91</v>
      </c>
      <c r="CN404">
        <v>0</v>
      </c>
      <c r="CO404" t="s">
        <v>39</v>
      </c>
      <c r="CP404" t="s">
        <v>39</v>
      </c>
      <c r="CQ404" t="b">
        <v>1</v>
      </c>
      <c r="CR404" t="s">
        <v>8950</v>
      </c>
      <c r="CT404" t="s">
        <v>8960</v>
      </c>
      <c r="CU404" t="s">
        <v>8973</v>
      </c>
      <c r="CV404" t="s">
        <v>6272</v>
      </c>
      <c r="CW404" t="s">
        <v>4895</v>
      </c>
      <c r="CX404" t="s">
        <v>3246</v>
      </c>
      <c r="CY404">
        <v>1.1999999999999955</v>
      </c>
      <c r="CZ404">
        <v>133608.58787564718</v>
      </c>
      <c r="DA404">
        <v>4297742.91</v>
      </c>
      <c r="DB404" t="s">
        <v>38</v>
      </c>
      <c r="DC404" t="b">
        <v>1</v>
      </c>
      <c r="DD404">
        <v>4297742.91</v>
      </c>
      <c r="DE404">
        <v>0</v>
      </c>
      <c r="DF404" t="b">
        <v>1</v>
      </c>
      <c r="DG404" s="420" cm="1">
        <f t="array" ref="DG404">_xlfn.XLOOKUP("Дом 4"&amp;Реестр_Д4[[#This Row],[№]]&amp;Реестр_Д4[[#This Row],[Статус]],РД[Дом]&amp;РД[№ кв]&amp;РД[Состояние],РД[Дата подачи на регистрацию],"-",0)</f>
        <v>45167</v>
      </c>
    </row>
    <row r="405" spans="1:111" x14ac:dyDescent="0.25">
      <c r="A405">
        <v>404</v>
      </c>
      <c r="B405" t="s">
        <v>15</v>
      </c>
      <c r="C405">
        <v>2</v>
      </c>
      <c r="D405">
        <v>3</v>
      </c>
      <c r="E405">
        <v>3</v>
      </c>
      <c r="F405">
        <v>16.05</v>
      </c>
      <c r="G405">
        <v>11.28</v>
      </c>
      <c r="H405">
        <v>10.82</v>
      </c>
      <c r="I405">
        <v>38.15</v>
      </c>
      <c r="J405">
        <v>17.41</v>
      </c>
      <c r="K405">
        <v>3.81</v>
      </c>
      <c r="L405">
        <v>1.87</v>
      </c>
      <c r="N405">
        <v>11.71</v>
      </c>
      <c r="O405">
        <v>2.65</v>
      </c>
      <c r="Q405">
        <v>2.65</v>
      </c>
      <c r="R405">
        <v>75.599999999999994</v>
      </c>
      <c r="S405">
        <v>72.949999999999989</v>
      </c>
      <c r="T405">
        <v>74.28</v>
      </c>
      <c r="U405">
        <v>75.8</v>
      </c>
      <c r="V405">
        <v>67110.400000000009</v>
      </c>
      <c r="W405">
        <v>3355.5200000000004</v>
      </c>
      <c r="X405">
        <v>70465.920000000013</v>
      </c>
      <c r="Z405">
        <v>70465.920000000013</v>
      </c>
      <c r="AB405">
        <v>70465.920000000013</v>
      </c>
      <c r="AC405">
        <v>8.6673081600000028</v>
      </c>
      <c r="AD405">
        <v>70474.587308160015</v>
      </c>
      <c r="AF405">
        <v>70474.587308160015</v>
      </c>
      <c r="AH405">
        <v>70474.587308160015</v>
      </c>
      <c r="AI405">
        <v>2114.2376192448005</v>
      </c>
      <c r="AJ405">
        <v>72588.824927404814</v>
      </c>
      <c r="AK405">
        <v>2177.6647478221444</v>
      </c>
      <c r="AL405">
        <v>74766.489675226956</v>
      </c>
      <c r="AM405">
        <v>2990.6595870090782</v>
      </c>
      <c r="AN405">
        <v>77757.149262236038</v>
      </c>
      <c r="AO405">
        <v>2332.7144778670809</v>
      </c>
      <c r="AP405">
        <v>80089.863740103116</v>
      </c>
      <c r="AQ405">
        <v>2402.6959122030935</v>
      </c>
      <c r="AR405">
        <v>82492.559652306212</v>
      </c>
      <c r="AS405">
        <v>4124.6279826153104</v>
      </c>
      <c r="AT405">
        <v>86617.187634921516</v>
      </c>
      <c r="AU405">
        <v>2598.5156290476452</v>
      </c>
      <c r="AV405">
        <v>89215.703263969175</v>
      </c>
      <c r="AW405">
        <v>5352.942195838149</v>
      </c>
      <c r="AX405">
        <v>94568.645459807303</v>
      </c>
      <c r="AY405">
        <v>2837.0593637942188</v>
      </c>
      <c r="AZ405">
        <v>97405.704823601525</v>
      </c>
      <c r="BB405">
        <v>97405.704823601525</v>
      </c>
      <c r="BD405">
        <v>97405.704823601525</v>
      </c>
      <c r="BF405">
        <v>97405.704823601525</v>
      </c>
      <c r="BH405">
        <v>97405.704823601525</v>
      </c>
      <c r="BI405">
        <v>4870.2852411800768</v>
      </c>
      <c r="BJ405">
        <v>102275.9900647816</v>
      </c>
      <c r="BK405">
        <v>500</v>
      </c>
      <c r="BL405">
        <v>102775.9900647816</v>
      </c>
      <c r="BM405">
        <v>2055.5198012956321</v>
      </c>
      <c r="BN405">
        <v>104831.50986607723</v>
      </c>
      <c r="BP405">
        <v>104831.50986607723</v>
      </c>
      <c r="BQ405">
        <v>500</v>
      </c>
      <c r="BR405">
        <v>105331.50986607723</v>
      </c>
      <c r="BT405">
        <v>105331.50986607723</v>
      </c>
      <c r="BV405">
        <v>105331.50986607723</v>
      </c>
      <c r="BX405">
        <v>105331.50986607723</v>
      </c>
      <c r="BY405">
        <v>105331.51</v>
      </c>
      <c r="BZ405">
        <v>7824100</v>
      </c>
      <c r="CB405">
        <v>0.02</v>
      </c>
      <c r="CC405">
        <v>156482</v>
      </c>
      <c r="CD405">
        <v>103225.87506731288</v>
      </c>
      <c r="CE405">
        <v>7667618</v>
      </c>
      <c r="CF405" t="s">
        <v>38</v>
      </c>
      <c r="CG405">
        <v>22000</v>
      </c>
      <c r="CH405">
        <v>125225.87506731288</v>
      </c>
      <c r="CI405">
        <v>1634160</v>
      </c>
      <c r="CJ405">
        <v>9301778</v>
      </c>
      <c r="CK405" t="s">
        <v>57</v>
      </c>
      <c r="CL405" t="s">
        <v>7287</v>
      </c>
      <c r="CN405">
        <v>0</v>
      </c>
      <c r="CO405" t="s">
        <v>39</v>
      </c>
      <c r="CP405" t="s">
        <v>39</v>
      </c>
      <c r="CQ405" t="b">
        <v>1</v>
      </c>
      <c r="CR405" t="s">
        <v>8950</v>
      </c>
      <c r="CT405" t="s">
        <v>8960</v>
      </c>
      <c r="CU405" t="s">
        <v>8990</v>
      </c>
      <c r="CV405" t="s">
        <v>6273</v>
      </c>
      <c r="CW405" t="s">
        <v>6652</v>
      </c>
      <c r="CX405" t="s">
        <v>3246</v>
      </c>
      <c r="CY405">
        <v>1.519999999999996</v>
      </c>
      <c r="CZ405">
        <v>190343.33010231503</v>
      </c>
      <c r="DA405">
        <v>9301778</v>
      </c>
      <c r="DB405" t="s">
        <v>38</v>
      </c>
      <c r="DC405" t="b">
        <v>1</v>
      </c>
      <c r="DD405">
        <v>9301778</v>
      </c>
      <c r="DE405">
        <v>0</v>
      </c>
      <c r="DF405" t="b">
        <v>1</v>
      </c>
      <c r="DG405" s="420" cm="1">
        <f t="array" ref="DG405">_xlfn.XLOOKUP("Дом 4"&amp;Реестр_Д4[[#This Row],[№]]&amp;Реестр_Д4[[#This Row],[Статус]],РД[Дом]&amp;РД[№ кв]&amp;РД[Состояние],РД[Дата подачи на регистрацию],"-",0)</f>
        <v>45486</v>
      </c>
    </row>
    <row r="406" spans="1:111" x14ac:dyDescent="0.25">
      <c r="A406">
        <v>405</v>
      </c>
      <c r="B406" t="s">
        <v>15</v>
      </c>
      <c r="C406">
        <v>2</v>
      </c>
      <c r="D406">
        <v>4</v>
      </c>
      <c r="E406">
        <v>1</v>
      </c>
      <c r="F406">
        <v>12.09</v>
      </c>
      <c r="I406">
        <v>12.09</v>
      </c>
      <c r="J406">
        <v>12.26</v>
      </c>
      <c r="K406">
        <v>3.71</v>
      </c>
      <c r="N406">
        <v>7.06</v>
      </c>
      <c r="O406">
        <v>2.75</v>
      </c>
      <c r="Q406">
        <v>2.75</v>
      </c>
      <c r="R406">
        <v>37.869999999999997</v>
      </c>
      <c r="S406">
        <v>35.119999999999997</v>
      </c>
      <c r="T406">
        <v>36.5</v>
      </c>
      <c r="U406">
        <v>37.700000000000003</v>
      </c>
      <c r="V406">
        <v>71400</v>
      </c>
      <c r="W406">
        <v>3570</v>
      </c>
      <c r="X406">
        <v>74970</v>
      </c>
      <c r="Y406">
        <v>2998.8</v>
      </c>
      <c r="Z406">
        <v>77968.800000000003</v>
      </c>
      <c r="AA406">
        <v>3898.440000000001</v>
      </c>
      <c r="AB406">
        <v>81867.240000000005</v>
      </c>
      <c r="AC406">
        <v>10.069670520000001</v>
      </c>
      <c r="AD406">
        <v>81877.309670520001</v>
      </c>
      <c r="AE406">
        <v>4093.8654835259999</v>
      </c>
      <c r="AF406">
        <v>85971.175154045995</v>
      </c>
      <c r="AG406">
        <v>4298.5587577022998</v>
      </c>
      <c r="AH406">
        <v>90269.733911748292</v>
      </c>
      <c r="AI406">
        <v>2708.0920173524487</v>
      </c>
      <c r="AJ406">
        <v>92977.825929100742</v>
      </c>
      <c r="AK406">
        <v>929.77825929100732</v>
      </c>
      <c r="AL406">
        <v>93907.604188391764</v>
      </c>
      <c r="AM406">
        <v>1878.1520837678347</v>
      </c>
      <c r="AN406">
        <v>95785.756272159604</v>
      </c>
      <c r="AO406">
        <v>1915.7151254431919</v>
      </c>
      <c r="AP406">
        <v>97701.471397602785</v>
      </c>
      <c r="AQ406">
        <v>2931.0441419280833</v>
      </c>
      <c r="AR406">
        <v>100632.51553953088</v>
      </c>
      <c r="AT406">
        <v>100632.51553953088</v>
      </c>
      <c r="AU406">
        <v>3018.9754661859261</v>
      </c>
      <c r="AV406">
        <v>103651.4910057168</v>
      </c>
      <c r="AW406">
        <v>6219.089460343007</v>
      </c>
      <c r="AX406">
        <v>109870.58046605979</v>
      </c>
      <c r="AZ406">
        <v>109870.58046605979</v>
      </c>
      <c r="BB406">
        <v>109870.58046605979</v>
      </c>
      <c r="BD406">
        <v>109870.58046605979</v>
      </c>
      <c r="BF406">
        <v>109870.58046605979</v>
      </c>
      <c r="BH406">
        <v>109870.58046605979</v>
      </c>
      <c r="BJ406">
        <v>109870.58046605979</v>
      </c>
      <c r="BL406">
        <v>109870.58046605979</v>
      </c>
      <c r="BN406">
        <v>109870.58046605979</v>
      </c>
      <c r="BP406">
        <v>109870.58046605979</v>
      </c>
      <c r="BR406">
        <v>109870.58046605979</v>
      </c>
      <c r="BT406">
        <v>109870.58046605979</v>
      </c>
      <c r="BV406">
        <v>109870.58046605979</v>
      </c>
      <c r="BX406">
        <v>109870.58046605979</v>
      </c>
      <c r="BY406">
        <v>109870.58</v>
      </c>
      <c r="BZ406">
        <v>4010300</v>
      </c>
      <c r="CC406">
        <v>0</v>
      </c>
      <c r="CD406">
        <v>109871.23287671233</v>
      </c>
      <c r="CE406">
        <v>4010300</v>
      </c>
      <c r="CF406" t="s">
        <v>38</v>
      </c>
      <c r="CG406">
        <v>22000</v>
      </c>
      <c r="CH406">
        <v>131871.23287671234</v>
      </c>
      <c r="CI406">
        <v>803000</v>
      </c>
      <c r="CJ406">
        <v>4813300</v>
      </c>
      <c r="CN406">
        <v>0</v>
      </c>
      <c r="CO406" t="s">
        <v>39</v>
      </c>
      <c r="CP406" t="s">
        <v>39</v>
      </c>
      <c r="CQ406" t="b">
        <v>1</v>
      </c>
      <c r="CR406" t="s">
        <v>8950</v>
      </c>
      <c r="CT406" t="s">
        <v>8960</v>
      </c>
      <c r="CU406" t="s">
        <v>8973</v>
      </c>
      <c r="CV406" t="s">
        <v>6274</v>
      </c>
      <c r="CW406" t="s">
        <v>6652</v>
      </c>
      <c r="CX406" t="s">
        <v>3246</v>
      </c>
      <c r="CY406">
        <v>1.1999999999999955</v>
      </c>
      <c r="CZ406">
        <v>158245.47945205425</v>
      </c>
      <c r="DA406">
        <v>4813300</v>
      </c>
      <c r="DB406" t="s">
        <v>38</v>
      </c>
      <c r="DC406" t="b">
        <v>1</v>
      </c>
      <c r="DD406">
        <v>4813300</v>
      </c>
      <c r="DE406">
        <v>0</v>
      </c>
      <c r="DF406" t="b">
        <v>1</v>
      </c>
      <c r="DG406" s="420" cm="1">
        <f t="array" ref="DG406">_xlfn.XLOOKUP("Дом 4"&amp;Реестр_Д4[[#This Row],[№]]&amp;Реестр_Д4[[#This Row],[Статус]],РД[Дом]&amp;РД[№ кв]&amp;РД[Состояние],РД[Дата подачи на регистрацию],"-",0)</f>
        <v>45285</v>
      </c>
    </row>
    <row r="407" spans="1:111" x14ac:dyDescent="0.25">
      <c r="A407">
        <v>406</v>
      </c>
      <c r="B407" t="s">
        <v>15</v>
      </c>
      <c r="C407">
        <v>2</v>
      </c>
      <c r="D407">
        <v>5</v>
      </c>
      <c r="E407">
        <v>2</v>
      </c>
      <c r="F407">
        <v>15.61</v>
      </c>
      <c r="G407">
        <v>12.02</v>
      </c>
      <c r="I407">
        <v>27.63</v>
      </c>
      <c r="J407">
        <v>13.1</v>
      </c>
      <c r="K407">
        <v>3.61</v>
      </c>
      <c r="L407">
        <v>1.82</v>
      </c>
      <c r="N407">
        <v>8.52</v>
      </c>
      <c r="O407">
        <v>2.72</v>
      </c>
      <c r="Q407">
        <v>2.72</v>
      </c>
      <c r="R407">
        <v>57.4</v>
      </c>
      <c r="S407">
        <v>54.68</v>
      </c>
      <c r="T407">
        <v>56.04</v>
      </c>
      <c r="U407">
        <v>57.9</v>
      </c>
      <c r="V407">
        <v>67306.399999999994</v>
      </c>
      <c r="W407">
        <v>3365.3199999999997</v>
      </c>
      <c r="X407">
        <v>70671.72</v>
      </c>
      <c r="Z407">
        <v>70671.72</v>
      </c>
      <c r="AA407">
        <v>3533.5859999999998</v>
      </c>
      <c r="AB407">
        <v>74205.305999999997</v>
      </c>
      <c r="AC407">
        <v>9.1272526379999999</v>
      </c>
      <c r="AD407">
        <v>74214.433252638002</v>
      </c>
      <c r="AF407">
        <v>74214.433252638002</v>
      </c>
      <c r="AH407">
        <v>74214.433252638002</v>
      </c>
      <c r="AI407">
        <v>1484.2886650527601</v>
      </c>
      <c r="AJ407">
        <v>75698.721917690767</v>
      </c>
      <c r="AK407">
        <v>756.98721917690773</v>
      </c>
      <c r="AL407">
        <v>76455.709136867677</v>
      </c>
      <c r="AN407">
        <v>76455.709136867677</v>
      </c>
      <c r="AP407">
        <v>76455.709136867677</v>
      </c>
      <c r="AR407">
        <v>76455.709136867677</v>
      </c>
      <c r="AT407">
        <v>76455.709136867677</v>
      </c>
      <c r="AV407">
        <v>76455.709136867677</v>
      </c>
      <c r="AX407">
        <v>76455.709136867677</v>
      </c>
      <c r="AZ407">
        <v>76455.709136867677</v>
      </c>
      <c r="BB407">
        <v>76455.709136867677</v>
      </c>
      <c r="BD407">
        <v>76455.709136867677</v>
      </c>
      <c r="BF407">
        <v>76455.709136867677</v>
      </c>
      <c r="BH407">
        <v>76455.709136867677</v>
      </c>
      <c r="BJ407">
        <v>76455.709136867677</v>
      </c>
      <c r="BL407">
        <v>76455.709136867677</v>
      </c>
      <c r="BN407">
        <v>76455.709136867677</v>
      </c>
      <c r="BP407">
        <v>76455.709136867677</v>
      </c>
      <c r="BR407">
        <v>76455.709136867677</v>
      </c>
      <c r="BT407">
        <v>76455.709136867677</v>
      </c>
      <c r="BV407">
        <v>76455.709136867677</v>
      </c>
      <c r="BX407">
        <v>76455.709136867677</v>
      </c>
      <c r="BY407">
        <v>76455.710000000006</v>
      </c>
      <c r="BZ407">
        <v>4284577.99</v>
      </c>
      <c r="CB407">
        <v>0.06</v>
      </c>
      <c r="CC407">
        <v>257074.67939999999</v>
      </c>
      <c r="CD407">
        <v>71868.367416131339</v>
      </c>
      <c r="CE407">
        <v>4027503.31</v>
      </c>
      <c r="CF407" t="s">
        <v>37</v>
      </c>
      <c r="CG407">
        <v>4000</v>
      </c>
      <c r="CH407">
        <v>75868.367416131339</v>
      </c>
      <c r="CI407">
        <v>224159.99999999953</v>
      </c>
      <c r="CJ407">
        <v>4251663.3099999996</v>
      </c>
      <c r="CL407" t="s">
        <v>978</v>
      </c>
      <c r="CN407">
        <v>0</v>
      </c>
      <c r="CO407" t="s">
        <v>39</v>
      </c>
      <c r="CP407" t="s">
        <v>39</v>
      </c>
      <c r="CQ407" t="b">
        <v>1</v>
      </c>
      <c r="CR407" t="s">
        <v>8950</v>
      </c>
      <c r="CT407" t="s">
        <v>8960</v>
      </c>
      <c r="CU407" t="s">
        <v>8974</v>
      </c>
      <c r="CV407" t="s">
        <v>6275</v>
      </c>
      <c r="CW407" t="s">
        <v>4895</v>
      </c>
      <c r="CX407" t="s">
        <v>3246</v>
      </c>
      <c r="CY407">
        <v>1.8599999999999992</v>
      </c>
      <c r="CZ407">
        <v>141115.16339400425</v>
      </c>
      <c r="DA407">
        <v>4251663.3099999996</v>
      </c>
      <c r="DB407" t="s">
        <v>37</v>
      </c>
      <c r="DC407" t="b">
        <v>1</v>
      </c>
      <c r="DD407">
        <v>4251663.3099999996</v>
      </c>
      <c r="DE407">
        <v>0</v>
      </c>
      <c r="DF407" t="b">
        <v>1</v>
      </c>
      <c r="DG407" s="420" cm="1">
        <f t="array" ref="DG407">_xlfn.XLOOKUP("Дом 4"&amp;Реестр_Д4[[#This Row],[№]]&amp;Реестр_Д4[[#This Row],[Статус]],РД[Дом]&amp;РД[№ кв]&amp;РД[Состояние],РД[Дата подачи на регистрацию],"-",0)</f>
        <v>45020</v>
      </c>
    </row>
    <row r="408" spans="1:111" x14ac:dyDescent="0.25">
      <c r="A408">
        <v>407</v>
      </c>
      <c r="B408" t="s">
        <v>15</v>
      </c>
      <c r="C408">
        <v>2</v>
      </c>
      <c r="D408">
        <v>6</v>
      </c>
      <c r="E408">
        <v>2</v>
      </c>
      <c r="F408">
        <v>15.61</v>
      </c>
      <c r="G408">
        <v>9.66</v>
      </c>
      <c r="I408">
        <v>25.27</v>
      </c>
      <c r="J408">
        <v>16.53</v>
      </c>
      <c r="K408">
        <v>3.63</v>
      </c>
      <c r="L408">
        <v>2.21</v>
      </c>
      <c r="N408">
        <v>9.6199999999999992</v>
      </c>
      <c r="O408">
        <v>2.72</v>
      </c>
      <c r="Q408">
        <v>2.72</v>
      </c>
      <c r="R408">
        <v>59.98</v>
      </c>
      <c r="S408">
        <v>57.26</v>
      </c>
      <c r="T408">
        <v>58.62</v>
      </c>
      <c r="U408">
        <v>60.7</v>
      </c>
      <c r="V408">
        <v>67972.800000000003</v>
      </c>
      <c r="W408">
        <v>3398.6400000000003</v>
      </c>
      <c r="X408">
        <v>71371.44</v>
      </c>
      <c r="Z408">
        <v>71371.44</v>
      </c>
      <c r="AA408">
        <v>3568.5720000000001</v>
      </c>
      <c r="AB408">
        <v>74940.012000000002</v>
      </c>
      <c r="AC408">
        <v>9.2176214760000015</v>
      </c>
      <c r="AD408">
        <v>74949.229621475999</v>
      </c>
      <c r="AF408">
        <v>74949.229621475999</v>
      </c>
      <c r="AH408">
        <v>74949.229621475999</v>
      </c>
      <c r="AI408">
        <v>1498.98459242952</v>
      </c>
      <c r="AJ408">
        <v>76448.214213905521</v>
      </c>
      <c r="AK408">
        <v>764.48214213905521</v>
      </c>
      <c r="AL408">
        <v>77212.696356044573</v>
      </c>
      <c r="AM408">
        <v>1544.2539271208916</v>
      </c>
      <c r="AN408">
        <v>78756.950283165468</v>
      </c>
      <c r="AO408">
        <v>2362.708508494964</v>
      </c>
      <c r="AP408">
        <v>81119.658791660433</v>
      </c>
      <c r="AQ408">
        <v>2433.5897637498128</v>
      </c>
      <c r="AR408">
        <v>83553.248555410246</v>
      </c>
      <c r="AT408">
        <v>83553.248555410246</v>
      </c>
      <c r="AV408">
        <v>83553.248555410246</v>
      </c>
      <c r="AX408">
        <v>83553.248555410246</v>
      </c>
      <c r="AZ408">
        <v>83553.248555410246</v>
      </c>
      <c r="BB408">
        <v>83553.248555410246</v>
      </c>
      <c r="BD408">
        <v>83553.248555410246</v>
      </c>
      <c r="BF408">
        <v>83553.248555410246</v>
      </c>
      <c r="BH408">
        <v>83553.248555410246</v>
      </c>
      <c r="BJ408">
        <v>83553.248555410246</v>
      </c>
      <c r="BL408">
        <v>83553.248555410246</v>
      </c>
      <c r="BN408">
        <v>83553.248555410246</v>
      </c>
      <c r="BP408">
        <v>83553.248555410246</v>
      </c>
      <c r="BR408">
        <v>83553.248555410246</v>
      </c>
      <c r="BT408">
        <v>83553.248555410246</v>
      </c>
      <c r="BV408">
        <v>83553.248555410246</v>
      </c>
      <c r="BX408">
        <v>83553.248555410246</v>
      </c>
      <c r="BY408">
        <v>83553.25</v>
      </c>
      <c r="BZ408">
        <v>4897891.5199999996</v>
      </c>
      <c r="CC408">
        <v>0</v>
      </c>
      <c r="CD408">
        <v>83553.25008529512</v>
      </c>
      <c r="CE408">
        <v>4897891.5199999996</v>
      </c>
      <c r="CF408" t="s">
        <v>38</v>
      </c>
      <c r="CG408">
        <v>15500</v>
      </c>
      <c r="CH408">
        <v>99053.25008529512</v>
      </c>
      <c r="CI408">
        <v>908610</v>
      </c>
      <c r="CJ408">
        <v>5806501.5199999996</v>
      </c>
      <c r="CN408">
        <v>0</v>
      </c>
      <c r="CO408" t="s">
        <v>39</v>
      </c>
      <c r="CP408" t="s">
        <v>39</v>
      </c>
      <c r="CQ408" t="b">
        <v>1</v>
      </c>
      <c r="CR408" t="s">
        <v>8950</v>
      </c>
      <c r="CT408" t="s">
        <v>8960</v>
      </c>
      <c r="CU408" t="s">
        <v>8971</v>
      </c>
      <c r="CV408" t="s">
        <v>6276</v>
      </c>
      <c r="CW408" t="s">
        <v>4895</v>
      </c>
      <c r="CX408" t="s">
        <v>3246</v>
      </c>
      <c r="CY408">
        <v>2.0799999999999983</v>
      </c>
      <c r="CZ408">
        <v>206030.76017741367</v>
      </c>
      <c r="DA408">
        <v>5806501.5199999996</v>
      </c>
      <c r="DB408" t="s">
        <v>38</v>
      </c>
      <c r="DC408" t="b">
        <v>1</v>
      </c>
      <c r="DD408">
        <v>5806501.5199999996</v>
      </c>
      <c r="DE408">
        <v>0</v>
      </c>
      <c r="DF408" t="b">
        <v>1</v>
      </c>
      <c r="DG408" s="420" cm="1">
        <f t="array" ref="DG408">_xlfn.XLOOKUP("Дом 4"&amp;Реестр_Д4[[#This Row],[№]]&amp;Реестр_Д4[[#This Row],[Статус]],РД[Дом]&amp;РД[№ кв]&amp;РД[Состояние],РД[Дата подачи на регистрацию],"-",0)</f>
        <v>45166</v>
      </c>
    </row>
    <row r="409" spans="1:111" x14ac:dyDescent="0.25">
      <c r="A409">
        <v>408</v>
      </c>
      <c r="B409" t="s">
        <v>15</v>
      </c>
      <c r="C409">
        <v>2</v>
      </c>
      <c r="D409">
        <v>7</v>
      </c>
      <c r="E409">
        <v>1</v>
      </c>
      <c r="F409">
        <v>11.09</v>
      </c>
      <c r="G409">
        <v>10</v>
      </c>
      <c r="I409">
        <v>21.09</v>
      </c>
      <c r="J409">
        <v>27.1</v>
      </c>
      <c r="K409">
        <v>5.51</v>
      </c>
      <c r="L409">
        <v>1.75</v>
      </c>
      <c r="N409">
        <v>9.3699999999999992</v>
      </c>
      <c r="O409">
        <v>4.0599999999999996</v>
      </c>
      <c r="Q409">
        <v>4.0599999999999996</v>
      </c>
      <c r="R409">
        <v>68.88</v>
      </c>
      <c r="S409">
        <v>64.819999999999993</v>
      </c>
      <c r="T409">
        <v>66.849999999999994</v>
      </c>
      <c r="U409">
        <v>68.8</v>
      </c>
      <c r="V409">
        <v>72800</v>
      </c>
      <c r="W409">
        <v>3640</v>
      </c>
      <c r="X409">
        <v>76440</v>
      </c>
      <c r="Y409">
        <v>3057.6</v>
      </c>
      <c r="Z409">
        <v>79497.600000000006</v>
      </c>
      <c r="AA409">
        <v>3974.880000000001</v>
      </c>
      <c r="AB409">
        <v>83472.48000000001</v>
      </c>
      <c r="AC409">
        <v>10.267115040000002</v>
      </c>
      <c r="AD409">
        <v>83482.747115040009</v>
      </c>
      <c r="AE409">
        <v>4174.137355752001</v>
      </c>
      <c r="AF409">
        <v>87656.884470792007</v>
      </c>
      <c r="AH409">
        <v>87656.884470792007</v>
      </c>
      <c r="AI409">
        <v>2629.7065341237603</v>
      </c>
      <c r="AJ409">
        <v>90286.591004915783</v>
      </c>
      <c r="AK409">
        <v>902.86591004915772</v>
      </c>
      <c r="AL409">
        <v>91189.456914964932</v>
      </c>
      <c r="AM409">
        <v>1823.7891382992989</v>
      </c>
      <c r="AN409">
        <v>93013.246053264229</v>
      </c>
      <c r="AP409">
        <v>93013.246053264229</v>
      </c>
      <c r="AQ409">
        <v>2790.3973815979266</v>
      </c>
      <c r="AR409">
        <v>95803.643434862155</v>
      </c>
      <c r="AT409">
        <v>95803.643434862155</v>
      </c>
      <c r="AU409">
        <v>2874.1093030458646</v>
      </c>
      <c r="AV409">
        <v>98677.752737908013</v>
      </c>
      <c r="AX409">
        <v>98677.752737908013</v>
      </c>
      <c r="AZ409">
        <v>98677.752737908013</v>
      </c>
      <c r="BB409">
        <v>98677.752737908013</v>
      </c>
      <c r="BD409">
        <v>98677.752737908013</v>
      </c>
      <c r="BF409">
        <v>98677.752737908013</v>
      </c>
      <c r="BH409">
        <v>98677.752737908013</v>
      </c>
      <c r="BI409">
        <v>4933.8876368954006</v>
      </c>
      <c r="BJ409">
        <v>103611.64037480342</v>
      </c>
      <c r="BK409">
        <v>500</v>
      </c>
      <c r="BL409">
        <v>104111.64037480342</v>
      </c>
      <c r="BM409">
        <v>2082.2328074960683</v>
      </c>
      <c r="BN409">
        <v>106193.87318229947</v>
      </c>
      <c r="BO409">
        <v>5309.6936591149752</v>
      </c>
      <c r="BP409">
        <v>111503.56684141446</v>
      </c>
      <c r="BQ409">
        <v>500</v>
      </c>
      <c r="BR409">
        <v>112003.56684141446</v>
      </c>
      <c r="BS409">
        <v>9600</v>
      </c>
      <c r="BT409">
        <v>121603.56684141446</v>
      </c>
      <c r="BU409">
        <v>5300</v>
      </c>
      <c r="BV409">
        <v>126903.56684141446</v>
      </c>
      <c r="BW409">
        <v>6903.57</v>
      </c>
      <c r="BX409">
        <v>119999.99684141444</v>
      </c>
      <c r="BY409">
        <v>120000</v>
      </c>
      <c r="BZ409">
        <v>8256000</v>
      </c>
      <c r="CC409">
        <v>0</v>
      </c>
      <c r="CD409">
        <v>120000</v>
      </c>
      <c r="CE409">
        <v>8256000</v>
      </c>
      <c r="CF409" t="s">
        <v>36</v>
      </c>
      <c r="CH409">
        <v>120000</v>
      </c>
      <c r="CI409">
        <v>0</v>
      </c>
      <c r="CJ409">
        <v>8256000</v>
      </c>
      <c r="CK409" t="s">
        <v>4634</v>
      </c>
      <c r="CL409" t="s">
        <v>4634</v>
      </c>
      <c r="CN409">
        <v>0</v>
      </c>
      <c r="CO409" t="s">
        <v>3</v>
      </c>
      <c r="CP409" t="s">
        <v>3</v>
      </c>
      <c r="CQ409" t="b">
        <v>1</v>
      </c>
      <c r="CR409" t="s">
        <v>8951</v>
      </c>
      <c r="CS409" t="s">
        <v>1167</v>
      </c>
      <c r="CT409" t="s">
        <v>8960</v>
      </c>
      <c r="CU409" t="s">
        <v>8972</v>
      </c>
      <c r="CV409" t="s">
        <v>6277</v>
      </c>
      <c r="CW409" t="s">
        <v>6652</v>
      </c>
      <c r="CX409" t="s">
        <v>3124</v>
      </c>
      <c r="CY409">
        <v>1.9500000000000028</v>
      </c>
      <c r="CZ409">
        <v>0</v>
      </c>
      <c r="DA409">
        <v>8366400</v>
      </c>
      <c r="DB409" t="s">
        <v>36</v>
      </c>
      <c r="DC409" t="b">
        <v>1</v>
      </c>
      <c r="DD409">
        <v>8731000</v>
      </c>
      <c r="DE409">
        <v>475000</v>
      </c>
      <c r="DF409" t="b">
        <v>1</v>
      </c>
      <c r="DG409" s="420" t="str" cm="1">
        <f t="array" ref="DG409">_xlfn.XLOOKUP("Дом 4"&amp;Реестр_Д4[[#This Row],[№]]&amp;Реестр_Д4[[#This Row],[Статус]],РД[Дом]&amp;РД[№ кв]&amp;РД[Состояние],РД[Дата подачи на регистрацию],"-",0)</f>
        <v>-</v>
      </c>
    </row>
    <row r="410" spans="1:111" x14ac:dyDescent="0.25">
      <c r="A410">
        <v>409</v>
      </c>
      <c r="B410" t="s">
        <v>15</v>
      </c>
      <c r="C410">
        <v>2</v>
      </c>
      <c r="D410">
        <v>8</v>
      </c>
      <c r="E410">
        <v>2</v>
      </c>
      <c r="F410">
        <v>17.25</v>
      </c>
      <c r="G410">
        <v>14.07</v>
      </c>
      <c r="I410">
        <v>31.32</v>
      </c>
      <c r="J410">
        <v>14.23</v>
      </c>
      <c r="K410">
        <v>3.81</v>
      </c>
      <c r="L410">
        <v>1.75</v>
      </c>
      <c r="N410">
        <v>11.07</v>
      </c>
      <c r="O410">
        <v>3.12</v>
      </c>
      <c r="Q410">
        <v>3.12</v>
      </c>
      <c r="R410">
        <v>65.3</v>
      </c>
      <c r="S410">
        <v>62.18</v>
      </c>
      <c r="T410">
        <v>63.74</v>
      </c>
      <c r="U410">
        <v>65.499999999999986</v>
      </c>
      <c r="V410">
        <v>68639.199999999997</v>
      </c>
      <c r="W410">
        <v>3431.96</v>
      </c>
      <c r="X410">
        <v>72071.16</v>
      </c>
      <c r="Z410">
        <v>72071.16</v>
      </c>
      <c r="AA410">
        <v>3603.558</v>
      </c>
      <c r="AB410">
        <v>75674.717999999993</v>
      </c>
      <c r="AC410">
        <v>9.3079903140000013</v>
      </c>
      <c r="AD410">
        <v>75684.02599031401</v>
      </c>
      <c r="AF410">
        <v>75684.02599031401</v>
      </c>
      <c r="AH410">
        <v>75684.02599031401</v>
      </c>
      <c r="AI410">
        <v>1513.6805198062802</v>
      </c>
      <c r="AJ410">
        <v>77197.70651012029</v>
      </c>
      <c r="AK410">
        <v>771.97706510120292</v>
      </c>
      <c r="AL410">
        <v>77969.683575221497</v>
      </c>
      <c r="AM410">
        <v>1559.3936715044299</v>
      </c>
      <c r="AN410">
        <v>79529.077246725923</v>
      </c>
      <c r="AP410">
        <v>79529.077246725923</v>
      </c>
      <c r="AQ410">
        <v>2385.8723174017778</v>
      </c>
      <c r="AR410">
        <v>81914.949564127703</v>
      </c>
      <c r="AT410">
        <v>81914.949564127703</v>
      </c>
      <c r="AV410">
        <v>81914.949564127703</v>
      </c>
      <c r="AX410">
        <v>81914.949564127703</v>
      </c>
      <c r="AZ410">
        <v>81914.949564127703</v>
      </c>
      <c r="BB410">
        <v>81914.949564127703</v>
      </c>
      <c r="BD410">
        <v>81914.949564127703</v>
      </c>
      <c r="BF410">
        <v>81914.949564127703</v>
      </c>
      <c r="BH410">
        <v>81914.949564127703</v>
      </c>
      <c r="BJ410">
        <v>81914.949564127703</v>
      </c>
      <c r="BL410">
        <v>81914.949564127703</v>
      </c>
      <c r="BN410">
        <v>81914.949564127703</v>
      </c>
      <c r="BP410">
        <v>81914.949564127703</v>
      </c>
      <c r="BR410">
        <v>81914.949564127703</v>
      </c>
      <c r="BT410">
        <v>81914.949564127703</v>
      </c>
      <c r="BV410">
        <v>81914.949564127703</v>
      </c>
      <c r="BX410">
        <v>81914.949564127703</v>
      </c>
      <c r="BY410">
        <v>81914.95</v>
      </c>
      <c r="BZ410">
        <v>5221258.91</v>
      </c>
      <c r="CC410">
        <v>0</v>
      </c>
      <c r="CD410">
        <v>81914.949952933792</v>
      </c>
      <c r="CE410">
        <v>5221258.91</v>
      </c>
      <c r="CF410" t="s">
        <v>36</v>
      </c>
      <c r="CH410">
        <v>81914.949952933792</v>
      </c>
      <c r="CI410">
        <v>0</v>
      </c>
      <c r="CJ410">
        <v>5221258.91</v>
      </c>
      <c r="CN410">
        <v>0</v>
      </c>
      <c r="CO410" t="s">
        <v>39</v>
      </c>
      <c r="CP410" t="s">
        <v>39</v>
      </c>
      <c r="CQ410" t="b">
        <v>1</v>
      </c>
      <c r="CR410" t="s">
        <v>8950</v>
      </c>
      <c r="CT410" t="s">
        <v>8960</v>
      </c>
      <c r="CU410" t="s">
        <v>8971</v>
      </c>
      <c r="CV410" t="s">
        <v>6278</v>
      </c>
      <c r="CW410" t="s">
        <v>4895</v>
      </c>
      <c r="CX410" t="s">
        <v>3246</v>
      </c>
      <c r="CY410">
        <v>1.7599999999999838</v>
      </c>
      <c r="CZ410">
        <v>144170.31191716215</v>
      </c>
      <c r="DA410">
        <v>5221258.91</v>
      </c>
      <c r="DB410" t="s">
        <v>36</v>
      </c>
      <c r="DC410" t="b">
        <v>1</v>
      </c>
      <c r="DD410">
        <v>5221258.91</v>
      </c>
      <c r="DE410">
        <v>0</v>
      </c>
      <c r="DF410" t="b">
        <v>1</v>
      </c>
      <c r="DG410" s="420" cm="1">
        <f t="array" ref="DG410">_xlfn.XLOOKUP("Дом 4"&amp;Реестр_Д4[[#This Row],[№]]&amp;Реестр_Д4[[#This Row],[Статус]],РД[Дом]&amp;РД[№ кв]&amp;РД[Состояние],РД[Дата подачи на регистрацию],"-",0)</f>
        <v>45163</v>
      </c>
    </row>
    <row r="411" spans="1:111" x14ac:dyDescent="0.25">
      <c r="A411">
        <v>410</v>
      </c>
      <c r="B411" t="s">
        <v>15</v>
      </c>
      <c r="C411">
        <v>2</v>
      </c>
      <c r="D411">
        <v>9</v>
      </c>
      <c r="E411">
        <v>1</v>
      </c>
      <c r="F411">
        <v>16.46</v>
      </c>
      <c r="I411">
        <v>16.46</v>
      </c>
      <c r="J411">
        <v>14.25</v>
      </c>
      <c r="K411">
        <v>3.91</v>
      </c>
      <c r="N411">
        <v>8.5</v>
      </c>
      <c r="O411">
        <v>3.03</v>
      </c>
      <c r="Q411">
        <v>3.03</v>
      </c>
      <c r="R411">
        <v>46.15</v>
      </c>
      <c r="S411">
        <v>43.12</v>
      </c>
      <c r="T411">
        <v>44.64</v>
      </c>
      <c r="U411">
        <v>45.9</v>
      </c>
      <c r="V411">
        <v>72100</v>
      </c>
      <c r="W411">
        <v>3605</v>
      </c>
      <c r="X411">
        <v>75705</v>
      </c>
      <c r="Z411">
        <v>75705</v>
      </c>
      <c r="AA411">
        <v>3785.25</v>
      </c>
      <c r="AB411">
        <v>79490.25</v>
      </c>
      <c r="AC411">
        <v>9.7773007500000002</v>
      </c>
      <c r="AD411">
        <v>79500.027300750007</v>
      </c>
      <c r="AE411">
        <v>3975.0013650375008</v>
      </c>
      <c r="AF411">
        <v>83475.028665787511</v>
      </c>
      <c r="AH411">
        <v>83475.028665787511</v>
      </c>
      <c r="AI411">
        <v>2504.2508599736252</v>
      </c>
      <c r="AJ411">
        <v>85979.279525761129</v>
      </c>
      <c r="AK411">
        <v>859.79279525761149</v>
      </c>
      <c r="AL411">
        <v>86839.072321018757</v>
      </c>
      <c r="AN411">
        <v>86839.072321018757</v>
      </c>
      <c r="AP411">
        <v>86839.072321018757</v>
      </c>
      <c r="AR411">
        <v>86839.072321018757</v>
      </c>
      <c r="AT411">
        <v>86839.072321018757</v>
      </c>
      <c r="AV411">
        <v>86839.072321018757</v>
      </c>
      <c r="AX411">
        <v>86839.072321018757</v>
      </c>
      <c r="AZ411">
        <v>86839.072321018757</v>
      </c>
      <c r="BB411">
        <v>86839.072321018757</v>
      </c>
      <c r="BD411">
        <v>86839.072321018757</v>
      </c>
      <c r="BF411">
        <v>86839.072321018757</v>
      </c>
      <c r="BH411">
        <v>86839.072321018757</v>
      </c>
      <c r="BJ411">
        <v>86839.072321018757</v>
      </c>
      <c r="BL411">
        <v>86839.072321018757</v>
      </c>
      <c r="BN411">
        <v>86839.072321018757</v>
      </c>
      <c r="BP411">
        <v>86839.072321018757</v>
      </c>
      <c r="BR411">
        <v>86839.072321018757</v>
      </c>
      <c r="BT411">
        <v>86839.072321018757</v>
      </c>
      <c r="BV411">
        <v>86839.072321018757</v>
      </c>
      <c r="BX411">
        <v>86839.072321018757</v>
      </c>
      <c r="BY411">
        <v>86839.07</v>
      </c>
      <c r="BZ411">
        <v>3876496.08</v>
      </c>
      <c r="CA411">
        <v>178560</v>
      </c>
      <c r="CC411">
        <v>178560</v>
      </c>
      <c r="CD411">
        <v>82839.069892473126</v>
      </c>
      <c r="CE411">
        <v>3697936.08</v>
      </c>
      <c r="CF411" t="s">
        <v>37</v>
      </c>
      <c r="CG411">
        <v>4000</v>
      </c>
      <c r="CH411">
        <v>86839.069892473126</v>
      </c>
      <c r="CI411">
        <v>178560</v>
      </c>
      <c r="CJ411">
        <v>3876496.08</v>
      </c>
      <c r="CL411" t="s">
        <v>4838</v>
      </c>
      <c r="CN411">
        <v>0</v>
      </c>
      <c r="CO411" t="s">
        <v>39</v>
      </c>
      <c r="CP411" t="s">
        <v>39</v>
      </c>
      <c r="CQ411" t="b">
        <v>1</v>
      </c>
      <c r="CR411" t="s">
        <v>8950</v>
      </c>
      <c r="CT411" t="s">
        <v>8960</v>
      </c>
      <c r="CU411" t="s">
        <v>8972</v>
      </c>
      <c r="CV411" t="s">
        <v>6279</v>
      </c>
      <c r="CW411" t="s">
        <v>4895</v>
      </c>
      <c r="CX411" t="s">
        <v>3246</v>
      </c>
      <c r="CY411">
        <v>1.259999999999998</v>
      </c>
      <c r="CZ411">
        <v>109417.22806451596</v>
      </c>
      <c r="DA411">
        <v>3876496.08</v>
      </c>
      <c r="DB411" t="s">
        <v>37</v>
      </c>
      <c r="DC411" t="b">
        <v>1</v>
      </c>
      <c r="DD411">
        <v>3876496.08</v>
      </c>
      <c r="DE411">
        <v>0</v>
      </c>
      <c r="DF411" t="b">
        <v>1</v>
      </c>
      <c r="DG411" s="420" cm="1">
        <f t="array" ref="DG411">_xlfn.XLOOKUP("Дом 4"&amp;Реестр_Д4[[#This Row],[№]]&amp;Реестр_Д4[[#This Row],[Статус]],РД[Дом]&amp;РД[№ кв]&amp;РД[Состояние],РД[Дата подачи на регистрацию],"-",0)</f>
        <v>45043</v>
      </c>
    </row>
    <row r="412" spans="1:111" x14ac:dyDescent="0.25">
      <c r="A412">
        <v>411</v>
      </c>
      <c r="B412" t="s">
        <v>15</v>
      </c>
      <c r="C412">
        <v>3</v>
      </c>
      <c r="D412">
        <v>1</v>
      </c>
      <c r="E412">
        <v>1</v>
      </c>
      <c r="F412">
        <v>14.05</v>
      </c>
      <c r="I412">
        <v>14.05</v>
      </c>
      <c r="J412">
        <v>12.32</v>
      </c>
      <c r="K412">
        <v>3.87</v>
      </c>
      <c r="N412">
        <v>8.14</v>
      </c>
      <c r="O412">
        <v>2.72</v>
      </c>
      <c r="Q412">
        <v>2.72</v>
      </c>
      <c r="R412">
        <v>41.1</v>
      </c>
      <c r="S412">
        <v>38.380000000000003</v>
      </c>
      <c r="T412">
        <v>39.74</v>
      </c>
      <c r="U412">
        <v>40.9</v>
      </c>
      <c r="V412">
        <v>71400</v>
      </c>
      <c r="W412">
        <v>3570</v>
      </c>
      <c r="X412">
        <v>74970</v>
      </c>
      <c r="Y412">
        <v>2998.8</v>
      </c>
      <c r="Z412">
        <v>77968.800000000003</v>
      </c>
      <c r="AA412">
        <v>3898.440000000001</v>
      </c>
      <c r="AB412">
        <v>81867.240000000005</v>
      </c>
      <c r="AC412">
        <v>10.069670520000001</v>
      </c>
      <c r="AD412">
        <v>81877.309670520001</v>
      </c>
      <c r="AE412">
        <v>4093.8654835259999</v>
      </c>
      <c r="AF412">
        <v>85971.175154045995</v>
      </c>
      <c r="AH412">
        <v>85971.175154045995</v>
      </c>
      <c r="AI412">
        <v>2579.1352546213802</v>
      </c>
      <c r="AJ412">
        <v>88550.31040866737</v>
      </c>
      <c r="AK412">
        <v>885.50310408667372</v>
      </c>
      <c r="AL412">
        <v>89435.813512754044</v>
      </c>
      <c r="AN412">
        <v>89435.813512754044</v>
      </c>
      <c r="AP412">
        <v>89435.813512754044</v>
      </c>
      <c r="AR412">
        <v>89435.813512754044</v>
      </c>
      <c r="AT412">
        <v>89435.813512754044</v>
      </c>
      <c r="AV412">
        <v>89435.813512754044</v>
      </c>
      <c r="AX412">
        <v>89435.813512754044</v>
      </c>
      <c r="AZ412">
        <v>89435.813512754044</v>
      </c>
      <c r="BB412">
        <v>89435.813512754044</v>
      </c>
      <c r="BD412">
        <v>89435.813512754044</v>
      </c>
      <c r="BF412">
        <v>89435.813512754044</v>
      </c>
      <c r="BH412">
        <v>89435.813512754044</v>
      </c>
      <c r="BJ412">
        <v>89435.813512754044</v>
      </c>
      <c r="BL412">
        <v>89435.813512754044</v>
      </c>
      <c r="BN412">
        <v>89435.813512754044</v>
      </c>
      <c r="BP412">
        <v>89435.813512754044</v>
      </c>
      <c r="BR412">
        <v>89435.813512754044</v>
      </c>
      <c r="BT412">
        <v>89435.813512754044</v>
      </c>
      <c r="BV412">
        <v>89435.813512754044</v>
      </c>
      <c r="BX412">
        <v>89435.813512754044</v>
      </c>
      <c r="BY412">
        <v>89435.81</v>
      </c>
      <c r="BZ412">
        <v>3554179.09</v>
      </c>
      <c r="CB412">
        <v>0.06</v>
      </c>
      <c r="CC412">
        <v>213250.74540000001</v>
      </c>
      <c r="CD412">
        <v>84069.661298439853</v>
      </c>
      <c r="CE412">
        <v>3340928.34</v>
      </c>
      <c r="CF412" t="s">
        <v>38</v>
      </c>
      <c r="CG412">
        <v>15000</v>
      </c>
      <c r="CH412">
        <v>99069.661298439853</v>
      </c>
      <c r="CI412">
        <v>596100</v>
      </c>
      <c r="CJ412">
        <v>3937028.34</v>
      </c>
      <c r="CL412" t="s">
        <v>978</v>
      </c>
      <c r="CN412">
        <v>0</v>
      </c>
      <c r="CO412" t="s">
        <v>39</v>
      </c>
      <c r="CP412" t="s">
        <v>39</v>
      </c>
      <c r="CQ412" t="b">
        <v>1</v>
      </c>
      <c r="CR412" t="s">
        <v>8950</v>
      </c>
      <c r="CT412" t="s">
        <v>8960</v>
      </c>
      <c r="CU412" t="s">
        <v>8973</v>
      </c>
      <c r="CV412" t="s">
        <v>6280</v>
      </c>
      <c r="CW412" t="s">
        <v>4895</v>
      </c>
      <c r="CX412" t="s">
        <v>3246</v>
      </c>
      <c r="CY412">
        <v>1.1599999999999966</v>
      </c>
      <c r="CZ412">
        <v>114920.8071061899</v>
      </c>
      <c r="DA412">
        <v>3937028.34</v>
      </c>
      <c r="DB412" t="s">
        <v>38</v>
      </c>
      <c r="DC412" t="b">
        <v>1</v>
      </c>
      <c r="DD412">
        <v>3937028.34</v>
      </c>
      <c r="DE412">
        <v>0</v>
      </c>
      <c r="DF412" t="b">
        <v>1</v>
      </c>
      <c r="DG412" s="420" cm="1">
        <f t="array" ref="DG412">_xlfn.XLOOKUP("Дом 4"&amp;Реестр_Д4[[#This Row],[№]]&amp;Реестр_Д4[[#This Row],[Статус]],РД[Дом]&amp;РД[№ кв]&amp;РД[Состояние],РД[Дата подачи на регистрацию],"-",0)</f>
        <v>45042</v>
      </c>
    </row>
    <row r="413" spans="1:111" x14ac:dyDescent="0.25">
      <c r="A413">
        <v>412</v>
      </c>
      <c r="B413" t="s">
        <v>15</v>
      </c>
      <c r="C413">
        <v>3</v>
      </c>
      <c r="D413">
        <v>2</v>
      </c>
      <c r="E413">
        <v>1</v>
      </c>
      <c r="F413">
        <v>14.29</v>
      </c>
      <c r="I413">
        <v>14.29</v>
      </c>
      <c r="J413">
        <v>12.32</v>
      </c>
      <c r="K413">
        <v>3.72</v>
      </c>
      <c r="N413">
        <v>6.91</v>
      </c>
      <c r="O413">
        <v>2.72</v>
      </c>
      <c r="Q413">
        <v>2.72</v>
      </c>
      <c r="R413">
        <v>39.96</v>
      </c>
      <c r="S413">
        <v>37.24</v>
      </c>
      <c r="T413">
        <v>38.6</v>
      </c>
      <c r="U413">
        <v>40.1</v>
      </c>
      <c r="V413">
        <v>71400</v>
      </c>
      <c r="W413">
        <v>3570</v>
      </c>
      <c r="X413">
        <v>74970</v>
      </c>
      <c r="Y413">
        <v>2998.8</v>
      </c>
      <c r="Z413">
        <v>77968.800000000003</v>
      </c>
      <c r="AA413">
        <v>3898.440000000001</v>
      </c>
      <c r="AB413">
        <v>81867.240000000005</v>
      </c>
      <c r="AC413">
        <v>10.069670520000001</v>
      </c>
      <c r="AD413">
        <v>81877.309670520001</v>
      </c>
      <c r="AE413">
        <v>4093.8654835259999</v>
      </c>
      <c r="AF413">
        <v>85971.175154045995</v>
      </c>
      <c r="AH413">
        <v>85971.175154045995</v>
      </c>
      <c r="AJ413">
        <v>85971.175154045995</v>
      </c>
      <c r="AL413">
        <v>85971.175154045995</v>
      </c>
      <c r="AN413">
        <v>85971.175154045995</v>
      </c>
      <c r="AP413">
        <v>85971.175154045995</v>
      </c>
      <c r="AR413">
        <v>85971.175154045995</v>
      </c>
      <c r="AT413">
        <v>85971.175154045995</v>
      </c>
      <c r="AV413">
        <v>85971.175154045995</v>
      </c>
      <c r="AX413">
        <v>85971.175154045995</v>
      </c>
      <c r="AZ413">
        <v>85971.175154045995</v>
      </c>
      <c r="BB413">
        <v>85971.175154045995</v>
      </c>
      <c r="BD413">
        <v>85971.175154045995</v>
      </c>
      <c r="BF413">
        <v>85971.175154045995</v>
      </c>
      <c r="BH413">
        <v>85971.175154045995</v>
      </c>
      <c r="BJ413">
        <v>85971.175154045995</v>
      </c>
      <c r="BL413">
        <v>85971.175154045995</v>
      </c>
      <c r="BN413">
        <v>85971.175154045995</v>
      </c>
      <c r="BP413">
        <v>85971.175154045995</v>
      </c>
      <c r="BR413">
        <v>85971.175154045995</v>
      </c>
      <c r="BT413">
        <v>85971.175154045995</v>
      </c>
      <c r="BV413">
        <v>85971.175154045995</v>
      </c>
      <c r="BX413">
        <v>85971.175154045995</v>
      </c>
      <c r="BY413">
        <v>85971.18</v>
      </c>
      <c r="BZ413">
        <v>3318487.55</v>
      </c>
      <c r="CC413">
        <v>0</v>
      </c>
      <c r="CD413">
        <v>85971.18005181347</v>
      </c>
      <c r="CE413">
        <v>3318487.55</v>
      </c>
      <c r="CF413" t="s">
        <v>37</v>
      </c>
      <c r="CG413">
        <v>4000</v>
      </c>
      <c r="CH413">
        <v>89971.18005181347</v>
      </c>
      <c r="CI413">
        <v>154400</v>
      </c>
      <c r="CJ413">
        <v>3472887.55</v>
      </c>
      <c r="CN413">
        <v>0</v>
      </c>
      <c r="CO413" t="s">
        <v>39</v>
      </c>
      <c r="CP413" t="s">
        <v>39</v>
      </c>
      <c r="CQ413" t="b">
        <v>1</v>
      </c>
      <c r="CR413" t="s">
        <v>8950</v>
      </c>
      <c r="CT413" t="s">
        <v>8960</v>
      </c>
      <c r="CU413" t="s">
        <v>8973</v>
      </c>
      <c r="CV413" t="s">
        <v>6281</v>
      </c>
      <c r="CW413" t="s">
        <v>4895</v>
      </c>
      <c r="CX413" t="s">
        <v>3246</v>
      </c>
      <c r="CY413">
        <v>1.5</v>
      </c>
      <c r="CZ413">
        <v>134956.7700777202</v>
      </c>
      <c r="DA413">
        <v>3472887.55</v>
      </c>
      <c r="DB413" t="s">
        <v>37</v>
      </c>
      <c r="DC413" t="b">
        <v>1</v>
      </c>
      <c r="DD413">
        <v>3472887.55</v>
      </c>
      <c r="DE413">
        <v>0</v>
      </c>
      <c r="DF413" t="b">
        <v>1</v>
      </c>
      <c r="DG413" s="420" cm="1">
        <f t="array" ref="DG413">_xlfn.XLOOKUP("Дом 4"&amp;Реестр_Д4[[#This Row],[№]]&amp;Реестр_Д4[[#This Row],[Статус]],РД[Дом]&amp;РД[№ кв]&amp;РД[Состояние],РД[Дата подачи на регистрацию],"-",0)</f>
        <v>44922</v>
      </c>
    </row>
    <row r="414" spans="1:111" x14ac:dyDescent="0.25">
      <c r="A414">
        <v>413</v>
      </c>
      <c r="B414" t="s">
        <v>15</v>
      </c>
      <c r="C414">
        <v>3</v>
      </c>
      <c r="D414">
        <v>3</v>
      </c>
      <c r="E414">
        <v>3</v>
      </c>
      <c r="F414">
        <v>16.05</v>
      </c>
      <c r="G414">
        <v>11.28</v>
      </c>
      <c r="H414">
        <v>10.82</v>
      </c>
      <c r="I414">
        <v>38.15</v>
      </c>
      <c r="J414">
        <v>17.41</v>
      </c>
      <c r="K414">
        <v>3.81</v>
      </c>
      <c r="L414">
        <v>1.87</v>
      </c>
      <c r="N414">
        <v>11.71</v>
      </c>
      <c r="O414">
        <v>2.65</v>
      </c>
      <c r="Q414">
        <v>2.65</v>
      </c>
      <c r="R414">
        <v>75.599999999999994</v>
      </c>
      <c r="S414">
        <v>72.949999999999989</v>
      </c>
      <c r="T414">
        <v>74.28</v>
      </c>
      <c r="U414">
        <v>75.599999999999994</v>
      </c>
      <c r="V414">
        <v>67737.600000000006</v>
      </c>
      <c r="W414">
        <v>3386.880000000001</v>
      </c>
      <c r="X414">
        <v>71124.48000000001</v>
      </c>
      <c r="Z414">
        <v>71124.48000000001</v>
      </c>
      <c r="AB414">
        <v>71124.48000000001</v>
      </c>
      <c r="AC414">
        <v>8.7483110400000026</v>
      </c>
      <c r="AD414">
        <v>71133.228311040017</v>
      </c>
      <c r="AF414">
        <v>71133.228311040017</v>
      </c>
      <c r="AH414">
        <v>71133.228311040017</v>
      </c>
      <c r="AJ414">
        <v>71133.228311040017</v>
      </c>
      <c r="AL414">
        <v>71133.228311040017</v>
      </c>
      <c r="AN414">
        <v>71133.228311040017</v>
      </c>
      <c r="AP414">
        <v>71133.228311040017</v>
      </c>
      <c r="AR414">
        <v>71133.228311040017</v>
      </c>
      <c r="AT414">
        <v>71133.228311040017</v>
      </c>
      <c r="AV414">
        <v>71133.228311040017</v>
      </c>
      <c r="AX414">
        <v>71133.228311040017</v>
      </c>
      <c r="AZ414">
        <v>71133.228311040017</v>
      </c>
      <c r="BB414">
        <v>71133.228311040017</v>
      </c>
      <c r="BD414">
        <v>71133.228311040017</v>
      </c>
      <c r="BF414">
        <v>71133.228311040017</v>
      </c>
      <c r="BH414">
        <v>71133.228311040017</v>
      </c>
      <c r="BJ414">
        <v>71133.228311040017</v>
      </c>
      <c r="BL414">
        <v>71133.228311040017</v>
      </c>
      <c r="BN414">
        <v>71133.228311040017</v>
      </c>
      <c r="BP414">
        <v>71133.228311040017</v>
      </c>
      <c r="BR414">
        <v>71133.228311040017</v>
      </c>
      <c r="BT414">
        <v>71133.228311040017</v>
      </c>
      <c r="BV414">
        <v>71133.228311040017</v>
      </c>
      <c r="BX414">
        <v>71133.228311040017</v>
      </c>
      <c r="BY414">
        <v>71133.23</v>
      </c>
      <c r="BZ414">
        <v>5283776.32</v>
      </c>
      <c r="CC414">
        <v>0</v>
      </c>
      <c r="CD414">
        <v>71133.229940764679</v>
      </c>
      <c r="CE414">
        <v>5283776.32</v>
      </c>
      <c r="CF414" t="s">
        <v>38</v>
      </c>
      <c r="CG414">
        <v>15000</v>
      </c>
      <c r="CH414">
        <v>86133.229940764679</v>
      </c>
      <c r="CI414">
        <v>1114200</v>
      </c>
      <c r="CJ414">
        <v>6397976.3200000003</v>
      </c>
      <c r="CK414" t="s">
        <v>57</v>
      </c>
      <c r="CN414">
        <v>0</v>
      </c>
      <c r="CO414" t="s">
        <v>39</v>
      </c>
      <c r="CP414" t="s">
        <v>39</v>
      </c>
      <c r="CQ414" t="b">
        <v>1</v>
      </c>
      <c r="CR414" t="s">
        <v>8950</v>
      </c>
      <c r="CT414" t="s">
        <v>8960</v>
      </c>
      <c r="CU414" t="s">
        <v>8990</v>
      </c>
      <c r="CV414" t="s">
        <v>6282</v>
      </c>
      <c r="CW414" t="s">
        <v>4895</v>
      </c>
      <c r="CX414" t="s">
        <v>3246</v>
      </c>
      <c r="CY414">
        <v>1.3199999999999932</v>
      </c>
      <c r="CZ414">
        <v>113695.8635218088</v>
      </c>
      <c r="DA414">
        <v>6397976.3200000003</v>
      </c>
      <c r="DB414" t="s">
        <v>38</v>
      </c>
      <c r="DC414" t="b">
        <v>1</v>
      </c>
      <c r="DD414">
        <v>6397976.3200000003</v>
      </c>
      <c r="DE414">
        <v>0</v>
      </c>
      <c r="DF414" t="b">
        <v>1</v>
      </c>
      <c r="DG414" s="420" cm="1">
        <f t="array" ref="DG414">_xlfn.XLOOKUP("Дом 4"&amp;Реестр_Д4[[#This Row],[№]]&amp;Реестр_Д4[[#This Row],[Статус]],РД[Дом]&amp;РД[№ кв]&amp;РД[Состояние],РД[Дата подачи на регистрацию],"-",0)</f>
        <v>44995</v>
      </c>
    </row>
    <row r="415" spans="1:111" x14ac:dyDescent="0.25">
      <c r="A415">
        <v>414</v>
      </c>
      <c r="B415" t="s">
        <v>15</v>
      </c>
      <c r="C415">
        <v>3</v>
      </c>
      <c r="D415">
        <v>4</v>
      </c>
      <c r="E415">
        <v>1</v>
      </c>
      <c r="F415">
        <v>12.09</v>
      </c>
      <c r="I415">
        <v>12.09</v>
      </c>
      <c r="J415">
        <v>12.26</v>
      </c>
      <c r="K415">
        <v>3.71</v>
      </c>
      <c r="N415">
        <v>7.06</v>
      </c>
      <c r="O415">
        <v>2.75</v>
      </c>
      <c r="Q415">
        <v>2.75</v>
      </c>
      <c r="R415">
        <v>37.869999999999997</v>
      </c>
      <c r="S415">
        <v>35.119999999999997</v>
      </c>
      <c r="T415">
        <v>36.5</v>
      </c>
      <c r="U415">
        <v>37.799999999999997</v>
      </c>
      <c r="V415">
        <v>72100</v>
      </c>
      <c r="W415">
        <v>3605</v>
      </c>
      <c r="X415">
        <v>75705</v>
      </c>
      <c r="Y415">
        <v>3028.2000000000003</v>
      </c>
      <c r="Z415">
        <v>78733.2</v>
      </c>
      <c r="AA415">
        <v>3936.66</v>
      </c>
      <c r="AB415">
        <v>82669.86</v>
      </c>
      <c r="AC415">
        <v>10.16839278</v>
      </c>
      <c r="AD415">
        <v>82680.028392780005</v>
      </c>
      <c r="AE415">
        <v>4134.0014196390002</v>
      </c>
      <c r="AF415">
        <v>86814.029812419001</v>
      </c>
      <c r="AG415">
        <v>4340.7014906209506</v>
      </c>
      <c r="AH415">
        <v>91154.731303039953</v>
      </c>
      <c r="AI415">
        <v>2734.6419390911983</v>
      </c>
      <c r="AJ415">
        <v>93889.373242131158</v>
      </c>
      <c r="AK415">
        <v>938.8937324213116</v>
      </c>
      <c r="AL415">
        <v>94828.266974552476</v>
      </c>
      <c r="AM415">
        <v>1896.5653394910496</v>
      </c>
      <c r="AN415">
        <v>96724.832314043524</v>
      </c>
      <c r="AO415">
        <v>1934.4966462808704</v>
      </c>
      <c r="AP415">
        <v>98659.328960324405</v>
      </c>
      <c r="AR415">
        <v>98659.328960324405</v>
      </c>
      <c r="AT415">
        <v>98659.328960324405</v>
      </c>
      <c r="AV415">
        <v>98659.328960324405</v>
      </c>
      <c r="AX415">
        <v>98659.328960324405</v>
      </c>
      <c r="AZ415">
        <v>98659.328960324405</v>
      </c>
      <c r="BB415">
        <v>98659.328960324405</v>
      </c>
      <c r="BD415">
        <v>98659.328960324405</v>
      </c>
      <c r="BF415">
        <v>98659.328960324405</v>
      </c>
      <c r="BH415">
        <v>98659.328960324405</v>
      </c>
      <c r="BJ415">
        <v>98659.328960324405</v>
      </c>
      <c r="BL415">
        <v>98659.328960324405</v>
      </c>
      <c r="BN415">
        <v>98659.328960324405</v>
      </c>
      <c r="BP415">
        <v>98659.328960324405</v>
      </c>
      <c r="BR415">
        <v>98659.328960324405</v>
      </c>
      <c r="BT415">
        <v>98659.328960324405</v>
      </c>
      <c r="BV415">
        <v>98659.328960324405</v>
      </c>
      <c r="BX415">
        <v>98659.328960324405</v>
      </c>
      <c r="BY415">
        <v>98659.33</v>
      </c>
      <c r="BZ415">
        <v>3601065.55</v>
      </c>
      <c r="CB415">
        <v>0.06</v>
      </c>
      <c r="CC415">
        <v>216063.93299999999</v>
      </c>
      <c r="CD415">
        <v>92739.770410958925</v>
      </c>
      <c r="CE415">
        <v>3385001.62</v>
      </c>
      <c r="CF415" t="s">
        <v>37</v>
      </c>
      <c r="CG415">
        <v>4000</v>
      </c>
      <c r="CH415">
        <v>96739.770410958925</v>
      </c>
      <c r="CI415">
        <v>146000</v>
      </c>
      <c r="CJ415">
        <v>3531001.62</v>
      </c>
      <c r="CL415" t="s">
        <v>978</v>
      </c>
      <c r="CN415">
        <v>0</v>
      </c>
      <c r="CO415" t="s">
        <v>39</v>
      </c>
      <c r="CP415" t="s">
        <v>39</v>
      </c>
      <c r="CQ415" t="b">
        <v>1</v>
      </c>
      <c r="CR415" t="s">
        <v>8950</v>
      </c>
      <c r="CT415" t="s">
        <v>8960</v>
      </c>
      <c r="CU415" t="s">
        <v>8973</v>
      </c>
      <c r="CV415" t="s">
        <v>6283</v>
      </c>
      <c r="CW415" t="s">
        <v>4895</v>
      </c>
      <c r="CX415" t="s">
        <v>3246</v>
      </c>
      <c r="CY415">
        <v>1.2999999999999972</v>
      </c>
      <c r="CZ415">
        <v>125761.70153424631</v>
      </c>
      <c r="DA415">
        <v>3531001.62</v>
      </c>
      <c r="DB415" t="s">
        <v>37</v>
      </c>
      <c r="DC415" t="b">
        <v>1</v>
      </c>
      <c r="DD415">
        <v>3531001.62</v>
      </c>
      <c r="DE415">
        <v>0</v>
      </c>
      <c r="DF415" t="b">
        <v>1</v>
      </c>
      <c r="DG415" s="420" cm="1">
        <f t="array" ref="DG415">_xlfn.XLOOKUP("Дом 4"&amp;Реестр_Д4[[#This Row],[№]]&amp;Реестр_Д4[[#This Row],[Статус]],РД[Дом]&amp;РД[№ кв]&amp;РД[Состояние],РД[Дата подачи на регистрацию],"-",0)</f>
        <v>45103</v>
      </c>
    </row>
    <row r="416" spans="1:111" x14ac:dyDescent="0.25">
      <c r="A416">
        <v>415</v>
      </c>
      <c r="B416" t="s">
        <v>15</v>
      </c>
      <c r="C416">
        <v>3</v>
      </c>
      <c r="D416">
        <v>5</v>
      </c>
      <c r="E416">
        <v>2</v>
      </c>
      <c r="F416">
        <v>15.61</v>
      </c>
      <c r="G416">
        <v>12.02</v>
      </c>
      <c r="I416">
        <v>27.63</v>
      </c>
      <c r="J416">
        <v>13.1</v>
      </c>
      <c r="K416">
        <v>3.61</v>
      </c>
      <c r="L416">
        <v>1.82</v>
      </c>
      <c r="N416">
        <v>8.52</v>
      </c>
      <c r="O416">
        <v>2.72</v>
      </c>
      <c r="Q416">
        <v>2.72</v>
      </c>
      <c r="R416">
        <v>57.4</v>
      </c>
      <c r="S416">
        <v>54.68</v>
      </c>
      <c r="T416">
        <v>56.04</v>
      </c>
      <c r="U416">
        <v>58.1</v>
      </c>
      <c r="V416">
        <v>67972.800000000003</v>
      </c>
      <c r="W416">
        <v>3398.6400000000003</v>
      </c>
      <c r="X416">
        <v>71371.44</v>
      </c>
      <c r="Z416">
        <v>71371.44</v>
      </c>
      <c r="AA416">
        <v>3568.5720000000001</v>
      </c>
      <c r="AB416">
        <v>74940.012000000002</v>
      </c>
      <c r="AC416">
        <v>9.2176214760000015</v>
      </c>
      <c r="AD416">
        <v>74949.229621475999</v>
      </c>
      <c r="AF416">
        <v>74949.229621475999</v>
      </c>
      <c r="AH416">
        <v>74949.229621475999</v>
      </c>
      <c r="AI416">
        <v>1498.98459242952</v>
      </c>
      <c r="AJ416">
        <v>76448.214213905521</v>
      </c>
      <c r="AK416">
        <v>764.48214213905521</v>
      </c>
      <c r="AL416">
        <v>77212.696356044573</v>
      </c>
      <c r="AM416">
        <v>1544.2539271208916</v>
      </c>
      <c r="AN416">
        <v>78756.950283165468</v>
      </c>
      <c r="AO416">
        <v>2362.708508494964</v>
      </c>
      <c r="AP416">
        <v>81119.658791660433</v>
      </c>
      <c r="AQ416">
        <v>2433.5897637498128</v>
      </c>
      <c r="AR416">
        <v>83553.248555410246</v>
      </c>
      <c r="AT416">
        <v>83553.248555410246</v>
      </c>
      <c r="AU416">
        <v>2506.5974566623072</v>
      </c>
      <c r="AV416">
        <v>86059.84601207255</v>
      </c>
      <c r="AX416">
        <v>86059.84601207255</v>
      </c>
      <c r="AZ416">
        <v>86059.84601207255</v>
      </c>
      <c r="BB416">
        <v>86059.84601207255</v>
      </c>
      <c r="BD416">
        <v>86059.84601207255</v>
      </c>
      <c r="BF416">
        <v>86059.84601207255</v>
      </c>
      <c r="BG416">
        <v>3000</v>
      </c>
      <c r="BH416">
        <v>89059.84601207255</v>
      </c>
      <c r="BI416">
        <v>4452.9923006036279</v>
      </c>
      <c r="BJ416">
        <v>93512.838312676176</v>
      </c>
      <c r="BL416">
        <v>93512.838312676176</v>
      </c>
      <c r="BN416">
        <v>93512.838312676176</v>
      </c>
      <c r="BP416">
        <v>93512.838312676176</v>
      </c>
      <c r="BR416">
        <v>93512.838312676176</v>
      </c>
      <c r="BT416">
        <v>93512.838312676176</v>
      </c>
      <c r="BV416">
        <v>93512.838312676176</v>
      </c>
      <c r="BX416">
        <v>93512.838312676176</v>
      </c>
      <c r="BY416">
        <v>93512.84</v>
      </c>
      <c r="BZ416">
        <v>5240500</v>
      </c>
      <c r="CB416">
        <v>0.03</v>
      </c>
      <c r="CC416">
        <v>157215</v>
      </c>
      <c r="CD416">
        <v>90708.154889364741</v>
      </c>
      <c r="CE416">
        <v>5083285</v>
      </c>
      <c r="CF416" t="s">
        <v>37</v>
      </c>
      <c r="CG416">
        <v>7500</v>
      </c>
      <c r="CH416">
        <v>98208.154889364741</v>
      </c>
      <c r="CI416">
        <v>420300</v>
      </c>
      <c r="CJ416">
        <v>5503585</v>
      </c>
      <c r="CL416" t="s">
        <v>6789</v>
      </c>
      <c r="CN416">
        <v>0</v>
      </c>
      <c r="CO416" t="s">
        <v>39</v>
      </c>
      <c r="CP416" t="s">
        <v>39</v>
      </c>
      <c r="CQ416" t="b">
        <v>1</v>
      </c>
      <c r="CR416" t="s">
        <v>8950</v>
      </c>
      <c r="CT416" t="s">
        <v>8960</v>
      </c>
      <c r="CU416" t="s">
        <v>8974</v>
      </c>
      <c r="CV416" t="s">
        <v>6284</v>
      </c>
      <c r="CW416" t="s">
        <v>6652</v>
      </c>
      <c r="CX416" t="s">
        <v>3246</v>
      </c>
      <c r="CY416">
        <v>2.0600000000000023</v>
      </c>
      <c r="CZ416">
        <v>202308.79907209161</v>
      </c>
      <c r="DA416">
        <v>5503585</v>
      </c>
      <c r="DB416" t="s">
        <v>37</v>
      </c>
      <c r="DC416" t="b">
        <v>1</v>
      </c>
      <c r="DD416">
        <v>5503585</v>
      </c>
      <c r="DE416">
        <v>0</v>
      </c>
      <c r="DF416" t="b">
        <v>1</v>
      </c>
      <c r="DG416" s="420" cm="1">
        <f t="array" ref="DG416">_xlfn.XLOOKUP("Дом 4"&amp;Реестр_Д4[[#This Row],[№]]&amp;Реестр_Д4[[#This Row],[Статус]],РД[Дом]&amp;РД[№ кв]&amp;РД[Состояние],РД[Дата подачи на регистрацию],"-",0)</f>
        <v>45310</v>
      </c>
    </row>
    <row r="417" spans="1:111" x14ac:dyDescent="0.25">
      <c r="A417">
        <v>416</v>
      </c>
      <c r="B417" t="s">
        <v>15</v>
      </c>
      <c r="C417">
        <v>3</v>
      </c>
      <c r="D417">
        <v>6</v>
      </c>
      <c r="E417">
        <v>2</v>
      </c>
      <c r="F417">
        <v>15.61</v>
      </c>
      <c r="G417">
        <v>9.66</v>
      </c>
      <c r="I417">
        <v>25.27</v>
      </c>
      <c r="J417">
        <v>16.53</v>
      </c>
      <c r="K417">
        <v>3.63</v>
      </c>
      <c r="L417">
        <v>2.21</v>
      </c>
      <c r="N417">
        <v>9.6199999999999992</v>
      </c>
      <c r="O417">
        <v>2.72</v>
      </c>
      <c r="Q417">
        <v>2.72</v>
      </c>
      <c r="R417">
        <v>59.98</v>
      </c>
      <c r="S417">
        <v>57.26</v>
      </c>
      <c r="T417">
        <v>58.62</v>
      </c>
      <c r="U417">
        <v>60.7</v>
      </c>
      <c r="V417">
        <v>68639.199999999997</v>
      </c>
      <c r="W417">
        <v>3431.96</v>
      </c>
      <c r="X417">
        <v>72071.16</v>
      </c>
      <c r="Z417">
        <v>72071.16</v>
      </c>
      <c r="AA417">
        <v>3603.558</v>
      </c>
      <c r="AB417">
        <v>75674.717999999993</v>
      </c>
      <c r="AC417">
        <v>9.3079903140000013</v>
      </c>
      <c r="AD417">
        <v>75684.02599031401</v>
      </c>
      <c r="AF417">
        <v>75684.02599031401</v>
      </c>
      <c r="AH417">
        <v>75684.02599031401</v>
      </c>
      <c r="AI417">
        <v>1513.6805198062802</v>
      </c>
      <c r="AJ417">
        <v>77197.70651012029</v>
      </c>
      <c r="AK417">
        <v>771.97706510120292</v>
      </c>
      <c r="AL417">
        <v>77969.683575221497</v>
      </c>
      <c r="AM417">
        <v>1559.3936715044299</v>
      </c>
      <c r="AN417">
        <v>79529.077246725923</v>
      </c>
      <c r="AP417">
        <v>79529.077246725923</v>
      </c>
      <c r="AR417">
        <v>79529.077246725923</v>
      </c>
      <c r="AT417">
        <v>79529.077246725923</v>
      </c>
      <c r="AV417">
        <v>79529.077246725923</v>
      </c>
      <c r="AX417">
        <v>79529.077246725923</v>
      </c>
      <c r="AZ417">
        <v>79529.077246725923</v>
      </c>
      <c r="BB417">
        <v>79529.077246725923</v>
      </c>
      <c r="BD417">
        <v>79529.077246725923</v>
      </c>
      <c r="BF417">
        <v>79529.077246725923</v>
      </c>
      <c r="BH417">
        <v>79529.077246725923</v>
      </c>
      <c r="BJ417">
        <v>79529.077246725923</v>
      </c>
      <c r="BL417">
        <v>79529.077246725923</v>
      </c>
      <c r="BN417">
        <v>79529.077246725923</v>
      </c>
      <c r="BP417">
        <v>79529.077246725923</v>
      </c>
      <c r="BR417">
        <v>79529.077246725923</v>
      </c>
      <c r="BT417">
        <v>79529.077246725923</v>
      </c>
      <c r="BV417">
        <v>79529.077246725923</v>
      </c>
      <c r="BX417">
        <v>79529.077246725923</v>
      </c>
      <c r="BY417">
        <v>79529.08</v>
      </c>
      <c r="BZ417">
        <v>4661994.67</v>
      </c>
      <c r="CC417">
        <v>0</v>
      </c>
      <c r="CD417">
        <v>79529.080006823613</v>
      </c>
      <c r="CE417">
        <v>4661994.67</v>
      </c>
      <c r="CF417" t="s">
        <v>37</v>
      </c>
      <c r="CG417">
        <v>4000</v>
      </c>
      <c r="CH417">
        <v>83529.080006823613</v>
      </c>
      <c r="CI417">
        <v>234480</v>
      </c>
      <c r="CJ417">
        <v>4896474.67</v>
      </c>
      <c r="CN417">
        <v>0</v>
      </c>
      <c r="CO417" t="s">
        <v>39</v>
      </c>
      <c r="CP417" t="s">
        <v>39</v>
      </c>
      <c r="CQ417" t="b">
        <v>1</v>
      </c>
      <c r="CR417" t="s">
        <v>8950</v>
      </c>
      <c r="CT417" t="s">
        <v>8960</v>
      </c>
      <c r="CU417" t="s">
        <v>8971</v>
      </c>
      <c r="CV417" t="s">
        <v>6285</v>
      </c>
      <c r="CW417" t="s">
        <v>4895</v>
      </c>
      <c r="CX417" t="s">
        <v>3246</v>
      </c>
      <c r="CY417">
        <v>2.0799999999999983</v>
      </c>
      <c r="CZ417">
        <v>173740.48641419297</v>
      </c>
      <c r="DA417">
        <v>4896474.67</v>
      </c>
      <c r="DB417" t="s">
        <v>37</v>
      </c>
      <c r="DC417" t="b">
        <v>1</v>
      </c>
      <c r="DD417">
        <v>4896474.67</v>
      </c>
      <c r="DE417">
        <v>0</v>
      </c>
      <c r="DF417" t="b">
        <v>1</v>
      </c>
      <c r="DG417" s="420" cm="1">
        <f t="array" ref="DG417">_xlfn.XLOOKUP("Дом 4"&amp;Реестр_Д4[[#This Row],[№]]&amp;Реестр_Д4[[#This Row],[Статус]],РД[Дом]&amp;РД[№ кв]&amp;РД[Состояние],РД[Дата подачи на регистрацию],"-",0)</f>
        <v>45069</v>
      </c>
    </row>
    <row r="418" spans="1:111" x14ac:dyDescent="0.25">
      <c r="A418">
        <v>417</v>
      </c>
      <c r="B418" t="s">
        <v>15</v>
      </c>
      <c r="C418">
        <v>3</v>
      </c>
      <c r="D418">
        <v>7</v>
      </c>
      <c r="E418">
        <v>2</v>
      </c>
      <c r="F418">
        <v>11.83</v>
      </c>
      <c r="G418">
        <v>11.4</v>
      </c>
      <c r="I418">
        <v>23.23</v>
      </c>
      <c r="J418">
        <v>27.16</v>
      </c>
      <c r="K418">
        <v>5.28</v>
      </c>
      <c r="L418">
        <v>1.75</v>
      </c>
      <c r="N418">
        <v>8.67</v>
      </c>
      <c r="O418">
        <v>2.8</v>
      </c>
      <c r="Q418">
        <v>2.8</v>
      </c>
      <c r="R418">
        <v>68.89</v>
      </c>
      <c r="S418">
        <v>66.09</v>
      </c>
      <c r="T418">
        <v>67.489999999999995</v>
      </c>
      <c r="U418">
        <v>69.3</v>
      </c>
      <c r="V418">
        <v>69972</v>
      </c>
      <c r="W418">
        <v>3498.6000000000004</v>
      </c>
      <c r="X418">
        <v>73470.600000000006</v>
      </c>
      <c r="Z418">
        <v>73470.600000000006</v>
      </c>
      <c r="AA418">
        <v>3673.5300000000007</v>
      </c>
      <c r="AB418">
        <v>77144.13</v>
      </c>
      <c r="AC418">
        <v>9.4887279899999992</v>
      </c>
      <c r="AD418">
        <v>77153.618727990004</v>
      </c>
      <c r="AF418">
        <v>77153.618727990004</v>
      </c>
      <c r="AH418">
        <v>77153.618727990004</v>
      </c>
      <c r="AI418">
        <v>1543.0723745598002</v>
      </c>
      <c r="AJ418">
        <v>78696.691102549798</v>
      </c>
      <c r="AK418">
        <v>2360.9007330764939</v>
      </c>
      <c r="AL418">
        <v>81057.591835626285</v>
      </c>
      <c r="AM418">
        <v>3242.3036734250513</v>
      </c>
      <c r="AN418">
        <v>84299.895509051334</v>
      </c>
      <c r="AP418">
        <v>84299.895509051334</v>
      </c>
      <c r="AQ418">
        <v>2528.9968652715397</v>
      </c>
      <c r="AR418">
        <v>86828.892374322866</v>
      </c>
      <c r="AT418">
        <v>86828.892374322866</v>
      </c>
      <c r="AU418">
        <v>2604.866771229686</v>
      </c>
      <c r="AV418">
        <v>89433.759145552554</v>
      </c>
      <c r="AX418">
        <v>89433.759145552554</v>
      </c>
      <c r="AZ418">
        <v>89433.759145552554</v>
      </c>
      <c r="BB418">
        <v>89433.759145552554</v>
      </c>
      <c r="BD418">
        <v>89433.759145552554</v>
      </c>
      <c r="BF418">
        <v>89433.759145552554</v>
      </c>
      <c r="BH418">
        <v>89433.759145552554</v>
      </c>
      <c r="BJ418">
        <v>89433.759145552554</v>
      </c>
      <c r="BL418">
        <v>89433.759145552554</v>
      </c>
      <c r="BN418">
        <v>89433.759145552554</v>
      </c>
      <c r="BP418">
        <v>89433.759145552554</v>
      </c>
      <c r="BR418">
        <v>89433.759145552554</v>
      </c>
      <c r="BT418">
        <v>89433.759145552554</v>
      </c>
      <c r="BV418">
        <v>89433.759145552554</v>
      </c>
      <c r="BX418">
        <v>89433.759145552554</v>
      </c>
      <c r="BY418">
        <v>89433.76</v>
      </c>
      <c r="BZ418">
        <v>6035884.46</v>
      </c>
      <c r="CB418">
        <v>0.1</v>
      </c>
      <c r="CC418">
        <v>603588.446</v>
      </c>
      <c r="CD418">
        <v>80490.383908727221</v>
      </c>
      <c r="CE418">
        <v>5432296.0099999998</v>
      </c>
      <c r="CF418" t="s">
        <v>37</v>
      </c>
      <c r="CG418">
        <v>7500</v>
      </c>
      <c r="CH418">
        <v>87990.383908727221</v>
      </c>
      <c r="CI418">
        <v>506175</v>
      </c>
      <c r="CJ418">
        <v>5938471.0099999998</v>
      </c>
      <c r="CK418" t="s">
        <v>57</v>
      </c>
      <c r="CL418" t="s">
        <v>978</v>
      </c>
      <c r="CN418">
        <v>0</v>
      </c>
      <c r="CO418" t="s">
        <v>39</v>
      </c>
      <c r="CP418" t="s">
        <v>39</v>
      </c>
      <c r="CQ418" t="b">
        <v>1</v>
      </c>
      <c r="CR418" t="s">
        <v>8950</v>
      </c>
      <c r="CT418" t="s">
        <v>8960</v>
      </c>
      <c r="CU418" t="s">
        <v>8971</v>
      </c>
      <c r="CV418" t="s">
        <v>6286</v>
      </c>
      <c r="CW418" t="s">
        <v>4895</v>
      </c>
      <c r="CX418" t="s">
        <v>3246</v>
      </c>
      <c r="CY418">
        <v>1.8100000000000025</v>
      </c>
      <c r="CZ418">
        <v>159262.59487479646</v>
      </c>
      <c r="DA418">
        <v>5938471.0099999998</v>
      </c>
      <c r="DB418" t="s">
        <v>37</v>
      </c>
      <c r="DC418" t="b">
        <v>1</v>
      </c>
      <c r="DD418">
        <v>5938471.0099999998</v>
      </c>
      <c r="DE418">
        <v>0</v>
      </c>
      <c r="DF418" t="b">
        <v>1</v>
      </c>
      <c r="DG418" s="420" cm="1">
        <f t="array" ref="DG418">_xlfn.XLOOKUP("Дом 4"&amp;Реестр_Д4[[#This Row],[№]]&amp;Реестр_Д4[[#This Row],[Статус]],РД[Дом]&amp;РД[№ кв]&amp;РД[Состояние],РД[Дата подачи на регистрацию],"-",0)</f>
        <v>45229</v>
      </c>
    </row>
    <row r="419" spans="1:111" x14ac:dyDescent="0.25">
      <c r="A419">
        <v>418</v>
      </c>
      <c r="B419" t="s">
        <v>15</v>
      </c>
      <c r="C419">
        <v>3</v>
      </c>
      <c r="D419">
        <v>8</v>
      </c>
      <c r="E419">
        <v>2</v>
      </c>
      <c r="F419">
        <v>17.25</v>
      </c>
      <c r="G419">
        <v>14.07</v>
      </c>
      <c r="I419">
        <v>31.32</v>
      </c>
      <c r="J419">
        <v>14.23</v>
      </c>
      <c r="K419">
        <v>3.81</v>
      </c>
      <c r="L419">
        <v>1.75</v>
      </c>
      <c r="N419">
        <v>11.07</v>
      </c>
      <c r="O419">
        <v>3.12</v>
      </c>
      <c r="Q419">
        <v>3.12</v>
      </c>
      <c r="R419">
        <v>65.3</v>
      </c>
      <c r="S419">
        <v>62.18</v>
      </c>
      <c r="T419">
        <v>63.74</v>
      </c>
      <c r="U419">
        <v>65</v>
      </c>
      <c r="V419">
        <v>68639.199999999997</v>
      </c>
      <c r="W419">
        <v>3431.96</v>
      </c>
      <c r="X419">
        <v>72071.16</v>
      </c>
      <c r="Z419">
        <v>72071.16</v>
      </c>
      <c r="AA419">
        <v>3603.558</v>
      </c>
      <c r="AB419">
        <v>75674.717999999993</v>
      </c>
      <c r="AC419">
        <v>9.3079903140000013</v>
      </c>
      <c r="AD419">
        <v>75684.02599031401</v>
      </c>
      <c r="AF419">
        <v>75684.02599031401</v>
      </c>
      <c r="AH419">
        <v>75684.02599031401</v>
      </c>
      <c r="AI419">
        <v>1513.6805198062802</v>
      </c>
      <c r="AJ419">
        <v>77197.70651012029</v>
      </c>
      <c r="AK419">
        <v>771.97706510120292</v>
      </c>
      <c r="AL419">
        <v>77969.683575221497</v>
      </c>
      <c r="AM419">
        <v>1559.3936715044299</v>
      </c>
      <c r="AN419">
        <v>79529.077246725923</v>
      </c>
      <c r="AP419">
        <v>79529.077246725923</v>
      </c>
      <c r="AR419">
        <v>79529.077246725923</v>
      </c>
      <c r="AT419">
        <v>79529.077246725923</v>
      </c>
      <c r="AV419">
        <v>79529.077246725923</v>
      </c>
      <c r="AX419">
        <v>79529.077246725923</v>
      </c>
      <c r="AZ419">
        <v>79529.077246725923</v>
      </c>
      <c r="BB419">
        <v>79529.077246725923</v>
      </c>
      <c r="BD419">
        <v>79529.077246725923</v>
      </c>
      <c r="BF419">
        <v>79529.077246725923</v>
      </c>
      <c r="BH419">
        <v>79529.077246725923</v>
      </c>
      <c r="BJ419">
        <v>79529.077246725923</v>
      </c>
      <c r="BL419">
        <v>79529.077246725923</v>
      </c>
      <c r="BN419">
        <v>79529.077246725923</v>
      </c>
      <c r="BP419">
        <v>79529.077246725923</v>
      </c>
      <c r="BR419">
        <v>79529.077246725923</v>
      </c>
      <c r="BT419">
        <v>79529.077246725923</v>
      </c>
      <c r="BV419">
        <v>79529.077246725923</v>
      </c>
      <c r="BX419">
        <v>79529.077246725923</v>
      </c>
      <c r="BY419">
        <v>79529.08</v>
      </c>
      <c r="BZ419">
        <v>5069183.5599999996</v>
      </c>
      <c r="CA419">
        <v>254960</v>
      </c>
      <c r="CC419">
        <v>254960</v>
      </c>
      <c r="CD419">
        <v>75529.080012550985</v>
      </c>
      <c r="CE419">
        <v>4814223.5599999996</v>
      </c>
      <c r="CF419" t="s">
        <v>37</v>
      </c>
      <c r="CG419">
        <v>4000</v>
      </c>
      <c r="CH419">
        <v>79529.080012550985</v>
      </c>
      <c r="CI419">
        <v>254960</v>
      </c>
      <c r="CJ419">
        <v>5069183.5599999996</v>
      </c>
      <c r="CL419" t="s">
        <v>4840</v>
      </c>
      <c r="CN419">
        <v>0</v>
      </c>
      <c r="CO419" t="s">
        <v>39</v>
      </c>
      <c r="CP419" t="s">
        <v>39</v>
      </c>
      <c r="CQ419" t="b">
        <v>1</v>
      </c>
      <c r="CR419" t="s">
        <v>8950</v>
      </c>
      <c r="CT419" t="s">
        <v>8960</v>
      </c>
      <c r="CU419" t="s">
        <v>8971</v>
      </c>
      <c r="CV419" t="s">
        <v>6287</v>
      </c>
      <c r="CW419" t="s">
        <v>4895</v>
      </c>
      <c r="CX419" t="s">
        <v>3246</v>
      </c>
      <c r="CY419">
        <v>1.259999999999998</v>
      </c>
      <c r="CZ419">
        <v>100206.64081581408</v>
      </c>
      <c r="DA419">
        <v>5069183.5599999996</v>
      </c>
      <c r="DB419" t="s">
        <v>37</v>
      </c>
      <c r="DC419" t="b">
        <v>1</v>
      </c>
      <c r="DD419">
        <v>5069183.5599999996</v>
      </c>
      <c r="DE419">
        <v>0</v>
      </c>
      <c r="DF419" t="b">
        <v>1</v>
      </c>
      <c r="DG419" s="420" cm="1">
        <f t="array" ref="DG419">_xlfn.XLOOKUP("Дом 4"&amp;Реестр_Д4[[#This Row],[№]]&amp;Реестр_Д4[[#This Row],[Статус]],РД[Дом]&amp;РД[№ кв]&amp;РД[Состояние],РД[Дата подачи на регистрацию],"-",0)</f>
        <v>45071</v>
      </c>
    </row>
    <row r="420" spans="1:111" x14ac:dyDescent="0.25">
      <c r="A420">
        <v>419</v>
      </c>
      <c r="B420" t="s">
        <v>15</v>
      </c>
      <c r="C420">
        <v>3</v>
      </c>
      <c r="D420">
        <v>9</v>
      </c>
      <c r="E420">
        <v>1</v>
      </c>
      <c r="F420">
        <v>16.46</v>
      </c>
      <c r="I420">
        <v>16.46</v>
      </c>
      <c r="J420">
        <v>14.25</v>
      </c>
      <c r="K420">
        <v>3.92</v>
      </c>
      <c r="N420">
        <v>8.2200000000000006</v>
      </c>
      <c r="O420">
        <v>3.03</v>
      </c>
      <c r="Q420">
        <v>3.03</v>
      </c>
      <c r="R420">
        <v>45.88</v>
      </c>
      <c r="S420">
        <v>42.85</v>
      </c>
      <c r="T420">
        <v>44.37</v>
      </c>
      <c r="U420">
        <v>45.8</v>
      </c>
      <c r="V420">
        <v>72100</v>
      </c>
      <c r="W420">
        <v>3605</v>
      </c>
      <c r="X420">
        <v>75705</v>
      </c>
      <c r="Z420">
        <v>75705</v>
      </c>
      <c r="AA420">
        <v>3785.25</v>
      </c>
      <c r="AB420">
        <v>79490.25</v>
      </c>
      <c r="AC420">
        <v>9.7773007500000002</v>
      </c>
      <c r="AD420">
        <v>79500.027300750007</v>
      </c>
      <c r="AE420">
        <v>3975.0013650375008</v>
      </c>
      <c r="AF420">
        <v>83475.028665787511</v>
      </c>
      <c r="AH420">
        <v>83475.028665787511</v>
      </c>
      <c r="AI420">
        <v>2504.2508599736252</v>
      </c>
      <c r="AJ420">
        <v>85979.279525761129</v>
      </c>
      <c r="AK420">
        <v>859.79279525761149</v>
      </c>
      <c r="AL420">
        <v>86839.072321018757</v>
      </c>
      <c r="AM420">
        <v>1736.7814464203752</v>
      </c>
      <c r="AN420">
        <v>88575.853767439126</v>
      </c>
      <c r="AO420">
        <v>1771.5170753487826</v>
      </c>
      <c r="AP420">
        <v>90347.370842787903</v>
      </c>
      <c r="AQ420">
        <v>2710.4211252836371</v>
      </c>
      <c r="AR420">
        <v>93057.791968071542</v>
      </c>
      <c r="AT420">
        <v>93057.791968071542</v>
      </c>
      <c r="AU420">
        <v>2791.7337590421462</v>
      </c>
      <c r="AV420">
        <v>95849.525727113694</v>
      </c>
      <c r="AX420">
        <v>95849.525727113694</v>
      </c>
      <c r="AZ420">
        <v>95849.525727113694</v>
      </c>
      <c r="BB420">
        <v>95849.525727113694</v>
      </c>
      <c r="BD420">
        <v>95849.525727113694</v>
      </c>
      <c r="BE420">
        <v>837</v>
      </c>
      <c r="BF420">
        <v>96686.525727113694</v>
      </c>
      <c r="BH420">
        <v>96686.525727113694</v>
      </c>
      <c r="BJ420">
        <v>96686.525727113694</v>
      </c>
      <c r="BL420">
        <v>96686.525727113694</v>
      </c>
      <c r="BN420">
        <v>96686.525727113694</v>
      </c>
      <c r="BP420">
        <v>96686.525727113694</v>
      </c>
      <c r="BR420">
        <v>96686.525727113694</v>
      </c>
      <c r="BT420">
        <v>96686.525727113694</v>
      </c>
      <c r="BV420">
        <v>96686.525727113694</v>
      </c>
      <c r="BX420">
        <v>96686.525727113694</v>
      </c>
      <c r="BY420">
        <v>96686.53</v>
      </c>
      <c r="BZ420">
        <v>4290000</v>
      </c>
      <c r="CA420">
        <v>120000</v>
      </c>
      <c r="CC420">
        <v>120000</v>
      </c>
      <c r="CD420">
        <v>93982.420554428667</v>
      </c>
      <c r="CE420">
        <v>4170000</v>
      </c>
      <c r="CF420" t="s">
        <v>37</v>
      </c>
      <c r="CG420">
        <v>7500</v>
      </c>
      <c r="CH420">
        <v>101482.42055442868</v>
      </c>
      <c r="CI420">
        <v>332775</v>
      </c>
      <c r="CJ420">
        <v>4502775</v>
      </c>
      <c r="CL420" t="s">
        <v>3390</v>
      </c>
      <c r="CN420">
        <v>0</v>
      </c>
      <c r="CO420" t="s">
        <v>39</v>
      </c>
      <c r="CP420" t="s">
        <v>39</v>
      </c>
      <c r="CQ420" t="b">
        <v>1</v>
      </c>
      <c r="CR420" t="s">
        <v>8950</v>
      </c>
      <c r="CS420" t="s">
        <v>1167</v>
      </c>
      <c r="CT420" t="s">
        <v>8960</v>
      </c>
      <c r="CU420" t="s">
        <v>8972</v>
      </c>
      <c r="CV420" t="s">
        <v>6288</v>
      </c>
      <c r="CW420" t="s">
        <v>6652</v>
      </c>
      <c r="CX420" t="s">
        <v>3246</v>
      </c>
      <c r="CY420">
        <v>1.4299999999999995</v>
      </c>
      <c r="CZ420">
        <v>145119.86139283297</v>
      </c>
      <c r="DA420">
        <v>4502775</v>
      </c>
      <c r="DB420" t="s">
        <v>37</v>
      </c>
      <c r="DC420" t="b">
        <v>1</v>
      </c>
      <c r="DD420">
        <v>4502775</v>
      </c>
      <c r="DE420">
        <v>0</v>
      </c>
      <c r="DF420" t="b">
        <v>1</v>
      </c>
      <c r="DG420" s="420" cm="1">
        <f t="array" ref="DG420">_xlfn.XLOOKUP("Дом 4"&amp;Реестр_Д4[[#This Row],[№]]&amp;Реестр_Д4[[#This Row],[Статус]],РД[Дом]&amp;РД[№ кв]&amp;РД[Состояние],РД[Дата подачи на регистрацию],"-",0)</f>
        <v>45268</v>
      </c>
    </row>
    <row r="421" spans="1:111" x14ac:dyDescent="0.25">
      <c r="A421">
        <v>420</v>
      </c>
      <c r="B421" t="s">
        <v>15</v>
      </c>
      <c r="C421">
        <v>4</v>
      </c>
      <c r="D421">
        <v>1</v>
      </c>
      <c r="E421">
        <v>1</v>
      </c>
      <c r="F421">
        <v>14.05</v>
      </c>
      <c r="I421">
        <v>14.05</v>
      </c>
      <c r="J421">
        <v>12.32</v>
      </c>
      <c r="K421">
        <v>3.87</v>
      </c>
      <c r="N421">
        <v>8.14</v>
      </c>
      <c r="O421">
        <v>2.72</v>
      </c>
      <c r="Q421">
        <v>2.72</v>
      </c>
      <c r="R421">
        <v>41.1</v>
      </c>
      <c r="S421">
        <v>38.380000000000003</v>
      </c>
      <c r="T421">
        <v>39.74</v>
      </c>
      <c r="U421">
        <v>40.9</v>
      </c>
      <c r="V421">
        <v>71400</v>
      </c>
      <c r="W421">
        <v>3570</v>
      </c>
      <c r="X421">
        <v>74970</v>
      </c>
      <c r="Y421">
        <v>2998.8</v>
      </c>
      <c r="Z421">
        <v>77968.800000000003</v>
      </c>
      <c r="AA421">
        <v>3898.440000000001</v>
      </c>
      <c r="AB421">
        <v>81867.240000000005</v>
      </c>
      <c r="AC421">
        <v>10.069670520000001</v>
      </c>
      <c r="AD421">
        <v>81877.309670520001</v>
      </c>
      <c r="AE421">
        <v>4093.8654835259999</v>
      </c>
      <c r="AF421">
        <v>85971.175154045995</v>
      </c>
      <c r="AH421">
        <v>85971.175154045995</v>
      </c>
      <c r="AI421">
        <v>2579.1352546213802</v>
      </c>
      <c r="AJ421">
        <v>88550.31040866737</v>
      </c>
      <c r="AK421">
        <v>885.50310408667372</v>
      </c>
      <c r="AL421">
        <v>89435.813512754044</v>
      </c>
      <c r="AM421">
        <v>1788.7162702550809</v>
      </c>
      <c r="AN421">
        <v>91224.529783009129</v>
      </c>
      <c r="AP421">
        <v>91224.529783009129</v>
      </c>
      <c r="AQ421">
        <v>2736.7358934902736</v>
      </c>
      <c r="AR421">
        <v>93961.265676499403</v>
      </c>
      <c r="AT421">
        <v>93961.265676499403</v>
      </c>
      <c r="AV421">
        <v>93961.265676499403</v>
      </c>
      <c r="AX421">
        <v>93961.265676499403</v>
      </c>
      <c r="AZ421">
        <v>93961.265676499403</v>
      </c>
      <c r="BB421">
        <v>93961.265676499403</v>
      </c>
      <c r="BD421">
        <v>93961.265676499403</v>
      </c>
      <c r="BF421">
        <v>93961.265676499403</v>
      </c>
      <c r="BH421">
        <v>93961.265676499403</v>
      </c>
      <c r="BJ421">
        <v>93961.265676499403</v>
      </c>
      <c r="BL421">
        <v>93961.265676499403</v>
      </c>
      <c r="BN421">
        <v>93961.265676499403</v>
      </c>
      <c r="BP421">
        <v>93961.265676499403</v>
      </c>
      <c r="BR421">
        <v>93961.265676499403</v>
      </c>
      <c r="BT421">
        <v>93961.265676499403</v>
      </c>
      <c r="BV421">
        <v>93961.265676499403</v>
      </c>
      <c r="BX421">
        <v>93961.265676499403</v>
      </c>
      <c r="BY421">
        <v>93961.27</v>
      </c>
      <c r="BZ421">
        <v>3734020.87</v>
      </c>
      <c r="CC421">
        <v>0</v>
      </c>
      <c r="CD421">
        <v>93961.270005032711</v>
      </c>
      <c r="CE421">
        <v>3734020.87</v>
      </c>
      <c r="CF421" t="s">
        <v>38</v>
      </c>
      <c r="CG421">
        <v>15500</v>
      </c>
      <c r="CH421">
        <v>109461.27000503273</v>
      </c>
      <c r="CI421">
        <v>615970</v>
      </c>
      <c r="CJ421">
        <v>4349990.87</v>
      </c>
      <c r="CN421">
        <v>0</v>
      </c>
      <c r="CO421" t="s">
        <v>39</v>
      </c>
      <c r="CP421" t="s">
        <v>39</v>
      </c>
      <c r="CQ421" t="b">
        <v>1</v>
      </c>
      <c r="CR421" t="s">
        <v>8950</v>
      </c>
      <c r="CT421" t="s">
        <v>8960</v>
      </c>
      <c r="CU421" t="s">
        <v>8973</v>
      </c>
      <c r="CV421" t="s">
        <v>6289</v>
      </c>
      <c r="CW421" t="s">
        <v>4895</v>
      </c>
      <c r="CX421" t="s">
        <v>3246</v>
      </c>
      <c r="CY421">
        <v>1.1599999999999966</v>
      </c>
      <c r="CZ421">
        <v>126975.07320583756</v>
      </c>
      <c r="DA421">
        <v>4349990.87</v>
      </c>
      <c r="DB421" t="s">
        <v>38</v>
      </c>
      <c r="DC421" t="b">
        <v>1</v>
      </c>
      <c r="DD421">
        <v>4349990.87</v>
      </c>
      <c r="DE421">
        <v>0</v>
      </c>
      <c r="DF421" t="b">
        <v>1</v>
      </c>
      <c r="DG421" s="420" cm="1">
        <f t="array" ref="DG421">_xlfn.XLOOKUP("Дом 4"&amp;Реестр_Д4[[#This Row],[№]]&amp;Реестр_Д4[[#This Row],[Статус]],РД[Дом]&amp;РД[№ кв]&amp;РД[Состояние],РД[Дата подачи на регистрацию],"-",0)</f>
        <v>45162</v>
      </c>
    </row>
    <row r="422" spans="1:111" x14ac:dyDescent="0.25">
      <c r="A422">
        <v>421</v>
      </c>
      <c r="B422" t="s">
        <v>15</v>
      </c>
      <c r="C422">
        <v>4</v>
      </c>
      <c r="D422">
        <v>2</v>
      </c>
      <c r="E422">
        <v>1</v>
      </c>
      <c r="F422">
        <v>14.29</v>
      </c>
      <c r="I422">
        <v>14.29</v>
      </c>
      <c r="J422">
        <v>12.32</v>
      </c>
      <c r="K422">
        <v>3.72</v>
      </c>
      <c r="N422">
        <v>6.91</v>
      </c>
      <c r="O422">
        <v>2.72</v>
      </c>
      <c r="Q422">
        <v>2.72</v>
      </c>
      <c r="R422">
        <v>39.96</v>
      </c>
      <c r="S422">
        <v>37.24</v>
      </c>
      <c r="T422">
        <v>38.6</v>
      </c>
      <c r="U422">
        <v>39.9</v>
      </c>
      <c r="V422">
        <v>71400</v>
      </c>
      <c r="W422">
        <v>3570</v>
      </c>
      <c r="X422">
        <v>74970</v>
      </c>
      <c r="Y422">
        <v>2998.8</v>
      </c>
      <c r="Z422">
        <v>77968.800000000003</v>
      </c>
      <c r="AA422">
        <v>3898.440000000001</v>
      </c>
      <c r="AB422">
        <v>81867.240000000005</v>
      </c>
      <c r="AC422">
        <v>10.069670520000001</v>
      </c>
      <c r="AD422">
        <v>81877.309670520001</v>
      </c>
      <c r="AE422">
        <v>4093.8654835259999</v>
      </c>
      <c r="AF422">
        <v>85971.175154045995</v>
      </c>
      <c r="AH422">
        <v>85971.175154045995</v>
      </c>
      <c r="AI422">
        <v>2579.1352546213802</v>
      </c>
      <c r="AJ422">
        <v>88550.31040866737</v>
      </c>
      <c r="AL422">
        <v>88550.31040866737</v>
      </c>
      <c r="AN422">
        <v>88550.31040866737</v>
      </c>
      <c r="AP422">
        <v>88550.31040866737</v>
      </c>
      <c r="AR422">
        <v>88550.31040866737</v>
      </c>
      <c r="AT422">
        <v>88550.31040866737</v>
      </c>
      <c r="AV422">
        <v>88550.31040866737</v>
      </c>
      <c r="AX422">
        <v>88550.31040866737</v>
      </c>
      <c r="AZ422">
        <v>88550.31040866737</v>
      </c>
      <c r="BB422">
        <v>88550.31040866737</v>
      </c>
      <c r="BD422">
        <v>88550.31040866737</v>
      </c>
      <c r="BF422">
        <v>88550.31040866737</v>
      </c>
      <c r="BH422">
        <v>88550.31040866737</v>
      </c>
      <c r="BJ422">
        <v>88550.31040866737</v>
      </c>
      <c r="BL422">
        <v>88550.31040866737</v>
      </c>
      <c r="BN422">
        <v>88550.31040866737</v>
      </c>
      <c r="BP422">
        <v>88550.31040866737</v>
      </c>
      <c r="BR422">
        <v>88550.31040866737</v>
      </c>
      <c r="BT422">
        <v>88550.31040866737</v>
      </c>
      <c r="BV422">
        <v>88550.31040866737</v>
      </c>
      <c r="BX422">
        <v>88550.31040866737</v>
      </c>
      <c r="BY422">
        <v>88550.31</v>
      </c>
      <c r="BZ422">
        <v>3418041.97</v>
      </c>
      <c r="CC422">
        <v>0</v>
      </c>
      <c r="CD422">
        <v>88550.310103626951</v>
      </c>
      <c r="CE422">
        <v>3418041.97</v>
      </c>
      <c r="CF422" t="s">
        <v>37</v>
      </c>
      <c r="CG422">
        <v>4000</v>
      </c>
      <c r="CH422">
        <v>92550.310103626951</v>
      </c>
      <c r="CI422">
        <v>154400</v>
      </c>
      <c r="CJ422">
        <v>3572441.97</v>
      </c>
      <c r="CN422">
        <v>0</v>
      </c>
      <c r="CO422" t="s">
        <v>39</v>
      </c>
      <c r="CP422" t="s">
        <v>39</v>
      </c>
      <c r="CQ422" t="b">
        <v>1</v>
      </c>
      <c r="CR422" t="s">
        <v>8950</v>
      </c>
      <c r="CT422" t="s">
        <v>8960</v>
      </c>
      <c r="CU422" t="s">
        <v>8973</v>
      </c>
      <c r="CV422" t="s">
        <v>6290</v>
      </c>
      <c r="CW422" t="s">
        <v>4895</v>
      </c>
      <c r="CX422" t="s">
        <v>3246</v>
      </c>
      <c r="CY422">
        <v>1.2999999999999972</v>
      </c>
      <c r="CZ422">
        <v>120315.40313471475</v>
      </c>
      <c r="DA422">
        <v>3572441.97</v>
      </c>
      <c r="DB422" t="s">
        <v>37</v>
      </c>
      <c r="DC422" t="b">
        <v>1</v>
      </c>
      <c r="DD422">
        <v>3572441.97</v>
      </c>
      <c r="DE422">
        <v>0</v>
      </c>
      <c r="DF422" t="b">
        <v>1</v>
      </c>
      <c r="DG422" s="420" cm="1">
        <f t="array" ref="DG422">_xlfn.XLOOKUP("Дом 4"&amp;Реестр_Д4[[#This Row],[№]]&amp;Реестр_Д4[[#This Row],[Статус]],РД[Дом]&amp;РД[№ кв]&amp;РД[Состояние],РД[Дата подачи на регистрацию],"-",0)</f>
        <v>45002</v>
      </c>
    </row>
    <row r="423" spans="1:111" x14ac:dyDescent="0.25">
      <c r="A423">
        <v>422</v>
      </c>
      <c r="B423" t="s">
        <v>15</v>
      </c>
      <c r="C423">
        <v>4</v>
      </c>
      <c r="D423">
        <v>3</v>
      </c>
      <c r="E423">
        <v>3</v>
      </c>
      <c r="F423">
        <v>16.05</v>
      </c>
      <c r="G423">
        <v>11.28</v>
      </c>
      <c r="H423">
        <v>10.82</v>
      </c>
      <c r="I423">
        <v>38.15</v>
      </c>
      <c r="J423">
        <v>17.41</v>
      </c>
      <c r="K423">
        <v>3.81</v>
      </c>
      <c r="L423">
        <v>1.87</v>
      </c>
      <c r="N423">
        <v>11.71</v>
      </c>
      <c r="O423">
        <v>2.65</v>
      </c>
      <c r="Q423">
        <v>2.65</v>
      </c>
      <c r="R423">
        <v>75.599999999999994</v>
      </c>
      <c r="S423">
        <v>72.949999999999989</v>
      </c>
      <c r="T423">
        <v>74.28</v>
      </c>
      <c r="U423">
        <v>75.8</v>
      </c>
      <c r="V423">
        <v>67737.600000000006</v>
      </c>
      <c r="W423">
        <v>3386.880000000001</v>
      </c>
      <c r="X423">
        <v>71124.48000000001</v>
      </c>
      <c r="Z423">
        <v>71124.48000000001</v>
      </c>
      <c r="AB423">
        <v>71124.48000000001</v>
      </c>
      <c r="AC423">
        <v>8.7483110400000026</v>
      </c>
      <c r="AD423">
        <v>71133.228311040017</v>
      </c>
      <c r="AF423">
        <v>71133.228311040017</v>
      </c>
      <c r="AH423">
        <v>71133.228311040017</v>
      </c>
      <c r="AJ423">
        <v>71133.228311040017</v>
      </c>
      <c r="AL423">
        <v>71133.228311040017</v>
      </c>
      <c r="AN423">
        <v>71133.228311040017</v>
      </c>
      <c r="AP423">
        <v>71133.228311040017</v>
      </c>
      <c r="AR423">
        <v>71133.228311040017</v>
      </c>
      <c r="AT423">
        <v>71133.228311040017</v>
      </c>
      <c r="AV423">
        <v>71133.228311040017</v>
      </c>
      <c r="AX423">
        <v>71133.228311040017</v>
      </c>
      <c r="AZ423">
        <v>71133.228311040017</v>
      </c>
      <c r="BB423">
        <v>71133.228311040017</v>
      </c>
      <c r="BD423">
        <v>71133.228311040017</v>
      </c>
      <c r="BF423">
        <v>71133.228311040017</v>
      </c>
      <c r="BH423">
        <v>71133.228311040017</v>
      </c>
      <c r="BJ423">
        <v>71133.228311040017</v>
      </c>
      <c r="BL423">
        <v>71133.228311040017</v>
      </c>
      <c r="BN423">
        <v>71133.228311040017</v>
      </c>
      <c r="BP423">
        <v>71133.228311040017</v>
      </c>
      <c r="BR423">
        <v>71133.228311040017</v>
      </c>
      <c r="BT423">
        <v>71133.228311040017</v>
      </c>
      <c r="BV423">
        <v>71133.228311040017</v>
      </c>
      <c r="BX423">
        <v>71133.228311040017</v>
      </c>
      <c r="BY423">
        <v>71133.23</v>
      </c>
      <c r="BZ423">
        <v>5283776.32</v>
      </c>
      <c r="CB423">
        <v>0.05</v>
      </c>
      <c r="CC423">
        <v>264188.81600000005</v>
      </c>
      <c r="CD423">
        <v>67576.568389876149</v>
      </c>
      <c r="CE423">
        <v>5019587.5</v>
      </c>
      <c r="CF423" t="s">
        <v>37</v>
      </c>
      <c r="CG423">
        <v>4000</v>
      </c>
      <c r="CH423">
        <v>71576.568389876149</v>
      </c>
      <c r="CI423">
        <v>297120</v>
      </c>
      <c r="CJ423">
        <v>5316707.5</v>
      </c>
      <c r="CK423" t="s">
        <v>57</v>
      </c>
      <c r="CL423" t="s">
        <v>3540</v>
      </c>
      <c r="CN423">
        <v>0</v>
      </c>
      <c r="CO423" t="s">
        <v>39</v>
      </c>
      <c r="CP423" t="s">
        <v>39</v>
      </c>
      <c r="CQ423" t="b">
        <v>1</v>
      </c>
      <c r="CR423" t="s">
        <v>8950</v>
      </c>
      <c r="CT423" t="s">
        <v>8960</v>
      </c>
      <c r="CU423" t="s">
        <v>8990</v>
      </c>
      <c r="CV423" t="s">
        <v>6291</v>
      </c>
      <c r="CW423" t="s">
        <v>4895</v>
      </c>
      <c r="CX423" t="s">
        <v>3246</v>
      </c>
      <c r="CY423">
        <v>1.519999999999996</v>
      </c>
      <c r="CZ423">
        <v>108796.38395261146</v>
      </c>
      <c r="DA423">
        <v>5316707.5</v>
      </c>
      <c r="DB423" t="s">
        <v>37</v>
      </c>
      <c r="DC423" t="b">
        <v>1</v>
      </c>
      <c r="DD423">
        <v>5316707.5</v>
      </c>
      <c r="DE423">
        <v>0</v>
      </c>
      <c r="DF423" t="b">
        <v>1</v>
      </c>
      <c r="DG423" s="420" cm="1">
        <f t="array" ref="DG423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424" spans="1:111" x14ac:dyDescent="0.25">
      <c r="A424">
        <v>423</v>
      </c>
      <c r="B424" t="s">
        <v>15</v>
      </c>
      <c r="C424">
        <v>4</v>
      </c>
      <c r="D424">
        <v>4</v>
      </c>
      <c r="E424">
        <v>1</v>
      </c>
      <c r="F424">
        <v>12.09</v>
      </c>
      <c r="I424">
        <v>12.09</v>
      </c>
      <c r="J424">
        <v>12.26</v>
      </c>
      <c r="K424">
        <v>3.71</v>
      </c>
      <c r="N424">
        <v>7.06</v>
      </c>
      <c r="O424">
        <v>2.75</v>
      </c>
      <c r="Q424">
        <v>2.75</v>
      </c>
      <c r="R424">
        <v>37.869999999999997</v>
      </c>
      <c r="S424">
        <v>35.119999999999997</v>
      </c>
      <c r="T424">
        <v>36.5</v>
      </c>
      <c r="U424">
        <v>37.9</v>
      </c>
      <c r="V424">
        <v>72100</v>
      </c>
      <c r="W424">
        <v>3605</v>
      </c>
      <c r="X424">
        <v>75705</v>
      </c>
      <c r="Y424">
        <v>3028.2000000000003</v>
      </c>
      <c r="Z424">
        <v>78733.2</v>
      </c>
      <c r="AA424">
        <v>3936.66</v>
      </c>
      <c r="AB424">
        <v>82669.86</v>
      </c>
      <c r="AC424">
        <v>10.16839278</v>
      </c>
      <c r="AD424">
        <v>82680.028392780005</v>
      </c>
      <c r="AE424">
        <v>4134.0014196390002</v>
      </c>
      <c r="AF424">
        <v>86814.029812419001</v>
      </c>
      <c r="AG424">
        <v>4340.7014906209506</v>
      </c>
      <c r="AH424">
        <v>91154.731303039953</v>
      </c>
      <c r="AI424">
        <v>2734.6419390911983</v>
      </c>
      <c r="AJ424">
        <v>93889.373242131158</v>
      </c>
      <c r="AK424">
        <v>938.8937324213116</v>
      </c>
      <c r="AL424">
        <v>94828.266974552476</v>
      </c>
      <c r="AM424">
        <v>1896.5653394910496</v>
      </c>
      <c r="AN424">
        <v>96724.832314043524</v>
      </c>
      <c r="AO424">
        <v>1934.4966462808704</v>
      </c>
      <c r="AP424">
        <v>98659.328960324405</v>
      </c>
      <c r="AQ424">
        <v>2959.7798688097314</v>
      </c>
      <c r="AR424">
        <v>101619.10882913411</v>
      </c>
      <c r="AT424">
        <v>101619.10882913411</v>
      </c>
      <c r="AU424">
        <v>3048.5732648740232</v>
      </c>
      <c r="AV424">
        <v>104667.68209400814</v>
      </c>
      <c r="AW424">
        <v>6280.0609256404878</v>
      </c>
      <c r="AX424">
        <v>110947.74301964862</v>
      </c>
      <c r="AZ424">
        <v>110947.74301964862</v>
      </c>
      <c r="BB424">
        <v>110947.74301964862</v>
      </c>
      <c r="BD424">
        <v>110947.74301964862</v>
      </c>
      <c r="BF424">
        <v>110947.74301964862</v>
      </c>
      <c r="BH424">
        <v>110947.74301964862</v>
      </c>
      <c r="BI424">
        <v>5547.3871509824312</v>
      </c>
      <c r="BJ424">
        <v>116495.13017063103</v>
      </c>
      <c r="BK424">
        <v>500</v>
      </c>
      <c r="BL424">
        <v>116995.13017063103</v>
      </c>
      <c r="BM424">
        <v>2339.9026034126209</v>
      </c>
      <c r="BN424">
        <v>119335.03277404366</v>
      </c>
      <c r="BP424">
        <v>119335.03277404366</v>
      </c>
      <c r="BR424">
        <v>119335.03277404366</v>
      </c>
      <c r="BT424">
        <v>119335.03277404366</v>
      </c>
      <c r="BV424">
        <v>119335.03277404366</v>
      </c>
      <c r="BX424">
        <v>119335.03277404366</v>
      </c>
      <c r="BY424">
        <v>119335.03</v>
      </c>
      <c r="BZ424">
        <v>4355800</v>
      </c>
      <c r="CC424">
        <v>0</v>
      </c>
      <c r="CD424">
        <v>119336.98630136986</v>
      </c>
      <c r="CE424">
        <v>4355800</v>
      </c>
      <c r="CF424" t="s">
        <v>38</v>
      </c>
      <c r="CG424">
        <v>22000</v>
      </c>
      <c r="CH424">
        <v>141336.98630136985</v>
      </c>
      <c r="CI424">
        <v>803000</v>
      </c>
      <c r="CJ424">
        <v>5158800</v>
      </c>
      <c r="CN424">
        <v>0</v>
      </c>
      <c r="CO424" t="s">
        <v>39</v>
      </c>
      <c r="CP424" t="s">
        <v>39</v>
      </c>
      <c r="CQ424" t="b">
        <v>1</v>
      </c>
      <c r="CR424" t="s">
        <v>8950</v>
      </c>
      <c r="CT424" t="s">
        <v>8960</v>
      </c>
      <c r="CU424" t="s">
        <v>8973</v>
      </c>
      <c r="CV424" t="s">
        <v>6292</v>
      </c>
      <c r="CW424" t="s">
        <v>6652</v>
      </c>
      <c r="CX424" t="s">
        <v>3246</v>
      </c>
      <c r="CY424">
        <v>1.3999999999999986</v>
      </c>
      <c r="CZ424">
        <v>197871.78082191761</v>
      </c>
      <c r="DA424">
        <v>5158800</v>
      </c>
      <c r="DB424" t="s">
        <v>38</v>
      </c>
      <c r="DC424" t="b">
        <v>1</v>
      </c>
      <c r="DD424">
        <v>5158800</v>
      </c>
      <c r="DE424">
        <v>0</v>
      </c>
      <c r="DF424" t="b">
        <v>1</v>
      </c>
      <c r="DG424" s="420" cm="1">
        <f t="array" ref="DG424">_xlfn.XLOOKUP("Дом 4"&amp;Реестр_Д4[[#This Row],[№]]&amp;Реестр_Д4[[#This Row],[Статус]],РД[Дом]&amp;РД[№ кв]&amp;РД[Состояние],РД[Дата подачи на регистрацию],"-",0)</f>
        <v>45405</v>
      </c>
    </row>
    <row r="425" spans="1:111" x14ac:dyDescent="0.25">
      <c r="A425">
        <v>424</v>
      </c>
      <c r="B425" t="s">
        <v>15</v>
      </c>
      <c r="C425">
        <v>4</v>
      </c>
      <c r="D425">
        <v>5</v>
      </c>
      <c r="E425">
        <v>2</v>
      </c>
      <c r="F425">
        <v>15.61</v>
      </c>
      <c r="G425">
        <v>12.02</v>
      </c>
      <c r="I425">
        <v>27.63</v>
      </c>
      <c r="J425">
        <v>13.1</v>
      </c>
      <c r="K425">
        <v>3.61</v>
      </c>
      <c r="L425">
        <v>1.82</v>
      </c>
      <c r="N425">
        <v>8.52</v>
      </c>
      <c r="O425">
        <v>2.72</v>
      </c>
      <c r="Q425">
        <v>2.72</v>
      </c>
      <c r="R425">
        <v>57.4</v>
      </c>
      <c r="S425">
        <v>54.68</v>
      </c>
      <c r="T425">
        <v>56.04</v>
      </c>
      <c r="U425">
        <v>57.9</v>
      </c>
      <c r="V425">
        <v>67972.800000000003</v>
      </c>
      <c r="W425">
        <v>3398.6400000000003</v>
      </c>
      <c r="X425">
        <v>71371.44</v>
      </c>
      <c r="Z425">
        <v>71371.44</v>
      </c>
      <c r="AA425">
        <v>3568.5720000000001</v>
      </c>
      <c r="AB425">
        <v>74940.012000000002</v>
      </c>
      <c r="AC425">
        <v>9.2176214760000015</v>
      </c>
      <c r="AD425">
        <v>74949.229621475999</v>
      </c>
      <c r="AF425">
        <v>74949.229621475999</v>
      </c>
      <c r="AH425">
        <v>74949.229621475999</v>
      </c>
      <c r="AI425">
        <v>1498.98459242952</v>
      </c>
      <c r="AJ425">
        <v>76448.214213905521</v>
      </c>
      <c r="AK425">
        <v>764.48214213905521</v>
      </c>
      <c r="AL425">
        <v>77212.696356044573</v>
      </c>
      <c r="AM425">
        <v>1544.2539271208916</v>
      </c>
      <c r="AN425">
        <v>78756.950283165468</v>
      </c>
      <c r="AP425">
        <v>78756.950283165468</v>
      </c>
      <c r="AR425">
        <v>78756.950283165468</v>
      </c>
      <c r="AT425">
        <v>78756.950283165468</v>
      </c>
      <c r="AV425">
        <v>78756.950283165468</v>
      </c>
      <c r="AX425">
        <v>78756.950283165468</v>
      </c>
      <c r="AZ425">
        <v>78756.950283165468</v>
      </c>
      <c r="BB425">
        <v>78756.950283165468</v>
      </c>
      <c r="BD425">
        <v>78756.950283165468</v>
      </c>
      <c r="BF425">
        <v>78756.950283165468</v>
      </c>
      <c r="BH425">
        <v>78756.950283165468</v>
      </c>
      <c r="BJ425">
        <v>78756.950283165468</v>
      </c>
      <c r="BL425">
        <v>78756.950283165468</v>
      </c>
      <c r="BN425">
        <v>78756.950283165468</v>
      </c>
      <c r="BP425">
        <v>78756.950283165468</v>
      </c>
      <c r="BR425">
        <v>78756.950283165468</v>
      </c>
      <c r="BT425">
        <v>78756.950283165468</v>
      </c>
      <c r="BV425">
        <v>78756.950283165468</v>
      </c>
      <c r="BX425">
        <v>78756.950283165468</v>
      </c>
      <c r="BY425">
        <v>78756.95</v>
      </c>
      <c r="BZ425">
        <v>4413539.4800000004</v>
      </c>
      <c r="CC425">
        <v>0</v>
      </c>
      <c r="CD425">
        <v>78756.950035688802</v>
      </c>
      <c r="CE425">
        <v>4413539.4800000004</v>
      </c>
      <c r="CF425" t="s">
        <v>37</v>
      </c>
      <c r="CG425">
        <v>4000</v>
      </c>
      <c r="CH425">
        <v>82756.950035688802</v>
      </c>
      <c r="CI425">
        <v>224160</v>
      </c>
      <c r="CJ425">
        <v>4637699.4800000004</v>
      </c>
      <c r="CN425">
        <v>0</v>
      </c>
      <c r="CO425" t="s">
        <v>39</v>
      </c>
      <c r="CP425" t="s">
        <v>39</v>
      </c>
      <c r="CQ425" t="b">
        <v>1</v>
      </c>
      <c r="CR425" t="s">
        <v>8950</v>
      </c>
      <c r="CT425" t="s">
        <v>8960</v>
      </c>
      <c r="CU425" t="s">
        <v>8974</v>
      </c>
      <c r="CV425" t="s">
        <v>6293</v>
      </c>
      <c r="CW425" t="s">
        <v>4895</v>
      </c>
      <c r="CX425" t="s">
        <v>3246</v>
      </c>
      <c r="CY425">
        <v>1.8599999999999992</v>
      </c>
      <c r="CZ425">
        <v>153927.92706638112</v>
      </c>
      <c r="DA425">
        <v>4637699.4800000004</v>
      </c>
      <c r="DB425" t="s">
        <v>37</v>
      </c>
      <c r="DC425" t="b">
        <v>1</v>
      </c>
      <c r="DD425">
        <v>4637699.4800000004</v>
      </c>
      <c r="DE425">
        <v>0</v>
      </c>
      <c r="DF425" t="b">
        <v>1</v>
      </c>
      <c r="DG425" s="420" cm="1">
        <f t="array" ref="DG425">_xlfn.XLOOKUP("Дом 4"&amp;Реестр_Д4[[#This Row],[№]]&amp;Реестр_Д4[[#This Row],[Статус]],РД[Дом]&amp;РД[№ кв]&amp;РД[Состояние],РД[Дата подачи на регистрацию],"-",0)</f>
        <v>45058</v>
      </c>
    </row>
    <row r="426" spans="1:111" x14ac:dyDescent="0.25">
      <c r="A426">
        <v>425</v>
      </c>
      <c r="B426" t="s">
        <v>15</v>
      </c>
      <c r="C426">
        <v>4</v>
      </c>
      <c r="D426">
        <v>6</v>
      </c>
      <c r="E426">
        <v>2</v>
      </c>
      <c r="F426">
        <v>15.61</v>
      </c>
      <c r="G426">
        <v>9.66</v>
      </c>
      <c r="I426">
        <v>25.27</v>
      </c>
      <c r="J426">
        <v>16.53</v>
      </c>
      <c r="K426">
        <v>3.63</v>
      </c>
      <c r="L426">
        <v>2.21</v>
      </c>
      <c r="N426">
        <v>9.6199999999999992</v>
      </c>
      <c r="O426">
        <v>2.72</v>
      </c>
      <c r="Q426">
        <v>2.72</v>
      </c>
      <c r="R426">
        <v>59.98</v>
      </c>
      <c r="S426">
        <v>57.26</v>
      </c>
      <c r="T426">
        <v>58.62</v>
      </c>
      <c r="U426">
        <v>60.500000000000007</v>
      </c>
      <c r="V426">
        <v>68639.199999999997</v>
      </c>
      <c r="W426">
        <v>3431.96</v>
      </c>
      <c r="X426">
        <v>72071.16</v>
      </c>
      <c r="Z426">
        <v>72071.16</v>
      </c>
      <c r="AA426">
        <v>3603.558</v>
      </c>
      <c r="AB426">
        <v>75674.717999999993</v>
      </c>
      <c r="AC426">
        <v>9.3079903140000013</v>
      </c>
      <c r="AD426">
        <v>75684.02599031401</v>
      </c>
      <c r="AF426">
        <v>75684.02599031401</v>
      </c>
      <c r="AH426">
        <v>75684.02599031401</v>
      </c>
      <c r="AI426">
        <v>1513.6805198062802</v>
      </c>
      <c r="AJ426">
        <v>77197.70651012029</v>
      </c>
      <c r="AK426">
        <v>771.97706510120292</v>
      </c>
      <c r="AL426">
        <v>77969.683575221497</v>
      </c>
      <c r="AM426">
        <v>1559.3936715044299</v>
      </c>
      <c r="AN426">
        <v>79529.077246725923</v>
      </c>
      <c r="AO426">
        <v>2385.8723174017778</v>
      </c>
      <c r="AP426">
        <v>81914.949564127703</v>
      </c>
      <c r="AQ426">
        <v>2457.4484869238308</v>
      </c>
      <c r="AR426">
        <v>84372.398051051539</v>
      </c>
      <c r="AT426">
        <v>84372.398051051539</v>
      </c>
      <c r="AV426">
        <v>84372.398051051539</v>
      </c>
      <c r="AX426">
        <v>84372.398051051539</v>
      </c>
      <c r="AZ426">
        <v>84372.398051051539</v>
      </c>
      <c r="BB426">
        <v>84372.398051051539</v>
      </c>
      <c r="BD426">
        <v>84372.398051051539</v>
      </c>
      <c r="BF426">
        <v>84372.398051051539</v>
      </c>
      <c r="BH426">
        <v>84372.398051051539</v>
      </c>
      <c r="BJ426">
        <v>84372.398051051539</v>
      </c>
      <c r="BL426">
        <v>84372.398051051539</v>
      </c>
      <c r="BN426">
        <v>84372.398051051539</v>
      </c>
      <c r="BP426">
        <v>84372.398051051539</v>
      </c>
      <c r="BR426">
        <v>84372.398051051539</v>
      </c>
      <c r="BT426">
        <v>84372.398051051539</v>
      </c>
      <c r="BV426">
        <v>84372.398051051539</v>
      </c>
      <c r="BX426">
        <v>84372.398051051539</v>
      </c>
      <c r="BY426">
        <v>84372.4</v>
      </c>
      <c r="BZ426">
        <v>4945910.09</v>
      </c>
      <c r="CB426">
        <v>0.03</v>
      </c>
      <c r="CC426">
        <v>148377.3027</v>
      </c>
      <c r="CD426">
        <v>81841.22807915388</v>
      </c>
      <c r="CE426">
        <v>4797532.79</v>
      </c>
      <c r="CF426" t="s">
        <v>38</v>
      </c>
      <c r="CG426">
        <v>15500</v>
      </c>
      <c r="CH426">
        <v>97341.22807915388</v>
      </c>
      <c r="CI426">
        <v>908610</v>
      </c>
      <c r="CJ426">
        <v>5706142.79</v>
      </c>
      <c r="CL426" t="s">
        <v>3540</v>
      </c>
      <c r="CN426">
        <v>0</v>
      </c>
      <c r="CO426" t="s">
        <v>39</v>
      </c>
      <c r="CP426" t="s">
        <v>39</v>
      </c>
      <c r="CQ426" t="b">
        <v>1</v>
      </c>
      <c r="CR426" t="s">
        <v>8950</v>
      </c>
      <c r="CT426" t="s">
        <v>8960</v>
      </c>
      <c r="CU426" t="s">
        <v>8971</v>
      </c>
      <c r="CV426" t="s">
        <v>6294</v>
      </c>
      <c r="CW426" t="s">
        <v>4895</v>
      </c>
      <c r="CX426" t="s">
        <v>3246</v>
      </c>
      <c r="CY426">
        <v>1.8800000000000097</v>
      </c>
      <c r="CZ426">
        <v>183001.50878881023</v>
      </c>
      <c r="DA426">
        <v>5706142.79</v>
      </c>
      <c r="DB426" t="s">
        <v>38</v>
      </c>
      <c r="DC426" t="b">
        <v>1</v>
      </c>
      <c r="DD426">
        <v>5706142.79</v>
      </c>
      <c r="DE426">
        <v>0</v>
      </c>
      <c r="DF426" t="b">
        <v>1</v>
      </c>
      <c r="DG426" s="420" cm="1">
        <f t="array" ref="DG426">_xlfn.XLOOKUP("Дом 4"&amp;Реестр_Д4[[#This Row],[№]]&amp;Реестр_Д4[[#This Row],[Статус]],РД[Дом]&amp;РД[№ кв]&amp;РД[Состояние],РД[Дата подачи на регистрацию],"-",0)</f>
        <v>45162</v>
      </c>
    </row>
    <row r="427" spans="1:111" x14ac:dyDescent="0.25">
      <c r="A427">
        <v>426</v>
      </c>
      <c r="B427" t="s">
        <v>15</v>
      </c>
      <c r="C427">
        <v>4</v>
      </c>
      <c r="D427">
        <v>7</v>
      </c>
      <c r="E427">
        <v>2</v>
      </c>
      <c r="F427">
        <v>11.83</v>
      </c>
      <c r="G427">
        <v>11.4</v>
      </c>
      <c r="I427">
        <v>23.23</v>
      </c>
      <c r="J427">
        <v>27.16</v>
      </c>
      <c r="K427">
        <v>5.28</v>
      </c>
      <c r="L427">
        <v>1.75</v>
      </c>
      <c r="N427">
        <v>8.67</v>
      </c>
      <c r="O427">
        <v>2.8</v>
      </c>
      <c r="Q427">
        <v>2.8</v>
      </c>
      <c r="R427">
        <v>68.89</v>
      </c>
      <c r="S427">
        <v>66.09</v>
      </c>
      <c r="T427">
        <v>67.489999999999995</v>
      </c>
      <c r="U427">
        <v>69.2</v>
      </c>
      <c r="V427">
        <v>69972</v>
      </c>
      <c r="W427">
        <v>3498.6000000000004</v>
      </c>
      <c r="X427">
        <v>73470.600000000006</v>
      </c>
      <c r="Z427">
        <v>73470.600000000006</v>
      </c>
      <c r="AA427">
        <v>3673.5300000000007</v>
      </c>
      <c r="AB427">
        <v>77144.13</v>
      </c>
      <c r="AC427">
        <v>9.4887279899999992</v>
      </c>
      <c r="AD427">
        <v>77153.618727990004</v>
      </c>
      <c r="AF427">
        <v>77153.618727990004</v>
      </c>
      <c r="AH427">
        <v>77153.618727990004</v>
      </c>
      <c r="AI427">
        <v>1543.0723745598002</v>
      </c>
      <c r="AJ427">
        <v>78696.691102549798</v>
      </c>
      <c r="AL427">
        <v>78696.691102549798</v>
      </c>
      <c r="AN427">
        <v>78696.691102549798</v>
      </c>
      <c r="AP427">
        <v>78696.691102549798</v>
      </c>
      <c r="AR427">
        <v>78696.691102549798</v>
      </c>
      <c r="AT427">
        <v>78696.691102549798</v>
      </c>
      <c r="AV427">
        <v>78696.691102549798</v>
      </c>
      <c r="AX427">
        <v>78696.691102549798</v>
      </c>
      <c r="AZ427">
        <v>78696.691102549798</v>
      </c>
      <c r="BB427">
        <v>78696.691102549798</v>
      </c>
      <c r="BD427">
        <v>78696.691102549798</v>
      </c>
      <c r="BF427">
        <v>78696.691102549798</v>
      </c>
      <c r="BH427">
        <v>78696.691102549798</v>
      </c>
      <c r="BJ427">
        <v>78696.691102549798</v>
      </c>
      <c r="BL427">
        <v>78696.691102549798</v>
      </c>
      <c r="BN427">
        <v>78696.691102549798</v>
      </c>
      <c r="BP427">
        <v>78696.691102549798</v>
      </c>
      <c r="BR427">
        <v>78696.691102549798</v>
      </c>
      <c r="BT427">
        <v>78696.691102549798</v>
      </c>
      <c r="BV427">
        <v>78696.691102549798</v>
      </c>
      <c r="BX427">
        <v>78696.691102549798</v>
      </c>
      <c r="BY427">
        <v>78696.69</v>
      </c>
      <c r="BZ427">
        <v>5311239.6100000003</v>
      </c>
      <c r="CC427">
        <v>0</v>
      </c>
      <c r="CD427">
        <v>78696.690028152327</v>
      </c>
      <c r="CE427">
        <v>5311239.6100000003</v>
      </c>
      <c r="CF427" t="s">
        <v>37</v>
      </c>
      <c r="CG427">
        <v>4000</v>
      </c>
      <c r="CH427">
        <v>82696.690028152327</v>
      </c>
      <c r="CI427">
        <v>269960</v>
      </c>
      <c r="CJ427">
        <v>5581199.6100000003</v>
      </c>
      <c r="CK427" t="s">
        <v>57</v>
      </c>
      <c r="CN427">
        <v>0</v>
      </c>
      <c r="CO427" t="s">
        <v>39</v>
      </c>
      <c r="CP427" t="s">
        <v>39</v>
      </c>
      <c r="CQ427" t="b">
        <v>1</v>
      </c>
      <c r="CR427" t="s">
        <v>8950</v>
      </c>
      <c r="CT427" t="s">
        <v>8960</v>
      </c>
      <c r="CU427" t="s">
        <v>8971</v>
      </c>
      <c r="CV427" t="s">
        <v>6295</v>
      </c>
      <c r="CW427" t="s">
        <v>4895</v>
      </c>
      <c r="CX427" t="s">
        <v>3246</v>
      </c>
      <c r="CY427">
        <v>1.710000000000008</v>
      </c>
      <c r="CZ427">
        <v>141411.33994814113</v>
      </c>
      <c r="DA427">
        <v>5581199.6100000003</v>
      </c>
      <c r="DB427" t="s">
        <v>37</v>
      </c>
      <c r="DC427" t="b">
        <v>1</v>
      </c>
      <c r="DD427">
        <v>5581199.6100000003</v>
      </c>
      <c r="DE427">
        <v>0</v>
      </c>
      <c r="DF427" t="b">
        <v>1</v>
      </c>
      <c r="DG427" s="420" cm="1">
        <f t="array" ref="DG427">_xlfn.XLOOKUP("Дом 4"&amp;Реестр_Д4[[#This Row],[№]]&amp;Реестр_Д4[[#This Row],[Статус]],РД[Дом]&amp;РД[№ кв]&amp;РД[Состояние],РД[Дата подачи на регистрацию],"-",0)</f>
        <v>45005</v>
      </c>
    </row>
    <row r="428" spans="1:111" x14ac:dyDescent="0.25">
      <c r="A428">
        <v>427</v>
      </c>
      <c r="B428" t="s">
        <v>15</v>
      </c>
      <c r="C428">
        <v>4</v>
      </c>
      <c r="D428">
        <v>8</v>
      </c>
      <c r="E428">
        <v>2</v>
      </c>
      <c r="F428">
        <v>17.25</v>
      </c>
      <c r="G428">
        <v>14.07</v>
      </c>
      <c r="I428">
        <v>31.32</v>
      </c>
      <c r="J428">
        <v>14.23</v>
      </c>
      <c r="K428">
        <v>3.81</v>
      </c>
      <c r="L428">
        <v>1.75</v>
      </c>
      <c r="N428">
        <v>11.07</v>
      </c>
      <c r="O428">
        <v>3.12</v>
      </c>
      <c r="Q428">
        <v>3.12</v>
      </c>
      <c r="R428">
        <v>65.3</v>
      </c>
      <c r="S428">
        <v>62.18</v>
      </c>
      <c r="T428">
        <v>63.74</v>
      </c>
      <c r="U428">
        <v>65.400000000000006</v>
      </c>
      <c r="V428">
        <v>68639.199999999997</v>
      </c>
      <c r="W428">
        <v>3431.96</v>
      </c>
      <c r="X428">
        <v>72071.16</v>
      </c>
      <c r="Z428">
        <v>72071.16</v>
      </c>
      <c r="AA428">
        <v>3603.558</v>
      </c>
      <c r="AB428">
        <v>75674.717999999993</v>
      </c>
      <c r="AC428">
        <v>9.3079903140000013</v>
      </c>
      <c r="AD428">
        <v>75684.02599031401</v>
      </c>
      <c r="AF428">
        <v>75684.02599031401</v>
      </c>
      <c r="AH428">
        <v>75684.02599031401</v>
      </c>
      <c r="AI428">
        <v>1513.6805198062802</v>
      </c>
      <c r="AJ428">
        <v>77197.70651012029</v>
      </c>
      <c r="AK428">
        <v>771.97706510120292</v>
      </c>
      <c r="AL428">
        <v>77969.683575221497</v>
      </c>
      <c r="AM428">
        <v>1559.3936715044299</v>
      </c>
      <c r="AN428">
        <v>79529.077246725923</v>
      </c>
      <c r="AP428">
        <v>79529.077246725923</v>
      </c>
      <c r="AQ428">
        <v>2385.8723174017778</v>
      </c>
      <c r="AR428">
        <v>81914.949564127703</v>
      </c>
      <c r="AT428">
        <v>81914.949564127703</v>
      </c>
      <c r="AU428">
        <v>2457.4484869238308</v>
      </c>
      <c r="AV428">
        <v>84372.398051051539</v>
      </c>
      <c r="AX428">
        <v>84372.398051051539</v>
      </c>
      <c r="AZ428">
        <v>84372.398051051539</v>
      </c>
      <c r="BB428">
        <v>84372.398051051539</v>
      </c>
      <c r="BD428">
        <v>84372.398051051539</v>
      </c>
      <c r="BF428">
        <v>84372.398051051539</v>
      </c>
      <c r="BH428">
        <v>84372.398051051539</v>
      </c>
      <c r="BJ428">
        <v>84372.398051051539</v>
      </c>
      <c r="BL428">
        <v>84372.398051051539</v>
      </c>
      <c r="BN428">
        <v>84372.398051051539</v>
      </c>
      <c r="BP428">
        <v>84372.398051051539</v>
      </c>
      <c r="BR428">
        <v>84372.398051051539</v>
      </c>
      <c r="BT428">
        <v>84372.398051051539</v>
      </c>
      <c r="BV428">
        <v>84372.398051051539</v>
      </c>
      <c r="BX428">
        <v>84372.398051051539</v>
      </c>
      <c r="BY428">
        <v>84372.4</v>
      </c>
      <c r="BZ428">
        <v>5377900</v>
      </c>
      <c r="CA428">
        <v>30000</v>
      </c>
      <c r="CC428">
        <v>30000</v>
      </c>
      <c r="CD428">
        <v>83901.788515845619</v>
      </c>
      <c r="CE428">
        <v>5347900</v>
      </c>
      <c r="CF428" t="s">
        <v>37</v>
      </c>
      <c r="CG428">
        <v>7500</v>
      </c>
      <c r="CH428">
        <v>91401.788515845619</v>
      </c>
      <c r="CI428">
        <v>478050</v>
      </c>
      <c r="CJ428">
        <v>5825950</v>
      </c>
      <c r="CL428" t="s">
        <v>6732</v>
      </c>
      <c r="CN428">
        <v>0</v>
      </c>
      <c r="CO428" t="s">
        <v>39</v>
      </c>
      <c r="CP428" t="s">
        <v>39</v>
      </c>
      <c r="CQ428" t="b">
        <v>1</v>
      </c>
      <c r="CR428" t="s">
        <v>8950</v>
      </c>
      <c r="CT428" t="s">
        <v>8960</v>
      </c>
      <c r="CU428" t="s">
        <v>8971</v>
      </c>
      <c r="CV428" t="s">
        <v>6296</v>
      </c>
      <c r="CW428" t="s">
        <v>6652</v>
      </c>
      <c r="CX428" t="s">
        <v>3246</v>
      </c>
      <c r="CY428">
        <v>1.6600000000000037</v>
      </c>
      <c r="CZ428">
        <v>151726.96893630407</v>
      </c>
      <c r="DA428">
        <v>5825950</v>
      </c>
      <c r="DB428" t="s">
        <v>37</v>
      </c>
      <c r="DC428" t="b">
        <v>1</v>
      </c>
      <c r="DD428">
        <v>5825950</v>
      </c>
      <c r="DE428">
        <v>0</v>
      </c>
      <c r="DF428" t="b">
        <v>1</v>
      </c>
      <c r="DG428" s="420" cm="1">
        <f t="array" ref="DG428">_xlfn.XLOOKUP("Дом 4"&amp;Реестр_Д4[[#This Row],[№]]&amp;Реестр_Д4[[#This Row],[Статус]],РД[Дом]&amp;РД[№ кв]&amp;РД[Состояние],РД[Дата подачи на регистрацию],"-",0)</f>
        <v>45285</v>
      </c>
    </row>
    <row r="429" spans="1:111" x14ac:dyDescent="0.25">
      <c r="A429">
        <v>428</v>
      </c>
      <c r="B429" t="s">
        <v>15</v>
      </c>
      <c r="C429">
        <v>4</v>
      </c>
      <c r="D429">
        <v>9</v>
      </c>
      <c r="E429">
        <v>1</v>
      </c>
      <c r="F429">
        <v>16.46</v>
      </c>
      <c r="I429">
        <v>16.46</v>
      </c>
      <c r="J429">
        <v>14.25</v>
      </c>
      <c r="K429">
        <v>3.92</v>
      </c>
      <c r="N429">
        <v>8.2200000000000006</v>
      </c>
      <c r="O429">
        <v>3.03</v>
      </c>
      <c r="Q429">
        <v>3.03</v>
      </c>
      <c r="R429">
        <v>45.88</v>
      </c>
      <c r="S429">
        <v>42.85</v>
      </c>
      <c r="T429">
        <v>44.37</v>
      </c>
      <c r="U429">
        <v>45.8</v>
      </c>
      <c r="V429">
        <v>72100</v>
      </c>
      <c r="W429">
        <v>3605</v>
      </c>
      <c r="X429">
        <v>75705</v>
      </c>
      <c r="Z429">
        <v>75705</v>
      </c>
      <c r="AA429">
        <v>3785.25</v>
      </c>
      <c r="AB429">
        <v>79490.25</v>
      </c>
      <c r="AC429">
        <v>9.7773007500000002</v>
      </c>
      <c r="AD429">
        <v>79500.027300750007</v>
      </c>
      <c r="AE429">
        <v>3975.0013650375008</v>
      </c>
      <c r="AF429">
        <v>83475.028665787511</v>
      </c>
      <c r="AH429">
        <v>83475.028665787511</v>
      </c>
      <c r="AI429">
        <v>2504.2508599736252</v>
      </c>
      <c r="AJ429">
        <v>85979.279525761129</v>
      </c>
      <c r="AK429">
        <v>859.79279525761149</v>
      </c>
      <c r="AL429">
        <v>86839.072321018757</v>
      </c>
      <c r="AM429">
        <v>1736.7814464203752</v>
      </c>
      <c r="AN429">
        <v>88575.853767439126</v>
      </c>
      <c r="AO429">
        <v>1771.5170753487826</v>
      </c>
      <c r="AP429">
        <v>90347.370842787903</v>
      </c>
      <c r="AQ429">
        <v>2710.4211252836371</v>
      </c>
      <c r="AR429">
        <v>93057.791968071542</v>
      </c>
      <c r="AT429">
        <v>93057.791968071542</v>
      </c>
      <c r="AU429">
        <v>2791.7337590421462</v>
      </c>
      <c r="AV429">
        <v>95849.525727113694</v>
      </c>
      <c r="AX429">
        <v>95849.525727113694</v>
      </c>
      <c r="AZ429">
        <v>95849.525727113694</v>
      </c>
      <c r="BB429">
        <v>95849.525727113694</v>
      </c>
      <c r="BD429">
        <v>95849.525727113694</v>
      </c>
      <c r="BF429">
        <v>95849.525727113694</v>
      </c>
      <c r="BH429">
        <v>95849.525727113694</v>
      </c>
      <c r="BJ429">
        <v>95849.525727113694</v>
      </c>
      <c r="BL429">
        <v>95849.525727113694</v>
      </c>
      <c r="BN429">
        <v>95849.525727113694</v>
      </c>
      <c r="BP429">
        <v>95849.525727113694</v>
      </c>
      <c r="BR429">
        <v>95849.525727113694</v>
      </c>
      <c r="BT429">
        <v>95849.525727113694</v>
      </c>
      <c r="BV429">
        <v>95849.525727113694</v>
      </c>
      <c r="BX429">
        <v>95849.525727113694</v>
      </c>
      <c r="BY429">
        <v>95849.53</v>
      </c>
      <c r="BZ429">
        <v>4252843.6500000004</v>
      </c>
      <c r="CC429">
        <v>0</v>
      </c>
      <c r="CD429">
        <v>95849.530087897248</v>
      </c>
      <c r="CE429">
        <v>4252843.6500000004</v>
      </c>
      <c r="CF429" t="s">
        <v>36</v>
      </c>
      <c r="CH429">
        <v>95849.530087897248</v>
      </c>
      <c r="CI429">
        <v>0</v>
      </c>
      <c r="CJ429">
        <v>4252843.6500000004</v>
      </c>
      <c r="CN429">
        <v>0</v>
      </c>
      <c r="CO429" t="s">
        <v>39</v>
      </c>
      <c r="CP429" t="s">
        <v>39</v>
      </c>
      <c r="CQ429" t="b">
        <v>1</v>
      </c>
      <c r="CR429" t="s">
        <v>8950</v>
      </c>
      <c r="CT429" t="s">
        <v>8960</v>
      </c>
      <c r="CU429" t="s">
        <v>8972</v>
      </c>
      <c r="CV429" t="s">
        <v>6297</v>
      </c>
      <c r="CW429" t="s">
        <v>4895</v>
      </c>
      <c r="CX429" t="s">
        <v>3246</v>
      </c>
      <c r="CY429">
        <v>1.4299999999999995</v>
      </c>
      <c r="CZ429">
        <v>137064.82802569304</v>
      </c>
      <c r="DA429">
        <v>4252843.6500000004</v>
      </c>
      <c r="DB429" t="s">
        <v>36</v>
      </c>
      <c r="DC429" t="b">
        <v>1</v>
      </c>
      <c r="DD429">
        <v>4252843.6500000004</v>
      </c>
      <c r="DE429">
        <v>0</v>
      </c>
      <c r="DF429" t="b">
        <v>1</v>
      </c>
      <c r="DG429" s="420" cm="1">
        <f t="array" ref="DG429">_xlfn.XLOOKUP("Дом 4"&amp;Реестр_Д4[[#This Row],[№]]&amp;Реестр_Д4[[#This Row],[Статус]],РД[Дом]&amp;РД[№ кв]&amp;РД[Состояние],РД[Дата подачи на регистрацию],"-",0)</f>
        <v>45257</v>
      </c>
    </row>
    <row r="430" spans="1:111" x14ac:dyDescent="0.25">
      <c r="A430">
        <v>429</v>
      </c>
      <c r="B430" t="s">
        <v>15</v>
      </c>
      <c r="C430">
        <v>5</v>
      </c>
      <c r="D430">
        <v>1</v>
      </c>
      <c r="E430">
        <v>1</v>
      </c>
      <c r="F430">
        <v>14.05</v>
      </c>
      <c r="I430">
        <v>14.05</v>
      </c>
      <c r="J430">
        <v>12.32</v>
      </c>
      <c r="K430">
        <v>3.87</v>
      </c>
      <c r="N430">
        <v>8.14</v>
      </c>
      <c r="O430">
        <v>2.72</v>
      </c>
      <c r="Q430">
        <v>2.72</v>
      </c>
      <c r="R430">
        <v>41.1</v>
      </c>
      <c r="S430">
        <v>38.380000000000003</v>
      </c>
      <c r="T430">
        <v>39.74</v>
      </c>
      <c r="U430">
        <v>40.999999999999993</v>
      </c>
      <c r="V430">
        <v>71400</v>
      </c>
      <c r="W430">
        <v>3570</v>
      </c>
      <c r="X430">
        <v>74970</v>
      </c>
      <c r="Y430">
        <v>2998.8</v>
      </c>
      <c r="Z430">
        <v>77968.800000000003</v>
      </c>
      <c r="AA430">
        <v>3898.440000000001</v>
      </c>
      <c r="AB430">
        <v>81867.240000000005</v>
      </c>
      <c r="AC430">
        <v>10.069670520000001</v>
      </c>
      <c r="AD430">
        <v>81877.309670520001</v>
      </c>
      <c r="AE430">
        <v>4093.8654835259999</v>
      </c>
      <c r="AF430">
        <v>85971.175154045995</v>
      </c>
      <c r="AH430">
        <v>85971.175154045995</v>
      </c>
      <c r="AI430">
        <v>2579.1352546213802</v>
      </c>
      <c r="AJ430">
        <v>88550.31040866737</v>
      </c>
      <c r="AK430">
        <v>885.50310408667372</v>
      </c>
      <c r="AL430">
        <v>89435.813512754044</v>
      </c>
      <c r="AM430">
        <v>1788.7162702550809</v>
      </c>
      <c r="AN430">
        <v>91224.529783009129</v>
      </c>
      <c r="AO430">
        <v>1824.4905956601824</v>
      </c>
      <c r="AP430">
        <v>93049.020378669316</v>
      </c>
      <c r="AQ430">
        <v>2791.4706113600796</v>
      </c>
      <c r="AR430">
        <v>95840.490990029415</v>
      </c>
      <c r="AT430">
        <v>95840.490990029415</v>
      </c>
      <c r="AV430">
        <v>95840.490990029415</v>
      </c>
      <c r="AX430">
        <v>95840.490990029415</v>
      </c>
      <c r="AZ430">
        <v>95840.490990029415</v>
      </c>
      <c r="BB430">
        <v>95840.490990029415</v>
      </c>
      <c r="BD430">
        <v>95840.490990029415</v>
      </c>
      <c r="BF430">
        <v>95840.490990029415</v>
      </c>
      <c r="BH430">
        <v>95840.490990029415</v>
      </c>
      <c r="BJ430">
        <v>95840.490990029415</v>
      </c>
      <c r="BL430">
        <v>95840.490990029415</v>
      </c>
      <c r="BN430">
        <v>95840.490990029415</v>
      </c>
      <c r="BP430">
        <v>95840.490990029415</v>
      </c>
      <c r="BR430">
        <v>95840.490990029415</v>
      </c>
      <c r="BT430">
        <v>95840.490990029415</v>
      </c>
      <c r="BV430">
        <v>95840.490990029415</v>
      </c>
      <c r="BX430">
        <v>95840.490990029415</v>
      </c>
      <c r="BY430">
        <v>95840.49</v>
      </c>
      <c r="BZ430">
        <v>3808701.07</v>
      </c>
      <c r="CA430">
        <v>178830</v>
      </c>
      <c r="CC430">
        <v>178830</v>
      </c>
      <c r="CD430">
        <v>91340.489934574725</v>
      </c>
      <c r="CE430">
        <v>3629871.07</v>
      </c>
      <c r="CF430" t="s">
        <v>37</v>
      </c>
      <c r="CG430">
        <v>4500</v>
      </c>
      <c r="CH430">
        <v>95840.489934574725</v>
      </c>
      <c r="CI430">
        <v>178830</v>
      </c>
      <c r="CJ430">
        <v>3808701.07</v>
      </c>
      <c r="CL430" t="s">
        <v>4837</v>
      </c>
      <c r="CN430">
        <v>0</v>
      </c>
      <c r="CO430" t="s">
        <v>39</v>
      </c>
      <c r="CP430" t="s">
        <v>39</v>
      </c>
      <c r="CQ430" t="b">
        <v>1</v>
      </c>
      <c r="CR430" t="s">
        <v>8950</v>
      </c>
      <c r="CT430" t="s">
        <v>8960</v>
      </c>
      <c r="CU430" t="s">
        <v>8973</v>
      </c>
      <c r="CV430" t="s">
        <v>6298</v>
      </c>
      <c r="CW430" t="s">
        <v>4895</v>
      </c>
      <c r="CX430" t="s">
        <v>3246</v>
      </c>
      <c r="CY430">
        <v>1.2599999999999909</v>
      </c>
      <c r="CZ430">
        <v>120759.01731756328</v>
      </c>
      <c r="DA430">
        <v>3808701.07</v>
      </c>
      <c r="DB430" t="s">
        <v>37</v>
      </c>
      <c r="DC430" t="b">
        <v>1</v>
      </c>
      <c r="DD430">
        <v>3808701.07</v>
      </c>
      <c r="DE430">
        <v>0</v>
      </c>
      <c r="DF430" t="b">
        <v>1</v>
      </c>
      <c r="DG430" s="420" cm="1">
        <f t="array" ref="DG430">_xlfn.XLOOKUP("Дом 4"&amp;Реестр_Д4[[#This Row],[№]]&amp;Реестр_Д4[[#This Row],[Статус]],РД[Дом]&amp;РД[№ кв]&amp;РД[Состояние],РД[Дата подачи на регистрацию],"-",0)</f>
        <v>45135</v>
      </c>
    </row>
    <row r="431" spans="1:111" x14ac:dyDescent="0.25">
      <c r="A431">
        <v>430</v>
      </c>
      <c r="B431" t="s">
        <v>15</v>
      </c>
      <c r="C431">
        <v>5</v>
      </c>
      <c r="D431">
        <v>2</v>
      </c>
      <c r="E431">
        <v>1</v>
      </c>
      <c r="F431">
        <v>14.29</v>
      </c>
      <c r="I431">
        <v>14.29</v>
      </c>
      <c r="J431">
        <v>12.32</v>
      </c>
      <c r="K431">
        <v>3.72</v>
      </c>
      <c r="N431">
        <v>6.91</v>
      </c>
      <c r="O431">
        <v>2.72</v>
      </c>
      <c r="Q431">
        <v>2.72</v>
      </c>
      <c r="R431">
        <v>39.96</v>
      </c>
      <c r="S431">
        <v>37.24</v>
      </c>
      <c r="T431">
        <v>38.6</v>
      </c>
      <c r="U431">
        <v>39.9</v>
      </c>
      <c r="V431">
        <v>71400</v>
      </c>
      <c r="W431">
        <v>3570</v>
      </c>
      <c r="X431">
        <v>74970</v>
      </c>
      <c r="Y431">
        <v>2998.8</v>
      </c>
      <c r="Z431">
        <v>77968.800000000003</v>
      </c>
      <c r="AA431">
        <v>3898.440000000001</v>
      </c>
      <c r="AB431">
        <v>81867.240000000005</v>
      </c>
      <c r="AC431">
        <v>10.069670520000001</v>
      </c>
      <c r="AD431">
        <v>81877.309670520001</v>
      </c>
      <c r="AE431">
        <v>4093.8654835259999</v>
      </c>
      <c r="AF431">
        <v>85971.175154045995</v>
      </c>
      <c r="AH431">
        <v>85971.175154045995</v>
      </c>
      <c r="AI431">
        <v>2579.1352546213802</v>
      </c>
      <c r="AJ431">
        <v>88550.31040866737</v>
      </c>
      <c r="AK431">
        <v>885.50310408667372</v>
      </c>
      <c r="AL431">
        <v>89435.813512754044</v>
      </c>
      <c r="AM431">
        <v>1788.7162702550809</v>
      </c>
      <c r="AN431">
        <v>91224.529783009129</v>
      </c>
      <c r="AO431">
        <v>1824.4905956601824</v>
      </c>
      <c r="AP431">
        <v>93049.020378669316</v>
      </c>
      <c r="AQ431">
        <v>2791.4706113600796</v>
      </c>
      <c r="AR431">
        <v>95840.490990029415</v>
      </c>
      <c r="AT431">
        <v>95840.490990029415</v>
      </c>
      <c r="AU431">
        <v>2875.2147297008819</v>
      </c>
      <c r="AV431">
        <v>98715.705719730278</v>
      </c>
      <c r="AX431">
        <v>98715.705719730278</v>
      </c>
      <c r="AZ431">
        <v>98715.705719730278</v>
      </c>
      <c r="BB431">
        <v>98715.705719730278</v>
      </c>
      <c r="BD431">
        <v>98715.705719730278</v>
      </c>
      <c r="BF431">
        <v>98715.705719730278</v>
      </c>
      <c r="BH431">
        <v>98715.705719730278</v>
      </c>
      <c r="BJ431">
        <v>98715.705719730278</v>
      </c>
      <c r="BL431">
        <v>98715.705719730278</v>
      </c>
      <c r="BN431">
        <v>98715.705719730278</v>
      </c>
      <c r="BP431">
        <v>98715.705719730278</v>
      </c>
      <c r="BR431">
        <v>98715.705719730278</v>
      </c>
      <c r="BT431">
        <v>98715.705719730278</v>
      </c>
      <c r="BV431">
        <v>98715.705719730278</v>
      </c>
      <c r="BX431">
        <v>98715.705719730278</v>
      </c>
      <c r="BY431">
        <v>98715.71</v>
      </c>
      <c r="BZ431">
        <v>3810426.41</v>
      </c>
      <c r="CB431">
        <v>0.06</v>
      </c>
      <c r="CC431">
        <v>228625.5846</v>
      </c>
      <c r="CD431">
        <v>92792.767616580313</v>
      </c>
      <c r="CE431">
        <v>3581800.83</v>
      </c>
      <c r="CF431" t="s">
        <v>38</v>
      </c>
      <c r="CG431">
        <v>22000</v>
      </c>
      <c r="CH431">
        <v>114792.76761658031</v>
      </c>
      <c r="CI431">
        <v>849200</v>
      </c>
      <c r="CJ431">
        <v>4431000.83</v>
      </c>
      <c r="CL431" t="s">
        <v>978</v>
      </c>
      <c r="CN431">
        <v>0</v>
      </c>
      <c r="CO431" t="s">
        <v>39</v>
      </c>
      <c r="CP431" t="s">
        <v>39</v>
      </c>
      <c r="CQ431" t="b">
        <v>1</v>
      </c>
      <c r="CR431" t="s">
        <v>8950</v>
      </c>
      <c r="CT431" t="s">
        <v>8960</v>
      </c>
      <c r="CU431" t="s">
        <v>8973</v>
      </c>
      <c r="CV431" t="s">
        <v>6299</v>
      </c>
      <c r="CW431" t="s">
        <v>4895</v>
      </c>
      <c r="CX431" t="s">
        <v>3246</v>
      </c>
      <c r="CY431">
        <v>1.2999999999999972</v>
      </c>
      <c r="CZ431">
        <v>149230.59790155408</v>
      </c>
      <c r="DA431">
        <v>4431000.83</v>
      </c>
      <c r="DB431" t="s">
        <v>38</v>
      </c>
      <c r="DC431" t="b">
        <v>1</v>
      </c>
      <c r="DD431">
        <v>4431000.83</v>
      </c>
      <c r="DE431">
        <v>0</v>
      </c>
      <c r="DF431" t="b">
        <v>1</v>
      </c>
      <c r="DG431" s="420" cm="1">
        <f t="array" ref="DG431">_xlfn.XLOOKUP("Дом 4"&amp;Реестр_Д4[[#This Row],[№]]&amp;Реестр_Д4[[#This Row],[Статус]],РД[Дом]&amp;РД[№ кв]&amp;РД[Состояние],РД[Дата подачи на регистрацию],"-",0)</f>
        <v>45229</v>
      </c>
    </row>
    <row r="432" spans="1:111" x14ac:dyDescent="0.25">
      <c r="A432">
        <v>431</v>
      </c>
      <c r="B432" t="s">
        <v>15</v>
      </c>
      <c r="C432">
        <v>5</v>
      </c>
      <c r="D432">
        <v>3</v>
      </c>
      <c r="E432">
        <v>3</v>
      </c>
      <c r="F432">
        <v>16.05</v>
      </c>
      <c r="G432">
        <v>11.28</v>
      </c>
      <c r="H432">
        <v>10.82</v>
      </c>
      <c r="I432">
        <v>38.15</v>
      </c>
      <c r="J432">
        <v>17.41</v>
      </c>
      <c r="K432">
        <v>3.81</v>
      </c>
      <c r="L432">
        <v>1.87</v>
      </c>
      <c r="N432">
        <v>11.71</v>
      </c>
      <c r="O432">
        <v>2.65</v>
      </c>
      <c r="Q432">
        <v>2.65</v>
      </c>
      <c r="R432">
        <v>75.599999999999994</v>
      </c>
      <c r="S432">
        <v>72.949999999999989</v>
      </c>
      <c r="T432">
        <v>74.28</v>
      </c>
      <c r="U432">
        <v>75.999999999999986</v>
      </c>
      <c r="V432">
        <v>67110.400000000009</v>
      </c>
      <c r="W432">
        <v>3355.5200000000004</v>
      </c>
      <c r="X432">
        <v>70465.920000000013</v>
      </c>
      <c r="Z432">
        <v>70465.920000000013</v>
      </c>
      <c r="AB432">
        <v>70465.920000000013</v>
      </c>
      <c r="AC432">
        <v>8.6673081600000028</v>
      </c>
      <c r="AD432">
        <v>70474.587308160015</v>
      </c>
      <c r="AF432">
        <v>70474.587308160015</v>
      </c>
      <c r="AH432">
        <v>70474.587308160015</v>
      </c>
      <c r="AI432">
        <v>2114.2376192448005</v>
      </c>
      <c r="AJ432">
        <v>72588.824927404814</v>
      </c>
      <c r="AL432">
        <v>72588.824927404814</v>
      </c>
      <c r="AN432">
        <v>72588.824927404814</v>
      </c>
      <c r="AP432">
        <v>72588.824927404814</v>
      </c>
      <c r="AR432">
        <v>72588.824927404814</v>
      </c>
      <c r="AT432">
        <v>72588.824927404814</v>
      </c>
      <c r="AV432">
        <v>72588.824927404814</v>
      </c>
      <c r="AX432">
        <v>72588.824927404814</v>
      </c>
      <c r="AZ432">
        <v>72588.824927404814</v>
      </c>
      <c r="BB432">
        <v>72588.824927404814</v>
      </c>
      <c r="BD432">
        <v>72588.824927404814</v>
      </c>
      <c r="BF432">
        <v>72588.824927404814</v>
      </c>
      <c r="BH432">
        <v>72588.824927404814</v>
      </c>
      <c r="BJ432">
        <v>72588.824927404814</v>
      </c>
      <c r="BL432">
        <v>72588.824927404814</v>
      </c>
      <c r="BN432">
        <v>72588.824927404814</v>
      </c>
      <c r="BP432">
        <v>72588.824927404814</v>
      </c>
      <c r="BR432">
        <v>72588.824927404814</v>
      </c>
      <c r="BT432">
        <v>72588.824927404814</v>
      </c>
      <c r="BV432">
        <v>72588.824927404814</v>
      </c>
      <c r="BX432">
        <v>72588.824927404814</v>
      </c>
      <c r="BY432">
        <v>72588.820000000007</v>
      </c>
      <c r="BZ432">
        <v>5391897.5499999998</v>
      </c>
      <c r="CB432">
        <v>0.03</v>
      </c>
      <c r="CC432">
        <v>161756.9265</v>
      </c>
      <c r="CD432">
        <v>70411.155358104472</v>
      </c>
      <c r="CE432">
        <v>5230140.62</v>
      </c>
      <c r="CF432" t="s">
        <v>38</v>
      </c>
      <c r="CG432">
        <v>15000</v>
      </c>
      <c r="CH432">
        <v>85411.155358104486</v>
      </c>
      <c r="CI432">
        <v>1114200</v>
      </c>
      <c r="CJ432">
        <v>6344340.6200000001</v>
      </c>
      <c r="CK432" t="s">
        <v>57</v>
      </c>
      <c r="CL432" t="s">
        <v>3540</v>
      </c>
      <c r="CN432">
        <v>0</v>
      </c>
      <c r="CO432" t="s">
        <v>39</v>
      </c>
      <c r="CP432" t="s">
        <v>39</v>
      </c>
      <c r="CQ432" t="b">
        <v>1</v>
      </c>
      <c r="CR432" t="s">
        <v>8950</v>
      </c>
      <c r="CT432" t="s">
        <v>8960</v>
      </c>
      <c r="CU432" t="s">
        <v>8990</v>
      </c>
      <c r="CV432" t="s">
        <v>6300</v>
      </c>
      <c r="CW432" t="s">
        <v>4895</v>
      </c>
      <c r="CX432" t="s">
        <v>3246</v>
      </c>
      <c r="CY432">
        <v>1.7199999999999849</v>
      </c>
      <c r="CZ432">
        <v>146907.18721593838</v>
      </c>
      <c r="DA432">
        <v>6344340.6200000001</v>
      </c>
      <c r="DB432" t="s">
        <v>38</v>
      </c>
      <c r="DC432" t="b">
        <v>1</v>
      </c>
      <c r="DD432">
        <v>6344340.6200000001</v>
      </c>
      <c r="DE432">
        <v>0</v>
      </c>
      <c r="DF432" t="b">
        <v>1</v>
      </c>
      <c r="DG432" s="420" cm="1">
        <f t="array" ref="DG432">_xlfn.XLOOKUP("Дом 4"&amp;Реестр_Д4[[#This Row],[№]]&amp;Реестр_Д4[[#This Row],[Статус]],РД[Дом]&amp;РД[№ кв]&amp;РД[Состояние],РД[Дата подачи на регистрацию],"-",0)</f>
        <v>45005</v>
      </c>
    </row>
    <row r="433" spans="1:111" x14ac:dyDescent="0.25">
      <c r="A433">
        <v>432</v>
      </c>
      <c r="B433" t="s">
        <v>15</v>
      </c>
      <c r="C433">
        <v>5</v>
      </c>
      <c r="D433">
        <v>4</v>
      </c>
      <c r="E433">
        <v>1</v>
      </c>
      <c r="F433">
        <v>12.09</v>
      </c>
      <c r="I433">
        <v>12.09</v>
      </c>
      <c r="J433">
        <v>12.26</v>
      </c>
      <c r="K433">
        <v>3.71</v>
      </c>
      <c r="N433">
        <v>7.06</v>
      </c>
      <c r="O433">
        <v>2.75</v>
      </c>
      <c r="Q433">
        <v>2.75</v>
      </c>
      <c r="R433">
        <v>37.869999999999997</v>
      </c>
      <c r="S433">
        <v>35.119999999999997</v>
      </c>
      <c r="T433">
        <v>36.5</v>
      </c>
      <c r="U433">
        <v>37.700000000000003</v>
      </c>
      <c r="V433">
        <v>71400</v>
      </c>
      <c r="W433">
        <v>3570</v>
      </c>
      <c r="X433">
        <v>74970</v>
      </c>
      <c r="Y433">
        <v>2998.8</v>
      </c>
      <c r="Z433">
        <v>77968.800000000003</v>
      </c>
      <c r="AA433">
        <v>3898.440000000001</v>
      </c>
      <c r="AB433">
        <v>81867.240000000005</v>
      </c>
      <c r="AC433">
        <v>10.069670520000001</v>
      </c>
      <c r="AD433">
        <v>81877.309670520001</v>
      </c>
      <c r="AE433">
        <v>4093.8654835259999</v>
      </c>
      <c r="AF433">
        <v>85971.175154045995</v>
      </c>
      <c r="AG433">
        <v>4298.5587577022998</v>
      </c>
      <c r="AH433">
        <v>90269.733911748292</v>
      </c>
      <c r="AI433">
        <v>2708.0920173524487</v>
      </c>
      <c r="AJ433">
        <v>92977.825929100742</v>
      </c>
      <c r="AL433">
        <v>92977.825929100742</v>
      </c>
      <c r="AN433">
        <v>92977.825929100742</v>
      </c>
      <c r="AP433">
        <v>92977.825929100742</v>
      </c>
      <c r="AR433">
        <v>92977.825929100742</v>
      </c>
      <c r="AT433">
        <v>92977.825929100742</v>
      </c>
      <c r="AV433">
        <v>92977.825929100742</v>
      </c>
      <c r="AX433">
        <v>92977.825929100742</v>
      </c>
      <c r="AZ433">
        <v>92977.825929100742</v>
      </c>
      <c r="BB433">
        <v>92977.825929100742</v>
      </c>
      <c r="BD433">
        <v>92977.825929100742</v>
      </c>
      <c r="BF433">
        <v>92977.825929100742</v>
      </c>
      <c r="BH433">
        <v>92977.825929100742</v>
      </c>
      <c r="BJ433">
        <v>92977.825929100742</v>
      </c>
      <c r="BL433">
        <v>92977.825929100742</v>
      </c>
      <c r="BN433">
        <v>92977.825929100742</v>
      </c>
      <c r="BP433">
        <v>92977.825929100742</v>
      </c>
      <c r="BR433">
        <v>92977.825929100742</v>
      </c>
      <c r="BT433">
        <v>92977.825929100742</v>
      </c>
      <c r="BV433">
        <v>92977.825929100742</v>
      </c>
      <c r="BX433">
        <v>92977.825929100742</v>
      </c>
      <c r="BY433">
        <v>92977.83</v>
      </c>
      <c r="BZ433">
        <v>3393690.8</v>
      </c>
      <c r="CB433">
        <v>0.06</v>
      </c>
      <c r="CC433">
        <v>203621.44799999995</v>
      </c>
      <c r="CD433">
        <v>87399.160273972608</v>
      </c>
      <c r="CE433">
        <v>3190069.35</v>
      </c>
      <c r="CF433" t="s">
        <v>37</v>
      </c>
      <c r="CG433">
        <v>4000</v>
      </c>
      <c r="CH433">
        <v>91399.160273972608</v>
      </c>
      <c r="CI433">
        <v>146000</v>
      </c>
      <c r="CJ433">
        <v>3336069.35</v>
      </c>
      <c r="CL433" t="s">
        <v>978</v>
      </c>
      <c r="CN433">
        <v>0</v>
      </c>
      <c r="CO433" t="s">
        <v>39</v>
      </c>
      <c r="CP433" t="s">
        <v>39</v>
      </c>
      <c r="CQ433" t="b">
        <v>1</v>
      </c>
      <c r="CR433" t="s">
        <v>8950</v>
      </c>
      <c r="CT433" t="s">
        <v>8960</v>
      </c>
      <c r="CU433" t="s">
        <v>8973</v>
      </c>
      <c r="CV433" t="s">
        <v>6301</v>
      </c>
      <c r="CW433" t="s">
        <v>4895</v>
      </c>
      <c r="CX433" t="s">
        <v>3246</v>
      </c>
      <c r="CY433">
        <v>1.1999999999999955</v>
      </c>
      <c r="CZ433">
        <v>109678.99232876672</v>
      </c>
      <c r="DA433">
        <v>3336069.35</v>
      </c>
      <c r="DB433" t="s">
        <v>37</v>
      </c>
      <c r="DC433" t="b">
        <v>1</v>
      </c>
      <c r="DD433">
        <v>3336069.35</v>
      </c>
      <c r="DE433">
        <v>0</v>
      </c>
      <c r="DF433" t="b">
        <v>1</v>
      </c>
      <c r="DG433" s="420" cm="1">
        <f t="array" ref="DG433">_xlfn.XLOOKUP("Дом 4"&amp;Реестр_Д4[[#This Row],[№]]&amp;Реестр_Д4[[#This Row],[Статус]],РД[Дом]&amp;РД[№ кв]&amp;РД[Состояние],РД[Дата подачи на регистрацию],"-",0)</f>
        <v>45006</v>
      </c>
    </row>
    <row r="434" spans="1:111" x14ac:dyDescent="0.25">
      <c r="A434">
        <v>433</v>
      </c>
      <c r="B434" t="s">
        <v>15</v>
      </c>
      <c r="C434">
        <v>5</v>
      </c>
      <c r="D434">
        <v>5</v>
      </c>
      <c r="E434">
        <v>2</v>
      </c>
      <c r="F434">
        <v>15.61</v>
      </c>
      <c r="G434">
        <v>12.02</v>
      </c>
      <c r="I434">
        <v>27.63</v>
      </c>
      <c r="J434">
        <v>13.1</v>
      </c>
      <c r="K434">
        <v>3.61</v>
      </c>
      <c r="L434">
        <v>1.82</v>
      </c>
      <c r="N434">
        <v>8.52</v>
      </c>
      <c r="O434">
        <v>2.72</v>
      </c>
      <c r="Q434">
        <v>2.72</v>
      </c>
      <c r="R434">
        <v>57.4</v>
      </c>
      <c r="S434">
        <v>54.68</v>
      </c>
      <c r="T434">
        <v>56.04</v>
      </c>
      <c r="U434">
        <v>57.599999999999994</v>
      </c>
      <c r="V434">
        <v>67306.399999999994</v>
      </c>
      <c r="W434">
        <v>3365.3199999999997</v>
      </c>
      <c r="X434">
        <v>70671.72</v>
      </c>
      <c r="Z434">
        <v>70671.72</v>
      </c>
      <c r="AA434">
        <v>3533.5859999999998</v>
      </c>
      <c r="AB434">
        <v>74205.305999999997</v>
      </c>
      <c r="AC434">
        <v>9.1272526379999999</v>
      </c>
      <c r="AD434">
        <v>74214.433252638002</v>
      </c>
      <c r="AF434">
        <v>74214.433252638002</v>
      </c>
      <c r="AH434">
        <v>74214.433252638002</v>
      </c>
      <c r="AI434">
        <v>1484.2886650527601</v>
      </c>
      <c r="AJ434">
        <v>75698.721917690767</v>
      </c>
      <c r="AK434">
        <v>756.98721917690773</v>
      </c>
      <c r="AL434">
        <v>76455.709136867677</v>
      </c>
      <c r="AN434">
        <v>76455.709136867677</v>
      </c>
      <c r="AP434">
        <v>76455.709136867677</v>
      </c>
      <c r="AR434">
        <v>76455.709136867677</v>
      </c>
      <c r="AT434">
        <v>76455.709136867677</v>
      </c>
      <c r="AV434">
        <v>76455.709136867677</v>
      </c>
      <c r="AX434">
        <v>76455.709136867677</v>
      </c>
      <c r="AZ434">
        <v>76455.709136867677</v>
      </c>
      <c r="BB434">
        <v>76455.709136867677</v>
      </c>
      <c r="BD434">
        <v>76455.709136867677</v>
      </c>
      <c r="BF434">
        <v>76455.709136867677</v>
      </c>
      <c r="BH434">
        <v>76455.709136867677</v>
      </c>
      <c r="BJ434">
        <v>76455.709136867677</v>
      </c>
      <c r="BL434">
        <v>76455.709136867677</v>
      </c>
      <c r="BN434">
        <v>76455.709136867677</v>
      </c>
      <c r="BP434">
        <v>76455.709136867677</v>
      </c>
      <c r="BR434">
        <v>76455.709136867677</v>
      </c>
      <c r="BT434">
        <v>76455.709136867677</v>
      </c>
      <c r="BV434">
        <v>76455.709136867677</v>
      </c>
      <c r="BX434">
        <v>76455.709136867677</v>
      </c>
      <c r="BY434">
        <v>76455.710000000006</v>
      </c>
      <c r="BZ434">
        <v>4284577.99</v>
      </c>
      <c r="CB434">
        <v>0.06</v>
      </c>
      <c r="CC434">
        <v>257074.67939999999</v>
      </c>
      <c r="CD434">
        <v>71868.367416131339</v>
      </c>
      <c r="CE434">
        <v>4027503.31</v>
      </c>
      <c r="CF434" t="s">
        <v>38</v>
      </c>
      <c r="CG434">
        <v>15000</v>
      </c>
      <c r="CH434">
        <v>86868.367416131339</v>
      </c>
      <c r="CI434">
        <v>840599.99999999953</v>
      </c>
      <c r="CJ434">
        <v>4868103.3099999996</v>
      </c>
      <c r="CL434" t="s">
        <v>978</v>
      </c>
      <c r="CN434">
        <v>0</v>
      </c>
      <c r="CO434" t="s">
        <v>39</v>
      </c>
      <c r="CP434" t="s">
        <v>39</v>
      </c>
      <c r="CQ434" t="b">
        <v>1</v>
      </c>
      <c r="CR434" t="s">
        <v>8950</v>
      </c>
      <c r="CT434" t="s">
        <v>8960</v>
      </c>
      <c r="CU434" t="s">
        <v>8974</v>
      </c>
      <c r="CV434" t="s">
        <v>6302</v>
      </c>
      <c r="CW434" t="s">
        <v>4895</v>
      </c>
      <c r="CX434" t="s">
        <v>3246</v>
      </c>
      <c r="CY434">
        <v>1.5599999999999952</v>
      </c>
      <c r="CZ434">
        <v>135514.65316916446</v>
      </c>
      <c r="DA434">
        <v>4868103.3099999996</v>
      </c>
      <c r="DB434" t="s">
        <v>38</v>
      </c>
      <c r="DC434" t="b">
        <v>1</v>
      </c>
      <c r="DD434">
        <v>4868103.3099999996</v>
      </c>
      <c r="DE434">
        <v>0</v>
      </c>
      <c r="DF434" t="b">
        <v>1</v>
      </c>
      <c r="DG434" s="420" cm="1">
        <f t="array" ref="DG434">_xlfn.XLOOKUP("Дом 4"&amp;Реестр_Д4[[#This Row],[№]]&amp;Реестр_Д4[[#This Row],[Статус]],РД[Дом]&amp;РД[№ кв]&amp;РД[Состояние],РД[Дата подачи на регистрацию],"-",0)</f>
        <v>45035</v>
      </c>
    </row>
    <row r="435" spans="1:111" x14ac:dyDescent="0.25">
      <c r="A435">
        <v>434</v>
      </c>
      <c r="B435" t="s">
        <v>15</v>
      </c>
      <c r="C435">
        <v>5</v>
      </c>
      <c r="D435">
        <v>6</v>
      </c>
      <c r="E435">
        <v>2</v>
      </c>
      <c r="F435">
        <v>15.61</v>
      </c>
      <c r="G435">
        <v>9.66</v>
      </c>
      <c r="I435">
        <v>25.27</v>
      </c>
      <c r="J435">
        <v>16.53</v>
      </c>
      <c r="K435">
        <v>3.63</v>
      </c>
      <c r="L435">
        <v>2.21</v>
      </c>
      <c r="N435">
        <v>9.6199999999999992</v>
      </c>
      <c r="O435">
        <v>2.72</v>
      </c>
      <c r="Q435">
        <v>2.72</v>
      </c>
      <c r="R435">
        <v>59.98</v>
      </c>
      <c r="S435">
        <v>57.26</v>
      </c>
      <c r="T435">
        <v>58.62</v>
      </c>
      <c r="U435">
        <v>60.9</v>
      </c>
      <c r="V435">
        <v>67972.800000000003</v>
      </c>
      <c r="W435">
        <v>3398.6400000000003</v>
      </c>
      <c r="X435">
        <v>71371.44</v>
      </c>
      <c r="Z435">
        <v>71371.44</v>
      </c>
      <c r="AA435">
        <v>3568.5720000000001</v>
      </c>
      <c r="AB435">
        <v>74940.012000000002</v>
      </c>
      <c r="AC435">
        <v>9.2176214760000015</v>
      </c>
      <c r="AD435">
        <v>74949.229621475999</v>
      </c>
      <c r="AF435">
        <v>74949.229621475999</v>
      </c>
      <c r="AH435">
        <v>74949.229621475999</v>
      </c>
      <c r="AI435">
        <v>1498.98459242952</v>
      </c>
      <c r="AJ435">
        <v>76448.214213905521</v>
      </c>
      <c r="AL435">
        <v>76448.214213905521</v>
      </c>
      <c r="AN435">
        <v>76448.214213905521</v>
      </c>
      <c r="AP435">
        <v>76448.214213905521</v>
      </c>
      <c r="AR435">
        <v>76448.214213905521</v>
      </c>
      <c r="AT435">
        <v>76448.214213905521</v>
      </c>
      <c r="AV435">
        <v>76448.214213905521</v>
      </c>
      <c r="AX435">
        <v>76448.214213905521</v>
      </c>
      <c r="AZ435">
        <v>76448.214213905521</v>
      </c>
      <c r="BB435">
        <v>76448.214213905521</v>
      </c>
      <c r="BD435">
        <v>76448.214213905521</v>
      </c>
      <c r="BF435">
        <v>76448.214213905521</v>
      </c>
      <c r="BH435">
        <v>76448.214213905521</v>
      </c>
      <c r="BJ435">
        <v>76448.214213905521</v>
      </c>
      <c r="BL435">
        <v>76448.214213905521</v>
      </c>
      <c r="BN435">
        <v>76448.214213905521</v>
      </c>
      <c r="BP435">
        <v>76448.214213905521</v>
      </c>
      <c r="BR435">
        <v>76448.214213905521</v>
      </c>
      <c r="BT435">
        <v>76448.214213905521</v>
      </c>
      <c r="BV435">
        <v>76448.214213905521</v>
      </c>
      <c r="BX435">
        <v>76448.214213905521</v>
      </c>
      <c r="BY435">
        <v>76448.210000000006</v>
      </c>
      <c r="BZ435">
        <v>4481394.07</v>
      </c>
      <c r="CB435">
        <v>0.03</v>
      </c>
      <c r="CC435">
        <v>134441.82209999999</v>
      </c>
      <c r="CD435">
        <v>74154.76373251449</v>
      </c>
      <c r="CE435">
        <v>4346952.25</v>
      </c>
      <c r="CF435" t="s">
        <v>37</v>
      </c>
      <c r="CG435">
        <v>4000</v>
      </c>
      <c r="CH435">
        <v>78154.76373251449</v>
      </c>
      <c r="CI435">
        <v>234480</v>
      </c>
      <c r="CJ435">
        <v>4581432.25</v>
      </c>
      <c r="CL435" t="s">
        <v>3953</v>
      </c>
      <c r="CN435">
        <v>0</v>
      </c>
      <c r="CO435" t="s">
        <v>39</v>
      </c>
      <c r="CP435" t="s">
        <v>39</v>
      </c>
      <c r="CQ435" t="b">
        <v>1</v>
      </c>
      <c r="CR435" t="s">
        <v>8950</v>
      </c>
      <c r="CT435" t="s">
        <v>8960</v>
      </c>
      <c r="CU435" t="s">
        <v>8971</v>
      </c>
      <c r="CV435" t="s">
        <v>6303</v>
      </c>
      <c r="CW435" t="s">
        <v>4895</v>
      </c>
      <c r="CX435" t="s">
        <v>3246</v>
      </c>
      <c r="CY435">
        <v>2.2800000000000011</v>
      </c>
      <c r="CZ435">
        <v>178192.86131013316</v>
      </c>
      <c r="DA435">
        <v>4581432.25</v>
      </c>
      <c r="DB435" t="s">
        <v>37</v>
      </c>
      <c r="DC435" t="b">
        <v>1</v>
      </c>
      <c r="DD435">
        <v>4581432.25</v>
      </c>
      <c r="DE435">
        <v>0</v>
      </c>
      <c r="DF435" t="b">
        <v>1</v>
      </c>
      <c r="DG435" s="420" cm="1">
        <f t="array" ref="DG435">_xlfn.XLOOKUP("Дом 4"&amp;Реестр_Д4[[#This Row],[№]]&amp;Реестр_Д4[[#This Row],[Статус]],РД[Дом]&amp;РД[№ кв]&amp;РД[Состояние],РД[Дата подачи на регистрацию],"-",0)</f>
        <v>45007</v>
      </c>
    </row>
    <row r="436" spans="1:111" x14ac:dyDescent="0.25">
      <c r="A436">
        <v>435</v>
      </c>
      <c r="B436" t="s">
        <v>15</v>
      </c>
      <c r="C436">
        <v>5</v>
      </c>
      <c r="D436">
        <v>7</v>
      </c>
      <c r="E436">
        <v>2</v>
      </c>
      <c r="F436">
        <v>11.83</v>
      </c>
      <c r="G436">
        <v>11.4</v>
      </c>
      <c r="I436">
        <v>23.23</v>
      </c>
      <c r="J436">
        <v>27.16</v>
      </c>
      <c r="K436">
        <v>5.28</v>
      </c>
      <c r="L436">
        <v>1.75</v>
      </c>
      <c r="N436">
        <v>8.67</v>
      </c>
      <c r="O436">
        <v>2.8</v>
      </c>
      <c r="Q436">
        <v>2.8</v>
      </c>
      <c r="R436">
        <v>68.89</v>
      </c>
      <c r="S436">
        <v>66.09</v>
      </c>
      <c r="T436">
        <v>67.489999999999995</v>
      </c>
      <c r="U436">
        <v>69.2</v>
      </c>
      <c r="V436">
        <v>71304.800000000003</v>
      </c>
      <c r="W436">
        <v>3565.24</v>
      </c>
      <c r="X436">
        <v>74870.039999999994</v>
      </c>
      <c r="Z436">
        <v>74870.039999999994</v>
      </c>
      <c r="AA436">
        <v>3743.502</v>
      </c>
      <c r="AB436">
        <v>78613.542000000016</v>
      </c>
      <c r="AC436">
        <v>9.6694656660000025</v>
      </c>
      <c r="AD436">
        <v>78623.211465666012</v>
      </c>
      <c r="AF436">
        <v>78623.211465666012</v>
      </c>
      <c r="AH436">
        <v>78623.211465666012</v>
      </c>
      <c r="AI436">
        <v>1572.4642293133202</v>
      </c>
      <c r="AJ436">
        <v>80195.675694979334</v>
      </c>
      <c r="AK436">
        <v>2405.8702708493797</v>
      </c>
      <c r="AL436">
        <v>82601.545965828715</v>
      </c>
      <c r="AM436">
        <v>3304.0618386331485</v>
      </c>
      <c r="AN436">
        <v>85905.607804461863</v>
      </c>
      <c r="AP436">
        <v>85905.607804461863</v>
      </c>
      <c r="AQ436">
        <v>2577.168234133856</v>
      </c>
      <c r="AR436">
        <v>88482.776038595723</v>
      </c>
      <c r="AT436">
        <v>88482.776038595723</v>
      </c>
      <c r="AU436">
        <v>2654.4832811578717</v>
      </c>
      <c r="AV436">
        <v>91137.259319753604</v>
      </c>
      <c r="AX436">
        <v>91137.259319753604</v>
      </c>
      <c r="AZ436">
        <v>91137.259319753604</v>
      </c>
      <c r="BB436">
        <v>91137.259319753604</v>
      </c>
      <c r="BD436">
        <v>91137.259319753604</v>
      </c>
      <c r="BF436">
        <v>91137.259319753604</v>
      </c>
      <c r="BH436">
        <v>91137.259319753604</v>
      </c>
      <c r="BI436">
        <v>4556.8629659876797</v>
      </c>
      <c r="BJ436">
        <v>95694.122285741265</v>
      </c>
      <c r="BL436">
        <v>95694.122285741265</v>
      </c>
      <c r="BN436">
        <v>95694.122285741265</v>
      </c>
      <c r="BP436">
        <v>95694.122285741265</v>
      </c>
      <c r="BR436">
        <v>95694.122285741265</v>
      </c>
      <c r="BT436">
        <v>95694.122285741265</v>
      </c>
      <c r="BV436">
        <v>95694.122285741265</v>
      </c>
      <c r="BX436">
        <v>95694.122285741265</v>
      </c>
      <c r="BY436">
        <v>95694.12</v>
      </c>
      <c r="BZ436">
        <v>6458400</v>
      </c>
      <c r="CC436">
        <v>0</v>
      </c>
      <c r="CD436">
        <v>95694.176915098535</v>
      </c>
      <c r="CE436">
        <v>6458400</v>
      </c>
      <c r="CF436" t="s">
        <v>36</v>
      </c>
      <c r="CH436">
        <v>95694.176915098535</v>
      </c>
      <c r="CI436">
        <v>0</v>
      </c>
      <c r="CJ436">
        <v>6458400</v>
      </c>
      <c r="CK436" t="s">
        <v>57</v>
      </c>
      <c r="CN436">
        <v>0</v>
      </c>
      <c r="CO436" t="s">
        <v>39</v>
      </c>
      <c r="CP436" t="s">
        <v>39</v>
      </c>
      <c r="CQ436" t="b">
        <v>1</v>
      </c>
      <c r="CR436" t="s">
        <v>8950</v>
      </c>
      <c r="CT436" t="s">
        <v>8960</v>
      </c>
      <c r="CU436" t="s">
        <v>8971</v>
      </c>
      <c r="CV436" t="s">
        <v>6304</v>
      </c>
      <c r="CW436" t="s">
        <v>6652</v>
      </c>
      <c r="CX436" t="s">
        <v>3246</v>
      </c>
      <c r="CY436">
        <v>1.710000000000008</v>
      </c>
      <c r="CZ436">
        <v>163637.04252481926</v>
      </c>
      <c r="DA436">
        <v>6458400</v>
      </c>
      <c r="DB436" t="s">
        <v>36</v>
      </c>
      <c r="DC436" t="b">
        <v>1</v>
      </c>
      <c r="DD436">
        <v>6458400</v>
      </c>
      <c r="DE436">
        <v>0</v>
      </c>
      <c r="DF436" t="b">
        <v>1</v>
      </c>
      <c r="DG436" s="420" cm="1">
        <f t="array" ref="DG436">_xlfn.XLOOKUP("Дом 4"&amp;Реестр_Д4[[#This Row],[№]]&amp;Реестр_Д4[[#This Row],[Статус]],РД[Дом]&amp;РД[№ кв]&amp;РД[Состояние],РД[Дата подачи на регистрацию],"-",0)</f>
        <v>45320</v>
      </c>
    </row>
    <row r="437" spans="1:111" x14ac:dyDescent="0.25">
      <c r="A437">
        <v>436</v>
      </c>
      <c r="B437" t="s">
        <v>15</v>
      </c>
      <c r="C437">
        <v>5</v>
      </c>
      <c r="D437">
        <v>8</v>
      </c>
      <c r="E437">
        <v>2</v>
      </c>
      <c r="F437">
        <v>17.25</v>
      </c>
      <c r="G437">
        <v>14.07</v>
      </c>
      <c r="I437">
        <v>31.32</v>
      </c>
      <c r="J437">
        <v>14.23</v>
      </c>
      <c r="K437">
        <v>3.81</v>
      </c>
      <c r="L437">
        <v>1.75</v>
      </c>
      <c r="N437">
        <v>11.07</v>
      </c>
      <c r="O437">
        <v>3.12</v>
      </c>
      <c r="Q437">
        <v>3.12</v>
      </c>
      <c r="R437">
        <v>65.3</v>
      </c>
      <c r="S437">
        <v>62.18</v>
      </c>
      <c r="T437">
        <v>63.74</v>
      </c>
      <c r="U437">
        <v>65</v>
      </c>
      <c r="V437">
        <v>68639.199999999997</v>
      </c>
      <c r="W437">
        <v>3431.96</v>
      </c>
      <c r="X437">
        <v>72071.16</v>
      </c>
      <c r="Z437">
        <v>72071.16</v>
      </c>
      <c r="AA437">
        <v>3603.558</v>
      </c>
      <c r="AB437">
        <v>75674.717999999993</v>
      </c>
      <c r="AC437">
        <v>9.3079903140000013</v>
      </c>
      <c r="AD437">
        <v>75684.02599031401</v>
      </c>
      <c r="AF437">
        <v>75684.02599031401</v>
      </c>
      <c r="AH437">
        <v>75684.02599031401</v>
      </c>
      <c r="AI437">
        <v>1513.6805198062802</v>
      </c>
      <c r="AJ437">
        <v>77197.70651012029</v>
      </c>
      <c r="AK437">
        <v>771.97706510120292</v>
      </c>
      <c r="AL437">
        <v>77969.683575221497</v>
      </c>
      <c r="AM437">
        <v>1559.3936715044299</v>
      </c>
      <c r="AN437">
        <v>79529.077246725923</v>
      </c>
      <c r="AP437">
        <v>79529.077246725923</v>
      </c>
      <c r="AQ437">
        <v>2385.8723174017778</v>
      </c>
      <c r="AR437">
        <v>81914.949564127703</v>
      </c>
      <c r="AT437">
        <v>81914.949564127703</v>
      </c>
      <c r="AU437">
        <v>2457.4484869238308</v>
      </c>
      <c r="AV437">
        <v>84372.398051051539</v>
      </c>
      <c r="AX437">
        <v>84372.398051051539</v>
      </c>
      <c r="AZ437">
        <v>84372.398051051539</v>
      </c>
      <c r="BB437">
        <v>84372.398051051539</v>
      </c>
      <c r="BD437">
        <v>84372.398051051539</v>
      </c>
      <c r="BF437">
        <v>84372.398051051539</v>
      </c>
      <c r="BH437">
        <v>84372.398051051539</v>
      </c>
      <c r="BJ437">
        <v>84372.398051051539</v>
      </c>
      <c r="BL437">
        <v>84372.398051051539</v>
      </c>
      <c r="BN437">
        <v>84372.398051051539</v>
      </c>
      <c r="BP437">
        <v>84372.398051051539</v>
      </c>
      <c r="BR437">
        <v>84372.398051051539</v>
      </c>
      <c r="BT437">
        <v>84372.398051051539</v>
      </c>
      <c r="BV437">
        <v>84372.398051051539</v>
      </c>
      <c r="BX437">
        <v>84372.398051051539</v>
      </c>
      <c r="BY437">
        <v>84372.4</v>
      </c>
      <c r="BZ437">
        <v>5377896.7800000003</v>
      </c>
      <c r="CC437">
        <v>0</v>
      </c>
      <c r="CD437">
        <v>84372.400062754939</v>
      </c>
      <c r="CE437">
        <v>5377896.7800000003</v>
      </c>
      <c r="CF437" t="s">
        <v>36</v>
      </c>
      <c r="CH437">
        <v>84372.400062754939</v>
      </c>
      <c r="CI437">
        <v>0</v>
      </c>
      <c r="CJ437">
        <v>5377896.7800000003</v>
      </c>
      <c r="CN437">
        <v>0</v>
      </c>
      <c r="CO437" t="s">
        <v>39</v>
      </c>
      <c r="CP437" t="s">
        <v>39</v>
      </c>
      <c r="CQ437" t="b">
        <v>1</v>
      </c>
      <c r="CR437" t="s">
        <v>8950</v>
      </c>
      <c r="CT437" t="s">
        <v>8960</v>
      </c>
      <c r="CU437" t="s">
        <v>8971</v>
      </c>
      <c r="CV437" t="s">
        <v>6305</v>
      </c>
      <c r="CW437" t="s">
        <v>4895</v>
      </c>
      <c r="CX437" t="s">
        <v>3246</v>
      </c>
      <c r="CY437">
        <v>1.259999999999998</v>
      </c>
      <c r="CZ437">
        <v>106309.22407907103</v>
      </c>
      <c r="DA437">
        <v>5377896.7800000003</v>
      </c>
      <c r="DB437" t="s">
        <v>36</v>
      </c>
      <c r="DC437" t="b">
        <v>1</v>
      </c>
      <c r="DD437">
        <v>5377896.7800000003</v>
      </c>
      <c r="DE437">
        <v>0</v>
      </c>
      <c r="DF437" t="b">
        <v>1</v>
      </c>
      <c r="DG437" s="420" cm="1">
        <f t="array" ref="DG437">_xlfn.XLOOKUP("Дом 4"&amp;Реестр_Д4[[#This Row],[№]]&amp;Реестр_Д4[[#This Row],[Статус]],РД[Дом]&amp;РД[№ кв]&amp;РД[Состояние],РД[Дата подачи на регистрацию],"-",0)</f>
        <v>45173</v>
      </c>
    </row>
    <row r="438" spans="1:111" x14ac:dyDescent="0.25">
      <c r="A438">
        <v>437</v>
      </c>
      <c r="B438" t="s">
        <v>15</v>
      </c>
      <c r="C438">
        <v>5</v>
      </c>
      <c r="D438">
        <v>9</v>
      </c>
      <c r="E438">
        <v>1</v>
      </c>
      <c r="F438">
        <v>16.46</v>
      </c>
      <c r="I438">
        <v>16.46</v>
      </c>
      <c r="J438">
        <v>14.25</v>
      </c>
      <c r="K438">
        <v>3.92</v>
      </c>
      <c r="N438">
        <v>8.2200000000000006</v>
      </c>
      <c r="O438">
        <v>3.03</v>
      </c>
      <c r="Q438">
        <v>3.03</v>
      </c>
      <c r="R438">
        <v>45.88</v>
      </c>
      <c r="S438">
        <v>42.85</v>
      </c>
      <c r="T438">
        <v>44.37</v>
      </c>
      <c r="U438">
        <v>45.9</v>
      </c>
      <c r="V438">
        <v>72100</v>
      </c>
      <c r="W438">
        <v>3605</v>
      </c>
      <c r="X438">
        <v>75705</v>
      </c>
      <c r="Z438">
        <v>75705</v>
      </c>
      <c r="AA438">
        <v>3785.25</v>
      </c>
      <c r="AB438">
        <v>79490.25</v>
      </c>
      <c r="AC438">
        <v>9.7773007500000002</v>
      </c>
      <c r="AD438">
        <v>79500.027300750007</v>
      </c>
      <c r="AE438">
        <v>3975.0013650375008</v>
      </c>
      <c r="AF438">
        <v>83475.028665787511</v>
      </c>
      <c r="AH438">
        <v>83475.028665787511</v>
      </c>
      <c r="AI438">
        <v>2504.2508599736252</v>
      </c>
      <c r="AJ438">
        <v>85979.279525761129</v>
      </c>
      <c r="AK438">
        <v>859.79279525761149</v>
      </c>
      <c r="AL438">
        <v>86839.072321018757</v>
      </c>
      <c r="AM438">
        <v>1736.7814464203752</v>
      </c>
      <c r="AN438">
        <v>88575.853767439126</v>
      </c>
      <c r="AO438">
        <v>1771.5170753487826</v>
      </c>
      <c r="AP438">
        <v>90347.370842787903</v>
      </c>
      <c r="AQ438">
        <v>2710.4211252836371</v>
      </c>
      <c r="AR438">
        <v>93057.791968071542</v>
      </c>
      <c r="AT438">
        <v>93057.791968071542</v>
      </c>
      <c r="AU438">
        <v>2791.7337590421462</v>
      </c>
      <c r="AV438">
        <v>95849.525727113694</v>
      </c>
      <c r="AX438">
        <v>95849.525727113694</v>
      </c>
      <c r="AZ438">
        <v>95849.525727113694</v>
      </c>
      <c r="BB438">
        <v>95849.525727113694</v>
      </c>
      <c r="BD438">
        <v>95849.525727113694</v>
      </c>
      <c r="BE438">
        <v>837</v>
      </c>
      <c r="BF438">
        <v>96686.525727113694</v>
      </c>
      <c r="BH438">
        <v>96686.525727113694</v>
      </c>
      <c r="BJ438">
        <v>96686.525727113694</v>
      </c>
      <c r="BL438">
        <v>96686.525727113694</v>
      </c>
      <c r="BN438">
        <v>96686.525727113694</v>
      </c>
      <c r="BP438">
        <v>96686.525727113694</v>
      </c>
      <c r="BR438">
        <v>96686.525727113694</v>
      </c>
      <c r="BT438">
        <v>96686.525727113694</v>
      </c>
      <c r="BV438">
        <v>96686.525727113694</v>
      </c>
      <c r="BX438">
        <v>96686.525727113694</v>
      </c>
      <c r="BY438">
        <v>96686.53</v>
      </c>
      <c r="BZ438">
        <v>4290000</v>
      </c>
      <c r="CB438">
        <v>0.05</v>
      </c>
      <c r="CC438">
        <v>214500</v>
      </c>
      <c r="CD438">
        <v>91852.603110209602</v>
      </c>
      <c r="CE438">
        <v>4075500</v>
      </c>
      <c r="CF438" t="s">
        <v>37</v>
      </c>
      <c r="CG438">
        <v>7500</v>
      </c>
      <c r="CH438">
        <v>99352.603110209602</v>
      </c>
      <c r="CI438">
        <v>332775</v>
      </c>
      <c r="CJ438">
        <v>4408275</v>
      </c>
      <c r="CL438" t="s">
        <v>978</v>
      </c>
      <c r="CN438">
        <v>0</v>
      </c>
      <c r="CO438" t="s">
        <v>39</v>
      </c>
      <c r="CP438" t="s">
        <v>39</v>
      </c>
      <c r="CQ438" t="b">
        <v>1</v>
      </c>
      <c r="CR438" t="s">
        <v>8950</v>
      </c>
      <c r="CT438" t="s">
        <v>8960</v>
      </c>
      <c r="CU438" t="s">
        <v>8972</v>
      </c>
      <c r="CV438" t="s">
        <v>6306</v>
      </c>
      <c r="CW438" t="s">
        <v>6652</v>
      </c>
      <c r="CX438" t="s">
        <v>3246</v>
      </c>
      <c r="CY438">
        <v>1.5300000000000011</v>
      </c>
      <c r="CZ438">
        <v>152009.48275862081</v>
      </c>
      <c r="DA438">
        <v>4408275</v>
      </c>
      <c r="DB438" t="s">
        <v>37</v>
      </c>
      <c r="DC438" t="b">
        <v>1</v>
      </c>
      <c r="DD438">
        <v>4408275</v>
      </c>
      <c r="DE438">
        <v>0</v>
      </c>
      <c r="DF438" t="b">
        <v>1</v>
      </c>
      <c r="DG438" s="420" cm="1">
        <f t="array" ref="DG438">_xlfn.XLOOKUP("Дом 4"&amp;Реестр_Д4[[#This Row],[№]]&amp;Реестр_Д4[[#This Row],[Статус]],РД[Дом]&amp;РД[№ кв]&amp;РД[Состояние],РД[Дата подачи на регистрацию],"-",0)</f>
        <v>45376</v>
      </c>
    </row>
    <row r="439" spans="1:111" x14ac:dyDescent="0.25">
      <c r="A439">
        <v>438</v>
      </c>
      <c r="B439" t="s">
        <v>15</v>
      </c>
      <c r="C439">
        <v>6</v>
      </c>
      <c r="D439">
        <v>1</v>
      </c>
      <c r="E439">
        <v>1</v>
      </c>
      <c r="F439">
        <v>14.05</v>
      </c>
      <c r="I439">
        <v>14.05</v>
      </c>
      <c r="J439">
        <v>12.32</v>
      </c>
      <c r="K439">
        <v>3.87</v>
      </c>
      <c r="N439">
        <v>8.14</v>
      </c>
      <c r="O439">
        <v>2.72</v>
      </c>
      <c r="Q439">
        <v>2.72</v>
      </c>
      <c r="R439">
        <v>41.1</v>
      </c>
      <c r="S439">
        <v>38.380000000000003</v>
      </c>
      <c r="T439">
        <v>39.74</v>
      </c>
      <c r="U439">
        <v>40.999999999999993</v>
      </c>
      <c r="V439">
        <v>71400</v>
      </c>
      <c r="W439">
        <v>3570</v>
      </c>
      <c r="X439">
        <v>74970</v>
      </c>
      <c r="Y439">
        <v>2998.8</v>
      </c>
      <c r="Z439">
        <v>77968.800000000003</v>
      </c>
      <c r="AA439">
        <v>3898.440000000001</v>
      </c>
      <c r="AB439">
        <v>81867.240000000005</v>
      </c>
      <c r="AC439">
        <v>10.069670520000001</v>
      </c>
      <c r="AD439">
        <v>81877.309670520001</v>
      </c>
      <c r="AE439">
        <v>4093.8654835259999</v>
      </c>
      <c r="AF439">
        <v>85971.175154045995</v>
      </c>
      <c r="AH439">
        <v>85971.175154045995</v>
      </c>
      <c r="AI439">
        <v>2579.1352546213802</v>
      </c>
      <c r="AJ439">
        <v>88550.31040866737</v>
      </c>
      <c r="AK439">
        <v>885.50310408667372</v>
      </c>
      <c r="AL439">
        <v>89435.813512754044</v>
      </c>
      <c r="AM439">
        <v>1788.7162702550809</v>
      </c>
      <c r="AN439">
        <v>91224.529783009129</v>
      </c>
      <c r="AP439">
        <v>91224.529783009129</v>
      </c>
      <c r="AQ439">
        <v>2736.7358934902736</v>
      </c>
      <c r="AR439">
        <v>93961.265676499403</v>
      </c>
      <c r="AS439">
        <v>4698.0632838249703</v>
      </c>
      <c r="AT439">
        <v>98659.32896032439</v>
      </c>
      <c r="AU439">
        <v>2959.7798688097309</v>
      </c>
      <c r="AV439">
        <v>101619.1088291341</v>
      </c>
      <c r="AW439">
        <v>6097.1465297480454</v>
      </c>
      <c r="AX439">
        <v>107716.25535888216</v>
      </c>
      <c r="AZ439">
        <v>107716.25535888216</v>
      </c>
      <c r="BB439">
        <v>107716.25535888216</v>
      </c>
      <c r="BD439">
        <v>107716.25535888216</v>
      </c>
      <c r="BF439">
        <v>107716.25535888216</v>
      </c>
      <c r="BH439">
        <v>107716.25535888216</v>
      </c>
      <c r="BI439">
        <v>5385.8127679441077</v>
      </c>
      <c r="BJ439">
        <v>113102.06812682626</v>
      </c>
      <c r="BK439">
        <v>500</v>
      </c>
      <c r="BL439">
        <v>113602.06812682626</v>
      </c>
      <c r="BM439">
        <v>2272.041362536525</v>
      </c>
      <c r="BN439">
        <v>115874.10948936276</v>
      </c>
      <c r="BP439">
        <v>115874.10948936276</v>
      </c>
      <c r="BR439">
        <v>115874.10948936276</v>
      </c>
      <c r="BT439">
        <v>115874.10948936276</v>
      </c>
      <c r="BV439">
        <v>115874.10948936276</v>
      </c>
      <c r="BX439">
        <v>115874.10948936276</v>
      </c>
      <c r="BY439">
        <v>115874.11</v>
      </c>
      <c r="BZ439">
        <v>4604900</v>
      </c>
      <c r="CC439">
        <v>0</v>
      </c>
      <c r="CD439">
        <v>115875.69199798693</v>
      </c>
      <c r="CE439">
        <v>4604900</v>
      </c>
      <c r="CF439" t="s">
        <v>37</v>
      </c>
      <c r="CG439">
        <v>7500</v>
      </c>
      <c r="CH439">
        <v>123375.69199798693</v>
      </c>
      <c r="CI439">
        <v>298050</v>
      </c>
      <c r="CJ439">
        <v>4902950</v>
      </c>
      <c r="CN439">
        <v>0</v>
      </c>
      <c r="CO439" t="s">
        <v>39</v>
      </c>
      <c r="CP439" t="s">
        <v>39</v>
      </c>
      <c r="CQ439" t="b">
        <v>1</v>
      </c>
      <c r="CR439" t="s">
        <v>8950</v>
      </c>
      <c r="CT439" t="s">
        <v>8960</v>
      </c>
      <c r="CU439" t="s">
        <v>8973</v>
      </c>
      <c r="CV439" t="s">
        <v>6307</v>
      </c>
      <c r="CW439" t="s">
        <v>6652</v>
      </c>
      <c r="CX439" t="s">
        <v>3246</v>
      </c>
      <c r="CY439">
        <v>1.2599999999999909</v>
      </c>
      <c r="CZ439">
        <v>155453.37191746238</v>
      </c>
      <c r="DA439">
        <v>4902950</v>
      </c>
      <c r="DB439" t="s">
        <v>37</v>
      </c>
      <c r="DC439" t="b">
        <v>1</v>
      </c>
      <c r="DD439">
        <v>4902950</v>
      </c>
      <c r="DE439">
        <v>0</v>
      </c>
      <c r="DF439" t="b">
        <v>1</v>
      </c>
      <c r="DG439" s="420" cm="1">
        <f t="array" ref="DG439">_xlfn.XLOOKUP("Дом 4"&amp;Реестр_Д4[[#This Row],[№]]&amp;Реестр_Д4[[#This Row],[Статус]],РД[Дом]&amp;РД[№ кв]&amp;РД[Состояние],РД[Дата подачи на регистрацию],"-",0)</f>
        <v>45405</v>
      </c>
    </row>
    <row r="440" spans="1:111" x14ac:dyDescent="0.25">
      <c r="A440">
        <v>439</v>
      </c>
      <c r="B440" t="s">
        <v>15</v>
      </c>
      <c r="C440">
        <v>6</v>
      </c>
      <c r="D440">
        <v>2</v>
      </c>
      <c r="E440">
        <v>1</v>
      </c>
      <c r="F440">
        <v>14.29</v>
      </c>
      <c r="I440">
        <v>14.29</v>
      </c>
      <c r="J440">
        <v>12.32</v>
      </c>
      <c r="K440">
        <v>3.72</v>
      </c>
      <c r="N440">
        <v>6.91</v>
      </c>
      <c r="O440">
        <v>2.72</v>
      </c>
      <c r="Q440">
        <v>2.72</v>
      </c>
      <c r="R440">
        <v>39.96</v>
      </c>
      <c r="S440">
        <v>37.24</v>
      </c>
      <c r="T440">
        <v>38.6</v>
      </c>
      <c r="U440">
        <v>39.599999999999994</v>
      </c>
      <c r="V440">
        <v>71400</v>
      </c>
      <c r="W440">
        <v>3570</v>
      </c>
      <c r="X440">
        <v>74970</v>
      </c>
      <c r="Y440">
        <v>2998.8</v>
      </c>
      <c r="Z440">
        <v>77968.800000000003</v>
      </c>
      <c r="AA440">
        <v>3898.440000000001</v>
      </c>
      <c r="AB440">
        <v>81867.240000000005</v>
      </c>
      <c r="AC440">
        <v>10.069670520000001</v>
      </c>
      <c r="AD440">
        <v>81877.309670520001</v>
      </c>
      <c r="AE440">
        <v>4093.8654835259999</v>
      </c>
      <c r="AF440">
        <v>85971.175154045995</v>
      </c>
      <c r="AH440">
        <v>85971.175154045995</v>
      </c>
      <c r="AI440">
        <v>2579.1352546213802</v>
      </c>
      <c r="AJ440">
        <v>88550.31040866737</v>
      </c>
      <c r="AK440">
        <v>885.50310408667372</v>
      </c>
      <c r="AL440">
        <v>89435.813512754044</v>
      </c>
      <c r="AM440">
        <v>1788.7162702550809</v>
      </c>
      <c r="AN440">
        <v>91224.529783009129</v>
      </c>
      <c r="AO440">
        <v>1824.4905956601824</v>
      </c>
      <c r="AP440">
        <v>93049.020378669316</v>
      </c>
      <c r="AQ440">
        <v>2791.4706113600796</v>
      </c>
      <c r="AR440">
        <v>95840.490990029415</v>
      </c>
      <c r="AT440">
        <v>95840.490990029415</v>
      </c>
      <c r="AV440">
        <v>95840.490990029415</v>
      </c>
      <c r="AX440">
        <v>95840.490990029415</v>
      </c>
      <c r="AZ440">
        <v>95840.490990029415</v>
      </c>
      <c r="BB440">
        <v>95840.490990029415</v>
      </c>
      <c r="BD440">
        <v>95840.490990029415</v>
      </c>
      <c r="BF440">
        <v>95840.490990029415</v>
      </c>
      <c r="BH440">
        <v>95840.490990029415</v>
      </c>
      <c r="BJ440">
        <v>95840.490990029415</v>
      </c>
      <c r="BL440">
        <v>95840.490990029415</v>
      </c>
      <c r="BN440">
        <v>95840.490990029415</v>
      </c>
      <c r="BP440">
        <v>95840.490990029415</v>
      </c>
      <c r="BR440">
        <v>95840.490990029415</v>
      </c>
      <c r="BT440">
        <v>95840.490990029415</v>
      </c>
      <c r="BV440">
        <v>95840.490990029415</v>
      </c>
      <c r="BX440">
        <v>95840.490990029415</v>
      </c>
      <c r="BY440">
        <v>95840.49</v>
      </c>
      <c r="BZ440">
        <v>3699442.91</v>
      </c>
      <c r="CC440">
        <v>0</v>
      </c>
      <c r="CD440">
        <v>95840.489896373052</v>
      </c>
      <c r="CE440">
        <v>3699442.91</v>
      </c>
      <c r="CF440" t="s">
        <v>38</v>
      </c>
      <c r="CG440">
        <v>15000</v>
      </c>
      <c r="CH440">
        <v>110840.48989637304</v>
      </c>
      <c r="CI440">
        <v>579000</v>
      </c>
      <c r="CJ440">
        <v>4278442.91</v>
      </c>
      <c r="CN440">
        <v>0</v>
      </c>
      <c r="CO440" t="s">
        <v>39</v>
      </c>
      <c r="CP440" t="s">
        <v>39</v>
      </c>
      <c r="CQ440" t="b">
        <v>1</v>
      </c>
      <c r="CR440" t="s">
        <v>8950</v>
      </c>
      <c r="CT440" t="s">
        <v>8960</v>
      </c>
      <c r="CU440" t="s">
        <v>8973</v>
      </c>
      <c r="CV440" t="s">
        <v>6308</v>
      </c>
      <c r="CW440" t="s">
        <v>4895</v>
      </c>
      <c r="CX440" t="s">
        <v>3246</v>
      </c>
      <c r="CY440">
        <v>0.99999999999999301</v>
      </c>
      <c r="CZ440">
        <v>110840.48989637228</v>
      </c>
      <c r="DA440">
        <v>4278442.91</v>
      </c>
      <c r="DB440" t="s">
        <v>38</v>
      </c>
      <c r="DC440" t="b">
        <v>1</v>
      </c>
      <c r="DD440">
        <v>4278442.91</v>
      </c>
      <c r="DE440">
        <v>0</v>
      </c>
      <c r="DF440" t="b">
        <v>1</v>
      </c>
      <c r="DG440" s="420" cm="1">
        <f t="array" ref="DG440">_xlfn.XLOOKUP("Дом 4"&amp;Реестр_Д4[[#This Row],[№]]&amp;Реестр_Д4[[#This Row],[Статус]],РД[Дом]&amp;РД[№ кв]&amp;РД[Состояние],РД[Дата подачи на регистрацию],"-",0)</f>
        <v>45163</v>
      </c>
    </row>
    <row r="441" spans="1:111" x14ac:dyDescent="0.25">
      <c r="A441">
        <v>440</v>
      </c>
      <c r="B441" t="s">
        <v>15</v>
      </c>
      <c r="C441">
        <v>6</v>
      </c>
      <c r="D441">
        <v>3</v>
      </c>
      <c r="E441">
        <v>3</v>
      </c>
      <c r="F441">
        <v>16.05</v>
      </c>
      <c r="G441">
        <v>11.28</v>
      </c>
      <c r="H441">
        <v>10.82</v>
      </c>
      <c r="I441">
        <v>38.15</v>
      </c>
      <c r="J441">
        <v>17.41</v>
      </c>
      <c r="K441">
        <v>3.81</v>
      </c>
      <c r="L441">
        <v>1.87</v>
      </c>
      <c r="N441">
        <v>11.71</v>
      </c>
      <c r="O441">
        <v>2.65</v>
      </c>
      <c r="Q441">
        <v>2.65</v>
      </c>
      <c r="R441">
        <v>75.599999999999994</v>
      </c>
      <c r="S441">
        <v>72.949999999999989</v>
      </c>
      <c r="T441">
        <v>74.28</v>
      </c>
      <c r="U441">
        <v>75.899999999999977</v>
      </c>
      <c r="V441">
        <v>67737.600000000006</v>
      </c>
      <c r="W441">
        <v>3386.880000000001</v>
      </c>
      <c r="X441">
        <v>71124.48000000001</v>
      </c>
      <c r="Z441">
        <v>71124.48000000001</v>
      </c>
      <c r="AB441">
        <v>71124.48000000001</v>
      </c>
      <c r="AC441">
        <v>8.7483110400000026</v>
      </c>
      <c r="AD441">
        <v>71133.228311040017</v>
      </c>
      <c r="AF441">
        <v>71133.228311040017</v>
      </c>
      <c r="AH441">
        <v>71133.228311040017</v>
      </c>
      <c r="AJ441">
        <v>71133.228311040017</v>
      </c>
      <c r="AL441">
        <v>71133.228311040017</v>
      </c>
      <c r="AN441">
        <v>71133.228311040017</v>
      </c>
      <c r="AP441">
        <v>71133.228311040017</v>
      </c>
      <c r="AR441">
        <v>71133.228311040017</v>
      </c>
      <c r="AT441">
        <v>71133.228311040017</v>
      </c>
      <c r="AV441">
        <v>71133.228311040017</v>
      </c>
      <c r="AX441">
        <v>71133.228311040017</v>
      </c>
      <c r="AZ441">
        <v>71133.228311040017</v>
      </c>
      <c r="BB441">
        <v>71133.228311040017</v>
      </c>
      <c r="BD441">
        <v>71133.228311040017</v>
      </c>
      <c r="BF441">
        <v>71133.228311040017</v>
      </c>
      <c r="BH441">
        <v>71133.228311040017</v>
      </c>
      <c r="BJ441">
        <v>71133.228311040017</v>
      </c>
      <c r="BL441">
        <v>71133.228311040017</v>
      </c>
      <c r="BN441">
        <v>71133.228311040017</v>
      </c>
      <c r="BP441">
        <v>71133.228311040017</v>
      </c>
      <c r="BR441">
        <v>71133.228311040017</v>
      </c>
      <c r="BT441">
        <v>71133.228311040017</v>
      </c>
      <c r="BV441">
        <v>71133.228311040017</v>
      </c>
      <c r="BX441">
        <v>71133.228311040017</v>
      </c>
      <c r="BY441">
        <v>71133.23</v>
      </c>
      <c r="BZ441">
        <v>5283776.32</v>
      </c>
      <c r="CC441">
        <v>0</v>
      </c>
      <c r="CD441">
        <v>71133.229940764679</v>
      </c>
      <c r="CE441">
        <v>5283776.32</v>
      </c>
      <c r="CF441" t="s">
        <v>38</v>
      </c>
      <c r="CG441">
        <v>15000</v>
      </c>
      <c r="CH441">
        <v>86133.229940764679</v>
      </c>
      <c r="CI441">
        <v>1114200</v>
      </c>
      <c r="CJ441">
        <v>6397976.3200000003</v>
      </c>
      <c r="CK441" t="s">
        <v>57</v>
      </c>
      <c r="CN441">
        <v>0</v>
      </c>
      <c r="CO441" t="s">
        <v>39</v>
      </c>
      <c r="CP441" t="s">
        <v>39</v>
      </c>
      <c r="CQ441" t="b">
        <v>1</v>
      </c>
      <c r="CR441" t="s">
        <v>8950</v>
      </c>
      <c r="CT441" t="s">
        <v>8960</v>
      </c>
      <c r="CU441" t="s">
        <v>8990</v>
      </c>
      <c r="CV441" t="s">
        <v>6309</v>
      </c>
      <c r="CW441" t="s">
        <v>4895</v>
      </c>
      <c r="CX441" t="s">
        <v>3246</v>
      </c>
      <c r="CY441">
        <v>1.6199999999999903</v>
      </c>
      <c r="CZ441">
        <v>139535.83250403794</v>
      </c>
      <c r="DA441">
        <v>6397976.3200000003</v>
      </c>
      <c r="DB441" t="s">
        <v>38</v>
      </c>
      <c r="DC441" t="b">
        <v>1</v>
      </c>
      <c r="DD441">
        <v>6397976.3200000003</v>
      </c>
      <c r="DE441">
        <v>0</v>
      </c>
      <c r="DF441" t="b">
        <v>1</v>
      </c>
      <c r="DG441" s="420" cm="1">
        <f t="array" ref="DG441">_xlfn.XLOOKUP("Дом 4"&amp;Реестр_Д4[[#This Row],[№]]&amp;Реестр_Д4[[#This Row],[Статус]],РД[Дом]&amp;РД[№ кв]&amp;РД[Состояние],РД[Дата подачи на регистрацию],"-",0)</f>
        <v>44957</v>
      </c>
    </row>
    <row r="442" spans="1:111" x14ac:dyDescent="0.25">
      <c r="A442">
        <v>441</v>
      </c>
      <c r="B442" t="s">
        <v>15</v>
      </c>
      <c r="C442">
        <v>6</v>
      </c>
      <c r="D442">
        <v>4</v>
      </c>
      <c r="E442">
        <v>1</v>
      </c>
      <c r="F442">
        <v>12.09</v>
      </c>
      <c r="I442">
        <v>12.09</v>
      </c>
      <c r="J442">
        <v>12.26</v>
      </c>
      <c r="K442">
        <v>3.71</v>
      </c>
      <c r="N442">
        <v>7.06</v>
      </c>
      <c r="O442">
        <v>2.75</v>
      </c>
      <c r="Q442">
        <v>2.75</v>
      </c>
      <c r="R442">
        <v>37.869999999999997</v>
      </c>
      <c r="S442">
        <v>35.119999999999997</v>
      </c>
      <c r="T442">
        <v>36.5</v>
      </c>
      <c r="U442">
        <v>37.6</v>
      </c>
      <c r="V442">
        <v>72100</v>
      </c>
      <c r="W442">
        <v>3605</v>
      </c>
      <c r="X442">
        <v>75705</v>
      </c>
      <c r="Y442">
        <v>3028.2000000000003</v>
      </c>
      <c r="Z442">
        <v>78733.2</v>
      </c>
      <c r="AA442">
        <v>3936.66</v>
      </c>
      <c r="AB442">
        <v>82669.86</v>
      </c>
      <c r="AC442">
        <v>10.16839278</v>
      </c>
      <c r="AD442">
        <v>82680.028392780005</v>
      </c>
      <c r="AE442">
        <v>4134.0014196390002</v>
      </c>
      <c r="AF442">
        <v>86814.029812419001</v>
      </c>
      <c r="AH442">
        <v>86814.029812419001</v>
      </c>
      <c r="AJ442">
        <v>86814.029812419001</v>
      </c>
      <c r="AL442">
        <v>86814.029812419001</v>
      </c>
      <c r="AN442">
        <v>86814.029812419001</v>
      </c>
      <c r="AP442">
        <v>86814.029812419001</v>
      </c>
      <c r="AR442">
        <v>86814.029812419001</v>
      </c>
      <c r="AT442">
        <v>86814.029812419001</v>
      </c>
      <c r="AV442">
        <v>86814.029812419001</v>
      </c>
      <c r="AX442">
        <v>86814.029812419001</v>
      </c>
      <c r="AZ442">
        <v>86814.029812419001</v>
      </c>
      <c r="BB442">
        <v>86814.029812419001</v>
      </c>
      <c r="BD442">
        <v>86814.029812419001</v>
      </c>
      <c r="BF442">
        <v>86814.029812419001</v>
      </c>
      <c r="BH442">
        <v>86814.029812419001</v>
      </c>
      <c r="BJ442">
        <v>86814.029812419001</v>
      </c>
      <c r="BL442">
        <v>86814.029812419001</v>
      </c>
      <c r="BN442">
        <v>86814.029812419001</v>
      </c>
      <c r="BP442">
        <v>86814.029812419001</v>
      </c>
      <c r="BR442">
        <v>86814.029812419001</v>
      </c>
      <c r="BT442">
        <v>86814.029812419001</v>
      </c>
      <c r="BV442">
        <v>86814.029812419001</v>
      </c>
      <c r="BX442">
        <v>86814.029812419001</v>
      </c>
      <c r="BY442">
        <v>86814.03</v>
      </c>
      <c r="BZ442">
        <v>3168712.1</v>
      </c>
      <c r="CC442">
        <v>0</v>
      </c>
      <c r="CD442">
        <v>86814.030136986301</v>
      </c>
      <c r="CE442">
        <v>3168712.1</v>
      </c>
      <c r="CF442" t="s">
        <v>37</v>
      </c>
      <c r="CG442">
        <v>4000</v>
      </c>
      <c r="CH442">
        <v>90814.030136986301</v>
      </c>
      <c r="CI442">
        <v>146000</v>
      </c>
      <c r="CJ442">
        <v>3314712.1</v>
      </c>
      <c r="CN442">
        <v>0</v>
      </c>
      <c r="CO442" t="s">
        <v>39</v>
      </c>
      <c r="CP442" t="s">
        <v>39</v>
      </c>
      <c r="CQ442" t="b">
        <v>1</v>
      </c>
      <c r="CR442" t="s">
        <v>8950</v>
      </c>
      <c r="CT442" t="s">
        <v>8960</v>
      </c>
      <c r="CU442" t="s">
        <v>8973</v>
      </c>
      <c r="CV442" t="s">
        <v>6310</v>
      </c>
      <c r="CW442" t="s">
        <v>4895</v>
      </c>
      <c r="CX442" t="s">
        <v>3246</v>
      </c>
      <c r="CY442">
        <v>1.1000000000000014</v>
      </c>
      <c r="CZ442">
        <v>99895.433150685058</v>
      </c>
      <c r="DA442">
        <v>3314712.1</v>
      </c>
      <c r="DB442" t="s">
        <v>37</v>
      </c>
      <c r="DC442" t="b">
        <v>1</v>
      </c>
      <c r="DD442">
        <v>3314712.1</v>
      </c>
      <c r="DE442">
        <v>0</v>
      </c>
      <c r="DF442" t="b">
        <v>1</v>
      </c>
      <c r="DG442" s="420" cm="1">
        <f t="array" ref="DG442">_xlfn.XLOOKUP("Дом 4"&amp;Реестр_Д4[[#This Row],[№]]&amp;Реестр_Д4[[#This Row],[Статус]],РД[Дом]&amp;РД[№ кв]&amp;РД[Состояние],РД[Дата подачи на регистрацию],"-",0)</f>
        <v>44924</v>
      </c>
    </row>
    <row r="443" spans="1:111" x14ac:dyDescent="0.25">
      <c r="A443">
        <v>442</v>
      </c>
      <c r="B443" t="s">
        <v>15</v>
      </c>
      <c r="C443">
        <v>6</v>
      </c>
      <c r="D443">
        <v>5</v>
      </c>
      <c r="E443">
        <v>2</v>
      </c>
      <c r="F443">
        <v>15.61</v>
      </c>
      <c r="G443">
        <v>12.02</v>
      </c>
      <c r="I443">
        <v>27.63</v>
      </c>
      <c r="J443">
        <v>13.1</v>
      </c>
      <c r="K443">
        <v>3.61</v>
      </c>
      <c r="L443">
        <v>1.82</v>
      </c>
      <c r="N443">
        <v>8.52</v>
      </c>
      <c r="O443">
        <v>2.72</v>
      </c>
      <c r="Q443">
        <v>2.72</v>
      </c>
      <c r="R443">
        <v>57.4</v>
      </c>
      <c r="S443">
        <v>54.68</v>
      </c>
      <c r="T443">
        <v>56.04</v>
      </c>
      <c r="U443">
        <v>57.499999999999993</v>
      </c>
      <c r="V443">
        <v>67972.800000000003</v>
      </c>
      <c r="W443">
        <v>3398.6400000000003</v>
      </c>
      <c r="X443">
        <v>71371.44</v>
      </c>
      <c r="Z443">
        <v>71371.44</v>
      </c>
      <c r="AA443">
        <v>3568.5720000000001</v>
      </c>
      <c r="AB443">
        <v>74940.012000000002</v>
      </c>
      <c r="AC443">
        <v>9.2176214760000015</v>
      </c>
      <c r="AD443">
        <v>74949.229621475999</v>
      </c>
      <c r="AF443">
        <v>74949.229621475999</v>
      </c>
      <c r="AH443">
        <v>74949.229621475999</v>
      </c>
      <c r="AI443">
        <v>1498.98459242952</v>
      </c>
      <c r="AJ443">
        <v>76448.214213905521</v>
      </c>
      <c r="AL443">
        <v>76448.214213905521</v>
      </c>
      <c r="AN443">
        <v>76448.214213905521</v>
      </c>
      <c r="AP443">
        <v>76448.214213905521</v>
      </c>
      <c r="AR443">
        <v>76448.214213905521</v>
      </c>
      <c r="AT443">
        <v>76448.214213905521</v>
      </c>
      <c r="AV443">
        <v>76448.214213905521</v>
      </c>
      <c r="AX443">
        <v>76448.214213905521</v>
      </c>
      <c r="AZ443">
        <v>76448.214213905521</v>
      </c>
      <c r="BB443">
        <v>76448.214213905521</v>
      </c>
      <c r="BD443">
        <v>76448.214213905521</v>
      </c>
      <c r="BF443">
        <v>76448.214213905521</v>
      </c>
      <c r="BH443">
        <v>76448.214213905521</v>
      </c>
      <c r="BJ443">
        <v>76448.214213905521</v>
      </c>
      <c r="BL443">
        <v>76448.214213905521</v>
      </c>
      <c r="BN443">
        <v>76448.214213905521</v>
      </c>
      <c r="BP443">
        <v>76448.214213905521</v>
      </c>
      <c r="BR443">
        <v>76448.214213905521</v>
      </c>
      <c r="BT443">
        <v>76448.214213905521</v>
      </c>
      <c r="BV443">
        <v>76448.214213905521</v>
      </c>
      <c r="BX443">
        <v>76448.214213905521</v>
      </c>
      <c r="BY443">
        <v>76448.210000000006</v>
      </c>
      <c r="BZ443">
        <v>4284157.6900000004</v>
      </c>
      <c r="CC443">
        <v>0</v>
      </c>
      <c r="CD443">
        <v>76448.210028551039</v>
      </c>
      <c r="CE443">
        <v>4284157.6900000004</v>
      </c>
      <c r="CF443" t="s">
        <v>37</v>
      </c>
      <c r="CG443">
        <v>4000</v>
      </c>
      <c r="CH443">
        <v>80448.210028551039</v>
      </c>
      <c r="CI443">
        <v>224160</v>
      </c>
      <c r="CJ443">
        <v>4508317.6900000004</v>
      </c>
      <c r="CN443">
        <v>0</v>
      </c>
      <c r="CO443" t="s">
        <v>39</v>
      </c>
      <c r="CP443" t="s">
        <v>39</v>
      </c>
      <c r="CQ443" t="b">
        <v>1</v>
      </c>
      <c r="CR443" t="s">
        <v>8950</v>
      </c>
      <c r="CT443" t="s">
        <v>8960</v>
      </c>
      <c r="CU443" t="s">
        <v>8974</v>
      </c>
      <c r="CV443" t="s">
        <v>6311</v>
      </c>
      <c r="CW443" t="s">
        <v>4895</v>
      </c>
      <c r="CX443" t="s">
        <v>3246</v>
      </c>
      <c r="CY443">
        <v>1.4599999999999935</v>
      </c>
      <c r="CZ443">
        <v>117454.38664168402</v>
      </c>
      <c r="DA443">
        <v>4508317.6900000004</v>
      </c>
      <c r="DB443" t="s">
        <v>37</v>
      </c>
      <c r="DC443" t="b">
        <v>1</v>
      </c>
      <c r="DD443">
        <v>4508317.6900000004</v>
      </c>
      <c r="DE443">
        <v>0</v>
      </c>
      <c r="DF443" t="b">
        <v>1</v>
      </c>
      <c r="DG443" s="420" cm="1">
        <f t="array" ref="DG443">_xlfn.XLOOKUP("Дом 4"&amp;Реестр_Д4[[#This Row],[№]]&amp;Реестр_Д4[[#This Row],[Статус]],РД[Дом]&amp;РД[№ кв]&amp;РД[Состояние],РД[Дата подачи на регистрацию],"-",0)</f>
        <v>45017</v>
      </c>
    </row>
    <row r="444" spans="1:111" x14ac:dyDescent="0.25">
      <c r="A444">
        <v>443</v>
      </c>
      <c r="B444" t="s">
        <v>15</v>
      </c>
      <c r="C444">
        <v>6</v>
      </c>
      <c r="D444">
        <v>6</v>
      </c>
      <c r="E444">
        <v>2</v>
      </c>
      <c r="F444">
        <v>15.61</v>
      </c>
      <c r="G444">
        <v>9.66</v>
      </c>
      <c r="I444">
        <v>25.27</v>
      </c>
      <c r="J444">
        <v>16.53</v>
      </c>
      <c r="K444">
        <v>3.63</v>
      </c>
      <c r="L444">
        <v>2.21</v>
      </c>
      <c r="N444">
        <v>9.6199999999999992</v>
      </c>
      <c r="O444">
        <v>2.72</v>
      </c>
      <c r="Q444">
        <v>2.72</v>
      </c>
      <c r="R444">
        <v>59.98</v>
      </c>
      <c r="S444">
        <v>57.26</v>
      </c>
      <c r="T444">
        <v>58.62</v>
      </c>
      <c r="U444">
        <v>60.999999999999993</v>
      </c>
      <c r="V444">
        <v>68639.199999999997</v>
      </c>
      <c r="W444">
        <v>3431.96</v>
      </c>
      <c r="X444">
        <v>72071.16</v>
      </c>
      <c r="Z444">
        <v>72071.16</v>
      </c>
      <c r="AA444">
        <v>3603.558</v>
      </c>
      <c r="AB444">
        <v>75674.717999999993</v>
      </c>
      <c r="AC444">
        <v>9.3079903140000013</v>
      </c>
      <c r="AD444">
        <v>75684.02599031401</v>
      </c>
      <c r="AF444">
        <v>75684.02599031401</v>
      </c>
      <c r="AH444">
        <v>75684.02599031401</v>
      </c>
      <c r="AI444">
        <v>1513.6805198062802</v>
      </c>
      <c r="AJ444">
        <v>77197.70651012029</v>
      </c>
      <c r="AK444">
        <v>771.97706510120292</v>
      </c>
      <c r="AL444">
        <v>77969.683575221497</v>
      </c>
      <c r="AM444">
        <v>1559.3936715044299</v>
      </c>
      <c r="AN444">
        <v>79529.077246725923</v>
      </c>
      <c r="AO444">
        <v>2385.8723174017778</v>
      </c>
      <c r="AP444">
        <v>81914.949564127703</v>
      </c>
      <c r="AR444">
        <v>81914.949564127703</v>
      </c>
      <c r="AT444">
        <v>81914.949564127703</v>
      </c>
      <c r="AV444">
        <v>81914.949564127703</v>
      </c>
      <c r="AX444">
        <v>81914.949564127703</v>
      </c>
      <c r="AZ444">
        <v>81914.949564127703</v>
      </c>
      <c r="BB444">
        <v>81914.949564127703</v>
      </c>
      <c r="BD444">
        <v>81914.949564127703</v>
      </c>
      <c r="BF444">
        <v>81914.949564127703</v>
      </c>
      <c r="BH444">
        <v>81914.949564127703</v>
      </c>
      <c r="BJ444">
        <v>81914.949564127703</v>
      </c>
      <c r="BL444">
        <v>81914.949564127703</v>
      </c>
      <c r="BN444">
        <v>81914.949564127703</v>
      </c>
      <c r="BP444">
        <v>81914.949564127703</v>
      </c>
      <c r="BR444">
        <v>81914.949564127703</v>
      </c>
      <c r="BT444">
        <v>81914.949564127703</v>
      </c>
      <c r="BV444">
        <v>81914.949564127703</v>
      </c>
      <c r="BX444">
        <v>81914.949564127703</v>
      </c>
      <c r="BY444">
        <v>81914.95</v>
      </c>
      <c r="BZ444">
        <v>4801854.37</v>
      </c>
      <c r="CB444">
        <v>0.06</v>
      </c>
      <c r="CC444">
        <v>288111.2622</v>
      </c>
      <c r="CD444">
        <v>77000.053053565338</v>
      </c>
      <c r="CE444">
        <v>4513743.1100000003</v>
      </c>
      <c r="CF444" t="s">
        <v>37</v>
      </c>
      <c r="CG444">
        <v>4000</v>
      </c>
      <c r="CH444">
        <v>81000.053053565338</v>
      </c>
      <c r="CI444">
        <v>234480</v>
      </c>
      <c r="CJ444">
        <v>4748223.1100000003</v>
      </c>
      <c r="CL444" t="s">
        <v>978</v>
      </c>
      <c r="CN444">
        <v>0</v>
      </c>
      <c r="CO444" t="s">
        <v>39</v>
      </c>
      <c r="CP444" t="s">
        <v>39</v>
      </c>
      <c r="CQ444" t="b">
        <v>1</v>
      </c>
      <c r="CR444" t="s">
        <v>8950</v>
      </c>
      <c r="CT444" t="s">
        <v>8960</v>
      </c>
      <c r="CU444" t="s">
        <v>8971</v>
      </c>
      <c r="CV444" t="s">
        <v>6312</v>
      </c>
      <c r="CW444" t="s">
        <v>4895</v>
      </c>
      <c r="CX444" t="s">
        <v>3246</v>
      </c>
      <c r="CY444">
        <v>2.3799999999999955</v>
      </c>
      <c r="CZ444">
        <v>192780.12626748515</v>
      </c>
      <c r="DA444">
        <v>4748223.1100000003</v>
      </c>
      <c r="DB444" t="s">
        <v>37</v>
      </c>
      <c r="DC444" t="b">
        <v>1</v>
      </c>
      <c r="DD444">
        <v>4748223.1100000003</v>
      </c>
      <c r="DE444">
        <v>0</v>
      </c>
      <c r="DF444" t="b">
        <v>1</v>
      </c>
      <c r="DG444" s="420" cm="1">
        <f t="array" ref="DG444">_xlfn.XLOOKUP("Дом 4"&amp;Реестр_Д4[[#This Row],[№]]&amp;Реестр_Д4[[#This Row],[Статус]],РД[Дом]&amp;РД[№ кв]&amp;РД[Состояние],РД[Дата подачи на регистрацию],"-",0)</f>
        <v>45121</v>
      </c>
    </row>
    <row r="445" spans="1:111" x14ac:dyDescent="0.25">
      <c r="A445">
        <v>444</v>
      </c>
      <c r="B445" t="s">
        <v>15</v>
      </c>
      <c r="C445">
        <v>6</v>
      </c>
      <c r="D445">
        <v>7</v>
      </c>
      <c r="E445">
        <v>2</v>
      </c>
      <c r="F445">
        <v>11.83</v>
      </c>
      <c r="G445">
        <v>11.4</v>
      </c>
      <c r="I445">
        <v>23.23</v>
      </c>
      <c r="J445">
        <v>27.16</v>
      </c>
      <c r="K445">
        <v>5.28</v>
      </c>
      <c r="L445">
        <v>1.75</v>
      </c>
      <c r="N445">
        <v>8.67</v>
      </c>
      <c r="O445">
        <v>2.8</v>
      </c>
      <c r="Q445">
        <v>2.8</v>
      </c>
      <c r="R445">
        <v>68.89</v>
      </c>
      <c r="S445">
        <v>66.09</v>
      </c>
      <c r="T445">
        <v>67.489999999999995</v>
      </c>
      <c r="U445">
        <v>69.099999999999994</v>
      </c>
      <c r="V445">
        <v>71971.199999999997</v>
      </c>
      <c r="W445">
        <v>3598.56</v>
      </c>
      <c r="X445">
        <v>75569.759999999995</v>
      </c>
      <c r="Z445">
        <v>75569.759999999995</v>
      </c>
      <c r="AA445">
        <v>3778.4879999999998</v>
      </c>
      <c r="AB445">
        <v>79348.248000000007</v>
      </c>
      <c r="AC445">
        <v>9.7598345040000005</v>
      </c>
      <c r="AD445">
        <v>79358.007834503995</v>
      </c>
      <c r="AF445">
        <v>79358.007834503995</v>
      </c>
      <c r="AH445">
        <v>79358.007834503995</v>
      </c>
      <c r="AI445">
        <v>1587.1601566900799</v>
      </c>
      <c r="AJ445">
        <v>80945.167991194074</v>
      </c>
      <c r="AK445">
        <v>2428.3550397358222</v>
      </c>
      <c r="AL445">
        <v>83373.523030929893</v>
      </c>
      <c r="AM445">
        <v>3334.9409212371957</v>
      </c>
      <c r="AN445">
        <v>86708.463952167091</v>
      </c>
      <c r="AP445">
        <v>86708.463952167091</v>
      </c>
      <c r="AQ445">
        <v>2601.253918565013</v>
      </c>
      <c r="AR445">
        <v>89309.7178707321</v>
      </c>
      <c r="AT445">
        <v>89309.7178707321</v>
      </c>
      <c r="AU445">
        <v>2679.291536121963</v>
      </c>
      <c r="AV445">
        <v>91989.009406854064</v>
      </c>
      <c r="AX445">
        <v>91989.009406854064</v>
      </c>
      <c r="AZ445">
        <v>91989.009406854064</v>
      </c>
      <c r="BB445">
        <v>91989.009406854064</v>
      </c>
      <c r="BD445">
        <v>91989.009406854064</v>
      </c>
      <c r="BF445">
        <v>91989.009406854064</v>
      </c>
      <c r="BH445">
        <v>91989.009406854064</v>
      </c>
      <c r="BI445">
        <v>4599.4504703427037</v>
      </c>
      <c r="BJ445">
        <v>96588.459877196772</v>
      </c>
      <c r="BL445">
        <v>96588.459877196772</v>
      </c>
      <c r="BN445">
        <v>96588.459877196772</v>
      </c>
      <c r="BP445">
        <v>96588.459877196772</v>
      </c>
      <c r="BR445">
        <v>96588.459877196772</v>
      </c>
      <c r="BT445">
        <v>96588.459877196772</v>
      </c>
      <c r="BV445">
        <v>96588.459877196772</v>
      </c>
      <c r="BX445">
        <v>96588.459877196772</v>
      </c>
      <c r="BY445">
        <v>96588.46</v>
      </c>
      <c r="BZ445">
        <v>6518800</v>
      </c>
      <c r="CB445">
        <v>2.5000000000000001E-2</v>
      </c>
      <c r="CC445">
        <v>162970</v>
      </c>
      <c r="CD445">
        <v>94174.396206845471</v>
      </c>
      <c r="CE445">
        <v>6355830</v>
      </c>
      <c r="CF445" t="s">
        <v>37</v>
      </c>
      <c r="CG445">
        <v>7500</v>
      </c>
      <c r="CH445">
        <v>101674.39620684549</v>
      </c>
      <c r="CI445">
        <v>506175</v>
      </c>
      <c r="CJ445">
        <v>6862005</v>
      </c>
      <c r="CK445" t="s">
        <v>57</v>
      </c>
      <c r="CL445" t="s">
        <v>321</v>
      </c>
      <c r="CN445">
        <v>0</v>
      </c>
      <c r="CO445" t="s">
        <v>39</v>
      </c>
      <c r="CP445" t="s">
        <v>39</v>
      </c>
      <c r="CQ445" t="b">
        <v>1</v>
      </c>
      <c r="CR445" t="s">
        <v>8950</v>
      </c>
      <c r="CT445" t="s">
        <v>8960</v>
      </c>
      <c r="CU445" t="s">
        <v>8971</v>
      </c>
      <c r="CV445" t="s">
        <v>6313</v>
      </c>
      <c r="CW445" t="s">
        <v>6652</v>
      </c>
      <c r="CX445" t="s">
        <v>3246</v>
      </c>
      <c r="CY445">
        <v>1.6099999999999994</v>
      </c>
      <c r="CZ445">
        <v>163695.77789302115</v>
      </c>
      <c r="DA445">
        <v>6862005</v>
      </c>
      <c r="DB445" t="s">
        <v>37</v>
      </c>
      <c r="DC445" t="b">
        <v>1</v>
      </c>
      <c r="DD445">
        <v>6862005</v>
      </c>
      <c r="DE445">
        <v>0</v>
      </c>
      <c r="DF445" t="b">
        <v>1</v>
      </c>
      <c r="DG445" s="420" cm="1">
        <f t="array" ref="DG445">_xlfn.XLOOKUP("Дом 4"&amp;Реестр_Д4[[#This Row],[№]]&amp;Реестр_Д4[[#This Row],[Статус]],РД[Дом]&amp;РД[№ кв]&amp;РД[Состояние],РД[Дата подачи на регистрацию],"-",0)</f>
        <v>45370</v>
      </c>
    </row>
    <row r="446" spans="1:111" x14ac:dyDescent="0.25">
      <c r="A446">
        <v>445</v>
      </c>
      <c r="B446" t="s">
        <v>15</v>
      </c>
      <c r="C446">
        <v>6</v>
      </c>
      <c r="D446">
        <v>8</v>
      </c>
      <c r="E446">
        <v>2</v>
      </c>
      <c r="F446">
        <v>17.25</v>
      </c>
      <c r="G446">
        <v>14.07</v>
      </c>
      <c r="I446">
        <v>31.32</v>
      </c>
      <c r="J446">
        <v>14.23</v>
      </c>
      <c r="K446">
        <v>3.81</v>
      </c>
      <c r="L446">
        <v>1.75</v>
      </c>
      <c r="N446">
        <v>11.07</v>
      </c>
      <c r="O446">
        <v>3.12</v>
      </c>
      <c r="Q446">
        <v>3.12</v>
      </c>
      <c r="R446">
        <v>65.3</v>
      </c>
      <c r="S446">
        <v>62.18</v>
      </c>
      <c r="T446">
        <v>63.74</v>
      </c>
      <c r="U446">
        <v>65.400000000000006</v>
      </c>
      <c r="V446">
        <v>68639.199999999997</v>
      </c>
      <c r="W446">
        <v>3431.96</v>
      </c>
      <c r="X446">
        <v>72071.16</v>
      </c>
      <c r="Z446">
        <v>72071.16</v>
      </c>
      <c r="AA446">
        <v>3603.558</v>
      </c>
      <c r="AB446">
        <v>75674.717999999993</v>
      </c>
      <c r="AC446">
        <v>9.3079903140000013</v>
      </c>
      <c r="AD446">
        <v>75684.02599031401</v>
      </c>
      <c r="AF446">
        <v>75684.02599031401</v>
      </c>
      <c r="AH446">
        <v>75684.02599031401</v>
      </c>
      <c r="AI446">
        <v>1513.6805198062802</v>
      </c>
      <c r="AJ446">
        <v>77197.70651012029</v>
      </c>
      <c r="AK446">
        <v>771.97706510120292</v>
      </c>
      <c r="AL446">
        <v>77969.683575221497</v>
      </c>
      <c r="AM446">
        <v>1559.3936715044299</v>
      </c>
      <c r="AN446">
        <v>79529.077246725923</v>
      </c>
      <c r="AP446">
        <v>79529.077246725923</v>
      </c>
      <c r="AQ446">
        <v>2385.8723174017778</v>
      </c>
      <c r="AR446">
        <v>81914.949564127703</v>
      </c>
      <c r="AT446">
        <v>81914.949564127703</v>
      </c>
      <c r="AU446">
        <v>2457.4484869238308</v>
      </c>
      <c r="AV446">
        <v>84372.398051051539</v>
      </c>
      <c r="AX446">
        <v>84372.398051051539</v>
      </c>
      <c r="AZ446">
        <v>84372.398051051539</v>
      </c>
      <c r="BB446">
        <v>84372.398051051539</v>
      </c>
      <c r="BD446">
        <v>84372.398051051539</v>
      </c>
      <c r="BF446">
        <v>84372.398051051539</v>
      </c>
      <c r="BH446">
        <v>84372.398051051539</v>
      </c>
      <c r="BJ446">
        <v>84372.398051051539</v>
      </c>
      <c r="BL446">
        <v>84372.398051051539</v>
      </c>
      <c r="BN446">
        <v>84372.398051051539</v>
      </c>
      <c r="BP446">
        <v>84372.398051051539</v>
      </c>
      <c r="BR446">
        <v>84372.398051051539</v>
      </c>
      <c r="BT446">
        <v>84372.398051051539</v>
      </c>
      <c r="BV446">
        <v>84372.398051051539</v>
      </c>
      <c r="BX446">
        <v>84372.398051051539</v>
      </c>
      <c r="BY446">
        <v>84372.4</v>
      </c>
      <c r="BZ446">
        <v>5377896.7800000003</v>
      </c>
      <c r="CC446">
        <v>0</v>
      </c>
      <c r="CD446">
        <v>84372.400062754939</v>
      </c>
      <c r="CE446">
        <v>5377896.7800000003</v>
      </c>
      <c r="CF446" t="s">
        <v>37</v>
      </c>
      <c r="CG446">
        <v>7500</v>
      </c>
      <c r="CH446">
        <v>91872.400062754939</v>
      </c>
      <c r="CI446">
        <v>478050</v>
      </c>
      <c r="CJ446">
        <v>5855946.7800000003</v>
      </c>
      <c r="CN446">
        <v>0</v>
      </c>
      <c r="CO446" t="s">
        <v>39</v>
      </c>
      <c r="CP446" t="s">
        <v>39</v>
      </c>
      <c r="CQ446" t="b">
        <v>1</v>
      </c>
      <c r="CR446" t="s">
        <v>8950</v>
      </c>
      <c r="CT446" t="s">
        <v>8960</v>
      </c>
      <c r="CU446" t="s">
        <v>8971</v>
      </c>
      <c r="CV446" t="s">
        <v>6314</v>
      </c>
      <c r="CW446" t="s">
        <v>4895</v>
      </c>
      <c r="CX446" t="s">
        <v>3246</v>
      </c>
      <c r="CY446">
        <v>1.6600000000000037</v>
      </c>
      <c r="CZ446">
        <v>152508.18410417353</v>
      </c>
      <c r="DA446">
        <v>5855946.7800000003</v>
      </c>
      <c r="DB446" t="s">
        <v>37</v>
      </c>
      <c r="DC446" t="b">
        <v>1</v>
      </c>
      <c r="DD446">
        <v>5855946.7800000003</v>
      </c>
      <c r="DE446">
        <v>0</v>
      </c>
      <c r="DF446" t="b">
        <v>1</v>
      </c>
      <c r="DG446" s="420" cm="1">
        <f t="array" ref="DG446">_xlfn.XLOOKUP("Дом 4"&amp;Реестр_Д4[[#This Row],[№]]&amp;Реестр_Д4[[#This Row],[Статус]],РД[Дом]&amp;РД[№ кв]&amp;РД[Состояние],РД[Дата подачи на регистрацию],"-",0)</f>
        <v>45229</v>
      </c>
    </row>
    <row r="447" spans="1:111" x14ac:dyDescent="0.25">
      <c r="A447">
        <v>446</v>
      </c>
      <c r="B447" t="s">
        <v>15</v>
      </c>
      <c r="C447">
        <v>6</v>
      </c>
      <c r="D447">
        <v>9</v>
      </c>
      <c r="E447">
        <v>1</v>
      </c>
      <c r="F447">
        <v>16.46</v>
      </c>
      <c r="I447">
        <v>16.46</v>
      </c>
      <c r="J447">
        <v>14.25</v>
      </c>
      <c r="K447">
        <v>3.92</v>
      </c>
      <c r="N447">
        <v>8.2200000000000006</v>
      </c>
      <c r="O447">
        <v>3.03</v>
      </c>
      <c r="Q447">
        <v>3.03</v>
      </c>
      <c r="R447">
        <v>45.88</v>
      </c>
      <c r="S447">
        <v>42.85</v>
      </c>
      <c r="T447">
        <v>44.37</v>
      </c>
      <c r="U447">
        <v>45.8</v>
      </c>
      <c r="V447">
        <v>72100</v>
      </c>
      <c r="W447">
        <v>3605</v>
      </c>
      <c r="X447">
        <v>75705</v>
      </c>
      <c r="Z447">
        <v>75705</v>
      </c>
      <c r="AA447">
        <v>3785.25</v>
      </c>
      <c r="AB447">
        <v>79490.25</v>
      </c>
      <c r="AC447">
        <v>9.7773007500000002</v>
      </c>
      <c r="AD447">
        <v>79500.027300750007</v>
      </c>
      <c r="AE447">
        <v>3975.0013650375008</v>
      </c>
      <c r="AF447">
        <v>83475.028665787511</v>
      </c>
      <c r="AH447">
        <v>83475.028665787511</v>
      </c>
      <c r="AI447">
        <v>2504.2508599736252</v>
      </c>
      <c r="AJ447">
        <v>85979.279525761129</v>
      </c>
      <c r="AK447">
        <v>859.79279525761149</v>
      </c>
      <c r="AL447">
        <v>86839.072321018757</v>
      </c>
      <c r="AM447">
        <v>1736.7814464203752</v>
      </c>
      <c r="AN447">
        <v>88575.853767439126</v>
      </c>
      <c r="AO447">
        <v>1771.5170753487826</v>
      </c>
      <c r="AP447">
        <v>90347.370842787903</v>
      </c>
      <c r="AQ447">
        <v>2710.4211252836371</v>
      </c>
      <c r="AR447">
        <v>93057.791968071542</v>
      </c>
      <c r="AT447">
        <v>93057.791968071542</v>
      </c>
      <c r="AU447">
        <v>2791.7337590421462</v>
      </c>
      <c r="AV447">
        <v>95849.525727113694</v>
      </c>
      <c r="AX447">
        <v>95849.525727113694</v>
      </c>
      <c r="AZ447">
        <v>95849.525727113694</v>
      </c>
      <c r="BB447">
        <v>95849.525727113694</v>
      </c>
      <c r="BD447">
        <v>95849.525727113694</v>
      </c>
      <c r="BF447">
        <v>95849.525727113694</v>
      </c>
      <c r="BH447">
        <v>95849.525727113694</v>
      </c>
      <c r="BJ447">
        <v>95849.525727113694</v>
      </c>
      <c r="BL447">
        <v>95849.525727113694</v>
      </c>
      <c r="BN447">
        <v>95849.525727113694</v>
      </c>
      <c r="BP447">
        <v>95849.525727113694</v>
      </c>
      <c r="BR447">
        <v>95849.525727113694</v>
      </c>
      <c r="BT447">
        <v>95849.525727113694</v>
      </c>
      <c r="BV447">
        <v>95849.525727113694</v>
      </c>
      <c r="BX447">
        <v>95849.525727113694</v>
      </c>
      <c r="BY447">
        <v>95849.53</v>
      </c>
      <c r="BZ447">
        <v>4252843.6500000004</v>
      </c>
      <c r="CC447">
        <v>0</v>
      </c>
      <c r="CD447">
        <v>95849.530087897248</v>
      </c>
      <c r="CE447">
        <v>4252843.6500000004</v>
      </c>
      <c r="CF447" t="s">
        <v>36</v>
      </c>
      <c r="CH447">
        <v>95849.530087897248</v>
      </c>
      <c r="CI447">
        <v>0</v>
      </c>
      <c r="CJ447">
        <v>4252843.6500000004</v>
      </c>
      <c r="CN447">
        <v>0</v>
      </c>
      <c r="CO447" t="s">
        <v>39</v>
      </c>
      <c r="CP447" t="s">
        <v>39</v>
      </c>
      <c r="CQ447" t="b">
        <v>1</v>
      </c>
      <c r="CR447" t="s">
        <v>8950</v>
      </c>
      <c r="CT447" t="s">
        <v>8960</v>
      </c>
      <c r="CU447" t="s">
        <v>8972</v>
      </c>
      <c r="CV447" t="s">
        <v>6315</v>
      </c>
      <c r="CW447" t="s">
        <v>4895</v>
      </c>
      <c r="CX447" t="s">
        <v>3246</v>
      </c>
      <c r="CY447">
        <v>1.4300000000000068</v>
      </c>
      <c r="CZ447">
        <v>137064.82802569371</v>
      </c>
      <c r="DA447">
        <v>4252843.6500000004</v>
      </c>
      <c r="DB447" t="s">
        <v>36</v>
      </c>
      <c r="DC447" t="b">
        <v>1</v>
      </c>
      <c r="DD447">
        <v>4252843.6500000004</v>
      </c>
      <c r="DE447">
        <v>0</v>
      </c>
      <c r="DF447" t="b">
        <v>1</v>
      </c>
      <c r="DG447" s="420" cm="1">
        <f t="array" ref="DG447">_xlfn.XLOOKUP("Дом 4"&amp;Реестр_Д4[[#This Row],[№]]&amp;Реестр_Д4[[#This Row],[Статус]],РД[Дом]&amp;РД[№ кв]&amp;РД[Состояние],РД[Дата подачи на регистрацию],"-",0)</f>
        <v>45257</v>
      </c>
    </row>
    <row r="448" spans="1:111" x14ac:dyDescent="0.25">
      <c r="A448">
        <v>447</v>
      </c>
      <c r="B448" t="s">
        <v>15</v>
      </c>
      <c r="C448">
        <v>7</v>
      </c>
      <c r="D448">
        <v>1</v>
      </c>
      <c r="E448">
        <v>1</v>
      </c>
      <c r="F448">
        <v>14.05</v>
      </c>
      <c r="I448">
        <v>14.05</v>
      </c>
      <c r="J448">
        <v>12.32</v>
      </c>
      <c r="K448">
        <v>3.87</v>
      </c>
      <c r="N448">
        <v>8.14</v>
      </c>
      <c r="O448">
        <v>2.72</v>
      </c>
      <c r="Q448">
        <v>2.72</v>
      </c>
      <c r="R448">
        <v>41.1</v>
      </c>
      <c r="S448">
        <v>38.380000000000003</v>
      </c>
      <c r="T448">
        <v>39.74</v>
      </c>
      <c r="U448">
        <v>41.1</v>
      </c>
      <c r="V448">
        <v>71400</v>
      </c>
      <c r="W448">
        <v>3570</v>
      </c>
      <c r="X448">
        <v>74970</v>
      </c>
      <c r="Y448">
        <v>2998.8</v>
      </c>
      <c r="Z448">
        <v>77968.800000000003</v>
      </c>
      <c r="AA448">
        <v>3898.440000000001</v>
      </c>
      <c r="AB448">
        <v>81867.240000000005</v>
      </c>
      <c r="AC448">
        <v>10.069670520000001</v>
      </c>
      <c r="AD448">
        <v>81877.309670520001</v>
      </c>
      <c r="AE448">
        <v>4093.8654835259999</v>
      </c>
      <c r="AF448">
        <v>85971.175154045995</v>
      </c>
      <c r="AH448">
        <v>85971.175154045995</v>
      </c>
      <c r="AI448">
        <v>2579.1352546213802</v>
      </c>
      <c r="AJ448">
        <v>88550.31040866737</v>
      </c>
      <c r="AK448">
        <v>885.50310408667372</v>
      </c>
      <c r="AL448">
        <v>89435.813512754044</v>
      </c>
      <c r="AM448">
        <v>1788.7162702550809</v>
      </c>
      <c r="AN448">
        <v>91224.529783009129</v>
      </c>
      <c r="AP448">
        <v>91224.529783009129</v>
      </c>
      <c r="AR448">
        <v>91224.529783009129</v>
      </c>
      <c r="AT448">
        <v>91224.529783009129</v>
      </c>
      <c r="AV448">
        <v>91224.529783009129</v>
      </c>
      <c r="AX448">
        <v>91224.529783009129</v>
      </c>
      <c r="AZ448">
        <v>91224.529783009129</v>
      </c>
      <c r="BB448">
        <v>91224.529783009129</v>
      </c>
      <c r="BD448">
        <v>91224.529783009129</v>
      </c>
      <c r="BF448">
        <v>91224.529783009129</v>
      </c>
      <c r="BH448">
        <v>91224.529783009129</v>
      </c>
      <c r="BJ448">
        <v>91224.529783009129</v>
      </c>
      <c r="BL448">
        <v>91224.529783009129</v>
      </c>
      <c r="BN448">
        <v>91224.529783009129</v>
      </c>
      <c r="BP448">
        <v>91224.529783009129</v>
      </c>
      <c r="BR448">
        <v>91224.529783009129</v>
      </c>
      <c r="BT448">
        <v>91224.529783009129</v>
      </c>
      <c r="BV448">
        <v>91224.529783009129</v>
      </c>
      <c r="BX448">
        <v>91224.529783009129</v>
      </c>
      <c r="BY448">
        <v>91224.53</v>
      </c>
      <c r="BZ448">
        <v>3625262.82</v>
      </c>
      <c r="CA448">
        <v>158960</v>
      </c>
      <c r="CC448">
        <v>158960</v>
      </c>
      <c r="CD448">
        <v>87224.529944640148</v>
      </c>
      <c r="CE448">
        <v>3466302.82</v>
      </c>
      <c r="CF448" t="s">
        <v>37</v>
      </c>
      <c r="CG448">
        <v>4000</v>
      </c>
      <c r="CH448">
        <v>91224.529944640148</v>
      </c>
      <c r="CI448">
        <v>158960</v>
      </c>
      <c r="CJ448">
        <v>3625262.82</v>
      </c>
      <c r="CL448" t="s">
        <v>4839</v>
      </c>
      <c r="CN448">
        <v>0</v>
      </c>
      <c r="CO448" t="s">
        <v>39</v>
      </c>
      <c r="CP448" t="s">
        <v>39</v>
      </c>
      <c r="CQ448" t="b">
        <v>1</v>
      </c>
      <c r="CR448" t="s">
        <v>8950</v>
      </c>
      <c r="CT448" t="s">
        <v>8960</v>
      </c>
      <c r="CU448" t="s">
        <v>8973</v>
      </c>
      <c r="CV448" t="s">
        <v>6316</v>
      </c>
      <c r="CW448" t="s">
        <v>4895</v>
      </c>
      <c r="CX448" t="s">
        <v>3246</v>
      </c>
      <c r="CY448">
        <v>1.3599999999999994</v>
      </c>
      <c r="CZ448">
        <v>124065.36072471055</v>
      </c>
      <c r="DA448">
        <v>3625262.82</v>
      </c>
      <c r="DB448" t="s">
        <v>37</v>
      </c>
      <c r="DC448" t="b">
        <v>1</v>
      </c>
      <c r="DD448">
        <v>3625262.82</v>
      </c>
      <c r="DE448">
        <v>0</v>
      </c>
      <c r="DF448" t="b">
        <v>1</v>
      </c>
      <c r="DG448" s="420" cm="1">
        <f t="array" ref="DG448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449" spans="1:111" x14ac:dyDescent="0.25">
      <c r="A449">
        <v>448</v>
      </c>
      <c r="B449" t="s">
        <v>15</v>
      </c>
      <c r="C449">
        <v>7</v>
      </c>
      <c r="D449">
        <v>2</v>
      </c>
      <c r="E449">
        <v>1</v>
      </c>
      <c r="F449">
        <v>14.29</v>
      </c>
      <c r="I449">
        <v>14.29</v>
      </c>
      <c r="J449">
        <v>12.32</v>
      </c>
      <c r="K449">
        <v>3.72</v>
      </c>
      <c r="N449">
        <v>6.91</v>
      </c>
      <c r="O449">
        <v>2.72</v>
      </c>
      <c r="Q449">
        <v>2.72</v>
      </c>
      <c r="R449">
        <v>39.96</v>
      </c>
      <c r="S449">
        <v>37.24</v>
      </c>
      <c r="T449">
        <v>38.6</v>
      </c>
      <c r="U449">
        <v>39.700000000000003</v>
      </c>
      <c r="V449">
        <v>71400</v>
      </c>
      <c r="W449">
        <v>3570</v>
      </c>
      <c r="X449">
        <v>74970</v>
      </c>
      <c r="Y449">
        <v>2998.8</v>
      </c>
      <c r="Z449">
        <v>77968.800000000003</v>
      </c>
      <c r="AA449">
        <v>3898.440000000001</v>
      </c>
      <c r="AB449">
        <v>81867.240000000005</v>
      </c>
      <c r="AC449">
        <v>10.069670520000001</v>
      </c>
      <c r="AD449">
        <v>81877.309670520001</v>
      </c>
      <c r="AE449">
        <v>4093.8654835259999</v>
      </c>
      <c r="AF449">
        <v>85971.175154045995</v>
      </c>
      <c r="AH449">
        <v>85971.175154045995</v>
      </c>
      <c r="AI449">
        <v>2579.1352546213802</v>
      </c>
      <c r="AJ449">
        <v>88550.31040866737</v>
      </c>
      <c r="AK449">
        <v>885.50310408667372</v>
      </c>
      <c r="AL449">
        <v>89435.813512754044</v>
      </c>
      <c r="AM449">
        <v>1788.7162702550809</v>
      </c>
      <c r="AN449">
        <v>91224.529783009129</v>
      </c>
      <c r="AO449">
        <v>1824.4905956601824</v>
      </c>
      <c r="AP449">
        <v>93049.020378669316</v>
      </c>
      <c r="AR449">
        <v>93049.020378669316</v>
      </c>
      <c r="AT449">
        <v>93049.020378669316</v>
      </c>
      <c r="AV449">
        <v>93049.020378669316</v>
      </c>
      <c r="AX449">
        <v>93049.020378669316</v>
      </c>
      <c r="AZ449">
        <v>93049.020378669316</v>
      </c>
      <c r="BB449">
        <v>93049.020378669316</v>
      </c>
      <c r="BD449">
        <v>93049.020378669316</v>
      </c>
      <c r="BF449">
        <v>93049.020378669316</v>
      </c>
      <c r="BH449">
        <v>93049.020378669316</v>
      </c>
      <c r="BJ449">
        <v>93049.020378669316</v>
      </c>
      <c r="BL449">
        <v>93049.020378669316</v>
      </c>
      <c r="BN449">
        <v>93049.020378669316</v>
      </c>
      <c r="BP449">
        <v>93049.020378669316</v>
      </c>
      <c r="BR449">
        <v>93049.020378669316</v>
      </c>
      <c r="BT449">
        <v>93049.020378669316</v>
      </c>
      <c r="BV449">
        <v>93049.020378669316</v>
      </c>
      <c r="BX449">
        <v>93049.020378669316</v>
      </c>
      <c r="BY449">
        <v>93049.02</v>
      </c>
      <c r="BZ449">
        <v>3591692.17</v>
      </c>
      <c r="CC449">
        <v>0</v>
      </c>
      <c r="CD449">
        <v>93049.019948186527</v>
      </c>
      <c r="CE449">
        <v>3591692.17</v>
      </c>
      <c r="CF449" t="s">
        <v>37</v>
      </c>
      <c r="CG449">
        <v>4000</v>
      </c>
      <c r="CH449">
        <v>97049.019948186527</v>
      </c>
      <c r="CI449">
        <v>154400</v>
      </c>
      <c r="CJ449">
        <v>3746092.17</v>
      </c>
      <c r="CN449">
        <v>0</v>
      </c>
      <c r="CO449" t="s">
        <v>39</v>
      </c>
      <c r="CP449" t="s">
        <v>39</v>
      </c>
      <c r="CQ449" t="b">
        <v>1</v>
      </c>
      <c r="CR449" t="s">
        <v>8950</v>
      </c>
      <c r="CT449" t="s">
        <v>8960</v>
      </c>
      <c r="CU449" t="s">
        <v>8973</v>
      </c>
      <c r="CV449" t="s">
        <v>6317</v>
      </c>
      <c r="CW449" t="s">
        <v>4895</v>
      </c>
      <c r="CX449" t="s">
        <v>3246</v>
      </c>
      <c r="CY449">
        <v>1.0999999999999943</v>
      </c>
      <c r="CZ449">
        <v>106753.92194300462</v>
      </c>
      <c r="DA449">
        <v>3746092.17</v>
      </c>
      <c r="DB449" t="s">
        <v>37</v>
      </c>
      <c r="DC449" t="b">
        <v>1</v>
      </c>
      <c r="DD449">
        <v>3746092.17</v>
      </c>
      <c r="DE449">
        <v>0</v>
      </c>
      <c r="DF449" t="b">
        <v>1</v>
      </c>
      <c r="DG449" s="420" cm="1">
        <f t="array" ref="DG449">_xlfn.XLOOKUP("Дом 4"&amp;Реестр_Д4[[#This Row],[№]]&amp;Реестр_Д4[[#This Row],[Статус]],РД[Дом]&amp;РД[№ кв]&amp;РД[Состояние],РД[Дата подачи на регистрацию],"-",0)</f>
        <v>45099</v>
      </c>
    </row>
    <row r="450" spans="1:111" x14ac:dyDescent="0.25">
      <c r="A450">
        <v>449</v>
      </c>
      <c r="B450" t="s">
        <v>15</v>
      </c>
      <c r="C450">
        <v>7</v>
      </c>
      <c r="D450">
        <v>3</v>
      </c>
      <c r="E450">
        <v>3</v>
      </c>
      <c r="F450">
        <v>16.05</v>
      </c>
      <c r="G450">
        <v>11.28</v>
      </c>
      <c r="H450">
        <v>10.82</v>
      </c>
      <c r="I450">
        <v>38.15</v>
      </c>
      <c r="J450">
        <v>17.41</v>
      </c>
      <c r="K450">
        <v>3.81</v>
      </c>
      <c r="L450">
        <v>1.87</v>
      </c>
      <c r="N450">
        <v>11.71</v>
      </c>
      <c r="O450">
        <v>2.65</v>
      </c>
      <c r="Q450">
        <v>2.65</v>
      </c>
      <c r="R450">
        <v>75.599999999999994</v>
      </c>
      <c r="S450">
        <v>72.949999999999989</v>
      </c>
      <c r="T450">
        <v>74.28</v>
      </c>
      <c r="U450">
        <v>75.600000000000023</v>
      </c>
      <c r="V450">
        <v>67737.600000000006</v>
      </c>
      <c r="W450">
        <v>3386.880000000001</v>
      </c>
      <c r="X450">
        <v>71124.48000000001</v>
      </c>
      <c r="Z450">
        <v>71124.48000000001</v>
      </c>
      <c r="AB450">
        <v>71124.48000000001</v>
      </c>
      <c r="AC450">
        <v>8.7483110400000026</v>
      </c>
      <c r="AD450">
        <v>71133.228311040017</v>
      </c>
      <c r="AF450">
        <v>71133.228311040017</v>
      </c>
      <c r="AH450">
        <v>71133.228311040017</v>
      </c>
      <c r="AJ450">
        <v>71133.228311040017</v>
      </c>
      <c r="AL450">
        <v>71133.228311040017</v>
      </c>
      <c r="AN450">
        <v>71133.228311040017</v>
      </c>
      <c r="AP450">
        <v>71133.228311040017</v>
      </c>
      <c r="AR450">
        <v>71133.228311040017</v>
      </c>
      <c r="AT450">
        <v>71133.228311040017</v>
      </c>
      <c r="AV450">
        <v>71133.228311040017</v>
      </c>
      <c r="AX450">
        <v>71133.228311040017</v>
      </c>
      <c r="AZ450">
        <v>71133.228311040017</v>
      </c>
      <c r="BB450">
        <v>71133.228311040017</v>
      </c>
      <c r="BD450">
        <v>71133.228311040017</v>
      </c>
      <c r="BF450">
        <v>71133.228311040017</v>
      </c>
      <c r="BH450">
        <v>71133.228311040017</v>
      </c>
      <c r="BJ450">
        <v>71133.228311040017</v>
      </c>
      <c r="BL450">
        <v>71133.228311040017</v>
      </c>
      <c r="BN450">
        <v>71133.228311040017</v>
      </c>
      <c r="BP450">
        <v>71133.228311040017</v>
      </c>
      <c r="BR450">
        <v>71133.228311040017</v>
      </c>
      <c r="BT450">
        <v>71133.228311040017</v>
      </c>
      <c r="BV450">
        <v>71133.228311040017</v>
      </c>
      <c r="BX450">
        <v>71133.228311040017</v>
      </c>
      <c r="BY450">
        <v>71133.23</v>
      </c>
      <c r="BZ450">
        <v>5283776.32</v>
      </c>
      <c r="CB450">
        <v>0.03</v>
      </c>
      <c r="CC450">
        <v>158513.28959999999</v>
      </c>
      <c r="CD450">
        <v>68999.233037156708</v>
      </c>
      <c r="CE450">
        <v>5125263.03</v>
      </c>
      <c r="CF450" t="s">
        <v>37</v>
      </c>
      <c r="CG450">
        <v>4000</v>
      </c>
      <c r="CH450">
        <v>72999.233037156708</v>
      </c>
      <c r="CI450">
        <v>297120</v>
      </c>
      <c r="CJ450">
        <v>5422383.0300000003</v>
      </c>
      <c r="CK450" t="s">
        <v>57</v>
      </c>
      <c r="CL450" t="s">
        <v>3953</v>
      </c>
      <c r="CN450">
        <v>0</v>
      </c>
      <c r="CO450" t="s">
        <v>39</v>
      </c>
      <c r="CP450" t="s">
        <v>39</v>
      </c>
      <c r="CQ450" t="b">
        <v>1</v>
      </c>
      <c r="CR450" t="s">
        <v>8950</v>
      </c>
      <c r="CT450" t="s">
        <v>8960</v>
      </c>
      <c r="CU450" t="s">
        <v>8990</v>
      </c>
      <c r="CV450" t="s">
        <v>6318</v>
      </c>
      <c r="CW450" t="s">
        <v>4895</v>
      </c>
      <c r="CX450" t="s">
        <v>3246</v>
      </c>
      <c r="CY450">
        <v>1.3200000000000074</v>
      </c>
      <c r="CZ450">
        <v>96358.987609047399</v>
      </c>
      <c r="DA450">
        <v>5422383.0300000003</v>
      </c>
      <c r="DB450" t="s">
        <v>37</v>
      </c>
      <c r="DC450" t="b">
        <v>1</v>
      </c>
      <c r="DD450">
        <v>5422383.0300000003</v>
      </c>
      <c r="DE450">
        <v>0</v>
      </c>
      <c r="DF450" t="b">
        <v>1</v>
      </c>
      <c r="DG450" s="420" cm="1">
        <f t="array" ref="DG450">_xlfn.XLOOKUP("Дом 4"&amp;Реестр_Д4[[#This Row],[№]]&amp;Реестр_Д4[[#This Row],[Статус]],РД[Дом]&amp;РД[№ кв]&amp;РД[Состояние],РД[Дата подачи на регистрацию],"-",0)</f>
        <v>44992</v>
      </c>
    </row>
    <row r="451" spans="1:111" x14ac:dyDescent="0.25">
      <c r="A451">
        <v>450</v>
      </c>
      <c r="B451" t="s">
        <v>15</v>
      </c>
      <c r="C451">
        <v>7</v>
      </c>
      <c r="D451">
        <v>4</v>
      </c>
      <c r="E451">
        <v>1</v>
      </c>
      <c r="F451">
        <v>12.09</v>
      </c>
      <c r="I451">
        <v>12.09</v>
      </c>
      <c r="J451">
        <v>12.26</v>
      </c>
      <c r="K451">
        <v>3.71</v>
      </c>
      <c r="N451">
        <v>7.06</v>
      </c>
      <c r="O451">
        <v>2.75</v>
      </c>
      <c r="Q451">
        <v>2.75</v>
      </c>
      <c r="R451">
        <v>37.869999999999997</v>
      </c>
      <c r="S451">
        <v>35.119999999999997</v>
      </c>
      <c r="T451">
        <v>36.5</v>
      </c>
      <c r="U451">
        <v>37.799999999999997</v>
      </c>
      <c r="V451">
        <v>72100</v>
      </c>
      <c r="W451">
        <v>3605</v>
      </c>
      <c r="X451">
        <v>75705</v>
      </c>
      <c r="Y451">
        <v>3028.2000000000003</v>
      </c>
      <c r="Z451">
        <v>78733.2</v>
      </c>
      <c r="AA451">
        <v>3936.66</v>
      </c>
      <c r="AB451">
        <v>82669.86</v>
      </c>
      <c r="AC451">
        <v>10.16839278</v>
      </c>
      <c r="AD451">
        <v>82680.028392780005</v>
      </c>
      <c r="AE451">
        <v>4134.0014196390002</v>
      </c>
      <c r="AF451">
        <v>86814.029812419001</v>
      </c>
      <c r="AH451">
        <v>86814.029812419001</v>
      </c>
      <c r="AJ451">
        <v>86814.029812419001</v>
      </c>
      <c r="AL451">
        <v>86814.029812419001</v>
      </c>
      <c r="AN451">
        <v>86814.029812419001</v>
      </c>
      <c r="AP451">
        <v>86814.029812419001</v>
      </c>
      <c r="AR451">
        <v>86814.029812419001</v>
      </c>
      <c r="AT451">
        <v>86814.029812419001</v>
      </c>
      <c r="AV451">
        <v>86814.029812419001</v>
      </c>
      <c r="AX451">
        <v>86814.029812419001</v>
      </c>
      <c r="AZ451">
        <v>86814.029812419001</v>
      </c>
      <c r="BB451">
        <v>86814.029812419001</v>
      </c>
      <c r="BD451">
        <v>86814.029812419001</v>
      </c>
      <c r="BF451">
        <v>86814.029812419001</v>
      </c>
      <c r="BH451">
        <v>86814.029812419001</v>
      </c>
      <c r="BJ451">
        <v>86814.029812419001</v>
      </c>
      <c r="BL451">
        <v>86814.029812419001</v>
      </c>
      <c r="BN451">
        <v>86814.029812419001</v>
      </c>
      <c r="BP451">
        <v>86814.029812419001</v>
      </c>
      <c r="BR451">
        <v>86814.029812419001</v>
      </c>
      <c r="BT451">
        <v>86814.029812419001</v>
      </c>
      <c r="BV451">
        <v>86814.029812419001</v>
      </c>
      <c r="BX451">
        <v>86814.029812419001</v>
      </c>
      <c r="BY451">
        <v>86814.03</v>
      </c>
      <c r="BZ451">
        <v>3168712.1</v>
      </c>
      <c r="CB451">
        <v>0.03</v>
      </c>
      <c r="CC451">
        <v>95061.362999999998</v>
      </c>
      <c r="CD451">
        <v>84209.609315068519</v>
      </c>
      <c r="CE451">
        <v>3073650.74</v>
      </c>
      <c r="CF451" t="s">
        <v>38</v>
      </c>
      <c r="CG451">
        <v>15000</v>
      </c>
      <c r="CH451">
        <v>99209.609315068519</v>
      </c>
      <c r="CI451">
        <v>547500</v>
      </c>
      <c r="CJ451">
        <v>3621150.74</v>
      </c>
      <c r="CL451" t="s">
        <v>3540</v>
      </c>
      <c r="CN451">
        <v>0</v>
      </c>
      <c r="CO451" t="s">
        <v>39</v>
      </c>
      <c r="CP451" t="s">
        <v>39</v>
      </c>
      <c r="CQ451" t="b">
        <v>1</v>
      </c>
      <c r="CR451" t="s">
        <v>8950</v>
      </c>
      <c r="CT451" t="s">
        <v>8960</v>
      </c>
      <c r="CU451" t="s">
        <v>8973</v>
      </c>
      <c r="CV451" t="s">
        <v>6319</v>
      </c>
      <c r="CW451" t="s">
        <v>4895</v>
      </c>
      <c r="CX451" t="s">
        <v>3246</v>
      </c>
      <c r="CY451">
        <v>1.2999999999999972</v>
      </c>
      <c r="CZ451">
        <v>128972.49210958875</v>
      </c>
      <c r="DA451">
        <v>3621150.74</v>
      </c>
      <c r="DB451" t="s">
        <v>38</v>
      </c>
      <c r="DC451" t="b">
        <v>1</v>
      </c>
      <c r="DD451">
        <v>3621150.74</v>
      </c>
      <c r="DE451">
        <v>0</v>
      </c>
      <c r="DF451" t="b">
        <v>1</v>
      </c>
      <c r="DG451" s="420" cm="1">
        <f t="array" ref="DG451">_xlfn.XLOOKUP("Дом 4"&amp;Реестр_Д4[[#This Row],[№]]&amp;Реестр_Д4[[#This Row],[Статус]],РД[Дом]&amp;РД[№ кв]&amp;РД[Состояние],РД[Дата подачи на регистрацию],"-",0)</f>
        <v>44966</v>
      </c>
    </row>
    <row r="452" spans="1:111" x14ac:dyDescent="0.25">
      <c r="A452">
        <v>451</v>
      </c>
      <c r="B452" t="s">
        <v>15</v>
      </c>
      <c r="C452">
        <v>7</v>
      </c>
      <c r="D452">
        <v>5</v>
      </c>
      <c r="E452">
        <v>2</v>
      </c>
      <c r="F452">
        <v>15.61</v>
      </c>
      <c r="G452">
        <v>12.02</v>
      </c>
      <c r="I452">
        <v>27.63</v>
      </c>
      <c r="J452">
        <v>13.1</v>
      </c>
      <c r="K452">
        <v>3.61</v>
      </c>
      <c r="L452">
        <v>1.82</v>
      </c>
      <c r="N452">
        <v>8.52</v>
      </c>
      <c r="O452">
        <v>2.72</v>
      </c>
      <c r="Q452">
        <v>2.72</v>
      </c>
      <c r="R452">
        <v>57.4</v>
      </c>
      <c r="S452">
        <v>54.68</v>
      </c>
      <c r="T452">
        <v>56.04</v>
      </c>
      <c r="U452">
        <v>57.5</v>
      </c>
      <c r="V452">
        <v>67972.800000000003</v>
      </c>
      <c r="W452">
        <v>3398.6400000000003</v>
      </c>
      <c r="X452">
        <v>71371.44</v>
      </c>
      <c r="Z452">
        <v>71371.44</v>
      </c>
      <c r="AA452">
        <v>3568.5720000000001</v>
      </c>
      <c r="AB452">
        <v>74940.012000000002</v>
      </c>
      <c r="AC452">
        <v>9.2176214760000015</v>
      </c>
      <c r="AD452">
        <v>74949.229621475999</v>
      </c>
      <c r="AF452">
        <v>74949.229621475999</v>
      </c>
      <c r="AH452">
        <v>74949.229621475999</v>
      </c>
      <c r="AI452">
        <v>1498.98459242952</v>
      </c>
      <c r="AJ452">
        <v>76448.214213905521</v>
      </c>
      <c r="AK452">
        <v>764.48214213905521</v>
      </c>
      <c r="AL452">
        <v>77212.696356044573</v>
      </c>
      <c r="AM452">
        <v>1544.2539271208916</v>
      </c>
      <c r="AN452">
        <v>78756.950283165468</v>
      </c>
      <c r="AP452">
        <v>78756.950283165468</v>
      </c>
      <c r="AR452">
        <v>78756.950283165468</v>
      </c>
      <c r="AT452">
        <v>78756.950283165468</v>
      </c>
      <c r="AV452">
        <v>78756.950283165468</v>
      </c>
      <c r="AX452">
        <v>78756.950283165468</v>
      </c>
      <c r="AZ452">
        <v>78756.950283165468</v>
      </c>
      <c r="BB452">
        <v>78756.950283165468</v>
      </c>
      <c r="BD452">
        <v>78756.950283165468</v>
      </c>
      <c r="BF452">
        <v>78756.950283165468</v>
      </c>
      <c r="BH452">
        <v>78756.950283165468</v>
      </c>
      <c r="BJ452">
        <v>78756.950283165468</v>
      </c>
      <c r="BL452">
        <v>78756.950283165468</v>
      </c>
      <c r="BN452">
        <v>78756.950283165468</v>
      </c>
      <c r="BP452">
        <v>78756.950283165468</v>
      </c>
      <c r="BR452">
        <v>78756.950283165468</v>
      </c>
      <c r="BT452">
        <v>78756.950283165468</v>
      </c>
      <c r="BV452">
        <v>78756.950283165468</v>
      </c>
      <c r="BX452">
        <v>78756.950283165468</v>
      </c>
      <c r="BY452">
        <v>78756.95</v>
      </c>
      <c r="BZ452">
        <v>4413539.4800000004</v>
      </c>
      <c r="CC452">
        <v>0</v>
      </c>
      <c r="CD452">
        <v>78756.950035688802</v>
      </c>
      <c r="CE452">
        <v>4413539.4800000004</v>
      </c>
      <c r="CF452" t="s">
        <v>37</v>
      </c>
      <c r="CG452">
        <v>4000</v>
      </c>
      <c r="CH452">
        <v>82756.950035688802</v>
      </c>
      <c r="CI452">
        <v>224160</v>
      </c>
      <c r="CJ452">
        <v>4637699.4800000004</v>
      </c>
      <c r="CN452">
        <v>0</v>
      </c>
      <c r="CO452" t="s">
        <v>39</v>
      </c>
      <c r="CP452" t="s">
        <v>39</v>
      </c>
      <c r="CQ452" t="b">
        <v>1</v>
      </c>
      <c r="CR452" t="s">
        <v>8950</v>
      </c>
      <c r="CT452" t="s">
        <v>8960</v>
      </c>
      <c r="CU452" t="s">
        <v>8974</v>
      </c>
      <c r="CV452" t="s">
        <v>6320</v>
      </c>
      <c r="CW452" t="s">
        <v>4895</v>
      </c>
      <c r="CX452" t="s">
        <v>3246</v>
      </c>
      <c r="CY452">
        <v>1.4600000000000009</v>
      </c>
      <c r="CZ452">
        <v>120825.14705210572</v>
      </c>
      <c r="DA452">
        <v>4637699.4800000004</v>
      </c>
      <c r="DB452" t="s">
        <v>37</v>
      </c>
      <c r="DC452" t="b">
        <v>1</v>
      </c>
      <c r="DD452">
        <v>4637699.4800000004</v>
      </c>
      <c r="DE452">
        <v>0</v>
      </c>
      <c r="DF452" t="b">
        <v>1</v>
      </c>
      <c r="DG452" s="420" cm="1">
        <f t="array" ref="DG452">_xlfn.XLOOKUP("Дом 4"&amp;Реестр_Д4[[#This Row],[№]]&amp;Реестр_Д4[[#This Row],[Статус]],РД[Дом]&amp;РД[№ кв]&amp;РД[Состояние],РД[Дата подачи на регистрацию],"-",0)</f>
        <v>45065</v>
      </c>
    </row>
    <row r="453" spans="1:111" x14ac:dyDescent="0.25">
      <c r="A453">
        <v>452</v>
      </c>
      <c r="B453" t="s">
        <v>15</v>
      </c>
      <c r="C453">
        <v>7</v>
      </c>
      <c r="D453">
        <v>6</v>
      </c>
      <c r="E453">
        <v>2</v>
      </c>
      <c r="F453">
        <v>15.61</v>
      </c>
      <c r="G453">
        <v>9.66</v>
      </c>
      <c r="I453">
        <v>25.27</v>
      </c>
      <c r="J453">
        <v>16.53</v>
      </c>
      <c r="K453">
        <v>3.63</v>
      </c>
      <c r="L453">
        <v>2.21</v>
      </c>
      <c r="N453">
        <v>9.6199999999999992</v>
      </c>
      <c r="O453">
        <v>2.72</v>
      </c>
      <c r="Q453">
        <v>2.72</v>
      </c>
      <c r="R453">
        <v>59.98</v>
      </c>
      <c r="S453">
        <v>57.26</v>
      </c>
      <c r="T453">
        <v>58.62</v>
      </c>
      <c r="U453">
        <v>60.6</v>
      </c>
      <c r="V453">
        <v>68639.199999999997</v>
      </c>
      <c r="W453">
        <v>3431.96</v>
      </c>
      <c r="X453">
        <v>72071.16</v>
      </c>
      <c r="Z453">
        <v>72071.16</v>
      </c>
      <c r="AA453">
        <v>3603.558</v>
      </c>
      <c r="AB453">
        <v>75674.717999999993</v>
      </c>
      <c r="AC453">
        <v>9.3079903140000013</v>
      </c>
      <c r="AD453">
        <v>75684.02599031401</v>
      </c>
      <c r="AF453">
        <v>75684.02599031401</v>
      </c>
      <c r="AH453">
        <v>75684.02599031401</v>
      </c>
      <c r="AI453">
        <v>1513.6805198062802</v>
      </c>
      <c r="AJ453">
        <v>77197.70651012029</v>
      </c>
      <c r="AL453">
        <v>77197.70651012029</v>
      </c>
      <c r="AN453">
        <v>77197.70651012029</v>
      </c>
      <c r="AP453">
        <v>77197.70651012029</v>
      </c>
      <c r="AR453">
        <v>77197.70651012029</v>
      </c>
      <c r="AT453">
        <v>77197.70651012029</v>
      </c>
      <c r="AV453">
        <v>77197.70651012029</v>
      </c>
      <c r="AX453">
        <v>77197.70651012029</v>
      </c>
      <c r="AZ453">
        <v>77197.70651012029</v>
      </c>
      <c r="BB453">
        <v>77197.70651012029</v>
      </c>
      <c r="BD453">
        <v>77197.70651012029</v>
      </c>
      <c r="BF453">
        <v>77197.70651012029</v>
      </c>
      <c r="BH453">
        <v>77197.70651012029</v>
      </c>
      <c r="BJ453">
        <v>77197.70651012029</v>
      </c>
      <c r="BL453">
        <v>77197.70651012029</v>
      </c>
      <c r="BN453">
        <v>77197.70651012029</v>
      </c>
      <c r="BP453">
        <v>77197.70651012029</v>
      </c>
      <c r="BR453">
        <v>77197.70651012029</v>
      </c>
      <c r="BT453">
        <v>77197.70651012029</v>
      </c>
      <c r="BV453">
        <v>77197.70651012029</v>
      </c>
      <c r="BX453">
        <v>77197.70651012029</v>
      </c>
      <c r="BY453">
        <v>77197.710000000006</v>
      </c>
      <c r="BZ453">
        <v>4525329.76</v>
      </c>
      <c r="CB453">
        <v>0.03</v>
      </c>
      <c r="CC453">
        <v>135759.8928</v>
      </c>
      <c r="CD453">
        <v>74881.77874445582</v>
      </c>
      <c r="CE453">
        <v>4389569.87</v>
      </c>
      <c r="CF453" t="s">
        <v>37</v>
      </c>
      <c r="CG453">
        <v>4000</v>
      </c>
      <c r="CH453">
        <v>78881.77874445582</v>
      </c>
      <c r="CI453">
        <v>234480</v>
      </c>
      <c r="CJ453">
        <v>4624049.87</v>
      </c>
      <c r="CL453" t="s">
        <v>3953</v>
      </c>
      <c r="CN453">
        <v>0</v>
      </c>
      <c r="CO453" t="s">
        <v>39</v>
      </c>
      <c r="CP453" t="s">
        <v>39</v>
      </c>
      <c r="CQ453" t="b">
        <v>1</v>
      </c>
      <c r="CR453" t="s">
        <v>8950</v>
      </c>
      <c r="CT453" t="s">
        <v>8960</v>
      </c>
      <c r="CU453" t="s">
        <v>8971</v>
      </c>
      <c r="CV453" t="s">
        <v>6321</v>
      </c>
      <c r="CW453" t="s">
        <v>4895</v>
      </c>
      <c r="CX453" t="s">
        <v>3246</v>
      </c>
      <c r="CY453">
        <v>1.980000000000004</v>
      </c>
      <c r="CZ453">
        <v>156185.92191402282</v>
      </c>
      <c r="DA453">
        <v>4624049.87</v>
      </c>
      <c r="DB453" t="s">
        <v>37</v>
      </c>
      <c r="DC453" t="b">
        <v>1</v>
      </c>
      <c r="DD453">
        <v>4624049.87</v>
      </c>
      <c r="DE453">
        <v>0</v>
      </c>
      <c r="DF453" t="b">
        <v>1</v>
      </c>
      <c r="DG453" s="420" cm="1">
        <f t="array" ref="DG453">_xlfn.XLOOKUP("Дом 4"&amp;Реестр_Д4[[#This Row],[№]]&amp;Реестр_Д4[[#This Row],[Статус]],РД[Дом]&amp;РД[№ кв]&amp;РД[Состояние],РД[Дата подачи на регистрацию],"-",0)</f>
        <v>45007</v>
      </c>
    </row>
    <row r="454" spans="1:111" x14ac:dyDescent="0.25">
      <c r="A454">
        <v>453</v>
      </c>
      <c r="B454" t="s">
        <v>15</v>
      </c>
      <c r="C454">
        <v>7</v>
      </c>
      <c r="D454">
        <v>7</v>
      </c>
      <c r="E454">
        <v>2</v>
      </c>
      <c r="F454">
        <v>11.83</v>
      </c>
      <c r="G454">
        <v>11.4</v>
      </c>
      <c r="I454">
        <v>23.23</v>
      </c>
      <c r="J454">
        <v>27.16</v>
      </c>
      <c r="K454">
        <v>5.28</v>
      </c>
      <c r="L454">
        <v>1.75</v>
      </c>
      <c r="N454">
        <v>8.67</v>
      </c>
      <c r="O454">
        <v>2.8</v>
      </c>
      <c r="Q454">
        <v>2.8</v>
      </c>
      <c r="R454">
        <v>68.89</v>
      </c>
      <c r="S454">
        <v>66.09</v>
      </c>
      <c r="T454">
        <v>67.489999999999995</v>
      </c>
      <c r="U454">
        <v>69.2</v>
      </c>
      <c r="V454">
        <v>71971.199999999997</v>
      </c>
      <c r="W454">
        <v>3598.56</v>
      </c>
      <c r="X454">
        <v>75569.759999999995</v>
      </c>
      <c r="Z454">
        <v>75569.759999999995</v>
      </c>
      <c r="AA454">
        <v>3778.4879999999998</v>
      </c>
      <c r="AB454">
        <v>79348.248000000007</v>
      </c>
      <c r="AC454">
        <v>9.7598345040000005</v>
      </c>
      <c r="AD454">
        <v>79358.007834503995</v>
      </c>
      <c r="AF454">
        <v>79358.007834503995</v>
      </c>
      <c r="AH454">
        <v>79358.007834503995</v>
      </c>
      <c r="AI454">
        <v>1587.1601566900799</v>
      </c>
      <c r="AJ454">
        <v>80945.167991194074</v>
      </c>
      <c r="AK454">
        <v>2428.3550397358222</v>
      </c>
      <c r="AL454">
        <v>83373.523030929893</v>
      </c>
      <c r="AM454">
        <v>3334.9409212371957</v>
      </c>
      <c r="AN454">
        <v>86708.463952167091</v>
      </c>
      <c r="AP454">
        <v>86708.463952167091</v>
      </c>
      <c r="AQ454">
        <v>2601.253918565013</v>
      </c>
      <c r="AR454">
        <v>89309.7178707321</v>
      </c>
      <c r="AT454">
        <v>89309.7178707321</v>
      </c>
      <c r="AU454">
        <v>2679.291536121963</v>
      </c>
      <c r="AV454">
        <v>91989.009406854064</v>
      </c>
      <c r="AX454">
        <v>91989.009406854064</v>
      </c>
      <c r="AZ454">
        <v>91989.009406854064</v>
      </c>
      <c r="BB454">
        <v>91989.009406854064</v>
      </c>
      <c r="BD454">
        <v>91989.009406854064</v>
      </c>
      <c r="BF454">
        <v>91989.009406854064</v>
      </c>
      <c r="BH454">
        <v>91989.009406854064</v>
      </c>
      <c r="BI454">
        <v>4599.4504703427037</v>
      </c>
      <c r="BJ454">
        <v>96588.459877196772</v>
      </c>
      <c r="BK454">
        <v>1000</v>
      </c>
      <c r="BL454">
        <v>97588.459877196772</v>
      </c>
      <c r="BM454">
        <v>1951.7691975439352</v>
      </c>
      <c r="BN454">
        <v>99540.229074740724</v>
      </c>
      <c r="BP454">
        <v>99540.229074740724</v>
      </c>
      <c r="BR454">
        <v>99540.229074740724</v>
      </c>
      <c r="BT454">
        <v>99540.229074740724</v>
      </c>
      <c r="BV454">
        <v>99540.229074740724</v>
      </c>
      <c r="BX454">
        <v>99540.229074740724</v>
      </c>
      <c r="BY454">
        <v>99540.23</v>
      </c>
      <c r="BZ454">
        <v>6718000</v>
      </c>
      <c r="CB454">
        <v>0.03</v>
      </c>
      <c r="CC454">
        <v>201540</v>
      </c>
      <c r="CD454">
        <v>96554.452511483207</v>
      </c>
      <c r="CE454">
        <v>6516460</v>
      </c>
      <c r="CF454" t="s">
        <v>37</v>
      </c>
      <c r="CG454">
        <v>7500</v>
      </c>
      <c r="CH454">
        <v>104054.45251148321</v>
      </c>
      <c r="CI454">
        <v>506175</v>
      </c>
      <c r="CJ454">
        <v>7022635</v>
      </c>
      <c r="CK454" t="s">
        <v>57</v>
      </c>
      <c r="CL454" t="s">
        <v>3953</v>
      </c>
      <c r="CN454">
        <v>0</v>
      </c>
      <c r="CO454" t="s">
        <v>39</v>
      </c>
      <c r="CP454" t="s">
        <v>39</v>
      </c>
      <c r="CQ454" t="b">
        <v>1</v>
      </c>
      <c r="CR454" t="s">
        <v>8950</v>
      </c>
      <c r="CT454" t="s">
        <v>8960</v>
      </c>
      <c r="CU454" t="s">
        <v>8971</v>
      </c>
      <c r="CV454" t="s">
        <v>6322</v>
      </c>
      <c r="CW454" t="s">
        <v>6652</v>
      </c>
      <c r="CX454" t="s">
        <v>3246</v>
      </c>
      <c r="CY454">
        <v>1.710000000000008</v>
      </c>
      <c r="CZ454">
        <v>177933.11379463709</v>
      </c>
      <c r="DA454">
        <v>7022635</v>
      </c>
      <c r="DB454" t="s">
        <v>37</v>
      </c>
      <c r="DC454" t="b">
        <v>1</v>
      </c>
      <c r="DD454">
        <v>7022635</v>
      </c>
      <c r="DE454">
        <v>0</v>
      </c>
      <c r="DF454" t="b">
        <v>1</v>
      </c>
      <c r="DG454" s="420" cm="1">
        <f t="array" ref="DG454">_xlfn.XLOOKUP("Дом 4"&amp;Реестр_Д4[[#This Row],[№]]&amp;Реестр_Д4[[#This Row],[Статус]],РД[Дом]&amp;РД[№ кв]&amp;РД[Состояние],РД[Дата подачи на регистрацию],"-",0)</f>
        <v>45366</v>
      </c>
    </row>
    <row r="455" spans="1:111" x14ac:dyDescent="0.25">
      <c r="A455">
        <v>454</v>
      </c>
      <c r="B455" t="s">
        <v>15</v>
      </c>
      <c r="C455">
        <v>7</v>
      </c>
      <c r="D455">
        <v>8</v>
      </c>
      <c r="E455">
        <v>2</v>
      </c>
      <c r="F455">
        <v>17.25</v>
      </c>
      <c r="G455">
        <v>14.07</v>
      </c>
      <c r="I455">
        <v>31.32</v>
      </c>
      <c r="J455">
        <v>14.23</v>
      </c>
      <c r="K455">
        <v>3.81</v>
      </c>
      <c r="L455">
        <v>1.75</v>
      </c>
      <c r="N455">
        <v>11.07</v>
      </c>
      <c r="O455">
        <v>3.12</v>
      </c>
      <c r="Q455">
        <v>3.12</v>
      </c>
      <c r="R455">
        <v>65.3</v>
      </c>
      <c r="S455">
        <v>62.18</v>
      </c>
      <c r="T455">
        <v>63.74</v>
      </c>
      <c r="U455">
        <v>65.400000000000006</v>
      </c>
      <c r="V455">
        <v>68639.199999999997</v>
      </c>
      <c r="W455">
        <v>3431.96</v>
      </c>
      <c r="X455">
        <v>72071.16</v>
      </c>
      <c r="Z455">
        <v>72071.16</v>
      </c>
      <c r="AA455">
        <v>3603.558</v>
      </c>
      <c r="AB455">
        <v>75674.717999999993</v>
      </c>
      <c r="AC455">
        <v>9.3079903140000013</v>
      </c>
      <c r="AD455">
        <v>75684.02599031401</v>
      </c>
      <c r="AF455">
        <v>75684.02599031401</v>
      </c>
      <c r="AH455">
        <v>75684.02599031401</v>
      </c>
      <c r="AI455">
        <v>1513.6805198062802</v>
      </c>
      <c r="AJ455">
        <v>77197.70651012029</v>
      </c>
      <c r="AK455">
        <v>771.97706510120292</v>
      </c>
      <c r="AL455">
        <v>77969.683575221497</v>
      </c>
      <c r="AM455">
        <v>1559.3936715044299</v>
      </c>
      <c r="AN455">
        <v>79529.077246725923</v>
      </c>
      <c r="AP455">
        <v>79529.077246725923</v>
      </c>
      <c r="AQ455">
        <v>2385.8723174017778</v>
      </c>
      <c r="AR455">
        <v>81914.949564127703</v>
      </c>
      <c r="AT455">
        <v>81914.949564127703</v>
      </c>
      <c r="AU455">
        <v>2457.4484869238308</v>
      </c>
      <c r="AV455">
        <v>84372.398051051539</v>
      </c>
      <c r="AX455">
        <v>84372.398051051539</v>
      </c>
      <c r="AZ455">
        <v>84372.398051051539</v>
      </c>
      <c r="BB455">
        <v>84372.398051051539</v>
      </c>
      <c r="BD455">
        <v>84372.398051051539</v>
      </c>
      <c r="BF455">
        <v>84372.398051051539</v>
      </c>
      <c r="BH455">
        <v>84372.398051051539</v>
      </c>
      <c r="BJ455">
        <v>84372.398051051539</v>
      </c>
      <c r="BL455">
        <v>84372.398051051539</v>
      </c>
      <c r="BN455">
        <v>84372.398051051539</v>
      </c>
      <c r="BP455">
        <v>84372.398051051539</v>
      </c>
      <c r="BR455">
        <v>84372.398051051539</v>
      </c>
      <c r="BT455">
        <v>84372.398051051539</v>
      </c>
      <c r="BV455">
        <v>84372.398051051539</v>
      </c>
      <c r="BX455">
        <v>84372.398051051539</v>
      </c>
      <c r="BY455">
        <v>84372.4</v>
      </c>
      <c r="BZ455">
        <v>5377896.7800000003</v>
      </c>
      <c r="CC455">
        <v>0</v>
      </c>
      <c r="CD455">
        <v>84372.400062754939</v>
      </c>
      <c r="CE455">
        <v>5377896.7800000003</v>
      </c>
      <c r="CF455" t="s">
        <v>37</v>
      </c>
      <c r="CG455">
        <v>4500</v>
      </c>
      <c r="CH455">
        <v>88872.400062754939</v>
      </c>
      <c r="CI455">
        <v>286830</v>
      </c>
      <c r="CJ455">
        <v>5664726.7800000003</v>
      </c>
      <c r="CN455">
        <v>0</v>
      </c>
      <c r="CO455" t="s">
        <v>39</v>
      </c>
      <c r="CP455" t="s">
        <v>39</v>
      </c>
      <c r="CQ455" t="b">
        <v>1</v>
      </c>
      <c r="CR455" t="s">
        <v>8950</v>
      </c>
      <c r="CT455" t="s">
        <v>8960</v>
      </c>
      <c r="CU455" t="s">
        <v>8971</v>
      </c>
      <c r="CV455" t="s">
        <v>6323</v>
      </c>
      <c r="CW455" t="s">
        <v>4895</v>
      </c>
      <c r="CX455" t="s">
        <v>3246</v>
      </c>
      <c r="CY455">
        <v>1.6600000000000037</v>
      </c>
      <c r="CZ455">
        <v>147528.18410417353</v>
      </c>
      <c r="DA455">
        <v>5664726.7800000003</v>
      </c>
      <c r="DB455" t="s">
        <v>37</v>
      </c>
      <c r="DC455" t="b">
        <v>1</v>
      </c>
      <c r="DD455">
        <v>5664726.7800000003</v>
      </c>
      <c r="DE455">
        <v>0</v>
      </c>
      <c r="DF455" t="b">
        <v>1</v>
      </c>
      <c r="DG455" s="420" cm="1">
        <f t="array" ref="DG455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456" spans="1:111" x14ac:dyDescent="0.25">
      <c r="A456">
        <v>455</v>
      </c>
      <c r="B456" t="s">
        <v>15</v>
      </c>
      <c r="C456">
        <v>7</v>
      </c>
      <c r="D456">
        <v>9</v>
      </c>
      <c r="E456">
        <v>1</v>
      </c>
      <c r="F456">
        <v>16.46</v>
      </c>
      <c r="I456">
        <v>16.46</v>
      </c>
      <c r="J456">
        <v>14.25</v>
      </c>
      <c r="K456">
        <v>3.92</v>
      </c>
      <c r="N456">
        <v>8.2200000000000006</v>
      </c>
      <c r="O456">
        <v>3.03</v>
      </c>
      <c r="Q456">
        <v>3.03</v>
      </c>
      <c r="R456">
        <v>45.88</v>
      </c>
      <c r="S456">
        <v>42.85</v>
      </c>
      <c r="T456">
        <v>44.37</v>
      </c>
      <c r="U456">
        <v>45.9</v>
      </c>
      <c r="V456">
        <v>72100</v>
      </c>
      <c r="W456">
        <v>3605</v>
      </c>
      <c r="X456">
        <v>75705</v>
      </c>
      <c r="Z456">
        <v>75705</v>
      </c>
      <c r="AA456">
        <v>3785.25</v>
      </c>
      <c r="AB456">
        <v>79490.25</v>
      </c>
      <c r="AC456">
        <v>9.7773007500000002</v>
      </c>
      <c r="AD456">
        <v>79500.027300750007</v>
      </c>
      <c r="AE456">
        <v>3975.0013650375008</v>
      </c>
      <c r="AF456">
        <v>83475.028665787511</v>
      </c>
      <c r="AH456">
        <v>83475.028665787511</v>
      </c>
      <c r="AI456">
        <v>2504.2508599736252</v>
      </c>
      <c r="AJ456">
        <v>85979.279525761129</v>
      </c>
      <c r="AK456">
        <v>859.79279525761149</v>
      </c>
      <c r="AL456">
        <v>86839.072321018757</v>
      </c>
      <c r="AM456">
        <v>1736.7814464203752</v>
      </c>
      <c r="AN456">
        <v>88575.853767439126</v>
      </c>
      <c r="AO456">
        <v>1771.5170753487826</v>
      </c>
      <c r="AP456">
        <v>90347.370842787903</v>
      </c>
      <c r="AQ456">
        <v>2710.4211252836371</v>
      </c>
      <c r="AR456">
        <v>93057.791968071542</v>
      </c>
      <c r="AT456">
        <v>93057.791968071542</v>
      </c>
      <c r="AU456">
        <v>2791.7337590421462</v>
      </c>
      <c r="AV456">
        <v>95849.525727113694</v>
      </c>
      <c r="AX456">
        <v>95849.525727113694</v>
      </c>
      <c r="AZ456">
        <v>95849.525727113694</v>
      </c>
      <c r="BB456">
        <v>95849.525727113694</v>
      </c>
      <c r="BD456">
        <v>95849.525727113694</v>
      </c>
      <c r="BF456">
        <v>95849.525727113694</v>
      </c>
      <c r="BH456">
        <v>95849.525727113694</v>
      </c>
      <c r="BJ456">
        <v>95849.525727113694</v>
      </c>
      <c r="BL456">
        <v>95849.525727113694</v>
      </c>
      <c r="BN456">
        <v>95849.525727113694</v>
      </c>
      <c r="BP456">
        <v>95849.525727113694</v>
      </c>
      <c r="BR456">
        <v>95849.525727113694</v>
      </c>
      <c r="BT456">
        <v>95849.525727113694</v>
      </c>
      <c r="BV456">
        <v>95849.525727113694</v>
      </c>
      <c r="BX456">
        <v>95849.525727113694</v>
      </c>
      <c r="BY456">
        <v>95849.53</v>
      </c>
      <c r="BZ456">
        <v>4252843.6500000004</v>
      </c>
      <c r="CC456">
        <v>0</v>
      </c>
      <c r="CD456">
        <v>95849.530087897248</v>
      </c>
      <c r="CE456">
        <v>4252843.6500000004</v>
      </c>
      <c r="CF456" t="s">
        <v>36</v>
      </c>
      <c r="CH456">
        <v>95849.530087897248</v>
      </c>
      <c r="CI456">
        <v>0</v>
      </c>
      <c r="CJ456">
        <v>4252843.6500000004</v>
      </c>
      <c r="CN456">
        <v>0</v>
      </c>
      <c r="CO456" t="s">
        <v>39</v>
      </c>
      <c r="CP456" t="s">
        <v>39</v>
      </c>
      <c r="CQ456" t="b">
        <v>1</v>
      </c>
      <c r="CR456" t="s">
        <v>8950</v>
      </c>
      <c r="CT456" t="s">
        <v>8960</v>
      </c>
      <c r="CU456" t="s">
        <v>8972</v>
      </c>
      <c r="CV456" t="s">
        <v>6324</v>
      </c>
      <c r="CW456" t="s">
        <v>4895</v>
      </c>
      <c r="CX456" t="s">
        <v>3246</v>
      </c>
      <c r="CY456">
        <v>1.5300000000000011</v>
      </c>
      <c r="CZ456">
        <v>146649.7810344829</v>
      </c>
      <c r="DA456">
        <v>4252843.6500000004</v>
      </c>
      <c r="DB456" t="s">
        <v>36</v>
      </c>
      <c r="DC456" t="b">
        <v>1</v>
      </c>
      <c r="DD456">
        <v>4252843.6500000004</v>
      </c>
      <c r="DE456">
        <v>0</v>
      </c>
      <c r="DF456" t="b">
        <v>1</v>
      </c>
      <c r="DG456" s="420" cm="1">
        <f t="array" ref="DG456">_xlfn.XLOOKUP("Дом 4"&amp;Реестр_Д4[[#This Row],[№]]&amp;Реестр_Д4[[#This Row],[Статус]],РД[Дом]&amp;РД[№ кв]&amp;РД[Состояние],РД[Дата подачи на регистрацию],"-",0)</f>
        <v>45224</v>
      </c>
    </row>
    <row r="457" spans="1:111" x14ac:dyDescent="0.25">
      <c r="A457">
        <v>456</v>
      </c>
      <c r="B457" t="s">
        <v>15</v>
      </c>
      <c r="C457">
        <v>8</v>
      </c>
      <c r="D457">
        <v>1</v>
      </c>
      <c r="E457">
        <v>1</v>
      </c>
      <c r="F457">
        <v>14.05</v>
      </c>
      <c r="I457">
        <v>14.05</v>
      </c>
      <c r="J457">
        <v>12.32</v>
      </c>
      <c r="K457">
        <v>3.87</v>
      </c>
      <c r="N457">
        <v>8.14</v>
      </c>
      <c r="O457">
        <v>2.72</v>
      </c>
      <c r="Q457">
        <v>2.72</v>
      </c>
      <c r="R457">
        <v>41.1</v>
      </c>
      <c r="S457">
        <v>38.380000000000003</v>
      </c>
      <c r="T457">
        <v>39.74</v>
      </c>
      <c r="U457">
        <v>40.9</v>
      </c>
      <c r="V457">
        <v>71400</v>
      </c>
      <c r="W457">
        <v>3570</v>
      </c>
      <c r="X457">
        <v>74970</v>
      </c>
      <c r="Y457">
        <v>2998.8</v>
      </c>
      <c r="Z457">
        <v>77968.800000000003</v>
      </c>
      <c r="AA457">
        <v>3898.440000000001</v>
      </c>
      <c r="AB457">
        <v>81867.240000000005</v>
      </c>
      <c r="AC457">
        <v>10.069670520000001</v>
      </c>
      <c r="AD457">
        <v>81877.309670520001</v>
      </c>
      <c r="AE457">
        <v>4093.8654835259999</v>
      </c>
      <c r="AF457">
        <v>85971.175154045995</v>
      </c>
      <c r="AH457">
        <v>85971.175154045995</v>
      </c>
      <c r="AI457">
        <v>2579.1352546213802</v>
      </c>
      <c r="AJ457">
        <v>88550.31040866737</v>
      </c>
      <c r="AK457">
        <v>885.50310408667372</v>
      </c>
      <c r="AL457">
        <v>89435.813512754044</v>
      </c>
      <c r="AM457">
        <v>1788.7162702550809</v>
      </c>
      <c r="AN457">
        <v>91224.529783009129</v>
      </c>
      <c r="AP457">
        <v>91224.529783009129</v>
      </c>
      <c r="AQ457">
        <v>2736.7358934902736</v>
      </c>
      <c r="AR457">
        <v>93961.265676499403</v>
      </c>
      <c r="AT457">
        <v>93961.265676499403</v>
      </c>
      <c r="AV457">
        <v>93961.265676499403</v>
      </c>
      <c r="AX457">
        <v>93961.265676499403</v>
      </c>
      <c r="AZ457">
        <v>93961.265676499403</v>
      </c>
      <c r="BB457">
        <v>93961.265676499403</v>
      </c>
      <c r="BD457">
        <v>93961.265676499403</v>
      </c>
      <c r="BF457">
        <v>93961.265676499403</v>
      </c>
      <c r="BH457">
        <v>93961.265676499403</v>
      </c>
      <c r="BJ457">
        <v>93961.265676499403</v>
      </c>
      <c r="BL457">
        <v>93961.265676499403</v>
      </c>
      <c r="BN457">
        <v>93961.265676499403</v>
      </c>
      <c r="BP457">
        <v>93961.265676499403</v>
      </c>
      <c r="BR457">
        <v>93961.265676499403</v>
      </c>
      <c r="BT457">
        <v>93961.265676499403</v>
      </c>
      <c r="BV457">
        <v>93961.265676499403</v>
      </c>
      <c r="BX457">
        <v>93961.265676499403</v>
      </c>
      <c r="BY457">
        <v>93961.27</v>
      </c>
      <c r="BZ457">
        <v>3734020.87</v>
      </c>
      <c r="CC457">
        <v>0</v>
      </c>
      <c r="CD457">
        <v>93961.270005032711</v>
      </c>
      <c r="CE457">
        <v>3734020.87</v>
      </c>
      <c r="CF457" t="s">
        <v>38</v>
      </c>
      <c r="CG457">
        <v>15000</v>
      </c>
      <c r="CH457">
        <v>108961.27000503273</v>
      </c>
      <c r="CI457">
        <v>596100</v>
      </c>
      <c r="CJ457">
        <v>4330120.87</v>
      </c>
      <c r="CN457">
        <v>0</v>
      </c>
      <c r="CO457" t="s">
        <v>39</v>
      </c>
      <c r="CP457" t="s">
        <v>39</v>
      </c>
      <c r="CQ457" t="b">
        <v>1</v>
      </c>
      <c r="CR457" t="s">
        <v>8950</v>
      </c>
      <c r="CT457" t="s">
        <v>8960</v>
      </c>
      <c r="CU457" t="s">
        <v>8973</v>
      </c>
      <c r="CV457" t="s">
        <v>6325</v>
      </c>
      <c r="CW457" t="s">
        <v>4895</v>
      </c>
      <c r="CX457" t="s">
        <v>3246</v>
      </c>
      <c r="CY457">
        <v>1.1599999999999966</v>
      </c>
      <c r="CZ457">
        <v>126395.07320583756</v>
      </c>
      <c r="DA457">
        <v>4330120.87</v>
      </c>
      <c r="DB457" t="s">
        <v>38</v>
      </c>
      <c r="DC457" t="b">
        <v>1</v>
      </c>
      <c r="DD457">
        <v>4330120.87</v>
      </c>
      <c r="DE457">
        <v>0</v>
      </c>
      <c r="DF457" t="b">
        <v>1</v>
      </c>
      <c r="DG457" s="420" cm="1">
        <f t="array" ref="DG457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458" spans="1:111" x14ac:dyDescent="0.25">
      <c r="A458">
        <v>457</v>
      </c>
      <c r="B458" t="s">
        <v>15</v>
      </c>
      <c r="C458">
        <v>8</v>
      </c>
      <c r="D458">
        <v>2</v>
      </c>
      <c r="E458">
        <v>1</v>
      </c>
      <c r="F458">
        <v>14.29</v>
      </c>
      <c r="I458">
        <v>14.29</v>
      </c>
      <c r="J458">
        <v>12.32</v>
      </c>
      <c r="K458">
        <v>3.72</v>
      </c>
      <c r="N458">
        <v>6.91</v>
      </c>
      <c r="O458">
        <v>2.72</v>
      </c>
      <c r="Q458">
        <v>2.72</v>
      </c>
      <c r="R458">
        <v>39.96</v>
      </c>
      <c r="S458">
        <v>37.24</v>
      </c>
      <c r="T458">
        <v>38.6</v>
      </c>
      <c r="U458">
        <v>40</v>
      </c>
      <c r="V458">
        <v>71400</v>
      </c>
      <c r="W458">
        <v>3570</v>
      </c>
      <c r="X458">
        <v>74970</v>
      </c>
      <c r="Y458">
        <v>2998.8</v>
      </c>
      <c r="Z458">
        <v>77968.800000000003</v>
      </c>
      <c r="AA458">
        <v>3898.440000000001</v>
      </c>
      <c r="AB458">
        <v>81867.240000000005</v>
      </c>
      <c r="AC458">
        <v>10.069670520000001</v>
      </c>
      <c r="AD458">
        <v>81877.309670520001</v>
      </c>
      <c r="AE458">
        <v>4093.8654835259999</v>
      </c>
      <c r="AF458">
        <v>85971.175154045995</v>
      </c>
      <c r="AH458">
        <v>85971.175154045995</v>
      </c>
      <c r="AI458">
        <v>2579.1352546213802</v>
      </c>
      <c r="AJ458">
        <v>88550.31040866737</v>
      </c>
      <c r="AK458">
        <v>885.50310408667372</v>
      </c>
      <c r="AL458">
        <v>89435.813512754044</v>
      </c>
      <c r="AM458">
        <v>1788.7162702550809</v>
      </c>
      <c r="AN458">
        <v>91224.529783009129</v>
      </c>
      <c r="AO458">
        <v>1824.4905956601824</v>
      </c>
      <c r="AP458">
        <v>93049.020378669316</v>
      </c>
      <c r="AQ458">
        <v>2791.4706113600796</v>
      </c>
      <c r="AR458">
        <v>95840.490990029415</v>
      </c>
      <c r="AT458">
        <v>95840.490990029415</v>
      </c>
      <c r="AV458">
        <v>95840.490990029415</v>
      </c>
      <c r="AX458">
        <v>95840.490990029415</v>
      </c>
      <c r="AZ458">
        <v>95840.490990029415</v>
      </c>
      <c r="BB458">
        <v>95840.490990029415</v>
      </c>
      <c r="BD458">
        <v>95840.490990029415</v>
      </c>
      <c r="BF458">
        <v>95840.490990029415</v>
      </c>
      <c r="BH458">
        <v>95840.490990029415</v>
      </c>
      <c r="BJ458">
        <v>95840.490990029415</v>
      </c>
      <c r="BL458">
        <v>95840.490990029415</v>
      </c>
      <c r="BN458">
        <v>95840.490990029415</v>
      </c>
      <c r="BP458">
        <v>95840.490990029415</v>
      </c>
      <c r="BR458">
        <v>95840.490990029415</v>
      </c>
      <c r="BT458">
        <v>95840.490990029415</v>
      </c>
      <c r="BV458">
        <v>95840.490990029415</v>
      </c>
      <c r="BX458">
        <v>95840.490990029415</v>
      </c>
      <c r="BY458">
        <v>95840.49</v>
      </c>
      <c r="BZ458">
        <v>3699442.91</v>
      </c>
      <c r="CC458">
        <v>0</v>
      </c>
      <c r="CD458">
        <v>95840.489896373052</v>
      </c>
      <c r="CE458">
        <v>3699442.91</v>
      </c>
      <c r="CF458" t="s">
        <v>36</v>
      </c>
      <c r="CH458">
        <v>95840.489896373052</v>
      </c>
      <c r="CI458">
        <v>0</v>
      </c>
      <c r="CJ458">
        <v>3699442.91</v>
      </c>
      <c r="CN458">
        <v>0</v>
      </c>
      <c r="CO458" t="s">
        <v>39</v>
      </c>
      <c r="CP458" t="s">
        <v>39</v>
      </c>
      <c r="CQ458" t="b">
        <v>1</v>
      </c>
      <c r="CR458" t="s">
        <v>8950</v>
      </c>
      <c r="CT458" t="s">
        <v>8960</v>
      </c>
      <c r="CU458" t="s">
        <v>8973</v>
      </c>
      <c r="CV458" t="s">
        <v>6326</v>
      </c>
      <c r="CW458" t="s">
        <v>4895</v>
      </c>
      <c r="CX458" t="s">
        <v>3246</v>
      </c>
      <c r="CY458">
        <v>1.3999999999999986</v>
      </c>
      <c r="CZ458">
        <v>134176.68585492214</v>
      </c>
      <c r="DA458">
        <v>3699442.91</v>
      </c>
      <c r="DB458" t="s">
        <v>36</v>
      </c>
      <c r="DC458" t="b">
        <v>1</v>
      </c>
      <c r="DD458">
        <v>3699442.91</v>
      </c>
      <c r="DE458">
        <v>0</v>
      </c>
      <c r="DF458" t="b">
        <v>1</v>
      </c>
      <c r="DG458" s="420" cm="1">
        <f t="array" ref="DG458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459" spans="1:111" x14ac:dyDescent="0.25">
      <c r="A459">
        <v>458</v>
      </c>
      <c r="B459" t="s">
        <v>15</v>
      </c>
      <c r="C459">
        <v>8</v>
      </c>
      <c r="D459">
        <v>3</v>
      </c>
      <c r="E459">
        <v>3</v>
      </c>
      <c r="F459">
        <v>16.05</v>
      </c>
      <c r="G459">
        <v>11.28</v>
      </c>
      <c r="H459">
        <v>10.82</v>
      </c>
      <c r="I459">
        <v>38.15</v>
      </c>
      <c r="J459">
        <v>17.41</v>
      </c>
      <c r="K459">
        <v>3.81</v>
      </c>
      <c r="L459">
        <v>1.87</v>
      </c>
      <c r="N459">
        <v>11.71</v>
      </c>
      <c r="O459">
        <v>2.65</v>
      </c>
      <c r="Q459">
        <v>2.65</v>
      </c>
      <c r="R459">
        <v>75.599999999999994</v>
      </c>
      <c r="S459">
        <v>72.949999999999989</v>
      </c>
      <c r="T459">
        <v>74.28</v>
      </c>
      <c r="U459">
        <v>75.899999999999977</v>
      </c>
      <c r="V459">
        <v>67110.400000000009</v>
      </c>
      <c r="W459">
        <v>3355.5200000000004</v>
      </c>
      <c r="X459">
        <v>70465.920000000013</v>
      </c>
      <c r="Z459">
        <v>70465.920000000013</v>
      </c>
      <c r="AB459">
        <v>70465.920000000013</v>
      </c>
      <c r="AC459">
        <v>8.6673081600000028</v>
      </c>
      <c r="AD459">
        <v>70474.587308160015</v>
      </c>
      <c r="AF459">
        <v>70474.587308160015</v>
      </c>
      <c r="AH459">
        <v>70474.587308160015</v>
      </c>
      <c r="AJ459">
        <v>70474.587308160015</v>
      </c>
      <c r="AL459">
        <v>70474.587308160015</v>
      </c>
      <c r="AN459">
        <v>70474.587308160015</v>
      </c>
      <c r="AP459">
        <v>70474.587308160015</v>
      </c>
      <c r="AR459">
        <v>70474.587308160015</v>
      </c>
      <c r="AT459">
        <v>70474.587308160015</v>
      </c>
      <c r="AV459">
        <v>70474.587308160015</v>
      </c>
      <c r="AX459">
        <v>70474.587308160015</v>
      </c>
      <c r="AZ459">
        <v>70474.587308160015</v>
      </c>
      <c r="BB459">
        <v>70474.587308160015</v>
      </c>
      <c r="BD459">
        <v>70474.587308160015</v>
      </c>
      <c r="BF459">
        <v>70474.587308160015</v>
      </c>
      <c r="BH459">
        <v>70474.587308160015</v>
      </c>
      <c r="BJ459">
        <v>70474.587308160015</v>
      </c>
      <c r="BL459">
        <v>70474.587308160015</v>
      </c>
      <c r="BN459">
        <v>70474.587308160015</v>
      </c>
      <c r="BP459">
        <v>70474.587308160015</v>
      </c>
      <c r="BR459">
        <v>70474.587308160015</v>
      </c>
      <c r="BT459">
        <v>70474.587308160015</v>
      </c>
      <c r="BV459">
        <v>70474.587308160015</v>
      </c>
      <c r="BX459">
        <v>70474.587308160015</v>
      </c>
      <c r="BY459">
        <v>70474.59</v>
      </c>
      <c r="BZ459">
        <v>5234852.55</v>
      </c>
      <c r="CB459">
        <v>0.05</v>
      </c>
      <c r="CC459">
        <v>261742.6275</v>
      </c>
      <c r="CD459">
        <v>66950.860527732904</v>
      </c>
      <c r="CE459">
        <v>4973109.92</v>
      </c>
      <c r="CF459" t="s">
        <v>37</v>
      </c>
      <c r="CG459">
        <v>4000</v>
      </c>
      <c r="CH459">
        <v>70950.860527732904</v>
      </c>
      <c r="CI459">
        <v>297120</v>
      </c>
      <c r="CJ459">
        <v>5270229.92</v>
      </c>
      <c r="CK459" t="s">
        <v>57</v>
      </c>
      <c r="CL459" t="s">
        <v>3540</v>
      </c>
      <c r="CN459">
        <v>0</v>
      </c>
      <c r="CO459" t="s">
        <v>39</v>
      </c>
      <c r="CP459" t="s">
        <v>39</v>
      </c>
      <c r="CQ459" t="b">
        <v>1</v>
      </c>
      <c r="CR459" t="s">
        <v>8950</v>
      </c>
      <c r="CT459" t="s">
        <v>8960</v>
      </c>
      <c r="CU459" t="s">
        <v>8990</v>
      </c>
      <c r="CV459" t="s">
        <v>6327</v>
      </c>
      <c r="CW459" t="s">
        <v>4895</v>
      </c>
      <c r="CX459" t="s">
        <v>3246</v>
      </c>
      <c r="CY459">
        <v>1.6199999999999903</v>
      </c>
      <c r="CZ459">
        <v>114940.39405492664</v>
      </c>
      <c r="DA459">
        <v>5270229.92</v>
      </c>
      <c r="DB459" t="s">
        <v>37</v>
      </c>
      <c r="DC459" t="b">
        <v>1</v>
      </c>
      <c r="DD459">
        <v>5270229.92</v>
      </c>
      <c r="DE459">
        <v>0</v>
      </c>
      <c r="DF459" t="b">
        <v>1</v>
      </c>
      <c r="DG459" s="420" cm="1">
        <f t="array" ref="DG459">_xlfn.XLOOKUP("Дом 4"&amp;Реестр_Д4[[#This Row],[№]]&amp;Реестр_Д4[[#This Row],[Статус]],РД[Дом]&amp;РД[№ кв]&amp;РД[Состояние],РД[Дата подачи на регистрацию],"-",0)</f>
        <v>44921</v>
      </c>
    </row>
    <row r="460" spans="1:111" x14ac:dyDescent="0.25">
      <c r="A460">
        <v>459</v>
      </c>
      <c r="B460" t="s">
        <v>15</v>
      </c>
      <c r="C460">
        <v>8</v>
      </c>
      <c r="D460">
        <v>4</v>
      </c>
      <c r="E460">
        <v>1</v>
      </c>
      <c r="F460">
        <v>12.09</v>
      </c>
      <c r="I460">
        <v>12.09</v>
      </c>
      <c r="J460">
        <v>12.26</v>
      </c>
      <c r="K460">
        <v>3.71</v>
      </c>
      <c r="N460">
        <v>7.06</v>
      </c>
      <c r="O460">
        <v>2.75</v>
      </c>
      <c r="Q460">
        <v>2.75</v>
      </c>
      <c r="R460">
        <v>37.869999999999997</v>
      </c>
      <c r="S460">
        <v>35.119999999999997</v>
      </c>
      <c r="T460">
        <v>36.5</v>
      </c>
      <c r="U460">
        <v>38</v>
      </c>
      <c r="V460">
        <v>71400</v>
      </c>
      <c r="W460">
        <v>3570</v>
      </c>
      <c r="X460">
        <v>74970</v>
      </c>
      <c r="Y460">
        <v>2998.8</v>
      </c>
      <c r="Z460">
        <v>77968.800000000003</v>
      </c>
      <c r="AA460">
        <v>3898.440000000001</v>
      </c>
      <c r="AB460">
        <v>81867.240000000005</v>
      </c>
      <c r="AC460">
        <v>10.069670520000001</v>
      </c>
      <c r="AD460">
        <v>81877.309670520001</v>
      </c>
      <c r="AE460">
        <v>4093.8654835259999</v>
      </c>
      <c r="AF460">
        <v>85971.175154045995</v>
      </c>
      <c r="AG460">
        <v>4298.5587577022998</v>
      </c>
      <c r="AH460">
        <v>90269.733911748292</v>
      </c>
      <c r="AI460">
        <v>2708.0920173524487</v>
      </c>
      <c r="AJ460">
        <v>92977.825929100742</v>
      </c>
      <c r="AK460">
        <v>929.77825929100732</v>
      </c>
      <c r="AL460">
        <v>93907.604188391764</v>
      </c>
      <c r="AM460">
        <v>1878.1520837678347</v>
      </c>
      <c r="AN460">
        <v>95785.756272159604</v>
      </c>
      <c r="AO460">
        <v>1915.7151254431919</v>
      </c>
      <c r="AP460">
        <v>97701.471397602785</v>
      </c>
      <c r="AQ460">
        <v>2931.0441419280833</v>
      </c>
      <c r="AR460">
        <v>100632.51553953088</v>
      </c>
      <c r="AT460">
        <v>100632.51553953088</v>
      </c>
      <c r="AU460">
        <v>3018.9754661859261</v>
      </c>
      <c r="AV460">
        <v>103651.4910057168</v>
      </c>
      <c r="AW460">
        <v>6219.089460343007</v>
      </c>
      <c r="AX460">
        <v>109870.58046605979</v>
      </c>
      <c r="AZ460">
        <v>109870.58046605979</v>
      </c>
      <c r="BB460">
        <v>109870.58046605979</v>
      </c>
      <c r="BD460">
        <v>109870.58046605979</v>
      </c>
      <c r="BF460">
        <v>109870.58046605979</v>
      </c>
      <c r="BH460">
        <v>109870.58046605979</v>
      </c>
      <c r="BI460">
        <v>5493.52902330299</v>
      </c>
      <c r="BJ460">
        <v>115364.1094893628</v>
      </c>
      <c r="BK460">
        <v>500</v>
      </c>
      <c r="BL460">
        <v>115864.1094893628</v>
      </c>
      <c r="BM460">
        <v>2317.2821897872559</v>
      </c>
      <c r="BN460">
        <v>118181.39167915004</v>
      </c>
      <c r="BO460">
        <v>5909.0695839575019</v>
      </c>
      <c r="BP460">
        <v>124090.46126310754</v>
      </c>
      <c r="BQ460">
        <v>500</v>
      </c>
      <c r="BR460">
        <v>124590.46126310754</v>
      </c>
      <c r="BT460">
        <v>124590.46126310754</v>
      </c>
      <c r="BV460">
        <v>124590.46126310754</v>
      </c>
      <c r="BX460">
        <v>124590.46126310754</v>
      </c>
      <c r="BY460">
        <v>124590.46</v>
      </c>
      <c r="BZ460">
        <v>4547600</v>
      </c>
      <c r="CC460">
        <v>0</v>
      </c>
      <c r="CD460">
        <v>124591.7808219178</v>
      </c>
      <c r="CE460">
        <v>4547600</v>
      </c>
      <c r="CF460" t="s">
        <v>38</v>
      </c>
      <c r="CG460">
        <v>22000</v>
      </c>
      <c r="CH460">
        <v>146591.78082191781</v>
      </c>
      <c r="CI460">
        <v>803000</v>
      </c>
      <c r="CJ460">
        <v>5350600</v>
      </c>
      <c r="CN460">
        <v>0</v>
      </c>
      <c r="CO460" t="s">
        <v>39</v>
      </c>
      <c r="CP460" t="s">
        <v>39</v>
      </c>
      <c r="CQ460" t="b">
        <v>1</v>
      </c>
      <c r="CR460" t="s">
        <v>8950</v>
      </c>
      <c r="CT460" t="s">
        <v>8960</v>
      </c>
      <c r="CU460" t="s">
        <v>8973</v>
      </c>
      <c r="CV460" t="s">
        <v>6328</v>
      </c>
      <c r="CW460" t="s">
        <v>6652</v>
      </c>
      <c r="CX460" t="s">
        <v>3246</v>
      </c>
      <c r="CY460">
        <v>1.5</v>
      </c>
      <c r="CZ460">
        <v>219887.67123287672</v>
      </c>
      <c r="DA460">
        <v>5350600</v>
      </c>
      <c r="DB460" t="s">
        <v>38</v>
      </c>
      <c r="DC460" t="b">
        <v>1</v>
      </c>
      <c r="DD460">
        <v>5350600</v>
      </c>
      <c r="DE460">
        <v>0</v>
      </c>
      <c r="DF460" t="b">
        <v>1</v>
      </c>
      <c r="DG460" s="420" cm="1">
        <f t="array" ref="DG460">_xlfn.XLOOKUP("Дом 4"&amp;Реестр_Д4[[#This Row],[№]]&amp;Реестр_Д4[[#This Row],[Статус]],РД[Дом]&amp;РД[№ кв]&amp;РД[Состояние],РД[Дата подачи на регистрацию],"-",0)</f>
        <v>45465</v>
      </c>
    </row>
    <row r="461" spans="1:111" x14ac:dyDescent="0.25">
      <c r="A461">
        <v>460</v>
      </c>
      <c r="B461" t="s">
        <v>15</v>
      </c>
      <c r="C461">
        <v>8</v>
      </c>
      <c r="D461">
        <v>5</v>
      </c>
      <c r="E461">
        <v>2</v>
      </c>
      <c r="F461">
        <v>15.61</v>
      </c>
      <c r="G461">
        <v>12.02</v>
      </c>
      <c r="I461">
        <v>27.63</v>
      </c>
      <c r="J461">
        <v>13.1</v>
      </c>
      <c r="K461">
        <v>3.61</v>
      </c>
      <c r="L461">
        <v>1.82</v>
      </c>
      <c r="N461">
        <v>8.52</v>
      </c>
      <c r="O461">
        <v>2.72</v>
      </c>
      <c r="Q461">
        <v>2.72</v>
      </c>
      <c r="R461">
        <v>57.4</v>
      </c>
      <c r="S461">
        <v>54.68</v>
      </c>
      <c r="T461">
        <v>56.04</v>
      </c>
      <c r="U461">
        <v>57.7</v>
      </c>
      <c r="V461">
        <v>67306.399999999994</v>
      </c>
      <c r="W461">
        <v>3365.3199999999997</v>
      </c>
      <c r="X461">
        <v>70671.72</v>
      </c>
      <c r="Z461">
        <v>70671.72</v>
      </c>
      <c r="AA461">
        <v>3533.5859999999998</v>
      </c>
      <c r="AB461">
        <v>74205.305999999997</v>
      </c>
      <c r="AC461">
        <v>9.1272526379999999</v>
      </c>
      <c r="AD461">
        <v>74214.433252638002</v>
      </c>
      <c r="AF461">
        <v>74214.433252638002</v>
      </c>
      <c r="AH461">
        <v>74214.433252638002</v>
      </c>
      <c r="AI461">
        <v>1484.2886650527601</v>
      </c>
      <c r="AJ461">
        <v>75698.721917690767</v>
      </c>
      <c r="AK461">
        <v>756.98721917690773</v>
      </c>
      <c r="AL461">
        <v>76455.709136867677</v>
      </c>
      <c r="AM461">
        <v>1529.1141827373535</v>
      </c>
      <c r="AN461">
        <v>77984.823319605028</v>
      </c>
      <c r="AO461">
        <v>2339.5446995881507</v>
      </c>
      <c r="AP461">
        <v>80324.368019193178</v>
      </c>
      <c r="AR461">
        <v>80324.368019193178</v>
      </c>
      <c r="AT461">
        <v>80324.368019193178</v>
      </c>
      <c r="AV461">
        <v>80324.368019193178</v>
      </c>
      <c r="AX461">
        <v>80324.368019193178</v>
      </c>
      <c r="AZ461">
        <v>80324.368019193178</v>
      </c>
      <c r="BB461">
        <v>80324.368019193178</v>
      </c>
      <c r="BD461">
        <v>80324.368019193178</v>
      </c>
      <c r="BF461">
        <v>80324.368019193178</v>
      </c>
      <c r="BH461">
        <v>80324.368019193178</v>
      </c>
      <c r="BJ461">
        <v>80324.368019193178</v>
      </c>
      <c r="BL461">
        <v>80324.368019193178</v>
      </c>
      <c r="BN461">
        <v>80324.368019193178</v>
      </c>
      <c r="BP461">
        <v>80324.368019193178</v>
      </c>
      <c r="BR461">
        <v>80324.368019193178</v>
      </c>
      <c r="BT461">
        <v>80324.368019193178</v>
      </c>
      <c r="BV461">
        <v>80324.368019193178</v>
      </c>
      <c r="BX461">
        <v>80324.368019193178</v>
      </c>
      <c r="BY461">
        <v>80324.37</v>
      </c>
      <c r="BZ461">
        <v>4501377.6900000004</v>
      </c>
      <c r="CC461">
        <v>0</v>
      </c>
      <c r="CD461">
        <v>80324.369914346898</v>
      </c>
      <c r="CE461">
        <v>4501377.6900000004</v>
      </c>
      <c r="CF461" t="s">
        <v>38</v>
      </c>
      <c r="CG461">
        <v>15000</v>
      </c>
      <c r="CH461">
        <v>95324.369914346898</v>
      </c>
      <c r="CI461">
        <v>840600</v>
      </c>
      <c r="CJ461">
        <v>5341977.6900000004</v>
      </c>
      <c r="CN461">
        <v>0</v>
      </c>
      <c r="CO461" t="s">
        <v>39</v>
      </c>
      <c r="CP461" t="s">
        <v>39</v>
      </c>
      <c r="CQ461" t="b">
        <v>1</v>
      </c>
      <c r="CR461" t="s">
        <v>8950</v>
      </c>
      <c r="CT461" t="s">
        <v>8960</v>
      </c>
      <c r="CU461" t="s">
        <v>8974</v>
      </c>
      <c r="CV461" t="s">
        <v>6329</v>
      </c>
      <c r="CW461" t="s">
        <v>4895</v>
      </c>
      <c r="CX461" t="s">
        <v>3246</v>
      </c>
      <c r="CY461">
        <v>1.6599999999999966</v>
      </c>
      <c r="CZ461">
        <v>158238.45405781551</v>
      </c>
      <c r="DA461">
        <v>5341977.6900000004</v>
      </c>
      <c r="DB461" t="s">
        <v>38</v>
      </c>
      <c r="DC461" t="b">
        <v>1</v>
      </c>
      <c r="DD461">
        <v>5341977.6900000004</v>
      </c>
      <c r="DE461">
        <v>0</v>
      </c>
      <c r="DF461" t="b">
        <v>1</v>
      </c>
      <c r="DG461" s="420" cm="1">
        <f t="array" ref="DG461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462" spans="1:111" x14ac:dyDescent="0.25">
      <c r="A462">
        <v>461</v>
      </c>
      <c r="B462" t="s">
        <v>15</v>
      </c>
      <c r="C462">
        <v>8</v>
      </c>
      <c r="D462">
        <v>6</v>
      </c>
      <c r="E462">
        <v>2</v>
      </c>
      <c r="F462">
        <v>15.61</v>
      </c>
      <c r="G462">
        <v>9.66</v>
      </c>
      <c r="I462">
        <v>25.27</v>
      </c>
      <c r="J462">
        <v>16.53</v>
      </c>
      <c r="K462">
        <v>3.63</v>
      </c>
      <c r="L462">
        <v>2.21</v>
      </c>
      <c r="N462">
        <v>9.6199999999999992</v>
      </c>
      <c r="O462">
        <v>2.72</v>
      </c>
      <c r="Q462">
        <v>2.72</v>
      </c>
      <c r="R462">
        <v>59.98</v>
      </c>
      <c r="S462">
        <v>57.26</v>
      </c>
      <c r="T462">
        <v>58.62</v>
      </c>
      <c r="U462">
        <v>60.5</v>
      </c>
      <c r="V462">
        <v>67972.800000000003</v>
      </c>
      <c r="W462">
        <v>3398.6400000000003</v>
      </c>
      <c r="X462">
        <v>71371.44</v>
      </c>
      <c r="Z462">
        <v>71371.44</v>
      </c>
      <c r="AB462">
        <v>71371.44</v>
      </c>
      <c r="AD462">
        <v>71371.44</v>
      </c>
      <c r="AF462">
        <v>71371.44</v>
      </c>
      <c r="AH462">
        <v>71371.44</v>
      </c>
      <c r="AJ462">
        <v>71371.44</v>
      </c>
      <c r="AL462">
        <v>71371.44</v>
      </c>
      <c r="AN462">
        <v>71371.44</v>
      </c>
      <c r="AP462">
        <v>71371.44</v>
      </c>
      <c r="AR462">
        <v>71371.44</v>
      </c>
      <c r="AT462">
        <v>71371.44</v>
      </c>
      <c r="AV462">
        <v>71371.44</v>
      </c>
      <c r="AX462">
        <v>71371.44</v>
      </c>
      <c r="AZ462">
        <v>71371.44</v>
      </c>
      <c r="BB462">
        <v>71371.44</v>
      </c>
      <c r="BD462">
        <v>71371.44</v>
      </c>
      <c r="BF462">
        <v>71371.44</v>
      </c>
      <c r="BH462">
        <v>71371.44</v>
      </c>
      <c r="BJ462">
        <v>71371.44</v>
      </c>
      <c r="BL462">
        <v>71371.44</v>
      </c>
      <c r="BN462">
        <v>71371.44</v>
      </c>
      <c r="BP462">
        <v>71371.44</v>
      </c>
      <c r="BR462">
        <v>71371.44</v>
      </c>
      <c r="BT462">
        <v>71371.44</v>
      </c>
      <c r="BV462">
        <v>71371.44</v>
      </c>
      <c r="BX462">
        <v>71371.44</v>
      </c>
      <c r="BY462">
        <v>71371.44</v>
      </c>
      <c r="BZ462">
        <v>4183793.81</v>
      </c>
      <c r="CC462">
        <v>0</v>
      </c>
      <c r="CD462">
        <v>71371.439952234738</v>
      </c>
      <c r="CE462">
        <v>4183793.81</v>
      </c>
      <c r="CF462" t="s">
        <v>37</v>
      </c>
      <c r="CG462">
        <v>7500</v>
      </c>
      <c r="CH462">
        <v>78871.439952234738</v>
      </c>
      <c r="CI462">
        <v>439649.99999999953</v>
      </c>
      <c r="CJ462">
        <v>4623443.8099999996</v>
      </c>
      <c r="CN462">
        <v>0</v>
      </c>
      <c r="CO462" t="s">
        <v>39</v>
      </c>
      <c r="CP462" t="s">
        <v>39</v>
      </c>
      <c r="CQ462" t="b">
        <v>1</v>
      </c>
      <c r="CR462" t="s">
        <v>8950</v>
      </c>
      <c r="CT462" t="s">
        <v>8960</v>
      </c>
      <c r="CU462" t="s">
        <v>8971</v>
      </c>
      <c r="CV462" t="s">
        <v>6330</v>
      </c>
      <c r="CW462" t="s">
        <v>4895</v>
      </c>
      <c r="CX462" t="s">
        <v>3246</v>
      </c>
      <c r="CY462">
        <v>1.8800000000000023</v>
      </c>
      <c r="CZ462">
        <v>148278.30711020151</v>
      </c>
      <c r="DA462">
        <v>4623443.8099999996</v>
      </c>
      <c r="DB462" t="s">
        <v>37</v>
      </c>
      <c r="DC462" t="b">
        <v>1</v>
      </c>
      <c r="DD462">
        <v>4623443.8099999996</v>
      </c>
      <c r="DE462">
        <v>0</v>
      </c>
      <c r="DF462" t="b">
        <v>1</v>
      </c>
      <c r="DG462" s="420" cm="1">
        <f t="array" ref="DG462">_xlfn.XLOOKUP("Дом 4"&amp;Реестр_Д4[[#This Row],[№]]&amp;Реестр_Д4[[#This Row],[Статус]],РД[Дом]&amp;РД[№ кв]&amp;РД[Состояние],РД[Дата подачи на регистрацию],"-",0)</f>
        <v>44813</v>
      </c>
    </row>
    <row r="463" spans="1:111" x14ac:dyDescent="0.25">
      <c r="A463">
        <v>462</v>
      </c>
      <c r="B463" t="s">
        <v>15</v>
      </c>
      <c r="C463">
        <v>8</v>
      </c>
      <c r="D463">
        <v>7</v>
      </c>
      <c r="E463">
        <v>2</v>
      </c>
      <c r="F463">
        <v>11.83</v>
      </c>
      <c r="G463">
        <v>11.4</v>
      </c>
      <c r="I463">
        <v>23.23</v>
      </c>
      <c r="J463">
        <v>27.16</v>
      </c>
      <c r="K463">
        <v>5.28</v>
      </c>
      <c r="L463">
        <v>1.75</v>
      </c>
      <c r="N463">
        <v>8.67</v>
      </c>
      <c r="O463">
        <v>2.8</v>
      </c>
      <c r="Q463">
        <v>2.8</v>
      </c>
      <c r="R463">
        <v>68.89</v>
      </c>
      <c r="S463">
        <v>66.09</v>
      </c>
      <c r="T463">
        <v>67.489999999999995</v>
      </c>
      <c r="U463">
        <v>69.2</v>
      </c>
      <c r="V463">
        <v>71304.800000000003</v>
      </c>
      <c r="W463">
        <v>3565.24</v>
      </c>
      <c r="X463">
        <v>74870.039999999994</v>
      </c>
      <c r="Z463">
        <v>74870.039999999994</v>
      </c>
      <c r="AA463">
        <v>3743.502</v>
      </c>
      <c r="AB463">
        <v>78613.542000000016</v>
      </c>
      <c r="AC463">
        <v>9.6694656660000025</v>
      </c>
      <c r="AD463">
        <v>78623.211465666012</v>
      </c>
      <c r="AF463">
        <v>78623.211465666012</v>
      </c>
      <c r="AH463">
        <v>78623.211465666012</v>
      </c>
      <c r="AJ463">
        <v>78623.211465666012</v>
      </c>
      <c r="AL463">
        <v>78623.211465666012</v>
      </c>
      <c r="AN463">
        <v>78623.211465666012</v>
      </c>
      <c r="AP463">
        <v>78623.211465666012</v>
      </c>
      <c r="AR463">
        <v>78623.211465666012</v>
      </c>
      <c r="AT463">
        <v>78623.211465666012</v>
      </c>
      <c r="AV463">
        <v>78623.211465666012</v>
      </c>
      <c r="AX463">
        <v>78623.211465666012</v>
      </c>
      <c r="AZ463">
        <v>78623.211465666012</v>
      </c>
      <c r="BB463">
        <v>78623.211465666012</v>
      </c>
      <c r="BD463">
        <v>78623.211465666012</v>
      </c>
      <c r="BF463">
        <v>78623.211465666012</v>
      </c>
      <c r="BH463">
        <v>78623.211465666012</v>
      </c>
      <c r="BJ463">
        <v>78623.211465666012</v>
      </c>
      <c r="BL463">
        <v>78623.211465666012</v>
      </c>
      <c r="BN463">
        <v>78623.211465666012</v>
      </c>
      <c r="BP463">
        <v>78623.211465666012</v>
      </c>
      <c r="BR463">
        <v>78623.211465666012</v>
      </c>
      <c r="BT463">
        <v>78623.211465666012</v>
      </c>
      <c r="BV463">
        <v>78623.211465666012</v>
      </c>
      <c r="BX463">
        <v>78623.211465666012</v>
      </c>
      <c r="BY463">
        <v>78623.210000000006</v>
      </c>
      <c r="BZ463">
        <v>5306280.4400000004</v>
      </c>
      <c r="CB463">
        <v>0.05</v>
      </c>
      <c r="CC463">
        <v>265314.02200000006</v>
      </c>
      <c r="CD463">
        <v>74692.049488813165</v>
      </c>
      <c r="CE463">
        <v>5040966.42</v>
      </c>
      <c r="CF463" t="s">
        <v>37</v>
      </c>
      <c r="CG463">
        <v>4000</v>
      </c>
      <c r="CH463">
        <v>78692.049488813165</v>
      </c>
      <c r="CI463">
        <v>269960</v>
      </c>
      <c r="CJ463">
        <v>5310926.42</v>
      </c>
      <c r="CK463" t="s">
        <v>57</v>
      </c>
      <c r="CL463" t="s">
        <v>3540</v>
      </c>
      <c r="CN463">
        <v>0</v>
      </c>
      <c r="CO463" t="s">
        <v>39</v>
      </c>
      <c r="CP463" t="s">
        <v>39</v>
      </c>
      <c r="CQ463" t="b">
        <v>1</v>
      </c>
      <c r="CR463" t="s">
        <v>8950</v>
      </c>
      <c r="CT463" t="s">
        <v>8960</v>
      </c>
      <c r="CU463" t="s">
        <v>8971</v>
      </c>
      <c r="CV463" t="s">
        <v>6331</v>
      </c>
      <c r="CW463" t="s">
        <v>4895</v>
      </c>
      <c r="CX463" t="s">
        <v>3246</v>
      </c>
      <c r="CY463">
        <v>1.710000000000008</v>
      </c>
      <c r="CZ463">
        <v>134563.40462587113</v>
      </c>
      <c r="DA463">
        <v>5310926.42</v>
      </c>
      <c r="DB463" t="s">
        <v>37</v>
      </c>
      <c r="DC463" t="b">
        <v>1</v>
      </c>
      <c r="DD463">
        <v>5310926.42</v>
      </c>
      <c r="DE463">
        <v>0</v>
      </c>
      <c r="DF463" t="b">
        <v>1</v>
      </c>
      <c r="DG463" s="420" cm="1">
        <f t="array" ref="DG463">_xlfn.XLOOKUP("Дом 4"&amp;Реестр_Д4[[#This Row],[№]]&amp;Реестр_Д4[[#This Row],[Статус]],РД[Дом]&amp;РД[№ кв]&amp;РД[Состояние],РД[Дата подачи на регистрацию],"-",0)</f>
        <v>44963</v>
      </c>
    </row>
    <row r="464" spans="1:111" x14ac:dyDescent="0.25">
      <c r="A464">
        <v>463</v>
      </c>
      <c r="B464" t="s">
        <v>15</v>
      </c>
      <c r="C464">
        <v>8</v>
      </c>
      <c r="D464">
        <v>8</v>
      </c>
      <c r="E464">
        <v>2</v>
      </c>
      <c r="F464">
        <v>17.25</v>
      </c>
      <c r="G464">
        <v>14.07</v>
      </c>
      <c r="I464">
        <v>31.32</v>
      </c>
      <c r="J464">
        <v>14.23</v>
      </c>
      <c r="K464">
        <v>3.81</v>
      </c>
      <c r="L464">
        <v>1.75</v>
      </c>
      <c r="N464">
        <v>11.07</v>
      </c>
      <c r="O464">
        <v>3.12</v>
      </c>
      <c r="Q464">
        <v>3.12</v>
      </c>
      <c r="R464">
        <v>65.3</v>
      </c>
      <c r="S464">
        <v>62.18</v>
      </c>
      <c r="T464">
        <v>63.74</v>
      </c>
      <c r="U464">
        <v>65.199999999999989</v>
      </c>
      <c r="V464">
        <v>68639.199999999997</v>
      </c>
      <c r="W464">
        <v>3431.96</v>
      </c>
      <c r="X464">
        <v>72071.16</v>
      </c>
      <c r="Z464">
        <v>72071.16</v>
      </c>
      <c r="AA464">
        <v>3603.558</v>
      </c>
      <c r="AB464">
        <v>75674.717999999993</v>
      </c>
      <c r="AC464">
        <v>9.3079903140000013</v>
      </c>
      <c r="AD464">
        <v>75684.02599031401</v>
      </c>
      <c r="AF464">
        <v>75684.02599031401</v>
      </c>
      <c r="AH464">
        <v>75684.02599031401</v>
      </c>
      <c r="AI464">
        <v>1513.6805198062802</v>
      </c>
      <c r="AJ464">
        <v>77197.70651012029</v>
      </c>
      <c r="AK464">
        <v>771.97706510120292</v>
      </c>
      <c r="AL464">
        <v>77969.683575221497</v>
      </c>
      <c r="AM464">
        <v>1559.3936715044299</v>
      </c>
      <c r="AN464">
        <v>79529.077246725923</v>
      </c>
      <c r="AP464">
        <v>79529.077246725923</v>
      </c>
      <c r="AQ464">
        <v>2385.8723174017778</v>
      </c>
      <c r="AR464">
        <v>81914.949564127703</v>
      </c>
      <c r="AT464">
        <v>81914.949564127703</v>
      </c>
      <c r="AU464">
        <v>2457.4484869238308</v>
      </c>
      <c r="AV464">
        <v>84372.398051051539</v>
      </c>
      <c r="AX464">
        <v>84372.398051051539</v>
      </c>
      <c r="AZ464">
        <v>84372.398051051539</v>
      </c>
      <c r="BB464">
        <v>84372.398051051539</v>
      </c>
      <c r="BD464">
        <v>84372.398051051539</v>
      </c>
      <c r="BF464">
        <v>84372.398051051539</v>
      </c>
      <c r="BG464">
        <v>3000</v>
      </c>
      <c r="BH464">
        <v>87372.398051051539</v>
      </c>
      <c r="BI464">
        <v>4368.6199025525775</v>
      </c>
      <c r="BJ464">
        <v>91741.017953604111</v>
      </c>
      <c r="BK464">
        <v>1000</v>
      </c>
      <c r="BL464">
        <v>92741.017953604111</v>
      </c>
      <c r="BN464">
        <v>92741.017953604111</v>
      </c>
      <c r="BP464">
        <v>92741.017953604111</v>
      </c>
      <c r="BR464">
        <v>92741.017953604111</v>
      </c>
      <c r="BT464">
        <v>92741.017953604111</v>
      </c>
      <c r="BV464">
        <v>92741.017953604111</v>
      </c>
      <c r="BX464">
        <v>92741.017953604111</v>
      </c>
      <c r="BY464">
        <v>92741.02</v>
      </c>
      <c r="BZ464">
        <v>5911400</v>
      </c>
      <c r="CA464">
        <v>88888</v>
      </c>
      <c r="CC464">
        <v>88888</v>
      </c>
      <c r="CD464">
        <v>91347.850643238155</v>
      </c>
      <c r="CE464">
        <v>5822512</v>
      </c>
      <c r="CF464" t="s">
        <v>36</v>
      </c>
      <c r="CH464">
        <v>91347.850643238155</v>
      </c>
      <c r="CI464">
        <v>0</v>
      </c>
      <c r="CJ464">
        <v>5822512</v>
      </c>
      <c r="CL464" t="s">
        <v>4185</v>
      </c>
      <c r="CN464">
        <v>0</v>
      </c>
      <c r="CO464" t="s">
        <v>39</v>
      </c>
      <c r="CP464" t="s">
        <v>39</v>
      </c>
      <c r="CQ464" t="b">
        <v>1</v>
      </c>
      <c r="CR464" t="s">
        <v>8950</v>
      </c>
      <c r="CT464" t="s">
        <v>8960</v>
      </c>
      <c r="CU464" t="s">
        <v>8971</v>
      </c>
      <c r="CV464" t="s">
        <v>6332</v>
      </c>
      <c r="CW464" t="s">
        <v>6652</v>
      </c>
      <c r="CX464" t="s">
        <v>3246</v>
      </c>
      <c r="CY464">
        <v>1.4599999999999866</v>
      </c>
      <c r="CZ464">
        <v>133367.86193912648</v>
      </c>
      <c r="DA464">
        <v>5822512</v>
      </c>
      <c r="DB464" t="s">
        <v>36</v>
      </c>
      <c r="DC464" t="b">
        <v>1</v>
      </c>
      <c r="DD464">
        <v>5822512</v>
      </c>
      <c r="DE464">
        <v>0</v>
      </c>
      <c r="DF464" t="b">
        <v>1</v>
      </c>
      <c r="DG464" s="420" cm="1">
        <f t="array" ref="DG464">_xlfn.XLOOKUP("Дом 4"&amp;Реестр_Д4[[#This Row],[№]]&amp;Реестр_Д4[[#This Row],[Статус]],РД[Дом]&amp;РД[№ кв]&amp;РД[Состояние],РД[Дата подачи на регистрацию],"-",0)</f>
        <v>45364</v>
      </c>
    </row>
    <row r="465" spans="1:111" x14ac:dyDescent="0.25">
      <c r="A465">
        <v>464</v>
      </c>
      <c r="B465" t="s">
        <v>15</v>
      </c>
      <c r="C465">
        <v>8</v>
      </c>
      <c r="D465">
        <v>9</v>
      </c>
      <c r="E465">
        <v>1</v>
      </c>
      <c r="F465">
        <v>16.46</v>
      </c>
      <c r="I465">
        <v>16.46</v>
      </c>
      <c r="J465">
        <v>14.25</v>
      </c>
      <c r="K465">
        <v>3.92</v>
      </c>
      <c r="N465">
        <v>8.2200000000000006</v>
      </c>
      <c r="O465">
        <v>3.03</v>
      </c>
      <c r="Q465">
        <v>3.03</v>
      </c>
      <c r="R465">
        <v>45.88</v>
      </c>
      <c r="S465">
        <v>42.85</v>
      </c>
      <c r="T465">
        <v>44.37</v>
      </c>
      <c r="U465">
        <v>45.8</v>
      </c>
      <c r="V465">
        <v>72100</v>
      </c>
      <c r="W465">
        <v>3605</v>
      </c>
      <c r="X465">
        <v>75705</v>
      </c>
      <c r="Z465">
        <v>75705</v>
      </c>
      <c r="AA465">
        <v>3785.25</v>
      </c>
      <c r="AB465">
        <v>79490.25</v>
      </c>
      <c r="AC465">
        <v>9.7773007500000002</v>
      </c>
      <c r="AD465">
        <v>79500.027300750007</v>
      </c>
      <c r="AE465">
        <v>3975.0013650375008</v>
      </c>
      <c r="AF465">
        <v>83475.028665787511</v>
      </c>
      <c r="AH465">
        <v>83475.028665787511</v>
      </c>
      <c r="AI465">
        <v>2504.2508599736252</v>
      </c>
      <c r="AJ465">
        <v>85979.279525761129</v>
      </c>
      <c r="AK465">
        <v>859.79279525761149</v>
      </c>
      <c r="AL465">
        <v>86839.072321018757</v>
      </c>
      <c r="AM465">
        <v>1736.7814464203752</v>
      </c>
      <c r="AN465">
        <v>88575.853767439126</v>
      </c>
      <c r="AO465">
        <v>1771.5170753487826</v>
      </c>
      <c r="AP465">
        <v>90347.370842787903</v>
      </c>
      <c r="AQ465">
        <v>2710.4211252836371</v>
      </c>
      <c r="AR465">
        <v>93057.791968071542</v>
      </c>
      <c r="AT465">
        <v>93057.791968071542</v>
      </c>
      <c r="AU465">
        <v>2791.7337590421462</v>
      </c>
      <c r="AV465">
        <v>95849.525727113694</v>
      </c>
      <c r="AX465">
        <v>95849.525727113694</v>
      </c>
      <c r="AZ465">
        <v>95849.525727113694</v>
      </c>
      <c r="BB465">
        <v>95849.525727113694</v>
      </c>
      <c r="BD465">
        <v>95849.525727113694</v>
      </c>
      <c r="BE465">
        <v>837</v>
      </c>
      <c r="BF465">
        <v>96686.525727113694</v>
      </c>
      <c r="BH465">
        <v>96686.525727113694</v>
      </c>
      <c r="BJ465">
        <v>96686.525727113694</v>
      </c>
      <c r="BL465">
        <v>96686.525727113694</v>
      </c>
      <c r="BN465">
        <v>96686.525727113694</v>
      </c>
      <c r="BP465">
        <v>96686.525727113694</v>
      </c>
      <c r="BR465">
        <v>96686.525727113694</v>
      </c>
      <c r="BT465">
        <v>96686.525727113694</v>
      </c>
      <c r="BV465">
        <v>96686.525727113694</v>
      </c>
      <c r="BX465">
        <v>96686.525727113694</v>
      </c>
      <c r="BY465">
        <v>96686.53</v>
      </c>
      <c r="BZ465">
        <v>4290000</v>
      </c>
      <c r="CB465">
        <v>0.05</v>
      </c>
      <c r="CC465">
        <v>214500</v>
      </c>
      <c r="CD465">
        <v>91852.603110209602</v>
      </c>
      <c r="CE465">
        <v>4075500</v>
      </c>
      <c r="CF465" t="s">
        <v>38</v>
      </c>
      <c r="CG465">
        <v>22000</v>
      </c>
      <c r="CH465">
        <v>113852.6031102096</v>
      </c>
      <c r="CI465">
        <v>976140</v>
      </c>
      <c r="CJ465">
        <v>5051640</v>
      </c>
      <c r="CL465" t="s">
        <v>978</v>
      </c>
      <c r="CN465">
        <v>0</v>
      </c>
      <c r="CO465" t="s">
        <v>39</v>
      </c>
      <c r="CP465" t="s">
        <v>39</v>
      </c>
      <c r="CQ465" t="b">
        <v>1</v>
      </c>
      <c r="CR465" t="s">
        <v>8950</v>
      </c>
      <c r="CT465" t="s">
        <v>8960</v>
      </c>
      <c r="CU465" t="s">
        <v>8972</v>
      </c>
      <c r="CV465" t="s">
        <v>6333</v>
      </c>
      <c r="CW465" t="s">
        <v>6652</v>
      </c>
      <c r="CX465" t="s">
        <v>3246</v>
      </c>
      <c r="CY465">
        <v>1.4299999999999995</v>
      </c>
      <c r="CZ465">
        <v>162809.22244759969</v>
      </c>
      <c r="DA465">
        <v>5051640</v>
      </c>
      <c r="DB465" t="s">
        <v>38</v>
      </c>
      <c r="DC465" t="b">
        <v>1</v>
      </c>
      <c r="DD465">
        <v>5051640</v>
      </c>
      <c r="DE465">
        <v>0</v>
      </c>
      <c r="DF465" t="b">
        <v>1</v>
      </c>
      <c r="DG465" s="420" cm="1">
        <f t="array" ref="DG465">_xlfn.XLOOKUP("Дом 4"&amp;Реестр_Д4[[#This Row],[№]]&amp;Реестр_Д4[[#This Row],[Статус]],РД[Дом]&amp;РД[№ кв]&amp;РД[Состояние],РД[Дата подачи на регистрацию],"-",0)</f>
        <v>45341</v>
      </c>
    </row>
    <row r="466" spans="1:111" x14ac:dyDescent="0.25">
      <c r="A466">
        <v>465</v>
      </c>
      <c r="B466" t="s">
        <v>15</v>
      </c>
      <c r="C466">
        <v>9</v>
      </c>
      <c r="D466">
        <v>1</v>
      </c>
      <c r="E466">
        <v>1</v>
      </c>
      <c r="F466">
        <v>14.05</v>
      </c>
      <c r="I466">
        <v>14.05</v>
      </c>
      <c r="J466">
        <v>12.32</v>
      </c>
      <c r="K466">
        <v>3.87</v>
      </c>
      <c r="N466">
        <v>8.14</v>
      </c>
      <c r="O466">
        <v>2.72</v>
      </c>
      <c r="Q466">
        <v>2.72</v>
      </c>
      <c r="R466">
        <v>41.1</v>
      </c>
      <c r="S466">
        <v>38.380000000000003</v>
      </c>
      <c r="T466">
        <v>39.74</v>
      </c>
      <c r="U466">
        <v>40.9</v>
      </c>
      <c r="V466">
        <v>71400</v>
      </c>
      <c r="W466">
        <v>3570</v>
      </c>
      <c r="X466">
        <v>74970</v>
      </c>
      <c r="Y466">
        <v>2998.8</v>
      </c>
      <c r="Z466">
        <v>77968.800000000003</v>
      </c>
      <c r="AA466">
        <v>3898.440000000001</v>
      </c>
      <c r="AB466">
        <v>81867.240000000005</v>
      </c>
      <c r="AC466">
        <v>10.069670520000001</v>
      </c>
      <c r="AD466">
        <v>81877.309670520001</v>
      </c>
      <c r="AE466">
        <v>4093.8654835259999</v>
      </c>
      <c r="AF466">
        <v>85971.175154045995</v>
      </c>
      <c r="AH466">
        <v>85971.175154045995</v>
      </c>
      <c r="AI466">
        <v>2579.1352546213802</v>
      </c>
      <c r="AJ466">
        <v>88550.31040866737</v>
      </c>
      <c r="AK466">
        <v>885.50310408667372</v>
      </c>
      <c r="AL466">
        <v>89435.813512754044</v>
      </c>
      <c r="AM466">
        <v>1788.7162702550809</v>
      </c>
      <c r="AN466">
        <v>91224.529783009129</v>
      </c>
      <c r="AO466">
        <v>1824.4905956601824</v>
      </c>
      <c r="AP466">
        <v>93049.020378669316</v>
      </c>
      <c r="AQ466">
        <v>2791.4706113600796</v>
      </c>
      <c r="AR466">
        <v>95840.490990029415</v>
      </c>
      <c r="AS466">
        <v>4792.0245495014706</v>
      </c>
      <c r="AT466">
        <v>100632.51553953088</v>
      </c>
      <c r="AU466">
        <v>3018.9754661859261</v>
      </c>
      <c r="AV466">
        <v>103651.4910057168</v>
      </c>
      <c r="AW466">
        <v>6219.089460343007</v>
      </c>
      <c r="AX466">
        <v>109870.58046605979</v>
      </c>
      <c r="AZ466">
        <v>109870.58046605979</v>
      </c>
      <c r="BB466">
        <v>109870.58046605979</v>
      </c>
      <c r="BD466">
        <v>109870.58046605979</v>
      </c>
      <c r="BF466">
        <v>109870.58046605979</v>
      </c>
      <c r="BH466">
        <v>109870.58046605979</v>
      </c>
      <c r="BI466">
        <v>5493.52902330299</v>
      </c>
      <c r="BJ466">
        <v>115364.1094893628</v>
      </c>
      <c r="BK466">
        <v>500</v>
      </c>
      <c r="BL466">
        <v>115864.1094893628</v>
      </c>
      <c r="BM466">
        <v>2317.2821897872559</v>
      </c>
      <c r="BN466">
        <v>118181.39167915004</v>
      </c>
      <c r="BO466">
        <v>5909.0695839575019</v>
      </c>
      <c r="BP466">
        <v>124090.46126310754</v>
      </c>
      <c r="BQ466">
        <v>500</v>
      </c>
      <c r="BR466">
        <v>124590.46126310754</v>
      </c>
      <c r="BS466">
        <v>10300</v>
      </c>
      <c r="BT466">
        <v>134890.46126310754</v>
      </c>
      <c r="BU466">
        <v>7600</v>
      </c>
      <c r="BV466">
        <v>142490.46126310754</v>
      </c>
      <c r="BW466">
        <v>22490.461263107543</v>
      </c>
      <c r="BX466">
        <v>120000</v>
      </c>
      <c r="BY466">
        <v>120000</v>
      </c>
      <c r="BZ466">
        <v>4908000</v>
      </c>
      <c r="CC466">
        <v>0</v>
      </c>
      <c r="CD466">
        <v>120000</v>
      </c>
      <c r="CE466">
        <v>4908000</v>
      </c>
      <c r="CF466" t="s">
        <v>36</v>
      </c>
      <c r="CH466">
        <v>120000</v>
      </c>
      <c r="CI466">
        <v>0</v>
      </c>
      <c r="CJ466">
        <v>4908000</v>
      </c>
      <c r="CN466">
        <v>0</v>
      </c>
      <c r="CO466" t="s">
        <v>3</v>
      </c>
      <c r="CP466" t="s">
        <v>3</v>
      </c>
      <c r="CQ466" t="b">
        <v>1</v>
      </c>
      <c r="CR466" t="s">
        <v>8951</v>
      </c>
      <c r="CS466" t="s">
        <v>1167</v>
      </c>
      <c r="CT466" t="s">
        <v>8960</v>
      </c>
      <c r="CU466" t="s">
        <v>8973</v>
      </c>
      <c r="CV466" t="s">
        <v>6334</v>
      </c>
      <c r="CW466" t="s">
        <v>6652</v>
      </c>
      <c r="CX466" t="s">
        <v>3124</v>
      </c>
      <c r="CY466">
        <v>1.1599999999999966</v>
      </c>
      <c r="CZ466">
        <v>0</v>
      </c>
      <c r="DA466">
        <v>5823850</v>
      </c>
      <c r="DB466" t="s">
        <v>36</v>
      </c>
      <c r="DC466" t="b">
        <v>1</v>
      </c>
      <c r="DD466">
        <v>5827900</v>
      </c>
      <c r="DE466">
        <v>919900</v>
      </c>
      <c r="DF466" t="b">
        <v>1</v>
      </c>
      <c r="DG466" s="420" t="str" cm="1">
        <f t="array" ref="DG466">_xlfn.XLOOKUP("Дом 4"&amp;Реестр_Д4[[#This Row],[№]]&amp;Реестр_Д4[[#This Row],[Статус]],РД[Дом]&amp;РД[№ кв]&amp;РД[Состояние],РД[Дата подачи на регистрацию],"-",0)</f>
        <v>-</v>
      </c>
    </row>
    <row r="467" spans="1:111" x14ac:dyDescent="0.25">
      <c r="A467">
        <v>466</v>
      </c>
      <c r="B467" t="s">
        <v>15</v>
      </c>
      <c r="C467">
        <v>9</v>
      </c>
      <c r="D467">
        <v>2</v>
      </c>
      <c r="E467">
        <v>1</v>
      </c>
      <c r="F467">
        <v>14.29</v>
      </c>
      <c r="I467">
        <v>14.29</v>
      </c>
      <c r="J467">
        <v>12.32</v>
      </c>
      <c r="K467">
        <v>3.72</v>
      </c>
      <c r="N467">
        <v>6.91</v>
      </c>
      <c r="O467">
        <v>2.72</v>
      </c>
      <c r="Q467">
        <v>2.72</v>
      </c>
      <c r="R467">
        <v>39.96</v>
      </c>
      <c r="S467">
        <v>37.24</v>
      </c>
      <c r="T467">
        <v>38.6</v>
      </c>
      <c r="U467">
        <v>39.9</v>
      </c>
      <c r="V467">
        <v>71400</v>
      </c>
      <c r="W467">
        <v>3570</v>
      </c>
      <c r="X467">
        <v>74970</v>
      </c>
      <c r="Y467">
        <v>2998.8</v>
      </c>
      <c r="Z467">
        <v>77968.800000000003</v>
      </c>
      <c r="AA467">
        <v>3898.440000000001</v>
      </c>
      <c r="AB467">
        <v>81867.240000000005</v>
      </c>
      <c r="AC467">
        <v>10.069670520000001</v>
      </c>
      <c r="AD467">
        <v>81877.309670520001</v>
      </c>
      <c r="AE467">
        <v>4093.8654835259999</v>
      </c>
      <c r="AF467">
        <v>85971.175154045995</v>
      </c>
      <c r="AH467">
        <v>85971.175154045995</v>
      </c>
      <c r="AI467">
        <v>2579.1352546213802</v>
      </c>
      <c r="AJ467">
        <v>88550.31040866737</v>
      </c>
      <c r="AK467">
        <v>885.50310408667372</v>
      </c>
      <c r="AL467">
        <v>89435.813512754044</v>
      </c>
      <c r="AM467">
        <v>1788.7162702550809</v>
      </c>
      <c r="AN467">
        <v>91224.529783009129</v>
      </c>
      <c r="AO467">
        <v>1824.4905956601824</v>
      </c>
      <c r="AP467">
        <v>93049.020378669316</v>
      </c>
      <c r="AQ467">
        <v>2791.4706113600796</v>
      </c>
      <c r="AR467">
        <v>95840.490990029415</v>
      </c>
      <c r="AT467">
        <v>95840.490990029415</v>
      </c>
      <c r="AU467">
        <v>2875.2147297008819</v>
      </c>
      <c r="AV467">
        <v>98715.705719730278</v>
      </c>
      <c r="AW467">
        <v>3948.6282287892113</v>
      </c>
      <c r="AX467">
        <v>102664.33394851947</v>
      </c>
      <c r="AZ467">
        <v>102664.33394851947</v>
      </c>
      <c r="BB467">
        <v>102664.33394851947</v>
      </c>
      <c r="BD467">
        <v>102664.33394851947</v>
      </c>
      <c r="BF467">
        <v>102664.33394851947</v>
      </c>
      <c r="BH467">
        <v>102664.33394851947</v>
      </c>
      <c r="BI467">
        <v>5133.2166974259744</v>
      </c>
      <c r="BJ467">
        <v>107797.55064594546</v>
      </c>
      <c r="BL467">
        <v>107797.55064594546</v>
      </c>
      <c r="BN467">
        <v>107797.55064594546</v>
      </c>
      <c r="BP467">
        <v>107797.55064594546</v>
      </c>
      <c r="BR467">
        <v>107797.55064594546</v>
      </c>
      <c r="BT467">
        <v>107797.55064594546</v>
      </c>
      <c r="BV467">
        <v>107797.55064594546</v>
      </c>
      <c r="BX467">
        <v>107797.55064594546</v>
      </c>
      <c r="BY467">
        <v>107797.55</v>
      </c>
      <c r="BZ467">
        <v>4161000</v>
      </c>
      <c r="CB467">
        <v>0.03</v>
      </c>
      <c r="CC467">
        <v>124830</v>
      </c>
      <c r="CD467">
        <v>104563.9896373057</v>
      </c>
      <c r="CE467">
        <v>4036170</v>
      </c>
      <c r="CF467" t="s">
        <v>36</v>
      </c>
      <c r="CH467">
        <v>104563.9896373057</v>
      </c>
      <c r="CI467">
        <v>0</v>
      </c>
      <c r="CJ467">
        <v>4036170</v>
      </c>
      <c r="CL467" t="s">
        <v>978</v>
      </c>
      <c r="CN467">
        <v>0</v>
      </c>
      <c r="CO467" t="s">
        <v>39</v>
      </c>
      <c r="CP467" t="s">
        <v>39</v>
      </c>
      <c r="CQ467" t="b">
        <v>1</v>
      </c>
      <c r="CR467" t="s">
        <v>8950</v>
      </c>
      <c r="CT467" t="s">
        <v>8960</v>
      </c>
      <c r="CU467" t="s">
        <v>8973</v>
      </c>
      <c r="CV467" t="s">
        <v>6335</v>
      </c>
      <c r="CW467" t="s">
        <v>6652</v>
      </c>
      <c r="CX467" t="s">
        <v>3246</v>
      </c>
      <c r="CY467">
        <v>1.2999999999999972</v>
      </c>
      <c r="CZ467">
        <v>135933.18652849711</v>
      </c>
      <c r="DA467">
        <v>4036170</v>
      </c>
      <c r="DB467" t="s">
        <v>36</v>
      </c>
      <c r="DC467" t="b">
        <v>1</v>
      </c>
      <c r="DD467">
        <v>4036170</v>
      </c>
      <c r="DE467">
        <v>0</v>
      </c>
      <c r="DF467" t="b">
        <v>1</v>
      </c>
      <c r="DG467" s="420" cm="1">
        <f t="array" ref="DG467">_xlfn.XLOOKUP("Дом 4"&amp;Реестр_Д4[[#This Row],[№]]&amp;Реестр_Д4[[#This Row],[Статус]],РД[Дом]&amp;РД[№ кв]&amp;РД[Состояние],РД[Дата подачи на регистрацию],"-",0)</f>
        <v>45332</v>
      </c>
    </row>
    <row r="468" spans="1:111" x14ac:dyDescent="0.25">
      <c r="A468">
        <v>467</v>
      </c>
      <c r="B468" t="s">
        <v>15</v>
      </c>
      <c r="C468">
        <v>9</v>
      </c>
      <c r="D468">
        <v>3</v>
      </c>
      <c r="E468">
        <v>3</v>
      </c>
      <c r="F468">
        <v>16.05</v>
      </c>
      <c r="G468">
        <v>11.28</v>
      </c>
      <c r="H468">
        <v>10.82</v>
      </c>
      <c r="I468">
        <v>38.15</v>
      </c>
      <c r="J468">
        <v>17.41</v>
      </c>
      <c r="K468">
        <v>3.81</v>
      </c>
      <c r="L468">
        <v>1.87</v>
      </c>
      <c r="N468">
        <v>11.71</v>
      </c>
      <c r="O468">
        <v>2.65</v>
      </c>
      <c r="Q468">
        <v>2.65</v>
      </c>
      <c r="R468">
        <v>75.599999999999994</v>
      </c>
      <c r="S468">
        <v>72.949999999999989</v>
      </c>
      <c r="T468">
        <v>74.28</v>
      </c>
      <c r="U468">
        <v>75.900000000000006</v>
      </c>
      <c r="V468">
        <v>67737.600000000006</v>
      </c>
      <c r="W468">
        <v>3386.880000000001</v>
      </c>
      <c r="X468">
        <v>71124.48000000001</v>
      </c>
      <c r="Z468">
        <v>71124.48000000001</v>
      </c>
      <c r="AB468">
        <v>71124.48000000001</v>
      </c>
      <c r="AC468">
        <v>8.7483110400000026</v>
      </c>
      <c r="AD468">
        <v>71133.228311040017</v>
      </c>
      <c r="AF468">
        <v>71133.228311040017</v>
      </c>
      <c r="AH468">
        <v>71133.228311040017</v>
      </c>
      <c r="AJ468">
        <v>71133.228311040017</v>
      </c>
      <c r="AL468">
        <v>71133.228311040017</v>
      </c>
      <c r="AN468">
        <v>71133.228311040017</v>
      </c>
      <c r="AP468">
        <v>71133.228311040017</v>
      </c>
      <c r="AR468">
        <v>71133.228311040017</v>
      </c>
      <c r="AT468">
        <v>71133.228311040017</v>
      </c>
      <c r="AV468">
        <v>71133.228311040017</v>
      </c>
      <c r="AX468">
        <v>71133.228311040017</v>
      </c>
      <c r="AZ468">
        <v>71133.228311040017</v>
      </c>
      <c r="BB468">
        <v>71133.228311040017</v>
      </c>
      <c r="BD468">
        <v>71133.228311040017</v>
      </c>
      <c r="BF468">
        <v>71133.228311040017</v>
      </c>
      <c r="BH468">
        <v>71133.228311040017</v>
      </c>
      <c r="BJ468">
        <v>71133.228311040017</v>
      </c>
      <c r="BL468">
        <v>71133.228311040017</v>
      </c>
      <c r="BN468">
        <v>71133.228311040017</v>
      </c>
      <c r="BP468">
        <v>71133.228311040017</v>
      </c>
      <c r="BR468">
        <v>71133.228311040017</v>
      </c>
      <c r="BT468">
        <v>71133.228311040017</v>
      </c>
      <c r="BV468">
        <v>71133.228311040017</v>
      </c>
      <c r="BX468">
        <v>71133.228311040017</v>
      </c>
      <c r="BY468">
        <v>71133.23</v>
      </c>
      <c r="BZ468">
        <v>5283776.32</v>
      </c>
      <c r="CB468">
        <v>0.05</v>
      </c>
      <c r="CC468">
        <v>264188.81600000005</v>
      </c>
      <c r="CD468">
        <v>67576.568389876149</v>
      </c>
      <c r="CE468">
        <v>5019587.5</v>
      </c>
      <c r="CF468" t="s">
        <v>37</v>
      </c>
      <c r="CG468">
        <v>4000</v>
      </c>
      <c r="CH468">
        <v>71576.568389876149</v>
      </c>
      <c r="CI468">
        <v>297120</v>
      </c>
      <c r="CJ468">
        <v>5316707.5</v>
      </c>
      <c r="CK468" t="s">
        <v>57</v>
      </c>
      <c r="CL468" t="s">
        <v>3540</v>
      </c>
      <c r="CN468">
        <v>0</v>
      </c>
      <c r="CO468" t="s">
        <v>39</v>
      </c>
      <c r="CP468" t="s">
        <v>39</v>
      </c>
      <c r="CQ468" t="b">
        <v>1</v>
      </c>
      <c r="CR468" t="s">
        <v>8950</v>
      </c>
      <c r="CT468" t="s">
        <v>8960</v>
      </c>
      <c r="CU468" t="s">
        <v>8990</v>
      </c>
      <c r="CV468" t="s">
        <v>6336</v>
      </c>
      <c r="CW468" t="s">
        <v>4895</v>
      </c>
      <c r="CX468" t="s">
        <v>3246</v>
      </c>
      <c r="CY468">
        <v>1.6200000000000043</v>
      </c>
      <c r="CZ468">
        <v>115954.04079159968</v>
      </c>
      <c r="DA468">
        <v>5316707.5</v>
      </c>
      <c r="DB468" t="s">
        <v>37</v>
      </c>
      <c r="DC468" t="b">
        <v>1</v>
      </c>
      <c r="DD468">
        <v>5316707.5</v>
      </c>
      <c r="DE468">
        <v>0</v>
      </c>
      <c r="DF468" t="b">
        <v>1</v>
      </c>
      <c r="DG468" s="420" cm="1">
        <f t="array" ref="DG468">_xlfn.XLOOKUP("Дом 4"&amp;Реестр_Д4[[#This Row],[№]]&amp;Реестр_Д4[[#This Row],[Статус]],РД[Дом]&amp;РД[№ кв]&amp;РД[Состояние],РД[Дата подачи на регистрацию],"-",0)</f>
        <v>44959</v>
      </c>
    </row>
    <row r="469" spans="1:111" x14ac:dyDescent="0.25">
      <c r="A469">
        <v>468</v>
      </c>
      <c r="B469" t="s">
        <v>15</v>
      </c>
      <c r="C469">
        <v>9</v>
      </c>
      <c r="D469">
        <v>4</v>
      </c>
      <c r="E469">
        <v>1</v>
      </c>
      <c r="F469">
        <v>12.09</v>
      </c>
      <c r="I469">
        <v>12.09</v>
      </c>
      <c r="J469">
        <v>12.26</v>
      </c>
      <c r="K469">
        <v>3.71</v>
      </c>
      <c r="N469">
        <v>7.06</v>
      </c>
      <c r="O469">
        <v>2.75</v>
      </c>
      <c r="Q469">
        <v>2.75</v>
      </c>
      <c r="R469">
        <v>37.869999999999997</v>
      </c>
      <c r="S469">
        <v>35.119999999999997</v>
      </c>
      <c r="T469">
        <v>36.5</v>
      </c>
      <c r="U469">
        <v>37.5</v>
      </c>
      <c r="V469">
        <v>72100</v>
      </c>
      <c r="W469">
        <v>3605</v>
      </c>
      <c r="X469">
        <v>75705</v>
      </c>
      <c r="Y469">
        <v>3028.2000000000003</v>
      </c>
      <c r="Z469">
        <v>78733.2</v>
      </c>
      <c r="AA469">
        <v>3936.66</v>
      </c>
      <c r="AB469">
        <v>82669.86</v>
      </c>
      <c r="AC469">
        <v>10.16839278</v>
      </c>
      <c r="AD469">
        <v>82680.028392780005</v>
      </c>
      <c r="AE469">
        <v>4134.0014196390002</v>
      </c>
      <c r="AF469">
        <v>86814.029812419001</v>
      </c>
      <c r="AG469">
        <v>4340.7014906209506</v>
      </c>
      <c r="AH469">
        <v>91154.731303039953</v>
      </c>
      <c r="AI469">
        <v>2734.6419390911983</v>
      </c>
      <c r="AJ469">
        <v>93889.373242131158</v>
      </c>
      <c r="AK469">
        <v>938.8937324213116</v>
      </c>
      <c r="AL469">
        <v>94828.266974552476</v>
      </c>
      <c r="AM469">
        <v>1896.5653394910496</v>
      </c>
      <c r="AN469">
        <v>96724.832314043524</v>
      </c>
      <c r="AO469">
        <v>1934.4966462808704</v>
      </c>
      <c r="AP469">
        <v>98659.328960324405</v>
      </c>
      <c r="AQ469">
        <v>2959.7798688097314</v>
      </c>
      <c r="AR469">
        <v>101619.10882913411</v>
      </c>
      <c r="AT469">
        <v>101619.10882913411</v>
      </c>
      <c r="AU469">
        <v>3048.5732648740232</v>
      </c>
      <c r="AV469">
        <v>104667.68209400814</v>
      </c>
      <c r="AW469">
        <v>6280.0609256404878</v>
      </c>
      <c r="AX469">
        <v>110947.74301964862</v>
      </c>
      <c r="AZ469">
        <v>110947.74301964862</v>
      </c>
      <c r="BB469">
        <v>110947.74301964862</v>
      </c>
      <c r="BD469">
        <v>110947.74301964862</v>
      </c>
      <c r="BF469">
        <v>110947.74301964862</v>
      </c>
      <c r="BH469">
        <v>110947.74301964862</v>
      </c>
      <c r="BJ469">
        <v>110947.74301964862</v>
      </c>
      <c r="BL469">
        <v>110947.74301964862</v>
      </c>
      <c r="BN469">
        <v>110947.74301964862</v>
      </c>
      <c r="BP469">
        <v>110947.74301964862</v>
      </c>
      <c r="BR469">
        <v>110947.74301964862</v>
      </c>
      <c r="BT469">
        <v>110947.74301964862</v>
      </c>
      <c r="BV469">
        <v>110947.74301964862</v>
      </c>
      <c r="BX469">
        <v>110947.74301964862</v>
      </c>
      <c r="BY469">
        <v>110947.74</v>
      </c>
      <c r="BZ469">
        <v>4049592.51</v>
      </c>
      <c r="CC469">
        <v>0</v>
      </c>
      <c r="CD469">
        <v>110947.74</v>
      </c>
      <c r="CE469">
        <v>4049592.51</v>
      </c>
      <c r="CF469" t="s">
        <v>38</v>
      </c>
      <c r="CG469">
        <v>22000</v>
      </c>
      <c r="CH469">
        <v>132947.74</v>
      </c>
      <c r="CI469">
        <v>803000</v>
      </c>
      <c r="CJ469">
        <v>4852592.51</v>
      </c>
      <c r="CN469">
        <v>0</v>
      </c>
      <c r="CO469" t="s">
        <v>39</v>
      </c>
      <c r="CP469" t="s">
        <v>39</v>
      </c>
      <c r="CQ469" t="b">
        <v>1</v>
      </c>
      <c r="CR469" t="s">
        <v>8950</v>
      </c>
      <c r="CT469" t="s">
        <v>8960</v>
      </c>
      <c r="CU469" t="s">
        <v>8973</v>
      </c>
      <c r="CV469" t="s">
        <v>6337</v>
      </c>
      <c r="CW469" t="s">
        <v>4895</v>
      </c>
      <c r="CX469" t="s">
        <v>3246</v>
      </c>
      <c r="CY469">
        <v>1</v>
      </c>
      <c r="CZ469">
        <v>132947.74</v>
      </c>
      <c r="DA469">
        <v>4852592.51</v>
      </c>
      <c r="DB469" t="s">
        <v>38</v>
      </c>
      <c r="DC469" t="b">
        <v>1</v>
      </c>
      <c r="DD469">
        <v>4852592.51</v>
      </c>
      <c r="DE469">
        <v>0</v>
      </c>
      <c r="DF469" t="b">
        <v>1</v>
      </c>
      <c r="DG469" s="420" cm="1">
        <f t="array" ref="DG469">_xlfn.XLOOKUP("Дом 4"&amp;Реестр_Д4[[#This Row],[№]]&amp;Реестр_Д4[[#This Row],[Статус]],РД[Дом]&amp;РД[№ кв]&amp;РД[Состояние],РД[Дата подачи на регистрацию],"-",0)</f>
        <v>45222</v>
      </c>
    </row>
    <row r="470" spans="1:111" x14ac:dyDescent="0.25">
      <c r="A470">
        <v>469</v>
      </c>
      <c r="B470" t="s">
        <v>15</v>
      </c>
      <c r="C470">
        <v>9</v>
      </c>
      <c r="D470">
        <v>5</v>
      </c>
      <c r="E470">
        <v>2</v>
      </c>
      <c r="F470">
        <v>15.61</v>
      </c>
      <c r="G470">
        <v>12.02</v>
      </c>
      <c r="I470">
        <v>27.63</v>
      </c>
      <c r="J470">
        <v>13.1</v>
      </c>
      <c r="K470">
        <v>3.61</v>
      </c>
      <c r="L470">
        <v>1.82</v>
      </c>
      <c r="N470">
        <v>8.52</v>
      </c>
      <c r="O470">
        <v>2.72</v>
      </c>
      <c r="Q470">
        <v>2.72</v>
      </c>
      <c r="R470">
        <v>57.4</v>
      </c>
      <c r="S470">
        <v>54.68</v>
      </c>
      <c r="T470">
        <v>56.04</v>
      </c>
      <c r="U470">
        <v>57.4</v>
      </c>
      <c r="V470">
        <v>67972.800000000003</v>
      </c>
      <c r="W470">
        <v>3398.6400000000003</v>
      </c>
      <c r="X470">
        <v>71371.44</v>
      </c>
      <c r="Z470">
        <v>71371.44</v>
      </c>
      <c r="AA470">
        <v>3568.5720000000001</v>
      </c>
      <c r="AB470">
        <v>74940.012000000002</v>
      </c>
      <c r="AC470">
        <v>9.2176214760000015</v>
      </c>
      <c r="AD470">
        <v>74949.229621475999</v>
      </c>
      <c r="AF470">
        <v>74949.229621475999</v>
      </c>
      <c r="AH470">
        <v>74949.229621475999</v>
      </c>
      <c r="AJ470">
        <v>74949.229621475999</v>
      </c>
      <c r="AL470">
        <v>74949.229621475999</v>
      </c>
      <c r="AN470">
        <v>74949.229621475999</v>
      </c>
      <c r="AP470">
        <v>74949.229621475999</v>
      </c>
      <c r="AR470">
        <v>74949.229621475999</v>
      </c>
      <c r="AT470">
        <v>74949.229621475999</v>
      </c>
      <c r="AV470">
        <v>74949.229621475999</v>
      </c>
      <c r="AX470">
        <v>74949.229621475999</v>
      </c>
      <c r="AZ470">
        <v>74949.229621475999</v>
      </c>
      <c r="BB470">
        <v>74949.229621475999</v>
      </c>
      <c r="BD470">
        <v>74949.229621475999</v>
      </c>
      <c r="BF470">
        <v>74949.229621475999</v>
      </c>
      <c r="BH470">
        <v>74949.229621475999</v>
      </c>
      <c r="BJ470">
        <v>74949.229621475999</v>
      </c>
      <c r="BL470">
        <v>74949.229621475999</v>
      </c>
      <c r="BN470">
        <v>74949.229621475999</v>
      </c>
      <c r="BP470">
        <v>74949.229621475999</v>
      </c>
      <c r="BR470">
        <v>74949.229621475999</v>
      </c>
      <c r="BT470">
        <v>74949.229621475999</v>
      </c>
      <c r="BV470">
        <v>74949.229621475999</v>
      </c>
      <c r="BX470">
        <v>74949.229621475999</v>
      </c>
      <c r="BY470">
        <v>74949.23</v>
      </c>
      <c r="BZ470">
        <v>4200154.8499999996</v>
      </c>
      <c r="CA470">
        <v>40000</v>
      </c>
      <c r="CC470">
        <v>40000</v>
      </c>
      <c r="CD470">
        <v>74235.454139900074</v>
      </c>
      <c r="CE470">
        <v>4160154.85</v>
      </c>
      <c r="CF470" t="s">
        <v>37</v>
      </c>
      <c r="CG470">
        <v>4000</v>
      </c>
      <c r="CH470">
        <v>78235.454139900074</v>
      </c>
      <c r="CI470">
        <v>224159.99999999953</v>
      </c>
      <c r="CJ470">
        <v>4384314.8499999996</v>
      </c>
      <c r="CL470" t="s">
        <v>3566</v>
      </c>
      <c r="CN470">
        <v>0</v>
      </c>
      <c r="CO470" t="s">
        <v>39</v>
      </c>
      <c r="CP470" t="s">
        <v>39</v>
      </c>
      <c r="CQ470" t="b">
        <v>1</v>
      </c>
      <c r="CR470" t="s">
        <v>8950</v>
      </c>
      <c r="CT470" t="s">
        <v>8960</v>
      </c>
      <c r="CU470" t="s">
        <v>8974</v>
      </c>
      <c r="CV470" t="s">
        <v>6338</v>
      </c>
      <c r="CW470" t="s">
        <v>4895</v>
      </c>
      <c r="CX470" t="s">
        <v>3246</v>
      </c>
      <c r="CY470">
        <v>1.3599999999999994</v>
      </c>
      <c r="CZ470">
        <v>106400.21763026406</v>
      </c>
      <c r="DA470">
        <v>4384314.8499999996</v>
      </c>
      <c r="DB470" t="s">
        <v>37</v>
      </c>
      <c r="DC470" t="b">
        <v>1</v>
      </c>
      <c r="DD470">
        <v>4384314.8499999996</v>
      </c>
      <c r="DE470">
        <v>0</v>
      </c>
      <c r="DF470" t="b">
        <v>1</v>
      </c>
      <c r="DG470" s="420" cm="1">
        <f t="array" ref="DG470">_xlfn.XLOOKUP("Дом 4"&amp;Реестр_Д4[[#This Row],[№]]&amp;Реестр_Д4[[#This Row],[Статус]],РД[Дом]&amp;РД[№ кв]&amp;РД[Состояние],РД[Дата подачи на регистрацию],"-",0)</f>
        <v>44985</v>
      </c>
    </row>
    <row r="471" spans="1:111" x14ac:dyDescent="0.25">
      <c r="A471">
        <v>470</v>
      </c>
      <c r="B471" t="s">
        <v>15</v>
      </c>
      <c r="C471">
        <v>9</v>
      </c>
      <c r="D471">
        <v>6</v>
      </c>
      <c r="E471">
        <v>2</v>
      </c>
      <c r="F471">
        <v>15.61</v>
      </c>
      <c r="G471">
        <v>9.66</v>
      </c>
      <c r="I471">
        <v>25.27</v>
      </c>
      <c r="J471">
        <v>16.53</v>
      </c>
      <c r="K471">
        <v>3.63</v>
      </c>
      <c r="L471">
        <v>2.21</v>
      </c>
      <c r="N471">
        <v>9.6199999999999992</v>
      </c>
      <c r="O471">
        <v>2.72</v>
      </c>
      <c r="Q471">
        <v>2.72</v>
      </c>
      <c r="R471">
        <v>59.98</v>
      </c>
      <c r="S471">
        <v>57.26</v>
      </c>
      <c r="T471">
        <v>58.62</v>
      </c>
      <c r="U471">
        <v>60.7</v>
      </c>
      <c r="V471">
        <v>68639.199999999997</v>
      </c>
      <c r="W471">
        <v>3431.96</v>
      </c>
      <c r="X471">
        <v>72071.16</v>
      </c>
      <c r="Z471">
        <v>72071.16</v>
      </c>
      <c r="AA471">
        <v>3603.558</v>
      </c>
      <c r="AB471">
        <v>75674.717999999993</v>
      </c>
      <c r="AC471">
        <v>9.3079903140000013</v>
      </c>
      <c r="AD471">
        <v>75684.02599031401</v>
      </c>
      <c r="AF471">
        <v>75684.02599031401</v>
      </c>
      <c r="AH471">
        <v>75684.02599031401</v>
      </c>
      <c r="AI471">
        <v>1513.6805198062802</v>
      </c>
      <c r="AJ471">
        <v>77197.70651012029</v>
      </c>
      <c r="AK471">
        <v>771.97706510120292</v>
      </c>
      <c r="AL471">
        <v>77969.683575221497</v>
      </c>
      <c r="AM471">
        <v>1559.3936715044299</v>
      </c>
      <c r="AN471">
        <v>79529.077246725923</v>
      </c>
      <c r="AO471">
        <v>2385.8723174017778</v>
      </c>
      <c r="AP471">
        <v>81914.949564127703</v>
      </c>
      <c r="AQ471">
        <v>2457.4484869238308</v>
      </c>
      <c r="AR471">
        <v>84372.398051051539</v>
      </c>
      <c r="AS471">
        <v>4218.6199025525775</v>
      </c>
      <c r="AT471">
        <v>88591.017953604111</v>
      </c>
      <c r="AU471">
        <v>2657.7305386081234</v>
      </c>
      <c r="AV471">
        <v>91248.748492212238</v>
      </c>
      <c r="AX471">
        <v>91248.748492212238</v>
      </c>
      <c r="AZ471">
        <v>91248.748492212238</v>
      </c>
      <c r="BB471">
        <v>91248.748492212238</v>
      </c>
      <c r="BD471">
        <v>91248.748492212238</v>
      </c>
      <c r="BF471">
        <v>91248.748492212238</v>
      </c>
      <c r="BH471">
        <v>91248.748492212238</v>
      </c>
      <c r="BI471">
        <v>4562.4374246106117</v>
      </c>
      <c r="BJ471">
        <v>95811.185916822855</v>
      </c>
      <c r="BL471">
        <v>95811.185916822855</v>
      </c>
      <c r="BM471">
        <v>1916.2237183364573</v>
      </c>
      <c r="BN471">
        <v>97727.409635159318</v>
      </c>
      <c r="BO471">
        <v>4886.3704817579664</v>
      </c>
      <c r="BP471">
        <v>102613.78011691727</v>
      </c>
      <c r="BQ471">
        <v>500</v>
      </c>
      <c r="BR471">
        <v>103113.78011691727</v>
      </c>
      <c r="BT471">
        <v>103113.78011691727</v>
      </c>
      <c r="BV471">
        <v>103113.78011691727</v>
      </c>
      <c r="BX471">
        <v>103113.78011691727</v>
      </c>
      <c r="BY471">
        <v>103113.78</v>
      </c>
      <c r="BZ471">
        <v>6044600</v>
      </c>
      <c r="CC471">
        <v>0</v>
      </c>
      <c r="CD471">
        <v>103114.97782326852</v>
      </c>
      <c r="CE471">
        <v>6044600</v>
      </c>
      <c r="CF471" t="s">
        <v>37</v>
      </c>
      <c r="CG471">
        <v>7500</v>
      </c>
      <c r="CH471">
        <v>110614.97782326852</v>
      </c>
      <c r="CI471">
        <v>439650</v>
      </c>
      <c r="CJ471">
        <v>6484250</v>
      </c>
      <c r="CN471">
        <v>0</v>
      </c>
      <c r="CO471" t="s">
        <v>39</v>
      </c>
      <c r="CP471" t="s">
        <v>39</v>
      </c>
      <c r="CQ471" t="b">
        <v>1</v>
      </c>
      <c r="CR471" t="s">
        <v>8950</v>
      </c>
      <c r="CT471" t="s">
        <v>8960</v>
      </c>
      <c r="CU471" t="s">
        <v>8971</v>
      </c>
      <c r="CV471" t="s">
        <v>6339</v>
      </c>
      <c r="CW471" t="s">
        <v>6652</v>
      </c>
      <c r="CX471" t="s">
        <v>3246</v>
      </c>
      <c r="CY471">
        <v>2.0799999999999983</v>
      </c>
      <c r="CZ471">
        <v>230079.15387239831</v>
      </c>
      <c r="DA471">
        <v>6484250</v>
      </c>
      <c r="DB471" t="s">
        <v>37</v>
      </c>
      <c r="DC471" t="b">
        <v>1</v>
      </c>
      <c r="DD471">
        <v>6484250</v>
      </c>
      <c r="DE471">
        <v>0</v>
      </c>
      <c r="DF471" t="b">
        <v>1</v>
      </c>
      <c r="DG471" s="420" cm="1">
        <f t="array" ref="DG471">_xlfn.XLOOKUP("Дом 4"&amp;Реестр_Д4[[#This Row],[№]]&amp;Реестр_Д4[[#This Row],[Статус]],РД[Дом]&amp;РД[№ кв]&amp;РД[Состояние],РД[Дата подачи на регистрацию],"-",0)</f>
        <v>45527</v>
      </c>
    </row>
    <row r="472" spans="1:111" x14ac:dyDescent="0.25">
      <c r="A472">
        <v>471</v>
      </c>
      <c r="B472" t="s">
        <v>15</v>
      </c>
      <c r="C472">
        <v>9</v>
      </c>
      <c r="D472">
        <v>7</v>
      </c>
      <c r="E472">
        <v>2</v>
      </c>
      <c r="F472">
        <v>11.83</v>
      </c>
      <c r="G472">
        <v>11.4</v>
      </c>
      <c r="I472">
        <v>23.23</v>
      </c>
      <c r="J472">
        <v>27.16</v>
      </c>
      <c r="K472">
        <v>5.28</v>
      </c>
      <c r="L472">
        <v>1.75</v>
      </c>
      <c r="N472">
        <v>8.67</v>
      </c>
      <c r="O472">
        <v>2.8</v>
      </c>
      <c r="Q472">
        <v>2.8</v>
      </c>
      <c r="R472">
        <v>68.89</v>
      </c>
      <c r="S472">
        <v>66.09</v>
      </c>
      <c r="T472">
        <v>67.489999999999995</v>
      </c>
      <c r="U472">
        <v>69.099999999999994</v>
      </c>
      <c r="V472">
        <v>71971.199999999997</v>
      </c>
      <c r="W472">
        <v>3598.56</v>
      </c>
      <c r="X472">
        <v>75569.759999999995</v>
      </c>
      <c r="Z472">
        <v>75569.759999999995</v>
      </c>
      <c r="AA472">
        <v>3778.4879999999998</v>
      </c>
      <c r="AB472">
        <v>79348.248000000007</v>
      </c>
      <c r="AC472">
        <v>9.7598345040000005</v>
      </c>
      <c r="AD472">
        <v>79358.007834503995</v>
      </c>
      <c r="AF472">
        <v>79358.007834503995</v>
      </c>
      <c r="AH472">
        <v>79358.007834503995</v>
      </c>
      <c r="AI472">
        <v>1587.1601566900799</v>
      </c>
      <c r="AJ472">
        <v>80945.167991194074</v>
      </c>
      <c r="AK472">
        <v>2428.3550397358222</v>
      </c>
      <c r="AL472">
        <v>83373.523030929893</v>
      </c>
      <c r="AM472">
        <v>3334.9409212371957</v>
      </c>
      <c r="AN472">
        <v>86708.463952167091</v>
      </c>
      <c r="AP472">
        <v>86708.463952167091</v>
      </c>
      <c r="AQ472">
        <v>2601.253918565013</v>
      </c>
      <c r="AR472">
        <v>89309.7178707321</v>
      </c>
      <c r="AT472">
        <v>89309.7178707321</v>
      </c>
      <c r="AU472">
        <v>2679.291536121963</v>
      </c>
      <c r="AV472">
        <v>91989.009406854064</v>
      </c>
      <c r="AX472">
        <v>91989.009406854064</v>
      </c>
      <c r="AZ472">
        <v>91989.009406854064</v>
      </c>
      <c r="BB472">
        <v>91989.009406854064</v>
      </c>
      <c r="BD472">
        <v>91989.009406854064</v>
      </c>
      <c r="BF472">
        <v>91989.009406854064</v>
      </c>
      <c r="BH472">
        <v>91989.009406854064</v>
      </c>
      <c r="BJ472">
        <v>91989.009406854064</v>
      </c>
      <c r="BL472">
        <v>91989.009406854064</v>
      </c>
      <c r="BN472">
        <v>91989.009406854064</v>
      </c>
      <c r="BP472">
        <v>91989.009406854064</v>
      </c>
      <c r="BR472">
        <v>91989.009406854064</v>
      </c>
      <c r="BT472">
        <v>91989.009406854064</v>
      </c>
      <c r="BV472">
        <v>91989.009406854064</v>
      </c>
      <c r="BX472">
        <v>91989.009406854064</v>
      </c>
      <c r="BY472">
        <v>91989.01</v>
      </c>
      <c r="BZ472">
        <v>6208400</v>
      </c>
      <c r="CA472">
        <v>303705</v>
      </c>
      <c r="CC472">
        <v>303705</v>
      </c>
      <c r="CD472">
        <v>87489.924433249369</v>
      </c>
      <c r="CE472">
        <v>5904695</v>
      </c>
      <c r="CF472" t="s">
        <v>37</v>
      </c>
      <c r="CG472">
        <v>7500</v>
      </c>
      <c r="CH472">
        <v>94989.924433249369</v>
      </c>
      <c r="CI472">
        <v>506175</v>
      </c>
      <c r="CJ472">
        <v>6410870</v>
      </c>
      <c r="CK472" t="s">
        <v>57</v>
      </c>
      <c r="CL472" t="s">
        <v>6925</v>
      </c>
      <c r="CN472">
        <v>0</v>
      </c>
      <c r="CO472" t="s">
        <v>39</v>
      </c>
      <c r="CP472" t="s">
        <v>39</v>
      </c>
      <c r="CQ472" t="b">
        <v>1</v>
      </c>
      <c r="CR472" t="s">
        <v>8950</v>
      </c>
      <c r="CT472" t="s">
        <v>8960</v>
      </c>
      <c r="CU472" t="s">
        <v>8971</v>
      </c>
      <c r="CV472" t="s">
        <v>6340</v>
      </c>
      <c r="CW472" t="s">
        <v>6652</v>
      </c>
      <c r="CX472" t="s">
        <v>3246</v>
      </c>
      <c r="CY472">
        <v>1.6099999999999994</v>
      </c>
      <c r="CZ472">
        <v>152933.77833753146</v>
      </c>
      <c r="DA472">
        <v>6410870</v>
      </c>
      <c r="DB472" t="s">
        <v>37</v>
      </c>
      <c r="DC472" t="b">
        <v>1</v>
      </c>
      <c r="DD472">
        <v>6410870</v>
      </c>
      <c r="DE472">
        <v>0</v>
      </c>
      <c r="DF472" t="b">
        <v>1</v>
      </c>
      <c r="DG472" s="420" cm="1">
        <f t="array" ref="DG472">_xlfn.XLOOKUP("Дом 4"&amp;Реестр_Д4[[#This Row],[№]]&amp;Реестр_Д4[[#This Row],[Статус]],РД[Дом]&amp;РД[№ кв]&amp;РД[Состояние],РД[Дата подачи на регистрацию],"-",0)</f>
        <v>45280</v>
      </c>
    </row>
    <row r="473" spans="1:111" x14ac:dyDescent="0.25">
      <c r="A473">
        <v>472</v>
      </c>
      <c r="B473" t="s">
        <v>15</v>
      </c>
      <c r="C473">
        <v>9</v>
      </c>
      <c r="D473">
        <v>8</v>
      </c>
      <c r="E473">
        <v>2</v>
      </c>
      <c r="F473">
        <v>17.25</v>
      </c>
      <c r="G473">
        <v>14.07</v>
      </c>
      <c r="I473">
        <v>31.32</v>
      </c>
      <c r="J473">
        <v>14.23</v>
      </c>
      <c r="K473">
        <v>3.81</v>
      </c>
      <c r="L473">
        <v>1.75</v>
      </c>
      <c r="N473">
        <v>11.07</v>
      </c>
      <c r="O473">
        <v>3.12</v>
      </c>
      <c r="Q473">
        <v>3.12</v>
      </c>
      <c r="R473">
        <v>65.3</v>
      </c>
      <c r="S473">
        <v>62.18</v>
      </c>
      <c r="T473">
        <v>63.74</v>
      </c>
      <c r="U473">
        <v>65.3</v>
      </c>
      <c r="V473">
        <v>68639.199999999997</v>
      </c>
      <c r="W473">
        <v>3431.96</v>
      </c>
      <c r="X473">
        <v>72071.16</v>
      </c>
      <c r="Z473">
        <v>72071.16</v>
      </c>
      <c r="AA473">
        <v>3603.558</v>
      </c>
      <c r="AB473">
        <v>75674.717999999993</v>
      </c>
      <c r="AC473">
        <v>9.3079903140000013</v>
      </c>
      <c r="AD473">
        <v>75684.02599031401</v>
      </c>
      <c r="AF473">
        <v>75684.02599031401</v>
      </c>
      <c r="AH473">
        <v>75684.02599031401</v>
      </c>
      <c r="AI473">
        <v>1513.6805198062802</v>
      </c>
      <c r="AJ473">
        <v>77197.70651012029</v>
      </c>
      <c r="AK473">
        <v>771.97706510120292</v>
      </c>
      <c r="AL473">
        <v>77969.683575221497</v>
      </c>
      <c r="AM473">
        <v>1559.3936715044299</v>
      </c>
      <c r="AN473">
        <v>79529.077246725923</v>
      </c>
      <c r="AP473">
        <v>79529.077246725923</v>
      </c>
      <c r="AR473">
        <v>79529.077246725923</v>
      </c>
      <c r="AT473">
        <v>79529.077246725923</v>
      </c>
      <c r="AV473">
        <v>79529.077246725923</v>
      </c>
      <c r="AX473">
        <v>79529.077246725923</v>
      </c>
      <c r="AZ473">
        <v>79529.077246725923</v>
      </c>
      <c r="BB473">
        <v>79529.077246725923</v>
      </c>
      <c r="BD473">
        <v>79529.077246725923</v>
      </c>
      <c r="BF473">
        <v>79529.077246725923</v>
      </c>
      <c r="BH473">
        <v>79529.077246725923</v>
      </c>
      <c r="BJ473">
        <v>79529.077246725923</v>
      </c>
      <c r="BL473">
        <v>79529.077246725923</v>
      </c>
      <c r="BN473">
        <v>79529.077246725923</v>
      </c>
      <c r="BP473">
        <v>79529.077246725923</v>
      </c>
      <c r="BR473">
        <v>79529.077246725923</v>
      </c>
      <c r="BT473">
        <v>79529.077246725923</v>
      </c>
      <c r="BV473">
        <v>79529.077246725923</v>
      </c>
      <c r="BX473">
        <v>79529.077246725923</v>
      </c>
      <c r="BY473">
        <v>79529.08</v>
      </c>
      <c r="BZ473">
        <v>5069183.5599999996</v>
      </c>
      <c r="CA473">
        <v>254960</v>
      </c>
      <c r="CC473">
        <v>254960</v>
      </c>
      <c r="CD473">
        <v>75529.080012550985</v>
      </c>
      <c r="CE473">
        <v>4814223.5599999996</v>
      </c>
      <c r="CF473" t="s">
        <v>37</v>
      </c>
      <c r="CG473">
        <v>4000</v>
      </c>
      <c r="CH473">
        <v>79529.080012550985</v>
      </c>
      <c r="CI473">
        <v>254960</v>
      </c>
      <c r="CJ473">
        <v>5069183.5599999996</v>
      </c>
      <c r="CL473" t="s">
        <v>4839</v>
      </c>
      <c r="CN473">
        <v>0</v>
      </c>
      <c r="CO473" t="s">
        <v>39</v>
      </c>
      <c r="CP473" t="s">
        <v>39</v>
      </c>
      <c r="CQ473" t="b">
        <v>1</v>
      </c>
      <c r="CR473" t="s">
        <v>8950</v>
      </c>
      <c r="CT473" t="s">
        <v>8960</v>
      </c>
      <c r="CU473" t="s">
        <v>8971</v>
      </c>
      <c r="CV473" t="s">
        <v>6341</v>
      </c>
      <c r="CW473" t="s">
        <v>4895</v>
      </c>
      <c r="CX473" t="s">
        <v>3246</v>
      </c>
      <c r="CY473">
        <v>1.5599999999999952</v>
      </c>
      <c r="CZ473">
        <v>124065.36481957916</v>
      </c>
      <c r="DA473">
        <v>5069183.5599999996</v>
      </c>
      <c r="DB473" t="s">
        <v>37</v>
      </c>
      <c r="DC473" t="b">
        <v>1</v>
      </c>
      <c r="DD473">
        <v>5069183.5599999996</v>
      </c>
      <c r="DE473">
        <v>0</v>
      </c>
      <c r="DF473" t="b">
        <v>1</v>
      </c>
      <c r="DG473" s="420" cm="1">
        <f t="array" ref="DG473">_xlfn.XLOOKUP("Дом 4"&amp;Реестр_Д4[[#This Row],[№]]&amp;Реестр_Д4[[#This Row],[Статус]],РД[Дом]&amp;РД[№ кв]&amp;РД[Состояние],РД[Дата подачи на регистрацию],"-",0)</f>
        <v>45098</v>
      </c>
    </row>
    <row r="474" spans="1:111" x14ac:dyDescent="0.25">
      <c r="A474">
        <v>473</v>
      </c>
      <c r="B474" t="s">
        <v>15</v>
      </c>
      <c r="C474">
        <v>9</v>
      </c>
      <c r="D474">
        <v>9</v>
      </c>
      <c r="E474">
        <v>1</v>
      </c>
      <c r="F474">
        <v>16.46</v>
      </c>
      <c r="I474">
        <v>16.46</v>
      </c>
      <c r="J474">
        <v>14.25</v>
      </c>
      <c r="K474">
        <v>3.92</v>
      </c>
      <c r="N474">
        <v>8.2200000000000006</v>
      </c>
      <c r="O474">
        <v>3.03</v>
      </c>
      <c r="Q474">
        <v>3.03</v>
      </c>
      <c r="R474">
        <v>45.88</v>
      </c>
      <c r="S474">
        <v>42.85</v>
      </c>
      <c r="T474">
        <v>44.37</v>
      </c>
      <c r="U474">
        <v>45.8</v>
      </c>
      <c r="V474">
        <v>72100</v>
      </c>
      <c r="W474">
        <v>3605</v>
      </c>
      <c r="X474">
        <v>75705</v>
      </c>
      <c r="Z474">
        <v>75705</v>
      </c>
      <c r="AA474">
        <v>3785.25</v>
      </c>
      <c r="AB474">
        <v>79490.25</v>
      </c>
      <c r="AC474">
        <v>9.7773007500000002</v>
      </c>
      <c r="AD474">
        <v>79500.027300750007</v>
      </c>
      <c r="AE474">
        <v>3975.0013650375008</v>
      </c>
      <c r="AF474">
        <v>83475.028665787511</v>
      </c>
      <c r="AH474">
        <v>83475.028665787511</v>
      </c>
      <c r="AI474">
        <v>2504.2508599736252</v>
      </c>
      <c r="AJ474">
        <v>85979.279525761129</v>
      </c>
      <c r="AK474">
        <v>859.79279525761149</v>
      </c>
      <c r="AL474">
        <v>86839.072321018757</v>
      </c>
      <c r="AN474">
        <v>86839.072321018757</v>
      </c>
      <c r="AP474">
        <v>86839.072321018757</v>
      </c>
      <c r="AR474">
        <v>86839.072321018757</v>
      </c>
      <c r="AT474">
        <v>86839.072321018757</v>
      </c>
      <c r="AV474">
        <v>86839.072321018757</v>
      </c>
      <c r="AX474">
        <v>86839.072321018757</v>
      </c>
      <c r="AZ474">
        <v>86839.072321018757</v>
      </c>
      <c r="BB474">
        <v>86839.072321018757</v>
      </c>
      <c r="BD474">
        <v>86839.072321018757</v>
      </c>
      <c r="BF474">
        <v>86839.072321018757</v>
      </c>
      <c r="BH474">
        <v>86839.072321018757</v>
      </c>
      <c r="BJ474">
        <v>86839.072321018757</v>
      </c>
      <c r="BL474">
        <v>86839.072321018757</v>
      </c>
      <c r="BN474">
        <v>86839.072321018757</v>
      </c>
      <c r="BP474">
        <v>86839.072321018757</v>
      </c>
      <c r="BR474">
        <v>86839.072321018757</v>
      </c>
      <c r="BT474">
        <v>86839.072321018757</v>
      </c>
      <c r="BV474">
        <v>86839.072321018757</v>
      </c>
      <c r="BX474">
        <v>86839.072321018757</v>
      </c>
      <c r="BY474">
        <v>86839.07</v>
      </c>
      <c r="BZ474">
        <v>3853049.54</v>
      </c>
      <c r="CA474">
        <v>177480</v>
      </c>
      <c r="CC474">
        <v>177480</v>
      </c>
      <c r="CD474">
        <v>82839.070092404785</v>
      </c>
      <c r="CE474">
        <v>3675569.54</v>
      </c>
      <c r="CF474" t="s">
        <v>37</v>
      </c>
      <c r="CG474">
        <v>4000</v>
      </c>
      <c r="CH474">
        <v>86839.070092404785</v>
      </c>
      <c r="CI474">
        <v>177480</v>
      </c>
      <c r="CJ474">
        <v>3853049.54</v>
      </c>
      <c r="CL474" t="s">
        <v>4838</v>
      </c>
      <c r="CN474">
        <v>0</v>
      </c>
      <c r="CO474" t="s">
        <v>39</v>
      </c>
      <c r="CP474" t="s">
        <v>39</v>
      </c>
      <c r="CQ474" t="b">
        <v>1</v>
      </c>
      <c r="CR474" t="s">
        <v>8950</v>
      </c>
      <c r="CT474" t="s">
        <v>8960</v>
      </c>
      <c r="CU474" t="s">
        <v>8972</v>
      </c>
      <c r="CV474" t="s">
        <v>6342</v>
      </c>
      <c r="CW474" t="s">
        <v>4895</v>
      </c>
      <c r="CX474" t="s">
        <v>3246</v>
      </c>
      <c r="CY474">
        <v>1.4299999999999995</v>
      </c>
      <c r="CZ474">
        <v>124179.8702321388</v>
      </c>
      <c r="DA474">
        <v>3853049.54</v>
      </c>
      <c r="DB474" t="s">
        <v>37</v>
      </c>
      <c r="DC474" t="b">
        <v>1</v>
      </c>
      <c r="DD474">
        <v>3853049.54</v>
      </c>
      <c r="DE474">
        <v>0</v>
      </c>
      <c r="DF474" t="b">
        <v>1</v>
      </c>
      <c r="DG474" s="420" cm="1">
        <f t="array" ref="DG474">_xlfn.XLOOKUP("Дом 4"&amp;Реестр_Д4[[#This Row],[№]]&amp;Реестр_Д4[[#This Row],[Статус]],РД[Дом]&amp;РД[№ кв]&amp;РД[Состояние],РД[Дата подачи на регистрацию],"-",0)</f>
        <v>45035</v>
      </c>
    </row>
    <row r="475" spans="1:111" x14ac:dyDescent="0.25">
      <c r="A475">
        <v>474</v>
      </c>
      <c r="B475" t="s">
        <v>15</v>
      </c>
      <c r="C475">
        <v>10</v>
      </c>
      <c r="D475">
        <v>1</v>
      </c>
      <c r="E475">
        <v>1</v>
      </c>
      <c r="F475">
        <v>14.05</v>
      </c>
      <c r="I475">
        <v>14.05</v>
      </c>
      <c r="J475">
        <v>12.32</v>
      </c>
      <c r="K475">
        <v>3.87</v>
      </c>
      <c r="N475">
        <v>8.14</v>
      </c>
      <c r="O475">
        <v>2.72</v>
      </c>
      <c r="Q475">
        <v>2.72</v>
      </c>
      <c r="R475">
        <v>41.1</v>
      </c>
      <c r="S475">
        <v>38.380000000000003</v>
      </c>
      <c r="T475">
        <v>39.74</v>
      </c>
      <c r="U475">
        <v>40.700000000000003</v>
      </c>
      <c r="V475">
        <v>71400</v>
      </c>
      <c r="W475">
        <v>3570</v>
      </c>
      <c r="X475">
        <v>74970</v>
      </c>
      <c r="Y475">
        <v>2998.8</v>
      </c>
      <c r="Z475">
        <v>77968.800000000003</v>
      </c>
      <c r="AA475">
        <v>3898.440000000001</v>
      </c>
      <c r="AB475">
        <v>81867.240000000005</v>
      </c>
      <c r="AC475">
        <v>10.069670520000001</v>
      </c>
      <c r="AD475">
        <v>81877.309670520001</v>
      </c>
      <c r="AE475">
        <v>4093.8654835259999</v>
      </c>
      <c r="AF475">
        <v>85971.175154045995</v>
      </c>
      <c r="AH475">
        <v>85971.175154045995</v>
      </c>
      <c r="AI475">
        <v>2579.1352546213802</v>
      </c>
      <c r="AJ475">
        <v>88550.31040866737</v>
      </c>
      <c r="AK475">
        <v>885.50310408667372</v>
      </c>
      <c r="AL475">
        <v>89435.813512754044</v>
      </c>
      <c r="AN475">
        <v>89435.813512754044</v>
      </c>
      <c r="AP475">
        <v>89435.813512754044</v>
      </c>
      <c r="AR475">
        <v>89435.813512754044</v>
      </c>
      <c r="AT475">
        <v>89435.813512754044</v>
      </c>
      <c r="AV475">
        <v>89435.813512754044</v>
      </c>
      <c r="AX475">
        <v>89435.813512754044</v>
      </c>
      <c r="AZ475">
        <v>89435.813512754044</v>
      </c>
      <c r="BB475">
        <v>89435.813512754044</v>
      </c>
      <c r="BD475">
        <v>89435.813512754044</v>
      </c>
      <c r="BF475">
        <v>89435.813512754044</v>
      </c>
      <c r="BH475">
        <v>89435.813512754044</v>
      </c>
      <c r="BJ475">
        <v>89435.813512754044</v>
      </c>
      <c r="BL475">
        <v>89435.813512754044</v>
      </c>
      <c r="BN475">
        <v>89435.813512754044</v>
      </c>
      <c r="BP475">
        <v>89435.813512754044</v>
      </c>
      <c r="BR475">
        <v>89435.813512754044</v>
      </c>
      <c r="BT475">
        <v>89435.813512754044</v>
      </c>
      <c r="BV475">
        <v>89435.813512754044</v>
      </c>
      <c r="BX475">
        <v>89435.813512754044</v>
      </c>
      <c r="BY475">
        <v>89435.81</v>
      </c>
      <c r="BZ475">
        <v>3554179.09</v>
      </c>
      <c r="CA475">
        <v>30000</v>
      </c>
      <c r="CC475">
        <v>30000</v>
      </c>
      <c r="CD475">
        <v>88680.90312028183</v>
      </c>
      <c r="CE475">
        <v>3524179.09</v>
      </c>
      <c r="CF475" t="s">
        <v>37</v>
      </c>
      <c r="CG475">
        <v>4000</v>
      </c>
      <c r="CH475">
        <v>92680.903120281844</v>
      </c>
      <c r="CI475">
        <v>158960</v>
      </c>
      <c r="CJ475">
        <v>3683139.09</v>
      </c>
      <c r="CL475" t="s">
        <v>3566</v>
      </c>
      <c r="CN475">
        <v>0</v>
      </c>
      <c r="CO475" t="s">
        <v>39</v>
      </c>
      <c r="CP475" t="s">
        <v>39</v>
      </c>
      <c r="CQ475" t="b">
        <v>1</v>
      </c>
      <c r="CR475" t="s">
        <v>8950</v>
      </c>
      <c r="CT475" t="s">
        <v>8960</v>
      </c>
      <c r="CU475" t="s">
        <v>8973</v>
      </c>
      <c r="CV475" t="s">
        <v>6343</v>
      </c>
      <c r="CW475" t="s">
        <v>4895</v>
      </c>
      <c r="CX475" t="s">
        <v>3246</v>
      </c>
      <c r="CY475">
        <v>0.95999999999999375</v>
      </c>
      <c r="CZ475">
        <v>88973.66699546999</v>
      </c>
      <c r="DA475">
        <v>3683139.09</v>
      </c>
      <c r="DB475" t="s">
        <v>37</v>
      </c>
      <c r="DC475" t="b">
        <v>1</v>
      </c>
      <c r="DD475">
        <v>3683139.09</v>
      </c>
      <c r="DE475">
        <v>0</v>
      </c>
      <c r="DF475" t="b">
        <v>1</v>
      </c>
      <c r="DG475" s="420" cm="1">
        <f t="array" ref="DG475">_xlfn.XLOOKUP("Дом 4"&amp;Реестр_Д4[[#This Row],[№]]&amp;Реестр_Д4[[#This Row],[Статус]],РД[Дом]&amp;РД[№ кв]&amp;РД[Состояние],РД[Дата подачи на регистрацию],"-",0)</f>
        <v>45021</v>
      </c>
    </row>
    <row r="476" spans="1:111" x14ac:dyDescent="0.25">
      <c r="A476">
        <v>475</v>
      </c>
      <c r="B476" t="s">
        <v>15</v>
      </c>
      <c r="C476">
        <v>10</v>
      </c>
      <c r="D476">
        <v>2</v>
      </c>
      <c r="E476">
        <v>1</v>
      </c>
      <c r="F476">
        <v>14.29</v>
      </c>
      <c r="I476">
        <v>14.29</v>
      </c>
      <c r="J476">
        <v>12.32</v>
      </c>
      <c r="K476">
        <v>3.72</v>
      </c>
      <c r="N476">
        <v>6.91</v>
      </c>
      <c r="O476">
        <v>2.72</v>
      </c>
      <c r="Q476">
        <v>2.72</v>
      </c>
      <c r="R476">
        <v>39.96</v>
      </c>
      <c r="S476">
        <v>37.24</v>
      </c>
      <c r="T476">
        <v>38.6</v>
      </c>
      <c r="U476">
        <v>39.799999999999997</v>
      </c>
      <c r="V476">
        <v>71400</v>
      </c>
      <c r="W476">
        <v>3570</v>
      </c>
      <c r="X476">
        <v>74970</v>
      </c>
      <c r="Y476">
        <v>2998.8</v>
      </c>
      <c r="Z476">
        <v>77968.800000000003</v>
      </c>
      <c r="AA476">
        <v>3898.440000000001</v>
      </c>
      <c r="AB476">
        <v>81867.240000000005</v>
      </c>
      <c r="AC476">
        <v>10.069670520000001</v>
      </c>
      <c r="AD476">
        <v>81877.309670520001</v>
      </c>
      <c r="AE476">
        <v>4093.8654835259999</v>
      </c>
      <c r="AF476">
        <v>85971.175154045995</v>
      </c>
      <c r="AH476">
        <v>85971.175154045995</v>
      </c>
      <c r="AI476">
        <v>2579.1352546213802</v>
      </c>
      <c r="AJ476">
        <v>88550.31040866737</v>
      </c>
      <c r="AK476">
        <v>885.50310408667372</v>
      </c>
      <c r="AL476">
        <v>89435.813512754044</v>
      </c>
      <c r="AM476">
        <v>1788.7162702550809</v>
      </c>
      <c r="AN476">
        <v>91224.529783009129</v>
      </c>
      <c r="AO476">
        <v>1824.4905956601824</v>
      </c>
      <c r="AP476">
        <v>93049.020378669316</v>
      </c>
      <c r="AQ476">
        <v>2791.4706113600796</v>
      </c>
      <c r="AR476">
        <v>95840.490990029415</v>
      </c>
      <c r="AT476">
        <v>95840.490990029415</v>
      </c>
      <c r="AV476">
        <v>95840.490990029415</v>
      </c>
      <c r="AX476">
        <v>95840.490990029415</v>
      </c>
      <c r="AZ476">
        <v>95840.490990029415</v>
      </c>
      <c r="BB476">
        <v>95840.490990029415</v>
      </c>
      <c r="BD476">
        <v>95840.490990029415</v>
      </c>
      <c r="BF476">
        <v>95840.490990029415</v>
      </c>
      <c r="BH476">
        <v>95840.490990029415</v>
      </c>
      <c r="BJ476">
        <v>95840.490990029415</v>
      </c>
      <c r="BL476">
        <v>95840.490990029415</v>
      </c>
      <c r="BN476">
        <v>95840.490990029415</v>
      </c>
      <c r="BP476">
        <v>95840.490990029415</v>
      </c>
      <c r="BR476">
        <v>95840.490990029415</v>
      </c>
      <c r="BT476">
        <v>95840.490990029415</v>
      </c>
      <c r="BV476">
        <v>95840.490990029415</v>
      </c>
      <c r="BX476">
        <v>95840.490990029415</v>
      </c>
      <c r="BY476">
        <v>95840.49</v>
      </c>
      <c r="BZ476">
        <v>3699442.91</v>
      </c>
      <c r="CC476">
        <v>0</v>
      </c>
      <c r="CD476">
        <v>95840.489896373052</v>
      </c>
      <c r="CE476">
        <v>3699442.91</v>
      </c>
      <c r="CF476" t="s">
        <v>38</v>
      </c>
      <c r="CG476">
        <v>15500</v>
      </c>
      <c r="CH476">
        <v>111340.48989637304</v>
      </c>
      <c r="CI476">
        <v>598300</v>
      </c>
      <c r="CJ476">
        <v>4297742.91</v>
      </c>
      <c r="CN476">
        <v>0</v>
      </c>
      <c r="CO476" t="s">
        <v>39</v>
      </c>
      <c r="CP476" t="s">
        <v>39</v>
      </c>
      <c r="CQ476" t="b">
        <v>1</v>
      </c>
      <c r="CR476" t="s">
        <v>8950</v>
      </c>
      <c r="CT476" t="s">
        <v>8960</v>
      </c>
      <c r="CU476" t="s">
        <v>8973</v>
      </c>
      <c r="CV476" t="s">
        <v>6344</v>
      </c>
      <c r="CW476" t="s">
        <v>4895</v>
      </c>
      <c r="CX476" t="s">
        <v>3246</v>
      </c>
      <c r="CY476">
        <v>1.1999999999999955</v>
      </c>
      <c r="CZ476">
        <v>133608.58787564718</v>
      </c>
      <c r="DA476">
        <v>4297742.91</v>
      </c>
      <c r="DB476" t="s">
        <v>38</v>
      </c>
      <c r="DC476" t="b">
        <v>1</v>
      </c>
      <c r="DD476">
        <v>4297742.91</v>
      </c>
      <c r="DE476">
        <v>0</v>
      </c>
      <c r="DF476" t="b">
        <v>1</v>
      </c>
      <c r="DG476" s="420" cm="1">
        <f t="array" ref="DG476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477" spans="1:111" x14ac:dyDescent="0.25">
      <c r="A477">
        <v>476</v>
      </c>
      <c r="B477" t="s">
        <v>15</v>
      </c>
      <c r="C477">
        <v>10</v>
      </c>
      <c r="D477">
        <v>3</v>
      </c>
      <c r="E477">
        <v>3</v>
      </c>
      <c r="F477">
        <v>16.05</v>
      </c>
      <c r="G477">
        <v>11.28</v>
      </c>
      <c r="H477">
        <v>10.82</v>
      </c>
      <c r="I477">
        <v>38.15</v>
      </c>
      <c r="J477">
        <v>17.41</v>
      </c>
      <c r="K477">
        <v>3.81</v>
      </c>
      <c r="L477">
        <v>1.87</v>
      </c>
      <c r="N477">
        <v>11.71</v>
      </c>
      <c r="O477">
        <v>2.65</v>
      </c>
      <c r="Q477">
        <v>2.65</v>
      </c>
      <c r="R477">
        <v>75.599999999999994</v>
      </c>
      <c r="S477">
        <v>72.949999999999989</v>
      </c>
      <c r="T477">
        <v>74.28</v>
      </c>
      <c r="U477">
        <v>75.900000000000006</v>
      </c>
      <c r="V477">
        <v>67737.600000000006</v>
      </c>
      <c r="W477">
        <v>3386.880000000001</v>
      </c>
      <c r="X477">
        <v>71124.48000000001</v>
      </c>
      <c r="Z477">
        <v>71124.48000000001</v>
      </c>
      <c r="AB477">
        <v>71124.48000000001</v>
      </c>
      <c r="AC477">
        <v>8.7483110400000026</v>
      </c>
      <c r="AD477">
        <v>71133.228311040017</v>
      </c>
      <c r="AF477">
        <v>71133.228311040017</v>
      </c>
      <c r="AH477">
        <v>71133.228311040017</v>
      </c>
      <c r="AI477">
        <v>2133.9968493312003</v>
      </c>
      <c r="AJ477">
        <v>73267.225160371221</v>
      </c>
      <c r="AK477">
        <v>2198.0167548111367</v>
      </c>
      <c r="AL477">
        <v>75465.241915182356</v>
      </c>
      <c r="AN477">
        <v>75465.241915182356</v>
      </c>
      <c r="AP477">
        <v>75465.241915182356</v>
      </c>
      <c r="AR477">
        <v>75465.241915182356</v>
      </c>
      <c r="AT477">
        <v>75465.241915182356</v>
      </c>
      <c r="AV477">
        <v>75465.241915182356</v>
      </c>
      <c r="AX477">
        <v>75465.241915182356</v>
      </c>
      <c r="AZ477">
        <v>75465.241915182356</v>
      </c>
      <c r="BB477">
        <v>75465.241915182356</v>
      </c>
      <c r="BD477">
        <v>75465.241915182356</v>
      </c>
      <c r="BF477">
        <v>75465.241915182356</v>
      </c>
      <c r="BH477">
        <v>75465.241915182356</v>
      </c>
      <c r="BJ477">
        <v>75465.241915182356</v>
      </c>
      <c r="BL477">
        <v>75465.241915182356</v>
      </c>
      <c r="BN477">
        <v>75465.241915182356</v>
      </c>
      <c r="BP477">
        <v>75465.241915182356</v>
      </c>
      <c r="BR477">
        <v>75465.241915182356</v>
      </c>
      <c r="BT477">
        <v>75465.241915182356</v>
      </c>
      <c r="BV477">
        <v>75465.241915182356</v>
      </c>
      <c r="BX477">
        <v>75465.241915182356</v>
      </c>
      <c r="BY477">
        <v>75465.240000000005</v>
      </c>
      <c r="BZ477">
        <v>5605558.0300000003</v>
      </c>
      <c r="CC477">
        <v>0</v>
      </c>
      <c r="CD477">
        <v>75465.240037695214</v>
      </c>
      <c r="CE477">
        <v>5605558.0300000003</v>
      </c>
      <c r="CF477" t="s">
        <v>37</v>
      </c>
      <c r="CG477">
        <v>4000</v>
      </c>
      <c r="CH477">
        <v>79465.240037695214</v>
      </c>
      <c r="CI477">
        <v>297120</v>
      </c>
      <c r="CJ477">
        <v>5902678.0300000003</v>
      </c>
      <c r="CK477" t="s">
        <v>57</v>
      </c>
      <c r="CN477">
        <v>0</v>
      </c>
      <c r="CO477" t="s">
        <v>39</v>
      </c>
      <c r="CP477" t="s">
        <v>39</v>
      </c>
      <c r="CQ477" t="b">
        <v>1</v>
      </c>
      <c r="CR477" t="s">
        <v>8950</v>
      </c>
      <c r="CT477" t="s">
        <v>8960</v>
      </c>
      <c r="CU477" t="s">
        <v>8990</v>
      </c>
      <c r="CV477" t="s">
        <v>6345</v>
      </c>
      <c r="CW477" t="s">
        <v>4895</v>
      </c>
      <c r="CX477" t="s">
        <v>3246</v>
      </c>
      <c r="CY477">
        <v>1.6200000000000043</v>
      </c>
      <c r="CZ477">
        <v>128733.68886106661</v>
      </c>
      <c r="DA477">
        <v>5902678.0300000003</v>
      </c>
      <c r="DB477" t="s">
        <v>37</v>
      </c>
      <c r="DC477" t="b">
        <v>1</v>
      </c>
      <c r="DD477">
        <v>5902678.0300000003</v>
      </c>
      <c r="DE477">
        <v>0</v>
      </c>
      <c r="DF477" t="b">
        <v>1</v>
      </c>
      <c r="DG477" s="420" cm="1">
        <f t="array" ref="DG477">_xlfn.XLOOKUP("Дом 4"&amp;Реестр_Д4[[#This Row],[№]]&amp;Реестр_Д4[[#This Row],[Статус]],РД[Дом]&amp;РД[№ кв]&amp;РД[Состояние],РД[Дата подачи на регистрацию],"-",0)</f>
        <v>45023</v>
      </c>
    </row>
    <row r="478" spans="1:111" x14ac:dyDescent="0.25">
      <c r="A478">
        <v>477</v>
      </c>
      <c r="B478" t="s">
        <v>15</v>
      </c>
      <c r="C478">
        <v>10</v>
      </c>
      <c r="D478">
        <v>4</v>
      </c>
      <c r="E478">
        <v>1</v>
      </c>
      <c r="F478">
        <v>12.09</v>
      </c>
      <c r="I478">
        <v>12.09</v>
      </c>
      <c r="J478">
        <v>12.26</v>
      </c>
      <c r="K478">
        <v>3.71</v>
      </c>
      <c r="N478">
        <v>7.06</v>
      </c>
      <c r="O478">
        <v>2.75</v>
      </c>
      <c r="Q478">
        <v>2.75</v>
      </c>
      <c r="R478">
        <v>37.869999999999997</v>
      </c>
      <c r="S478">
        <v>35.119999999999997</v>
      </c>
      <c r="T478">
        <v>36.5</v>
      </c>
      <c r="U478">
        <v>37.9</v>
      </c>
      <c r="V478">
        <v>72100</v>
      </c>
      <c r="W478">
        <v>3605</v>
      </c>
      <c r="X478">
        <v>75705</v>
      </c>
      <c r="Y478">
        <v>3028.2000000000003</v>
      </c>
      <c r="Z478">
        <v>78733.2</v>
      </c>
      <c r="AA478">
        <v>3936.66</v>
      </c>
      <c r="AB478">
        <v>82669.86</v>
      </c>
      <c r="AC478">
        <v>10.16839278</v>
      </c>
      <c r="AD478">
        <v>82680.028392780005</v>
      </c>
      <c r="AE478">
        <v>4134.0014196390002</v>
      </c>
      <c r="AF478">
        <v>86814.029812419001</v>
      </c>
      <c r="AG478">
        <v>4340.7014906209506</v>
      </c>
      <c r="AH478">
        <v>91154.731303039953</v>
      </c>
      <c r="AI478">
        <v>2734.6419390911983</v>
      </c>
      <c r="AJ478">
        <v>93889.373242131158</v>
      </c>
      <c r="AK478">
        <v>938.8937324213116</v>
      </c>
      <c r="AL478">
        <v>94828.266974552476</v>
      </c>
      <c r="AM478">
        <v>1896.5653394910496</v>
      </c>
      <c r="AN478">
        <v>96724.832314043524</v>
      </c>
      <c r="AO478">
        <v>1934.4966462808704</v>
      </c>
      <c r="AP478">
        <v>98659.328960324405</v>
      </c>
      <c r="AQ478">
        <v>2959.7798688097314</v>
      </c>
      <c r="AR478">
        <v>101619.10882913411</v>
      </c>
      <c r="AT478">
        <v>101619.10882913411</v>
      </c>
      <c r="AU478">
        <v>3048.5732648740232</v>
      </c>
      <c r="AV478">
        <v>104667.68209400814</v>
      </c>
      <c r="AW478">
        <v>6280.0609256404878</v>
      </c>
      <c r="AX478">
        <v>110947.74301964862</v>
      </c>
      <c r="AZ478">
        <v>110947.74301964862</v>
      </c>
      <c r="BB478">
        <v>110947.74301964862</v>
      </c>
      <c r="BD478">
        <v>110947.74301964862</v>
      </c>
      <c r="BF478">
        <v>110947.74301964862</v>
      </c>
      <c r="BH478">
        <v>110947.74301964862</v>
      </c>
      <c r="BJ478">
        <v>110947.74301964862</v>
      </c>
      <c r="BL478">
        <v>110947.74301964862</v>
      </c>
      <c r="BN478">
        <v>110947.74301964862</v>
      </c>
      <c r="BP478">
        <v>110947.74301964862</v>
      </c>
      <c r="BR478">
        <v>110947.74301964862</v>
      </c>
      <c r="BT478">
        <v>110947.74301964862</v>
      </c>
      <c r="BV478">
        <v>110947.74301964862</v>
      </c>
      <c r="BX478">
        <v>110947.74301964862</v>
      </c>
      <c r="BY478">
        <v>110947.74</v>
      </c>
      <c r="BZ478">
        <v>4049600</v>
      </c>
      <c r="CB478">
        <v>0.05</v>
      </c>
      <c r="CC478">
        <v>202480</v>
      </c>
      <c r="CD478">
        <v>105400.54794520549</v>
      </c>
      <c r="CE478">
        <v>3847120</v>
      </c>
      <c r="CF478" t="s">
        <v>36</v>
      </c>
      <c r="CH478">
        <v>105400.54794520549</v>
      </c>
      <c r="CI478">
        <v>0</v>
      </c>
      <c r="CJ478">
        <v>3847120</v>
      </c>
      <c r="CL478" t="s">
        <v>978</v>
      </c>
      <c r="CN478">
        <v>0</v>
      </c>
      <c r="CO478" t="s">
        <v>39</v>
      </c>
      <c r="CP478" t="s">
        <v>39</v>
      </c>
      <c r="CQ478" t="b">
        <v>1</v>
      </c>
      <c r="CR478" t="s">
        <v>8950</v>
      </c>
      <c r="CT478" t="s">
        <v>8960</v>
      </c>
      <c r="CU478" t="s">
        <v>8973</v>
      </c>
      <c r="CV478" t="s">
        <v>6346</v>
      </c>
      <c r="CW478" t="s">
        <v>6652</v>
      </c>
      <c r="CX478" t="s">
        <v>3246</v>
      </c>
      <c r="CY478">
        <v>1.3999999999999986</v>
      </c>
      <c r="CZ478">
        <v>147560.76712328754</v>
      </c>
      <c r="DA478">
        <v>3847120</v>
      </c>
      <c r="DB478" t="s">
        <v>36</v>
      </c>
      <c r="DC478" t="b">
        <v>1</v>
      </c>
      <c r="DD478">
        <v>3847120</v>
      </c>
      <c r="DE478">
        <v>0</v>
      </c>
      <c r="DF478" t="b">
        <v>1</v>
      </c>
      <c r="DG478" s="420" cm="1">
        <f t="array" ref="DG478">_xlfn.XLOOKUP("Дом 4"&amp;Реестр_Д4[[#This Row],[№]]&amp;Реестр_Д4[[#This Row],[Статус]],РД[Дом]&amp;РД[№ кв]&amp;РД[Состояние],РД[Дата подачи на регистрацию],"-",0)</f>
        <v>45288</v>
      </c>
    </row>
    <row r="479" spans="1:111" x14ac:dyDescent="0.25">
      <c r="A479">
        <v>478</v>
      </c>
      <c r="B479" t="s">
        <v>15</v>
      </c>
      <c r="C479">
        <v>10</v>
      </c>
      <c r="D479">
        <v>5</v>
      </c>
      <c r="E479">
        <v>2</v>
      </c>
      <c r="F479">
        <v>15.61</v>
      </c>
      <c r="G479">
        <v>12.02</v>
      </c>
      <c r="I479">
        <v>27.63</v>
      </c>
      <c r="J479">
        <v>13.1</v>
      </c>
      <c r="K479">
        <v>3.61</v>
      </c>
      <c r="L479">
        <v>1.82</v>
      </c>
      <c r="N479">
        <v>8.52</v>
      </c>
      <c r="O479">
        <v>2.72</v>
      </c>
      <c r="Q479">
        <v>2.72</v>
      </c>
      <c r="R479">
        <v>57.4</v>
      </c>
      <c r="S479">
        <v>54.68</v>
      </c>
      <c r="T479">
        <v>56.04</v>
      </c>
      <c r="U479">
        <v>57.7</v>
      </c>
      <c r="V479">
        <v>67972.800000000003</v>
      </c>
      <c r="W479">
        <v>3398.6400000000003</v>
      </c>
      <c r="X479">
        <v>71371.44</v>
      </c>
      <c r="Z479">
        <v>71371.44</v>
      </c>
      <c r="AA479">
        <v>3568.5720000000001</v>
      </c>
      <c r="AB479">
        <v>74940.012000000002</v>
      </c>
      <c r="AC479">
        <v>9.2176214760000015</v>
      </c>
      <c r="AD479">
        <v>74949.229621475999</v>
      </c>
      <c r="AF479">
        <v>74949.229621475999</v>
      </c>
      <c r="AH479">
        <v>74949.229621475999</v>
      </c>
      <c r="AI479">
        <v>1498.98459242952</v>
      </c>
      <c r="AJ479">
        <v>76448.214213905521</v>
      </c>
      <c r="AK479">
        <v>764.48214213905521</v>
      </c>
      <c r="AL479">
        <v>77212.696356044573</v>
      </c>
      <c r="AN479">
        <v>77212.696356044573</v>
      </c>
      <c r="AP479">
        <v>77212.696356044573</v>
      </c>
      <c r="AR479">
        <v>77212.696356044573</v>
      </c>
      <c r="AT479">
        <v>77212.696356044573</v>
      </c>
      <c r="AV479">
        <v>77212.696356044573</v>
      </c>
      <c r="AX479">
        <v>77212.696356044573</v>
      </c>
      <c r="AZ479">
        <v>77212.696356044573</v>
      </c>
      <c r="BB479">
        <v>77212.696356044573</v>
      </c>
      <c r="BD479">
        <v>77212.696356044573</v>
      </c>
      <c r="BF479">
        <v>77212.696356044573</v>
      </c>
      <c r="BH479">
        <v>77212.696356044573</v>
      </c>
      <c r="BJ479">
        <v>77212.696356044573</v>
      </c>
      <c r="BL479">
        <v>77212.696356044573</v>
      </c>
      <c r="BN479">
        <v>77212.696356044573</v>
      </c>
      <c r="BP479">
        <v>77212.696356044573</v>
      </c>
      <c r="BR479">
        <v>77212.696356044573</v>
      </c>
      <c r="BT479">
        <v>77212.696356044573</v>
      </c>
      <c r="BV479">
        <v>77212.696356044573</v>
      </c>
      <c r="BX479">
        <v>77212.696356044573</v>
      </c>
      <c r="BY479">
        <v>77212.7</v>
      </c>
      <c r="BZ479">
        <v>4326999.71</v>
      </c>
      <c r="CC479">
        <v>0</v>
      </c>
      <c r="CD479">
        <v>77212.700035688787</v>
      </c>
      <c r="CE479">
        <v>4326999.71</v>
      </c>
      <c r="CF479" t="s">
        <v>37</v>
      </c>
      <c r="CG479">
        <v>4000</v>
      </c>
      <c r="CH479">
        <v>81212.700035688787</v>
      </c>
      <c r="CI479">
        <v>224160</v>
      </c>
      <c r="CJ479">
        <v>4551159.71</v>
      </c>
      <c r="CN479">
        <v>0</v>
      </c>
      <c r="CO479" t="s">
        <v>39</v>
      </c>
      <c r="CP479" t="s">
        <v>39</v>
      </c>
      <c r="CQ479" t="b">
        <v>1</v>
      </c>
      <c r="CR479" t="s">
        <v>8950</v>
      </c>
      <c r="CT479" t="s">
        <v>8960</v>
      </c>
      <c r="CU479" t="s">
        <v>8974</v>
      </c>
      <c r="CV479" t="s">
        <v>6347</v>
      </c>
      <c r="CW479" t="s">
        <v>4895</v>
      </c>
      <c r="CX479" t="s">
        <v>3246</v>
      </c>
      <c r="CY479">
        <v>1.6599999999999966</v>
      </c>
      <c r="CZ479">
        <v>134813.08205924311</v>
      </c>
      <c r="DA479">
        <v>4551159.71</v>
      </c>
      <c r="DB479" t="s">
        <v>37</v>
      </c>
      <c r="DC479" t="b">
        <v>1</v>
      </c>
      <c r="DD479">
        <v>4551159.71</v>
      </c>
      <c r="DE479">
        <v>0</v>
      </c>
      <c r="DF479" t="b">
        <v>1</v>
      </c>
      <c r="DG479" s="420" cm="1">
        <f t="array" ref="DG479">_xlfn.XLOOKUP("Дом 4"&amp;Реестр_Д4[[#This Row],[№]]&amp;Реестр_Д4[[#This Row],[Статус]],РД[Дом]&amp;РД[№ кв]&amp;РД[Состояние],РД[Дата подачи на регистрацию],"-",0)</f>
        <v>45027</v>
      </c>
    </row>
    <row r="480" spans="1:111" x14ac:dyDescent="0.25">
      <c r="A480">
        <v>479</v>
      </c>
      <c r="B480" t="s">
        <v>15</v>
      </c>
      <c r="C480">
        <v>10</v>
      </c>
      <c r="D480">
        <v>6</v>
      </c>
      <c r="E480">
        <v>2</v>
      </c>
      <c r="F480">
        <v>15.61</v>
      </c>
      <c r="G480">
        <v>9.66</v>
      </c>
      <c r="I480">
        <v>25.27</v>
      </c>
      <c r="J480">
        <v>16.53</v>
      </c>
      <c r="K480">
        <v>3.63</v>
      </c>
      <c r="L480">
        <v>2.21</v>
      </c>
      <c r="N480">
        <v>9.6199999999999992</v>
      </c>
      <c r="O480">
        <v>2.72</v>
      </c>
      <c r="Q480">
        <v>2.72</v>
      </c>
      <c r="R480">
        <v>59.98</v>
      </c>
      <c r="S480">
        <v>57.26</v>
      </c>
      <c r="T480">
        <v>58.62</v>
      </c>
      <c r="U480">
        <v>60.7</v>
      </c>
      <c r="V480">
        <v>68639.199999999997</v>
      </c>
      <c r="W480">
        <v>3431.96</v>
      </c>
      <c r="X480">
        <v>72071.16</v>
      </c>
      <c r="Z480">
        <v>72071.16</v>
      </c>
      <c r="AA480">
        <v>3603.558</v>
      </c>
      <c r="AB480">
        <v>75674.717999999993</v>
      </c>
      <c r="AC480">
        <v>9.3079903140000013</v>
      </c>
      <c r="AD480">
        <v>75684.02599031401</v>
      </c>
      <c r="AF480">
        <v>75684.02599031401</v>
      </c>
      <c r="AH480">
        <v>75684.02599031401</v>
      </c>
      <c r="AJ480">
        <v>75684.02599031401</v>
      </c>
      <c r="AL480">
        <v>75684.02599031401</v>
      </c>
      <c r="AN480">
        <v>75684.02599031401</v>
      </c>
      <c r="AP480">
        <v>75684.02599031401</v>
      </c>
      <c r="AR480">
        <v>75684.02599031401</v>
      </c>
      <c r="AT480">
        <v>75684.02599031401</v>
      </c>
      <c r="AV480">
        <v>75684.02599031401</v>
      </c>
      <c r="AX480">
        <v>75684.02599031401</v>
      </c>
      <c r="AZ480">
        <v>75684.02599031401</v>
      </c>
      <c r="BB480">
        <v>75684.02599031401</v>
      </c>
      <c r="BD480">
        <v>75684.02599031401</v>
      </c>
      <c r="BF480">
        <v>75684.02599031401</v>
      </c>
      <c r="BH480">
        <v>75684.02599031401</v>
      </c>
      <c r="BJ480">
        <v>75684.02599031401</v>
      </c>
      <c r="BL480">
        <v>75684.02599031401</v>
      </c>
      <c r="BN480">
        <v>75684.02599031401</v>
      </c>
      <c r="BP480">
        <v>75684.02599031401</v>
      </c>
      <c r="BR480">
        <v>75684.02599031401</v>
      </c>
      <c r="BT480">
        <v>75684.02599031401</v>
      </c>
      <c r="BV480">
        <v>75684.02599031401</v>
      </c>
      <c r="BX480">
        <v>75684.02599031401</v>
      </c>
      <c r="BY480">
        <v>75684.03</v>
      </c>
      <c r="BZ480">
        <v>4436597.84</v>
      </c>
      <c r="CA480">
        <v>201312.89199999999</v>
      </c>
      <c r="CC480">
        <v>201312.89199999999</v>
      </c>
      <c r="CD480">
        <v>72249.828556806562</v>
      </c>
      <c r="CE480">
        <v>4235284.95</v>
      </c>
      <c r="CF480" t="s">
        <v>38</v>
      </c>
      <c r="CG480">
        <v>15000</v>
      </c>
      <c r="CH480">
        <v>87249.828556806562</v>
      </c>
      <c r="CI480">
        <v>879300</v>
      </c>
      <c r="CJ480">
        <v>5114584.95</v>
      </c>
      <c r="CL480" t="s">
        <v>3540</v>
      </c>
      <c r="CN480">
        <v>0</v>
      </c>
      <c r="CO480" t="s">
        <v>39</v>
      </c>
      <c r="CP480" t="s">
        <v>39</v>
      </c>
      <c r="CQ480" t="b">
        <v>1</v>
      </c>
      <c r="CR480" t="s">
        <v>8950</v>
      </c>
      <c r="CT480" t="s">
        <v>8960</v>
      </c>
      <c r="CU480" t="s">
        <v>8971</v>
      </c>
      <c r="CV480" t="s">
        <v>6348</v>
      </c>
      <c r="CW480" t="s">
        <v>4895</v>
      </c>
      <c r="CX480" t="s">
        <v>3246</v>
      </c>
      <c r="CY480">
        <v>2.0800000000000054</v>
      </c>
      <c r="CZ480">
        <v>181479.64339815811</v>
      </c>
      <c r="DA480">
        <v>5114584.95</v>
      </c>
      <c r="DB480" t="s">
        <v>38</v>
      </c>
      <c r="DC480" t="b">
        <v>1</v>
      </c>
      <c r="DD480">
        <v>5114584.95</v>
      </c>
      <c r="DE480">
        <v>0</v>
      </c>
      <c r="DF480" t="b">
        <v>1</v>
      </c>
      <c r="DG480" s="420" cm="1">
        <f t="array" ref="DG480">_xlfn.XLOOKUP("Дом 4"&amp;Реестр_Д4[[#This Row],[№]]&amp;Реестр_Д4[[#This Row],[Статус]],РД[Дом]&amp;РД[№ кв]&amp;РД[Состояние],РД[Дата подачи на регистрацию],"-",0)</f>
        <v>44911</v>
      </c>
    </row>
    <row r="481" spans="1:111" x14ac:dyDescent="0.25">
      <c r="A481">
        <v>480</v>
      </c>
      <c r="B481" t="s">
        <v>15</v>
      </c>
      <c r="C481">
        <v>10</v>
      </c>
      <c r="D481">
        <v>7</v>
      </c>
      <c r="E481">
        <v>2</v>
      </c>
      <c r="F481">
        <v>11.83</v>
      </c>
      <c r="G481">
        <v>11.4</v>
      </c>
      <c r="I481">
        <v>23.23</v>
      </c>
      <c r="J481">
        <v>27.16</v>
      </c>
      <c r="K481">
        <v>5.28</v>
      </c>
      <c r="L481">
        <v>1.75</v>
      </c>
      <c r="N481">
        <v>8.67</v>
      </c>
      <c r="O481">
        <v>2.8</v>
      </c>
      <c r="Q481">
        <v>2.8</v>
      </c>
      <c r="R481">
        <v>68.89</v>
      </c>
      <c r="S481">
        <v>66.09</v>
      </c>
      <c r="T481">
        <v>67.489999999999995</v>
      </c>
      <c r="U481">
        <v>69.5</v>
      </c>
      <c r="V481">
        <v>71971.199999999997</v>
      </c>
      <c r="W481">
        <v>3598.56</v>
      </c>
      <c r="X481">
        <v>75569.759999999995</v>
      </c>
      <c r="Z481">
        <v>75569.759999999995</v>
      </c>
      <c r="AA481">
        <v>3778.4879999999998</v>
      </c>
      <c r="AB481">
        <v>79348.248000000007</v>
      </c>
      <c r="AC481">
        <v>9.7598345040000005</v>
      </c>
      <c r="AD481">
        <v>79358.007834503995</v>
      </c>
      <c r="AF481">
        <v>79358.007834503995</v>
      </c>
      <c r="AH481">
        <v>79358.007834503995</v>
      </c>
      <c r="AI481">
        <v>1587.1601566900799</v>
      </c>
      <c r="AJ481">
        <v>80945.167991194074</v>
      </c>
      <c r="AK481">
        <v>2428.3550397358222</v>
      </c>
      <c r="AL481">
        <v>83373.523030929893</v>
      </c>
      <c r="AM481">
        <v>3334.9409212371957</v>
      </c>
      <c r="AN481">
        <v>86708.463952167091</v>
      </c>
      <c r="AP481">
        <v>86708.463952167091</v>
      </c>
      <c r="AQ481">
        <v>2601.253918565013</v>
      </c>
      <c r="AR481">
        <v>89309.7178707321</v>
      </c>
      <c r="AT481">
        <v>89309.7178707321</v>
      </c>
      <c r="AV481">
        <v>89309.7178707321</v>
      </c>
      <c r="AX481">
        <v>89309.7178707321</v>
      </c>
      <c r="AZ481">
        <v>89309.7178707321</v>
      </c>
      <c r="BB481">
        <v>89309.7178707321</v>
      </c>
      <c r="BD481">
        <v>89309.7178707321</v>
      </c>
      <c r="BF481">
        <v>89309.7178707321</v>
      </c>
      <c r="BH481">
        <v>89309.7178707321</v>
      </c>
      <c r="BJ481">
        <v>89309.7178707321</v>
      </c>
      <c r="BL481">
        <v>89309.7178707321</v>
      </c>
      <c r="BN481">
        <v>89309.7178707321</v>
      </c>
      <c r="BP481">
        <v>89309.7178707321</v>
      </c>
      <c r="BR481">
        <v>89309.7178707321</v>
      </c>
      <c r="BT481">
        <v>89309.7178707321</v>
      </c>
      <c r="BV481">
        <v>89309.7178707321</v>
      </c>
      <c r="BX481">
        <v>89309.7178707321</v>
      </c>
      <c r="BY481">
        <v>89309.72</v>
      </c>
      <c r="BZ481">
        <v>6027513</v>
      </c>
      <c r="CA481">
        <v>269960</v>
      </c>
      <c r="CC481">
        <v>269960</v>
      </c>
      <c r="CD481">
        <v>85309.719958512374</v>
      </c>
      <c r="CE481">
        <v>5757553</v>
      </c>
      <c r="CF481" t="s">
        <v>37</v>
      </c>
      <c r="CG481">
        <v>4000</v>
      </c>
      <c r="CH481">
        <v>89309.719958512374</v>
      </c>
      <c r="CI481">
        <v>269960</v>
      </c>
      <c r="CJ481">
        <v>6027513</v>
      </c>
      <c r="CK481" t="s">
        <v>57</v>
      </c>
      <c r="CL481" t="s">
        <v>4837</v>
      </c>
      <c r="CN481">
        <v>0</v>
      </c>
      <c r="CO481" t="s">
        <v>39</v>
      </c>
      <c r="CP481" t="s">
        <v>39</v>
      </c>
      <c r="CQ481" t="b">
        <v>1</v>
      </c>
      <c r="CR481" t="s">
        <v>8950</v>
      </c>
      <c r="CT481" t="s">
        <v>8960</v>
      </c>
      <c r="CU481" t="s">
        <v>8971</v>
      </c>
      <c r="CV481" t="s">
        <v>6349</v>
      </c>
      <c r="CW481" t="s">
        <v>4895</v>
      </c>
      <c r="CX481" t="s">
        <v>3246</v>
      </c>
      <c r="CY481">
        <v>2.0100000000000051</v>
      </c>
      <c r="CZ481">
        <v>179512.53711661033</v>
      </c>
      <c r="DA481">
        <v>6027513</v>
      </c>
      <c r="DB481" t="s">
        <v>37</v>
      </c>
      <c r="DC481" t="b">
        <v>1</v>
      </c>
      <c r="DD481">
        <v>6027513</v>
      </c>
      <c r="DE481">
        <v>0</v>
      </c>
      <c r="DF481" t="b">
        <v>1</v>
      </c>
      <c r="DG481" s="420" cm="1">
        <f t="array" ref="DG481">_xlfn.XLOOKUP("Дом 4"&amp;Реестр_Д4[[#This Row],[№]]&amp;Реестр_Д4[[#This Row],[Статус]],РД[Дом]&amp;РД[№ кв]&amp;РД[Состояние],РД[Дата подачи на регистрацию],"-",0)</f>
        <v>45138</v>
      </c>
    </row>
    <row r="482" spans="1:111" x14ac:dyDescent="0.25">
      <c r="A482">
        <v>481</v>
      </c>
      <c r="B482" t="s">
        <v>15</v>
      </c>
      <c r="C482">
        <v>10</v>
      </c>
      <c r="D482">
        <v>8</v>
      </c>
      <c r="E482">
        <v>2</v>
      </c>
      <c r="F482">
        <v>17.25</v>
      </c>
      <c r="G482">
        <v>14.07</v>
      </c>
      <c r="I482">
        <v>31.32</v>
      </c>
      <c r="J482">
        <v>14.23</v>
      </c>
      <c r="K482">
        <v>3.81</v>
      </c>
      <c r="L482">
        <v>1.75</v>
      </c>
      <c r="N482">
        <v>11.07</v>
      </c>
      <c r="O482">
        <v>3.12</v>
      </c>
      <c r="Q482">
        <v>3.12</v>
      </c>
      <c r="R482">
        <v>65.3</v>
      </c>
      <c r="S482">
        <v>62.18</v>
      </c>
      <c r="T482">
        <v>63.74</v>
      </c>
      <c r="U482">
        <v>65</v>
      </c>
      <c r="V482">
        <v>68639.199999999997</v>
      </c>
      <c r="W482">
        <v>3431.96</v>
      </c>
      <c r="X482">
        <v>72071.16</v>
      </c>
      <c r="Z482">
        <v>72071.16</v>
      </c>
      <c r="AA482">
        <v>3603.558</v>
      </c>
      <c r="AB482">
        <v>75674.717999999993</v>
      </c>
      <c r="AC482">
        <v>9.3079903140000013</v>
      </c>
      <c r="AD482">
        <v>75684.02599031401</v>
      </c>
      <c r="AF482">
        <v>75684.02599031401</v>
      </c>
      <c r="AH482">
        <v>75684.02599031401</v>
      </c>
      <c r="AI482">
        <v>1513.6805198062802</v>
      </c>
      <c r="AJ482">
        <v>77197.70651012029</v>
      </c>
      <c r="AK482">
        <v>771.97706510120292</v>
      </c>
      <c r="AL482">
        <v>77969.683575221497</v>
      </c>
      <c r="AM482">
        <v>1559.3936715044299</v>
      </c>
      <c r="AN482">
        <v>79529.077246725923</v>
      </c>
      <c r="AP482">
        <v>79529.077246725923</v>
      </c>
      <c r="AQ482">
        <v>2385.8723174017778</v>
      </c>
      <c r="AR482">
        <v>81914.949564127703</v>
      </c>
      <c r="AT482">
        <v>81914.949564127703</v>
      </c>
      <c r="AU482">
        <v>2457.4484869238308</v>
      </c>
      <c r="AV482">
        <v>84372.398051051539</v>
      </c>
      <c r="AX482">
        <v>84372.398051051539</v>
      </c>
      <c r="AZ482">
        <v>84372.398051051539</v>
      </c>
      <c r="BB482">
        <v>84372.398051051539</v>
      </c>
      <c r="BD482">
        <v>84372.398051051539</v>
      </c>
      <c r="BF482">
        <v>84372.398051051539</v>
      </c>
      <c r="BH482">
        <v>84372.398051051539</v>
      </c>
      <c r="BJ482">
        <v>84372.398051051539</v>
      </c>
      <c r="BL482">
        <v>84372.398051051539</v>
      </c>
      <c r="BN482">
        <v>84372.398051051539</v>
      </c>
      <c r="BP482">
        <v>84372.398051051539</v>
      </c>
      <c r="BR482">
        <v>84372.398051051539</v>
      </c>
      <c r="BT482">
        <v>84372.398051051539</v>
      </c>
      <c r="BV482">
        <v>84372.398051051539</v>
      </c>
      <c r="BX482">
        <v>84372.398051051539</v>
      </c>
      <c r="BY482">
        <v>84372.4</v>
      </c>
      <c r="BZ482">
        <v>5377896.7800000003</v>
      </c>
      <c r="CC482">
        <v>0</v>
      </c>
      <c r="CD482">
        <v>84372.400062754939</v>
      </c>
      <c r="CE482">
        <v>5377896.7800000003</v>
      </c>
      <c r="CF482" t="s">
        <v>36</v>
      </c>
      <c r="CH482">
        <v>84372.400062754939</v>
      </c>
      <c r="CI482">
        <v>0</v>
      </c>
      <c r="CJ482">
        <v>5377896.7800000003</v>
      </c>
      <c r="CN482">
        <v>0</v>
      </c>
      <c r="CO482" t="s">
        <v>39</v>
      </c>
      <c r="CP482" t="s">
        <v>39</v>
      </c>
      <c r="CQ482" t="b">
        <v>1</v>
      </c>
      <c r="CR482" t="s">
        <v>8950</v>
      </c>
      <c r="CT482" t="s">
        <v>8960</v>
      </c>
      <c r="CU482" t="s">
        <v>8971</v>
      </c>
      <c r="CV482" t="s">
        <v>6350</v>
      </c>
      <c r="CW482" t="s">
        <v>4895</v>
      </c>
      <c r="CX482" t="s">
        <v>3246</v>
      </c>
      <c r="CY482">
        <v>1.259999999999998</v>
      </c>
      <c r="CZ482">
        <v>106309.22407907103</v>
      </c>
      <c r="DA482">
        <v>5377896.7800000003</v>
      </c>
      <c r="DB482" t="s">
        <v>36</v>
      </c>
      <c r="DC482" t="b">
        <v>1</v>
      </c>
      <c r="DD482">
        <v>5377896.7800000003</v>
      </c>
      <c r="DE482">
        <v>0</v>
      </c>
      <c r="DF482" t="b">
        <v>1</v>
      </c>
      <c r="DG482" s="420" cm="1">
        <f t="array" ref="DG482">_xlfn.XLOOKUP("Дом 4"&amp;Реестр_Д4[[#This Row],[№]]&amp;Реестр_Д4[[#This Row],[Статус]],РД[Дом]&amp;РД[№ кв]&amp;РД[Состояние],РД[Дата подачи на регистрацию],"-",0)</f>
        <v>45187</v>
      </c>
    </row>
    <row r="483" spans="1:111" x14ac:dyDescent="0.25">
      <c r="A483">
        <v>482</v>
      </c>
      <c r="B483" t="s">
        <v>15</v>
      </c>
      <c r="C483">
        <v>10</v>
      </c>
      <c r="D483">
        <v>9</v>
      </c>
      <c r="E483">
        <v>1</v>
      </c>
      <c r="F483">
        <v>16.46</v>
      </c>
      <c r="I483">
        <v>16.46</v>
      </c>
      <c r="J483">
        <v>14.25</v>
      </c>
      <c r="K483">
        <v>3.92</v>
      </c>
      <c r="N483">
        <v>8.2200000000000006</v>
      </c>
      <c r="O483">
        <v>3.03</v>
      </c>
      <c r="Q483">
        <v>3.03</v>
      </c>
      <c r="R483">
        <v>45.88</v>
      </c>
      <c r="S483">
        <v>42.85</v>
      </c>
      <c r="T483">
        <v>44.37</v>
      </c>
      <c r="U483">
        <v>45.8</v>
      </c>
      <c r="V483">
        <v>72100</v>
      </c>
      <c r="W483">
        <v>3605</v>
      </c>
      <c r="X483">
        <v>75705</v>
      </c>
      <c r="Z483">
        <v>75705</v>
      </c>
      <c r="AA483">
        <v>3785.25</v>
      </c>
      <c r="AB483">
        <v>79490.25</v>
      </c>
      <c r="AC483">
        <v>9.7773007500000002</v>
      </c>
      <c r="AD483">
        <v>79500.027300750007</v>
      </c>
      <c r="AE483">
        <v>3975.0013650375008</v>
      </c>
      <c r="AF483">
        <v>83475.028665787511</v>
      </c>
      <c r="AH483">
        <v>83475.028665787511</v>
      </c>
      <c r="AI483">
        <v>2504.2508599736252</v>
      </c>
      <c r="AJ483">
        <v>85979.279525761129</v>
      </c>
      <c r="AK483">
        <v>859.79279525761149</v>
      </c>
      <c r="AL483">
        <v>86839.072321018757</v>
      </c>
      <c r="AM483">
        <v>1736.7814464203752</v>
      </c>
      <c r="AN483">
        <v>88575.853767439126</v>
      </c>
      <c r="AO483">
        <v>1771.5170753487826</v>
      </c>
      <c r="AP483">
        <v>90347.370842787903</v>
      </c>
      <c r="AQ483">
        <v>2710.4211252836371</v>
      </c>
      <c r="AR483">
        <v>93057.791968071542</v>
      </c>
      <c r="AT483">
        <v>93057.791968071542</v>
      </c>
      <c r="AU483">
        <v>2791.7337590421462</v>
      </c>
      <c r="AV483">
        <v>95849.525727113694</v>
      </c>
      <c r="AX483">
        <v>95849.525727113694</v>
      </c>
      <c r="AZ483">
        <v>95849.525727113694</v>
      </c>
      <c r="BB483">
        <v>95849.525727113694</v>
      </c>
      <c r="BD483">
        <v>95849.525727113694</v>
      </c>
      <c r="BE483">
        <v>837</v>
      </c>
      <c r="BF483">
        <v>96686.525727113694</v>
      </c>
      <c r="BH483">
        <v>96686.525727113694</v>
      </c>
      <c r="BJ483">
        <v>96686.525727113694</v>
      </c>
      <c r="BL483">
        <v>96686.525727113694</v>
      </c>
      <c r="BN483">
        <v>96686.525727113694</v>
      </c>
      <c r="BP483">
        <v>96686.525727113694</v>
      </c>
      <c r="BR483">
        <v>96686.525727113694</v>
      </c>
      <c r="BT483">
        <v>96686.525727113694</v>
      </c>
      <c r="BV483">
        <v>96686.525727113694</v>
      </c>
      <c r="BX483">
        <v>96686.525727113694</v>
      </c>
      <c r="BY483">
        <v>96686.53</v>
      </c>
      <c r="BZ483">
        <v>4290000</v>
      </c>
      <c r="CA483">
        <v>20000</v>
      </c>
      <c r="CC483">
        <v>20000</v>
      </c>
      <c r="CD483">
        <v>96236.195627676367</v>
      </c>
      <c r="CE483">
        <v>4270000</v>
      </c>
      <c r="CF483" t="s">
        <v>38</v>
      </c>
      <c r="CG483">
        <v>22000</v>
      </c>
      <c r="CH483">
        <v>118236.19562767637</v>
      </c>
      <c r="CI483">
        <v>976140</v>
      </c>
      <c r="CJ483">
        <v>5246140</v>
      </c>
      <c r="CL483" t="s">
        <v>6732</v>
      </c>
      <c r="CN483">
        <v>0</v>
      </c>
      <c r="CO483" t="s">
        <v>39</v>
      </c>
      <c r="CP483" t="s">
        <v>39</v>
      </c>
      <c r="CQ483" t="b">
        <v>1</v>
      </c>
      <c r="CR483" t="s">
        <v>8950</v>
      </c>
      <c r="CT483" t="s">
        <v>8960</v>
      </c>
      <c r="CU483" t="s">
        <v>8972</v>
      </c>
      <c r="CV483" t="s">
        <v>6351</v>
      </c>
      <c r="CW483" t="s">
        <v>6652</v>
      </c>
      <c r="CX483" t="s">
        <v>3246</v>
      </c>
      <c r="CY483">
        <v>1.4299999999999995</v>
      </c>
      <c r="CZ483">
        <v>169077.75974757716</v>
      </c>
      <c r="DA483">
        <v>5246140</v>
      </c>
      <c r="DB483" t="s">
        <v>38</v>
      </c>
      <c r="DC483" t="b">
        <v>1</v>
      </c>
      <c r="DD483">
        <v>5246140</v>
      </c>
      <c r="DE483">
        <v>0</v>
      </c>
      <c r="DF483" t="b">
        <v>1</v>
      </c>
      <c r="DG483" s="420" cm="1">
        <f t="array" ref="DG483">_xlfn.XLOOKUP("Дом 4"&amp;Реестр_Д4[[#This Row],[№]]&amp;Реестр_Д4[[#This Row],[Статус]],РД[Дом]&amp;РД[№ кв]&amp;РД[Состояние],РД[Дата подачи на регистрацию],"-",0)</f>
        <v>45275</v>
      </c>
    </row>
    <row r="484" spans="1:111" x14ac:dyDescent="0.25">
      <c r="A484">
        <v>483</v>
      </c>
      <c r="B484" t="s">
        <v>15</v>
      </c>
      <c r="C484">
        <v>11</v>
      </c>
      <c r="D484">
        <v>1</v>
      </c>
      <c r="E484">
        <v>1</v>
      </c>
      <c r="F484">
        <v>14.05</v>
      </c>
      <c r="I484">
        <v>14.05</v>
      </c>
      <c r="J484">
        <v>12.32</v>
      </c>
      <c r="K484">
        <v>3.87</v>
      </c>
      <c r="N484">
        <v>8.14</v>
      </c>
      <c r="O484">
        <v>2.72</v>
      </c>
      <c r="Q484">
        <v>2.72</v>
      </c>
      <c r="R484">
        <v>41.1</v>
      </c>
      <c r="S484">
        <v>38.380000000000003</v>
      </c>
      <c r="T484">
        <v>39.74</v>
      </c>
      <c r="U484">
        <v>40.799999999999997</v>
      </c>
      <c r="V484">
        <v>71400</v>
      </c>
      <c r="W484">
        <v>3570</v>
      </c>
      <c r="X484">
        <v>74970</v>
      </c>
      <c r="Y484">
        <v>2998.8</v>
      </c>
      <c r="Z484">
        <v>77968.800000000003</v>
      </c>
      <c r="AA484">
        <v>3898.440000000001</v>
      </c>
      <c r="AB484">
        <v>81867.240000000005</v>
      </c>
      <c r="AC484">
        <v>10.069670520000001</v>
      </c>
      <c r="AD484">
        <v>81877.309670520001</v>
      </c>
      <c r="AE484">
        <v>4093.8654835259999</v>
      </c>
      <c r="AF484">
        <v>85971.175154045995</v>
      </c>
      <c r="AH484">
        <v>85971.175154045995</v>
      </c>
      <c r="AI484">
        <v>2579.1352546213802</v>
      </c>
      <c r="AJ484">
        <v>88550.31040866737</v>
      </c>
      <c r="AK484">
        <v>885.50310408667372</v>
      </c>
      <c r="AL484">
        <v>89435.813512754044</v>
      </c>
      <c r="AM484">
        <v>1788.7162702550809</v>
      </c>
      <c r="AN484">
        <v>91224.529783009129</v>
      </c>
      <c r="AP484">
        <v>91224.529783009129</v>
      </c>
      <c r="AQ484">
        <v>2736.7358934902736</v>
      </c>
      <c r="AR484">
        <v>93961.265676499403</v>
      </c>
      <c r="AT484">
        <v>93961.265676499403</v>
      </c>
      <c r="AV484">
        <v>93961.265676499403</v>
      </c>
      <c r="AX484">
        <v>93961.265676499403</v>
      </c>
      <c r="AZ484">
        <v>93961.265676499403</v>
      </c>
      <c r="BB484">
        <v>93961.265676499403</v>
      </c>
      <c r="BD484">
        <v>93961.265676499403</v>
      </c>
      <c r="BF484">
        <v>93961.265676499403</v>
      </c>
      <c r="BH484">
        <v>93961.265676499403</v>
      </c>
      <c r="BJ484">
        <v>93961.265676499403</v>
      </c>
      <c r="BL484">
        <v>93961.265676499403</v>
      </c>
      <c r="BN484">
        <v>93961.265676499403</v>
      </c>
      <c r="BP484">
        <v>93961.265676499403</v>
      </c>
      <c r="BR484">
        <v>93961.265676499403</v>
      </c>
      <c r="BT484">
        <v>93961.265676499403</v>
      </c>
      <c r="BV484">
        <v>93961.265676499403</v>
      </c>
      <c r="BX484">
        <v>93961.265676499403</v>
      </c>
      <c r="BY484">
        <v>93961.27</v>
      </c>
      <c r="BZ484">
        <v>3734020.87</v>
      </c>
      <c r="CC484">
        <v>0</v>
      </c>
      <c r="CD484">
        <v>93961.270005032711</v>
      </c>
      <c r="CE484">
        <v>3734020.87</v>
      </c>
      <c r="CF484" t="s">
        <v>38</v>
      </c>
      <c r="CG484">
        <v>15500</v>
      </c>
      <c r="CH484">
        <v>109461.27000503273</v>
      </c>
      <c r="CI484">
        <v>615970</v>
      </c>
      <c r="CJ484">
        <v>4349990.87</v>
      </c>
      <c r="CN484">
        <v>0</v>
      </c>
      <c r="CO484" t="s">
        <v>39</v>
      </c>
      <c r="CP484" t="s">
        <v>39</v>
      </c>
      <c r="CQ484" t="b">
        <v>1</v>
      </c>
      <c r="CR484" t="s">
        <v>8950</v>
      </c>
      <c r="CT484" t="s">
        <v>8960</v>
      </c>
      <c r="CU484" t="s">
        <v>8973</v>
      </c>
      <c r="CV484" t="s">
        <v>6352</v>
      </c>
      <c r="CW484" t="s">
        <v>4895</v>
      </c>
      <c r="CX484" t="s">
        <v>3246</v>
      </c>
      <c r="CY484">
        <v>1.0599999999999952</v>
      </c>
      <c r="CZ484">
        <v>116028.94620533414</v>
      </c>
      <c r="DA484">
        <v>4349990.87</v>
      </c>
      <c r="DB484" t="s">
        <v>38</v>
      </c>
      <c r="DC484" t="b">
        <v>1</v>
      </c>
      <c r="DD484">
        <v>4349990.87</v>
      </c>
      <c r="DE484">
        <v>0</v>
      </c>
      <c r="DF484" t="b">
        <v>1</v>
      </c>
      <c r="DG484" s="420" cm="1">
        <f t="array" ref="DG484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485" spans="1:111" x14ac:dyDescent="0.25">
      <c r="A485">
        <v>484</v>
      </c>
      <c r="B485" t="s">
        <v>15</v>
      </c>
      <c r="C485">
        <v>11</v>
      </c>
      <c r="D485">
        <v>2</v>
      </c>
      <c r="E485">
        <v>1</v>
      </c>
      <c r="F485">
        <v>14.29</v>
      </c>
      <c r="I485">
        <v>14.29</v>
      </c>
      <c r="J485">
        <v>12.32</v>
      </c>
      <c r="K485">
        <v>3.72</v>
      </c>
      <c r="N485">
        <v>6.91</v>
      </c>
      <c r="O485">
        <v>2.72</v>
      </c>
      <c r="Q485">
        <v>2.72</v>
      </c>
      <c r="R485">
        <v>39.96</v>
      </c>
      <c r="S485">
        <v>37.24</v>
      </c>
      <c r="T485">
        <v>38.6</v>
      </c>
      <c r="U485">
        <v>39.599999999999994</v>
      </c>
      <c r="V485">
        <v>71400</v>
      </c>
      <c r="W485">
        <v>3570</v>
      </c>
      <c r="X485">
        <v>74970</v>
      </c>
      <c r="Y485">
        <v>2998.8</v>
      </c>
      <c r="Z485">
        <v>77968.800000000003</v>
      </c>
      <c r="AB485">
        <v>77968.800000000003</v>
      </c>
      <c r="AD485">
        <v>77968.800000000003</v>
      </c>
      <c r="AF485">
        <v>77968.800000000003</v>
      </c>
      <c r="AH485">
        <v>77968.800000000003</v>
      </c>
      <c r="AJ485">
        <v>77968.800000000003</v>
      </c>
      <c r="AL485">
        <v>77968.800000000003</v>
      </c>
      <c r="AN485">
        <v>77968.800000000003</v>
      </c>
      <c r="AP485">
        <v>77968.800000000003</v>
      </c>
      <c r="AR485">
        <v>77968.800000000003</v>
      </c>
      <c r="AT485">
        <v>77968.800000000003</v>
      </c>
      <c r="AV485">
        <v>77968.800000000003</v>
      </c>
      <c r="AX485">
        <v>77968.800000000003</v>
      </c>
      <c r="AZ485">
        <v>77968.800000000003</v>
      </c>
      <c r="BB485">
        <v>77968.800000000003</v>
      </c>
      <c r="BD485">
        <v>77968.800000000003</v>
      </c>
      <c r="BF485">
        <v>77968.800000000003</v>
      </c>
      <c r="BH485">
        <v>77968.800000000003</v>
      </c>
      <c r="BJ485">
        <v>77968.800000000003</v>
      </c>
      <c r="BL485">
        <v>77968.800000000003</v>
      </c>
      <c r="BN485">
        <v>77968.800000000003</v>
      </c>
      <c r="BP485">
        <v>77968.800000000003</v>
      </c>
      <c r="BR485">
        <v>77968.800000000003</v>
      </c>
      <c r="BT485">
        <v>77968.800000000003</v>
      </c>
      <c r="BV485">
        <v>77968.800000000003</v>
      </c>
      <c r="BX485">
        <v>77968.800000000003</v>
      </c>
      <c r="BY485">
        <v>77968.800000000003</v>
      </c>
      <c r="BZ485">
        <v>3009595.68</v>
      </c>
      <c r="CC485">
        <v>0</v>
      </c>
      <c r="CD485">
        <v>77968.800000000003</v>
      </c>
      <c r="CE485">
        <v>3009595.68</v>
      </c>
      <c r="CF485" t="s">
        <v>37</v>
      </c>
      <c r="CG485">
        <v>7500</v>
      </c>
      <c r="CH485">
        <v>85468.800000000003</v>
      </c>
      <c r="CI485">
        <v>289500</v>
      </c>
      <c r="CJ485">
        <v>3299095.68</v>
      </c>
      <c r="CN485">
        <v>0</v>
      </c>
      <c r="CO485" t="s">
        <v>39</v>
      </c>
      <c r="CP485" t="s">
        <v>39</v>
      </c>
      <c r="CQ485" t="b">
        <v>1</v>
      </c>
      <c r="CR485" t="s">
        <v>8950</v>
      </c>
      <c r="CT485" t="s">
        <v>8960</v>
      </c>
      <c r="CU485" t="s">
        <v>8973</v>
      </c>
      <c r="CV485" t="s">
        <v>6353</v>
      </c>
      <c r="CW485" t="s">
        <v>4895</v>
      </c>
      <c r="CX485" t="s">
        <v>3246</v>
      </c>
      <c r="CY485">
        <v>0.99999999999999301</v>
      </c>
      <c r="CZ485">
        <v>85468.799999999392</v>
      </c>
      <c r="DA485">
        <v>3299095.68</v>
      </c>
      <c r="DB485" t="s">
        <v>37</v>
      </c>
      <c r="DC485" t="b">
        <v>1</v>
      </c>
      <c r="DD485">
        <v>3299095.68</v>
      </c>
      <c r="DE485">
        <v>0</v>
      </c>
      <c r="DF485" t="b">
        <v>1</v>
      </c>
      <c r="DG485" s="420" cm="1">
        <f t="array" ref="DG485">_xlfn.XLOOKUP("Дом 4"&amp;Реестр_Д4[[#This Row],[№]]&amp;Реестр_Д4[[#This Row],[Статус]],РД[Дом]&amp;РД[№ кв]&amp;РД[Состояние],РД[Дата подачи на регистрацию],"-",0)</f>
        <v>44888</v>
      </c>
    </row>
    <row r="486" spans="1:111" x14ac:dyDescent="0.25">
      <c r="A486">
        <v>485</v>
      </c>
      <c r="B486" t="s">
        <v>15</v>
      </c>
      <c r="C486">
        <v>11</v>
      </c>
      <c r="D486">
        <v>3</v>
      </c>
      <c r="E486">
        <v>3</v>
      </c>
      <c r="F486">
        <v>16.05</v>
      </c>
      <c r="G486">
        <v>11.28</v>
      </c>
      <c r="H486">
        <v>10.82</v>
      </c>
      <c r="I486">
        <v>38.15</v>
      </c>
      <c r="J486">
        <v>17.41</v>
      </c>
      <c r="K486">
        <v>3.81</v>
      </c>
      <c r="L486">
        <v>1.87</v>
      </c>
      <c r="N486">
        <v>11.71</v>
      </c>
      <c r="O486">
        <v>2.65</v>
      </c>
      <c r="Q486">
        <v>2.65</v>
      </c>
      <c r="R486">
        <v>75.599999999999994</v>
      </c>
      <c r="S486">
        <v>72.949999999999989</v>
      </c>
      <c r="T486">
        <v>74.28</v>
      </c>
      <c r="U486">
        <v>75.8</v>
      </c>
      <c r="V486">
        <v>67110.400000000009</v>
      </c>
      <c r="W486">
        <v>3355.5200000000004</v>
      </c>
      <c r="X486">
        <v>70465.920000000013</v>
      </c>
      <c r="Z486">
        <v>70465.920000000013</v>
      </c>
      <c r="AB486">
        <v>70465.920000000013</v>
      </c>
      <c r="AC486">
        <v>8.6673081600000028</v>
      </c>
      <c r="AD486">
        <v>70474.587308160015</v>
      </c>
      <c r="AF486">
        <v>70474.587308160015</v>
      </c>
      <c r="AH486">
        <v>70474.587308160015</v>
      </c>
      <c r="AJ486">
        <v>70474.587308160015</v>
      </c>
      <c r="AL486">
        <v>70474.587308160015</v>
      </c>
      <c r="AN486">
        <v>70474.587308160015</v>
      </c>
      <c r="AP486">
        <v>70474.587308160015</v>
      </c>
      <c r="AR486">
        <v>70474.587308160015</v>
      </c>
      <c r="AT486">
        <v>70474.587308160015</v>
      </c>
      <c r="AV486">
        <v>70474.587308160015</v>
      </c>
      <c r="AX486">
        <v>70474.587308160015</v>
      </c>
      <c r="AZ486">
        <v>70474.587308160015</v>
      </c>
      <c r="BB486">
        <v>70474.587308160015</v>
      </c>
      <c r="BD486">
        <v>70474.587308160015</v>
      </c>
      <c r="BF486">
        <v>70474.587308160015</v>
      </c>
      <c r="BH486">
        <v>70474.587308160015</v>
      </c>
      <c r="BJ486">
        <v>70474.587308160015</v>
      </c>
      <c r="BL486">
        <v>70474.587308160015</v>
      </c>
      <c r="BN486">
        <v>70474.587308160015</v>
      </c>
      <c r="BP486">
        <v>70474.587308160015</v>
      </c>
      <c r="BR486">
        <v>70474.587308160015</v>
      </c>
      <c r="BT486">
        <v>70474.587308160015</v>
      </c>
      <c r="BV486">
        <v>70474.587308160015</v>
      </c>
      <c r="BX486">
        <v>70474.587308160015</v>
      </c>
      <c r="BY486">
        <v>70474.59</v>
      </c>
      <c r="BZ486">
        <v>5234852.55</v>
      </c>
      <c r="CB486">
        <v>0.05</v>
      </c>
      <c r="CC486">
        <v>261742.6275</v>
      </c>
      <c r="CD486">
        <v>66950.860527732904</v>
      </c>
      <c r="CE486">
        <v>4973109.92</v>
      </c>
      <c r="CF486" t="s">
        <v>37</v>
      </c>
      <c r="CG486">
        <v>4000</v>
      </c>
      <c r="CH486">
        <v>70950.860527732904</v>
      </c>
      <c r="CI486">
        <v>297120</v>
      </c>
      <c r="CJ486">
        <v>5270229.92</v>
      </c>
      <c r="CK486" t="s">
        <v>57</v>
      </c>
      <c r="CL486" t="s">
        <v>3540</v>
      </c>
      <c r="CN486">
        <v>0</v>
      </c>
      <c r="CO486" t="s">
        <v>39</v>
      </c>
      <c r="CP486" t="s">
        <v>39</v>
      </c>
      <c r="CQ486" t="b">
        <v>1</v>
      </c>
      <c r="CR486" t="s">
        <v>8950</v>
      </c>
      <c r="CT486" t="s">
        <v>8960</v>
      </c>
      <c r="CU486" t="s">
        <v>8990</v>
      </c>
      <c r="CV486" t="s">
        <v>6354</v>
      </c>
      <c r="CW486" t="s">
        <v>4895</v>
      </c>
      <c r="CX486" t="s">
        <v>3246</v>
      </c>
      <c r="CY486">
        <v>1.519999999999996</v>
      </c>
      <c r="CZ486">
        <v>107845.30800215372</v>
      </c>
      <c r="DA486">
        <v>5270229.92</v>
      </c>
      <c r="DB486" t="s">
        <v>37</v>
      </c>
      <c r="DC486" t="b">
        <v>1</v>
      </c>
      <c r="DD486">
        <v>5270229.92</v>
      </c>
      <c r="DE486">
        <v>0</v>
      </c>
      <c r="DF486" t="b">
        <v>1</v>
      </c>
      <c r="DG486" s="420" cm="1">
        <f t="array" ref="DG486">_xlfn.XLOOKUP("Дом 4"&amp;Реестр_Д4[[#This Row],[№]]&amp;Реестр_Д4[[#This Row],[Статус]],РД[Дом]&amp;РД[№ кв]&amp;РД[Состояние],РД[Дата подачи на регистрацию],"-",0)</f>
        <v>44950</v>
      </c>
    </row>
    <row r="487" spans="1:111" x14ac:dyDescent="0.25">
      <c r="A487">
        <v>486</v>
      </c>
      <c r="B487" t="s">
        <v>15</v>
      </c>
      <c r="C487">
        <v>11</v>
      </c>
      <c r="D487">
        <v>4</v>
      </c>
      <c r="E487">
        <v>1</v>
      </c>
      <c r="F487">
        <v>12.09</v>
      </c>
      <c r="I487">
        <v>12.09</v>
      </c>
      <c r="J487">
        <v>12.26</v>
      </c>
      <c r="K487">
        <v>3.71</v>
      </c>
      <c r="N487">
        <v>7.06</v>
      </c>
      <c r="O487">
        <v>2.75</v>
      </c>
      <c r="Q487">
        <v>2.75</v>
      </c>
      <c r="R487">
        <v>37.869999999999997</v>
      </c>
      <c r="S487">
        <v>35.119999999999997</v>
      </c>
      <c r="T487">
        <v>36.5</v>
      </c>
      <c r="U487">
        <v>38</v>
      </c>
      <c r="V487">
        <v>71400</v>
      </c>
      <c r="W487">
        <v>3570</v>
      </c>
      <c r="X487">
        <v>74970</v>
      </c>
      <c r="Y487">
        <v>2998.8</v>
      </c>
      <c r="Z487">
        <v>77968.800000000003</v>
      </c>
      <c r="AA487">
        <v>3898.440000000001</v>
      </c>
      <c r="AB487">
        <v>81867.240000000005</v>
      </c>
      <c r="AC487">
        <v>10.069670520000001</v>
      </c>
      <c r="AD487">
        <v>81877.309670520001</v>
      </c>
      <c r="AE487">
        <v>4093.8654835259999</v>
      </c>
      <c r="AF487">
        <v>85971.175154045995</v>
      </c>
      <c r="AH487">
        <v>85971.175154045995</v>
      </c>
      <c r="AJ487">
        <v>85971.175154045995</v>
      </c>
      <c r="AL487">
        <v>85971.175154045995</v>
      </c>
      <c r="AN487">
        <v>85971.175154045995</v>
      </c>
      <c r="AP487">
        <v>85971.175154045995</v>
      </c>
      <c r="AR487">
        <v>85971.175154045995</v>
      </c>
      <c r="AT487">
        <v>85971.175154045995</v>
      </c>
      <c r="AV487">
        <v>85971.175154045995</v>
      </c>
      <c r="AX487">
        <v>85971.175154045995</v>
      </c>
      <c r="AZ487">
        <v>85971.175154045995</v>
      </c>
      <c r="BB487">
        <v>85971.175154045995</v>
      </c>
      <c r="BD487">
        <v>85971.175154045995</v>
      </c>
      <c r="BF487">
        <v>85971.175154045995</v>
      </c>
      <c r="BH487">
        <v>85971.175154045995</v>
      </c>
      <c r="BJ487">
        <v>85971.175154045995</v>
      </c>
      <c r="BL487">
        <v>85971.175154045995</v>
      </c>
      <c r="BN487">
        <v>85971.175154045995</v>
      </c>
      <c r="BP487">
        <v>85971.175154045995</v>
      </c>
      <c r="BR487">
        <v>85971.175154045995</v>
      </c>
      <c r="BT487">
        <v>85971.175154045995</v>
      </c>
      <c r="BV487">
        <v>85971.175154045995</v>
      </c>
      <c r="BX487">
        <v>85971.175154045995</v>
      </c>
      <c r="BY487">
        <v>85971.18</v>
      </c>
      <c r="BZ487">
        <v>3137948.07</v>
      </c>
      <c r="CB487">
        <v>0.05</v>
      </c>
      <c r="CC487">
        <v>156897.40349999999</v>
      </c>
      <c r="CD487">
        <v>81672.621095890412</v>
      </c>
      <c r="CE487">
        <v>2981050.67</v>
      </c>
      <c r="CF487" t="s">
        <v>37</v>
      </c>
      <c r="CG487">
        <v>4000</v>
      </c>
      <c r="CH487">
        <v>85672.621095890412</v>
      </c>
      <c r="CI487">
        <v>146000</v>
      </c>
      <c r="CJ487">
        <v>3127050.67</v>
      </c>
      <c r="CL487" t="s">
        <v>3540</v>
      </c>
      <c r="CN487">
        <v>0</v>
      </c>
      <c r="CO487" t="s">
        <v>39</v>
      </c>
      <c r="CP487" t="s">
        <v>39</v>
      </c>
      <c r="CQ487" t="b">
        <v>1</v>
      </c>
      <c r="CR487" t="s">
        <v>8950</v>
      </c>
      <c r="CT487" t="s">
        <v>8960</v>
      </c>
      <c r="CU487" t="s">
        <v>8973</v>
      </c>
      <c r="CV487" t="s">
        <v>6355</v>
      </c>
      <c r="CW487" t="s">
        <v>4895</v>
      </c>
      <c r="CX487" t="s">
        <v>3246</v>
      </c>
      <c r="CY487">
        <v>1.5</v>
      </c>
      <c r="CZ487">
        <v>128508.93164383562</v>
      </c>
      <c r="DA487">
        <v>3127050.67</v>
      </c>
      <c r="DB487" t="s">
        <v>37</v>
      </c>
      <c r="DC487" t="b">
        <v>1</v>
      </c>
      <c r="DD487">
        <v>3127050.67</v>
      </c>
      <c r="DE487">
        <v>0</v>
      </c>
      <c r="DF487" t="b">
        <v>1</v>
      </c>
      <c r="DG487" s="420" cm="1">
        <f t="array" ref="DG487">_xlfn.XLOOKUP("Дом 4"&amp;Реестр_Д4[[#This Row],[№]]&amp;Реестр_Д4[[#This Row],[Статус]],РД[Дом]&amp;РД[№ кв]&amp;РД[Состояние],РД[Дата подачи на регистрацию],"-",0)</f>
        <v>44903</v>
      </c>
    </row>
    <row r="488" spans="1:111" x14ac:dyDescent="0.25">
      <c r="A488">
        <v>487</v>
      </c>
      <c r="B488" t="s">
        <v>15</v>
      </c>
      <c r="C488">
        <v>11</v>
      </c>
      <c r="D488">
        <v>5</v>
      </c>
      <c r="E488">
        <v>2</v>
      </c>
      <c r="F488">
        <v>15.61</v>
      </c>
      <c r="G488">
        <v>12.02</v>
      </c>
      <c r="I488">
        <v>27.63</v>
      </c>
      <c r="J488">
        <v>13.1</v>
      </c>
      <c r="K488">
        <v>3.61</v>
      </c>
      <c r="L488">
        <v>1.82</v>
      </c>
      <c r="N488">
        <v>8.52</v>
      </c>
      <c r="O488">
        <v>2.72</v>
      </c>
      <c r="Q488">
        <v>2.72</v>
      </c>
      <c r="R488">
        <v>57.4</v>
      </c>
      <c r="S488">
        <v>54.68</v>
      </c>
      <c r="T488">
        <v>56.04</v>
      </c>
      <c r="U488">
        <v>57.999999999999993</v>
      </c>
      <c r="V488">
        <v>67306.399999999994</v>
      </c>
      <c r="W488">
        <v>3365.3199999999997</v>
      </c>
      <c r="X488">
        <v>70671.72</v>
      </c>
      <c r="Z488">
        <v>70671.72</v>
      </c>
      <c r="AA488">
        <v>3533.5859999999998</v>
      </c>
      <c r="AB488">
        <v>74205.305999999997</v>
      </c>
      <c r="AC488">
        <v>9.1272526379999999</v>
      </c>
      <c r="AD488">
        <v>74214.433252638002</v>
      </c>
      <c r="AF488">
        <v>74214.433252638002</v>
      </c>
      <c r="AH488">
        <v>74214.433252638002</v>
      </c>
      <c r="AI488">
        <v>1484.2886650527601</v>
      </c>
      <c r="AJ488">
        <v>75698.721917690767</v>
      </c>
      <c r="AK488">
        <v>756.98721917690773</v>
      </c>
      <c r="AL488">
        <v>76455.709136867677</v>
      </c>
      <c r="AM488">
        <v>1529.1141827373535</v>
      </c>
      <c r="AN488">
        <v>77984.823319605028</v>
      </c>
      <c r="AO488">
        <v>2339.5446995881507</v>
      </c>
      <c r="AP488">
        <v>80324.368019193178</v>
      </c>
      <c r="AQ488">
        <v>2409.7310405757953</v>
      </c>
      <c r="AR488">
        <v>82734.099059768967</v>
      </c>
      <c r="AS488">
        <v>4136.7049529884489</v>
      </c>
      <c r="AT488">
        <v>86870.80401275742</v>
      </c>
      <c r="AV488">
        <v>86870.80401275742</v>
      </c>
      <c r="AX488">
        <v>86870.80401275742</v>
      </c>
      <c r="AZ488">
        <v>86870.80401275742</v>
      </c>
      <c r="BB488">
        <v>86870.80401275742</v>
      </c>
      <c r="BD488">
        <v>86870.80401275742</v>
      </c>
      <c r="BF488">
        <v>86870.80401275742</v>
      </c>
      <c r="BH488">
        <v>86870.80401275742</v>
      </c>
      <c r="BJ488">
        <v>86870.80401275742</v>
      </c>
      <c r="BL488">
        <v>86870.80401275742</v>
      </c>
      <c r="BN488">
        <v>86870.80401275742</v>
      </c>
      <c r="BP488">
        <v>86870.80401275742</v>
      </c>
      <c r="BR488">
        <v>86870.80401275742</v>
      </c>
      <c r="BT488">
        <v>86870.80401275742</v>
      </c>
      <c r="BV488">
        <v>86870.80401275742</v>
      </c>
      <c r="BX488">
        <v>86870.80401275742</v>
      </c>
      <c r="BY488">
        <v>86870.8</v>
      </c>
      <c r="BZ488">
        <v>4868239.63</v>
      </c>
      <c r="CC488">
        <v>0</v>
      </c>
      <c r="CD488">
        <v>86870.799964311213</v>
      </c>
      <c r="CE488">
        <v>4868239.63</v>
      </c>
      <c r="CF488" t="s">
        <v>36</v>
      </c>
      <c r="CH488">
        <v>86870.799964311213</v>
      </c>
      <c r="CI488">
        <v>0</v>
      </c>
      <c r="CJ488">
        <v>4868239.63</v>
      </c>
      <c r="CN488">
        <v>0</v>
      </c>
      <c r="CO488" t="s">
        <v>39</v>
      </c>
      <c r="CP488" t="s">
        <v>39</v>
      </c>
      <c r="CQ488" t="b">
        <v>1</v>
      </c>
      <c r="CR488" t="s">
        <v>8950</v>
      </c>
      <c r="CT488" t="s">
        <v>8960</v>
      </c>
      <c r="CU488" t="s">
        <v>8974</v>
      </c>
      <c r="CV488" t="s">
        <v>6356</v>
      </c>
      <c r="CW488" t="s">
        <v>4895</v>
      </c>
      <c r="CX488" t="s">
        <v>3246</v>
      </c>
      <c r="CY488">
        <v>1.9599999999999935</v>
      </c>
      <c r="CZ488">
        <v>170266.76793004942</v>
      </c>
      <c r="DA488">
        <v>4868239.63</v>
      </c>
      <c r="DB488" t="s">
        <v>36</v>
      </c>
      <c r="DC488" t="b">
        <v>1</v>
      </c>
      <c r="DD488">
        <v>4868239.63</v>
      </c>
      <c r="DE488">
        <v>0</v>
      </c>
      <c r="DF488" t="b">
        <v>1</v>
      </c>
      <c r="DG488" s="420" cm="1">
        <f t="array" ref="DG488">_xlfn.XLOOKUP("Дом 4"&amp;Реестр_Д4[[#This Row],[№]]&amp;Реестр_Д4[[#This Row],[Статус]],РД[Дом]&amp;РД[№ кв]&amp;РД[Состояние],РД[Дата подачи на регистрацию],"-",0)</f>
        <v>45185</v>
      </c>
    </row>
    <row r="489" spans="1:111" x14ac:dyDescent="0.25">
      <c r="A489">
        <v>488</v>
      </c>
      <c r="B489" t="s">
        <v>15</v>
      </c>
      <c r="C489">
        <v>11</v>
      </c>
      <c r="D489">
        <v>6</v>
      </c>
      <c r="E489">
        <v>2</v>
      </c>
      <c r="F489">
        <v>15.61</v>
      </c>
      <c r="G489">
        <v>9.66</v>
      </c>
      <c r="I489">
        <v>25.27</v>
      </c>
      <c r="J489">
        <v>16.53</v>
      </c>
      <c r="K489">
        <v>3.63</v>
      </c>
      <c r="L489">
        <v>2.21</v>
      </c>
      <c r="N489">
        <v>9.6199999999999992</v>
      </c>
      <c r="O489">
        <v>2.72</v>
      </c>
      <c r="Q489">
        <v>2.72</v>
      </c>
      <c r="R489">
        <v>59.98</v>
      </c>
      <c r="S489">
        <v>57.26</v>
      </c>
      <c r="T489">
        <v>58.62</v>
      </c>
      <c r="U489">
        <v>60.6</v>
      </c>
      <c r="V489">
        <v>67972.800000000003</v>
      </c>
      <c r="W489">
        <v>3398.6400000000003</v>
      </c>
      <c r="X489">
        <v>71371.44</v>
      </c>
      <c r="Z489">
        <v>71371.44</v>
      </c>
      <c r="AA489">
        <v>3568.5720000000001</v>
      </c>
      <c r="AB489">
        <v>74940.012000000002</v>
      </c>
      <c r="AC489">
        <v>9.2176214760000015</v>
      </c>
      <c r="AD489">
        <v>74949.229621475999</v>
      </c>
      <c r="AF489">
        <v>74949.229621475999</v>
      </c>
      <c r="AH489">
        <v>74949.229621475999</v>
      </c>
      <c r="AI489">
        <v>1498.98459242952</v>
      </c>
      <c r="AJ489">
        <v>76448.214213905521</v>
      </c>
      <c r="AK489">
        <v>764.48214213905521</v>
      </c>
      <c r="AL489">
        <v>77212.696356044573</v>
      </c>
      <c r="AM489">
        <v>1544.2539271208916</v>
      </c>
      <c r="AN489">
        <v>78756.950283165468</v>
      </c>
      <c r="AP489">
        <v>78756.950283165468</v>
      </c>
      <c r="AR489">
        <v>78756.950283165468</v>
      </c>
      <c r="AT489">
        <v>78756.950283165468</v>
      </c>
      <c r="AV489">
        <v>78756.950283165468</v>
      </c>
      <c r="AX489">
        <v>78756.950283165468</v>
      </c>
      <c r="AZ489">
        <v>78756.950283165468</v>
      </c>
      <c r="BB489">
        <v>78756.950283165468</v>
      </c>
      <c r="BD489">
        <v>78756.950283165468</v>
      </c>
      <c r="BF489">
        <v>78756.950283165468</v>
      </c>
      <c r="BH489">
        <v>78756.950283165468</v>
      </c>
      <c r="BJ489">
        <v>78756.950283165468</v>
      </c>
      <c r="BL489">
        <v>78756.950283165468</v>
      </c>
      <c r="BN489">
        <v>78756.950283165468</v>
      </c>
      <c r="BP489">
        <v>78756.950283165468</v>
      </c>
      <c r="BR489">
        <v>78756.950283165468</v>
      </c>
      <c r="BT489">
        <v>78756.950283165468</v>
      </c>
      <c r="BV489">
        <v>78756.950283165468</v>
      </c>
      <c r="BX489">
        <v>78756.950283165468</v>
      </c>
      <c r="BY489">
        <v>78756.95</v>
      </c>
      <c r="BZ489">
        <v>4616732.41</v>
      </c>
      <c r="CC489">
        <v>0</v>
      </c>
      <c r="CD489">
        <v>78756.950017059047</v>
      </c>
      <c r="CE489">
        <v>4616732.41</v>
      </c>
      <c r="CF489" t="s">
        <v>37</v>
      </c>
      <c r="CG489">
        <v>4000</v>
      </c>
      <c r="CH489">
        <v>82756.950017059047</v>
      </c>
      <c r="CI489">
        <v>234480</v>
      </c>
      <c r="CJ489">
        <v>4851212.41</v>
      </c>
      <c r="CN489">
        <v>0</v>
      </c>
      <c r="CO489" t="s">
        <v>39</v>
      </c>
      <c r="CP489" t="s">
        <v>39</v>
      </c>
      <c r="CQ489" t="b">
        <v>1</v>
      </c>
      <c r="CR489" t="s">
        <v>8950</v>
      </c>
      <c r="CT489" t="s">
        <v>8960</v>
      </c>
      <c r="CU489" t="s">
        <v>8971</v>
      </c>
      <c r="CV489" t="s">
        <v>6357</v>
      </c>
      <c r="CW489" t="s">
        <v>4895</v>
      </c>
      <c r="CX489" t="s">
        <v>3246</v>
      </c>
      <c r="CY489">
        <v>1.980000000000004</v>
      </c>
      <c r="CZ489">
        <v>163858.76103377721</v>
      </c>
      <c r="DA489">
        <v>4851212.41</v>
      </c>
      <c r="DB489" t="s">
        <v>37</v>
      </c>
      <c r="DC489" t="b">
        <v>1</v>
      </c>
      <c r="DD489">
        <v>4851212.41</v>
      </c>
      <c r="DE489">
        <v>0</v>
      </c>
      <c r="DF489" t="b">
        <v>1</v>
      </c>
      <c r="DG489" s="420" cm="1">
        <f t="array" ref="DG489">_xlfn.XLOOKUP("Дом 4"&amp;Реестр_Д4[[#This Row],[№]]&amp;Реестр_Д4[[#This Row],[Статус]],РД[Дом]&amp;РД[№ кв]&amp;РД[Состояние],РД[Дата подачи на регистрацию],"-",0)</f>
        <v>45090</v>
      </c>
    </row>
    <row r="490" spans="1:111" x14ac:dyDescent="0.25">
      <c r="A490">
        <v>489</v>
      </c>
      <c r="B490" t="s">
        <v>15</v>
      </c>
      <c r="C490">
        <v>11</v>
      </c>
      <c r="D490">
        <v>7</v>
      </c>
      <c r="E490">
        <v>2</v>
      </c>
      <c r="F490">
        <v>11.83</v>
      </c>
      <c r="G490">
        <v>11.4</v>
      </c>
      <c r="I490">
        <v>23.23</v>
      </c>
      <c r="J490">
        <v>27.16</v>
      </c>
      <c r="K490">
        <v>5.28</v>
      </c>
      <c r="L490">
        <v>1.75</v>
      </c>
      <c r="N490">
        <v>8.67</v>
      </c>
      <c r="O490">
        <v>2.8</v>
      </c>
      <c r="Q490">
        <v>2.8</v>
      </c>
      <c r="R490">
        <v>68.89</v>
      </c>
      <c r="S490">
        <v>66.09</v>
      </c>
      <c r="T490">
        <v>67.489999999999995</v>
      </c>
      <c r="U490">
        <v>69.2</v>
      </c>
      <c r="V490">
        <v>71304.800000000003</v>
      </c>
      <c r="W490">
        <v>3565.24</v>
      </c>
      <c r="X490">
        <v>74870.039999999994</v>
      </c>
      <c r="Z490">
        <v>74870.039999999994</v>
      </c>
      <c r="AA490">
        <v>3743.502</v>
      </c>
      <c r="AB490">
        <v>78613.542000000016</v>
      </c>
      <c r="AC490">
        <v>9.6694656660000025</v>
      </c>
      <c r="AD490">
        <v>78623.211465666012</v>
      </c>
      <c r="AF490">
        <v>78623.211465666012</v>
      </c>
      <c r="AH490">
        <v>78623.211465666012</v>
      </c>
      <c r="AI490">
        <v>1572.4642293133202</v>
      </c>
      <c r="AJ490">
        <v>80195.675694979334</v>
      </c>
      <c r="AK490">
        <v>2405.8702708493797</v>
      </c>
      <c r="AL490">
        <v>82601.545965828715</v>
      </c>
      <c r="AM490">
        <v>3304.0618386331485</v>
      </c>
      <c r="AN490">
        <v>85905.607804461863</v>
      </c>
      <c r="AP490">
        <v>85905.607804461863</v>
      </c>
      <c r="AQ490">
        <v>2577.168234133856</v>
      </c>
      <c r="AR490">
        <v>88482.776038595723</v>
      </c>
      <c r="AT490">
        <v>88482.776038595723</v>
      </c>
      <c r="AU490">
        <v>2654.4832811578717</v>
      </c>
      <c r="AV490">
        <v>91137.259319753604</v>
      </c>
      <c r="AX490">
        <v>91137.259319753604</v>
      </c>
      <c r="AZ490">
        <v>91137.259319753604</v>
      </c>
      <c r="BB490">
        <v>91137.259319753604</v>
      </c>
      <c r="BD490">
        <v>91137.259319753604</v>
      </c>
      <c r="BF490">
        <v>91137.259319753604</v>
      </c>
      <c r="BH490">
        <v>91137.259319753604</v>
      </c>
      <c r="BJ490">
        <v>91137.259319753604</v>
      </c>
      <c r="BL490">
        <v>91137.259319753604</v>
      </c>
      <c r="BN490">
        <v>91137.259319753604</v>
      </c>
      <c r="BP490">
        <v>91137.259319753604</v>
      </c>
      <c r="BR490">
        <v>91137.259319753604</v>
      </c>
      <c r="BT490">
        <v>91137.259319753604</v>
      </c>
      <c r="BV490">
        <v>91137.259319753604</v>
      </c>
      <c r="BX490">
        <v>91137.259319753604</v>
      </c>
      <c r="BY490">
        <v>91137.26</v>
      </c>
      <c r="BZ490">
        <v>6150853.6799999997</v>
      </c>
      <c r="CB490">
        <v>0.02</v>
      </c>
      <c r="CC490">
        <v>123017.0736</v>
      </c>
      <c r="CD490">
        <v>89314.514891094994</v>
      </c>
      <c r="CE490">
        <v>6027836.6100000003</v>
      </c>
      <c r="CF490" t="s">
        <v>36</v>
      </c>
      <c r="CH490">
        <v>89314.514891094994</v>
      </c>
      <c r="CI490">
        <v>0</v>
      </c>
      <c r="CJ490">
        <v>6027836.6100000003</v>
      </c>
      <c r="CK490" t="s">
        <v>57</v>
      </c>
      <c r="CL490" t="s">
        <v>3540</v>
      </c>
      <c r="CN490">
        <v>0</v>
      </c>
      <c r="CO490" t="s">
        <v>39</v>
      </c>
      <c r="CP490" t="s">
        <v>39</v>
      </c>
      <c r="CQ490" t="b">
        <v>1</v>
      </c>
      <c r="CR490" t="s">
        <v>8950</v>
      </c>
      <c r="CT490" t="s">
        <v>8960</v>
      </c>
      <c r="CU490" t="s">
        <v>8971</v>
      </c>
      <c r="CV490" t="s">
        <v>6358</v>
      </c>
      <c r="CW490" t="s">
        <v>4895</v>
      </c>
      <c r="CX490" t="s">
        <v>3246</v>
      </c>
      <c r="CY490">
        <v>1.710000000000008</v>
      </c>
      <c r="CZ490">
        <v>152727.82046377315</v>
      </c>
      <c r="DA490">
        <v>6027836.6100000003</v>
      </c>
      <c r="DB490" t="s">
        <v>36</v>
      </c>
      <c r="DC490" t="b">
        <v>1</v>
      </c>
      <c r="DD490">
        <v>6027836.6100000003</v>
      </c>
      <c r="DE490">
        <v>0</v>
      </c>
      <c r="DF490" t="b">
        <v>1</v>
      </c>
      <c r="DG490" s="420" cm="1">
        <f t="array" ref="DG490">_xlfn.XLOOKUP("Дом 4"&amp;Реестр_Д4[[#This Row],[№]]&amp;Реестр_Д4[[#This Row],[Статус]],РД[Дом]&amp;РД[№ кв]&amp;РД[Состояние],РД[Дата подачи на регистрацию],"-",0)</f>
        <v>45258</v>
      </c>
    </row>
    <row r="491" spans="1:111" x14ac:dyDescent="0.25">
      <c r="A491">
        <v>490</v>
      </c>
      <c r="B491" t="s">
        <v>15</v>
      </c>
      <c r="C491">
        <v>11</v>
      </c>
      <c r="D491">
        <v>8</v>
      </c>
      <c r="E491">
        <v>2</v>
      </c>
      <c r="F491">
        <v>17.25</v>
      </c>
      <c r="G491">
        <v>14.07</v>
      </c>
      <c r="I491">
        <v>31.32</v>
      </c>
      <c r="J491">
        <v>14.23</v>
      </c>
      <c r="K491">
        <v>3.81</v>
      </c>
      <c r="L491">
        <v>1.75</v>
      </c>
      <c r="N491">
        <v>11.07</v>
      </c>
      <c r="O491">
        <v>3.12</v>
      </c>
      <c r="Q491">
        <v>3.12</v>
      </c>
      <c r="R491">
        <v>65.3</v>
      </c>
      <c r="S491">
        <v>62.18</v>
      </c>
      <c r="T491">
        <v>63.74</v>
      </c>
      <c r="U491">
        <v>65.099999999999994</v>
      </c>
      <c r="V491">
        <v>68639.199999999997</v>
      </c>
      <c r="W491">
        <v>3431.96</v>
      </c>
      <c r="X491">
        <v>72071.16</v>
      </c>
      <c r="Z491">
        <v>72071.16</v>
      </c>
      <c r="AA491">
        <v>3603.558</v>
      </c>
      <c r="AB491">
        <v>75674.717999999993</v>
      </c>
      <c r="AC491">
        <v>9.3079903140000013</v>
      </c>
      <c r="AD491">
        <v>75684.02599031401</v>
      </c>
      <c r="AF491">
        <v>75684.02599031401</v>
      </c>
      <c r="AH491">
        <v>75684.02599031401</v>
      </c>
      <c r="AI491">
        <v>1513.6805198062802</v>
      </c>
      <c r="AJ491">
        <v>77197.70651012029</v>
      </c>
      <c r="AK491">
        <v>771.97706510120292</v>
      </c>
      <c r="AL491">
        <v>77969.683575221497</v>
      </c>
      <c r="AM491">
        <v>1559.3936715044299</v>
      </c>
      <c r="AN491">
        <v>79529.077246725923</v>
      </c>
      <c r="AP491">
        <v>79529.077246725923</v>
      </c>
      <c r="AR491">
        <v>79529.077246725923</v>
      </c>
      <c r="AT491">
        <v>79529.077246725923</v>
      </c>
      <c r="AV491">
        <v>79529.077246725923</v>
      </c>
      <c r="AX491">
        <v>79529.077246725923</v>
      </c>
      <c r="AZ491">
        <v>79529.077246725923</v>
      </c>
      <c r="BB491">
        <v>79529.077246725923</v>
      </c>
      <c r="BD491">
        <v>79529.077246725923</v>
      </c>
      <c r="BF491">
        <v>79529.077246725923</v>
      </c>
      <c r="BH491">
        <v>79529.077246725923</v>
      </c>
      <c r="BJ491">
        <v>79529.077246725923</v>
      </c>
      <c r="BL491">
        <v>79529.077246725923</v>
      </c>
      <c r="BN491">
        <v>79529.077246725923</v>
      </c>
      <c r="BP491">
        <v>79529.077246725923</v>
      </c>
      <c r="BR491">
        <v>79529.077246725923</v>
      </c>
      <c r="BT491">
        <v>79529.077246725923</v>
      </c>
      <c r="BV491">
        <v>79529.077246725923</v>
      </c>
      <c r="BX491">
        <v>79529.077246725923</v>
      </c>
      <c r="BY491">
        <v>79529.08</v>
      </c>
      <c r="BZ491">
        <v>5069183.5599999996</v>
      </c>
      <c r="CA491">
        <v>254960</v>
      </c>
      <c r="CC491">
        <v>254960</v>
      </c>
      <c r="CD491">
        <v>75529.080012550985</v>
      </c>
      <c r="CE491">
        <v>4814223.5599999996</v>
      </c>
      <c r="CF491" t="s">
        <v>37</v>
      </c>
      <c r="CG491">
        <v>4000</v>
      </c>
      <c r="CH491">
        <v>79529.080012550985</v>
      </c>
      <c r="CI491">
        <v>254960</v>
      </c>
      <c r="CJ491">
        <v>5069183.5599999996</v>
      </c>
      <c r="CL491" t="s">
        <v>4840</v>
      </c>
      <c r="CN491">
        <v>0</v>
      </c>
      <c r="CO491" t="s">
        <v>39</v>
      </c>
      <c r="CP491" t="s">
        <v>39</v>
      </c>
      <c r="CQ491" t="b">
        <v>1</v>
      </c>
      <c r="CR491" t="s">
        <v>8950</v>
      </c>
      <c r="CT491" t="s">
        <v>8960</v>
      </c>
      <c r="CU491" t="s">
        <v>8971</v>
      </c>
      <c r="CV491" t="s">
        <v>6359</v>
      </c>
      <c r="CW491" t="s">
        <v>4895</v>
      </c>
      <c r="CX491" t="s">
        <v>3246</v>
      </c>
      <c r="CY491">
        <v>1.3599999999999923</v>
      </c>
      <c r="CZ491">
        <v>108159.54881706872</v>
      </c>
      <c r="DA491">
        <v>5069183.5599999996</v>
      </c>
      <c r="DB491" t="s">
        <v>37</v>
      </c>
      <c r="DC491" t="b">
        <v>1</v>
      </c>
      <c r="DD491">
        <v>5069183.5599999996</v>
      </c>
      <c r="DE491">
        <v>0</v>
      </c>
      <c r="DF491" t="b">
        <v>1</v>
      </c>
      <c r="DG491" s="420" cm="1">
        <f t="array" ref="DG491">_xlfn.XLOOKUP("Дом 4"&amp;Реестр_Д4[[#This Row],[№]]&amp;Реестр_Д4[[#This Row],[Статус]],РД[Дом]&amp;РД[№ кв]&amp;РД[Состояние],РД[Дата подачи на регистрацию],"-",0)</f>
        <v>45064</v>
      </c>
    </row>
    <row r="492" spans="1:111" x14ac:dyDescent="0.25">
      <c r="A492">
        <v>491</v>
      </c>
      <c r="B492" t="s">
        <v>15</v>
      </c>
      <c r="C492">
        <v>11</v>
      </c>
      <c r="D492">
        <v>9</v>
      </c>
      <c r="E492">
        <v>1</v>
      </c>
      <c r="F492">
        <v>16.46</v>
      </c>
      <c r="I492">
        <v>16.46</v>
      </c>
      <c r="J492">
        <v>14.25</v>
      </c>
      <c r="K492">
        <v>3.92</v>
      </c>
      <c r="N492">
        <v>8.2200000000000006</v>
      </c>
      <c r="O492">
        <v>3.03</v>
      </c>
      <c r="Q492">
        <v>3.03</v>
      </c>
      <c r="R492">
        <v>45.88</v>
      </c>
      <c r="S492">
        <v>42.85</v>
      </c>
      <c r="T492">
        <v>44.37</v>
      </c>
      <c r="U492">
        <v>46.1</v>
      </c>
      <c r="V492">
        <v>72100</v>
      </c>
      <c r="W492">
        <v>3605</v>
      </c>
      <c r="X492">
        <v>75705</v>
      </c>
      <c r="Z492">
        <v>75705</v>
      </c>
      <c r="AA492">
        <v>3785.25</v>
      </c>
      <c r="AB492">
        <v>79490.25</v>
      </c>
      <c r="AC492">
        <v>9.7773007500000002</v>
      </c>
      <c r="AD492">
        <v>79500.027300750007</v>
      </c>
      <c r="AE492">
        <v>3975.0013650375008</v>
      </c>
      <c r="AF492">
        <v>83475.028665787511</v>
      </c>
      <c r="AH492">
        <v>83475.028665787511</v>
      </c>
      <c r="AI492">
        <v>2504.2508599736252</v>
      </c>
      <c r="AJ492">
        <v>85979.279525761129</v>
      </c>
      <c r="AK492">
        <v>859.79279525761149</v>
      </c>
      <c r="AL492">
        <v>86839.072321018757</v>
      </c>
      <c r="AM492">
        <v>1736.7814464203752</v>
      </c>
      <c r="AN492">
        <v>88575.853767439126</v>
      </c>
      <c r="AO492">
        <v>1771.5170753487826</v>
      </c>
      <c r="AP492">
        <v>90347.370842787903</v>
      </c>
      <c r="AQ492">
        <v>2710.4211252836371</v>
      </c>
      <c r="AR492">
        <v>93057.791968071542</v>
      </c>
      <c r="AT492">
        <v>93057.791968071542</v>
      </c>
      <c r="AU492">
        <v>2791.7337590421462</v>
      </c>
      <c r="AV492">
        <v>95849.525727113694</v>
      </c>
      <c r="AX492">
        <v>95849.525727113694</v>
      </c>
      <c r="AZ492">
        <v>95849.525727113694</v>
      </c>
      <c r="BB492">
        <v>95849.525727113694</v>
      </c>
      <c r="BD492">
        <v>95849.525727113694</v>
      </c>
      <c r="BF492">
        <v>95849.525727113694</v>
      </c>
      <c r="BH492">
        <v>95849.525727113694</v>
      </c>
      <c r="BJ492">
        <v>95849.525727113694</v>
      </c>
      <c r="BL492">
        <v>95849.525727113694</v>
      </c>
      <c r="BN492">
        <v>95849.525727113694</v>
      </c>
      <c r="BP492">
        <v>95849.525727113694</v>
      </c>
      <c r="BR492">
        <v>95849.525727113694</v>
      </c>
      <c r="BT492">
        <v>95849.525727113694</v>
      </c>
      <c r="BV492">
        <v>95849.525727113694</v>
      </c>
      <c r="BX492">
        <v>95849.525727113694</v>
      </c>
      <c r="BY492">
        <v>95849.53</v>
      </c>
      <c r="BZ492">
        <v>4252843.6500000004</v>
      </c>
      <c r="CA492">
        <v>60000</v>
      </c>
      <c r="CC492">
        <v>60000</v>
      </c>
      <c r="CD492">
        <v>94497.265043948617</v>
      </c>
      <c r="CE492">
        <v>4192843.65</v>
      </c>
      <c r="CF492" t="s">
        <v>36</v>
      </c>
      <c r="CH492">
        <v>94497.265043948617</v>
      </c>
      <c r="CI492">
        <v>0</v>
      </c>
      <c r="CJ492">
        <v>4192843.65</v>
      </c>
      <c r="CL492" t="s">
        <v>3515</v>
      </c>
      <c r="CN492">
        <v>0</v>
      </c>
      <c r="CO492" t="s">
        <v>39</v>
      </c>
      <c r="CP492" t="s">
        <v>39</v>
      </c>
      <c r="CQ492" t="b">
        <v>1</v>
      </c>
      <c r="CR492" t="s">
        <v>8950</v>
      </c>
      <c r="CT492" t="s">
        <v>8960</v>
      </c>
      <c r="CU492" t="s">
        <v>8972</v>
      </c>
      <c r="CV492" t="s">
        <v>6360</v>
      </c>
      <c r="CW492" t="s">
        <v>4895</v>
      </c>
      <c r="CX492" t="s">
        <v>3246</v>
      </c>
      <c r="CY492">
        <v>1.730000000000004</v>
      </c>
      <c r="CZ492">
        <v>163480.26852603149</v>
      </c>
      <c r="DA492">
        <v>4192843.65</v>
      </c>
      <c r="DB492" t="s">
        <v>36</v>
      </c>
      <c r="DC492" t="b">
        <v>1</v>
      </c>
      <c r="DD492">
        <v>4192843.65</v>
      </c>
      <c r="DE492">
        <v>0</v>
      </c>
      <c r="DF492" t="b">
        <v>1</v>
      </c>
      <c r="DG492" s="420" cm="1">
        <f t="array" ref="DG492">_xlfn.XLOOKUP("Дом 4"&amp;Реестр_Д4[[#This Row],[№]]&amp;Реестр_Д4[[#This Row],[Статус]],РД[Дом]&amp;РД[№ кв]&amp;РД[Состояние],РД[Дата подачи на регистрацию],"-",0)</f>
        <v>45187</v>
      </c>
    </row>
    <row r="493" spans="1:111" x14ac:dyDescent="0.25">
      <c r="A493">
        <v>492</v>
      </c>
      <c r="B493" t="s">
        <v>15</v>
      </c>
      <c r="C493">
        <v>12</v>
      </c>
      <c r="D493">
        <v>1</v>
      </c>
      <c r="E493">
        <v>1</v>
      </c>
      <c r="F493">
        <v>14.05</v>
      </c>
      <c r="I493">
        <v>14.05</v>
      </c>
      <c r="J493">
        <v>12.32</v>
      </c>
      <c r="K493">
        <v>3.87</v>
      </c>
      <c r="N493">
        <v>8.14</v>
      </c>
      <c r="O493">
        <v>2.72</v>
      </c>
      <c r="Q493">
        <v>2.72</v>
      </c>
      <c r="R493">
        <v>41.1</v>
      </c>
      <c r="S493">
        <v>38.380000000000003</v>
      </c>
      <c r="T493">
        <v>39.74</v>
      </c>
      <c r="U493">
        <v>41.1</v>
      </c>
      <c r="V493">
        <v>72100</v>
      </c>
      <c r="W493">
        <v>3605</v>
      </c>
      <c r="X493">
        <v>75705</v>
      </c>
      <c r="Y493">
        <v>3028.2000000000003</v>
      </c>
      <c r="Z493">
        <v>78733.2</v>
      </c>
      <c r="AA493">
        <v>3936.66</v>
      </c>
      <c r="AB493">
        <v>82669.86</v>
      </c>
      <c r="AC493">
        <v>10.16839278</v>
      </c>
      <c r="AD493">
        <v>82680.028392780005</v>
      </c>
      <c r="AE493">
        <v>4134.0014196390002</v>
      </c>
      <c r="AF493">
        <v>86814.029812419001</v>
      </c>
      <c r="AH493">
        <v>86814.029812419001</v>
      </c>
      <c r="AI493">
        <v>2604.4208943725698</v>
      </c>
      <c r="AJ493">
        <v>89418.450706791569</v>
      </c>
      <c r="AK493">
        <v>894.18450706791566</v>
      </c>
      <c r="AL493">
        <v>90312.635213859481</v>
      </c>
      <c r="AM493">
        <v>1806.2527042771897</v>
      </c>
      <c r="AN493">
        <v>92118.887918136679</v>
      </c>
      <c r="AP493">
        <v>92118.887918136679</v>
      </c>
      <c r="AR493">
        <v>92118.887918136679</v>
      </c>
      <c r="AT493">
        <v>92118.887918136679</v>
      </c>
      <c r="AV493">
        <v>92118.887918136679</v>
      </c>
      <c r="AX493">
        <v>92118.887918136679</v>
      </c>
      <c r="AZ493">
        <v>92118.887918136679</v>
      </c>
      <c r="BB493">
        <v>92118.887918136679</v>
      </c>
      <c r="BD493">
        <v>92118.887918136679</v>
      </c>
      <c r="BF493">
        <v>92118.887918136679</v>
      </c>
      <c r="BH493">
        <v>92118.887918136679</v>
      </c>
      <c r="BJ493">
        <v>92118.887918136679</v>
      </c>
      <c r="BL493">
        <v>92118.887918136679</v>
      </c>
      <c r="BN493">
        <v>92118.887918136679</v>
      </c>
      <c r="BP493">
        <v>92118.887918136679</v>
      </c>
      <c r="BR493">
        <v>92118.887918136679</v>
      </c>
      <c r="BT493">
        <v>92118.887918136679</v>
      </c>
      <c r="BV493">
        <v>92118.887918136679</v>
      </c>
      <c r="BX493">
        <v>92118.887918136679</v>
      </c>
      <c r="BY493">
        <v>92118.89</v>
      </c>
      <c r="BZ493">
        <v>3660804.69</v>
      </c>
      <c r="CA493">
        <v>158960</v>
      </c>
      <c r="CC493">
        <v>158960</v>
      </c>
      <c r="CD493">
        <v>88118.890035228978</v>
      </c>
      <c r="CE493">
        <v>3501844.69</v>
      </c>
      <c r="CF493" t="s">
        <v>37</v>
      </c>
      <c r="CG493">
        <v>4000</v>
      </c>
      <c r="CH493">
        <v>92118.890035228978</v>
      </c>
      <c r="CI493">
        <v>158960</v>
      </c>
      <c r="CJ493">
        <v>3660804.69</v>
      </c>
      <c r="CL493" t="s">
        <v>4840</v>
      </c>
      <c r="CN493">
        <v>0</v>
      </c>
      <c r="CO493" t="s">
        <v>39</v>
      </c>
      <c r="CP493" t="s">
        <v>39</v>
      </c>
      <c r="CQ493" t="b">
        <v>1</v>
      </c>
      <c r="CR493" t="s">
        <v>8950</v>
      </c>
      <c r="CT493" t="s">
        <v>8960</v>
      </c>
      <c r="CU493" t="s">
        <v>8973</v>
      </c>
      <c r="CV493" t="s">
        <v>6361</v>
      </c>
      <c r="CW493" t="s">
        <v>4895</v>
      </c>
      <c r="CX493" t="s">
        <v>3246</v>
      </c>
      <c r="CY493">
        <v>1.3599999999999994</v>
      </c>
      <c r="CZ493">
        <v>125281.69044791136</v>
      </c>
      <c r="DA493">
        <v>3660804.69</v>
      </c>
      <c r="DB493" t="s">
        <v>37</v>
      </c>
      <c r="DC493" t="b">
        <v>1</v>
      </c>
      <c r="DD493">
        <v>3660804.69</v>
      </c>
      <c r="DE493">
        <v>0</v>
      </c>
      <c r="DF493" t="b">
        <v>1</v>
      </c>
      <c r="DG493" s="420" cm="1">
        <f t="array" ref="DG493">_xlfn.XLOOKUP("Дом 4"&amp;Реестр_Д4[[#This Row],[№]]&amp;Реестр_Д4[[#This Row],[Статус]],РД[Дом]&amp;РД[№ кв]&amp;РД[Состояние],РД[Дата подачи на регистрацию],"-",0)</f>
        <v>45077</v>
      </c>
    </row>
    <row r="494" spans="1:111" x14ac:dyDescent="0.25">
      <c r="A494">
        <v>493</v>
      </c>
      <c r="B494" t="s">
        <v>15</v>
      </c>
      <c r="C494">
        <v>12</v>
      </c>
      <c r="D494">
        <v>2</v>
      </c>
      <c r="E494">
        <v>1</v>
      </c>
      <c r="F494">
        <v>14.29</v>
      </c>
      <c r="I494">
        <v>14.29</v>
      </c>
      <c r="J494">
        <v>12.32</v>
      </c>
      <c r="K494">
        <v>3.72</v>
      </c>
      <c r="N494">
        <v>6.91</v>
      </c>
      <c r="O494">
        <v>2.72</v>
      </c>
      <c r="Q494">
        <v>2.72</v>
      </c>
      <c r="R494">
        <v>39.96</v>
      </c>
      <c r="S494">
        <v>37.24</v>
      </c>
      <c r="T494">
        <v>38.6</v>
      </c>
      <c r="U494">
        <v>39.700000000000003</v>
      </c>
      <c r="V494">
        <v>72100</v>
      </c>
      <c r="W494">
        <v>3605</v>
      </c>
      <c r="X494">
        <v>75705</v>
      </c>
      <c r="Y494">
        <v>3028.2000000000003</v>
      </c>
      <c r="Z494">
        <v>78733.2</v>
      </c>
      <c r="AA494">
        <v>3936.66</v>
      </c>
      <c r="AB494">
        <v>82669.86</v>
      </c>
      <c r="AC494">
        <v>10.16839278</v>
      </c>
      <c r="AD494">
        <v>82680.028392780005</v>
      </c>
      <c r="AE494">
        <v>4134.0014196390002</v>
      </c>
      <c r="AF494">
        <v>86814.029812419001</v>
      </c>
      <c r="AH494">
        <v>86814.029812419001</v>
      </c>
      <c r="AI494">
        <v>2604.4208943725698</v>
      </c>
      <c r="AJ494">
        <v>89418.450706791569</v>
      </c>
      <c r="AK494">
        <v>894.18450706791566</v>
      </c>
      <c r="AL494">
        <v>90312.635213859481</v>
      </c>
      <c r="AM494">
        <v>1806.2527042771897</v>
      </c>
      <c r="AN494">
        <v>92118.887918136679</v>
      </c>
      <c r="AO494">
        <v>1842.3777583627336</v>
      </c>
      <c r="AP494">
        <v>93961.265676499403</v>
      </c>
      <c r="AQ494">
        <v>2818.8379702949819</v>
      </c>
      <c r="AR494">
        <v>96780.103646794378</v>
      </c>
      <c r="AT494">
        <v>96780.103646794378</v>
      </c>
      <c r="AU494">
        <v>2903.4031094038314</v>
      </c>
      <c r="AV494">
        <v>99683.506756198214</v>
      </c>
      <c r="AW494">
        <v>3987.3402702479289</v>
      </c>
      <c r="AX494">
        <v>103670.84702644614</v>
      </c>
      <c r="AZ494">
        <v>103670.84702644614</v>
      </c>
      <c r="BB494">
        <v>103670.84702644614</v>
      </c>
      <c r="BD494">
        <v>103670.84702644614</v>
      </c>
      <c r="BF494">
        <v>103670.84702644614</v>
      </c>
      <c r="BH494">
        <v>103670.84702644614</v>
      </c>
      <c r="BJ494">
        <v>103670.84702644614</v>
      </c>
      <c r="BL494">
        <v>103670.84702644614</v>
      </c>
      <c r="BN494">
        <v>103670.84702644614</v>
      </c>
      <c r="BP494">
        <v>103670.84702644614</v>
      </c>
      <c r="BR494">
        <v>103670.84702644614</v>
      </c>
      <c r="BT494">
        <v>103670.84702644614</v>
      </c>
      <c r="BV494">
        <v>103670.84702644614</v>
      </c>
      <c r="BX494">
        <v>103670.84702644614</v>
      </c>
      <c r="BY494">
        <v>103670.85</v>
      </c>
      <c r="BZ494">
        <v>4001694.81</v>
      </c>
      <c r="CC494">
        <v>0</v>
      </c>
      <c r="CD494">
        <v>103670.85</v>
      </c>
      <c r="CE494">
        <v>4001694.81</v>
      </c>
      <c r="CF494" t="s">
        <v>37</v>
      </c>
      <c r="CG494">
        <v>7500</v>
      </c>
      <c r="CH494">
        <v>111170.85</v>
      </c>
      <c r="CI494">
        <v>289499.99999999953</v>
      </c>
      <c r="CJ494">
        <v>4291194.8099999996</v>
      </c>
      <c r="CN494">
        <v>0</v>
      </c>
      <c r="CO494" t="s">
        <v>39</v>
      </c>
      <c r="CP494" t="s">
        <v>39</v>
      </c>
      <c r="CQ494" t="b">
        <v>1</v>
      </c>
      <c r="CR494" t="s">
        <v>8950</v>
      </c>
      <c r="CT494" t="s">
        <v>8960</v>
      </c>
      <c r="CU494" t="s">
        <v>8973</v>
      </c>
      <c r="CV494" t="s">
        <v>6362</v>
      </c>
      <c r="CW494" t="s">
        <v>4895</v>
      </c>
      <c r="CX494" t="s">
        <v>3246</v>
      </c>
      <c r="CY494">
        <v>1.0999999999999943</v>
      </c>
      <c r="CZ494">
        <v>122287.93499999936</v>
      </c>
      <c r="DA494">
        <v>4291194.8099999996</v>
      </c>
      <c r="DB494" t="s">
        <v>37</v>
      </c>
      <c r="DC494" t="b">
        <v>1</v>
      </c>
      <c r="DD494">
        <v>4291194.8099999996</v>
      </c>
      <c r="DE494">
        <v>0</v>
      </c>
      <c r="DF494" t="b">
        <v>1</v>
      </c>
      <c r="DG494" s="420" cm="1">
        <f t="array" ref="DG494">_xlfn.XLOOKUP("Дом 4"&amp;Реестр_Д4[[#This Row],[№]]&amp;Реестр_Д4[[#This Row],[Статус]],РД[Дом]&amp;РД[№ кв]&amp;РД[Состояние],РД[Дата подачи на регистрацию],"-",0)</f>
        <v>45243</v>
      </c>
    </row>
    <row r="495" spans="1:111" x14ac:dyDescent="0.25">
      <c r="A495">
        <v>494</v>
      </c>
      <c r="B495" t="s">
        <v>15</v>
      </c>
      <c r="C495">
        <v>12</v>
      </c>
      <c r="D495">
        <v>3</v>
      </c>
      <c r="E495">
        <v>3</v>
      </c>
      <c r="F495">
        <v>16.05</v>
      </c>
      <c r="G495">
        <v>11.28</v>
      </c>
      <c r="H495">
        <v>10.82</v>
      </c>
      <c r="I495">
        <v>38.15</v>
      </c>
      <c r="J495">
        <v>17.41</v>
      </c>
      <c r="K495">
        <v>3.81</v>
      </c>
      <c r="L495">
        <v>1.87</v>
      </c>
      <c r="N495">
        <v>11.71</v>
      </c>
      <c r="O495">
        <v>2.65</v>
      </c>
      <c r="Q495">
        <v>2.65</v>
      </c>
      <c r="R495">
        <v>75.599999999999994</v>
      </c>
      <c r="S495">
        <v>72.949999999999989</v>
      </c>
      <c r="T495">
        <v>74.28</v>
      </c>
      <c r="U495">
        <v>75.7</v>
      </c>
      <c r="V495">
        <v>67737.600000000006</v>
      </c>
      <c r="W495">
        <v>3386.880000000001</v>
      </c>
      <c r="X495">
        <v>71124.48000000001</v>
      </c>
      <c r="Z495">
        <v>71124.48000000001</v>
      </c>
      <c r="AB495">
        <v>71124.48000000001</v>
      </c>
      <c r="AC495">
        <v>8.7483110400000026</v>
      </c>
      <c r="AD495">
        <v>71133.228311040017</v>
      </c>
      <c r="AF495">
        <v>71133.228311040017</v>
      </c>
      <c r="AH495">
        <v>71133.228311040017</v>
      </c>
      <c r="AI495">
        <v>2133.9968493312003</v>
      </c>
      <c r="AJ495">
        <v>73267.225160371221</v>
      </c>
      <c r="AK495">
        <v>2198.0167548111367</v>
      </c>
      <c r="AL495">
        <v>75465.241915182356</v>
      </c>
      <c r="AM495">
        <v>3018.6096766072942</v>
      </c>
      <c r="AN495">
        <v>78483.851591789644</v>
      </c>
      <c r="AO495">
        <v>2354.5155477536891</v>
      </c>
      <c r="AP495">
        <v>80838.367139543334</v>
      </c>
      <c r="AR495">
        <v>80838.367139543334</v>
      </c>
      <c r="AT495">
        <v>80838.367139543334</v>
      </c>
      <c r="AV495">
        <v>80838.367139543334</v>
      </c>
      <c r="AX495">
        <v>80838.367139543334</v>
      </c>
      <c r="AZ495">
        <v>80838.367139543334</v>
      </c>
      <c r="BB495">
        <v>80838.367139543334</v>
      </c>
      <c r="BD495">
        <v>80838.367139543334</v>
      </c>
      <c r="BF495">
        <v>80838.367139543334</v>
      </c>
      <c r="BH495">
        <v>80838.367139543334</v>
      </c>
      <c r="BJ495">
        <v>80838.367139543334</v>
      </c>
      <c r="BL495">
        <v>80838.367139543334</v>
      </c>
      <c r="BN495">
        <v>80838.367139543334</v>
      </c>
      <c r="BP495">
        <v>80838.367139543334</v>
      </c>
      <c r="BR495">
        <v>80838.367139543334</v>
      </c>
      <c r="BT495">
        <v>80838.367139543334</v>
      </c>
      <c r="BV495">
        <v>80838.367139543334</v>
      </c>
      <c r="BX495">
        <v>80838.367139543334</v>
      </c>
      <c r="BY495">
        <v>80838.37</v>
      </c>
      <c r="BZ495">
        <v>6004674.1200000001</v>
      </c>
      <c r="CC495">
        <v>0</v>
      </c>
      <c r="CD495">
        <v>80838.36995153474</v>
      </c>
      <c r="CE495">
        <v>6004674.1200000001</v>
      </c>
      <c r="CF495" t="s">
        <v>37</v>
      </c>
      <c r="CG495">
        <v>4000</v>
      </c>
      <c r="CH495">
        <v>84838.36995153474</v>
      </c>
      <c r="CI495">
        <v>297120</v>
      </c>
      <c r="CJ495">
        <v>6301794.1200000001</v>
      </c>
      <c r="CK495" t="s">
        <v>57</v>
      </c>
      <c r="CN495">
        <v>0</v>
      </c>
      <c r="CO495" t="s">
        <v>39</v>
      </c>
      <c r="CP495" t="s">
        <v>39</v>
      </c>
      <c r="CQ495" t="b">
        <v>1</v>
      </c>
      <c r="CR495" t="s">
        <v>8950</v>
      </c>
      <c r="CT495" t="s">
        <v>8960</v>
      </c>
      <c r="CU495" t="s">
        <v>8990</v>
      </c>
      <c r="CV495" t="s">
        <v>6363</v>
      </c>
      <c r="CW495" t="s">
        <v>4895</v>
      </c>
      <c r="CX495" t="s">
        <v>3246</v>
      </c>
      <c r="CY495">
        <v>1.4200000000000017</v>
      </c>
      <c r="CZ495">
        <v>120470.48533117949</v>
      </c>
      <c r="DA495">
        <v>6301794.1200000001</v>
      </c>
      <c r="DB495" t="s">
        <v>37</v>
      </c>
      <c r="DC495" t="b">
        <v>1</v>
      </c>
      <c r="DD495">
        <v>6301794.1200000001</v>
      </c>
      <c r="DE495">
        <v>0</v>
      </c>
      <c r="DF495" t="b">
        <v>1</v>
      </c>
      <c r="DG495" s="420" cm="1">
        <f t="array" ref="DG495">_xlfn.XLOOKUP("Дом 4"&amp;Реестр_Д4[[#This Row],[№]]&amp;Реестр_Д4[[#This Row],[Статус]],РД[Дом]&amp;РД[№ кв]&amp;РД[Состояние],РД[Дата подачи на регистрацию],"-",0)</f>
        <v>45119</v>
      </c>
    </row>
    <row r="496" spans="1:111" x14ac:dyDescent="0.25">
      <c r="A496">
        <v>495</v>
      </c>
      <c r="B496" t="s">
        <v>15</v>
      </c>
      <c r="C496">
        <v>12</v>
      </c>
      <c r="D496">
        <v>4</v>
      </c>
      <c r="E496">
        <v>1</v>
      </c>
      <c r="F496">
        <v>12.09</v>
      </c>
      <c r="I496">
        <v>12.09</v>
      </c>
      <c r="J496">
        <v>12.26</v>
      </c>
      <c r="K496">
        <v>3.71</v>
      </c>
      <c r="N496">
        <v>7.06</v>
      </c>
      <c r="O496">
        <v>2.75</v>
      </c>
      <c r="Q496">
        <v>2.75</v>
      </c>
      <c r="R496">
        <v>37.869999999999997</v>
      </c>
      <c r="S496">
        <v>35.119999999999997</v>
      </c>
      <c r="T496">
        <v>36.5</v>
      </c>
      <c r="U496">
        <v>37.5</v>
      </c>
      <c r="V496">
        <v>72100</v>
      </c>
      <c r="W496">
        <v>3605</v>
      </c>
      <c r="X496">
        <v>75705</v>
      </c>
      <c r="Y496">
        <v>3028.2000000000003</v>
      </c>
      <c r="Z496">
        <v>78733.2</v>
      </c>
      <c r="AA496">
        <v>3936.66</v>
      </c>
      <c r="AB496">
        <v>82669.86</v>
      </c>
      <c r="AD496">
        <v>82669.86</v>
      </c>
      <c r="AF496">
        <v>82669.86</v>
      </c>
      <c r="AH496">
        <v>82669.86</v>
      </c>
      <c r="AJ496">
        <v>82669.86</v>
      </c>
      <c r="AL496">
        <v>82669.86</v>
      </c>
      <c r="AN496">
        <v>82669.86</v>
      </c>
      <c r="AP496">
        <v>82669.86</v>
      </c>
      <c r="AR496">
        <v>82669.86</v>
      </c>
      <c r="AT496">
        <v>82669.86</v>
      </c>
      <c r="AV496">
        <v>82669.86</v>
      </c>
      <c r="AX496">
        <v>82669.86</v>
      </c>
      <c r="AZ496">
        <v>82669.86</v>
      </c>
      <c r="BB496">
        <v>82669.86</v>
      </c>
      <c r="BD496">
        <v>82669.86</v>
      </c>
      <c r="BF496">
        <v>82669.86</v>
      </c>
      <c r="BH496">
        <v>82669.86</v>
      </c>
      <c r="BJ496">
        <v>82669.86</v>
      </c>
      <c r="BL496">
        <v>82669.86</v>
      </c>
      <c r="BN496">
        <v>82669.86</v>
      </c>
      <c r="BP496">
        <v>82669.86</v>
      </c>
      <c r="BR496">
        <v>82669.86</v>
      </c>
      <c r="BT496">
        <v>82669.86</v>
      </c>
      <c r="BV496">
        <v>82669.86</v>
      </c>
      <c r="BX496">
        <v>82669.86</v>
      </c>
      <c r="BY496">
        <v>82669.86</v>
      </c>
      <c r="BZ496">
        <v>3017449.89</v>
      </c>
      <c r="CC496">
        <v>0</v>
      </c>
      <c r="CD496">
        <v>82669.86</v>
      </c>
      <c r="CE496">
        <v>3017449.89</v>
      </c>
      <c r="CF496" t="s">
        <v>37</v>
      </c>
      <c r="CG496">
        <v>7500</v>
      </c>
      <c r="CH496">
        <v>90169.86</v>
      </c>
      <c r="CI496">
        <v>273750</v>
      </c>
      <c r="CJ496">
        <v>3291199.89</v>
      </c>
      <c r="CN496">
        <v>0</v>
      </c>
      <c r="CO496" t="s">
        <v>39</v>
      </c>
      <c r="CP496" t="s">
        <v>39</v>
      </c>
      <c r="CQ496" t="b">
        <v>1</v>
      </c>
      <c r="CR496" t="s">
        <v>8950</v>
      </c>
      <c r="CT496" t="s">
        <v>8960</v>
      </c>
      <c r="CU496" t="s">
        <v>8973</v>
      </c>
      <c r="CV496" t="s">
        <v>6364</v>
      </c>
      <c r="CW496" t="s">
        <v>4895</v>
      </c>
      <c r="CX496" t="s">
        <v>3246</v>
      </c>
      <c r="CY496">
        <v>1</v>
      </c>
      <c r="CZ496">
        <v>90169.86</v>
      </c>
      <c r="DA496">
        <v>3291199.89</v>
      </c>
      <c r="DB496" t="s">
        <v>37</v>
      </c>
      <c r="DC496" t="b">
        <v>1</v>
      </c>
      <c r="DD496">
        <v>3291199.89</v>
      </c>
      <c r="DE496">
        <v>0</v>
      </c>
      <c r="DF496" t="b">
        <v>1</v>
      </c>
      <c r="DG496" s="420" cm="1">
        <f t="array" ref="DG496">_xlfn.XLOOKUP("Дом 4"&amp;Реестр_Д4[[#This Row],[№]]&amp;Реестр_Д4[[#This Row],[Статус]],РД[Дом]&amp;РД[№ кв]&amp;РД[Состояние],РД[Дата подачи на регистрацию],"-",0)</f>
        <v>44893</v>
      </c>
    </row>
    <row r="497" spans="1:111" x14ac:dyDescent="0.25">
      <c r="A497">
        <v>496</v>
      </c>
      <c r="B497" t="s">
        <v>15</v>
      </c>
      <c r="C497">
        <v>12</v>
      </c>
      <c r="D497">
        <v>5</v>
      </c>
      <c r="E497">
        <v>2</v>
      </c>
      <c r="F497">
        <v>15.61</v>
      </c>
      <c r="G497">
        <v>12.02</v>
      </c>
      <c r="I497">
        <v>27.63</v>
      </c>
      <c r="J497">
        <v>13.1</v>
      </c>
      <c r="K497">
        <v>3.61</v>
      </c>
      <c r="L497">
        <v>1.82</v>
      </c>
      <c r="N497">
        <v>8.52</v>
      </c>
      <c r="O497">
        <v>2.72</v>
      </c>
      <c r="Q497">
        <v>2.72</v>
      </c>
      <c r="R497">
        <v>57.4</v>
      </c>
      <c r="S497">
        <v>54.68</v>
      </c>
      <c r="T497">
        <v>56.04</v>
      </c>
      <c r="U497">
        <v>57.5</v>
      </c>
      <c r="V497">
        <v>67972.800000000003</v>
      </c>
      <c r="W497">
        <v>3398.6400000000003</v>
      </c>
      <c r="X497">
        <v>71371.44</v>
      </c>
      <c r="Z497">
        <v>71371.44</v>
      </c>
      <c r="AA497">
        <v>3568.5720000000001</v>
      </c>
      <c r="AB497">
        <v>74940.012000000002</v>
      </c>
      <c r="AC497">
        <v>9.2176214760000015</v>
      </c>
      <c r="AD497">
        <v>74949.229621475999</v>
      </c>
      <c r="AF497">
        <v>74949.229621475999</v>
      </c>
      <c r="AH497">
        <v>74949.229621475999</v>
      </c>
      <c r="AJ497">
        <v>74949.229621475999</v>
      </c>
      <c r="AL497">
        <v>74949.229621475999</v>
      </c>
      <c r="AN497">
        <v>74949.229621475999</v>
      </c>
      <c r="AP497">
        <v>74949.229621475999</v>
      </c>
      <c r="AR497">
        <v>74949.229621475999</v>
      </c>
      <c r="AT497">
        <v>74949.229621475999</v>
      </c>
      <c r="AV497">
        <v>74949.229621475999</v>
      </c>
      <c r="AX497">
        <v>74949.229621475999</v>
      </c>
      <c r="AZ497">
        <v>74949.229621475999</v>
      </c>
      <c r="BB497">
        <v>74949.229621475999</v>
      </c>
      <c r="BD497">
        <v>74949.229621475999</v>
      </c>
      <c r="BF497">
        <v>74949.229621475999</v>
      </c>
      <c r="BH497">
        <v>74949.229621475999</v>
      </c>
      <c r="BJ497">
        <v>74949.229621475999</v>
      </c>
      <c r="BL497">
        <v>74949.229621475999</v>
      </c>
      <c r="BN497">
        <v>74949.229621475999</v>
      </c>
      <c r="BP497">
        <v>74949.229621475999</v>
      </c>
      <c r="BR497">
        <v>74949.229621475999</v>
      </c>
      <c r="BT497">
        <v>74949.229621475999</v>
      </c>
      <c r="BV497">
        <v>74949.229621475999</v>
      </c>
      <c r="BX497">
        <v>74949.229621475999</v>
      </c>
      <c r="BY497">
        <v>74949.23</v>
      </c>
      <c r="BZ497">
        <v>4200154.8499999996</v>
      </c>
      <c r="CC497">
        <v>0</v>
      </c>
      <c r="CD497">
        <v>74949.230014275527</v>
      </c>
      <c r="CE497">
        <v>4200154.8499999996</v>
      </c>
      <c r="CF497" t="s">
        <v>37</v>
      </c>
      <c r="CG497">
        <v>4000</v>
      </c>
      <c r="CH497">
        <v>78949.230014275527</v>
      </c>
      <c r="CI497">
        <v>224160</v>
      </c>
      <c r="CJ497">
        <v>4424314.8499999996</v>
      </c>
      <c r="CN497">
        <v>0</v>
      </c>
      <c r="CO497" t="s">
        <v>39</v>
      </c>
      <c r="CP497" t="s">
        <v>39</v>
      </c>
      <c r="CQ497" t="b">
        <v>1</v>
      </c>
      <c r="CR497" t="s">
        <v>8950</v>
      </c>
      <c r="CT497" t="s">
        <v>8960</v>
      </c>
      <c r="CU497" t="s">
        <v>8974</v>
      </c>
      <c r="CV497" t="s">
        <v>6365</v>
      </c>
      <c r="CW497" t="s">
        <v>4895</v>
      </c>
      <c r="CX497" t="s">
        <v>3246</v>
      </c>
      <c r="CY497">
        <v>1.4600000000000009</v>
      </c>
      <c r="CZ497">
        <v>115265.87582084232</v>
      </c>
      <c r="DA497">
        <v>4424314.8499999996</v>
      </c>
      <c r="DB497" t="s">
        <v>37</v>
      </c>
      <c r="DC497" t="b">
        <v>1</v>
      </c>
      <c r="DD497">
        <v>4424314.8499999996</v>
      </c>
      <c r="DE497">
        <v>0</v>
      </c>
      <c r="DF497" t="b">
        <v>1</v>
      </c>
      <c r="DG497" s="420" cm="1">
        <f t="array" ref="DG497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498" spans="1:111" x14ac:dyDescent="0.25">
      <c r="A498">
        <v>497</v>
      </c>
      <c r="B498" t="s">
        <v>15</v>
      </c>
      <c r="C498">
        <v>12</v>
      </c>
      <c r="D498">
        <v>6</v>
      </c>
      <c r="E498">
        <v>2</v>
      </c>
      <c r="F498">
        <v>15.61</v>
      </c>
      <c r="G498">
        <v>9.66</v>
      </c>
      <c r="I498">
        <v>25.27</v>
      </c>
      <c r="J498">
        <v>16.53</v>
      </c>
      <c r="K498">
        <v>3.63</v>
      </c>
      <c r="L498">
        <v>2.21</v>
      </c>
      <c r="N498">
        <v>9.6199999999999992</v>
      </c>
      <c r="O498">
        <v>2.72</v>
      </c>
      <c r="Q498">
        <v>2.72</v>
      </c>
      <c r="R498">
        <v>59.98</v>
      </c>
      <c r="S498">
        <v>57.26</v>
      </c>
      <c r="T498">
        <v>58.62</v>
      </c>
      <c r="U498">
        <v>60.7</v>
      </c>
      <c r="V498">
        <v>68639.199999999997</v>
      </c>
      <c r="W498">
        <v>3431.96</v>
      </c>
      <c r="X498">
        <v>72071.16</v>
      </c>
      <c r="Z498">
        <v>72071.16</v>
      </c>
      <c r="AA498">
        <v>3603.558</v>
      </c>
      <c r="AB498">
        <v>75674.717999999993</v>
      </c>
      <c r="AC498">
        <v>9.3079903140000013</v>
      </c>
      <c r="AD498">
        <v>75684.02599031401</v>
      </c>
      <c r="AF498">
        <v>75684.02599031401</v>
      </c>
      <c r="AH498">
        <v>75684.02599031401</v>
      </c>
      <c r="AI498">
        <v>1513.6805198062802</v>
      </c>
      <c r="AJ498">
        <v>77197.70651012029</v>
      </c>
      <c r="AK498">
        <v>771.97706510120292</v>
      </c>
      <c r="AL498">
        <v>77969.683575221497</v>
      </c>
      <c r="AM498">
        <v>1559.3936715044299</v>
      </c>
      <c r="AN498">
        <v>79529.077246725923</v>
      </c>
      <c r="AO498">
        <v>2385.8723174017778</v>
      </c>
      <c r="AP498">
        <v>81914.949564127703</v>
      </c>
      <c r="AQ498">
        <v>2457.4484869238308</v>
      </c>
      <c r="AR498">
        <v>84372.398051051539</v>
      </c>
      <c r="AS498">
        <v>4218.6199025525775</v>
      </c>
      <c r="AT498">
        <v>88591.017953604111</v>
      </c>
      <c r="AU498">
        <v>2657.7305386081234</v>
      </c>
      <c r="AV498">
        <v>91248.748492212238</v>
      </c>
      <c r="AX498">
        <v>91248.748492212238</v>
      </c>
      <c r="AZ498">
        <v>91248.748492212238</v>
      </c>
      <c r="BB498">
        <v>91248.748492212238</v>
      </c>
      <c r="BD498">
        <v>91248.748492212238</v>
      </c>
      <c r="BF498">
        <v>91248.748492212238</v>
      </c>
      <c r="BH498">
        <v>91248.748492212238</v>
      </c>
      <c r="BJ498">
        <v>91248.748492212238</v>
      </c>
      <c r="BL498">
        <v>91248.748492212238</v>
      </c>
      <c r="BN498">
        <v>91248.748492212238</v>
      </c>
      <c r="BP498">
        <v>91248.748492212238</v>
      </c>
      <c r="BR498">
        <v>91248.748492212238</v>
      </c>
      <c r="BT498">
        <v>91248.748492212238</v>
      </c>
      <c r="BV498">
        <v>91248.748492212238</v>
      </c>
      <c r="BX498">
        <v>91248.748492212238</v>
      </c>
      <c r="BY498">
        <v>91248.75</v>
      </c>
      <c r="BZ498">
        <v>5349100</v>
      </c>
      <c r="CA498">
        <v>20000</v>
      </c>
      <c r="CC498">
        <v>20000</v>
      </c>
      <c r="CD498">
        <v>90909.245991129312</v>
      </c>
      <c r="CE498">
        <v>5329100</v>
      </c>
      <c r="CF498" t="s">
        <v>36</v>
      </c>
      <c r="CH498">
        <v>90909.245991129312</v>
      </c>
      <c r="CI498">
        <v>0</v>
      </c>
      <c r="CJ498">
        <v>5329100</v>
      </c>
      <c r="CL498" t="s">
        <v>3441</v>
      </c>
      <c r="CN498">
        <v>0</v>
      </c>
      <c r="CO498" t="s">
        <v>39</v>
      </c>
      <c r="CP498" t="s">
        <v>39</v>
      </c>
      <c r="CQ498" t="b">
        <v>1</v>
      </c>
      <c r="CR498" t="s">
        <v>8950</v>
      </c>
      <c r="CT498" t="s">
        <v>8960</v>
      </c>
      <c r="CU498" t="s">
        <v>8971</v>
      </c>
      <c r="CV498" t="s">
        <v>6366</v>
      </c>
      <c r="CW498" t="s">
        <v>6652</v>
      </c>
      <c r="CX498" t="s">
        <v>3246</v>
      </c>
      <c r="CY498">
        <v>2.0800000000000054</v>
      </c>
      <c r="CZ498">
        <v>189091.23166154945</v>
      </c>
      <c r="DA498">
        <v>5329100</v>
      </c>
      <c r="DB498" t="s">
        <v>36</v>
      </c>
      <c r="DC498" t="b">
        <v>1</v>
      </c>
      <c r="DD498">
        <v>5329100</v>
      </c>
      <c r="DE498">
        <v>0</v>
      </c>
      <c r="DF498" t="b">
        <v>1</v>
      </c>
      <c r="DG498" s="420" cm="1">
        <f t="array" ref="DG498">_xlfn.XLOOKUP("Дом 4"&amp;Реестр_Д4[[#This Row],[№]]&amp;Реестр_Д4[[#This Row],[Статус]],РД[Дом]&amp;РД[№ кв]&amp;РД[Состояние],РД[Дата подачи на регистрацию],"-",0)</f>
        <v>45282</v>
      </c>
    </row>
    <row r="499" spans="1:111" x14ac:dyDescent="0.25">
      <c r="A499">
        <v>498</v>
      </c>
      <c r="B499" t="s">
        <v>15</v>
      </c>
      <c r="C499">
        <v>12</v>
      </c>
      <c r="D499">
        <v>7</v>
      </c>
      <c r="E499">
        <v>2</v>
      </c>
      <c r="F499">
        <v>11.83</v>
      </c>
      <c r="G499">
        <v>11.4</v>
      </c>
      <c r="I499">
        <v>23.23</v>
      </c>
      <c r="J499">
        <v>27.16</v>
      </c>
      <c r="K499">
        <v>5.28</v>
      </c>
      <c r="L499">
        <v>1.75</v>
      </c>
      <c r="N499">
        <v>8.67</v>
      </c>
      <c r="O499">
        <v>2.8</v>
      </c>
      <c r="Q499">
        <v>2.8</v>
      </c>
      <c r="R499">
        <v>68.89</v>
      </c>
      <c r="S499">
        <v>66.09</v>
      </c>
      <c r="T499">
        <v>67.489999999999995</v>
      </c>
      <c r="U499">
        <v>69.5</v>
      </c>
      <c r="V499">
        <v>71971.199999999997</v>
      </c>
      <c r="W499">
        <v>3598.56</v>
      </c>
      <c r="X499">
        <v>75569.759999999995</v>
      </c>
      <c r="Z499">
        <v>75569.759999999995</v>
      </c>
      <c r="AA499">
        <v>3778.4879999999998</v>
      </c>
      <c r="AB499">
        <v>79348.248000000007</v>
      </c>
      <c r="AC499">
        <v>9.7598345040000005</v>
      </c>
      <c r="AD499">
        <v>79358.007834503995</v>
      </c>
      <c r="AF499">
        <v>79358.007834503995</v>
      </c>
      <c r="AH499">
        <v>79358.007834503995</v>
      </c>
      <c r="AI499">
        <v>1587.1601566900799</v>
      </c>
      <c r="AJ499">
        <v>80945.167991194074</v>
      </c>
      <c r="AK499">
        <v>2428.3550397358222</v>
      </c>
      <c r="AL499">
        <v>83373.523030929893</v>
      </c>
      <c r="AM499">
        <v>3334.9409212371957</v>
      </c>
      <c r="AN499">
        <v>86708.463952167091</v>
      </c>
      <c r="AP499">
        <v>86708.463952167091</v>
      </c>
      <c r="AQ499">
        <v>2601.253918565013</v>
      </c>
      <c r="AR499">
        <v>89309.7178707321</v>
      </c>
      <c r="AT499">
        <v>89309.7178707321</v>
      </c>
      <c r="AU499">
        <v>2679.291536121963</v>
      </c>
      <c r="AV499">
        <v>91989.009406854064</v>
      </c>
      <c r="AX499">
        <v>91989.009406854064</v>
      </c>
      <c r="AZ499">
        <v>91989.009406854064</v>
      </c>
      <c r="BB499">
        <v>91989.009406854064</v>
      </c>
      <c r="BD499">
        <v>91989.009406854064</v>
      </c>
      <c r="BF499">
        <v>91989.009406854064</v>
      </c>
      <c r="BH499">
        <v>91989.009406854064</v>
      </c>
      <c r="BJ499">
        <v>91989.009406854064</v>
      </c>
      <c r="BL499">
        <v>91989.009406854064</v>
      </c>
      <c r="BN499">
        <v>91989.009406854064</v>
      </c>
      <c r="BP499">
        <v>91989.009406854064</v>
      </c>
      <c r="BR499">
        <v>91989.009406854064</v>
      </c>
      <c r="BT499">
        <v>91989.009406854064</v>
      </c>
      <c r="BV499">
        <v>91989.009406854064</v>
      </c>
      <c r="BX499">
        <v>91989.009406854064</v>
      </c>
      <c r="BY499">
        <v>91989.01</v>
      </c>
      <c r="BZ499">
        <v>6208400</v>
      </c>
      <c r="CB499">
        <v>0.02</v>
      </c>
      <c r="CC499">
        <v>124168</v>
      </c>
      <c r="CD499">
        <v>90150.125944584404</v>
      </c>
      <c r="CE499">
        <v>6084232</v>
      </c>
      <c r="CF499" t="s">
        <v>38</v>
      </c>
      <c r="CG499">
        <v>22000</v>
      </c>
      <c r="CH499">
        <v>112150.1259445844</v>
      </c>
      <c r="CI499">
        <v>1484780</v>
      </c>
      <c r="CJ499">
        <v>7569012</v>
      </c>
      <c r="CK499" t="s">
        <v>57</v>
      </c>
      <c r="CL499" t="s">
        <v>321</v>
      </c>
      <c r="CN499">
        <v>0</v>
      </c>
      <c r="CO499" t="s">
        <v>39</v>
      </c>
      <c r="CP499" t="s">
        <v>39</v>
      </c>
      <c r="CQ499" t="b">
        <v>1</v>
      </c>
      <c r="CR499" t="s">
        <v>8950</v>
      </c>
      <c r="CT499" t="s">
        <v>8960</v>
      </c>
      <c r="CU499" t="s">
        <v>8971</v>
      </c>
      <c r="CV499" t="s">
        <v>6367</v>
      </c>
      <c r="CW499" t="s">
        <v>6652</v>
      </c>
      <c r="CX499" t="s">
        <v>3246</v>
      </c>
      <c r="CY499">
        <v>2.0100000000000051</v>
      </c>
      <c r="CZ499">
        <v>225421.75314861519</v>
      </c>
      <c r="DA499">
        <v>7569012</v>
      </c>
      <c r="DB499" t="s">
        <v>38</v>
      </c>
      <c r="DC499" t="b">
        <v>1</v>
      </c>
      <c r="DD499">
        <v>7569012</v>
      </c>
      <c r="DE499">
        <v>0</v>
      </c>
      <c r="DF499" t="b">
        <v>1</v>
      </c>
      <c r="DG499" s="420" cm="1">
        <f t="array" ref="DG499">_xlfn.XLOOKUP("Дом 4"&amp;Реестр_Д4[[#This Row],[№]]&amp;Реестр_Д4[[#This Row],[Статус]],РД[Дом]&amp;РД[№ кв]&amp;РД[Состояние],РД[Дата подачи на регистрацию],"-",0)</f>
        <v>45290</v>
      </c>
    </row>
    <row r="500" spans="1:111" x14ac:dyDescent="0.25">
      <c r="A500">
        <v>499</v>
      </c>
      <c r="B500" t="s">
        <v>15</v>
      </c>
      <c r="C500">
        <v>12</v>
      </c>
      <c r="D500">
        <v>8</v>
      </c>
      <c r="E500">
        <v>2</v>
      </c>
      <c r="F500">
        <v>17.25</v>
      </c>
      <c r="G500">
        <v>14.07</v>
      </c>
      <c r="I500">
        <v>31.32</v>
      </c>
      <c r="J500">
        <v>14.23</v>
      </c>
      <c r="K500">
        <v>3.81</v>
      </c>
      <c r="L500">
        <v>1.75</v>
      </c>
      <c r="N500">
        <v>11.07</v>
      </c>
      <c r="O500">
        <v>3.12</v>
      </c>
      <c r="Q500">
        <v>3.12</v>
      </c>
      <c r="R500">
        <v>65.3</v>
      </c>
      <c r="S500">
        <v>62.18</v>
      </c>
      <c r="T500">
        <v>63.74</v>
      </c>
      <c r="U500">
        <v>65.099999999999994</v>
      </c>
      <c r="V500">
        <v>69305.600000000006</v>
      </c>
      <c r="W500">
        <v>3465.2800000000007</v>
      </c>
      <c r="X500">
        <v>72770.880000000005</v>
      </c>
      <c r="Z500">
        <v>72770.880000000005</v>
      </c>
      <c r="AA500">
        <v>3638.5439999999999</v>
      </c>
      <c r="AB500">
        <v>76409.423999999999</v>
      </c>
      <c r="AC500">
        <v>9.3983591520000012</v>
      </c>
      <c r="AD500">
        <v>76418.822359152007</v>
      </c>
      <c r="AF500">
        <v>76418.822359152007</v>
      </c>
      <c r="AH500">
        <v>76418.822359152007</v>
      </c>
      <c r="AI500">
        <v>1528.37644718304</v>
      </c>
      <c r="AJ500">
        <v>77947.198806335029</v>
      </c>
      <c r="AK500">
        <v>779.4719880633503</v>
      </c>
      <c r="AL500">
        <v>78726.670794398378</v>
      </c>
      <c r="AM500">
        <v>1574.5334158879675</v>
      </c>
      <c r="AN500">
        <v>80301.204210286349</v>
      </c>
      <c r="AP500">
        <v>80301.204210286349</v>
      </c>
      <c r="AQ500">
        <v>2409.0361263085906</v>
      </c>
      <c r="AR500">
        <v>82710.240336594943</v>
      </c>
      <c r="AT500">
        <v>82710.240336594943</v>
      </c>
      <c r="AU500">
        <v>2481.3072100978484</v>
      </c>
      <c r="AV500">
        <v>85191.547546692789</v>
      </c>
      <c r="AX500">
        <v>85191.547546692789</v>
      </c>
      <c r="AZ500">
        <v>85191.547546692789</v>
      </c>
      <c r="BB500">
        <v>85191.547546692789</v>
      </c>
      <c r="BD500">
        <v>85191.547546692789</v>
      </c>
      <c r="BF500">
        <v>85191.547546692789</v>
      </c>
      <c r="BH500">
        <v>85191.547546692789</v>
      </c>
      <c r="BJ500">
        <v>85191.547546692789</v>
      </c>
      <c r="BL500">
        <v>85191.547546692789</v>
      </c>
      <c r="BN500">
        <v>85191.547546692789</v>
      </c>
      <c r="BP500">
        <v>85191.547546692789</v>
      </c>
      <c r="BR500">
        <v>85191.547546692789</v>
      </c>
      <c r="BT500">
        <v>85191.547546692789</v>
      </c>
      <c r="BV500">
        <v>85191.547546692789</v>
      </c>
      <c r="BX500">
        <v>85191.547546692789</v>
      </c>
      <c r="BY500">
        <v>85191.55</v>
      </c>
      <c r="BZ500">
        <v>5430109.4000000004</v>
      </c>
      <c r="CB500">
        <v>0.02</v>
      </c>
      <c r="CC500">
        <v>108602.18799999999</v>
      </c>
      <c r="CD500">
        <v>83487.719014747403</v>
      </c>
      <c r="CE500">
        <v>5321507.21</v>
      </c>
      <c r="CF500" t="s">
        <v>38</v>
      </c>
      <c r="CG500">
        <v>22000</v>
      </c>
      <c r="CH500">
        <v>105487.7190147474</v>
      </c>
      <c r="CI500">
        <v>1402280</v>
      </c>
      <c r="CJ500">
        <v>6723787.21</v>
      </c>
      <c r="CL500" t="s">
        <v>3540</v>
      </c>
      <c r="CN500">
        <v>0</v>
      </c>
      <c r="CO500" t="s">
        <v>39</v>
      </c>
      <c r="CP500" t="s">
        <v>39</v>
      </c>
      <c r="CQ500" t="b">
        <v>1</v>
      </c>
      <c r="CR500" t="s">
        <v>8950</v>
      </c>
      <c r="CT500" t="s">
        <v>8960</v>
      </c>
      <c r="CU500" t="s">
        <v>8971</v>
      </c>
      <c r="CV500" t="s">
        <v>6368</v>
      </c>
      <c r="CW500" t="s">
        <v>4895</v>
      </c>
      <c r="CX500" t="s">
        <v>3246</v>
      </c>
      <c r="CY500">
        <v>1.3599999999999923</v>
      </c>
      <c r="CZ500">
        <v>143463.29786005567</v>
      </c>
      <c r="DA500">
        <v>6723787.21</v>
      </c>
      <c r="DB500" t="s">
        <v>38</v>
      </c>
      <c r="DC500" t="b">
        <v>1</v>
      </c>
      <c r="DD500">
        <v>6723787.21</v>
      </c>
      <c r="DE500">
        <v>0</v>
      </c>
      <c r="DF500" t="b">
        <v>1</v>
      </c>
      <c r="DG500" s="420" cm="1">
        <f t="array" ref="DG500">_xlfn.XLOOKUP("Дом 4"&amp;Реестр_Д4[[#This Row],[№]]&amp;Реестр_Д4[[#This Row],[Статус]],РД[Дом]&amp;РД[№ кв]&amp;РД[Состояние],РД[Дата подачи на регистрацию],"-",0)</f>
        <v>45229</v>
      </c>
    </row>
    <row r="501" spans="1:111" x14ac:dyDescent="0.25">
      <c r="A501">
        <v>500</v>
      </c>
      <c r="B501" t="s">
        <v>15</v>
      </c>
      <c r="C501">
        <v>12</v>
      </c>
      <c r="D501">
        <v>9</v>
      </c>
      <c r="E501">
        <v>1</v>
      </c>
      <c r="F501">
        <v>16.46</v>
      </c>
      <c r="I501">
        <v>16.46</v>
      </c>
      <c r="J501">
        <v>14.25</v>
      </c>
      <c r="K501">
        <v>3.92</v>
      </c>
      <c r="N501">
        <v>8.2200000000000006</v>
      </c>
      <c r="O501">
        <v>3.03</v>
      </c>
      <c r="Q501">
        <v>3.03</v>
      </c>
      <c r="R501">
        <v>45.88</v>
      </c>
      <c r="S501">
        <v>42.85</v>
      </c>
      <c r="T501">
        <v>44.37</v>
      </c>
      <c r="U501">
        <v>45.9</v>
      </c>
      <c r="V501">
        <v>72800</v>
      </c>
      <c r="W501">
        <v>3640</v>
      </c>
      <c r="X501">
        <v>76440</v>
      </c>
      <c r="Z501">
        <v>76440</v>
      </c>
      <c r="AA501">
        <v>3822</v>
      </c>
      <c r="AB501">
        <v>80262</v>
      </c>
      <c r="AC501">
        <v>9.8722260000000013</v>
      </c>
      <c r="AD501">
        <v>80271.872226000007</v>
      </c>
      <c r="AE501">
        <v>4013.5936113000007</v>
      </c>
      <c r="AF501">
        <v>84285.465837300013</v>
      </c>
      <c r="AH501">
        <v>84285.465837300013</v>
      </c>
      <c r="AI501">
        <v>2528.5639751190001</v>
      </c>
      <c r="AJ501">
        <v>86814.029812419001</v>
      </c>
      <c r="AK501">
        <v>868.14029812419028</v>
      </c>
      <c r="AL501">
        <v>87682.1701105432</v>
      </c>
      <c r="AM501">
        <v>1753.643402210864</v>
      </c>
      <c r="AN501">
        <v>89435.813512754059</v>
      </c>
      <c r="AO501">
        <v>1788.7162702550811</v>
      </c>
      <c r="AP501">
        <v>91224.529783009159</v>
      </c>
      <c r="AR501">
        <v>91224.529783009159</v>
      </c>
      <c r="AT501">
        <v>91224.529783009159</v>
      </c>
      <c r="AV501">
        <v>91224.529783009159</v>
      </c>
      <c r="AX501">
        <v>91224.529783009159</v>
      </c>
      <c r="AZ501">
        <v>91224.529783009159</v>
      </c>
      <c r="BB501">
        <v>91224.529783009159</v>
      </c>
      <c r="BD501">
        <v>91224.529783009159</v>
      </c>
      <c r="BF501">
        <v>91224.529783009159</v>
      </c>
      <c r="BH501">
        <v>91224.529783009159</v>
      </c>
      <c r="BJ501">
        <v>91224.529783009159</v>
      </c>
      <c r="BL501">
        <v>91224.529783009159</v>
      </c>
      <c r="BN501">
        <v>91224.529783009159</v>
      </c>
      <c r="BP501">
        <v>91224.529783009159</v>
      </c>
      <c r="BR501">
        <v>91224.529783009159</v>
      </c>
      <c r="BT501">
        <v>91224.529783009159</v>
      </c>
      <c r="BV501">
        <v>91224.529783009159</v>
      </c>
      <c r="BX501">
        <v>91224.529783009159</v>
      </c>
      <c r="BY501">
        <v>91224.53</v>
      </c>
      <c r="BZ501">
        <v>4047632.4</v>
      </c>
      <c r="CC501">
        <v>0</v>
      </c>
      <c r="CD501">
        <v>91224.530087897234</v>
      </c>
      <c r="CE501">
        <v>4047632.4</v>
      </c>
      <c r="CF501" t="s">
        <v>37</v>
      </c>
      <c r="CG501">
        <v>4000</v>
      </c>
      <c r="CH501">
        <v>95224.530087897234</v>
      </c>
      <c r="CI501">
        <v>177480.00000000047</v>
      </c>
      <c r="CJ501">
        <v>4225112.4000000004</v>
      </c>
      <c r="CN501">
        <v>0</v>
      </c>
      <c r="CO501" t="s">
        <v>39</v>
      </c>
      <c r="CP501" t="s">
        <v>39</v>
      </c>
      <c r="CQ501" t="b">
        <v>1</v>
      </c>
      <c r="CR501" t="s">
        <v>8950</v>
      </c>
      <c r="CT501" t="s">
        <v>8960</v>
      </c>
      <c r="CU501" t="s">
        <v>8972</v>
      </c>
      <c r="CV501" t="s">
        <v>6369</v>
      </c>
      <c r="CW501" t="s">
        <v>4895</v>
      </c>
      <c r="CX501" t="s">
        <v>3246</v>
      </c>
      <c r="CY501">
        <v>1.5300000000000011</v>
      </c>
      <c r="CZ501">
        <v>145693.53103448288</v>
      </c>
      <c r="DA501">
        <v>4225112.4000000004</v>
      </c>
      <c r="DB501" t="s">
        <v>37</v>
      </c>
      <c r="DC501" t="b">
        <v>1</v>
      </c>
      <c r="DD501">
        <v>4225112.4000000004</v>
      </c>
      <c r="DE501">
        <v>0</v>
      </c>
      <c r="DF501" t="b">
        <v>1</v>
      </c>
      <c r="DG501" s="420" cm="1">
        <f t="array" ref="DG501">_xlfn.XLOOKUP("Дом 4"&amp;Реестр_Д4[[#This Row],[№]]&amp;Реестр_Д4[[#This Row],[Статус]],РД[Дом]&amp;РД[№ кв]&amp;РД[Состояние],РД[Дата подачи на регистрацию],"-",0)</f>
        <v>45113</v>
      </c>
    </row>
    <row r="502" spans="1:111" x14ac:dyDescent="0.25">
      <c r="A502">
        <v>501</v>
      </c>
      <c r="B502" t="s">
        <v>15</v>
      </c>
      <c r="C502">
        <v>13</v>
      </c>
      <c r="D502">
        <v>1</v>
      </c>
      <c r="E502">
        <v>1</v>
      </c>
      <c r="F502">
        <v>14.05</v>
      </c>
      <c r="I502">
        <v>14.05</v>
      </c>
      <c r="J502">
        <v>12.32</v>
      </c>
      <c r="K502">
        <v>3.87</v>
      </c>
      <c r="N502">
        <v>8.14</v>
      </c>
      <c r="O502">
        <v>2.72</v>
      </c>
      <c r="Q502">
        <v>2.72</v>
      </c>
      <c r="R502">
        <v>41.1</v>
      </c>
      <c r="S502">
        <v>38.380000000000003</v>
      </c>
      <c r="T502">
        <v>39.74</v>
      </c>
      <c r="U502">
        <v>41.1</v>
      </c>
      <c r="V502">
        <v>72100</v>
      </c>
      <c r="W502">
        <v>3605</v>
      </c>
      <c r="X502">
        <v>75705</v>
      </c>
      <c r="Y502">
        <v>3028.2000000000003</v>
      </c>
      <c r="Z502">
        <v>78733.2</v>
      </c>
      <c r="AA502">
        <v>3936.66</v>
      </c>
      <c r="AB502">
        <v>82669.86</v>
      </c>
      <c r="AC502">
        <v>10.16839278</v>
      </c>
      <c r="AD502">
        <v>82680.028392780005</v>
      </c>
      <c r="AE502">
        <v>4134.0014196390002</v>
      </c>
      <c r="AF502">
        <v>86814.029812419001</v>
      </c>
      <c r="AH502">
        <v>86814.029812419001</v>
      </c>
      <c r="AI502">
        <v>2604.4208943725698</v>
      </c>
      <c r="AJ502">
        <v>89418.450706791569</v>
      </c>
      <c r="AK502">
        <v>894.18450706791566</v>
      </c>
      <c r="AL502">
        <v>90312.635213859481</v>
      </c>
      <c r="AM502">
        <v>1806.2527042771897</v>
      </c>
      <c r="AN502">
        <v>92118.887918136679</v>
      </c>
      <c r="AP502">
        <v>92118.887918136679</v>
      </c>
      <c r="AQ502">
        <v>2763.5666375440996</v>
      </c>
      <c r="AR502">
        <v>94882.454555680772</v>
      </c>
      <c r="AT502">
        <v>94882.454555680772</v>
      </c>
      <c r="AV502">
        <v>94882.454555680772</v>
      </c>
      <c r="AX502">
        <v>94882.454555680772</v>
      </c>
      <c r="AZ502">
        <v>94882.454555680772</v>
      </c>
      <c r="BB502">
        <v>94882.454555680772</v>
      </c>
      <c r="BD502">
        <v>94882.454555680772</v>
      </c>
      <c r="BF502">
        <v>94882.454555680772</v>
      </c>
      <c r="BH502">
        <v>94882.454555680772</v>
      </c>
      <c r="BJ502">
        <v>94882.454555680772</v>
      </c>
      <c r="BL502">
        <v>94882.454555680772</v>
      </c>
      <c r="BN502">
        <v>94882.454555680772</v>
      </c>
      <c r="BP502">
        <v>94882.454555680772</v>
      </c>
      <c r="BR502">
        <v>94882.454555680772</v>
      </c>
      <c r="BT502">
        <v>94882.454555680772</v>
      </c>
      <c r="BV502">
        <v>94882.454555680772</v>
      </c>
      <c r="BX502">
        <v>94882.454555680772</v>
      </c>
      <c r="BY502">
        <v>94882.45</v>
      </c>
      <c r="BZ502">
        <v>3770628.56</v>
      </c>
      <c r="CA502">
        <v>60000</v>
      </c>
      <c r="CC502">
        <v>60000</v>
      </c>
      <c r="CD502">
        <v>93372.636134876695</v>
      </c>
      <c r="CE502">
        <v>3710628.56</v>
      </c>
      <c r="CF502" t="s">
        <v>37</v>
      </c>
      <c r="CG502">
        <v>4500</v>
      </c>
      <c r="CH502">
        <v>97872.636134876695</v>
      </c>
      <c r="CI502">
        <v>178830</v>
      </c>
      <c r="CJ502">
        <v>3889458.56</v>
      </c>
      <c r="CL502" t="s">
        <v>3515</v>
      </c>
      <c r="CN502">
        <v>0</v>
      </c>
      <c r="CO502" t="s">
        <v>39</v>
      </c>
      <c r="CP502" t="s">
        <v>39</v>
      </c>
      <c r="CQ502" t="b">
        <v>1</v>
      </c>
      <c r="CR502" t="s">
        <v>8950</v>
      </c>
      <c r="CT502" t="s">
        <v>8960</v>
      </c>
      <c r="CU502" t="s">
        <v>8973</v>
      </c>
      <c r="CV502" t="s">
        <v>6370</v>
      </c>
      <c r="CW502" t="s">
        <v>4895</v>
      </c>
      <c r="CX502" t="s">
        <v>3246</v>
      </c>
      <c r="CY502">
        <v>1.3599999999999994</v>
      </c>
      <c r="CZ502">
        <v>133106.78514343224</v>
      </c>
      <c r="DA502">
        <v>3889458.56</v>
      </c>
      <c r="DB502" t="s">
        <v>37</v>
      </c>
      <c r="DC502" t="b">
        <v>1</v>
      </c>
      <c r="DD502">
        <v>3889458.56</v>
      </c>
      <c r="DE502">
        <v>0</v>
      </c>
      <c r="DF502" t="b">
        <v>1</v>
      </c>
      <c r="DG502" s="420" cm="1">
        <f t="array" ref="DG502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503" spans="1:111" x14ac:dyDescent="0.25">
      <c r="A503">
        <v>502</v>
      </c>
      <c r="B503" t="s">
        <v>15</v>
      </c>
      <c r="C503">
        <v>13</v>
      </c>
      <c r="D503">
        <v>2</v>
      </c>
      <c r="E503">
        <v>1</v>
      </c>
      <c r="F503">
        <v>14.29</v>
      </c>
      <c r="I503">
        <v>14.29</v>
      </c>
      <c r="J503">
        <v>12.32</v>
      </c>
      <c r="K503">
        <v>3.72</v>
      </c>
      <c r="N503">
        <v>6.91</v>
      </c>
      <c r="O503">
        <v>2.72</v>
      </c>
      <c r="Q503">
        <v>2.72</v>
      </c>
      <c r="R503">
        <v>39.96</v>
      </c>
      <c r="S503">
        <v>37.24</v>
      </c>
      <c r="T503">
        <v>38.6</v>
      </c>
      <c r="U503">
        <v>40</v>
      </c>
      <c r="V503">
        <v>72100</v>
      </c>
      <c r="W503">
        <v>3605</v>
      </c>
      <c r="X503">
        <v>75705</v>
      </c>
      <c r="Y503">
        <v>3028.2000000000003</v>
      </c>
      <c r="Z503">
        <v>78733.2</v>
      </c>
      <c r="AA503">
        <v>3936.66</v>
      </c>
      <c r="AB503">
        <v>82669.86</v>
      </c>
      <c r="AC503">
        <v>10.16839278</v>
      </c>
      <c r="AD503">
        <v>82680.028392780005</v>
      </c>
      <c r="AE503">
        <v>4134.0014196390002</v>
      </c>
      <c r="AF503">
        <v>86814.029812419001</v>
      </c>
      <c r="AH503">
        <v>86814.029812419001</v>
      </c>
      <c r="AI503">
        <v>2604.4208943725698</v>
      </c>
      <c r="AJ503">
        <v>89418.450706791569</v>
      </c>
      <c r="AK503">
        <v>894.18450706791566</v>
      </c>
      <c r="AL503">
        <v>90312.635213859481</v>
      </c>
      <c r="AM503">
        <v>1806.2527042771897</v>
      </c>
      <c r="AN503">
        <v>92118.887918136679</v>
      </c>
      <c r="AO503">
        <v>1842.3777583627336</v>
      </c>
      <c r="AP503">
        <v>93961.265676499403</v>
      </c>
      <c r="AQ503">
        <v>2818.8379702949819</v>
      </c>
      <c r="AR503">
        <v>96780.103646794378</v>
      </c>
      <c r="AT503">
        <v>96780.103646794378</v>
      </c>
      <c r="AU503">
        <v>2903.4031094038314</v>
      </c>
      <c r="AV503">
        <v>99683.506756198214</v>
      </c>
      <c r="AX503">
        <v>99683.506756198214</v>
      </c>
      <c r="AZ503">
        <v>99683.506756198214</v>
      </c>
      <c r="BB503">
        <v>99683.506756198214</v>
      </c>
      <c r="BD503">
        <v>99683.506756198214</v>
      </c>
      <c r="BF503">
        <v>99683.506756198214</v>
      </c>
      <c r="BH503">
        <v>99683.506756198214</v>
      </c>
      <c r="BJ503">
        <v>99683.506756198214</v>
      </c>
      <c r="BL503">
        <v>99683.506756198214</v>
      </c>
      <c r="BN503">
        <v>99683.506756198214</v>
      </c>
      <c r="BP503">
        <v>99683.506756198214</v>
      </c>
      <c r="BR503">
        <v>99683.506756198214</v>
      </c>
      <c r="BT503">
        <v>99683.506756198214</v>
      </c>
      <c r="BV503">
        <v>99683.506756198214</v>
      </c>
      <c r="BX503">
        <v>99683.506756198214</v>
      </c>
      <c r="BY503">
        <v>99683.51</v>
      </c>
      <c r="BZ503">
        <v>3847783.49</v>
      </c>
      <c r="CB503">
        <v>0.02</v>
      </c>
      <c r="CC503">
        <v>76955.669800000003</v>
      </c>
      <c r="CD503">
        <v>97689.839896373043</v>
      </c>
      <c r="CE503">
        <v>3770827.82</v>
      </c>
      <c r="CF503" t="s">
        <v>38</v>
      </c>
      <c r="CG503">
        <v>15500</v>
      </c>
      <c r="CH503">
        <v>113189.83989637304</v>
      </c>
      <c r="CI503">
        <v>598300.00000000047</v>
      </c>
      <c r="CJ503">
        <v>4369127.82</v>
      </c>
      <c r="CL503" t="s">
        <v>4518</v>
      </c>
      <c r="CN503">
        <v>0</v>
      </c>
      <c r="CO503" t="s">
        <v>39</v>
      </c>
      <c r="CP503" t="s">
        <v>39</v>
      </c>
      <c r="CQ503" t="b">
        <v>1</v>
      </c>
      <c r="CR503" t="s">
        <v>8950</v>
      </c>
      <c r="CT503" t="s">
        <v>8960</v>
      </c>
      <c r="CU503" t="s">
        <v>8973</v>
      </c>
      <c r="CV503" t="s">
        <v>6371</v>
      </c>
      <c r="CW503" t="s">
        <v>4895</v>
      </c>
      <c r="CX503" t="s">
        <v>3246</v>
      </c>
      <c r="CY503">
        <v>1.3999999999999986</v>
      </c>
      <c r="CZ503">
        <v>158465.7758549221</v>
      </c>
      <c r="DA503">
        <v>4369127.82</v>
      </c>
      <c r="DB503" t="s">
        <v>38</v>
      </c>
      <c r="DC503" t="b">
        <v>1</v>
      </c>
      <c r="DD503">
        <v>4369127.82</v>
      </c>
      <c r="DE503">
        <v>0</v>
      </c>
      <c r="DF503" t="b">
        <v>1</v>
      </c>
      <c r="DG503" s="420" cm="1">
        <f t="array" ref="DG503">_xlfn.XLOOKUP("Дом 4"&amp;Реестр_Д4[[#This Row],[№]]&amp;Реестр_Д4[[#This Row],[Статус]],РД[Дом]&amp;РД[№ кв]&amp;РД[Состояние],РД[Дата подачи на регистрацию],"-",0)</f>
        <v>45183</v>
      </c>
    </row>
    <row r="504" spans="1:111" x14ac:dyDescent="0.25">
      <c r="A504">
        <v>503</v>
      </c>
      <c r="B504" t="s">
        <v>15</v>
      </c>
      <c r="C504">
        <v>13</v>
      </c>
      <c r="D504">
        <v>3</v>
      </c>
      <c r="E504">
        <v>3</v>
      </c>
      <c r="F504">
        <v>16.05</v>
      </c>
      <c r="G504">
        <v>11.28</v>
      </c>
      <c r="H504">
        <v>10.82</v>
      </c>
      <c r="I504">
        <v>38.15</v>
      </c>
      <c r="J504">
        <v>17.41</v>
      </c>
      <c r="K504">
        <v>3.81</v>
      </c>
      <c r="L504">
        <v>1.87</v>
      </c>
      <c r="N504">
        <v>11.71</v>
      </c>
      <c r="O504">
        <v>2.65</v>
      </c>
      <c r="Q504">
        <v>2.65</v>
      </c>
      <c r="R504">
        <v>75.599999999999994</v>
      </c>
      <c r="S504">
        <v>72.949999999999989</v>
      </c>
      <c r="T504">
        <v>74.28</v>
      </c>
      <c r="U504">
        <v>75.7</v>
      </c>
      <c r="V504">
        <v>67737.600000000006</v>
      </c>
      <c r="W504">
        <v>3386.880000000001</v>
      </c>
      <c r="X504">
        <v>71124.48000000001</v>
      </c>
      <c r="Z504">
        <v>71124.48000000001</v>
      </c>
      <c r="AB504">
        <v>71124.48000000001</v>
      </c>
      <c r="AC504">
        <v>8.7483110400000026</v>
      </c>
      <c r="AD504">
        <v>71133.228311040017</v>
      </c>
      <c r="AF504">
        <v>71133.228311040017</v>
      </c>
      <c r="AH504">
        <v>71133.228311040017</v>
      </c>
      <c r="AJ504">
        <v>71133.228311040017</v>
      </c>
      <c r="AL504">
        <v>71133.228311040017</v>
      </c>
      <c r="AN504">
        <v>71133.228311040017</v>
      </c>
      <c r="AP504">
        <v>71133.228311040017</v>
      </c>
      <c r="AR504">
        <v>71133.228311040017</v>
      </c>
      <c r="AT504">
        <v>71133.228311040017</v>
      </c>
      <c r="AV504">
        <v>71133.228311040017</v>
      </c>
      <c r="AX504">
        <v>71133.228311040017</v>
      </c>
      <c r="AZ504">
        <v>71133.228311040017</v>
      </c>
      <c r="BB504">
        <v>71133.228311040017</v>
      </c>
      <c r="BD504">
        <v>71133.228311040017</v>
      </c>
      <c r="BF504">
        <v>71133.228311040017</v>
      </c>
      <c r="BH504">
        <v>71133.228311040017</v>
      </c>
      <c r="BJ504">
        <v>71133.228311040017</v>
      </c>
      <c r="BL504">
        <v>71133.228311040017</v>
      </c>
      <c r="BN504">
        <v>71133.228311040017</v>
      </c>
      <c r="BP504">
        <v>71133.228311040017</v>
      </c>
      <c r="BR504">
        <v>71133.228311040017</v>
      </c>
      <c r="BT504">
        <v>71133.228311040017</v>
      </c>
      <c r="BV504">
        <v>71133.228311040017</v>
      </c>
      <c r="BX504">
        <v>71133.228311040017</v>
      </c>
      <c r="BY504">
        <v>71133.23</v>
      </c>
      <c r="BZ504">
        <v>5283776.32</v>
      </c>
      <c r="CC504">
        <v>0</v>
      </c>
      <c r="CD504">
        <v>71133.229940764679</v>
      </c>
      <c r="CE504">
        <v>5283776.32</v>
      </c>
      <c r="CF504" t="s">
        <v>37</v>
      </c>
      <c r="CG504">
        <v>4000</v>
      </c>
      <c r="CH504">
        <v>75133.229940764679</v>
      </c>
      <c r="CI504">
        <v>297120</v>
      </c>
      <c r="CJ504">
        <v>5580896.3200000003</v>
      </c>
      <c r="CK504" t="s">
        <v>57</v>
      </c>
      <c r="CN504">
        <v>0</v>
      </c>
      <c r="CO504" t="s">
        <v>39</v>
      </c>
      <c r="CP504" t="s">
        <v>39</v>
      </c>
      <c r="CQ504" t="b">
        <v>1</v>
      </c>
      <c r="CR504" t="s">
        <v>8950</v>
      </c>
      <c r="CT504" t="s">
        <v>8960</v>
      </c>
      <c r="CU504" t="s">
        <v>8990</v>
      </c>
      <c r="CV504" t="s">
        <v>6372</v>
      </c>
      <c r="CW504" t="s">
        <v>4895</v>
      </c>
      <c r="CX504" t="s">
        <v>3246</v>
      </c>
      <c r="CY504">
        <v>1.4200000000000017</v>
      </c>
      <c r="CZ504">
        <v>106689.18651588596</v>
      </c>
      <c r="DA504">
        <v>5580896.3200000003</v>
      </c>
      <c r="DB504" t="s">
        <v>37</v>
      </c>
      <c r="DC504" t="b">
        <v>1</v>
      </c>
      <c r="DD504">
        <v>5580896.3200000003</v>
      </c>
      <c r="DE504">
        <v>0</v>
      </c>
      <c r="DF504" t="b">
        <v>1</v>
      </c>
      <c r="DG504" s="420" cm="1">
        <f t="array" ref="DG504">_xlfn.XLOOKUP("Дом 4"&amp;Реестр_Д4[[#This Row],[№]]&amp;Реестр_Д4[[#This Row],[Статус]],РД[Дом]&amp;РД[№ кв]&amp;РД[Состояние],РД[Дата подачи на регистрацию],"-",0)</f>
        <v>44986</v>
      </c>
    </row>
    <row r="505" spans="1:111" x14ac:dyDescent="0.25">
      <c r="A505">
        <v>504</v>
      </c>
      <c r="B505" t="s">
        <v>15</v>
      </c>
      <c r="C505">
        <v>13</v>
      </c>
      <c r="D505">
        <v>4</v>
      </c>
      <c r="E505">
        <v>1</v>
      </c>
      <c r="F505">
        <v>12.09</v>
      </c>
      <c r="I505">
        <v>12.09</v>
      </c>
      <c r="J505">
        <v>12.26</v>
      </c>
      <c r="K505">
        <v>3.71</v>
      </c>
      <c r="N505">
        <v>7.06</v>
      </c>
      <c r="O505">
        <v>2.75</v>
      </c>
      <c r="Q505">
        <v>2.75</v>
      </c>
      <c r="R505">
        <v>37.869999999999997</v>
      </c>
      <c r="S505">
        <v>35.119999999999997</v>
      </c>
      <c r="T505">
        <v>36.5</v>
      </c>
      <c r="U505">
        <v>37.6</v>
      </c>
      <c r="V505">
        <v>72100</v>
      </c>
      <c r="W505">
        <v>3605</v>
      </c>
      <c r="X505">
        <v>75705</v>
      </c>
      <c r="Y505">
        <v>3028.2000000000003</v>
      </c>
      <c r="Z505">
        <v>78733.2</v>
      </c>
      <c r="AA505">
        <v>3936.66</v>
      </c>
      <c r="AB505">
        <v>82669.86</v>
      </c>
      <c r="AC505">
        <v>10.16839278</v>
      </c>
      <c r="AD505">
        <v>82680.028392780005</v>
      </c>
      <c r="AE505">
        <v>4134.0014196390002</v>
      </c>
      <c r="AF505">
        <v>86814.029812419001</v>
      </c>
      <c r="AG505">
        <v>4340.7014906209506</v>
      </c>
      <c r="AH505">
        <v>91154.731303039953</v>
      </c>
      <c r="AI505">
        <v>2734.6419390911983</v>
      </c>
      <c r="AJ505">
        <v>93889.373242131158</v>
      </c>
      <c r="AK505">
        <v>938.8937324213116</v>
      </c>
      <c r="AL505">
        <v>94828.266974552476</v>
      </c>
      <c r="AM505">
        <v>1896.5653394910496</v>
      </c>
      <c r="AN505">
        <v>96724.832314043524</v>
      </c>
      <c r="AO505">
        <v>1934.4966462808704</v>
      </c>
      <c r="AP505">
        <v>98659.328960324405</v>
      </c>
      <c r="AQ505">
        <v>2959.7798688097314</v>
      </c>
      <c r="AR505">
        <v>101619.10882913411</v>
      </c>
      <c r="AT505">
        <v>101619.10882913411</v>
      </c>
      <c r="AU505">
        <v>3048.5732648740232</v>
      </c>
      <c r="AV505">
        <v>104667.68209400814</v>
      </c>
      <c r="AW505">
        <v>6280.0609256404878</v>
      </c>
      <c r="AX505">
        <v>110947.74301964862</v>
      </c>
      <c r="AZ505">
        <v>110947.74301964862</v>
      </c>
      <c r="BB505">
        <v>110947.74301964862</v>
      </c>
      <c r="BD505">
        <v>110947.74301964862</v>
      </c>
      <c r="BF505">
        <v>110947.74301964862</v>
      </c>
      <c r="BH505">
        <v>110947.74301964862</v>
      </c>
      <c r="BI505">
        <v>5547.3871509824312</v>
      </c>
      <c r="BJ505">
        <v>116495.13017063103</v>
      </c>
      <c r="BK505">
        <v>500</v>
      </c>
      <c r="BL505">
        <v>116995.13017063103</v>
      </c>
      <c r="BN505">
        <v>116995.13017063103</v>
      </c>
      <c r="BP505">
        <v>116995.13017063103</v>
      </c>
      <c r="BR505">
        <v>116995.13017063103</v>
      </c>
      <c r="BT505">
        <v>116995.13017063103</v>
      </c>
      <c r="BV505">
        <v>116995.13017063103</v>
      </c>
      <c r="BX505">
        <v>116995.13017063103</v>
      </c>
      <c r="BY505">
        <v>116995.13</v>
      </c>
      <c r="BZ505">
        <v>4270400</v>
      </c>
      <c r="CC505">
        <v>0</v>
      </c>
      <c r="CD505">
        <v>116997.2602739726</v>
      </c>
      <c r="CE505">
        <v>4270400</v>
      </c>
      <c r="CF505" t="s">
        <v>36</v>
      </c>
      <c r="CH505">
        <v>116997.2602739726</v>
      </c>
      <c r="CI505">
        <v>0</v>
      </c>
      <c r="CJ505">
        <v>4270400</v>
      </c>
      <c r="CN505">
        <v>0</v>
      </c>
      <c r="CO505" t="s">
        <v>39</v>
      </c>
      <c r="CP505" t="s">
        <v>39</v>
      </c>
      <c r="CQ505" t="b">
        <v>1</v>
      </c>
      <c r="CR505" t="s">
        <v>8950</v>
      </c>
      <c r="CT505" t="s">
        <v>8960</v>
      </c>
      <c r="CU505" t="s">
        <v>8973</v>
      </c>
      <c r="CV505" t="s">
        <v>6373</v>
      </c>
      <c r="CW505" t="s">
        <v>6652</v>
      </c>
      <c r="CX505" t="s">
        <v>3246</v>
      </c>
      <c r="CY505">
        <v>1.1000000000000014</v>
      </c>
      <c r="CZ505">
        <v>128696.98630137002</v>
      </c>
      <c r="DA505">
        <v>4270400</v>
      </c>
      <c r="DB505" t="s">
        <v>36</v>
      </c>
      <c r="DC505" t="b">
        <v>1</v>
      </c>
      <c r="DD505">
        <v>4270400</v>
      </c>
      <c r="DE505">
        <v>0</v>
      </c>
      <c r="DF505" t="b">
        <v>1</v>
      </c>
      <c r="DG505" s="420" cm="1">
        <f t="array" ref="DG505">_xlfn.XLOOKUP("Дом 4"&amp;Реестр_Д4[[#This Row],[№]]&amp;Реестр_Д4[[#This Row],[Статус]],РД[Дом]&amp;РД[№ кв]&amp;РД[Состояние],РД[Дата подачи на регистрацию],"-",0)</f>
        <v>45391</v>
      </c>
    </row>
    <row r="506" spans="1:111" x14ac:dyDescent="0.25">
      <c r="A506">
        <v>505</v>
      </c>
      <c r="B506" t="s">
        <v>15</v>
      </c>
      <c r="C506">
        <v>13</v>
      </c>
      <c r="D506">
        <v>5</v>
      </c>
      <c r="E506">
        <v>2</v>
      </c>
      <c r="F506">
        <v>15.61</v>
      </c>
      <c r="G506">
        <v>12.02</v>
      </c>
      <c r="I506">
        <v>27.63</v>
      </c>
      <c r="J506">
        <v>13.1</v>
      </c>
      <c r="K506">
        <v>3.61</v>
      </c>
      <c r="L506">
        <v>1.82</v>
      </c>
      <c r="N506">
        <v>8.52</v>
      </c>
      <c r="O506">
        <v>2.72</v>
      </c>
      <c r="Q506">
        <v>2.72</v>
      </c>
      <c r="R506">
        <v>57.4</v>
      </c>
      <c r="S506">
        <v>54.68</v>
      </c>
      <c r="T506">
        <v>56.04</v>
      </c>
      <c r="U506">
        <v>57.9</v>
      </c>
      <c r="V506">
        <v>67972.800000000003</v>
      </c>
      <c r="W506">
        <v>3398.6400000000003</v>
      </c>
      <c r="X506">
        <v>71371.44</v>
      </c>
      <c r="Z506">
        <v>71371.44</v>
      </c>
      <c r="AA506">
        <v>3568.5720000000001</v>
      </c>
      <c r="AB506">
        <v>74940.012000000002</v>
      </c>
      <c r="AC506">
        <v>9.2176214760000015</v>
      </c>
      <c r="AD506">
        <v>74949.229621475999</v>
      </c>
      <c r="AF506">
        <v>74949.229621475999</v>
      </c>
      <c r="AH506">
        <v>74949.229621475999</v>
      </c>
      <c r="AI506">
        <v>1498.98459242952</v>
      </c>
      <c r="AJ506">
        <v>76448.214213905521</v>
      </c>
      <c r="AK506">
        <v>764.48214213905521</v>
      </c>
      <c r="AL506">
        <v>77212.696356044573</v>
      </c>
      <c r="AN506">
        <v>77212.696356044573</v>
      </c>
      <c r="AP506">
        <v>77212.696356044573</v>
      </c>
      <c r="AR506">
        <v>77212.696356044573</v>
      </c>
      <c r="AT506">
        <v>77212.696356044573</v>
      </c>
      <c r="AV506">
        <v>77212.696356044573</v>
      </c>
      <c r="AX506">
        <v>77212.696356044573</v>
      </c>
      <c r="AZ506">
        <v>77212.696356044573</v>
      </c>
      <c r="BB506">
        <v>77212.696356044573</v>
      </c>
      <c r="BD506">
        <v>77212.696356044573</v>
      </c>
      <c r="BF506">
        <v>77212.696356044573</v>
      </c>
      <c r="BH506">
        <v>77212.696356044573</v>
      </c>
      <c r="BJ506">
        <v>77212.696356044573</v>
      </c>
      <c r="BL506">
        <v>77212.696356044573</v>
      </c>
      <c r="BN506">
        <v>77212.696356044573</v>
      </c>
      <c r="BP506">
        <v>77212.696356044573</v>
      </c>
      <c r="BR506">
        <v>77212.696356044573</v>
      </c>
      <c r="BT506">
        <v>77212.696356044573</v>
      </c>
      <c r="BV506">
        <v>77212.696356044573</v>
      </c>
      <c r="BX506">
        <v>77212.696356044573</v>
      </c>
      <c r="BY506">
        <v>77212.7</v>
      </c>
      <c r="BZ506">
        <v>4326999.71</v>
      </c>
      <c r="CB506">
        <v>0.06</v>
      </c>
      <c r="CC506">
        <v>259619.98259999999</v>
      </c>
      <c r="CD506">
        <v>72579.938079942905</v>
      </c>
      <c r="CE506">
        <v>4067379.73</v>
      </c>
      <c r="CF506" t="s">
        <v>37</v>
      </c>
      <c r="CG506">
        <v>4000</v>
      </c>
      <c r="CH506">
        <v>76579.938079942905</v>
      </c>
      <c r="CI506">
        <v>224160.00000000047</v>
      </c>
      <c r="CJ506">
        <v>4291539.7300000004</v>
      </c>
      <c r="CL506" t="s">
        <v>978</v>
      </c>
      <c r="CN506">
        <v>0</v>
      </c>
      <c r="CO506" t="s">
        <v>39</v>
      </c>
      <c r="CP506" t="s">
        <v>39</v>
      </c>
      <c r="CQ506" t="b">
        <v>1</v>
      </c>
      <c r="CR506" t="s">
        <v>8950</v>
      </c>
      <c r="CT506" t="s">
        <v>8960</v>
      </c>
      <c r="CU506" t="s">
        <v>8974</v>
      </c>
      <c r="CV506" t="s">
        <v>6374</v>
      </c>
      <c r="CW506" t="s">
        <v>4895</v>
      </c>
      <c r="CX506" t="s">
        <v>3246</v>
      </c>
      <c r="CY506">
        <v>1.8599999999999992</v>
      </c>
      <c r="CZ506">
        <v>142438.68482869375</v>
      </c>
      <c r="DA506">
        <v>4291539.7300000004</v>
      </c>
      <c r="DB506" t="s">
        <v>37</v>
      </c>
      <c r="DC506" t="b">
        <v>1</v>
      </c>
      <c r="DD506">
        <v>4291539.7300000004</v>
      </c>
      <c r="DE506">
        <v>0</v>
      </c>
      <c r="DF506" t="b">
        <v>1</v>
      </c>
      <c r="DG506" s="420" cm="1">
        <f t="array" ref="DG506">_xlfn.XLOOKUP("Дом 4"&amp;Реестр_Д4[[#This Row],[№]]&amp;Реестр_Д4[[#This Row],[Статус]],РД[Дом]&amp;РД[№ кв]&amp;РД[Состояние],РД[Дата подачи на регистрацию],"-",0)</f>
        <v>45043</v>
      </c>
    </row>
    <row r="507" spans="1:111" x14ac:dyDescent="0.25">
      <c r="A507">
        <v>506</v>
      </c>
      <c r="B507" t="s">
        <v>15</v>
      </c>
      <c r="C507">
        <v>13</v>
      </c>
      <c r="D507">
        <v>6</v>
      </c>
      <c r="E507">
        <v>2</v>
      </c>
      <c r="F507">
        <v>15.61</v>
      </c>
      <c r="G507">
        <v>9.66</v>
      </c>
      <c r="I507">
        <v>25.27</v>
      </c>
      <c r="J507">
        <v>16.53</v>
      </c>
      <c r="K507">
        <v>3.63</v>
      </c>
      <c r="L507">
        <v>2.21</v>
      </c>
      <c r="N507">
        <v>9.6199999999999992</v>
      </c>
      <c r="O507">
        <v>2.72</v>
      </c>
      <c r="Q507">
        <v>2.72</v>
      </c>
      <c r="R507">
        <v>59.98</v>
      </c>
      <c r="S507">
        <v>57.26</v>
      </c>
      <c r="T507">
        <v>58.62</v>
      </c>
      <c r="U507">
        <v>60.099999999999994</v>
      </c>
      <c r="V507">
        <v>68639.199999999997</v>
      </c>
      <c r="W507">
        <v>3431.96</v>
      </c>
      <c r="X507">
        <v>72071.16</v>
      </c>
      <c r="Z507">
        <v>72071.16</v>
      </c>
      <c r="AB507">
        <v>72071.16</v>
      </c>
      <c r="AD507">
        <v>72071.16</v>
      </c>
      <c r="AF507">
        <v>72071.16</v>
      </c>
      <c r="AH507">
        <v>72071.16</v>
      </c>
      <c r="AJ507">
        <v>72071.16</v>
      </c>
      <c r="AL507">
        <v>72071.16</v>
      </c>
      <c r="AN507">
        <v>72071.16</v>
      </c>
      <c r="AP507">
        <v>72071.16</v>
      </c>
      <c r="AR507">
        <v>72071.16</v>
      </c>
      <c r="AT507">
        <v>72071.16</v>
      </c>
      <c r="AV507">
        <v>72071.16</v>
      </c>
      <c r="AX507">
        <v>72071.16</v>
      </c>
      <c r="AZ507">
        <v>72071.16</v>
      </c>
      <c r="BB507">
        <v>72071.16</v>
      </c>
      <c r="BD507">
        <v>72071.16</v>
      </c>
      <c r="BF507">
        <v>72071.16</v>
      </c>
      <c r="BH507">
        <v>72071.16</v>
      </c>
      <c r="BJ507">
        <v>72071.16</v>
      </c>
      <c r="BL507">
        <v>72071.16</v>
      </c>
      <c r="BN507">
        <v>72071.16</v>
      </c>
      <c r="BP507">
        <v>72071.16</v>
      </c>
      <c r="BR507">
        <v>72071.16</v>
      </c>
      <c r="BT507">
        <v>72071.16</v>
      </c>
      <c r="BV507">
        <v>72071.16</v>
      </c>
      <c r="BX507">
        <v>72071.16</v>
      </c>
      <c r="BY507">
        <v>72071.16</v>
      </c>
      <c r="BZ507">
        <v>4224811.4000000004</v>
      </c>
      <c r="CC507">
        <v>0</v>
      </c>
      <c r="CD507">
        <v>72071.160013647226</v>
      </c>
      <c r="CE507">
        <v>4224811.4000000004</v>
      </c>
      <c r="CF507" t="s">
        <v>38</v>
      </c>
      <c r="CG507">
        <v>22000</v>
      </c>
      <c r="CH507">
        <v>94071.160013647226</v>
      </c>
      <c r="CI507">
        <v>1289640</v>
      </c>
      <c r="CJ507">
        <v>5514451.4000000004</v>
      </c>
      <c r="CN507">
        <v>0</v>
      </c>
      <c r="CO507" t="s">
        <v>39</v>
      </c>
      <c r="CP507" t="s">
        <v>39</v>
      </c>
      <c r="CQ507" t="b">
        <v>1</v>
      </c>
      <c r="CR507" t="s">
        <v>8950</v>
      </c>
      <c r="CT507" t="s">
        <v>8960</v>
      </c>
      <c r="CU507" t="s">
        <v>8971</v>
      </c>
      <c r="CV507" t="s">
        <v>6375</v>
      </c>
      <c r="CW507" t="s">
        <v>4895</v>
      </c>
      <c r="CX507" t="s">
        <v>3246</v>
      </c>
      <c r="CY507">
        <v>1.4799999999999969</v>
      </c>
      <c r="CZ507">
        <v>139225.31682019759</v>
      </c>
      <c r="DA507">
        <v>5514451.4000000004</v>
      </c>
      <c r="DB507" t="s">
        <v>38</v>
      </c>
      <c r="DC507" t="b">
        <v>1</v>
      </c>
      <c r="DD507">
        <v>5514451.4000000004</v>
      </c>
      <c r="DE507">
        <v>0</v>
      </c>
      <c r="DF507" t="b">
        <v>1</v>
      </c>
      <c r="DG507" s="420" cm="1">
        <f t="array" ref="DG507">_xlfn.XLOOKUP("Дом 4"&amp;Реестр_Д4[[#This Row],[№]]&amp;Реестр_Д4[[#This Row],[Статус]],РД[Дом]&amp;РД[№ кв]&amp;РД[Состояние],РД[Дата подачи на регистрацию],"-",0)</f>
        <v>44798</v>
      </c>
    </row>
    <row r="508" spans="1:111" x14ac:dyDescent="0.25">
      <c r="A508">
        <v>507</v>
      </c>
      <c r="B508" t="s">
        <v>15</v>
      </c>
      <c r="C508">
        <v>13</v>
      </c>
      <c r="D508">
        <v>7</v>
      </c>
      <c r="E508">
        <v>2</v>
      </c>
      <c r="F508">
        <v>11.83</v>
      </c>
      <c r="G508">
        <v>11.4</v>
      </c>
      <c r="I508">
        <v>23.23</v>
      </c>
      <c r="J508">
        <v>27.16</v>
      </c>
      <c r="K508">
        <v>5.28</v>
      </c>
      <c r="L508">
        <v>1.75</v>
      </c>
      <c r="N508">
        <v>8.67</v>
      </c>
      <c r="O508">
        <v>2.8</v>
      </c>
      <c r="Q508">
        <v>2.8</v>
      </c>
      <c r="R508">
        <v>68.89</v>
      </c>
      <c r="S508">
        <v>66.09</v>
      </c>
      <c r="T508">
        <v>67.489999999999995</v>
      </c>
      <c r="U508">
        <v>68.900000000000006</v>
      </c>
      <c r="V508">
        <v>71971.199999999997</v>
      </c>
      <c r="W508">
        <v>3598.56</v>
      </c>
      <c r="X508">
        <v>75569.759999999995</v>
      </c>
      <c r="Z508">
        <v>75569.759999999995</v>
      </c>
      <c r="AA508">
        <v>3778.4879999999998</v>
      </c>
      <c r="AB508">
        <v>79348.248000000007</v>
      </c>
      <c r="AC508">
        <v>9.7598345040000005</v>
      </c>
      <c r="AD508">
        <v>79358.007834503995</v>
      </c>
      <c r="AF508">
        <v>79358.007834503995</v>
      </c>
      <c r="AH508">
        <v>79358.007834503995</v>
      </c>
      <c r="AI508">
        <v>1587.1601566900799</v>
      </c>
      <c r="AJ508">
        <v>80945.167991194074</v>
      </c>
      <c r="AK508">
        <v>2428.3550397358222</v>
      </c>
      <c r="AL508">
        <v>83373.523030929893</v>
      </c>
      <c r="AM508">
        <v>3334.9409212371957</v>
      </c>
      <c r="AN508">
        <v>86708.463952167091</v>
      </c>
      <c r="AP508">
        <v>86708.463952167091</v>
      </c>
      <c r="AQ508">
        <v>2601.253918565013</v>
      </c>
      <c r="AR508">
        <v>89309.7178707321</v>
      </c>
      <c r="AT508">
        <v>89309.7178707321</v>
      </c>
      <c r="AU508">
        <v>2679.291536121963</v>
      </c>
      <c r="AV508">
        <v>91989.009406854064</v>
      </c>
      <c r="AX508">
        <v>91989.009406854064</v>
      </c>
      <c r="AZ508">
        <v>91989.009406854064</v>
      </c>
      <c r="BB508">
        <v>91989.009406854064</v>
      </c>
      <c r="BD508">
        <v>91989.009406854064</v>
      </c>
      <c r="BF508">
        <v>91989.009406854064</v>
      </c>
      <c r="BH508">
        <v>91989.009406854064</v>
      </c>
      <c r="BI508">
        <v>4599.4504703427037</v>
      </c>
      <c r="BJ508">
        <v>96588.459877196772</v>
      </c>
      <c r="BK508">
        <v>1000</v>
      </c>
      <c r="BL508">
        <v>97588.459877196772</v>
      </c>
      <c r="BM508">
        <v>1951.7691975439352</v>
      </c>
      <c r="BN508">
        <v>99540.229074740724</v>
      </c>
      <c r="BO508">
        <v>4977.0114537370355</v>
      </c>
      <c r="BP508">
        <v>104517.24052847776</v>
      </c>
      <c r="BQ508">
        <v>500</v>
      </c>
      <c r="BR508">
        <v>105017.24052847776</v>
      </c>
      <c r="BT508">
        <v>105017.24052847776</v>
      </c>
      <c r="BV508">
        <v>105017.24052847776</v>
      </c>
      <c r="BX508">
        <v>105017.24052847776</v>
      </c>
      <c r="BY508">
        <v>105017.24</v>
      </c>
      <c r="BZ508">
        <v>7087700</v>
      </c>
      <c r="CB508">
        <v>0.02</v>
      </c>
      <c r="CC508">
        <v>141754</v>
      </c>
      <c r="CD508">
        <v>102918.15083716108</v>
      </c>
      <c r="CE508">
        <v>6945946</v>
      </c>
      <c r="CF508" t="s">
        <v>38</v>
      </c>
      <c r="CG508">
        <v>22000</v>
      </c>
      <c r="CH508">
        <v>124918.15083716108</v>
      </c>
      <c r="CI508">
        <v>1484780</v>
      </c>
      <c r="CJ508">
        <v>8430726</v>
      </c>
      <c r="CK508" t="s">
        <v>57</v>
      </c>
      <c r="CL508" t="s">
        <v>7287</v>
      </c>
      <c r="CN508">
        <v>0</v>
      </c>
      <c r="CO508" t="s">
        <v>39</v>
      </c>
      <c r="CP508" t="s">
        <v>39</v>
      </c>
      <c r="CQ508" t="b">
        <v>1</v>
      </c>
      <c r="CR508" t="s">
        <v>8950</v>
      </c>
      <c r="CT508" t="s">
        <v>8960</v>
      </c>
      <c r="CU508" t="s">
        <v>8971</v>
      </c>
      <c r="CV508" t="s">
        <v>6376</v>
      </c>
      <c r="CW508" t="s">
        <v>6652</v>
      </c>
      <c r="CX508" t="s">
        <v>3246</v>
      </c>
      <c r="CY508">
        <v>1.4100000000000108</v>
      </c>
      <c r="CZ508">
        <v>176134.59268039846</v>
      </c>
      <c r="DA508">
        <v>8430726</v>
      </c>
      <c r="DB508" t="s">
        <v>38</v>
      </c>
      <c r="DC508" t="b">
        <v>1</v>
      </c>
      <c r="DD508">
        <v>8430726</v>
      </c>
      <c r="DE508">
        <v>0</v>
      </c>
      <c r="DF508" t="b">
        <v>1</v>
      </c>
      <c r="DG508" s="420" cm="1">
        <f t="array" ref="DG508">_xlfn.XLOOKUP("Дом 4"&amp;Реестр_Д4[[#This Row],[№]]&amp;Реестр_Д4[[#This Row],[Статус]],РД[Дом]&amp;РД[№ кв]&amp;РД[Состояние],РД[Дата подачи на регистрацию],"-",0)</f>
        <v>45444</v>
      </c>
    </row>
    <row r="509" spans="1:111" x14ac:dyDescent="0.25">
      <c r="A509">
        <v>508</v>
      </c>
      <c r="B509" t="s">
        <v>15</v>
      </c>
      <c r="C509">
        <v>13</v>
      </c>
      <c r="D509">
        <v>8</v>
      </c>
      <c r="E509">
        <v>2</v>
      </c>
      <c r="F509">
        <v>17.25</v>
      </c>
      <c r="G509">
        <v>14.07</v>
      </c>
      <c r="I509">
        <v>31.32</v>
      </c>
      <c r="J509">
        <v>14.23</v>
      </c>
      <c r="K509">
        <v>3.81</v>
      </c>
      <c r="L509">
        <v>1.75</v>
      </c>
      <c r="N509">
        <v>11.07</v>
      </c>
      <c r="O509">
        <v>3.12</v>
      </c>
      <c r="Q509">
        <v>3.12</v>
      </c>
      <c r="R509">
        <v>65.3</v>
      </c>
      <c r="S509">
        <v>62.18</v>
      </c>
      <c r="T509">
        <v>63.74</v>
      </c>
      <c r="U509">
        <v>65.400000000000006</v>
      </c>
      <c r="V509">
        <v>69305.600000000006</v>
      </c>
      <c r="W509">
        <v>3465.2800000000007</v>
      </c>
      <c r="X509">
        <v>72770.880000000005</v>
      </c>
      <c r="Z509">
        <v>72770.880000000005</v>
      </c>
      <c r="AA509">
        <v>3638.5439999999999</v>
      </c>
      <c r="AB509">
        <v>76409.423999999999</v>
      </c>
      <c r="AC509">
        <v>9.3983591520000012</v>
      </c>
      <c r="AD509">
        <v>76418.822359152007</v>
      </c>
      <c r="AF509">
        <v>76418.822359152007</v>
      </c>
      <c r="AH509">
        <v>76418.822359152007</v>
      </c>
      <c r="AI509">
        <v>1528.37644718304</v>
      </c>
      <c r="AJ509">
        <v>77947.198806335029</v>
      </c>
      <c r="AK509">
        <v>779.4719880633503</v>
      </c>
      <c r="AL509">
        <v>78726.670794398378</v>
      </c>
      <c r="AM509">
        <v>1574.5334158879675</v>
      </c>
      <c r="AN509">
        <v>80301.204210286349</v>
      </c>
      <c r="AP509">
        <v>80301.204210286349</v>
      </c>
      <c r="AQ509">
        <v>2409.0361263085906</v>
      </c>
      <c r="AR509">
        <v>82710.240336594943</v>
      </c>
      <c r="AT509">
        <v>82710.240336594943</v>
      </c>
      <c r="AV509">
        <v>82710.240336594943</v>
      </c>
      <c r="AX509">
        <v>82710.240336594943</v>
      </c>
      <c r="AZ509">
        <v>82710.240336594943</v>
      </c>
      <c r="BB509">
        <v>82710.240336594943</v>
      </c>
      <c r="BD509">
        <v>82710.240336594943</v>
      </c>
      <c r="BF509">
        <v>82710.240336594943</v>
      </c>
      <c r="BH509">
        <v>82710.240336594943</v>
      </c>
      <c r="BJ509">
        <v>82710.240336594943</v>
      </c>
      <c r="BL509">
        <v>82710.240336594943</v>
      </c>
      <c r="BN509">
        <v>82710.240336594943</v>
      </c>
      <c r="BP509">
        <v>82710.240336594943</v>
      </c>
      <c r="BR509">
        <v>82710.240336594943</v>
      </c>
      <c r="BT509">
        <v>82710.240336594943</v>
      </c>
      <c r="BV509">
        <v>82710.240336594943</v>
      </c>
      <c r="BX509">
        <v>82710.240336594943</v>
      </c>
      <c r="BY509">
        <v>82710.240000000005</v>
      </c>
      <c r="BZ509">
        <v>5271950.7</v>
      </c>
      <c r="CA509">
        <v>254960</v>
      </c>
      <c r="CC509">
        <v>254960</v>
      </c>
      <c r="CD509">
        <v>78710.240037652969</v>
      </c>
      <c r="CE509">
        <v>5016990.7</v>
      </c>
      <c r="CF509" t="s">
        <v>37</v>
      </c>
      <c r="CG509">
        <v>4000</v>
      </c>
      <c r="CH509">
        <v>82710.240037652969</v>
      </c>
      <c r="CI509">
        <v>254960</v>
      </c>
      <c r="CJ509">
        <v>5271950.7</v>
      </c>
      <c r="CL509" t="s">
        <v>4837</v>
      </c>
      <c r="CN509">
        <v>0</v>
      </c>
      <c r="CO509" t="s">
        <v>39</v>
      </c>
      <c r="CP509" t="s">
        <v>39</v>
      </c>
      <c r="CQ509" t="b">
        <v>1</v>
      </c>
      <c r="CR509" t="s">
        <v>8950</v>
      </c>
      <c r="CT509" t="s">
        <v>8960</v>
      </c>
      <c r="CU509" t="s">
        <v>8971</v>
      </c>
      <c r="CV509" t="s">
        <v>6377</v>
      </c>
      <c r="CW509" t="s">
        <v>4895</v>
      </c>
      <c r="CX509" t="s">
        <v>3246</v>
      </c>
      <c r="CY509">
        <v>1.6600000000000037</v>
      </c>
      <c r="CZ509">
        <v>137298.99846250424</v>
      </c>
      <c r="DA509">
        <v>5271950.7</v>
      </c>
      <c r="DB509" t="s">
        <v>37</v>
      </c>
      <c r="DC509" t="b">
        <v>1</v>
      </c>
      <c r="DD509">
        <v>5271950.7</v>
      </c>
      <c r="DE509">
        <v>0</v>
      </c>
      <c r="DF509" t="b">
        <v>1</v>
      </c>
      <c r="DG509" s="420" cm="1">
        <f t="array" ref="DG509">_xlfn.XLOOKUP("Дом 4"&amp;Реестр_Д4[[#This Row],[№]]&amp;Реестр_Д4[[#This Row],[Статус]],РД[Дом]&amp;РД[№ кв]&amp;РД[Состояние],РД[Дата подачи на регистрацию],"-",0)</f>
        <v>45134</v>
      </c>
    </row>
    <row r="510" spans="1:111" x14ac:dyDescent="0.25">
      <c r="A510">
        <v>509</v>
      </c>
      <c r="B510" t="s">
        <v>15</v>
      </c>
      <c r="C510">
        <v>13</v>
      </c>
      <c r="D510">
        <v>9</v>
      </c>
      <c r="E510">
        <v>1</v>
      </c>
      <c r="F510">
        <v>16.46</v>
      </c>
      <c r="I510">
        <v>16.46</v>
      </c>
      <c r="J510">
        <v>14.25</v>
      </c>
      <c r="K510">
        <v>3.92</v>
      </c>
      <c r="N510">
        <v>8.2200000000000006</v>
      </c>
      <c r="O510">
        <v>3.03</v>
      </c>
      <c r="Q510">
        <v>3.03</v>
      </c>
      <c r="R510">
        <v>45.88</v>
      </c>
      <c r="S510">
        <v>42.85</v>
      </c>
      <c r="T510">
        <v>44.37</v>
      </c>
      <c r="U510">
        <v>45.8</v>
      </c>
      <c r="V510">
        <v>72800</v>
      </c>
      <c r="W510">
        <v>3640</v>
      </c>
      <c r="X510">
        <v>76440</v>
      </c>
      <c r="Z510">
        <v>76440</v>
      </c>
      <c r="AA510">
        <v>3822</v>
      </c>
      <c r="AB510">
        <v>80262</v>
      </c>
      <c r="AC510">
        <v>9.8722260000000013</v>
      </c>
      <c r="AD510">
        <v>80271.872226000007</v>
      </c>
      <c r="AE510">
        <v>4013.5936113000007</v>
      </c>
      <c r="AF510">
        <v>84285.465837300013</v>
      </c>
      <c r="AH510">
        <v>84285.465837300013</v>
      </c>
      <c r="AI510">
        <v>2528.5639751190001</v>
      </c>
      <c r="AJ510">
        <v>86814.029812419001</v>
      </c>
      <c r="AK510">
        <v>868.14029812419028</v>
      </c>
      <c r="AL510">
        <v>87682.1701105432</v>
      </c>
      <c r="AM510">
        <v>1753.643402210864</v>
      </c>
      <c r="AN510">
        <v>89435.813512754059</v>
      </c>
      <c r="AO510">
        <v>1788.7162702550811</v>
      </c>
      <c r="AP510">
        <v>91224.529783009159</v>
      </c>
      <c r="AQ510">
        <v>2736.7358934902741</v>
      </c>
      <c r="AR510">
        <v>93961.265676499417</v>
      </c>
      <c r="AT510">
        <v>93961.265676499417</v>
      </c>
      <c r="AU510">
        <v>2818.8379702949824</v>
      </c>
      <c r="AV510">
        <v>96780.103646794407</v>
      </c>
      <c r="AX510">
        <v>96780.103646794407</v>
      </c>
      <c r="AZ510">
        <v>96780.103646794407</v>
      </c>
      <c r="BB510">
        <v>96780.103646794407</v>
      </c>
      <c r="BD510">
        <v>96780.103646794407</v>
      </c>
      <c r="BF510">
        <v>96780.103646794407</v>
      </c>
      <c r="BH510">
        <v>96780.103646794407</v>
      </c>
      <c r="BJ510">
        <v>96780.103646794407</v>
      </c>
      <c r="BL510">
        <v>96780.103646794407</v>
      </c>
      <c r="BN510">
        <v>96780.103646794407</v>
      </c>
      <c r="BP510">
        <v>96780.103646794407</v>
      </c>
      <c r="BR510">
        <v>96780.103646794407</v>
      </c>
      <c r="BT510">
        <v>96780.103646794407</v>
      </c>
      <c r="BV510">
        <v>96780.103646794407</v>
      </c>
      <c r="BX510">
        <v>96780.103646794407</v>
      </c>
      <c r="BY510">
        <v>96780.1</v>
      </c>
      <c r="BZ510">
        <v>4294133.04</v>
      </c>
      <c r="CC510">
        <v>0</v>
      </c>
      <c r="CD510">
        <v>96780.100067613253</v>
      </c>
      <c r="CE510">
        <v>4294133.04</v>
      </c>
      <c r="CF510" t="s">
        <v>37</v>
      </c>
      <c r="CG510">
        <v>7500</v>
      </c>
      <c r="CH510">
        <v>104280.10006761324</v>
      </c>
      <c r="CI510">
        <v>332775</v>
      </c>
      <c r="CJ510">
        <v>4626908.04</v>
      </c>
      <c r="CN510">
        <v>0</v>
      </c>
      <c r="CO510" t="s">
        <v>39</v>
      </c>
      <c r="CP510" t="s">
        <v>39</v>
      </c>
      <c r="CQ510" t="b">
        <v>1</v>
      </c>
      <c r="CR510" t="s">
        <v>8950</v>
      </c>
      <c r="CT510" t="s">
        <v>8960</v>
      </c>
      <c r="CU510" t="s">
        <v>8972</v>
      </c>
      <c r="CV510" t="s">
        <v>6378</v>
      </c>
      <c r="CW510" t="s">
        <v>4895</v>
      </c>
      <c r="CX510" t="s">
        <v>3246</v>
      </c>
      <c r="CY510">
        <v>1.4300000000000068</v>
      </c>
      <c r="CZ510">
        <v>149120.54309668767</v>
      </c>
      <c r="DA510">
        <v>4626908.04</v>
      </c>
      <c r="DB510" t="s">
        <v>37</v>
      </c>
      <c r="DC510" t="b">
        <v>1</v>
      </c>
      <c r="DD510">
        <v>4626908.04</v>
      </c>
      <c r="DE510">
        <v>0</v>
      </c>
      <c r="DF510" t="b">
        <v>1</v>
      </c>
      <c r="DG510" s="420" cm="1">
        <f t="array" ref="DG510">_xlfn.XLOOKUP("Дом 4"&amp;Реестр_Д4[[#This Row],[№]]&amp;Реестр_Д4[[#This Row],[Статус]],РД[Дом]&amp;РД[№ кв]&amp;РД[Состояние],РД[Дата подачи на регистрацию],"-",0)</f>
        <v>45243</v>
      </c>
    </row>
    <row r="511" spans="1:111" x14ac:dyDescent="0.25">
      <c r="A511">
        <v>510</v>
      </c>
      <c r="B511" t="s">
        <v>15</v>
      </c>
      <c r="C511">
        <v>14</v>
      </c>
      <c r="D511">
        <v>1</v>
      </c>
      <c r="E511">
        <v>1</v>
      </c>
      <c r="F511">
        <v>14.05</v>
      </c>
      <c r="I511">
        <v>14.05</v>
      </c>
      <c r="J511">
        <v>12.32</v>
      </c>
      <c r="K511">
        <v>3.87</v>
      </c>
      <c r="N511">
        <v>8.14</v>
      </c>
      <c r="O511">
        <v>2.72</v>
      </c>
      <c r="Q511">
        <v>2.72</v>
      </c>
      <c r="R511">
        <v>41.1</v>
      </c>
      <c r="S511">
        <v>38.380000000000003</v>
      </c>
      <c r="T511">
        <v>39.74</v>
      </c>
      <c r="U511">
        <v>40.9</v>
      </c>
      <c r="V511">
        <v>71400</v>
      </c>
      <c r="W511">
        <v>3570</v>
      </c>
      <c r="X511">
        <v>74970</v>
      </c>
      <c r="Y511">
        <v>2998.8</v>
      </c>
      <c r="Z511">
        <v>77968.800000000003</v>
      </c>
      <c r="AA511">
        <v>3898.440000000001</v>
      </c>
      <c r="AB511">
        <v>81867.240000000005</v>
      </c>
      <c r="AC511">
        <v>10.069670520000001</v>
      </c>
      <c r="AD511">
        <v>81877.309670520001</v>
      </c>
      <c r="AE511">
        <v>4093.8654835259999</v>
      </c>
      <c r="AF511">
        <v>85971.175154045995</v>
      </c>
      <c r="AH511">
        <v>85971.175154045995</v>
      </c>
      <c r="AI511">
        <v>2579.1352546213802</v>
      </c>
      <c r="AJ511">
        <v>88550.31040866737</v>
      </c>
      <c r="AK511">
        <v>885.50310408667372</v>
      </c>
      <c r="AL511">
        <v>89435.813512754044</v>
      </c>
      <c r="AM511">
        <v>1788.7162702550809</v>
      </c>
      <c r="AN511">
        <v>91224.529783009129</v>
      </c>
      <c r="AP511">
        <v>91224.529783009129</v>
      </c>
      <c r="AQ511">
        <v>2736.7358934902736</v>
      </c>
      <c r="AR511">
        <v>93961.265676499403</v>
      </c>
      <c r="AS511">
        <v>4698.0632838249703</v>
      </c>
      <c r="AT511">
        <v>98659.32896032439</v>
      </c>
      <c r="AU511">
        <v>2959.7798688097309</v>
      </c>
      <c r="AV511">
        <v>101619.1088291341</v>
      </c>
      <c r="AW511">
        <v>6097.1465297480454</v>
      </c>
      <c r="AX511">
        <v>107716.25535888216</v>
      </c>
      <c r="AZ511">
        <v>107716.25535888216</v>
      </c>
      <c r="BB511">
        <v>107716.25535888216</v>
      </c>
      <c r="BD511">
        <v>107716.25535888216</v>
      </c>
      <c r="BF511">
        <v>107716.25535888216</v>
      </c>
      <c r="BH511">
        <v>107716.25535888216</v>
      </c>
      <c r="BJ511">
        <v>107716.25535888216</v>
      </c>
      <c r="BL511">
        <v>107716.25535888216</v>
      </c>
      <c r="BN511">
        <v>107716.25535888216</v>
      </c>
      <c r="BP511">
        <v>107716.25535888216</v>
      </c>
      <c r="BR511">
        <v>107716.25535888216</v>
      </c>
      <c r="BT511">
        <v>107716.25535888216</v>
      </c>
      <c r="BV511">
        <v>107716.25535888216</v>
      </c>
      <c r="BX511">
        <v>107716.25535888216</v>
      </c>
      <c r="BY511">
        <v>107716.26</v>
      </c>
      <c r="BZ511">
        <v>4280700</v>
      </c>
      <c r="CB511">
        <v>0.05</v>
      </c>
      <c r="CC511">
        <v>214035</v>
      </c>
      <c r="CD511">
        <v>102331.78158027177</v>
      </c>
      <c r="CE511">
        <v>4066665</v>
      </c>
      <c r="CF511" t="s">
        <v>36</v>
      </c>
      <c r="CH511">
        <v>102331.78158027177</v>
      </c>
      <c r="CI511">
        <v>0</v>
      </c>
      <c r="CJ511">
        <v>4066665</v>
      </c>
      <c r="CL511" t="s">
        <v>978</v>
      </c>
      <c r="CN511">
        <v>0</v>
      </c>
      <c r="CO511" t="s">
        <v>39</v>
      </c>
      <c r="CP511" t="s">
        <v>39</v>
      </c>
      <c r="CQ511" t="b">
        <v>1</v>
      </c>
      <c r="CR511" t="s">
        <v>8950</v>
      </c>
      <c r="CT511" t="s">
        <v>8960</v>
      </c>
      <c r="CU511" t="s">
        <v>8973</v>
      </c>
      <c r="CV511" t="s">
        <v>6379</v>
      </c>
      <c r="CW511" t="s">
        <v>6652</v>
      </c>
      <c r="CX511" t="s">
        <v>3246</v>
      </c>
      <c r="CY511">
        <v>1.1599999999999966</v>
      </c>
      <c r="CZ511">
        <v>118704.8666331149</v>
      </c>
      <c r="DA511">
        <v>4066665</v>
      </c>
      <c r="DB511" t="s">
        <v>36</v>
      </c>
      <c r="DC511" t="b">
        <v>1</v>
      </c>
      <c r="DD511">
        <v>4066665</v>
      </c>
      <c r="DE511">
        <v>0</v>
      </c>
      <c r="DF511" t="b">
        <v>1</v>
      </c>
      <c r="DG511" s="420" cm="1">
        <f t="array" ref="DG511">_xlfn.XLOOKUP("Дом 4"&amp;Реестр_Д4[[#This Row],[№]]&amp;Реестр_Д4[[#This Row],[Статус]],РД[Дом]&amp;РД[№ кв]&amp;РД[Состояние],РД[Дата подачи на регистрацию],"-",0)</f>
        <v>45289</v>
      </c>
    </row>
    <row r="512" spans="1:111" x14ac:dyDescent="0.25">
      <c r="A512">
        <v>511</v>
      </c>
      <c r="B512" t="s">
        <v>15</v>
      </c>
      <c r="C512">
        <v>14</v>
      </c>
      <c r="D512">
        <v>2</v>
      </c>
      <c r="E512">
        <v>1</v>
      </c>
      <c r="F512">
        <v>14.29</v>
      </c>
      <c r="I512">
        <v>14.29</v>
      </c>
      <c r="J512">
        <v>12.32</v>
      </c>
      <c r="K512">
        <v>3.72</v>
      </c>
      <c r="N512">
        <v>6.91</v>
      </c>
      <c r="O512">
        <v>2.72</v>
      </c>
      <c r="Q512">
        <v>2.72</v>
      </c>
      <c r="R512">
        <v>39.96</v>
      </c>
      <c r="S512">
        <v>37.24</v>
      </c>
      <c r="T512">
        <v>38.6</v>
      </c>
      <c r="U512">
        <v>39.9</v>
      </c>
      <c r="V512">
        <v>71400</v>
      </c>
      <c r="W512">
        <v>3570</v>
      </c>
      <c r="X512">
        <v>74970</v>
      </c>
      <c r="Y512">
        <v>2998.8</v>
      </c>
      <c r="Z512">
        <v>77968.800000000003</v>
      </c>
      <c r="AA512">
        <v>3898.440000000001</v>
      </c>
      <c r="AB512">
        <v>81867.240000000005</v>
      </c>
      <c r="AC512">
        <v>10.069670520000001</v>
      </c>
      <c r="AD512">
        <v>81877.309670520001</v>
      </c>
      <c r="AE512">
        <v>4093.8654835259999</v>
      </c>
      <c r="AF512">
        <v>85971.175154045995</v>
      </c>
      <c r="AH512">
        <v>85971.175154045995</v>
      </c>
      <c r="AI512">
        <v>2579.1352546213802</v>
      </c>
      <c r="AJ512">
        <v>88550.31040866737</v>
      </c>
      <c r="AK512">
        <v>885.50310408667372</v>
      </c>
      <c r="AL512">
        <v>89435.813512754044</v>
      </c>
      <c r="AM512">
        <v>1788.7162702550809</v>
      </c>
      <c r="AN512">
        <v>91224.529783009129</v>
      </c>
      <c r="AO512">
        <v>1824.4905956601824</v>
      </c>
      <c r="AP512">
        <v>93049.020378669316</v>
      </c>
      <c r="AR512">
        <v>93049.020378669316</v>
      </c>
      <c r="AT512">
        <v>93049.020378669316</v>
      </c>
      <c r="AV512">
        <v>93049.020378669316</v>
      </c>
      <c r="AX512">
        <v>93049.020378669316</v>
      </c>
      <c r="AZ512">
        <v>93049.020378669316</v>
      </c>
      <c r="BB512">
        <v>93049.020378669316</v>
      </c>
      <c r="BD512">
        <v>93049.020378669316</v>
      </c>
      <c r="BF512">
        <v>93049.020378669316</v>
      </c>
      <c r="BH512">
        <v>93049.020378669316</v>
      </c>
      <c r="BJ512">
        <v>93049.020378669316</v>
      </c>
      <c r="BL512">
        <v>93049.020378669316</v>
      </c>
      <c r="BN512">
        <v>93049.020378669316</v>
      </c>
      <c r="BP512">
        <v>93049.020378669316</v>
      </c>
      <c r="BR512">
        <v>93049.020378669316</v>
      </c>
      <c r="BT512">
        <v>93049.020378669316</v>
      </c>
      <c r="BV512">
        <v>93049.020378669316</v>
      </c>
      <c r="BX512">
        <v>93049.020378669316</v>
      </c>
      <c r="BY512">
        <v>93049.02</v>
      </c>
      <c r="BZ512">
        <v>3591692.17</v>
      </c>
      <c r="CA512">
        <v>154400</v>
      </c>
      <c r="CC512">
        <v>154400</v>
      </c>
      <c r="CD512">
        <v>89049.019948186527</v>
      </c>
      <c r="CE512">
        <v>3437292.17</v>
      </c>
      <c r="CF512" t="s">
        <v>37</v>
      </c>
      <c r="CG512">
        <v>4000</v>
      </c>
      <c r="CH512">
        <v>93049.019948186527</v>
      </c>
      <c r="CI512">
        <v>154400</v>
      </c>
      <c r="CJ512">
        <v>3591692.17</v>
      </c>
      <c r="CL512" t="s">
        <v>4839</v>
      </c>
      <c r="CN512">
        <v>0</v>
      </c>
      <c r="CO512" t="s">
        <v>39</v>
      </c>
      <c r="CP512" t="s">
        <v>39</v>
      </c>
      <c r="CQ512" t="b">
        <v>1</v>
      </c>
      <c r="CR512" t="s">
        <v>8950</v>
      </c>
      <c r="CT512" t="s">
        <v>8960</v>
      </c>
      <c r="CU512" t="s">
        <v>8973</v>
      </c>
      <c r="CV512" t="s">
        <v>6380</v>
      </c>
      <c r="CW512" t="s">
        <v>4895</v>
      </c>
      <c r="CX512" t="s">
        <v>3246</v>
      </c>
      <c r="CY512">
        <v>1.2999999999999972</v>
      </c>
      <c r="CZ512">
        <v>120963.72593264222</v>
      </c>
      <c r="DA512">
        <v>3591692.17</v>
      </c>
      <c r="DB512" t="s">
        <v>37</v>
      </c>
      <c r="DC512" t="b">
        <v>1</v>
      </c>
      <c r="DD512">
        <v>3591692.17</v>
      </c>
      <c r="DE512">
        <v>0</v>
      </c>
      <c r="DF512" t="b">
        <v>1</v>
      </c>
      <c r="DG512" s="420" cm="1">
        <f t="array" ref="DG512">_xlfn.XLOOKUP("Дом 4"&amp;Реестр_Д4[[#This Row],[№]]&amp;Реестр_Д4[[#This Row],[Статус]],РД[Дом]&amp;РД[№ кв]&amp;РД[Состояние],РД[Дата подачи на регистрацию],"-",0)</f>
        <v>45107</v>
      </c>
    </row>
    <row r="513" spans="1:111" x14ac:dyDescent="0.25">
      <c r="A513">
        <v>512</v>
      </c>
      <c r="B513" t="s">
        <v>15</v>
      </c>
      <c r="C513">
        <v>14</v>
      </c>
      <c r="D513">
        <v>3</v>
      </c>
      <c r="E513">
        <v>3</v>
      </c>
      <c r="F513">
        <v>16.05</v>
      </c>
      <c r="G513">
        <v>11.28</v>
      </c>
      <c r="H513">
        <v>10.82</v>
      </c>
      <c r="I513">
        <v>38.15</v>
      </c>
      <c r="J513">
        <v>17.41</v>
      </c>
      <c r="K513">
        <v>3.81</v>
      </c>
      <c r="L513">
        <v>1.87</v>
      </c>
      <c r="N513">
        <v>11.71</v>
      </c>
      <c r="O513">
        <v>2.65</v>
      </c>
      <c r="Q513">
        <v>2.65</v>
      </c>
      <c r="R513">
        <v>75.599999999999994</v>
      </c>
      <c r="S513">
        <v>72.949999999999989</v>
      </c>
      <c r="T513">
        <v>74.28</v>
      </c>
      <c r="U513">
        <v>75.7</v>
      </c>
      <c r="V513">
        <v>67110.400000000009</v>
      </c>
      <c r="W513">
        <v>3355.5200000000004</v>
      </c>
      <c r="X513">
        <v>70465.920000000013</v>
      </c>
      <c r="Z513">
        <v>70465.920000000013</v>
      </c>
      <c r="AB513">
        <v>70465.920000000013</v>
      </c>
      <c r="AC513">
        <v>8.6673081600000028</v>
      </c>
      <c r="AD513">
        <v>70474.587308160015</v>
      </c>
      <c r="AF513">
        <v>70474.587308160015</v>
      </c>
      <c r="AH513">
        <v>70474.587308160015</v>
      </c>
      <c r="AI513">
        <v>2114.2376192448005</v>
      </c>
      <c r="AJ513">
        <v>72588.824927404814</v>
      </c>
      <c r="AK513">
        <v>2177.6647478221444</v>
      </c>
      <c r="AL513">
        <v>74766.489675226956</v>
      </c>
      <c r="AM513">
        <v>2990.6595870090782</v>
      </c>
      <c r="AN513">
        <v>77757.149262236038</v>
      </c>
      <c r="AO513">
        <v>2332.7144778670809</v>
      </c>
      <c r="AP513">
        <v>80089.863740103116</v>
      </c>
      <c r="AQ513">
        <v>2402.6959122030935</v>
      </c>
      <c r="AR513">
        <v>82492.559652306212</v>
      </c>
      <c r="AS513">
        <v>4124.6279826153104</v>
      </c>
      <c r="AT513">
        <v>86617.187634921516</v>
      </c>
      <c r="AU513">
        <v>2598.5156290476452</v>
      </c>
      <c r="AV513">
        <v>89215.703263969175</v>
      </c>
      <c r="AW513">
        <v>5352.942195838149</v>
      </c>
      <c r="AX513">
        <v>94568.645459807303</v>
      </c>
      <c r="AY513">
        <v>2837.0593637942188</v>
      </c>
      <c r="AZ513">
        <v>97405.704823601525</v>
      </c>
      <c r="BB513">
        <v>97405.704823601525</v>
      </c>
      <c r="BD513">
        <v>97405.704823601525</v>
      </c>
      <c r="BF513">
        <v>97405.704823601525</v>
      </c>
      <c r="BH513">
        <v>97405.704823601525</v>
      </c>
      <c r="BI513">
        <v>4870.2852411800768</v>
      </c>
      <c r="BJ513">
        <v>102275.9900647816</v>
      </c>
      <c r="BK513">
        <v>500</v>
      </c>
      <c r="BL513">
        <v>102775.9900647816</v>
      </c>
      <c r="BM513">
        <v>2055.5198012956321</v>
      </c>
      <c r="BN513">
        <v>104831.50986607723</v>
      </c>
      <c r="BP513">
        <v>104831.50986607723</v>
      </c>
      <c r="BQ513">
        <v>500</v>
      </c>
      <c r="BR513">
        <v>105331.50986607723</v>
      </c>
      <c r="BS513">
        <v>7100</v>
      </c>
      <c r="BT513">
        <v>112431.50986607723</v>
      </c>
      <c r="BU513">
        <v>4800</v>
      </c>
      <c r="BV513">
        <v>117231.50986607723</v>
      </c>
      <c r="BX513">
        <v>117231.50986607723</v>
      </c>
      <c r="BY513">
        <v>117231.51</v>
      </c>
      <c r="BZ513">
        <v>8874500</v>
      </c>
      <c r="CA513">
        <v>500000</v>
      </c>
      <c r="CC513">
        <v>500000</v>
      </c>
      <c r="CD513">
        <v>110627.47688243064</v>
      </c>
      <c r="CE513">
        <v>8374500</v>
      </c>
      <c r="CF513" t="s">
        <v>36</v>
      </c>
      <c r="CH513">
        <v>110627.47688243064</v>
      </c>
      <c r="CI513">
        <v>0</v>
      </c>
      <c r="CJ513">
        <v>8374500</v>
      </c>
      <c r="CK513" t="s">
        <v>57</v>
      </c>
      <c r="CL513" t="s">
        <v>321</v>
      </c>
      <c r="CN513">
        <v>0</v>
      </c>
      <c r="CO513" t="s">
        <v>39</v>
      </c>
      <c r="CP513" t="s">
        <v>39</v>
      </c>
      <c r="CQ513" t="b">
        <v>1</v>
      </c>
      <c r="CR513" t="s">
        <v>8950</v>
      </c>
      <c r="CS513" t="s">
        <v>1167</v>
      </c>
      <c r="CT513" t="s">
        <v>8960</v>
      </c>
      <c r="CU513" t="s">
        <v>8990</v>
      </c>
      <c r="CV513" t="s">
        <v>6381</v>
      </c>
      <c r="CW513" t="s">
        <v>6652</v>
      </c>
      <c r="CX513" t="s">
        <v>3124</v>
      </c>
      <c r="CY513">
        <v>1.4200000000000017</v>
      </c>
      <c r="CZ513">
        <v>0</v>
      </c>
      <c r="DA513">
        <v>8511100</v>
      </c>
      <c r="DB513" t="s">
        <v>36</v>
      </c>
      <c r="DC513" t="b">
        <v>1</v>
      </c>
      <c r="DD513">
        <v>8374500</v>
      </c>
      <c r="DE513">
        <v>0</v>
      </c>
      <c r="DF513" t="b">
        <v>1</v>
      </c>
      <c r="DG513" s="420" cm="1">
        <f t="array" ref="DG513">_xlfn.XLOOKUP("Дом 4"&amp;Реестр_Д4[[#This Row],[№]]&amp;Реестр_Д4[[#This Row],[Статус]],РД[Дом]&amp;РД[№ кв]&amp;РД[Состояние],РД[Дата подачи на регистрацию],"-",0)</f>
        <v>45743</v>
      </c>
    </row>
    <row r="514" spans="1:111" x14ac:dyDescent="0.25">
      <c r="A514">
        <v>513</v>
      </c>
      <c r="B514" t="s">
        <v>15</v>
      </c>
      <c r="C514">
        <v>14</v>
      </c>
      <c r="D514">
        <v>4</v>
      </c>
      <c r="E514">
        <v>1</v>
      </c>
      <c r="F514">
        <v>12.09</v>
      </c>
      <c r="I514">
        <v>12.09</v>
      </c>
      <c r="J514">
        <v>12.26</v>
      </c>
      <c r="K514">
        <v>3.71</v>
      </c>
      <c r="N514">
        <v>7.06</v>
      </c>
      <c r="O514">
        <v>2.75</v>
      </c>
      <c r="Q514">
        <v>2.75</v>
      </c>
      <c r="R514">
        <v>37.869999999999997</v>
      </c>
      <c r="S514">
        <v>35.119999999999997</v>
      </c>
      <c r="T514">
        <v>36.5</v>
      </c>
      <c r="U514">
        <v>37.700000000000003</v>
      </c>
      <c r="V514">
        <v>71400</v>
      </c>
      <c r="W514">
        <v>3570</v>
      </c>
      <c r="X514">
        <v>74970</v>
      </c>
      <c r="Y514">
        <v>2998.8</v>
      </c>
      <c r="Z514">
        <v>77968.800000000003</v>
      </c>
      <c r="AA514">
        <v>3898.440000000001</v>
      </c>
      <c r="AB514">
        <v>81867.240000000005</v>
      </c>
      <c r="AC514">
        <v>10.069670520000001</v>
      </c>
      <c r="AD514">
        <v>81877.309670520001</v>
      </c>
      <c r="AE514">
        <v>4093.8654835259999</v>
      </c>
      <c r="AF514">
        <v>85971.175154045995</v>
      </c>
      <c r="AG514">
        <v>4298.5587577022998</v>
      </c>
      <c r="AH514">
        <v>90269.733911748292</v>
      </c>
      <c r="AI514">
        <v>2708.0920173524487</v>
      </c>
      <c r="AJ514">
        <v>92977.825929100742</v>
      </c>
      <c r="AK514">
        <v>929.77825929100732</v>
      </c>
      <c r="AL514">
        <v>93907.604188391764</v>
      </c>
      <c r="AM514">
        <v>1878.1520837678347</v>
      </c>
      <c r="AN514">
        <v>95785.756272159604</v>
      </c>
      <c r="AO514">
        <v>1915.7151254431919</v>
      </c>
      <c r="AP514">
        <v>97701.471397602785</v>
      </c>
      <c r="AQ514">
        <v>2931.0441419280833</v>
      </c>
      <c r="AR514">
        <v>100632.51553953088</v>
      </c>
      <c r="AT514">
        <v>100632.51553953088</v>
      </c>
      <c r="AV514">
        <v>100632.51553953088</v>
      </c>
      <c r="AX514">
        <v>100632.51553953088</v>
      </c>
      <c r="AZ514">
        <v>100632.51553953088</v>
      </c>
      <c r="BB514">
        <v>100632.51553953088</v>
      </c>
      <c r="BD514">
        <v>100632.51553953088</v>
      </c>
      <c r="BF514">
        <v>100632.51553953088</v>
      </c>
      <c r="BH514">
        <v>100632.51553953088</v>
      </c>
      <c r="BJ514">
        <v>100632.51553953088</v>
      </c>
      <c r="BL514">
        <v>100632.51553953088</v>
      </c>
      <c r="BN514">
        <v>100632.51553953088</v>
      </c>
      <c r="BP514">
        <v>100632.51553953088</v>
      </c>
      <c r="BR514">
        <v>100632.51553953088</v>
      </c>
      <c r="BT514">
        <v>100632.51553953088</v>
      </c>
      <c r="BV514">
        <v>100632.51553953088</v>
      </c>
      <c r="BX514">
        <v>100632.51553953088</v>
      </c>
      <c r="BY514">
        <v>100632.52</v>
      </c>
      <c r="BZ514">
        <v>3673086.98</v>
      </c>
      <c r="CC514">
        <v>0</v>
      </c>
      <c r="CD514">
        <v>100632.52</v>
      </c>
      <c r="CE514">
        <v>3673086.98</v>
      </c>
      <c r="CF514" t="s">
        <v>36</v>
      </c>
      <c r="CH514">
        <v>100632.52</v>
      </c>
      <c r="CI514">
        <v>0</v>
      </c>
      <c r="CJ514">
        <v>3673086.98</v>
      </c>
      <c r="CN514">
        <v>0</v>
      </c>
      <c r="CO514" t="s">
        <v>39</v>
      </c>
      <c r="CP514" t="s">
        <v>39</v>
      </c>
      <c r="CQ514" t="b">
        <v>1</v>
      </c>
      <c r="CR514" t="s">
        <v>8950</v>
      </c>
      <c r="CT514" t="s">
        <v>8960</v>
      </c>
      <c r="CU514" t="s">
        <v>8973</v>
      </c>
      <c r="CV514" t="s">
        <v>6382</v>
      </c>
      <c r="CW514" t="s">
        <v>4895</v>
      </c>
      <c r="CX514" t="s">
        <v>3246</v>
      </c>
      <c r="CY514">
        <v>1.1999999999999955</v>
      </c>
      <c r="CZ514">
        <v>120759.02399999958</v>
      </c>
      <c r="DA514">
        <v>3673086.98</v>
      </c>
      <c r="DB514" t="s">
        <v>36</v>
      </c>
      <c r="DC514" t="b">
        <v>1</v>
      </c>
      <c r="DD514">
        <v>3673086.98</v>
      </c>
      <c r="DE514">
        <v>0</v>
      </c>
      <c r="DF514" t="b">
        <v>1</v>
      </c>
      <c r="DG514" s="420" cm="1">
        <f t="array" ref="DG514">_xlfn.XLOOKUP("Дом 4"&amp;Реестр_Д4[[#This Row],[№]]&amp;Реестр_Д4[[#This Row],[Статус]],РД[Дом]&amp;РД[№ кв]&amp;РД[Состояние],РД[Дата подачи на регистрацию],"-",0)</f>
        <v>45169</v>
      </c>
    </row>
    <row r="515" spans="1:111" x14ac:dyDescent="0.25">
      <c r="A515">
        <v>514</v>
      </c>
      <c r="B515" t="s">
        <v>15</v>
      </c>
      <c r="C515">
        <v>14</v>
      </c>
      <c r="D515">
        <v>5</v>
      </c>
      <c r="E515">
        <v>2</v>
      </c>
      <c r="F515">
        <v>15.61</v>
      </c>
      <c r="G515">
        <v>12.02</v>
      </c>
      <c r="I515">
        <v>27.63</v>
      </c>
      <c r="J515">
        <v>13.1</v>
      </c>
      <c r="K515">
        <v>3.61</v>
      </c>
      <c r="L515">
        <v>1.82</v>
      </c>
      <c r="N515">
        <v>8.52</v>
      </c>
      <c r="O515">
        <v>2.72</v>
      </c>
      <c r="Q515">
        <v>2.72</v>
      </c>
      <c r="R515">
        <v>57.4</v>
      </c>
      <c r="S515">
        <v>54.68</v>
      </c>
      <c r="T515">
        <v>56.04</v>
      </c>
      <c r="U515">
        <v>57.6</v>
      </c>
      <c r="V515">
        <v>67306.399999999994</v>
      </c>
      <c r="W515">
        <v>3365.3199999999997</v>
      </c>
      <c r="X515">
        <v>70671.72</v>
      </c>
      <c r="Z515">
        <v>70671.72</v>
      </c>
      <c r="AA515">
        <v>3533.5859999999998</v>
      </c>
      <c r="AB515">
        <v>74205.305999999997</v>
      </c>
      <c r="AC515">
        <v>9.1272526379999999</v>
      </c>
      <c r="AD515">
        <v>74214.433252638002</v>
      </c>
      <c r="AF515">
        <v>74214.433252638002</v>
      </c>
      <c r="AH515">
        <v>74214.433252638002</v>
      </c>
      <c r="AJ515">
        <v>74214.433252638002</v>
      </c>
      <c r="AL515">
        <v>74214.433252638002</v>
      </c>
      <c r="AN515">
        <v>74214.433252638002</v>
      </c>
      <c r="AP515">
        <v>74214.433252638002</v>
      </c>
      <c r="AR515">
        <v>74214.433252638002</v>
      </c>
      <c r="AT515">
        <v>74214.433252638002</v>
      </c>
      <c r="AV515">
        <v>74214.433252638002</v>
      </c>
      <c r="AX515">
        <v>74214.433252638002</v>
      </c>
      <c r="AZ515">
        <v>74214.433252638002</v>
      </c>
      <c r="BB515">
        <v>74214.433252638002</v>
      </c>
      <c r="BD515">
        <v>74214.433252638002</v>
      </c>
      <c r="BF515">
        <v>74214.433252638002</v>
      </c>
      <c r="BH515">
        <v>74214.433252638002</v>
      </c>
      <c r="BJ515">
        <v>74214.433252638002</v>
      </c>
      <c r="BL515">
        <v>74214.433252638002</v>
      </c>
      <c r="BN515">
        <v>74214.433252638002</v>
      </c>
      <c r="BP515">
        <v>74214.433252638002</v>
      </c>
      <c r="BR515">
        <v>74214.433252638002</v>
      </c>
      <c r="BT515">
        <v>74214.433252638002</v>
      </c>
      <c r="BV515">
        <v>74214.433252638002</v>
      </c>
      <c r="BX515">
        <v>74214.433252638002</v>
      </c>
      <c r="BY515">
        <v>74214.429999999993</v>
      </c>
      <c r="BZ515">
        <v>4158976.66</v>
      </c>
      <c r="CB515">
        <v>0.05</v>
      </c>
      <c r="CC515">
        <v>207948.83300000001</v>
      </c>
      <c r="CD515">
        <v>70503.708600999293</v>
      </c>
      <c r="CE515">
        <v>3951027.83</v>
      </c>
      <c r="CF515" t="s">
        <v>38</v>
      </c>
      <c r="CG515">
        <v>15000</v>
      </c>
      <c r="CH515">
        <v>85503.708600999293</v>
      </c>
      <c r="CI515">
        <v>840600</v>
      </c>
      <c r="CJ515">
        <v>4791627.83</v>
      </c>
      <c r="CL515" t="s">
        <v>3540</v>
      </c>
      <c r="CN515">
        <v>0</v>
      </c>
      <c r="CO515" t="s">
        <v>39</v>
      </c>
      <c r="CP515" t="s">
        <v>39</v>
      </c>
      <c r="CQ515" t="b">
        <v>1</v>
      </c>
      <c r="CR515" t="s">
        <v>8950</v>
      </c>
      <c r="CT515" t="s">
        <v>8960</v>
      </c>
      <c r="CU515" t="s">
        <v>8974</v>
      </c>
      <c r="CV515" t="s">
        <v>6383</v>
      </c>
      <c r="CW515" t="s">
        <v>4895</v>
      </c>
      <c r="CX515" t="s">
        <v>3246</v>
      </c>
      <c r="CY515">
        <v>1.5600000000000025</v>
      </c>
      <c r="CZ515">
        <v>133385.78541755909</v>
      </c>
      <c r="DA515">
        <v>4791627.83</v>
      </c>
      <c r="DB515" t="s">
        <v>38</v>
      </c>
      <c r="DC515" t="b">
        <v>1</v>
      </c>
      <c r="DD515">
        <v>4791627.83</v>
      </c>
      <c r="DE515">
        <v>0</v>
      </c>
      <c r="DF515" t="b">
        <v>1</v>
      </c>
      <c r="DG515" s="420" cm="1">
        <f t="array" ref="DG515">_xlfn.XLOOKUP("Дом 4"&amp;Реестр_Д4[[#This Row],[№]]&amp;Реестр_Д4[[#This Row],[Статус]],РД[Дом]&amp;РД[№ кв]&amp;РД[Состояние],РД[Дата подачи на регистрацию],"-",0)</f>
        <v>44915</v>
      </c>
    </row>
    <row r="516" spans="1:111" x14ac:dyDescent="0.25">
      <c r="A516">
        <v>515</v>
      </c>
      <c r="B516" t="s">
        <v>15</v>
      </c>
      <c r="C516">
        <v>14</v>
      </c>
      <c r="D516">
        <v>6</v>
      </c>
      <c r="E516">
        <v>2</v>
      </c>
      <c r="F516">
        <v>15.61</v>
      </c>
      <c r="G516">
        <v>9.66</v>
      </c>
      <c r="I516">
        <v>25.27</v>
      </c>
      <c r="J516">
        <v>16.53</v>
      </c>
      <c r="K516">
        <v>3.63</v>
      </c>
      <c r="L516">
        <v>2.21</v>
      </c>
      <c r="N516">
        <v>9.6199999999999992</v>
      </c>
      <c r="O516">
        <v>2.72</v>
      </c>
      <c r="Q516">
        <v>2.72</v>
      </c>
      <c r="R516">
        <v>59.98</v>
      </c>
      <c r="S516">
        <v>57.26</v>
      </c>
      <c r="T516">
        <v>58.62</v>
      </c>
      <c r="U516">
        <v>60.3</v>
      </c>
      <c r="V516">
        <v>67972.800000000003</v>
      </c>
      <c r="W516">
        <v>3398.6400000000003</v>
      </c>
      <c r="X516">
        <v>71371.44</v>
      </c>
      <c r="Z516">
        <v>71371.44</v>
      </c>
      <c r="AA516">
        <v>3568.5720000000001</v>
      </c>
      <c r="AB516">
        <v>74940.012000000002</v>
      </c>
      <c r="AC516">
        <v>9.2176214760000015</v>
      </c>
      <c r="AD516">
        <v>74949.229621475999</v>
      </c>
      <c r="AF516">
        <v>74949.229621475999</v>
      </c>
      <c r="AH516">
        <v>74949.229621475999</v>
      </c>
      <c r="AJ516">
        <v>74949.229621475999</v>
      </c>
      <c r="AL516">
        <v>74949.229621475999</v>
      </c>
      <c r="AN516">
        <v>74949.229621475999</v>
      </c>
      <c r="AP516">
        <v>74949.229621475999</v>
      </c>
      <c r="AR516">
        <v>74949.229621475999</v>
      </c>
      <c r="AT516">
        <v>74949.229621475999</v>
      </c>
      <c r="AV516">
        <v>74949.229621475999</v>
      </c>
      <c r="AX516">
        <v>74949.229621475999</v>
      </c>
      <c r="AZ516">
        <v>74949.229621475999</v>
      </c>
      <c r="BB516">
        <v>74949.229621475999</v>
      </c>
      <c r="BD516">
        <v>74949.229621475999</v>
      </c>
      <c r="BF516">
        <v>74949.229621475999</v>
      </c>
      <c r="BH516">
        <v>74949.229621475999</v>
      </c>
      <c r="BJ516">
        <v>74949.229621475999</v>
      </c>
      <c r="BL516">
        <v>74949.229621475999</v>
      </c>
      <c r="BN516">
        <v>74949.229621475999</v>
      </c>
      <c r="BP516">
        <v>74949.229621475999</v>
      </c>
      <c r="BR516">
        <v>74949.229621475999</v>
      </c>
      <c r="BT516">
        <v>74949.229621475999</v>
      </c>
      <c r="BV516">
        <v>74949.229621475999</v>
      </c>
      <c r="BX516">
        <v>74949.229621475999</v>
      </c>
      <c r="BY516">
        <v>74949.23</v>
      </c>
      <c r="BZ516">
        <v>4393523.8600000003</v>
      </c>
      <c r="CB516">
        <v>0.05</v>
      </c>
      <c r="CC516">
        <v>219676.19300000003</v>
      </c>
      <c r="CD516">
        <v>71201.768509041285</v>
      </c>
      <c r="CE516">
        <v>4173847.67</v>
      </c>
      <c r="CF516" t="s">
        <v>38</v>
      </c>
      <c r="CG516">
        <v>15000</v>
      </c>
      <c r="CH516">
        <v>86201.768509041285</v>
      </c>
      <c r="CI516">
        <v>879300</v>
      </c>
      <c r="CJ516">
        <v>5053147.67</v>
      </c>
      <c r="CL516" t="s">
        <v>3540</v>
      </c>
      <c r="CN516">
        <v>0</v>
      </c>
      <c r="CO516" t="s">
        <v>39</v>
      </c>
      <c r="CP516" t="s">
        <v>39</v>
      </c>
      <c r="CQ516" t="b">
        <v>1</v>
      </c>
      <c r="CR516" t="s">
        <v>8950</v>
      </c>
      <c r="CT516" t="s">
        <v>8960</v>
      </c>
      <c r="CU516" t="s">
        <v>8971</v>
      </c>
      <c r="CV516" t="s">
        <v>6384</v>
      </c>
      <c r="CW516" t="s">
        <v>4895</v>
      </c>
      <c r="CX516" t="s">
        <v>3246</v>
      </c>
      <c r="CY516">
        <v>1.6799999999999995</v>
      </c>
      <c r="CZ516">
        <v>144818.97109518934</v>
      </c>
      <c r="DA516">
        <v>5053147.67</v>
      </c>
      <c r="DB516" t="s">
        <v>38</v>
      </c>
      <c r="DC516" t="b">
        <v>1</v>
      </c>
      <c r="DD516">
        <v>5053147.67</v>
      </c>
      <c r="DE516">
        <v>0</v>
      </c>
      <c r="DF516" t="b">
        <v>1</v>
      </c>
      <c r="DG516" s="420" cm="1">
        <f t="array" ref="DG516">_xlfn.XLOOKUP("Дом 4"&amp;Реестр_Д4[[#This Row],[№]]&amp;Реестр_Д4[[#This Row],[Статус]],РД[Дом]&amp;РД[№ кв]&amp;РД[Состояние],РД[Дата подачи на регистрацию],"-",0)</f>
        <v>44916</v>
      </c>
    </row>
    <row r="517" spans="1:111" x14ac:dyDescent="0.25">
      <c r="A517">
        <v>516</v>
      </c>
      <c r="B517" t="s">
        <v>15</v>
      </c>
      <c r="C517">
        <v>14</v>
      </c>
      <c r="D517">
        <v>7</v>
      </c>
      <c r="E517">
        <v>2</v>
      </c>
      <c r="F517">
        <v>11.83</v>
      </c>
      <c r="G517">
        <v>11.4</v>
      </c>
      <c r="I517">
        <v>23.23</v>
      </c>
      <c r="J517">
        <v>27.16</v>
      </c>
      <c r="K517">
        <v>5.28</v>
      </c>
      <c r="L517">
        <v>1.75</v>
      </c>
      <c r="N517">
        <v>8.67</v>
      </c>
      <c r="O517">
        <v>2.8</v>
      </c>
      <c r="Q517">
        <v>2.8</v>
      </c>
      <c r="R517">
        <v>68.89</v>
      </c>
      <c r="S517">
        <v>66.09</v>
      </c>
      <c r="T517">
        <v>67.489999999999995</v>
      </c>
      <c r="U517">
        <v>69.099999999999994</v>
      </c>
      <c r="V517">
        <v>71304.800000000003</v>
      </c>
      <c r="W517">
        <v>3565.24</v>
      </c>
      <c r="X517">
        <v>74870.039999999994</v>
      </c>
      <c r="Z517">
        <v>74870.039999999994</v>
      </c>
      <c r="AA517">
        <v>3743.502</v>
      </c>
      <c r="AB517">
        <v>78613.542000000016</v>
      </c>
      <c r="AC517">
        <v>9.6694656660000025</v>
      </c>
      <c r="AD517">
        <v>78623.211465666012</v>
      </c>
      <c r="AF517">
        <v>78623.211465666012</v>
      </c>
      <c r="AH517">
        <v>78623.211465666012</v>
      </c>
      <c r="AI517">
        <v>1572.4642293133202</v>
      </c>
      <c r="AJ517">
        <v>80195.675694979334</v>
      </c>
      <c r="AK517">
        <v>2405.8702708493797</v>
      </c>
      <c r="AL517">
        <v>82601.545965828715</v>
      </c>
      <c r="AM517">
        <v>3304.0618386331485</v>
      </c>
      <c r="AN517">
        <v>85905.607804461863</v>
      </c>
      <c r="AP517">
        <v>85905.607804461863</v>
      </c>
      <c r="AQ517">
        <v>2577.168234133856</v>
      </c>
      <c r="AR517">
        <v>88482.776038595723</v>
      </c>
      <c r="AT517">
        <v>88482.776038595723</v>
      </c>
      <c r="AU517">
        <v>2654.4832811578717</v>
      </c>
      <c r="AV517">
        <v>91137.259319753604</v>
      </c>
      <c r="AX517">
        <v>91137.259319753604</v>
      </c>
      <c r="AZ517">
        <v>91137.259319753604</v>
      </c>
      <c r="BB517">
        <v>91137.259319753604</v>
      </c>
      <c r="BD517">
        <v>91137.259319753604</v>
      </c>
      <c r="BF517">
        <v>91137.259319753604</v>
      </c>
      <c r="BH517">
        <v>91137.259319753604</v>
      </c>
      <c r="BJ517">
        <v>91137.259319753604</v>
      </c>
      <c r="BL517">
        <v>91137.259319753604</v>
      </c>
      <c r="BN517">
        <v>91137.259319753604</v>
      </c>
      <c r="BP517">
        <v>91137.259319753604</v>
      </c>
      <c r="BR517">
        <v>91137.259319753604</v>
      </c>
      <c r="BT517">
        <v>91137.259319753604</v>
      </c>
      <c r="BV517">
        <v>91137.259319753604</v>
      </c>
      <c r="BX517">
        <v>91137.259319753604</v>
      </c>
      <c r="BY517">
        <v>91137.26</v>
      </c>
      <c r="BZ517">
        <v>6150900</v>
      </c>
      <c r="CA517">
        <v>150000</v>
      </c>
      <c r="CC517">
        <v>150000</v>
      </c>
      <c r="CD517">
        <v>88915.394873314566</v>
      </c>
      <c r="CE517">
        <v>6000900</v>
      </c>
      <c r="CF517" t="s">
        <v>36</v>
      </c>
      <c r="CH517">
        <v>88915.394873314566</v>
      </c>
      <c r="CI517">
        <v>0</v>
      </c>
      <c r="CJ517">
        <v>6000900</v>
      </c>
      <c r="CK517" t="s">
        <v>57</v>
      </c>
      <c r="CL517" t="s">
        <v>3390</v>
      </c>
      <c r="CN517">
        <v>0</v>
      </c>
      <c r="CO517" t="s">
        <v>39</v>
      </c>
      <c r="CP517" t="s">
        <v>39</v>
      </c>
      <c r="CQ517" t="b">
        <v>1</v>
      </c>
      <c r="CR517" t="s">
        <v>8950</v>
      </c>
      <c r="CT517" t="s">
        <v>8960</v>
      </c>
      <c r="CU517" t="s">
        <v>8971</v>
      </c>
      <c r="CV517" t="s">
        <v>6385</v>
      </c>
      <c r="CW517" t="s">
        <v>6652</v>
      </c>
      <c r="CX517" t="s">
        <v>3246</v>
      </c>
      <c r="CY517">
        <v>1.6099999999999994</v>
      </c>
      <c r="CZ517">
        <v>143153.78574603639</v>
      </c>
      <c r="DA517">
        <v>6000900</v>
      </c>
      <c r="DB517" t="s">
        <v>36</v>
      </c>
      <c r="DC517" t="b">
        <v>1</v>
      </c>
      <c r="DD517">
        <v>6000900</v>
      </c>
      <c r="DE517">
        <v>0</v>
      </c>
      <c r="DF517" t="b">
        <v>1</v>
      </c>
      <c r="DG517" s="420" cm="1">
        <f t="array" ref="DG517">_xlfn.XLOOKUP("Дом 4"&amp;Реестр_Д4[[#This Row],[№]]&amp;Реестр_Д4[[#This Row],[Статус]],РД[Дом]&amp;РД[№ кв]&amp;РД[Состояние],РД[Дата подачи на регистрацию],"-",0)</f>
        <v>45278</v>
      </c>
    </row>
    <row r="518" spans="1:111" x14ac:dyDescent="0.25">
      <c r="A518">
        <v>517</v>
      </c>
      <c r="B518" t="s">
        <v>15</v>
      </c>
      <c r="C518">
        <v>14</v>
      </c>
      <c r="D518">
        <v>8</v>
      </c>
      <c r="E518">
        <v>2</v>
      </c>
      <c r="F518">
        <v>17.25</v>
      </c>
      <c r="G518">
        <v>14.07</v>
      </c>
      <c r="I518">
        <v>31.32</v>
      </c>
      <c r="J518">
        <v>14.23</v>
      </c>
      <c r="K518">
        <v>3.81</v>
      </c>
      <c r="L518">
        <v>1.75</v>
      </c>
      <c r="N518">
        <v>11.07</v>
      </c>
      <c r="O518">
        <v>3.12</v>
      </c>
      <c r="Q518">
        <v>3.12</v>
      </c>
      <c r="R518">
        <v>65.3</v>
      </c>
      <c r="S518">
        <v>62.18</v>
      </c>
      <c r="T518">
        <v>63.74</v>
      </c>
      <c r="U518">
        <v>65.199999999999989</v>
      </c>
      <c r="V518">
        <v>68639.199999999997</v>
      </c>
      <c r="W518">
        <v>3431.96</v>
      </c>
      <c r="X518">
        <v>72071.16</v>
      </c>
      <c r="Z518">
        <v>72071.16</v>
      </c>
      <c r="AA518">
        <v>3603.558</v>
      </c>
      <c r="AB518">
        <v>75674.717999999993</v>
      </c>
      <c r="AC518">
        <v>9.3079903140000013</v>
      </c>
      <c r="AD518">
        <v>75684.02599031401</v>
      </c>
      <c r="AF518">
        <v>75684.02599031401</v>
      </c>
      <c r="AH518">
        <v>75684.02599031401</v>
      </c>
      <c r="AI518">
        <v>1513.6805198062802</v>
      </c>
      <c r="AJ518">
        <v>77197.70651012029</v>
      </c>
      <c r="AK518">
        <v>771.97706510120292</v>
      </c>
      <c r="AL518">
        <v>77969.683575221497</v>
      </c>
      <c r="AM518">
        <v>1559.3936715044299</v>
      </c>
      <c r="AN518">
        <v>79529.077246725923</v>
      </c>
      <c r="AP518">
        <v>79529.077246725923</v>
      </c>
      <c r="AQ518">
        <v>2385.8723174017778</v>
      </c>
      <c r="AR518">
        <v>81914.949564127703</v>
      </c>
      <c r="AT518">
        <v>81914.949564127703</v>
      </c>
      <c r="AU518">
        <v>2457.4484869238308</v>
      </c>
      <c r="AV518">
        <v>84372.398051051539</v>
      </c>
      <c r="AX518">
        <v>84372.398051051539</v>
      </c>
      <c r="AZ518">
        <v>84372.398051051539</v>
      </c>
      <c r="BB518">
        <v>84372.398051051539</v>
      </c>
      <c r="BD518">
        <v>84372.398051051539</v>
      </c>
      <c r="BF518">
        <v>84372.398051051539</v>
      </c>
      <c r="BG518">
        <v>3000</v>
      </c>
      <c r="BH518">
        <v>87372.398051051539</v>
      </c>
      <c r="BI518">
        <v>4368.6199025525775</v>
      </c>
      <c r="BJ518">
        <v>91741.017953604111</v>
      </c>
      <c r="BK518">
        <v>1000</v>
      </c>
      <c r="BL518">
        <v>92741.017953604111</v>
      </c>
      <c r="BM518">
        <v>1854.8203590720825</v>
      </c>
      <c r="BN518">
        <v>94595.838312676191</v>
      </c>
      <c r="BO518">
        <v>4729.7919156338094</v>
      </c>
      <c r="BP518">
        <v>99325.630228309994</v>
      </c>
      <c r="BQ518">
        <v>500</v>
      </c>
      <c r="BR518">
        <v>99825.630228309994</v>
      </c>
      <c r="BT518">
        <v>99825.630228309994</v>
      </c>
      <c r="BV518">
        <v>99825.630228309994</v>
      </c>
      <c r="BX518">
        <v>99825.630228309994</v>
      </c>
      <c r="BY518">
        <v>99825.63</v>
      </c>
      <c r="BZ518">
        <v>6362900</v>
      </c>
      <c r="CC518">
        <v>0</v>
      </c>
      <c r="CD518">
        <v>99825.855036084089</v>
      </c>
      <c r="CE518">
        <v>6362900</v>
      </c>
      <c r="CF518" t="s">
        <v>36</v>
      </c>
      <c r="CH518">
        <v>99825.855036084089</v>
      </c>
      <c r="CI518">
        <v>0</v>
      </c>
      <c r="CJ518">
        <v>6362900</v>
      </c>
      <c r="CN518">
        <v>0</v>
      </c>
      <c r="CO518" t="s">
        <v>39</v>
      </c>
      <c r="CP518" t="s">
        <v>39</v>
      </c>
      <c r="CQ518" t="b">
        <v>1</v>
      </c>
      <c r="CR518" t="s">
        <v>8950</v>
      </c>
      <c r="CT518" t="s">
        <v>8960</v>
      </c>
      <c r="CU518" t="s">
        <v>8971</v>
      </c>
      <c r="CV518" t="s">
        <v>6386</v>
      </c>
      <c r="CW518" t="s">
        <v>6652</v>
      </c>
      <c r="CX518" t="s">
        <v>3246</v>
      </c>
      <c r="CY518">
        <v>1.4599999999999866</v>
      </c>
      <c r="CZ518">
        <v>145745.74835268143</v>
      </c>
      <c r="DA518">
        <v>6362900</v>
      </c>
      <c r="DB518" t="s">
        <v>36</v>
      </c>
      <c r="DC518" t="b">
        <v>1</v>
      </c>
      <c r="DD518">
        <v>6362900</v>
      </c>
      <c r="DE518">
        <v>0</v>
      </c>
      <c r="DF518" t="b">
        <v>1</v>
      </c>
      <c r="DG518" s="420" cm="1">
        <f t="array" ref="DG518">_xlfn.XLOOKUP("Дом 4"&amp;Реестр_Д4[[#This Row],[№]]&amp;Реестр_Д4[[#This Row],[Статус]],РД[Дом]&amp;РД[№ кв]&amp;РД[Состояние],РД[Дата подачи на регистрацию],"-",0)</f>
        <v>45463</v>
      </c>
    </row>
    <row r="519" spans="1:111" x14ac:dyDescent="0.25">
      <c r="A519">
        <v>518</v>
      </c>
      <c r="B519" t="s">
        <v>15</v>
      </c>
      <c r="C519">
        <v>14</v>
      </c>
      <c r="D519">
        <v>9</v>
      </c>
      <c r="E519">
        <v>1</v>
      </c>
      <c r="F519">
        <v>16.46</v>
      </c>
      <c r="I519">
        <v>16.46</v>
      </c>
      <c r="J519">
        <v>14.25</v>
      </c>
      <c r="K519">
        <v>3.92</v>
      </c>
      <c r="N519">
        <v>8.2200000000000006</v>
      </c>
      <c r="O519">
        <v>3.03</v>
      </c>
      <c r="Q519">
        <v>3.03</v>
      </c>
      <c r="R519">
        <v>45.88</v>
      </c>
      <c r="S519">
        <v>42.85</v>
      </c>
      <c r="T519">
        <v>44.37</v>
      </c>
      <c r="U519">
        <v>45.9</v>
      </c>
      <c r="V519">
        <v>72100</v>
      </c>
      <c r="W519">
        <v>3605</v>
      </c>
      <c r="X519">
        <v>75705</v>
      </c>
      <c r="Z519">
        <v>75705</v>
      </c>
      <c r="AA519">
        <v>3785.25</v>
      </c>
      <c r="AB519">
        <v>79490.25</v>
      </c>
      <c r="AC519">
        <v>9.7773007500000002</v>
      </c>
      <c r="AD519">
        <v>79500.027300750007</v>
      </c>
      <c r="AE519">
        <v>3975.0013650375008</v>
      </c>
      <c r="AF519">
        <v>83475.028665787511</v>
      </c>
      <c r="AH519">
        <v>83475.028665787511</v>
      </c>
      <c r="AI519">
        <v>2504.2508599736252</v>
      </c>
      <c r="AJ519">
        <v>85979.279525761129</v>
      </c>
      <c r="AK519">
        <v>859.79279525761149</v>
      </c>
      <c r="AL519">
        <v>86839.072321018757</v>
      </c>
      <c r="AM519">
        <v>1736.7814464203752</v>
      </c>
      <c r="AN519">
        <v>88575.853767439126</v>
      </c>
      <c r="AP519">
        <v>88575.853767439126</v>
      </c>
      <c r="AR519">
        <v>88575.853767439126</v>
      </c>
      <c r="AT519">
        <v>88575.853767439126</v>
      </c>
      <c r="AV519">
        <v>88575.853767439126</v>
      </c>
      <c r="AX519">
        <v>88575.853767439126</v>
      </c>
      <c r="AZ519">
        <v>88575.853767439126</v>
      </c>
      <c r="BB519">
        <v>88575.853767439126</v>
      </c>
      <c r="BD519">
        <v>88575.853767439126</v>
      </c>
      <c r="BF519">
        <v>88575.853767439126</v>
      </c>
      <c r="BH519">
        <v>88575.853767439126</v>
      </c>
      <c r="BJ519">
        <v>88575.853767439126</v>
      </c>
      <c r="BL519">
        <v>88575.853767439126</v>
      </c>
      <c r="BN519">
        <v>88575.853767439126</v>
      </c>
      <c r="BP519">
        <v>88575.853767439126</v>
      </c>
      <c r="BR519">
        <v>88575.853767439126</v>
      </c>
      <c r="BT519">
        <v>88575.853767439126</v>
      </c>
      <c r="BV519">
        <v>88575.853767439126</v>
      </c>
      <c r="BX519">
        <v>88575.853767439126</v>
      </c>
      <c r="BY519">
        <v>88575.85</v>
      </c>
      <c r="BZ519">
        <v>3930110.46</v>
      </c>
      <c r="CC519">
        <v>0</v>
      </c>
      <c r="CD519">
        <v>88575.849898580127</v>
      </c>
      <c r="CE519">
        <v>3930110.46</v>
      </c>
      <c r="CF519" t="s">
        <v>38</v>
      </c>
      <c r="CG519">
        <v>15000</v>
      </c>
      <c r="CH519">
        <v>103575.84989858013</v>
      </c>
      <c r="CI519">
        <v>665550</v>
      </c>
      <c r="CJ519">
        <v>4595660.46</v>
      </c>
      <c r="CN519">
        <v>0</v>
      </c>
      <c r="CO519" t="s">
        <v>39</v>
      </c>
      <c r="CP519" t="s">
        <v>39</v>
      </c>
      <c r="CQ519" t="b">
        <v>1</v>
      </c>
      <c r="CR519" t="s">
        <v>8950</v>
      </c>
      <c r="CT519" t="s">
        <v>8960</v>
      </c>
      <c r="CU519" t="s">
        <v>8972</v>
      </c>
      <c r="CV519" t="s">
        <v>6387</v>
      </c>
      <c r="CW519" t="s">
        <v>4895</v>
      </c>
      <c r="CX519" t="s">
        <v>3246</v>
      </c>
      <c r="CY519">
        <v>1.5300000000000011</v>
      </c>
      <c r="CZ519">
        <v>158471.0503448277</v>
      </c>
      <c r="DA519">
        <v>4595660.46</v>
      </c>
      <c r="DB519" t="s">
        <v>38</v>
      </c>
      <c r="DC519" t="b">
        <v>1</v>
      </c>
      <c r="DD519">
        <v>4595660.46</v>
      </c>
      <c r="DE519">
        <v>0</v>
      </c>
      <c r="DF519" t="b">
        <v>1</v>
      </c>
      <c r="DG519" s="420" cm="1">
        <f t="array" ref="DG519">_xlfn.XLOOKUP("Дом 4"&amp;Реестр_Д4[[#This Row],[№]]&amp;Реестр_Д4[[#This Row],[Статус]],РД[Дом]&amp;РД[№ кв]&amp;РД[Состояние],РД[Дата подачи на регистрацию],"-",0)</f>
        <v>45062</v>
      </c>
    </row>
    <row r="520" spans="1:111" x14ac:dyDescent="0.25">
      <c r="A520">
        <v>519</v>
      </c>
      <c r="B520" t="s">
        <v>15</v>
      </c>
      <c r="C520">
        <v>15</v>
      </c>
      <c r="D520">
        <v>1</v>
      </c>
      <c r="E520">
        <v>1</v>
      </c>
      <c r="F520">
        <v>14.05</v>
      </c>
      <c r="I520">
        <v>14.05</v>
      </c>
      <c r="J520">
        <v>12.32</v>
      </c>
      <c r="K520">
        <v>3.87</v>
      </c>
      <c r="N520">
        <v>8.14</v>
      </c>
      <c r="O520">
        <v>2.72</v>
      </c>
      <c r="Q520">
        <v>2.72</v>
      </c>
      <c r="R520">
        <v>41.1</v>
      </c>
      <c r="S520">
        <v>38.380000000000003</v>
      </c>
      <c r="T520">
        <v>39.74</v>
      </c>
      <c r="U520">
        <v>40.799999999999997</v>
      </c>
      <c r="V520">
        <v>72100</v>
      </c>
      <c r="W520">
        <v>3605</v>
      </c>
      <c r="X520">
        <v>75705</v>
      </c>
      <c r="Y520">
        <v>3028.2000000000003</v>
      </c>
      <c r="Z520">
        <v>78733.2</v>
      </c>
      <c r="AA520">
        <v>3936.66</v>
      </c>
      <c r="AB520">
        <v>82669.86</v>
      </c>
      <c r="AC520">
        <v>10.16839278</v>
      </c>
      <c r="AD520">
        <v>82680.028392780005</v>
      </c>
      <c r="AE520">
        <v>4134.0014196390002</v>
      </c>
      <c r="AF520">
        <v>86814.029812419001</v>
      </c>
      <c r="AH520">
        <v>86814.029812419001</v>
      </c>
      <c r="AI520">
        <v>2604.4208943725698</v>
      </c>
      <c r="AJ520">
        <v>89418.450706791569</v>
      </c>
      <c r="AK520">
        <v>894.18450706791566</v>
      </c>
      <c r="AL520">
        <v>90312.635213859481</v>
      </c>
      <c r="AM520">
        <v>1806.2527042771897</v>
      </c>
      <c r="AN520">
        <v>92118.887918136679</v>
      </c>
      <c r="AP520">
        <v>92118.887918136679</v>
      </c>
      <c r="AQ520">
        <v>2763.5666375440996</v>
      </c>
      <c r="AR520">
        <v>94882.454555680772</v>
      </c>
      <c r="AT520">
        <v>94882.454555680772</v>
      </c>
      <c r="AV520">
        <v>94882.454555680772</v>
      </c>
      <c r="AX520">
        <v>94882.454555680772</v>
      </c>
      <c r="AZ520">
        <v>94882.454555680772</v>
      </c>
      <c r="BB520">
        <v>94882.454555680772</v>
      </c>
      <c r="BD520">
        <v>94882.454555680772</v>
      </c>
      <c r="BF520">
        <v>94882.454555680772</v>
      </c>
      <c r="BH520">
        <v>94882.454555680772</v>
      </c>
      <c r="BJ520">
        <v>94882.454555680772</v>
      </c>
      <c r="BL520">
        <v>94882.454555680772</v>
      </c>
      <c r="BN520">
        <v>94882.454555680772</v>
      </c>
      <c r="BP520">
        <v>94882.454555680772</v>
      </c>
      <c r="BR520">
        <v>94882.454555680772</v>
      </c>
      <c r="BT520">
        <v>94882.454555680772</v>
      </c>
      <c r="BV520">
        <v>94882.454555680772</v>
      </c>
      <c r="BX520">
        <v>94882.454555680772</v>
      </c>
      <c r="BY520">
        <v>94882.45</v>
      </c>
      <c r="BZ520">
        <v>3770628.56</v>
      </c>
      <c r="CC520">
        <v>0</v>
      </c>
      <c r="CD520">
        <v>94882.449924509303</v>
      </c>
      <c r="CE520">
        <v>3770628.56</v>
      </c>
      <c r="CF520" t="s">
        <v>38</v>
      </c>
      <c r="CG520">
        <v>15500</v>
      </c>
      <c r="CH520">
        <v>110382.4499245093</v>
      </c>
      <c r="CI520">
        <v>615969.99999999953</v>
      </c>
      <c r="CJ520">
        <v>4386598.5599999996</v>
      </c>
      <c r="CN520">
        <v>0</v>
      </c>
      <c r="CO520" t="s">
        <v>39</v>
      </c>
      <c r="CP520" t="s">
        <v>39</v>
      </c>
      <c r="CQ520" t="b">
        <v>1</v>
      </c>
      <c r="CR520" t="s">
        <v>8950</v>
      </c>
      <c r="CT520" t="s">
        <v>8960</v>
      </c>
      <c r="CU520" t="s">
        <v>8973</v>
      </c>
      <c r="CV520" t="s">
        <v>6388</v>
      </c>
      <c r="CW520" t="s">
        <v>4895</v>
      </c>
      <c r="CX520" t="s">
        <v>3246</v>
      </c>
      <c r="CY520">
        <v>1.0599999999999952</v>
      </c>
      <c r="CZ520">
        <v>117005.39691997932</v>
      </c>
      <c r="DA520">
        <v>4386598.5599999996</v>
      </c>
      <c r="DB520" t="s">
        <v>38</v>
      </c>
      <c r="DC520" t="b">
        <v>1</v>
      </c>
      <c r="DD520">
        <v>4386598.5599999996</v>
      </c>
      <c r="DE520">
        <v>0</v>
      </c>
      <c r="DF520" t="b">
        <v>1</v>
      </c>
      <c r="DG520" s="420" cm="1">
        <f t="array" ref="DG520">_xlfn.XLOOKUP("Дом 4"&amp;Реестр_Д4[[#This Row],[№]]&amp;Реестр_Д4[[#This Row],[Статус]],РД[Дом]&amp;РД[№ кв]&amp;РД[Состояние],РД[Дата подачи на регистрацию],"-",0)</f>
        <v>45159</v>
      </c>
    </row>
    <row r="521" spans="1:111" x14ac:dyDescent="0.25">
      <c r="A521">
        <v>520</v>
      </c>
      <c r="B521" t="s">
        <v>15</v>
      </c>
      <c r="C521">
        <v>15</v>
      </c>
      <c r="D521">
        <v>2</v>
      </c>
      <c r="E521">
        <v>1</v>
      </c>
      <c r="F521">
        <v>14.29</v>
      </c>
      <c r="I521">
        <v>14.29</v>
      </c>
      <c r="J521">
        <v>12.32</v>
      </c>
      <c r="K521">
        <v>3.72</v>
      </c>
      <c r="N521">
        <v>6.91</v>
      </c>
      <c r="O521">
        <v>2.72</v>
      </c>
      <c r="Q521">
        <v>2.72</v>
      </c>
      <c r="R521">
        <v>39.96</v>
      </c>
      <c r="S521">
        <v>37.24</v>
      </c>
      <c r="T521">
        <v>38.6</v>
      </c>
      <c r="U521">
        <v>39.9</v>
      </c>
      <c r="V521">
        <v>72100</v>
      </c>
      <c r="W521">
        <v>3605</v>
      </c>
      <c r="X521">
        <v>75705</v>
      </c>
      <c r="Y521">
        <v>3028.2000000000003</v>
      </c>
      <c r="Z521">
        <v>78733.2</v>
      </c>
      <c r="AA521">
        <v>3936.66</v>
      </c>
      <c r="AB521">
        <v>82669.86</v>
      </c>
      <c r="AC521">
        <v>10.16839278</v>
      </c>
      <c r="AD521">
        <v>82680.028392780005</v>
      </c>
      <c r="AE521">
        <v>4134.0014196390002</v>
      </c>
      <c r="AF521">
        <v>86814.029812419001</v>
      </c>
      <c r="AH521">
        <v>86814.029812419001</v>
      </c>
      <c r="AI521">
        <v>2604.4208943725698</v>
      </c>
      <c r="AJ521">
        <v>89418.450706791569</v>
      </c>
      <c r="AK521">
        <v>894.18450706791566</v>
      </c>
      <c r="AL521">
        <v>90312.635213859481</v>
      </c>
      <c r="AM521">
        <v>1806.2527042771897</v>
      </c>
      <c r="AN521">
        <v>92118.887918136679</v>
      </c>
      <c r="AO521">
        <v>1842.3777583627336</v>
      </c>
      <c r="AP521">
        <v>93961.265676499403</v>
      </c>
      <c r="AQ521">
        <v>2818.8379702949819</v>
      </c>
      <c r="AR521">
        <v>96780.103646794378</v>
      </c>
      <c r="AT521">
        <v>96780.103646794378</v>
      </c>
      <c r="AU521">
        <v>2903.4031094038314</v>
      </c>
      <c r="AV521">
        <v>99683.506756198214</v>
      </c>
      <c r="AW521">
        <v>3987.3402702479289</v>
      </c>
      <c r="AX521">
        <v>103670.84702644614</v>
      </c>
      <c r="AZ521">
        <v>103670.84702644614</v>
      </c>
      <c r="BB521">
        <v>103670.84702644614</v>
      </c>
      <c r="BD521">
        <v>103670.84702644614</v>
      </c>
      <c r="BF521">
        <v>103670.84702644614</v>
      </c>
      <c r="BH521">
        <v>103670.84702644614</v>
      </c>
      <c r="BJ521">
        <v>103670.84702644614</v>
      </c>
      <c r="BL521">
        <v>103670.84702644614</v>
      </c>
      <c r="BN521">
        <v>103670.84702644614</v>
      </c>
      <c r="BP521">
        <v>103670.84702644614</v>
      </c>
      <c r="BR521">
        <v>103670.84702644614</v>
      </c>
      <c r="BT521">
        <v>103670.84702644614</v>
      </c>
      <c r="BV521">
        <v>103670.84702644614</v>
      </c>
      <c r="BX521">
        <v>103670.84702644614</v>
      </c>
      <c r="BY521">
        <v>103670.85</v>
      </c>
      <c r="BZ521">
        <v>4001694.81</v>
      </c>
      <c r="CC521">
        <v>0</v>
      </c>
      <c r="CD521">
        <v>103670.85</v>
      </c>
      <c r="CE521">
        <v>4001694.81</v>
      </c>
      <c r="CF521" t="s">
        <v>37</v>
      </c>
      <c r="CG521">
        <v>7500</v>
      </c>
      <c r="CH521">
        <v>111170.85</v>
      </c>
      <c r="CI521">
        <v>289499.99999999953</v>
      </c>
      <c r="CJ521">
        <v>4291194.8099999996</v>
      </c>
      <c r="CN521">
        <v>0</v>
      </c>
      <c r="CO521" t="s">
        <v>39</v>
      </c>
      <c r="CP521" t="s">
        <v>39</v>
      </c>
      <c r="CQ521" t="b">
        <v>1</v>
      </c>
      <c r="CR521" t="s">
        <v>8950</v>
      </c>
      <c r="CT521" t="s">
        <v>8960</v>
      </c>
      <c r="CU521" t="s">
        <v>8973</v>
      </c>
      <c r="CV521" t="s">
        <v>6389</v>
      </c>
      <c r="CW521" t="s">
        <v>4895</v>
      </c>
      <c r="CX521" t="s">
        <v>3246</v>
      </c>
      <c r="CY521">
        <v>1.2999999999999972</v>
      </c>
      <c r="CZ521">
        <v>144522.10499999966</v>
      </c>
      <c r="DA521">
        <v>4291194.8099999996</v>
      </c>
      <c r="DB521" t="s">
        <v>37</v>
      </c>
      <c r="DC521" t="b">
        <v>1</v>
      </c>
      <c r="DD521">
        <v>4291194.8099999996</v>
      </c>
      <c r="DE521">
        <v>0</v>
      </c>
      <c r="DF521" t="b">
        <v>1</v>
      </c>
      <c r="DG521" s="420" cm="1">
        <f t="array" ref="DG521">_xlfn.XLOOKUP("Дом 4"&amp;Реестр_Д4[[#This Row],[№]]&amp;Реестр_Д4[[#This Row],[Статус]],РД[Дом]&amp;РД[№ кв]&amp;РД[Состояние],РД[Дата подачи на регистрацию],"-",0)</f>
        <v>45252</v>
      </c>
    </row>
    <row r="522" spans="1:111" x14ac:dyDescent="0.25">
      <c r="A522">
        <v>521</v>
      </c>
      <c r="B522" t="s">
        <v>15</v>
      </c>
      <c r="C522">
        <v>15</v>
      </c>
      <c r="D522">
        <v>3</v>
      </c>
      <c r="E522">
        <v>3</v>
      </c>
      <c r="F522">
        <v>16.05</v>
      </c>
      <c r="G522">
        <v>11.28</v>
      </c>
      <c r="H522">
        <v>10.82</v>
      </c>
      <c r="I522">
        <v>38.15</v>
      </c>
      <c r="J522">
        <v>17.41</v>
      </c>
      <c r="K522">
        <v>3.81</v>
      </c>
      <c r="L522">
        <v>1.87</v>
      </c>
      <c r="N522">
        <v>11.71</v>
      </c>
      <c r="O522">
        <v>2.65</v>
      </c>
      <c r="Q522">
        <v>2.65</v>
      </c>
      <c r="R522">
        <v>75.599999999999994</v>
      </c>
      <c r="S522">
        <v>72.949999999999989</v>
      </c>
      <c r="T522">
        <v>74.28</v>
      </c>
      <c r="U522">
        <v>75.599999999999994</v>
      </c>
      <c r="V522">
        <v>67737.600000000006</v>
      </c>
      <c r="W522">
        <v>3386.880000000001</v>
      </c>
      <c r="X522">
        <v>71124.48000000001</v>
      </c>
      <c r="Z522">
        <v>71124.48000000001</v>
      </c>
      <c r="AB522">
        <v>71124.48000000001</v>
      </c>
      <c r="AC522">
        <v>8.7483110400000026</v>
      </c>
      <c r="AD522">
        <v>71133.228311040017</v>
      </c>
      <c r="AF522">
        <v>71133.228311040017</v>
      </c>
      <c r="AH522">
        <v>71133.228311040017</v>
      </c>
      <c r="AJ522">
        <v>71133.228311040017</v>
      </c>
      <c r="AL522">
        <v>71133.228311040017</v>
      </c>
      <c r="AN522">
        <v>71133.228311040017</v>
      </c>
      <c r="AP522">
        <v>71133.228311040017</v>
      </c>
      <c r="AR522">
        <v>71133.228311040017</v>
      </c>
      <c r="AT522">
        <v>71133.228311040017</v>
      </c>
      <c r="AV522">
        <v>71133.228311040017</v>
      </c>
      <c r="AX522">
        <v>71133.228311040017</v>
      </c>
      <c r="AZ522">
        <v>71133.228311040017</v>
      </c>
      <c r="BB522">
        <v>71133.228311040017</v>
      </c>
      <c r="BD522">
        <v>71133.228311040017</v>
      </c>
      <c r="BF522">
        <v>71133.228311040017</v>
      </c>
      <c r="BH522">
        <v>71133.228311040017</v>
      </c>
      <c r="BJ522">
        <v>71133.228311040017</v>
      </c>
      <c r="BL522">
        <v>71133.228311040017</v>
      </c>
      <c r="BN522">
        <v>71133.228311040017</v>
      </c>
      <c r="BP522">
        <v>71133.228311040017</v>
      </c>
      <c r="BR522">
        <v>71133.228311040017</v>
      </c>
      <c r="BT522">
        <v>71133.228311040017</v>
      </c>
      <c r="BV522">
        <v>71133.228311040017</v>
      </c>
      <c r="BX522">
        <v>71133.228311040017</v>
      </c>
      <c r="BY522">
        <v>71133.23</v>
      </c>
      <c r="BZ522">
        <v>5283776.32</v>
      </c>
      <c r="CC522">
        <v>0</v>
      </c>
      <c r="CD522">
        <v>71133.229940764679</v>
      </c>
      <c r="CE522">
        <v>5283776.32</v>
      </c>
      <c r="CF522" t="s">
        <v>38</v>
      </c>
      <c r="CG522">
        <v>15000</v>
      </c>
      <c r="CH522">
        <v>86133.229940764679</v>
      </c>
      <c r="CI522">
        <v>1114200</v>
      </c>
      <c r="CJ522">
        <v>6397976.3200000003</v>
      </c>
      <c r="CK522" t="s">
        <v>57</v>
      </c>
      <c r="CN522">
        <v>0</v>
      </c>
      <c r="CO522" t="s">
        <v>39</v>
      </c>
      <c r="CP522" t="s">
        <v>39</v>
      </c>
      <c r="CQ522" t="b">
        <v>1</v>
      </c>
      <c r="CR522" t="s">
        <v>8950</v>
      </c>
      <c r="CT522" t="s">
        <v>8960</v>
      </c>
      <c r="CU522" t="s">
        <v>8990</v>
      </c>
      <c r="CV522" t="s">
        <v>6390</v>
      </c>
      <c r="CW522" t="s">
        <v>4895</v>
      </c>
      <c r="CX522" t="s">
        <v>3246</v>
      </c>
      <c r="CY522">
        <v>1.3199999999999932</v>
      </c>
      <c r="CZ522">
        <v>113695.8635218088</v>
      </c>
      <c r="DA522">
        <v>6397976.3200000003</v>
      </c>
      <c r="DB522" t="s">
        <v>38</v>
      </c>
      <c r="DC522" t="b">
        <v>1</v>
      </c>
      <c r="DD522">
        <v>6397976.3200000003</v>
      </c>
      <c r="DE522">
        <v>0</v>
      </c>
      <c r="DF522" t="b">
        <v>1</v>
      </c>
      <c r="DG522" s="420" cm="1">
        <f t="array" ref="DG522">_xlfn.XLOOKUP("Дом 4"&amp;Реестр_Д4[[#This Row],[№]]&amp;Реестр_Д4[[#This Row],[Статус]],РД[Дом]&amp;РД[№ кв]&amp;РД[Состояние],РД[Дата подачи на регистрацию],"-",0)</f>
        <v>45037</v>
      </c>
    </row>
    <row r="523" spans="1:111" x14ac:dyDescent="0.25">
      <c r="A523">
        <v>522</v>
      </c>
      <c r="B523" t="s">
        <v>15</v>
      </c>
      <c r="C523">
        <v>15</v>
      </c>
      <c r="D523">
        <v>4</v>
      </c>
      <c r="E523">
        <v>1</v>
      </c>
      <c r="F523">
        <v>12.09</v>
      </c>
      <c r="I523">
        <v>12.09</v>
      </c>
      <c r="J523">
        <v>12.26</v>
      </c>
      <c r="K523">
        <v>3.71</v>
      </c>
      <c r="N523">
        <v>7.06</v>
      </c>
      <c r="O523">
        <v>2.75</v>
      </c>
      <c r="Q523">
        <v>2.75</v>
      </c>
      <c r="R523">
        <v>37.869999999999997</v>
      </c>
      <c r="S523">
        <v>35.119999999999997</v>
      </c>
      <c r="T523">
        <v>36.5</v>
      </c>
      <c r="U523">
        <v>37.999999999999993</v>
      </c>
      <c r="V523">
        <v>72100</v>
      </c>
      <c r="W523">
        <v>3605</v>
      </c>
      <c r="X523">
        <v>75705</v>
      </c>
      <c r="Y523">
        <v>3028.2000000000003</v>
      </c>
      <c r="Z523">
        <v>78733.2</v>
      </c>
      <c r="AA523">
        <v>3936.66</v>
      </c>
      <c r="AB523">
        <v>82669.86</v>
      </c>
      <c r="AC523">
        <v>10.16839278</v>
      </c>
      <c r="AD523">
        <v>82680.028392780005</v>
      </c>
      <c r="AE523">
        <v>4134.0014196390002</v>
      </c>
      <c r="AF523">
        <v>86814.029812419001</v>
      </c>
      <c r="AG523">
        <v>4340.7014906209506</v>
      </c>
      <c r="AH523">
        <v>91154.731303039953</v>
      </c>
      <c r="AI523">
        <v>2734.6419390911983</v>
      </c>
      <c r="AJ523">
        <v>93889.373242131158</v>
      </c>
      <c r="AK523">
        <v>938.8937324213116</v>
      </c>
      <c r="AL523">
        <v>94828.266974552476</v>
      </c>
      <c r="AM523">
        <v>1896.5653394910496</v>
      </c>
      <c r="AN523">
        <v>96724.832314043524</v>
      </c>
      <c r="AO523">
        <v>1934.4966462808704</v>
      </c>
      <c r="AP523">
        <v>98659.328960324405</v>
      </c>
      <c r="AQ523">
        <v>2959.7798688097314</v>
      </c>
      <c r="AR523">
        <v>101619.10882913411</v>
      </c>
      <c r="AT523">
        <v>101619.10882913411</v>
      </c>
      <c r="AU523">
        <v>3048.5732648740232</v>
      </c>
      <c r="AV523">
        <v>104667.68209400814</v>
      </c>
      <c r="AW523">
        <v>6280.0609256404878</v>
      </c>
      <c r="AX523">
        <v>110947.74301964862</v>
      </c>
      <c r="AZ523">
        <v>110947.74301964862</v>
      </c>
      <c r="BB523">
        <v>110947.74301964862</v>
      </c>
      <c r="BD523">
        <v>110947.74301964862</v>
      </c>
      <c r="BF523">
        <v>110947.74301964862</v>
      </c>
      <c r="BH523">
        <v>110947.74301964862</v>
      </c>
      <c r="BI523">
        <v>5547.3871509824312</v>
      </c>
      <c r="BJ523">
        <v>116495.13017063103</v>
      </c>
      <c r="BK523">
        <v>500</v>
      </c>
      <c r="BL523">
        <v>116995.13017063103</v>
      </c>
      <c r="BM523">
        <v>2339.9026034126209</v>
      </c>
      <c r="BN523">
        <v>119335.03277404366</v>
      </c>
      <c r="BO523">
        <v>5966.7516387021833</v>
      </c>
      <c r="BP523">
        <v>125301.78441274584</v>
      </c>
      <c r="BQ523">
        <v>500</v>
      </c>
      <c r="BR523">
        <v>125801.78441274584</v>
      </c>
      <c r="BT523">
        <v>125801.78441274584</v>
      </c>
      <c r="BV523">
        <v>125801.78441274584</v>
      </c>
      <c r="BX523">
        <v>125801.78441274584</v>
      </c>
      <c r="BY523">
        <v>125801.78</v>
      </c>
      <c r="BZ523">
        <v>4591800</v>
      </c>
      <c r="CC523">
        <v>0</v>
      </c>
      <c r="CD523">
        <v>125802.7397260274</v>
      </c>
      <c r="CE523">
        <v>4591800</v>
      </c>
      <c r="CF523" t="s">
        <v>37</v>
      </c>
      <c r="CG523">
        <v>7500</v>
      </c>
      <c r="CH523">
        <v>133302.73972602742</v>
      </c>
      <c r="CI523">
        <v>273750</v>
      </c>
      <c r="CJ523">
        <v>4865550</v>
      </c>
      <c r="CN523">
        <v>0</v>
      </c>
      <c r="CO523" t="s">
        <v>39</v>
      </c>
      <c r="CP523" t="s">
        <v>39</v>
      </c>
      <c r="CQ523" t="b">
        <v>1</v>
      </c>
      <c r="CR523" t="s">
        <v>8950</v>
      </c>
      <c r="CT523" t="s">
        <v>8960</v>
      </c>
      <c r="CU523" t="s">
        <v>8973</v>
      </c>
      <c r="CV523" t="s">
        <v>6391</v>
      </c>
      <c r="CW523" t="s">
        <v>6652</v>
      </c>
      <c r="CX523" t="s">
        <v>3246</v>
      </c>
      <c r="CY523">
        <v>1.4999999999999929</v>
      </c>
      <c r="CZ523">
        <v>199954.10958904016</v>
      </c>
      <c r="DA523">
        <v>4865550</v>
      </c>
      <c r="DB523" t="s">
        <v>37</v>
      </c>
      <c r="DC523" t="b">
        <v>1</v>
      </c>
      <c r="DD523">
        <v>4865550</v>
      </c>
      <c r="DE523">
        <v>0</v>
      </c>
      <c r="DF523" t="b">
        <v>1</v>
      </c>
      <c r="DG523" s="420" cm="1">
        <f t="array" ref="DG523">_xlfn.XLOOKUP("Дом 4"&amp;Реестр_Д4[[#This Row],[№]]&amp;Реестр_Д4[[#This Row],[Статус]],РД[Дом]&amp;РД[№ кв]&amp;РД[Состояние],РД[Дата подачи на регистрацию],"-",0)</f>
        <v>45517</v>
      </c>
    </row>
    <row r="524" spans="1:111" x14ac:dyDescent="0.25">
      <c r="A524">
        <v>523</v>
      </c>
      <c r="B524" t="s">
        <v>15</v>
      </c>
      <c r="C524">
        <v>15</v>
      </c>
      <c r="D524">
        <v>5</v>
      </c>
      <c r="E524">
        <v>2</v>
      </c>
      <c r="F524">
        <v>15.61</v>
      </c>
      <c r="G524">
        <v>12.02</v>
      </c>
      <c r="I524">
        <v>27.63</v>
      </c>
      <c r="J524">
        <v>13.1</v>
      </c>
      <c r="K524">
        <v>3.61</v>
      </c>
      <c r="L524">
        <v>1.82</v>
      </c>
      <c r="N524">
        <v>8.52</v>
      </c>
      <c r="O524">
        <v>2.72</v>
      </c>
      <c r="Q524">
        <v>2.72</v>
      </c>
      <c r="R524">
        <v>57.4</v>
      </c>
      <c r="S524">
        <v>54.68</v>
      </c>
      <c r="T524">
        <v>56.04</v>
      </c>
      <c r="U524">
        <v>57.8</v>
      </c>
      <c r="V524">
        <v>67972.800000000003</v>
      </c>
      <c r="W524">
        <v>3398.6400000000003</v>
      </c>
      <c r="X524">
        <v>71371.44</v>
      </c>
      <c r="Z524">
        <v>71371.44</v>
      </c>
      <c r="AA524">
        <v>3568.5720000000001</v>
      </c>
      <c r="AB524">
        <v>74940.012000000002</v>
      </c>
      <c r="AC524">
        <v>9.2176214760000015</v>
      </c>
      <c r="AD524">
        <v>74949.229621475999</v>
      </c>
      <c r="AF524">
        <v>74949.229621475999</v>
      </c>
      <c r="AH524">
        <v>74949.229621475999</v>
      </c>
      <c r="AJ524">
        <v>74949.229621475999</v>
      </c>
      <c r="AL524">
        <v>74949.229621475999</v>
      </c>
      <c r="AN524">
        <v>74949.229621475999</v>
      </c>
      <c r="AP524">
        <v>74949.229621475999</v>
      </c>
      <c r="AR524">
        <v>74949.229621475999</v>
      </c>
      <c r="AT524">
        <v>74949.229621475999</v>
      </c>
      <c r="AV524">
        <v>74949.229621475999</v>
      </c>
      <c r="AX524">
        <v>74949.229621475999</v>
      </c>
      <c r="AZ524">
        <v>74949.229621475999</v>
      </c>
      <c r="BB524">
        <v>74949.229621475999</v>
      </c>
      <c r="BD524">
        <v>74949.229621475999</v>
      </c>
      <c r="BF524">
        <v>74949.229621475999</v>
      </c>
      <c r="BH524">
        <v>74949.229621475999</v>
      </c>
      <c r="BJ524">
        <v>74949.229621475999</v>
      </c>
      <c r="BL524">
        <v>74949.229621475999</v>
      </c>
      <c r="BN524">
        <v>74949.229621475999</v>
      </c>
      <c r="BP524">
        <v>74949.229621475999</v>
      </c>
      <c r="BR524">
        <v>74949.229621475999</v>
      </c>
      <c r="BT524">
        <v>74949.229621475999</v>
      </c>
      <c r="BV524">
        <v>74949.229621475999</v>
      </c>
      <c r="BX524">
        <v>74949.229621475999</v>
      </c>
      <c r="BY524">
        <v>74949.23</v>
      </c>
      <c r="BZ524">
        <v>4200154.8499999996</v>
      </c>
      <c r="CC524">
        <v>0</v>
      </c>
      <c r="CD524">
        <v>74949.230014275527</v>
      </c>
      <c r="CE524">
        <v>4200154.8499999996</v>
      </c>
      <c r="CF524" t="s">
        <v>37</v>
      </c>
      <c r="CG524">
        <v>4000</v>
      </c>
      <c r="CH524">
        <v>78949.230014275527</v>
      </c>
      <c r="CI524">
        <v>224160</v>
      </c>
      <c r="CJ524">
        <v>4424314.8499999996</v>
      </c>
      <c r="CN524">
        <v>0</v>
      </c>
      <c r="CO524" t="s">
        <v>39</v>
      </c>
      <c r="CP524" t="s">
        <v>39</v>
      </c>
      <c r="CQ524" t="b">
        <v>1</v>
      </c>
      <c r="CR524" t="s">
        <v>8950</v>
      </c>
      <c r="CT524" t="s">
        <v>8960</v>
      </c>
      <c r="CU524" t="s">
        <v>8974</v>
      </c>
      <c r="CV524" t="s">
        <v>6392</v>
      </c>
      <c r="CW524" t="s">
        <v>4895</v>
      </c>
      <c r="CX524" t="s">
        <v>3246</v>
      </c>
      <c r="CY524">
        <v>1.759999999999998</v>
      </c>
      <c r="CZ524">
        <v>138950.64482512471</v>
      </c>
      <c r="DA524">
        <v>4424314.8499999996</v>
      </c>
      <c r="DB524" t="s">
        <v>37</v>
      </c>
      <c r="DC524" t="b">
        <v>1</v>
      </c>
      <c r="DD524">
        <v>4424314.8499999996</v>
      </c>
      <c r="DE524">
        <v>0</v>
      </c>
      <c r="DF524" t="b">
        <v>1</v>
      </c>
      <c r="DG524" s="420" cm="1">
        <f t="array" ref="DG524">_xlfn.XLOOKUP("Дом 4"&amp;Реестр_Д4[[#This Row],[№]]&amp;Реестр_Д4[[#This Row],[Статус]],РД[Дом]&amp;РД[№ кв]&amp;РД[Состояние],РД[Дата подачи на регистрацию],"-",0)</f>
        <v>44978</v>
      </c>
    </row>
    <row r="525" spans="1:111" x14ac:dyDescent="0.25">
      <c r="A525">
        <v>524</v>
      </c>
      <c r="B525" t="s">
        <v>15</v>
      </c>
      <c r="C525">
        <v>15</v>
      </c>
      <c r="D525">
        <v>6</v>
      </c>
      <c r="E525">
        <v>2</v>
      </c>
      <c r="F525">
        <v>15.61</v>
      </c>
      <c r="G525">
        <v>9.66</v>
      </c>
      <c r="I525">
        <v>25.27</v>
      </c>
      <c r="J525">
        <v>16.53</v>
      </c>
      <c r="K525">
        <v>3.63</v>
      </c>
      <c r="L525">
        <v>2.21</v>
      </c>
      <c r="N525">
        <v>9.6199999999999992</v>
      </c>
      <c r="O525">
        <v>2.72</v>
      </c>
      <c r="Q525">
        <v>2.72</v>
      </c>
      <c r="R525">
        <v>59.98</v>
      </c>
      <c r="S525">
        <v>57.26</v>
      </c>
      <c r="T525">
        <v>58.62</v>
      </c>
      <c r="U525">
        <v>60.5</v>
      </c>
      <c r="V525">
        <v>68639.199999999997</v>
      </c>
      <c r="W525">
        <v>3431.96</v>
      </c>
      <c r="X525">
        <v>72071.16</v>
      </c>
      <c r="Z525">
        <v>72071.16</v>
      </c>
      <c r="AA525">
        <v>3603.558</v>
      </c>
      <c r="AB525">
        <v>75674.717999999993</v>
      </c>
      <c r="AC525">
        <v>9.3079903140000013</v>
      </c>
      <c r="AD525">
        <v>75684.02599031401</v>
      </c>
      <c r="AF525">
        <v>75684.02599031401</v>
      </c>
      <c r="AH525">
        <v>75684.02599031401</v>
      </c>
      <c r="AJ525">
        <v>75684.02599031401</v>
      </c>
      <c r="AL525">
        <v>75684.02599031401</v>
      </c>
      <c r="AN525">
        <v>75684.02599031401</v>
      </c>
      <c r="AP525">
        <v>75684.02599031401</v>
      </c>
      <c r="AR525">
        <v>75684.02599031401</v>
      </c>
      <c r="AT525">
        <v>75684.02599031401</v>
      </c>
      <c r="AV525">
        <v>75684.02599031401</v>
      </c>
      <c r="AX525">
        <v>75684.02599031401</v>
      </c>
      <c r="AZ525">
        <v>75684.02599031401</v>
      </c>
      <c r="BB525">
        <v>75684.02599031401</v>
      </c>
      <c r="BD525">
        <v>75684.02599031401</v>
      </c>
      <c r="BF525">
        <v>75684.02599031401</v>
      </c>
      <c r="BH525">
        <v>75684.02599031401</v>
      </c>
      <c r="BJ525">
        <v>75684.02599031401</v>
      </c>
      <c r="BL525">
        <v>75684.02599031401</v>
      </c>
      <c r="BN525">
        <v>75684.02599031401</v>
      </c>
      <c r="BP525">
        <v>75684.02599031401</v>
      </c>
      <c r="BR525">
        <v>75684.02599031401</v>
      </c>
      <c r="BT525">
        <v>75684.02599031401</v>
      </c>
      <c r="BV525">
        <v>75684.02599031401</v>
      </c>
      <c r="BX525">
        <v>75684.02599031401</v>
      </c>
      <c r="BY525">
        <v>75684.03</v>
      </c>
      <c r="BZ525">
        <v>4436597.84</v>
      </c>
      <c r="CC525">
        <v>0</v>
      </c>
      <c r="CD525">
        <v>75684.030023882631</v>
      </c>
      <c r="CE525">
        <v>4436597.84</v>
      </c>
      <c r="CF525" t="s">
        <v>37</v>
      </c>
      <c r="CG525">
        <v>4000</v>
      </c>
      <c r="CH525">
        <v>79684.030023882631</v>
      </c>
      <c r="CI525">
        <v>234480</v>
      </c>
      <c r="CJ525">
        <v>4671077.84</v>
      </c>
      <c r="CN525">
        <v>0</v>
      </c>
      <c r="CO525" t="s">
        <v>39</v>
      </c>
      <c r="CP525" t="s">
        <v>39</v>
      </c>
      <c r="CQ525" t="b">
        <v>1</v>
      </c>
      <c r="CR525" t="s">
        <v>8950</v>
      </c>
      <c r="CT525" t="s">
        <v>8960</v>
      </c>
      <c r="CU525" t="s">
        <v>8971</v>
      </c>
      <c r="CV525" t="s">
        <v>6393</v>
      </c>
      <c r="CW525" t="s">
        <v>4895</v>
      </c>
      <c r="CX525" t="s">
        <v>3246</v>
      </c>
      <c r="CY525">
        <v>1.8800000000000023</v>
      </c>
      <c r="CZ525">
        <v>149805.97644489954</v>
      </c>
      <c r="DA525">
        <v>4671077.84</v>
      </c>
      <c r="DB525" t="s">
        <v>37</v>
      </c>
      <c r="DC525" t="b">
        <v>1</v>
      </c>
      <c r="DD525">
        <v>4671077.84</v>
      </c>
      <c r="DE525">
        <v>0</v>
      </c>
      <c r="DF525" t="b">
        <v>1</v>
      </c>
      <c r="DG525" s="420" cm="1">
        <f t="array" ref="DG525">_xlfn.XLOOKUP("Дом 4"&amp;Реестр_Д4[[#This Row],[№]]&amp;Реестр_Д4[[#This Row],[Статус]],РД[Дом]&amp;РД[№ кв]&amp;РД[Состояние],РД[Дата подачи на регистрацию],"-",0)</f>
        <v>44979</v>
      </c>
    </row>
    <row r="526" spans="1:111" x14ac:dyDescent="0.25">
      <c r="A526">
        <v>525</v>
      </c>
      <c r="B526" t="s">
        <v>15</v>
      </c>
      <c r="C526">
        <v>15</v>
      </c>
      <c r="D526">
        <v>7</v>
      </c>
      <c r="E526">
        <v>2</v>
      </c>
      <c r="F526">
        <v>11.83</v>
      </c>
      <c r="G526">
        <v>11.4</v>
      </c>
      <c r="I526">
        <v>23.23</v>
      </c>
      <c r="J526">
        <v>27.16</v>
      </c>
      <c r="K526">
        <v>5.28</v>
      </c>
      <c r="L526">
        <v>1.75</v>
      </c>
      <c r="N526">
        <v>8.67</v>
      </c>
      <c r="O526">
        <v>2.8</v>
      </c>
      <c r="Q526">
        <v>2.8</v>
      </c>
      <c r="R526">
        <v>68.89</v>
      </c>
      <c r="S526">
        <v>66.09</v>
      </c>
      <c r="T526">
        <v>67.489999999999995</v>
      </c>
      <c r="U526">
        <v>69.099999999999994</v>
      </c>
      <c r="V526">
        <v>71971.199999999997</v>
      </c>
      <c r="W526">
        <v>3598.56</v>
      </c>
      <c r="X526">
        <v>75569.759999999995</v>
      </c>
      <c r="Z526">
        <v>75569.759999999995</v>
      </c>
      <c r="AA526">
        <v>3778.4879999999998</v>
      </c>
      <c r="AB526">
        <v>79348.248000000007</v>
      </c>
      <c r="AC526">
        <v>9.7598345040000005</v>
      </c>
      <c r="AD526">
        <v>79358.007834503995</v>
      </c>
      <c r="AF526">
        <v>79358.007834503995</v>
      </c>
      <c r="AH526">
        <v>79358.007834503995</v>
      </c>
      <c r="AI526">
        <v>1587.1601566900799</v>
      </c>
      <c r="AJ526">
        <v>80945.167991194074</v>
      </c>
      <c r="AK526">
        <v>2428.3550397358222</v>
      </c>
      <c r="AL526">
        <v>83373.523030929893</v>
      </c>
      <c r="AM526">
        <v>3334.9409212371957</v>
      </c>
      <c r="AN526">
        <v>86708.463952167091</v>
      </c>
      <c r="AP526">
        <v>86708.463952167091</v>
      </c>
      <c r="AQ526">
        <v>2601.253918565013</v>
      </c>
      <c r="AR526">
        <v>89309.7178707321</v>
      </c>
      <c r="AT526">
        <v>89309.7178707321</v>
      </c>
      <c r="AV526">
        <v>89309.7178707321</v>
      </c>
      <c r="AX526">
        <v>89309.7178707321</v>
      </c>
      <c r="AZ526">
        <v>89309.7178707321</v>
      </c>
      <c r="BB526">
        <v>89309.7178707321</v>
      </c>
      <c r="BD526">
        <v>89309.7178707321</v>
      </c>
      <c r="BF526">
        <v>89309.7178707321</v>
      </c>
      <c r="BH526">
        <v>89309.7178707321</v>
      </c>
      <c r="BJ526">
        <v>89309.7178707321</v>
      </c>
      <c r="BL526">
        <v>89309.7178707321</v>
      </c>
      <c r="BN526">
        <v>89309.7178707321</v>
      </c>
      <c r="BP526">
        <v>89309.7178707321</v>
      </c>
      <c r="BR526">
        <v>89309.7178707321</v>
      </c>
      <c r="BT526">
        <v>89309.7178707321</v>
      </c>
      <c r="BV526">
        <v>89309.7178707321</v>
      </c>
      <c r="BX526">
        <v>89309.7178707321</v>
      </c>
      <c r="BY526">
        <v>89309.72</v>
      </c>
      <c r="BZ526">
        <v>6027513</v>
      </c>
      <c r="CA526">
        <v>269960</v>
      </c>
      <c r="CC526">
        <v>269960</v>
      </c>
      <c r="CD526">
        <v>85309.719958512374</v>
      </c>
      <c r="CE526">
        <v>5757553</v>
      </c>
      <c r="CF526" t="s">
        <v>37</v>
      </c>
      <c r="CG526">
        <v>4000</v>
      </c>
      <c r="CH526">
        <v>89309.719958512374</v>
      </c>
      <c r="CI526">
        <v>269960</v>
      </c>
      <c r="CJ526">
        <v>6027513</v>
      </c>
      <c r="CK526" t="s">
        <v>57</v>
      </c>
      <c r="CL526" t="s">
        <v>4837</v>
      </c>
      <c r="CN526">
        <v>0</v>
      </c>
      <c r="CO526" t="s">
        <v>39</v>
      </c>
      <c r="CP526" t="s">
        <v>39</v>
      </c>
      <c r="CQ526" t="b">
        <v>1</v>
      </c>
      <c r="CR526" t="s">
        <v>8950</v>
      </c>
      <c r="CT526" t="s">
        <v>8960</v>
      </c>
      <c r="CU526" t="s">
        <v>8971</v>
      </c>
      <c r="CV526" t="s">
        <v>6394</v>
      </c>
      <c r="CW526" t="s">
        <v>4895</v>
      </c>
      <c r="CX526" t="s">
        <v>3246</v>
      </c>
      <c r="CY526">
        <v>1.6099999999999994</v>
      </c>
      <c r="CZ526">
        <v>143788.64913320486</v>
      </c>
      <c r="DA526">
        <v>6027513</v>
      </c>
      <c r="DB526" t="s">
        <v>37</v>
      </c>
      <c r="DC526" t="b">
        <v>1</v>
      </c>
      <c r="DD526">
        <v>6027513</v>
      </c>
      <c r="DE526">
        <v>0</v>
      </c>
      <c r="DF526" t="b">
        <v>1</v>
      </c>
      <c r="DG526" s="420" cm="1">
        <f t="array" ref="DG526">_xlfn.XLOOKUP("Дом 4"&amp;Реестр_Д4[[#This Row],[№]]&amp;Реестр_Д4[[#This Row],[Статус]],РД[Дом]&amp;РД[№ кв]&amp;РД[Состояние],РД[Дата подачи на регистрацию],"-",0)</f>
        <v>45118</v>
      </c>
    </row>
    <row r="527" spans="1:111" x14ac:dyDescent="0.25">
      <c r="A527">
        <v>526</v>
      </c>
      <c r="B527" t="s">
        <v>15</v>
      </c>
      <c r="C527">
        <v>15</v>
      </c>
      <c r="D527">
        <v>8</v>
      </c>
      <c r="E527">
        <v>2</v>
      </c>
      <c r="F527">
        <v>17.25</v>
      </c>
      <c r="G527">
        <v>14.07</v>
      </c>
      <c r="I527">
        <v>31.32</v>
      </c>
      <c r="J527">
        <v>14.23</v>
      </c>
      <c r="K527">
        <v>3.81</v>
      </c>
      <c r="L527">
        <v>1.75</v>
      </c>
      <c r="N527">
        <v>11.07</v>
      </c>
      <c r="O527">
        <v>3.12</v>
      </c>
      <c r="Q527">
        <v>3.12</v>
      </c>
      <c r="R527">
        <v>65.3</v>
      </c>
      <c r="S527">
        <v>62.18</v>
      </c>
      <c r="T527">
        <v>63.74</v>
      </c>
      <c r="U527">
        <v>65</v>
      </c>
      <c r="V527">
        <v>69305.600000000006</v>
      </c>
      <c r="W527">
        <v>3465.2800000000007</v>
      </c>
      <c r="X527">
        <v>72770.880000000005</v>
      </c>
      <c r="Z527">
        <v>72770.880000000005</v>
      </c>
      <c r="AA527">
        <v>3638.5439999999999</v>
      </c>
      <c r="AB527">
        <v>76409.423999999999</v>
      </c>
      <c r="AC527">
        <v>9.3983591520000012</v>
      </c>
      <c r="AD527">
        <v>76418.822359152007</v>
      </c>
      <c r="AF527">
        <v>76418.822359152007</v>
      </c>
      <c r="AH527">
        <v>76418.822359152007</v>
      </c>
      <c r="AI527">
        <v>1528.37644718304</v>
      </c>
      <c r="AJ527">
        <v>77947.198806335029</v>
      </c>
      <c r="AK527">
        <v>779.4719880633503</v>
      </c>
      <c r="AL527">
        <v>78726.670794398378</v>
      </c>
      <c r="AM527">
        <v>1574.5334158879675</v>
      </c>
      <c r="AN527">
        <v>80301.204210286349</v>
      </c>
      <c r="AP527">
        <v>80301.204210286349</v>
      </c>
      <c r="AQ527">
        <v>2409.0361263085906</v>
      </c>
      <c r="AR527">
        <v>82710.240336594943</v>
      </c>
      <c r="AT527">
        <v>82710.240336594943</v>
      </c>
      <c r="AU527">
        <v>2481.3072100978484</v>
      </c>
      <c r="AV527">
        <v>85191.547546692789</v>
      </c>
      <c r="AX527">
        <v>85191.547546692789</v>
      </c>
      <c r="AZ527">
        <v>85191.547546692789</v>
      </c>
      <c r="BB527">
        <v>85191.547546692789</v>
      </c>
      <c r="BD527">
        <v>85191.547546692789</v>
      </c>
      <c r="BF527">
        <v>85191.547546692789</v>
      </c>
      <c r="BG527">
        <v>3000</v>
      </c>
      <c r="BH527">
        <v>88191.547546692789</v>
      </c>
      <c r="BI527">
        <v>4409.57737733464</v>
      </c>
      <c r="BJ527">
        <v>92601.124924027434</v>
      </c>
      <c r="BL527">
        <v>92601.124924027434</v>
      </c>
      <c r="BN527">
        <v>92601.124924027434</v>
      </c>
      <c r="BP527">
        <v>92601.124924027434</v>
      </c>
      <c r="BR527">
        <v>92601.124924027434</v>
      </c>
      <c r="BT527">
        <v>92601.124924027434</v>
      </c>
      <c r="BV527">
        <v>92601.124924027434</v>
      </c>
      <c r="BX527">
        <v>92601.124924027434</v>
      </c>
      <c r="BY527">
        <v>92601.12</v>
      </c>
      <c r="BZ527">
        <v>5902400</v>
      </c>
      <c r="CB527">
        <v>0.02</v>
      </c>
      <c r="CC527">
        <v>118048</v>
      </c>
      <c r="CD527">
        <v>90749.168497019142</v>
      </c>
      <c r="CE527">
        <v>5784352</v>
      </c>
      <c r="CF527" t="s">
        <v>36</v>
      </c>
      <c r="CH527">
        <v>90749.168497019142</v>
      </c>
      <c r="CI527">
        <v>0</v>
      </c>
      <c r="CJ527">
        <v>5784352</v>
      </c>
      <c r="CL527" t="s">
        <v>3540</v>
      </c>
      <c r="CN527">
        <v>0</v>
      </c>
      <c r="CO527" t="s">
        <v>39</v>
      </c>
      <c r="CP527" t="s">
        <v>39</v>
      </c>
      <c r="CQ527" t="b">
        <v>1</v>
      </c>
      <c r="CR527" t="s">
        <v>8950</v>
      </c>
      <c r="CT527" t="s">
        <v>8960</v>
      </c>
      <c r="CU527" t="s">
        <v>8971</v>
      </c>
      <c r="CV527" t="s">
        <v>6395</v>
      </c>
      <c r="CW527" t="s">
        <v>6652</v>
      </c>
      <c r="CX527" t="s">
        <v>3246</v>
      </c>
      <c r="CY527">
        <v>1.259999999999998</v>
      </c>
      <c r="CZ527">
        <v>114343.95230624394</v>
      </c>
      <c r="DA527">
        <v>5784352</v>
      </c>
      <c r="DB527" t="s">
        <v>36</v>
      </c>
      <c r="DC527" t="b">
        <v>1</v>
      </c>
      <c r="DD527">
        <v>5784352</v>
      </c>
      <c r="DE527">
        <v>0</v>
      </c>
      <c r="DF527" t="b">
        <v>1</v>
      </c>
      <c r="DG527" s="420" cm="1">
        <f t="array" ref="DG527">_xlfn.XLOOKUP("Дом 4"&amp;Реестр_Д4[[#This Row],[№]]&amp;Реестр_Д4[[#This Row],[Статус]],РД[Дом]&amp;РД[№ кв]&amp;РД[Состояние],РД[Дата подачи на регистрацию],"-",0)</f>
        <v>45348</v>
      </c>
    </row>
    <row r="528" spans="1:111" x14ac:dyDescent="0.25">
      <c r="A528">
        <v>527</v>
      </c>
      <c r="B528" t="s">
        <v>15</v>
      </c>
      <c r="C528">
        <v>15</v>
      </c>
      <c r="D528">
        <v>9</v>
      </c>
      <c r="E528">
        <v>1</v>
      </c>
      <c r="F528">
        <v>16.46</v>
      </c>
      <c r="I528">
        <v>16.46</v>
      </c>
      <c r="J528">
        <v>14.25</v>
      </c>
      <c r="K528">
        <v>3.92</v>
      </c>
      <c r="N528">
        <v>8.2200000000000006</v>
      </c>
      <c r="O528">
        <v>3.03</v>
      </c>
      <c r="Q528">
        <v>3.03</v>
      </c>
      <c r="R528">
        <v>45.88</v>
      </c>
      <c r="S528">
        <v>42.85</v>
      </c>
      <c r="T528">
        <v>44.37</v>
      </c>
      <c r="U528">
        <v>46.099999999999994</v>
      </c>
      <c r="V528">
        <v>72800</v>
      </c>
      <c r="W528">
        <v>3640</v>
      </c>
      <c r="X528">
        <v>76440</v>
      </c>
      <c r="Z528">
        <v>76440</v>
      </c>
      <c r="AA528">
        <v>3822</v>
      </c>
      <c r="AB528">
        <v>80262</v>
      </c>
      <c r="AC528">
        <v>9.8722260000000013</v>
      </c>
      <c r="AD528">
        <v>80271.872226000007</v>
      </c>
      <c r="AE528">
        <v>4013.5936113000007</v>
      </c>
      <c r="AF528">
        <v>84285.465837300013</v>
      </c>
      <c r="AH528">
        <v>84285.465837300013</v>
      </c>
      <c r="AI528">
        <v>2528.5639751190001</v>
      </c>
      <c r="AJ528">
        <v>86814.029812419001</v>
      </c>
      <c r="AK528">
        <v>868.14029812419028</v>
      </c>
      <c r="AL528">
        <v>87682.1701105432</v>
      </c>
      <c r="AN528">
        <v>87682.1701105432</v>
      </c>
      <c r="AP528">
        <v>87682.1701105432</v>
      </c>
      <c r="AR528">
        <v>87682.1701105432</v>
      </c>
      <c r="AT528">
        <v>87682.1701105432</v>
      </c>
      <c r="AV528">
        <v>87682.1701105432</v>
      </c>
      <c r="AX528">
        <v>87682.1701105432</v>
      </c>
      <c r="AZ528">
        <v>87682.1701105432</v>
      </c>
      <c r="BB528">
        <v>87682.1701105432</v>
      </c>
      <c r="BD528">
        <v>87682.1701105432</v>
      </c>
      <c r="BF528">
        <v>87682.1701105432</v>
      </c>
      <c r="BH528">
        <v>87682.1701105432</v>
      </c>
      <c r="BJ528">
        <v>87682.1701105432</v>
      </c>
      <c r="BL528">
        <v>87682.1701105432</v>
      </c>
      <c r="BN528">
        <v>87682.1701105432</v>
      </c>
      <c r="BP528">
        <v>87682.1701105432</v>
      </c>
      <c r="BR528">
        <v>87682.1701105432</v>
      </c>
      <c r="BT528">
        <v>87682.1701105432</v>
      </c>
      <c r="BV528">
        <v>87682.1701105432</v>
      </c>
      <c r="BX528">
        <v>87682.1701105432</v>
      </c>
      <c r="BY528">
        <v>87682.17</v>
      </c>
      <c r="BZ528">
        <v>3890457.88</v>
      </c>
      <c r="CA528">
        <v>177480</v>
      </c>
      <c r="CC528">
        <v>177480</v>
      </c>
      <c r="CD528">
        <v>83682.169934640522</v>
      </c>
      <c r="CE528">
        <v>3712977.88</v>
      </c>
      <c r="CF528" t="s">
        <v>37</v>
      </c>
      <c r="CG528">
        <v>4000</v>
      </c>
      <c r="CH528">
        <v>87682.169934640522</v>
      </c>
      <c r="CI528">
        <v>177480</v>
      </c>
      <c r="CJ528">
        <v>3890457.88</v>
      </c>
      <c r="CL528" t="s">
        <v>4838</v>
      </c>
      <c r="CN528">
        <v>0</v>
      </c>
      <c r="CO528" t="s">
        <v>39</v>
      </c>
      <c r="CP528" t="s">
        <v>39</v>
      </c>
      <c r="CQ528" t="b">
        <v>1</v>
      </c>
      <c r="CR528" t="s">
        <v>8950</v>
      </c>
      <c r="CT528" t="s">
        <v>8960</v>
      </c>
      <c r="CU528" t="s">
        <v>8972</v>
      </c>
      <c r="CV528" t="s">
        <v>6396</v>
      </c>
      <c r="CW528" t="s">
        <v>4895</v>
      </c>
      <c r="CX528" t="s">
        <v>3246</v>
      </c>
      <c r="CY528">
        <v>1.7299999999999969</v>
      </c>
      <c r="CZ528">
        <v>151690.15398692782</v>
      </c>
      <c r="DA528">
        <v>3890457.88</v>
      </c>
      <c r="DB528" t="s">
        <v>37</v>
      </c>
      <c r="DC528" t="b">
        <v>1</v>
      </c>
      <c r="DD528">
        <v>3890457.88</v>
      </c>
      <c r="DE528">
        <v>0</v>
      </c>
      <c r="DF528" t="b">
        <v>1</v>
      </c>
      <c r="DG528" s="420" cm="1">
        <f t="array" ref="DG528">_xlfn.XLOOKUP("Дом 4"&amp;Реестр_Д4[[#This Row],[№]]&amp;Реестр_Д4[[#This Row],[Статус]],РД[Дом]&amp;РД[№ кв]&amp;РД[Состояние],РД[Дата подачи на регистрацию],"-",0)</f>
        <v>45033</v>
      </c>
    </row>
    <row r="529" spans="1:111" x14ac:dyDescent="0.25">
      <c r="A529">
        <v>528</v>
      </c>
      <c r="B529" t="s">
        <v>15</v>
      </c>
      <c r="C529">
        <v>16</v>
      </c>
      <c r="D529">
        <v>1</v>
      </c>
      <c r="E529">
        <v>1</v>
      </c>
      <c r="F529">
        <v>14.05</v>
      </c>
      <c r="I529">
        <v>14.05</v>
      </c>
      <c r="J529">
        <v>12.32</v>
      </c>
      <c r="K529">
        <v>3.87</v>
      </c>
      <c r="N529">
        <v>8.14</v>
      </c>
      <c r="O529">
        <v>2.72</v>
      </c>
      <c r="Q529">
        <v>2.72</v>
      </c>
      <c r="R529">
        <v>41.1</v>
      </c>
      <c r="S529">
        <v>38.380000000000003</v>
      </c>
      <c r="T529">
        <v>39.74</v>
      </c>
      <c r="U529">
        <v>40.799999999999997</v>
      </c>
      <c r="V529">
        <v>72100</v>
      </c>
      <c r="W529">
        <v>3605</v>
      </c>
      <c r="X529">
        <v>75705</v>
      </c>
      <c r="Y529">
        <v>3028.2000000000003</v>
      </c>
      <c r="Z529">
        <v>78733.2</v>
      </c>
      <c r="AA529">
        <v>3936.66</v>
      </c>
      <c r="AB529">
        <v>82669.86</v>
      </c>
      <c r="AC529">
        <v>10.16839278</v>
      </c>
      <c r="AD529">
        <v>82680.028392780005</v>
      </c>
      <c r="AE529">
        <v>4134.0014196390002</v>
      </c>
      <c r="AF529">
        <v>86814.029812419001</v>
      </c>
      <c r="AH529">
        <v>86814.029812419001</v>
      </c>
      <c r="AI529">
        <v>2604.4208943725698</v>
      </c>
      <c r="AJ529">
        <v>89418.450706791569</v>
      </c>
      <c r="AK529">
        <v>894.18450706791566</v>
      </c>
      <c r="AL529">
        <v>90312.635213859481</v>
      </c>
      <c r="AM529">
        <v>1806.2527042771897</v>
      </c>
      <c r="AN529">
        <v>92118.887918136679</v>
      </c>
      <c r="AP529">
        <v>92118.887918136679</v>
      </c>
      <c r="AR529">
        <v>92118.887918136679</v>
      </c>
      <c r="AT529">
        <v>92118.887918136679</v>
      </c>
      <c r="AV529">
        <v>92118.887918136679</v>
      </c>
      <c r="AX529">
        <v>92118.887918136679</v>
      </c>
      <c r="AZ529">
        <v>92118.887918136679</v>
      </c>
      <c r="BB529">
        <v>92118.887918136679</v>
      </c>
      <c r="BD529">
        <v>92118.887918136679</v>
      </c>
      <c r="BF529">
        <v>92118.887918136679</v>
      </c>
      <c r="BH529">
        <v>92118.887918136679</v>
      </c>
      <c r="BJ529">
        <v>92118.887918136679</v>
      </c>
      <c r="BL529">
        <v>92118.887918136679</v>
      </c>
      <c r="BN529">
        <v>92118.887918136679</v>
      </c>
      <c r="BP529">
        <v>92118.887918136679</v>
      </c>
      <c r="BR529">
        <v>92118.887918136679</v>
      </c>
      <c r="BT529">
        <v>92118.887918136679</v>
      </c>
      <c r="BV529">
        <v>92118.887918136679</v>
      </c>
      <c r="BX529">
        <v>92118.887918136679</v>
      </c>
      <c r="BY529">
        <v>92118.89</v>
      </c>
      <c r="BZ529">
        <v>3660804.69</v>
      </c>
      <c r="CA529">
        <v>158960</v>
      </c>
      <c r="CC529">
        <v>158960</v>
      </c>
      <c r="CD529">
        <v>88118.890035228978</v>
      </c>
      <c r="CE529">
        <v>3501844.69</v>
      </c>
      <c r="CF529" t="s">
        <v>37</v>
      </c>
      <c r="CG529">
        <v>4000</v>
      </c>
      <c r="CH529">
        <v>92118.890035228978</v>
      </c>
      <c r="CI529">
        <v>158960</v>
      </c>
      <c r="CJ529">
        <v>3660804.69</v>
      </c>
      <c r="CL529" t="s">
        <v>4840</v>
      </c>
      <c r="CN529">
        <v>0</v>
      </c>
      <c r="CO529" t="s">
        <v>39</v>
      </c>
      <c r="CP529" t="s">
        <v>39</v>
      </c>
      <c r="CQ529" t="b">
        <v>1</v>
      </c>
      <c r="CR529" t="s">
        <v>8950</v>
      </c>
      <c r="CT529" t="s">
        <v>8960</v>
      </c>
      <c r="CU529" t="s">
        <v>8973</v>
      </c>
      <c r="CV529" t="s">
        <v>6397</v>
      </c>
      <c r="CW529" t="s">
        <v>4895</v>
      </c>
      <c r="CX529" t="s">
        <v>3246</v>
      </c>
      <c r="CY529">
        <v>1.0600000000000025</v>
      </c>
      <c r="CZ529">
        <v>97646.023437342927</v>
      </c>
      <c r="DA529">
        <v>3660804.69</v>
      </c>
      <c r="DB529" t="s">
        <v>37</v>
      </c>
      <c r="DC529" t="b">
        <v>1</v>
      </c>
      <c r="DD529">
        <v>3660804.69</v>
      </c>
      <c r="DE529">
        <v>0</v>
      </c>
      <c r="DF529" t="b">
        <v>1</v>
      </c>
      <c r="DG529" s="420" cm="1">
        <f t="array" ref="DG529">_xlfn.XLOOKUP("Дом 4"&amp;Реестр_Д4[[#This Row],[№]]&amp;Реестр_Д4[[#This Row],[Статус]],РД[Дом]&amp;РД[№ кв]&amp;РД[Состояние],РД[Дата подачи на регистрацию],"-",0)</f>
        <v>45072</v>
      </c>
    </row>
    <row r="530" spans="1:111" x14ac:dyDescent="0.25">
      <c r="A530">
        <v>529</v>
      </c>
      <c r="B530" t="s">
        <v>15</v>
      </c>
      <c r="C530">
        <v>16</v>
      </c>
      <c r="D530">
        <v>2</v>
      </c>
      <c r="E530">
        <v>1</v>
      </c>
      <c r="F530">
        <v>14.29</v>
      </c>
      <c r="I530">
        <v>14.29</v>
      </c>
      <c r="J530">
        <v>12.32</v>
      </c>
      <c r="K530">
        <v>3.72</v>
      </c>
      <c r="N530">
        <v>6.91</v>
      </c>
      <c r="O530">
        <v>2.72</v>
      </c>
      <c r="Q530">
        <v>2.72</v>
      </c>
      <c r="R530">
        <v>39.96</v>
      </c>
      <c r="S530">
        <v>37.24</v>
      </c>
      <c r="T530">
        <v>38.6</v>
      </c>
      <c r="U530">
        <v>39.9</v>
      </c>
      <c r="V530">
        <v>72100</v>
      </c>
      <c r="W530">
        <v>3605</v>
      </c>
      <c r="X530">
        <v>75705</v>
      </c>
      <c r="Y530">
        <v>3028.2000000000003</v>
      </c>
      <c r="Z530">
        <v>78733.2</v>
      </c>
      <c r="AA530">
        <v>3936.66</v>
      </c>
      <c r="AB530">
        <v>82669.86</v>
      </c>
      <c r="AC530">
        <v>10.16839278</v>
      </c>
      <c r="AD530">
        <v>82680.028392780005</v>
      </c>
      <c r="AE530">
        <v>4134.0014196390002</v>
      </c>
      <c r="AF530">
        <v>86814.029812419001</v>
      </c>
      <c r="AH530">
        <v>86814.029812419001</v>
      </c>
      <c r="AI530">
        <v>2604.4208943725698</v>
      </c>
      <c r="AJ530">
        <v>89418.450706791569</v>
      </c>
      <c r="AK530">
        <v>894.18450706791566</v>
      </c>
      <c r="AL530">
        <v>90312.635213859481</v>
      </c>
      <c r="AM530">
        <v>1806.2527042771897</v>
      </c>
      <c r="AN530">
        <v>92118.887918136679</v>
      </c>
      <c r="AO530">
        <v>1842.3777583627336</v>
      </c>
      <c r="AP530">
        <v>93961.265676499403</v>
      </c>
      <c r="AQ530">
        <v>2818.8379702949819</v>
      </c>
      <c r="AR530">
        <v>96780.103646794378</v>
      </c>
      <c r="AT530">
        <v>96780.103646794378</v>
      </c>
      <c r="AU530">
        <v>2903.4031094038314</v>
      </c>
      <c r="AV530">
        <v>99683.506756198214</v>
      </c>
      <c r="AX530">
        <v>99683.506756198214</v>
      </c>
      <c r="AZ530">
        <v>99683.506756198214</v>
      </c>
      <c r="BB530">
        <v>99683.506756198214</v>
      </c>
      <c r="BD530">
        <v>99683.506756198214</v>
      </c>
      <c r="BF530">
        <v>99683.506756198214</v>
      </c>
      <c r="BH530">
        <v>99683.506756198214</v>
      </c>
      <c r="BJ530">
        <v>99683.506756198214</v>
      </c>
      <c r="BL530">
        <v>99683.506756198214</v>
      </c>
      <c r="BN530">
        <v>99683.506756198214</v>
      </c>
      <c r="BP530">
        <v>99683.506756198214</v>
      </c>
      <c r="BR530">
        <v>99683.506756198214</v>
      </c>
      <c r="BT530">
        <v>99683.506756198214</v>
      </c>
      <c r="BV530">
        <v>99683.506756198214</v>
      </c>
      <c r="BX530">
        <v>99683.506756198214</v>
      </c>
      <c r="BY530">
        <v>99683.51</v>
      </c>
      <c r="BZ530">
        <v>3847783.49</v>
      </c>
      <c r="CC530">
        <v>0</v>
      </c>
      <c r="CD530">
        <v>99683.510103626948</v>
      </c>
      <c r="CE530">
        <v>3847783.49</v>
      </c>
      <c r="CF530" t="s">
        <v>37</v>
      </c>
      <c r="CG530">
        <v>4500</v>
      </c>
      <c r="CH530">
        <v>104183.51010362696</v>
      </c>
      <c r="CI530">
        <v>173700</v>
      </c>
      <c r="CJ530">
        <v>4021483.49</v>
      </c>
      <c r="CN530">
        <v>0</v>
      </c>
      <c r="CO530" t="s">
        <v>39</v>
      </c>
      <c r="CP530" t="s">
        <v>39</v>
      </c>
      <c r="CQ530" t="b">
        <v>1</v>
      </c>
      <c r="CR530" t="s">
        <v>8950</v>
      </c>
      <c r="CT530" t="s">
        <v>8960</v>
      </c>
      <c r="CU530" t="s">
        <v>8973</v>
      </c>
      <c r="CV530" t="s">
        <v>6398</v>
      </c>
      <c r="CW530" t="s">
        <v>4895</v>
      </c>
      <c r="CX530" t="s">
        <v>3246</v>
      </c>
      <c r="CY530">
        <v>1.2999999999999972</v>
      </c>
      <c r="CZ530">
        <v>135438.56313471473</v>
      </c>
      <c r="DA530">
        <v>4021483.49</v>
      </c>
      <c r="DB530" t="s">
        <v>37</v>
      </c>
      <c r="DC530" t="b">
        <v>1</v>
      </c>
      <c r="DD530">
        <v>4021483.49</v>
      </c>
      <c r="DE530">
        <v>0</v>
      </c>
      <c r="DF530" t="b">
        <v>1</v>
      </c>
      <c r="DG530" s="420" cm="1">
        <f t="array" ref="DG530">_xlfn.XLOOKUP("Дом 4"&amp;Реестр_Д4[[#This Row],[№]]&amp;Реестр_Д4[[#This Row],[Статус]],РД[Дом]&amp;РД[№ кв]&amp;РД[Состояние],РД[Дата подачи на регистрацию],"-",0)</f>
        <v>45170</v>
      </c>
    </row>
    <row r="531" spans="1:111" x14ac:dyDescent="0.25">
      <c r="A531">
        <v>530</v>
      </c>
      <c r="B531" t="s">
        <v>15</v>
      </c>
      <c r="C531">
        <v>16</v>
      </c>
      <c r="D531">
        <v>3</v>
      </c>
      <c r="E531">
        <v>3</v>
      </c>
      <c r="F531">
        <v>16.05</v>
      </c>
      <c r="G531">
        <v>11.28</v>
      </c>
      <c r="H531">
        <v>10.82</v>
      </c>
      <c r="I531">
        <v>38.15</v>
      </c>
      <c r="J531">
        <v>17.41</v>
      </c>
      <c r="K531">
        <v>3.81</v>
      </c>
      <c r="L531">
        <v>1.87</v>
      </c>
      <c r="N531">
        <v>11.71</v>
      </c>
      <c r="O531">
        <v>2.65</v>
      </c>
      <c r="Q531">
        <v>2.65</v>
      </c>
      <c r="R531">
        <v>75.599999999999994</v>
      </c>
      <c r="S531">
        <v>72.949999999999989</v>
      </c>
      <c r="T531">
        <v>74.28</v>
      </c>
      <c r="U531">
        <v>75.800000000000011</v>
      </c>
      <c r="V531">
        <v>67737.600000000006</v>
      </c>
      <c r="W531">
        <v>3386.880000000001</v>
      </c>
      <c r="X531">
        <v>71124.48000000001</v>
      </c>
      <c r="Z531">
        <v>71124.48000000001</v>
      </c>
      <c r="AB531">
        <v>71124.48000000001</v>
      </c>
      <c r="AC531">
        <v>8.7483110400000026</v>
      </c>
      <c r="AD531">
        <v>71133.228311040017</v>
      </c>
      <c r="AF531">
        <v>71133.228311040017</v>
      </c>
      <c r="AH531">
        <v>71133.228311040017</v>
      </c>
      <c r="AJ531">
        <v>71133.228311040017</v>
      </c>
      <c r="AL531">
        <v>71133.228311040017</v>
      </c>
      <c r="AN531">
        <v>71133.228311040017</v>
      </c>
      <c r="AP531">
        <v>71133.228311040017</v>
      </c>
      <c r="AR531">
        <v>71133.228311040017</v>
      </c>
      <c r="AT531">
        <v>71133.228311040017</v>
      </c>
      <c r="AV531">
        <v>71133.228311040017</v>
      </c>
      <c r="AX531">
        <v>71133.228311040017</v>
      </c>
      <c r="AZ531">
        <v>71133.228311040017</v>
      </c>
      <c r="BB531">
        <v>71133.228311040017</v>
      </c>
      <c r="BD531">
        <v>71133.228311040017</v>
      </c>
      <c r="BF531">
        <v>71133.228311040017</v>
      </c>
      <c r="BH531">
        <v>71133.228311040017</v>
      </c>
      <c r="BJ531">
        <v>71133.228311040017</v>
      </c>
      <c r="BL531">
        <v>71133.228311040017</v>
      </c>
      <c r="BN531">
        <v>71133.228311040017</v>
      </c>
      <c r="BP531">
        <v>71133.228311040017</v>
      </c>
      <c r="BR531">
        <v>71133.228311040017</v>
      </c>
      <c r="BT531">
        <v>71133.228311040017</v>
      </c>
      <c r="BV531">
        <v>71133.228311040017</v>
      </c>
      <c r="BX531">
        <v>71133.228311040017</v>
      </c>
      <c r="BY531">
        <v>71133.23</v>
      </c>
      <c r="BZ531">
        <v>5283776.32</v>
      </c>
      <c r="CB531">
        <v>0.08</v>
      </c>
      <c r="CC531">
        <v>422702.10560000001</v>
      </c>
      <c r="CD531">
        <v>65442.571486268171</v>
      </c>
      <c r="CE531">
        <v>4861074.21</v>
      </c>
      <c r="CF531" t="s">
        <v>38</v>
      </c>
      <c r="CG531">
        <v>22000</v>
      </c>
      <c r="CH531">
        <v>87442.571486268163</v>
      </c>
      <c r="CI531">
        <v>1634160</v>
      </c>
      <c r="CJ531">
        <v>6495234.21</v>
      </c>
      <c r="CK531" t="s">
        <v>57</v>
      </c>
      <c r="CL531" t="s">
        <v>3733</v>
      </c>
      <c r="CN531">
        <v>0</v>
      </c>
      <c r="CO531" t="s">
        <v>39</v>
      </c>
      <c r="CP531" t="s">
        <v>39</v>
      </c>
      <c r="CQ531" t="b">
        <v>1</v>
      </c>
      <c r="CR531" t="s">
        <v>8950</v>
      </c>
      <c r="CT531" t="s">
        <v>8960</v>
      </c>
      <c r="CU531" t="s">
        <v>8990</v>
      </c>
      <c r="CV531" t="s">
        <v>6399</v>
      </c>
      <c r="CW531" t="s">
        <v>4895</v>
      </c>
      <c r="CX531" t="s">
        <v>3246</v>
      </c>
      <c r="CY531">
        <v>1.5200000000000102</v>
      </c>
      <c r="CZ531">
        <v>132912.70865912849</v>
      </c>
      <c r="DA531">
        <v>6495234.21</v>
      </c>
      <c r="DB531" t="s">
        <v>38</v>
      </c>
      <c r="DC531" t="b">
        <v>1</v>
      </c>
      <c r="DD531">
        <v>6495234.21</v>
      </c>
      <c r="DE531">
        <v>0</v>
      </c>
      <c r="DF531" t="b">
        <v>1</v>
      </c>
      <c r="DG531" s="420" cm="1">
        <f t="array" ref="DG531">_xlfn.XLOOKUP("Дом 4"&amp;Реестр_Д4[[#This Row],[№]]&amp;Реестр_Д4[[#This Row],[Статус]],РД[Дом]&amp;РД[№ кв]&amp;РД[Состояние],РД[Дата подачи на регистрацию],"-",0)</f>
        <v>44895</v>
      </c>
    </row>
    <row r="532" spans="1:111" x14ac:dyDescent="0.25">
      <c r="A532">
        <v>531</v>
      </c>
      <c r="B532" t="s">
        <v>15</v>
      </c>
      <c r="C532">
        <v>16</v>
      </c>
      <c r="D532">
        <v>4</v>
      </c>
      <c r="E532">
        <v>1</v>
      </c>
      <c r="F532">
        <v>12.09</v>
      </c>
      <c r="I532">
        <v>12.09</v>
      </c>
      <c r="J532">
        <v>12.26</v>
      </c>
      <c r="K532">
        <v>3.71</v>
      </c>
      <c r="N532">
        <v>7.06</v>
      </c>
      <c r="O532">
        <v>2.75</v>
      </c>
      <c r="Q532">
        <v>2.75</v>
      </c>
      <c r="R532">
        <v>37.869999999999997</v>
      </c>
      <c r="S532">
        <v>35.119999999999997</v>
      </c>
      <c r="T532">
        <v>36.5</v>
      </c>
      <c r="U532">
        <v>37.700000000000003</v>
      </c>
      <c r="V532">
        <v>72100</v>
      </c>
      <c r="W532">
        <v>3605</v>
      </c>
      <c r="X532">
        <v>75705</v>
      </c>
      <c r="Y532">
        <v>3028.2000000000003</v>
      </c>
      <c r="Z532">
        <v>78733.2</v>
      </c>
      <c r="AA532">
        <v>3936.66</v>
      </c>
      <c r="AB532">
        <v>82669.86</v>
      </c>
      <c r="AC532">
        <v>10.16839278</v>
      </c>
      <c r="AD532">
        <v>82680.028392780005</v>
      </c>
      <c r="AE532">
        <v>4134.0014196390002</v>
      </c>
      <c r="AF532">
        <v>86814.029812419001</v>
      </c>
      <c r="AG532">
        <v>4340.7014906209506</v>
      </c>
      <c r="AH532">
        <v>91154.731303039953</v>
      </c>
      <c r="AI532">
        <v>2734.6419390911983</v>
      </c>
      <c r="AJ532">
        <v>93889.373242131158</v>
      </c>
      <c r="AK532">
        <v>938.8937324213116</v>
      </c>
      <c r="AL532">
        <v>94828.266974552476</v>
      </c>
      <c r="AN532">
        <v>94828.266974552476</v>
      </c>
      <c r="AP532">
        <v>94828.266974552476</v>
      </c>
      <c r="AR532">
        <v>94828.266974552476</v>
      </c>
      <c r="AT532">
        <v>94828.266974552476</v>
      </c>
      <c r="AV532">
        <v>94828.266974552476</v>
      </c>
      <c r="AX532">
        <v>94828.266974552476</v>
      </c>
      <c r="AZ532">
        <v>94828.266974552476</v>
      </c>
      <c r="BB532">
        <v>94828.266974552476</v>
      </c>
      <c r="BD532">
        <v>94828.266974552476</v>
      </c>
      <c r="BF532">
        <v>94828.266974552476</v>
      </c>
      <c r="BH532">
        <v>94828.266974552476</v>
      </c>
      <c r="BJ532">
        <v>94828.266974552476</v>
      </c>
      <c r="BL532">
        <v>94828.266974552476</v>
      </c>
      <c r="BN532">
        <v>94828.266974552476</v>
      </c>
      <c r="BP532">
        <v>94828.266974552476</v>
      </c>
      <c r="BR532">
        <v>94828.266974552476</v>
      </c>
      <c r="BT532">
        <v>94828.266974552476</v>
      </c>
      <c r="BV532">
        <v>94828.266974552476</v>
      </c>
      <c r="BX532">
        <v>94828.266974552476</v>
      </c>
      <c r="BY532">
        <v>94828.27</v>
      </c>
      <c r="BZ532">
        <v>3461231.86</v>
      </c>
      <c r="CC532">
        <v>0</v>
      </c>
      <c r="CD532">
        <v>94828.270136986292</v>
      </c>
      <c r="CE532">
        <v>3461231.86</v>
      </c>
      <c r="CF532" t="s">
        <v>38</v>
      </c>
      <c r="CG532">
        <v>15000</v>
      </c>
      <c r="CH532">
        <v>109828.27013698628</v>
      </c>
      <c r="CI532">
        <v>547500</v>
      </c>
      <c r="CJ532">
        <v>4008731.86</v>
      </c>
      <c r="CN532">
        <v>0</v>
      </c>
      <c r="CO532" t="s">
        <v>39</v>
      </c>
      <c r="CP532" t="s">
        <v>39</v>
      </c>
      <c r="CQ532" t="b">
        <v>1</v>
      </c>
      <c r="CR532" t="s">
        <v>8950</v>
      </c>
      <c r="CT532" t="s">
        <v>8960</v>
      </c>
      <c r="CU532" t="s">
        <v>8973</v>
      </c>
      <c r="CV532" t="s">
        <v>6400</v>
      </c>
      <c r="CW532" t="s">
        <v>4895</v>
      </c>
      <c r="CX532" t="s">
        <v>3246</v>
      </c>
      <c r="CY532">
        <v>1.1999999999999955</v>
      </c>
      <c r="CZ532">
        <v>131793.92416438309</v>
      </c>
      <c r="DA532">
        <v>4008731.86</v>
      </c>
      <c r="DB532" t="s">
        <v>38</v>
      </c>
      <c r="DC532" t="b">
        <v>1</v>
      </c>
      <c r="DD532">
        <v>4008731.86</v>
      </c>
      <c r="DE532">
        <v>0</v>
      </c>
      <c r="DF532" t="b">
        <v>1</v>
      </c>
      <c r="DG532" s="420" cm="1">
        <f t="array" ref="DG532">_xlfn.XLOOKUP("Дом 4"&amp;Реестр_Д4[[#This Row],[№]]&amp;Реестр_Д4[[#This Row],[Статус]],РД[Дом]&amp;РД[№ кв]&amp;РД[Состояние],РД[Дата подачи на регистрацию],"-",0)</f>
        <v>45040</v>
      </c>
    </row>
    <row r="533" spans="1:111" x14ac:dyDescent="0.25">
      <c r="A533">
        <v>532</v>
      </c>
      <c r="B533" t="s">
        <v>15</v>
      </c>
      <c r="C533">
        <v>16</v>
      </c>
      <c r="D533">
        <v>5</v>
      </c>
      <c r="E533">
        <v>2</v>
      </c>
      <c r="F533">
        <v>15.61</v>
      </c>
      <c r="G533">
        <v>12.02</v>
      </c>
      <c r="I533">
        <v>27.63</v>
      </c>
      <c r="J533">
        <v>13.1</v>
      </c>
      <c r="K533">
        <v>3.61</v>
      </c>
      <c r="L533">
        <v>1.82</v>
      </c>
      <c r="N533">
        <v>8.52</v>
      </c>
      <c r="O533">
        <v>2.72</v>
      </c>
      <c r="Q533">
        <v>2.72</v>
      </c>
      <c r="R533">
        <v>57.4</v>
      </c>
      <c r="S533">
        <v>54.68</v>
      </c>
      <c r="T533">
        <v>56.04</v>
      </c>
      <c r="U533">
        <v>57.9</v>
      </c>
      <c r="V533">
        <v>67972.800000000003</v>
      </c>
      <c r="W533">
        <v>3398.6400000000003</v>
      </c>
      <c r="X533">
        <v>71371.44</v>
      </c>
      <c r="Z533">
        <v>71371.44</v>
      </c>
      <c r="AA533">
        <v>3568.5720000000001</v>
      </c>
      <c r="AB533">
        <v>74940.012000000002</v>
      </c>
      <c r="AC533">
        <v>9.2176214760000015</v>
      </c>
      <c r="AD533">
        <v>74949.229621475999</v>
      </c>
      <c r="AF533">
        <v>74949.229621475999</v>
      </c>
      <c r="AH533">
        <v>74949.229621475999</v>
      </c>
      <c r="AI533">
        <v>1498.98459242952</v>
      </c>
      <c r="AJ533">
        <v>76448.214213905521</v>
      </c>
      <c r="AK533">
        <v>764.48214213905521</v>
      </c>
      <c r="AL533">
        <v>77212.696356044573</v>
      </c>
      <c r="AN533">
        <v>77212.696356044573</v>
      </c>
      <c r="AP533">
        <v>77212.696356044573</v>
      </c>
      <c r="AR533">
        <v>77212.696356044573</v>
      </c>
      <c r="AT533">
        <v>77212.696356044573</v>
      </c>
      <c r="AV533">
        <v>77212.696356044573</v>
      </c>
      <c r="AX533">
        <v>77212.696356044573</v>
      </c>
      <c r="AZ533">
        <v>77212.696356044573</v>
      </c>
      <c r="BB533">
        <v>77212.696356044573</v>
      </c>
      <c r="BD533">
        <v>77212.696356044573</v>
      </c>
      <c r="BF533">
        <v>77212.696356044573</v>
      </c>
      <c r="BH533">
        <v>77212.696356044573</v>
      </c>
      <c r="BJ533">
        <v>77212.696356044573</v>
      </c>
      <c r="BL533">
        <v>77212.696356044573</v>
      </c>
      <c r="BN533">
        <v>77212.696356044573</v>
      </c>
      <c r="BP533">
        <v>77212.696356044573</v>
      </c>
      <c r="BR533">
        <v>77212.696356044573</v>
      </c>
      <c r="BT533">
        <v>77212.696356044573</v>
      </c>
      <c r="BV533">
        <v>77212.696356044573</v>
      </c>
      <c r="BX533">
        <v>77212.696356044573</v>
      </c>
      <c r="BY533">
        <v>77212.7</v>
      </c>
      <c r="BZ533">
        <v>4326999.71</v>
      </c>
      <c r="CC533">
        <v>0</v>
      </c>
      <c r="CD533">
        <v>77212.700035688787</v>
      </c>
      <c r="CE533">
        <v>4326999.71</v>
      </c>
      <c r="CF533" t="s">
        <v>38</v>
      </c>
      <c r="CG533">
        <v>15000</v>
      </c>
      <c r="CH533">
        <v>92212.700035688787</v>
      </c>
      <c r="CI533">
        <v>840600</v>
      </c>
      <c r="CJ533">
        <v>5167599.71</v>
      </c>
      <c r="CN533">
        <v>0</v>
      </c>
      <c r="CO533" t="s">
        <v>39</v>
      </c>
      <c r="CP533" t="s">
        <v>39</v>
      </c>
      <c r="CQ533" t="b">
        <v>1</v>
      </c>
      <c r="CR533" t="s">
        <v>8950</v>
      </c>
      <c r="CT533" t="s">
        <v>8960</v>
      </c>
      <c r="CU533" t="s">
        <v>8974</v>
      </c>
      <c r="CV533" t="s">
        <v>6401</v>
      </c>
      <c r="CW533" t="s">
        <v>4895</v>
      </c>
      <c r="CX533" t="s">
        <v>3246</v>
      </c>
      <c r="CY533">
        <v>1.8599999999999992</v>
      </c>
      <c r="CZ533">
        <v>171515.6220663811</v>
      </c>
      <c r="DA533">
        <v>5167599.71</v>
      </c>
      <c r="DB533" t="s">
        <v>38</v>
      </c>
      <c r="DC533" t="b">
        <v>1</v>
      </c>
      <c r="DD533">
        <v>5167599.71</v>
      </c>
      <c r="DE533">
        <v>0</v>
      </c>
      <c r="DF533" t="b">
        <v>1</v>
      </c>
      <c r="DG533" s="420" cm="1">
        <f t="array" ref="DG533">_xlfn.XLOOKUP("Дом 4"&amp;Реестр_Д4[[#This Row],[№]]&amp;Реестр_Д4[[#This Row],[Статус]],РД[Дом]&amp;РД[№ кв]&amp;РД[Состояние],РД[Дата подачи на регистрацию],"-",0)</f>
        <v>45034</v>
      </c>
    </row>
    <row r="534" spans="1:111" x14ac:dyDescent="0.25">
      <c r="A534">
        <v>533</v>
      </c>
      <c r="B534" t="s">
        <v>15</v>
      </c>
      <c r="C534">
        <v>16</v>
      </c>
      <c r="D534">
        <v>6</v>
      </c>
      <c r="E534">
        <v>2</v>
      </c>
      <c r="F534">
        <v>15.61</v>
      </c>
      <c r="G534">
        <v>9.66</v>
      </c>
      <c r="I534">
        <v>25.27</v>
      </c>
      <c r="J534">
        <v>16.53</v>
      </c>
      <c r="K534">
        <v>3.63</v>
      </c>
      <c r="L534">
        <v>2.21</v>
      </c>
      <c r="N534">
        <v>9.6199999999999992</v>
      </c>
      <c r="O534">
        <v>2.72</v>
      </c>
      <c r="Q534">
        <v>2.72</v>
      </c>
      <c r="R534">
        <v>59.98</v>
      </c>
      <c r="S534">
        <v>57.26</v>
      </c>
      <c r="T534">
        <v>58.62</v>
      </c>
      <c r="U534">
        <v>60.400000000000006</v>
      </c>
      <c r="V534">
        <v>68639.199999999997</v>
      </c>
      <c r="W534">
        <v>3431.96</v>
      </c>
      <c r="X534">
        <v>72071.16</v>
      </c>
      <c r="Z534">
        <v>72071.16</v>
      </c>
      <c r="AA534">
        <v>3603.558</v>
      </c>
      <c r="AB534">
        <v>75674.717999999993</v>
      </c>
      <c r="AC534">
        <v>9.3079903140000013</v>
      </c>
      <c r="AD534">
        <v>75684.02599031401</v>
      </c>
      <c r="AF534">
        <v>75684.02599031401</v>
      </c>
      <c r="AH534">
        <v>75684.02599031401</v>
      </c>
      <c r="AI534">
        <v>1513.6805198062802</v>
      </c>
      <c r="AJ534">
        <v>77197.70651012029</v>
      </c>
      <c r="AK534">
        <v>771.97706510120292</v>
      </c>
      <c r="AL534">
        <v>77969.683575221497</v>
      </c>
      <c r="AM534">
        <v>1559.3936715044299</v>
      </c>
      <c r="AN534">
        <v>79529.077246725923</v>
      </c>
      <c r="AO534">
        <v>2385.8723174017778</v>
      </c>
      <c r="AP534">
        <v>81914.949564127703</v>
      </c>
      <c r="AQ534">
        <v>2457.4484869238308</v>
      </c>
      <c r="AR534">
        <v>84372.398051051539</v>
      </c>
      <c r="AS534">
        <v>4218.6199025525775</v>
      </c>
      <c r="AT534">
        <v>88591.017953604111</v>
      </c>
      <c r="AU534">
        <v>2657.7305386081234</v>
      </c>
      <c r="AV534">
        <v>91248.748492212238</v>
      </c>
      <c r="AX534">
        <v>91248.748492212238</v>
      </c>
      <c r="AZ534">
        <v>91248.748492212238</v>
      </c>
      <c r="BB534">
        <v>91248.748492212238</v>
      </c>
      <c r="BD534">
        <v>91248.748492212238</v>
      </c>
      <c r="BF534">
        <v>91248.748492212238</v>
      </c>
      <c r="BH534">
        <v>91248.748492212238</v>
      </c>
      <c r="BJ534">
        <v>91248.748492212238</v>
      </c>
      <c r="BL534">
        <v>91248.748492212238</v>
      </c>
      <c r="BN534">
        <v>91248.748492212238</v>
      </c>
      <c r="BP534">
        <v>91248.748492212238</v>
      </c>
      <c r="BR534">
        <v>91248.748492212238</v>
      </c>
      <c r="BT534">
        <v>91248.748492212238</v>
      </c>
      <c r="BV534">
        <v>91248.748492212238</v>
      </c>
      <c r="BX534">
        <v>91248.748492212238</v>
      </c>
      <c r="BY534">
        <v>91248.75</v>
      </c>
      <c r="BZ534">
        <v>5349001.7300000004</v>
      </c>
      <c r="CC534">
        <v>0</v>
      </c>
      <c r="CD534">
        <v>91248.750085295134</v>
      </c>
      <c r="CE534">
        <v>5349001.7300000004</v>
      </c>
      <c r="CF534" t="s">
        <v>36</v>
      </c>
      <c r="CH534">
        <v>91248.750085295134</v>
      </c>
      <c r="CI534">
        <v>0</v>
      </c>
      <c r="CJ534">
        <v>5349001.7300000004</v>
      </c>
      <c r="CN534">
        <v>0</v>
      </c>
      <c r="CO534" t="s">
        <v>39</v>
      </c>
      <c r="CP534" t="s">
        <v>39</v>
      </c>
      <c r="CQ534" t="b">
        <v>1</v>
      </c>
      <c r="CR534" t="s">
        <v>8950</v>
      </c>
      <c r="CT534" t="s">
        <v>8960</v>
      </c>
      <c r="CU534" t="s">
        <v>8971</v>
      </c>
      <c r="CV534" t="s">
        <v>6402</v>
      </c>
      <c r="CW534" t="s">
        <v>4895</v>
      </c>
      <c r="CX534" t="s">
        <v>3246</v>
      </c>
      <c r="CY534">
        <v>1.7800000000000082</v>
      </c>
      <c r="CZ534">
        <v>162422.77515182609</v>
      </c>
      <c r="DA534">
        <v>5349001.7300000004</v>
      </c>
      <c r="DB534" t="s">
        <v>36</v>
      </c>
      <c r="DC534" t="b">
        <v>1</v>
      </c>
      <c r="DD534">
        <v>5349001.7300000004</v>
      </c>
      <c r="DE534">
        <v>0</v>
      </c>
      <c r="DF534" t="b">
        <v>1</v>
      </c>
      <c r="DG534" s="420" cm="1">
        <f t="array" ref="DG534">_xlfn.XLOOKUP("Дом 4"&amp;Реестр_Д4[[#This Row],[№]]&amp;Реестр_Д4[[#This Row],[Статус]],РД[Дом]&amp;РД[№ кв]&amp;РД[Состояние],РД[Дата подачи на регистрацию],"-",0)</f>
        <v>45243</v>
      </c>
    </row>
    <row r="535" spans="1:111" x14ac:dyDescent="0.25">
      <c r="A535">
        <v>534</v>
      </c>
      <c r="B535" t="s">
        <v>15</v>
      </c>
      <c r="C535">
        <v>16</v>
      </c>
      <c r="D535">
        <v>7</v>
      </c>
      <c r="E535">
        <v>2</v>
      </c>
      <c r="F535">
        <v>11.83</v>
      </c>
      <c r="G535">
        <v>11.4</v>
      </c>
      <c r="I535">
        <v>23.23</v>
      </c>
      <c r="J535">
        <v>27.16</v>
      </c>
      <c r="K535">
        <v>5.28</v>
      </c>
      <c r="L535">
        <v>1.75</v>
      </c>
      <c r="N535">
        <v>8.67</v>
      </c>
      <c r="O535">
        <v>2.8</v>
      </c>
      <c r="Q535">
        <v>2.8</v>
      </c>
      <c r="R535">
        <v>68.89</v>
      </c>
      <c r="S535">
        <v>66.09</v>
      </c>
      <c r="T535">
        <v>67.489999999999995</v>
      </c>
      <c r="U535">
        <v>69.100000000000009</v>
      </c>
      <c r="V535">
        <v>71971.199999999997</v>
      </c>
      <c r="W535">
        <v>3598.56</v>
      </c>
      <c r="X535">
        <v>75569.759999999995</v>
      </c>
      <c r="Z535">
        <v>75569.759999999995</v>
      </c>
      <c r="AA535">
        <v>3778.4879999999998</v>
      </c>
      <c r="AB535">
        <v>79348.248000000007</v>
      </c>
      <c r="AC535">
        <v>9.7598345040000005</v>
      </c>
      <c r="AD535">
        <v>79358.007834503995</v>
      </c>
      <c r="AF535">
        <v>79358.007834503995</v>
      </c>
      <c r="AH535">
        <v>79358.007834503995</v>
      </c>
      <c r="AI535">
        <v>1587.1601566900799</v>
      </c>
      <c r="AJ535">
        <v>80945.167991194074</v>
      </c>
      <c r="AK535">
        <v>2428.3550397358222</v>
      </c>
      <c r="AL535">
        <v>83373.523030929893</v>
      </c>
      <c r="AM535">
        <v>3334.9409212371957</v>
      </c>
      <c r="AN535">
        <v>86708.463952167091</v>
      </c>
      <c r="AP535">
        <v>86708.463952167091</v>
      </c>
      <c r="AQ535">
        <v>2601.253918565013</v>
      </c>
      <c r="AR535">
        <v>89309.7178707321</v>
      </c>
      <c r="AT535">
        <v>89309.7178707321</v>
      </c>
      <c r="AU535">
        <v>2679.291536121963</v>
      </c>
      <c r="AV535">
        <v>91989.009406854064</v>
      </c>
      <c r="AX535">
        <v>91989.009406854064</v>
      </c>
      <c r="AZ535">
        <v>91989.009406854064</v>
      </c>
      <c r="BB535">
        <v>91989.009406854064</v>
      </c>
      <c r="BD535">
        <v>91989.009406854064</v>
      </c>
      <c r="BF535">
        <v>91989.009406854064</v>
      </c>
      <c r="BH535">
        <v>91989.009406854064</v>
      </c>
      <c r="BI535">
        <v>4599.4504703427037</v>
      </c>
      <c r="BJ535">
        <v>96588.459877196772</v>
      </c>
      <c r="BK535">
        <v>1000</v>
      </c>
      <c r="BL535">
        <v>97588.459877196772</v>
      </c>
      <c r="BM535">
        <v>1951.7691975439352</v>
      </c>
      <c r="BN535">
        <v>99540.229074740724</v>
      </c>
      <c r="BO535">
        <v>4977.0114537370355</v>
      </c>
      <c r="BP535">
        <v>104517.24052847776</v>
      </c>
      <c r="BQ535">
        <v>500</v>
      </c>
      <c r="BR535">
        <v>105017.24052847776</v>
      </c>
      <c r="BS535">
        <v>9200</v>
      </c>
      <c r="BT535">
        <v>114217.24052847776</v>
      </c>
      <c r="BU535">
        <v>5200</v>
      </c>
      <c r="BV535">
        <v>119417.24052847776</v>
      </c>
      <c r="BX535">
        <v>119417.24052847776</v>
      </c>
      <c r="BY535">
        <v>119417.24</v>
      </c>
      <c r="BZ535">
        <v>8251800</v>
      </c>
      <c r="CC535">
        <v>0</v>
      </c>
      <c r="CD535">
        <v>119418.23444283646</v>
      </c>
      <c r="CE535">
        <v>8251800</v>
      </c>
      <c r="CF535" t="s">
        <v>36</v>
      </c>
      <c r="CH535">
        <v>119418.23444283646</v>
      </c>
      <c r="CI535">
        <v>0</v>
      </c>
      <c r="CJ535">
        <v>8251800</v>
      </c>
      <c r="CN535">
        <v>0</v>
      </c>
      <c r="CO535" t="s">
        <v>3</v>
      </c>
      <c r="CP535" t="s">
        <v>3</v>
      </c>
      <c r="CQ535" t="b">
        <v>1</v>
      </c>
      <c r="CR535" t="s">
        <v>8951</v>
      </c>
      <c r="CS535" t="s">
        <v>1167</v>
      </c>
      <c r="CT535" t="s">
        <v>8960</v>
      </c>
      <c r="CU535" t="s">
        <v>8971</v>
      </c>
      <c r="CV535" t="s">
        <v>6403</v>
      </c>
      <c r="CW535" t="s">
        <v>6652</v>
      </c>
      <c r="CX535" t="s">
        <v>3124</v>
      </c>
      <c r="CY535">
        <v>1.6100000000000136</v>
      </c>
      <c r="CZ535">
        <v>0</v>
      </c>
      <c r="DA535">
        <v>7892500</v>
      </c>
      <c r="DB535" t="s">
        <v>36</v>
      </c>
      <c r="DC535" t="b">
        <v>1</v>
      </c>
      <c r="DD535">
        <v>8251800</v>
      </c>
      <c r="DE535">
        <v>0</v>
      </c>
      <c r="DF535" t="b">
        <v>1</v>
      </c>
      <c r="DG535" s="420" t="str" cm="1">
        <f t="array" ref="DG535">_xlfn.XLOOKUP("Дом 4"&amp;Реестр_Д4[[#This Row],[№]]&amp;Реестр_Д4[[#This Row],[Статус]],РД[Дом]&amp;РД[№ кв]&amp;РД[Состояние],РД[Дата подачи на регистрацию],"-",0)</f>
        <v>-</v>
      </c>
    </row>
    <row r="536" spans="1:111" x14ac:dyDescent="0.25">
      <c r="A536">
        <v>535</v>
      </c>
      <c r="B536" t="s">
        <v>15</v>
      </c>
      <c r="C536">
        <v>16</v>
      </c>
      <c r="D536">
        <v>8</v>
      </c>
      <c r="E536">
        <v>2</v>
      </c>
      <c r="F536">
        <v>17.25</v>
      </c>
      <c r="G536">
        <v>14.07</v>
      </c>
      <c r="I536">
        <v>31.32</v>
      </c>
      <c r="J536">
        <v>14.23</v>
      </c>
      <c r="K536">
        <v>3.81</v>
      </c>
      <c r="L536">
        <v>1.75</v>
      </c>
      <c r="N536">
        <v>11.07</v>
      </c>
      <c r="O536">
        <v>3.12</v>
      </c>
      <c r="Q536">
        <v>3.12</v>
      </c>
      <c r="R536">
        <v>65.3</v>
      </c>
      <c r="S536">
        <v>62.18</v>
      </c>
      <c r="T536">
        <v>63.74</v>
      </c>
      <c r="U536">
        <v>65.2</v>
      </c>
      <c r="V536">
        <v>69305.600000000006</v>
      </c>
      <c r="W536">
        <v>3465.2800000000007</v>
      </c>
      <c r="X536">
        <v>72770.880000000005</v>
      </c>
      <c r="Z536">
        <v>72770.880000000005</v>
      </c>
      <c r="AA536">
        <v>3638.5439999999999</v>
      </c>
      <c r="AB536">
        <v>76409.423999999999</v>
      </c>
      <c r="AC536">
        <v>9.3983591520000012</v>
      </c>
      <c r="AD536">
        <v>76418.822359152007</v>
      </c>
      <c r="AF536">
        <v>76418.822359152007</v>
      </c>
      <c r="AH536">
        <v>76418.822359152007</v>
      </c>
      <c r="AI536">
        <v>1528.37644718304</v>
      </c>
      <c r="AJ536">
        <v>77947.198806335029</v>
      </c>
      <c r="AK536">
        <v>779.4719880633503</v>
      </c>
      <c r="AL536">
        <v>78726.670794398378</v>
      </c>
      <c r="AM536">
        <v>1574.5334158879675</v>
      </c>
      <c r="AN536">
        <v>80301.204210286349</v>
      </c>
      <c r="AP536">
        <v>80301.204210286349</v>
      </c>
      <c r="AQ536">
        <v>2409.0361263085906</v>
      </c>
      <c r="AR536">
        <v>82710.240336594943</v>
      </c>
      <c r="AT536">
        <v>82710.240336594943</v>
      </c>
      <c r="AU536">
        <v>2481.3072100978484</v>
      </c>
      <c r="AV536">
        <v>85191.547546692789</v>
      </c>
      <c r="AX536">
        <v>85191.547546692789</v>
      </c>
      <c r="AZ536">
        <v>85191.547546692789</v>
      </c>
      <c r="BB536">
        <v>85191.547546692789</v>
      </c>
      <c r="BD536">
        <v>85191.547546692789</v>
      </c>
      <c r="BF536">
        <v>85191.547546692789</v>
      </c>
      <c r="BG536">
        <v>3000</v>
      </c>
      <c r="BH536">
        <v>88191.547546692789</v>
      </c>
      <c r="BI536">
        <v>4409.57737733464</v>
      </c>
      <c r="BJ536">
        <v>92601.124924027434</v>
      </c>
      <c r="BK536">
        <v>1000</v>
      </c>
      <c r="BL536">
        <v>93601.124924027434</v>
      </c>
      <c r="BM536">
        <v>1872.0224984805488</v>
      </c>
      <c r="BN536">
        <v>95473.147422507987</v>
      </c>
      <c r="BO536">
        <v>4773.6573711253995</v>
      </c>
      <c r="BP536">
        <v>100246.8047936334</v>
      </c>
      <c r="BQ536">
        <v>500</v>
      </c>
      <c r="BR536">
        <v>100746.8047936334</v>
      </c>
      <c r="BT536">
        <v>100746.8047936334</v>
      </c>
      <c r="BV536">
        <v>100746.8047936334</v>
      </c>
      <c r="BX536">
        <v>100746.8047936334</v>
      </c>
      <c r="BY536">
        <v>100746.8</v>
      </c>
      <c r="BZ536">
        <v>6421700</v>
      </c>
      <c r="CB536">
        <v>0.03</v>
      </c>
      <c r="CC536">
        <v>192651</v>
      </c>
      <c r="CD536">
        <v>97725.902102290551</v>
      </c>
      <c r="CE536">
        <v>6229049</v>
      </c>
      <c r="CF536" t="s">
        <v>38</v>
      </c>
      <c r="CG536">
        <v>22000</v>
      </c>
      <c r="CH536">
        <v>119725.90210229057</v>
      </c>
      <c r="CI536">
        <v>1402280</v>
      </c>
      <c r="CJ536">
        <v>7631329</v>
      </c>
      <c r="CL536" t="s">
        <v>978</v>
      </c>
      <c r="CN536">
        <v>0</v>
      </c>
      <c r="CO536" t="s">
        <v>39</v>
      </c>
      <c r="CP536" t="s">
        <v>39</v>
      </c>
      <c r="CQ536" t="b">
        <v>1</v>
      </c>
      <c r="CR536" t="s">
        <v>8950</v>
      </c>
      <c r="CT536" t="s">
        <v>8960</v>
      </c>
      <c r="CU536" t="s">
        <v>8971</v>
      </c>
      <c r="CV536" t="s">
        <v>6404</v>
      </c>
      <c r="CW536" t="s">
        <v>6652</v>
      </c>
      <c r="CX536" t="s">
        <v>3246</v>
      </c>
      <c r="CY536">
        <v>1.4600000000000009</v>
      </c>
      <c r="CZ536">
        <v>174799.81706934431</v>
      </c>
      <c r="DA536">
        <v>7631329</v>
      </c>
      <c r="DB536" t="s">
        <v>38</v>
      </c>
      <c r="DC536" t="b">
        <v>1</v>
      </c>
      <c r="DD536">
        <v>7631329</v>
      </c>
      <c r="DE536">
        <v>0</v>
      </c>
      <c r="DF536" t="b">
        <v>1</v>
      </c>
      <c r="DG536" s="420" cm="1">
        <f t="array" ref="DG536">_xlfn.XLOOKUP("Дом 4"&amp;Реестр_Д4[[#This Row],[№]]&amp;Реестр_Д4[[#This Row],[Статус]],РД[Дом]&amp;РД[№ кв]&amp;РД[Состояние],РД[Дата подачи на регистрацию],"-",0)</f>
        <v>45488</v>
      </c>
    </row>
    <row r="537" spans="1:111" x14ac:dyDescent="0.25">
      <c r="A537">
        <v>536</v>
      </c>
      <c r="B537" t="s">
        <v>15</v>
      </c>
      <c r="C537">
        <v>16</v>
      </c>
      <c r="D537">
        <v>9</v>
      </c>
      <c r="E537">
        <v>1</v>
      </c>
      <c r="F537">
        <v>16.46</v>
      </c>
      <c r="I537">
        <v>16.46</v>
      </c>
      <c r="J537">
        <v>14.25</v>
      </c>
      <c r="K537">
        <v>3.92</v>
      </c>
      <c r="N537">
        <v>8.2200000000000006</v>
      </c>
      <c r="O537">
        <v>3.03</v>
      </c>
      <c r="Q537">
        <v>3.03</v>
      </c>
      <c r="R537">
        <v>45.88</v>
      </c>
      <c r="S537">
        <v>42.85</v>
      </c>
      <c r="T537">
        <v>44.37</v>
      </c>
      <c r="U537">
        <v>45.900000000000006</v>
      </c>
      <c r="V537">
        <v>72800</v>
      </c>
      <c r="W537">
        <v>3640</v>
      </c>
      <c r="X537">
        <v>76440</v>
      </c>
      <c r="Z537">
        <v>76440</v>
      </c>
      <c r="AA537">
        <v>3822</v>
      </c>
      <c r="AB537">
        <v>80262</v>
      </c>
      <c r="AC537">
        <v>9.8722260000000013</v>
      </c>
      <c r="AD537">
        <v>80271.872226000007</v>
      </c>
      <c r="AE537">
        <v>4013.5936113000007</v>
      </c>
      <c r="AF537">
        <v>84285.465837300013</v>
      </c>
      <c r="AH537">
        <v>84285.465837300013</v>
      </c>
      <c r="AI537">
        <v>2528.5639751190001</v>
      </c>
      <c r="AJ537">
        <v>86814.029812419001</v>
      </c>
      <c r="AK537">
        <v>868.14029812419028</v>
      </c>
      <c r="AL537">
        <v>87682.1701105432</v>
      </c>
      <c r="AM537">
        <v>1753.643402210864</v>
      </c>
      <c r="AN537">
        <v>89435.813512754059</v>
      </c>
      <c r="AP537">
        <v>89435.813512754059</v>
      </c>
      <c r="AR537">
        <v>89435.813512754059</v>
      </c>
      <c r="AT537">
        <v>89435.813512754059</v>
      </c>
      <c r="AV537">
        <v>89435.813512754059</v>
      </c>
      <c r="AX537">
        <v>89435.813512754059</v>
      </c>
      <c r="AZ537">
        <v>89435.813512754059</v>
      </c>
      <c r="BB537">
        <v>89435.813512754059</v>
      </c>
      <c r="BD537">
        <v>89435.813512754059</v>
      </c>
      <c r="BF537">
        <v>89435.813512754059</v>
      </c>
      <c r="BH537">
        <v>89435.813512754059</v>
      </c>
      <c r="BJ537">
        <v>89435.813512754059</v>
      </c>
      <c r="BL537">
        <v>89435.813512754059</v>
      </c>
      <c r="BN537">
        <v>89435.813512754059</v>
      </c>
      <c r="BP537">
        <v>89435.813512754059</v>
      </c>
      <c r="BR537">
        <v>89435.813512754059</v>
      </c>
      <c r="BT537">
        <v>89435.813512754059</v>
      </c>
      <c r="BV537">
        <v>89435.813512754059</v>
      </c>
      <c r="BX537">
        <v>89435.813512754059</v>
      </c>
      <c r="BY537">
        <v>89435.81</v>
      </c>
      <c r="BZ537">
        <v>3968266.89</v>
      </c>
      <c r="CC537">
        <v>0</v>
      </c>
      <c r="CD537">
        <v>89435.810006761327</v>
      </c>
      <c r="CE537">
        <v>3968266.89</v>
      </c>
      <c r="CF537" t="s">
        <v>37</v>
      </c>
      <c r="CG537">
        <v>4000</v>
      </c>
      <c r="CH537">
        <v>93435.810006761327</v>
      </c>
      <c r="CI537">
        <v>177480</v>
      </c>
      <c r="CJ537">
        <v>4145746.89</v>
      </c>
      <c r="CN537">
        <v>0</v>
      </c>
      <c r="CO537" t="s">
        <v>39</v>
      </c>
      <c r="CP537" t="s">
        <v>39</v>
      </c>
      <c r="CQ537" t="b">
        <v>1</v>
      </c>
      <c r="CR537" t="s">
        <v>8950</v>
      </c>
      <c r="CT537" t="s">
        <v>8960</v>
      </c>
      <c r="CU537" t="s">
        <v>8972</v>
      </c>
      <c r="CV537" t="s">
        <v>6405</v>
      </c>
      <c r="CW537" t="s">
        <v>4895</v>
      </c>
      <c r="CX537" t="s">
        <v>3246</v>
      </c>
      <c r="CY537">
        <v>1.5300000000000082</v>
      </c>
      <c r="CZ537">
        <v>142956.7893103456</v>
      </c>
      <c r="DA537">
        <v>4145746.89</v>
      </c>
      <c r="DB537" t="s">
        <v>37</v>
      </c>
      <c r="DC537" t="b">
        <v>1</v>
      </c>
      <c r="DD537">
        <v>4145746.89</v>
      </c>
      <c r="DE537">
        <v>0</v>
      </c>
      <c r="DF537" t="b">
        <v>1</v>
      </c>
      <c r="DG537" s="420" cm="1">
        <f t="array" ref="DG537">_xlfn.XLOOKUP("Дом 4"&amp;Реестр_Д4[[#This Row],[№]]&amp;Реестр_Д4[[#This Row],[Статус]],РД[Дом]&amp;РД[№ кв]&amp;РД[Состояние],РД[Дата подачи на регистрацию],"-",0)</f>
        <v>45063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1D65-12D1-4341-A294-AD5B35B572ED}">
  <sheetPr codeName="Лист16">
    <tabColor rgb="FF00B0F0"/>
  </sheetPr>
  <dimension ref="A1:DE581"/>
  <sheetViews>
    <sheetView topLeftCell="CO1" workbookViewId="0">
      <selection activeCell="DE1" sqref="DE1"/>
    </sheetView>
  </sheetViews>
  <sheetFormatPr defaultRowHeight="15" x14ac:dyDescent="0.25"/>
  <cols>
    <col min="1" max="1" width="5.5703125" bestFit="1" customWidth="1"/>
    <col min="2" max="2" width="9.8554687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hidden="1" customWidth="1"/>
    <col min="9" max="9" width="29.28515625" bestFit="1" customWidth="1"/>
    <col min="10" max="10" width="8.5703125" hidden="1" customWidth="1"/>
    <col min="11" max="11" width="9.7109375" hidden="1" customWidth="1"/>
    <col min="12" max="12" width="6.42578125" hidden="1" customWidth="1"/>
    <col min="13" max="13" width="15.42578125" hidden="1" customWidth="1"/>
    <col min="14" max="14" width="11.42578125" hidden="1" customWidth="1"/>
    <col min="15" max="17" width="12.140625" hidden="1" customWidth="1"/>
    <col min="18" max="18" width="10" hidden="1" customWidth="1"/>
    <col min="19" max="19" width="30.42578125" bestFit="1" customWidth="1"/>
    <col min="20" max="20" width="41" hidden="1" customWidth="1"/>
    <col min="21" max="21" width="32" bestFit="1" customWidth="1"/>
    <col min="22" max="22" width="16.7109375" bestFit="1" customWidth="1"/>
    <col min="23" max="23" width="26.5703125" hidden="1" customWidth="1"/>
    <col min="24" max="24" width="15.5703125" hidden="1" customWidth="1"/>
    <col min="25" max="25" width="26.5703125" hidden="1" customWidth="1"/>
    <col min="26" max="26" width="15.5703125" hidden="1" customWidth="1"/>
    <col min="27" max="27" width="29.28515625" hidden="1" customWidth="1"/>
    <col min="28" max="28" width="15.5703125" hidden="1" customWidth="1"/>
    <col min="29" max="29" width="25.85546875" hidden="1" customWidth="1"/>
    <col min="30" max="30" width="15.5703125" hidden="1" customWidth="1"/>
    <col min="31" max="31" width="27" hidden="1" customWidth="1"/>
    <col min="32" max="32" width="14.42578125" hidden="1" customWidth="1"/>
    <col min="33" max="33" width="44.42578125" hidden="1" customWidth="1"/>
    <col min="34" max="34" width="14.42578125" hidden="1" customWidth="1"/>
    <col min="35" max="35" width="32.5703125" hidden="1" customWidth="1"/>
    <col min="36" max="36" width="15.5703125" hidden="1" customWidth="1"/>
    <col min="37" max="37" width="21.85546875" hidden="1" customWidth="1"/>
    <col min="38" max="38" width="15.5703125" hidden="1" customWidth="1"/>
    <col min="39" max="39" width="25.42578125" hidden="1" customWidth="1"/>
    <col min="40" max="40" width="15.5703125" hidden="1" customWidth="1"/>
    <col min="41" max="41" width="38.140625" hidden="1" customWidth="1"/>
    <col min="42" max="42" width="15.5703125" hidden="1" customWidth="1"/>
    <col min="43" max="43" width="17.42578125" hidden="1" customWidth="1"/>
    <col min="44" max="44" width="15.5703125" hidden="1" customWidth="1"/>
    <col min="45" max="45" width="28.5703125" hidden="1" customWidth="1"/>
    <col min="46" max="46" width="15.5703125" hidden="1" customWidth="1"/>
    <col min="47" max="47" width="14" hidden="1" customWidth="1"/>
    <col min="48" max="48" width="23" hidden="1" customWidth="1"/>
    <col min="49" max="49" width="24.85546875" hidden="1" customWidth="1"/>
    <col min="50" max="50" width="11.85546875" hidden="1" customWidth="1"/>
    <col min="51" max="51" width="15.5703125" hidden="1" customWidth="1"/>
    <col min="52" max="52" width="51.42578125" hidden="1" customWidth="1"/>
    <col min="53" max="53" width="15.5703125" hidden="1" customWidth="1"/>
    <col min="54" max="54" width="73" hidden="1" customWidth="1"/>
    <col min="55" max="55" width="21.42578125" hidden="1" customWidth="1"/>
    <col min="56" max="56" width="18.85546875" hidden="1" customWidth="1"/>
    <col min="57" max="57" width="15.5703125" hidden="1" customWidth="1"/>
    <col min="58" max="58" width="57.7109375" hidden="1" customWidth="1"/>
    <col min="59" max="59" width="10" hidden="1" customWidth="1"/>
    <col min="60" max="60" width="48.85546875" hidden="1" customWidth="1"/>
    <col min="61" max="61" width="15.5703125" hidden="1" customWidth="1"/>
    <col min="62" max="62" width="15.140625" hidden="1" customWidth="1"/>
    <col min="63" max="63" width="19" hidden="1" customWidth="1"/>
    <col min="64" max="64" width="18.28515625" hidden="1" customWidth="1"/>
    <col min="65" max="65" width="14.28515625" hidden="1" customWidth="1"/>
    <col min="66" max="66" width="15.85546875" hidden="1" customWidth="1"/>
    <col min="67" max="67" width="18" hidden="1" customWidth="1"/>
    <col min="68" max="68" width="17.7109375" hidden="1" customWidth="1"/>
    <col min="69" max="69" width="20.28515625" hidden="1" customWidth="1"/>
    <col min="70" max="70" width="37.28515625" hidden="1" customWidth="1"/>
    <col min="71" max="71" width="15.5703125" hidden="1" customWidth="1"/>
    <col min="72" max="72" width="14" bestFit="1" customWidth="1"/>
    <col min="73" max="73" width="23" bestFit="1" customWidth="1"/>
    <col min="74" max="74" width="24.85546875" bestFit="1" customWidth="1"/>
    <col min="75" max="75" width="11.85546875" bestFit="1" customWidth="1"/>
    <col min="76" max="76" width="25.28515625" bestFit="1" customWidth="1"/>
    <col min="77" max="77" width="33.85546875" bestFit="1" customWidth="1"/>
    <col min="78" max="78" width="39.140625" bestFit="1" customWidth="1"/>
    <col min="79" max="79" width="13.85546875" bestFit="1" customWidth="1"/>
    <col min="80" max="80" width="21.42578125" bestFit="1" customWidth="1"/>
    <col min="81" max="81" width="21.85546875" bestFit="1" customWidth="1"/>
    <col min="82" max="82" width="17.85546875" bestFit="1" customWidth="1"/>
    <col min="83" max="83" width="33.5703125" bestFit="1" customWidth="1"/>
    <col min="84" max="84" width="10" bestFit="1" customWidth="1"/>
    <col min="85" max="85" width="69.5703125" bestFit="1" customWidth="1"/>
    <col min="86" max="87" width="23.140625" bestFit="1" customWidth="1"/>
    <col min="88" max="88" width="14.42578125" bestFit="1" customWidth="1"/>
    <col min="89" max="89" width="16.85546875" bestFit="1" customWidth="1"/>
    <col min="90" max="90" width="40.7109375" bestFit="1" customWidth="1"/>
    <col min="91" max="91" width="15.7109375" bestFit="1" customWidth="1"/>
    <col min="92" max="92" width="19" bestFit="1" customWidth="1"/>
    <col min="93" max="93" width="18.28515625" bestFit="1" customWidth="1"/>
    <col min="94" max="94" width="28.28515625" bestFit="1" customWidth="1"/>
    <col min="95" max="95" width="14.28515625" bestFit="1" customWidth="1"/>
    <col min="96" max="96" width="18.140625" bestFit="1" customWidth="1"/>
    <col min="97" max="97" width="15.85546875" bestFit="1" customWidth="1"/>
    <col min="98" max="98" width="18" bestFit="1" customWidth="1"/>
    <col min="99" max="99" width="17.7109375" bestFit="1" customWidth="1"/>
    <col min="100" max="102" width="9" bestFit="1" customWidth="1"/>
    <col min="103" max="103" width="20.28515625" bestFit="1" customWidth="1"/>
    <col min="104" max="104" width="16.7109375" bestFit="1" customWidth="1"/>
    <col min="105" max="105" width="16.5703125" bestFit="1" customWidth="1"/>
    <col min="106" max="106" width="13.28515625" bestFit="1" customWidth="1"/>
    <col min="107" max="108" width="12.7109375" customWidth="1"/>
    <col min="109" max="110" width="13" bestFit="1" customWidth="1"/>
    <col min="111" max="112" width="14" bestFit="1" customWidth="1"/>
    <col min="113" max="116" width="12.85546875" bestFit="1" customWidth="1"/>
    <col min="117" max="117" width="17.85546875" customWidth="1"/>
    <col min="118" max="119" width="12.85546875" bestFit="1" customWidth="1"/>
    <col min="120" max="120" width="20.28515625" bestFit="1" customWidth="1"/>
    <col min="121" max="121" width="14.28515625" customWidth="1"/>
    <col min="122" max="122" width="12.5703125" customWidth="1"/>
    <col min="123" max="125" width="18.28515625" bestFit="1" customWidth="1"/>
    <col min="126" max="126" width="13.85546875" bestFit="1" customWidth="1"/>
    <col min="127" max="127" width="12.5703125" bestFit="1" customWidth="1"/>
    <col min="128" max="128" width="15.140625" bestFit="1" customWidth="1"/>
    <col min="129" max="129" width="19" bestFit="1" customWidth="1"/>
    <col min="130" max="130" width="11.5703125" bestFit="1" customWidth="1"/>
    <col min="131" max="131" width="15.140625" bestFit="1" customWidth="1"/>
    <col min="132" max="133" width="19" bestFit="1" customWidth="1"/>
    <col min="134" max="134" width="11.5703125" bestFit="1" customWidth="1"/>
    <col min="135" max="135" width="15.140625" bestFit="1" customWidth="1"/>
    <col min="136" max="136" width="19" bestFit="1" customWidth="1"/>
  </cols>
  <sheetData>
    <row r="1" spans="1:109" x14ac:dyDescent="0.25">
      <c r="A1" t="s">
        <v>10</v>
      </c>
      <c r="B1" t="s">
        <v>40</v>
      </c>
      <c r="C1" t="s">
        <v>41</v>
      </c>
      <c r="D1" t="s">
        <v>3149</v>
      </c>
      <c r="E1" t="s">
        <v>32</v>
      </c>
      <c r="F1" t="s">
        <v>3372</v>
      </c>
      <c r="G1" t="s">
        <v>3373</v>
      </c>
      <c r="H1" t="s">
        <v>3374</v>
      </c>
      <c r="I1" t="s">
        <v>4620</v>
      </c>
      <c r="J1" t="s">
        <v>3375</v>
      </c>
      <c r="K1" t="s">
        <v>3376</v>
      </c>
      <c r="L1" t="s">
        <v>3377</v>
      </c>
      <c r="M1" t="s">
        <v>3378</v>
      </c>
      <c r="N1" t="s">
        <v>3379</v>
      </c>
      <c r="O1" t="s">
        <v>3380</v>
      </c>
      <c r="P1" t="s">
        <v>3381</v>
      </c>
      <c r="Q1" t="s">
        <v>3382</v>
      </c>
      <c r="R1" t="s">
        <v>85</v>
      </c>
      <c r="S1" t="s">
        <v>4621</v>
      </c>
      <c r="T1" t="s">
        <v>4622</v>
      </c>
      <c r="U1" t="s">
        <v>113</v>
      </c>
      <c r="V1" t="s">
        <v>8938</v>
      </c>
      <c r="W1" t="s">
        <v>3386</v>
      </c>
      <c r="X1" t="s">
        <v>4891</v>
      </c>
      <c r="Y1" t="s">
        <v>4892</v>
      </c>
      <c r="Z1" t="s">
        <v>4893</v>
      </c>
      <c r="AA1" t="s">
        <v>4894</v>
      </c>
      <c r="AB1" t="s">
        <v>6583</v>
      </c>
      <c r="AC1" t="s">
        <v>6496</v>
      </c>
      <c r="AD1" t="s">
        <v>6584</v>
      </c>
      <c r="AE1" t="s">
        <v>6497</v>
      </c>
      <c r="AF1" t="s">
        <v>6585</v>
      </c>
      <c r="AG1" t="s">
        <v>6586</v>
      </c>
      <c r="AH1" t="s">
        <v>6926</v>
      </c>
      <c r="AI1" t="s">
        <v>6665</v>
      </c>
      <c r="AJ1" t="s">
        <v>6869</v>
      </c>
      <c r="AK1" t="s">
        <v>6870</v>
      </c>
      <c r="AL1" t="s">
        <v>6880</v>
      </c>
      <c r="AM1" t="s">
        <v>6881</v>
      </c>
      <c r="AN1" t="s">
        <v>7023</v>
      </c>
      <c r="AO1" t="s">
        <v>6964</v>
      </c>
      <c r="AP1" t="s">
        <v>7024</v>
      </c>
      <c r="AQ1" t="s">
        <v>7025</v>
      </c>
      <c r="AR1" t="s">
        <v>7032</v>
      </c>
      <c r="AS1" t="s">
        <v>7033</v>
      </c>
      <c r="AT1" t="s">
        <v>7070</v>
      </c>
      <c r="AU1" t="s">
        <v>7071</v>
      </c>
      <c r="AV1" t="s">
        <v>7275</v>
      </c>
      <c r="AW1" t="s">
        <v>7138</v>
      </c>
      <c r="AX1" t="s">
        <v>7344</v>
      </c>
      <c r="AY1" t="s">
        <v>7276</v>
      </c>
      <c r="AZ1" t="s">
        <v>7277</v>
      </c>
      <c r="BA1" t="s">
        <v>7278</v>
      </c>
      <c r="BB1" t="s">
        <v>7360</v>
      </c>
      <c r="BC1" t="s">
        <v>7356</v>
      </c>
      <c r="BD1" t="s">
        <v>7382</v>
      </c>
      <c r="BE1" t="s">
        <v>7383</v>
      </c>
      <c r="BF1" t="s">
        <v>7638</v>
      </c>
      <c r="BG1" t="s">
        <v>7639</v>
      </c>
      <c r="BH1" t="s">
        <v>7800</v>
      </c>
      <c r="BI1" t="s">
        <v>7796</v>
      </c>
      <c r="BJ1" t="s">
        <v>7809</v>
      </c>
      <c r="BK1" t="s">
        <v>7808</v>
      </c>
      <c r="BL1" t="s">
        <v>7985</v>
      </c>
      <c r="BM1" t="s">
        <v>7986</v>
      </c>
      <c r="BN1" t="s">
        <v>8001</v>
      </c>
      <c r="BO1" t="s">
        <v>7997</v>
      </c>
      <c r="BP1" t="s">
        <v>8387</v>
      </c>
      <c r="BQ1" t="s">
        <v>8388</v>
      </c>
      <c r="BR1" t="s">
        <v>8471</v>
      </c>
      <c r="BS1" t="s">
        <v>8472</v>
      </c>
      <c r="BT1" t="s">
        <v>3383</v>
      </c>
      <c r="BU1" t="s">
        <v>3387</v>
      </c>
      <c r="BV1" t="s">
        <v>114</v>
      </c>
      <c r="BW1" t="s">
        <v>86</v>
      </c>
      <c r="BX1" t="s">
        <v>115</v>
      </c>
      <c r="BY1" t="s">
        <v>87</v>
      </c>
      <c r="BZ1" t="s">
        <v>88</v>
      </c>
      <c r="CA1" t="s">
        <v>9</v>
      </c>
      <c r="CB1" t="s">
        <v>46</v>
      </c>
      <c r="CC1" t="s">
        <v>47</v>
      </c>
      <c r="CD1" t="s">
        <v>89</v>
      </c>
      <c r="CE1" t="s">
        <v>48</v>
      </c>
      <c r="CF1" t="s">
        <v>90</v>
      </c>
      <c r="CG1" t="s">
        <v>56</v>
      </c>
      <c r="CH1" t="s">
        <v>8</v>
      </c>
      <c r="CI1" t="s">
        <v>7</v>
      </c>
      <c r="CJ1" t="s">
        <v>8945</v>
      </c>
      <c r="CK1" t="s">
        <v>8946</v>
      </c>
      <c r="CL1" t="s">
        <v>8943</v>
      </c>
      <c r="CM1" t="s">
        <v>8969</v>
      </c>
      <c r="CN1" t="s">
        <v>3385</v>
      </c>
      <c r="CO1" t="s">
        <v>5245</v>
      </c>
      <c r="CP1" t="s">
        <v>6921</v>
      </c>
      <c r="CQ1" t="s">
        <v>6651</v>
      </c>
      <c r="CR1" t="s">
        <v>7885</v>
      </c>
      <c r="CS1" t="s">
        <v>6977</v>
      </c>
      <c r="CT1" t="s">
        <v>6978</v>
      </c>
      <c r="CU1" t="s">
        <v>6979</v>
      </c>
      <c r="CV1" t="s">
        <v>8999</v>
      </c>
      <c r="CW1" t="s">
        <v>9000</v>
      </c>
      <c r="CX1" t="s">
        <v>9001</v>
      </c>
      <c r="CY1" t="s">
        <v>6980</v>
      </c>
      <c r="CZ1" t="s">
        <v>7137</v>
      </c>
      <c r="DA1" t="s">
        <v>7105</v>
      </c>
      <c r="DB1" t="s">
        <v>1165</v>
      </c>
      <c r="DC1" t="s">
        <v>6991</v>
      </c>
      <c r="DD1" t="s">
        <v>7886</v>
      </c>
      <c r="DE1" t="s">
        <v>7831</v>
      </c>
    </row>
    <row r="2" spans="1:109" hidden="1" x14ac:dyDescent="0.25">
      <c r="A2" s="238">
        <v>1</v>
      </c>
      <c r="B2" s="238" t="s">
        <v>6</v>
      </c>
      <c r="C2" s="238">
        <v>1</v>
      </c>
      <c r="D2" s="238">
        <v>1</v>
      </c>
      <c r="E2" s="238">
        <v>1</v>
      </c>
      <c r="F2" s="238">
        <v>14.68</v>
      </c>
      <c r="G2" s="238"/>
      <c r="H2" s="238"/>
      <c r="I2">
        <v>14.68</v>
      </c>
      <c r="J2" s="238">
        <v>9.84</v>
      </c>
      <c r="K2" s="238">
        <v>3.63</v>
      </c>
      <c r="L2" s="238"/>
      <c r="M2" s="238"/>
      <c r="N2" s="238">
        <v>4.8899999999999997</v>
      </c>
      <c r="O2" s="238">
        <v>2.7</v>
      </c>
      <c r="P2" s="238"/>
      <c r="R2" s="238">
        <v>2.7</v>
      </c>
      <c r="S2">
        <v>35.74</v>
      </c>
      <c r="T2">
        <v>33.04</v>
      </c>
      <c r="U2" s="238">
        <v>34.39</v>
      </c>
      <c r="V2">
        <v>34.25</v>
      </c>
      <c r="W2" s="238">
        <v>86790.375</v>
      </c>
      <c r="X2">
        <v>4339.5187500000002</v>
      </c>
      <c r="Y2">
        <v>91129.893750000003</v>
      </c>
      <c r="AA2">
        <v>91129.893750000003</v>
      </c>
      <c r="AC2">
        <v>91129.893750000003</v>
      </c>
      <c r="AE2">
        <v>91129.893750000003</v>
      </c>
      <c r="AG2">
        <v>91129.893750000003</v>
      </c>
      <c r="AI2">
        <v>91129.893750000003</v>
      </c>
      <c r="AK2">
        <v>91129.893750000003</v>
      </c>
      <c r="AM2">
        <v>91129.893750000003</v>
      </c>
      <c r="AO2">
        <v>91129.893750000003</v>
      </c>
      <c r="AQ2">
        <v>91129.893750000003</v>
      </c>
      <c r="AS2">
        <v>91129.893750000003</v>
      </c>
      <c r="AU2">
        <v>91129.893750000003</v>
      </c>
      <c r="AW2">
        <v>91129.893750000003</v>
      </c>
      <c r="AY2">
        <v>91129.893750000003</v>
      </c>
      <c r="BA2">
        <v>91129.893750000003</v>
      </c>
      <c r="BC2">
        <v>91129.893750000003</v>
      </c>
      <c r="BE2">
        <v>91129.893750000003</v>
      </c>
      <c r="BG2">
        <v>91129.893750000003</v>
      </c>
      <c r="BI2">
        <v>91129.893750000003</v>
      </c>
      <c r="BK2">
        <v>91129.893750000003</v>
      </c>
      <c r="BM2">
        <v>91129.893750000003</v>
      </c>
      <c r="BO2">
        <v>91129.893750000003</v>
      </c>
      <c r="BQ2">
        <v>91129.893750000003</v>
      </c>
      <c r="BS2">
        <v>91129.893750000003</v>
      </c>
      <c r="BT2" s="238">
        <v>91129.89</v>
      </c>
      <c r="BU2" s="238">
        <v>3133956.92</v>
      </c>
      <c r="BX2" s="238">
        <v>0</v>
      </c>
      <c r="BY2" s="238">
        <v>91129.890084326835</v>
      </c>
      <c r="BZ2" s="238">
        <v>3133956.92</v>
      </c>
      <c r="CA2" s="238" t="s">
        <v>37</v>
      </c>
      <c r="CB2">
        <v>5000</v>
      </c>
      <c r="CC2">
        <v>96129.890084326835</v>
      </c>
      <c r="CD2" s="238">
        <v>171950</v>
      </c>
      <c r="CE2" s="238">
        <v>3305906.92</v>
      </c>
      <c r="CF2" t="s">
        <v>4633</v>
      </c>
      <c r="CH2" s="238" t="s">
        <v>39</v>
      </c>
      <c r="CI2" s="238" t="s">
        <v>39</v>
      </c>
      <c r="CJ2" t="s">
        <v>8950</v>
      </c>
      <c r="CK2" t="s">
        <v>1167</v>
      </c>
      <c r="CL2" t="s">
        <v>8961</v>
      </c>
      <c r="CM2" t="s">
        <v>8973</v>
      </c>
      <c r="CN2" s="238" t="b">
        <v>1</v>
      </c>
      <c r="CO2" t="s">
        <v>5290</v>
      </c>
      <c r="CQ2" t="s">
        <v>4895</v>
      </c>
      <c r="CR2" t="s">
        <v>3246</v>
      </c>
      <c r="CS2" t="s">
        <v>37</v>
      </c>
      <c r="CT2" t="b">
        <v>1</v>
      </c>
      <c r="CU2">
        <v>3133956.92</v>
      </c>
      <c r="CV2" t="s">
        <v>9002</v>
      </c>
      <c r="CW2">
        <v>0</v>
      </c>
      <c r="CX2">
        <v>3133957</v>
      </c>
      <c r="CY2">
        <v>0</v>
      </c>
      <c r="CZ2" t="b">
        <v>1</v>
      </c>
      <c r="DA2">
        <v>45187</v>
      </c>
      <c r="DB2" t="s">
        <v>126</v>
      </c>
      <c r="DC2">
        <v>-4.0709508578075093E-3</v>
      </c>
      <c r="DD2">
        <v>-370.98530421069438</v>
      </c>
      <c r="DE2" s="420" cm="1">
        <f t="array" ref="DE2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3" spans="1:109" x14ac:dyDescent="0.25">
      <c r="A3" s="238">
        <v>2</v>
      </c>
      <c r="B3" s="238" t="s">
        <v>6</v>
      </c>
      <c r="C3" s="238">
        <v>1</v>
      </c>
      <c r="D3" s="238">
        <v>2</v>
      </c>
      <c r="E3" s="238">
        <v>2</v>
      </c>
      <c r="F3" s="238">
        <v>15.82</v>
      </c>
      <c r="G3" s="238">
        <v>14.9</v>
      </c>
      <c r="H3" s="238"/>
      <c r="I3">
        <v>30.72</v>
      </c>
      <c r="J3" s="238">
        <v>18.7</v>
      </c>
      <c r="K3" s="238">
        <v>4.42</v>
      </c>
      <c r="L3" s="238"/>
      <c r="M3" s="238">
        <v>3.25</v>
      </c>
      <c r="N3" s="238">
        <v>8.3699999999999992</v>
      </c>
      <c r="O3" s="238">
        <v>3</v>
      </c>
      <c r="P3" s="238"/>
      <c r="R3" s="238">
        <v>3</v>
      </c>
      <c r="S3">
        <v>68.459999999999994</v>
      </c>
      <c r="T3">
        <v>65.459999999999994</v>
      </c>
      <c r="U3" s="238">
        <v>66.959999999999994</v>
      </c>
      <c r="V3">
        <v>66.350000000000009</v>
      </c>
      <c r="W3" s="238">
        <v>84941.010000000009</v>
      </c>
      <c r="X3">
        <v>4247.0505000000003</v>
      </c>
      <c r="Y3">
        <v>89188.060500000007</v>
      </c>
      <c r="Z3">
        <v>2675.641815</v>
      </c>
      <c r="AA3">
        <v>91863.702315000002</v>
      </c>
      <c r="AC3">
        <v>91863.702315000002</v>
      </c>
      <c r="AE3">
        <v>91863.702315000002</v>
      </c>
      <c r="AG3">
        <v>91863.702315000002</v>
      </c>
      <c r="AI3">
        <v>91863.702315000002</v>
      </c>
      <c r="AJ3">
        <v>918.63702315</v>
      </c>
      <c r="AK3">
        <v>92782.339338150006</v>
      </c>
      <c r="AL3">
        <v>4639.1169669075007</v>
      </c>
      <c r="AM3">
        <v>97421.456305057509</v>
      </c>
      <c r="AN3">
        <v>2578.5436949424911</v>
      </c>
      <c r="AO3">
        <v>100000</v>
      </c>
      <c r="AP3">
        <v>2000</v>
      </c>
      <c r="AQ3">
        <v>102000</v>
      </c>
      <c r="AS3">
        <v>102000</v>
      </c>
      <c r="AT3">
        <v>2040</v>
      </c>
      <c r="AU3">
        <v>104040</v>
      </c>
      <c r="AW3">
        <v>104040</v>
      </c>
      <c r="AY3">
        <v>104040</v>
      </c>
      <c r="BA3">
        <v>104040</v>
      </c>
      <c r="BC3">
        <v>104040</v>
      </c>
      <c r="BE3">
        <v>104040</v>
      </c>
      <c r="BF3">
        <v>520.20000000000005</v>
      </c>
      <c r="BG3">
        <v>104560.2</v>
      </c>
      <c r="BI3">
        <v>104560.2</v>
      </c>
      <c r="BK3">
        <v>104560.2</v>
      </c>
      <c r="BL3">
        <v>6273.6119999999992</v>
      </c>
      <c r="BM3">
        <v>110833.81200000001</v>
      </c>
      <c r="BN3">
        <v>14408.395560000001</v>
      </c>
      <c r="BO3">
        <v>125242.20756</v>
      </c>
      <c r="BP3">
        <v>35</v>
      </c>
      <c r="BQ3">
        <v>125277.20756</v>
      </c>
      <c r="BS3">
        <v>125277.20756</v>
      </c>
      <c r="BT3" s="238">
        <v>125277.21</v>
      </c>
      <c r="BU3" s="238">
        <v>8312200</v>
      </c>
      <c r="BX3" s="238">
        <v>0</v>
      </c>
      <c r="BY3" s="238">
        <v>125278.07083647324</v>
      </c>
      <c r="BZ3" s="238">
        <v>8312200</v>
      </c>
      <c r="CA3" s="238" t="s">
        <v>36</v>
      </c>
      <c r="CC3">
        <v>125278.07083647324</v>
      </c>
      <c r="CD3" s="238">
        <v>0</v>
      </c>
      <c r="CE3" s="238">
        <v>8312200</v>
      </c>
      <c r="CH3" s="238" t="s">
        <v>3</v>
      </c>
      <c r="CI3" s="238" t="s">
        <v>3</v>
      </c>
      <c r="CJ3" t="s">
        <v>8951</v>
      </c>
      <c r="CK3" t="s">
        <v>1167</v>
      </c>
      <c r="CL3" t="s">
        <v>8961</v>
      </c>
      <c r="CM3" t="s">
        <v>8971</v>
      </c>
      <c r="CN3" s="238" t="b">
        <v>1</v>
      </c>
      <c r="CO3" t="s">
        <v>5291</v>
      </c>
      <c r="CQ3" t="s">
        <v>6652</v>
      </c>
      <c r="CR3" t="s">
        <v>3124</v>
      </c>
      <c r="CS3" t="s">
        <v>36</v>
      </c>
      <c r="CT3" t="b">
        <v>1</v>
      </c>
      <c r="CU3">
        <v>8312200</v>
      </c>
      <c r="CV3">
        <v>8312200</v>
      </c>
      <c r="CW3">
        <v>0</v>
      </c>
      <c r="CX3">
        <v>0</v>
      </c>
      <c r="CY3">
        <v>0</v>
      </c>
      <c r="CZ3" t="b">
        <v>1</v>
      </c>
      <c r="DA3" t="s">
        <v>4246</v>
      </c>
      <c r="DB3" t="s">
        <v>1167</v>
      </c>
      <c r="DC3">
        <v>-9.1099163679806416E-3</v>
      </c>
      <c r="DD3">
        <v>-1141.2727480622257</v>
      </c>
      <c r="DE3" s="420" t="str" cm="1">
        <f t="array" ref="DE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" spans="1:109" x14ac:dyDescent="0.25">
      <c r="A4" s="238">
        <v>3</v>
      </c>
      <c r="B4" s="238" t="s">
        <v>6</v>
      </c>
      <c r="C4" s="238">
        <v>1</v>
      </c>
      <c r="D4" s="238">
        <v>3</v>
      </c>
      <c r="E4" s="238">
        <v>1</v>
      </c>
      <c r="F4" s="238">
        <v>13.59</v>
      </c>
      <c r="G4" s="238"/>
      <c r="H4" s="238"/>
      <c r="I4">
        <v>13.59</v>
      </c>
      <c r="J4" s="238">
        <v>14.97</v>
      </c>
      <c r="K4" s="238">
        <v>4.1100000000000003</v>
      </c>
      <c r="L4" s="238"/>
      <c r="M4" s="238"/>
      <c r="N4" s="238">
        <v>3.71</v>
      </c>
      <c r="O4" s="238">
        <v>2.97</v>
      </c>
      <c r="P4" s="238"/>
      <c r="R4" s="238">
        <v>2.97</v>
      </c>
      <c r="S4">
        <v>39.35</v>
      </c>
      <c r="T4">
        <v>36.380000000000003</v>
      </c>
      <c r="U4" s="238">
        <v>37.869999999999997</v>
      </c>
      <c r="V4">
        <v>37.549999999999997</v>
      </c>
      <c r="W4" s="238">
        <v>91657.125</v>
      </c>
      <c r="X4">
        <v>4582.8562499999998</v>
      </c>
      <c r="Y4">
        <v>96239.981249999997</v>
      </c>
      <c r="Z4">
        <v>2887.1994374999999</v>
      </c>
      <c r="AA4">
        <v>99127.180687500004</v>
      </c>
      <c r="AB4">
        <v>3965.0872275000002</v>
      </c>
      <c r="AC4">
        <v>103092.267915</v>
      </c>
      <c r="AE4">
        <v>103092.267915</v>
      </c>
      <c r="AF4">
        <v>5154.6133957500006</v>
      </c>
      <c r="AG4">
        <v>108246.88131075</v>
      </c>
      <c r="AI4">
        <v>108246.88131075</v>
      </c>
      <c r="AJ4">
        <v>1082.4688131075</v>
      </c>
      <c r="AK4">
        <v>109329.3501238575</v>
      </c>
      <c r="AL4">
        <v>5466.4675061928756</v>
      </c>
      <c r="AM4">
        <v>114795.81763005035</v>
      </c>
      <c r="AN4">
        <v>5204.1823699496308</v>
      </c>
      <c r="AO4">
        <v>120000</v>
      </c>
      <c r="AP4">
        <v>3600</v>
      </c>
      <c r="AQ4">
        <v>123600</v>
      </c>
      <c r="AS4">
        <v>123600</v>
      </c>
      <c r="AU4">
        <v>123600</v>
      </c>
      <c r="AW4">
        <v>123600</v>
      </c>
      <c r="AY4">
        <v>123600</v>
      </c>
      <c r="BA4">
        <v>123600</v>
      </c>
      <c r="BB4">
        <v>1236</v>
      </c>
      <c r="BC4">
        <v>124836</v>
      </c>
      <c r="BE4">
        <v>124836</v>
      </c>
      <c r="BF4">
        <v>3120.9</v>
      </c>
      <c r="BG4">
        <v>127956.9</v>
      </c>
      <c r="BH4">
        <v>500</v>
      </c>
      <c r="BI4">
        <v>128456.9</v>
      </c>
      <c r="BK4">
        <v>128456.9</v>
      </c>
      <c r="BL4">
        <v>6422.8450000000003</v>
      </c>
      <c r="BM4">
        <v>134879.745</v>
      </c>
      <c r="BN4">
        <v>17534.366849999999</v>
      </c>
      <c r="BO4">
        <v>152414.11184999999</v>
      </c>
      <c r="BP4">
        <v>35</v>
      </c>
      <c r="BQ4">
        <v>152449.11184999999</v>
      </c>
      <c r="BR4">
        <v>1524.4911185000001</v>
      </c>
      <c r="BS4">
        <v>153973.6029685</v>
      </c>
      <c r="BT4" s="238">
        <v>153973.6</v>
      </c>
      <c r="BU4" s="238">
        <v>5781800</v>
      </c>
      <c r="BX4" s="238">
        <v>0</v>
      </c>
      <c r="BY4" s="238">
        <v>153976.03195739014</v>
      </c>
      <c r="BZ4" s="238">
        <v>5781800</v>
      </c>
      <c r="CA4" s="238" t="s">
        <v>36</v>
      </c>
      <c r="CC4">
        <v>153976.03195739014</v>
      </c>
      <c r="CD4" s="238">
        <v>0</v>
      </c>
      <c r="CE4" s="238">
        <v>5781800</v>
      </c>
      <c r="CH4" s="238" t="s">
        <v>3</v>
      </c>
      <c r="CI4" s="238" t="s">
        <v>3</v>
      </c>
      <c r="CJ4" t="s">
        <v>8951</v>
      </c>
      <c r="CK4" t="s">
        <v>1167</v>
      </c>
      <c r="CL4" t="s">
        <v>8961</v>
      </c>
      <c r="CM4" t="s">
        <v>8972</v>
      </c>
      <c r="CN4" s="238" t="b">
        <v>1</v>
      </c>
      <c r="CO4" t="s">
        <v>5292</v>
      </c>
      <c r="CQ4" t="s">
        <v>6652</v>
      </c>
      <c r="CR4" t="s">
        <v>3124</v>
      </c>
      <c r="CS4" t="s">
        <v>36</v>
      </c>
      <c r="CT4" t="b">
        <v>1</v>
      </c>
      <c r="CU4">
        <v>5781800</v>
      </c>
      <c r="CV4">
        <v>5781800</v>
      </c>
      <c r="CW4">
        <v>0</v>
      </c>
      <c r="CX4">
        <v>0</v>
      </c>
      <c r="CY4">
        <v>0</v>
      </c>
      <c r="CZ4" t="b">
        <v>1</v>
      </c>
      <c r="DA4" t="s">
        <v>4246</v>
      </c>
      <c r="DB4" t="s">
        <v>1167</v>
      </c>
      <c r="DC4">
        <v>-8.4499603908104737E-3</v>
      </c>
      <c r="DD4">
        <v>-1301.0913711741143</v>
      </c>
      <c r="DE4" s="420" t="str" cm="1">
        <f t="array" ref="DE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" spans="1:109" hidden="1" x14ac:dyDescent="0.25">
      <c r="A5" s="238">
        <v>4</v>
      </c>
      <c r="B5" s="238" t="s">
        <v>6</v>
      </c>
      <c r="C5" s="238">
        <v>1</v>
      </c>
      <c r="D5" s="238">
        <v>4</v>
      </c>
      <c r="E5" s="238">
        <v>2</v>
      </c>
      <c r="F5" s="238">
        <v>16.46</v>
      </c>
      <c r="G5" s="238">
        <v>12.47</v>
      </c>
      <c r="H5" s="238"/>
      <c r="I5">
        <v>28.93</v>
      </c>
      <c r="J5" s="238">
        <v>27.57</v>
      </c>
      <c r="K5" s="238">
        <v>4.3499999999999996</v>
      </c>
      <c r="L5" s="238">
        <v>1.55</v>
      </c>
      <c r="M5" s="238"/>
      <c r="N5" s="238">
        <v>8</v>
      </c>
      <c r="O5" s="238">
        <v>2.67</v>
      </c>
      <c r="P5" s="238">
        <v>2.56</v>
      </c>
      <c r="R5" s="238">
        <v>5.23</v>
      </c>
      <c r="S5">
        <v>75.63</v>
      </c>
      <c r="T5">
        <v>70.400000000000006</v>
      </c>
      <c r="U5" s="238">
        <v>73.02</v>
      </c>
      <c r="V5">
        <v>72.84999999999998</v>
      </c>
      <c r="W5" s="238">
        <v>80307.864000000001</v>
      </c>
      <c r="X5">
        <v>4015.3932</v>
      </c>
      <c r="Y5">
        <v>84323.257199999993</v>
      </c>
      <c r="Z5">
        <v>2529.6977160000001</v>
      </c>
      <c r="AA5">
        <v>86852.954916000002</v>
      </c>
      <c r="AC5">
        <v>86852.954916000002</v>
      </c>
      <c r="AE5">
        <v>86852.954916000002</v>
      </c>
      <c r="AG5">
        <v>86852.954916000002</v>
      </c>
      <c r="AI5">
        <v>86852.954916000002</v>
      </c>
      <c r="AK5">
        <v>86852.954916000002</v>
      </c>
      <c r="AM5">
        <v>86852.954916000002</v>
      </c>
      <c r="AO5">
        <v>86852.954916000002</v>
      </c>
      <c r="AQ5">
        <v>86852.954916000002</v>
      </c>
      <c r="AS5">
        <v>86852.954916000002</v>
      </c>
      <c r="AU5">
        <v>86852.954916000002</v>
      </c>
      <c r="AW5">
        <v>86852.954916000002</v>
      </c>
      <c r="AY5">
        <v>86852.954916000002</v>
      </c>
      <c r="BA5">
        <v>86852.954916000002</v>
      </c>
      <c r="BC5">
        <v>86852.954916000002</v>
      </c>
      <c r="BE5">
        <v>86852.954916000002</v>
      </c>
      <c r="BG5">
        <v>86852.954916000002</v>
      </c>
      <c r="BI5">
        <v>86852.954916000002</v>
      </c>
      <c r="BK5">
        <v>86852.954916000002</v>
      </c>
      <c r="BM5">
        <v>86852.954916000002</v>
      </c>
      <c r="BO5">
        <v>86852.954916000002</v>
      </c>
      <c r="BQ5">
        <v>86852.954916000002</v>
      </c>
      <c r="BS5">
        <v>86852.954916000002</v>
      </c>
      <c r="BT5" s="238">
        <v>86852.95</v>
      </c>
      <c r="BU5" s="238">
        <v>6342002.4100000001</v>
      </c>
      <c r="BW5">
        <v>0.02</v>
      </c>
      <c r="BX5" s="238">
        <v>126840.0482</v>
      </c>
      <c r="BY5" s="238">
        <v>85115.890988770203</v>
      </c>
      <c r="BZ5" s="238">
        <v>6215162.3600000003</v>
      </c>
      <c r="CA5" s="238" t="s">
        <v>37</v>
      </c>
      <c r="CB5">
        <v>7500</v>
      </c>
      <c r="CC5">
        <v>92615.890988770203</v>
      </c>
      <c r="CD5" s="238">
        <v>547649.99999999907</v>
      </c>
      <c r="CE5" s="238">
        <v>6762812.3599999994</v>
      </c>
      <c r="CG5" t="s">
        <v>3540</v>
      </c>
      <c r="CH5" s="238" t="s">
        <v>39</v>
      </c>
      <c r="CI5" s="238" t="s">
        <v>39</v>
      </c>
      <c r="CJ5" t="s">
        <v>8950</v>
      </c>
      <c r="CK5" t="s">
        <v>1167</v>
      </c>
      <c r="CL5" t="s">
        <v>8961</v>
      </c>
      <c r="CM5" t="s">
        <v>8971</v>
      </c>
      <c r="CN5" s="238" t="b">
        <v>1</v>
      </c>
      <c r="CO5" t="s">
        <v>5293</v>
      </c>
      <c r="CQ5" t="s">
        <v>4895</v>
      </c>
      <c r="CR5" t="s">
        <v>3246</v>
      </c>
      <c r="CS5" t="s">
        <v>37</v>
      </c>
      <c r="CT5" t="b">
        <v>1</v>
      </c>
      <c r="CU5">
        <v>6342002.4100000001</v>
      </c>
      <c r="CV5" t="s">
        <v>9002</v>
      </c>
      <c r="CW5">
        <v>0</v>
      </c>
      <c r="CX5">
        <v>6342002</v>
      </c>
      <c r="CY5">
        <v>0</v>
      </c>
      <c r="CZ5" t="b">
        <v>1</v>
      </c>
      <c r="DA5">
        <v>45260</v>
      </c>
      <c r="DB5" t="s">
        <v>126</v>
      </c>
      <c r="DC5">
        <v>-2.3281292796496489E-3</v>
      </c>
      <c r="DD5">
        <v>-198.16079797442359</v>
      </c>
      <c r="DE5" s="420" cm="1">
        <f t="array" ref="DE5">_xlfn.XLOOKUP("Дом 5"&amp;Реестр_Д5[[#This Row],[№]]&amp;Реестр_Д5[[#This Row],[Статус]],РД[Дом]&amp;РД[№ кв]&amp;РД[Состояние],РД[Дата подачи на регистрацию],"-",0)</f>
        <v>45260</v>
      </c>
    </row>
    <row r="6" spans="1:109" hidden="1" x14ac:dyDescent="0.25">
      <c r="A6" s="238">
        <v>5</v>
      </c>
      <c r="B6" s="238" t="s">
        <v>6</v>
      </c>
      <c r="C6" s="238">
        <v>1</v>
      </c>
      <c r="D6" s="238">
        <v>5</v>
      </c>
      <c r="E6" s="238">
        <v>2</v>
      </c>
      <c r="F6" s="238">
        <v>14.64</v>
      </c>
      <c r="G6" s="238">
        <v>10.74</v>
      </c>
      <c r="H6" s="238"/>
      <c r="I6">
        <v>25.380000000000003</v>
      </c>
      <c r="J6" s="238">
        <v>14.35</v>
      </c>
      <c r="K6" s="238">
        <v>4.16</v>
      </c>
      <c r="L6" s="238">
        <v>1.93</v>
      </c>
      <c r="M6" s="238"/>
      <c r="N6" s="238">
        <v>11.14</v>
      </c>
      <c r="O6" s="238">
        <v>2.62</v>
      </c>
      <c r="P6" s="238"/>
      <c r="R6" s="238">
        <v>2.62</v>
      </c>
      <c r="S6">
        <v>59.58</v>
      </c>
      <c r="T6">
        <v>56.96</v>
      </c>
      <c r="U6" s="238">
        <v>58.27</v>
      </c>
      <c r="V6">
        <v>58</v>
      </c>
      <c r="W6" s="238">
        <v>79921.768500000006</v>
      </c>
      <c r="Y6">
        <v>79921.768500000006</v>
      </c>
      <c r="AA6">
        <v>79921.768500000006</v>
      </c>
      <c r="AC6">
        <v>79921.768500000006</v>
      </c>
      <c r="AE6">
        <v>79921.768500000006</v>
      </c>
      <c r="AG6">
        <v>79921.768500000006</v>
      </c>
      <c r="AI6">
        <v>79921.768500000006</v>
      </c>
      <c r="AK6">
        <v>79921.768500000006</v>
      </c>
      <c r="AM6">
        <v>79921.768500000006</v>
      </c>
      <c r="AO6">
        <v>79921.768500000006</v>
      </c>
      <c r="AQ6">
        <v>79921.768500000006</v>
      </c>
      <c r="AS6">
        <v>79921.768500000006</v>
      </c>
      <c r="AU6">
        <v>79921.768500000006</v>
      </c>
      <c r="AW6">
        <v>79921.768500000006</v>
      </c>
      <c r="AY6">
        <v>79921.768500000006</v>
      </c>
      <c r="BA6">
        <v>79921.768500000006</v>
      </c>
      <c r="BC6">
        <v>79921.768500000006</v>
      </c>
      <c r="BE6">
        <v>79921.768500000006</v>
      </c>
      <c r="BG6">
        <v>79921.768500000006</v>
      </c>
      <c r="BI6">
        <v>79921.768500000006</v>
      </c>
      <c r="BK6">
        <v>79921.768500000006</v>
      </c>
      <c r="BM6">
        <v>79921.768500000006</v>
      </c>
      <c r="BO6">
        <v>79921.768500000006</v>
      </c>
      <c r="BQ6">
        <v>79921.768500000006</v>
      </c>
      <c r="BS6">
        <v>79921.768500000006</v>
      </c>
      <c r="BT6" s="238">
        <v>79921.77</v>
      </c>
      <c r="BU6" s="238">
        <v>4657041.54</v>
      </c>
      <c r="BX6" s="238">
        <v>0</v>
      </c>
      <c r="BY6" s="238">
        <v>79921.770036039132</v>
      </c>
      <c r="BZ6" s="238">
        <v>4657041.54</v>
      </c>
      <c r="CA6" s="238" t="s">
        <v>37</v>
      </c>
      <c r="CB6">
        <v>4500</v>
      </c>
      <c r="CC6">
        <v>84421.770036039132</v>
      </c>
      <c r="CD6" s="238">
        <v>262215</v>
      </c>
      <c r="CE6" s="238">
        <v>4919256.54</v>
      </c>
      <c r="CH6" s="238" t="s">
        <v>39</v>
      </c>
      <c r="CI6" s="238" t="s">
        <v>39</v>
      </c>
      <c r="CJ6" t="s">
        <v>8950</v>
      </c>
      <c r="CK6" t="s">
        <v>1167</v>
      </c>
      <c r="CL6" t="s">
        <v>8961</v>
      </c>
      <c r="CM6" t="s">
        <v>8971</v>
      </c>
      <c r="CN6" s="238" t="b">
        <v>1</v>
      </c>
      <c r="CO6" t="s">
        <v>5294</v>
      </c>
      <c r="CQ6" t="s">
        <v>4895</v>
      </c>
      <c r="CR6" t="s">
        <v>3246</v>
      </c>
      <c r="CS6" t="s">
        <v>37</v>
      </c>
      <c r="CT6" t="b">
        <v>1</v>
      </c>
      <c r="CU6">
        <v>4657041.54</v>
      </c>
      <c r="CV6" t="s">
        <v>9002</v>
      </c>
      <c r="CW6">
        <v>4657042</v>
      </c>
      <c r="CX6">
        <v>4657042</v>
      </c>
      <c r="CY6">
        <v>0</v>
      </c>
      <c r="CZ6" t="b">
        <v>1</v>
      </c>
      <c r="DA6">
        <v>45188</v>
      </c>
      <c r="DB6" t="s">
        <v>126</v>
      </c>
      <c r="DC6">
        <v>-4.6336021966707497E-3</v>
      </c>
      <c r="DD6">
        <v>-370.32568920080541</v>
      </c>
      <c r="DE6" s="420" cm="1">
        <f t="array" ref="DE6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7" spans="1:109" hidden="1" x14ac:dyDescent="0.25">
      <c r="A7" s="238">
        <v>6</v>
      </c>
      <c r="B7" s="238" t="s">
        <v>6</v>
      </c>
      <c r="C7" s="238">
        <v>1</v>
      </c>
      <c r="D7" s="238">
        <v>6</v>
      </c>
      <c r="E7" s="238">
        <v>1</v>
      </c>
      <c r="F7" s="238">
        <v>18.489999999999998</v>
      </c>
      <c r="G7" s="238"/>
      <c r="H7" s="238"/>
      <c r="I7">
        <v>18.489999999999998</v>
      </c>
      <c r="J7" s="238">
        <v>13.04</v>
      </c>
      <c r="K7" s="238">
        <v>3.9</v>
      </c>
      <c r="L7" s="238"/>
      <c r="M7" s="238"/>
      <c r="N7" s="238">
        <v>5.99</v>
      </c>
      <c r="O7" s="238">
        <v>2.65</v>
      </c>
      <c r="P7" s="238"/>
      <c r="R7" s="238">
        <v>2.65</v>
      </c>
      <c r="S7">
        <v>44.07</v>
      </c>
      <c r="T7">
        <v>41.42</v>
      </c>
      <c r="U7" s="238">
        <v>42.75</v>
      </c>
      <c r="V7">
        <v>42.599999999999994</v>
      </c>
      <c r="W7" s="238">
        <v>83951.4375</v>
      </c>
      <c r="X7">
        <v>4197.5718750000005</v>
      </c>
      <c r="Y7">
        <v>88149.009374999994</v>
      </c>
      <c r="Z7">
        <v>2644.4702812499995</v>
      </c>
      <c r="AA7">
        <v>90793.479656249998</v>
      </c>
      <c r="AB7">
        <v>3631.7391862499999</v>
      </c>
      <c r="AC7">
        <v>94425.218842499977</v>
      </c>
      <c r="AE7">
        <v>94425.218842499977</v>
      </c>
      <c r="AG7">
        <v>94425.218842499977</v>
      </c>
      <c r="AI7">
        <v>94425.218842499977</v>
      </c>
      <c r="AK7">
        <v>94425.218842499977</v>
      </c>
      <c r="AM7">
        <v>94425.218842499977</v>
      </c>
      <c r="AO7">
        <v>94425.218842499977</v>
      </c>
      <c r="AQ7">
        <v>94425.218842499977</v>
      </c>
      <c r="AS7">
        <v>94425.218842499977</v>
      </c>
      <c r="AU7">
        <v>94425.218842499977</v>
      </c>
      <c r="AW7">
        <v>94425.218842499977</v>
      </c>
      <c r="AY7">
        <v>94425.218842499977</v>
      </c>
      <c r="BA7">
        <v>94425.218842499977</v>
      </c>
      <c r="BC7">
        <v>94425.218842499977</v>
      </c>
      <c r="BE7">
        <v>94425.218842499977</v>
      </c>
      <c r="BG7">
        <v>94425.218842499977</v>
      </c>
      <c r="BI7">
        <v>94425.218842499977</v>
      </c>
      <c r="BK7">
        <v>94425.218842499977</v>
      </c>
      <c r="BM7">
        <v>94425.218842499977</v>
      </c>
      <c r="BO7">
        <v>94425.218842499977</v>
      </c>
      <c r="BQ7">
        <v>94425.218842499977</v>
      </c>
      <c r="BS7">
        <v>94425.218842499977</v>
      </c>
      <c r="BT7" s="238">
        <v>94425.22</v>
      </c>
      <c r="BU7" s="238">
        <v>4036678.16</v>
      </c>
      <c r="BX7" s="238">
        <v>0</v>
      </c>
      <c r="BY7" s="238">
        <v>94425.220116959084</v>
      </c>
      <c r="BZ7" s="238">
        <v>4036678.16</v>
      </c>
      <c r="CA7" s="238" t="s">
        <v>38</v>
      </c>
      <c r="CB7">
        <v>22000</v>
      </c>
      <c r="CC7">
        <v>116425.22011695908</v>
      </c>
      <c r="CD7" s="238">
        <v>940500</v>
      </c>
      <c r="CE7" s="238">
        <v>4977178.16</v>
      </c>
      <c r="CH7" s="238" t="s">
        <v>39</v>
      </c>
      <c r="CI7" s="238" t="s">
        <v>39</v>
      </c>
      <c r="CJ7" t="s">
        <v>8950</v>
      </c>
      <c r="CK7" t="s">
        <v>1167</v>
      </c>
      <c r="CL7" t="s">
        <v>8961</v>
      </c>
      <c r="CM7" t="s">
        <v>8973</v>
      </c>
      <c r="CN7" s="238" t="b">
        <v>1</v>
      </c>
      <c r="CO7" t="s">
        <v>5295</v>
      </c>
      <c r="CQ7" t="s">
        <v>4895</v>
      </c>
      <c r="CR7" t="s">
        <v>3246</v>
      </c>
      <c r="CS7" t="s">
        <v>38</v>
      </c>
      <c r="CT7" t="b">
        <v>1</v>
      </c>
      <c r="CU7">
        <v>4036678.16</v>
      </c>
      <c r="CV7" t="s">
        <v>9002</v>
      </c>
      <c r="CW7">
        <v>4036678</v>
      </c>
      <c r="CX7">
        <v>4036678</v>
      </c>
      <c r="CY7">
        <v>0</v>
      </c>
      <c r="CZ7" t="b">
        <v>1</v>
      </c>
      <c r="DA7">
        <v>45223</v>
      </c>
      <c r="DB7" t="s">
        <v>130</v>
      </c>
      <c r="DC7">
        <v>-3.5087719298246833E-3</v>
      </c>
      <c r="DD7">
        <v>-331.31656181390298</v>
      </c>
      <c r="DE7" s="420" cm="1">
        <f t="array" ref="DE7">_xlfn.XLOOKUP("Дом 5"&amp;Реестр_Д5[[#This Row],[№]]&amp;Реестр_Д5[[#This Row],[Статус]],РД[Дом]&amp;РД[№ кв]&amp;РД[Состояние],РД[Дата подачи на регистрацию],"-",0)</f>
        <v>45223</v>
      </c>
    </row>
    <row r="8" spans="1:109" hidden="1" x14ac:dyDescent="0.25">
      <c r="A8" s="238">
        <v>7</v>
      </c>
      <c r="B8" s="238" t="s">
        <v>6</v>
      </c>
      <c r="C8" s="238">
        <v>2</v>
      </c>
      <c r="D8" s="238">
        <v>1</v>
      </c>
      <c r="E8" s="238">
        <v>1</v>
      </c>
      <c r="F8" s="238">
        <v>14.68</v>
      </c>
      <c r="G8" s="238"/>
      <c r="H8" s="238"/>
      <c r="I8">
        <v>14.68</v>
      </c>
      <c r="J8" s="238">
        <v>9.84</v>
      </c>
      <c r="K8" s="238">
        <v>3.63</v>
      </c>
      <c r="L8" s="238"/>
      <c r="M8" s="238"/>
      <c r="N8" s="238">
        <v>4.8899999999999997</v>
      </c>
      <c r="O8" s="238">
        <v>2.7</v>
      </c>
      <c r="P8" s="238"/>
      <c r="R8" s="238">
        <v>2.7</v>
      </c>
      <c r="S8">
        <v>35.74</v>
      </c>
      <c r="T8">
        <v>33.04</v>
      </c>
      <c r="U8" s="238">
        <v>34.39</v>
      </c>
      <c r="V8">
        <v>34.550000000000004</v>
      </c>
      <c r="W8" s="238">
        <v>83545.875</v>
      </c>
      <c r="Y8">
        <v>83545.875</v>
      </c>
      <c r="AA8">
        <v>83545.875</v>
      </c>
      <c r="AC8">
        <v>83545.875</v>
      </c>
      <c r="AE8">
        <v>83545.875</v>
      </c>
      <c r="AG8">
        <v>83545.875</v>
      </c>
      <c r="AI8">
        <v>83545.875</v>
      </c>
      <c r="AK8">
        <v>83545.875</v>
      </c>
      <c r="AM8">
        <v>83545.875</v>
      </c>
      <c r="AO8">
        <v>83545.875</v>
      </c>
      <c r="AQ8">
        <v>83545.875</v>
      </c>
      <c r="AS8">
        <v>83545.875</v>
      </c>
      <c r="AU8">
        <v>83545.875</v>
      </c>
      <c r="AW8">
        <v>83545.875</v>
      </c>
      <c r="AY8">
        <v>83545.875</v>
      </c>
      <c r="BA8">
        <v>83545.875</v>
      </c>
      <c r="BC8">
        <v>83545.875</v>
      </c>
      <c r="BE8">
        <v>83545.875</v>
      </c>
      <c r="BG8">
        <v>83545.875</v>
      </c>
      <c r="BI8">
        <v>83545.875</v>
      </c>
      <c r="BK8">
        <v>83545.875</v>
      </c>
      <c r="BM8">
        <v>83545.875</v>
      </c>
      <c r="BO8">
        <v>83545.875</v>
      </c>
      <c r="BQ8">
        <v>83545.875</v>
      </c>
      <c r="BS8">
        <v>83545.875</v>
      </c>
      <c r="BT8" s="238">
        <v>83545.88</v>
      </c>
      <c r="BU8" s="238">
        <v>2873142.81</v>
      </c>
      <c r="BV8">
        <v>20000</v>
      </c>
      <c r="BX8" s="238">
        <v>20000</v>
      </c>
      <c r="BY8" s="238">
        <v>82964.315498691474</v>
      </c>
      <c r="BZ8" s="238">
        <v>2853142.81</v>
      </c>
      <c r="CA8" s="238" t="s">
        <v>36</v>
      </c>
      <c r="CC8">
        <v>82964.315498691474</v>
      </c>
      <c r="CD8" s="238">
        <v>0</v>
      </c>
      <c r="CE8" s="238">
        <v>2853142.81</v>
      </c>
      <c r="CF8" t="s">
        <v>4633</v>
      </c>
      <c r="CG8" t="s">
        <v>3441</v>
      </c>
      <c r="CH8" s="238" t="s">
        <v>39</v>
      </c>
      <c r="CI8" s="238" t="s">
        <v>39</v>
      </c>
      <c r="CJ8" t="s">
        <v>8950</v>
      </c>
      <c r="CK8" t="s">
        <v>1167</v>
      </c>
      <c r="CL8" t="s">
        <v>8961</v>
      </c>
      <c r="CM8" t="s">
        <v>8973</v>
      </c>
      <c r="CN8" s="238" t="b">
        <v>1</v>
      </c>
      <c r="CO8" t="s">
        <v>5296</v>
      </c>
      <c r="CQ8" t="s">
        <v>4895</v>
      </c>
      <c r="CR8" t="s">
        <v>3246</v>
      </c>
      <c r="CS8" t="s">
        <v>36</v>
      </c>
      <c r="CT8" t="b">
        <v>1</v>
      </c>
      <c r="CU8">
        <v>2873142.81</v>
      </c>
      <c r="CV8" t="s">
        <v>9002</v>
      </c>
      <c r="CW8">
        <v>2873143</v>
      </c>
      <c r="CX8">
        <v>2873143</v>
      </c>
      <c r="CY8">
        <v>0</v>
      </c>
      <c r="CZ8" t="b">
        <v>1</v>
      </c>
      <c r="DA8">
        <v>45194</v>
      </c>
      <c r="DB8" t="s">
        <v>4177</v>
      </c>
      <c r="DC8">
        <v>4.6525152660659153E-3</v>
      </c>
      <c r="DD8">
        <v>385.99274439637111</v>
      </c>
      <c r="DE8" s="420" cm="1">
        <f t="array" ref="DE8">_xlfn.XLOOKUP("Дом 5"&amp;Реестр_Д5[[#This Row],[№]]&amp;Реестр_Д5[[#This Row],[Статус]],РД[Дом]&amp;РД[№ кв]&amp;РД[Состояние],РД[Дата подачи на регистрацию],"-",0)</f>
        <v>45194</v>
      </c>
    </row>
    <row r="9" spans="1:109" hidden="1" x14ac:dyDescent="0.25">
      <c r="A9" s="238">
        <v>8</v>
      </c>
      <c r="B9" s="238" t="s">
        <v>6</v>
      </c>
      <c r="C9" s="238">
        <v>2</v>
      </c>
      <c r="D9" s="238">
        <v>2</v>
      </c>
      <c r="E9" s="238">
        <v>2</v>
      </c>
      <c r="F9" s="238">
        <v>15.82</v>
      </c>
      <c r="G9" s="238">
        <v>15.54</v>
      </c>
      <c r="H9" s="238"/>
      <c r="I9">
        <v>31.36</v>
      </c>
      <c r="J9" s="238">
        <v>19.440000000000001</v>
      </c>
      <c r="K9" s="238">
        <v>4.42</v>
      </c>
      <c r="L9" s="238"/>
      <c r="M9" s="238">
        <v>3.25</v>
      </c>
      <c r="N9" s="238">
        <v>8.5299999999999994</v>
      </c>
      <c r="O9" s="238">
        <v>3</v>
      </c>
      <c r="P9" s="238"/>
      <c r="R9" s="238">
        <v>3</v>
      </c>
      <c r="S9">
        <v>70</v>
      </c>
      <c r="T9">
        <v>67</v>
      </c>
      <c r="U9" s="238">
        <v>68.5</v>
      </c>
      <c r="V9">
        <v>68.5</v>
      </c>
      <c r="W9" s="238">
        <v>84941.010000000009</v>
      </c>
      <c r="X9">
        <v>4247.0505000000003</v>
      </c>
      <c r="Y9">
        <v>89188.060500000007</v>
      </c>
      <c r="Z9">
        <v>2675.641815</v>
      </c>
      <c r="AA9">
        <v>91863.702315000002</v>
      </c>
      <c r="AC9">
        <v>91863.702315000002</v>
      </c>
      <c r="AE9">
        <v>91863.702315000002</v>
      </c>
      <c r="AG9">
        <v>91863.702315000002</v>
      </c>
      <c r="AH9">
        <v>-831</v>
      </c>
      <c r="AI9">
        <v>91032.702315000002</v>
      </c>
      <c r="AJ9">
        <v>910.32702314999995</v>
      </c>
      <c r="AK9">
        <v>91943.029338150023</v>
      </c>
      <c r="AL9">
        <v>4597.1514669075004</v>
      </c>
      <c r="AM9">
        <v>96540.180805057505</v>
      </c>
      <c r="AO9">
        <v>96540.180805057505</v>
      </c>
      <c r="AP9">
        <v>1930.8036161011501</v>
      </c>
      <c r="AQ9">
        <v>98470.984421158661</v>
      </c>
      <c r="AS9">
        <v>98470.984421158661</v>
      </c>
      <c r="AT9">
        <v>1969.4196884231733</v>
      </c>
      <c r="AU9">
        <v>100440.40410958184</v>
      </c>
      <c r="AW9">
        <v>100440.40410958184</v>
      </c>
      <c r="AY9">
        <v>100440.40410958184</v>
      </c>
      <c r="BA9">
        <v>100440.40410958184</v>
      </c>
      <c r="BC9">
        <v>100440.40410958184</v>
      </c>
      <c r="BE9">
        <v>100440.40410958184</v>
      </c>
      <c r="BF9">
        <v>502.20202054790923</v>
      </c>
      <c r="BG9">
        <v>100942.60613012974</v>
      </c>
      <c r="BI9">
        <v>100942.60613012974</v>
      </c>
      <c r="BK9">
        <v>100942.60613012974</v>
      </c>
      <c r="BL9">
        <v>6056.5563678077842</v>
      </c>
      <c r="BM9">
        <v>106999.16249793752</v>
      </c>
      <c r="BN9">
        <v>13909.891124731879</v>
      </c>
      <c r="BO9">
        <v>120909.05362266939</v>
      </c>
      <c r="BP9">
        <v>35</v>
      </c>
      <c r="BQ9">
        <v>120944.05362266939</v>
      </c>
      <c r="BS9">
        <v>120944.05362266939</v>
      </c>
      <c r="BT9" s="238">
        <v>120944.05</v>
      </c>
      <c r="BU9" s="238">
        <v>8284700</v>
      </c>
      <c r="BW9">
        <v>0.02</v>
      </c>
      <c r="BX9" s="238">
        <v>165694</v>
      </c>
      <c r="BY9" s="238">
        <v>118525.63503649634</v>
      </c>
      <c r="BZ9" s="238">
        <v>8119006</v>
      </c>
      <c r="CA9" s="238" t="s">
        <v>36</v>
      </c>
      <c r="CC9">
        <v>118525.63503649634</v>
      </c>
      <c r="CD9" s="238">
        <v>0</v>
      </c>
      <c r="CE9" s="238">
        <v>8119006</v>
      </c>
      <c r="CG9" t="s">
        <v>3540</v>
      </c>
      <c r="CH9" s="238" t="s">
        <v>39</v>
      </c>
      <c r="CI9" s="238" t="s">
        <v>39</v>
      </c>
      <c r="CJ9" t="s">
        <v>8950</v>
      </c>
      <c r="CK9" t="s">
        <v>1167</v>
      </c>
      <c r="CL9" t="s">
        <v>8961</v>
      </c>
      <c r="CM9" t="s">
        <v>8971</v>
      </c>
      <c r="CN9" s="238" t="b">
        <v>1</v>
      </c>
      <c r="CO9" t="s">
        <v>5297</v>
      </c>
      <c r="CQ9" t="s">
        <v>6652</v>
      </c>
      <c r="CR9" t="s">
        <v>3246</v>
      </c>
      <c r="CS9" t="s">
        <v>36</v>
      </c>
      <c r="CT9" t="b">
        <v>1</v>
      </c>
      <c r="CU9">
        <v>8284700</v>
      </c>
      <c r="CV9" t="s">
        <v>9002</v>
      </c>
      <c r="CW9">
        <v>0</v>
      </c>
      <c r="CX9">
        <v>8284700</v>
      </c>
      <c r="CY9">
        <v>0</v>
      </c>
      <c r="CZ9" t="b">
        <v>1</v>
      </c>
      <c r="DA9">
        <v>45652</v>
      </c>
      <c r="DB9" t="s">
        <v>8380</v>
      </c>
      <c r="DC9">
        <v>0</v>
      </c>
      <c r="DD9">
        <v>0</v>
      </c>
      <c r="DE9" s="420" cm="1">
        <f t="array" ref="DE9">_xlfn.XLOOKUP("Дом 5"&amp;Реестр_Д5[[#This Row],[№]]&amp;Реестр_Д5[[#This Row],[Статус]],РД[Дом]&amp;РД[№ кв]&amp;РД[Состояние],РД[Дата подачи на регистрацию],"-",0)</f>
        <v>45652</v>
      </c>
    </row>
    <row r="10" spans="1:109" hidden="1" x14ac:dyDescent="0.25">
      <c r="A10" s="238">
        <v>9</v>
      </c>
      <c r="B10" s="238" t="s">
        <v>6</v>
      </c>
      <c r="C10" s="238">
        <v>2</v>
      </c>
      <c r="D10" s="238">
        <v>3</v>
      </c>
      <c r="E10" s="238">
        <v>1</v>
      </c>
      <c r="F10" s="238">
        <v>13.6</v>
      </c>
      <c r="G10" s="238"/>
      <c r="H10" s="238"/>
      <c r="I10">
        <v>13.6</v>
      </c>
      <c r="J10" s="238">
        <v>14.97</v>
      </c>
      <c r="K10" s="238">
        <v>4.1100000000000003</v>
      </c>
      <c r="L10" s="238"/>
      <c r="M10" s="238"/>
      <c r="N10" s="238">
        <v>3.7</v>
      </c>
      <c r="O10" s="238">
        <v>2.69</v>
      </c>
      <c r="P10" s="238"/>
      <c r="R10" s="238">
        <v>2.69</v>
      </c>
      <c r="S10">
        <v>39.07</v>
      </c>
      <c r="T10">
        <v>36.380000000000003</v>
      </c>
      <c r="U10" s="238">
        <v>37.729999999999997</v>
      </c>
      <c r="V10">
        <v>37.250000000000007</v>
      </c>
      <c r="W10" s="238">
        <v>88412.625</v>
      </c>
      <c r="X10">
        <v>4420.6312500000004</v>
      </c>
      <c r="Y10">
        <v>92833.256250000006</v>
      </c>
      <c r="Z10">
        <v>2784.9976875000002</v>
      </c>
      <c r="AA10">
        <v>95618.253937500005</v>
      </c>
      <c r="AB10">
        <v>6693.2777756250007</v>
      </c>
      <c r="AC10">
        <v>102311.531713125</v>
      </c>
      <c r="AE10">
        <v>102311.531713125</v>
      </c>
      <c r="AF10">
        <v>5115.5765856562502</v>
      </c>
      <c r="AG10">
        <v>107427.10829878126</v>
      </c>
      <c r="AI10">
        <v>107427.10829878126</v>
      </c>
      <c r="AJ10">
        <v>1074.2710829878126</v>
      </c>
      <c r="AK10">
        <v>108501.37938176907</v>
      </c>
      <c r="AL10">
        <v>5425.0689690884537</v>
      </c>
      <c r="AM10">
        <v>113926.44835085754</v>
      </c>
      <c r="AO10">
        <v>113926.44835085754</v>
      </c>
      <c r="AP10">
        <v>3417.7934505257258</v>
      </c>
      <c r="AQ10">
        <v>117344.24180138326</v>
      </c>
      <c r="AS10">
        <v>117344.24180138326</v>
      </c>
      <c r="AU10">
        <v>117344.24180138326</v>
      </c>
      <c r="AW10">
        <v>117344.24180138326</v>
      </c>
      <c r="AY10">
        <v>117344.24180138326</v>
      </c>
      <c r="BA10">
        <v>117344.24180138326</v>
      </c>
      <c r="BB10">
        <v>1173.4424180138326</v>
      </c>
      <c r="BC10">
        <v>118517.6842193971</v>
      </c>
      <c r="BE10">
        <v>118517.6842193971</v>
      </c>
      <c r="BF10">
        <v>2962.9421054849277</v>
      </c>
      <c r="BG10">
        <v>121480.62632488202</v>
      </c>
      <c r="BH10">
        <v>500</v>
      </c>
      <c r="BI10">
        <v>121980.62632488202</v>
      </c>
      <c r="BK10">
        <v>121980.62632488202</v>
      </c>
      <c r="BM10">
        <v>121980.62632488202</v>
      </c>
      <c r="BO10">
        <v>121980.62632488202</v>
      </c>
      <c r="BQ10">
        <v>121980.62632488202</v>
      </c>
      <c r="BS10">
        <v>121980.62632488202</v>
      </c>
      <c r="BT10" s="238">
        <v>121980.63</v>
      </c>
      <c r="BU10" s="238">
        <v>4602400</v>
      </c>
      <c r="BX10" s="238">
        <v>0</v>
      </c>
      <c r="BY10" s="238">
        <v>121982.50728862974</v>
      </c>
      <c r="BZ10" s="238">
        <v>4602400</v>
      </c>
      <c r="CA10" s="238" t="s">
        <v>36</v>
      </c>
      <c r="CC10">
        <v>121982.50728862974</v>
      </c>
      <c r="CD10" s="238">
        <v>0</v>
      </c>
      <c r="CE10" s="238">
        <v>4602400</v>
      </c>
      <c r="CH10" s="238" t="s">
        <v>39</v>
      </c>
      <c r="CI10" s="238" t="s">
        <v>39</v>
      </c>
      <c r="CJ10" t="s">
        <v>8950</v>
      </c>
      <c r="CK10" t="s">
        <v>1167</v>
      </c>
      <c r="CL10" t="s">
        <v>8961</v>
      </c>
      <c r="CM10" t="s">
        <v>8972</v>
      </c>
      <c r="CN10" s="238" t="b">
        <v>1</v>
      </c>
      <c r="CO10" t="s">
        <v>5298</v>
      </c>
      <c r="CQ10" t="s">
        <v>6652</v>
      </c>
      <c r="CR10" t="s">
        <v>3246</v>
      </c>
      <c r="CS10" t="s">
        <v>36</v>
      </c>
      <c r="CT10" t="b">
        <v>1</v>
      </c>
      <c r="CU10">
        <v>4602400</v>
      </c>
      <c r="CV10" t="s">
        <v>9002</v>
      </c>
      <c r="CW10">
        <v>0</v>
      </c>
      <c r="CX10">
        <v>4602400</v>
      </c>
      <c r="CY10">
        <v>0</v>
      </c>
      <c r="CZ10" t="b">
        <v>1</v>
      </c>
      <c r="DA10">
        <v>45589</v>
      </c>
      <c r="DB10" t="s">
        <v>4177</v>
      </c>
      <c r="DC10">
        <v>-1.2721971905645058E-2</v>
      </c>
      <c r="DD10">
        <v>-1551.8580307060913</v>
      </c>
      <c r="DE10" s="420" cm="1">
        <f t="array" ref="DE10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11" spans="1:109" hidden="1" x14ac:dyDescent="0.25">
      <c r="A11" s="238">
        <v>10</v>
      </c>
      <c r="B11" s="238" t="s">
        <v>6</v>
      </c>
      <c r="C11" s="238">
        <v>2</v>
      </c>
      <c r="D11" s="238">
        <v>4</v>
      </c>
      <c r="E11" s="238">
        <v>1</v>
      </c>
      <c r="F11" s="238">
        <v>22.91</v>
      </c>
      <c r="G11" s="238"/>
      <c r="H11" s="238"/>
      <c r="I11">
        <v>22.91</v>
      </c>
      <c r="J11" s="238">
        <v>14.58</v>
      </c>
      <c r="K11" s="238">
        <v>4.34</v>
      </c>
      <c r="L11" s="238">
        <v>3.71</v>
      </c>
      <c r="M11" s="238"/>
      <c r="N11" s="238">
        <v>10.98</v>
      </c>
      <c r="O11" s="238">
        <v>3.74</v>
      </c>
      <c r="P11" s="238"/>
      <c r="R11" s="238">
        <v>3.74</v>
      </c>
      <c r="S11">
        <v>60.26</v>
      </c>
      <c r="T11">
        <v>56.52</v>
      </c>
      <c r="U11" s="238">
        <v>58.39</v>
      </c>
      <c r="V11">
        <v>58.2</v>
      </c>
      <c r="W11" s="238">
        <v>78679.125</v>
      </c>
      <c r="X11">
        <v>3933.9562500000002</v>
      </c>
      <c r="Y11">
        <v>82613.081250000003</v>
      </c>
      <c r="Z11">
        <v>2478.3924375000001</v>
      </c>
      <c r="AA11">
        <v>85091.473687500009</v>
      </c>
      <c r="AB11">
        <v>850.91473687500013</v>
      </c>
      <c r="AC11">
        <v>85942.388424375007</v>
      </c>
      <c r="AE11">
        <v>85942.388424375007</v>
      </c>
      <c r="AF11">
        <v>4297.1194212187502</v>
      </c>
      <c r="AG11">
        <v>90239.507845593762</v>
      </c>
      <c r="AI11">
        <v>90239.507845593762</v>
      </c>
      <c r="AJ11">
        <v>902.39507845593755</v>
      </c>
      <c r="AK11">
        <v>91141.902924049689</v>
      </c>
      <c r="AL11">
        <v>4557.095146202485</v>
      </c>
      <c r="AM11">
        <v>95698.998070252186</v>
      </c>
      <c r="AO11">
        <v>95698.998070252186</v>
      </c>
      <c r="AP11">
        <v>2870.9699421075657</v>
      </c>
      <c r="AQ11">
        <v>98569.968012359765</v>
      </c>
      <c r="AS11">
        <v>98569.968012359765</v>
      </c>
      <c r="AU11">
        <v>98569.968012359765</v>
      </c>
      <c r="AW11">
        <v>98569.968012359765</v>
      </c>
      <c r="AX11">
        <v>985.69968012359755</v>
      </c>
      <c r="AY11">
        <v>99555.667692483345</v>
      </c>
      <c r="BA11">
        <v>99555.667692483345</v>
      </c>
      <c r="BC11">
        <v>99555.667692483345</v>
      </c>
      <c r="BE11">
        <v>99555.667692483345</v>
      </c>
      <c r="BF11">
        <v>497.77833846241674</v>
      </c>
      <c r="BG11">
        <v>100053.44603094576</v>
      </c>
      <c r="BI11">
        <v>100053.44603094576</v>
      </c>
      <c r="BK11">
        <v>100053.44603094576</v>
      </c>
      <c r="BL11">
        <v>1000.5344603094576</v>
      </c>
      <c r="BM11">
        <v>101053.98049125522</v>
      </c>
      <c r="BN11">
        <v>13137.01746386318</v>
      </c>
      <c r="BO11">
        <v>114190.99795511839</v>
      </c>
      <c r="BP11">
        <v>35</v>
      </c>
      <c r="BQ11">
        <v>114225.99795511839</v>
      </c>
      <c r="BS11">
        <v>114225.99795511839</v>
      </c>
      <c r="BT11" s="238">
        <v>114226</v>
      </c>
      <c r="BU11" s="238">
        <v>6669700</v>
      </c>
      <c r="BV11">
        <v>467120</v>
      </c>
      <c r="BX11" s="238">
        <v>467120</v>
      </c>
      <c r="BY11" s="238">
        <v>106226.75115601986</v>
      </c>
      <c r="BZ11" s="238">
        <v>6202580</v>
      </c>
      <c r="CA11" s="238" t="s">
        <v>36</v>
      </c>
      <c r="CC11">
        <v>106226.75115601986</v>
      </c>
      <c r="CD11" s="238">
        <v>0</v>
      </c>
      <c r="CE11" s="238">
        <v>6202580</v>
      </c>
      <c r="CF11" t="s">
        <v>4634</v>
      </c>
      <c r="CG11" t="s">
        <v>8676</v>
      </c>
      <c r="CH11" s="238" t="s">
        <v>39</v>
      </c>
      <c r="CI11" s="238" t="s">
        <v>39</v>
      </c>
      <c r="CJ11" t="s">
        <v>8950</v>
      </c>
      <c r="CK11" t="s">
        <v>1167</v>
      </c>
      <c r="CL11" t="s">
        <v>8961</v>
      </c>
      <c r="CM11" t="s">
        <v>8972</v>
      </c>
      <c r="CN11" s="238" t="b">
        <v>1</v>
      </c>
      <c r="CO11" t="s">
        <v>5299</v>
      </c>
      <c r="CQ11" t="s">
        <v>6652</v>
      </c>
      <c r="CR11" t="s">
        <v>3246</v>
      </c>
      <c r="CS11" t="s">
        <v>36</v>
      </c>
      <c r="CT11" t="b">
        <v>1</v>
      </c>
      <c r="CU11">
        <v>6669700</v>
      </c>
      <c r="CV11" t="s">
        <v>9002</v>
      </c>
      <c r="CW11">
        <v>6669700</v>
      </c>
      <c r="CX11">
        <v>6669700</v>
      </c>
      <c r="CY11">
        <v>0</v>
      </c>
      <c r="CZ11" t="b">
        <v>1</v>
      </c>
      <c r="DA11">
        <v>45782</v>
      </c>
      <c r="DB11" t="s">
        <v>126</v>
      </c>
      <c r="DC11">
        <v>-3.2539818462066217E-3</v>
      </c>
      <c r="DD11">
        <v>-345.65991984319692</v>
      </c>
      <c r="DE11" s="420" cm="1">
        <f t="array" ref="DE11">_xlfn.XLOOKUP("Дом 5"&amp;Реестр_Д5[[#This Row],[№]]&amp;Реестр_Д5[[#This Row],[Статус]],РД[Дом]&amp;РД[№ кв]&amp;РД[Состояние],РД[Дата подачи на регистрацию],"-",0)</f>
        <v>45782</v>
      </c>
    </row>
    <row r="12" spans="1:109" hidden="1" x14ac:dyDescent="0.25">
      <c r="A12" s="238">
        <v>11</v>
      </c>
      <c r="B12" s="238" t="s">
        <v>6</v>
      </c>
      <c r="C12" s="238">
        <v>2</v>
      </c>
      <c r="D12" s="238">
        <v>5</v>
      </c>
      <c r="E12" s="238">
        <v>2</v>
      </c>
      <c r="F12" s="238">
        <v>16.46</v>
      </c>
      <c r="G12" s="238">
        <v>12.47</v>
      </c>
      <c r="H12" s="238"/>
      <c r="I12">
        <v>28.93</v>
      </c>
      <c r="J12" s="238">
        <v>18</v>
      </c>
      <c r="K12" s="238">
        <v>4.3499999999999996</v>
      </c>
      <c r="L12" s="238">
        <v>1.55</v>
      </c>
      <c r="M12" s="238"/>
      <c r="N12" s="238">
        <v>8</v>
      </c>
      <c r="O12" s="238">
        <v>2.67</v>
      </c>
      <c r="P12" s="238"/>
      <c r="R12" s="238">
        <v>2.67</v>
      </c>
      <c r="S12">
        <v>63.5</v>
      </c>
      <c r="T12">
        <v>60.83</v>
      </c>
      <c r="U12" s="238">
        <v>62.17</v>
      </c>
      <c r="V12">
        <v>61.849999999999994</v>
      </c>
      <c r="W12" s="238">
        <v>81466.150500000003</v>
      </c>
      <c r="X12">
        <v>4073.3075250000002</v>
      </c>
      <c r="Y12">
        <v>85539.458025</v>
      </c>
      <c r="Z12">
        <v>2566.1837407499997</v>
      </c>
      <c r="AA12">
        <v>88105.641765749999</v>
      </c>
      <c r="AC12">
        <v>88105.641765749999</v>
      </c>
      <c r="AE12">
        <v>88105.641765749999</v>
      </c>
      <c r="AG12">
        <v>88105.641765749999</v>
      </c>
      <c r="AI12">
        <v>88105.641765749999</v>
      </c>
      <c r="AJ12">
        <v>881.05641765749999</v>
      </c>
      <c r="AK12">
        <v>88986.698183407498</v>
      </c>
      <c r="AL12">
        <v>4449.3349091703749</v>
      </c>
      <c r="AM12">
        <v>93436.033092577869</v>
      </c>
      <c r="AO12">
        <v>93436.033092577869</v>
      </c>
      <c r="AP12">
        <v>1868.7206618515577</v>
      </c>
      <c r="AQ12">
        <v>95304.753754429446</v>
      </c>
      <c r="AS12">
        <v>95304.753754429446</v>
      </c>
      <c r="AT12">
        <v>1906.0950750885888</v>
      </c>
      <c r="AU12">
        <v>97210.848829518014</v>
      </c>
      <c r="AW12">
        <v>97210.848829518014</v>
      </c>
      <c r="AY12">
        <v>97210.848829518014</v>
      </c>
      <c r="BA12">
        <v>97210.848829518014</v>
      </c>
      <c r="BB12">
        <v>486.05424414759005</v>
      </c>
      <c r="BC12">
        <v>97696.903073665599</v>
      </c>
      <c r="BE12">
        <v>97696.903073665599</v>
      </c>
      <c r="BF12">
        <v>976.96903073665601</v>
      </c>
      <c r="BG12">
        <v>98673.872104402253</v>
      </c>
      <c r="BI12">
        <v>98673.872104402253</v>
      </c>
      <c r="BJ12">
        <v>3946.9548841760902</v>
      </c>
      <c r="BK12">
        <v>102620.82698857834</v>
      </c>
      <c r="BL12">
        <v>6157.2496193146999</v>
      </c>
      <c r="BM12">
        <v>108778.07660789305</v>
      </c>
      <c r="BN12">
        <v>14141.149959026096</v>
      </c>
      <c r="BO12">
        <v>122919.22656691913</v>
      </c>
      <c r="BP12">
        <v>35</v>
      </c>
      <c r="BQ12">
        <v>122954.22656691913</v>
      </c>
      <c r="BS12">
        <v>122954.22656691913</v>
      </c>
      <c r="BT12" s="238">
        <v>122954.23</v>
      </c>
      <c r="BU12" s="238">
        <v>7644100</v>
      </c>
      <c r="BV12">
        <v>300000</v>
      </c>
      <c r="BW12">
        <v>0.03</v>
      </c>
      <c r="BX12" s="238">
        <v>529323</v>
      </c>
      <c r="BY12" s="238">
        <v>114440.6787839794</v>
      </c>
      <c r="BZ12" s="238">
        <v>7114777</v>
      </c>
      <c r="CA12" s="238" t="s">
        <v>6871</v>
      </c>
      <c r="CB12">
        <v>10000</v>
      </c>
      <c r="CC12">
        <v>124440.6787839794</v>
      </c>
      <c r="CD12" s="238">
        <v>621700</v>
      </c>
      <c r="CE12" s="238">
        <v>7736477</v>
      </c>
      <c r="CG12" t="s">
        <v>8592</v>
      </c>
      <c r="CH12" s="238" t="s">
        <v>39</v>
      </c>
      <c r="CI12" s="238" t="s">
        <v>39</v>
      </c>
      <c r="CJ12" t="s">
        <v>8950</v>
      </c>
      <c r="CK12" t="s">
        <v>1167</v>
      </c>
      <c r="CL12" t="s">
        <v>8961</v>
      </c>
      <c r="CM12" t="s">
        <v>8971</v>
      </c>
      <c r="CN12" s="238" t="b">
        <v>1</v>
      </c>
      <c r="CO12" t="s">
        <v>5300</v>
      </c>
      <c r="CQ12" t="s">
        <v>6652</v>
      </c>
      <c r="CR12" t="s">
        <v>3246</v>
      </c>
      <c r="CS12" t="s">
        <v>6871</v>
      </c>
      <c r="CT12" t="b">
        <v>1</v>
      </c>
      <c r="CU12">
        <v>7644100</v>
      </c>
      <c r="CV12" t="s">
        <v>9002</v>
      </c>
      <c r="CW12">
        <v>0</v>
      </c>
      <c r="CX12">
        <v>7644100</v>
      </c>
      <c r="CY12">
        <v>0</v>
      </c>
      <c r="CZ12" t="b">
        <v>1</v>
      </c>
      <c r="DA12">
        <v>45792</v>
      </c>
      <c r="DB12" t="s">
        <v>8512</v>
      </c>
      <c r="DC12">
        <v>-5.1471770950620721E-3</v>
      </c>
      <c r="DD12">
        <v>-589.04644058025485</v>
      </c>
      <c r="DE12" s="420" cm="1">
        <f t="array" ref="DE12">_xlfn.XLOOKUP("Дом 5"&amp;Реестр_Д5[[#This Row],[№]]&amp;Реестр_Д5[[#This Row],[Статус]],РД[Дом]&amp;РД[№ кв]&amp;РД[Состояние],РД[Дата подачи на регистрацию],"-",0)</f>
        <v>45792</v>
      </c>
    </row>
    <row r="13" spans="1:109" hidden="1" x14ac:dyDescent="0.25">
      <c r="A13" s="238">
        <v>12</v>
      </c>
      <c r="B13" s="238" t="s">
        <v>6</v>
      </c>
      <c r="C13" s="238">
        <v>2</v>
      </c>
      <c r="D13" s="238">
        <v>6</v>
      </c>
      <c r="E13" s="238">
        <v>2</v>
      </c>
      <c r="F13" s="238">
        <v>14.64</v>
      </c>
      <c r="G13" s="238">
        <v>10.74</v>
      </c>
      <c r="H13" s="238"/>
      <c r="I13">
        <v>25.380000000000003</v>
      </c>
      <c r="J13" s="238">
        <v>14.35</v>
      </c>
      <c r="K13" s="238">
        <v>4.16</v>
      </c>
      <c r="L13" s="238">
        <v>1.93</v>
      </c>
      <c r="M13" s="238"/>
      <c r="N13" s="238">
        <v>11.03</v>
      </c>
      <c r="O13" s="238">
        <v>2.62</v>
      </c>
      <c r="P13" s="238"/>
      <c r="R13" s="238">
        <v>2.62</v>
      </c>
      <c r="S13">
        <v>59.47</v>
      </c>
      <c r="T13">
        <v>56.85</v>
      </c>
      <c r="U13" s="238">
        <v>58.16</v>
      </c>
      <c r="V13">
        <v>58.3</v>
      </c>
      <c r="W13" s="238">
        <v>82238.34150000001</v>
      </c>
      <c r="X13">
        <v>4111.9170750000003</v>
      </c>
      <c r="Y13">
        <v>86350.258575000014</v>
      </c>
      <c r="Z13">
        <v>2590.5077572500004</v>
      </c>
      <c r="AA13">
        <v>88940.766332250016</v>
      </c>
      <c r="AC13">
        <v>88940.766332250016</v>
      </c>
      <c r="AE13">
        <v>88940.766332250016</v>
      </c>
      <c r="AG13">
        <v>88940.766332250016</v>
      </c>
      <c r="AI13">
        <v>88940.766332250016</v>
      </c>
      <c r="AK13">
        <v>88940.766332250016</v>
      </c>
      <c r="AM13">
        <v>88940.766332250016</v>
      </c>
      <c r="AO13">
        <v>88940.766332250016</v>
      </c>
      <c r="AQ13">
        <v>88940.766332250016</v>
      </c>
      <c r="AS13">
        <v>88940.766332250016</v>
      </c>
      <c r="AU13">
        <v>88940.766332250016</v>
      </c>
      <c r="AW13">
        <v>88940.766332250016</v>
      </c>
      <c r="AY13">
        <v>88940.766332250016</v>
      </c>
      <c r="BA13">
        <v>88940.766332250016</v>
      </c>
      <c r="BC13">
        <v>88940.766332250016</v>
      </c>
      <c r="BE13">
        <v>88940.766332250016</v>
      </c>
      <c r="BG13">
        <v>88940.766332250016</v>
      </c>
      <c r="BI13">
        <v>88940.766332250016</v>
      </c>
      <c r="BK13">
        <v>88940.766332250016</v>
      </c>
      <c r="BM13">
        <v>88940.766332250016</v>
      </c>
      <c r="BO13">
        <v>88940.766332250016</v>
      </c>
      <c r="BQ13">
        <v>88940.766332250016</v>
      </c>
      <c r="BS13">
        <v>88940.766332250016</v>
      </c>
      <c r="BT13" s="238">
        <v>88940.77</v>
      </c>
      <c r="BU13" s="238">
        <v>5172795.18</v>
      </c>
      <c r="BX13" s="238">
        <v>0</v>
      </c>
      <c r="BY13" s="238">
        <v>88940.769944979373</v>
      </c>
      <c r="BZ13" s="238">
        <v>5172795.18</v>
      </c>
      <c r="CA13" s="238" t="s">
        <v>37</v>
      </c>
      <c r="CB13">
        <v>7500</v>
      </c>
      <c r="CC13">
        <v>96440.769944979373</v>
      </c>
      <c r="CD13" s="238">
        <v>436200</v>
      </c>
      <c r="CE13" s="238">
        <v>5608995.1799999997</v>
      </c>
      <c r="CH13" s="238" t="s">
        <v>39</v>
      </c>
      <c r="CI13" s="238" t="s">
        <v>39</v>
      </c>
      <c r="CJ13" t="s">
        <v>8950</v>
      </c>
      <c r="CK13" t="s">
        <v>1167</v>
      </c>
      <c r="CL13" t="s">
        <v>8961</v>
      </c>
      <c r="CM13" t="s">
        <v>8971</v>
      </c>
      <c r="CN13" s="238" t="b">
        <v>1</v>
      </c>
      <c r="CO13" t="s">
        <v>5301</v>
      </c>
      <c r="CQ13" t="s">
        <v>4895</v>
      </c>
      <c r="CR13" t="s">
        <v>3246</v>
      </c>
      <c r="CS13" t="s">
        <v>37</v>
      </c>
      <c r="CT13" t="b">
        <v>1</v>
      </c>
      <c r="CU13">
        <v>5172795.18</v>
      </c>
      <c r="CV13" t="s">
        <v>9002</v>
      </c>
      <c r="CW13">
        <v>0</v>
      </c>
      <c r="CX13">
        <v>5172795</v>
      </c>
      <c r="CY13">
        <v>0</v>
      </c>
      <c r="CZ13" t="b">
        <v>1</v>
      </c>
      <c r="DA13">
        <v>45246</v>
      </c>
      <c r="DB13" t="s">
        <v>4177</v>
      </c>
      <c r="DC13">
        <v>2.4071526822559974E-3</v>
      </c>
      <c r="DD13">
        <v>214.09401293497069</v>
      </c>
      <c r="DE13" s="420" cm="1">
        <f t="array" ref="DE13">_xlfn.XLOOKUP("Дом 5"&amp;Реестр_Д5[[#This Row],[№]]&amp;Реестр_Д5[[#This Row],[Статус]],РД[Дом]&amp;РД[№ кв]&amp;РД[Состояние],РД[Дата подачи на регистрацию],"-",0)</f>
        <v>45246</v>
      </c>
    </row>
    <row r="14" spans="1:109" hidden="1" x14ac:dyDescent="0.25">
      <c r="A14" s="238">
        <v>13</v>
      </c>
      <c r="B14" s="238" t="s">
        <v>6</v>
      </c>
      <c r="C14" s="238">
        <v>2</v>
      </c>
      <c r="D14" s="238">
        <v>7</v>
      </c>
      <c r="E14" s="238">
        <v>1</v>
      </c>
      <c r="F14" s="238">
        <v>18.489999999999998</v>
      </c>
      <c r="G14" s="238"/>
      <c r="H14" s="238"/>
      <c r="I14">
        <v>18.489999999999998</v>
      </c>
      <c r="J14" s="238">
        <v>13.04</v>
      </c>
      <c r="K14" s="238">
        <v>3.9</v>
      </c>
      <c r="L14" s="238"/>
      <c r="M14" s="238"/>
      <c r="N14" s="238">
        <v>5.99</v>
      </c>
      <c r="O14" s="238">
        <v>2.65</v>
      </c>
      <c r="P14" s="238"/>
      <c r="R14" s="238">
        <v>2.65</v>
      </c>
      <c r="S14">
        <v>44.07</v>
      </c>
      <c r="T14">
        <v>41.42</v>
      </c>
      <c r="U14" s="238">
        <v>42.75</v>
      </c>
      <c r="V14">
        <v>42.5</v>
      </c>
      <c r="W14" s="238">
        <v>84762.5625</v>
      </c>
      <c r="X14">
        <v>4238.1281250000002</v>
      </c>
      <c r="Y14">
        <v>89000.690625000003</v>
      </c>
      <c r="Z14">
        <v>2670.02071875</v>
      </c>
      <c r="AA14">
        <v>91670.711343750023</v>
      </c>
      <c r="AB14">
        <v>3666.8284537499999</v>
      </c>
      <c r="AC14">
        <v>95337.539797500023</v>
      </c>
      <c r="AE14">
        <v>95337.539797500023</v>
      </c>
      <c r="AG14">
        <v>95337.539797500023</v>
      </c>
      <c r="AI14">
        <v>95337.539797500023</v>
      </c>
      <c r="AK14">
        <v>95337.539797500023</v>
      </c>
      <c r="AM14">
        <v>95337.539797500023</v>
      </c>
      <c r="AO14">
        <v>95337.539797500023</v>
      </c>
      <c r="AQ14">
        <v>95337.539797500023</v>
      </c>
      <c r="AS14">
        <v>95337.539797500023</v>
      </c>
      <c r="AU14">
        <v>95337.539797500023</v>
      </c>
      <c r="AW14">
        <v>95337.539797500023</v>
      </c>
      <c r="AY14">
        <v>95337.539797500023</v>
      </c>
      <c r="BA14">
        <v>95337.539797500023</v>
      </c>
      <c r="BC14">
        <v>95337.539797500023</v>
      </c>
      <c r="BE14">
        <v>95337.539797500023</v>
      </c>
      <c r="BG14">
        <v>95337.539797500023</v>
      </c>
      <c r="BI14">
        <v>95337.539797500023</v>
      </c>
      <c r="BK14">
        <v>95337.539797500023</v>
      </c>
      <c r="BM14">
        <v>95337.539797500023</v>
      </c>
      <c r="BO14">
        <v>95337.539797500023</v>
      </c>
      <c r="BQ14">
        <v>95337.539797500023</v>
      </c>
      <c r="BS14">
        <v>95337.539797500023</v>
      </c>
      <c r="BT14" s="238">
        <v>95337.54</v>
      </c>
      <c r="BU14" s="238">
        <v>4075679.84</v>
      </c>
      <c r="BX14" s="238">
        <v>0</v>
      </c>
      <c r="BY14" s="238">
        <v>95337.540116959062</v>
      </c>
      <c r="BZ14" s="238">
        <v>4075679.84</v>
      </c>
      <c r="CA14" s="238" t="s">
        <v>37</v>
      </c>
      <c r="CB14">
        <v>7500</v>
      </c>
      <c r="CC14">
        <v>102837.54011695906</v>
      </c>
      <c r="CD14" s="238">
        <v>320625</v>
      </c>
      <c r="CE14" s="238">
        <v>4396304.84</v>
      </c>
      <c r="CH14" s="238" t="s">
        <v>39</v>
      </c>
      <c r="CI14" s="238" t="s">
        <v>39</v>
      </c>
      <c r="CJ14" t="s">
        <v>8950</v>
      </c>
      <c r="CK14" t="s">
        <v>1167</v>
      </c>
      <c r="CL14" t="s">
        <v>8961</v>
      </c>
      <c r="CM14" t="s">
        <v>8973</v>
      </c>
      <c r="CN14" s="238" t="b">
        <v>1</v>
      </c>
      <c r="CO14" t="s">
        <v>5302</v>
      </c>
      <c r="CQ14" t="s">
        <v>4895</v>
      </c>
      <c r="CR14" t="s">
        <v>3246</v>
      </c>
      <c r="CS14" t="s">
        <v>37</v>
      </c>
      <c r="CT14" t="b">
        <v>1</v>
      </c>
      <c r="CU14">
        <v>4075679.84</v>
      </c>
      <c r="CV14" t="s">
        <v>9002</v>
      </c>
      <c r="CW14">
        <v>4075680</v>
      </c>
      <c r="CX14">
        <v>4075680</v>
      </c>
      <c r="CY14">
        <v>0</v>
      </c>
      <c r="CZ14" t="b">
        <v>1</v>
      </c>
      <c r="DA14">
        <v>45275</v>
      </c>
      <c r="DB14" t="s">
        <v>4177</v>
      </c>
      <c r="DC14">
        <v>-5.8479532163743242E-3</v>
      </c>
      <c r="DD14">
        <v>-557.52947436818692</v>
      </c>
      <c r="DE14" s="420" cm="1">
        <f t="array" ref="DE14">_xlfn.XLOOKUP("Дом 5"&amp;Реестр_Д5[[#This Row],[№]]&amp;Реестр_Д5[[#This Row],[Статус]],РД[Дом]&amp;РД[№ кв]&amp;РД[Состояние],РД[Дата подачи на регистрацию],"-",0)</f>
        <v>45275</v>
      </c>
    </row>
    <row r="15" spans="1:109" hidden="1" x14ac:dyDescent="0.25">
      <c r="A15" s="238">
        <v>14</v>
      </c>
      <c r="B15" s="238" t="s">
        <v>6</v>
      </c>
      <c r="C15" s="238">
        <v>3</v>
      </c>
      <c r="D15" s="238">
        <v>1</v>
      </c>
      <c r="E15" s="238">
        <v>1</v>
      </c>
      <c r="F15" s="238">
        <v>14.68</v>
      </c>
      <c r="G15" s="238"/>
      <c r="H15" s="238"/>
      <c r="I15">
        <v>14.68</v>
      </c>
      <c r="J15" s="238">
        <v>9.84</v>
      </c>
      <c r="K15" s="238">
        <v>3.63</v>
      </c>
      <c r="L15" s="238"/>
      <c r="M15" s="238"/>
      <c r="N15" s="238">
        <v>4.8899999999999997</v>
      </c>
      <c r="O15" s="238">
        <v>2.7</v>
      </c>
      <c r="P15" s="238"/>
      <c r="R15" s="238">
        <v>2.7</v>
      </c>
      <c r="S15">
        <v>35.74</v>
      </c>
      <c r="T15">
        <v>33.04</v>
      </c>
      <c r="U15" s="238">
        <v>34.39</v>
      </c>
      <c r="V15">
        <v>34.450000000000003</v>
      </c>
      <c r="W15" s="238">
        <v>83545.875</v>
      </c>
      <c r="X15">
        <v>4177.2937499999998</v>
      </c>
      <c r="Y15">
        <v>87723.168749999997</v>
      </c>
      <c r="AA15">
        <v>87723.168749999997</v>
      </c>
      <c r="AC15">
        <v>87723.168749999997</v>
      </c>
      <c r="AE15">
        <v>87723.168749999997</v>
      </c>
      <c r="AG15">
        <v>87723.168749999997</v>
      </c>
      <c r="AI15">
        <v>87723.168749999997</v>
      </c>
      <c r="AK15">
        <v>87723.168749999997</v>
      </c>
      <c r="AM15">
        <v>87723.168749999997</v>
      </c>
      <c r="AO15">
        <v>87723.168749999997</v>
      </c>
      <c r="AQ15">
        <v>87723.168749999997</v>
      </c>
      <c r="AS15">
        <v>87723.168749999997</v>
      </c>
      <c r="AU15">
        <v>87723.168749999997</v>
      </c>
      <c r="AW15">
        <v>87723.168749999997</v>
      </c>
      <c r="AY15">
        <v>87723.168749999997</v>
      </c>
      <c r="BA15">
        <v>87723.168749999997</v>
      </c>
      <c r="BC15">
        <v>87723.168749999997</v>
      </c>
      <c r="BE15">
        <v>87723.168749999997</v>
      </c>
      <c r="BG15">
        <v>87723.168749999997</v>
      </c>
      <c r="BI15">
        <v>87723.168749999997</v>
      </c>
      <c r="BK15">
        <v>87723.168749999997</v>
      </c>
      <c r="BM15">
        <v>87723.168749999997</v>
      </c>
      <c r="BO15">
        <v>87723.168749999997</v>
      </c>
      <c r="BQ15">
        <v>87723.168749999997</v>
      </c>
      <c r="BS15">
        <v>87723.168749999997</v>
      </c>
      <c r="BT15" s="238">
        <v>87723.17</v>
      </c>
      <c r="BU15" s="238">
        <v>3016799.82</v>
      </c>
      <c r="BX15" s="238">
        <v>0</v>
      </c>
      <c r="BY15" s="238">
        <v>87723.170107589409</v>
      </c>
      <c r="BZ15" s="238">
        <v>3016799.82</v>
      </c>
      <c r="CA15" s="238" t="s">
        <v>36</v>
      </c>
      <c r="CC15">
        <v>87723.170107589409</v>
      </c>
      <c r="CD15" s="238">
        <v>0</v>
      </c>
      <c r="CE15" s="238">
        <v>3016799.82</v>
      </c>
      <c r="CF15" t="s">
        <v>4633</v>
      </c>
      <c r="CH15" s="238" t="s">
        <v>39</v>
      </c>
      <c r="CI15" s="238" t="s">
        <v>39</v>
      </c>
      <c r="CJ15" t="s">
        <v>8950</v>
      </c>
      <c r="CK15" t="s">
        <v>1167</v>
      </c>
      <c r="CL15" t="s">
        <v>8961</v>
      </c>
      <c r="CM15" t="s">
        <v>8973</v>
      </c>
      <c r="CN15" s="238" t="b">
        <v>1</v>
      </c>
      <c r="CO15" t="s">
        <v>5303</v>
      </c>
      <c r="CQ15" t="s">
        <v>4895</v>
      </c>
      <c r="CR15" t="s">
        <v>3246</v>
      </c>
      <c r="CS15" t="s">
        <v>36</v>
      </c>
      <c r="CT15" t="b">
        <v>1</v>
      </c>
      <c r="CU15">
        <v>3016799.82</v>
      </c>
      <c r="CV15" t="s">
        <v>9002</v>
      </c>
      <c r="CW15">
        <v>0</v>
      </c>
      <c r="CX15">
        <v>3016800</v>
      </c>
      <c r="CY15">
        <v>0</v>
      </c>
      <c r="CZ15" t="b">
        <v>1</v>
      </c>
      <c r="DA15">
        <v>45188</v>
      </c>
      <c r="DB15" t="s">
        <v>130</v>
      </c>
      <c r="DC15">
        <v>1.7446932247746627E-3</v>
      </c>
      <c r="DD15">
        <v>153.05002054246646</v>
      </c>
      <c r="DE15" s="420" cm="1">
        <f t="array" ref="DE15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6" spans="1:109" x14ac:dyDescent="0.25">
      <c r="A16" s="238">
        <v>15</v>
      </c>
      <c r="B16" s="238" t="s">
        <v>6</v>
      </c>
      <c r="C16" s="238">
        <v>3</v>
      </c>
      <c r="D16" s="238">
        <v>2</v>
      </c>
      <c r="E16" s="238">
        <v>2</v>
      </c>
      <c r="F16" s="238">
        <v>15.82</v>
      </c>
      <c r="G16" s="238">
        <v>15.54</v>
      </c>
      <c r="H16" s="238"/>
      <c r="I16">
        <v>31.36</v>
      </c>
      <c r="J16" s="238">
        <v>19.440000000000001</v>
      </c>
      <c r="K16" s="238">
        <v>4.42</v>
      </c>
      <c r="L16" s="238"/>
      <c r="M16" s="238">
        <v>3.25</v>
      </c>
      <c r="N16" s="238">
        <v>8.5299999999999994</v>
      </c>
      <c r="O16" s="238">
        <v>3</v>
      </c>
      <c r="P16" s="238"/>
      <c r="R16" s="238">
        <v>3</v>
      </c>
      <c r="S16">
        <v>70</v>
      </c>
      <c r="T16">
        <v>67</v>
      </c>
      <c r="U16" s="238">
        <v>68.5</v>
      </c>
      <c r="V16">
        <v>68.150000000000006</v>
      </c>
      <c r="W16" s="238">
        <v>84941.010000000009</v>
      </c>
      <c r="X16">
        <v>4247.0505000000003</v>
      </c>
      <c r="Y16">
        <v>89188.060500000007</v>
      </c>
      <c r="Z16">
        <v>2675.641815</v>
      </c>
      <c r="AA16">
        <v>91863.702315000002</v>
      </c>
      <c r="AC16">
        <v>91863.702315000002</v>
      </c>
      <c r="AE16">
        <v>91863.702315000002</v>
      </c>
      <c r="AG16">
        <v>91863.702315000002</v>
      </c>
      <c r="AH16">
        <v>-831</v>
      </c>
      <c r="AI16">
        <v>91032.702315000002</v>
      </c>
      <c r="AJ16">
        <v>910.32702314999995</v>
      </c>
      <c r="AK16">
        <v>91943.029338150023</v>
      </c>
      <c r="AL16">
        <v>4597.1514669075004</v>
      </c>
      <c r="AM16">
        <v>96540.180805057505</v>
      </c>
      <c r="AO16">
        <v>96540.180805057505</v>
      </c>
      <c r="AP16">
        <v>1930.8036161011501</v>
      </c>
      <c r="AQ16">
        <v>98470.984421158661</v>
      </c>
      <c r="AS16">
        <v>98470.984421158661</v>
      </c>
      <c r="AT16">
        <v>1969.4196884231733</v>
      </c>
      <c r="AU16">
        <v>100440.40410958184</v>
      </c>
      <c r="AW16">
        <v>100440.40410958184</v>
      </c>
      <c r="AY16">
        <v>100440.40410958184</v>
      </c>
      <c r="BA16">
        <v>100440.40410958184</v>
      </c>
      <c r="BC16">
        <v>100440.40410958184</v>
      </c>
      <c r="BE16">
        <v>100440.40410958184</v>
      </c>
      <c r="BF16">
        <v>502.20202054790923</v>
      </c>
      <c r="BG16">
        <v>100942.60613012974</v>
      </c>
      <c r="BI16">
        <v>100942.60613012974</v>
      </c>
      <c r="BK16">
        <v>100942.60613012974</v>
      </c>
      <c r="BL16">
        <v>6056.5563678077842</v>
      </c>
      <c r="BM16">
        <v>106999.16249793752</v>
      </c>
      <c r="BN16">
        <v>13909.891124731879</v>
      </c>
      <c r="BO16">
        <v>120909.05362266939</v>
      </c>
      <c r="BP16">
        <v>35</v>
      </c>
      <c r="BQ16">
        <v>120944.05362266939</v>
      </c>
      <c r="BS16">
        <v>120944.05362266939</v>
      </c>
      <c r="BT16" s="238">
        <v>120944.05</v>
      </c>
      <c r="BU16" s="238">
        <v>8242400</v>
      </c>
      <c r="BX16" s="238">
        <v>0</v>
      </c>
      <c r="BY16" s="238">
        <v>120944.97432134996</v>
      </c>
      <c r="BZ16" s="238">
        <v>8242400</v>
      </c>
      <c r="CA16" s="238" t="s">
        <v>36</v>
      </c>
      <c r="CC16">
        <v>120944.97432134996</v>
      </c>
      <c r="CD16" s="238">
        <v>0</v>
      </c>
      <c r="CE16" s="238">
        <v>8242399.9999999981</v>
      </c>
      <c r="CH16" s="238" t="s">
        <v>3</v>
      </c>
      <c r="CI16" s="238" t="s">
        <v>3</v>
      </c>
      <c r="CJ16" t="s">
        <v>8951</v>
      </c>
      <c r="CK16" t="s">
        <v>1167</v>
      </c>
      <c r="CL16" t="s">
        <v>8961</v>
      </c>
      <c r="CM16" t="s">
        <v>8971</v>
      </c>
      <c r="CN16" s="238" t="b">
        <v>1</v>
      </c>
      <c r="CO16" t="s">
        <v>5304</v>
      </c>
      <c r="CQ16" t="s">
        <v>6652</v>
      </c>
      <c r="CR16" t="s">
        <v>3124</v>
      </c>
      <c r="CS16" t="s">
        <v>6871</v>
      </c>
      <c r="CT16" t="b">
        <v>0</v>
      </c>
      <c r="CU16">
        <v>8242400</v>
      </c>
      <c r="CV16">
        <v>8242400</v>
      </c>
      <c r="CW16">
        <v>0</v>
      </c>
      <c r="CX16">
        <v>0</v>
      </c>
      <c r="CY16">
        <v>0</v>
      </c>
      <c r="CZ16" t="b">
        <v>1</v>
      </c>
      <c r="DA16" t="s">
        <v>4246</v>
      </c>
      <c r="DB16" t="s">
        <v>1167</v>
      </c>
      <c r="DC16">
        <v>-5.1094890510947621E-3</v>
      </c>
      <c r="DD16">
        <v>-617.96702207987471</v>
      </c>
      <c r="DE16" s="420" t="str" cm="1">
        <f t="array" ref="DE1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7" spans="1:109" hidden="1" x14ac:dyDescent="0.25">
      <c r="A17" s="238">
        <v>16</v>
      </c>
      <c r="B17" s="238" t="s">
        <v>6</v>
      </c>
      <c r="C17" s="238">
        <v>3</v>
      </c>
      <c r="D17" s="238">
        <v>3</v>
      </c>
      <c r="E17" s="238">
        <v>1</v>
      </c>
      <c r="F17" s="238">
        <v>13.6</v>
      </c>
      <c r="G17" s="238"/>
      <c r="H17" s="238"/>
      <c r="I17">
        <v>13.6</v>
      </c>
      <c r="J17" s="238">
        <v>14.97</v>
      </c>
      <c r="K17" s="238">
        <v>4.1100000000000003</v>
      </c>
      <c r="L17" s="238"/>
      <c r="M17" s="238"/>
      <c r="N17" s="238">
        <v>3.7</v>
      </c>
      <c r="O17" s="238">
        <v>2.69</v>
      </c>
      <c r="P17" s="238"/>
      <c r="R17" s="238">
        <v>2.69</v>
      </c>
      <c r="S17">
        <v>39.07</v>
      </c>
      <c r="T17">
        <v>36.380000000000003</v>
      </c>
      <c r="U17" s="238">
        <v>37.729999999999997</v>
      </c>
      <c r="V17">
        <v>37.549999999999997</v>
      </c>
      <c r="W17" s="238">
        <v>88412.625</v>
      </c>
      <c r="Y17">
        <v>88412.625</v>
      </c>
      <c r="AA17">
        <v>88412.625</v>
      </c>
      <c r="AC17">
        <v>88412.625</v>
      </c>
      <c r="AE17">
        <v>88412.625</v>
      </c>
      <c r="AG17">
        <v>88412.625</v>
      </c>
      <c r="AI17">
        <v>88412.625</v>
      </c>
      <c r="AK17">
        <v>88412.625</v>
      </c>
      <c r="AM17">
        <v>88412.625</v>
      </c>
      <c r="AO17">
        <v>88412.625</v>
      </c>
      <c r="AQ17">
        <v>88412.625</v>
      </c>
      <c r="AS17">
        <v>88412.625</v>
      </c>
      <c r="AU17">
        <v>88412.625</v>
      </c>
      <c r="AW17">
        <v>88412.625</v>
      </c>
      <c r="AY17">
        <v>88412.625</v>
      </c>
      <c r="BA17">
        <v>88412.625</v>
      </c>
      <c r="BC17">
        <v>88412.625</v>
      </c>
      <c r="BE17">
        <v>88412.625</v>
      </c>
      <c r="BG17">
        <v>88412.625</v>
      </c>
      <c r="BI17">
        <v>88412.625</v>
      </c>
      <c r="BK17">
        <v>88412.625</v>
      </c>
      <c r="BM17">
        <v>88412.625</v>
      </c>
      <c r="BO17">
        <v>88412.625</v>
      </c>
      <c r="BQ17">
        <v>88412.625</v>
      </c>
      <c r="BS17">
        <v>88412.625</v>
      </c>
      <c r="BT17" s="238">
        <v>88412.63</v>
      </c>
      <c r="BU17" s="238">
        <v>3335808.53</v>
      </c>
      <c r="BX17" s="238">
        <v>0</v>
      </c>
      <c r="BY17" s="238">
        <v>88412.630002650418</v>
      </c>
      <c r="BZ17" s="238">
        <v>3335808.53</v>
      </c>
      <c r="CA17" s="238" t="s">
        <v>37</v>
      </c>
      <c r="CB17">
        <v>4500</v>
      </c>
      <c r="CC17">
        <v>92912.630002650418</v>
      </c>
      <c r="CD17" s="238">
        <v>169785</v>
      </c>
      <c r="CE17" s="238">
        <v>3505593.53</v>
      </c>
      <c r="CH17" s="238" t="s">
        <v>39</v>
      </c>
      <c r="CI17" s="238" t="s">
        <v>39</v>
      </c>
      <c r="CJ17" t="s">
        <v>8950</v>
      </c>
      <c r="CK17" t="s">
        <v>1167</v>
      </c>
      <c r="CL17" t="s">
        <v>8961</v>
      </c>
      <c r="CM17" t="s">
        <v>8972</v>
      </c>
      <c r="CN17" s="238" t="b">
        <v>1</v>
      </c>
      <c r="CO17" t="s">
        <v>5305</v>
      </c>
      <c r="CQ17" t="s">
        <v>4895</v>
      </c>
      <c r="CR17" t="s">
        <v>3246</v>
      </c>
      <c r="CS17" t="s">
        <v>37</v>
      </c>
      <c r="CT17" t="b">
        <v>1</v>
      </c>
      <c r="CU17">
        <v>3335808.53</v>
      </c>
      <c r="CV17" t="s">
        <v>9002</v>
      </c>
      <c r="CW17">
        <v>3335809</v>
      </c>
      <c r="CX17">
        <v>3335809</v>
      </c>
      <c r="CY17">
        <v>0</v>
      </c>
      <c r="CZ17" t="b">
        <v>1</v>
      </c>
      <c r="DA17">
        <v>45188</v>
      </c>
      <c r="DB17" t="s">
        <v>4177</v>
      </c>
      <c r="DC17">
        <v>-4.7707394646170354E-3</v>
      </c>
      <c r="DD17">
        <v>-421.79362312422847</v>
      </c>
      <c r="DE17" s="420" cm="1">
        <f t="array" ref="DE17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8" spans="1:109" hidden="1" x14ac:dyDescent="0.25">
      <c r="A18" s="238">
        <v>17</v>
      </c>
      <c r="B18" s="238" t="s">
        <v>6</v>
      </c>
      <c r="C18" s="238">
        <v>3</v>
      </c>
      <c r="D18" s="238">
        <v>4</v>
      </c>
      <c r="E18" s="238">
        <v>2</v>
      </c>
      <c r="F18" s="238">
        <v>16.61</v>
      </c>
      <c r="G18" s="238">
        <v>11.38</v>
      </c>
      <c r="H18" s="238"/>
      <c r="I18">
        <v>27.99</v>
      </c>
      <c r="J18" s="238">
        <v>14.58</v>
      </c>
      <c r="K18" s="238">
        <v>4.34</v>
      </c>
      <c r="L18" s="238">
        <v>2.08</v>
      </c>
      <c r="M18" s="238"/>
      <c r="N18" s="238">
        <v>8.82</v>
      </c>
      <c r="O18" s="238">
        <v>2.56</v>
      </c>
      <c r="P18" s="238"/>
      <c r="R18" s="238">
        <v>2.56</v>
      </c>
      <c r="S18">
        <v>60.37</v>
      </c>
      <c r="T18">
        <v>57.81</v>
      </c>
      <c r="U18" s="238">
        <v>59.09</v>
      </c>
      <c r="V18">
        <v>59</v>
      </c>
      <c r="W18" s="238">
        <v>81080.054999999993</v>
      </c>
      <c r="X18">
        <v>4054.002750000001</v>
      </c>
      <c r="Y18">
        <v>85134.057750000007</v>
      </c>
      <c r="Z18">
        <v>2554.0217325000003</v>
      </c>
      <c r="AA18">
        <v>87688.079482500005</v>
      </c>
      <c r="AC18">
        <v>87688.079482500005</v>
      </c>
      <c r="AE18">
        <v>87688.079482500005</v>
      </c>
      <c r="AG18">
        <v>87688.079482500005</v>
      </c>
      <c r="AI18">
        <v>87688.079482500005</v>
      </c>
      <c r="AJ18">
        <v>876.88079482499995</v>
      </c>
      <c r="AK18">
        <v>88564.960277325008</v>
      </c>
      <c r="AL18">
        <v>4428.2480138662504</v>
      </c>
      <c r="AM18">
        <v>92993.208291191258</v>
      </c>
      <c r="AO18">
        <v>92993.208291191258</v>
      </c>
      <c r="AP18">
        <v>1859.8641658238253</v>
      </c>
      <c r="AQ18">
        <v>94853.072457015078</v>
      </c>
      <c r="AS18">
        <v>94853.072457015078</v>
      </c>
      <c r="AT18">
        <v>1897.0614491403016</v>
      </c>
      <c r="AU18">
        <v>96750.133906155374</v>
      </c>
      <c r="AW18">
        <v>96750.133906155374</v>
      </c>
      <c r="AX18">
        <v>967.50133906155372</v>
      </c>
      <c r="AY18">
        <v>97717.635245216923</v>
      </c>
      <c r="BA18">
        <v>97717.635245216923</v>
      </c>
      <c r="BC18">
        <v>97717.635245216923</v>
      </c>
      <c r="BE18">
        <v>97717.635245216923</v>
      </c>
      <c r="BF18">
        <v>1465.7645286782538</v>
      </c>
      <c r="BG18">
        <v>99183.399773895173</v>
      </c>
      <c r="BI18">
        <v>99183.399773895173</v>
      </c>
      <c r="BJ18">
        <v>3967.3359909558071</v>
      </c>
      <c r="BK18">
        <v>103150.73576485098</v>
      </c>
      <c r="BL18">
        <v>6189.0441458910582</v>
      </c>
      <c r="BM18">
        <v>109339.77991074204</v>
      </c>
      <c r="BN18">
        <v>14214.171388396466</v>
      </c>
      <c r="BO18">
        <v>123553.95129913853</v>
      </c>
      <c r="BP18">
        <v>35</v>
      </c>
      <c r="BQ18">
        <v>123588.95129913853</v>
      </c>
      <c r="BS18">
        <v>123588.95129913853</v>
      </c>
      <c r="BT18" s="238">
        <v>123588.95</v>
      </c>
      <c r="BU18" s="238">
        <v>7302900</v>
      </c>
      <c r="BV18">
        <v>507550</v>
      </c>
      <c r="BX18" s="238">
        <v>507550</v>
      </c>
      <c r="BY18" s="238">
        <v>115000</v>
      </c>
      <c r="BZ18" s="238">
        <v>6795350</v>
      </c>
      <c r="CA18" s="238" t="s">
        <v>36</v>
      </c>
      <c r="CC18">
        <v>115000</v>
      </c>
      <c r="CD18" s="238">
        <v>0</v>
      </c>
      <c r="CE18" s="238">
        <v>6795350</v>
      </c>
      <c r="CG18" t="s">
        <v>8841</v>
      </c>
      <c r="CH18" s="238" t="s">
        <v>39</v>
      </c>
      <c r="CI18" s="238" t="s">
        <v>39</v>
      </c>
      <c r="CJ18" t="s">
        <v>8950</v>
      </c>
      <c r="CK18" t="s">
        <v>1167</v>
      </c>
      <c r="CL18" t="s">
        <v>8961</v>
      </c>
      <c r="CM18" t="s">
        <v>8971</v>
      </c>
      <c r="CN18" s="238" t="b">
        <v>1</v>
      </c>
      <c r="CO18" t="s">
        <v>5306</v>
      </c>
      <c r="CQ18" t="s">
        <v>6652</v>
      </c>
      <c r="CR18" t="s">
        <v>3246</v>
      </c>
      <c r="CS18" t="s">
        <v>36</v>
      </c>
      <c r="CT18" t="b">
        <v>1</v>
      </c>
      <c r="CU18">
        <v>7302900</v>
      </c>
      <c r="CV18" t="s">
        <v>9002</v>
      </c>
      <c r="CW18">
        <v>0</v>
      </c>
      <c r="CX18">
        <v>7302900</v>
      </c>
      <c r="CY18">
        <v>0</v>
      </c>
      <c r="CZ18" t="b">
        <v>1</v>
      </c>
      <c r="DA18">
        <v>45836</v>
      </c>
      <c r="DB18" t="s">
        <v>4177</v>
      </c>
      <c r="DC18">
        <v>-1.5231003553901612E-3</v>
      </c>
      <c r="DD18">
        <v>-175.15654086986854</v>
      </c>
      <c r="DE18" s="420" cm="1">
        <f t="array" ref="DE18">_xlfn.XLOOKUP("Дом 5"&amp;Реестр_Д5[[#This Row],[№]]&amp;Реестр_Д5[[#This Row],[Статус]],РД[Дом]&amp;РД[№ кв]&amp;РД[Состояние],РД[Дата подачи на регистрацию],"-",0)</f>
        <v>45836</v>
      </c>
    </row>
    <row r="19" spans="1:109" hidden="1" x14ac:dyDescent="0.25">
      <c r="A19" s="238">
        <v>18</v>
      </c>
      <c r="B19" s="238" t="s">
        <v>6</v>
      </c>
      <c r="C19" s="238">
        <v>3</v>
      </c>
      <c r="D19" s="238">
        <v>5</v>
      </c>
      <c r="E19" s="238">
        <v>2</v>
      </c>
      <c r="F19" s="238">
        <v>16.46</v>
      </c>
      <c r="G19" s="238">
        <v>12.47</v>
      </c>
      <c r="H19" s="238"/>
      <c r="I19">
        <v>28.93</v>
      </c>
      <c r="J19" s="238">
        <v>18</v>
      </c>
      <c r="K19" s="238">
        <v>4.3499999999999996</v>
      </c>
      <c r="L19" s="238">
        <v>1.55</v>
      </c>
      <c r="M19" s="238"/>
      <c r="N19" s="238">
        <v>8</v>
      </c>
      <c r="O19" s="238">
        <v>2.67</v>
      </c>
      <c r="P19" s="238"/>
      <c r="R19" s="238">
        <v>2.67</v>
      </c>
      <c r="S19">
        <v>63.5</v>
      </c>
      <c r="T19">
        <v>60.83</v>
      </c>
      <c r="U19" s="238">
        <v>62.17</v>
      </c>
      <c r="V19">
        <v>61.699999999999989</v>
      </c>
      <c r="W19" s="238">
        <v>81080.054999999993</v>
      </c>
      <c r="X19">
        <v>4054.002750000001</v>
      </c>
      <c r="Y19">
        <v>85134.057750000007</v>
      </c>
      <c r="Z19">
        <v>2554.0217325000003</v>
      </c>
      <c r="AA19">
        <v>87688.079482500005</v>
      </c>
      <c r="AC19">
        <v>87688.079482500005</v>
      </c>
      <c r="AE19">
        <v>87688.079482500005</v>
      </c>
      <c r="AG19">
        <v>87688.079482500005</v>
      </c>
      <c r="AI19">
        <v>87688.079482500005</v>
      </c>
      <c r="AK19">
        <v>87688.079482500005</v>
      </c>
      <c r="AM19">
        <v>87688.079482500005</v>
      </c>
      <c r="AO19">
        <v>87688.079482500005</v>
      </c>
      <c r="AQ19">
        <v>87688.079482500005</v>
      </c>
      <c r="AS19">
        <v>87688.079482500005</v>
      </c>
      <c r="AU19">
        <v>87688.079482500005</v>
      </c>
      <c r="AW19">
        <v>87688.079482500005</v>
      </c>
      <c r="AY19">
        <v>87688.079482500005</v>
      </c>
      <c r="BA19">
        <v>87688.079482500005</v>
      </c>
      <c r="BC19">
        <v>87688.079482500005</v>
      </c>
      <c r="BE19">
        <v>87688.079482500005</v>
      </c>
      <c r="BG19">
        <v>87688.079482500005</v>
      </c>
      <c r="BI19">
        <v>87688.079482500005</v>
      </c>
      <c r="BK19">
        <v>87688.079482500005</v>
      </c>
      <c r="BM19">
        <v>87688.079482500005</v>
      </c>
      <c r="BO19">
        <v>87688.079482500005</v>
      </c>
      <c r="BQ19">
        <v>87688.079482500005</v>
      </c>
      <c r="BS19">
        <v>87688.079482500005</v>
      </c>
      <c r="BT19" s="238">
        <v>87688.08</v>
      </c>
      <c r="BU19" s="238">
        <v>5451600</v>
      </c>
      <c r="BV19">
        <v>30000</v>
      </c>
      <c r="BX19" s="238">
        <v>30000</v>
      </c>
      <c r="BY19" s="238">
        <v>87206.047933086695</v>
      </c>
      <c r="BZ19" s="238">
        <v>5421600</v>
      </c>
      <c r="CA19" s="238" t="s">
        <v>37</v>
      </c>
      <c r="CB19">
        <v>7500</v>
      </c>
      <c r="CC19">
        <v>94706.047933086695</v>
      </c>
      <c r="CD19" s="238">
        <v>466275</v>
      </c>
      <c r="CE19" s="238">
        <v>5887875</v>
      </c>
      <c r="CG19" t="s">
        <v>6732</v>
      </c>
      <c r="CH19" s="238" t="s">
        <v>39</v>
      </c>
      <c r="CI19" s="238" t="s">
        <v>39</v>
      </c>
      <c r="CJ19" t="s">
        <v>8950</v>
      </c>
      <c r="CK19" t="s">
        <v>1167</v>
      </c>
      <c r="CL19" t="s">
        <v>8961</v>
      </c>
      <c r="CM19" t="s">
        <v>8971</v>
      </c>
      <c r="CN19" s="238" t="b">
        <v>1</v>
      </c>
      <c r="CO19" t="s">
        <v>5307</v>
      </c>
      <c r="CQ19" t="s">
        <v>6652</v>
      </c>
      <c r="CR19" t="s">
        <v>3246</v>
      </c>
      <c r="CS19" t="s">
        <v>37</v>
      </c>
      <c r="CT19" t="b">
        <v>1</v>
      </c>
      <c r="CU19">
        <v>5451600</v>
      </c>
      <c r="CV19" t="s">
        <v>9002</v>
      </c>
      <c r="CW19">
        <v>0</v>
      </c>
      <c r="CX19">
        <v>5451600</v>
      </c>
      <c r="CY19">
        <v>0</v>
      </c>
      <c r="CZ19" t="b">
        <v>1</v>
      </c>
      <c r="DA19">
        <v>45289</v>
      </c>
      <c r="DB19" t="s">
        <v>4177</v>
      </c>
      <c r="DC19">
        <v>-7.5599163583723872E-3</v>
      </c>
      <c r="DD19">
        <v>-659.27042831834865</v>
      </c>
      <c r="DE19" s="420" cm="1">
        <f t="array" ref="DE19">_xlfn.XLOOKUP("Дом 5"&amp;Реестр_Д5[[#This Row],[№]]&amp;Реестр_Д5[[#This Row],[Статус]],РД[Дом]&amp;РД[№ кв]&amp;РД[Состояние],РД[Дата подачи на регистрацию],"-",0)</f>
        <v>45289</v>
      </c>
    </row>
    <row r="20" spans="1:109" hidden="1" x14ac:dyDescent="0.25">
      <c r="A20" s="238">
        <v>19</v>
      </c>
      <c r="B20" s="238" t="s">
        <v>6</v>
      </c>
      <c r="C20" s="238">
        <v>3</v>
      </c>
      <c r="D20" s="238">
        <v>6</v>
      </c>
      <c r="E20" s="238">
        <v>2</v>
      </c>
      <c r="F20" s="238">
        <v>14.64</v>
      </c>
      <c r="G20" s="238">
        <v>10.74</v>
      </c>
      <c r="H20" s="238"/>
      <c r="I20">
        <v>25.380000000000003</v>
      </c>
      <c r="J20" s="238">
        <v>14.35</v>
      </c>
      <c r="K20" s="238">
        <v>4.16</v>
      </c>
      <c r="L20" s="238">
        <v>1.93</v>
      </c>
      <c r="M20" s="238"/>
      <c r="N20" s="238">
        <v>11.03</v>
      </c>
      <c r="O20" s="238">
        <v>2.6219999999999999</v>
      </c>
      <c r="P20" s="238"/>
      <c r="R20" s="238">
        <v>2.6219999999999999</v>
      </c>
      <c r="S20">
        <v>59.47</v>
      </c>
      <c r="T20">
        <v>56.85</v>
      </c>
      <c r="U20" s="238">
        <v>58.16</v>
      </c>
      <c r="V20">
        <v>58.099999999999994</v>
      </c>
      <c r="W20" s="238">
        <v>82238.34150000001</v>
      </c>
      <c r="X20">
        <v>4111.9170750000003</v>
      </c>
      <c r="Y20">
        <v>86350.258575000014</v>
      </c>
      <c r="Z20">
        <v>2590.5077572500004</v>
      </c>
      <c r="AA20">
        <v>88940.766332250016</v>
      </c>
      <c r="AC20">
        <v>88940.766332250016</v>
      </c>
      <c r="AE20">
        <v>88940.766332250016</v>
      </c>
      <c r="AG20">
        <v>88940.766332250016</v>
      </c>
      <c r="AI20">
        <v>88940.766332250016</v>
      </c>
      <c r="AJ20">
        <v>889.40766332250018</v>
      </c>
      <c r="AK20">
        <v>89830.173995572535</v>
      </c>
      <c r="AL20">
        <v>4491.5086997786266</v>
      </c>
      <c r="AM20">
        <v>94321.682695351148</v>
      </c>
      <c r="AO20">
        <v>94321.682695351148</v>
      </c>
      <c r="AP20">
        <v>1886.433653907023</v>
      </c>
      <c r="AQ20">
        <v>96208.116349258169</v>
      </c>
      <c r="AS20">
        <v>96208.116349258169</v>
      </c>
      <c r="AT20">
        <v>1924.1623269851632</v>
      </c>
      <c r="AU20">
        <v>98132.278676243339</v>
      </c>
      <c r="AW20">
        <v>98132.278676243339</v>
      </c>
      <c r="AX20">
        <v>981.32278676243345</v>
      </c>
      <c r="AY20">
        <v>99113.601463005776</v>
      </c>
      <c r="BA20">
        <v>99113.601463005776</v>
      </c>
      <c r="BC20">
        <v>99113.601463005776</v>
      </c>
      <c r="BE20">
        <v>99113.601463005776</v>
      </c>
      <c r="BF20">
        <v>1486.7040219450869</v>
      </c>
      <c r="BG20">
        <v>100600.30548495086</v>
      </c>
      <c r="BH20">
        <v>500</v>
      </c>
      <c r="BI20">
        <v>101100.30548495086</v>
      </c>
      <c r="BJ20">
        <v>4044.0122193980342</v>
      </c>
      <c r="BK20">
        <v>105144.3177043489</v>
      </c>
      <c r="BL20">
        <v>6308.6590622609338</v>
      </c>
      <c r="BM20">
        <v>111452.97676660983</v>
      </c>
      <c r="BN20">
        <v>14488.886979659281</v>
      </c>
      <c r="BO20">
        <v>125941.86374626913</v>
      </c>
      <c r="BP20">
        <v>35</v>
      </c>
      <c r="BQ20">
        <v>125976.86374626913</v>
      </c>
      <c r="BS20">
        <v>125976.86374626913</v>
      </c>
      <c r="BT20" s="238">
        <v>125976.86</v>
      </c>
      <c r="BU20" s="238">
        <v>7326900</v>
      </c>
      <c r="BV20">
        <v>300000</v>
      </c>
      <c r="BW20">
        <v>0.03</v>
      </c>
      <c r="BX20" s="238">
        <v>519807</v>
      </c>
      <c r="BY20" s="238">
        <v>117040.80123796425</v>
      </c>
      <c r="BZ20" s="238">
        <v>6807093</v>
      </c>
      <c r="CA20" s="238" t="s">
        <v>36</v>
      </c>
      <c r="CC20">
        <v>117040.80123796425</v>
      </c>
      <c r="CD20" s="238">
        <v>0</v>
      </c>
      <c r="CE20" s="238">
        <v>6807093</v>
      </c>
      <c r="CG20" t="s">
        <v>8929</v>
      </c>
      <c r="CH20" s="238" t="s">
        <v>39</v>
      </c>
      <c r="CI20" s="238" t="s">
        <v>39</v>
      </c>
      <c r="CJ20" t="s">
        <v>8950</v>
      </c>
      <c r="CK20" t="s">
        <v>1167</v>
      </c>
      <c r="CL20" t="s">
        <v>8961</v>
      </c>
      <c r="CM20" t="s">
        <v>8971</v>
      </c>
      <c r="CN20" s="238" t="b">
        <v>1</v>
      </c>
      <c r="CO20" t="s">
        <v>5308</v>
      </c>
      <c r="CQ20" t="s">
        <v>6652</v>
      </c>
      <c r="CR20" t="s">
        <v>3246</v>
      </c>
      <c r="CS20" t="s">
        <v>36</v>
      </c>
      <c r="CT20" t="b">
        <v>1</v>
      </c>
      <c r="CU20">
        <v>7326900</v>
      </c>
      <c r="CV20" t="s">
        <v>9002</v>
      </c>
      <c r="CW20">
        <v>7326900</v>
      </c>
      <c r="CX20">
        <v>7326900</v>
      </c>
      <c r="CY20">
        <v>0</v>
      </c>
      <c r="CZ20" t="b">
        <v>1</v>
      </c>
      <c r="DA20">
        <v>45832</v>
      </c>
      <c r="DB20" t="s">
        <v>4177</v>
      </c>
      <c r="DC20">
        <v>-1.0316368638240148E-3</v>
      </c>
      <c r="DD20">
        <v>-120.7436051285833</v>
      </c>
      <c r="DE20" s="420" cm="1">
        <f t="array" ref="DE20">_xlfn.XLOOKUP("Дом 5"&amp;Реестр_Д5[[#This Row],[№]]&amp;Реестр_Д5[[#This Row],[Статус]],РД[Дом]&amp;РД[№ кв]&amp;РД[Состояние],РД[Дата подачи на регистрацию],"-",0)</f>
        <v>45832</v>
      </c>
    </row>
    <row r="21" spans="1:109" hidden="1" x14ac:dyDescent="0.25">
      <c r="A21" s="238">
        <v>20</v>
      </c>
      <c r="B21" s="238" t="s">
        <v>6</v>
      </c>
      <c r="C21" s="238">
        <v>3</v>
      </c>
      <c r="D21" s="238">
        <v>7</v>
      </c>
      <c r="E21" s="238">
        <v>1</v>
      </c>
      <c r="F21" s="238">
        <v>18.489999999999998</v>
      </c>
      <c r="G21" s="238"/>
      <c r="H21" s="238"/>
      <c r="I21">
        <v>18.489999999999998</v>
      </c>
      <c r="J21" s="238">
        <v>13.04</v>
      </c>
      <c r="K21" s="238">
        <v>3.9</v>
      </c>
      <c r="L21" s="238"/>
      <c r="M21" s="238"/>
      <c r="N21" s="238">
        <v>5.99</v>
      </c>
      <c r="O21" s="238">
        <v>2.65</v>
      </c>
      <c r="P21" s="238"/>
      <c r="R21" s="238">
        <v>2.65</v>
      </c>
      <c r="S21">
        <v>44.07</v>
      </c>
      <c r="T21">
        <v>41.42</v>
      </c>
      <c r="U21" s="238">
        <v>42.75</v>
      </c>
      <c r="V21">
        <v>42.5</v>
      </c>
      <c r="W21" s="238">
        <v>84762.5625</v>
      </c>
      <c r="X21">
        <v>4238.1281250000002</v>
      </c>
      <c r="Y21">
        <v>89000.690625000003</v>
      </c>
      <c r="Z21">
        <v>2670.02071875</v>
      </c>
      <c r="AA21">
        <v>91670.711343750023</v>
      </c>
      <c r="AB21">
        <v>3666.8284537499999</v>
      </c>
      <c r="AC21">
        <v>95337.539797500023</v>
      </c>
      <c r="AE21">
        <v>95337.539797500023</v>
      </c>
      <c r="AF21">
        <v>4766.8769898750006</v>
      </c>
      <c r="AG21">
        <v>100104.416787375</v>
      </c>
      <c r="AI21">
        <v>100104.416787375</v>
      </c>
      <c r="AJ21">
        <v>1001.04416787375</v>
      </c>
      <c r="AK21">
        <v>101105.46095524875</v>
      </c>
      <c r="AL21">
        <v>5055.2730477624391</v>
      </c>
      <c r="AM21">
        <v>106160.7340030112</v>
      </c>
      <c r="AO21">
        <v>106160.7340030112</v>
      </c>
      <c r="AP21">
        <v>3184.8220200903361</v>
      </c>
      <c r="AQ21">
        <v>109345.55602310154</v>
      </c>
      <c r="AS21">
        <v>109345.55602310154</v>
      </c>
      <c r="AU21">
        <v>109345.55602310154</v>
      </c>
      <c r="AW21">
        <v>109345.55602310154</v>
      </c>
      <c r="AY21">
        <v>109345.55602310154</v>
      </c>
      <c r="BA21">
        <v>109345.55602310154</v>
      </c>
      <c r="BC21">
        <v>109345.55602310154</v>
      </c>
      <c r="BE21">
        <v>109345.55602310154</v>
      </c>
      <c r="BG21">
        <v>109345.55602310154</v>
      </c>
      <c r="BI21">
        <v>109345.55602310154</v>
      </c>
      <c r="BK21">
        <v>109345.55602310154</v>
      </c>
      <c r="BM21">
        <v>109345.55602310154</v>
      </c>
      <c r="BO21">
        <v>109345.55602310154</v>
      </c>
      <c r="BQ21">
        <v>109345.55602310154</v>
      </c>
      <c r="BS21">
        <v>109345.55602310154</v>
      </c>
      <c r="BT21" s="238">
        <v>109345.56</v>
      </c>
      <c r="BU21" s="238">
        <v>4674600</v>
      </c>
      <c r="BW21">
        <v>0.03</v>
      </c>
      <c r="BX21" s="238">
        <v>140238</v>
      </c>
      <c r="BY21" s="238">
        <v>106066.94736842104</v>
      </c>
      <c r="BZ21" s="238">
        <v>4534362</v>
      </c>
      <c r="CA21" s="238" t="s">
        <v>38</v>
      </c>
      <c r="CB21">
        <v>20000</v>
      </c>
      <c r="CC21">
        <v>126066.94736842104</v>
      </c>
      <c r="CD21" s="238">
        <v>855000</v>
      </c>
      <c r="CE21" s="238">
        <v>5389362</v>
      </c>
      <c r="CG21" t="s">
        <v>978</v>
      </c>
      <c r="CH21" s="238" t="s">
        <v>39</v>
      </c>
      <c r="CI21" s="238" t="s">
        <v>39</v>
      </c>
      <c r="CJ21" t="s">
        <v>8950</v>
      </c>
      <c r="CK21" t="s">
        <v>1167</v>
      </c>
      <c r="CL21" t="s">
        <v>8961</v>
      </c>
      <c r="CM21" t="s">
        <v>8973</v>
      </c>
      <c r="CN21" s="238" t="b">
        <v>1</v>
      </c>
      <c r="CO21" t="s">
        <v>5309</v>
      </c>
      <c r="CQ21" t="s">
        <v>6652</v>
      </c>
      <c r="CR21" t="s">
        <v>3246</v>
      </c>
      <c r="CS21" t="s">
        <v>38</v>
      </c>
      <c r="CT21" t="b">
        <v>1</v>
      </c>
      <c r="CU21">
        <v>4674600</v>
      </c>
      <c r="CV21" t="s">
        <v>9002</v>
      </c>
      <c r="CW21">
        <v>4674600</v>
      </c>
      <c r="CX21">
        <v>4674600</v>
      </c>
      <c r="CY21">
        <v>0</v>
      </c>
      <c r="CZ21" t="b">
        <v>1</v>
      </c>
      <c r="DA21">
        <v>45488</v>
      </c>
      <c r="DB21" t="s">
        <v>4177</v>
      </c>
      <c r="DC21">
        <v>-5.8479532163743242E-3</v>
      </c>
      <c r="DD21">
        <v>-620.27454601416412</v>
      </c>
      <c r="DE21" s="420" cm="1">
        <f t="array" ref="DE21">_xlfn.XLOOKUP("Дом 5"&amp;Реестр_Д5[[#This Row],[№]]&amp;Реестр_Д5[[#This Row],[Статус]],РД[Дом]&amp;РД[№ кв]&amp;РД[Состояние],РД[Дата подачи на регистрацию],"-",0)</f>
        <v>45488</v>
      </c>
    </row>
    <row r="22" spans="1:109" hidden="1" x14ac:dyDescent="0.25">
      <c r="A22" s="238">
        <v>21</v>
      </c>
      <c r="B22" s="238" t="s">
        <v>6</v>
      </c>
      <c r="C22" s="238">
        <v>4</v>
      </c>
      <c r="D22" s="238">
        <v>1</v>
      </c>
      <c r="E22" s="238">
        <v>1</v>
      </c>
      <c r="F22" s="238">
        <v>14.68</v>
      </c>
      <c r="G22" s="238"/>
      <c r="H22" s="238"/>
      <c r="I22">
        <v>14.68</v>
      </c>
      <c r="J22" s="238">
        <v>9.84</v>
      </c>
      <c r="K22" s="238">
        <v>3.63</v>
      </c>
      <c r="L22" s="238"/>
      <c r="M22" s="238"/>
      <c r="N22" s="238">
        <v>4.8899999999999997</v>
      </c>
      <c r="O22" s="238">
        <v>2.7</v>
      </c>
      <c r="P22" s="238"/>
      <c r="R22" s="238">
        <v>2.7</v>
      </c>
      <c r="S22">
        <v>35.74</v>
      </c>
      <c r="T22">
        <v>33.04</v>
      </c>
      <c r="U22" s="238">
        <v>34.39</v>
      </c>
      <c r="V22">
        <v>34.450000000000003</v>
      </c>
      <c r="W22" s="238">
        <v>83545.875</v>
      </c>
      <c r="X22">
        <v>4177.2937499999998</v>
      </c>
      <c r="Y22">
        <v>87723.168749999997</v>
      </c>
      <c r="Z22">
        <v>2631.6950624999999</v>
      </c>
      <c r="AA22">
        <v>90354.8638125</v>
      </c>
      <c r="AB22">
        <v>12649.680933750002</v>
      </c>
      <c r="AC22">
        <v>103004.54474625</v>
      </c>
      <c r="AE22">
        <v>103004.54474625</v>
      </c>
      <c r="AF22">
        <v>5150.2272373125006</v>
      </c>
      <c r="AG22">
        <v>108154.7719835625</v>
      </c>
      <c r="AI22">
        <v>108154.7719835625</v>
      </c>
      <c r="AJ22">
        <v>1081.547719835625</v>
      </c>
      <c r="AK22">
        <v>109236.31970339813</v>
      </c>
      <c r="AL22">
        <v>5461.8159851699065</v>
      </c>
      <c r="AM22">
        <v>114698.13568856804</v>
      </c>
      <c r="AO22">
        <v>114698.13568856804</v>
      </c>
      <c r="AP22">
        <v>3440.9440706570408</v>
      </c>
      <c r="AQ22">
        <v>118139.07975922507</v>
      </c>
      <c r="AS22">
        <v>118139.07975922507</v>
      </c>
      <c r="AU22">
        <v>118139.07975922507</v>
      </c>
      <c r="AW22">
        <v>118139.07975922507</v>
      </c>
      <c r="AY22">
        <v>118139.07975922507</v>
      </c>
      <c r="BA22">
        <v>118139.07975922507</v>
      </c>
      <c r="BC22">
        <v>118139.07975922507</v>
      </c>
      <c r="BE22">
        <v>118139.07975922507</v>
      </c>
      <c r="BG22">
        <v>118139.07975922507</v>
      </c>
      <c r="BI22">
        <v>118139.07975922507</v>
      </c>
      <c r="BK22">
        <v>118139.07975922507</v>
      </c>
      <c r="BM22">
        <v>118139.07975922507</v>
      </c>
      <c r="BO22">
        <v>118139.07975922507</v>
      </c>
      <c r="BQ22">
        <v>118139.07975922507</v>
      </c>
      <c r="BS22">
        <v>118139.07975922507</v>
      </c>
      <c r="BT22" s="238">
        <v>118139.08</v>
      </c>
      <c r="BU22" s="238">
        <v>4062900</v>
      </c>
      <c r="BX22" s="238">
        <v>0</v>
      </c>
      <c r="BY22" s="238">
        <v>118141.90171561499</v>
      </c>
      <c r="BZ22" s="238">
        <v>4062900</v>
      </c>
      <c r="CA22" s="238" t="s">
        <v>6871</v>
      </c>
      <c r="CB22">
        <v>7000</v>
      </c>
      <c r="CC22">
        <v>125141.90171561499</v>
      </c>
      <c r="CD22" s="238">
        <v>240730</v>
      </c>
      <c r="CE22" s="238">
        <v>4303630</v>
      </c>
      <c r="CF22" t="s">
        <v>4633</v>
      </c>
      <c r="CH22" s="238" t="s">
        <v>39</v>
      </c>
      <c r="CI22" s="238" t="s">
        <v>39</v>
      </c>
      <c r="CJ22" t="s">
        <v>8950</v>
      </c>
      <c r="CK22" t="s">
        <v>1167</v>
      </c>
      <c r="CL22" t="s">
        <v>8961</v>
      </c>
      <c r="CM22" t="s">
        <v>8973</v>
      </c>
      <c r="CN22" s="238" t="b">
        <v>1</v>
      </c>
      <c r="CO22" t="s">
        <v>5310</v>
      </c>
      <c r="CQ22" t="s">
        <v>6652</v>
      </c>
      <c r="CR22" t="s">
        <v>3246</v>
      </c>
      <c r="CS22" t="s">
        <v>6871</v>
      </c>
      <c r="CT22" t="b">
        <v>1</v>
      </c>
      <c r="CU22">
        <v>4062900</v>
      </c>
      <c r="CV22" t="s">
        <v>9002</v>
      </c>
      <c r="CW22">
        <v>0</v>
      </c>
      <c r="CX22">
        <v>4062900</v>
      </c>
      <c r="CY22">
        <v>0</v>
      </c>
      <c r="CZ22" t="b">
        <v>1</v>
      </c>
      <c r="DA22">
        <v>45461</v>
      </c>
      <c r="DB22" t="s">
        <v>4177</v>
      </c>
      <c r="DC22">
        <v>1.7446932247746627E-3</v>
      </c>
      <c r="DD22">
        <v>206.12137548522759</v>
      </c>
      <c r="DE22" s="420" cm="1">
        <f t="array" ref="DE22">_xlfn.XLOOKUP("Дом 5"&amp;Реестр_Д5[[#This Row],[№]]&amp;Реестр_Д5[[#This Row],[Статус]],РД[Дом]&amp;РД[№ кв]&amp;РД[Состояние],РД[Дата подачи на регистрацию],"-",0)</f>
        <v>45461</v>
      </c>
    </row>
    <row r="23" spans="1:109" x14ac:dyDescent="0.25">
      <c r="A23" s="238">
        <v>22</v>
      </c>
      <c r="B23" s="238" t="s">
        <v>6</v>
      </c>
      <c r="C23" s="238">
        <v>4</v>
      </c>
      <c r="D23" s="238">
        <v>2</v>
      </c>
      <c r="E23" s="238">
        <v>2</v>
      </c>
      <c r="F23" s="238">
        <v>15.82</v>
      </c>
      <c r="G23" s="238">
        <v>15.54</v>
      </c>
      <c r="H23" s="238"/>
      <c r="I23">
        <v>31.36</v>
      </c>
      <c r="J23" s="238">
        <v>19.440000000000001</v>
      </c>
      <c r="K23" s="238">
        <v>4.42</v>
      </c>
      <c r="L23" s="238"/>
      <c r="M23" s="238">
        <v>3.25</v>
      </c>
      <c r="N23" s="238">
        <v>8.5299999999999994</v>
      </c>
      <c r="O23" s="238">
        <v>3</v>
      </c>
      <c r="P23" s="238"/>
      <c r="R23" s="238">
        <v>3</v>
      </c>
      <c r="S23">
        <v>70</v>
      </c>
      <c r="T23">
        <v>67</v>
      </c>
      <c r="U23" s="238">
        <v>68.5</v>
      </c>
      <c r="V23">
        <v>67.899999999999991</v>
      </c>
      <c r="W23" s="238">
        <v>84941.010000000009</v>
      </c>
      <c r="X23">
        <v>4247.0505000000003</v>
      </c>
      <c r="Y23">
        <v>89188.060500000007</v>
      </c>
      <c r="Z23">
        <v>2675.641815</v>
      </c>
      <c r="AA23">
        <v>91863.702315000002</v>
      </c>
      <c r="AC23">
        <v>91863.702315000002</v>
      </c>
      <c r="AE23">
        <v>91863.702315000002</v>
      </c>
      <c r="AG23">
        <v>91863.702315000002</v>
      </c>
      <c r="AH23">
        <v>-831</v>
      </c>
      <c r="AI23">
        <v>91032.702315000002</v>
      </c>
      <c r="AJ23">
        <v>910.32702314999995</v>
      </c>
      <c r="AK23">
        <v>91943.029338150023</v>
      </c>
      <c r="AL23">
        <v>4597.1514669075004</v>
      </c>
      <c r="AM23">
        <v>96540.180805057505</v>
      </c>
      <c r="AO23">
        <v>96540.180805057505</v>
      </c>
      <c r="AP23">
        <v>1930.8036161011501</v>
      </c>
      <c r="AQ23">
        <v>98470.984421158661</v>
      </c>
      <c r="AS23">
        <v>98470.984421158661</v>
      </c>
      <c r="AT23">
        <v>1969.4196884231733</v>
      </c>
      <c r="AU23">
        <v>100440.40410958184</v>
      </c>
      <c r="AW23">
        <v>100440.40410958184</v>
      </c>
      <c r="AY23">
        <v>100440.40410958184</v>
      </c>
      <c r="BA23">
        <v>100440.40410958184</v>
      </c>
      <c r="BC23">
        <v>100440.40410958184</v>
      </c>
      <c r="BE23">
        <v>100440.40410958184</v>
      </c>
      <c r="BF23">
        <v>502.20202054790923</v>
      </c>
      <c r="BG23">
        <v>100942.60613012974</v>
      </c>
      <c r="BI23">
        <v>100942.60613012974</v>
      </c>
      <c r="BK23">
        <v>100942.60613012974</v>
      </c>
      <c r="BL23">
        <v>6056.5563678077842</v>
      </c>
      <c r="BM23">
        <v>106999.16249793752</v>
      </c>
      <c r="BN23">
        <v>13909.891124731879</v>
      </c>
      <c r="BO23">
        <v>120909.05362266939</v>
      </c>
      <c r="BP23">
        <v>35</v>
      </c>
      <c r="BQ23">
        <v>120944.05362266939</v>
      </c>
      <c r="BS23">
        <v>120944.05362266939</v>
      </c>
      <c r="BT23" s="238">
        <v>120944.05</v>
      </c>
      <c r="BU23" s="238">
        <v>8212200</v>
      </c>
      <c r="BX23" s="238">
        <v>0</v>
      </c>
      <c r="BY23" s="238">
        <v>120945.50810014729</v>
      </c>
      <c r="BZ23" s="238">
        <v>8212200</v>
      </c>
      <c r="CA23" s="238" t="s">
        <v>36</v>
      </c>
      <c r="CC23">
        <v>120945.50810014729</v>
      </c>
      <c r="CD23" s="238">
        <v>0</v>
      </c>
      <c r="CE23" s="238">
        <v>8212200</v>
      </c>
      <c r="CH23" s="238" t="s">
        <v>3</v>
      </c>
      <c r="CI23" s="238" t="s">
        <v>3</v>
      </c>
      <c r="CJ23" t="s">
        <v>8951</v>
      </c>
      <c r="CK23" t="s">
        <v>1167</v>
      </c>
      <c r="CL23" t="s">
        <v>8961</v>
      </c>
      <c r="CM23" t="s">
        <v>8971</v>
      </c>
      <c r="CN23" s="238" t="b">
        <v>1</v>
      </c>
      <c r="CO23" t="s">
        <v>5311</v>
      </c>
      <c r="CQ23" t="s">
        <v>6652</v>
      </c>
      <c r="CR23" t="s">
        <v>3124</v>
      </c>
      <c r="CS23" t="s">
        <v>36</v>
      </c>
      <c r="CT23" t="b">
        <v>1</v>
      </c>
      <c r="CU23">
        <v>8212200</v>
      </c>
      <c r="CV23">
        <v>8212200</v>
      </c>
      <c r="CW23">
        <v>0</v>
      </c>
      <c r="CX23">
        <v>0</v>
      </c>
      <c r="CY23">
        <v>0</v>
      </c>
      <c r="CZ23" t="b">
        <v>1</v>
      </c>
      <c r="DA23" t="s">
        <v>4246</v>
      </c>
      <c r="DB23" t="s">
        <v>1167</v>
      </c>
      <c r="DC23">
        <v>-8.7591240875913856E-3</v>
      </c>
      <c r="DD23">
        <v>-1059.3767132859791</v>
      </c>
      <c r="DE23" s="420" t="str" cm="1">
        <f t="array" ref="DE2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4" spans="1:109" hidden="1" x14ac:dyDescent="0.25">
      <c r="A24" s="238">
        <v>23</v>
      </c>
      <c r="B24" s="238" t="s">
        <v>6</v>
      </c>
      <c r="C24" s="238">
        <v>4</v>
      </c>
      <c r="D24" s="238">
        <v>3</v>
      </c>
      <c r="E24" s="238">
        <v>1</v>
      </c>
      <c r="F24" s="238">
        <v>13.6</v>
      </c>
      <c r="G24" s="238"/>
      <c r="H24" s="238"/>
      <c r="I24">
        <v>13.6</v>
      </c>
      <c r="J24" s="238">
        <v>14.97</v>
      </c>
      <c r="K24" s="238">
        <v>4.1100000000000003</v>
      </c>
      <c r="L24" s="238"/>
      <c r="M24" s="238"/>
      <c r="N24" s="238">
        <v>3.7</v>
      </c>
      <c r="O24" s="238">
        <v>2.69</v>
      </c>
      <c r="P24" s="238"/>
      <c r="R24" s="238">
        <v>2.69</v>
      </c>
      <c r="S24">
        <v>39.07</v>
      </c>
      <c r="T24">
        <v>36.380000000000003</v>
      </c>
      <c r="U24" s="238">
        <v>37.729999999999997</v>
      </c>
      <c r="V24">
        <v>37.350000000000009</v>
      </c>
      <c r="W24" s="238">
        <v>88412.625</v>
      </c>
      <c r="X24">
        <v>4420.6312500000004</v>
      </c>
      <c r="Y24">
        <v>92833.256250000006</v>
      </c>
      <c r="Z24">
        <v>2784.9976875000002</v>
      </c>
      <c r="AA24">
        <v>95618.253937500005</v>
      </c>
      <c r="AB24">
        <v>6693.2777756250007</v>
      </c>
      <c r="AC24">
        <v>102311.531713125</v>
      </c>
      <c r="AE24">
        <v>102311.531713125</v>
      </c>
      <c r="AF24">
        <v>5115.5765856562502</v>
      </c>
      <c r="AG24">
        <v>107427.10829878126</v>
      </c>
      <c r="AI24">
        <v>107427.10829878126</v>
      </c>
      <c r="AJ24">
        <v>1074.2710829878126</v>
      </c>
      <c r="AK24">
        <v>108501.37938176907</v>
      </c>
      <c r="AL24">
        <v>5425.0689690884537</v>
      </c>
      <c r="AM24">
        <v>113926.44835085754</v>
      </c>
      <c r="AO24">
        <v>113926.44835085754</v>
      </c>
      <c r="AP24">
        <v>3417.7934505257258</v>
      </c>
      <c r="AQ24">
        <v>117344.24180138326</v>
      </c>
      <c r="AS24">
        <v>117344.24180138326</v>
      </c>
      <c r="AU24">
        <v>117344.24180138326</v>
      </c>
      <c r="AW24">
        <v>117344.24180138326</v>
      </c>
      <c r="AY24">
        <v>117344.24180138326</v>
      </c>
      <c r="BA24">
        <v>117344.24180138326</v>
      </c>
      <c r="BC24">
        <v>117344.24180138326</v>
      </c>
      <c r="BE24">
        <v>117344.24180138326</v>
      </c>
      <c r="BG24">
        <v>117344.24180138326</v>
      </c>
      <c r="BI24">
        <v>117344.24180138326</v>
      </c>
      <c r="BK24">
        <v>117344.24180138326</v>
      </c>
      <c r="BM24">
        <v>117344.24180138326</v>
      </c>
      <c r="BO24">
        <v>117344.24180138326</v>
      </c>
      <c r="BQ24">
        <v>117344.24180138326</v>
      </c>
      <c r="BS24">
        <v>117344.24180138326</v>
      </c>
      <c r="BT24" s="238">
        <v>117344.24</v>
      </c>
      <c r="BU24" s="238">
        <v>4427400</v>
      </c>
      <c r="BX24" s="238">
        <v>0</v>
      </c>
      <c r="BY24" s="238">
        <v>117344.28836469652</v>
      </c>
      <c r="BZ24" s="238">
        <v>4427400</v>
      </c>
      <c r="CA24" s="238" t="s">
        <v>38</v>
      </c>
      <c r="CB24">
        <v>20000</v>
      </c>
      <c r="CC24">
        <v>137344.28836469655</v>
      </c>
      <c r="CD24" s="238">
        <v>754600</v>
      </c>
      <c r="CE24" s="238">
        <v>5182000</v>
      </c>
      <c r="CH24" s="238" t="s">
        <v>39</v>
      </c>
      <c r="CI24" s="238" t="s">
        <v>39</v>
      </c>
      <c r="CJ24" t="s">
        <v>8950</v>
      </c>
      <c r="CK24" t="s">
        <v>1167</v>
      </c>
      <c r="CL24" t="s">
        <v>8961</v>
      </c>
      <c r="CM24" t="s">
        <v>8972</v>
      </c>
      <c r="CN24" s="238" t="b">
        <v>1</v>
      </c>
      <c r="CO24" t="s">
        <v>5312</v>
      </c>
      <c r="CQ24" t="s">
        <v>6652</v>
      </c>
      <c r="CR24" t="s">
        <v>3246</v>
      </c>
      <c r="CS24" t="s">
        <v>38</v>
      </c>
      <c r="CT24" t="b">
        <v>1</v>
      </c>
      <c r="CU24">
        <v>4427400</v>
      </c>
      <c r="CV24" t="s">
        <v>9002</v>
      </c>
      <c r="CW24">
        <v>0</v>
      </c>
      <c r="CX24">
        <v>4427400</v>
      </c>
      <c r="CY24">
        <v>0</v>
      </c>
      <c r="CZ24" t="b">
        <v>1</v>
      </c>
      <c r="DA24">
        <v>45433</v>
      </c>
      <c r="DB24" t="s">
        <v>126</v>
      </c>
      <c r="DC24">
        <v>-1.0071561091968941E-2</v>
      </c>
      <c r="DD24">
        <v>-1181.8401690586611</v>
      </c>
      <c r="DE24" s="420" cm="1">
        <f t="array" ref="DE24">_xlfn.XLOOKUP("Дом 5"&amp;Реестр_Д5[[#This Row],[№]]&amp;Реестр_Д5[[#This Row],[Статус]],РД[Дом]&amp;РД[№ кв]&amp;РД[Состояние],РД[Дата подачи на регистрацию],"-",0)</f>
        <v>45433</v>
      </c>
    </row>
    <row r="25" spans="1:109" hidden="1" x14ac:dyDescent="0.25">
      <c r="A25" s="238">
        <v>24</v>
      </c>
      <c r="B25" s="238" t="s">
        <v>6</v>
      </c>
      <c r="C25" s="238">
        <v>4</v>
      </c>
      <c r="D25" s="238">
        <v>4</v>
      </c>
      <c r="E25" s="238">
        <v>2</v>
      </c>
      <c r="F25" s="238">
        <v>16.61</v>
      </c>
      <c r="G25" s="238">
        <v>11.38</v>
      </c>
      <c r="H25" s="238"/>
      <c r="I25">
        <v>27.99</v>
      </c>
      <c r="J25" s="238">
        <v>14.58</v>
      </c>
      <c r="K25" s="238">
        <v>4.34</v>
      </c>
      <c r="L25" s="238">
        <v>2.08</v>
      </c>
      <c r="M25" s="238"/>
      <c r="N25" s="238">
        <v>8.82</v>
      </c>
      <c r="O25" s="238">
        <v>2.56</v>
      </c>
      <c r="P25" s="238"/>
      <c r="R25" s="238">
        <v>2.56</v>
      </c>
      <c r="S25">
        <v>60.37</v>
      </c>
      <c r="T25">
        <v>57.81</v>
      </c>
      <c r="U25" s="238">
        <v>59.09</v>
      </c>
      <c r="V25">
        <v>58.899999999999991</v>
      </c>
      <c r="W25" s="238">
        <v>81080.054999999993</v>
      </c>
      <c r="X25">
        <v>4054.002750000001</v>
      </c>
      <c r="Y25">
        <v>85134.057750000007</v>
      </c>
      <c r="Z25">
        <v>2554.0217325000003</v>
      </c>
      <c r="AA25">
        <v>87688.079482500005</v>
      </c>
      <c r="AC25">
        <v>87688.079482500005</v>
      </c>
      <c r="AE25">
        <v>87688.079482500005</v>
      </c>
      <c r="AG25">
        <v>87688.079482500005</v>
      </c>
      <c r="AI25">
        <v>87688.079482500005</v>
      </c>
      <c r="AJ25">
        <v>876.88079482499995</v>
      </c>
      <c r="AK25">
        <v>88564.960277325008</v>
      </c>
      <c r="AL25">
        <v>4428.2480138662504</v>
      </c>
      <c r="AM25">
        <v>92993.208291191258</v>
      </c>
      <c r="AO25">
        <v>92993.208291191258</v>
      </c>
      <c r="AP25">
        <v>1859.8641658238253</v>
      </c>
      <c r="AQ25">
        <v>94853.072457015078</v>
      </c>
      <c r="AS25">
        <v>94853.072457015078</v>
      </c>
      <c r="AT25">
        <v>1897.0614491403016</v>
      </c>
      <c r="AU25">
        <v>96750.133906155374</v>
      </c>
      <c r="AW25">
        <v>96750.133906155374</v>
      </c>
      <c r="AX25">
        <v>967.50133906155372</v>
      </c>
      <c r="AY25">
        <v>97717.635245216923</v>
      </c>
      <c r="BA25">
        <v>97717.635245216923</v>
      </c>
      <c r="BC25">
        <v>97717.635245216923</v>
      </c>
      <c r="BE25">
        <v>97717.635245216923</v>
      </c>
      <c r="BF25">
        <v>1465.7645286782538</v>
      </c>
      <c r="BG25">
        <v>99183.399773895173</v>
      </c>
      <c r="BI25">
        <v>99183.399773895173</v>
      </c>
      <c r="BJ25">
        <v>3967.3359909558071</v>
      </c>
      <c r="BK25">
        <v>103150.73576485098</v>
      </c>
      <c r="BL25">
        <v>6189.0441458910582</v>
      </c>
      <c r="BM25">
        <v>109339.77991074204</v>
      </c>
      <c r="BN25">
        <v>14214.171388396466</v>
      </c>
      <c r="BO25">
        <v>123553.95129913853</v>
      </c>
      <c r="BP25">
        <v>35</v>
      </c>
      <c r="BQ25">
        <v>123588.95129913853</v>
      </c>
      <c r="BS25">
        <v>123588.95129913853</v>
      </c>
      <c r="BT25" s="238">
        <v>123588.95</v>
      </c>
      <c r="BU25" s="238">
        <v>7302900</v>
      </c>
      <c r="BV25">
        <v>507550</v>
      </c>
      <c r="BX25" s="238">
        <v>507550</v>
      </c>
      <c r="BY25" s="238">
        <v>115000</v>
      </c>
      <c r="BZ25" s="238">
        <v>6795350</v>
      </c>
      <c r="CA25" s="238" t="s">
        <v>38</v>
      </c>
      <c r="CB25">
        <v>25000</v>
      </c>
      <c r="CC25">
        <v>140000</v>
      </c>
      <c r="CD25" s="238">
        <v>1477250.0000000007</v>
      </c>
      <c r="CE25" s="238">
        <v>8272600.0000000019</v>
      </c>
      <c r="CG25" t="s">
        <v>8841</v>
      </c>
      <c r="CH25" s="238" t="s">
        <v>39</v>
      </c>
      <c r="CI25" s="238" t="s">
        <v>39</v>
      </c>
      <c r="CJ25" t="s">
        <v>8950</v>
      </c>
      <c r="CK25" t="s">
        <v>1167</v>
      </c>
      <c r="CL25" t="s">
        <v>8961</v>
      </c>
      <c r="CM25" t="s">
        <v>8971</v>
      </c>
      <c r="CN25" s="238" t="b">
        <v>1</v>
      </c>
      <c r="CO25" t="s">
        <v>5313</v>
      </c>
      <c r="CQ25" t="s">
        <v>6652</v>
      </c>
      <c r="CR25" t="s">
        <v>3246</v>
      </c>
      <c r="CS25" t="s">
        <v>38</v>
      </c>
      <c r="CT25" t="b">
        <v>1</v>
      </c>
      <c r="CU25">
        <v>7302900</v>
      </c>
      <c r="CV25" t="s">
        <v>9002</v>
      </c>
      <c r="CW25">
        <v>7302900</v>
      </c>
      <c r="CX25">
        <v>7302900</v>
      </c>
      <c r="CY25">
        <v>0</v>
      </c>
      <c r="CZ25" t="b">
        <v>1</v>
      </c>
      <c r="DA25">
        <v>45835</v>
      </c>
      <c r="DB25" t="s">
        <v>5215</v>
      </c>
      <c r="DC25">
        <v>-3.2154340836014761E-3</v>
      </c>
      <c r="DD25">
        <v>-369.77491961416973</v>
      </c>
      <c r="DE25" s="420" cm="1">
        <f t="array" ref="DE25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26" spans="1:109" hidden="1" x14ac:dyDescent="0.25">
      <c r="A26" s="238">
        <v>25</v>
      </c>
      <c r="B26" s="238" t="s">
        <v>6</v>
      </c>
      <c r="C26" s="238">
        <v>4</v>
      </c>
      <c r="D26" s="238">
        <v>5</v>
      </c>
      <c r="E26" s="238">
        <v>2</v>
      </c>
      <c r="F26" s="238">
        <v>16.46</v>
      </c>
      <c r="G26" s="238">
        <v>12.47</v>
      </c>
      <c r="H26" s="238"/>
      <c r="I26">
        <v>28.93</v>
      </c>
      <c r="J26" s="238">
        <v>18</v>
      </c>
      <c r="K26" s="238">
        <v>4.3499999999999996</v>
      </c>
      <c r="L26" s="238">
        <v>1.55</v>
      </c>
      <c r="M26" s="238"/>
      <c r="N26" s="238">
        <v>8</v>
      </c>
      <c r="O26" s="238">
        <v>2.67</v>
      </c>
      <c r="P26" s="238"/>
      <c r="R26" s="238">
        <v>2.67</v>
      </c>
      <c r="S26">
        <v>63.5</v>
      </c>
      <c r="T26">
        <v>60.83</v>
      </c>
      <c r="U26" s="238">
        <v>62.17</v>
      </c>
      <c r="V26">
        <v>61.79999999999999</v>
      </c>
      <c r="W26" s="238">
        <v>81080.054999999993</v>
      </c>
      <c r="Y26">
        <v>81080.054999999993</v>
      </c>
      <c r="AA26">
        <v>81080.054999999993</v>
      </c>
      <c r="AC26">
        <v>81080.054999999993</v>
      </c>
      <c r="AE26">
        <v>81080.054999999993</v>
      </c>
      <c r="AG26">
        <v>81080.054999999993</v>
      </c>
      <c r="AI26">
        <v>81080.054999999993</v>
      </c>
      <c r="AK26">
        <v>81080.054999999993</v>
      </c>
      <c r="AM26">
        <v>81080.054999999993</v>
      </c>
      <c r="AO26">
        <v>81080.054999999993</v>
      </c>
      <c r="AQ26">
        <v>81080.054999999993</v>
      </c>
      <c r="AS26">
        <v>81080.054999999993</v>
      </c>
      <c r="AU26">
        <v>81080.054999999993</v>
      </c>
      <c r="AW26">
        <v>81080.054999999993</v>
      </c>
      <c r="AY26">
        <v>81080.054999999993</v>
      </c>
      <c r="BA26">
        <v>81080.054999999993</v>
      </c>
      <c r="BC26">
        <v>81080.054999999993</v>
      </c>
      <c r="BE26">
        <v>81080.054999999993</v>
      </c>
      <c r="BG26">
        <v>81080.054999999993</v>
      </c>
      <c r="BI26">
        <v>81080.054999999993</v>
      </c>
      <c r="BK26">
        <v>81080.054999999993</v>
      </c>
      <c r="BM26">
        <v>81080.054999999993</v>
      </c>
      <c r="BO26">
        <v>81080.054999999993</v>
      </c>
      <c r="BQ26">
        <v>81080.054999999993</v>
      </c>
      <c r="BS26">
        <v>81080.054999999993</v>
      </c>
      <c r="BT26" s="238">
        <v>81080.06</v>
      </c>
      <c r="BU26" s="238">
        <v>5040747.33</v>
      </c>
      <c r="BX26" s="238">
        <v>0</v>
      </c>
      <c r="BY26" s="238">
        <v>81080.05999678302</v>
      </c>
      <c r="BZ26" s="238">
        <v>5040747.33</v>
      </c>
      <c r="CA26" s="238" t="s">
        <v>38</v>
      </c>
      <c r="CB26">
        <v>15500</v>
      </c>
      <c r="CC26">
        <v>96580.05999678302</v>
      </c>
      <c r="CD26" s="238">
        <v>963635</v>
      </c>
      <c r="CE26" s="238">
        <v>6004382.3300000001</v>
      </c>
      <c r="CH26" s="238" t="s">
        <v>39</v>
      </c>
      <c r="CI26" s="238" t="s">
        <v>39</v>
      </c>
      <c r="CJ26" t="s">
        <v>8950</v>
      </c>
      <c r="CK26" t="s">
        <v>1167</v>
      </c>
      <c r="CL26" t="s">
        <v>8961</v>
      </c>
      <c r="CM26" t="s">
        <v>8971</v>
      </c>
      <c r="CN26" s="238" t="b">
        <v>1</v>
      </c>
      <c r="CO26" t="s">
        <v>5314</v>
      </c>
      <c r="CQ26" t="s">
        <v>4895</v>
      </c>
      <c r="CR26" t="s">
        <v>3246</v>
      </c>
      <c r="CS26" t="s">
        <v>38</v>
      </c>
      <c r="CT26" t="b">
        <v>1</v>
      </c>
      <c r="CU26">
        <v>5040747.33</v>
      </c>
      <c r="CV26" t="s">
        <v>9002</v>
      </c>
      <c r="CW26">
        <v>5040747</v>
      </c>
      <c r="CX26">
        <v>5040747</v>
      </c>
      <c r="CY26">
        <v>0</v>
      </c>
      <c r="CZ26" t="b">
        <v>1</v>
      </c>
      <c r="DA26">
        <v>45184</v>
      </c>
      <c r="DB26" t="s">
        <v>3901</v>
      </c>
      <c r="DC26">
        <v>-5.9514235161655105E-3</v>
      </c>
      <c r="DD26">
        <v>-482.54177575696497</v>
      </c>
      <c r="DE26" s="420" cm="1">
        <f t="array" ref="DE26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27" spans="1:109" hidden="1" x14ac:dyDescent="0.25">
      <c r="A27" s="238">
        <v>26</v>
      </c>
      <c r="B27" s="238" t="s">
        <v>6</v>
      </c>
      <c r="C27" s="238">
        <v>4</v>
      </c>
      <c r="D27" s="238">
        <v>6</v>
      </c>
      <c r="E27" s="238">
        <v>2</v>
      </c>
      <c r="F27" s="238">
        <v>14.64</v>
      </c>
      <c r="G27" s="238">
        <v>10.74</v>
      </c>
      <c r="H27" s="238"/>
      <c r="I27">
        <v>25.380000000000003</v>
      </c>
      <c r="J27" s="238">
        <v>14.35</v>
      </c>
      <c r="K27" s="238">
        <v>4.16</v>
      </c>
      <c r="L27" s="238">
        <v>1.93</v>
      </c>
      <c r="M27" s="238"/>
      <c r="N27" s="238">
        <v>11.03</v>
      </c>
      <c r="O27" s="238">
        <v>2.6219999999999999</v>
      </c>
      <c r="P27" s="238"/>
      <c r="R27" s="238">
        <v>2.6219999999999999</v>
      </c>
      <c r="S27">
        <v>59.47</v>
      </c>
      <c r="T27">
        <v>56.85</v>
      </c>
      <c r="U27" s="238">
        <v>58.16</v>
      </c>
      <c r="V27">
        <v>58.2</v>
      </c>
      <c r="W27" s="238">
        <v>82238.34150000001</v>
      </c>
      <c r="X27">
        <v>4111.9170750000003</v>
      </c>
      <c r="Y27">
        <v>86350.258575000014</v>
      </c>
      <c r="Z27">
        <v>2590.5077572500004</v>
      </c>
      <c r="AA27">
        <v>88940.766332250016</v>
      </c>
      <c r="AC27">
        <v>88940.766332250016</v>
      </c>
      <c r="AE27">
        <v>88940.766332250016</v>
      </c>
      <c r="AG27">
        <v>88940.766332250016</v>
      </c>
      <c r="AI27">
        <v>88940.766332250016</v>
      </c>
      <c r="AJ27">
        <v>889.40766332250018</v>
      </c>
      <c r="AK27">
        <v>89830.173995572535</v>
      </c>
      <c r="AL27">
        <v>4491.5086997786266</v>
      </c>
      <c r="AM27">
        <v>94321.682695351148</v>
      </c>
      <c r="AO27">
        <v>94321.682695351148</v>
      </c>
      <c r="AP27">
        <v>1886.433653907023</v>
      </c>
      <c r="AQ27">
        <v>96208.116349258169</v>
      </c>
      <c r="AS27">
        <v>96208.116349258169</v>
      </c>
      <c r="AT27">
        <v>1924.1623269851632</v>
      </c>
      <c r="AU27">
        <v>98132.278676243339</v>
      </c>
      <c r="AW27">
        <v>98132.278676243339</v>
      </c>
      <c r="AX27">
        <v>981.32278676243345</v>
      </c>
      <c r="AY27">
        <v>99113.601463005776</v>
      </c>
      <c r="BA27">
        <v>99113.601463005776</v>
      </c>
      <c r="BC27">
        <v>99113.601463005776</v>
      </c>
      <c r="BE27">
        <v>99113.601463005776</v>
      </c>
      <c r="BG27">
        <v>99113.601463005776</v>
      </c>
      <c r="BI27">
        <v>99113.601463005776</v>
      </c>
      <c r="BK27">
        <v>99113.601463005776</v>
      </c>
      <c r="BM27">
        <v>99113.601463005776</v>
      </c>
      <c r="BO27">
        <v>99113.601463005776</v>
      </c>
      <c r="BQ27">
        <v>99113.601463005776</v>
      </c>
      <c r="BS27">
        <v>99113.601463005776</v>
      </c>
      <c r="BT27" s="238">
        <v>99113.600000000006</v>
      </c>
      <c r="BU27" s="238">
        <v>5764500</v>
      </c>
      <c r="BW27">
        <v>0.03</v>
      </c>
      <c r="BX27" s="238">
        <v>172935</v>
      </c>
      <c r="BY27" s="238">
        <v>96141.076341127933</v>
      </c>
      <c r="BZ27" s="238">
        <v>5591565</v>
      </c>
      <c r="CA27" s="238" t="s">
        <v>36</v>
      </c>
      <c r="CC27">
        <v>96141.076341127933</v>
      </c>
      <c r="CD27" s="238">
        <v>0</v>
      </c>
      <c r="CE27" s="238">
        <v>5591565</v>
      </c>
      <c r="CG27" t="s">
        <v>3538</v>
      </c>
      <c r="CH27" s="238" t="s">
        <v>39</v>
      </c>
      <c r="CI27" s="238" t="s">
        <v>39</v>
      </c>
      <c r="CJ27" t="s">
        <v>8950</v>
      </c>
      <c r="CK27" t="s">
        <v>1167</v>
      </c>
      <c r="CL27" t="s">
        <v>8961</v>
      </c>
      <c r="CM27" t="s">
        <v>8971</v>
      </c>
      <c r="CN27" s="238" t="b">
        <v>1</v>
      </c>
      <c r="CO27" t="s">
        <v>5315</v>
      </c>
      <c r="CQ27" t="s">
        <v>6652</v>
      </c>
      <c r="CR27" t="s">
        <v>3246</v>
      </c>
      <c r="CS27" t="s">
        <v>36</v>
      </c>
      <c r="CT27" t="b">
        <v>1</v>
      </c>
      <c r="CU27">
        <v>5764500</v>
      </c>
      <c r="CV27" t="s">
        <v>9002</v>
      </c>
      <c r="CW27">
        <v>0</v>
      </c>
      <c r="CX27">
        <v>5764500</v>
      </c>
      <c r="CY27">
        <v>0</v>
      </c>
      <c r="CZ27" t="b">
        <v>1</v>
      </c>
      <c r="DA27">
        <v>45469</v>
      </c>
      <c r="DB27" t="s">
        <v>5215</v>
      </c>
      <c r="DC27">
        <v>6.8775790921593583E-4</v>
      </c>
      <c r="DD27">
        <v>66.121785654143821</v>
      </c>
      <c r="DE27" s="420" cm="1">
        <f t="array" ref="DE27">_xlfn.XLOOKUP("Дом 5"&amp;Реестр_Д5[[#This Row],[№]]&amp;Реестр_Д5[[#This Row],[Статус]],РД[Дом]&amp;РД[№ кв]&amp;РД[Состояние],РД[Дата подачи на регистрацию],"-",0)</f>
        <v>45469</v>
      </c>
    </row>
    <row r="28" spans="1:109" hidden="1" x14ac:dyDescent="0.25">
      <c r="A28" s="238">
        <v>27</v>
      </c>
      <c r="B28" s="238" t="s">
        <v>6</v>
      </c>
      <c r="C28" s="238">
        <v>4</v>
      </c>
      <c r="D28" s="238">
        <v>7</v>
      </c>
      <c r="E28" s="238">
        <v>1</v>
      </c>
      <c r="F28" s="238">
        <v>18.489999999999998</v>
      </c>
      <c r="G28" s="238"/>
      <c r="H28" s="238"/>
      <c r="I28">
        <v>18.489999999999998</v>
      </c>
      <c r="J28" s="238">
        <v>13.04</v>
      </c>
      <c r="K28" s="238">
        <v>3.9</v>
      </c>
      <c r="L28" s="238"/>
      <c r="M28" s="238"/>
      <c r="N28" s="238">
        <v>5.99</v>
      </c>
      <c r="O28" s="238">
        <v>2.65</v>
      </c>
      <c r="P28" s="238"/>
      <c r="R28" s="238">
        <v>2.65</v>
      </c>
      <c r="S28">
        <v>44.07</v>
      </c>
      <c r="T28">
        <v>41.42</v>
      </c>
      <c r="U28" s="238">
        <v>42.75</v>
      </c>
      <c r="V28">
        <v>42.4</v>
      </c>
      <c r="W28" s="238">
        <v>84762.5625</v>
      </c>
      <c r="X28">
        <v>4238.1281250000002</v>
      </c>
      <c r="Y28">
        <v>89000.690625000003</v>
      </c>
      <c r="Z28">
        <v>2670.02071875</v>
      </c>
      <c r="AA28">
        <v>91670.711343750023</v>
      </c>
      <c r="AB28">
        <v>3666.8284537499999</v>
      </c>
      <c r="AC28">
        <v>95337.539797500023</v>
      </c>
      <c r="AE28">
        <v>95337.539797500023</v>
      </c>
      <c r="AG28">
        <v>95337.539797500023</v>
      </c>
      <c r="AI28">
        <v>95337.539797500023</v>
      </c>
      <c r="AK28">
        <v>95337.539797500023</v>
      </c>
      <c r="AM28">
        <v>95337.539797500023</v>
      </c>
      <c r="AO28">
        <v>95337.539797500023</v>
      </c>
      <c r="AQ28">
        <v>95337.539797500023</v>
      </c>
      <c r="AS28">
        <v>95337.539797500023</v>
      </c>
      <c r="AU28">
        <v>95337.539797500023</v>
      </c>
      <c r="AW28">
        <v>95337.539797500023</v>
      </c>
      <c r="AY28">
        <v>95337.539797500023</v>
      </c>
      <c r="BA28">
        <v>95337.539797500023</v>
      </c>
      <c r="BC28">
        <v>95337.539797500023</v>
      </c>
      <c r="BE28">
        <v>95337.539797500023</v>
      </c>
      <c r="BG28">
        <v>95337.539797500023</v>
      </c>
      <c r="BI28">
        <v>95337.539797500023</v>
      </c>
      <c r="BK28">
        <v>95337.539797500023</v>
      </c>
      <c r="BM28">
        <v>95337.539797500023</v>
      </c>
      <c r="BO28">
        <v>95337.539797500023</v>
      </c>
      <c r="BQ28">
        <v>95337.539797500023</v>
      </c>
      <c r="BS28">
        <v>95337.539797500023</v>
      </c>
      <c r="BT28" s="238">
        <v>95337.54</v>
      </c>
      <c r="BU28" s="238">
        <v>4075679.84</v>
      </c>
      <c r="BX28" s="238">
        <v>0</v>
      </c>
      <c r="BY28" s="238">
        <v>95337.540116959062</v>
      </c>
      <c r="BZ28" s="238">
        <v>4075679.84</v>
      </c>
      <c r="CA28" s="238" t="s">
        <v>36</v>
      </c>
      <c r="CC28">
        <v>95337.540116959062</v>
      </c>
      <c r="CD28" s="238">
        <v>0</v>
      </c>
      <c r="CE28" s="238">
        <v>4075679.84</v>
      </c>
      <c r="CH28" s="238" t="s">
        <v>39</v>
      </c>
      <c r="CI28" s="238" t="s">
        <v>39</v>
      </c>
      <c r="CJ28" t="s">
        <v>8950</v>
      </c>
      <c r="CK28" t="s">
        <v>1167</v>
      </c>
      <c r="CL28" t="s">
        <v>8961</v>
      </c>
      <c r="CM28" t="s">
        <v>8973</v>
      </c>
      <c r="CN28" s="238" t="b">
        <v>1</v>
      </c>
      <c r="CO28" t="s">
        <v>5316</v>
      </c>
      <c r="CQ28" t="s">
        <v>4895</v>
      </c>
      <c r="CR28" t="s">
        <v>3246</v>
      </c>
      <c r="CS28" t="s">
        <v>36</v>
      </c>
      <c r="CT28" t="b">
        <v>1</v>
      </c>
      <c r="CU28">
        <v>4075679.84</v>
      </c>
      <c r="CV28" t="s">
        <v>9002</v>
      </c>
      <c r="CW28">
        <v>0</v>
      </c>
      <c r="CX28">
        <v>4075680</v>
      </c>
      <c r="CY28">
        <v>0</v>
      </c>
      <c r="CZ28" t="b">
        <v>1</v>
      </c>
      <c r="DA28">
        <v>45230</v>
      </c>
      <c r="DB28" t="s">
        <v>3901</v>
      </c>
      <c r="DC28">
        <v>-8.1871345029239651E-3</v>
      </c>
      <c r="DD28">
        <v>-780.54126411545326</v>
      </c>
      <c r="DE28" s="420" cm="1">
        <f t="array" ref="DE28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29" spans="1:109" hidden="1" x14ac:dyDescent="0.25">
      <c r="A29" s="238">
        <v>28</v>
      </c>
      <c r="B29" s="238" t="s">
        <v>6</v>
      </c>
      <c r="C29" s="238">
        <v>5</v>
      </c>
      <c r="D29" s="238">
        <v>1</v>
      </c>
      <c r="E29" s="238">
        <v>1</v>
      </c>
      <c r="F29" s="238">
        <v>14.68</v>
      </c>
      <c r="G29" s="238"/>
      <c r="H29" s="238"/>
      <c r="I29">
        <v>14.68</v>
      </c>
      <c r="J29" s="238">
        <v>9.84</v>
      </c>
      <c r="K29" s="238">
        <v>3.63</v>
      </c>
      <c r="L29" s="238"/>
      <c r="M29" s="238"/>
      <c r="N29" s="238">
        <v>4.8899999999999997</v>
      </c>
      <c r="O29" s="238">
        <v>2.7</v>
      </c>
      <c r="P29" s="238"/>
      <c r="R29" s="238">
        <v>2.7</v>
      </c>
      <c r="S29">
        <v>35.74</v>
      </c>
      <c r="T29">
        <v>33.04</v>
      </c>
      <c r="U29" s="238">
        <v>34.39</v>
      </c>
      <c r="V29">
        <v>34.15</v>
      </c>
      <c r="W29" s="238">
        <v>82734.75</v>
      </c>
      <c r="X29">
        <v>4136.7375000000002</v>
      </c>
      <c r="Y29">
        <v>86871.487500000003</v>
      </c>
      <c r="Z29">
        <v>2606.1446249999999</v>
      </c>
      <c r="AA29">
        <v>89477.632125000004</v>
      </c>
      <c r="AB29">
        <v>12526.8684975</v>
      </c>
      <c r="AC29">
        <v>102004.5006225</v>
      </c>
      <c r="AE29">
        <v>102004.5006225</v>
      </c>
      <c r="AF29">
        <v>5100.2250311250009</v>
      </c>
      <c r="AG29">
        <v>107104.72565362501</v>
      </c>
      <c r="AI29">
        <v>107104.72565362501</v>
      </c>
      <c r="AJ29">
        <v>1071.0472565362502</v>
      </c>
      <c r="AK29">
        <v>108175.77291016123</v>
      </c>
      <c r="AL29">
        <v>5408.7886455080625</v>
      </c>
      <c r="AM29">
        <v>113584.56155566932</v>
      </c>
      <c r="AO29">
        <v>113584.56155566932</v>
      </c>
      <c r="AP29">
        <v>3407.5368466700793</v>
      </c>
      <c r="AQ29">
        <v>116992.09840233938</v>
      </c>
      <c r="AS29">
        <v>116992.09840233938</v>
      </c>
      <c r="AU29">
        <v>116992.09840233938</v>
      </c>
      <c r="AW29">
        <v>116992.09840233938</v>
      </c>
      <c r="AY29">
        <v>116992.09840233938</v>
      </c>
      <c r="BA29">
        <v>116992.09840233938</v>
      </c>
      <c r="BC29">
        <v>116992.09840233938</v>
      </c>
      <c r="BE29">
        <v>116992.09840233938</v>
      </c>
      <c r="BF29">
        <v>2924.8024600584849</v>
      </c>
      <c r="BG29">
        <v>119916.90086239787</v>
      </c>
      <c r="BI29">
        <v>119916.90086239787</v>
      </c>
      <c r="BJ29">
        <v>2398.3380172479574</v>
      </c>
      <c r="BK29">
        <v>122315.23887964584</v>
      </c>
      <c r="BM29">
        <v>122315.23887964584</v>
      </c>
      <c r="BO29">
        <v>122315.23887964584</v>
      </c>
      <c r="BQ29">
        <v>122315.23887964584</v>
      </c>
      <c r="BS29">
        <v>122315.23887964584</v>
      </c>
      <c r="BT29" s="238">
        <v>122315.24</v>
      </c>
      <c r="BU29" s="238">
        <v>4206500</v>
      </c>
      <c r="BW29">
        <v>0.02</v>
      </c>
      <c r="BX29" s="238">
        <v>84130</v>
      </c>
      <c r="BY29" s="238">
        <v>119871.1834835708</v>
      </c>
      <c r="BZ29" s="238">
        <v>4122370</v>
      </c>
      <c r="CA29" s="238" t="s">
        <v>36</v>
      </c>
      <c r="CC29">
        <v>119871.1834835708</v>
      </c>
      <c r="CD29" s="238">
        <v>0</v>
      </c>
      <c r="CE29" s="238">
        <v>4122370</v>
      </c>
      <c r="CF29" t="s">
        <v>4633</v>
      </c>
      <c r="CG29" t="s">
        <v>7603</v>
      </c>
      <c r="CH29" s="238" t="s">
        <v>39</v>
      </c>
      <c r="CI29" s="238" t="s">
        <v>39</v>
      </c>
      <c r="CJ29" t="s">
        <v>8950</v>
      </c>
      <c r="CK29" t="s">
        <v>1167</v>
      </c>
      <c r="CL29" t="s">
        <v>8961</v>
      </c>
      <c r="CM29" t="s">
        <v>8973</v>
      </c>
      <c r="CN29" s="238" t="b">
        <v>1</v>
      </c>
      <c r="CO29" t="s">
        <v>5317</v>
      </c>
      <c r="CQ29" t="s">
        <v>6652</v>
      </c>
      <c r="CR29" t="s">
        <v>3246</v>
      </c>
      <c r="CS29" t="s">
        <v>36</v>
      </c>
      <c r="CT29" t="b">
        <v>1</v>
      </c>
      <c r="CU29">
        <v>4206500</v>
      </c>
      <c r="CV29" t="s">
        <v>9002</v>
      </c>
      <c r="CW29">
        <v>0</v>
      </c>
      <c r="CX29">
        <v>4206500</v>
      </c>
      <c r="CY29">
        <v>0</v>
      </c>
      <c r="CZ29" t="b">
        <v>1</v>
      </c>
      <c r="DA29">
        <v>45582</v>
      </c>
      <c r="DB29" t="s">
        <v>5215</v>
      </c>
      <c r="DC29">
        <v>-6.9787728990986508E-3</v>
      </c>
      <c r="DD29">
        <v>-836.55376667802557</v>
      </c>
      <c r="DE29" s="420" cm="1">
        <f t="array" ref="DE29">_xlfn.XLOOKUP("Дом 5"&amp;Реестр_Д5[[#This Row],[№]]&amp;Реестр_Д5[[#This Row],[Статус]],РД[Дом]&amp;РД[№ кв]&amp;РД[Состояние],РД[Дата подачи на регистрацию],"-",0)</f>
        <v>45582</v>
      </c>
    </row>
    <row r="30" spans="1:109" hidden="1" x14ac:dyDescent="0.25">
      <c r="A30" s="238">
        <v>29</v>
      </c>
      <c r="B30" s="238" t="s">
        <v>6</v>
      </c>
      <c r="C30" s="238">
        <v>5</v>
      </c>
      <c r="D30" s="238">
        <v>2</v>
      </c>
      <c r="E30" s="238">
        <v>2</v>
      </c>
      <c r="F30" s="238">
        <v>15.82</v>
      </c>
      <c r="G30" s="238">
        <v>15.54</v>
      </c>
      <c r="H30" s="238"/>
      <c r="I30">
        <v>31.36</v>
      </c>
      <c r="J30" s="238">
        <v>19.440000000000001</v>
      </c>
      <c r="K30" s="238">
        <v>4.42</v>
      </c>
      <c r="L30" s="238"/>
      <c r="M30" s="238">
        <v>3.25</v>
      </c>
      <c r="N30" s="238">
        <v>8.5299999999999994</v>
      </c>
      <c r="O30" s="238">
        <v>3</v>
      </c>
      <c r="P30" s="238"/>
      <c r="R30" s="238">
        <v>3</v>
      </c>
      <c r="S30">
        <v>70</v>
      </c>
      <c r="T30">
        <v>67</v>
      </c>
      <c r="U30" s="238">
        <v>68.5</v>
      </c>
      <c r="V30">
        <v>68.5</v>
      </c>
      <c r="W30" s="238">
        <v>84168.819000000003</v>
      </c>
      <c r="X30">
        <v>4208.4409500000002</v>
      </c>
      <c r="Y30">
        <v>88377.259950000007</v>
      </c>
      <c r="Z30">
        <v>2651.3177985000002</v>
      </c>
      <c r="AA30">
        <v>91028.577748500014</v>
      </c>
      <c r="AC30">
        <v>91028.577748500014</v>
      </c>
      <c r="AE30">
        <v>91028.577748500014</v>
      </c>
      <c r="AG30">
        <v>91028.577748500014</v>
      </c>
      <c r="AH30">
        <v>-831</v>
      </c>
      <c r="AI30">
        <v>90197.577748500014</v>
      </c>
      <c r="AJ30">
        <v>901.97577748500021</v>
      </c>
      <c r="AK30">
        <v>91099.553525985015</v>
      </c>
      <c r="AL30">
        <v>4554.9776762992506</v>
      </c>
      <c r="AM30">
        <v>95654.531202284285</v>
      </c>
      <c r="AO30">
        <v>95654.531202284285</v>
      </c>
      <c r="AP30">
        <v>1913.0906240456857</v>
      </c>
      <c r="AQ30">
        <v>97567.621826329952</v>
      </c>
      <c r="AS30">
        <v>97567.621826329952</v>
      </c>
      <c r="AT30">
        <v>1951.3524365265991</v>
      </c>
      <c r="AU30">
        <v>99518.974262856558</v>
      </c>
      <c r="AW30">
        <v>99518.974262856558</v>
      </c>
      <c r="AY30">
        <v>99518.974262856558</v>
      </c>
      <c r="BA30">
        <v>99518.974262856558</v>
      </c>
      <c r="BC30">
        <v>99518.974262856558</v>
      </c>
      <c r="BE30">
        <v>99518.974262856558</v>
      </c>
      <c r="BF30">
        <v>497.59487131428278</v>
      </c>
      <c r="BG30">
        <v>100016.56913417084</v>
      </c>
      <c r="BI30">
        <v>100016.56913417084</v>
      </c>
      <c r="BK30">
        <v>100016.56913417084</v>
      </c>
      <c r="BL30">
        <v>6000.9941480502503</v>
      </c>
      <c r="BM30">
        <v>106017.56328222108</v>
      </c>
      <c r="BN30">
        <v>13782.283226688742</v>
      </c>
      <c r="BO30">
        <v>119799.84650890985</v>
      </c>
      <c r="BQ30">
        <v>119799.84650890985</v>
      </c>
      <c r="BS30">
        <v>119799.84650890985</v>
      </c>
      <c r="BT30" s="238">
        <v>119799.85</v>
      </c>
      <c r="BU30" s="238">
        <v>8206300</v>
      </c>
      <c r="BW30">
        <v>0.02</v>
      </c>
      <c r="BX30" s="238">
        <v>164126</v>
      </c>
      <c r="BY30" s="238">
        <v>117404</v>
      </c>
      <c r="BZ30" s="238">
        <v>8042174</v>
      </c>
      <c r="CA30" s="238" t="s">
        <v>6871</v>
      </c>
      <c r="CB30">
        <v>10000</v>
      </c>
      <c r="CC30">
        <v>127404</v>
      </c>
      <c r="CD30" s="238">
        <v>685000</v>
      </c>
      <c r="CE30" s="238">
        <v>8727174</v>
      </c>
      <c r="CG30" t="s">
        <v>3540</v>
      </c>
      <c r="CH30" s="238" t="s">
        <v>39</v>
      </c>
      <c r="CI30" s="238" t="s">
        <v>39</v>
      </c>
      <c r="CJ30" t="s">
        <v>8950</v>
      </c>
      <c r="CK30" t="s">
        <v>1167</v>
      </c>
      <c r="CL30" t="s">
        <v>8961</v>
      </c>
      <c r="CM30" t="s">
        <v>8971</v>
      </c>
      <c r="CN30" s="238" t="b">
        <v>1</v>
      </c>
      <c r="CO30" t="s">
        <v>5318</v>
      </c>
      <c r="CQ30" t="s">
        <v>6652</v>
      </c>
      <c r="CR30" t="s">
        <v>3246</v>
      </c>
      <c r="CS30" t="s">
        <v>6871</v>
      </c>
      <c r="CT30" t="b">
        <v>1</v>
      </c>
      <c r="CU30">
        <v>8206300</v>
      </c>
      <c r="CV30" t="s">
        <v>9002</v>
      </c>
      <c r="CW30">
        <v>0</v>
      </c>
      <c r="CX30">
        <v>8206300</v>
      </c>
      <c r="CY30">
        <v>0</v>
      </c>
      <c r="CZ30" t="b">
        <v>1</v>
      </c>
      <c r="DA30">
        <v>45654</v>
      </c>
      <c r="DB30" t="s">
        <v>8380</v>
      </c>
      <c r="DC30">
        <v>0</v>
      </c>
      <c r="DD30">
        <v>0</v>
      </c>
      <c r="DE30" s="420" cm="1">
        <f t="array" ref="DE30">_xlfn.XLOOKUP("Дом 5"&amp;Реестр_Д5[[#This Row],[№]]&amp;Реестр_Д5[[#This Row],[Статус]],РД[Дом]&amp;РД[№ кв]&amp;РД[Состояние],РД[Дата подачи на регистрацию],"-",0)</f>
        <v>45654</v>
      </c>
    </row>
    <row r="31" spans="1:109" x14ac:dyDescent="0.25">
      <c r="A31" s="238">
        <v>30</v>
      </c>
      <c r="B31" s="238" t="s">
        <v>6</v>
      </c>
      <c r="C31" s="238">
        <v>5</v>
      </c>
      <c r="D31" s="238">
        <v>3</v>
      </c>
      <c r="E31" s="238">
        <v>1</v>
      </c>
      <c r="F31" s="238">
        <v>13.6</v>
      </c>
      <c r="G31" s="238"/>
      <c r="H31" s="238"/>
      <c r="I31">
        <v>13.6</v>
      </c>
      <c r="J31" s="238">
        <v>14.97</v>
      </c>
      <c r="K31" s="238">
        <v>4.1100000000000003</v>
      </c>
      <c r="L31" s="238"/>
      <c r="M31" s="238"/>
      <c r="N31" s="238">
        <v>3.7</v>
      </c>
      <c r="O31" s="238">
        <v>2.69</v>
      </c>
      <c r="P31" s="238"/>
      <c r="R31" s="238">
        <v>2.69</v>
      </c>
      <c r="S31">
        <v>39.07</v>
      </c>
      <c r="T31">
        <v>36.380000000000003</v>
      </c>
      <c r="U31" s="238">
        <v>37.729999999999997</v>
      </c>
      <c r="V31">
        <v>37.549999999999997</v>
      </c>
      <c r="W31" s="238">
        <v>87601.5</v>
      </c>
      <c r="X31">
        <v>4380.0749999999998</v>
      </c>
      <c r="Y31">
        <v>91981.574999999997</v>
      </c>
      <c r="Z31">
        <v>2759.4472499999997</v>
      </c>
      <c r="AA31">
        <v>94741.022249999995</v>
      </c>
      <c r="AB31">
        <v>6631.8715575000006</v>
      </c>
      <c r="AC31">
        <v>101372.8938075</v>
      </c>
      <c r="AE31">
        <v>101372.8938075</v>
      </c>
      <c r="AF31">
        <v>5068.6446903750002</v>
      </c>
      <c r="AG31">
        <v>106441.53849787499</v>
      </c>
      <c r="AI31">
        <v>106441.53849787499</v>
      </c>
      <c r="AJ31">
        <v>1064.4153849787499</v>
      </c>
      <c r="AK31">
        <v>107505.95388285376</v>
      </c>
      <c r="AL31">
        <v>5375.2976941426878</v>
      </c>
      <c r="AM31">
        <v>112881.25157699644</v>
      </c>
      <c r="AO31">
        <v>112881.25157699644</v>
      </c>
      <c r="AP31">
        <v>3386.437547309893</v>
      </c>
      <c r="AQ31">
        <v>116267.68912430631</v>
      </c>
      <c r="AS31">
        <v>116267.68912430631</v>
      </c>
      <c r="AU31">
        <v>116267.68912430631</v>
      </c>
      <c r="AW31">
        <v>116267.68912430631</v>
      </c>
      <c r="AY31">
        <v>116267.68912430631</v>
      </c>
      <c r="BA31">
        <v>116267.68912430631</v>
      </c>
      <c r="BB31">
        <v>1162.6768912430632</v>
      </c>
      <c r="BC31">
        <v>117430.3660155494</v>
      </c>
      <c r="BE31">
        <v>117430.3660155494</v>
      </c>
      <c r="BF31">
        <v>2935.7591503887347</v>
      </c>
      <c r="BG31">
        <v>120366.12516593812</v>
      </c>
      <c r="BH31">
        <v>500</v>
      </c>
      <c r="BI31">
        <v>120866.12516593812</v>
      </c>
      <c r="BK31">
        <v>120866.12516593812</v>
      </c>
      <c r="BL31">
        <v>6043.3062582969069</v>
      </c>
      <c r="BM31">
        <v>126909.43142423502</v>
      </c>
      <c r="BN31">
        <v>16498.226085150553</v>
      </c>
      <c r="BO31">
        <v>143407.65750938558</v>
      </c>
      <c r="BP31">
        <v>35</v>
      </c>
      <c r="BQ31">
        <v>143442.65750938558</v>
      </c>
      <c r="BR31">
        <v>1434.4265750938555</v>
      </c>
      <c r="BS31">
        <v>144877.08408447943</v>
      </c>
      <c r="BT31" s="238">
        <v>144877.07999999999</v>
      </c>
      <c r="BU31" s="238">
        <v>5440200</v>
      </c>
      <c r="BX31" s="238">
        <v>0</v>
      </c>
      <c r="BY31" s="238">
        <v>144878.82822902795</v>
      </c>
      <c r="BZ31" s="238">
        <v>5440200</v>
      </c>
      <c r="CA31" s="238" t="s">
        <v>6871</v>
      </c>
      <c r="CB31">
        <v>10000</v>
      </c>
      <c r="CC31">
        <v>154878.82822902795</v>
      </c>
      <c r="CD31" s="238">
        <v>375500</v>
      </c>
      <c r="CE31" s="238">
        <v>5815700</v>
      </c>
      <c r="CH31" s="238" t="s">
        <v>3</v>
      </c>
      <c r="CI31" s="238" t="s">
        <v>3</v>
      </c>
      <c r="CJ31" t="s">
        <v>8951</v>
      </c>
      <c r="CK31" t="s">
        <v>1167</v>
      </c>
      <c r="CL31" t="s">
        <v>8961</v>
      </c>
      <c r="CM31" t="s">
        <v>8972</v>
      </c>
      <c r="CN31" s="238" t="b">
        <v>1</v>
      </c>
      <c r="CO31" t="s">
        <v>5319</v>
      </c>
      <c r="CQ31" t="s">
        <v>6652</v>
      </c>
      <c r="CR31" t="s">
        <v>3124</v>
      </c>
      <c r="CS31" t="s">
        <v>36</v>
      </c>
      <c r="CT31" t="b">
        <v>0</v>
      </c>
      <c r="CU31">
        <v>5440200</v>
      </c>
      <c r="CV31">
        <v>5440200</v>
      </c>
      <c r="CW31">
        <v>0</v>
      </c>
      <c r="CX31">
        <v>0</v>
      </c>
      <c r="CY31">
        <v>0</v>
      </c>
      <c r="CZ31" t="b">
        <v>1</v>
      </c>
      <c r="DA31" t="s">
        <v>4246</v>
      </c>
      <c r="DB31" t="s">
        <v>1167</v>
      </c>
      <c r="DC31">
        <v>-4.7707394646170354E-3</v>
      </c>
      <c r="DD31">
        <v>-691.1791434196964</v>
      </c>
      <c r="DE31" s="420" t="str" cm="1">
        <f t="array" ref="DE3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2" spans="1:109" hidden="1" x14ac:dyDescent="0.25">
      <c r="A32" s="238">
        <v>31</v>
      </c>
      <c r="B32" s="238" t="s">
        <v>6</v>
      </c>
      <c r="C32" s="238">
        <v>5</v>
      </c>
      <c r="D32" s="238">
        <v>4</v>
      </c>
      <c r="E32" s="238">
        <v>2</v>
      </c>
      <c r="F32" s="238">
        <v>16.61</v>
      </c>
      <c r="G32" s="238">
        <v>11.38</v>
      </c>
      <c r="H32" s="238"/>
      <c r="I32">
        <v>27.99</v>
      </c>
      <c r="J32" s="238">
        <v>14.58</v>
      </c>
      <c r="K32" s="238">
        <v>4.34</v>
      </c>
      <c r="L32" s="238">
        <v>2.08</v>
      </c>
      <c r="M32" s="238"/>
      <c r="N32" s="238">
        <v>8.82</v>
      </c>
      <c r="O32" s="238">
        <v>2.56</v>
      </c>
      <c r="P32" s="238"/>
      <c r="R32" s="238">
        <v>2.56</v>
      </c>
      <c r="S32">
        <v>60.37</v>
      </c>
      <c r="T32">
        <v>57.81</v>
      </c>
      <c r="U32" s="238">
        <v>59.09</v>
      </c>
      <c r="V32">
        <v>59.199999999999989</v>
      </c>
      <c r="W32" s="238">
        <v>80307.864000000001</v>
      </c>
      <c r="Y32">
        <v>80307.864000000001</v>
      </c>
      <c r="AA32">
        <v>80307.864000000001</v>
      </c>
      <c r="AC32">
        <v>80307.864000000001</v>
      </c>
      <c r="AE32">
        <v>80307.864000000001</v>
      </c>
      <c r="AG32">
        <v>80307.864000000001</v>
      </c>
      <c r="AI32">
        <v>80307.864000000001</v>
      </c>
      <c r="AK32">
        <v>80307.864000000001</v>
      </c>
      <c r="AM32">
        <v>80307.864000000001</v>
      </c>
      <c r="AO32">
        <v>80307.864000000001</v>
      </c>
      <c r="AQ32">
        <v>80307.864000000001</v>
      </c>
      <c r="AS32">
        <v>80307.864000000001</v>
      </c>
      <c r="AU32">
        <v>80307.864000000001</v>
      </c>
      <c r="AW32">
        <v>80307.864000000001</v>
      </c>
      <c r="AY32">
        <v>80307.864000000001</v>
      </c>
      <c r="BA32">
        <v>80307.864000000001</v>
      </c>
      <c r="BC32">
        <v>80307.864000000001</v>
      </c>
      <c r="BE32">
        <v>80307.864000000001</v>
      </c>
      <c r="BG32">
        <v>80307.864000000001</v>
      </c>
      <c r="BI32">
        <v>80307.864000000001</v>
      </c>
      <c r="BK32">
        <v>80307.864000000001</v>
      </c>
      <c r="BM32">
        <v>80307.864000000001</v>
      </c>
      <c r="BO32">
        <v>80307.864000000001</v>
      </c>
      <c r="BQ32">
        <v>80307.864000000001</v>
      </c>
      <c r="BS32">
        <v>80307.864000000001</v>
      </c>
      <c r="BT32" s="238">
        <v>80307.86</v>
      </c>
      <c r="BU32" s="238">
        <v>4745391.45</v>
      </c>
      <c r="BX32" s="238">
        <v>0</v>
      </c>
      <c r="BY32" s="238">
        <v>80307.86004400067</v>
      </c>
      <c r="BZ32" s="238">
        <v>4745391.45</v>
      </c>
      <c r="CA32" s="238" t="s">
        <v>37</v>
      </c>
      <c r="CB32">
        <v>4500</v>
      </c>
      <c r="CC32">
        <v>84807.86004400067</v>
      </c>
      <c r="CD32" s="238">
        <v>265905</v>
      </c>
      <c r="CE32" s="238">
        <v>5011296.45</v>
      </c>
      <c r="CH32" s="238" t="s">
        <v>39</v>
      </c>
      <c r="CI32" s="238" t="s">
        <v>39</v>
      </c>
      <c r="CJ32" t="s">
        <v>8950</v>
      </c>
      <c r="CK32" t="s">
        <v>1167</v>
      </c>
      <c r="CL32" t="s">
        <v>8961</v>
      </c>
      <c r="CM32" t="s">
        <v>8971</v>
      </c>
      <c r="CN32" s="238" t="b">
        <v>1</v>
      </c>
      <c r="CO32" t="s">
        <v>5320</v>
      </c>
      <c r="CQ32" t="s">
        <v>4895</v>
      </c>
      <c r="CR32" t="s">
        <v>3246</v>
      </c>
      <c r="CS32" t="s">
        <v>37</v>
      </c>
      <c r="CT32" t="b">
        <v>1</v>
      </c>
      <c r="CU32">
        <v>4745391.45</v>
      </c>
      <c r="CV32" t="s">
        <v>9002</v>
      </c>
      <c r="CW32">
        <v>4745391</v>
      </c>
      <c r="CX32">
        <v>4745391</v>
      </c>
      <c r="CY32">
        <v>0</v>
      </c>
      <c r="CZ32" t="b">
        <v>1</v>
      </c>
      <c r="DA32">
        <v>45187</v>
      </c>
      <c r="DB32" t="s">
        <v>4177</v>
      </c>
      <c r="DC32">
        <v>1.8615671010320245E-3</v>
      </c>
      <c r="DD32">
        <v>149.49847021219588</v>
      </c>
      <c r="DE32" s="420" cm="1">
        <f t="array" ref="DE32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33" spans="1:109" hidden="1" x14ac:dyDescent="0.25">
      <c r="A33" s="238">
        <v>32</v>
      </c>
      <c r="B33" s="238" t="s">
        <v>6</v>
      </c>
      <c r="C33" s="238">
        <v>5</v>
      </c>
      <c r="D33" s="238">
        <v>5</v>
      </c>
      <c r="E33" s="238">
        <v>2</v>
      </c>
      <c r="F33" s="238">
        <v>16.46</v>
      </c>
      <c r="G33" s="238">
        <v>12.47</v>
      </c>
      <c r="H33" s="238"/>
      <c r="I33">
        <v>28.93</v>
      </c>
      <c r="J33" s="238">
        <v>18</v>
      </c>
      <c r="K33" s="238">
        <v>4.3499999999999996</v>
      </c>
      <c r="L33" s="238">
        <v>1.55</v>
      </c>
      <c r="M33" s="238"/>
      <c r="N33" s="238">
        <v>8</v>
      </c>
      <c r="O33" s="238">
        <v>2.67</v>
      </c>
      <c r="P33" s="238"/>
      <c r="R33" s="238">
        <v>2.67</v>
      </c>
      <c r="S33">
        <v>63.5</v>
      </c>
      <c r="T33">
        <v>60.83</v>
      </c>
      <c r="U33" s="238">
        <v>62.17</v>
      </c>
      <c r="V33">
        <v>61.54999999999999</v>
      </c>
      <c r="W33" s="238">
        <v>80307.864000000001</v>
      </c>
      <c r="X33">
        <v>4015.3932</v>
      </c>
      <c r="Y33">
        <v>84323.257199999993</v>
      </c>
      <c r="Z33">
        <v>2529.6977160000001</v>
      </c>
      <c r="AA33">
        <v>86852.954916000002</v>
      </c>
      <c r="AC33">
        <v>86852.954916000002</v>
      </c>
      <c r="AE33">
        <v>86852.954916000002</v>
      </c>
      <c r="AG33">
        <v>86852.954916000002</v>
      </c>
      <c r="AI33">
        <v>86852.954916000002</v>
      </c>
      <c r="AJ33">
        <v>868.52954915999999</v>
      </c>
      <c r="AK33">
        <v>87721.48446516</v>
      </c>
      <c r="AL33">
        <v>4386.0742232580005</v>
      </c>
      <c r="AM33">
        <v>92107.558688417994</v>
      </c>
      <c r="AO33">
        <v>92107.558688417994</v>
      </c>
      <c r="AP33">
        <v>1842.15117376836</v>
      </c>
      <c r="AQ33">
        <v>93949.709862186355</v>
      </c>
      <c r="AS33">
        <v>93949.709862186355</v>
      </c>
      <c r="AT33">
        <v>1878.9941972437273</v>
      </c>
      <c r="AU33">
        <v>95828.704059430078</v>
      </c>
      <c r="AW33">
        <v>95828.704059430078</v>
      </c>
      <c r="AY33">
        <v>95828.704059430078</v>
      </c>
      <c r="BA33">
        <v>95828.704059430078</v>
      </c>
      <c r="BB33">
        <v>479.14352029715042</v>
      </c>
      <c r="BC33">
        <v>96307.847579727226</v>
      </c>
      <c r="BE33">
        <v>96307.847579727226</v>
      </c>
      <c r="BF33">
        <v>1444.6177136959084</v>
      </c>
      <c r="BG33">
        <v>97752.465293423127</v>
      </c>
      <c r="BI33">
        <v>97752.465293423127</v>
      </c>
      <c r="BJ33">
        <v>3910.0986117369248</v>
      </c>
      <c r="BK33">
        <v>101662.56390516006</v>
      </c>
      <c r="BM33">
        <v>101662.56390516006</v>
      </c>
      <c r="BO33">
        <v>101662.56390516006</v>
      </c>
      <c r="BQ33">
        <v>101662.56390516006</v>
      </c>
      <c r="BS33">
        <v>101662.56390516006</v>
      </c>
      <c r="BT33" s="238">
        <v>101662.56</v>
      </c>
      <c r="BU33" s="238">
        <v>6320400</v>
      </c>
      <c r="BX33" s="238">
        <v>0</v>
      </c>
      <c r="BY33" s="238">
        <v>101663.18159884188</v>
      </c>
      <c r="BZ33" s="238">
        <v>6320400</v>
      </c>
      <c r="CA33" s="238" t="s">
        <v>6871</v>
      </c>
      <c r="CB33">
        <v>7000</v>
      </c>
      <c r="CC33">
        <v>108663.18159884188</v>
      </c>
      <c r="CD33" s="238">
        <v>435190</v>
      </c>
      <c r="CE33" s="238">
        <v>6755590</v>
      </c>
      <c r="CH33" s="238" t="s">
        <v>39</v>
      </c>
      <c r="CI33" s="238" t="s">
        <v>39</v>
      </c>
      <c r="CJ33" t="s">
        <v>8950</v>
      </c>
      <c r="CK33" t="s">
        <v>1167</v>
      </c>
      <c r="CL33" t="s">
        <v>8961</v>
      </c>
      <c r="CM33" t="s">
        <v>8971</v>
      </c>
      <c r="CN33" s="238" t="b">
        <v>1</v>
      </c>
      <c r="CO33" t="s">
        <v>5321</v>
      </c>
      <c r="CQ33" t="s">
        <v>6652</v>
      </c>
      <c r="CR33" t="s">
        <v>3246</v>
      </c>
      <c r="CS33" t="s">
        <v>6871</v>
      </c>
      <c r="CT33" t="b">
        <v>1</v>
      </c>
      <c r="CU33">
        <v>6320400</v>
      </c>
      <c r="CV33" t="s">
        <v>9002</v>
      </c>
      <c r="CW33">
        <v>0</v>
      </c>
      <c r="CX33">
        <v>6320400</v>
      </c>
      <c r="CY33">
        <v>0</v>
      </c>
      <c r="CZ33" t="b">
        <v>1</v>
      </c>
      <c r="DA33">
        <v>45565</v>
      </c>
      <c r="DB33" t="s">
        <v>4177</v>
      </c>
      <c r="DC33">
        <v>-9.9726556216827023E-3</v>
      </c>
      <c r="DD33">
        <v>-1013.85189948984</v>
      </c>
      <c r="DE33" s="420" cm="1">
        <f t="array" ref="DE33">_xlfn.XLOOKUP("Дом 5"&amp;Реестр_Д5[[#This Row],[№]]&amp;Реестр_Д5[[#This Row],[Статус]],РД[Дом]&amp;РД[№ кв]&amp;РД[Состояние],РД[Дата подачи на регистрацию],"-",0)</f>
        <v>45565</v>
      </c>
    </row>
    <row r="34" spans="1:109" hidden="1" x14ac:dyDescent="0.25">
      <c r="A34" s="238">
        <v>33</v>
      </c>
      <c r="B34" s="238" t="s">
        <v>6</v>
      </c>
      <c r="C34" s="238">
        <v>5</v>
      </c>
      <c r="D34" s="238">
        <v>6</v>
      </c>
      <c r="E34" s="238">
        <v>2</v>
      </c>
      <c r="F34" s="238">
        <v>14.64</v>
      </c>
      <c r="G34" s="238">
        <v>10.74</v>
      </c>
      <c r="H34" s="238"/>
      <c r="I34">
        <v>25.380000000000003</v>
      </c>
      <c r="J34" s="238">
        <v>14.35</v>
      </c>
      <c r="K34" s="238">
        <v>4.16</v>
      </c>
      <c r="L34" s="238">
        <v>1.93</v>
      </c>
      <c r="M34" s="238"/>
      <c r="N34" s="238">
        <v>11.03</v>
      </c>
      <c r="O34" s="238">
        <v>2.6219999999999999</v>
      </c>
      <c r="P34" s="238"/>
      <c r="R34" s="238">
        <v>2.6219999999999999</v>
      </c>
      <c r="S34">
        <v>59.47</v>
      </c>
      <c r="T34">
        <v>56.85</v>
      </c>
      <c r="U34" s="238">
        <v>58.16</v>
      </c>
      <c r="V34">
        <v>57.8</v>
      </c>
      <c r="W34" s="238">
        <v>81466.150500000003</v>
      </c>
      <c r="X34">
        <v>4073.3075250000002</v>
      </c>
      <c r="Y34">
        <v>85539.458025</v>
      </c>
      <c r="Z34">
        <v>2566.1837407499997</v>
      </c>
      <c r="AA34">
        <v>88105.641765749999</v>
      </c>
      <c r="AC34">
        <v>88105.641765749999</v>
      </c>
      <c r="AE34">
        <v>88105.641765749999</v>
      </c>
      <c r="AG34">
        <v>88105.641765749999</v>
      </c>
      <c r="AI34">
        <v>88105.641765749999</v>
      </c>
      <c r="AJ34">
        <v>881.05641765749999</v>
      </c>
      <c r="AK34">
        <v>88986.698183407498</v>
      </c>
      <c r="AL34">
        <v>4449.3349091703749</v>
      </c>
      <c r="AM34">
        <v>93436.033092577869</v>
      </c>
      <c r="AO34">
        <v>93436.033092577869</v>
      </c>
      <c r="AP34">
        <v>1868.7206618515577</v>
      </c>
      <c r="AQ34">
        <v>95304.753754429446</v>
      </c>
      <c r="AS34">
        <v>95304.753754429446</v>
      </c>
      <c r="AT34">
        <v>1906.0950750885888</v>
      </c>
      <c r="AU34">
        <v>97210.848829518014</v>
      </c>
      <c r="AW34">
        <v>97210.848829518014</v>
      </c>
      <c r="AY34">
        <v>97210.848829518014</v>
      </c>
      <c r="BA34">
        <v>97210.848829518014</v>
      </c>
      <c r="BC34">
        <v>97210.848829518014</v>
      </c>
      <c r="BE34">
        <v>97210.848829518014</v>
      </c>
      <c r="BG34">
        <v>97210.848829518014</v>
      </c>
      <c r="BI34">
        <v>97210.848829518014</v>
      </c>
      <c r="BK34">
        <v>97210.848829518014</v>
      </c>
      <c r="BM34">
        <v>97210.848829518014</v>
      </c>
      <c r="BO34">
        <v>97210.848829518014</v>
      </c>
      <c r="BQ34">
        <v>97210.848829518014</v>
      </c>
      <c r="BS34">
        <v>97210.848829518014</v>
      </c>
      <c r="BT34" s="238">
        <v>97210.85</v>
      </c>
      <c r="BU34" s="238">
        <v>5653800</v>
      </c>
      <c r="BV34">
        <v>88000</v>
      </c>
      <c r="BX34" s="238">
        <v>88000</v>
      </c>
      <c r="BY34" s="238">
        <v>95698.074277854204</v>
      </c>
      <c r="BZ34" s="238">
        <v>5565800</v>
      </c>
      <c r="CA34" s="238" t="s">
        <v>38</v>
      </c>
      <c r="CB34">
        <v>20000</v>
      </c>
      <c r="CC34">
        <v>115698.0742778542</v>
      </c>
      <c r="CD34" s="238">
        <v>1163200</v>
      </c>
      <c r="CE34" s="238">
        <v>6729000</v>
      </c>
      <c r="CG34" t="s">
        <v>4185</v>
      </c>
      <c r="CH34" s="238" t="s">
        <v>39</v>
      </c>
      <c r="CI34" s="238" t="s">
        <v>39</v>
      </c>
      <c r="CJ34" t="s">
        <v>8950</v>
      </c>
      <c r="CK34" t="s">
        <v>1167</v>
      </c>
      <c r="CL34" t="s">
        <v>8961</v>
      </c>
      <c r="CM34" t="s">
        <v>8971</v>
      </c>
      <c r="CN34" s="238" t="b">
        <v>1</v>
      </c>
      <c r="CO34" t="s">
        <v>5322</v>
      </c>
      <c r="CQ34" t="s">
        <v>6652</v>
      </c>
      <c r="CR34" t="s">
        <v>3246</v>
      </c>
      <c r="CS34" t="s">
        <v>38</v>
      </c>
      <c r="CT34" t="b">
        <v>1</v>
      </c>
      <c r="CU34">
        <v>5653800</v>
      </c>
      <c r="CV34" t="s">
        <v>9002</v>
      </c>
      <c r="CW34">
        <v>5653800</v>
      </c>
      <c r="CX34">
        <v>5653800</v>
      </c>
      <c r="CY34">
        <v>0</v>
      </c>
      <c r="CZ34" t="b">
        <v>1</v>
      </c>
      <c r="DA34">
        <v>45409</v>
      </c>
      <c r="DB34" t="s">
        <v>5215</v>
      </c>
      <c r="DC34">
        <v>-6.1898211829434224E-3</v>
      </c>
      <c r="DD34">
        <v>-592.353967331955</v>
      </c>
      <c r="DE34" s="420" cm="1">
        <f t="array" ref="DE34">_xlfn.XLOOKUP("Дом 5"&amp;Реестр_Д5[[#This Row],[№]]&amp;Реестр_Д5[[#This Row],[Статус]],РД[Дом]&amp;РД[№ кв]&amp;РД[Состояние],РД[Дата подачи на регистрацию],"-",0)</f>
        <v>45409</v>
      </c>
    </row>
    <row r="35" spans="1:109" hidden="1" x14ac:dyDescent="0.25">
      <c r="A35" s="238">
        <v>34</v>
      </c>
      <c r="B35" s="238" t="s">
        <v>6</v>
      </c>
      <c r="C35" s="238">
        <v>5</v>
      </c>
      <c r="D35" s="238">
        <v>7</v>
      </c>
      <c r="E35" s="238">
        <v>1</v>
      </c>
      <c r="F35" s="238">
        <v>18.489999999999998</v>
      </c>
      <c r="G35" s="238"/>
      <c r="H35" s="238"/>
      <c r="I35">
        <v>18.489999999999998</v>
      </c>
      <c r="J35" s="238">
        <v>13.04</v>
      </c>
      <c r="K35" s="238">
        <v>3.9</v>
      </c>
      <c r="L35" s="238"/>
      <c r="M35" s="238"/>
      <c r="N35" s="238">
        <v>5.99</v>
      </c>
      <c r="O35" s="238">
        <v>2.65</v>
      </c>
      <c r="P35" s="238"/>
      <c r="R35" s="238">
        <v>2.65</v>
      </c>
      <c r="S35">
        <v>44.07</v>
      </c>
      <c r="T35">
        <v>41.42</v>
      </c>
      <c r="U35" s="238">
        <v>42.75</v>
      </c>
      <c r="V35">
        <v>42.6</v>
      </c>
      <c r="W35" s="238">
        <v>83951.4375</v>
      </c>
      <c r="X35">
        <v>4197.5718750000005</v>
      </c>
      <c r="Y35">
        <v>88149.009374999994</v>
      </c>
      <c r="Z35">
        <v>2644.4702812499995</v>
      </c>
      <c r="AA35">
        <v>90793.479656249998</v>
      </c>
      <c r="AB35">
        <v>3631.7391862499999</v>
      </c>
      <c r="AC35">
        <v>94425.218842499977</v>
      </c>
      <c r="AE35">
        <v>94425.218842499977</v>
      </c>
      <c r="AF35">
        <v>4721.2609421249999</v>
      </c>
      <c r="AG35">
        <v>99146.479784624986</v>
      </c>
      <c r="AI35">
        <v>99146.479784624986</v>
      </c>
      <c r="AJ35">
        <v>991.46479784624989</v>
      </c>
      <c r="AK35">
        <v>100137.94458247125</v>
      </c>
      <c r="AL35">
        <v>5006.8972291235623</v>
      </c>
      <c r="AM35">
        <v>105144.8418115948</v>
      </c>
      <c r="AO35">
        <v>105144.8418115948</v>
      </c>
      <c r="AP35">
        <v>3154.3452543478434</v>
      </c>
      <c r="AQ35">
        <v>108299.18706594263</v>
      </c>
      <c r="AS35">
        <v>108299.18706594263</v>
      </c>
      <c r="AU35">
        <v>108299.18706594263</v>
      </c>
      <c r="AW35">
        <v>108299.18706594263</v>
      </c>
      <c r="AY35">
        <v>108299.18706594263</v>
      </c>
      <c r="BA35">
        <v>108299.18706594263</v>
      </c>
      <c r="BC35">
        <v>108299.18706594263</v>
      </c>
      <c r="BE35">
        <v>108299.18706594263</v>
      </c>
      <c r="BG35">
        <v>108299.18706594263</v>
      </c>
      <c r="BI35">
        <v>108299.18706594263</v>
      </c>
      <c r="BK35">
        <v>108299.18706594263</v>
      </c>
      <c r="BM35">
        <v>108299.18706594263</v>
      </c>
      <c r="BO35">
        <v>108299.18706594263</v>
      </c>
      <c r="BQ35">
        <v>108299.18706594263</v>
      </c>
      <c r="BS35">
        <v>108299.18706594263</v>
      </c>
      <c r="BT35" s="238">
        <v>108299.19</v>
      </c>
      <c r="BU35" s="238">
        <v>4629800</v>
      </c>
      <c r="BX35" s="238">
        <v>0</v>
      </c>
      <c r="BY35" s="238">
        <v>108299.41520467836</v>
      </c>
      <c r="BZ35" s="238">
        <v>4629800</v>
      </c>
      <c r="CA35" s="238" t="s">
        <v>36</v>
      </c>
      <c r="CC35">
        <v>108299.41520467836</v>
      </c>
      <c r="CD35" s="238">
        <v>0</v>
      </c>
      <c r="CE35" s="238">
        <v>4629800</v>
      </c>
      <c r="CH35" s="238" t="s">
        <v>39</v>
      </c>
      <c r="CI35" s="238" t="s">
        <v>39</v>
      </c>
      <c r="CJ35" t="s">
        <v>8950</v>
      </c>
      <c r="CK35" t="s">
        <v>1167</v>
      </c>
      <c r="CL35" t="s">
        <v>8961</v>
      </c>
      <c r="CM35" t="s">
        <v>8973</v>
      </c>
      <c r="CN35" s="238" t="b">
        <v>1</v>
      </c>
      <c r="CO35" t="s">
        <v>5323</v>
      </c>
      <c r="CQ35" t="s">
        <v>6652</v>
      </c>
      <c r="CR35" t="s">
        <v>3246</v>
      </c>
      <c r="CS35" t="s">
        <v>36</v>
      </c>
      <c r="CT35" t="b">
        <v>1</v>
      </c>
      <c r="CU35">
        <v>4629800</v>
      </c>
      <c r="CV35" t="s">
        <v>9002</v>
      </c>
      <c r="CW35">
        <v>0</v>
      </c>
      <c r="CX35">
        <v>4629800</v>
      </c>
      <c r="CY35">
        <v>0</v>
      </c>
      <c r="CZ35" t="b">
        <v>1</v>
      </c>
      <c r="DA35">
        <v>45435</v>
      </c>
      <c r="DB35" t="s">
        <v>130</v>
      </c>
      <c r="DC35">
        <v>-3.5087719298245723E-3</v>
      </c>
      <c r="DD35">
        <v>-379.99794808659192</v>
      </c>
      <c r="DE35" s="420" cm="1">
        <f t="array" ref="DE35">_xlfn.XLOOKUP("Дом 5"&amp;Реестр_Д5[[#This Row],[№]]&amp;Реестр_Д5[[#This Row],[Статус]],РД[Дом]&amp;РД[№ кв]&amp;РД[Состояние],РД[Дата подачи на регистрацию],"-",0)</f>
        <v>45435</v>
      </c>
    </row>
    <row r="36" spans="1:109" hidden="1" x14ac:dyDescent="0.25">
      <c r="A36" s="238">
        <v>35</v>
      </c>
      <c r="B36" s="238" t="s">
        <v>6</v>
      </c>
      <c r="C36" s="238">
        <v>6</v>
      </c>
      <c r="D36" s="238">
        <v>1</v>
      </c>
      <c r="E36" s="238">
        <v>1</v>
      </c>
      <c r="F36" s="238">
        <v>14.68</v>
      </c>
      <c r="G36" s="238"/>
      <c r="H36" s="238"/>
      <c r="I36">
        <v>14.68</v>
      </c>
      <c r="J36" s="238">
        <v>9.84</v>
      </c>
      <c r="K36" s="238">
        <v>3.63</v>
      </c>
      <c r="L36" s="238"/>
      <c r="M36" s="238"/>
      <c r="N36" s="238">
        <v>4.8899999999999997</v>
      </c>
      <c r="O36" s="238">
        <v>2.7</v>
      </c>
      <c r="P36" s="238"/>
      <c r="R36" s="238">
        <v>2.7</v>
      </c>
      <c r="S36">
        <v>35.74</v>
      </c>
      <c r="T36">
        <v>33.04</v>
      </c>
      <c r="U36" s="238">
        <v>34.39</v>
      </c>
      <c r="V36">
        <v>34.35</v>
      </c>
      <c r="W36" s="238">
        <v>82734.75</v>
      </c>
      <c r="X36">
        <v>4136.7375000000002</v>
      </c>
      <c r="Y36">
        <v>86871.487500000003</v>
      </c>
      <c r="Z36">
        <v>2606.1446249999999</v>
      </c>
      <c r="AA36">
        <v>89477.632125000004</v>
      </c>
      <c r="AB36">
        <v>12526.8684975</v>
      </c>
      <c r="AC36">
        <v>102004.5006225</v>
      </c>
      <c r="AE36">
        <v>102004.5006225</v>
      </c>
      <c r="AF36">
        <v>5100.2250311250009</v>
      </c>
      <c r="AG36">
        <v>107104.72565362501</v>
      </c>
      <c r="AI36">
        <v>107104.72565362501</v>
      </c>
      <c r="AJ36">
        <v>1071.0472565362502</v>
      </c>
      <c r="AK36">
        <v>108175.77291016123</v>
      </c>
      <c r="AL36">
        <v>5408.7886455080625</v>
      </c>
      <c r="AM36">
        <v>113584.56155566932</v>
      </c>
      <c r="AO36">
        <v>113584.56155566932</v>
      </c>
      <c r="AP36">
        <v>3407.5368466700793</v>
      </c>
      <c r="AQ36">
        <v>116992.09840233938</v>
      </c>
      <c r="AS36">
        <v>116992.09840233938</v>
      </c>
      <c r="AU36">
        <v>116992.09840233938</v>
      </c>
      <c r="AW36">
        <v>116992.09840233938</v>
      </c>
      <c r="AY36">
        <v>116992.09840233938</v>
      </c>
      <c r="AZ36">
        <v>2339.8419680467882</v>
      </c>
      <c r="BA36">
        <v>119331.94037038618</v>
      </c>
      <c r="BC36">
        <v>119331.94037038618</v>
      </c>
      <c r="BE36">
        <v>119331.94037038618</v>
      </c>
      <c r="BF36">
        <v>2983.2985092596546</v>
      </c>
      <c r="BG36">
        <v>122315.23887964584</v>
      </c>
      <c r="BI36">
        <v>122315.23887964584</v>
      </c>
      <c r="BJ36">
        <v>2446.3047775929167</v>
      </c>
      <c r="BK36">
        <v>124761.54365723874</v>
      </c>
      <c r="BL36">
        <v>6238.0771828619372</v>
      </c>
      <c r="BM36">
        <v>130999.62084010067</v>
      </c>
      <c r="BN36">
        <v>17029.950709213088</v>
      </c>
      <c r="BO36">
        <v>148029.57154931375</v>
      </c>
      <c r="BP36">
        <v>35</v>
      </c>
      <c r="BQ36">
        <v>148064.57154931375</v>
      </c>
      <c r="BS36">
        <v>148064.57154931375</v>
      </c>
      <c r="BT36" s="238">
        <v>148064.57</v>
      </c>
      <c r="BU36" s="238">
        <v>5092000</v>
      </c>
      <c r="BW36">
        <v>0.02</v>
      </c>
      <c r="BX36" s="238">
        <v>101840</v>
      </c>
      <c r="BY36" s="238">
        <v>145104.97237569062</v>
      </c>
      <c r="BZ36" s="238">
        <v>4990160</v>
      </c>
      <c r="CA36" s="238" t="s">
        <v>38</v>
      </c>
      <c r="CB36">
        <v>25000</v>
      </c>
      <c r="CC36">
        <v>170104.97237569062</v>
      </c>
      <c r="CD36" s="238">
        <v>859750</v>
      </c>
      <c r="CE36" s="238">
        <v>5849910</v>
      </c>
      <c r="CF36" t="s">
        <v>4633</v>
      </c>
      <c r="CG36" t="s">
        <v>3540</v>
      </c>
      <c r="CH36" s="238" t="s">
        <v>39</v>
      </c>
      <c r="CI36" s="238" t="s">
        <v>39</v>
      </c>
      <c r="CJ36" t="s">
        <v>8950</v>
      </c>
      <c r="CK36" t="s">
        <v>1167</v>
      </c>
      <c r="CL36" t="s">
        <v>8961</v>
      </c>
      <c r="CM36" t="s">
        <v>8973</v>
      </c>
      <c r="CN36" s="238" t="b">
        <v>1</v>
      </c>
      <c r="CO36" t="s">
        <v>5324</v>
      </c>
      <c r="CQ36" t="s">
        <v>6652</v>
      </c>
      <c r="CR36" t="s">
        <v>3246</v>
      </c>
      <c r="CS36" t="s">
        <v>38</v>
      </c>
      <c r="CT36" t="b">
        <v>1</v>
      </c>
      <c r="CU36">
        <v>5092000</v>
      </c>
      <c r="CV36" t="s">
        <v>9002</v>
      </c>
      <c r="CW36">
        <v>0</v>
      </c>
      <c r="CX36">
        <v>5092000</v>
      </c>
      <c r="CY36">
        <v>0</v>
      </c>
      <c r="CZ36" t="b">
        <v>1</v>
      </c>
      <c r="DA36">
        <v>45712</v>
      </c>
      <c r="DB36" t="s">
        <v>5215</v>
      </c>
      <c r="DC36">
        <v>-1.1631288165163678E-3</v>
      </c>
      <c r="DD36">
        <v>-168.77577478997728</v>
      </c>
      <c r="DE36" s="420" cm="1">
        <f t="array" ref="DE36">_xlfn.XLOOKUP("Дом 5"&amp;Реестр_Д5[[#This Row],[№]]&amp;Реестр_Д5[[#This Row],[Статус]],РД[Дом]&amp;РД[№ кв]&amp;РД[Состояние],РД[Дата подачи на регистрацию],"-",0)</f>
        <v>45712</v>
      </c>
    </row>
    <row r="37" spans="1:109" hidden="1" x14ac:dyDescent="0.25">
      <c r="A37" s="238">
        <v>36</v>
      </c>
      <c r="B37" s="238" t="s">
        <v>6</v>
      </c>
      <c r="C37" s="238">
        <v>6</v>
      </c>
      <c r="D37" s="238">
        <v>2</v>
      </c>
      <c r="E37" s="238">
        <v>2</v>
      </c>
      <c r="F37" s="238">
        <v>15.82</v>
      </c>
      <c r="G37" s="238">
        <v>15.54</v>
      </c>
      <c r="H37" s="238"/>
      <c r="I37">
        <v>31.36</v>
      </c>
      <c r="J37" s="238">
        <v>19.440000000000001</v>
      </c>
      <c r="K37" s="238">
        <v>4.42</v>
      </c>
      <c r="L37" s="238"/>
      <c r="M37" s="238">
        <v>3.25</v>
      </c>
      <c r="N37" s="238">
        <v>8.5299999999999994</v>
      </c>
      <c r="O37" s="238">
        <v>3</v>
      </c>
      <c r="P37" s="238"/>
      <c r="R37" s="238">
        <v>3</v>
      </c>
      <c r="S37">
        <v>70</v>
      </c>
      <c r="T37">
        <v>67</v>
      </c>
      <c r="U37" s="238">
        <v>68.5</v>
      </c>
      <c r="V37">
        <v>68.2</v>
      </c>
      <c r="W37" s="238">
        <v>84168.819000000003</v>
      </c>
      <c r="X37">
        <v>4208.4409500000002</v>
      </c>
      <c r="Y37">
        <v>88377.259950000007</v>
      </c>
      <c r="Z37">
        <v>2651.3177985000002</v>
      </c>
      <c r="AA37">
        <v>91028.577748500014</v>
      </c>
      <c r="AC37">
        <v>91028.577748500014</v>
      </c>
      <c r="AE37">
        <v>91028.577748500014</v>
      </c>
      <c r="AG37">
        <v>91028.577748500014</v>
      </c>
      <c r="AH37">
        <v>-831</v>
      </c>
      <c r="AI37">
        <v>90197.577748500014</v>
      </c>
      <c r="AJ37">
        <v>901.97577748500021</v>
      </c>
      <c r="AK37">
        <v>91099.553525985015</v>
      </c>
      <c r="AL37">
        <v>4554.9776762992506</v>
      </c>
      <c r="AM37">
        <v>95654.531202284285</v>
      </c>
      <c r="AO37">
        <v>95654.531202284285</v>
      </c>
      <c r="AP37">
        <v>1913.0906240456857</v>
      </c>
      <c r="AQ37">
        <v>97567.621826329952</v>
      </c>
      <c r="AS37">
        <v>97567.621826329952</v>
      </c>
      <c r="AT37">
        <v>1951.3524365265991</v>
      </c>
      <c r="AU37">
        <v>99518.974262856558</v>
      </c>
      <c r="AW37">
        <v>99518.974262856558</v>
      </c>
      <c r="AY37">
        <v>99518.974262856558</v>
      </c>
      <c r="BA37">
        <v>99518.974262856558</v>
      </c>
      <c r="BC37">
        <v>99518.974262856558</v>
      </c>
      <c r="BE37">
        <v>99518.974262856558</v>
      </c>
      <c r="BF37">
        <v>497.59487131428278</v>
      </c>
      <c r="BG37">
        <v>100016.56913417084</v>
      </c>
      <c r="BI37">
        <v>100016.56913417084</v>
      </c>
      <c r="BK37">
        <v>100016.56913417084</v>
      </c>
      <c r="BM37">
        <v>100016.56913417084</v>
      </c>
      <c r="BO37">
        <v>100016.56913417084</v>
      </c>
      <c r="BQ37">
        <v>100016.56913417084</v>
      </c>
      <c r="BS37">
        <v>100016.56913417084</v>
      </c>
      <c r="BT37" s="238">
        <v>100016.57</v>
      </c>
      <c r="BU37" s="238">
        <v>6851200</v>
      </c>
      <c r="BX37" s="238">
        <v>0</v>
      </c>
      <c r="BY37" s="238">
        <v>100017.51824817518</v>
      </c>
      <c r="BZ37" s="238">
        <v>6851200</v>
      </c>
      <c r="CA37" s="238" t="s">
        <v>6871</v>
      </c>
      <c r="CB37">
        <v>7000</v>
      </c>
      <c r="CC37">
        <v>107017.51824817518</v>
      </c>
      <c r="CD37" s="238">
        <v>479500</v>
      </c>
      <c r="CE37" s="238">
        <v>7330700</v>
      </c>
      <c r="CH37" s="238" t="s">
        <v>39</v>
      </c>
      <c r="CI37" s="238" t="s">
        <v>39</v>
      </c>
      <c r="CJ37" t="s">
        <v>8950</v>
      </c>
      <c r="CK37" t="s">
        <v>1167</v>
      </c>
      <c r="CL37" t="s">
        <v>8961</v>
      </c>
      <c r="CM37" t="s">
        <v>8971</v>
      </c>
      <c r="CN37" s="238" t="b">
        <v>1</v>
      </c>
      <c r="CO37" t="s">
        <v>5325</v>
      </c>
      <c r="CQ37" t="s">
        <v>6652</v>
      </c>
      <c r="CR37" t="s">
        <v>3246</v>
      </c>
      <c r="CS37" t="s">
        <v>6871</v>
      </c>
      <c r="CT37" t="b">
        <v>1</v>
      </c>
      <c r="CU37">
        <v>6851200</v>
      </c>
      <c r="CV37" t="s">
        <v>9002</v>
      </c>
      <c r="CW37">
        <v>0</v>
      </c>
      <c r="CX37">
        <v>6851200</v>
      </c>
      <c r="CY37">
        <v>0</v>
      </c>
      <c r="CZ37" t="b">
        <v>1</v>
      </c>
      <c r="DA37">
        <v>45516</v>
      </c>
      <c r="DB37" t="s">
        <v>4177</v>
      </c>
      <c r="DC37">
        <v>-4.3795620437955263E-3</v>
      </c>
      <c r="DD37">
        <v>-438.03292663433439</v>
      </c>
      <c r="DE37" s="420" cm="1">
        <f t="array" ref="DE37">_xlfn.XLOOKUP("Дом 5"&amp;Реестр_Д5[[#This Row],[№]]&amp;Реестр_Д5[[#This Row],[Статус]],РД[Дом]&amp;РД[№ кв]&amp;РД[Состояние],РД[Дата подачи на регистрацию],"-",0)</f>
        <v>45516</v>
      </c>
    </row>
    <row r="38" spans="1:109" hidden="1" x14ac:dyDescent="0.25">
      <c r="A38" s="238">
        <v>37</v>
      </c>
      <c r="B38" s="238" t="s">
        <v>6</v>
      </c>
      <c r="C38" s="238">
        <v>6</v>
      </c>
      <c r="D38" s="238">
        <v>3</v>
      </c>
      <c r="E38" s="238">
        <v>1</v>
      </c>
      <c r="F38" s="238">
        <v>13.6</v>
      </c>
      <c r="G38" s="238"/>
      <c r="H38" s="238"/>
      <c r="I38">
        <v>13.6</v>
      </c>
      <c r="J38" s="238">
        <v>14.97</v>
      </c>
      <c r="K38" s="238">
        <v>4.1100000000000003</v>
      </c>
      <c r="L38" s="238"/>
      <c r="M38" s="238"/>
      <c r="N38" s="238">
        <v>3.7</v>
      </c>
      <c r="O38" s="238">
        <v>2.69</v>
      </c>
      <c r="P38" s="238"/>
      <c r="R38" s="238">
        <v>2.69</v>
      </c>
      <c r="S38">
        <v>39.07</v>
      </c>
      <c r="T38">
        <v>36.380000000000003</v>
      </c>
      <c r="U38" s="238">
        <v>37.729999999999997</v>
      </c>
      <c r="V38">
        <v>37.35</v>
      </c>
      <c r="W38" s="238">
        <v>87601.5</v>
      </c>
      <c r="Y38">
        <v>87601.5</v>
      </c>
      <c r="AA38">
        <v>87601.5</v>
      </c>
      <c r="AC38">
        <v>87601.5</v>
      </c>
      <c r="AE38">
        <v>87601.5</v>
      </c>
      <c r="AG38">
        <v>87601.5</v>
      </c>
      <c r="AI38">
        <v>87601.5</v>
      </c>
      <c r="AK38">
        <v>87601.5</v>
      </c>
      <c r="AM38">
        <v>87601.5</v>
      </c>
      <c r="AO38">
        <v>87601.5</v>
      </c>
      <c r="AQ38">
        <v>87601.5</v>
      </c>
      <c r="AS38">
        <v>87601.5</v>
      </c>
      <c r="AU38">
        <v>87601.5</v>
      </c>
      <c r="AW38">
        <v>87601.5</v>
      </c>
      <c r="AY38">
        <v>87601.5</v>
      </c>
      <c r="BA38">
        <v>87601.5</v>
      </c>
      <c r="BC38">
        <v>87601.5</v>
      </c>
      <c r="BE38">
        <v>87601.5</v>
      </c>
      <c r="BG38">
        <v>87601.5</v>
      </c>
      <c r="BI38">
        <v>87601.5</v>
      </c>
      <c r="BK38">
        <v>87601.5</v>
      </c>
      <c r="BM38">
        <v>87601.5</v>
      </c>
      <c r="BO38">
        <v>87601.5</v>
      </c>
      <c r="BQ38">
        <v>87601.5</v>
      </c>
      <c r="BS38">
        <v>87601.5</v>
      </c>
      <c r="BT38" s="238">
        <v>87601.5</v>
      </c>
      <c r="BU38" s="238">
        <v>3305204.6</v>
      </c>
      <c r="BX38" s="238">
        <v>0</v>
      </c>
      <c r="BY38" s="238">
        <v>87601.500132520538</v>
      </c>
      <c r="BZ38" s="238">
        <v>3305204.6</v>
      </c>
      <c r="CA38" s="238" t="s">
        <v>38</v>
      </c>
      <c r="CB38">
        <v>15000</v>
      </c>
      <c r="CC38">
        <v>102601.50013252057</v>
      </c>
      <c r="CD38" s="238">
        <v>565950</v>
      </c>
      <c r="CE38" s="238">
        <v>3871154.6</v>
      </c>
      <c r="CH38" s="238" t="s">
        <v>39</v>
      </c>
      <c r="CI38" s="238" t="s">
        <v>39</v>
      </c>
      <c r="CJ38" t="s">
        <v>8950</v>
      </c>
      <c r="CK38" t="s">
        <v>1167</v>
      </c>
      <c r="CL38" t="s">
        <v>8961</v>
      </c>
      <c r="CM38" t="s">
        <v>8972</v>
      </c>
      <c r="CN38" s="238" t="b">
        <v>1</v>
      </c>
      <c r="CO38" t="s">
        <v>5326</v>
      </c>
      <c r="CQ38" t="s">
        <v>4895</v>
      </c>
      <c r="CR38" t="s">
        <v>3246</v>
      </c>
      <c r="CS38" t="s">
        <v>38</v>
      </c>
      <c r="CT38" t="b">
        <v>1</v>
      </c>
      <c r="CU38">
        <v>3305204.6</v>
      </c>
      <c r="CV38" t="s">
        <v>9002</v>
      </c>
      <c r="CW38">
        <v>3305205</v>
      </c>
      <c r="CX38">
        <v>3305205</v>
      </c>
      <c r="CY38">
        <v>0</v>
      </c>
      <c r="CZ38" t="b">
        <v>1</v>
      </c>
      <c r="DA38">
        <v>45188</v>
      </c>
      <c r="DB38" t="s">
        <v>130</v>
      </c>
      <c r="DC38">
        <v>-1.0071561091969159E-2</v>
      </c>
      <c r="DD38">
        <v>-882.28386033282527</v>
      </c>
      <c r="DE38" s="420" cm="1">
        <f t="array" ref="DE3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39" spans="1:109" hidden="1" x14ac:dyDescent="0.25">
      <c r="A39" s="238">
        <v>38</v>
      </c>
      <c r="B39" s="238" t="s">
        <v>6</v>
      </c>
      <c r="C39" s="238">
        <v>6</v>
      </c>
      <c r="D39" s="238">
        <v>4</v>
      </c>
      <c r="E39" s="238">
        <v>2</v>
      </c>
      <c r="F39" s="238">
        <v>16.61</v>
      </c>
      <c r="G39" s="238">
        <v>11.38</v>
      </c>
      <c r="H39" s="238"/>
      <c r="I39">
        <v>27.99</v>
      </c>
      <c r="J39" s="238">
        <v>14.58</v>
      </c>
      <c r="K39" s="238">
        <v>4.34</v>
      </c>
      <c r="L39" s="238">
        <v>2.08</v>
      </c>
      <c r="M39" s="238"/>
      <c r="N39" s="238">
        <v>8.82</v>
      </c>
      <c r="O39" s="238">
        <v>2.56</v>
      </c>
      <c r="P39" s="238"/>
      <c r="R39" s="238">
        <v>2.56</v>
      </c>
      <c r="S39">
        <v>60.37</v>
      </c>
      <c r="T39">
        <v>57.81</v>
      </c>
      <c r="U39" s="238">
        <v>59.09</v>
      </c>
      <c r="V39">
        <v>58.699999999999989</v>
      </c>
      <c r="W39" s="238">
        <v>80307.864000000001</v>
      </c>
      <c r="X39">
        <v>4015.3932</v>
      </c>
      <c r="Y39">
        <v>84323.257199999993</v>
      </c>
      <c r="Z39">
        <v>2529.6977160000001</v>
      </c>
      <c r="AA39">
        <v>86852.954916000002</v>
      </c>
      <c r="AC39">
        <v>86852.954916000002</v>
      </c>
      <c r="AE39">
        <v>86852.954916000002</v>
      </c>
      <c r="AG39">
        <v>86852.954916000002</v>
      </c>
      <c r="AI39">
        <v>86852.954916000002</v>
      </c>
      <c r="AJ39">
        <v>868.52954915999999</v>
      </c>
      <c r="AK39">
        <v>87721.48446516</v>
      </c>
      <c r="AL39">
        <v>4386.0742232580005</v>
      </c>
      <c r="AM39">
        <v>92107.558688417994</v>
      </c>
      <c r="AO39">
        <v>92107.558688417994</v>
      </c>
      <c r="AP39">
        <v>1842.15117376836</v>
      </c>
      <c r="AQ39">
        <v>93949.709862186355</v>
      </c>
      <c r="AS39">
        <v>93949.709862186355</v>
      </c>
      <c r="AT39">
        <v>1878.9941972437273</v>
      </c>
      <c r="AU39">
        <v>95828.704059430078</v>
      </c>
      <c r="AW39">
        <v>95828.704059430078</v>
      </c>
      <c r="AX39">
        <v>958.28704059430083</v>
      </c>
      <c r="AY39">
        <v>96786.991100024374</v>
      </c>
      <c r="BA39">
        <v>96786.991100024374</v>
      </c>
      <c r="BC39">
        <v>96786.991100024374</v>
      </c>
      <c r="BE39">
        <v>96786.991100024374</v>
      </c>
      <c r="BF39">
        <v>1451.8048665003655</v>
      </c>
      <c r="BG39">
        <v>98238.795966524733</v>
      </c>
      <c r="BI39">
        <v>98238.795966524733</v>
      </c>
      <c r="BJ39">
        <v>3929.5518386609888</v>
      </c>
      <c r="BK39">
        <v>102168.34780518572</v>
      </c>
      <c r="BL39">
        <v>6130.1008683111431</v>
      </c>
      <c r="BM39">
        <v>108298.44867349688</v>
      </c>
      <c r="BN39">
        <v>14078.798327554594</v>
      </c>
      <c r="BO39">
        <v>122377.24700105148</v>
      </c>
      <c r="BP39">
        <v>35</v>
      </c>
      <c r="BQ39">
        <v>122412.24700105148</v>
      </c>
      <c r="BS39">
        <v>122412.24700105148</v>
      </c>
      <c r="BT39" s="238">
        <v>122412.25</v>
      </c>
      <c r="BU39" s="238">
        <v>7233400</v>
      </c>
      <c r="BW39">
        <v>0.02</v>
      </c>
      <c r="BX39" s="238">
        <v>144668</v>
      </c>
      <c r="BY39" s="238">
        <v>119965.0025385006</v>
      </c>
      <c r="BZ39" s="238">
        <v>7088732</v>
      </c>
      <c r="CA39" s="238" t="s">
        <v>38</v>
      </c>
      <c r="CB39">
        <v>25000</v>
      </c>
      <c r="CC39">
        <v>144965.00253850059</v>
      </c>
      <c r="CD39" s="238">
        <v>1477250</v>
      </c>
      <c r="CE39" s="238">
        <v>8565982</v>
      </c>
      <c r="CG39" t="s">
        <v>3540</v>
      </c>
      <c r="CH39" s="238" t="s">
        <v>39</v>
      </c>
      <c r="CI39" s="238" t="s">
        <v>39</v>
      </c>
      <c r="CJ39" t="s">
        <v>8950</v>
      </c>
      <c r="CK39" t="s">
        <v>1167</v>
      </c>
      <c r="CL39" t="s">
        <v>8961</v>
      </c>
      <c r="CM39" t="s">
        <v>8971</v>
      </c>
      <c r="CN39" s="238" t="b">
        <v>1</v>
      </c>
      <c r="CO39" t="s">
        <v>5327</v>
      </c>
      <c r="CQ39" t="s">
        <v>6652</v>
      </c>
      <c r="CR39" t="s">
        <v>3246</v>
      </c>
      <c r="CS39" t="s">
        <v>38</v>
      </c>
      <c r="CT39" t="b">
        <v>1</v>
      </c>
      <c r="CU39">
        <v>7233400</v>
      </c>
      <c r="CV39" t="s">
        <v>9002</v>
      </c>
      <c r="CW39">
        <v>0</v>
      </c>
      <c r="CX39">
        <v>7233400</v>
      </c>
      <c r="CY39">
        <v>0</v>
      </c>
      <c r="CZ39" t="b">
        <v>1</v>
      </c>
      <c r="DA39">
        <v>45652</v>
      </c>
      <c r="DB39" t="s">
        <v>126</v>
      </c>
      <c r="DC39">
        <v>-6.6001015400239949E-3</v>
      </c>
      <c r="DD39">
        <v>-791.78119800334014</v>
      </c>
      <c r="DE39" s="420" cm="1">
        <f t="array" ref="DE39">_xlfn.XLOOKUP("Дом 5"&amp;Реестр_Д5[[#This Row],[№]]&amp;Реестр_Д5[[#This Row],[Статус]],РД[Дом]&amp;РД[№ кв]&amp;РД[Состояние],РД[Дата подачи на регистрацию],"-",0)</f>
        <v>45652</v>
      </c>
    </row>
    <row r="40" spans="1:109" x14ac:dyDescent="0.25">
      <c r="A40" s="238">
        <v>39</v>
      </c>
      <c r="B40" s="238" t="s">
        <v>6</v>
      </c>
      <c r="C40" s="238">
        <v>6</v>
      </c>
      <c r="D40" s="238">
        <v>5</v>
      </c>
      <c r="E40" s="238">
        <v>2</v>
      </c>
      <c r="F40" s="238">
        <v>16.46</v>
      </c>
      <c r="G40" s="238">
        <v>12.47</v>
      </c>
      <c r="H40" s="238"/>
      <c r="I40">
        <v>28.93</v>
      </c>
      <c r="J40" s="238">
        <v>18</v>
      </c>
      <c r="K40" s="238">
        <v>4.3499999999999996</v>
      </c>
      <c r="L40" s="238">
        <v>1.55</v>
      </c>
      <c r="M40" s="238"/>
      <c r="N40" s="238">
        <v>8</v>
      </c>
      <c r="O40" s="238">
        <v>2.67</v>
      </c>
      <c r="P40" s="238"/>
      <c r="R40" s="238">
        <v>2.67</v>
      </c>
      <c r="S40">
        <v>63.5</v>
      </c>
      <c r="T40">
        <v>60.83</v>
      </c>
      <c r="U40" s="238">
        <v>62.17</v>
      </c>
      <c r="V40">
        <v>61.749999999999993</v>
      </c>
      <c r="W40" s="238">
        <v>80307.864000000001</v>
      </c>
      <c r="X40">
        <v>4015.3932</v>
      </c>
      <c r="Y40">
        <v>84323.257199999993</v>
      </c>
      <c r="Z40">
        <v>2529.6977160000001</v>
      </c>
      <c r="AA40">
        <v>86852.954916000002</v>
      </c>
      <c r="AC40">
        <v>86852.954916000002</v>
      </c>
      <c r="AE40">
        <v>86852.954916000002</v>
      </c>
      <c r="AG40">
        <v>86852.954916000002</v>
      </c>
      <c r="AI40">
        <v>86852.954916000002</v>
      </c>
      <c r="AJ40">
        <v>868.52954915999999</v>
      </c>
      <c r="AK40">
        <v>87721.48446516</v>
      </c>
      <c r="AL40">
        <v>4386.0742232580005</v>
      </c>
      <c r="AM40">
        <v>92107.558688417994</v>
      </c>
      <c r="AO40">
        <v>92107.558688417994</v>
      </c>
      <c r="AP40">
        <v>1842.15117376836</v>
      </c>
      <c r="AQ40">
        <v>93949.709862186355</v>
      </c>
      <c r="AS40">
        <v>93949.709862186355</v>
      </c>
      <c r="AT40">
        <v>1878.9941972437273</v>
      </c>
      <c r="AU40">
        <v>95828.704059430078</v>
      </c>
      <c r="AW40">
        <v>95828.704059430078</v>
      </c>
      <c r="AY40">
        <v>95828.704059430078</v>
      </c>
      <c r="AZ40">
        <v>1916.5740811886017</v>
      </c>
      <c r="BA40">
        <v>97745.278140618684</v>
      </c>
      <c r="BC40">
        <v>97745.278140618684</v>
      </c>
      <c r="BE40">
        <v>97745.278140618684</v>
      </c>
      <c r="BF40">
        <v>1466.1791721092802</v>
      </c>
      <c r="BG40">
        <v>99211.457312727958</v>
      </c>
      <c r="BI40">
        <v>99211.457312727958</v>
      </c>
      <c r="BJ40">
        <v>3968.4582925091186</v>
      </c>
      <c r="BK40">
        <v>103179.91560523708</v>
      </c>
      <c r="BL40">
        <v>6190.7949363142243</v>
      </c>
      <c r="BM40">
        <v>109370.71054155132</v>
      </c>
      <c r="BN40">
        <v>14218.19237040167</v>
      </c>
      <c r="BO40">
        <v>123588.90291195296</v>
      </c>
      <c r="BP40">
        <v>35</v>
      </c>
      <c r="BQ40">
        <v>123623.90291195296</v>
      </c>
      <c r="BS40">
        <v>123623.90291195296</v>
      </c>
      <c r="BT40" s="238">
        <v>123623.9</v>
      </c>
      <c r="BU40" s="238">
        <v>7633800</v>
      </c>
      <c r="BX40" s="238">
        <v>0</v>
      </c>
      <c r="BY40" s="238">
        <v>123624.29149797572</v>
      </c>
      <c r="BZ40" s="238">
        <v>7633800</v>
      </c>
      <c r="CA40" s="238" t="s">
        <v>6871</v>
      </c>
      <c r="CB40">
        <v>10000</v>
      </c>
      <c r="CC40">
        <v>133624.2914979757</v>
      </c>
      <c r="CD40" s="238">
        <v>617499.99999999907</v>
      </c>
      <c r="CE40" s="238">
        <v>8251299.9999999981</v>
      </c>
      <c r="CH40" s="238" t="s">
        <v>3</v>
      </c>
      <c r="CI40" s="238" t="s">
        <v>3</v>
      </c>
      <c r="CJ40" t="s">
        <v>8951</v>
      </c>
      <c r="CK40" t="s">
        <v>1167</v>
      </c>
      <c r="CL40" t="s">
        <v>8961</v>
      </c>
      <c r="CM40" t="s">
        <v>8971</v>
      </c>
      <c r="CN40" s="238" t="b">
        <v>1</v>
      </c>
      <c r="CO40" t="s">
        <v>5328</v>
      </c>
      <c r="CQ40" t="s">
        <v>6652</v>
      </c>
      <c r="CR40" t="s">
        <v>3124</v>
      </c>
      <c r="CS40" t="s">
        <v>6871</v>
      </c>
      <c r="CT40" t="b">
        <v>1</v>
      </c>
      <c r="CU40">
        <v>7633800</v>
      </c>
      <c r="CV40">
        <v>7633800</v>
      </c>
      <c r="CW40">
        <v>0</v>
      </c>
      <c r="CX40">
        <v>0</v>
      </c>
      <c r="CY40">
        <v>0</v>
      </c>
      <c r="CZ40" t="b">
        <v>1</v>
      </c>
      <c r="DA40" t="s">
        <v>4246</v>
      </c>
      <c r="DB40" t="s">
        <v>1167</v>
      </c>
      <c r="DC40">
        <v>-6.7556699372689488E-3</v>
      </c>
      <c r="DD40">
        <v>-835.16490958904785</v>
      </c>
      <c r="DE40" s="420" t="str" cm="1">
        <f t="array" ref="DE4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1" spans="1:109" hidden="1" x14ac:dyDescent="0.25">
      <c r="A41" s="238">
        <v>40</v>
      </c>
      <c r="B41" s="238" t="s">
        <v>6</v>
      </c>
      <c r="C41" s="238">
        <v>6</v>
      </c>
      <c r="D41" s="238">
        <v>6</v>
      </c>
      <c r="E41" s="238">
        <v>2</v>
      </c>
      <c r="F41" s="238">
        <v>14.64</v>
      </c>
      <c r="G41" s="238">
        <v>10.74</v>
      </c>
      <c r="H41" s="238"/>
      <c r="I41">
        <v>25.380000000000003</v>
      </c>
      <c r="J41" s="238">
        <v>14.35</v>
      </c>
      <c r="K41" s="238">
        <v>4.16</v>
      </c>
      <c r="L41" s="238">
        <v>1.93</v>
      </c>
      <c r="M41" s="238"/>
      <c r="N41" s="238">
        <v>11.03</v>
      </c>
      <c r="O41" s="238">
        <v>2.6219999999999999</v>
      </c>
      <c r="P41" s="238"/>
      <c r="R41" s="238">
        <v>2.6219999999999999</v>
      </c>
      <c r="S41">
        <v>59.47</v>
      </c>
      <c r="T41">
        <v>56.85</v>
      </c>
      <c r="U41" s="238">
        <v>58.16</v>
      </c>
      <c r="V41">
        <v>57.899999999999991</v>
      </c>
      <c r="W41" s="238">
        <v>81466.150500000003</v>
      </c>
      <c r="X41">
        <v>4073.3075250000002</v>
      </c>
      <c r="Y41">
        <v>85539.458025</v>
      </c>
      <c r="Z41">
        <v>2566.1837407499997</v>
      </c>
      <c r="AA41">
        <v>88105.641765749999</v>
      </c>
      <c r="AC41">
        <v>88105.641765749999</v>
      </c>
      <c r="AE41">
        <v>88105.641765749999</v>
      </c>
      <c r="AG41">
        <v>88105.641765749999</v>
      </c>
      <c r="AI41">
        <v>88105.641765749999</v>
      </c>
      <c r="AJ41">
        <v>881.05641765749999</v>
      </c>
      <c r="AK41">
        <v>88986.698183407498</v>
      </c>
      <c r="AL41">
        <v>4449.3349091703749</v>
      </c>
      <c r="AM41">
        <v>93436.033092577869</v>
      </c>
      <c r="AO41">
        <v>93436.033092577869</v>
      </c>
      <c r="AP41">
        <v>1868.7206618515577</v>
      </c>
      <c r="AQ41">
        <v>95304.753754429446</v>
      </c>
      <c r="AS41">
        <v>95304.753754429446</v>
      </c>
      <c r="AT41">
        <v>1906.0950750885888</v>
      </c>
      <c r="AU41">
        <v>97210.848829518014</v>
      </c>
      <c r="AW41">
        <v>97210.848829518014</v>
      </c>
      <c r="AX41">
        <v>972.10848829518011</v>
      </c>
      <c r="AY41">
        <v>98182.957317813198</v>
      </c>
      <c r="BA41">
        <v>98182.957317813198</v>
      </c>
      <c r="BC41">
        <v>98182.957317813198</v>
      </c>
      <c r="BE41">
        <v>98182.957317813198</v>
      </c>
      <c r="BF41">
        <v>1472.7443597671979</v>
      </c>
      <c r="BG41">
        <v>99655.701677580393</v>
      </c>
      <c r="BH41">
        <v>500</v>
      </c>
      <c r="BI41">
        <v>100155.70167758039</v>
      </c>
      <c r="BJ41">
        <v>4006.2280671032158</v>
      </c>
      <c r="BK41">
        <v>104161.9297446836</v>
      </c>
      <c r="BL41">
        <v>6249.7157846810169</v>
      </c>
      <c r="BM41">
        <v>110411.64552936464</v>
      </c>
      <c r="BN41">
        <v>14353.513918817402</v>
      </c>
      <c r="BO41">
        <v>124765.15944818204</v>
      </c>
      <c r="BQ41">
        <v>124765.15944818204</v>
      </c>
      <c r="BS41">
        <v>124765.15944818204</v>
      </c>
      <c r="BT41" s="238">
        <v>124765.16</v>
      </c>
      <c r="BU41" s="238">
        <v>7256400</v>
      </c>
      <c r="BW41">
        <v>0.02</v>
      </c>
      <c r="BX41" s="238">
        <v>145128</v>
      </c>
      <c r="BY41" s="238">
        <v>122270.83906464923</v>
      </c>
      <c r="BZ41" s="238">
        <v>7111272</v>
      </c>
      <c r="CA41" s="238" t="s">
        <v>6871</v>
      </c>
      <c r="CB41">
        <v>8000</v>
      </c>
      <c r="CC41">
        <v>130270.83906464923</v>
      </c>
      <c r="CD41" s="238">
        <v>465280</v>
      </c>
      <c r="CE41" s="238">
        <v>7576552</v>
      </c>
      <c r="CG41" t="s">
        <v>3540</v>
      </c>
      <c r="CH41" s="238" t="s">
        <v>39</v>
      </c>
      <c r="CI41" s="238" t="s">
        <v>39</v>
      </c>
      <c r="CJ41" t="s">
        <v>8950</v>
      </c>
      <c r="CK41" t="s">
        <v>1167</v>
      </c>
      <c r="CL41" t="s">
        <v>8961</v>
      </c>
      <c r="CM41" t="s">
        <v>8971</v>
      </c>
      <c r="CN41" s="238" t="b">
        <v>1</v>
      </c>
      <c r="CO41" t="s">
        <v>5329</v>
      </c>
      <c r="CQ41" t="s">
        <v>6652</v>
      </c>
      <c r="CR41" t="s">
        <v>3246</v>
      </c>
      <c r="CS41" t="s">
        <v>6871</v>
      </c>
      <c r="CT41" t="b">
        <v>1</v>
      </c>
      <c r="CU41">
        <v>7256400</v>
      </c>
      <c r="CV41" t="s">
        <v>9002</v>
      </c>
      <c r="CW41">
        <v>0</v>
      </c>
      <c r="CX41">
        <v>7256400</v>
      </c>
      <c r="CY41">
        <v>0</v>
      </c>
      <c r="CZ41" t="b">
        <v>1</v>
      </c>
      <c r="DA41">
        <v>45631</v>
      </c>
      <c r="DB41" t="s">
        <v>126</v>
      </c>
      <c r="DC41">
        <v>-4.4704264099038049E-3</v>
      </c>
      <c r="DD41">
        <v>-546.60278811570583</v>
      </c>
      <c r="DE41" s="420" cm="1">
        <f t="array" ref="DE41">_xlfn.XLOOKUP("Дом 5"&amp;Реестр_Д5[[#This Row],[№]]&amp;Реестр_Д5[[#This Row],[Статус]],РД[Дом]&amp;РД[№ кв]&amp;РД[Состояние],РД[Дата подачи на регистрацию],"-",0)</f>
        <v>45631</v>
      </c>
    </row>
    <row r="42" spans="1:109" hidden="1" x14ac:dyDescent="0.25">
      <c r="A42" s="238">
        <v>41</v>
      </c>
      <c r="B42" s="238" t="s">
        <v>6</v>
      </c>
      <c r="C42" s="238">
        <v>6</v>
      </c>
      <c r="D42" s="238">
        <v>7</v>
      </c>
      <c r="E42" s="238">
        <v>1</v>
      </c>
      <c r="F42" s="238">
        <v>18.489999999999998</v>
      </c>
      <c r="G42" s="238"/>
      <c r="H42" s="238"/>
      <c r="I42">
        <v>18.489999999999998</v>
      </c>
      <c r="J42" s="238">
        <v>13.04</v>
      </c>
      <c r="K42" s="238">
        <v>3.9</v>
      </c>
      <c r="L42" s="238"/>
      <c r="M42" s="238"/>
      <c r="N42" s="238">
        <v>5.99</v>
      </c>
      <c r="O42" s="238">
        <v>2.65</v>
      </c>
      <c r="P42" s="238"/>
      <c r="R42" s="238">
        <v>2.65</v>
      </c>
      <c r="S42">
        <v>44.07</v>
      </c>
      <c r="T42">
        <v>41.42</v>
      </c>
      <c r="U42" s="238">
        <v>42.75</v>
      </c>
      <c r="V42">
        <v>42.7</v>
      </c>
      <c r="W42" s="238">
        <v>83951.4375</v>
      </c>
      <c r="X42">
        <v>4197.5718750000005</v>
      </c>
      <c r="Y42">
        <v>88149.009374999994</v>
      </c>
      <c r="Z42">
        <v>2644.4702812499995</v>
      </c>
      <c r="AA42">
        <v>90793.479656249998</v>
      </c>
      <c r="AB42">
        <v>3631.7391862499999</v>
      </c>
      <c r="AC42">
        <v>94425.218842499977</v>
      </c>
      <c r="AE42">
        <v>94425.218842499977</v>
      </c>
      <c r="AF42">
        <v>4721.2609421249999</v>
      </c>
      <c r="AG42">
        <v>99146.479784624986</v>
      </c>
      <c r="AI42">
        <v>99146.479784624986</v>
      </c>
      <c r="AJ42">
        <v>991.46479784624989</v>
      </c>
      <c r="AK42">
        <v>100137.94458247125</v>
      </c>
      <c r="AL42">
        <v>5006.8972291235623</v>
      </c>
      <c r="AM42">
        <v>105144.8418115948</v>
      </c>
      <c r="AO42">
        <v>105144.8418115948</v>
      </c>
      <c r="AP42">
        <v>3154.3452543478434</v>
      </c>
      <c r="AQ42">
        <v>108299.18706594263</v>
      </c>
      <c r="AS42">
        <v>108299.18706594263</v>
      </c>
      <c r="AU42">
        <v>108299.18706594263</v>
      </c>
      <c r="AW42">
        <v>108299.18706594263</v>
      </c>
      <c r="AY42">
        <v>108299.18706594263</v>
      </c>
      <c r="BA42">
        <v>108299.18706594263</v>
      </c>
      <c r="BC42">
        <v>108299.18706594263</v>
      </c>
      <c r="BE42">
        <v>108299.18706594263</v>
      </c>
      <c r="BG42">
        <v>108299.18706594263</v>
      </c>
      <c r="BI42">
        <v>108299.18706594263</v>
      </c>
      <c r="BK42">
        <v>108299.18706594263</v>
      </c>
      <c r="BM42">
        <v>108299.18706594263</v>
      </c>
      <c r="BO42">
        <v>108299.18706594263</v>
      </c>
      <c r="BQ42">
        <v>108299.18706594263</v>
      </c>
      <c r="BS42">
        <v>108299.18706594263</v>
      </c>
      <c r="BT42" s="238">
        <v>108299.19</v>
      </c>
      <c r="BU42" s="238">
        <v>4629800</v>
      </c>
      <c r="BX42" s="238">
        <v>0</v>
      </c>
      <c r="BY42" s="238">
        <v>108299.41520467836</v>
      </c>
      <c r="BZ42" s="238">
        <v>4629800</v>
      </c>
      <c r="CA42" s="238" t="s">
        <v>6871</v>
      </c>
      <c r="CB42">
        <v>7000</v>
      </c>
      <c r="CC42">
        <v>115299.41520467836</v>
      </c>
      <c r="CD42" s="238">
        <v>299250</v>
      </c>
      <c r="CE42" s="238">
        <v>4929050</v>
      </c>
      <c r="CH42" s="238" t="s">
        <v>39</v>
      </c>
      <c r="CI42" s="238" t="s">
        <v>39</v>
      </c>
      <c r="CJ42" t="s">
        <v>8950</v>
      </c>
      <c r="CK42" t="s">
        <v>1167</v>
      </c>
      <c r="CL42" t="s">
        <v>8961</v>
      </c>
      <c r="CM42" t="s">
        <v>8973</v>
      </c>
      <c r="CN42" s="238" t="b">
        <v>1</v>
      </c>
      <c r="CO42" t="s">
        <v>5330</v>
      </c>
      <c r="CQ42" t="s">
        <v>6652</v>
      </c>
      <c r="CR42" t="s">
        <v>3246</v>
      </c>
      <c r="CS42" t="s">
        <v>6871</v>
      </c>
      <c r="CT42" t="b">
        <v>1</v>
      </c>
      <c r="CU42">
        <v>4629800</v>
      </c>
      <c r="CV42" t="s">
        <v>9002</v>
      </c>
      <c r="CW42">
        <v>0</v>
      </c>
      <c r="CX42">
        <v>4629800</v>
      </c>
      <c r="CY42">
        <v>0</v>
      </c>
      <c r="CZ42" t="b">
        <v>1</v>
      </c>
      <c r="DA42">
        <v>45439</v>
      </c>
      <c r="DB42" t="s">
        <v>7181</v>
      </c>
      <c r="DC42">
        <v>-1.1695906432749317E-3</v>
      </c>
      <c r="DD42">
        <v>-126.66598269553864</v>
      </c>
      <c r="DE42" s="420" cm="1">
        <f t="array" ref="DE42">_xlfn.XLOOKUP("Дом 5"&amp;Реестр_Д5[[#This Row],[№]]&amp;Реестр_Д5[[#This Row],[Статус]],РД[Дом]&amp;РД[№ кв]&amp;РД[Состояние],РД[Дата подачи на регистрацию],"-",0)</f>
        <v>45439</v>
      </c>
    </row>
    <row r="43" spans="1:109" hidden="1" x14ac:dyDescent="0.25">
      <c r="A43" s="238">
        <v>42</v>
      </c>
      <c r="B43" s="238" t="s">
        <v>6</v>
      </c>
      <c r="C43" s="238">
        <v>7</v>
      </c>
      <c r="D43" s="238">
        <v>1</v>
      </c>
      <c r="E43" s="238">
        <v>1</v>
      </c>
      <c r="F43" s="238">
        <v>14.68</v>
      </c>
      <c r="G43" s="238"/>
      <c r="H43" s="238"/>
      <c r="I43">
        <v>14.68</v>
      </c>
      <c r="J43" s="238">
        <v>9.84</v>
      </c>
      <c r="K43" s="238">
        <v>3.63</v>
      </c>
      <c r="L43" s="238"/>
      <c r="M43" s="238"/>
      <c r="N43" s="238">
        <v>4.8899999999999997</v>
      </c>
      <c r="O43" s="238">
        <v>2.7</v>
      </c>
      <c r="P43" s="238"/>
      <c r="R43" s="238">
        <v>2.7</v>
      </c>
      <c r="S43">
        <v>35.74</v>
      </c>
      <c r="T43">
        <v>33.04</v>
      </c>
      <c r="U43" s="238">
        <v>34.39</v>
      </c>
      <c r="V43">
        <v>34.550000000000004</v>
      </c>
      <c r="W43" s="238">
        <v>82734.75</v>
      </c>
      <c r="X43">
        <v>4136.7375000000002</v>
      </c>
      <c r="Y43">
        <v>86871.487500000003</v>
      </c>
      <c r="Z43">
        <v>2606.1446249999999</v>
      </c>
      <c r="AA43">
        <v>89477.632125000004</v>
      </c>
      <c r="AB43">
        <v>12526.8684975</v>
      </c>
      <c r="AC43">
        <v>102004.5006225</v>
      </c>
      <c r="AE43">
        <v>102004.5006225</v>
      </c>
      <c r="AF43">
        <v>5100.2250311250009</v>
      </c>
      <c r="AG43">
        <v>107104.72565362501</v>
      </c>
      <c r="AI43">
        <v>107104.72565362501</v>
      </c>
      <c r="AJ43">
        <v>1071.0472565362502</v>
      </c>
      <c r="AK43">
        <v>108175.77291016123</v>
      </c>
      <c r="AL43">
        <v>5408.7886455080625</v>
      </c>
      <c r="AM43">
        <v>113584.56155566932</v>
      </c>
      <c r="AO43">
        <v>113584.56155566932</v>
      </c>
      <c r="AQ43">
        <v>113584.56155566932</v>
      </c>
      <c r="AS43">
        <v>113584.56155566932</v>
      </c>
      <c r="AU43">
        <v>113584.56155566932</v>
      </c>
      <c r="AW43">
        <v>113584.56155566932</v>
      </c>
      <c r="AY43">
        <v>113584.56155566932</v>
      </c>
      <c r="BA43">
        <v>113584.56155566932</v>
      </c>
      <c r="BC43">
        <v>113584.56155566932</v>
      </c>
      <c r="BE43">
        <v>113584.56155566932</v>
      </c>
      <c r="BG43">
        <v>113584.56155566932</v>
      </c>
      <c r="BI43">
        <v>113584.56155566932</v>
      </c>
      <c r="BK43">
        <v>113584.56155566932</v>
      </c>
      <c r="BM43">
        <v>113584.56155566932</v>
      </c>
      <c r="BO43">
        <v>113584.56155566932</v>
      </c>
      <c r="BQ43">
        <v>113584.56155566932</v>
      </c>
      <c r="BS43">
        <v>113584.56155566932</v>
      </c>
      <c r="BT43" s="238">
        <v>113584.56</v>
      </c>
      <c r="BU43" s="238">
        <v>3906200</v>
      </c>
      <c r="BW43">
        <v>0.03</v>
      </c>
      <c r="BX43" s="238">
        <v>117186</v>
      </c>
      <c r="BY43" s="238">
        <v>110177.78423960452</v>
      </c>
      <c r="BZ43" s="238">
        <v>3789014</v>
      </c>
      <c r="CA43" s="238" t="s">
        <v>38</v>
      </c>
      <c r="CB43">
        <v>20000</v>
      </c>
      <c r="CC43">
        <v>130177.78423960452</v>
      </c>
      <c r="CD43" s="238">
        <v>687800</v>
      </c>
      <c r="CE43" s="238">
        <v>4476814</v>
      </c>
      <c r="CF43" t="s">
        <v>4633</v>
      </c>
      <c r="CG43" t="s">
        <v>978</v>
      </c>
      <c r="CH43" s="238" t="s">
        <v>39</v>
      </c>
      <c r="CI43" s="238" t="s">
        <v>39</v>
      </c>
      <c r="CJ43" t="s">
        <v>8950</v>
      </c>
      <c r="CK43" t="s">
        <v>1167</v>
      </c>
      <c r="CL43" t="s">
        <v>8961</v>
      </c>
      <c r="CM43" t="s">
        <v>8973</v>
      </c>
      <c r="CN43" s="238" t="b">
        <v>1</v>
      </c>
      <c r="CO43" t="s">
        <v>5331</v>
      </c>
      <c r="CQ43" t="s">
        <v>6652</v>
      </c>
      <c r="CR43" t="s">
        <v>3246</v>
      </c>
      <c r="CS43" t="s">
        <v>38</v>
      </c>
      <c r="CT43" t="b">
        <v>1</v>
      </c>
      <c r="CU43">
        <v>3906200</v>
      </c>
      <c r="CV43" t="s">
        <v>9002</v>
      </c>
      <c r="CW43">
        <v>0</v>
      </c>
      <c r="CX43">
        <v>3906200</v>
      </c>
      <c r="CY43">
        <v>0</v>
      </c>
      <c r="CZ43" t="b">
        <v>1</v>
      </c>
      <c r="DA43">
        <v>45349</v>
      </c>
      <c r="DB43" t="s">
        <v>5215</v>
      </c>
      <c r="DC43">
        <v>4.6525152660659153E-3</v>
      </c>
      <c r="DD43">
        <v>512.60382315607671</v>
      </c>
      <c r="DE43" s="420" cm="1">
        <f t="array" ref="DE43">_xlfn.XLOOKUP("Дом 5"&amp;Реестр_Д5[[#This Row],[№]]&amp;Реестр_Д5[[#This Row],[Статус]],РД[Дом]&amp;РД[№ кв]&amp;РД[Состояние],РД[Дата подачи на регистрацию],"-",0)</f>
        <v>45349</v>
      </c>
    </row>
    <row r="44" spans="1:109" x14ac:dyDescent="0.25">
      <c r="A44" s="238">
        <v>43</v>
      </c>
      <c r="B44" s="238" t="s">
        <v>6</v>
      </c>
      <c r="C44" s="238">
        <v>7</v>
      </c>
      <c r="D44" s="238">
        <v>2</v>
      </c>
      <c r="E44" s="238">
        <v>2</v>
      </c>
      <c r="F44" s="238">
        <v>15.82</v>
      </c>
      <c r="G44" s="238">
        <v>15.54</v>
      </c>
      <c r="H44" s="238"/>
      <c r="I44">
        <v>31.36</v>
      </c>
      <c r="J44" s="238">
        <v>19.440000000000001</v>
      </c>
      <c r="K44" s="238">
        <v>4.42</v>
      </c>
      <c r="L44" s="238"/>
      <c r="M44" s="238">
        <v>3.25</v>
      </c>
      <c r="N44" s="238">
        <v>8.5299999999999994</v>
      </c>
      <c r="O44" s="238">
        <v>3</v>
      </c>
      <c r="P44" s="238"/>
      <c r="R44" s="238">
        <v>3</v>
      </c>
      <c r="S44">
        <v>70</v>
      </c>
      <c r="T44">
        <v>67</v>
      </c>
      <c r="U44" s="238">
        <v>68.5</v>
      </c>
      <c r="V44">
        <v>67.600000000000009</v>
      </c>
      <c r="W44" s="238">
        <v>84168.819000000003</v>
      </c>
      <c r="X44">
        <v>4208.4409500000002</v>
      </c>
      <c r="Y44">
        <v>88377.259950000007</v>
      </c>
      <c r="Z44">
        <v>2651.3177985000002</v>
      </c>
      <c r="AA44">
        <v>91028.577748500014</v>
      </c>
      <c r="AC44">
        <v>91028.577748500014</v>
      </c>
      <c r="AE44">
        <v>91028.577748500014</v>
      </c>
      <c r="AG44">
        <v>91028.577748500014</v>
      </c>
      <c r="AH44">
        <v>-831</v>
      </c>
      <c r="AI44">
        <v>90197.577748500014</v>
      </c>
      <c r="AJ44">
        <v>901.97577748500021</v>
      </c>
      <c r="AK44">
        <v>91099.553525985015</v>
      </c>
      <c r="AL44">
        <v>4554.9776762992506</v>
      </c>
      <c r="AM44">
        <v>95654.531202284285</v>
      </c>
      <c r="AO44">
        <v>95654.531202284285</v>
      </c>
      <c r="AP44">
        <v>1913.0906240456857</v>
      </c>
      <c r="AQ44">
        <v>97567.621826329952</v>
      </c>
      <c r="AS44">
        <v>97567.621826329952</v>
      </c>
      <c r="AT44">
        <v>1951.3524365265991</v>
      </c>
      <c r="AU44">
        <v>99518.974262856558</v>
      </c>
      <c r="AW44">
        <v>99518.974262856558</v>
      </c>
      <c r="AY44">
        <v>99518.974262856558</v>
      </c>
      <c r="BA44">
        <v>99518.974262856558</v>
      </c>
      <c r="BC44">
        <v>99518.974262856558</v>
      </c>
      <c r="BE44">
        <v>99518.974262856558</v>
      </c>
      <c r="BF44">
        <v>497.59487131428278</v>
      </c>
      <c r="BG44">
        <v>100016.56913417084</v>
      </c>
      <c r="BI44">
        <v>100016.56913417084</v>
      </c>
      <c r="BK44">
        <v>100016.56913417084</v>
      </c>
      <c r="BL44">
        <v>6000.9941480502503</v>
      </c>
      <c r="BM44">
        <v>106017.56328222108</v>
      </c>
      <c r="BN44">
        <v>13782.283226688742</v>
      </c>
      <c r="BO44">
        <v>119799.84650890985</v>
      </c>
      <c r="BP44">
        <v>35</v>
      </c>
      <c r="BQ44">
        <v>119834.84650890985</v>
      </c>
      <c r="BS44">
        <v>119834.84650890985</v>
      </c>
      <c r="BT44" s="238">
        <v>119834.85</v>
      </c>
      <c r="BU44" s="238">
        <v>8100900</v>
      </c>
      <c r="BX44" s="238">
        <v>0</v>
      </c>
      <c r="BY44" s="238">
        <v>119835.79881656804</v>
      </c>
      <c r="BZ44" s="238">
        <v>8100900</v>
      </c>
      <c r="CA44" s="238" t="s">
        <v>36</v>
      </c>
      <c r="CC44">
        <v>119835.79881656804</v>
      </c>
      <c r="CD44" s="238">
        <v>0</v>
      </c>
      <c r="CE44" s="238">
        <v>8100900</v>
      </c>
      <c r="CH44" s="238" t="s">
        <v>3</v>
      </c>
      <c r="CI44" s="238" t="s">
        <v>3</v>
      </c>
      <c r="CJ44" t="s">
        <v>8951</v>
      </c>
      <c r="CK44" t="s">
        <v>1167</v>
      </c>
      <c r="CL44" t="s">
        <v>8961</v>
      </c>
      <c r="CM44" t="s">
        <v>8971</v>
      </c>
      <c r="CN44" s="238" t="b">
        <v>1</v>
      </c>
      <c r="CO44" t="s">
        <v>5332</v>
      </c>
      <c r="CQ44" t="s">
        <v>6652</v>
      </c>
      <c r="CR44" t="s">
        <v>3124</v>
      </c>
      <c r="CS44" t="s">
        <v>6871</v>
      </c>
      <c r="CT44" t="b">
        <v>0</v>
      </c>
      <c r="CU44">
        <v>8100900</v>
      </c>
      <c r="CV44">
        <v>8100900</v>
      </c>
      <c r="CW44">
        <v>0</v>
      </c>
      <c r="CX44">
        <v>0</v>
      </c>
      <c r="CY44">
        <v>0</v>
      </c>
      <c r="CZ44" t="b">
        <v>1</v>
      </c>
      <c r="DA44" t="s">
        <v>4246</v>
      </c>
      <c r="DB44" t="s">
        <v>1167</v>
      </c>
      <c r="DC44">
        <v>-1.313868613138669E-2</v>
      </c>
      <c r="DD44">
        <v>-1574.484947954888</v>
      </c>
      <c r="DE44" s="420" t="str" cm="1">
        <f t="array" ref="DE4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5" spans="1:109" hidden="1" x14ac:dyDescent="0.25">
      <c r="A45" s="238">
        <v>44</v>
      </c>
      <c r="B45" s="238" t="s">
        <v>6</v>
      </c>
      <c r="C45" s="238">
        <v>7</v>
      </c>
      <c r="D45" s="238">
        <v>3</v>
      </c>
      <c r="E45" s="238">
        <v>1</v>
      </c>
      <c r="F45" s="238">
        <v>13.6</v>
      </c>
      <c r="G45" s="238"/>
      <c r="H45" s="238"/>
      <c r="I45">
        <v>13.6</v>
      </c>
      <c r="J45" s="238">
        <v>14.97</v>
      </c>
      <c r="K45" s="238">
        <v>4.1100000000000003</v>
      </c>
      <c r="L45" s="238"/>
      <c r="M45" s="238"/>
      <c r="N45" s="238">
        <v>3.7</v>
      </c>
      <c r="O45" s="238">
        <v>2.69</v>
      </c>
      <c r="P45" s="238"/>
      <c r="R45" s="238">
        <v>2.69</v>
      </c>
      <c r="S45">
        <v>39.07</v>
      </c>
      <c r="T45">
        <v>36.380000000000003</v>
      </c>
      <c r="U45" s="238">
        <v>37.729999999999997</v>
      </c>
      <c r="V45">
        <v>37.350000000000009</v>
      </c>
      <c r="W45" s="238">
        <v>87601.5</v>
      </c>
      <c r="X45">
        <v>4380.0749999999998</v>
      </c>
      <c r="Y45">
        <v>91981.574999999997</v>
      </c>
      <c r="Z45">
        <v>2759.4472499999997</v>
      </c>
      <c r="AA45">
        <v>94741.022249999995</v>
      </c>
      <c r="AB45">
        <v>6631.8715575000006</v>
      </c>
      <c r="AC45">
        <v>101372.8938075</v>
      </c>
      <c r="AE45">
        <v>101372.8938075</v>
      </c>
      <c r="AF45">
        <v>5068.6446903750002</v>
      </c>
      <c r="AG45">
        <v>106441.53849787499</v>
      </c>
      <c r="AI45">
        <v>106441.53849787499</v>
      </c>
      <c r="AJ45">
        <v>1064.4153849787499</v>
      </c>
      <c r="AK45">
        <v>107505.95388285376</v>
      </c>
      <c r="AL45">
        <v>5375.2976941426878</v>
      </c>
      <c r="AM45">
        <v>112881.25157699644</v>
      </c>
      <c r="AO45">
        <v>112881.25157699644</v>
      </c>
      <c r="AQ45">
        <v>112881.25157699644</v>
      </c>
      <c r="AS45">
        <v>112881.25157699644</v>
      </c>
      <c r="AU45">
        <v>112881.25157699644</v>
      </c>
      <c r="AW45">
        <v>112881.25157699644</v>
      </c>
      <c r="AY45">
        <v>112881.25157699644</v>
      </c>
      <c r="BA45">
        <v>112881.25157699644</v>
      </c>
      <c r="BC45">
        <v>112881.25157699644</v>
      </c>
      <c r="BE45">
        <v>112881.25157699644</v>
      </c>
      <c r="BG45">
        <v>112881.25157699644</v>
      </c>
      <c r="BI45">
        <v>112881.25157699644</v>
      </c>
      <c r="BK45">
        <v>112881.25157699644</v>
      </c>
      <c r="BM45">
        <v>112881.25157699644</v>
      </c>
      <c r="BO45">
        <v>112881.25157699644</v>
      </c>
      <c r="BQ45">
        <v>112881.25157699644</v>
      </c>
      <c r="BS45">
        <v>112881.25157699644</v>
      </c>
      <c r="BT45" s="238">
        <v>112881.25</v>
      </c>
      <c r="BU45" s="238">
        <v>4259100</v>
      </c>
      <c r="BV45">
        <v>88888</v>
      </c>
      <c r="BX45" s="238">
        <v>88888</v>
      </c>
      <c r="BY45" s="238">
        <v>110527.74980121919</v>
      </c>
      <c r="BZ45" s="238">
        <v>4170212</v>
      </c>
      <c r="CA45" s="238" t="s">
        <v>36</v>
      </c>
      <c r="CC45">
        <v>110527.74980121919</v>
      </c>
      <c r="CD45" s="238">
        <v>0</v>
      </c>
      <c r="CE45" s="238">
        <v>4170212</v>
      </c>
      <c r="CG45" t="s">
        <v>4185</v>
      </c>
      <c r="CH45" s="238" t="s">
        <v>39</v>
      </c>
      <c r="CI45" s="238" t="s">
        <v>39</v>
      </c>
      <c r="CJ45" t="s">
        <v>8950</v>
      </c>
      <c r="CK45" t="s">
        <v>1167</v>
      </c>
      <c r="CL45" t="s">
        <v>8961</v>
      </c>
      <c r="CM45" t="s">
        <v>8972</v>
      </c>
      <c r="CN45" s="238" t="b">
        <v>1</v>
      </c>
      <c r="CO45" t="s">
        <v>5333</v>
      </c>
      <c r="CQ45" t="s">
        <v>6652</v>
      </c>
      <c r="CR45" t="s">
        <v>3246</v>
      </c>
      <c r="CS45" t="s">
        <v>36</v>
      </c>
      <c r="CT45" t="b">
        <v>1</v>
      </c>
      <c r="CU45">
        <v>4259100</v>
      </c>
      <c r="CV45" t="s">
        <v>9002</v>
      </c>
      <c r="CW45">
        <v>0</v>
      </c>
      <c r="CX45">
        <v>4259100</v>
      </c>
      <c r="CY45">
        <v>0</v>
      </c>
      <c r="CZ45" t="b">
        <v>1</v>
      </c>
      <c r="DA45">
        <v>45367</v>
      </c>
      <c r="DB45" t="s">
        <v>4177</v>
      </c>
      <c r="DC45">
        <v>-1.0071561091968941E-2</v>
      </c>
      <c r="DD45">
        <v>-1113.1869844808368</v>
      </c>
      <c r="DE45" s="420" cm="1">
        <f t="array" ref="DE45">_xlfn.XLOOKUP("Дом 5"&amp;Реестр_Д5[[#This Row],[№]]&amp;Реестр_Д5[[#This Row],[Статус]],РД[Дом]&amp;РД[№ кв]&amp;РД[Состояние],РД[Дата подачи на регистрацию],"-",0)</f>
        <v>45367</v>
      </c>
    </row>
    <row r="46" spans="1:109" hidden="1" x14ac:dyDescent="0.25">
      <c r="A46" s="238">
        <v>45</v>
      </c>
      <c r="B46" s="238" t="s">
        <v>6</v>
      </c>
      <c r="C46" s="238">
        <v>7</v>
      </c>
      <c r="D46" s="238">
        <v>4</v>
      </c>
      <c r="E46" s="238">
        <v>2</v>
      </c>
      <c r="F46" s="238">
        <v>16.61</v>
      </c>
      <c r="G46" s="238">
        <v>11.38</v>
      </c>
      <c r="H46" s="238"/>
      <c r="I46">
        <v>27.99</v>
      </c>
      <c r="J46" s="238">
        <v>14.58</v>
      </c>
      <c r="K46" s="238">
        <v>4.34</v>
      </c>
      <c r="L46" s="238">
        <v>2.08</v>
      </c>
      <c r="M46" s="238"/>
      <c r="N46" s="238">
        <v>8.82</v>
      </c>
      <c r="O46" s="238">
        <v>2.56</v>
      </c>
      <c r="P46" s="238"/>
      <c r="R46" s="238">
        <v>2.56</v>
      </c>
      <c r="S46">
        <v>60.37</v>
      </c>
      <c r="T46">
        <v>57.81</v>
      </c>
      <c r="U46" s="238">
        <v>59.09</v>
      </c>
      <c r="V46">
        <v>58.7</v>
      </c>
      <c r="W46" s="238">
        <v>80307.864000000001</v>
      </c>
      <c r="X46">
        <v>4015.3932</v>
      </c>
      <c r="Y46">
        <v>84323.257199999993</v>
      </c>
      <c r="Z46">
        <v>2529.6977160000001</v>
      </c>
      <c r="AA46">
        <v>86852.954916000002</v>
      </c>
      <c r="AC46">
        <v>86852.954916000002</v>
      </c>
      <c r="AE46">
        <v>86852.954916000002</v>
      </c>
      <c r="AG46">
        <v>86852.954916000002</v>
      </c>
      <c r="AI46">
        <v>86852.954916000002</v>
      </c>
      <c r="AJ46">
        <v>868.52954915999999</v>
      </c>
      <c r="AK46">
        <v>87721.48446516</v>
      </c>
      <c r="AL46">
        <v>4386.0742232580005</v>
      </c>
      <c r="AM46">
        <v>92107.558688417994</v>
      </c>
      <c r="AO46">
        <v>92107.558688417994</v>
      </c>
      <c r="AP46">
        <v>1842.15117376836</v>
      </c>
      <c r="AQ46">
        <v>93949.709862186355</v>
      </c>
      <c r="AS46">
        <v>93949.709862186355</v>
      </c>
      <c r="AU46">
        <v>93949.709862186355</v>
      </c>
      <c r="AW46">
        <v>93949.709862186355</v>
      </c>
      <c r="AY46">
        <v>93949.709862186355</v>
      </c>
      <c r="BA46">
        <v>93949.709862186355</v>
      </c>
      <c r="BC46">
        <v>93949.709862186355</v>
      </c>
      <c r="BE46">
        <v>93949.709862186355</v>
      </c>
      <c r="BG46">
        <v>93949.709862186355</v>
      </c>
      <c r="BI46">
        <v>93949.709862186355</v>
      </c>
      <c r="BK46">
        <v>93949.709862186355</v>
      </c>
      <c r="BM46">
        <v>93949.709862186355</v>
      </c>
      <c r="BO46">
        <v>93949.709862186355</v>
      </c>
      <c r="BQ46">
        <v>93949.709862186355</v>
      </c>
      <c r="BS46">
        <v>93949.709862186355</v>
      </c>
      <c r="BT46" s="238">
        <v>93949.71</v>
      </c>
      <c r="BU46" s="238">
        <v>5551500</v>
      </c>
      <c r="BW46">
        <v>0.03</v>
      </c>
      <c r="BX46" s="238">
        <v>166545</v>
      </c>
      <c r="BY46" s="238">
        <v>91131.409713995599</v>
      </c>
      <c r="BZ46" s="238">
        <v>5384955</v>
      </c>
      <c r="CA46" s="238" t="s">
        <v>6871</v>
      </c>
      <c r="CB46">
        <v>7000</v>
      </c>
      <c r="CC46">
        <v>98131.409713995599</v>
      </c>
      <c r="CD46" s="238">
        <v>413630</v>
      </c>
      <c r="CE46" s="238">
        <v>5798585</v>
      </c>
      <c r="CG46" t="s">
        <v>7054</v>
      </c>
      <c r="CH46" s="238" t="s">
        <v>39</v>
      </c>
      <c r="CI46" s="238" t="s">
        <v>39</v>
      </c>
      <c r="CJ46" t="s">
        <v>8950</v>
      </c>
      <c r="CK46" t="s">
        <v>1167</v>
      </c>
      <c r="CL46" t="s">
        <v>8961</v>
      </c>
      <c r="CM46" t="s">
        <v>8971</v>
      </c>
      <c r="CN46" s="238" t="b">
        <v>1</v>
      </c>
      <c r="CO46" t="s">
        <v>5334</v>
      </c>
      <c r="CQ46" t="s">
        <v>6652</v>
      </c>
      <c r="CR46" t="s">
        <v>3246</v>
      </c>
      <c r="CS46" t="s">
        <v>6871</v>
      </c>
      <c r="CT46" t="b">
        <v>1</v>
      </c>
      <c r="CU46">
        <v>5551500</v>
      </c>
      <c r="CV46" t="s">
        <v>9002</v>
      </c>
      <c r="CW46">
        <v>0</v>
      </c>
      <c r="CX46">
        <v>5551500</v>
      </c>
      <c r="CY46">
        <v>0</v>
      </c>
      <c r="CZ46" t="b">
        <v>1</v>
      </c>
      <c r="DA46">
        <v>45377</v>
      </c>
      <c r="DB46" t="s">
        <v>126</v>
      </c>
      <c r="DC46">
        <v>-6.6001015400236618E-3</v>
      </c>
      <c r="DD46">
        <v>-601.4765575978696</v>
      </c>
      <c r="DE46" s="420" cm="1">
        <f t="array" ref="DE46">_xlfn.XLOOKUP("Дом 5"&amp;Реестр_Д5[[#This Row],[№]]&amp;Реестр_Д5[[#This Row],[Статус]],РД[Дом]&amp;РД[№ кв]&amp;РД[Состояние],РД[Дата подачи на регистрацию],"-",0)</f>
        <v>45377</v>
      </c>
    </row>
    <row r="47" spans="1:109" hidden="1" x14ac:dyDescent="0.25">
      <c r="A47" s="238">
        <v>46</v>
      </c>
      <c r="B47" s="238" t="s">
        <v>6</v>
      </c>
      <c r="C47" s="238">
        <v>7</v>
      </c>
      <c r="D47" s="238">
        <v>5</v>
      </c>
      <c r="E47" s="238">
        <v>2</v>
      </c>
      <c r="F47" s="238">
        <v>16.46</v>
      </c>
      <c r="G47" s="238">
        <v>12.47</v>
      </c>
      <c r="H47" s="238"/>
      <c r="I47">
        <v>28.93</v>
      </c>
      <c r="J47" s="238">
        <v>18</v>
      </c>
      <c r="K47" s="238">
        <v>4.3499999999999996</v>
      </c>
      <c r="L47" s="238">
        <v>1.55</v>
      </c>
      <c r="M47" s="238"/>
      <c r="N47" s="238">
        <v>8</v>
      </c>
      <c r="O47" s="238">
        <v>2.67</v>
      </c>
      <c r="P47" s="238"/>
      <c r="R47" s="238">
        <v>2.67</v>
      </c>
      <c r="S47">
        <v>63.5</v>
      </c>
      <c r="T47">
        <v>60.83</v>
      </c>
      <c r="U47" s="238">
        <v>62.17</v>
      </c>
      <c r="V47">
        <v>61.749999999999993</v>
      </c>
      <c r="W47" s="238">
        <v>80307.864000000001</v>
      </c>
      <c r="X47">
        <v>4015.3932</v>
      </c>
      <c r="Y47">
        <v>84323.257199999993</v>
      </c>
      <c r="Z47">
        <v>2529.6977160000001</v>
      </c>
      <c r="AA47">
        <v>86852.954916000002</v>
      </c>
      <c r="AC47">
        <v>86852.954916000002</v>
      </c>
      <c r="AE47">
        <v>86852.954916000002</v>
      </c>
      <c r="AG47">
        <v>86852.954916000002</v>
      </c>
      <c r="AI47">
        <v>86852.954916000002</v>
      </c>
      <c r="AK47">
        <v>86852.954916000002</v>
      </c>
      <c r="AM47">
        <v>86852.954916000002</v>
      </c>
      <c r="AO47">
        <v>86852.954916000002</v>
      </c>
      <c r="AQ47">
        <v>86852.954916000002</v>
      </c>
      <c r="AS47">
        <v>86852.954916000002</v>
      </c>
      <c r="AU47">
        <v>86852.954916000002</v>
      </c>
      <c r="AW47">
        <v>86852.954916000002</v>
      </c>
      <c r="AY47">
        <v>86852.954916000002</v>
      </c>
      <c r="BA47">
        <v>86852.954916000002</v>
      </c>
      <c r="BC47">
        <v>86852.954916000002</v>
      </c>
      <c r="BE47">
        <v>86852.954916000002</v>
      </c>
      <c r="BG47">
        <v>86852.954916000002</v>
      </c>
      <c r="BI47">
        <v>86852.954916000002</v>
      </c>
      <c r="BK47">
        <v>86852.954916000002</v>
      </c>
      <c r="BM47">
        <v>86852.954916000002</v>
      </c>
      <c r="BO47">
        <v>86852.954916000002</v>
      </c>
      <c r="BQ47">
        <v>86852.954916000002</v>
      </c>
      <c r="BS47">
        <v>86852.954916000002</v>
      </c>
      <c r="BT47" s="238">
        <v>86852.95</v>
      </c>
      <c r="BU47" s="238">
        <v>5399700</v>
      </c>
      <c r="BV47">
        <v>30000</v>
      </c>
      <c r="BX47" s="238">
        <v>30000</v>
      </c>
      <c r="BY47" s="238">
        <v>86371.240147981342</v>
      </c>
      <c r="BZ47" s="238">
        <v>5369700</v>
      </c>
      <c r="CA47" s="238" t="s">
        <v>38</v>
      </c>
      <c r="CB47">
        <v>22000</v>
      </c>
      <c r="CC47">
        <v>108371.24014798134</v>
      </c>
      <c r="CD47" s="238">
        <v>1367740</v>
      </c>
      <c r="CE47" s="238">
        <v>6737440</v>
      </c>
      <c r="CG47" t="s">
        <v>6732</v>
      </c>
      <c r="CH47" s="238" t="s">
        <v>39</v>
      </c>
      <c r="CI47" s="238" t="s">
        <v>39</v>
      </c>
      <c r="CJ47" t="s">
        <v>8950</v>
      </c>
      <c r="CK47" t="s">
        <v>1167</v>
      </c>
      <c r="CL47" t="s">
        <v>8961</v>
      </c>
      <c r="CM47" t="s">
        <v>8971</v>
      </c>
      <c r="CN47" s="238" t="b">
        <v>1</v>
      </c>
      <c r="CO47" t="s">
        <v>5335</v>
      </c>
      <c r="CQ47" t="s">
        <v>6652</v>
      </c>
      <c r="CR47" t="s">
        <v>3246</v>
      </c>
      <c r="CS47" t="s">
        <v>38</v>
      </c>
      <c r="CT47" t="b">
        <v>1</v>
      </c>
      <c r="CU47">
        <v>5399700</v>
      </c>
      <c r="CV47" t="s">
        <v>9002</v>
      </c>
      <c r="CW47">
        <v>0</v>
      </c>
      <c r="CX47">
        <v>5399700</v>
      </c>
      <c r="CY47">
        <v>0</v>
      </c>
      <c r="CZ47" t="b">
        <v>1</v>
      </c>
      <c r="DA47">
        <v>45272</v>
      </c>
      <c r="DB47" t="s">
        <v>126</v>
      </c>
      <c r="DC47">
        <v>-6.7556699372689488E-3</v>
      </c>
      <c r="DD47">
        <v>-583.4955905123544</v>
      </c>
      <c r="DE47" s="420" cm="1">
        <f t="array" ref="DE47">_xlfn.XLOOKUP("Дом 5"&amp;Реестр_Д5[[#This Row],[№]]&amp;Реестр_Д5[[#This Row],[Статус]],РД[Дом]&amp;РД[№ кв]&amp;РД[Состояние],РД[Дата подачи на регистрацию],"-",0)</f>
        <v>45272</v>
      </c>
    </row>
    <row r="48" spans="1:109" hidden="1" x14ac:dyDescent="0.25">
      <c r="A48" s="238">
        <v>47</v>
      </c>
      <c r="B48" s="238" t="s">
        <v>6</v>
      </c>
      <c r="C48" s="238">
        <v>7</v>
      </c>
      <c r="D48" s="238">
        <v>6</v>
      </c>
      <c r="E48" s="238">
        <v>2</v>
      </c>
      <c r="F48" s="238">
        <v>14.64</v>
      </c>
      <c r="G48" s="238">
        <v>10.74</v>
      </c>
      <c r="H48" s="238"/>
      <c r="I48">
        <v>25.380000000000003</v>
      </c>
      <c r="J48" s="238">
        <v>14.35</v>
      </c>
      <c r="K48" s="238">
        <v>4.16</v>
      </c>
      <c r="L48" s="238">
        <v>1.93</v>
      </c>
      <c r="M48" s="238"/>
      <c r="N48" s="238">
        <v>11.03</v>
      </c>
      <c r="O48" s="238">
        <v>2.6219999999999999</v>
      </c>
      <c r="P48" s="238"/>
      <c r="R48" s="238">
        <v>2.6219999999999999</v>
      </c>
      <c r="S48">
        <v>59.47</v>
      </c>
      <c r="T48">
        <v>56.85</v>
      </c>
      <c r="U48" s="238">
        <v>58.16</v>
      </c>
      <c r="V48">
        <v>57.899999999999991</v>
      </c>
      <c r="W48" s="238">
        <v>81466.150500000003</v>
      </c>
      <c r="X48">
        <v>4073.3075250000002</v>
      </c>
      <c r="Y48">
        <v>85539.458025</v>
      </c>
      <c r="Z48">
        <v>2566.1837407499997</v>
      </c>
      <c r="AA48">
        <v>88105.641765749999</v>
      </c>
      <c r="AC48">
        <v>88105.641765749999</v>
      </c>
      <c r="AE48">
        <v>88105.641765749999</v>
      </c>
      <c r="AG48">
        <v>88105.641765749999</v>
      </c>
      <c r="AI48">
        <v>88105.641765749999</v>
      </c>
      <c r="AJ48">
        <v>881.05641765749999</v>
      </c>
      <c r="AK48">
        <v>88986.698183407498</v>
      </c>
      <c r="AL48">
        <v>4449.3349091703749</v>
      </c>
      <c r="AM48">
        <v>93436.033092577869</v>
      </c>
      <c r="AO48">
        <v>93436.033092577869</v>
      </c>
      <c r="AP48">
        <v>1868.7206618515577</v>
      </c>
      <c r="AQ48">
        <v>95304.753754429446</v>
      </c>
      <c r="AS48">
        <v>95304.753754429446</v>
      </c>
      <c r="AT48">
        <v>1906.0950750885888</v>
      </c>
      <c r="AU48">
        <v>97210.848829518014</v>
      </c>
      <c r="AW48">
        <v>97210.848829518014</v>
      </c>
      <c r="AX48">
        <v>972.10848829518011</v>
      </c>
      <c r="AY48">
        <v>98182.957317813198</v>
      </c>
      <c r="BA48">
        <v>98182.957317813198</v>
      </c>
      <c r="BC48">
        <v>98182.957317813198</v>
      </c>
      <c r="BE48">
        <v>98182.957317813198</v>
      </c>
      <c r="BF48">
        <v>1472.7443597671979</v>
      </c>
      <c r="BG48">
        <v>99655.701677580393</v>
      </c>
      <c r="BI48">
        <v>99655.701677580393</v>
      </c>
      <c r="BK48">
        <v>99655.701677580393</v>
      </c>
      <c r="BM48">
        <v>99655.701677580393</v>
      </c>
      <c r="BO48">
        <v>99655.701677580393</v>
      </c>
      <c r="BQ48">
        <v>99655.701677580393</v>
      </c>
      <c r="BS48">
        <v>99655.701677580393</v>
      </c>
      <c r="BT48" s="238">
        <v>99655.7</v>
      </c>
      <c r="BU48" s="238">
        <v>5796000</v>
      </c>
      <c r="BX48" s="238">
        <v>0</v>
      </c>
      <c r="BY48" s="238">
        <v>99656.121045392021</v>
      </c>
      <c r="BZ48" s="238">
        <v>5796000</v>
      </c>
      <c r="CA48" s="238" t="s">
        <v>6871</v>
      </c>
      <c r="CB48">
        <v>7000</v>
      </c>
      <c r="CC48">
        <v>106656.12104539202</v>
      </c>
      <c r="CD48" s="238">
        <v>407120</v>
      </c>
      <c r="CE48" s="238">
        <v>6203120</v>
      </c>
      <c r="CH48" s="238" t="s">
        <v>39</v>
      </c>
      <c r="CI48" s="238" t="s">
        <v>39</v>
      </c>
      <c r="CJ48" t="s">
        <v>8950</v>
      </c>
      <c r="CK48" t="s">
        <v>1167</v>
      </c>
      <c r="CL48" t="s">
        <v>8961</v>
      </c>
      <c r="CM48" t="s">
        <v>8971</v>
      </c>
      <c r="CN48" s="238" t="b">
        <v>1</v>
      </c>
      <c r="CO48" t="s">
        <v>5336</v>
      </c>
      <c r="CQ48" t="s">
        <v>6652</v>
      </c>
      <c r="CR48" t="s">
        <v>3246</v>
      </c>
      <c r="CS48" t="s">
        <v>6871</v>
      </c>
      <c r="CT48" t="b">
        <v>1</v>
      </c>
      <c r="CU48">
        <v>5796000</v>
      </c>
      <c r="CV48" t="s">
        <v>9002</v>
      </c>
      <c r="CW48">
        <v>0</v>
      </c>
      <c r="CX48">
        <v>5796000</v>
      </c>
      <c r="CY48">
        <v>0</v>
      </c>
      <c r="CZ48" t="b">
        <v>1</v>
      </c>
      <c r="DA48">
        <v>45502</v>
      </c>
      <c r="DB48" t="s">
        <v>5215</v>
      </c>
      <c r="DC48">
        <v>-4.4704264099038049E-3</v>
      </c>
      <c r="DD48">
        <v>-445.50535542989087</v>
      </c>
      <c r="DE48" s="420" cm="1">
        <f t="array" ref="DE48">_xlfn.XLOOKUP("Дом 5"&amp;Реестр_Д5[[#This Row],[№]]&amp;Реестр_Д5[[#This Row],[Статус]],РД[Дом]&amp;РД[№ кв]&amp;РД[Состояние],РД[Дата подачи на регистрацию],"-",0)</f>
        <v>45502</v>
      </c>
    </row>
    <row r="49" spans="1:109" hidden="1" x14ac:dyDescent="0.25">
      <c r="A49" s="238">
        <v>48</v>
      </c>
      <c r="B49" s="238" t="s">
        <v>6</v>
      </c>
      <c r="C49" s="238">
        <v>7</v>
      </c>
      <c r="D49" s="238">
        <v>7</v>
      </c>
      <c r="E49" s="238">
        <v>1</v>
      </c>
      <c r="F49" s="238">
        <v>18.489999999999998</v>
      </c>
      <c r="G49" s="238"/>
      <c r="H49" s="238"/>
      <c r="I49">
        <v>18.489999999999998</v>
      </c>
      <c r="J49" s="238">
        <v>13.04</v>
      </c>
      <c r="K49" s="238">
        <v>3.9</v>
      </c>
      <c r="L49" s="238"/>
      <c r="M49" s="238"/>
      <c r="N49" s="238">
        <v>5.99</v>
      </c>
      <c r="O49" s="238">
        <v>2.65</v>
      </c>
      <c r="P49" s="238"/>
      <c r="R49" s="238">
        <v>2.65</v>
      </c>
      <c r="S49">
        <v>44.07</v>
      </c>
      <c r="T49">
        <v>41.42</v>
      </c>
      <c r="U49" s="238">
        <v>42.75</v>
      </c>
      <c r="V49">
        <v>42.65</v>
      </c>
      <c r="W49" s="238">
        <v>83951.4375</v>
      </c>
      <c r="X49">
        <v>4197.5718750000005</v>
      </c>
      <c r="Y49">
        <v>88149.009374999994</v>
      </c>
      <c r="Z49">
        <v>2644.4702812499995</v>
      </c>
      <c r="AA49">
        <v>90793.479656249998</v>
      </c>
      <c r="AB49">
        <v>3631.7391862499999</v>
      </c>
      <c r="AC49">
        <v>94425.218842499977</v>
      </c>
      <c r="AE49">
        <v>94425.218842499977</v>
      </c>
      <c r="AF49">
        <v>4721.2609421249999</v>
      </c>
      <c r="AG49">
        <v>99146.479784624986</v>
      </c>
      <c r="AI49">
        <v>99146.479784624986</v>
      </c>
      <c r="AJ49">
        <v>991.46479784624989</v>
      </c>
      <c r="AK49">
        <v>100137.94458247125</v>
      </c>
      <c r="AL49">
        <v>5006.8972291235623</v>
      </c>
      <c r="AM49">
        <v>105144.8418115948</v>
      </c>
      <c r="AO49">
        <v>105144.8418115948</v>
      </c>
      <c r="AP49">
        <v>3154.3452543478434</v>
      </c>
      <c r="AQ49">
        <v>108299.18706594263</v>
      </c>
      <c r="AS49">
        <v>108299.18706594263</v>
      </c>
      <c r="AU49">
        <v>108299.18706594263</v>
      </c>
      <c r="AW49">
        <v>108299.18706594263</v>
      </c>
      <c r="AY49">
        <v>108299.18706594263</v>
      </c>
      <c r="BA49">
        <v>108299.18706594263</v>
      </c>
      <c r="BB49">
        <v>541.49593532971323</v>
      </c>
      <c r="BC49">
        <v>108840.68300127237</v>
      </c>
      <c r="BE49">
        <v>108840.68300127237</v>
      </c>
      <c r="BF49">
        <v>1632.6102450190851</v>
      </c>
      <c r="BG49">
        <v>110473.29324629145</v>
      </c>
      <c r="BI49">
        <v>110473.29324629145</v>
      </c>
      <c r="BK49">
        <v>110473.29324629145</v>
      </c>
      <c r="BM49">
        <v>110473.29324629145</v>
      </c>
      <c r="BO49">
        <v>110473.29324629145</v>
      </c>
      <c r="BQ49">
        <v>110473.29324629145</v>
      </c>
      <c r="BS49">
        <v>110473.29324629145</v>
      </c>
      <c r="BT49" s="238">
        <v>110473.29</v>
      </c>
      <c r="BU49" s="238">
        <v>4722800</v>
      </c>
      <c r="BW49">
        <v>0.02</v>
      </c>
      <c r="BX49" s="238">
        <v>94456</v>
      </c>
      <c r="BY49" s="238">
        <v>108265.35672514619</v>
      </c>
      <c r="BZ49" s="238">
        <v>4628344</v>
      </c>
      <c r="CA49" s="238" t="s">
        <v>36</v>
      </c>
      <c r="CC49">
        <v>108265.35672514619</v>
      </c>
      <c r="CD49" s="238">
        <v>0</v>
      </c>
      <c r="CE49" s="238">
        <v>4628344</v>
      </c>
      <c r="CG49" t="s">
        <v>3540</v>
      </c>
      <c r="CH49" s="238" t="s">
        <v>39</v>
      </c>
      <c r="CI49" s="238" t="s">
        <v>39</v>
      </c>
      <c r="CJ49" t="s">
        <v>8950</v>
      </c>
      <c r="CK49" t="s">
        <v>1167</v>
      </c>
      <c r="CL49" t="s">
        <v>8961</v>
      </c>
      <c r="CM49" t="s">
        <v>8973</v>
      </c>
      <c r="CN49" s="238" t="b">
        <v>1</v>
      </c>
      <c r="CO49" t="s">
        <v>5337</v>
      </c>
      <c r="CQ49" t="s">
        <v>6652</v>
      </c>
      <c r="CR49" t="s">
        <v>3246</v>
      </c>
      <c r="CS49" t="s">
        <v>36</v>
      </c>
      <c r="CT49" t="b">
        <v>1</v>
      </c>
      <c r="CU49">
        <v>4722800</v>
      </c>
      <c r="CV49" t="s">
        <v>9002</v>
      </c>
      <c r="CW49">
        <v>0</v>
      </c>
      <c r="CX49">
        <v>4722800</v>
      </c>
      <c r="CY49">
        <v>0</v>
      </c>
      <c r="CZ49" t="b">
        <v>1</v>
      </c>
      <c r="DA49">
        <v>45590</v>
      </c>
      <c r="DB49" t="s">
        <v>126</v>
      </c>
      <c r="DC49">
        <v>-2.3391812865497519E-3</v>
      </c>
      <c r="DD49">
        <v>-253.2522964330953</v>
      </c>
      <c r="DE49" s="420" cm="1">
        <f t="array" ref="DE49">_xlfn.XLOOKUP("Дом 5"&amp;Реестр_Д5[[#This Row],[№]]&amp;Реестр_Д5[[#This Row],[Статус]],РД[Дом]&amp;РД[№ кв]&amp;РД[Состояние],РД[Дата подачи на регистрацию],"-",0)</f>
        <v>45590</v>
      </c>
    </row>
    <row r="50" spans="1:109" hidden="1" x14ac:dyDescent="0.25">
      <c r="A50" s="238">
        <v>49</v>
      </c>
      <c r="B50" s="238" t="s">
        <v>6</v>
      </c>
      <c r="C50" s="238">
        <v>8</v>
      </c>
      <c r="D50" s="238">
        <v>1</v>
      </c>
      <c r="E50" s="238">
        <v>1</v>
      </c>
      <c r="F50" s="238">
        <v>14.68</v>
      </c>
      <c r="G50" s="238"/>
      <c r="H50" s="238"/>
      <c r="I50">
        <v>14.68</v>
      </c>
      <c r="J50" s="238">
        <v>9.84</v>
      </c>
      <c r="K50" s="238">
        <v>3.63</v>
      </c>
      <c r="L50" s="238"/>
      <c r="M50" s="238"/>
      <c r="N50" s="238">
        <v>4.8899999999999997</v>
      </c>
      <c r="O50" s="238">
        <v>2.7</v>
      </c>
      <c r="P50" s="238"/>
      <c r="R50" s="238">
        <v>2.7</v>
      </c>
      <c r="S50">
        <v>35.74</v>
      </c>
      <c r="T50">
        <v>33.04</v>
      </c>
      <c r="U50" s="238">
        <v>34.39</v>
      </c>
      <c r="V50">
        <v>34.25</v>
      </c>
      <c r="W50" s="238">
        <v>82734.75</v>
      </c>
      <c r="X50">
        <v>4136.7375000000002</v>
      </c>
      <c r="Y50">
        <v>86871.487500000003</v>
      </c>
      <c r="Z50">
        <v>2606.1446249999999</v>
      </c>
      <c r="AA50">
        <v>89477.632125000004</v>
      </c>
      <c r="AB50">
        <v>12526.8684975</v>
      </c>
      <c r="AC50">
        <v>102004.5006225</v>
      </c>
      <c r="AE50">
        <v>102004.5006225</v>
      </c>
      <c r="AF50">
        <v>5100.2250311250009</v>
      </c>
      <c r="AG50">
        <v>107104.72565362501</v>
      </c>
      <c r="AI50">
        <v>107104.72565362501</v>
      </c>
      <c r="AJ50">
        <v>1071.0472565362502</v>
      </c>
      <c r="AK50">
        <v>108175.77291016123</v>
      </c>
      <c r="AL50">
        <v>5408.7886455080625</v>
      </c>
      <c r="AM50">
        <v>113584.56155566932</v>
      </c>
      <c r="AO50">
        <v>113584.56155566932</v>
      </c>
      <c r="AP50">
        <v>3407.5368466700793</v>
      </c>
      <c r="AQ50">
        <v>116992.09840233938</v>
      </c>
      <c r="AS50">
        <v>116992.09840233938</v>
      </c>
      <c r="AU50">
        <v>116992.09840233938</v>
      </c>
      <c r="AW50">
        <v>116992.09840233938</v>
      </c>
      <c r="AY50">
        <v>116992.09840233938</v>
      </c>
      <c r="AZ50">
        <v>2339.8419680467882</v>
      </c>
      <c r="BA50">
        <v>119331.94037038618</v>
      </c>
      <c r="BC50">
        <v>119331.94037038618</v>
      </c>
      <c r="BE50">
        <v>119331.94037038618</v>
      </c>
      <c r="BF50">
        <v>2983.2985092596546</v>
      </c>
      <c r="BG50">
        <v>122315.23887964584</v>
      </c>
      <c r="BI50">
        <v>122315.23887964584</v>
      </c>
      <c r="BK50">
        <v>122315.23887964584</v>
      </c>
      <c r="BM50">
        <v>122315.23887964584</v>
      </c>
      <c r="BO50">
        <v>122315.23887964584</v>
      </c>
      <c r="BQ50">
        <v>122315.23887964584</v>
      </c>
      <c r="BS50">
        <v>122315.23887964584</v>
      </c>
      <c r="BT50" s="238">
        <v>122315.24</v>
      </c>
      <c r="BU50" s="238">
        <v>4206500</v>
      </c>
      <c r="BX50" s="238">
        <v>0</v>
      </c>
      <c r="BY50" s="238">
        <v>122317.53416690898</v>
      </c>
      <c r="BZ50" s="238">
        <v>4206500</v>
      </c>
      <c r="CA50" s="238" t="s">
        <v>6871</v>
      </c>
      <c r="CB50">
        <v>7000</v>
      </c>
      <c r="CC50">
        <v>129317.53416690898</v>
      </c>
      <c r="CD50" s="238">
        <v>240730</v>
      </c>
      <c r="CE50" s="238">
        <v>4447230</v>
      </c>
      <c r="CF50" t="s">
        <v>4633</v>
      </c>
      <c r="CH50" s="238" t="s">
        <v>39</v>
      </c>
      <c r="CI50" s="238" t="s">
        <v>39</v>
      </c>
      <c r="CJ50" t="s">
        <v>8950</v>
      </c>
      <c r="CK50" t="s">
        <v>1167</v>
      </c>
      <c r="CL50" t="s">
        <v>8961</v>
      </c>
      <c r="CM50" t="s">
        <v>8973</v>
      </c>
      <c r="CN50" s="238" t="b">
        <v>1</v>
      </c>
      <c r="CO50" t="s">
        <v>5338</v>
      </c>
      <c r="CQ50" t="s">
        <v>6652</v>
      </c>
      <c r="CR50" t="s">
        <v>3246</v>
      </c>
      <c r="CS50" t="s">
        <v>6871</v>
      </c>
      <c r="CT50" t="b">
        <v>1</v>
      </c>
      <c r="CU50">
        <v>4206500</v>
      </c>
      <c r="CV50" t="s">
        <v>9002</v>
      </c>
      <c r="CW50">
        <v>0</v>
      </c>
      <c r="CX50">
        <v>4206500</v>
      </c>
      <c r="CY50">
        <v>0</v>
      </c>
      <c r="CZ50" t="b">
        <v>1</v>
      </c>
      <c r="DA50">
        <v>45559</v>
      </c>
      <c r="DB50" t="s">
        <v>4177</v>
      </c>
      <c r="DC50">
        <v>-4.0709508578075093E-3</v>
      </c>
      <c r="DD50">
        <v>-497.94867064167744</v>
      </c>
      <c r="DE50" s="420" cm="1">
        <f t="array" ref="DE50">_xlfn.XLOOKUP("Дом 5"&amp;Реестр_Д5[[#This Row],[№]]&amp;Реестр_Д5[[#This Row],[Статус]],РД[Дом]&amp;РД[№ кв]&amp;РД[Состояние],РД[Дата подачи на регистрацию],"-",0)</f>
        <v>45559</v>
      </c>
    </row>
    <row r="51" spans="1:109" hidden="1" x14ac:dyDescent="0.25">
      <c r="A51" s="238">
        <v>50</v>
      </c>
      <c r="B51" s="238" t="s">
        <v>6</v>
      </c>
      <c r="C51" s="238">
        <v>8</v>
      </c>
      <c r="D51" s="238">
        <v>2</v>
      </c>
      <c r="E51" s="238">
        <v>2</v>
      </c>
      <c r="F51" s="238">
        <v>15.82</v>
      </c>
      <c r="G51" s="238">
        <v>15.54</v>
      </c>
      <c r="H51" s="238"/>
      <c r="I51">
        <v>31.36</v>
      </c>
      <c r="J51" s="238">
        <v>19.440000000000001</v>
      </c>
      <c r="K51" s="238">
        <v>4.42</v>
      </c>
      <c r="L51" s="238"/>
      <c r="M51" s="238">
        <v>3.25</v>
      </c>
      <c r="N51" s="238">
        <v>8.5299999999999994</v>
      </c>
      <c r="O51" s="238">
        <v>3</v>
      </c>
      <c r="P51" s="238"/>
      <c r="R51" s="238">
        <v>3</v>
      </c>
      <c r="S51">
        <v>70</v>
      </c>
      <c r="T51">
        <v>67</v>
      </c>
      <c r="U51" s="238">
        <v>68.5</v>
      </c>
      <c r="V51">
        <v>68.599999999999994</v>
      </c>
      <c r="W51" s="238">
        <v>84168.819000000003</v>
      </c>
      <c r="X51">
        <v>4208.4409500000002</v>
      </c>
      <c r="Y51">
        <v>88377.259950000007</v>
      </c>
      <c r="Z51">
        <v>2651.3177985000002</v>
      </c>
      <c r="AA51">
        <v>91028.577748500014</v>
      </c>
      <c r="AC51">
        <v>91028.577748500014</v>
      </c>
      <c r="AE51">
        <v>91028.577748500014</v>
      </c>
      <c r="AG51">
        <v>91028.577748500014</v>
      </c>
      <c r="AH51">
        <v>-831</v>
      </c>
      <c r="AI51">
        <v>90197.577748500014</v>
      </c>
      <c r="AJ51">
        <v>901.97577748500021</v>
      </c>
      <c r="AK51">
        <v>91099.553525985015</v>
      </c>
      <c r="AL51">
        <v>4554.9776762992506</v>
      </c>
      <c r="AM51">
        <v>95654.531202284285</v>
      </c>
      <c r="AO51">
        <v>95654.531202284285</v>
      </c>
      <c r="AP51">
        <v>1913.0906240456857</v>
      </c>
      <c r="AQ51">
        <v>97567.621826329952</v>
      </c>
      <c r="AS51">
        <v>97567.621826329952</v>
      </c>
      <c r="AT51">
        <v>1951.3524365265991</v>
      </c>
      <c r="AU51">
        <v>99518.974262856558</v>
      </c>
      <c r="AW51">
        <v>99518.974262856558</v>
      </c>
      <c r="AY51">
        <v>99518.974262856558</v>
      </c>
      <c r="BA51">
        <v>99518.974262856558</v>
      </c>
      <c r="BC51">
        <v>99518.974262856558</v>
      </c>
      <c r="BE51">
        <v>99518.974262856558</v>
      </c>
      <c r="BG51">
        <v>99518.974262856558</v>
      </c>
      <c r="BI51">
        <v>99518.974262856558</v>
      </c>
      <c r="BK51">
        <v>99518.974262856558</v>
      </c>
      <c r="BM51">
        <v>99518.974262856558</v>
      </c>
      <c r="BO51">
        <v>99518.974262856558</v>
      </c>
      <c r="BQ51">
        <v>99518.974262856558</v>
      </c>
      <c r="BS51">
        <v>99518.974262856558</v>
      </c>
      <c r="BT51" s="238">
        <v>99518.97</v>
      </c>
      <c r="BU51" s="238">
        <v>6817100</v>
      </c>
      <c r="BV51">
        <v>100000</v>
      </c>
      <c r="BX51" s="238">
        <v>100000</v>
      </c>
      <c r="BY51" s="238">
        <v>98059.854014598546</v>
      </c>
      <c r="BZ51" s="238">
        <v>6717100</v>
      </c>
      <c r="CA51" s="238" t="s">
        <v>36</v>
      </c>
      <c r="CC51">
        <v>98059.854014598546</v>
      </c>
      <c r="CD51" s="238">
        <v>0</v>
      </c>
      <c r="CE51" s="238">
        <v>6717100</v>
      </c>
      <c r="CG51" t="s">
        <v>3515</v>
      </c>
      <c r="CH51" s="238" t="s">
        <v>39</v>
      </c>
      <c r="CI51" s="238" t="s">
        <v>39</v>
      </c>
      <c r="CJ51" t="s">
        <v>8950</v>
      </c>
      <c r="CK51" t="s">
        <v>1167</v>
      </c>
      <c r="CL51" t="s">
        <v>8961</v>
      </c>
      <c r="CM51" t="s">
        <v>8971</v>
      </c>
      <c r="CN51" s="238" t="b">
        <v>1</v>
      </c>
      <c r="CO51" t="s">
        <v>5339</v>
      </c>
      <c r="CQ51" t="s">
        <v>6652</v>
      </c>
      <c r="CR51" t="s">
        <v>3246</v>
      </c>
      <c r="CS51" t="s">
        <v>36</v>
      </c>
      <c r="CT51" t="b">
        <v>1</v>
      </c>
      <c r="CU51">
        <v>6817100</v>
      </c>
      <c r="CV51" t="s">
        <v>9002</v>
      </c>
      <c r="CW51">
        <v>0</v>
      </c>
      <c r="CX51">
        <v>6817100</v>
      </c>
      <c r="CY51">
        <v>0</v>
      </c>
      <c r="CZ51" t="b">
        <v>1</v>
      </c>
      <c r="DA51">
        <v>45474</v>
      </c>
      <c r="DB51" t="s">
        <v>4177</v>
      </c>
      <c r="DC51">
        <v>1.4598540145984715E-3</v>
      </c>
      <c r="DD51">
        <v>143.15307155415175</v>
      </c>
      <c r="DE51" s="420" cm="1">
        <f t="array" ref="DE51">_xlfn.XLOOKUP("Дом 5"&amp;Реестр_Д5[[#This Row],[№]]&amp;Реестр_Д5[[#This Row],[Статус]],РД[Дом]&amp;РД[№ кв]&amp;РД[Состояние],РД[Дата подачи на регистрацию],"-",0)</f>
        <v>45474</v>
      </c>
    </row>
    <row r="52" spans="1:109" hidden="1" x14ac:dyDescent="0.25">
      <c r="A52" s="238">
        <v>51</v>
      </c>
      <c r="B52" s="238" t="s">
        <v>6</v>
      </c>
      <c r="C52" s="238">
        <v>8</v>
      </c>
      <c r="D52" s="238">
        <v>3</v>
      </c>
      <c r="E52" s="238">
        <v>1</v>
      </c>
      <c r="F52" s="238">
        <v>13.6</v>
      </c>
      <c r="G52" s="238"/>
      <c r="H52" s="238"/>
      <c r="I52">
        <v>13.6</v>
      </c>
      <c r="J52" s="238">
        <v>14.97</v>
      </c>
      <c r="K52" s="238">
        <v>4.1100000000000003</v>
      </c>
      <c r="L52" s="238"/>
      <c r="M52" s="238"/>
      <c r="N52" s="238">
        <v>3.7</v>
      </c>
      <c r="O52" s="238">
        <v>2.69</v>
      </c>
      <c r="P52" s="238"/>
      <c r="R52" s="238">
        <v>2.69</v>
      </c>
      <c r="S52">
        <v>39.07</v>
      </c>
      <c r="T52">
        <v>36.380000000000003</v>
      </c>
      <c r="U52" s="238">
        <v>37.729999999999997</v>
      </c>
      <c r="V52">
        <v>37.65</v>
      </c>
      <c r="W52" s="238">
        <v>87601.5</v>
      </c>
      <c r="X52">
        <v>4380.0749999999998</v>
      </c>
      <c r="Y52">
        <v>91981.574999999997</v>
      </c>
      <c r="Z52">
        <v>2759.4472499999997</v>
      </c>
      <c r="AA52">
        <v>94741.022249999995</v>
      </c>
      <c r="AB52">
        <v>6631.8715575000006</v>
      </c>
      <c r="AC52">
        <v>101372.8938075</v>
      </c>
      <c r="AE52">
        <v>101372.8938075</v>
      </c>
      <c r="AF52">
        <v>5068.6446903750002</v>
      </c>
      <c r="AG52">
        <v>106441.53849787499</v>
      </c>
      <c r="AI52">
        <v>106441.53849787499</v>
      </c>
      <c r="AJ52">
        <v>1064.4153849787499</v>
      </c>
      <c r="AK52">
        <v>107505.95388285376</v>
      </c>
      <c r="AL52">
        <v>5375.2976941426878</v>
      </c>
      <c r="AM52">
        <v>112881.25157699644</v>
      </c>
      <c r="AO52">
        <v>112881.25157699644</v>
      </c>
      <c r="AP52">
        <v>3386.437547309893</v>
      </c>
      <c r="AQ52">
        <v>116267.68912430631</v>
      </c>
      <c r="AS52">
        <v>116267.68912430631</v>
      </c>
      <c r="AU52">
        <v>116267.68912430631</v>
      </c>
      <c r="AW52">
        <v>116267.68912430631</v>
      </c>
      <c r="AY52">
        <v>116267.68912430631</v>
      </c>
      <c r="BA52">
        <v>116267.68912430631</v>
      </c>
      <c r="BC52">
        <v>116267.68912430631</v>
      </c>
      <c r="BE52">
        <v>116267.68912430631</v>
      </c>
      <c r="BG52">
        <v>116267.68912430631</v>
      </c>
      <c r="BI52">
        <v>116267.68912430631</v>
      </c>
      <c r="BK52">
        <v>116267.68912430631</v>
      </c>
      <c r="BM52">
        <v>116267.68912430631</v>
      </c>
      <c r="BO52">
        <v>116267.68912430631</v>
      </c>
      <c r="BQ52">
        <v>116267.68912430631</v>
      </c>
      <c r="BS52">
        <v>116267.68912430631</v>
      </c>
      <c r="BT52" s="238">
        <v>116267.69</v>
      </c>
      <c r="BU52" s="238">
        <v>4386800</v>
      </c>
      <c r="BX52" s="238">
        <v>0</v>
      </c>
      <c r="BY52" s="238">
        <v>116268.22157434405</v>
      </c>
      <c r="BZ52" s="238">
        <v>4386800</v>
      </c>
      <c r="CA52" s="238" t="s">
        <v>38</v>
      </c>
      <c r="CB52">
        <v>20000</v>
      </c>
      <c r="CC52">
        <v>136268.22157434403</v>
      </c>
      <c r="CD52" s="238">
        <v>754600</v>
      </c>
      <c r="CE52" s="238">
        <v>5141400</v>
      </c>
      <c r="CH52" s="238" t="s">
        <v>39</v>
      </c>
      <c r="CI52" s="238" t="s">
        <v>39</v>
      </c>
      <c r="CJ52" t="s">
        <v>8950</v>
      </c>
      <c r="CK52" t="s">
        <v>1167</v>
      </c>
      <c r="CL52" t="s">
        <v>8961</v>
      </c>
      <c r="CM52" t="s">
        <v>8972</v>
      </c>
      <c r="CN52" s="238" t="b">
        <v>1</v>
      </c>
      <c r="CO52" t="s">
        <v>5340</v>
      </c>
      <c r="CQ52" t="s">
        <v>6652</v>
      </c>
      <c r="CR52" t="s">
        <v>3246</v>
      </c>
      <c r="CS52" t="s">
        <v>38</v>
      </c>
      <c r="CT52" t="b">
        <v>1</v>
      </c>
      <c r="CU52">
        <v>4386800</v>
      </c>
      <c r="CV52" t="s">
        <v>9002</v>
      </c>
      <c r="CW52">
        <v>0</v>
      </c>
      <c r="CX52">
        <v>4386800</v>
      </c>
      <c r="CY52">
        <v>0</v>
      </c>
      <c r="CZ52" t="b">
        <v>1</v>
      </c>
      <c r="DA52">
        <v>45442</v>
      </c>
      <c r="DB52" t="s">
        <v>7181</v>
      </c>
      <c r="DC52">
        <v>-2.1203286509408059E-3</v>
      </c>
      <c r="DD52">
        <v>-246.52684139801559</v>
      </c>
      <c r="DE52" s="420" cm="1">
        <f t="array" ref="DE52">_xlfn.XLOOKUP("Дом 5"&amp;Реестр_Д5[[#This Row],[№]]&amp;Реестр_Д5[[#This Row],[Статус]],РД[Дом]&amp;РД[№ кв]&amp;РД[Состояние],РД[Дата подачи на регистрацию],"-",0)</f>
        <v>45442</v>
      </c>
    </row>
    <row r="53" spans="1:109" x14ac:dyDescent="0.25">
      <c r="A53" s="238">
        <v>52</v>
      </c>
      <c r="B53" s="238" t="s">
        <v>6</v>
      </c>
      <c r="C53" s="238">
        <v>8</v>
      </c>
      <c r="D53" s="238">
        <v>4</v>
      </c>
      <c r="E53" s="238">
        <v>2</v>
      </c>
      <c r="F53" s="238">
        <v>16.61</v>
      </c>
      <c r="G53" s="238">
        <v>11.38</v>
      </c>
      <c r="H53" s="238"/>
      <c r="I53">
        <v>27.99</v>
      </c>
      <c r="J53" s="238">
        <v>14.58</v>
      </c>
      <c r="K53" s="238">
        <v>4.34</v>
      </c>
      <c r="L53" s="238">
        <v>2.08</v>
      </c>
      <c r="M53" s="238"/>
      <c r="N53" s="238">
        <v>8.82</v>
      </c>
      <c r="O53" s="238">
        <v>2.56</v>
      </c>
      <c r="P53" s="238"/>
      <c r="R53" s="238">
        <v>2.56</v>
      </c>
      <c r="S53">
        <v>60.37</v>
      </c>
      <c r="T53">
        <v>57.81</v>
      </c>
      <c r="U53" s="238">
        <v>59.09</v>
      </c>
      <c r="V53">
        <v>58.849999999999994</v>
      </c>
      <c r="W53" s="238">
        <v>80307.864000000001</v>
      </c>
      <c r="X53">
        <v>4015.3932</v>
      </c>
      <c r="Y53">
        <v>84323.257199999993</v>
      </c>
      <c r="Z53">
        <v>2529.6977160000001</v>
      </c>
      <c r="AA53">
        <v>86852.954916000002</v>
      </c>
      <c r="AC53">
        <v>86852.954916000002</v>
      </c>
      <c r="AE53">
        <v>86852.954916000002</v>
      </c>
      <c r="AG53">
        <v>86852.954916000002</v>
      </c>
      <c r="AI53">
        <v>86852.954916000002</v>
      </c>
      <c r="AJ53">
        <v>868.52954915999999</v>
      </c>
      <c r="AK53">
        <v>87721.48446516</v>
      </c>
      <c r="AL53">
        <v>4386.0742232580005</v>
      </c>
      <c r="AM53">
        <v>92107.558688417994</v>
      </c>
      <c r="AO53">
        <v>92107.558688417994</v>
      </c>
      <c r="AP53">
        <v>1842.15117376836</v>
      </c>
      <c r="AQ53">
        <v>93949.709862186355</v>
      </c>
      <c r="AS53">
        <v>93949.709862186355</v>
      </c>
      <c r="AT53">
        <v>1878.9941972437273</v>
      </c>
      <c r="AU53">
        <v>95828.704059430078</v>
      </c>
      <c r="AW53">
        <v>95828.704059430078</v>
      </c>
      <c r="AX53">
        <v>958.28704059430083</v>
      </c>
      <c r="AY53">
        <v>96786.991100024374</v>
      </c>
      <c r="BA53">
        <v>96786.991100024374</v>
      </c>
      <c r="BC53">
        <v>96786.991100024374</v>
      </c>
      <c r="BE53">
        <v>96786.991100024374</v>
      </c>
      <c r="BF53">
        <v>1451.8048665003655</v>
      </c>
      <c r="BG53">
        <v>98238.795966524733</v>
      </c>
      <c r="BI53">
        <v>98238.795966524733</v>
      </c>
      <c r="BJ53">
        <v>3929.5518386609888</v>
      </c>
      <c r="BK53">
        <v>102168.34780518572</v>
      </c>
      <c r="BL53">
        <v>6130.1008683111431</v>
      </c>
      <c r="BM53">
        <v>108298.44867349688</v>
      </c>
      <c r="BN53">
        <v>14078.798327554594</v>
      </c>
      <c r="BO53">
        <v>122377.24700105148</v>
      </c>
      <c r="BP53">
        <v>35</v>
      </c>
      <c r="BQ53">
        <v>122412.24700105148</v>
      </c>
      <c r="BS53">
        <v>122412.24700105148</v>
      </c>
      <c r="BT53" s="238">
        <v>122412.25</v>
      </c>
      <c r="BU53" s="238">
        <v>7204000</v>
      </c>
      <c r="BX53" s="238">
        <v>0</v>
      </c>
      <c r="BY53" s="238">
        <v>122412.91418861512</v>
      </c>
      <c r="BZ53" s="238">
        <v>7204000</v>
      </c>
      <c r="CA53" s="238" t="s">
        <v>36</v>
      </c>
      <c r="CC53">
        <v>122412.91418861512</v>
      </c>
      <c r="CD53" s="238">
        <v>0</v>
      </c>
      <c r="CE53" s="238">
        <v>7204000</v>
      </c>
      <c r="CH53" s="238" t="s">
        <v>3</v>
      </c>
      <c r="CI53" s="238" t="s">
        <v>3</v>
      </c>
      <c r="CJ53" t="s">
        <v>8951</v>
      </c>
      <c r="CK53" t="s">
        <v>1167</v>
      </c>
      <c r="CL53" t="s">
        <v>8961</v>
      </c>
      <c r="CM53" t="s">
        <v>8971</v>
      </c>
      <c r="CN53" s="238" t="b">
        <v>1</v>
      </c>
      <c r="CO53" t="s">
        <v>5341</v>
      </c>
      <c r="CQ53" t="s">
        <v>6652</v>
      </c>
      <c r="CR53" t="s">
        <v>3124</v>
      </c>
      <c r="CS53" t="s">
        <v>6871</v>
      </c>
      <c r="CT53" t="b">
        <v>0</v>
      </c>
      <c r="CU53">
        <v>7204000</v>
      </c>
      <c r="CV53">
        <v>7204000</v>
      </c>
      <c r="CW53">
        <v>0</v>
      </c>
      <c r="CX53">
        <v>0</v>
      </c>
      <c r="CY53">
        <v>0</v>
      </c>
      <c r="CZ53" t="b">
        <v>1</v>
      </c>
      <c r="DA53" t="s">
        <v>4246</v>
      </c>
      <c r="DB53" t="s">
        <v>1167</v>
      </c>
      <c r="DC53">
        <v>-4.0616009477070225E-3</v>
      </c>
      <c r="DD53">
        <v>-497.19240828005758</v>
      </c>
      <c r="DE53" s="420" t="str" cm="1">
        <f t="array" ref="DE5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" spans="1:109" x14ac:dyDescent="0.25">
      <c r="A54" s="238">
        <v>53</v>
      </c>
      <c r="B54" s="238" t="s">
        <v>6</v>
      </c>
      <c r="C54" s="238">
        <v>8</v>
      </c>
      <c r="D54" s="238">
        <v>5</v>
      </c>
      <c r="E54" s="238">
        <v>2</v>
      </c>
      <c r="F54" s="238">
        <v>16.46</v>
      </c>
      <c r="G54" s="238">
        <v>12.47</v>
      </c>
      <c r="H54" s="238"/>
      <c r="I54">
        <v>28.93</v>
      </c>
      <c r="J54" s="238">
        <v>18</v>
      </c>
      <c r="K54" s="238">
        <v>4.3499999999999996</v>
      </c>
      <c r="L54" s="238">
        <v>1.55</v>
      </c>
      <c r="M54" s="238"/>
      <c r="N54" s="238">
        <v>8</v>
      </c>
      <c r="O54" s="238">
        <v>2.67</v>
      </c>
      <c r="P54" s="238"/>
      <c r="R54" s="238">
        <v>2.67</v>
      </c>
      <c r="S54">
        <v>63.5</v>
      </c>
      <c r="T54">
        <v>60.83</v>
      </c>
      <c r="U54" s="238">
        <v>62.17</v>
      </c>
      <c r="V54">
        <v>61.45</v>
      </c>
      <c r="W54" s="238">
        <v>80307.864000000001</v>
      </c>
      <c r="X54">
        <v>4015.3932</v>
      </c>
      <c r="Y54">
        <v>84323.257199999993</v>
      </c>
      <c r="Z54">
        <v>2529.6977160000001</v>
      </c>
      <c r="AA54">
        <v>86852.954916000002</v>
      </c>
      <c r="AC54">
        <v>86852.954916000002</v>
      </c>
      <c r="AE54">
        <v>86852.954916000002</v>
      </c>
      <c r="AG54">
        <v>86852.954916000002</v>
      </c>
      <c r="AI54">
        <v>86852.954916000002</v>
      </c>
      <c r="AJ54">
        <v>868.52954915999999</v>
      </c>
      <c r="AK54">
        <v>87721.48446516</v>
      </c>
      <c r="AL54">
        <v>4386.0742232580005</v>
      </c>
      <c r="AM54">
        <v>92107.558688417994</v>
      </c>
      <c r="AO54">
        <v>92107.558688417994</v>
      </c>
      <c r="AP54">
        <v>1842.15117376836</v>
      </c>
      <c r="AQ54">
        <v>93949.709862186355</v>
      </c>
      <c r="AS54">
        <v>93949.709862186355</v>
      </c>
      <c r="AT54">
        <v>1878.9941972437273</v>
      </c>
      <c r="AU54">
        <v>95828.704059430078</v>
      </c>
      <c r="AW54">
        <v>95828.704059430078</v>
      </c>
      <c r="AY54">
        <v>95828.704059430078</v>
      </c>
      <c r="AZ54">
        <v>1916.5740811886017</v>
      </c>
      <c r="BA54">
        <v>97745.278140618684</v>
      </c>
      <c r="BB54">
        <v>488.72639070309344</v>
      </c>
      <c r="BC54">
        <v>98234.004531321771</v>
      </c>
      <c r="BE54">
        <v>98234.004531321771</v>
      </c>
      <c r="BF54">
        <v>1473.5100679698264</v>
      </c>
      <c r="BG54">
        <v>99707.514599291593</v>
      </c>
      <c r="BI54">
        <v>99707.514599291593</v>
      </c>
      <c r="BJ54">
        <v>3988.3005839716639</v>
      </c>
      <c r="BK54">
        <v>103695.81518326326</v>
      </c>
      <c r="BL54">
        <v>6221.7489109957951</v>
      </c>
      <c r="BM54">
        <v>109917.56409425904</v>
      </c>
      <c r="BN54">
        <v>14289.283332253675</v>
      </c>
      <c r="BO54">
        <v>124206.84742651272</v>
      </c>
      <c r="BP54">
        <v>35</v>
      </c>
      <c r="BQ54">
        <v>124241.84742651272</v>
      </c>
      <c r="BS54">
        <v>124241.84742651272</v>
      </c>
      <c r="BT54" s="238">
        <v>124241.85</v>
      </c>
      <c r="BU54" s="238">
        <v>7634700</v>
      </c>
      <c r="BX54" s="238">
        <v>0</v>
      </c>
      <c r="BY54" s="238">
        <v>124242.47355573636</v>
      </c>
      <c r="BZ54" s="238">
        <v>7634700</v>
      </c>
      <c r="CA54" s="238" t="s">
        <v>38</v>
      </c>
      <c r="CB54">
        <v>30000</v>
      </c>
      <c r="CC54">
        <v>154242.47355573636</v>
      </c>
      <c r="CD54" s="238">
        <v>1843500</v>
      </c>
      <c r="CE54" s="238">
        <v>9478200</v>
      </c>
      <c r="CH54" s="238" t="s">
        <v>3</v>
      </c>
      <c r="CI54" s="238" t="s">
        <v>3</v>
      </c>
      <c r="CJ54" t="s">
        <v>8951</v>
      </c>
      <c r="CK54" t="s">
        <v>1167</v>
      </c>
      <c r="CL54" t="s">
        <v>8961</v>
      </c>
      <c r="CM54" t="s">
        <v>8971</v>
      </c>
      <c r="CN54" s="238" t="b">
        <v>1</v>
      </c>
      <c r="CO54" t="s">
        <v>5342</v>
      </c>
      <c r="CQ54" t="s">
        <v>6652</v>
      </c>
      <c r="CR54" t="s">
        <v>3124</v>
      </c>
      <c r="CS54" t="s">
        <v>6871</v>
      </c>
      <c r="CT54" t="b">
        <v>0</v>
      </c>
      <c r="CU54">
        <v>7634700</v>
      </c>
      <c r="CV54">
        <v>7634700</v>
      </c>
      <c r="CW54">
        <v>0</v>
      </c>
      <c r="CX54">
        <v>0</v>
      </c>
      <c r="CY54">
        <v>0</v>
      </c>
      <c r="CZ54" t="b">
        <v>1</v>
      </c>
      <c r="DA54" t="s">
        <v>4246</v>
      </c>
      <c r="DB54" t="s">
        <v>1167</v>
      </c>
      <c r="DC54">
        <v>-1.1581148463889355E-2</v>
      </c>
      <c r="DD54">
        <v>-1438.8705317698302</v>
      </c>
      <c r="DE54" s="420" t="str" cm="1">
        <f t="array" ref="DE5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" spans="1:109" hidden="1" x14ac:dyDescent="0.25">
      <c r="A55" s="238">
        <v>54</v>
      </c>
      <c r="B55" s="238" t="s">
        <v>6</v>
      </c>
      <c r="C55" s="238">
        <v>8</v>
      </c>
      <c r="D55" s="238">
        <v>6</v>
      </c>
      <c r="E55" s="238">
        <v>2</v>
      </c>
      <c r="F55" s="238">
        <v>14.64</v>
      </c>
      <c r="G55" s="238">
        <v>10.74</v>
      </c>
      <c r="H55" s="238"/>
      <c r="I55">
        <v>25.380000000000003</v>
      </c>
      <c r="J55" s="238">
        <v>14.35</v>
      </c>
      <c r="K55" s="238">
        <v>4.16</v>
      </c>
      <c r="L55" s="238">
        <v>1.93</v>
      </c>
      <c r="M55" s="238"/>
      <c r="N55" s="238">
        <v>11.03</v>
      </c>
      <c r="O55" s="238">
        <v>2.6219999999999999</v>
      </c>
      <c r="P55" s="238"/>
      <c r="R55" s="238">
        <v>2.6219999999999999</v>
      </c>
      <c r="S55">
        <v>59.47</v>
      </c>
      <c r="T55">
        <v>56.85</v>
      </c>
      <c r="U55" s="238">
        <v>58.16</v>
      </c>
      <c r="V55">
        <v>58.2</v>
      </c>
      <c r="W55" s="238">
        <v>81466.150500000003</v>
      </c>
      <c r="X55">
        <v>4073.3075250000002</v>
      </c>
      <c r="Y55">
        <v>85539.458025</v>
      </c>
      <c r="Z55">
        <v>2566.1837407499997</v>
      </c>
      <c r="AA55">
        <v>88105.641765749999</v>
      </c>
      <c r="AC55">
        <v>88105.641765749999</v>
      </c>
      <c r="AE55">
        <v>88105.641765749999</v>
      </c>
      <c r="AG55">
        <v>88105.641765749999</v>
      </c>
      <c r="AI55">
        <v>88105.641765749999</v>
      </c>
      <c r="AK55">
        <v>88105.641765749999</v>
      </c>
      <c r="AM55">
        <v>88105.641765749999</v>
      </c>
      <c r="AO55">
        <v>88105.641765749999</v>
      </c>
      <c r="AQ55">
        <v>88105.641765749999</v>
      </c>
      <c r="AS55">
        <v>88105.641765749999</v>
      </c>
      <c r="AU55">
        <v>88105.641765749999</v>
      </c>
      <c r="AW55">
        <v>88105.641765749999</v>
      </c>
      <c r="AY55">
        <v>88105.641765749999</v>
      </c>
      <c r="BA55">
        <v>88105.641765749999</v>
      </c>
      <c r="BC55">
        <v>88105.641765749999</v>
      </c>
      <c r="BE55">
        <v>88105.641765749999</v>
      </c>
      <c r="BG55">
        <v>88105.641765749999</v>
      </c>
      <c r="BI55">
        <v>88105.641765749999</v>
      </c>
      <c r="BK55">
        <v>88105.641765749999</v>
      </c>
      <c r="BM55">
        <v>88105.641765749999</v>
      </c>
      <c r="BO55">
        <v>88105.641765749999</v>
      </c>
      <c r="BQ55">
        <v>88105.641765749999</v>
      </c>
      <c r="BS55">
        <v>88105.641765749999</v>
      </c>
      <c r="BT55" s="238">
        <v>88105.64</v>
      </c>
      <c r="BU55" s="238">
        <v>5124300</v>
      </c>
      <c r="BW55">
        <v>0.02</v>
      </c>
      <c r="BX55" s="238">
        <v>102486</v>
      </c>
      <c r="BY55" s="238">
        <v>86344.807427785418</v>
      </c>
      <c r="BZ55" s="238">
        <v>5021814</v>
      </c>
      <c r="CA55" s="238" t="s">
        <v>38</v>
      </c>
      <c r="CB55">
        <v>22000</v>
      </c>
      <c r="CC55">
        <v>108344.80742778542</v>
      </c>
      <c r="CD55" s="238">
        <v>1279519.9999999993</v>
      </c>
      <c r="CE55" s="238">
        <v>6301333.9999999991</v>
      </c>
      <c r="CG55" t="s">
        <v>3540</v>
      </c>
      <c r="CH55" s="238" t="s">
        <v>39</v>
      </c>
      <c r="CI55" s="238" t="s">
        <v>39</v>
      </c>
      <c r="CJ55" t="s">
        <v>8950</v>
      </c>
      <c r="CK55" t="s">
        <v>1167</v>
      </c>
      <c r="CL55" t="s">
        <v>8961</v>
      </c>
      <c r="CM55" t="s">
        <v>8971</v>
      </c>
      <c r="CN55" s="238" t="b">
        <v>1</v>
      </c>
      <c r="CO55" t="s">
        <v>5343</v>
      </c>
      <c r="CQ55" t="s">
        <v>6652</v>
      </c>
      <c r="CR55" t="s">
        <v>3246</v>
      </c>
      <c r="CS55" t="s">
        <v>38</v>
      </c>
      <c r="CT55" t="b">
        <v>1</v>
      </c>
      <c r="CU55">
        <v>5124300</v>
      </c>
      <c r="CV55" t="s">
        <v>9002</v>
      </c>
      <c r="CW55">
        <v>0</v>
      </c>
      <c r="CX55">
        <v>5124300</v>
      </c>
      <c r="CY55">
        <v>0</v>
      </c>
      <c r="CZ55" t="b">
        <v>1</v>
      </c>
      <c r="DA55">
        <v>45285</v>
      </c>
      <c r="DB55" t="s">
        <v>4177</v>
      </c>
      <c r="DC55">
        <v>6.8775790921615787E-4</v>
      </c>
      <c r="DD55">
        <v>59.384324228205479</v>
      </c>
      <c r="DE55" s="420" cm="1">
        <f t="array" ref="DE55">_xlfn.XLOOKUP("Дом 5"&amp;Реестр_Д5[[#This Row],[№]]&amp;Реестр_Д5[[#This Row],[Статус]],РД[Дом]&amp;РД[№ кв]&amp;РД[Состояние],РД[Дата подачи на регистрацию],"-",0)</f>
        <v>45285</v>
      </c>
    </row>
    <row r="56" spans="1:109" hidden="1" x14ac:dyDescent="0.25">
      <c r="A56" s="238">
        <v>55</v>
      </c>
      <c r="B56" s="238" t="s">
        <v>6</v>
      </c>
      <c r="C56" s="238">
        <v>8</v>
      </c>
      <c r="D56" s="238">
        <v>7</v>
      </c>
      <c r="E56" s="238">
        <v>1</v>
      </c>
      <c r="F56" s="238">
        <v>18.489999999999998</v>
      </c>
      <c r="G56" s="238"/>
      <c r="H56" s="238"/>
      <c r="I56">
        <v>18.489999999999998</v>
      </c>
      <c r="J56" s="238">
        <v>13.04</v>
      </c>
      <c r="K56" s="238">
        <v>3.9</v>
      </c>
      <c r="L56" s="238"/>
      <c r="M56" s="238"/>
      <c r="N56" s="238">
        <v>5.99</v>
      </c>
      <c r="O56" s="238">
        <v>2.65</v>
      </c>
      <c r="P56" s="238"/>
      <c r="R56" s="238">
        <v>2.65</v>
      </c>
      <c r="S56">
        <v>44.07</v>
      </c>
      <c r="T56">
        <v>41.42</v>
      </c>
      <c r="U56" s="238">
        <v>42.75</v>
      </c>
      <c r="V56">
        <v>42.599999999999994</v>
      </c>
      <c r="W56" s="238">
        <v>83951.4375</v>
      </c>
      <c r="X56">
        <v>4197.5718750000005</v>
      </c>
      <c r="Y56">
        <v>88149.009374999994</v>
      </c>
      <c r="Z56">
        <v>2644.4702812499995</v>
      </c>
      <c r="AA56">
        <v>90793.479656249998</v>
      </c>
      <c r="AB56">
        <v>3631.7391862499999</v>
      </c>
      <c r="AC56">
        <v>94425.218842499977</v>
      </c>
      <c r="AE56">
        <v>94425.218842499977</v>
      </c>
      <c r="AF56">
        <v>4721.2609421249999</v>
      </c>
      <c r="AG56">
        <v>99146.479784624986</v>
      </c>
      <c r="AI56">
        <v>99146.479784624986</v>
      </c>
      <c r="AJ56">
        <v>991.46479784624989</v>
      </c>
      <c r="AK56">
        <v>100137.94458247125</v>
      </c>
      <c r="AL56">
        <v>5006.8972291235623</v>
      </c>
      <c r="AM56">
        <v>105144.8418115948</v>
      </c>
      <c r="AO56">
        <v>105144.8418115948</v>
      </c>
      <c r="AP56">
        <v>3154.3452543478434</v>
      </c>
      <c r="AQ56">
        <v>108299.18706594263</v>
      </c>
      <c r="AS56">
        <v>108299.18706594263</v>
      </c>
      <c r="AU56">
        <v>108299.18706594263</v>
      </c>
      <c r="AW56">
        <v>108299.18706594263</v>
      </c>
      <c r="AY56">
        <v>108299.18706594263</v>
      </c>
      <c r="BA56">
        <v>108299.18706594263</v>
      </c>
      <c r="BB56">
        <v>541.49593532971323</v>
      </c>
      <c r="BC56">
        <v>108840.68300127237</v>
      </c>
      <c r="BE56">
        <v>108840.68300127237</v>
      </c>
      <c r="BF56">
        <v>1632.6102450190851</v>
      </c>
      <c r="BG56">
        <v>110473.29324629145</v>
      </c>
      <c r="BI56">
        <v>110473.29324629145</v>
      </c>
      <c r="BK56">
        <v>110473.29324629145</v>
      </c>
      <c r="BL56">
        <v>8837.8634597033142</v>
      </c>
      <c r="BM56">
        <v>119311.15670599474</v>
      </c>
      <c r="BN56">
        <v>15510.450371779318</v>
      </c>
      <c r="BO56">
        <v>134821.60707777407</v>
      </c>
      <c r="BP56">
        <v>35</v>
      </c>
      <c r="BQ56">
        <v>134856.60707777407</v>
      </c>
      <c r="BS56">
        <v>134856.60707777407</v>
      </c>
      <c r="BT56" s="238">
        <v>134856.60999999999</v>
      </c>
      <c r="BU56" s="238">
        <v>5765200</v>
      </c>
      <c r="BV56">
        <v>342000</v>
      </c>
      <c r="BX56" s="238">
        <v>342000</v>
      </c>
      <c r="BY56" s="238">
        <v>126858.47953216374</v>
      </c>
      <c r="BZ56" s="238">
        <v>5423200</v>
      </c>
      <c r="CA56" s="238" t="s">
        <v>36</v>
      </c>
      <c r="CC56">
        <v>126858.47953216374</v>
      </c>
      <c r="CD56" s="238">
        <v>0</v>
      </c>
      <c r="CE56" s="238">
        <v>5423200</v>
      </c>
      <c r="CG56" t="s">
        <v>8676</v>
      </c>
      <c r="CH56" s="238" t="s">
        <v>39</v>
      </c>
      <c r="CI56" s="238" t="s">
        <v>39</v>
      </c>
      <c r="CJ56" t="s">
        <v>8950</v>
      </c>
      <c r="CK56" t="s">
        <v>1167</v>
      </c>
      <c r="CL56" t="s">
        <v>8961</v>
      </c>
      <c r="CM56" t="s">
        <v>8973</v>
      </c>
      <c r="CN56" s="238" t="b">
        <v>1</v>
      </c>
      <c r="CO56" t="s">
        <v>5344</v>
      </c>
      <c r="CQ56" t="s">
        <v>6652</v>
      </c>
      <c r="CR56" t="s">
        <v>3246</v>
      </c>
      <c r="CS56" t="s">
        <v>36</v>
      </c>
      <c r="CT56" t="b">
        <v>1</v>
      </c>
      <c r="CU56">
        <v>5765200</v>
      </c>
      <c r="CV56" t="s">
        <v>9002</v>
      </c>
      <c r="CW56">
        <v>0</v>
      </c>
      <c r="CX56">
        <v>5765200</v>
      </c>
      <c r="CY56">
        <v>0</v>
      </c>
      <c r="CZ56" t="b">
        <v>1</v>
      </c>
      <c r="DA56">
        <v>45814</v>
      </c>
      <c r="DB56" t="s">
        <v>8380</v>
      </c>
      <c r="DC56">
        <v>-3.5087719298246833E-3</v>
      </c>
      <c r="DD56">
        <v>-445.11747204269523</v>
      </c>
      <c r="DE56" s="420" cm="1">
        <f t="array" ref="DE56">_xlfn.XLOOKUP("Дом 5"&amp;Реестр_Д5[[#This Row],[№]]&amp;Реестр_Д5[[#This Row],[Статус]],РД[Дом]&amp;РД[№ кв]&amp;РД[Состояние],РД[Дата подачи на регистрацию],"-",0)</f>
        <v>45814</v>
      </c>
    </row>
    <row r="57" spans="1:109" x14ac:dyDescent="0.25">
      <c r="A57" s="238">
        <v>56</v>
      </c>
      <c r="B57" s="238" t="s">
        <v>6</v>
      </c>
      <c r="C57" s="238">
        <v>9</v>
      </c>
      <c r="D57" s="238">
        <v>1</v>
      </c>
      <c r="E57" s="238">
        <v>1</v>
      </c>
      <c r="F57" s="238">
        <v>14.68</v>
      </c>
      <c r="G57" s="238"/>
      <c r="H57" s="238"/>
      <c r="I57">
        <v>14.68</v>
      </c>
      <c r="J57" s="238">
        <v>9.84</v>
      </c>
      <c r="K57" s="238">
        <v>3.63</v>
      </c>
      <c r="L57" s="238"/>
      <c r="M57" s="238"/>
      <c r="N57" s="238">
        <v>4.8899999999999997</v>
      </c>
      <c r="O57" s="238">
        <v>2.7</v>
      </c>
      <c r="P57" s="238"/>
      <c r="R57" s="238">
        <v>2.7</v>
      </c>
      <c r="S57">
        <v>35.74</v>
      </c>
      <c r="T57">
        <v>33.04</v>
      </c>
      <c r="U57" s="238">
        <v>34.39</v>
      </c>
      <c r="V57">
        <v>34.450000000000003</v>
      </c>
      <c r="W57" s="238">
        <v>82734.75</v>
      </c>
      <c r="X57">
        <v>4136.7375000000002</v>
      </c>
      <c r="Y57">
        <v>86871.487500000003</v>
      </c>
      <c r="Z57">
        <v>2606.1446249999999</v>
      </c>
      <c r="AA57">
        <v>89477.632125000004</v>
      </c>
      <c r="AB57">
        <v>12526.8684975</v>
      </c>
      <c r="AC57">
        <v>102004.5006225</v>
      </c>
      <c r="AE57">
        <v>102004.5006225</v>
      </c>
      <c r="AF57">
        <v>5100.2250311250009</v>
      </c>
      <c r="AG57">
        <v>107104.72565362501</v>
      </c>
      <c r="AI57">
        <v>107104.72565362501</v>
      </c>
      <c r="AJ57">
        <v>1071.0472565362502</v>
      </c>
      <c r="AK57">
        <v>108175.77291016123</v>
      </c>
      <c r="AL57">
        <v>5408.7886455080625</v>
      </c>
      <c r="AM57">
        <v>113584.56155566932</v>
      </c>
      <c r="AO57">
        <v>113584.56155566932</v>
      </c>
      <c r="AP57">
        <v>3407.5368466700793</v>
      </c>
      <c r="AQ57">
        <v>116992.09840233938</v>
      </c>
      <c r="AS57">
        <v>116992.09840233938</v>
      </c>
      <c r="AU57">
        <v>116992.09840233938</v>
      </c>
      <c r="AW57">
        <v>116992.09840233938</v>
      </c>
      <c r="AY57">
        <v>116992.09840233938</v>
      </c>
      <c r="AZ57">
        <v>2339.8419680467882</v>
      </c>
      <c r="BA57">
        <v>119331.94037038618</v>
      </c>
      <c r="BC57">
        <v>119331.94037038618</v>
      </c>
      <c r="BE57">
        <v>119331.94037038618</v>
      </c>
      <c r="BF57">
        <v>2983.2985092596546</v>
      </c>
      <c r="BG57">
        <v>122315.23887964584</v>
      </c>
      <c r="BI57">
        <v>122315.23887964584</v>
      </c>
      <c r="BJ57">
        <v>2446.3047775929167</v>
      </c>
      <c r="BK57">
        <v>124761.54365723874</v>
      </c>
      <c r="BL57">
        <v>6238.0771828619372</v>
      </c>
      <c r="BM57">
        <v>130999.62084010067</v>
      </c>
      <c r="BN57">
        <v>17029.950709213088</v>
      </c>
      <c r="BO57">
        <v>148029.57154931375</v>
      </c>
      <c r="BP57">
        <v>35</v>
      </c>
      <c r="BQ57">
        <v>148064.57154931375</v>
      </c>
      <c r="BS57">
        <v>148064.57154931375</v>
      </c>
      <c r="BT57" s="238">
        <v>148064.57</v>
      </c>
      <c r="BU57" s="238">
        <v>5100900</v>
      </c>
      <c r="BX57" s="238">
        <v>0</v>
      </c>
      <c r="BY57" s="238">
        <v>148066.76342525397</v>
      </c>
      <c r="BZ57" s="238">
        <v>5100900</v>
      </c>
      <c r="CA57" s="238" t="s">
        <v>36</v>
      </c>
      <c r="CC57">
        <v>148066.76342525397</v>
      </c>
      <c r="CD57" s="238">
        <v>0</v>
      </c>
      <c r="CE57" s="238">
        <v>5100900</v>
      </c>
      <c r="CF57" t="s">
        <v>4633</v>
      </c>
      <c r="CH57" s="238" t="s">
        <v>3</v>
      </c>
      <c r="CI57" s="238" t="s">
        <v>3</v>
      </c>
      <c r="CJ57" t="s">
        <v>8951</v>
      </c>
      <c r="CK57" t="s">
        <v>1167</v>
      </c>
      <c r="CL57" t="s">
        <v>8961</v>
      </c>
      <c r="CM57" t="s">
        <v>8973</v>
      </c>
      <c r="CN57" s="238" t="b">
        <v>1</v>
      </c>
      <c r="CO57" t="s">
        <v>5345</v>
      </c>
      <c r="CQ57" t="s">
        <v>6652</v>
      </c>
      <c r="CR57" t="s">
        <v>3124</v>
      </c>
      <c r="CS57" t="s">
        <v>6871</v>
      </c>
      <c r="CT57" t="b">
        <v>0</v>
      </c>
      <c r="CU57">
        <v>5100900</v>
      </c>
      <c r="CV57">
        <v>5100900</v>
      </c>
      <c r="CW57">
        <v>0</v>
      </c>
      <c r="CX57">
        <v>0</v>
      </c>
      <c r="CY57">
        <v>0</v>
      </c>
      <c r="CZ57" t="b">
        <v>1</v>
      </c>
      <c r="DA57" t="s">
        <v>4246</v>
      </c>
      <c r="DB57" t="s">
        <v>1167</v>
      </c>
      <c r="DC57">
        <v>1.7446932247746627E-3</v>
      </c>
      <c r="DD57">
        <v>258.33107896235344</v>
      </c>
      <c r="DE57" s="420" t="str" cm="1">
        <f t="array" ref="DE5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8" spans="1:109" hidden="1" x14ac:dyDescent="0.25">
      <c r="A58" s="238">
        <v>57</v>
      </c>
      <c r="B58" s="238" t="s">
        <v>6</v>
      </c>
      <c r="C58" s="238">
        <v>9</v>
      </c>
      <c r="D58" s="238">
        <v>2</v>
      </c>
      <c r="E58" s="238">
        <v>2</v>
      </c>
      <c r="F58" s="238">
        <v>15.82</v>
      </c>
      <c r="G58" s="238">
        <v>15.54</v>
      </c>
      <c r="H58" s="238"/>
      <c r="I58">
        <v>31.36</v>
      </c>
      <c r="J58" s="238">
        <v>19.440000000000001</v>
      </c>
      <c r="K58" s="238">
        <v>4.42</v>
      </c>
      <c r="L58" s="238"/>
      <c r="M58" s="238">
        <v>3.25</v>
      </c>
      <c r="N58" s="238">
        <v>8.5299999999999994</v>
      </c>
      <c r="O58" s="238">
        <v>3</v>
      </c>
      <c r="P58" s="238"/>
      <c r="R58" s="238">
        <v>3</v>
      </c>
      <c r="S58">
        <v>70</v>
      </c>
      <c r="T58">
        <v>67</v>
      </c>
      <c r="U58" s="238">
        <v>68.5</v>
      </c>
      <c r="V58">
        <v>68.099999999999994</v>
      </c>
      <c r="W58" s="238">
        <v>84168.819000000003</v>
      </c>
      <c r="X58">
        <v>4208.4409500000002</v>
      </c>
      <c r="Y58">
        <v>88377.259950000007</v>
      </c>
      <c r="Z58">
        <v>2651.3177985000002</v>
      </c>
      <c r="AA58">
        <v>91028.577748500014</v>
      </c>
      <c r="AC58">
        <v>91028.577748500014</v>
      </c>
      <c r="AE58">
        <v>91028.577748500014</v>
      </c>
      <c r="AG58">
        <v>91028.577748500014</v>
      </c>
      <c r="AH58">
        <v>-831</v>
      </c>
      <c r="AI58">
        <v>90197.577748500014</v>
      </c>
      <c r="AJ58">
        <v>901.97577748500021</v>
      </c>
      <c r="AK58">
        <v>91099.553525985015</v>
      </c>
      <c r="AL58">
        <v>4554.9776762992506</v>
      </c>
      <c r="AM58">
        <v>95654.531202284285</v>
      </c>
      <c r="AO58">
        <v>95654.531202284285</v>
      </c>
      <c r="AP58">
        <v>1913.0906240456857</v>
      </c>
      <c r="AQ58">
        <v>97567.621826329952</v>
      </c>
      <c r="AS58">
        <v>97567.621826329952</v>
      </c>
      <c r="AT58">
        <v>1951.3524365265991</v>
      </c>
      <c r="AU58">
        <v>99518.974262856558</v>
      </c>
      <c r="AW58">
        <v>99518.974262856558</v>
      </c>
      <c r="AY58">
        <v>99518.974262856558</v>
      </c>
      <c r="BA58">
        <v>99518.974262856558</v>
      </c>
      <c r="BC58">
        <v>99518.974262856558</v>
      </c>
      <c r="BE58">
        <v>99518.974262856558</v>
      </c>
      <c r="BF58">
        <v>497.59487131428278</v>
      </c>
      <c r="BG58">
        <v>100016.56913417084</v>
      </c>
      <c r="BI58">
        <v>100016.56913417084</v>
      </c>
      <c r="BK58">
        <v>100016.56913417084</v>
      </c>
      <c r="BM58">
        <v>100016.56913417084</v>
      </c>
      <c r="BO58">
        <v>100016.56913417084</v>
      </c>
      <c r="BQ58">
        <v>100016.56913417084</v>
      </c>
      <c r="BS58">
        <v>100016.56913417084</v>
      </c>
      <c r="BT58" s="238">
        <v>100016.57</v>
      </c>
      <c r="BU58" s="238">
        <v>6851200</v>
      </c>
      <c r="BW58">
        <v>0.03</v>
      </c>
      <c r="BX58" s="238">
        <v>205536</v>
      </c>
      <c r="BY58" s="238">
        <v>97016.992700729927</v>
      </c>
      <c r="BZ58" s="238">
        <v>6645664</v>
      </c>
      <c r="CA58" s="238" t="s">
        <v>6871</v>
      </c>
      <c r="CB58">
        <v>8000</v>
      </c>
      <c r="CC58">
        <v>105016.99270072993</v>
      </c>
      <c r="CD58" s="238">
        <v>548000</v>
      </c>
      <c r="CE58" s="238">
        <v>7193664</v>
      </c>
      <c r="CG58" t="s">
        <v>978</v>
      </c>
      <c r="CH58" s="238" t="s">
        <v>39</v>
      </c>
      <c r="CI58" s="238" t="s">
        <v>39</v>
      </c>
      <c r="CJ58" t="s">
        <v>8950</v>
      </c>
      <c r="CK58" t="s">
        <v>1167</v>
      </c>
      <c r="CL58" t="s">
        <v>8961</v>
      </c>
      <c r="CM58" t="s">
        <v>8971</v>
      </c>
      <c r="CN58" s="238" t="b">
        <v>1</v>
      </c>
      <c r="CO58" t="s">
        <v>5346</v>
      </c>
      <c r="CQ58" t="s">
        <v>6652</v>
      </c>
      <c r="CR58" t="s">
        <v>3246</v>
      </c>
      <c r="CS58" t="s">
        <v>6871</v>
      </c>
      <c r="CT58" t="b">
        <v>1</v>
      </c>
      <c r="CU58">
        <v>6851200</v>
      </c>
      <c r="CV58" t="s">
        <v>9002</v>
      </c>
      <c r="CW58">
        <v>6851200</v>
      </c>
      <c r="CX58">
        <v>6851200</v>
      </c>
      <c r="CY58">
        <v>0</v>
      </c>
      <c r="CZ58" t="b">
        <v>1</v>
      </c>
      <c r="DA58">
        <v>45642</v>
      </c>
      <c r="DB58" t="s">
        <v>5215</v>
      </c>
      <c r="DC58">
        <v>-5.8394160583942201E-3</v>
      </c>
      <c r="DD58">
        <v>-566.52258511375715</v>
      </c>
      <c r="DE58" s="420" cm="1">
        <f t="array" ref="DE58">_xlfn.XLOOKUP("Дом 5"&amp;Реестр_Д5[[#This Row],[№]]&amp;Реестр_Д5[[#This Row],[Статус]],РД[Дом]&amp;РД[№ кв]&amp;РД[Состояние],РД[Дата подачи на регистрацию],"-",0)</f>
        <v>45642</v>
      </c>
    </row>
    <row r="59" spans="1:109" hidden="1" x14ac:dyDescent="0.25">
      <c r="A59" s="238">
        <v>58</v>
      </c>
      <c r="B59" s="238" t="s">
        <v>6</v>
      </c>
      <c r="C59" s="238">
        <v>9</v>
      </c>
      <c r="D59" s="238">
        <v>3</v>
      </c>
      <c r="E59" s="238">
        <v>1</v>
      </c>
      <c r="F59" s="238">
        <v>13.6</v>
      </c>
      <c r="G59" s="238"/>
      <c r="H59" s="238"/>
      <c r="I59">
        <v>13.6</v>
      </c>
      <c r="J59" s="238">
        <v>14.97</v>
      </c>
      <c r="K59" s="238">
        <v>4.1100000000000003</v>
      </c>
      <c r="L59" s="238"/>
      <c r="M59" s="238"/>
      <c r="N59" s="238">
        <v>3.7</v>
      </c>
      <c r="O59" s="238">
        <v>2.69</v>
      </c>
      <c r="P59" s="238"/>
      <c r="R59" s="238">
        <v>2.69</v>
      </c>
      <c r="S59">
        <v>39.07</v>
      </c>
      <c r="T59">
        <v>36.380000000000003</v>
      </c>
      <c r="U59" s="238">
        <v>37.729999999999997</v>
      </c>
      <c r="V59">
        <v>37.850000000000009</v>
      </c>
      <c r="W59" s="238">
        <v>87601.5</v>
      </c>
      <c r="X59">
        <v>4380.0749999999998</v>
      </c>
      <c r="Y59">
        <v>91981.574999999997</v>
      </c>
      <c r="Z59">
        <v>2759.4472499999997</v>
      </c>
      <c r="AA59">
        <v>94741.022249999995</v>
      </c>
      <c r="AB59">
        <v>6631.8715575000006</v>
      </c>
      <c r="AC59">
        <v>101372.8938075</v>
      </c>
      <c r="AE59">
        <v>101372.8938075</v>
      </c>
      <c r="AF59">
        <v>5068.6446903750002</v>
      </c>
      <c r="AG59">
        <v>106441.53849787499</v>
      </c>
      <c r="AI59">
        <v>106441.53849787499</v>
      </c>
      <c r="AJ59">
        <v>1064.4153849787499</v>
      </c>
      <c r="AK59">
        <v>107505.95388285376</v>
      </c>
      <c r="AL59">
        <v>5375.2976941426878</v>
      </c>
      <c r="AM59">
        <v>112881.25157699644</v>
      </c>
      <c r="AO59">
        <v>112881.25157699644</v>
      </c>
      <c r="AP59">
        <v>3386.437547309893</v>
      </c>
      <c r="AQ59">
        <v>116267.68912430631</v>
      </c>
      <c r="AS59">
        <v>116267.68912430631</v>
      </c>
      <c r="AU59">
        <v>116267.68912430631</v>
      </c>
      <c r="AW59">
        <v>116267.68912430631</v>
      </c>
      <c r="AY59">
        <v>116267.68912430631</v>
      </c>
      <c r="AZ59">
        <v>2325.3537824861264</v>
      </c>
      <c r="BA59">
        <v>118593.04290679246</v>
      </c>
      <c r="BC59">
        <v>118593.04290679246</v>
      </c>
      <c r="BE59">
        <v>118593.04290679246</v>
      </c>
      <c r="BG59">
        <v>118593.04290679246</v>
      </c>
      <c r="BI59">
        <v>118593.04290679246</v>
      </c>
      <c r="BK59">
        <v>118593.04290679246</v>
      </c>
      <c r="BM59">
        <v>118593.04290679246</v>
      </c>
      <c r="BO59">
        <v>118593.04290679246</v>
      </c>
      <c r="BQ59">
        <v>118593.04290679246</v>
      </c>
      <c r="BS59">
        <v>118593.04290679246</v>
      </c>
      <c r="BT59" s="238">
        <v>118593.04</v>
      </c>
      <c r="BU59" s="238">
        <v>4474600</v>
      </c>
      <c r="BX59" s="238">
        <v>0</v>
      </c>
      <c r="BY59" s="238">
        <v>118595.28226875166</v>
      </c>
      <c r="BZ59" s="238">
        <v>4474600</v>
      </c>
      <c r="CA59" s="238" t="s">
        <v>38</v>
      </c>
      <c r="CB59">
        <v>20000</v>
      </c>
      <c r="CC59">
        <v>138595.28226875165</v>
      </c>
      <c r="CD59" s="238">
        <v>754599.99999999907</v>
      </c>
      <c r="CE59" s="238">
        <v>5229199.9999999991</v>
      </c>
      <c r="CH59" s="238" t="s">
        <v>39</v>
      </c>
      <c r="CI59" s="238" t="s">
        <v>39</v>
      </c>
      <c r="CJ59" t="s">
        <v>8950</v>
      </c>
      <c r="CK59" t="s">
        <v>1167</v>
      </c>
      <c r="CL59" t="s">
        <v>8961</v>
      </c>
      <c r="CM59" t="s">
        <v>8972</v>
      </c>
      <c r="CN59" s="238" t="b">
        <v>1</v>
      </c>
      <c r="CO59" t="s">
        <v>5347</v>
      </c>
      <c r="CQ59" t="s">
        <v>6652</v>
      </c>
      <c r="CR59" t="s">
        <v>3246</v>
      </c>
      <c r="CS59" t="s">
        <v>38</v>
      </c>
      <c r="CT59" t="b">
        <v>1</v>
      </c>
      <c r="CU59">
        <v>4474600</v>
      </c>
      <c r="CV59" t="s">
        <v>9002</v>
      </c>
      <c r="CW59">
        <v>0</v>
      </c>
      <c r="CX59">
        <v>4474600</v>
      </c>
      <c r="CY59">
        <v>0</v>
      </c>
      <c r="CZ59" t="b">
        <v>1</v>
      </c>
      <c r="DA59">
        <v>45443</v>
      </c>
      <c r="DB59" t="s">
        <v>130</v>
      </c>
      <c r="DC59">
        <v>3.180492976411653E-3</v>
      </c>
      <c r="DD59">
        <v>377.19146229132218</v>
      </c>
      <c r="DE59" s="420" cm="1">
        <f t="array" ref="DE59">_xlfn.XLOOKUP("Дом 5"&amp;Реестр_Д5[[#This Row],[№]]&amp;Реестр_Д5[[#This Row],[Статус]],РД[Дом]&amp;РД[№ кв]&amp;РД[Состояние],РД[Дата подачи на регистрацию],"-",0)</f>
        <v>45443</v>
      </c>
    </row>
    <row r="60" spans="1:109" hidden="1" x14ac:dyDescent="0.25">
      <c r="A60" s="238">
        <v>59</v>
      </c>
      <c r="B60" s="238" t="s">
        <v>6</v>
      </c>
      <c r="C60" s="238">
        <v>9</v>
      </c>
      <c r="D60" s="238">
        <v>4</v>
      </c>
      <c r="E60" s="238">
        <v>2</v>
      </c>
      <c r="F60" s="238">
        <v>16.61</v>
      </c>
      <c r="G60" s="238">
        <v>11.38</v>
      </c>
      <c r="H60" s="238"/>
      <c r="I60">
        <v>27.99</v>
      </c>
      <c r="J60" s="238">
        <v>14.58</v>
      </c>
      <c r="K60" s="238">
        <v>4.34</v>
      </c>
      <c r="L60" s="238">
        <v>2.08</v>
      </c>
      <c r="M60" s="238"/>
      <c r="N60" s="238">
        <v>8.82</v>
      </c>
      <c r="O60" s="238">
        <v>2.56</v>
      </c>
      <c r="P60" s="238"/>
      <c r="R60" s="238">
        <v>2.56</v>
      </c>
      <c r="S60">
        <v>60.37</v>
      </c>
      <c r="T60">
        <v>57.81</v>
      </c>
      <c r="U60" s="238">
        <v>59.09</v>
      </c>
      <c r="V60">
        <v>59.2</v>
      </c>
      <c r="W60" s="238">
        <v>80307.864000000001</v>
      </c>
      <c r="X60">
        <v>4015.3932</v>
      </c>
      <c r="Y60">
        <v>84323.257199999993</v>
      </c>
      <c r="Z60">
        <v>2529.6977160000001</v>
      </c>
      <c r="AA60">
        <v>86852.954916000002</v>
      </c>
      <c r="AC60">
        <v>86852.954916000002</v>
      </c>
      <c r="AE60">
        <v>86852.954916000002</v>
      </c>
      <c r="AG60">
        <v>86852.954916000002</v>
      </c>
      <c r="AI60">
        <v>86852.954916000002</v>
      </c>
      <c r="AK60">
        <v>86852.954916000002</v>
      </c>
      <c r="AM60">
        <v>86852.954916000002</v>
      </c>
      <c r="AO60">
        <v>86852.954916000002</v>
      </c>
      <c r="AQ60">
        <v>86852.954916000002</v>
      </c>
      <c r="AS60">
        <v>86852.954916000002</v>
      </c>
      <c r="AU60">
        <v>86852.954916000002</v>
      </c>
      <c r="AW60">
        <v>86852.954916000002</v>
      </c>
      <c r="AY60">
        <v>86852.954916000002</v>
      </c>
      <c r="BA60">
        <v>86852.954916000002</v>
      </c>
      <c r="BC60">
        <v>86852.954916000002</v>
      </c>
      <c r="BE60">
        <v>86852.954916000002</v>
      </c>
      <c r="BG60">
        <v>86852.954916000002</v>
      </c>
      <c r="BI60">
        <v>86852.954916000002</v>
      </c>
      <c r="BK60">
        <v>86852.954916000002</v>
      </c>
      <c r="BM60">
        <v>86852.954916000002</v>
      </c>
      <c r="BO60">
        <v>86852.954916000002</v>
      </c>
      <c r="BQ60">
        <v>86852.954916000002</v>
      </c>
      <c r="BS60">
        <v>86852.954916000002</v>
      </c>
      <c r="BT60" s="238">
        <v>86852.95</v>
      </c>
      <c r="BU60" s="238">
        <v>5132200</v>
      </c>
      <c r="BX60" s="238">
        <v>0</v>
      </c>
      <c r="BY60" s="238">
        <v>86853.951599255364</v>
      </c>
      <c r="BZ60" s="238">
        <v>5132200</v>
      </c>
      <c r="CA60" s="238" t="s">
        <v>36</v>
      </c>
      <c r="CC60">
        <v>86853.951599255364</v>
      </c>
      <c r="CD60" s="238">
        <v>0</v>
      </c>
      <c r="CE60" s="238">
        <v>5132200</v>
      </c>
      <c r="CH60" s="238" t="s">
        <v>39</v>
      </c>
      <c r="CI60" s="238" t="s">
        <v>39</v>
      </c>
      <c r="CJ60" t="s">
        <v>8950</v>
      </c>
      <c r="CK60" t="s">
        <v>1167</v>
      </c>
      <c r="CL60" t="s">
        <v>8961</v>
      </c>
      <c r="CM60" t="s">
        <v>8971</v>
      </c>
      <c r="CN60" s="238" t="b">
        <v>1</v>
      </c>
      <c r="CO60" t="s">
        <v>5348</v>
      </c>
      <c r="CQ60" t="s">
        <v>6652</v>
      </c>
      <c r="CR60" t="s">
        <v>3246</v>
      </c>
      <c r="CS60" t="s">
        <v>36</v>
      </c>
      <c r="CT60" t="b">
        <v>1</v>
      </c>
      <c r="CU60">
        <v>5132200</v>
      </c>
      <c r="CV60" t="s">
        <v>9002</v>
      </c>
      <c r="CW60">
        <v>0</v>
      </c>
      <c r="CX60">
        <v>5132200</v>
      </c>
      <c r="CY60">
        <v>0</v>
      </c>
      <c r="CZ60" t="b">
        <v>1</v>
      </c>
      <c r="DA60">
        <v>45273</v>
      </c>
      <c r="DB60" t="s">
        <v>5215</v>
      </c>
      <c r="DC60">
        <v>1.8615671010322463E-3</v>
      </c>
      <c r="DD60">
        <v>161.68445889182087</v>
      </c>
      <c r="DE60" s="420" cm="1">
        <f t="array" ref="DE60">_xlfn.XLOOKUP("Дом 5"&amp;Реестр_Д5[[#This Row],[№]]&amp;Реестр_Д5[[#This Row],[Статус]],РД[Дом]&amp;РД[№ кв]&amp;РД[Состояние],РД[Дата подачи на регистрацию],"-",0)</f>
        <v>45273</v>
      </c>
    </row>
    <row r="61" spans="1:109" hidden="1" x14ac:dyDescent="0.25">
      <c r="A61" s="238">
        <v>60</v>
      </c>
      <c r="B61" s="238" t="s">
        <v>6</v>
      </c>
      <c r="C61" s="238">
        <v>9</v>
      </c>
      <c r="D61" s="238">
        <v>5</v>
      </c>
      <c r="E61" s="238">
        <v>2</v>
      </c>
      <c r="F61" s="238">
        <v>16.46</v>
      </c>
      <c r="G61" s="238">
        <v>12.47</v>
      </c>
      <c r="H61" s="238"/>
      <c r="I61">
        <v>28.93</v>
      </c>
      <c r="J61" s="238">
        <v>18</v>
      </c>
      <c r="K61" s="238">
        <v>4.3499999999999996</v>
      </c>
      <c r="L61" s="238">
        <v>1.55</v>
      </c>
      <c r="M61" s="238"/>
      <c r="N61" s="238">
        <v>8</v>
      </c>
      <c r="O61" s="238">
        <v>2.67</v>
      </c>
      <c r="P61" s="238"/>
      <c r="R61" s="238">
        <v>2.67</v>
      </c>
      <c r="S61">
        <v>63.5</v>
      </c>
      <c r="T61">
        <v>60.83</v>
      </c>
      <c r="U61" s="238">
        <v>62.17</v>
      </c>
      <c r="V61">
        <v>61.65</v>
      </c>
      <c r="W61" s="238">
        <v>80307.864000000001</v>
      </c>
      <c r="X61">
        <v>4015.3932</v>
      </c>
      <c r="Y61">
        <v>84323.257199999993</v>
      </c>
      <c r="Z61">
        <v>2529.6977160000001</v>
      </c>
      <c r="AA61">
        <v>86852.954916000002</v>
      </c>
      <c r="AC61">
        <v>86852.954916000002</v>
      </c>
      <c r="AE61">
        <v>86852.954916000002</v>
      </c>
      <c r="AG61">
        <v>86852.954916000002</v>
      </c>
      <c r="AI61">
        <v>86852.954916000002</v>
      </c>
      <c r="AJ61">
        <v>868.52954915999999</v>
      </c>
      <c r="AK61">
        <v>87721.48446516</v>
      </c>
      <c r="AL61">
        <v>4386.0742232580005</v>
      </c>
      <c r="AM61">
        <v>92107.558688417994</v>
      </c>
      <c r="AO61">
        <v>92107.558688417994</v>
      </c>
      <c r="AP61">
        <v>1842.15117376836</v>
      </c>
      <c r="AQ61">
        <v>93949.709862186355</v>
      </c>
      <c r="AS61">
        <v>93949.709862186355</v>
      </c>
      <c r="AT61">
        <v>1878.9941972437273</v>
      </c>
      <c r="AU61">
        <v>95828.704059430078</v>
      </c>
      <c r="AW61">
        <v>95828.704059430078</v>
      </c>
      <c r="AY61">
        <v>95828.704059430078</v>
      </c>
      <c r="AZ61">
        <v>1916.5740811886017</v>
      </c>
      <c r="BA61">
        <v>97745.278140618684</v>
      </c>
      <c r="BB61">
        <v>488.72639070309344</v>
      </c>
      <c r="BC61">
        <v>98234.004531321771</v>
      </c>
      <c r="BE61">
        <v>98234.004531321771</v>
      </c>
      <c r="BF61">
        <v>1473.5100679698264</v>
      </c>
      <c r="BG61">
        <v>99707.514599291593</v>
      </c>
      <c r="BI61">
        <v>99707.514599291593</v>
      </c>
      <c r="BJ61">
        <v>3988.3005839716639</v>
      </c>
      <c r="BK61">
        <v>103695.81518326326</v>
      </c>
      <c r="BL61">
        <v>6221.7489109957951</v>
      </c>
      <c r="BM61">
        <v>109917.56409425904</v>
      </c>
      <c r="BN61">
        <v>14289.283332253675</v>
      </c>
      <c r="BO61">
        <v>124206.84742651272</v>
      </c>
      <c r="BP61">
        <v>35</v>
      </c>
      <c r="BQ61">
        <v>124241.84742651272</v>
      </c>
      <c r="BS61">
        <v>124241.84742651272</v>
      </c>
      <c r="BT61" s="238">
        <v>124241.85</v>
      </c>
      <c r="BU61" s="238">
        <v>7724200</v>
      </c>
      <c r="BV61">
        <v>300000</v>
      </c>
      <c r="BW61">
        <v>0.03</v>
      </c>
      <c r="BX61" s="238">
        <v>531726</v>
      </c>
      <c r="BY61" s="238">
        <v>115690.42946758888</v>
      </c>
      <c r="BZ61" s="238">
        <v>7192474</v>
      </c>
      <c r="CA61" s="238" t="s">
        <v>6871</v>
      </c>
      <c r="CB61">
        <v>10000</v>
      </c>
      <c r="CC61">
        <v>125690.42946758888</v>
      </c>
      <c r="CD61" s="238">
        <v>621700</v>
      </c>
      <c r="CE61" s="238">
        <v>7814174</v>
      </c>
      <c r="CG61" t="s">
        <v>8592</v>
      </c>
      <c r="CH61" s="238" t="s">
        <v>39</v>
      </c>
      <c r="CI61" s="238" t="s">
        <v>39</v>
      </c>
      <c r="CJ61" t="s">
        <v>8950</v>
      </c>
      <c r="CK61" t="s">
        <v>1167</v>
      </c>
      <c r="CL61" t="s">
        <v>8961</v>
      </c>
      <c r="CM61" t="s">
        <v>8971</v>
      </c>
      <c r="CN61" s="238" t="b">
        <v>1</v>
      </c>
      <c r="CO61" t="s">
        <v>5349</v>
      </c>
      <c r="CQ61" t="s">
        <v>6652</v>
      </c>
      <c r="CR61" t="s">
        <v>3246</v>
      </c>
      <c r="CS61" t="s">
        <v>6871</v>
      </c>
      <c r="CT61" t="b">
        <v>1</v>
      </c>
      <c r="CU61">
        <v>7724200</v>
      </c>
      <c r="CV61" t="s">
        <v>9002</v>
      </c>
      <c r="CW61">
        <v>7724200</v>
      </c>
      <c r="CX61">
        <v>7724200</v>
      </c>
      <c r="CY61">
        <v>0</v>
      </c>
      <c r="CZ61" t="b">
        <v>1</v>
      </c>
      <c r="DA61">
        <v>45765</v>
      </c>
      <c r="DB61" t="s">
        <v>5215</v>
      </c>
      <c r="DC61">
        <v>-8.3641627794757145E-3</v>
      </c>
      <c r="DD61">
        <v>-967.65358409436715</v>
      </c>
      <c r="DE61" s="420" cm="1">
        <f t="array" ref="DE61">_xlfn.XLOOKUP("Дом 5"&amp;Реестр_Д5[[#This Row],[№]]&amp;Реестр_Д5[[#This Row],[Статус]],РД[Дом]&amp;РД[№ кв]&amp;РД[Состояние],РД[Дата подачи на регистрацию],"-",0)</f>
        <v>45765</v>
      </c>
    </row>
    <row r="62" spans="1:109" hidden="1" x14ac:dyDescent="0.25">
      <c r="A62" s="238">
        <v>61</v>
      </c>
      <c r="B62" s="238" t="s">
        <v>6</v>
      </c>
      <c r="C62" s="238">
        <v>9</v>
      </c>
      <c r="D62" s="238">
        <v>6</v>
      </c>
      <c r="E62" s="238">
        <v>2</v>
      </c>
      <c r="F62" s="238">
        <v>14.64</v>
      </c>
      <c r="G62" s="238">
        <v>10.74</v>
      </c>
      <c r="H62" s="238"/>
      <c r="I62">
        <v>25.380000000000003</v>
      </c>
      <c r="J62" s="238">
        <v>14.35</v>
      </c>
      <c r="K62" s="238">
        <v>4.16</v>
      </c>
      <c r="L62" s="238">
        <v>1.93</v>
      </c>
      <c r="M62" s="238"/>
      <c r="N62" s="238">
        <v>11.03</v>
      </c>
      <c r="O62" s="238">
        <v>2.6219999999999999</v>
      </c>
      <c r="P62" s="238"/>
      <c r="R62" s="238">
        <v>2.6219999999999999</v>
      </c>
      <c r="S62">
        <v>59.47</v>
      </c>
      <c r="T62">
        <v>56.85</v>
      </c>
      <c r="U62" s="238">
        <v>58.16</v>
      </c>
      <c r="V62">
        <v>57.899999999999991</v>
      </c>
      <c r="W62" s="238">
        <v>81466.150500000003</v>
      </c>
      <c r="X62">
        <v>4073.3075250000002</v>
      </c>
      <c r="Y62">
        <v>85539.458025</v>
      </c>
      <c r="Z62">
        <v>2566.1837407499997</v>
      </c>
      <c r="AA62">
        <v>88105.641765749999</v>
      </c>
      <c r="AC62">
        <v>88105.641765749999</v>
      </c>
      <c r="AE62">
        <v>88105.641765749999</v>
      </c>
      <c r="AG62">
        <v>88105.641765749999</v>
      </c>
      <c r="AI62">
        <v>88105.641765749999</v>
      </c>
      <c r="AJ62">
        <v>881.05641765749999</v>
      </c>
      <c r="AK62">
        <v>88986.698183407498</v>
      </c>
      <c r="AL62">
        <v>4449.3349091703749</v>
      </c>
      <c r="AM62">
        <v>93436.033092577869</v>
      </c>
      <c r="AO62">
        <v>93436.033092577869</v>
      </c>
      <c r="AP62">
        <v>1868.7206618515577</v>
      </c>
      <c r="AQ62">
        <v>95304.753754429446</v>
      </c>
      <c r="AS62">
        <v>95304.753754429446</v>
      </c>
      <c r="AT62">
        <v>1906.0950750885888</v>
      </c>
      <c r="AU62">
        <v>97210.848829518014</v>
      </c>
      <c r="AW62">
        <v>97210.848829518014</v>
      </c>
      <c r="AX62">
        <v>972.10848829518011</v>
      </c>
      <c r="AY62">
        <v>98182.957317813198</v>
      </c>
      <c r="BA62">
        <v>98182.957317813198</v>
      </c>
      <c r="BC62">
        <v>98182.957317813198</v>
      </c>
      <c r="BE62">
        <v>98182.957317813198</v>
      </c>
      <c r="BF62">
        <v>1472.7443597671979</v>
      </c>
      <c r="BG62">
        <v>99655.701677580393</v>
      </c>
      <c r="BH62">
        <v>500</v>
      </c>
      <c r="BI62">
        <v>100155.70167758039</v>
      </c>
      <c r="BJ62">
        <v>4006.2280671032158</v>
      </c>
      <c r="BK62">
        <v>104161.9297446836</v>
      </c>
      <c r="BL62">
        <v>6249.7157846810169</v>
      </c>
      <c r="BM62">
        <v>110411.64552936464</v>
      </c>
      <c r="BN62">
        <v>14353.513918817402</v>
      </c>
      <c r="BO62">
        <v>124765.15944818204</v>
      </c>
      <c r="BP62">
        <v>35</v>
      </c>
      <c r="BQ62">
        <v>124800.15944818204</v>
      </c>
      <c r="BS62">
        <v>124800.15944818204</v>
      </c>
      <c r="BT62" s="238">
        <v>124800.16</v>
      </c>
      <c r="BU62" s="238">
        <v>7258400</v>
      </c>
      <c r="BV62">
        <v>300000</v>
      </c>
      <c r="BX62" s="238">
        <v>300000</v>
      </c>
      <c r="BY62" s="238">
        <v>119642.36588720772</v>
      </c>
      <c r="BZ62" s="238">
        <v>6958400</v>
      </c>
      <c r="CA62" s="238" t="s">
        <v>38</v>
      </c>
      <c r="CB62">
        <v>25000</v>
      </c>
      <c r="CC62">
        <v>144642.36588720771</v>
      </c>
      <c r="CD62" s="238">
        <v>1454000</v>
      </c>
      <c r="CE62" s="238">
        <v>8412400</v>
      </c>
      <c r="CG62" t="s">
        <v>8594</v>
      </c>
      <c r="CH62" s="238" t="s">
        <v>39</v>
      </c>
      <c r="CI62" s="238" t="s">
        <v>39</v>
      </c>
      <c r="CJ62" t="s">
        <v>8950</v>
      </c>
      <c r="CK62" t="s">
        <v>1167</v>
      </c>
      <c r="CL62" t="s">
        <v>8961</v>
      </c>
      <c r="CM62" t="s">
        <v>8971</v>
      </c>
      <c r="CN62" s="238" t="b">
        <v>1</v>
      </c>
      <c r="CO62" t="s">
        <v>5350</v>
      </c>
      <c r="CQ62" t="s">
        <v>6652</v>
      </c>
      <c r="CR62" t="s">
        <v>3246</v>
      </c>
      <c r="CS62" t="s">
        <v>38</v>
      </c>
      <c r="CT62" t="b">
        <v>1</v>
      </c>
      <c r="CU62">
        <v>7258400</v>
      </c>
      <c r="CV62" t="s">
        <v>9002</v>
      </c>
      <c r="CW62">
        <v>0</v>
      </c>
      <c r="CX62">
        <v>7258400</v>
      </c>
      <c r="CY62">
        <v>0</v>
      </c>
      <c r="CZ62" t="b">
        <v>1</v>
      </c>
      <c r="DA62">
        <v>45749</v>
      </c>
      <c r="DB62" t="s">
        <v>4177</v>
      </c>
      <c r="DC62">
        <v>-4.4704264099038049E-3</v>
      </c>
      <c r="DD62">
        <v>-534.8523922055474</v>
      </c>
      <c r="DE62" s="420" cm="1">
        <f t="array" ref="DE62">_xlfn.XLOOKUP("Дом 5"&amp;Реестр_Д5[[#This Row],[№]]&amp;Реестр_Д5[[#This Row],[Статус]],РД[Дом]&amp;РД[№ кв]&amp;РД[Состояние],РД[Дата подачи на регистрацию],"-",0)</f>
        <v>45749</v>
      </c>
    </row>
    <row r="63" spans="1:109" hidden="1" x14ac:dyDescent="0.25">
      <c r="A63" s="238">
        <v>62</v>
      </c>
      <c r="B63" s="238" t="s">
        <v>6</v>
      </c>
      <c r="C63" s="238">
        <v>9</v>
      </c>
      <c r="D63" s="238">
        <v>7</v>
      </c>
      <c r="E63" s="238">
        <v>1</v>
      </c>
      <c r="F63" s="238">
        <v>18.489999999999998</v>
      </c>
      <c r="G63" s="238"/>
      <c r="H63" s="238"/>
      <c r="I63">
        <v>18.489999999999998</v>
      </c>
      <c r="J63" s="238">
        <v>13.04</v>
      </c>
      <c r="K63" s="238">
        <v>3.9</v>
      </c>
      <c r="L63" s="238"/>
      <c r="M63" s="238"/>
      <c r="N63" s="238">
        <v>5.99</v>
      </c>
      <c r="O63" s="238">
        <v>2.65</v>
      </c>
      <c r="P63" s="238"/>
      <c r="R63" s="238">
        <v>2.65</v>
      </c>
      <c r="S63">
        <v>44.07</v>
      </c>
      <c r="T63">
        <v>41.42</v>
      </c>
      <c r="U63" s="238">
        <v>42.75</v>
      </c>
      <c r="V63">
        <v>42.7</v>
      </c>
      <c r="W63" s="238">
        <v>83951.4375</v>
      </c>
      <c r="X63">
        <v>4197.5718750000005</v>
      </c>
      <c r="Y63">
        <v>88149.009374999994</v>
      </c>
      <c r="Z63">
        <v>2644.4702812499995</v>
      </c>
      <c r="AA63">
        <v>90793.479656249998</v>
      </c>
      <c r="AB63">
        <v>3631.7391862499999</v>
      </c>
      <c r="AC63">
        <v>94425.218842499977</v>
      </c>
      <c r="AE63">
        <v>94425.218842499977</v>
      </c>
      <c r="AF63">
        <v>4721.2609421249999</v>
      </c>
      <c r="AG63">
        <v>99146.479784624986</v>
      </c>
      <c r="AI63">
        <v>99146.479784624986</v>
      </c>
      <c r="AJ63">
        <v>991.46479784624989</v>
      </c>
      <c r="AK63">
        <v>100137.94458247125</v>
      </c>
      <c r="AL63">
        <v>5006.8972291235623</v>
      </c>
      <c r="AM63">
        <v>105144.8418115948</v>
      </c>
      <c r="AO63">
        <v>105144.8418115948</v>
      </c>
      <c r="AP63">
        <v>3154.3452543478434</v>
      </c>
      <c r="AQ63">
        <v>108299.18706594263</v>
      </c>
      <c r="AS63">
        <v>108299.18706594263</v>
      </c>
      <c r="AU63">
        <v>108299.18706594263</v>
      </c>
      <c r="AW63">
        <v>108299.18706594263</v>
      </c>
      <c r="AY63">
        <v>108299.18706594263</v>
      </c>
      <c r="BA63">
        <v>108299.18706594263</v>
      </c>
      <c r="BC63">
        <v>108299.18706594263</v>
      </c>
      <c r="BE63">
        <v>108299.18706594263</v>
      </c>
      <c r="BG63">
        <v>108299.18706594263</v>
      </c>
      <c r="BI63">
        <v>108299.18706594263</v>
      </c>
      <c r="BK63">
        <v>108299.18706594263</v>
      </c>
      <c r="BM63">
        <v>108299.18706594263</v>
      </c>
      <c r="BO63">
        <v>108299.18706594263</v>
      </c>
      <c r="BQ63">
        <v>108299.18706594263</v>
      </c>
      <c r="BS63">
        <v>108299.18706594263</v>
      </c>
      <c r="BT63" s="238">
        <v>108299.19</v>
      </c>
      <c r="BU63" s="238">
        <v>4629800</v>
      </c>
      <c r="BW63">
        <v>0.03</v>
      </c>
      <c r="BX63" s="238">
        <v>138894</v>
      </c>
      <c r="BY63" s="238">
        <v>105050.43274853801</v>
      </c>
      <c r="BZ63" s="238">
        <v>4490906</v>
      </c>
      <c r="CA63" s="238" t="s">
        <v>38</v>
      </c>
      <c r="CB63">
        <v>20000</v>
      </c>
      <c r="CC63">
        <v>125050.43274853801</v>
      </c>
      <c r="CD63" s="238">
        <v>855000</v>
      </c>
      <c r="CE63" s="238">
        <v>5345906</v>
      </c>
      <c r="CG63" t="s">
        <v>978</v>
      </c>
      <c r="CH63" s="238" t="s">
        <v>39</v>
      </c>
      <c r="CI63" s="238" t="s">
        <v>39</v>
      </c>
      <c r="CJ63" t="s">
        <v>8950</v>
      </c>
      <c r="CK63" t="s">
        <v>1167</v>
      </c>
      <c r="CL63" t="s">
        <v>8961</v>
      </c>
      <c r="CM63" t="s">
        <v>8973</v>
      </c>
      <c r="CN63" s="238" t="b">
        <v>1</v>
      </c>
      <c r="CO63" t="s">
        <v>5351</v>
      </c>
      <c r="CQ63" t="s">
        <v>6652</v>
      </c>
      <c r="CR63" t="s">
        <v>3246</v>
      </c>
      <c r="CS63" t="s">
        <v>38</v>
      </c>
      <c r="CT63" t="b">
        <v>1</v>
      </c>
      <c r="CU63">
        <v>4629800</v>
      </c>
      <c r="CV63" t="s">
        <v>9002</v>
      </c>
      <c r="CW63">
        <v>0</v>
      </c>
      <c r="CX63">
        <v>4629800</v>
      </c>
      <c r="CY63">
        <v>0</v>
      </c>
      <c r="CZ63" t="b">
        <v>1</v>
      </c>
      <c r="DA63">
        <v>45412</v>
      </c>
      <c r="DB63" t="s">
        <v>4177</v>
      </c>
      <c r="DC63">
        <v>-1.1695906432749317E-3</v>
      </c>
      <c r="DD63">
        <v>-122.86600321467247</v>
      </c>
      <c r="DE63" s="420" cm="1">
        <f t="array" ref="DE63">_xlfn.XLOOKUP("Дом 5"&amp;Реестр_Д5[[#This Row],[№]]&amp;Реестр_Д5[[#This Row],[Статус]],РД[Дом]&amp;РД[№ кв]&amp;РД[Состояние],РД[Дата подачи на регистрацию],"-",0)</f>
        <v>45412</v>
      </c>
    </row>
    <row r="64" spans="1:109" hidden="1" x14ac:dyDescent="0.25">
      <c r="A64" s="238">
        <v>63</v>
      </c>
      <c r="B64" s="238" t="s">
        <v>6</v>
      </c>
      <c r="C64" s="238">
        <v>10</v>
      </c>
      <c r="D64" s="238">
        <v>1</v>
      </c>
      <c r="E64" s="238">
        <v>1</v>
      </c>
      <c r="F64" s="238">
        <v>14.68</v>
      </c>
      <c r="G64" s="238"/>
      <c r="H64" s="238"/>
      <c r="I64">
        <v>14.68</v>
      </c>
      <c r="J64" s="238">
        <v>9.84</v>
      </c>
      <c r="K64" s="238">
        <v>3.63</v>
      </c>
      <c r="L64" s="238"/>
      <c r="M64" s="238"/>
      <c r="N64" s="238">
        <v>4.8899999999999997</v>
      </c>
      <c r="O64" s="238">
        <v>2.7</v>
      </c>
      <c r="P64" s="238"/>
      <c r="R64" s="238">
        <v>2.7</v>
      </c>
      <c r="S64">
        <v>35.74</v>
      </c>
      <c r="T64">
        <v>33.04</v>
      </c>
      <c r="U64" s="238">
        <v>34.39</v>
      </c>
      <c r="V64">
        <v>34.35</v>
      </c>
      <c r="W64" s="238">
        <v>82734.75</v>
      </c>
      <c r="Y64">
        <v>82734.75</v>
      </c>
      <c r="AA64">
        <v>82734.75</v>
      </c>
      <c r="AC64">
        <v>82734.75</v>
      </c>
      <c r="AE64">
        <v>82734.75</v>
      </c>
      <c r="AG64">
        <v>82734.75</v>
      </c>
      <c r="AI64">
        <v>82734.75</v>
      </c>
      <c r="AK64">
        <v>82734.75</v>
      </c>
      <c r="AM64">
        <v>82734.75</v>
      </c>
      <c r="AO64">
        <v>82734.75</v>
      </c>
      <c r="AQ64">
        <v>82734.75</v>
      </c>
      <c r="AS64">
        <v>82734.75</v>
      </c>
      <c r="AU64">
        <v>82734.75</v>
      </c>
      <c r="AW64">
        <v>82734.75</v>
      </c>
      <c r="AY64">
        <v>82734.75</v>
      </c>
      <c r="BA64">
        <v>82734.75</v>
      </c>
      <c r="BC64">
        <v>82734.75</v>
      </c>
      <c r="BE64">
        <v>82734.75</v>
      </c>
      <c r="BG64">
        <v>82734.75</v>
      </c>
      <c r="BI64">
        <v>82734.75</v>
      </c>
      <c r="BK64">
        <v>82734.75</v>
      </c>
      <c r="BM64">
        <v>82734.75</v>
      </c>
      <c r="BO64">
        <v>82734.75</v>
      </c>
      <c r="BQ64">
        <v>82734.75</v>
      </c>
      <c r="BS64">
        <v>82734.75</v>
      </c>
      <c r="BT64" s="238">
        <v>82734.75</v>
      </c>
      <c r="BU64" s="238">
        <v>2845248.05</v>
      </c>
      <c r="BW64">
        <v>0.06</v>
      </c>
      <c r="BX64" s="238">
        <v>170714.88299999997</v>
      </c>
      <c r="BY64" s="238">
        <v>77770.665018900836</v>
      </c>
      <c r="BZ64" s="238">
        <v>2674533.17</v>
      </c>
      <c r="CA64" s="238" t="s">
        <v>38</v>
      </c>
      <c r="CB64">
        <v>15500</v>
      </c>
      <c r="CC64">
        <v>93270.665018900836</v>
      </c>
      <c r="CD64" s="238">
        <v>533045</v>
      </c>
      <c r="CE64" s="238">
        <v>3207578.17</v>
      </c>
      <c r="CF64" t="s">
        <v>4633</v>
      </c>
      <c r="CG64" t="s">
        <v>978</v>
      </c>
      <c r="CH64" s="238" t="s">
        <v>39</v>
      </c>
      <c r="CI64" s="238" t="s">
        <v>39</v>
      </c>
      <c r="CJ64" t="s">
        <v>8950</v>
      </c>
      <c r="CK64" t="s">
        <v>1167</v>
      </c>
      <c r="CL64" t="s">
        <v>8961</v>
      </c>
      <c r="CM64" t="s">
        <v>8973</v>
      </c>
      <c r="CN64" s="238" t="b">
        <v>1</v>
      </c>
      <c r="CO64" t="s">
        <v>5352</v>
      </c>
      <c r="CQ64" t="s">
        <v>4895</v>
      </c>
      <c r="CR64" t="s">
        <v>3246</v>
      </c>
      <c r="CS64" t="s">
        <v>38</v>
      </c>
      <c r="CT64" t="b">
        <v>1</v>
      </c>
      <c r="CU64">
        <v>2845248.05</v>
      </c>
      <c r="CV64" t="s">
        <v>9002</v>
      </c>
      <c r="CW64">
        <v>2845248</v>
      </c>
      <c r="CX64">
        <v>2845248</v>
      </c>
      <c r="CY64">
        <v>0</v>
      </c>
      <c r="CZ64" t="b">
        <v>1</v>
      </c>
      <c r="DA64">
        <v>45191</v>
      </c>
      <c r="DB64" t="s">
        <v>3901</v>
      </c>
      <c r="DC64">
        <v>-1.1631288165163678E-3</v>
      </c>
      <c r="DD64">
        <v>-90.457301563125014</v>
      </c>
      <c r="DE64" s="420" cm="1">
        <f t="array" ref="DE64">_xlfn.XLOOKUP("Дом 5"&amp;Реестр_Д5[[#This Row],[№]]&amp;Реестр_Д5[[#This Row],[Статус]],РД[Дом]&amp;РД[№ кв]&amp;РД[Состояние],РД[Дата подачи на регистрацию],"-",0)</f>
        <v>45191</v>
      </c>
    </row>
    <row r="65" spans="1:109" hidden="1" x14ac:dyDescent="0.25">
      <c r="A65" s="238">
        <v>64</v>
      </c>
      <c r="B65" s="238" t="s">
        <v>6</v>
      </c>
      <c r="C65" s="238">
        <v>10</v>
      </c>
      <c r="D65" s="238">
        <v>2</v>
      </c>
      <c r="E65" s="238">
        <v>2</v>
      </c>
      <c r="F65" s="238">
        <v>15.82</v>
      </c>
      <c r="G65" s="238">
        <v>15.54</v>
      </c>
      <c r="H65" s="238"/>
      <c r="I65">
        <v>31.36</v>
      </c>
      <c r="J65" s="238">
        <v>19.440000000000001</v>
      </c>
      <c r="K65" s="238">
        <v>4.42</v>
      </c>
      <c r="L65" s="238"/>
      <c r="M65" s="238">
        <v>3.25</v>
      </c>
      <c r="N65" s="238">
        <v>8.5299999999999994</v>
      </c>
      <c r="O65" s="238">
        <v>3</v>
      </c>
      <c r="P65" s="238"/>
      <c r="R65" s="238">
        <v>3</v>
      </c>
      <c r="S65">
        <v>70</v>
      </c>
      <c r="T65">
        <v>67</v>
      </c>
      <c r="U65" s="238">
        <v>68.5</v>
      </c>
      <c r="V65">
        <v>68</v>
      </c>
      <c r="W65" s="238">
        <v>84168.819000000003</v>
      </c>
      <c r="X65">
        <v>4208.4409500000002</v>
      </c>
      <c r="Y65">
        <v>88377.259950000007</v>
      </c>
      <c r="Z65">
        <v>2651.3177985000002</v>
      </c>
      <c r="AA65">
        <v>91028.577748500014</v>
      </c>
      <c r="AC65">
        <v>91028.577748500014</v>
      </c>
      <c r="AE65">
        <v>91028.577748500014</v>
      </c>
      <c r="AG65">
        <v>91028.577748500014</v>
      </c>
      <c r="AH65">
        <v>-831</v>
      </c>
      <c r="AI65">
        <v>90197.577748500014</v>
      </c>
      <c r="AJ65">
        <v>901.97577748500021</v>
      </c>
      <c r="AK65">
        <v>91099.553525985015</v>
      </c>
      <c r="AL65">
        <v>4554.9776762992506</v>
      </c>
      <c r="AM65">
        <v>95654.531202284285</v>
      </c>
      <c r="AO65">
        <v>95654.531202284285</v>
      </c>
      <c r="AP65">
        <v>1913.0906240456857</v>
      </c>
      <c r="AQ65">
        <v>97567.621826329952</v>
      </c>
      <c r="AS65">
        <v>97567.621826329952</v>
      </c>
      <c r="AT65">
        <v>1951.3524365265991</v>
      </c>
      <c r="AU65">
        <v>99518.974262856558</v>
      </c>
      <c r="AW65">
        <v>99518.974262856558</v>
      </c>
      <c r="AY65">
        <v>99518.974262856558</v>
      </c>
      <c r="BA65">
        <v>99518.974262856558</v>
      </c>
      <c r="BC65">
        <v>99518.974262856558</v>
      </c>
      <c r="BE65">
        <v>99518.974262856558</v>
      </c>
      <c r="BG65">
        <v>99518.974262856558</v>
      </c>
      <c r="BI65">
        <v>99518.974262856558</v>
      </c>
      <c r="BK65">
        <v>99518.974262856558</v>
      </c>
      <c r="BM65">
        <v>99518.974262856558</v>
      </c>
      <c r="BO65">
        <v>99518.974262856558</v>
      </c>
      <c r="BQ65">
        <v>99518.974262856558</v>
      </c>
      <c r="BS65">
        <v>99518.974262856558</v>
      </c>
      <c r="BT65" s="238">
        <v>99518.97</v>
      </c>
      <c r="BU65" s="238">
        <v>6817100</v>
      </c>
      <c r="BV65">
        <v>100000</v>
      </c>
      <c r="BX65" s="238">
        <v>100000</v>
      </c>
      <c r="BY65" s="238">
        <v>98059.854014598546</v>
      </c>
      <c r="BZ65" s="238">
        <v>6717100</v>
      </c>
      <c r="CA65" s="238" t="s">
        <v>6871</v>
      </c>
      <c r="CB65">
        <v>7000</v>
      </c>
      <c r="CC65">
        <v>105059.85401459856</v>
      </c>
      <c r="CD65" s="238">
        <v>479500</v>
      </c>
      <c r="CE65" s="238">
        <v>7196600</v>
      </c>
      <c r="CG65" t="s">
        <v>7512</v>
      </c>
      <c r="CH65" s="238" t="s">
        <v>39</v>
      </c>
      <c r="CI65" s="238" t="s">
        <v>39</v>
      </c>
      <c r="CJ65" t="s">
        <v>8950</v>
      </c>
      <c r="CK65" t="s">
        <v>1167</v>
      </c>
      <c r="CL65" t="s">
        <v>8961</v>
      </c>
      <c r="CM65" t="s">
        <v>8971</v>
      </c>
      <c r="CN65" s="238" t="b">
        <v>1</v>
      </c>
      <c r="CO65" t="s">
        <v>5353</v>
      </c>
      <c r="CQ65" t="s">
        <v>6652</v>
      </c>
      <c r="CR65" t="s">
        <v>3246</v>
      </c>
      <c r="CS65" t="s">
        <v>6871</v>
      </c>
      <c r="CT65" t="b">
        <v>1</v>
      </c>
      <c r="CU65">
        <v>6817100</v>
      </c>
      <c r="CV65" t="s">
        <v>9002</v>
      </c>
      <c r="CW65">
        <v>0</v>
      </c>
      <c r="CX65">
        <v>6817100</v>
      </c>
      <c r="CY65">
        <v>0</v>
      </c>
      <c r="CZ65" t="b">
        <v>1</v>
      </c>
      <c r="DA65">
        <v>45464</v>
      </c>
      <c r="DB65" t="s">
        <v>5215</v>
      </c>
      <c r="DC65">
        <v>-7.2992700729926909E-3</v>
      </c>
      <c r="DD65">
        <v>-715.76535777079141</v>
      </c>
      <c r="DE65" s="420" cm="1">
        <f t="array" ref="DE65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66" spans="1:109" x14ac:dyDescent="0.25">
      <c r="A66" s="238">
        <v>65</v>
      </c>
      <c r="B66" s="238" t="s">
        <v>6</v>
      </c>
      <c r="C66" s="238">
        <v>10</v>
      </c>
      <c r="D66" s="238">
        <v>3</v>
      </c>
      <c r="E66" s="238">
        <v>1</v>
      </c>
      <c r="F66" s="238">
        <v>13.6</v>
      </c>
      <c r="G66" s="238"/>
      <c r="H66" s="238"/>
      <c r="I66">
        <v>13.6</v>
      </c>
      <c r="J66" s="238">
        <v>14.97</v>
      </c>
      <c r="K66" s="238">
        <v>4.1100000000000003</v>
      </c>
      <c r="L66" s="238"/>
      <c r="M66" s="238"/>
      <c r="N66" s="238">
        <v>3.7</v>
      </c>
      <c r="O66" s="238">
        <v>2.69</v>
      </c>
      <c r="P66" s="238"/>
      <c r="R66" s="238">
        <v>2.69</v>
      </c>
      <c r="S66">
        <v>39.07</v>
      </c>
      <c r="T66">
        <v>36.380000000000003</v>
      </c>
      <c r="U66" s="238">
        <v>37.729999999999997</v>
      </c>
      <c r="V66">
        <v>37.650000000000006</v>
      </c>
      <c r="W66" s="238">
        <v>87601.5</v>
      </c>
      <c r="X66">
        <v>4380.0749999999998</v>
      </c>
      <c r="Y66">
        <v>91981.574999999997</v>
      </c>
      <c r="Z66">
        <v>2759.4472499999997</v>
      </c>
      <c r="AA66">
        <v>94741.022249999995</v>
      </c>
      <c r="AB66">
        <v>6631.8715575000006</v>
      </c>
      <c r="AC66">
        <v>101372.8938075</v>
      </c>
      <c r="AE66">
        <v>101372.8938075</v>
      </c>
      <c r="AF66">
        <v>5068.6446903750002</v>
      </c>
      <c r="AG66">
        <v>106441.53849787499</v>
      </c>
      <c r="AI66">
        <v>106441.53849787499</v>
      </c>
      <c r="AJ66">
        <v>1064.4153849787499</v>
      </c>
      <c r="AK66">
        <v>107505.95388285376</v>
      </c>
      <c r="AL66">
        <v>5375.2976941426878</v>
      </c>
      <c r="AM66">
        <v>112881.25157699644</v>
      </c>
      <c r="AO66">
        <v>112881.25157699644</v>
      </c>
      <c r="AP66">
        <v>3386.437547309893</v>
      </c>
      <c r="AQ66">
        <v>116267.68912430631</v>
      </c>
      <c r="AS66">
        <v>116267.68912430631</v>
      </c>
      <c r="AU66">
        <v>116267.68912430631</v>
      </c>
      <c r="AW66">
        <v>116267.68912430631</v>
      </c>
      <c r="AY66">
        <v>116267.68912430631</v>
      </c>
      <c r="AZ66">
        <v>2325.3537824861264</v>
      </c>
      <c r="BA66">
        <v>118593.04290679246</v>
      </c>
      <c r="BB66">
        <v>1185.9304290679245</v>
      </c>
      <c r="BC66">
        <v>119778.97333586038</v>
      </c>
      <c r="BE66">
        <v>119778.97333586038</v>
      </c>
      <c r="BF66">
        <v>2994.4743333965098</v>
      </c>
      <c r="BG66">
        <v>122773.4476692569</v>
      </c>
      <c r="BH66">
        <v>500</v>
      </c>
      <c r="BI66">
        <v>123273.4476692569</v>
      </c>
      <c r="BK66">
        <v>123273.4476692569</v>
      </c>
      <c r="BL66">
        <v>6163.6723834628456</v>
      </c>
      <c r="BM66">
        <v>129437.12005271977</v>
      </c>
      <c r="BN66">
        <v>16826.825606853567</v>
      </c>
      <c r="BO66">
        <v>146263.94565957331</v>
      </c>
      <c r="BP66">
        <v>35</v>
      </c>
      <c r="BQ66">
        <v>146298.94565957331</v>
      </c>
      <c r="BR66">
        <v>1462.9894565957331</v>
      </c>
      <c r="BS66">
        <v>147761.93511616904</v>
      </c>
      <c r="BT66" s="238">
        <v>147761.94</v>
      </c>
      <c r="BU66" s="238">
        <v>5563300</v>
      </c>
      <c r="BX66" s="238">
        <v>0</v>
      </c>
      <c r="BY66" s="238">
        <v>147763.61221779545</v>
      </c>
      <c r="BZ66" s="238">
        <v>5563300</v>
      </c>
      <c r="CA66" s="238" t="s">
        <v>6871</v>
      </c>
      <c r="CB66">
        <v>10000</v>
      </c>
      <c r="CC66">
        <v>157763.61221779545</v>
      </c>
      <c r="CD66" s="238">
        <v>376500</v>
      </c>
      <c r="CE66" s="238">
        <v>5939800</v>
      </c>
      <c r="CH66" s="238" t="s">
        <v>3</v>
      </c>
      <c r="CI66" s="238" t="s">
        <v>3</v>
      </c>
      <c r="CJ66" t="s">
        <v>8951</v>
      </c>
      <c r="CK66" t="s">
        <v>1167</v>
      </c>
      <c r="CL66" t="s">
        <v>8961</v>
      </c>
      <c r="CM66" t="s">
        <v>8972</v>
      </c>
      <c r="CN66" s="238" t="b">
        <v>1</v>
      </c>
      <c r="CO66" t="s">
        <v>5354</v>
      </c>
      <c r="CQ66" t="s">
        <v>6652</v>
      </c>
      <c r="CR66" t="s">
        <v>3124</v>
      </c>
      <c r="CS66" t="s">
        <v>6871</v>
      </c>
      <c r="CT66" t="b">
        <v>1</v>
      </c>
      <c r="CU66">
        <v>5563300</v>
      </c>
      <c r="CV66">
        <v>5563300</v>
      </c>
      <c r="CW66">
        <v>0</v>
      </c>
      <c r="CX66">
        <v>0</v>
      </c>
      <c r="CY66">
        <v>0</v>
      </c>
      <c r="CZ66" t="b">
        <v>1</v>
      </c>
      <c r="DA66" t="s">
        <v>4246</v>
      </c>
      <c r="DB66" t="s">
        <v>1167</v>
      </c>
      <c r="DC66">
        <v>-2.1203286509406949E-3</v>
      </c>
      <c r="DD66">
        <v>-313.30742055188222</v>
      </c>
      <c r="DE66" s="420" t="str" cm="1">
        <f t="array" ref="DE6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67" spans="1:109" hidden="1" x14ac:dyDescent="0.25">
      <c r="A67" s="238">
        <v>66</v>
      </c>
      <c r="B67" s="238" t="s">
        <v>6</v>
      </c>
      <c r="C67" s="238">
        <v>10</v>
      </c>
      <c r="D67" s="238">
        <v>4</v>
      </c>
      <c r="E67" s="238">
        <v>2</v>
      </c>
      <c r="F67" s="238">
        <v>16.61</v>
      </c>
      <c r="G67" s="238">
        <v>11.38</v>
      </c>
      <c r="H67" s="238"/>
      <c r="I67">
        <v>27.99</v>
      </c>
      <c r="J67" s="238">
        <v>14.58</v>
      </c>
      <c r="K67" s="238">
        <v>4.34</v>
      </c>
      <c r="L67" s="238">
        <v>2.08</v>
      </c>
      <c r="M67" s="238"/>
      <c r="N67" s="238">
        <v>8.82</v>
      </c>
      <c r="O67" s="238">
        <v>2.56</v>
      </c>
      <c r="P67" s="238"/>
      <c r="R67" s="238">
        <v>2.56</v>
      </c>
      <c r="S67">
        <v>60.37</v>
      </c>
      <c r="T67">
        <v>57.81</v>
      </c>
      <c r="U67" s="238">
        <v>59.09</v>
      </c>
      <c r="V67">
        <v>59.4</v>
      </c>
      <c r="W67" s="238">
        <v>80307.864000000001</v>
      </c>
      <c r="X67">
        <v>4015.3932</v>
      </c>
      <c r="Y67">
        <v>84323.257199999993</v>
      </c>
      <c r="Z67">
        <v>2529.6977160000001</v>
      </c>
      <c r="AA67">
        <v>86852.954916000002</v>
      </c>
      <c r="AC67">
        <v>86852.954916000002</v>
      </c>
      <c r="AE67">
        <v>86852.954916000002</v>
      </c>
      <c r="AG67">
        <v>86852.954916000002</v>
      </c>
      <c r="AI67">
        <v>86852.954916000002</v>
      </c>
      <c r="AJ67">
        <v>868.52954915999999</v>
      </c>
      <c r="AK67">
        <v>87721.48446516</v>
      </c>
      <c r="AL67">
        <v>4386.0742232580005</v>
      </c>
      <c r="AM67">
        <v>92107.558688417994</v>
      </c>
      <c r="AO67">
        <v>92107.558688417994</v>
      </c>
      <c r="AP67">
        <v>1842.15117376836</v>
      </c>
      <c r="AQ67">
        <v>93949.709862186355</v>
      </c>
      <c r="AS67">
        <v>93949.709862186355</v>
      </c>
      <c r="AT67">
        <v>1878.9941972437273</v>
      </c>
      <c r="AU67">
        <v>95828.704059430078</v>
      </c>
      <c r="AW67">
        <v>95828.704059430078</v>
      </c>
      <c r="AX67">
        <v>958.28704059430083</v>
      </c>
      <c r="AY67">
        <v>96786.991100024374</v>
      </c>
      <c r="BA67">
        <v>96786.991100024374</v>
      </c>
      <c r="BC67">
        <v>96786.991100024374</v>
      </c>
      <c r="BE67">
        <v>96786.991100024374</v>
      </c>
      <c r="BF67">
        <v>1451.8048665003655</v>
      </c>
      <c r="BG67">
        <v>98238.795966524733</v>
      </c>
      <c r="BI67">
        <v>98238.795966524733</v>
      </c>
      <c r="BK67">
        <v>98238.795966524733</v>
      </c>
      <c r="BM67">
        <v>98238.795966524733</v>
      </c>
      <c r="BO67">
        <v>98238.795966524733</v>
      </c>
      <c r="BQ67">
        <v>98238.795966524733</v>
      </c>
      <c r="BS67">
        <v>98238.795966524733</v>
      </c>
      <c r="BT67" s="238">
        <v>98238.8</v>
      </c>
      <c r="BU67" s="238">
        <v>5805000</v>
      </c>
      <c r="BW67">
        <v>0.02</v>
      </c>
      <c r="BX67" s="238">
        <v>116100</v>
      </c>
      <c r="BY67" s="238">
        <v>96275.173464207139</v>
      </c>
      <c r="BZ67" s="238">
        <v>5688900</v>
      </c>
      <c r="CA67" s="238" t="s">
        <v>36</v>
      </c>
      <c r="CC67">
        <v>96275.173464207139</v>
      </c>
      <c r="CD67" s="238">
        <v>0</v>
      </c>
      <c r="CE67" s="238">
        <v>5688900</v>
      </c>
      <c r="CG67" t="s">
        <v>321</v>
      </c>
      <c r="CH67" s="238" t="s">
        <v>39</v>
      </c>
      <c r="CI67" s="238" t="s">
        <v>39</v>
      </c>
      <c r="CJ67" t="s">
        <v>8950</v>
      </c>
      <c r="CK67" t="s">
        <v>1167</v>
      </c>
      <c r="CL67" t="s">
        <v>8961</v>
      </c>
      <c r="CM67" t="s">
        <v>8971</v>
      </c>
      <c r="CN67" s="238" t="b">
        <v>1</v>
      </c>
      <c r="CO67" t="s">
        <v>5355</v>
      </c>
      <c r="CQ67" t="s">
        <v>6652</v>
      </c>
      <c r="CR67" t="s">
        <v>3246</v>
      </c>
      <c r="CS67" t="s">
        <v>36</v>
      </c>
      <c r="CT67" t="b">
        <v>1</v>
      </c>
      <c r="CU67">
        <v>5805000</v>
      </c>
      <c r="CV67" t="s">
        <v>9002</v>
      </c>
      <c r="CW67">
        <v>5805000</v>
      </c>
      <c r="CX67">
        <v>5805000</v>
      </c>
      <c r="CY67">
        <v>0</v>
      </c>
      <c r="CZ67" t="b">
        <v>1</v>
      </c>
      <c r="DA67">
        <v>45589</v>
      </c>
      <c r="DB67" t="s">
        <v>126</v>
      </c>
      <c r="DC67">
        <v>5.2462345574546543E-3</v>
      </c>
      <c r="DD67">
        <v>505.08214205286481</v>
      </c>
      <c r="DE67" s="420" cm="1">
        <f t="array" ref="DE67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68" spans="1:109" x14ac:dyDescent="0.25">
      <c r="A68" s="238">
        <v>67</v>
      </c>
      <c r="B68" s="238" t="s">
        <v>6</v>
      </c>
      <c r="C68" s="238">
        <v>10</v>
      </c>
      <c r="D68" s="238">
        <v>5</v>
      </c>
      <c r="E68" s="238">
        <v>2</v>
      </c>
      <c r="F68" s="238">
        <v>16.46</v>
      </c>
      <c r="G68" s="238">
        <v>12.47</v>
      </c>
      <c r="H68" s="238"/>
      <c r="I68">
        <v>28.93</v>
      </c>
      <c r="J68" s="238">
        <v>18</v>
      </c>
      <c r="K68" s="238">
        <v>4.3499999999999996</v>
      </c>
      <c r="L68" s="238">
        <v>1.55</v>
      </c>
      <c r="M68" s="238"/>
      <c r="N68" s="238">
        <v>8</v>
      </c>
      <c r="O68" s="238">
        <v>2.67</v>
      </c>
      <c r="P68" s="238"/>
      <c r="R68" s="238">
        <v>2.67</v>
      </c>
      <c r="S68">
        <v>63.5</v>
      </c>
      <c r="T68">
        <v>60.83</v>
      </c>
      <c r="U68" s="238">
        <v>62.17</v>
      </c>
      <c r="V68">
        <v>61.45</v>
      </c>
      <c r="W68" s="238">
        <v>80307.864000000001</v>
      </c>
      <c r="X68">
        <v>4015.3932</v>
      </c>
      <c r="Y68">
        <v>84323.257199999993</v>
      </c>
      <c r="Z68">
        <v>2529.6977160000001</v>
      </c>
      <c r="AA68">
        <v>86852.954916000002</v>
      </c>
      <c r="AC68">
        <v>86852.954916000002</v>
      </c>
      <c r="AE68">
        <v>86852.954916000002</v>
      </c>
      <c r="AG68">
        <v>86852.954916000002</v>
      </c>
      <c r="AI68">
        <v>86852.954916000002</v>
      </c>
      <c r="AJ68">
        <v>868.52954915999999</v>
      </c>
      <c r="AK68">
        <v>87721.48446516</v>
      </c>
      <c r="AL68">
        <v>4386.0742232580005</v>
      </c>
      <c r="AM68">
        <v>92107.558688417994</v>
      </c>
      <c r="AO68">
        <v>92107.558688417994</v>
      </c>
      <c r="AP68">
        <v>1842.15117376836</v>
      </c>
      <c r="AQ68">
        <v>93949.709862186355</v>
      </c>
      <c r="AS68">
        <v>93949.709862186355</v>
      </c>
      <c r="AT68">
        <v>1878.9941972437273</v>
      </c>
      <c r="AU68">
        <v>95828.704059430078</v>
      </c>
      <c r="AW68">
        <v>95828.704059430078</v>
      </c>
      <c r="AY68">
        <v>95828.704059430078</v>
      </c>
      <c r="AZ68">
        <v>1916.5740811886017</v>
      </c>
      <c r="BA68">
        <v>97745.278140618684</v>
      </c>
      <c r="BB68">
        <v>488.72639070309344</v>
      </c>
      <c r="BC68">
        <v>98234.004531321771</v>
      </c>
      <c r="BE68">
        <v>98234.004531321771</v>
      </c>
      <c r="BF68">
        <v>1473.5100679698264</v>
      </c>
      <c r="BG68">
        <v>99707.514599291593</v>
      </c>
      <c r="BI68">
        <v>99707.514599291593</v>
      </c>
      <c r="BJ68">
        <v>3988.3005839716639</v>
      </c>
      <c r="BK68">
        <v>103695.81518326326</v>
      </c>
      <c r="BL68">
        <v>6221.7489109957951</v>
      </c>
      <c r="BM68">
        <v>109917.56409425904</v>
      </c>
      <c r="BN68">
        <v>14289.283332253675</v>
      </c>
      <c r="BO68">
        <v>124206.84742651272</v>
      </c>
      <c r="BP68">
        <v>37.253468523878837</v>
      </c>
      <c r="BQ68">
        <v>124244.10089503659</v>
      </c>
      <c r="BS68">
        <v>124244.10089503659</v>
      </c>
      <c r="BT68" s="238">
        <v>124244.1</v>
      </c>
      <c r="BU68" s="238">
        <v>7634800</v>
      </c>
      <c r="BV68">
        <v>636820</v>
      </c>
      <c r="BX68" s="238">
        <v>636820</v>
      </c>
      <c r="BY68" s="238">
        <v>113880.87876322212</v>
      </c>
      <c r="BZ68" s="238">
        <v>6997980</v>
      </c>
      <c r="CA68" s="238" t="s">
        <v>36</v>
      </c>
      <c r="CC68">
        <v>113880.87876322212</v>
      </c>
      <c r="CD68" s="238">
        <v>0</v>
      </c>
      <c r="CE68" s="238">
        <v>6997980</v>
      </c>
      <c r="CG68" t="s">
        <v>8841</v>
      </c>
      <c r="CH68" s="238" t="s">
        <v>39</v>
      </c>
      <c r="CI68" s="238" t="s">
        <v>39</v>
      </c>
      <c r="CJ68" t="s">
        <v>8950</v>
      </c>
      <c r="CK68" t="s">
        <v>1167</v>
      </c>
      <c r="CL68" t="s">
        <v>8961</v>
      </c>
      <c r="CM68" t="s">
        <v>8971</v>
      </c>
      <c r="CN68" s="238" t="b">
        <v>1</v>
      </c>
      <c r="CO68" t="s">
        <v>5356</v>
      </c>
      <c r="CQ68" t="s">
        <v>6652</v>
      </c>
      <c r="CR68" t="s">
        <v>3124</v>
      </c>
      <c r="CS68" t="s">
        <v>36</v>
      </c>
      <c r="CT68" t="b">
        <v>1</v>
      </c>
      <c r="CU68">
        <v>7634800</v>
      </c>
      <c r="CV68" t="s">
        <v>9002</v>
      </c>
      <c r="CW68">
        <v>0</v>
      </c>
      <c r="CX68">
        <v>7634800</v>
      </c>
      <c r="CY68">
        <v>0</v>
      </c>
      <c r="CZ68" t="b">
        <v>1</v>
      </c>
      <c r="DA68">
        <v>45869</v>
      </c>
      <c r="DB68" t="s">
        <v>5215</v>
      </c>
      <c r="DC68">
        <v>-1.1581148463889355E-2</v>
      </c>
      <c r="DD68">
        <v>-1318.8713641550601</v>
      </c>
      <c r="DE68" s="420" cm="1">
        <f t="array" ref="DE68">_xlfn.XLOOKUP("Дом 5"&amp;Реестр_Д5[[#This Row],[№]]&amp;Реестр_Д5[[#This Row],[Статус]],РД[Дом]&amp;РД[№ кв]&amp;РД[Состояние],РД[Дата подачи на регистрацию],"-",0)</f>
        <v>45869</v>
      </c>
    </row>
    <row r="69" spans="1:109" hidden="1" x14ac:dyDescent="0.25">
      <c r="A69" s="238">
        <v>68</v>
      </c>
      <c r="B69" s="238" t="s">
        <v>6</v>
      </c>
      <c r="C69" s="238">
        <v>10</v>
      </c>
      <c r="D69" s="238">
        <v>6</v>
      </c>
      <c r="E69" s="238">
        <v>2</v>
      </c>
      <c r="F69" s="238">
        <v>14.64</v>
      </c>
      <c r="G69" s="238">
        <v>10.74</v>
      </c>
      <c r="H69" s="238"/>
      <c r="I69">
        <v>25.380000000000003</v>
      </c>
      <c r="J69" s="238">
        <v>14.35</v>
      </c>
      <c r="K69" s="238">
        <v>4.16</v>
      </c>
      <c r="L69" s="238">
        <v>1.93</v>
      </c>
      <c r="M69" s="238"/>
      <c r="N69" s="238">
        <v>11.03</v>
      </c>
      <c r="O69" s="238">
        <v>2.6219999999999999</v>
      </c>
      <c r="P69" s="238"/>
      <c r="R69" s="238">
        <v>2.6219999999999999</v>
      </c>
      <c r="S69">
        <v>59.47</v>
      </c>
      <c r="T69">
        <v>56.85</v>
      </c>
      <c r="U69" s="238">
        <v>58.16</v>
      </c>
      <c r="V69">
        <v>58.099999999999994</v>
      </c>
      <c r="W69" s="238">
        <v>81466.150500000003</v>
      </c>
      <c r="X69">
        <v>4073.3075250000002</v>
      </c>
      <c r="Y69">
        <v>85539.458025</v>
      </c>
      <c r="Z69">
        <v>2566.1837407499997</v>
      </c>
      <c r="AA69">
        <v>88105.641765749999</v>
      </c>
      <c r="AC69">
        <v>88105.641765749999</v>
      </c>
      <c r="AE69">
        <v>88105.641765749999</v>
      </c>
      <c r="AG69">
        <v>88105.641765749999</v>
      </c>
      <c r="AI69">
        <v>88105.641765749999</v>
      </c>
      <c r="AJ69">
        <v>881.05641765749999</v>
      </c>
      <c r="AK69">
        <v>88986.698183407498</v>
      </c>
      <c r="AL69">
        <v>4449.3349091703749</v>
      </c>
      <c r="AM69">
        <v>93436.033092577869</v>
      </c>
      <c r="AO69">
        <v>93436.033092577869</v>
      </c>
      <c r="AP69">
        <v>1868.7206618515577</v>
      </c>
      <c r="AQ69">
        <v>95304.753754429446</v>
      </c>
      <c r="AS69">
        <v>95304.753754429446</v>
      </c>
      <c r="AT69">
        <v>1906.0950750885888</v>
      </c>
      <c r="AU69">
        <v>97210.848829518014</v>
      </c>
      <c r="AW69">
        <v>97210.848829518014</v>
      </c>
      <c r="AY69">
        <v>97210.848829518014</v>
      </c>
      <c r="BA69">
        <v>97210.848829518014</v>
      </c>
      <c r="BC69">
        <v>97210.848829518014</v>
      </c>
      <c r="BE69">
        <v>97210.848829518014</v>
      </c>
      <c r="BG69">
        <v>97210.848829518014</v>
      </c>
      <c r="BI69">
        <v>97210.848829518014</v>
      </c>
      <c r="BK69">
        <v>97210.848829518014</v>
      </c>
      <c r="BM69">
        <v>97210.848829518014</v>
      </c>
      <c r="BO69">
        <v>97210.848829518014</v>
      </c>
      <c r="BQ69">
        <v>97210.848829518014</v>
      </c>
      <c r="BS69">
        <v>97210.848829518014</v>
      </c>
      <c r="BT69" s="238">
        <v>97210.85</v>
      </c>
      <c r="BU69" s="238">
        <v>5653800</v>
      </c>
      <c r="BX69" s="238">
        <v>0</v>
      </c>
      <c r="BY69" s="238">
        <v>97211.141678129308</v>
      </c>
      <c r="BZ69" s="238">
        <v>5653800</v>
      </c>
      <c r="CA69" s="238" t="s">
        <v>38</v>
      </c>
      <c r="CB69">
        <v>20000</v>
      </c>
      <c r="CC69">
        <v>117211.14167812932</v>
      </c>
      <c r="CD69" s="238">
        <v>1163200</v>
      </c>
      <c r="CE69" s="238">
        <v>6817000</v>
      </c>
      <c r="CH69" s="238" t="s">
        <v>39</v>
      </c>
      <c r="CI69" s="238" t="s">
        <v>39</v>
      </c>
      <c r="CJ69" t="s">
        <v>8950</v>
      </c>
      <c r="CK69" t="s">
        <v>1167</v>
      </c>
      <c r="CL69" t="s">
        <v>8961</v>
      </c>
      <c r="CM69" t="s">
        <v>8971</v>
      </c>
      <c r="CN69" s="238" t="b">
        <v>1</v>
      </c>
      <c r="CO69" t="s">
        <v>5357</v>
      </c>
      <c r="CQ69" t="s">
        <v>6652</v>
      </c>
      <c r="CR69" t="s">
        <v>3246</v>
      </c>
      <c r="CS69" t="s">
        <v>38</v>
      </c>
      <c r="CT69" t="b">
        <v>1</v>
      </c>
      <c r="CU69">
        <v>5653800</v>
      </c>
      <c r="CV69" t="s">
        <v>9002</v>
      </c>
      <c r="CW69">
        <v>5653800</v>
      </c>
      <c r="CX69">
        <v>5653800</v>
      </c>
      <c r="CY69">
        <v>0</v>
      </c>
      <c r="CZ69" t="b">
        <v>1</v>
      </c>
      <c r="DA69">
        <v>45447</v>
      </c>
      <c r="DB69" t="s">
        <v>4177</v>
      </c>
      <c r="DC69">
        <v>-1.0316368638240148E-3</v>
      </c>
      <c r="DD69">
        <v>-100.28659732957728</v>
      </c>
      <c r="DE69" s="420" cm="1">
        <f t="array" ref="DE69">_xlfn.XLOOKUP("Дом 5"&amp;Реестр_Д5[[#This Row],[№]]&amp;Реестр_Д5[[#This Row],[Статус]],РД[Дом]&amp;РД[№ кв]&amp;РД[Состояние],РД[Дата подачи на регистрацию],"-",0)</f>
        <v>45447</v>
      </c>
    </row>
    <row r="70" spans="1:109" hidden="1" x14ac:dyDescent="0.25">
      <c r="A70" s="238">
        <v>69</v>
      </c>
      <c r="B70" s="238" t="s">
        <v>6</v>
      </c>
      <c r="C70" s="238">
        <v>10</v>
      </c>
      <c r="D70" s="238">
        <v>7</v>
      </c>
      <c r="E70" s="238">
        <v>1</v>
      </c>
      <c r="F70" s="238">
        <v>18.489999999999998</v>
      </c>
      <c r="G70" s="238"/>
      <c r="H70" s="238"/>
      <c r="I70">
        <v>18.489999999999998</v>
      </c>
      <c r="J70" s="238">
        <v>13.04</v>
      </c>
      <c r="K70" s="238">
        <v>3.9</v>
      </c>
      <c r="L70" s="238"/>
      <c r="M70" s="238"/>
      <c r="N70" s="238">
        <v>5.99</v>
      </c>
      <c r="O70" s="238">
        <v>2.65</v>
      </c>
      <c r="P70" s="238"/>
      <c r="R70" s="238">
        <v>2.65</v>
      </c>
      <c r="S70">
        <v>44.07</v>
      </c>
      <c r="T70">
        <v>41.42</v>
      </c>
      <c r="U70" s="238">
        <v>42.75</v>
      </c>
      <c r="V70">
        <v>42.95</v>
      </c>
      <c r="W70" s="238">
        <v>83951.4375</v>
      </c>
      <c r="X70">
        <v>4197.5718750000005</v>
      </c>
      <c r="Y70">
        <v>88149.009374999994</v>
      </c>
      <c r="Z70">
        <v>2644.4702812499995</v>
      </c>
      <c r="AA70">
        <v>90793.479656249998</v>
      </c>
      <c r="AB70">
        <v>3631.7391862499999</v>
      </c>
      <c r="AC70">
        <v>94425.218842499977</v>
      </c>
      <c r="AE70">
        <v>94425.218842499977</v>
      </c>
      <c r="AF70">
        <v>4721.2609421249999</v>
      </c>
      <c r="AG70">
        <v>99146.479784624986</v>
      </c>
      <c r="AI70">
        <v>99146.479784624986</v>
      </c>
      <c r="AJ70">
        <v>991.46479784624989</v>
      </c>
      <c r="AK70">
        <v>100137.94458247125</v>
      </c>
      <c r="AL70">
        <v>5006.8972291235623</v>
      </c>
      <c r="AM70">
        <v>105144.8418115948</v>
      </c>
      <c r="AO70">
        <v>105144.8418115948</v>
      </c>
      <c r="AP70">
        <v>3154.3452543478434</v>
      </c>
      <c r="AQ70">
        <v>108299.18706594263</v>
      </c>
      <c r="AS70">
        <v>108299.18706594263</v>
      </c>
      <c r="AU70">
        <v>108299.18706594263</v>
      </c>
      <c r="AW70">
        <v>108299.18706594263</v>
      </c>
      <c r="AY70">
        <v>108299.18706594263</v>
      </c>
      <c r="BA70">
        <v>108299.18706594263</v>
      </c>
      <c r="BB70">
        <v>541.49593532971323</v>
      </c>
      <c r="BC70">
        <v>108840.68300127237</v>
      </c>
      <c r="BE70">
        <v>108840.68300127237</v>
      </c>
      <c r="BF70">
        <v>1632.6102450190851</v>
      </c>
      <c r="BG70">
        <v>110473.29324629145</v>
      </c>
      <c r="BI70">
        <v>110473.29324629145</v>
      </c>
      <c r="BK70">
        <v>110473.29324629145</v>
      </c>
      <c r="BL70">
        <v>8837.8634597033142</v>
      </c>
      <c r="BM70">
        <v>119311.15670599474</v>
      </c>
      <c r="BN70">
        <v>15510.450371779318</v>
      </c>
      <c r="BO70">
        <v>134821.60707777407</v>
      </c>
      <c r="BP70">
        <v>35</v>
      </c>
      <c r="BQ70">
        <v>134856.60707777407</v>
      </c>
      <c r="BS70">
        <v>134856.60707777407</v>
      </c>
      <c r="BT70" s="238">
        <v>134856.60999999999</v>
      </c>
      <c r="BU70" s="238">
        <v>5765200</v>
      </c>
      <c r="BV70">
        <v>342000</v>
      </c>
      <c r="BX70" s="238">
        <v>342000</v>
      </c>
      <c r="BY70" s="238">
        <v>126858.47953216374</v>
      </c>
      <c r="BZ70" s="238">
        <v>5423200</v>
      </c>
      <c r="CA70" s="238" t="s">
        <v>36</v>
      </c>
      <c r="CC70">
        <v>126858.47953216374</v>
      </c>
      <c r="CD70" s="238">
        <v>0</v>
      </c>
      <c r="CE70" s="238">
        <v>5423200</v>
      </c>
      <c r="CG70" t="s">
        <v>8676</v>
      </c>
      <c r="CH70" s="238" t="s">
        <v>39</v>
      </c>
      <c r="CI70" s="238" t="s">
        <v>39</v>
      </c>
      <c r="CJ70" t="s">
        <v>8950</v>
      </c>
      <c r="CK70" t="s">
        <v>1167</v>
      </c>
      <c r="CL70" t="s">
        <v>8961</v>
      </c>
      <c r="CM70" t="s">
        <v>8973</v>
      </c>
      <c r="CN70" s="238" t="b">
        <v>1</v>
      </c>
      <c r="CO70" t="s">
        <v>5358</v>
      </c>
      <c r="CQ70" t="s">
        <v>6652</v>
      </c>
      <c r="CR70" t="s">
        <v>3246</v>
      </c>
      <c r="CS70" t="s">
        <v>36</v>
      </c>
      <c r="CT70" t="b">
        <v>1</v>
      </c>
      <c r="CU70">
        <v>5765200</v>
      </c>
      <c r="CV70" t="s">
        <v>9002</v>
      </c>
      <c r="CW70">
        <v>5765200</v>
      </c>
      <c r="CX70">
        <v>5765200</v>
      </c>
      <c r="CY70">
        <v>0</v>
      </c>
      <c r="CZ70" t="b">
        <v>1</v>
      </c>
      <c r="DA70">
        <v>45832</v>
      </c>
      <c r="DB70" t="s">
        <v>4177</v>
      </c>
      <c r="DC70">
        <v>4.6783625730995038E-3</v>
      </c>
      <c r="DD70">
        <v>593.48996272358431</v>
      </c>
      <c r="DE70" s="420" cm="1">
        <f t="array" ref="DE70">_xlfn.XLOOKUP("Дом 5"&amp;Реестр_Д5[[#This Row],[№]]&amp;Реестр_Д5[[#This Row],[Статус]],РД[Дом]&amp;РД[№ кв]&amp;РД[Состояние],РД[Дата подачи на регистрацию],"-",0)</f>
        <v>45832</v>
      </c>
    </row>
    <row r="71" spans="1:109" hidden="1" x14ac:dyDescent="0.25">
      <c r="A71" s="238">
        <v>70</v>
      </c>
      <c r="B71" s="238" t="s">
        <v>6</v>
      </c>
      <c r="C71" s="238">
        <v>11</v>
      </c>
      <c r="D71" s="238">
        <v>1</v>
      </c>
      <c r="E71" s="238">
        <v>1</v>
      </c>
      <c r="F71" s="238">
        <v>14.68</v>
      </c>
      <c r="G71" s="238"/>
      <c r="H71" s="238"/>
      <c r="I71">
        <v>14.68</v>
      </c>
      <c r="J71" s="238">
        <v>9.84</v>
      </c>
      <c r="K71" s="238">
        <v>3.63</v>
      </c>
      <c r="L71" s="238"/>
      <c r="M71" s="238"/>
      <c r="N71" s="238">
        <v>4.8899999999999997</v>
      </c>
      <c r="O71" s="238">
        <v>2.7</v>
      </c>
      <c r="P71" s="238"/>
      <c r="R71" s="238">
        <v>2.7</v>
      </c>
      <c r="S71">
        <v>35.74</v>
      </c>
      <c r="T71">
        <v>33.04</v>
      </c>
      <c r="U71" s="238">
        <v>34.39</v>
      </c>
      <c r="V71">
        <v>34.349999999999994</v>
      </c>
      <c r="W71" s="238">
        <v>82734.75</v>
      </c>
      <c r="X71">
        <v>4136.7375000000002</v>
      </c>
      <c r="Y71">
        <v>86871.487500000003</v>
      </c>
      <c r="Z71">
        <v>2606.1446249999999</v>
      </c>
      <c r="AA71">
        <v>89477.632125000004</v>
      </c>
      <c r="AB71">
        <v>12526.8684975</v>
      </c>
      <c r="AC71">
        <v>102004.5006225</v>
      </c>
      <c r="AE71">
        <v>102004.5006225</v>
      </c>
      <c r="AF71">
        <v>5100.2250311250009</v>
      </c>
      <c r="AG71">
        <v>107104.72565362501</v>
      </c>
      <c r="AI71">
        <v>107104.72565362501</v>
      </c>
      <c r="AJ71">
        <v>1071.0472565362502</v>
      </c>
      <c r="AK71">
        <v>108175.77291016123</v>
      </c>
      <c r="AL71">
        <v>5408.7886455080625</v>
      </c>
      <c r="AM71">
        <v>113584.56155566932</v>
      </c>
      <c r="AO71">
        <v>113584.56155566932</v>
      </c>
      <c r="AP71">
        <v>3407.5368466700793</v>
      </c>
      <c r="AQ71">
        <v>116992.09840233938</v>
      </c>
      <c r="AS71">
        <v>116992.09840233938</v>
      </c>
      <c r="AU71">
        <v>116992.09840233938</v>
      </c>
      <c r="AW71">
        <v>116992.09840233938</v>
      </c>
      <c r="AY71">
        <v>116992.09840233938</v>
      </c>
      <c r="BA71">
        <v>116992.09840233938</v>
      </c>
      <c r="BC71">
        <v>116992.09840233938</v>
      </c>
      <c r="BE71">
        <v>116992.09840233938</v>
      </c>
      <c r="BG71">
        <v>116992.09840233938</v>
      </c>
      <c r="BI71">
        <v>116992.09840233938</v>
      </c>
      <c r="BK71">
        <v>116992.09840233938</v>
      </c>
      <c r="BM71">
        <v>116992.09840233938</v>
      </c>
      <c r="BO71">
        <v>116992.09840233938</v>
      </c>
      <c r="BQ71">
        <v>116992.09840233938</v>
      </c>
      <c r="BS71">
        <v>116992.09840233938</v>
      </c>
      <c r="BT71" s="238">
        <v>116992.1</v>
      </c>
      <c r="BU71" s="238">
        <v>4023400</v>
      </c>
      <c r="BV71">
        <v>88888</v>
      </c>
      <c r="BX71" s="238">
        <v>88888</v>
      </c>
      <c r="BY71" s="238">
        <v>114408.60715324222</v>
      </c>
      <c r="BZ71" s="238">
        <v>3934512</v>
      </c>
      <c r="CA71" s="238" t="s">
        <v>38</v>
      </c>
      <c r="CB71">
        <v>20000</v>
      </c>
      <c r="CC71">
        <v>134408.60715324222</v>
      </c>
      <c r="CD71" s="238">
        <v>687800</v>
      </c>
      <c r="CE71" s="238">
        <v>4622312</v>
      </c>
      <c r="CF71" t="s">
        <v>4633</v>
      </c>
      <c r="CG71" t="s">
        <v>4185</v>
      </c>
      <c r="CH71" s="238" t="s">
        <v>39</v>
      </c>
      <c r="CI71" s="238" t="s">
        <v>39</v>
      </c>
      <c r="CJ71" t="s">
        <v>8950</v>
      </c>
      <c r="CK71" t="s">
        <v>1167</v>
      </c>
      <c r="CL71" t="s">
        <v>8961</v>
      </c>
      <c r="CM71" t="s">
        <v>8973</v>
      </c>
      <c r="CN71" s="238" t="b">
        <v>1</v>
      </c>
      <c r="CO71" t="s">
        <v>5359</v>
      </c>
      <c r="CQ71" t="s">
        <v>6652</v>
      </c>
      <c r="CR71" t="s">
        <v>3246</v>
      </c>
      <c r="CS71" t="s">
        <v>38</v>
      </c>
      <c r="CT71" t="b">
        <v>1</v>
      </c>
      <c r="CU71">
        <v>4023400</v>
      </c>
      <c r="CV71" t="s">
        <v>9002</v>
      </c>
      <c r="CW71">
        <v>0</v>
      </c>
      <c r="CX71">
        <v>4023400</v>
      </c>
      <c r="CY71">
        <v>0</v>
      </c>
      <c r="CZ71" t="b">
        <v>1</v>
      </c>
      <c r="DA71">
        <v>45377</v>
      </c>
      <c r="DB71" t="s">
        <v>5215</v>
      </c>
      <c r="DC71">
        <v>-1.1631288165165898E-3</v>
      </c>
      <c r="DD71">
        <v>-133.07194783746209</v>
      </c>
      <c r="DE71" s="420" cm="1">
        <f t="array" ref="DE71">_xlfn.XLOOKUP("Дом 5"&amp;Реестр_Д5[[#This Row],[№]]&amp;Реестр_Д5[[#This Row],[Статус]],РД[Дом]&amp;РД[№ кв]&amp;РД[Состояние],РД[Дата подачи на регистрацию],"-",0)</f>
        <v>45377</v>
      </c>
    </row>
    <row r="72" spans="1:109" x14ac:dyDescent="0.25">
      <c r="A72" s="238">
        <v>71</v>
      </c>
      <c r="B72" s="238" t="s">
        <v>6</v>
      </c>
      <c r="C72" s="238">
        <v>11</v>
      </c>
      <c r="D72" s="238">
        <v>2</v>
      </c>
      <c r="E72" s="238">
        <v>2</v>
      </c>
      <c r="F72" s="238">
        <v>15.82</v>
      </c>
      <c r="G72" s="238">
        <v>15.54</v>
      </c>
      <c r="H72" s="238"/>
      <c r="I72">
        <v>31.36</v>
      </c>
      <c r="J72" s="238">
        <v>19.440000000000001</v>
      </c>
      <c r="K72" s="238">
        <v>4.42</v>
      </c>
      <c r="L72" s="238"/>
      <c r="M72" s="238">
        <v>3.25</v>
      </c>
      <c r="N72" s="238">
        <v>8.5299999999999994</v>
      </c>
      <c r="O72" s="238">
        <v>3</v>
      </c>
      <c r="P72" s="238"/>
      <c r="R72" s="238">
        <v>3</v>
      </c>
      <c r="S72">
        <v>70</v>
      </c>
      <c r="T72">
        <v>67</v>
      </c>
      <c r="U72" s="238">
        <v>68.5</v>
      </c>
      <c r="V72">
        <v>68.199999999999989</v>
      </c>
      <c r="W72" s="238">
        <v>84168.819000000003</v>
      </c>
      <c r="X72">
        <v>4208.4409500000002</v>
      </c>
      <c r="Y72">
        <v>88377.259950000007</v>
      </c>
      <c r="Z72">
        <v>2651.3177985000002</v>
      </c>
      <c r="AA72">
        <v>91028.577748500014</v>
      </c>
      <c r="AC72">
        <v>91028.577748500014</v>
      </c>
      <c r="AE72">
        <v>91028.577748500014</v>
      </c>
      <c r="AG72">
        <v>91028.577748500014</v>
      </c>
      <c r="AH72">
        <v>-831</v>
      </c>
      <c r="AI72">
        <v>90197.577748500014</v>
      </c>
      <c r="AJ72">
        <v>901.97577748500021</v>
      </c>
      <c r="AK72">
        <v>91099.553525985015</v>
      </c>
      <c r="AL72">
        <v>4554.9776762992506</v>
      </c>
      <c r="AM72">
        <v>95654.531202284285</v>
      </c>
      <c r="AO72">
        <v>95654.531202284285</v>
      </c>
      <c r="AP72">
        <v>1913.0906240456857</v>
      </c>
      <c r="AQ72">
        <v>97567.621826329952</v>
      </c>
      <c r="AS72">
        <v>97567.621826329952</v>
      </c>
      <c r="AT72">
        <v>1951.3524365265991</v>
      </c>
      <c r="AU72">
        <v>99518.974262856558</v>
      </c>
      <c r="AW72">
        <v>99518.974262856558</v>
      </c>
      <c r="AY72">
        <v>99518.974262856558</v>
      </c>
      <c r="BA72">
        <v>99518.974262856558</v>
      </c>
      <c r="BC72">
        <v>99518.974262856558</v>
      </c>
      <c r="BE72">
        <v>99518.974262856558</v>
      </c>
      <c r="BF72">
        <v>497.59487131428278</v>
      </c>
      <c r="BG72">
        <v>100016.56913417084</v>
      </c>
      <c r="BI72">
        <v>100016.56913417084</v>
      </c>
      <c r="BK72">
        <v>100016.56913417084</v>
      </c>
      <c r="BL72">
        <v>6000.9941480502503</v>
      </c>
      <c r="BM72">
        <v>106017.56328222108</v>
      </c>
      <c r="BN72">
        <v>13782.283226688742</v>
      </c>
      <c r="BO72">
        <v>119799.84650890985</v>
      </c>
      <c r="BP72">
        <v>35</v>
      </c>
      <c r="BQ72">
        <v>119834.84650890985</v>
      </c>
      <c r="BS72">
        <v>119834.84650890985</v>
      </c>
      <c r="BT72" s="238">
        <v>119834.85</v>
      </c>
      <c r="BU72" s="238">
        <v>8172800</v>
      </c>
      <c r="BX72" s="238">
        <v>0</v>
      </c>
      <c r="BY72" s="238">
        <v>119835.77712609973</v>
      </c>
      <c r="BZ72" s="238">
        <v>8172800</v>
      </c>
      <c r="CA72" s="238" t="s">
        <v>36</v>
      </c>
      <c r="CC72">
        <v>119835.77712609973</v>
      </c>
      <c r="CD72" s="238">
        <v>0</v>
      </c>
      <c r="CE72" s="238">
        <v>8172800</v>
      </c>
      <c r="CH72" s="238" t="s">
        <v>3</v>
      </c>
      <c r="CI72" s="238" t="s">
        <v>3</v>
      </c>
      <c r="CJ72" t="s">
        <v>8951</v>
      </c>
      <c r="CK72" t="s">
        <v>1167</v>
      </c>
      <c r="CL72" t="s">
        <v>8961</v>
      </c>
      <c r="CM72" t="s">
        <v>8971</v>
      </c>
      <c r="CN72" s="238" t="b">
        <v>1</v>
      </c>
      <c r="CO72" t="s">
        <v>5360</v>
      </c>
      <c r="CQ72" t="s">
        <v>6652</v>
      </c>
      <c r="CR72" t="s">
        <v>3124</v>
      </c>
      <c r="CS72" t="s">
        <v>36</v>
      </c>
      <c r="CT72" t="b">
        <v>1</v>
      </c>
      <c r="CU72">
        <v>8172800</v>
      </c>
      <c r="CV72">
        <v>8172800</v>
      </c>
      <c r="CW72">
        <v>0</v>
      </c>
      <c r="CX72">
        <v>0</v>
      </c>
      <c r="CY72">
        <v>0</v>
      </c>
      <c r="CZ72" t="b">
        <v>1</v>
      </c>
      <c r="DA72" t="s">
        <v>4246</v>
      </c>
      <c r="DB72" t="s">
        <v>1167</v>
      </c>
      <c r="DC72">
        <v>-4.3795620437957483E-3</v>
      </c>
      <c r="DD72">
        <v>-524.82822099023315</v>
      </c>
      <c r="DE72" s="420" t="str" cm="1">
        <f t="array" ref="DE7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73" spans="1:109" hidden="1" x14ac:dyDescent="0.25">
      <c r="A73" s="238">
        <v>72</v>
      </c>
      <c r="B73" s="238" t="s">
        <v>6</v>
      </c>
      <c r="C73" s="238">
        <v>11</v>
      </c>
      <c r="D73" s="238">
        <v>3</v>
      </c>
      <c r="E73" s="238">
        <v>1</v>
      </c>
      <c r="F73" s="238">
        <v>13.6</v>
      </c>
      <c r="G73" s="238"/>
      <c r="H73" s="238"/>
      <c r="I73">
        <v>13.6</v>
      </c>
      <c r="J73" s="238">
        <v>14.97</v>
      </c>
      <c r="K73" s="238">
        <v>4.1100000000000003</v>
      </c>
      <c r="L73" s="238"/>
      <c r="M73" s="238"/>
      <c r="N73" s="238">
        <v>3.7</v>
      </c>
      <c r="O73" s="238">
        <v>2.69</v>
      </c>
      <c r="P73" s="238"/>
      <c r="R73" s="238">
        <v>2.69</v>
      </c>
      <c r="S73">
        <v>39.07</v>
      </c>
      <c r="T73">
        <v>36.380000000000003</v>
      </c>
      <c r="U73" s="238">
        <v>37.729999999999997</v>
      </c>
      <c r="V73">
        <v>37.650000000000006</v>
      </c>
      <c r="W73" s="238">
        <v>87601.5</v>
      </c>
      <c r="X73">
        <v>4380.0749999999998</v>
      </c>
      <c r="Y73">
        <v>91981.574999999997</v>
      </c>
      <c r="Z73">
        <v>2759.4472499999997</v>
      </c>
      <c r="AA73">
        <v>94741.022249999995</v>
      </c>
      <c r="AB73">
        <v>6631.8715575000006</v>
      </c>
      <c r="AC73">
        <v>101372.8938075</v>
      </c>
      <c r="AE73">
        <v>101372.8938075</v>
      </c>
      <c r="AF73">
        <v>5068.6446903750002</v>
      </c>
      <c r="AG73">
        <v>106441.53849787499</v>
      </c>
      <c r="AI73">
        <v>106441.53849787499</v>
      </c>
      <c r="AJ73">
        <v>1064.4153849787499</v>
      </c>
      <c r="AK73">
        <v>107505.95388285376</v>
      </c>
      <c r="AL73">
        <v>5375.2976941426878</v>
      </c>
      <c r="AM73">
        <v>112881.25157699644</v>
      </c>
      <c r="AO73">
        <v>112881.25157699644</v>
      </c>
      <c r="AP73">
        <v>3386.437547309893</v>
      </c>
      <c r="AQ73">
        <v>116267.68912430631</v>
      </c>
      <c r="AS73">
        <v>116267.68912430631</v>
      </c>
      <c r="AU73">
        <v>116267.68912430631</v>
      </c>
      <c r="AW73">
        <v>116267.68912430631</v>
      </c>
      <c r="AY73">
        <v>116267.68912430631</v>
      </c>
      <c r="AZ73">
        <v>2325.3537824861264</v>
      </c>
      <c r="BA73">
        <v>118593.04290679246</v>
      </c>
      <c r="BB73">
        <v>1185.9304290679245</v>
      </c>
      <c r="BC73">
        <v>119778.97333586038</v>
      </c>
      <c r="BE73">
        <v>119778.97333586038</v>
      </c>
      <c r="BF73">
        <v>2994.4743333965098</v>
      </c>
      <c r="BG73">
        <v>122773.4476692569</v>
      </c>
      <c r="BH73">
        <v>500</v>
      </c>
      <c r="BI73">
        <v>123273.4476692569</v>
      </c>
      <c r="BK73">
        <v>123273.4476692569</v>
      </c>
      <c r="BL73">
        <v>6163.6723834628456</v>
      </c>
      <c r="BM73">
        <v>129437.12005271977</v>
      </c>
      <c r="BN73">
        <v>16826.825606853567</v>
      </c>
      <c r="BO73">
        <v>146263.94565957331</v>
      </c>
      <c r="BQ73">
        <v>146263.94565957331</v>
      </c>
      <c r="BS73">
        <v>146263.94565957331</v>
      </c>
      <c r="BT73" s="238">
        <v>146263.95000000001</v>
      </c>
      <c r="BU73" s="238">
        <v>5518600</v>
      </c>
      <c r="BW73">
        <v>0.02</v>
      </c>
      <c r="BX73" s="238">
        <v>110372</v>
      </c>
      <c r="BY73" s="238">
        <v>143340.25974025976</v>
      </c>
      <c r="BZ73" s="238">
        <v>5408228</v>
      </c>
      <c r="CA73" s="238" t="s">
        <v>38</v>
      </c>
      <c r="CB73">
        <v>25000</v>
      </c>
      <c r="CC73">
        <v>168340.25974025976</v>
      </c>
      <c r="CD73" s="238">
        <v>943250</v>
      </c>
      <c r="CE73" s="238">
        <v>6351478</v>
      </c>
      <c r="CG73" t="s">
        <v>3540</v>
      </c>
      <c r="CH73" s="238" t="s">
        <v>39</v>
      </c>
      <c r="CI73" s="238" t="s">
        <v>39</v>
      </c>
      <c r="CJ73" t="s">
        <v>8950</v>
      </c>
      <c r="CK73" t="s">
        <v>1167</v>
      </c>
      <c r="CL73" t="s">
        <v>8961</v>
      </c>
      <c r="CM73" t="s">
        <v>8972</v>
      </c>
      <c r="CN73" s="238" t="b">
        <v>1</v>
      </c>
      <c r="CO73" t="s">
        <v>5361</v>
      </c>
      <c r="CQ73" t="s">
        <v>6652</v>
      </c>
      <c r="CR73" t="s">
        <v>3246</v>
      </c>
      <c r="CS73" t="s">
        <v>38</v>
      </c>
      <c r="CT73" t="b">
        <v>1</v>
      </c>
      <c r="CU73">
        <v>5518600</v>
      </c>
      <c r="CV73" t="s">
        <v>9002</v>
      </c>
      <c r="CW73">
        <v>0</v>
      </c>
      <c r="CX73">
        <v>5518600</v>
      </c>
      <c r="CY73">
        <v>0</v>
      </c>
      <c r="CZ73" t="b">
        <v>1</v>
      </c>
      <c r="DA73">
        <v>45700</v>
      </c>
      <c r="DB73" t="s">
        <v>8380</v>
      </c>
      <c r="DC73">
        <v>-2.1203286509406949E-3</v>
      </c>
      <c r="DD73">
        <v>-303.92845956055379</v>
      </c>
      <c r="DE73" s="420" cm="1">
        <f t="array" ref="DE73">_xlfn.XLOOKUP("Дом 5"&amp;Реестр_Д5[[#This Row],[№]]&amp;Реестр_Д5[[#This Row],[Статус]],РД[Дом]&amp;РД[№ кв]&amp;РД[Состояние],РД[Дата подачи на регистрацию],"-",0)</f>
        <v>45700</v>
      </c>
    </row>
    <row r="74" spans="1:109" hidden="1" x14ac:dyDescent="0.25">
      <c r="A74" s="238">
        <v>73</v>
      </c>
      <c r="B74" s="238" t="s">
        <v>6</v>
      </c>
      <c r="C74" s="238">
        <v>11</v>
      </c>
      <c r="D74" s="238">
        <v>4</v>
      </c>
      <c r="E74" s="238">
        <v>2</v>
      </c>
      <c r="F74" s="238">
        <v>16.61</v>
      </c>
      <c r="G74" s="238">
        <v>11.38</v>
      </c>
      <c r="H74" s="238"/>
      <c r="I74">
        <v>27.99</v>
      </c>
      <c r="J74" s="238">
        <v>14.58</v>
      </c>
      <c r="K74" s="238">
        <v>4.34</v>
      </c>
      <c r="L74" s="238">
        <v>2.08</v>
      </c>
      <c r="M74" s="238"/>
      <c r="N74" s="238">
        <v>8.82</v>
      </c>
      <c r="O74" s="238">
        <v>2.56</v>
      </c>
      <c r="P74" s="238"/>
      <c r="R74" s="238">
        <v>2.56</v>
      </c>
      <c r="S74">
        <v>60.37</v>
      </c>
      <c r="T74">
        <v>57.81</v>
      </c>
      <c r="U74" s="238">
        <v>59.09</v>
      </c>
      <c r="V74">
        <v>58.7</v>
      </c>
      <c r="W74" s="238">
        <v>80307.864000000001</v>
      </c>
      <c r="X74">
        <v>4015.3932</v>
      </c>
      <c r="Y74">
        <v>84323.257199999993</v>
      </c>
      <c r="Z74">
        <v>2529.6977160000001</v>
      </c>
      <c r="AA74">
        <v>86852.954916000002</v>
      </c>
      <c r="AC74">
        <v>86852.954916000002</v>
      </c>
      <c r="AE74">
        <v>86852.954916000002</v>
      </c>
      <c r="AG74">
        <v>86852.954916000002</v>
      </c>
      <c r="AI74">
        <v>86852.954916000002</v>
      </c>
      <c r="AJ74">
        <v>868.52954915999999</v>
      </c>
      <c r="AK74">
        <v>87721.48446516</v>
      </c>
      <c r="AL74">
        <v>4386.0742232580005</v>
      </c>
      <c r="AM74">
        <v>92107.558688417994</v>
      </c>
      <c r="AO74">
        <v>92107.558688417994</v>
      </c>
      <c r="AP74">
        <v>1842.15117376836</v>
      </c>
      <c r="AQ74">
        <v>93949.709862186355</v>
      </c>
      <c r="AS74">
        <v>93949.709862186355</v>
      </c>
      <c r="AT74">
        <v>1878.9941972437273</v>
      </c>
      <c r="AU74">
        <v>95828.704059430078</v>
      </c>
      <c r="AW74">
        <v>95828.704059430078</v>
      </c>
      <c r="AY74">
        <v>95828.704059430078</v>
      </c>
      <c r="BA74">
        <v>95828.704059430078</v>
      </c>
      <c r="BC74">
        <v>95828.704059430078</v>
      </c>
      <c r="BE74">
        <v>95828.704059430078</v>
      </c>
      <c r="BG74">
        <v>95828.704059430078</v>
      </c>
      <c r="BI74">
        <v>95828.704059430078</v>
      </c>
      <c r="BK74">
        <v>95828.704059430078</v>
      </c>
      <c r="BM74">
        <v>95828.704059430078</v>
      </c>
      <c r="BO74">
        <v>95828.704059430078</v>
      </c>
      <c r="BQ74">
        <v>95828.704059430078</v>
      </c>
      <c r="BS74">
        <v>95828.704059430078</v>
      </c>
      <c r="BT74" s="238">
        <v>95828.7</v>
      </c>
      <c r="BU74" s="238">
        <v>5662600</v>
      </c>
      <c r="BV74">
        <v>88888</v>
      </c>
      <c r="BX74" s="238">
        <v>88888</v>
      </c>
      <c r="BY74" s="238">
        <v>94325.808089355211</v>
      </c>
      <c r="BZ74" s="238">
        <v>5573712</v>
      </c>
      <c r="CA74" s="238" t="s">
        <v>6871</v>
      </c>
      <c r="CB74">
        <v>7000</v>
      </c>
      <c r="CC74">
        <v>101325.8080893552</v>
      </c>
      <c r="CD74" s="238">
        <v>413630</v>
      </c>
      <c r="CE74" s="238">
        <v>5987342</v>
      </c>
      <c r="CG74" t="s">
        <v>4185</v>
      </c>
      <c r="CH74" s="238" t="s">
        <v>39</v>
      </c>
      <c r="CI74" s="238" t="s">
        <v>39</v>
      </c>
      <c r="CJ74" t="s">
        <v>8950</v>
      </c>
      <c r="CK74" t="s">
        <v>1167</v>
      </c>
      <c r="CL74" t="s">
        <v>8961</v>
      </c>
      <c r="CM74" t="s">
        <v>8971</v>
      </c>
      <c r="CN74" s="238" t="b">
        <v>1</v>
      </c>
      <c r="CO74" t="s">
        <v>5362</v>
      </c>
      <c r="CQ74" t="s">
        <v>6652</v>
      </c>
      <c r="CR74" t="s">
        <v>3246</v>
      </c>
      <c r="CS74" t="s">
        <v>6871</v>
      </c>
      <c r="CT74" t="b">
        <v>1</v>
      </c>
      <c r="CU74">
        <v>5662600</v>
      </c>
      <c r="CV74" t="s">
        <v>9002</v>
      </c>
      <c r="CW74">
        <v>0</v>
      </c>
      <c r="CX74">
        <v>5662600</v>
      </c>
      <c r="CY74">
        <v>0</v>
      </c>
      <c r="CZ74" t="b">
        <v>1</v>
      </c>
      <c r="DA74">
        <v>45395</v>
      </c>
      <c r="DB74" t="s">
        <v>5215</v>
      </c>
      <c r="DC74">
        <v>-6.6001015400236618E-3</v>
      </c>
      <c r="DD74">
        <v>-622.55991123452975</v>
      </c>
      <c r="DE74" s="420" cm="1">
        <f t="array" ref="DE74">_xlfn.XLOOKUP("Дом 5"&amp;Реестр_Д5[[#This Row],[№]]&amp;Реестр_Д5[[#This Row],[Статус]],РД[Дом]&amp;РД[№ кв]&amp;РД[Состояние],РД[Дата подачи на регистрацию],"-",0)</f>
        <v>45395</v>
      </c>
    </row>
    <row r="75" spans="1:109" hidden="1" x14ac:dyDescent="0.25">
      <c r="A75" s="238">
        <v>74</v>
      </c>
      <c r="B75" s="238" t="s">
        <v>6</v>
      </c>
      <c r="C75" s="238">
        <v>11</v>
      </c>
      <c r="D75" s="238">
        <v>5</v>
      </c>
      <c r="E75" s="238">
        <v>2</v>
      </c>
      <c r="F75" s="238">
        <v>16.46</v>
      </c>
      <c r="G75" s="238">
        <v>12.47</v>
      </c>
      <c r="H75" s="238"/>
      <c r="I75">
        <v>28.93</v>
      </c>
      <c r="J75" s="238">
        <v>18</v>
      </c>
      <c r="K75" s="238">
        <v>4.3499999999999996</v>
      </c>
      <c r="L75" s="238">
        <v>1.55</v>
      </c>
      <c r="M75" s="238"/>
      <c r="N75" s="238">
        <v>8</v>
      </c>
      <c r="O75" s="238">
        <v>2.67</v>
      </c>
      <c r="P75" s="238"/>
      <c r="R75" s="238">
        <v>2.67</v>
      </c>
      <c r="S75">
        <v>63.5</v>
      </c>
      <c r="T75">
        <v>60.83</v>
      </c>
      <c r="U75" s="238">
        <v>62.17</v>
      </c>
      <c r="V75">
        <v>61.65</v>
      </c>
      <c r="W75" s="238">
        <v>80307.864000000001</v>
      </c>
      <c r="X75">
        <v>4015.3932</v>
      </c>
      <c r="Y75">
        <v>84323.257199999993</v>
      </c>
      <c r="Z75">
        <v>2529.6977160000001</v>
      </c>
      <c r="AA75">
        <v>86852.954916000002</v>
      </c>
      <c r="AC75">
        <v>86852.954916000002</v>
      </c>
      <c r="AE75">
        <v>86852.954916000002</v>
      </c>
      <c r="AG75">
        <v>86852.954916000002</v>
      </c>
      <c r="AI75">
        <v>86852.954916000002</v>
      </c>
      <c r="AJ75">
        <v>868.52954915999999</v>
      </c>
      <c r="AK75">
        <v>87721.48446516</v>
      </c>
      <c r="AL75">
        <v>4386.0742232580005</v>
      </c>
      <c r="AM75">
        <v>92107.558688417994</v>
      </c>
      <c r="AO75">
        <v>92107.558688417994</v>
      </c>
      <c r="AP75">
        <v>1842.15117376836</v>
      </c>
      <c r="AQ75">
        <v>93949.709862186355</v>
      </c>
      <c r="AS75">
        <v>93949.709862186355</v>
      </c>
      <c r="AT75">
        <v>1878.9941972437273</v>
      </c>
      <c r="AU75">
        <v>95828.704059430078</v>
      </c>
      <c r="AW75">
        <v>95828.704059430078</v>
      </c>
      <c r="AY75">
        <v>95828.704059430078</v>
      </c>
      <c r="AZ75">
        <v>1916.5740811886017</v>
      </c>
      <c r="BA75">
        <v>97745.278140618684</v>
      </c>
      <c r="BB75">
        <v>488.72639070309344</v>
      </c>
      <c r="BC75">
        <v>98234.004531321771</v>
      </c>
      <c r="BE75">
        <v>98234.004531321771</v>
      </c>
      <c r="BF75">
        <v>1473.5100679698264</v>
      </c>
      <c r="BG75">
        <v>99707.514599291593</v>
      </c>
      <c r="BI75">
        <v>99707.514599291593</v>
      </c>
      <c r="BJ75">
        <v>3988.3005839716639</v>
      </c>
      <c r="BK75">
        <v>103695.81518326326</v>
      </c>
      <c r="BL75">
        <v>6221.7489109957951</v>
      </c>
      <c r="BM75">
        <v>109917.56409425904</v>
      </c>
      <c r="BN75">
        <v>14289.283332253675</v>
      </c>
      <c r="BO75">
        <v>124206.84742651272</v>
      </c>
      <c r="BP75">
        <v>35</v>
      </c>
      <c r="BQ75">
        <v>124241.84742651272</v>
      </c>
      <c r="BS75">
        <v>124241.84742651272</v>
      </c>
      <c r="BT75" s="238">
        <v>124241.85</v>
      </c>
      <c r="BU75" s="238">
        <v>7724200</v>
      </c>
      <c r="BV75">
        <v>636820</v>
      </c>
      <c r="BX75" s="238">
        <v>636820</v>
      </c>
      <c r="BY75" s="238">
        <v>114000</v>
      </c>
      <c r="BZ75" s="238">
        <v>7087380</v>
      </c>
      <c r="CA75" s="238" t="s">
        <v>36</v>
      </c>
      <c r="CC75">
        <v>114000</v>
      </c>
      <c r="CD75" s="238">
        <v>0</v>
      </c>
      <c r="CE75" s="238">
        <v>7087380</v>
      </c>
      <c r="CG75" t="s">
        <v>8841</v>
      </c>
      <c r="CH75" s="238" t="s">
        <v>39</v>
      </c>
      <c r="CI75" s="238" t="s">
        <v>39</v>
      </c>
      <c r="CJ75" t="s">
        <v>8950</v>
      </c>
      <c r="CK75" t="s">
        <v>1167</v>
      </c>
      <c r="CL75" t="s">
        <v>8961</v>
      </c>
      <c r="CM75" t="s">
        <v>8971</v>
      </c>
      <c r="CN75" s="238" t="b">
        <v>1</v>
      </c>
      <c r="CO75" t="s">
        <v>5363</v>
      </c>
      <c r="CQ75" t="s">
        <v>6652</v>
      </c>
      <c r="CR75" t="s">
        <v>3246</v>
      </c>
      <c r="CS75" t="s">
        <v>36</v>
      </c>
      <c r="CT75" t="b">
        <v>1</v>
      </c>
      <c r="CU75">
        <v>7724200</v>
      </c>
      <c r="CV75" t="s">
        <v>9002</v>
      </c>
      <c r="CW75">
        <v>0</v>
      </c>
      <c r="CX75">
        <v>7724200</v>
      </c>
      <c r="CY75">
        <v>0</v>
      </c>
      <c r="CZ75" t="b">
        <v>1</v>
      </c>
      <c r="DA75">
        <v>45833</v>
      </c>
      <c r="DB75" t="s">
        <v>126</v>
      </c>
      <c r="DC75">
        <v>-8.3641627794757145E-3</v>
      </c>
      <c r="DD75">
        <v>-953.51455686023132</v>
      </c>
      <c r="DE75" s="420" cm="1">
        <f t="array" ref="DE75">_xlfn.XLOOKUP("Дом 5"&amp;Реестр_Д5[[#This Row],[№]]&amp;Реестр_Д5[[#This Row],[Статус]],РД[Дом]&amp;РД[№ кв]&amp;РД[Состояние],РД[Дата подачи на регистрацию],"-",0)</f>
        <v>45833</v>
      </c>
    </row>
    <row r="76" spans="1:109" x14ac:dyDescent="0.25">
      <c r="A76" s="238">
        <v>75</v>
      </c>
      <c r="B76" s="238" t="s">
        <v>6</v>
      </c>
      <c r="C76" s="238">
        <v>11</v>
      </c>
      <c r="D76" s="238">
        <v>6</v>
      </c>
      <c r="E76" s="238">
        <v>2</v>
      </c>
      <c r="F76" s="238">
        <v>14.64</v>
      </c>
      <c r="G76" s="238">
        <v>10.74</v>
      </c>
      <c r="H76" s="238"/>
      <c r="I76">
        <v>25.380000000000003</v>
      </c>
      <c r="J76" s="238">
        <v>14.35</v>
      </c>
      <c r="K76" s="238">
        <v>4.16</v>
      </c>
      <c r="L76" s="238">
        <v>1.93</v>
      </c>
      <c r="M76" s="238"/>
      <c r="N76" s="238">
        <v>11.03</v>
      </c>
      <c r="O76" s="238">
        <v>2.6219999999999999</v>
      </c>
      <c r="P76" s="238"/>
      <c r="R76" s="238">
        <v>2.6219999999999999</v>
      </c>
      <c r="S76">
        <v>59.47</v>
      </c>
      <c r="T76">
        <v>56.85</v>
      </c>
      <c r="U76" s="238">
        <v>58.16</v>
      </c>
      <c r="V76">
        <v>57.999999999999993</v>
      </c>
      <c r="W76" s="238">
        <v>81466.150500000003</v>
      </c>
      <c r="X76">
        <v>4073.3075250000002</v>
      </c>
      <c r="Y76">
        <v>85539.458025</v>
      </c>
      <c r="Z76">
        <v>2566.1837407499997</v>
      </c>
      <c r="AA76">
        <v>88105.641765749999</v>
      </c>
      <c r="AC76">
        <v>88105.641765749999</v>
      </c>
      <c r="AE76">
        <v>88105.641765749999</v>
      </c>
      <c r="AG76">
        <v>88105.641765749999</v>
      </c>
      <c r="AI76">
        <v>88105.641765749999</v>
      </c>
      <c r="AJ76">
        <v>881.05641765749999</v>
      </c>
      <c r="AK76">
        <v>88986.698183407498</v>
      </c>
      <c r="AL76">
        <v>4449.3349091703749</v>
      </c>
      <c r="AM76">
        <v>93436.033092577869</v>
      </c>
      <c r="AO76">
        <v>93436.033092577869</v>
      </c>
      <c r="AP76">
        <v>1868.7206618515577</v>
      </c>
      <c r="AQ76">
        <v>95304.753754429446</v>
      </c>
      <c r="AS76">
        <v>95304.753754429446</v>
      </c>
      <c r="AT76">
        <v>1906.0950750885888</v>
      </c>
      <c r="AU76">
        <v>97210.848829518014</v>
      </c>
      <c r="AW76">
        <v>97210.848829518014</v>
      </c>
      <c r="AX76">
        <v>972.10848829518011</v>
      </c>
      <c r="AY76">
        <v>98182.957317813198</v>
      </c>
      <c r="BA76">
        <v>98182.957317813198</v>
      </c>
      <c r="BC76">
        <v>98182.957317813198</v>
      </c>
      <c r="BE76">
        <v>98182.957317813198</v>
      </c>
      <c r="BF76">
        <v>1472.7443597671979</v>
      </c>
      <c r="BG76">
        <v>99655.701677580393</v>
      </c>
      <c r="BH76">
        <v>500</v>
      </c>
      <c r="BI76">
        <v>100155.70167758039</v>
      </c>
      <c r="BJ76">
        <v>4006.2280671032158</v>
      </c>
      <c r="BK76">
        <v>104161.9297446836</v>
      </c>
      <c r="BL76">
        <v>6249.7157846810169</v>
      </c>
      <c r="BM76">
        <v>110411.64552936464</v>
      </c>
      <c r="BN76">
        <v>14353.513918817402</v>
      </c>
      <c r="BO76">
        <v>124765.15944818204</v>
      </c>
      <c r="BP76">
        <v>35</v>
      </c>
      <c r="BQ76">
        <v>124800.15944818204</v>
      </c>
      <c r="BS76">
        <v>124800.15944818204</v>
      </c>
      <c r="BT76" s="238">
        <v>124800.16</v>
      </c>
      <c r="BU76" s="238">
        <v>7238500</v>
      </c>
      <c r="BX76" s="238">
        <v>0</v>
      </c>
      <c r="BY76" s="238">
        <v>124801.72413793104</v>
      </c>
      <c r="BZ76" s="238">
        <v>7238500</v>
      </c>
      <c r="CA76" s="238" t="s">
        <v>36</v>
      </c>
      <c r="CC76">
        <v>124801.72413793104</v>
      </c>
      <c r="CD76" s="238">
        <v>0</v>
      </c>
      <c r="CE76" s="238">
        <v>7238500</v>
      </c>
      <c r="CH76" s="238" t="s">
        <v>8956</v>
      </c>
      <c r="CI76" s="238" t="s">
        <v>8956</v>
      </c>
      <c r="CJ76" t="s">
        <v>8953</v>
      </c>
      <c r="CK76" t="s">
        <v>8957</v>
      </c>
      <c r="CL76" t="s">
        <v>8961</v>
      </c>
      <c r="CM76" t="s">
        <v>8971</v>
      </c>
      <c r="CN76" s="238" t="b">
        <v>1</v>
      </c>
      <c r="CO76" t="s">
        <v>5364</v>
      </c>
      <c r="CQ76" t="s">
        <v>6652</v>
      </c>
      <c r="CR76" t="s">
        <v>3124</v>
      </c>
      <c r="CS76" t="s">
        <v>36</v>
      </c>
      <c r="CT76" t="b">
        <v>1</v>
      </c>
      <c r="CU76">
        <v>7238500</v>
      </c>
      <c r="CV76">
        <v>7238500</v>
      </c>
      <c r="CW76">
        <v>0</v>
      </c>
      <c r="CX76">
        <v>0</v>
      </c>
      <c r="CY76">
        <v>0</v>
      </c>
      <c r="CZ76" t="b">
        <v>1</v>
      </c>
      <c r="DA76" t="s">
        <v>4246</v>
      </c>
      <c r="DB76" t="s">
        <v>1167</v>
      </c>
      <c r="DC76">
        <v>-2.7510316368638543E-3</v>
      </c>
      <c r="DD76">
        <v>-343.33349143860363</v>
      </c>
      <c r="DE76" s="420" t="str" cm="1">
        <f t="array" ref="DE7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77" spans="1:109" hidden="1" x14ac:dyDescent="0.25">
      <c r="A77" s="238">
        <v>76</v>
      </c>
      <c r="B77" s="238" t="s">
        <v>6</v>
      </c>
      <c r="C77" s="238">
        <v>11</v>
      </c>
      <c r="D77" s="238">
        <v>7</v>
      </c>
      <c r="E77" s="238">
        <v>1</v>
      </c>
      <c r="F77" s="238">
        <v>18.489999999999998</v>
      </c>
      <c r="G77" s="238"/>
      <c r="H77" s="238"/>
      <c r="I77">
        <v>18.489999999999998</v>
      </c>
      <c r="J77" s="238">
        <v>13.04</v>
      </c>
      <c r="K77" s="238">
        <v>3.9</v>
      </c>
      <c r="L77" s="238"/>
      <c r="M77" s="238"/>
      <c r="N77" s="238">
        <v>5.99</v>
      </c>
      <c r="O77" s="238">
        <v>2.65</v>
      </c>
      <c r="P77" s="238"/>
      <c r="R77" s="238">
        <v>2.65</v>
      </c>
      <c r="S77">
        <v>44.07</v>
      </c>
      <c r="T77">
        <v>41.42</v>
      </c>
      <c r="U77" s="238">
        <v>42.75</v>
      </c>
      <c r="V77">
        <v>42.499999999999993</v>
      </c>
      <c r="W77" s="238">
        <v>83951.4375</v>
      </c>
      <c r="X77">
        <v>4197.5718750000005</v>
      </c>
      <c r="Y77">
        <v>88149.009374999994</v>
      </c>
      <c r="Z77">
        <v>2644.4702812499995</v>
      </c>
      <c r="AA77">
        <v>90793.479656249998</v>
      </c>
      <c r="AB77">
        <v>3631.7391862499999</v>
      </c>
      <c r="AC77">
        <v>94425.218842499977</v>
      </c>
      <c r="AE77">
        <v>94425.218842499977</v>
      </c>
      <c r="AG77">
        <v>94425.218842499977</v>
      </c>
      <c r="AI77">
        <v>94425.218842499977</v>
      </c>
      <c r="AK77">
        <v>94425.218842499977</v>
      </c>
      <c r="AM77">
        <v>94425.218842499977</v>
      </c>
      <c r="AO77">
        <v>94425.218842499977</v>
      </c>
      <c r="AQ77">
        <v>94425.218842499977</v>
      </c>
      <c r="AS77">
        <v>94425.218842499977</v>
      </c>
      <c r="AU77">
        <v>94425.218842499977</v>
      </c>
      <c r="AW77">
        <v>94425.218842499977</v>
      </c>
      <c r="AY77">
        <v>94425.218842499977</v>
      </c>
      <c r="BA77">
        <v>94425.218842499977</v>
      </c>
      <c r="BC77">
        <v>94425.218842499977</v>
      </c>
      <c r="BE77">
        <v>94425.218842499977</v>
      </c>
      <c r="BG77">
        <v>94425.218842499977</v>
      </c>
      <c r="BI77">
        <v>94425.218842499977</v>
      </c>
      <c r="BK77">
        <v>94425.218842499977</v>
      </c>
      <c r="BM77">
        <v>94425.218842499977</v>
      </c>
      <c r="BO77">
        <v>94425.218842499977</v>
      </c>
      <c r="BQ77">
        <v>94425.218842499977</v>
      </c>
      <c r="BS77">
        <v>94425.218842499977</v>
      </c>
      <c r="BT77" s="238">
        <v>94425.22</v>
      </c>
      <c r="BU77" s="238">
        <v>4036678.16</v>
      </c>
      <c r="BW77">
        <v>0.02</v>
      </c>
      <c r="BX77" s="238">
        <v>80733.563200000004</v>
      </c>
      <c r="BY77" s="238">
        <v>92536.715789473703</v>
      </c>
      <c r="BZ77" s="238">
        <v>3955944.6</v>
      </c>
      <c r="CA77" s="238" t="s">
        <v>37</v>
      </c>
      <c r="CB77">
        <v>7500</v>
      </c>
      <c r="CC77">
        <v>100036.71578947367</v>
      </c>
      <c r="CD77" s="238">
        <v>320625.00000000047</v>
      </c>
      <c r="CE77" s="238">
        <v>4276569.6000000006</v>
      </c>
      <c r="CG77" t="s">
        <v>7054</v>
      </c>
      <c r="CH77" s="238" t="s">
        <v>39</v>
      </c>
      <c r="CI77" s="238" t="s">
        <v>39</v>
      </c>
      <c r="CJ77" t="s">
        <v>8950</v>
      </c>
      <c r="CK77" t="s">
        <v>1167</v>
      </c>
      <c r="CL77" t="s">
        <v>8961</v>
      </c>
      <c r="CM77" t="s">
        <v>8973</v>
      </c>
      <c r="CN77" s="238" t="b">
        <v>1</v>
      </c>
      <c r="CO77" t="s">
        <v>5365</v>
      </c>
      <c r="CQ77" t="s">
        <v>4895</v>
      </c>
      <c r="CR77" t="s">
        <v>3246</v>
      </c>
      <c r="CS77" t="s">
        <v>37</v>
      </c>
      <c r="CT77" t="b">
        <v>1</v>
      </c>
      <c r="CU77">
        <v>4036678.16</v>
      </c>
      <c r="CV77" t="s">
        <v>9002</v>
      </c>
      <c r="CW77">
        <v>0</v>
      </c>
      <c r="CX77">
        <v>4036678</v>
      </c>
      <c r="CY77">
        <v>0</v>
      </c>
      <c r="CZ77" t="b">
        <v>1</v>
      </c>
      <c r="DA77">
        <v>45251</v>
      </c>
      <c r="DB77" t="s">
        <v>5215</v>
      </c>
      <c r="DC77">
        <v>-5.8479532163744352E-3</v>
      </c>
      <c r="DD77">
        <v>-541.15038473377967</v>
      </c>
      <c r="DE77" s="420" cm="1">
        <f t="array" ref="DE77">_xlfn.XLOOKUP("Дом 5"&amp;Реестр_Д5[[#This Row],[№]]&amp;Реестр_Д5[[#This Row],[Статус]],РД[Дом]&amp;РД[№ кв]&amp;РД[Состояние],РД[Дата подачи на регистрацию],"-",0)</f>
        <v>45251</v>
      </c>
    </row>
    <row r="78" spans="1:109" hidden="1" x14ac:dyDescent="0.25">
      <c r="A78" s="238">
        <v>77</v>
      </c>
      <c r="B78" s="238" t="s">
        <v>6</v>
      </c>
      <c r="C78" s="238">
        <v>12</v>
      </c>
      <c r="D78" s="238">
        <v>1</v>
      </c>
      <c r="E78" s="238">
        <v>1</v>
      </c>
      <c r="F78" s="238">
        <v>14.68</v>
      </c>
      <c r="G78" s="238"/>
      <c r="H78" s="238"/>
      <c r="I78">
        <v>14.68</v>
      </c>
      <c r="J78" s="238">
        <v>9.84</v>
      </c>
      <c r="K78" s="238">
        <v>3.63</v>
      </c>
      <c r="L78" s="238"/>
      <c r="M78" s="238"/>
      <c r="N78" s="238">
        <v>4.8899999999999997</v>
      </c>
      <c r="O78" s="238">
        <v>2.7</v>
      </c>
      <c r="P78" s="238"/>
      <c r="R78" s="238">
        <v>2.7</v>
      </c>
      <c r="S78">
        <v>35.74</v>
      </c>
      <c r="T78">
        <v>33.04</v>
      </c>
      <c r="U78" s="238">
        <v>34.39</v>
      </c>
      <c r="V78">
        <v>34.449999999999996</v>
      </c>
      <c r="W78" s="238">
        <v>82734.75</v>
      </c>
      <c r="X78">
        <v>4136.7375000000002</v>
      </c>
      <c r="Y78">
        <v>86871.487500000003</v>
      </c>
      <c r="Z78">
        <v>2606.1446249999999</v>
      </c>
      <c r="AA78">
        <v>89477.632125000004</v>
      </c>
      <c r="AB78">
        <v>12526.8684975</v>
      </c>
      <c r="AC78">
        <v>102004.5006225</v>
      </c>
      <c r="AE78">
        <v>102004.5006225</v>
      </c>
      <c r="AF78">
        <v>5100.2250311250009</v>
      </c>
      <c r="AG78">
        <v>107104.72565362501</v>
      </c>
      <c r="AI78">
        <v>107104.72565362501</v>
      </c>
      <c r="AJ78">
        <v>1071.0472565362502</v>
      </c>
      <c r="AK78">
        <v>108175.77291016123</v>
      </c>
      <c r="AL78">
        <v>5408.7886455080625</v>
      </c>
      <c r="AM78">
        <v>113584.56155566932</v>
      </c>
      <c r="AO78">
        <v>113584.56155566932</v>
      </c>
      <c r="AP78">
        <v>3407.5368466700793</v>
      </c>
      <c r="AQ78">
        <v>116992.09840233938</v>
      </c>
      <c r="AS78">
        <v>116992.09840233938</v>
      </c>
      <c r="AU78">
        <v>116992.09840233938</v>
      </c>
      <c r="AW78">
        <v>116992.09840233938</v>
      </c>
      <c r="AY78">
        <v>116992.09840233938</v>
      </c>
      <c r="AZ78">
        <v>2339.8419680467882</v>
      </c>
      <c r="BA78">
        <v>119331.94037038618</v>
      </c>
      <c r="BC78">
        <v>119331.94037038618</v>
      </c>
      <c r="BE78">
        <v>119331.94037038618</v>
      </c>
      <c r="BF78">
        <v>2983.2985092596546</v>
      </c>
      <c r="BG78">
        <v>122315.23887964584</v>
      </c>
      <c r="BI78">
        <v>122315.23887964584</v>
      </c>
      <c r="BJ78">
        <v>2446.3047775929167</v>
      </c>
      <c r="BK78">
        <v>124761.54365723874</v>
      </c>
      <c r="BM78">
        <v>124761.54365723874</v>
      </c>
      <c r="BO78">
        <v>124761.54365723874</v>
      </c>
      <c r="BQ78">
        <v>124761.54365723874</v>
      </c>
      <c r="BS78">
        <v>124761.54365723874</v>
      </c>
      <c r="BT78" s="238">
        <v>124761.54</v>
      </c>
      <c r="BU78" s="238">
        <v>4290600</v>
      </c>
      <c r="BW78">
        <v>0.02</v>
      </c>
      <c r="BX78" s="238">
        <v>85812</v>
      </c>
      <c r="BY78" s="238">
        <v>122267.75225356208</v>
      </c>
      <c r="BZ78" s="238">
        <v>4204788</v>
      </c>
      <c r="CA78" s="238" t="s">
        <v>6871</v>
      </c>
      <c r="CB78">
        <v>8000</v>
      </c>
      <c r="CC78">
        <v>130267.75225356208</v>
      </c>
      <c r="CD78" s="238">
        <v>275120</v>
      </c>
      <c r="CE78" s="238">
        <v>4479908</v>
      </c>
      <c r="CF78" t="s">
        <v>4633</v>
      </c>
      <c r="CG78" t="s">
        <v>3540</v>
      </c>
      <c r="CH78" s="238" t="s">
        <v>39</v>
      </c>
      <c r="CI78" s="238" t="s">
        <v>39</v>
      </c>
      <c r="CJ78" t="s">
        <v>8950</v>
      </c>
      <c r="CK78" t="s">
        <v>1167</v>
      </c>
      <c r="CL78" t="s">
        <v>8961</v>
      </c>
      <c r="CM78" t="s">
        <v>8973</v>
      </c>
      <c r="CN78" s="238" t="b">
        <v>1</v>
      </c>
      <c r="CO78" t="s">
        <v>5366</v>
      </c>
      <c r="CQ78" t="s">
        <v>6652</v>
      </c>
      <c r="CR78" t="s">
        <v>3246</v>
      </c>
      <c r="CS78" t="s">
        <v>6871</v>
      </c>
      <c r="CT78" t="b">
        <v>1</v>
      </c>
      <c r="CU78">
        <v>4290600</v>
      </c>
      <c r="CV78" t="s">
        <v>9002</v>
      </c>
      <c r="CW78">
        <v>0</v>
      </c>
      <c r="CX78">
        <v>4290600</v>
      </c>
      <c r="CY78">
        <v>0</v>
      </c>
      <c r="CZ78" t="b">
        <v>1</v>
      </c>
      <c r="DA78">
        <v>45589</v>
      </c>
      <c r="DB78" t="s">
        <v>4177</v>
      </c>
      <c r="DC78">
        <v>1.7446932247744409E-3</v>
      </c>
      <c r="DD78">
        <v>213.31971896518959</v>
      </c>
      <c r="DE78" s="420" cm="1">
        <f t="array" ref="DE78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79" spans="1:109" x14ac:dyDescent="0.25">
      <c r="A79" s="238">
        <v>78</v>
      </c>
      <c r="B79" s="238" t="s">
        <v>6</v>
      </c>
      <c r="C79" s="238">
        <v>12</v>
      </c>
      <c r="D79" s="238">
        <v>2</v>
      </c>
      <c r="E79" s="238">
        <v>2</v>
      </c>
      <c r="F79" s="238">
        <v>15.82</v>
      </c>
      <c r="G79" s="238">
        <v>15.54</v>
      </c>
      <c r="H79" s="238"/>
      <c r="I79">
        <v>31.36</v>
      </c>
      <c r="J79" s="238">
        <v>19.440000000000001</v>
      </c>
      <c r="K79" s="238">
        <v>4.42</v>
      </c>
      <c r="L79" s="238"/>
      <c r="M79" s="238">
        <v>3.25</v>
      </c>
      <c r="N79" s="238">
        <v>8.5299999999999994</v>
      </c>
      <c r="O79" s="238">
        <v>3</v>
      </c>
      <c r="P79" s="238"/>
      <c r="R79" s="238">
        <v>3</v>
      </c>
      <c r="S79">
        <v>70</v>
      </c>
      <c r="T79">
        <v>67</v>
      </c>
      <c r="U79" s="238">
        <v>68.5</v>
      </c>
      <c r="V79">
        <v>68.3</v>
      </c>
      <c r="W79" s="238">
        <v>84168.819000000003</v>
      </c>
      <c r="X79">
        <v>4208.4409500000002</v>
      </c>
      <c r="Y79">
        <v>88377.259950000007</v>
      </c>
      <c r="Z79">
        <v>2651.3177985000002</v>
      </c>
      <c r="AA79">
        <v>91028.577748500014</v>
      </c>
      <c r="AC79">
        <v>91028.577748500014</v>
      </c>
      <c r="AE79">
        <v>91028.577748500014</v>
      </c>
      <c r="AG79">
        <v>91028.577748500014</v>
      </c>
      <c r="AH79">
        <v>-831</v>
      </c>
      <c r="AI79">
        <v>90197.577748500014</v>
      </c>
      <c r="AJ79">
        <v>901.97577748500021</v>
      </c>
      <c r="AK79">
        <v>91099.553525985015</v>
      </c>
      <c r="AL79">
        <v>4554.9776762992506</v>
      </c>
      <c r="AM79">
        <v>95654.531202284285</v>
      </c>
      <c r="AO79">
        <v>95654.531202284285</v>
      </c>
      <c r="AP79">
        <v>1913.0906240456857</v>
      </c>
      <c r="AQ79">
        <v>97567.621826329952</v>
      </c>
      <c r="AS79">
        <v>97567.621826329952</v>
      </c>
      <c r="AT79">
        <v>1951.3524365265991</v>
      </c>
      <c r="AU79">
        <v>99518.974262856558</v>
      </c>
      <c r="AW79">
        <v>99518.974262856558</v>
      </c>
      <c r="AY79">
        <v>99518.974262856558</v>
      </c>
      <c r="BA79">
        <v>99518.974262856558</v>
      </c>
      <c r="BC79">
        <v>99518.974262856558</v>
      </c>
      <c r="BE79">
        <v>99518.974262856558</v>
      </c>
      <c r="BF79">
        <v>497.59487131428278</v>
      </c>
      <c r="BG79">
        <v>100016.56913417084</v>
      </c>
      <c r="BI79">
        <v>100016.56913417084</v>
      </c>
      <c r="BK79">
        <v>100016.56913417084</v>
      </c>
      <c r="BL79">
        <v>6000.9941480502503</v>
      </c>
      <c r="BM79">
        <v>106017.56328222108</v>
      </c>
      <c r="BN79">
        <v>13782.283226688742</v>
      </c>
      <c r="BO79">
        <v>119799.84650890985</v>
      </c>
      <c r="BP79">
        <v>35</v>
      </c>
      <c r="BQ79">
        <v>119834.84650890985</v>
      </c>
      <c r="BS79">
        <v>119834.84650890985</v>
      </c>
      <c r="BT79" s="238">
        <v>119834.85</v>
      </c>
      <c r="BU79" s="238">
        <v>8184800</v>
      </c>
      <c r="BV79">
        <v>300000</v>
      </c>
      <c r="BW79">
        <v>0.03</v>
      </c>
      <c r="BX79" s="238">
        <v>545544</v>
      </c>
      <c r="BY79" s="238">
        <v>111848.5505124451</v>
      </c>
      <c r="BZ79" s="238">
        <v>7639256</v>
      </c>
      <c r="CA79" s="238" t="s">
        <v>36</v>
      </c>
      <c r="CC79">
        <v>111848.5505124451</v>
      </c>
      <c r="CD79" s="238">
        <v>0</v>
      </c>
      <c r="CE79" s="238">
        <v>7639256</v>
      </c>
      <c r="CG79" t="s">
        <v>8585</v>
      </c>
      <c r="CH79" s="238" t="s">
        <v>39</v>
      </c>
      <c r="CI79" s="238" t="s">
        <v>39</v>
      </c>
      <c r="CJ79" t="s">
        <v>8950</v>
      </c>
      <c r="CK79" t="s">
        <v>1167</v>
      </c>
      <c r="CL79" t="s">
        <v>8961</v>
      </c>
      <c r="CM79" t="s">
        <v>8971</v>
      </c>
      <c r="CN79" s="238" t="b">
        <v>1</v>
      </c>
      <c r="CO79" t="s">
        <v>5367</v>
      </c>
      <c r="CQ79" t="s">
        <v>6652</v>
      </c>
      <c r="CR79" t="s">
        <v>3124</v>
      </c>
      <c r="CS79" t="s">
        <v>36</v>
      </c>
      <c r="CT79" t="b">
        <v>1</v>
      </c>
      <c r="CU79">
        <v>8184800</v>
      </c>
      <c r="CV79" t="s">
        <v>9002</v>
      </c>
      <c r="CW79">
        <v>0</v>
      </c>
      <c r="CX79">
        <v>8184800</v>
      </c>
      <c r="CY79">
        <v>0</v>
      </c>
      <c r="CZ79" t="b">
        <v>1</v>
      </c>
      <c r="DA79">
        <v>45863</v>
      </c>
      <c r="DB79" t="s">
        <v>8380</v>
      </c>
      <c r="DC79">
        <v>-2.9197080291971655E-3</v>
      </c>
      <c r="DD79">
        <v>-326.56511098525073</v>
      </c>
      <c r="DE79" s="420" cm="1">
        <f t="array" ref="DE79">_xlfn.XLOOKUP("Дом 5"&amp;Реестр_Д5[[#This Row],[№]]&amp;Реестр_Д5[[#This Row],[Статус]],РД[Дом]&amp;РД[№ кв]&amp;РД[Состояние],РД[Дата подачи на регистрацию],"-",0)</f>
        <v>45863</v>
      </c>
    </row>
    <row r="80" spans="1:109" hidden="1" x14ac:dyDescent="0.25">
      <c r="A80" s="238">
        <v>79</v>
      </c>
      <c r="B80" s="238" t="s">
        <v>6</v>
      </c>
      <c r="C80" s="238">
        <v>12</v>
      </c>
      <c r="D80" s="238">
        <v>3</v>
      </c>
      <c r="E80" s="238">
        <v>1</v>
      </c>
      <c r="F80" s="238">
        <v>13.6</v>
      </c>
      <c r="G80" s="238"/>
      <c r="H80" s="238"/>
      <c r="I80">
        <v>13.6</v>
      </c>
      <c r="J80" s="238">
        <v>14.97</v>
      </c>
      <c r="K80" s="238">
        <v>4.1100000000000003</v>
      </c>
      <c r="L80" s="238"/>
      <c r="M80" s="238"/>
      <c r="N80" s="238">
        <v>3.7</v>
      </c>
      <c r="O80" s="238">
        <v>2.69</v>
      </c>
      <c r="P80" s="238"/>
      <c r="R80" s="238">
        <v>2.69</v>
      </c>
      <c r="S80">
        <v>39.07</v>
      </c>
      <c r="T80">
        <v>36.380000000000003</v>
      </c>
      <c r="U80" s="238">
        <v>37.729999999999997</v>
      </c>
      <c r="V80">
        <v>37.650000000000006</v>
      </c>
      <c r="W80" s="238">
        <v>87601.5</v>
      </c>
      <c r="X80">
        <v>4380.0749999999998</v>
      </c>
      <c r="Y80">
        <v>91981.574999999997</v>
      </c>
      <c r="Z80">
        <v>2759.4472499999997</v>
      </c>
      <c r="AA80">
        <v>94741.022249999995</v>
      </c>
      <c r="AB80">
        <v>6631.8715575000006</v>
      </c>
      <c r="AC80">
        <v>101372.8938075</v>
      </c>
      <c r="AE80">
        <v>101372.8938075</v>
      </c>
      <c r="AF80">
        <v>5068.6446903750002</v>
      </c>
      <c r="AG80">
        <v>106441.53849787499</v>
      </c>
      <c r="AI80">
        <v>106441.53849787499</v>
      </c>
      <c r="AJ80">
        <v>1064.4153849787499</v>
      </c>
      <c r="AK80">
        <v>107505.95388285376</v>
      </c>
      <c r="AL80">
        <v>5375.2976941426878</v>
      </c>
      <c r="AM80">
        <v>112881.25157699644</v>
      </c>
      <c r="AO80">
        <v>112881.25157699644</v>
      </c>
      <c r="AP80">
        <v>3386.437547309893</v>
      </c>
      <c r="AQ80">
        <v>116267.68912430631</v>
      </c>
      <c r="AS80">
        <v>116267.68912430631</v>
      </c>
      <c r="AU80">
        <v>116267.68912430631</v>
      </c>
      <c r="AW80">
        <v>116267.68912430631</v>
      </c>
      <c r="AY80">
        <v>116267.68912430631</v>
      </c>
      <c r="AZ80">
        <v>2325.3537824861264</v>
      </c>
      <c r="BA80">
        <v>118593.04290679246</v>
      </c>
      <c r="BB80">
        <v>1185.9304290679245</v>
      </c>
      <c r="BC80">
        <v>119778.97333586038</v>
      </c>
      <c r="BE80">
        <v>119778.97333586038</v>
      </c>
      <c r="BG80">
        <v>119778.97333586038</v>
      </c>
      <c r="BI80">
        <v>119778.97333586038</v>
      </c>
      <c r="BK80">
        <v>119778.97333586038</v>
      </c>
      <c r="BM80">
        <v>119778.97333586038</v>
      </c>
      <c r="BO80">
        <v>119778.97333586038</v>
      </c>
      <c r="BQ80">
        <v>119778.97333586038</v>
      </c>
      <c r="BS80">
        <v>119778.97333586038</v>
      </c>
      <c r="BT80" s="238">
        <v>119778.97</v>
      </c>
      <c r="BU80" s="238">
        <v>4519300</v>
      </c>
      <c r="BX80" s="238">
        <v>0</v>
      </c>
      <c r="BY80" s="238">
        <v>119780.01590246487</v>
      </c>
      <c r="BZ80" s="238">
        <v>4519300</v>
      </c>
      <c r="CA80" s="238" t="s">
        <v>38</v>
      </c>
      <c r="CB80">
        <v>20000</v>
      </c>
      <c r="CC80">
        <v>139780.01590246489</v>
      </c>
      <c r="CD80" s="238">
        <v>754600</v>
      </c>
      <c r="CE80" s="238">
        <v>5273900</v>
      </c>
      <c r="CH80" s="238" t="s">
        <v>39</v>
      </c>
      <c r="CI80" s="238" t="s">
        <v>39</v>
      </c>
      <c r="CJ80" t="s">
        <v>8950</v>
      </c>
      <c r="CK80" t="s">
        <v>1167</v>
      </c>
      <c r="CL80" t="s">
        <v>8961</v>
      </c>
      <c r="CM80" t="s">
        <v>8972</v>
      </c>
      <c r="CN80" s="238" t="b">
        <v>1</v>
      </c>
      <c r="CO80" t="s">
        <v>5368</v>
      </c>
      <c r="CQ80" t="s">
        <v>6652</v>
      </c>
      <c r="CR80" t="s">
        <v>3246</v>
      </c>
      <c r="CS80" t="s">
        <v>38</v>
      </c>
      <c r="CT80" t="b">
        <v>1</v>
      </c>
      <c r="CU80">
        <v>4519300</v>
      </c>
      <c r="CV80" t="s">
        <v>9002</v>
      </c>
      <c r="CW80">
        <v>0</v>
      </c>
      <c r="CX80">
        <v>4519300</v>
      </c>
      <c r="CY80">
        <v>0</v>
      </c>
      <c r="CZ80" t="b">
        <v>1</v>
      </c>
      <c r="DA80">
        <v>45463</v>
      </c>
      <c r="DB80" t="s">
        <v>4177</v>
      </c>
      <c r="DC80">
        <v>-2.1203286509406949E-3</v>
      </c>
      <c r="DD80">
        <v>-253.97299952812835</v>
      </c>
      <c r="DE80" s="420" cm="1">
        <f t="array" ref="DE80">_xlfn.XLOOKUP("Дом 5"&amp;Реестр_Д5[[#This Row],[№]]&amp;Реестр_Д5[[#This Row],[Статус]],РД[Дом]&amp;РД[№ кв]&amp;РД[Состояние],РД[Дата подачи на регистрацию],"-",0)</f>
        <v>45463</v>
      </c>
    </row>
    <row r="81" spans="1:109" hidden="1" x14ac:dyDescent="0.25">
      <c r="A81" s="238">
        <v>80</v>
      </c>
      <c r="B81" s="238" t="s">
        <v>6</v>
      </c>
      <c r="C81" s="238">
        <v>12</v>
      </c>
      <c r="D81" s="238">
        <v>4</v>
      </c>
      <c r="E81" s="238">
        <v>2</v>
      </c>
      <c r="F81" s="238">
        <v>16.61</v>
      </c>
      <c r="G81" s="238">
        <v>11.38</v>
      </c>
      <c r="H81" s="238"/>
      <c r="I81">
        <v>27.99</v>
      </c>
      <c r="J81" s="238">
        <v>14.58</v>
      </c>
      <c r="K81" s="238">
        <v>4.34</v>
      </c>
      <c r="L81" s="238">
        <v>2.08</v>
      </c>
      <c r="M81" s="238"/>
      <c r="N81" s="238">
        <v>8.82</v>
      </c>
      <c r="O81" s="238">
        <v>2.56</v>
      </c>
      <c r="P81" s="238"/>
      <c r="R81" s="238">
        <v>2.56</v>
      </c>
      <c r="S81">
        <v>60.37</v>
      </c>
      <c r="T81">
        <v>57.81</v>
      </c>
      <c r="U81" s="238">
        <v>59.09</v>
      </c>
      <c r="V81">
        <v>58.85</v>
      </c>
      <c r="W81" s="238">
        <v>80307.864000000001</v>
      </c>
      <c r="X81">
        <v>4015.3932</v>
      </c>
      <c r="Y81">
        <v>84323.257199999993</v>
      </c>
      <c r="Z81">
        <v>2529.6977160000001</v>
      </c>
      <c r="AA81">
        <v>86852.954916000002</v>
      </c>
      <c r="AC81">
        <v>86852.954916000002</v>
      </c>
      <c r="AE81">
        <v>86852.954916000002</v>
      </c>
      <c r="AG81">
        <v>86852.954916000002</v>
      </c>
      <c r="AI81">
        <v>86852.954916000002</v>
      </c>
      <c r="AK81">
        <v>86852.954916000002</v>
      </c>
      <c r="AM81">
        <v>86852.954916000002</v>
      </c>
      <c r="AO81">
        <v>86852.954916000002</v>
      </c>
      <c r="AQ81">
        <v>86852.954916000002</v>
      </c>
      <c r="AS81">
        <v>86852.954916000002</v>
      </c>
      <c r="AU81">
        <v>86852.954916000002</v>
      </c>
      <c r="AW81">
        <v>86852.954916000002</v>
      </c>
      <c r="AY81">
        <v>86852.954916000002</v>
      </c>
      <c r="BA81">
        <v>86852.954916000002</v>
      </c>
      <c r="BC81">
        <v>86852.954916000002</v>
      </c>
      <c r="BE81">
        <v>86852.954916000002</v>
      </c>
      <c r="BG81">
        <v>86852.954916000002</v>
      </c>
      <c r="BI81">
        <v>86852.954916000002</v>
      </c>
      <c r="BK81">
        <v>86852.954916000002</v>
      </c>
      <c r="BM81">
        <v>86852.954916000002</v>
      </c>
      <c r="BO81">
        <v>86852.954916000002</v>
      </c>
      <c r="BQ81">
        <v>86852.954916000002</v>
      </c>
      <c r="BS81">
        <v>86852.954916000002</v>
      </c>
      <c r="BT81" s="238">
        <v>86852.95</v>
      </c>
      <c r="BU81" s="238">
        <v>5132200</v>
      </c>
      <c r="BV81">
        <v>100000</v>
      </c>
      <c r="BX81" s="238">
        <v>100000</v>
      </c>
      <c r="BY81" s="238">
        <v>85161.61787104416</v>
      </c>
      <c r="BZ81" s="238">
        <v>5032200</v>
      </c>
      <c r="CA81" s="238" t="s">
        <v>37</v>
      </c>
      <c r="CB81">
        <v>7500</v>
      </c>
      <c r="CC81">
        <v>92661.61787104416</v>
      </c>
      <c r="CD81" s="238">
        <v>443175</v>
      </c>
      <c r="CE81" s="238">
        <v>5475375</v>
      </c>
      <c r="CG81" t="s">
        <v>6732</v>
      </c>
      <c r="CH81" s="238" t="s">
        <v>39</v>
      </c>
      <c r="CI81" s="238" t="s">
        <v>39</v>
      </c>
      <c r="CJ81" t="s">
        <v>8950</v>
      </c>
      <c r="CK81" t="s">
        <v>1167</v>
      </c>
      <c r="CL81" t="s">
        <v>8961</v>
      </c>
      <c r="CM81" t="s">
        <v>8971</v>
      </c>
      <c r="CN81" s="238" t="b">
        <v>1</v>
      </c>
      <c r="CO81" t="s">
        <v>5369</v>
      </c>
      <c r="CQ81" t="s">
        <v>6652</v>
      </c>
      <c r="CR81" t="s">
        <v>3246</v>
      </c>
      <c r="CS81" t="s">
        <v>37</v>
      </c>
      <c r="CT81" t="b">
        <v>1</v>
      </c>
      <c r="CU81">
        <v>5132200</v>
      </c>
      <c r="CV81" t="s">
        <v>9002</v>
      </c>
      <c r="CW81">
        <v>0</v>
      </c>
      <c r="CX81">
        <v>5132200</v>
      </c>
      <c r="CY81">
        <v>0</v>
      </c>
      <c r="CZ81" t="b">
        <v>1</v>
      </c>
      <c r="DA81">
        <v>45274</v>
      </c>
      <c r="DB81" t="s">
        <v>5215</v>
      </c>
      <c r="DC81">
        <v>-4.0616009477069115E-3</v>
      </c>
      <c r="DD81">
        <v>-345.89250785328682</v>
      </c>
      <c r="DE81" s="420" cm="1">
        <f t="array" ref="DE81">_xlfn.XLOOKUP("Дом 5"&amp;Реестр_Д5[[#This Row],[№]]&amp;Реестр_Д5[[#This Row],[Статус]],РД[Дом]&amp;РД[№ кв]&amp;РД[Состояние],РД[Дата подачи на регистрацию],"-",0)</f>
        <v>45274</v>
      </c>
    </row>
    <row r="82" spans="1:109" x14ac:dyDescent="0.25">
      <c r="A82" s="238">
        <v>81</v>
      </c>
      <c r="B82" s="238" t="s">
        <v>6</v>
      </c>
      <c r="C82" s="238">
        <v>12</v>
      </c>
      <c r="D82" s="238">
        <v>5</v>
      </c>
      <c r="E82" s="238">
        <v>2</v>
      </c>
      <c r="F82" s="238">
        <v>16.46</v>
      </c>
      <c r="G82" s="238">
        <v>12.47</v>
      </c>
      <c r="H82" s="238"/>
      <c r="I82">
        <v>28.93</v>
      </c>
      <c r="J82" s="238">
        <v>18</v>
      </c>
      <c r="K82" s="238">
        <v>4.3499999999999996</v>
      </c>
      <c r="L82" s="238">
        <v>1.55</v>
      </c>
      <c r="M82" s="238"/>
      <c r="N82" s="238">
        <v>8</v>
      </c>
      <c r="O82" s="238">
        <v>2.67</v>
      </c>
      <c r="P82" s="238"/>
      <c r="R82" s="238">
        <v>2.67</v>
      </c>
      <c r="S82">
        <v>63.5</v>
      </c>
      <c r="T82">
        <v>60.83</v>
      </c>
      <c r="U82" s="238">
        <v>62.17</v>
      </c>
      <c r="V82">
        <v>61.150000000000006</v>
      </c>
      <c r="W82" s="238">
        <v>80307.864000000001</v>
      </c>
      <c r="X82">
        <v>4015.3932</v>
      </c>
      <c r="Y82">
        <v>84323.257199999993</v>
      </c>
      <c r="Z82">
        <v>2529.6977160000001</v>
      </c>
      <c r="AA82">
        <v>86852.954916000002</v>
      </c>
      <c r="AC82">
        <v>86852.954916000002</v>
      </c>
      <c r="AE82">
        <v>86852.954916000002</v>
      </c>
      <c r="AG82">
        <v>86852.954916000002</v>
      </c>
      <c r="AI82">
        <v>86852.954916000002</v>
      </c>
      <c r="AJ82">
        <v>868.52954915999999</v>
      </c>
      <c r="AK82">
        <v>87721.48446516</v>
      </c>
      <c r="AL82">
        <v>4386.0742232580005</v>
      </c>
      <c r="AM82">
        <v>92107.558688417994</v>
      </c>
      <c r="AO82">
        <v>92107.558688417994</v>
      </c>
      <c r="AP82">
        <v>1842.15117376836</v>
      </c>
      <c r="AQ82">
        <v>93949.709862186355</v>
      </c>
      <c r="AS82">
        <v>93949.709862186355</v>
      </c>
      <c r="AT82">
        <v>1878.9941972437273</v>
      </c>
      <c r="AU82">
        <v>95828.704059430078</v>
      </c>
      <c r="AW82">
        <v>95828.704059430078</v>
      </c>
      <c r="AY82">
        <v>95828.704059430078</v>
      </c>
      <c r="AZ82">
        <v>1916.5740811886017</v>
      </c>
      <c r="BA82">
        <v>97745.278140618684</v>
      </c>
      <c r="BB82">
        <v>488.72639070309344</v>
      </c>
      <c r="BC82">
        <v>98234.004531321771</v>
      </c>
      <c r="BE82">
        <v>98234.004531321771</v>
      </c>
      <c r="BF82">
        <v>1473.5100679698264</v>
      </c>
      <c r="BG82">
        <v>99707.514599291593</v>
      </c>
      <c r="BI82">
        <v>99707.514599291593</v>
      </c>
      <c r="BJ82">
        <v>3988.3005839716639</v>
      </c>
      <c r="BK82">
        <v>103695.81518326326</v>
      </c>
      <c r="BL82">
        <v>6221.7489109957951</v>
      </c>
      <c r="BM82">
        <v>109917.56409425904</v>
      </c>
      <c r="BN82">
        <v>14289.283332253675</v>
      </c>
      <c r="BO82">
        <v>124206.84742651272</v>
      </c>
      <c r="BP82">
        <v>35</v>
      </c>
      <c r="BQ82">
        <v>124241.84742651272</v>
      </c>
      <c r="BS82">
        <v>124241.84742651272</v>
      </c>
      <c r="BT82" s="238">
        <v>124241.85</v>
      </c>
      <c r="BU82" s="238">
        <v>7597400</v>
      </c>
      <c r="BX82" s="238">
        <v>0</v>
      </c>
      <c r="BY82" s="238">
        <v>124242.02780049058</v>
      </c>
      <c r="BZ82" s="238">
        <v>7597400</v>
      </c>
      <c r="CA82" s="238" t="s">
        <v>36</v>
      </c>
      <c r="CC82">
        <v>124242.02780049058</v>
      </c>
      <c r="CD82" s="238">
        <v>0</v>
      </c>
      <c r="CE82" s="238">
        <v>7597400</v>
      </c>
      <c r="CH82" s="238" t="s">
        <v>3</v>
      </c>
      <c r="CI82" s="238" t="s">
        <v>3</v>
      </c>
      <c r="CJ82" t="s">
        <v>8951</v>
      </c>
      <c r="CK82" t="s">
        <v>1167</v>
      </c>
      <c r="CL82" t="s">
        <v>8961</v>
      </c>
      <c r="CM82" t="s">
        <v>8971</v>
      </c>
      <c r="CN82" s="238" t="b">
        <v>1</v>
      </c>
      <c r="CO82" t="s">
        <v>5370</v>
      </c>
      <c r="CQ82" t="s">
        <v>6652</v>
      </c>
      <c r="CR82" t="s">
        <v>3124</v>
      </c>
      <c r="CS82" t="s">
        <v>6871</v>
      </c>
      <c r="CT82" t="b">
        <v>0</v>
      </c>
      <c r="CU82">
        <v>7597400</v>
      </c>
      <c r="CV82">
        <v>7597400</v>
      </c>
      <c r="CW82">
        <v>0</v>
      </c>
      <c r="CX82">
        <v>0</v>
      </c>
      <c r="CY82">
        <v>0</v>
      </c>
      <c r="CZ82" t="b">
        <v>1</v>
      </c>
      <c r="DA82" t="s">
        <v>4246</v>
      </c>
      <c r="DB82" t="s">
        <v>1167</v>
      </c>
      <c r="DC82">
        <v>-1.6406626990509876E-2</v>
      </c>
      <c r="DD82">
        <v>-2038.3926066672072</v>
      </c>
      <c r="DE82" s="420" t="str" cm="1">
        <f t="array" ref="DE8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83" spans="1:109" hidden="1" x14ac:dyDescent="0.25">
      <c r="A83" s="238">
        <v>82</v>
      </c>
      <c r="B83" s="238" t="s">
        <v>6</v>
      </c>
      <c r="C83" s="238">
        <v>12</v>
      </c>
      <c r="D83" s="238">
        <v>6</v>
      </c>
      <c r="E83" s="238">
        <v>2</v>
      </c>
      <c r="F83" s="238">
        <v>14.64</v>
      </c>
      <c r="G83" s="238">
        <v>10.74</v>
      </c>
      <c r="H83" s="238"/>
      <c r="I83">
        <v>25.380000000000003</v>
      </c>
      <c r="J83" s="238">
        <v>14.35</v>
      </c>
      <c r="K83" s="238">
        <v>4.16</v>
      </c>
      <c r="L83" s="238">
        <v>1.93</v>
      </c>
      <c r="M83" s="238"/>
      <c r="N83" s="238">
        <v>11.03</v>
      </c>
      <c r="O83" s="238">
        <v>2.6219999999999999</v>
      </c>
      <c r="P83" s="238"/>
      <c r="R83" s="238">
        <v>2.6219999999999999</v>
      </c>
      <c r="S83">
        <v>59.47</v>
      </c>
      <c r="T83">
        <v>56.85</v>
      </c>
      <c r="U83" s="238">
        <v>58.16</v>
      </c>
      <c r="V83">
        <v>58</v>
      </c>
      <c r="W83" s="238">
        <v>81466.150500000003</v>
      </c>
      <c r="X83">
        <v>4073.3075250000002</v>
      </c>
      <c r="Y83">
        <v>85539.458025</v>
      </c>
      <c r="Z83">
        <v>2566.1837407499997</v>
      </c>
      <c r="AA83">
        <v>88105.641765749999</v>
      </c>
      <c r="AC83">
        <v>88105.641765749999</v>
      </c>
      <c r="AE83">
        <v>88105.641765749999</v>
      </c>
      <c r="AG83">
        <v>88105.641765749999</v>
      </c>
      <c r="AI83">
        <v>88105.641765749999</v>
      </c>
      <c r="AK83">
        <v>88105.641765749999</v>
      </c>
      <c r="AM83">
        <v>88105.641765749999</v>
      </c>
      <c r="AO83">
        <v>88105.641765749999</v>
      </c>
      <c r="AQ83">
        <v>88105.641765749999</v>
      </c>
      <c r="AS83">
        <v>88105.641765749999</v>
      </c>
      <c r="AU83">
        <v>88105.641765749999</v>
      </c>
      <c r="AW83">
        <v>88105.641765749999</v>
      </c>
      <c r="AY83">
        <v>88105.641765749999</v>
      </c>
      <c r="BA83">
        <v>88105.641765749999</v>
      </c>
      <c r="BC83">
        <v>88105.641765749999</v>
      </c>
      <c r="BE83">
        <v>88105.641765749999</v>
      </c>
      <c r="BG83">
        <v>88105.641765749999</v>
      </c>
      <c r="BI83">
        <v>88105.641765749999</v>
      </c>
      <c r="BK83">
        <v>88105.641765749999</v>
      </c>
      <c r="BM83">
        <v>88105.641765749999</v>
      </c>
      <c r="BO83">
        <v>88105.641765749999</v>
      </c>
      <c r="BQ83">
        <v>88105.641765749999</v>
      </c>
      <c r="BS83">
        <v>88105.641765749999</v>
      </c>
      <c r="BT83" s="238">
        <v>88105.64</v>
      </c>
      <c r="BU83" s="238">
        <v>5124224.0199999996</v>
      </c>
      <c r="BX83" s="238">
        <v>0</v>
      </c>
      <c r="BY83" s="238">
        <v>88105.639958734522</v>
      </c>
      <c r="BZ83" s="238">
        <v>5124224.0199999996</v>
      </c>
      <c r="CA83" s="238" t="s">
        <v>38</v>
      </c>
      <c r="CB83">
        <v>22000</v>
      </c>
      <c r="CC83">
        <v>110105.63995873452</v>
      </c>
      <c r="CD83" s="238">
        <v>1279520</v>
      </c>
      <c r="CE83" s="238">
        <v>6403744.0199999996</v>
      </c>
      <c r="CH83" s="238" t="s">
        <v>39</v>
      </c>
      <c r="CI83" s="238" t="s">
        <v>39</v>
      </c>
      <c r="CJ83" t="s">
        <v>8950</v>
      </c>
      <c r="CK83" t="s">
        <v>1167</v>
      </c>
      <c r="CL83" t="s">
        <v>8961</v>
      </c>
      <c r="CM83" t="s">
        <v>8971</v>
      </c>
      <c r="CN83" s="238" t="b">
        <v>1</v>
      </c>
      <c r="CO83" t="s">
        <v>5371</v>
      </c>
      <c r="CQ83" t="s">
        <v>4895</v>
      </c>
      <c r="CR83" t="s">
        <v>3246</v>
      </c>
      <c r="CS83" t="s">
        <v>38</v>
      </c>
      <c r="CT83" t="b">
        <v>1</v>
      </c>
      <c r="CU83">
        <v>5124224.0199999996</v>
      </c>
      <c r="CV83" t="s">
        <v>9002</v>
      </c>
      <c r="CW83">
        <v>0</v>
      </c>
      <c r="CX83">
        <v>5124224</v>
      </c>
      <c r="CY83">
        <v>0</v>
      </c>
      <c r="CZ83" t="b">
        <v>1</v>
      </c>
      <c r="DA83">
        <v>45241</v>
      </c>
      <c r="DB83" t="s">
        <v>5215</v>
      </c>
      <c r="DC83">
        <v>-2.7510316368637433E-3</v>
      </c>
      <c r="DD83">
        <v>-242.38140291260507</v>
      </c>
      <c r="DE83" s="420" cm="1">
        <f t="array" ref="DE83">_xlfn.XLOOKUP("Дом 5"&amp;Реестр_Д5[[#This Row],[№]]&amp;Реестр_Д5[[#This Row],[Статус]],РД[Дом]&amp;РД[№ кв]&amp;РД[Состояние],РД[Дата подачи на регистрацию],"-",0)</f>
        <v>45241</v>
      </c>
    </row>
    <row r="84" spans="1:109" hidden="1" x14ac:dyDescent="0.25">
      <c r="A84" s="238">
        <v>83</v>
      </c>
      <c r="B84" s="238" t="s">
        <v>6</v>
      </c>
      <c r="C84" s="238">
        <v>12</v>
      </c>
      <c r="D84" s="238">
        <v>7</v>
      </c>
      <c r="E84" s="238">
        <v>1</v>
      </c>
      <c r="F84" s="238">
        <v>18.489999999999998</v>
      </c>
      <c r="G84" s="238"/>
      <c r="H84" s="238"/>
      <c r="I84">
        <v>18.489999999999998</v>
      </c>
      <c r="J84" s="238">
        <v>13.04</v>
      </c>
      <c r="K84" s="238">
        <v>3.9</v>
      </c>
      <c r="L84" s="238"/>
      <c r="M84" s="238"/>
      <c r="N84" s="238">
        <v>5.99</v>
      </c>
      <c r="O84" s="238">
        <v>2.65</v>
      </c>
      <c r="P84" s="238"/>
      <c r="R84" s="238">
        <v>2.65</v>
      </c>
      <c r="S84">
        <v>44.07</v>
      </c>
      <c r="T84">
        <v>41.42</v>
      </c>
      <c r="U84" s="238">
        <v>42.75</v>
      </c>
      <c r="V84">
        <v>42.599999999999994</v>
      </c>
      <c r="W84" s="238">
        <v>83951.4375</v>
      </c>
      <c r="X84">
        <v>4197.5718750000005</v>
      </c>
      <c r="Y84">
        <v>88149.009374999994</v>
      </c>
      <c r="Z84">
        <v>2644.4702812499995</v>
      </c>
      <c r="AA84">
        <v>90793.479656249998</v>
      </c>
      <c r="AB84">
        <v>3631.7391862499999</v>
      </c>
      <c r="AC84">
        <v>94425.218842499977</v>
      </c>
      <c r="AE84">
        <v>94425.218842499977</v>
      </c>
      <c r="AF84">
        <v>4721.2609421249999</v>
      </c>
      <c r="AG84">
        <v>99146.479784624986</v>
      </c>
      <c r="AI84">
        <v>99146.479784624986</v>
      </c>
      <c r="AJ84">
        <v>991.46479784624989</v>
      </c>
      <c r="AK84">
        <v>100137.94458247125</v>
      </c>
      <c r="AL84">
        <v>5006.8972291235623</v>
      </c>
      <c r="AM84">
        <v>105144.8418115948</v>
      </c>
      <c r="AO84">
        <v>105144.8418115948</v>
      </c>
      <c r="AP84">
        <v>3154.3452543478434</v>
      </c>
      <c r="AQ84">
        <v>108299.18706594263</v>
      </c>
      <c r="AS84">
        <v>108299.18706594263</v>
      </c>
      <c r="AU84">
        <v>108299.18706594263</v>
      </c>
      <c r="AW84">
        <v>108299.18706594263</v>
      </c>
      <c r="AY84">
        <v>108299.18706594263</v>
      </c>
      <c r="BA84">
        <v>108299.18706594263</v>
      </c>
      <c r="BB84">
        <v>541.49593532971323</v>
      </c>
      <c r="BC84">
        <v>108840.68300127237</v>
      </c>
      <c r="BE84">
        <v>108840.68300127237</v>
      </c>
      <c r="BF84">
        <v>1632.6102450190851</v>
      </c>
      <c r="BG84">
        <v>110473.29324629145</v>
      </c>
      <c r="BI84">
        <v>110473.29324629145</v>
      </c>
      <c r="BK84">
        <v>110473.29324629145</v>
      </c>
      <c r="BM84">
        <v>110473.29324629145</v>
      </c>
      <c r="BO84">
        <v>110473.29324629145</v>
      </c>
      <c r="BQ84">
        <v>110473.29324629145</v>
      </c>
      <c r="BS84">
        <v>110473.29324629145</v>
      </c>
      <c r="BT84" s="238">
        <v>110473.29</v>
      </c>
      <c r="BU84" s="238">
        <v>4722800</v>
      </c>
      <c r="BV84">
        <v>50000</v>
      </c>
      <c r="BX84" s="238">
        <v>50000</v>
      </c>
      <c r="BY84" s="238">
        <v>109305.26315789472</v>
      </c>
      <c r="BZ84" s="238">
        <v>4672800</v>
      </c>
      <c r="CA84" s="238" t="s">
        <v>6871</v>
      </c>
      <c r="CB84">
        <v>7000</v>
      </c>
      <c r="CC84">
        <v>116305.26315789472</v>
      </c>
      <c r="CD84" s="238">
        <v>299250</v>
      </c>
      <c r="CE84" s="238">
        <v>4972050</v>
      </c>
      <c r="CG84" t="s">
        <v>7512</v>
      </c>
      <c r="CH84" s="238" t="s">
        <v>39</v>
      </c>
      <c r="CI84" s="238" t="s">
        <v>39</v>
      </c>
      <c r="CJ84" t="s">
        <v>8950</v>
      </c>
      <c r="CK84" t="s">
        <v>1167</v>
      </c>
      <c r="CL84" t="s">
        <v>8961</v>
      </c>
      <c r="CM84" t="s">
        <v>8973</v>
      </c>
      <c r="CN84" s="238" t="b">
        <v>1</v>
      </c>
      <c r="CO84" t="s">
        <v>5372</v>
      </c>
      <c r="CQ84" t="s">
        <v>6652</v>
      </c>
      <c r="CR84" t="s">
        <v>3246</v>
      </c>
      <c r="CS84" t="s">
        <v>6871</v>
      </c>
      <c r="CT84" t="b">
        <v>1</v>
      </c>
      <c r="CU84">
        <v>4722800</v>
      </c>
      <c r="CV84" t="s">
        <v>9002</v>
      </c>
      <c r="CW84">
        <v>0</v>
      </c>
      <c r="CX84">
        <v>4722800</v>
      </c>
      <c r="CY84">
        <v>0</v>
      </c>
      <c r="CZ84" t="b">
        <v>1</v>
      </c>
      <c r="DA84">
        <v>45503</v>
      </c>
      <c r="DB84" t="s">
        <v>4177</v>
      </c>
      <c r="DC84">
        <v>-3.5087719298246833E-3</v>
      </c>
      <c r="DD84">
        <v>-383.5272391505211</v>
      </c>
      <c r="DE84" s="420" cm="1">
        <f t="array" ref="DE84">_xlfn.XLOOKUP("Дом 5"&amp;Реестр_Д5[[#This Row],[№]]&amp;Реестр_Д5[[#This Row],[Статус]],РД[Дом]&amp;РД[№ кв]&amp;РД[Состояние],РД[Дата подачи на регистрацию],"-",0)</f>
        <v>45503</v>
      </c>
    </row>
    <row r="85" spans="1:109" hidden="1" x14ac:dyDescent="0.25">
      <c r="A85" s="238">
        <v>84</v>
      </c>
      <c r="B85" s="238" t="s">
        <v>6</v>
      </c>
      <c r="C85" s="238">
        <v>13</v>
      </c>
      <c r="D85" s="238">
        <v>1</v>
      </c>
      <c r="E85" s="238">
        <v>1</v>
      </c>
      <c r="F85" s="238">
        <v>14.68</v>
      </c>
      <c r="G85" s="238"/>
      <c r="H85" s="238"/>
      <c r="I85">
        <v>14.68</v>
      </c>
      <c r="J85" s="238">
        <v>9.84</v>
      </c>
      <c r="K85" s="238">
        <v>3.63</v>
      </c>
      <c r="L85" s="238"/>
      <c r="M85" s="238"/>
      <c r="N85" s="238">
        <v>4.8899999999999997</v>
      </c>
      <c r="O85" s="238">
        <v>2.7</v>
      </c>
      <c r="P85" s="238"/>
      <c r="R85" s="238">
        <v>2.7</v>
      </c>
      <c r="S85">
        <v>35.74</v>
      </c>
      <c r="T85">
        <v>33.04</v>
      </c>
      <c r="U85" s="238">
        <v>34.39</v>
      </c>
      <c r="V85">
        <v>34.450000000000003</v>
      </c>
      <c r="W85" s="238">
        <v>82734.75</v>
      </c>
      <c r="X85">
        <v>4136.7375000000002</v>
      </c>
      <c r="Y85">
        <v>86871.487500000003</v>
      </c>
      <c r="Z85">
        <v>2606.1446249999999</v>
      </c>
      <c r="AA85">
        <v>89477.632125000004</v>
      </c>
      <c r="AB85">
        <v>12526.8684975</v>
      </c>
      <c r="AC85">
        <v>102004.5006225</v>
      </c>
      <c r="AE85">
        <v>102004.5006225</v>
      </c>
      <c r="AF85">
        <v>5100.2250311250009</v>
      </c>
      <c r="AG85">
        <v>107104.72565362501</v>
      </c>
      <c r="AI85">
        <v>107104.72565362501</v>
      </c>
      <c r="AJ85">
        <v>1071.0472565362502</v>
      </c>
      <c r="AK85">
        <v>108175.77291016123</v>
      </c>
      <c r="AL85">
        <v>5408.7886455080625</v>
      </c>
      <c r="AM85">
        <v>113584.56155566932</v>
      </c>
      <c r="AO85">
        <v>113584.56155566932</v>
      </c>
      <c r="AP85">
        <v>3407.5368466700793</v>
      </c>
      <c r="AQ85">
        <v>116992.09840233938</v>
      </c>
      <c r="AS85">
        <v>116992.09840233938</v>
      </c>
      <c r="AU85">
        <v>116992.09840233938</v>
      </c>
      <c r="AW85">
        <v>116992.09840233938</v>
      </c>
      <c r="AY85">
        <v>116992.09840233938</v>
      </c>
      <c r="BA85">
        <v>116992.09840233938</v>
      </c>
      <c r="BC85">
        <v>116992.09840233938</v>
      </c>
      <c r="BE85">
        <v>116992.09840233938</v>
      </c>
      <c r="BG85">
        <v>116992.09840233938</v>
      </c>
      <c r="BI85">
        <v>116992.09840233938</v>
      </c>
      <c r="BK85">
        <v>116992.09840233938</v>
      </c>
      <c r="BM85">
        <v>116992.09840233938</v>
      </c>
      <c r="BO85">
        <v>116992.09840233938</v>
      </c>
      <c r="BQ85">
        <v>116992.09840233938</v>
      </c>
      <c r="BS85">
        <v>116992.09840233938</v>
      </c>
      <c r="BT85" s="238">
        <v>116992.1</v>
      </c>
      <c r="BU85" s="238">
        <v>4023400</v>
      </c>
      <c r="BX85" s="238">
        <v>0</v>
      </c>
      <c r="BY85" s="238">
        <v>116993.31200930502</v>
      </c>
      <c r="BZ85" s="238">
        <v>4023400</v>
      </c>
      <c r="CA85" s="238" t="s">
        <v>36</v>
      </c>
      <c r="CC85">
        <v>116993.31200930502</v>
      </c>
      <c r="CD85" s="238">
        <v>0</v>
      </c>
      <c r="CE85" s="238">
        <v>4023400</v>
      </c>
      <c r="CF85" t="s">
        <v>4633</v>
      </c>
      <c r="CH85" s="238" t="s">
        <v>39</v>
      </c>
      <c r="CI85" s="238" t="s">
        <v>39</v>
      </c>
      <c r="CJ85" t="s">
        <v>8950</v>
      </c>
      <c r="CK85" t="s">
        <v>1167</v>
      </c>
      <c r="CL85" t="s">
        <v>8961</v>
      </c>
      <c r="CM85" t="s">
        <v>8973</v>
      </c>
      <c r="CN85" s="238" t="b">
        <v>1</v>
      </c>
      <c r="CO85" t="s">
        <v>5373</v>
      </c>
      <c r="CQ85" t="s">
        <v>6652</v>
      </c>
      <c r="CR85" t="s">
        <v>3246</v>
      </c>
      <c r="CS85" t="s">
        <v>36</v>
      </c>
      <c r="CT85" t="b">
        <v>1</v>
      </c>
      <c r="CU85">
        <v>4023400</v>
      </c>
      <c r="CV85" t="s">
        <v>9002</v>
      </c>
      <c r="CW85">
        <v>4023400</v>
      </c>
      <c r="CX85">
        <v>4023400</v>
      </c>
      <c r="CY85">
        <v>0</v>
      </c>
      <c r="CZ85" t="b">
        <v>1</v>
      </c>
      <c r="DA85">
        <v>45457</v>
      </c>
      <c r="DB85" t="s">
        <v>4177</v>
      </c>
      <c r="DC85">
        <v>1.7446932247746627E-3</v>
      </c>
      <c r="DD85">
        <v>204.11743880658267</v>
      </c>
      <c r="DE85" s="420" cm="1">
        <f t="array" ref="DE85">_xlfn.XLOOKUP("Дом 5"&amp;Реестр_Д5[[#This Row],[№]]&amp;Реестр_Д5[[#This Row],[Статус]],РД[Дом]&amp;РД[№ кв]&amp;РД[Состояние],РД[Дата подачи на регистрацию],"-",0)</f>
        <v>45457</v>
      </c>
    </row>
    <row r="86" spans="1:109" x14ac:dyDescent="0.25">
      <c r="A86" s="238">
        <v>85</v>
      </c>
      <c r="B86" s="238" t="s">
        <v>6</v>
      </c>
      <c r="C86" s="238">
        <v>13</v>
      </c>
      <c r="D86" s="238">
        <v>2</v>
      </c>
      <c r="E86" s="238">
        <v>2</v>
      </c>
      <c r="F86" s="238">
        <v>15.82</v>
      </c>
      <c r="G86" s="238">
        <v>15.54</v>
      </c>
      <c r="H86" s="238"/>
      <c r="I86">
        <v>31.36</v>
      </c>
      <c r="J86" s="238">
        <v>19.440000000000001</v>
      </c>
      <c r="K86" s="238">
        <v>4.42</v>
      </c>
      <c r="L86" s="238"/>
      <c r="M86" s="238">
        <v>3.25</v>
      </c>
      <c r="N86" s="238">
        <v>8.5299999999999994</v>
      </c>
      <c r="O86" s="238">
        <v>3</v>
      </c>
      <c r="P86" s="238"/>
      <c r="R86" s="238">
        <v>3</v>
      </c>
      <c r="S86">
        <v>70</v>
      </c>
      <c r="T86">
        <v>67</v>
      </c>
      <c r="U86" s="238">
        <v>68.5</v>
      </c>
      <c r="V86">
        <v>68.100000000000009</v>
      </c>
      <c r="W86" s="238">
        <v>84168.819000000003</v>
      </c>
      <c r="X86">
        <v>4208.4409500000002</v>
      </c>
      <c r="Y86">
        <v>88377.259950000007</v>
      </c>
      <c r="Z86">
        <v>2651.3177985000002</v>
      </c>
      <c r="AA86">
        <v>91028.577748500014</v>
      </c>
      <c r="AC86">
        <v>91028.577748500014</v>
      </c>
      <c r="AE86">
        <v>91028.577748500014</v>
      </c>
      <c r="AG86">
        <v>91028.577748500014</v>
      </c>
      <c r="AH86">
        <v>-831</v>
      </c>
      <c r="AI86">
        <v>90197.577748500014</v>
      </c>
      <c r="AJ86">
        <v>901.97577748500021</v>
      </c>
      <c r="AK86">
        <v>91099.553525985015</v>
      </c>
      <c r="AL86">
        <v>4554.9776762992506</v>
      </c>
      <c r="AM86">
        <v>95654.531202284285</v>
      </c>
      <c r="AO86">
        <v>95654.531202284285</v>
      </c>
      <c r="AP86">
        <v>1913.0906240456857</v>
      </c>
      <c r="AQ86">
        <v>97567.621826329952</v>
      </c>
      <c r="AS86">
        <v>97567.621826329952</v>
      </c>
      <c r="AT86">
        <v>1951.3524365265991</v>
      </c>
      <c r="AU86">
        <v>99518.974262856558</v>
      </c>
      <c r="AW86">
        <v>99518.974262856558</v>
      </c>
      <c r="AY86">
        <v>99518.974262856558</v>
      </c>
      <c r="BA86">
        <v>99518.974262856558</v>
      </c>
      <c r="BC86">
        <v>99518.974262856558</v>
      </c>
      <c r="BE86">
        <v>99518.974262856558</v>
      </c>
      <c r="BF86">
        <v>497.59487131428278</v>
      </c>
      <c r="BG86">
        <v>100016.56913417084</v>
      </c>
      <c r="BI86">
        <v>100016.56913417084</v>
      </c>
      <c r="BK86">
        <v>100016.56913417084</v>
      </c>
      <c r="BL86">
        <v>6000.9941480502503</v>
      </c>
      <c r="BM86">
        <v>106017.56328222108</v>
      </c>
      <c r="BN86">
        <v>13782.283226688742</v>
      </c>
      <c r="BO86">
        <v>119799.84650890985</v>
      </c>
      <c r="BP86">
        <v>35</v>
      </c>
      <c r="BQ86">
        <v>119834.84650890985</v>
      </c>
      <c r="BS86">
        <v>119834.84650890985</v>
      </c>
      <c r="BT86" s="238">
        <v>119834.85</v>
      </c>
      <c r="BU86" s="238">
        <v>8160800</v>
      </c>
      <c r="BV86">
        <v>536700</v>
      </c>
      <c r="BX86" s="238">
        <v>536700</v>
      </c>
      <c r="BY86" s="238">
        <v>111954.47870778266</v>
      </c>
      <c r="BZ86" s="238">
        <v>7624100</v>
      </c>
      <c r="CA86" s="238" t="s">
        <v>36</v>
      </c>
      <c r="CC86">
        <v>111954.47870778266</v>
      </c>
      <c r="CD86" s="238">
        <v>0</v>
      </c>
      <c r="CE86" s="238">
        <v>7624100</v>
      </c>
      <c r="CG86" t="s">
        <v>8841</v>
      </c>
      <c r="CH86" s="238" t="s">
        <v>39</v>
      </c>
      <c r="CI86" s="238" t="s">
        <v>39</v>
      </c>
      <c r="CJ86" t="s">
        <v>8950</v>
      </c>
      <c r="CK86" t="s">
        <v>1167</v>
      </c>
      <c r="CL86" t="s">
        <v>8961</v>
      </c>
      <c r="CM86" t="s">
        <v>8971</v>
      </c>
      <c r="CN86" s="238" t="b">
        <v>1</v>
      </c>
      <c r="CO86" t="s">
        <v>5374</v>
      </c>
      <c r="CQ86" t="s">
        <v>6652</v>
      </c>
      <c r="CR86" t="s">
        <v>3124</v>
      </c>
      <c r="CS86" t="s">
        <v>36</v>
      </c>
      <c r="CT86" t="b">
        <v>1</v>
      </c>
      <c r="CU86">
        <v>8160800</v>
      </c>
      <c r="CV86" t="s">
        <v>9002</v>
      </c>
      <c r="CW86">
        <v>8160800</v>
      </c>
      <c r="CX86">
        <v>8160800</v>
      </c>
      <c r="CY86">
        <v>0</v>
      </c>
      <c r="CZ86" t="b">
        <v>1</v>
      </c>
      <c r="DA86">
        <v>45870</v>
      </c>
      <c r="DB86" t="s">
        <v>4177</v>
      </c>
      <c r="DC86">
        <v>-5.839416058393998E-3</v>
      </c>
      <c r="DD86">
        <v>-653.74878077535504</v>
      </c>
      <c r="DE86" s="420" cm="1">
        <f t="array" ref="DE86">_xlfn.XLOOKUP("Дом 5"&amp;Реестр_Д5[[#This Row],[№]]&amp;Реестр_Д5[[#This Row],[Статус]],РД[Дом]&amp;РД[№ кв]&amp;РД[Состояние],РД[Дата подачи на регистрацию],"-",0)</f>
        <v>45870</v>
      </c>
    </row>
    <row r="87" spans="1:109" hidden="1" x14ac:dyDescent="0.25">
      <c r="A87" s="238">
        <v>86</v>
      </c>
      <c r="B87" s="238" t="s">
        <v>6</v>
      </c>
      <c r="C87" s="238">
        <v>13</v>
      </c>
      <c r="D87" s="238">
        <v>3</v>
      </c>
      <c r="E87" s="238">
        <v>1</v>
      </c>
      <c r="F87" s="238">
        <v>13.6</v>
      </c>
      <c r="G87" s="238"/>
      <c r="H87" s="238"/>
      <c r="I87">
        <v>13.6</v>
      </c>
      <c r="J87" s="238">
        <v>14.97</v>
      </c>
      <c r="K87" s="238">
        <v>4.1100000000000003</v>
      </c>
      <c r="L87" s="238"/>
      <c r="M87" s="238"/>
      <c r="N87" s="238">
        <v>3.7</v>
      </c>
      <c r="O87" s="238">
        <v>2.69</v>
      </c>
      <c r="P87" s="238"/>
      <c r="R87" s="238">
        <v>2.69</v>
      </c>
      <c r="S87">
        <v>39.07</v>
      </c>
      <c r="T87">
        <v>36.380000000000003</v>
      </c>
      <c r="U87" s="238">
        <v>37.729999999999997</v>
      </c>
      <c r="V87">
        <v>37.35</v>
      </c>
      <c r="W87" s="238">
        <v>87601.5</v>
      </c>
      <c r="X87">
        <v>4380.0749999999998</v>
      </c>
      <c r="Y87">
        <v>91981.574999999997</v>
      </c>
      <c r="Z87">
        <v>2759.4472499999997</v>
      </c>
      <c r="AA87">
        <v>94741.022249999995</v>
      </c>
      <c r="AB87">
        <v>6631.8715575000006</v>
      </c>
      <c r="AC87">
        <v>101372.8938075</v>
      </c>
      <c r="AE87">
        <v>101372.8938075</v>
      </c>
      <c r="AG87">
        <v>101372.8938075</v>
      </c>
      <c r="AI87">
        <v>101372.8938075</v>
      </c>
      <c r="AK87">
        <v>101372.8938075</v>
      </c>
      <c r="AM87">
        <v>101372.8938075</v>
      </c>
      <c r="AO87">
        <v>101372.8938075</v>
      </c>
      <c r="AQ87">
        <v>101372.8938075</v>
      </c>
      <c r="AS87">
        <v>101372.8938075</v>
      </c>
      <c r="AU87">
        <v>101372.8938075</v>
      </c>
      <c r="AW87">
        <v>101372.8938075</v>
      </c>
      <c r="AY87">
        <v>101372.8938075</v>
      </c>
      <c r="BA87">
        <v>101372.8938075</v>
      </c>
      <c r="BC87">
        <v>101372.8938075</v>
      </c>
      <c r="BE87">
        <v>101372.8938075</v>
      </c>
      <c r="BG87">
        <v>101372.8938075</v>
      </c>
      <c r="BI87">
        <v>101372.8938075</v>
      </c>
      <c r="BK87">
        <v>101372.8938075</v>
      </c>
      <c r="BM87">
        <v>101372.8938075</v>
      </c>
      <c r="BO87">
        <v>101372.8938075</v>
      </c>
      <c r="BQ87">
        <v>101372.8938075</v>
      </c>
      <c r="BS87">
        <v>101372.8938075</v>
      </c>
      <c r="BT87" s="238">
        <v>101372.89</v>
      </c>
      <c r="BU87" s="238">
        <v>3824799.14</v>
      </c>
      <c r="BX87" s="238">
        <v>0</v>
      </c>
      <c r="BY87" s="238">
        <v>101372.89000795124</v>
      </c>
      <c r="BZ87" s="238">
        <v>3824799.14</v>
      </c>
      <c r="CA87" s="238" t="s">
        <v>36</v>
      </c>
      <c r="CC87">
        <v>101372.89000795124</v>
      </c>
      <c r="CD87" s="238">
        <v>0</v>
      </c>
      <c r="CE87" s="238">
        <v>3824799.14</v>
      </c>
      <c r="CH87" s="238" t="s">
        <v>39</v>
      </c>
      <c r="CI87" s="238" t="s">
        <v>39</v>
      </c>
      <c r="CJ87" t="s">
        <v>8950</v>
      </c>
      <c r="CK87" t="s">
        <v>1167</v>
      </c>
      <c r="CL87" t="s">
        <v>8961</v>
      </c>
      <c r="CM87" t="s">
        <v>8972</v>
      </c>
      <c r="CN87" s="238" t="b">
        <v>1</v>
      </c>
      <c r="CO87" t="s">
        <v>5375</v>
      </c>
      <c r="CQ87" t="s">
        <v>4895</v>
      </c>
      <c r="CR87" t="s">
        <v>3246</v>
      </c>
      <c r="CS87" t="s">
        <v>36</v>
      </c>
      <c r="CT87" t="b">
        <v>1</v>
      </c>
      <c r="CU87">
        <v>3824799.14</v>
      </c>
      <c r="CV87" t="s">
        <v>9002</v>
      </c>
      <c r="CW87">
        <v>0</v>
      </c>
      <c r="CX87">
        <v>3824799</v>
      </c>
      <c r="CY87">
        <v>0</v>
      </c>
      <c r="CZ87" t="b">
        <v>1</v>
      </c>
      <c r="DA87">
        <v>45243</v>
      </c>
      <c r="DB87" t="s">
        <v>5215</v>
      </c>
      <c r="DC87">
        <v>-1.0071561091969159E-2</v>
      </c>
      <c r="DD87">
        <v>-1020.983254784551</v>
      </c>
      <c r="DE87" s="420" cm="1">
        <f t="array" ref="DE87">_xlfn.XLOOKUP("Дом 5"&amp;Реестр_Д5[[#This Row],[№]]&amp;Реестр_Д5[[#This Row],[Статус]],РД[Дом]&amp;РД[№ кв]&amp;РД[Состояние],РД[Дата подачи на регистрацию],"-",0)</f>
        <v>45243</v>
      </c>
    </row>
    <row r="88" spans="1:109" hidden="1" x14ac:dyDescent="0.25">
      <c r="A88" s="238">
        <v>87</v>
      </c>
      <c r="B88" s="238" t="s">
        <v>6</v>
      </c>
      <c r="C88" s="238">
        <v>13</v>
      </c>
      <c r="D88" s="238">
        <v>4</v>
      </c>
      <c r="E88" s="238">
        <v>2</v>
      </c>
      <c r="F88" s="238">
        <v>16.61</v>
      </c>
      <c r="G88" s="238">
        <v>11.38</v>
      </c>
      <c r="H88" s="238"/>
      <c r="I88">
        <v>27.99</v>
      </c>
      <c r="J88" s="238">
        <v>14.58</v>
      </c>
      <c r="K88" s="238">
        <v>4.34</v>
      </c>
      <c r="L88" s="238">
        <v>2.08</v>
      </c>
      <c r="M88" s="238"/>
      <c r="N88" s="238">
        <v>8.82</v>
      </c>
      <c r="O88" s="238">
        <v>2.56</v>
      </c>
      <c r="P88" s="238"/>
      <c r="R88" s="238">
        <v>2.56</v>
      </c>
      <c r="S88">
        <v>60.37</v>
      </c>
      <c r="T88">
        <v>57.81</v>
      </c>
      <c r="U88" s="238">
        <v>59.09</v>
      </c>
      <c r="V88">
        <v>58.55</v>
      </c>
      <c r="W88" s="238">
        <v>80307.864000000001</v>
      </c>
      <c r="X88">
        <v>4015.3932</v>
      </c>
      <c r="Y88">
        <v>84323.257199999993</v>
      </c>
      <c r="Z88">
        <v>2529.6977160000001</v>
      </c>
      <c r="AA88">
        <v>86852.954916000002</v>
      </c>
      <c r="AC88">
        <v>86852.954916000002</v>
      </c>
      <c r="AE88">
        <v>86852.954916000002</v>
      </c>
      <c r="AG88">
        <v>86852.954916000002</v>
      </c>
      <c r="AI88">
        <v>86852.954916000002</v>
      </c>
      <c r="AJ88">
        <v>868.52954915999999</v>
      </c>
      <c r="AK88">
        <v>87721.48446516</v>
      </c>
      <c r="AL88">
        <v>4386.0742232580005</v>
      </c>
      <c r="AM88">
        <v>92107.558688417994</v>
      </c>
      <c r="AO88">
        <v>92107.558688417994</v>
      </c>
      <c r="AP88">
        <v>1842.15117376836</v>
      </c>
      <c r="AQ88">
        <v>93949.709862186355</v>
      </c>
      <c r="AS88">
        <v>93949.709862186355</v>
      </c>
      <c r="AT88">
        <v>1878.9941972437273</v>
      </c>
      <c r="AU88">
        <v>95828.704059430078</v>
      </c>
      <c r="AW88">
        <v>95828.704059430078</v>
      </c>
      <c r="AX88">
        <v>958.28704059430083</v>
      </c>
      <c r="AY88">
        <v>96786.991100024374</v>
      </c>
      <c r="BA88">
        <v>96786.991100024374</v>
      </c>
      <c r="BC88">
        <v>96786.991100024374</v>
      </c>
      <c r="BE88">
        <v>96786.991100024374</v>
      </c>
      <c r="BG88">
        <v>96786.991100024374</v>
      </c>
      <c r="BI88">
        <v>96786.991100024374</v>
      </c>
      <c r="BK88">
        <v>96786.991100024374</v>
      </c>
      <c r="BM88">
        <v>96786.991100024374</v>
      </c>
      <c r="BO88">
        <v>96786.991100024374</v>
      </c>
      <c r="BQ88">
        <v>96786.991100024374</v>
      </c>
      <c r="BS88">
        <v>96786.991100024374</v>
      </c>
      <c r="BT88" s="238">
        <v>96786.99</v>
      </c>
      <c r="BU88" s="238">
        <v>5719200</v>
      </c>
      <c r="BX88" s="238">
        <v>0</v>
      </c>
      <c r="BY88" s="238">
        <v>96787.950583855127</v>
      </c>
      <c r="BZ88" s="238">
        <v>5719200</v>
      </c>
      <c r="CA88" s="238" t="s">
        <v>6871</v>
      </c>
      <c r="CB88">
        <v>7000</v>
      </c>
      <c r="CC88">
        <v>103787.95058385513</v>
      </c>
      <c r="CD88" s="238">
        <v>413630</v>
      </c>
      <c r="CE88" s="238">
        <v>6132830</v>
      </c>
      <c r="CH88" s="238" t="s">
        <v>39</v>
      </c>
      <c r="CI88" s="238" t="s">
        <v>39</v>
      </c>
      <c r="CJ88" t="s">
        <v>8950</v>
      </c>
      <c r="CK88" t="s">
        <v>1167</v>
      </c>
      <c r="CL88" t="s">
        <v>8961</v>
      </c>
      <c r="CM88" t="s">
        <v>8971</v>
      </c>
      <c r="CN88" s="238" t="b">
        <v>1</v>
      </c>
      <c r="CO88" t="s">
        <v>5376</v>
      </c>
      <c r="CQ88" t="s">
        <v>6652</v>
      </c>
      <c r="CR88" t="s">
        <v>3246</v>
      </c>
      <c r="CS88" t="s">
        <v>6871</v>
      </c>
      <c r="CT88" t="b">
        <v>1</v>
      </c>
      <c r="CU88">
        <v>5719200</v>
      </c>
      <c r="CV88" t="s">
        <v>9002</v>
      </c>
      <c r="CW88">
        <v>0</v>
      </c>
      <c r="CX88">
        <v>5719200</v>
      </c>
      <c r="CY88">
        <v>0</v>
      </c>
      <c r="CZ88" t="b">
        <v>1</v>
      </c>
      <c r="DA88">
        <v>45464</v>
      </c>
      <c r="DB88" t="s">
        <v>5215</v>
      </c>
      <c r="DC88">
        <v>-9.1386021323406341E-3</v>
      </c>
      <c r="DD88">
        <v>-884.50657159049842</v>
      </c>
      <c r="DE88" s="420" cm="1">
        <f t="array" ref="DE88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89" spans="1:109" hidden="1" x14ac:dyDescent="0.25">
      <c r="A89" s="238">
        <v>88</v>
      </c>
      <c r="B89" s="238" t="s">
        <v>6</v>
      </c>
      <c r="C89" s="238">
        <v>13</v>
      </c>
      <c r="D89" s="238">
        <v>5</v>
      </c>
      <c r="E89" s="238">
        <v>2</v>
      </c>
      <c r="F89" s="238">
        <v>16.46</v>
      </c>
      <c r="G89" s="238">
        <v>12.47</v>
      </c>
      <c r="H89" s="238"/>
      <c r="I89">
        <v>28.93</v>
      </c>
      <c r="J89" s="238">
        <v>18</v>
      </c>
      <c r="K89" s="238">
        <v>4.3499999999999996</v>
      </c>
      <c r="L89" s="238">
        <v>1.55</v>
      </c>
      <c r="M89" s="238"/>
      <c r="N89" s="238">
        <v>8</v>
      </c>
      <c r="O89" s="238">
        <v>2.67</v>
      </c>
      <c r="P89" s="238"/>
      <c r="R89" s="238">
        <v>2.67</v>
      </c>
      <c r="S89">
        <v>63.5</v>
      </c>
      <c r="T89">
        <v>60.83</v>
      </c>
      <c r="U89" s="238">
        <v>62.17</v>
      </c>
      <c r="V89">
        <v>61.75</v>
      </c>
      <c r="W89" s="238">
        <v>80307.864000000001</v>
      </c>
      <c r="X89">
        <v>4015.3932</v>
      </c>
      <c r="Y89">
        <v>84323.257199999993</v>
      </c>
      <c r="Z89">
        <v>2529.6977160000001</v>
      </c>
      <c r="AA89">
        <v>86852.954916000002</v>
      </c>
      <c r="AC89">
        <v>86852.954916000002</v>
      </c>
      <c r="AE89">
        <v>86852.954916000002</v>
      </c>
      <c r="AG89">
        <v>86852.954916000002</v>
      </c>
      <c r="AI89">
        <v>86852.954916000002</v>
      </c>
      <c r="AJ89">
        <v>868.52954915999999</v>
      </c>
      <c r="AK89">
        <v>87721.48446516</v>
      </c>
      <c r="AL89">
        <v>4386.0742232580005</v>
      </c>
      <c r="AM89">
        <v>92107.558688417994</v>
      </c>
      <c r="AO89">
        <v>92107.558688417994</v>
      </c>
      <c r="AP89">
        <v>1842.15117376836</v>
      </c>
      <c r="AQ89">
        <v>93949.709862186355</v>
      </c>
      <c r="AS89">
        <v>93949.709862186355</v>
      </c>
      <c r="AT89">
        <v>1878.9941972437273</v>
      </c>
      <c r="AU89">
        <v>95828.704059430078</v>
      </c>
      <c r="AW89">
        <v>95828.704059430078</v>
      </c>
      <c r="AY89">
        <v>95828.704059430078</v>
      </c>
      <c r="BA89">
        <v>95828.704059430078</v>
      </c>
      <c r="BC89">
        <v>95828.704059430078</v>
      </c>
      <c r="BE89">
        <v>95828.704059430078</v>
      </c>
      <c r="BG89">
        <v>95828.704059430078</v>
      </c>
      <c r="BI89">
        <v>95828.704059430078</v>
      </c>
      <c r="BK89">
        <v>95828.704059430078</v>
      </c>
      <c r="BM89">
        <v>95828.704059430078</v>
      </c>
      <c r="BO89">
        <v>95828.704059430078</v>
      </c>
      <c r="BQ89">
        <v>95828.704059430078</v>
      </c>
      <c r="BS89">
        <v>95828.704059430078</v>
      </c>
      <c r="BT89" s="238">
        <v>95828.7</v>
      </c>
      <c r="BU89" s="238">
        <v>5957700</v>
      </c>
      <c r="BV89">
        <v>88888</v>
      </c>
      <c r="BX89" s="238">
        <v>88888</v>
      </c>
      <c r="BY89" s="238">
        <v>94399.420942576806</v>
      </c>
      <c r="BZ89" s="238">
        <v>5868812</v>
      </c>
      <c r="CA89" s="238" t="s">
        <v>36</v>
      </c>
      <c r="CC89">
        <v>94399.420942576806</v>
      </c>
      <c r="CD89" s="238">
        <v>0</v>
      </c>
      <c r="CE89" s="238">
        <v>5868812</v>
      </c>
      <c r="CG89" t="s">
        <v>4185</v>
      </c>
      <c r="CH89" s="238" t="s">
        <v>39</v>
      </c>
      <c r="CI89" s="238" t="s">
        <v>39</v>
      </c>
      <c r="CJ89" t="s">
        <v>8950</v>
      </c>
      <c r="CK89" t="s">
        <v>1167</v>
      </c>
      <c r="CL89" t="s">
        <v>8961</v>
      </c>
      <c r="CM89" t="s">
        <v>8971</v>
      </c>
      <c r="CN89" s="238" t="b">
        <v>1</v>
      </c>
      <c r="CO89" t="s">
        <v>5377</v>
      </c>
      <c r="CQ89" t="s">
        <v>6652</v>
      </c>
      <c r="CR89" t="s">
        <v>3246</v>
      </c>
      <c r="CS89" t="s">
        <v>36</v>
      </c>
      <c r="CT89" t="b">
        <v>1</v>
      </c>
      <c r="CU89">
        <v>5957700</v>
      </c>
      <c r="CV89" t="s">
        <v>9002</v>
      </c>
      <c r="CW89">
        <v>5957700</v>
      </c>
      <c r="CX89">
        <v>5957700</v>
      </c>
      <c r="CY89">
        <v>0</v>
      </c>
      <c r="CZ89" t="b">
        <v>1</v>
      </c>
      <c r="DA89">
        <v>45405</v>
      </c>
      <c r="DB89" t="s">
        <v>4177</v>
      </c>
      <c r="DC89">
        <v>-6.7556699372688378E-3</v>
      </c>
      <c r="DD89">
        <v>-637.73133015735243</v>
      </c>
      <c r="DE89" s="420" cm="1">
        <f t="array" ref="DE89">_xlfn.XLOOKUP("Дом 5"&amp;Реестр_Д5[[#This Row],[№]]&amp;Реестр_Д5[[#This Row],[Статус]],РД[Дом]&amp;РД[№ кв]&amp;РД[Состояние],РД[Дата подачи на регистрацию],"-",0)</f>
        <v>45405</v>
      </c>
    </row>
    <row r="90" spans="1:109" hidden="1" x14ac:dyDescent="0.25">
      <c r="A90" s="238">
        <v>89</v>
      </c>
      <c r="B90" s="238" t="s">
        <v>6</v>
      </c>
      <c r="C90" s="238">
        <v>13</v>
      </c>
      <c r="D90" s="238">
        <v>6</v>
      </c>
      <c r="E90" s="238">
        <v>2</v>
      </c>
      <c r="F90" s="238">
        <v>14.64</v>
      </c>
      <c r="G90" s="238">
        <v>10.74</v>
      </c>
      <c r="H90" s="238"/>
      <c r="I90">
        <v>25.380000000000003</v>
      </c>
      <c r="J90" s="238">
        <v>14.35</v>
      </c>
      <c r="K90" s="238">
        <v>4.16</v>
      </c>
      <c r="L90" s="238">
        <v>1.93</v>
      </c>
      <c r="M90" s="238"/>
      <c r="N90" s="238">
        <v>11.03</v>
      </c>
      <c r="O90" s="238">
        <v>2.6219999999999999</v>
      </c>
      <c r="P90" s="238"/>
      <c r="R90" s="238">
        <v>2.6219999999999999</v>
      </c>
      <c r="S90">
        <v>59.47</v>
      </c>
      <c r="T90">
        <v>56.85</v>
      </c>
      <c r="U90" s="238">
        <v>58.16</v>
      </c>
      <c r="V90">
        <v>58.099999999999994</v>
      </c>
      <c r="W90" s="238">
        <v>81466.150500000003</v>
      </c>
      <c r="X90">
        <v>4073.3075250000002</v>
      </c>
      <c r="Y90">
        <v>85539.458025</v>
      </c>
      <c r="Z90">
        <v>2566.1837407499997</v>
      </c>
      <c r="AA90">
        <v>88105.641765749999</v>
      </c>
      <c r="AC90">
        <v>88105.641765749999</v>
      </c>
      <c r="AE90">
        <v>88105.641765749999</v>
      </c>
      <c r="AG90">
        <v>88105.641765749999</v>
      </c>
      <c r="AI90">
        <v>88105.641765749999</v>
      </c>
      <c r="AJ90">
        <v>881.05641765749999</v>
      </c>
      <c r="AK90">
        <v>88986.698183407498</v>
      </c>
      <c r="AL90">
        <v>4449.3349091703749</v>
      </c>
      <c r="AM90">
        <v>93436.033092577869</v>
      </c>
      <c r="AO90">
        <v>93436.033092577869</v>
      </c>
      <c r="AP90">
        <v>1868.7206618515577</v>
      </c>
      <c r="AQ90">
        <v>95304.753754429446</v>
      </c>
      <c r="AS90">
        <v>95304.753754429446</v>
      </c>
      <c r="AT90">
        <v>1906.0950750885888</v>
      </c>
      <c r="AU90">
        <v>97210.848829518014</v>
      </c>
      <c r="AW90">
        <v>97210.848829518014</v>
      </c>
      <c r="AX90">
        <v>972.10848829518011</v>
      </c>
      <c r="AY90">
        <v>98182.957317813198</v>
      </c>
      <c r="BA90">
        <v>98182.957317813198</v>
      </c>
      <c r="BC90">
        <v>98182.957317813198</v>
      </c>
      <c r="BE90">
        <v>98182.957317813198</v>
      </c>
      <c r="BF90">
        <v>1472.7443597671979</v>
      </c>
      <c r="BG90">
        <v>99655.701677580393</v>
      </c>
      <c r="BH90">
        <v>500</v>
      </c>
      <c r="BI90">
        <v>100155.70167758039</v>
      </c>
      <c r="BJ90">
        <v>4006.2280671032158</v>
      </c>
      <c r="BK90">
        <v>104161.9297446836</v>
      </c>
      <c r="BL90">
        <v>6249.7157846810169</v>
      </c>
      <c r="BM90">
        <v>110411.64552936464</v>
      </c>
      <c r="BN90">
        <v>14353.513918817402</v>
      </c>
      <c r="BO90">
        <v>124765.15944818204</v>
      </c>
      <c r="BP90">
        <v>35</v>
      </c>
      <c r="BQ90">
        <v>124800.15944818204</v>
      </c>
      <c r="BS90">
        <v>124800.15944818204</v>
      </c>
      <c r="BT90" s="238">
        <v>124800.16</v>
      </c>
      <c r="BU90" s="238">
        <v>7258400</v>
      </c>
      <c r="BV90">
        <v>517752</v>
      </c>
      <c r="BX90" s="238">
        <v>517752</v>
      </c>
      <c r="BY90" s="238">
        <v>115898.34938101788</v>
      </c>
      <c r="BZ90" s="238">
        <v>6740648</v>
      </c>
      <c r="CA90" s="238" t="s">
        <v>6871</v>
      </c>
      <c r="CB90">
        <v>10000</v>
      </c>
      <c r="CC90">
        <v>125898.34938101788</v>
      </c>
      <c r="CD90" s="238">
        <v>581600</v>
      </c>
      <c r="CE90" s="238">
        <v>7322248</v>
      </c>
      <c r="CG90" t="s">
        <v>8930</v>
      </c>
      <c r="CH90" s="238" t="s">
        <v>39</v>
      </c>
      <c r="CI90" s="238" t="s">
        <v>39</v>
      </c>
      <c r="CJ90" t="s">
        <v>8950</v>
      </c>
      <c r="CK90" t="s">
        <v>1167</v>
      </c>
      <c r="CL90" t="s">
        <v>8961</v>
      </c>
      <c r="CM90" t="s">
        <v>8971</v>
      </c>
      <c r="CN90" s="238" t="b">
        <v>1</v>
      </c>
      <c r="CO90" t="s">
        <v>5378</v>
      </c>
      <c r="CQ90" t="s">
        <v>6652</v>
      </c>
      <c r="CR90" t="s">
        <v>3246</v>
      </c>
      <c r="CS90" t="s">
        <v>6871</v>
      </c>
      <c r="CT90" t="b">
        <v>1</v>
      </c>
      <c r="CU90">
        <v>7258400</v>
      </c>
      <c r="CV90" t="s">
        <v>9002</v>
      </c>
      <c r="CW90">
        <v>0</v>
      </c>
      <c r="CX90">
        <v>7258400</v>
      </c>
      <c r="CY90">
        <v>0</v>
      </c>
      <c r="CZ90" t="b">
        <v>1</v>
      </c>
      <c r="DA90">
        <v>45835</v>
      </c>
      <c r="DB90" t="s">
        <v>126</v>
      </c>
      <c r="DC90">
        <v>-1.0316368638240148E-3</v>
      </c>
      <c r="DD90">
        <v>-119.56500967781324</v>
      </c>
      <c r="DE90" s="420" cm="1">
        <f t="array" ref="DE90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91" spans="1:109" hidden="1" x14ac:dyDescent="0.25">
      <c r="A91" s="238">
        <v>90</v>
      </c>
      <c r="B91" s="238" t="s">
        <v>6</v>
      </c>
      <c r="C91" s="238">
        <v>13</v>
      </c>
      <c r="D91" s="238">
        <v>7</v>
      </c>
      <c r="E91" s="238">
        <v>1</v>
      </c>
      <c r="F91" s="238">
        <v>18.489999999999998</v>
      </c>
      <c r="G91" s="238"/>
      <c r="H91" s="238"/>
      <c r="I91">
        <v>18.489999999999998</v>
      </c>
      <c r="J91" s="238">
        <v>13.04</v>
      </c>
      <c r="K91" s="238">
        <v>3.9</v>
      </c>
      <c r="L91" s="238"/>
      <c r="M91" s="238"/>
      <c r="N91" s="238">
        <v>5.99</v>
      </c>
      <c r="O91" s="238">
        <v>2.65</v>
      </c>
      <c r="P91" s="238"/>
      <c r="R91" s="238">
        <v>2.65</v>
      </c>
      <c r="S91">
        <v>44.07</v>
      </c>
      <c r="T91">
        <v>41.42</v>
      </c>
      <c r="U91" s="238">
        <v>42.75</v>
      </c>
      <c r="V91">
        <v>42.599999999999994</v>
      </c>
      <c r="W91" s="238">
        <v>83951.4375</v>
      </c>
      <c r="X91">
        <v>4197.5718750000005</v>
      </c>
      <c r="Y91">
        <v>88149.009374999994</v>
      </c>
      <c r="Z91">
        <v>2644.4702812499995</v>
      </c>
      <c r="AA91">
        <v>90793.479656249998</v>
      </c>
      <c r="AB91">
        <v>3631.7391862499999</v>
      </c>
      <c r="AC91">
        <v>94425.218842499977</v>
      </c>
      <c r="AE91">
        <v>94425.218842499977</v>
      </c>
      <c r="AF91">
        <v>4721.2609421249999</v>
      </c>
      <c r="AG91">
        <v>99146.479784624986</v>
      </c>
      <c r="AI91">
        <v>99146.479784624986</v>
      </c>
      <c r="AJ91">
        <v>991.46479784624989</v>
      </c>
      <c r="AK91">
        <v>100137.94458247125</v>
      </c>
      <c r="AL91">
        <v>5006.8972291235623</v>
      </c>
      <c r="AM91">
        <v>105144.8418115948</v>
      </c>
      <c r="AO91">
        <v>105144.8418115948</v>
      </c>
      <c r="AP91">
        <v>3154.3452543478434</v>
      </c>
      <c r="AQ91">
        <v>108299.18706594263</v>
      </c>
      <c r="AS91">
        <v>108299.18706594263</v>
      </c>
      <c r="AU91">
        <v>108299.18706594263</v>
      </c>
      <c r="AW91">
        <v>108299.18706594263</v>
      </c>
      <c r="AY91">
        <v>108299.18706594263</v>
      </c>
      <c r="BA91">
        <v>108299.18706594263</v>
      </c>
      <c r="BB91">
        <v>541.49593532971323</v>
      </c>
      <c r="BC91">
        <v>108840.68300127237</v>
      </c>
      <c r="BE91">
        <v>108840.68300127237</v>
      </c>
      <c r="BF91">
        <v>1632.6102450190851</v>
      </c>
      <c r="BG91">
        <v>110473.29324629145</v>
      </c>
      <c r="BI91">
        <v>110473.29324629145</v>
      </c>
      <c r="BK91">
        <v>110473.29324629145</v>
      </c>
      <c r="BM91">
        <v>110473.29324629145</v>
      </c>
      <c r="BO91">
        <v>110473.29324629145</v>
      </c>
      <c r="BQ91">
        <v>110473.29324629145</v>
      </c>
      <c r="BS91">
        <v>110473.29324629145</v>
      </c>
      <c r="BT91" s="238">
        <v>110473.29</v>
      </c>
      <c r="BU91" s="238">
        <v>4722800</v>
      </c>
      <c r="BX91" s="238">
        <v>0</v>
      </c>
      <c r="BY91" s="238">
        <v>110474.85380116959</v>
      </c>
      <c r="BZ91" s="238">
        <v>4722800</v>
      </c>
      <c r="CA91" s="238" t="s">
        <v>6871</v>
      </c>
      <c r="CB91">
        <v>7000</v>
      </c>
      <c r="CC91">
        <v>117474.85380116959</v>
      </c>
      <c r="CD91" s="238">
        <v>299250</v>
      </c>
      <c r="CE91" s="238">
        <v>5022050</v>
      </c>
      <c r="CH91" s="238" t="s">
        <v>39</v>
      </c>
      <c r="CI91" s="238" t="s">
        <v>39</v>
      </c>
      <c r="CJ91" t="s">
        <v>8950</v>
      </c>
      <c r="CK91" t="s">
        <v>1167</v>
      </c>
      <c r="CL91" t="s">
        <v>8961</v>
      </c>
      <c r="CM91" t="s">
        <v>8973</v>
      </c>
      <c r="CN91" s="238" t="b">
        <v>1</v>
      </c>
      <c r="CO91" t="s">
        <v>5379</v>
      </c>
      <c r="CQ91" t="s">
        <v>6652</v>
      </c>
      <c r="CR91" t="s">
        <v>3246</v>
      </c>
      <c r="CS91" t="s">
        <v>6871</v>
      </c>
      <c r="CT91" t="b">
        <v>1</v>
      </c>
      <c r="CU91">
        <v>4722800</v>
      </c>
      <c r="CV91" t="s">
        <v>9002</v>
      </c>
      <c r="CW91">
        <v>0</v>
      </c>
      <c r="CX91">
        <v>4722800</v>
      </c>
      <c r="CY91">
        <v>0</v>
      </c>
      <c r="CZ91" t="b">
        <v>1</v>
      </c>
      <c r="DA91">
        <v>45588</v>
      </c>
      <c r="DB91" t="s">
        <v>5215</v>
      </c>
      <c r="DC91">
        <v>-3.5087719298246833E-3</v>
      </c>
      <c r="DD91">
        <v>-387.63106596902958</v>
      </c>
      <c r="DE91" s="420" cm="1">
        <f t="array" ref="DE91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92" spans="1:109" x14ac:dyDescent="0.25">
      <c r="A92" s="238">
        <v>91</v>
      </c>
      <c r="B92" s="238" t="s">
        <v>6</v>
      </c>
      <c r="C92" s="238">
        <v>14</v>
      </c>
      <c r="D92" s="238">
        <v>1</v>
      </c>
      <c r="E92" s="238">
        <v>1</v>
      </c>
      <c r="F92" s="238">
        <v>14.68</v>
      </c>
      <c r="G92" s="238"/>
      <c r="H92" s="238"/>
      <c r="I92">
        <v>14.68</v>
      </c>
      <c r="J92" s="238">
        <v>9.84</v>
      </c>
      <c r="K92" s="238">
        <v>3.63</v>
      </c>
      <c r="L92" s="238"/>
      <c r="M92" s="238"/>
      <c r="N92" s="238">
        <v>4.8899999999999997</v>
      </c>
      <c r="O92" s="238">
        <v>2.7</v>
      </c>
      <c r="P92" s="238"/>
      <c r="R92" s="238">
        <v>2.7</v>
      </c>
      <c r="S92">
        <v>35.74</v>
      </c>
      <c r="T92">
        <v>33.04</v>
      </c>
      <c r="U92" s="238">
        <v>34.39</v>
      </c>
      <c r="V92">
        <v>34.550000000000004</v>
      </c>
      <c r="W92" s="238">
        <v>82734.75</v>
      </c>
      <c r="X92">
        <v>4136.7375000000002</v>
      </c>
      <c r="Y92">
        <v>86871.487500000003</v>
      </c>
      <c r="Z92">
        <v>2606.1446249999999</v>
      </c>
      <c r="AA92">
        <v>89477.632125000004</v>
      </c>
      <c r="AB92">
        <v>12526.8684975</v>
      </c>
      <c r="AC92">
        <v>102004.5006225</v>
      </c>
      <c r="AE92">
        <v>102004.5006225</v>
      </c>
      <c r="AF92">
        <v>5100.2250311250009</v>
      </c>
      <c r="AG92">
        <v>107104.72565362501</v>
      </c>
      <c r="AI92">
        <v>107104.72565362501</v>
      </c>
      <c r="AJ92">
        <v>1071.0472565362502</v>
      </c>
      <c r="AK92">
        <v>108175.77291016123</v>
      </c>
      <c r="AL92">
        <v>5408.7886455080625</v>
      </c>
      <c r="AM92">
        <v>113584.56155566932</v>
      </c>
      <c r="AO92">
        <v>113584.56155566932</v>
      </c>
      <c r="AP92">
        <v>3407.5368466700793</v>
      </c>
      <c r="AQ92">
        <v>116992.09840233938</v>
      </c>
      <c r="AS92">
        <v>116992.09840233938</v>
      </c>
      <c r="AU92">
        <v>116992.09840233938</v>
      </c>
      <c r="AW92">
        <v>116992.09840233938</v>
      </c>
      <c r="AY92">
        <v>116992.09840233938</v>
      </c>
      <c r="AZ92">
        <v>2339.8419680467882</v>
      </c>
      <c r="BA92">
        <v>119331.94037038618</v>
      </c>
      <c r="BC92">
        <v>119331.94037038618</v>
      </c>
      <c r="BE92">
        <v>119331.94037038618</v>
      </c>
      <c r="BF92">
        <v>2983.2985092596546</v>
      </c>
      <c r="BG92">
        <v>122315.23887964584</v>
      </c>
      <c r="BI92">
        <v>122315.23887964584</v>
      </c>
      <c r="BJ92">
        <v>2446.3047775929167</v>
      </c>
      <c r="BK92">
        <v>124761.54365723874</v>
      </c>
      <c r="BL92">
        <v>6238.0771828619372</v>
      </c>
      <c r="BM92">
        <v>130999.62084010067</v>
      </c>
      <c r="BN92">
        <v>17029.950709213088</v>
      </c>
      <c r="BO92">
        <v>148029.57154931375</v>
      </c>
      <c r="BP92">
        <v>35</v>
      </c>
      <c r="BQ92">
        <v>148064.57154931375</v>
      </c>
      <c r="BS92">
        <v>148064.57154931375</v>
      </c>
      <c r="BT92" s="238">
        <v>148064.57</v>
      </c>
      <c r="BU92" s="238">
        <v>5115700</v>
      </c>
      <c r="BX92" s="238">
        <v>0</v>
      </c>
      <c r="BY92" s="238">
        <v>148066.57018813313</v>
      </c>
      <c r="BZ92" s="238">
        <v>5115700</v>
      </c>
      <c r="CA92" s="238" t="s">
        <v>36</v>
      </c>
      <c r="CC92">
        <v>148066.57018813313</v>
      </c>
      <c r="CD92" s="238">
        <v>0</v>
      </c>
      <c r="CE92" s="238">
        <v>5115700</v>
      </c>
      <c r="CF92" t="s">
        <v>4633</v>
      </c>
      <c r="CH92" s="238" t="s">
        <v>3</v>
      </c>
      <c r="CI92" s="238" t="s">
        <v>3</v>
      </c>
      <c r="CJ92" t="s">
        <v>8951</v>
      </c>
      <c r="CK92" t="s">
        <v>1167</v>
      </c>
      <c r="CL92" t="s">
        <v>8961</v>
      </c>
      <c r="CM92" t="s">
        <v>8973</v>
      </c>
      <c r="CN92" s="238" t="b">
        <v>1</v>
      </c>
      <c r="CO92" t="s">
        <v>5380</v>
      </c>
      <c r="CQ92" t="s">
        <v>6652</v>
      </c>
      <c r="CR92" t="s">
        <v>3124</v>
      </c>
      <c r="CS92" t="s">
        <v>6871</v>
      </c>
      <c r="CT92" t="b">
        <v>0</v>
      </c>
      <c r="CU92">
        <v>5115700</v>
      </c>
      <c r="CV92">
        <v>5115700</v>
      </c>
      <c r="CW92">
        <v>0</v>
      </c>
      <c r="CX92">
        <v>0</v>
      </c>
      <c r="CY92">
        <v>0</v>
      </c>
      <c r="CZ92" t="b">
        <v>1</v>
      </c>
      <c r="DA92" t="s">
        <v>4246</v>
      </c>
      <c r="DB92" t="s">
        <v>1167</v>
      </c>
      <c r="DC92">
        <v>4.6525152660659153E-3</v>
      </c>
      <c r="DD92">
        <v>688.8819781943098</v>
      </c>
      <c r="DE92" s="420" t="str" cm="1">
        <f t="array" ref="DE9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93" spans="1:109" hidden="1" x14ac:dyDescent="0.25">
      <c r="A93" s="238">
        <v>92</v>
      </c>
      <c r="B93" s="238" t="s">
        <v>6</v>
      </c>
      <c r="C93" s="238">
        <v>14</v>
      </c>
      <c r="D93" s="238">
        <v>2</v>
      </c>
      <c r="E93" s="238">
        <v>2</v>
      </c>
      <c r="F93" s="238">
        <v>15.82</v>
      </c>
      <c r="G93" s="238">
        <v>15.54</v>
      </c>
      <c r="H93" s="238"/>
      <c r="I93">
        <v>31.36</v>
      </c>
      <c r="J93" s="238">
        <v>19.440000000000001</v>
      </c>
      <c r="K93" s="238">
        <v>4.42</v>
      </c>
      <c r="L93" s="238"/>
      <c r="M93" s="238">
        <v>3.25</v>
      </c>
      <c r="N93" s="238">
        <v>8.5299999999999994</v>
      </c>
      <c r="O93" s="238">
        <v>3</v>
      </c>
      <c r="P93" s="238"/>
      <c r="R93" s="238">
        <v>3</v>
      </c>
      <c r="S93">
        <v>70</v>
      </c>
      <c r="T93">
        <v>67</v>
      </c>
      <c r="U93" s="238">
        <v>68.5</v>
      </c>
      <c r="V93">
        <v>68.5</v>
      </c>
      <c r="W93" s="238">
        <v>84168.819000000003</v>
      </c>
      <c r="X93">
        <v>4208.4409500000002</v>
      </c>
      <c r="Y93">
        <v>88377.259950000007</v>
      </c>
      <c r="Z93">
        <v>2651.3177985000002</v>
      </c>
      <c r="AA93">
        <v>91028.577748500014</v>
      </c>
      <c r="AC93">
        <v>91028.577748500014</v>
      </c>
      <c r="AE93">
        <v>91028.577748500014</v>
      </c>
      <c r="AG93">
        <v>91028.577748500014</v>
      </c>
      <c r="AH93">
        <v>-831</v>
      </c>
      <c r="AI93">
        <v>90197.577748500014</v>
      </c>
      <c r="AJ93">
        <v>901.97577748500021</v>
      </c>
      <c r="AK93">
        <v>91099.553525985015</v>
      </c>
      <c r="AL93">
        <v>4554.9776762992506</v>
      </c>
      <c r="AM93">
        <v>95654.531202284285</v>
      </c>
      <c r="AO93">
        <v>95654.531202284285</v>
      </c>
      <c r="AP93">
        <v>1913.0906240456857</v>
      </c>
      <c r="AQ93">
        <v>97567.621826329952</v>
      </c>
      <c r="AS93">
        <v>97567.621826329952</v>
      </c>
      <c r="AT93">
        <v>1951.3524365265991</v>
      </c>
      <c r="AU93">
        <v>99518.974262856558</v>
      </c>
      <c r="AW93">
        <v>99518.974262856558</v>
      </c>
      <c r="AY93">
        <v>99518.974262856558</v>
      </c>
      <c r="BA93">
        <v>99518.974262856558</v>
      </c>
      <c r="BC93">
        <v>99518.974262856558</v>
      </c>
      <c r="BE93">
        <v>99518.974262856558</v>
      </c>
      <c r="BG93">
        <v>99518.974262856558</v>
      </c>
      <c r="BI93">
        <v>99518.974262856558</v>
      </c>
      <c r="BK93">
        <v>99518.974262856558</v>
      </c>
      <c r="BM93">
        <v>99518.974262856558</v>
      </c>
      <c r="BO93">
        <v>99518.974262856558</v>
      </c>
      <c r="BQ93">
        <v>99518.974262856558</v>
      </c>
      <c r="BS93">
        <v>99518.974262856558</v>
      </c>
      <c r="BT93" s="238">
        <v>99518.97</v>
      </c>
      <c r="BU93" s="238">
        <v>6817100</v>
      </c>
      <c r="BX93" s="238">
        <v>0</v>
      </c>
      <c r="BY93" s="238">
        <v>99519.708029197078</v>
      </c>
      <c r="BZ93" s="238">
        <v>6817100</v>
      </c>
      <c r="CA93" s="238" t="s">
        <v>6871</v>
      </c>
      <c r="CB93">
        <v>7000</v>
      </c>
      <c r="CC93">
        <v>106519.70802919708</v>
      </c>
      <c r="CD93" s="238">
        <v>479500</v>
      </c>
      <c r="CE93" s="238">
        <v>7296600</v>
      </c>
      <c r="CH93" s="238" t="s">
        <v>39</v>
      </c>
      <c r="CI93" s="238" t="s">
        <v>39</v>
      </c>
      <c r="CJ93" t="s">
        <v>8950</v>
      </c>
      <c r="CK93" t="s">
        <v>1167</v>
      </c>
      <c r="CL93" t="s">
        <v>8961</v>
      </c>
      <c r="CM93" t="s">
        <v>8971</v>
      </c>
      <c r="CN93" s="238" t="b">
        <v>1</v>
      </c>
      <c r="CO93" t="s">
        <v>5381</v>
      </c>
      <c r="CQ93" t="s">
        <v>6652</v>
      </c>
      <c r="CR93" t="s">
        <v>3246</v>
      </c>
      <c r="CS93" t="s">
        <v>6871</v>
      </c>
      <c r="CT93" t="b">
        <v>1</v>
      </c>
      <c r="CU93">
        <v>6817100</v>
      </c>
      <c r="CV93" t="s">
        <v>9002</v>
      </c>
      <c r="CW93">
        <v>0</v>
      </c>
      <c r="CX93">
        <v>6817100</v>
      </c>
      <c r="CY93">
        <v>0</v>
      </c>
      <c r="CZ93" t="b">
        <v>1</v>
      </c>
      <c r="DA93">
        <v>45453</v>
      </c>
      <c r="DB93" t="s">
        <v>5215</v>
      </c>
      <c r="DC93">
        <v>0</v>
      </c>
      <c r="DD93">
        <v>0</v>
      </c>
      <c r="DE93" s="420" cm="1">
        <f t="array" ref="DE93">_xlfn.XLOOKUP("Дом 5"&amp;Реестр_Д5[[#This Row],[№]]&amp;Реестр_Д5[[#This Row],[Статус]],РД[Дом]&amp;РД[№ кв]&amp;РД[Состояние],РД[Дата подачи на регистрацию],"-",0)</f>
        <v>45453</v>
      </c>
    </row>
    <row r="94" spans="1:109" hidden="1" x14ac:dyDescent="0.25">
      <c r="A94" s="238">
        <v>93</v>
      </c>
      <c r="B94" s="238" t="s">
        <v>6</v>
      </c>
      <c r="C94" s="238">
        <v>14</v>
      </c>
      <c r="D94" s="238">
        <v>3</v>
      </c>
      <c r="E94" s="238">
        <v>1</v>
      </c>
      <c r="F94" s="238">
        <v>13.6</v>
      </c>
      <c r="G94" s="238"/>
      <c r="H94" s="238"/>
      <c r="I94">
        <v>13.6</v>
      </c>
      <c r="J94" s="238">
        <v>14.97</v>
      </c>
      <c r="K94" s="238">
        <v>4.1100000000000003</v>
      </c>
      <c r="L94" s="238"/>
      <c r="M94" s="238"/>
      <c r="N94" s="238">
        <v>3.7</v>
      </c>
      <c r="O94" s="238">
        <v>2.69</v>
      </c>
      <c r="P94" s="238"/>
      <c r="R94" s="238">
        <v>2.69</v>
      </c>
      <c r="S94">
        <v>39.07</v>
      </c>
      <c r="T94">
        <v>36.380000000000003</v>
      </c>
      <c r="U94" s="238">
        <v>37.729999999999997</v>
      </c>
      <c r="V94">
        <v>37.450000000000003</v>
      </c>
      <c r="W94" s="238">
        <v>87601.5</v>
      </c>
      <c r="Y94">
        <v>87601.5</v>
      </c>
      <c r="AA94">
        <v>87601.5</v>
      </c>
      <c r="AC94">
        <v>87601.5</v>
      </c>
      <c r="AE94">
        <v>87601.5</v>
      </c>
      <c r="AG94">
        <v>87601.5</v>
      </c>
      <c r="AI94">
        <v>87601.5</v>
      </c>
      <c r="AK94">
        <v>87601.5</v>
      </c>
      <c r="AM94">
        <v>87601.5</v>
      </c>
      <c r="AO94">
        <v>87601.5</v>
      </c>
      <c r="AQ94">
        <v>87601.5</v>
      </c>
      <c r="AS94">
        <v>87601.5</v>
      </c>
      <c r="AU94">
        <v>87601.5</v>
      </c>
      <c r="AW94">
        <v>87601.5</v>
      </c>
      <c r="AY94">
        <v>87601.5</v>
      </c>
      <c r="BA94">
        <v>87601.5</v>
      </c>
      <c r="BC94">
        <v>87601.5</v>
      </c>
      <c r="BE94">
        <v>87601.5</v>
      </c>
      <c r="BG94">
        <v>87601.5</v>
      </c>
      <c r="BI94">
        <v>87601.5</v>
      </c>
      <c r="BK94">
        <v>87601.5</v>
      </c>
      <c r="BM94">
        <v>87601.5</v>
      </c>
      <c r="BO94">
        <v>87601.5</v>
      </c>
      <c r="BQ94">
        <v>87601.5</v>
      </c>
      <c r="BS94">
        <v>87601.5</v>
      </c>
      <c r="BT94" s="238">
        <v>87601.5</v>
      </c>
      <c r="BU94" s="238">
        <v>3305204.6</v>
      </c>
      <c r="BX94" s="238">
        <v>0</v>
      </c>
      <c r="BY94" s="238">
        <v>87601.500132520538</v>
      </c>
      <c r="BZ94" s="238">
        <v>3305204.6</v>
      </c>
      <c r="CA94" s="238" t="s">
        <v>36</v>
      </c>
      <c r="CC94">
        <v>87601.500132520538</v>
      </c>
      <c r="CD94" s="238">
        <v>0</v>
      </c>
      <c r="CE94" s="238">
        <v>3305204.6</v>
      </c>
      <c r="CH94" s="238" t="s">
        <v>39</v>
      </c>
      <c r="CI94" s="238" t="s">
        <v>39</v>
      </c>
      <c r="CJ94" t="s">
        <v>8950</v>
      </c>
      <c r="CK94" t="s">
        <v>1167</v>
      </c>
      <c r="CL94" t="s">
        <v>8961</v>
      </c>
      <c r="CM94" t="s">
        <v>8972</v>
      </c>
      <c r="CN94" s="238" t="b">
        <v>1</v>
      </c>
      <c r="CO94" t="s">
        <v>5382</v>
      </c>
      <c r="CQ94" t="s">
        <v>4895</v>
      </c>
      <c r="CR94" t="s">
        <v>3246</v>
      </c>
      <c r="CS94" t="s">
        <v>36</v>
      </c>
      <c r="CT94" t="b">
        <v>1</v>
      </c>
      <c r="CU94">
        <v>3305204.6</v>
      </c>
      <c r="CV94" t="s">
        <v>9002</v>
      </c>
      <c r="CW94">
        <v>3305205</v>
      </c>
      <c r="CX94">
        <v>3305205</v>
      </c>
      <c r="CY94">
        <v>0</v>
      </c>
      <c r="CZ94" t="b">
        <v>1</v>
      </c>
      <c r="DA94">
        <v>45184</v>
      </c>
      <c r="DB94" t="s">
        <v>126</v>
      </c>
      <c r="DC94">
        <v>-7.4211502782929309E-3</v>
      </c>
      <c r="DD94">
        <v>-650.10389708733317</v>
      </c>
      <c r="DE94" s="420" cm="1">
        <f t="array" ref="DE94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95" spans="1:109" hidden="1" x14ac:dyDescent="0.25">
      <c r="A95" s="238">
        <v>94</v>
      </c>
      <c r="B95" s="238" t="s">
        <v>6</v>
      </c>
      <c r="C95" s="238">
        <v>14</v>
      </c>
      <c r="D95" s="238">
        <v>4</v>
      </c>
      <c r="E95" s="238">
        <v>2</v>
      </c>
      <c r="F95" s="238">
        <v>16.61</v>
      </c>
      <c r="G95" s="238">
        <v>11.38</v>
      </c>
      <c r="H95" s="238"/>
      <c r="I95">
        <v>27.99</v>
      </c>
      <c r="J95" s="238">
        <v>14.58</v>
      </c>
      <c r="K95" s="238">
        <v>4.34</v>
      </c>
      <c r="L95" s="238">
        <v>2.08</v>
      </c>
      <c r="M95" s="238"/>
      <c r="N95" s="238">
        <v>8.82</v>
      </c>
      <c r="O95" s="238">
        <v>2.56</v>
      </c>
      <c r="P95" s="238"/>
      <c r="R95" s="238">
        <v>2.56</v>
      </c>
      <c r="S95">
        <v>60.37</v>
      </c>
      <c r="T95">
        <v>57.81</v>
      </c>
      <c r="U95" s="238">
        <v>59.09</v>
      </c>
      <c r="V95">
        <v>59.2</v>
      </c>
      <c r="W95" s="238">
        <v>80307.864000000001</v>
      </c>
      <c r="X95">
        <v>4015.3932</v>
      </c>
      <c r="Y95">
        <v>84323.257199999993</v>
      </c>
      <c r="Z95">
        <v>2529.6977160000001</v>
      </c>
      <c r="AA95">
        <v>86852.954916000002</v>
      </c>
      <c r="AC95">
        <v>86852.954916000002</v>
      </c>
      <c r="AE95">
        <v>86852.954916000002</v>
      </c>
      <c r="AG95">
        <v>86852.954916000002</v>
      </c>
      <c r="AI95">
        <v>86852.954916000002</v>
      </c>
      <c r="AJ95">
        <v>868.52954915999999</v>
      </c>
      <c r="AK95">
        <v>87721.48446516</v>
      </c>
      <c r="AL95">
        <v>4386.0742232580005</v>
      </c>
      <c r="AM95">
        <v>92107.558688417994</v>
      </c>
      <c r="AO95">
        <v>92107.558688417994</v>
      </c>
      <c r="AP95">
        <v>1842.15117376836</v>
      </c>
      <c r="AQ95">
        <v>93949.709862186355</v>
      </c>
      <c r="AS95">
        <v>93949.709862186355</v>
      </c>
      <c r="AT95">
        <v>1878.9941972437273</v>
      </c>
      <c r="AU95">
        <v>95828.704059430078</v>
      </c>
      <c r="AW95">
        <v>95828.704059430078</v>
      </c>
      <c r="AX95">
        <v>958.28704059430083</v>
      </c>
      <c r="AY95">
        <v>96786.991100024374</v>
      </c>
      <c r="BA95">
        <v>96786.991100024374</v>
      </c>
      <c r="BC95">
        <v>96786.991100024374</v>
      </c>
      <c r="BE95">
        <v>96786.991100024374</v>
      </c>
      <c r="BF95">
        <v>1451.8048665003655</v>
      </c>
      <c r="BG95">
        <v>98238.795966524733</v>
      </c>
      <c r="BI95">
        <v>98238.795966524733</v>
      </c>
      <c r="BJ95">
        <v>3929.5518386609888</v>
      </c>
      <c r="BK95">
        <v>102168.34780518572</v>
      </c>
      <c r="BL95">
        <v>6130.1008683111431</v>
      </c>
      <c r="BM95">
        <v>108298.44867349688</v>
      </c>
      <c r="BN95">
        <v>14078.798327554594</v>
      </c>
      <c r="BO95">
        <v>122377.24700105148</v>
      </c>
      <c r="BP95">
        <v>35</v>
      </c>
      <c r="BQ95">
        <v>122412.24700105148</v>
      </c>
      <c r="BS95">
        <v>122412.24700105148</v>
      </c>
      <c r="BT95" s="238">
        <v>122412.25</v>
      </c>
      <c r="BU95" s="238">
        <v>7233400</v>
      </c>
      <c r="BV95">
        <v>438050</v>
      </c>
      <c r="BX95" s="238">
        <v>438050</v>
      </c>
      <c r="BY95" s="238">
        <v>115000</v>
      </c>
      <c r="BZ95" s="238">
        <v>6795350</v>
      </c>
      <c r="CA95" s="238" t="s">
        <v>38</v>
      </c>
      <c r="CB95">
        <v>25000</v>
      </c>
      <c r="CC95">
        <v>140000</v>
      </c>
      <c r="CD95" s="238">
        <v>1477250.0000000007</v>
      </c>
      <c r="CE95" s="238">
        <v>8272600.0000000019</v>
      </c>
      <c r="CG95" t="s">
        <v>8841</v>
      </c>
      <c r="CH95" s="238" t="s">
        <v>39</v>
      </c>
      <c r="CI95" s="238" t="s">
        <v>39</v>
      </c>
      <c r="CJ95" t="s">
        <v>8950</v>
      </c>
      <c r="CK95" t="s">
        <v>1167</v>
      </c>
      <c r="CL95" t="s">
        <v>8961</v>
      </c>
      <c r="CM95" t="s">
        <v>8971</v>
      </c>
      <c r="CN95" s="238" t="b">
        <v>1</v>
      </c>
      <c r="CO95" t="s">
        <v>5383</v>
      </c>
      <c r="CQ95" t="s">
        <v>6652</v>
      </c>
      <c r="CR95" t="s">
        <v>3246</v>
      </c>
      <c r="CS95" t="s">
        <v>38</v>
      </c>
      <c r="CT95" t="b">
        <v>1</v>
      </c>
      <c r="CU95">
        <v>7233400</v>
      </c>
      <c r="CV95" t="s">
        <v>9002</v>
      </c>
      <c r="CW95">
        <v>0</v>
      </c>
      <c r="CX95">
        <v>7233400</v>
      </c>
      <c r="CY95">
        <v>0</v>
      </c>
      <c r="CZ95" t="b">
        <v>1</v>
      </c>
      <c r="DA95">
        <v>45836</v>
      </c>
      <c r="DB95" t="s">
        <v>8512</v>
      </c>
      <c r="DC95">
        <v>1.8615671010322463E-3</v>
      </c>
      <c r="DD95">
        <v>214.08021661870836</v>
      </c>
      <c r="DE95" s="420" cm="1">
        <f t="array" ref="DE95">_xlfn.XLOOKUP("Дом 5"&amp;Реестр_Д5[[#This Row],[№]]&amp;Реестр_Д5[[#This Row],[Статус]],РД[Дом]&amp;РД[№ кв]&amp;РД[Состояние],РД[Дата подачи на регистрацию],"-",0)</f>
        <v>45836</v>
      </c>
    </row>
    <row r="96" spans="1:109" hidden="1" x14ac:dyDescent="0.25">
      <c r="A96" s="238">
        <v>95</v>
      </c>
      <c r="B96" s="238" t="s">
        <v>6</v>
      </c>
      <c r="C96" s="238">
        <v>14</v>
      </c>
      <c r="D96" s="238">
        <v>5</v>
      </c>
      <c r="E96" s="238">
        <v>2</v>
      </c>
      <c r="F96" s="238">
        <v>16.46</v>
      </c>
      <c r="G96" s="238">
        <v>12.47</v>
      </c>
      <c r="H96" s="238"/>
      <c r="I96">
        <v>28.93</v>
      </c>
      <c r="J96" s="238">
        <v>18</v>
      </c>
      <c r="K96" s="238">
        <v>4.3499999999999996</v>
      </c>
      <c r="L96" s="238">
        <v>1.55</v>
      </c>
      <c r="M96" s="238"/>
      <c r="N96" s="238">
        <v>8</v>
      </c>
      <c r="O96" s="238">
        <v>2.67</v>
      </c>
      <c r="P96" s="238"/>
      <c r="R96" s="238">
        <v>2.67</v>
      </c>
      <c r="S96">
        <v>63.5</v>
      </c>
      <c r="T96">
        <v>60.83</v>
      </c>
      <c r="U96" s="238">
        <v>62.17</v>
      </c>
      <c r="V96">
        <v>61.999999999999993</v>
      </c>
      <c r="W96" s="238">
        <v>80307.864000000001</v>
      </c>
      <c r="X96">
        <v>4015.3932</v>
      </c>
      <c r="Y96">
        <v>84323.257199999993</v>
      </c>
      <c r="Z96">
        <v>2529.6977160000001</v>
      </c>
      <c r="AA96">
        <v>86852.954916000002</v>
      </c>
      <c r="AC96">
        <v>86852.954916000002</v>
      </c>
      <c r="AE96">
        <v>86852.954916000002</v>
      </c>
      <c r="AG96">
        <v>86852.954916000002</v>
      </c>
      <c r="AI96">
        <v>86852.954916000002</v>
      </c>
      <c r="AK96">
        <v>86852.954916000002</v>
      </c>
      <c r="AM96">
        <v>86852.954916000002</v>
      </c>
      <c r="AO96">
        <v>86852.954916000002</v>
      </c>
      <c r="AQ96">
        <v>86852.954916000002</v>
      </c>
      <c r="AS96">
        <v>86852.954916000002</v>
      </c>
      <c r="AU96">
        <v>86852.954916000002</v>
      </c>
      <c r="AW96">
        <v>86852.954916000002</v>
      </c>
      <c r="AY96">
        <v>86852.954916000002</v>
      </c>
      <c r="BA96">
        <v>86852.954916000002</v>
      </c>
      <c r="BC96">
        <v>86852.954916000002</v>
      </c>
      <c r="BE96">
        <v>86852.954916000002</v>
      </c>
      <c r="BG96">
        <v>86852.954916000002</v>
      </c>
      <c r="BI96">
        <v>86852.954916000002</v>
      </c>
      <c r="BK96">
        <v>86852.954916000002</v>
      </c>
      <c r="BM96">
        <v>86852.954916000002</v>
      </c>
      <c r="BO96">
        <v>86852.954916000002</v>
      </c>
      <c r="BQ96">
        <v>86852.954916000002</v>
      </c>
      <c r="BS96">
        <v>86852.954916000002</v>
      </c>
      <c r="BT96" s="238">
        <v>86852.95</v>
      </c>
      <c r="BU96" s="238">
        <v>5399647.9000000004</v>
      </c>
      <c r="BW96">
        <v>0.02</v>
      </c>
      <c r="BX96" s="238">
        <v>107992.958</v>
      </c>
      <c r="BY96" s="238">
        <v>85115.890944185303</v>
      </c>
      <c r="BZ96" s="238">
        <v>5291654.9400000004</v>
      </c>
      <c r="CA96" s="238" t="s">
        <v>37</v>
      </c>
      <c r="CB96">
        <v>7500</v>
      </c>
      <c r="CC96">
        <v>92615.890944185303</v>
      </c>
      <c r="CD96" s="238">
        <v>466275</v>
      </c>
      <c r="CE96" s="238">
        <v>5757929.9400000004</v>
      </c>
      <c r="CG96" t="s">
        <v>3540</v>
      </c>
      <c r="CH96" s="238" t="s">
        <v>39</v>
      </c>
      <c r="CI96" s="238" t="s">
        <v>39</v>
      </c>
      <c r="CJ96" t="s">
        <v>8950</v>
      </c>
      <c r="CK96" t="s">
        <v>1167</v>
      </c>
      <c r="CL96" t="s">
        <v>8961</v>
      </c>
      <c r="CM96" t="s">
        <v>8971</v>
      </c>
      <c r="CN96" s="238" t="b">
        <v>1</v>
      </c>
      <c r="CO96" t="s">
        <v>5384</v>
      </c>
      <c r="CQ96" t="s">
        <v>4895</v>
      </c>
      <c r="CR96" t="s">
        <v>3246</v>
      </c>
      <c r="CS96" t="s">
        <v>37</v>
      </c>
      <c r="CT96" t="b">
        <v>1</v>
      </c>
      <c r="CU96">
        <v>5399647.9000000004</v>
      </c>
      <c r="CV96" t="s">
        <v>9002</v>
      </c>
      <c r="CW96">
        <v>0</v>
      </c>
      <c r="CX96">
        <v>5399648</v>
      </c>
      <c r="CY96">
        <v>0</v>
      </c>
      <c r="CZ96" t="b">
        <v>1</v>
      </c>
      <c r="DA96">
        <v>45225</v>
      </c>
      <c r="DB96" t="s">
        <v>126</v>
      </c>
      <c r="DC96">
        <v>-2.734437831751757E-3</v>
      </c>
      <c r="DD96">
        <v>-232.74411228103708</v>
      </c>
      <c r="DE96" s="420" cm="1">
        <f t="array" ref="DE96">_xlfn.XLOOKUP("Дом 5"&amp;Реестр_Д5[[#This Row],[№]]&amp;Реестр_Д5[[#This Row],[Статус]],РД[Дом]&amp;РД[№ кв]&amp;РД[Состояние],РД[Дата подачи на регистрацию],"-",0)</f>
        <v>45225</v>
      </c>
    </row>
    <row r="97" spans="1:109" hidden="1" x14ac:dyDescent="0.25">
      <c r="A97" s="238">
        <v>96</v>
      </c>
      <c r="B97" s="238" t="s">
        <v>6</v>
      </c>
      <c r="C97" s="238">
        <v>14</v>
      </c>
      <c r="D97" s="238">
        <v>6</v>
      </c>
      <c r="E97" s="238">
        <v>2</v>
      </c>
      <c r="F97" s="238">
        <v>14.64</v>
      </c>
      <c r="G97" s="238">
        <v>10.74</v>
      </c>
      <c r="H97" s="238"/>
      <c r="I97">
        <v>25.380000000000003</v>
      </c>
      <c r="J97" s="238">
        <v>14.35</v>
      </c>
      <c r="K97" s="238">
        <v>4.16</v>
      </c>
      <c r="L97" s="238">
        <v>1.93</v>
      </c>
      <c r="M97" s="238"/>
      <c r="N97" s="238">
        <v>11.03</v>
      </c>
      <c r="O97" s="238">
        <v>2.6219999999999999</v>
      </c>
      <c r="P97" s="238"/>
      <c r="R97" s="238">
        <v>2.6219999999999999</v>
      </c>
      <c r="S97">
        <v>59.47</v>
      </c>
      <c r="T97">
        <v>56.85</v>
      </c>
      <c r="U97" s="238">
        <v>58.16</v>
      </c>
      <c r="V97">
        <v>58.099999999999994</v>
      </c>
      <c r="W97" s="238">
        <v>81466.150500000003</v>
      </c>
      <c r="X97">
        <v>4073.3075250000002</v>
      </c>
      <c r="Y97">
        <v>85539.458025</v>
      </c>
      <c r="Z97">
        <v>2566.1837407499997</v>
      </c>
      <c r="AA97">
        <v>88105.641765749999</v>
      </c>
      <c r="AC97">
        <v>88105.641765749999</v>
      </c>
      <c r="AE97">
        <v>88105.641765749999</v>
      </c>
      <c r="AG97">
        <v>88105.641765749999</v>
      </c>
      <c r="AI97">
        <v>88105.641765749999</v>
      </c>
      <c r="AJ97">
        <v>881.05641765749999</v>
      </c>
      <c r="AK97">
        <v>88986.698183407498</v>
      </c>
      <c r="AL97">
        <v>4449.3349091703749</v>
      </c>
      <c r="AM97">
        <v>93436.033092577869</v>
      </c>
      <c r="AO97">
        <v>93436.033092577869</v>
      </c>
      <c r="AP97">
        <v>1868.7206618515577</v>
      </c>
      <c r="AQ97">
        <v>95304.753754429446</v>
      </c>
      <c r="AS97">
        <v>95304.753754429446</v>
      </c>
      <c r="AT97">
        <v>1906.0950750885888</v>
      </c>
      <c r="AU97">
        <v>97210.848829518014</v>
      </c>
      <c r="AW97">
        <v>97210.848829518014</v>
      </c>
      <c r="AX97">
        <v>972.10848829518011</v>
      </c>
      <c r="AY97">
        <v>98182.957317813198</v>
      </c>
      <c r="BA97">
        <v>98182.957317813198</v>
      </c>
      <c r="BC97">
        <v>98182.957317813198</v>
      </c>
      <c r="BE97">
        <v>98182.957317813198</v>
      </c>
      <c r="BF97">
        <v>1472.7443597671979</v>
      </c>
      <c r="BG97">
        <v>99655.701677580393</v>
      </c>
      <c r="BH97">
        <v>500</v>
      </c>
      <c r="BI97">
        <v>100155.70167758039</v>
      </c>
      <c r="BJ97">
        <v>4006.2280671032158</v>
      </c>
      <c r="BK97">
        <v>104161.9297446836</v>
      </c>
      <c r="BM97">
        <v>104161.9297446836</v>
      </c>
      <c r="BO97">
        <v>104161.9297446836</v>
      </c>
      <c r="BQ97">
        <v>104161.9297446836</v>
      </c>
      <c r="BS97">
        <v>104161.9297446836</v>
      </c>
      <c r="BT97" s="238">
        <v>104161.93</v>
      </c>
      <c r="BU97" s="238">
        <v>6058100</v>
      </c>
      <c r="BW97">
        <v>0.03</v>
      </c>
      <c r="BX97" s="238">
        <v>181743</v>
      </c>
      <c r="BY97" s="238">
        <v>101037.77510316369</v>
      </c>
      <c r="BZ97" s="238">
        <v>5876357</v>
      </c>
      <c r="CA97" s="238" t="s">
        <v>6871</v>
      </c>
      <c r="CB97">
        <v>8000</v>
      </c>
      <c r="CC97">
        <v>109037.77510316369</v>
      </c>
      <c r="CD97" s="238">
        <v>465280</v>
      </c>
      <c r="CE97" s="238">
        <v>6341637</v>
      </c>
      <c r="CG97" t="s">
        <v>3538</v>
      </c>
      <c r="CH97" s="238" t="s">
        <v>39</v>
      </c>
      <c r="CI97" s="238" t="s">
        <v>39</v>
      </c>
      <c r="CJ97" t="s">
        <v>8950</v>
      </c>
      <c r="CK97" t="s">
        <v>1167</v>
      </c>
      <c r="CL97" t="s">
        <v>8961</v>
      </c>
      <c r="CM97" t="s">
        <v>8971</v>
      </c>
      <c r="CN97" s="238" t="b">
        <v>1</v>
      </c>
      <c r="CO97" t="s">
        <v>5385</v>
      </c>
      <c r="CQ97" t="s">
        <v>6652</v>
      </c>
      <c r="CR97" t="s">
        <v>3246</v>
      </c>
      <c r="CS97" t="s">
        <v>6871</v>
      </c>
      <c r="CT97" t="b">
        <v>1</v>
      </c>
      <c r="CU97">
        <v>6058100</v>
      </c>
      <c r="CV97" t="s">
        <v>9002</v>
      </c>
      <c r="CW97">
        <v>0</v>
      </c>
      <c r="CX97">
        <v>6058100</v>
      </c>
      <c r="CY97">
        <v>0</v>
      </c>
      <c r="CZ97" t="b">
        <v>1</v>
      </c>
      <c r="DA97">
        <v>45588</v>
      </c>
      <c r="DB97" t="s">
        <v>4177</v>
      </c>
      <c r="DC97">
        <v>-1.0316368638240148E-3</v>
      </c>
      <c r="DD97">
        <v>-104.2342934351839</v>
      </c>
      <c r="DE97" s="420" cm="1">
        <f t="array" ref="DE97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98" spans="1:109" hidden="1" x14ac:dyDescent="0.25">
      <c r="A98" s="238">
        <v>97</v>
      </c>
      <c r="B98" s="238" t="s">
        <v>6</v>
      </c>
      <c r="C98" s="238">
        <v>14</v>
      </c>
      <c r="D98" s="238">
        <v>7</v>
      </c>
      <c r="E98" s="238">
        <v>1</v>
      </c>
      <c r="F98" s="238">
        <v>18.489999999999998</v>
      </c>
      <c r="G98" s="238"/>
      <c r="H98" s="238"/>
      <c r="I98">
        <v>18.489999999999998</v>
      </c>
      <c r="J98" s="238">
        <v>13.04</v>
      </c>
      <c r="K98" s="238">
        <v>3.9</v>
      </c>
      <c r="L98" s="238"/>
      <c r="M98" s="238"/>
      <c r="N98" s="238">
        <v>5.99</v>
      </c>
      <c r="O98" s="238">
        <v>2.65</v>
      </c>
      <c r="P98" s="238"/>
      <c r="R98" s="238">
        <v>2.65</v>
      </c>
      <c r="S98">
        <v>44.07</v>
      </c>
      <c r="T98">
        <v>41.42</v>
      </c>
      <c r="U98" s="238">
        <v>42.75</v>
      </c>
      <c r="V98">
        <v>42.85</v>
      </c>
      <c r="W98" s="238">
        <v>83951.4375</v>
      </c>
      <c r="X98">
        <v>4197.5718750000005</v>
      </c>
      <c r="Y98">
        <v>88149.009374999994</v>
      </c>
      <c r="Z98">
        <v>2644.4702812499995</v>
      </c>
      <c r="AA98">
        <v>90793.479656249998</v>
      </c>
      <c r="AB98">
        <v>3631.7391862499999</v>
      </c>
      <c r="AC98">
        <v>94425.218842499977</v>
      </c>
      <c r="AE98">
        <v>94425.218842499977</v>
      </c>
      <c r="AF98">
        <v>4721.2609421249999</v>
      </c>
      <c r="AG98">
        <v>99146.479784624986</v>
      </c>
      <c r="AI98">
        <v>99146.479784624986</v>
      </c>
      <c r="AJ98">
        <v>991.46479784624989</v>
      </c>
      <c r="AK98">
        <v>100137.94458247125</v>
      </c>
      <c r="AL98">
        <v>5006.8972291235623</v>
      </c>
      <c r="AM98">
        <v>105144.8418115948</v>
      </c>
      <c r="AO98">
        <v>105144.8418115948</v>
      </c>
      <c r="AP98">
        <v>3154.3452543478434</v>
      </c>
      <c r="AQ98">
        <v>108299.18706594263</v>
      </c>
      <c r="AS98">
        <v>108299.18706594263</v>
      </c>
      <c r="AU98">
        <v>108299.18706594263</v>
      </c>
      <c r="AW98">
        <v>108299.18706594263</v>
      </c>
      <c r="AY98">
        <v>108299.18706594263</v>
      </c>
      <c r="BA98">
        <v>108299.18706594263</v>
      </c>
      <c r="BB98">
        <v>541.49593532971323</v>
      </c>
      <c r="BC98">
        <v>108840.68300127237</v>
      </c>
      <c r="BE98">
        <v>108840.68300127237</v>
      </c>
      <c r="BF98">
        <v>1632.6102450190851</v>
      </c>
      <c r="BG98">
        <v>110473.29324629145</v>
      </c>
      <c r="BI98">
        <v>110473.29324629145</v>
      </c>
      <c r="BK98">
        <v>110473.29324629145</v>
      </c>
      <c r="BL98">
        <v>8837.8634597033142</v>
      </c>
      <c r="BM98">
        <v>119311.15670599474</v>
      </c>
      <c r="BN98">
        <v>15510.450371779318</v>
      </c>
      <c r="BO98">
        <v>134821.60707777407</v>
      </c>
      <c r="BP98">
        <v>35</v>
      </c>
      <c r="BQ98">
        <v>134856.60707777407</v>
      </c>
      <c r="BS98">
        <v>134856.60707777407</v>
      </c>
      <c r="BT98" s="238">
        <v>134856.60999999999</v>
      </c>
      <c r="BU98" s="238">
        <v>5765200</v>
      </c>
      <c r="BV98">
        <v>342000</v>
      </c>
      <c r="BX98" s="238">
        <v>342000</v>
      </c>
      <c r="BY98" s="238">
        <v>126858.47953216374</v>
      </c>
      <c r="BZ98" s="238">
        <v>5423200</v>
      </c>
      <c r="CA98" s="238" t="s">
        <v>6871</v>
      </c>
      <c r="CB98">
        <v>10000</v>
      </c>
      <c r="CC98">
        <v>136858.47953216374</v>
      </c>
      <c r="CD98" s="238">
        <v>427500</v>
      </c>
      <c r="CE98" s="238">
        <v>5850700</v>
      </c>
      <c r="CG98" t="s">
        <v>8676</v>
      </c>
      <c r="CH98" s="238" t="s">
        <v>39</v>
      </c>
      <c r="CI98" s="238" t="s">
        <v>39</v>
      </c>
      <c r="CJ98" t="s">
        <v>8950</v>
      </c>
      <c r="CK98" t="s">
        <v>1167</v>
      </c>
      <c r="CL98" t="s">
        <v>8961</v>
      </c>
      <c r="CM98" t="s">
        <v>8973</v>
      </c>
      <c r="CN98" s="238" t="b">
        <v>1</v>
      </c>
      <c r="CO98" t="s">
        <v>5386</v>
      </c>
      <c r="CQ98" t="s">
        <v>6652</v>
      </c>
      <c r="CR98" t="s">
        <v>3246</v>
      </c>
      <c r="CS98" t="s">
        <v>6871</v>
      </c>
      <c r="CT98" t="b">
        <v>1</v>
      </c>
      <c r="CU98">
        <v>5765200</v>
      </c>
      <c r="CV98" t="s">
        <v>9002</v>
      </c>
      <c r="CW98">
        <v>0</v>
      </c>
      <c r="CX98">
        <v>5765200</v>
      </c>
      <c r="CY98">
        <v>0</v>
      </c>
      <c r="CZ98" t="b">
        <v>1</v>
      </c>
      <c r="DA98">
        <v>45835</v>
      </c>
      <c r="DB98" t="s">
        <v>8893</v>
      </c>
      <c r="DC98">
        <v>2.3391812865496409E-3</v>
      </c>
      <c r="DD98">
        <v>296.74498136177806</v>
      </c>
      <c r="DE98" s="420" cm="1">
        <f t="array" ref="DE98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99" spans="1:109" hidden="1" x14ac:dyDescent="0.25">
      <c r="A99" s="238">
        <v>98</v>
      </c>
      <c r="B99" s="238" t="s">
        <v>6</v>
      </c>
      <c r="C99" s="238">
        <v>15</v>
      </c>
      <c r="D99" s="238">
        <v>1</v>
      </c>
      <c r="E99" s="238">
        <v>1</v>
      </c>
      <c r="F99" s="238">
        <v>14.68</v>
      </c>
      <c r="G99" s="238"/>
      <c r="H99" s="238"/>
      <c r="I99">
        <v>14.68</v>
      </c>
      <c r="J99" s="238">
        <v>9.84</v>
      </c>
      <c r="K99" s="238">
        <v>3.63</v>
      </c>
      <c r="L99" s="238"/>
      <c r="M99" s="238"/>
      <c r="N99" s="238">
        <v>4.8899999999999997</v>
      </c>
      <c r="O99" s="238">
        <v>2.7</v>
      </c>
      <c r="P99" s="238"/>
      <c r="R99" s="238">
        <v>2.7</v>
      </c>
      <c r="S99">
        <v>35.74</v>
      </c>
      <c r="T99">
        <v>33.04</v>
      </c>
      <c r="U99" s="238">
        <v>34.39</v>
      </c>
      <c r="V99">
        <v>34.35</v>
      </c>
      <c r="W99" s="238">
        <v>82734.75</v>
      </c>
      <c r="X99">
        <v>4136.7375000000002</v>
      </c>
      <c r="Y99">
        <v>86871.487500000003</v>
      </c>
      <c r="Z99">
        <v>2606.1446249999999</v>
      </c>
      <c r="AA99">
        <v>89477.632125000004</v>
      </c>
      <c r="AB99">
        <v>12526.8684975</v>
      </c>
      <c r="AC99">
        <v>102004.5006225</v>
      </c>
      <c r="AE99">
        <v>102004.5006225</v>
      </c>
      <c r="AF99">
        <v>5100.2250311250009</v>
      </c>
      <c r="AG99">
        <v>107104.72565362501</v>
      </c>
      <c r="AI99">
        <v>107104.72565362501</v>
      </c>
      <c r="AJ99">
        <v>1071.0472565362502</v>
      </c>
      <c r="AK99">
        <v>108175.77291016123</v>
      </c>
      <c r="AL99">
        <v>5408.7886455080625</v>
      </c>
      <c r="AM99">
        <v>113584.56155566932</v>
      </c>
      <c r="AO99">
        <v>113584.56155566932</v>
      </c>
      <c r="AP99">
        <v>3407.5368466700793</v>
      </c>
      <c r="AQ99">
        <v>116992.09840233938</v>
      </c>
      <c r="AS99">
        <v>116992.09840233938</v>
      </c>
      <c r="AU99">
        <v>116992.09840233938</v>
      </c>
      <c r="AW99">
        <v>116992.09840233938</v>
      </c>
      <c r="AY99">
        <v>116992.09840233938</v>
      </c>
      <c r="AZ99">
        <v>2339.8419680467882</v>
      </c>
      <c r="BA99">
        <v>119331.94037038618</v>
      </c>
      <c r="BC99">
        <v>119331.94037038618</v>
      </c>
      <c r="BE99">
        <v>119331.94037038618</v>
      </c>
      <c r="BG99">
        <v>119331.94037038618</v>
      </c>
      <c r="BI99">
        <v>119331.94037038618</v>
      </c>
      <c r="BK99">
        <v>119331.94037038618</v>
      </c>
      <c r="BM99">
        <v>119331.94037038618</v>
      </c>
      <c r="BO99">
        <v>119331.94037038618</v>
      </c>
      <c r="BQ99">
        <v>119331.94037038618</v>
      </c>
      <c r="BS99">
        <v>119331.94037038618</v>
      </c>
      <c r="BT99" s="238">
        <v>119331.94</v>
      </c>
      <c r="BU99" s="238">
        <v>4103900</v>
      </c>
      <c r="BX99" s="238">
        <v>0</v>
      </c>
      <c r="BY99" s="238">
        <v>119334.10875254434</v>
      </c>
      <c r="BZ99" s="238">
        <v>4103900</v>
      </c>
      <c r="CA99" s="238" t="s">
        <v>36</v>
      </c>
      <c r="CC99">
        <v>119334.10875254434</v>
      </c>
      <c r="CD99" s="238">
        <v>0</v>
      </c>
      <c r="CE99" s="238">
        <v>4103900</v>
      </c>
      <c r="CF99" t="s">
        <v>4633</v>
      </c>
      <c r="CH99" s="238" t="s">
        <v>39</v>
      </c>
      <c r="CI99" s="238" t="s">
        <v>39</v>
      </c>
      <c r="CJ99" t="s">
        <v>8950</v>
      </c>
      <c r="CK99" t="s">
        <v>1167</v>
      </c>
      <c r="CL99" t="s">
        <v>8961</v>
      </c>
      <c r="CM99" t="s">
        <v>8973</v>
      </c>
      <c r="CN99" s="238" t="b">
        <v>1</v>
      </c>
      <c r="CO99" t="s">
        <v>5387</v>
      </c>
      <c r="CQ99" t="s">
        <v>6652</v>
      </c>
      <c r="CR99" t="s">
        <v>3246</v>
      </c>
      <c r="CS99" t="s">
        <v>36</v>
      </c>
      <c r="CT99" t="b">
        <v>1</v>
      </c>
      <c r="CU99">
        <v>4103900</v>
      </c>
      <c r="CV99" t="s">
        <v>9002</v>
      </c>
      <c r="CW99">
        <v>0</v>
      </c>
      <c r="CX99">
        <v>4103900</v>
      </c>
      <c r="CY99">
        <v>0</v>
      </c>
      <c r="CZ99" t="b">
        <v>1</v>
      </c>
      <c r="DA99">
        <v>45464</v>
      </c>
      <c r="DB99" t="s">
        <v>4177</v>
      </c>
      <c r="DC99">
        <v>-1.1631288165163678E-3</v>
      </c>
      <c r="DD99">
        <v>-138.80094068338244</v>
      </c>
      <c r="DE99" s="420" cm="1">
        <f t="array" ref="DE99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100" spans="1:109" hidden="1" x14ac:dyDescent="0.25">
      <c r="A100" s="238">
        <v>99</v>
      </c>
      <c r="B100" s="238" t="s">
        <v>6</v>
      </c>
      <c r="C100" s="238">
        <v>15</v>
      </c>
      <c r="D100" s="238">
        <v>2</v>
      </c>
      <c r="E100" s="238">
        <v>2</v>
      </c>
      <c r="F100" s="238">
        <v>15.82</v>
      </c>
      <c r="G100" s="238">
        <v>15.54</v>
      </c>
      <c r="H100" s="238"/>
      <c r="I100">
        <v>31.36</v>
      </c>
      <c r="J100" s="238">
        <v>19.440000000000001</v>
      </c>
      <c r="K100" s="238">
        <v>4.42</v>
      </c>
      <c r="L100" s="238"/>
      <c r="M100" s="238">
        <v>3.25</v>
      </c>
      <c r="N100" s="238">
        <v>8.5299999999999994</v>
      </c>
      <c r="O100" s="238">
        <v>3</v>
      </c>
      <c r="P100" s="238"/>
      <c r="R100" s="238">
        <v>3</v>
      </c>
      <c r="S100">
        <v>70</v>
      </c>
      <c r="T100">
        <v>67</v>
      </c>
      <c r="U100" s="238">
        <v>68.5</v>
      </c>
      <c r="V100">
        <v>68.5</v>
      </c>
      <c r="W100" s="238">
        <v>84168.819000000003</v>
      </c>
      <c r="X100">
        <v>4208.4409500000002</v>
      </c>
      <c r="Y100">
        <v>88377.259950000007</v>
      </c>
      <c r="Z100">
        <v>2651.3177985000002</v>
      </c>
      <c r="AA100">
        <v>91028.577748500014</v>
      </c>
      <c r="AC100">
        <v>91028.577748500014</v>
      </c>
      <c r="AE100">
        <v>91028.577748500014</v>
      </c>
      <c r="AG100">
        <v>91028.577748500014</v>
      </c>
      <c r="AH100">
        <v>-831</v>
      </c>
      <c r="AI100">
        <v>90197.577748500014</v>
      </c>
      <c r="AJ100">
        <v>901.97577748500021</v>
      </c>
      <c r="AK100">
        <v>91099.553525985015</v>
      </c>
      <c r="AL100">
        <v>4554.9776762992506</v>
      </c>
      <c r="AM100">
        <v>95654.531202284285</v>
      </c>
      <c r="AO100">
        <v>95654.531202284285</v>
      </c>
      <c r="AP100">
        <v>1913.0906240456857</v>
      </c>
      <c r="AQ100">
        <v>97567.621826329952</v>
      </c>
      <c r="AS100">
        <v>97567.621826329952</v>
      </c>
      <c r="AT100">
        <v>1951.3524365265991</v>
      </c>
      <c r="AU100">
        <v>99518.974262856558</v>
      </c>
      <c r="AW100">
        <v>99518.974262856558</v>
      </c>
      <c r="AY100">
        <v>99518.974262856558</v>
      </c>
      <c r="BA100">
        <v>99518.974262856558</v>
      </c>
      <c r="BC100">
        <v>99518.974262856558</v>
      </c>
      <c r="BE100">
        <v>99518.974262856558</v>
      </c>
      <c r="BG100">
        <v>99518.974262856558</v>
      </c>
      <c r="BI100">
        <v>99518.974262856558</v>
      </c>
      <c r="BK100">
        <v>99518.974262856558</v>
      </c>
      <c r="BM100">
        <v>99518.974262856558</v>
      </c>
      <c r="BO100">
        <v>99518.974262856558</v>
      </c>
      <c r="BQ100">
        <v>99518.974262856558</v>
      </c>
      <c r="BS100">
        <v>99518.974262856558</v>
      </c>
      <c r="BT100" s="238">
        <v>99518.97</v>
      </c>
      <c r="BU100" s="238">
        <v>6817100</v>
      </c>
      <c r="BV100">
        <v>700000</v>
      </c>
      <c r="BX100" s="238">
        <v>700000</v>
      </c>
      <c r="BY100" s="238">
        <v>89300.729927007298</v>
      </c>
      <c r="BZ100" s="238">
        <v>6117100</v>
      </c>
      <c r="CA100" s="238" t="s">
        <v>6871</v>
      </c>
      <c r="CB100">
        <v>7000</v>
      </c>
      <c r="CC100">
        <v>96300.729927007298</v>
      </c>
      <c r="CD100" s="238">
        <v>479500</v>
      </c>
      <c r="CE100" s="238">
        <v>6596600</v>
      </c>
      <c r="CG100" t="s">
        <v>7207</v>
      </c>
      <c r="CH100" s="238" t="s">
        <v>39</v>
      </c>
      <c r="CI100" s="238" t="s">
        <v>39</v>
      </c>
      <c r="CJ100" t="s">
        <v>8950</v>
      </c>
      <c r="CK100" t="s">
        <v>1167</v>
      </c>
      <c r="CL100" t="s">
        <v>8961</v>
      </c>
      <c r="CM100" t="s">
        <v>8971</v>
      </c>
      <c r="CN100" s="238" t="b">
        <v>1</v>
      </c>
      <c r="CO100" t="s">
        <v>5388</v>
      </c>
      <c r="CQ100" t="s">
        <v>6652</v>
      </c>
      <c r="CR100" t="s">
        <v>3246</v>
      </c>
      <c r="CS100" t="s">
        <v>6871</v>
      </c>
      <c r="CT100" t="b">
        <v>1</v>
      </c>
      <c r="CU100">
        <v>6817100</v>
      </c>
      <c r="CV100" t="s">
        <v>9002</v>
      </c>
      <c r="CW100">
        <v>0</v>
      </c>
      <c r="CX100">
        <v>6817100</v>
      </c>
      <c r="CY100">
        <v>0</v>
      </c>
      <c r="CZ100" t="b">
        <v>1</v>
      </c>
      <c r="DA100">
        <v>45465</v>
      </c>
      <c r="DB100" t="s">
        <v>982</v>
      </c>
      <c r="DC100">
        <v>0</v>
      </c>
      <c r="DD100">
        <v>0</v>
      </c>
      <c r="DE100" s="420" cm="1">
        <f t="array" ref="DE100">_xlfn.XLOOKUP("Дом 5"&amp;Реестр_Д5[[#This Row],[№]]&amp;Реестр_Д5[[#This Row],[Статус]],РД[Дом]&amp;РД[№ кв]&amp;РД[Состояние],РД[Дата подачи на регистрацию],"-",0)</f>
        <v>45465</v>
      </c>
    </row>
    <row r="101" spans="1:109" hidden="1" x14ac:dyDescent="0.25">
      <c r="A101" s="238">
        <v>100</v>
      </c>
      <c r="B101" s="238" t="s">
        <v>6</v>
      </c>
      <c r="C101" s="238">
        <v>15</v>
      </c>
      <c r="D101" s="238">
        <v>3</v>
      </c>
      <c r="E101" s="238">
        <v>1</v>
      </c>
      <c r="F101" s="238">
        <v>13.6</v>
      </c>
      <c r="G101" s="238"/>
      <c r="H101" s="238"/>
      <c r="I101">
        <v>13.6</v>
      </c>
      <c r="J101" s="238">
        <v>14.97</v>
      </c>
      <c r="K101" s="238">
        <v>4.1100000000000003</v>
      </c>
      <c r="L101" s="238"/>
      <c r="M101" s="238"/>
      <c r="N101" s="238">
        <v>3.7</v>
      </c>
      <c r="O101" s="238">
        <v>2.69</v>
      </c>
      <c r="P101" s="238"/>
      <c r="R101" s="238">
        <v>2.69</v>
      </c>
      <c r="S101">
        <v>39.07</v>
      </c>
      <c r="T101">
        <v>36.380000000000003</v>
      </c>
      <c r="U101" s="238">
        <v>37.729999999999997</v>
      </c>
      <c r="V101">
        <v>37.750000000000007</v>
      </c>
      <c r="W101" s="238">
        <v>87601.5</v>
      </c>
      <c r="X101">
        <v>4380.0749999999998</v>
      </c>
      <c r="Y101">
        <v>91981.574999999997</v>
      </c>
      <c r="Z101">
        <v>2759.4472499999997</v>
      </c>
      <c r="AA101">
        <v>94741.022249999995</v>
      </c>
      <c r="AB101">
        <v>6631.8715575000006</v>
      </c>
      <c r="AC101">
        <v>101372.8938075</v>
      </c>
      <c r="AE101">
        <v>101372.8938075</v>
      </c>
      <c r="AF101">
        <v>5068.6446903750002</v>
      </c>
      <c r="AG101">
        <v>106441.53849787499</v>
      </c>
      <c r="AI101">
        <v>106441.53849787499</v>
      </c>
      <c r="AJ101">
        <v>1064.4153849787499</v>
      </c>
      <c r="AK101">
        <v>107505.95388285376</v>
      </c>
      <c r="AL101">
        <v>5375.2976941426878</v>
      </c>
      <c r="AM101">
        <v>112881.25157699644</v>
      </c>
      <c r="AO101">
        <v>112881.25157699644</v>
      </c>
      <c r="AP101">
        <v>3386.437547309893</v>
      </c>
      <c r="AQ101">
        <v>116267.68912430631</v>
      </c>
      <c r="AS101">
        <v>116267.68912430631</v>
      </c>
      <c r="AU101">
        <v>116267.68912430631</v>
      </c>
      <c r="AW101">
        <v>116267.68912430631</v>
      </c>
      <c r="AY101">
        <v>116267.68912430631</v>
      </c>
      <c r="BA101">
        <v>116267.68912430631</v>
      </c>
      <c r="BC101">
        <v>116267.68912430631</v>
      </c>
      <c r="BE101">
        <v>116267.68912430631</v>
      </c>
      <c r="BG101">
        <v>116267.68912430631</v>
      </c>
      <c r="BI101">
        <v>116267.68912430631</v>
      </c>
      <c r="BK101">
        <v>116267.68912430631</v>
      </c>
      <c r="BM101">
        <v>116267.68912430631</v>
      </c>
      <c r="BO101">
        <v>116267.68912430631</v>
      </c>
      <c r="BQ101">
        <v>116267.68912430631</v>
      </c>
      <c r="BS101">
        <v>116267.68912430631</v>
      </c>
      <c r="BT101" s="238">
        <v>116267.69</v>
      </c>
      <c r="BU101" s="238">
        <v>4386800</v>
      </c>
      <c r="BX101" s="238">
        <v>0</v>
      </c>
      <c r="BY101" s="238">
        <v>116268.22157434405</v>
      </c>
      <c r="BZ101" s="238">
        <v>4386800</v>
      </c>
      <c r="CA101" s="238" t="s">
        <v>38</v>
      </c>
      <c r="CB101">
        <v>20000</v>
      </c>
      <c r="CC101">
        <v>136268.22157434403</v>
      </c>
      <c r="CD101" s="238">
        <v>754600</v>
      </c>
      <c r="CE101" s="238">
        <v>5141400</v>
      </c>
      <c r="CH101" s="238" t="s">
        <v>39</v>
      </c>
      <c r="CI101" s="238" t="s">
        <v>39</v>
      </c>
      <c r="CJ101" t="s">
        <v>8950</v>
      </c>
      <c r="CK101" t="s">
        <v>1167</v>
      </c>
      <c r="CL101" t="s">
        <v>8961</v>
      </c>
      <c r="CM101" t="s">
        <v>8972</v>
      </c>
      <c r="CN101" s="238" t="b">
        <v>1</v>
      </c>
      <c r="CO101" t="s">
        <v>5389</v>
      </c>
      <c r="CQ101" t="s">
        <v>6652</v>
      </c>
      <c r="CR101" t="s">
        <v>3246</v>
      </c>
      <c r="CS101" t="s">
        <v>38</v>
      </c>
      <c r="CT101" t="b">
        <v>1</v>
      </c>
      <c r="CU101">
        <v>4386800</v>
      </c>
      <c r="CV101" t="s">
        <v>9002</v>
      </c>
      <c r="CW101">
        <v>0</v>
      </c>
      <c r="CX101">
        <v>4386800</v>
      </c>
      <c r="CY101">
        <v>0</v>
      </c>
      <c r="CZ101" t="b">
        <v>1</v>
      </c>
      <c r="DA101">
        <v>45433</v>
      </c>
      <c r="DB101" t="s">
        <v>5215</v>
      </c>
      <c r="DC101">
        <v>5.3008216273542352E-4</v>
      </c>
      <c r="DD101">
        <v>61.631710349529712</v>
      </c>
      <c r="DE101" s="420" cm="1">
        <f t="array" ref="DE101">_xlfn.XLOOKUP("Дом 5"&amp;Реестр_Д5[[#This Row],[№]]&amp;Реестр_Д5[[#This Row],[Статус]],РД[Дом]&amp;РД[№ кв]&amp;РД[Состояние],РД[Дата подачи на регистрацию],"-",0)</f>
        <v>45433</v>
      </c>
    </row>
    <row r="102" spans="1:109" hidden="1" x14ac:dyDescent="0.25">
      <c r="A102" s="238">
        <v>101</v>
      </c>
      <c r="B102" s="238" t="s">
        <v>6</v>
      </c>
      <c r="C102" s="238">
        <v>15</v>
      </c>
      <c r="D102" s="238">
        <v>4</v>
      </c>
      <c r="E102" s="238">
        <v>2</v>
      </c>
      <c r="F102" s="238">
        <v>16.61</v>
      </c>
      <c r="G102" s="238">
        <v>11.38</v>
      </c>
      <c r="H102" s="238"/>
      <c r="I102">
        <v>27.99</v>
      </c>
      <c r="J102" s="238">
        <v>14.58</v>
      </c>
      <c r="K102" s="238">
        <v>4.34</v>
      </c>
      <c r="L102" s="238">
        <v>2.08</v>
      </c>
      <c r="M102" s="238"/>
      <c r="N102" s="238">
        <v>8.82</v>
      </c>
      <c r="O102" s="238">
        <v>2.56</v>
      </c>
      <c r="P102" s="238"/>
      <c r="R102" s="238">
        <v>2.56</v>
      </c>
      <c r="S102">
        <v>60.37</v>
      </c>
      <c r="T102">
        <v>57.81</v>
      </c>
      <c r="U102" s="238">
        <v>59.09</v>
      </c>
      <c r="V102">
        <v>59.2</v>
      </c>
      <c r="W102" s="238">
        <v>80307.864000000001</v>
      </c>
      <c r="X102">
        <v>4015.3932</v>
      </c>
      <c r="Y102">
        <v>84323.257199999993</v>
      </c>
      <c r="Z102">
        <v>2529.6977160000001</v>
      </c>
      <c r="AA102">
        <v>86852.954916000002</v>
      </c>
      <c r="AC102">
        <v>86852.954916000002</v>
      </c>
      <c r="AE102">
        <v>86852.954916000002</v>
      </c>
      <c r="AG102">
        <v>86852.954916000002</v>
      </c>
      <c r="AI102">
        <v>86852.954916000002</v>
      </c>
      <c r="AJ102">
        <v>868.52954915999999</v>
      </c>
      <c r="AK102">
        <v>87721.48446516</v>
      </c>
      <c r="AL102">
        <v>4386.0742232580005</v>
      </c>
      <c r="AM102">
        <v>92107.558688417994</v>
      </c>
      <c r="AO102">
        <v>92107.558688417994</v>
      </c>
      <c r="AP102">
        <v>1842.15117376836</v>
      </c>
      <c r="AQ102">
        <v>93949.709862186355</v>
      </c>
      <c r="AS102">
        <v>93949.709862186355</v>
      </c>
      <c r="AT102">
        <v>1878.9941972437273</v>
      </c>
      <c r="AU102">
        <v>95828.704059430078</v>
      </c>
      <c r="AW102">
        <v>95828.704059430078</v>
      </c>
      <c r="AX102">
        <v>958.28704059430083</v>
      </c>
      <c r="AY102">
        <v>96786.991100024374</v>
      </c>
      <c r="BA102">
        <v>96786.991100024374</v>
      </c>
      <c r="BC102">
        <v>96786.991100024374</v>
      </c>
      <c r="BE102">
        <v>96786.991100024374</v>
      </c>
      <c r="BF102">
        <v>1451.8048665003655</v>
      </c>
      <c r="BG102">
        <v>98238.795966524733</v>
      </c>
      <c r="BI102">
        <v>98238.795966524733</v>
      </c>
      <c r="BJ102">
        <v>3929.5518386609888</v>
      </c>
      <c r="BK102">
        <v>102168.34780518572</v>
      </c>
      <c r="BL102">
        <v>6130.1008683111431</v>
      </c>
      <c r="BM102">
        <v>108298.44867349688</v>
      </c>
      <c r="BN102">
        <v>14078.798327554594</v>
      </c>
      <c r="BO102">
        <v>122377.24700105148</v>
      </c>
      <c r="BP102">
        <v>35</v>
      </c>
      <c r="BQ102">
        <v>122412.24700105148</v>
      </c>
      <c r="BS102">
        <v>122412.24700105148</v>
      </c>
      <c r="BT102" s="238">
        <v>122412.25</v>
      </c>
      <c r="BU102" s="238">
        <v>7233400</v>
      </c>
      <c r="BV102">
        <v>300000</v>
      </c>
      <c r="BW102">
        <v>0.03</v>
      </c>
      <c r="BX102" s="238">
        <v>517002</v>
      </c>
      <c r="BY102" s="238">
        <v>113663.86867490268</v>
      </c>
      <c r="BZ102" s="238">
        <v>6716398</v>
      </c>
      <c r="CA102" s="238" t="s">
        <v>36</v>
      </c>
      <c r="CC102">
        <v>113663.86867490268</v>
      </c>
      <c r="CD102" s="238">
        <v>0</v>
      </c>
      <c r="CE102" s="238">
        <v>6716398</v>
      </c>
      <c r="CG102" t="s">
        <v>8592</v>
      </c>
      <c r="CH102" s="238" t="s">
        <v>39</v>
      </c>
      <c r="CI102" s="238" t="s">
        <v>39</v>
      </c>
      <c r="CJ102" t="s">
        <v>8950</v>
      </c>
      <c r="CK102" t="s">
        <v>1167</v>
      </c>
      <c r="CL102" t="s">
        <v>8961</v>
      </c>
      <c r="CM102" t="s">
        <v>8971</v>
      </c>
      <c r="CN102" s="238" t="b">
        <v>1</v>
      </c>
      <c r="CO102" t="s">
        <v>5390</v>
      </c>
      <c r="CQ102" t="s">
        <v>6652</v>
      </c>
      <c r="CR102" t="s">
        <v>3246</v>
      </c>
      <c r="CS102" t="s">
        <v>36</v>
      </c>
      <c r="CT102" t="b">
        <v>1</v>
      </c>
      <c r="CU102">
        <v>7233400</v>
      </c>
      <c r="CV102" t="s">
        <v>9002</v>
      </c>
      <c r="CW102">
        <v>0</v>
      </c>
      <c r="CX102">
        <v>7233400</v>
      </c>
      <c r="CY102">
        <v>0</v>
      </c>
      <c r="CZ102" t="b">
        <v>1</v>
      </c>
      <c r="DA102">
        <v>45834</v>
      </c>
      <c r="DB102" t="s">
        <v>8380</v>
      </c>
      <c r="DC102">
        <v>1.8615671010322463E-3</v>
      </c>
      <c r="DD102">
        <v>211.59291850124856</v>
      </c>
      <c r="DE102" s="420" cm="1">
        <f t="array" ref="DE102">_xlfn.XLOOKUP("Дом 5"&amp;Реестр_Д5[[#This Row],[№]]&amp;Реестр_Д5[[#This Row],[Статус]],РД[Дом]&amp;РД[№ кв]&amp;РД[Состояние],РД[Дата подачи на регистрацию],"-",0)</f>
        <v>45834</v>
      </c>
    </row>
    <row r="103" spans="1:109" hidden="1" x14ac:dyDescent="0.25">
      <c r="A103" s="238">
        <v>102</v>
      </c>
      <c r="B103" s="238" t="s">
        <v>6</v>
      </c>
      <c r="C103" s="238">
        <v>15</v>
      </c>
      <c r="D103" s="238">
        <v>5</v>
      </c>
      <c r="E103" s="238">
        <v>2</v>
      </c>
      <c r="F103" s="238">
        <v>16.46</v>
      </c>
      <c r="G103" s="238">
        <v>12.47</v>
      </c>
      <c r="H103" s="238"/>
      <c r="I103">
        <v>28.93</v>
      </c>
      <c r="J103" s="238">
        <v>18</v>
      </c>
      <c r="K103" s="238">
        <v>4.3499999999999996</v>
      </c>
      <c r="L103" s="238">
        <v>1.55</v>
      </c>
      <c r="M103" s="238"/>
      <c r="N103" s="238">
        <v>8</v>
      </c>
      <c r="O103" s="238">
        <v>2.67</v>
      </c>
      <c r="P103" s="238"/>
      <c r="R103" s="238">
        <v>2.67</v>
      </c>
      <c r="S103">
        <v>63.5</v>
      </c>
      <c r="T103">
        <v>60.83</v>
      </c>
      <c r="U103" s="238">
        <v>62.17</v>
      </c>
      <c r="V103">
        <v>61.35</v>
      </c>
      <c r="W103" s="238">
        <v>80307.864000000001</v>
      </c>
      <c r="X103">
        <v>4015.3932</v>
      </c>
      <c r="Y103">
        <v>84323.257199999993</v>
      </c>
      <c r="Z103">
        <v>2529.6977160000001</v>
      </c>
      <c r="AA103">
        <v>86852.954916000002</v>
      </c>
      <c r="AC103">
        <v>86852.954916000002</v>
      </c>
      <c r="AE103">
        <v>86852.954916000002</v>
      </c>
      <c r="AG103">
        <v>86852.954916000002</v>
      </c>
      <c r="AI103">
        <v>86852.954916000002</v>
      </c>
      <c r="AJ103">
        <v>868.52954915999999</v>
      </c>
      <c r="AK103">
        <v>87721.48446516</v>
      </c>
      <c r="AL103">
        <v>4386.0742232580005</v>
      </c>
      <c r="AM103">
        <v>92107.558688417994</v>
      </c>
      <c r="AO103">
        <v>92107.558688417994</v>
      </c>
      <c r="AP103">
        <v>1842.15117376836</v>
      </c>
      <c r="AQ103">
        <v>93949.709862186355</v>
      </c>
      <c r="AS103">
        <v>93949.709862186355</v>
      </c>
      <c r="AT103">
        <v>1878.9941972437273</v>
      </c>
      <c r="AU103">
        <v>95828.704059430078</v>
      </c>
      <c r="AW103">
        <v>95828.704059430078</v>
      </c>
      <c r="AY103">
        <v>95828.704059430078</v>
      </c>
      <c r="AZ103">
        <v>1916.5740811886017</v>
      </c>
      <c r="BA103">
        <v>97745.278140618684</v>
      </c>
      <c r="BB103">
        <v>488.72639070309344</v>
      </c>
      <c r="BC103">
        <v>98234.004531321771</v>
      </c>
      <c r="BE103">
        <v>98234.004531321771</v>
      </c>
      <c r="BF103">
        <v>1473.5100679698264</v>
      </c>
      <c r="BG103">
        <v>99707.514599291593</v>
      </c>
      <c r="BI103">
        <v>99707.514599291593</v>
      </c>
      <c r="BJ103">
        <v>3988.3005839716639</v>
      </c>
      <c r="BK103">
        <v>103695.81518326326</v>
      </c>
      <c r="BM103">
        <v>103695.81518326326</v>
      </c>
      <c r="BO103">
        <v>103695.81518326326</v>
      </c>
      <c r="BQ103">
        <v>103695.81518326326</v>
      </c>
      <c r="BS103">
        <v>103695.81518326326</v>
      </c>
      <c r="BT103" s="238">
        <v>103695.82</v>
      </c>
      <c r="BU103" s="238">
        <v>6446800</v>
      </c>
      <c r="BW103">
        <v>0.03</v>
      </c>
      <c r="BX103" s="238">
        <v>193404</v>
      </c>
      <c r="BY103" s="238">
        <v>100585.4270548496</v>
      </c>
      <c r="BZ103" s="238">
        <v>6253396</v>
      </c>
      <c r="CA103" s="238" t="s">
        <v>36</v>
      </c>
      <c r="CC103">
        <v>100585.4270548496</v>
      </c>
      <c r="CD103" s="238">
        <v>0</v>
      </c>
      <c r="CE103" s="238">
        <v>6253396</v>
      </c>
      <c r="CG103" t="s">
        <v>978</v>
      </c>
      <c r="CH103" s="238" t="s">
        <v>39</v>
      </c>
      <c r="CI103" s="238" t="s">
        <v>39</v>
      </c>
      <c r="CJ103" t="s">
        <v>8950</v>
      </c>
      <c r="CK103" t="s">
        <v>1167</v>
      </c>
      <c r="CL103" t="s">
        <v>8961</v>
      </c>
      <c r="CM103" t="s">
        <v>8971</v>
      </c>
      <c r="CN103" s="238" t="b">
        <v>1</v>
      </c>
      <c r="CO103" t="s">
        <v>5391</v>
      </c>
      <c r="CQ103" t="s">
        <v>6652</v>
      </c>
      <c r="CR103" t="s">
        <v>3246</v>
      </c>
      <c r="CS103" t="s">
        <v>36</v>
      </c>
      <c r="CT103" t="b">
        <v>1</v>
      </c>
      <c r="CU103">
        <v>6446800</v>
      </c>
      <c r="CV103" t="s">
        <v>9002</v>
      </c>
      <c r="CW103">
        <v>0</v>
      </c>
      <c r="CX103">
        <v>6446800</v>
      </c>
      <c r="CY103">
        <v>0</v>
      </c>
      <c r="CZ103" t="b">
        <v>1</v>
      </c>
      <c r="DA103">
        <v>45576</v>
      </c>
      <c r="DB103" t="s">
        <v>126</v>
      </c>
      <c r="DC103">
        <v>-1.3189641306096234E-2</v>
      </c>
      <c r="DD103">
        <v>-1326.6857034739739</v>
      </c>
      <c r="DE103" s="420" cm="1">
        <f t="array" ref="DE103">_xlfn.XLOOKUP("Дом 5"&amp;Реестр_Д5[[#This Row],[№]]&amp;Реестр_Д5[[#This Row],[Статус]],РД[Дом]&amp;РД[№ кв]&amp;РД[Состояние],РД[Дата подачи на регистрацию],"-",0)</f>
        <v>45576</v>
      </c>
    </row>
    <row r="104" spans="1:109" hidden="1" x14ac:dyDescent="0.25">
      <c r="A104" s="238">
        <v>103</v>
      </c>
      <c r="B104" s="238" t="s">
        <v>6</v>
      </c>
      <c r="C104" s="238">
        <v>15</v>
      </c>
      <c r="D104" s="238">
        <v>6</v>
      </c>
      <c r="E104" s="238">
        <v>2</v>
      </c>
      <c r="F104" s="238">
        <v>14.64</v>
      </c>
      <c r="G104" s="238">
        <v>10.74</v>
      </c>
      <c r="H104" s="238"/>
      <c r="I104">
        <v>25.380000000000003</v>
      </c>
      <c r="J104" s="238">
        <v>14.35</v>
      </c>
      <c r="K104" s="238">
        <v>4.16</v>
      </c>
      <c r="L104" s="238">
        <v>1.93</v>
      </c>
      <c r="M104" s="238"/>
      <c r="N104" s="238">
        <v>11.03</v>
      </c>
      <c r="O104" s="238">
        <v>2.6219999999999999</v>
      </c>
      <c r="P104" s="238"/>
      <c r="R104" s="238">
        <v>2.6219999999999999</v>
      </c>
      <c r="S104">
        <v>59.47</v>
      </c>
      <c r="T104">
        <v>56.85</v>
      </c>
      <c r="U104" s="238">
        <v>58.16</v>
      </c>
      <c r="V104">
        <v>57.999999999999993</v>
      </c>
      <c r="W104" s="238">
        <v>81466.150500000003</v>
      </c>
      <c r="X104">
        <v>4073.3075250000002</v>
      </c>
      <c r="Y104">
        <v>85539.458025</v>
      </c>
      <c r="Z104">
        <v>2566.1837407499997</v>
      </c>
      <c r="AA104">
        <v>88105.641765749999</v>
      </c>
      <c r="AC104">
        <v>88105.641765749999</v>
      </c>
      <c r="AE104">
        <v>88105.641765749999</v>
      </c>
      <c r="AG104">
        <v>88105.641765749999</v>
      </c>
      <c r="AI104">
        <v>88105.641765749999</v>
      </c>
      <c r="AK104">
        <v>88105.641765749999</v>
      </c>
      <c r="AM104">
        <v>88105.641765749999</v>
      </c>
      <c r="AO104">
        <v>88105.641765749999</v>
      </c>
      <c r="AQ104">
        <v>88105.641765749999</v>
      </c>
      <c r="AS104">
        <v>88105.641765749999</v>
      </c>
      <c r="AU104">
        <v>88105.641765749999</v>
      </c>
      <c r="AW104">
        <v>88105.641765749999</v>
      </c>
      <c r="AY104">
        <v>88105.641765749999</v>
      </c>
      <c r="BA104">
        <v>88105.641765749999</v>
      </c>
      <c r="BC104">
        <v>88105.641765749999</v>
      </c>
      <c r="BE104">
        <v>88105.641765749999</v>
      </c>
      <c r="BG104">
        <v>88105.641765749999</v>
      </c>
      <c r="BI104">
        <v>88105.641765749999</v>
      </c>
      <c r="BK104">
        <v>88105.641765749999</v>
      </c>
      <c r="BM104">
        <v>88105.641765749999</v>
      </c>
      <c r="BO104">
        <v>88105.641765749999</v>
      </c>
      <c r="BQ104">
        <v>88105.641765749999</v>
      </c>
      <c r="BS104">
        <v>88105.641765749999</v>
      </c>
      <c r="BT104" s="238">
        <v>88105.64</v>
      </c>
      <c r="BU104" s="238">
        <v>5124300</v>
      </c>
      <c r="BW104">
        <v>0.02</v>
      </c>
      <c r="BX104" s="238">
        <v>102486</v>
      </c>
      <c r="BY104" s="238">
        <v>86344.807427785418</v>
      </c>
      <c r="BZ104" s="238">
        <v>5021814</v>
      </c>
      <c r="CA104" s="238" t="s">
        <v>38</v>
      </c>
      <c r="CB104">
        <v>22000</v>
      </c>
      <c r="CC104">
        <v>108344.80742778542</v>
      </c>
      <c r="CD104" s="238">
        <v>1279519.9999999993</v>
      </c>
      <c r="CE104" s="238">
        <v>6301333.9999999991</v>
      </c>
      <c r="CG104" t="s">
        <v>3540</v>
      </c>
      <c r="CH104" s="238" t="s">
        <v>39</v>
      </c>
      <c r="CI104" s="238" t="s">
        <v>39</v>
      </c>
      <c r="CJ104" t="s">
        <v>8950</v>
      </c>
      <c r="CK104" t="s">
        <v>1167</v>
      </c>
      <c r="CL104" t="s">
        <v>8961</v>
      </c>
      <c r="CM104" t="s">
        <v>8971</v>
      </c>
      <c r="CN104" s="238" t="b">
        <v>1</v>
      </c>
      <c r="CO104" t="s">
        <v>5392</v>
      </c>
      <c r="CQ104" t="s">
        <v>6652</v>
      </c>
      <c r="CR104" t="s">
        <v>3246</v>
      </c>
      <c r="CS104" t="s">
        <v>38</v>
      </c>
      <c r="CT104" t="b">
        <v>1</v>
      </c>
      <c r="CU104">
        <v>5124300</v>
      </c>
      <c r="CV104" t="s">
        <v>9002</v>
      </c>
      <c r="CW104">
        <v>0</v>
      </c>
      <c r="CX104">
        <v>5124300</v>
      </c>
      <c r="CY104">
        <v>0</v>
      </c>
      <c r="CZ104" t="b">
        <v>1</v>
      </c>
      <c r="DA104">
        <v>45273</v>
      </c>
      <c r="DB104" t="s">
        <v>4177</v>
      </c>
      <c r="DC104">
        <v>-2.7510316368638543E-3</v>
      </c>
      <c r="DD104">
        <v>-237.53729691275481</v>
      </c>
      <c r="DE104" s="420" cm="1">
        <f t="array" ref="DE104">_xlfn.XLOOKUP("Дом 5"&amp;Реестр_Д5[[#This Row],[№]]&amp;Реестр_Д5[[#This Row],[Статус]],РД[Дом]&amp;РД[№ кв]&amp;РД[Состояние],РД[Дата подачи на регистрацию],"-",0)</f>
        <v>45273</v>
      </c>
    </row>
    <row r="105" spans="1:109" hidden="1" x14ac:dyDescent="0.25">
      <c r="A105" s="238">
        <v>104</v>
      </c>
      <c r="B105" s="238" t="s">
        <v>6</v>
      </c>
      <c r="C105" s="238">
        <v>15</v>
      </c>
      <c r="D105" s="238">
        <v>7</v>
      </c>
      <c r="E105" s="238">
        <v>1</v>
      </c>
      <c r="F105" s="238">
        <v>18.489999999999998</v>
      </c>
      <c r="G105" s="238"/>
      <c r="H105" s="238"/>
      <c r="I105">
        <v>18.489999999999998</v>
      </c>
      <c r="J105" s="238">
        <v>13.04</v>
      </c>
      <c r="K105" s="238">
        <v>3.9</v>
      </c>
      <c r="L105" s="238"/>
      <c r="M105" s="238"/>
      <c r="N105" s="238">
        <v>5.99</v>
      </c>
      <c r="O105" s="238">
        <v>2.65</v>
      </c>
      <c r="P105" s="238"/>
      <c r="R105" s="238">
        <v>2.65</v>
      </c>
      <c r="S105">
        <v>44.07</v>
      </c>
      <c r="T105">
        <v>41.42</v>
      </c>
      <c r="U105" s="238">
        <v>42.75</v>
      </c>
      <c r="V105">
        <v>42.75</v>
      </c>
      <c r="W105" s="238">
        <v>83951.4375</v>
      </c>
      <c r="X105">
        <v>4197.5718750000005</v>
      </c>
      <c r="Y105">
        <v>88149.009374999994</v>
      </c>
      <c r="Z105">
        <v>2644.4702812499995</v>
      </c>
      <c r="AA105">
        <v>90793.479656249998</v>
      </c>
      <c r="AB105">
        <v>3631.7391862499999</v>
      </c>
      <c r="AC105">
        <v>94425.218842499977</v>
      </c>
      <c r="AE105">
        <v>94425.218842499977</v>
      </c>
      <c r="AG105">
        <v>94425.218842499977</v>
      </c>
      <c r="AI105">
        <v>94425.218842499977</v>
      </c>
      <c r="AK105">
        <v>94425.218842499977</v>
      </c>
      <c r="AM105">
        <v>94425.218842499977</v>
      </c>
      <c r="AO105">
        <v>94425.218842499977</v>
      </c>
      <c r="AQ105">
        <v>94425.218842499977</v>
      </c>
      <c r="AS105">
        <v>94425.218842499977</v>
      </c>
      <c r="AU105">
        <v>94425.218842499977</v>
      </c>
      <c r="AW105">
        <v>94425.218842499977</v>
      </c>
      <c r="AY105">
        <v>94425.218842499977</v>
      </c>
      <c r="BA105">
        <v>94425.218842499977</v>
      </c>
      <c r="BC105">
        <v>94425.218842499977</v>
      </c>
      <c r="BE105">
        <v>94425.218842499977</v>
      </c>
      <c r="BG105">
        <v>94425.218842499977</v>
      </c>
      <c r="BI105">
        <v>94425.218842499977</v>
      </c>
      <c r="BK105">
        <v>94425.218842499977</v>
      </c>
      <c r="BM105">
        <v>94425.218842499977</v>
      </c>
      <c r="BO105">
        <v>94425.218842499977</v>
      </c>
      <c r="BQ105">
        <v>94425.218842499977</v>
      </c>
      <c r="BS105">
        <v>94425.218842499977</v>
      </c>
      <c r="BT105" s="238">
        <v>94425.22</v>
      </c>
      <c r="BU105" s="238">
        <v>4036678.16</v>
      </c>
      <c r="BX105" s="238">
        <v>0</v>
      </c>
      <c r="BY105" s="238">
        <v>94425.220116959084</v>
      </c>
      <c r="BZ105" s="238">
        <v>4036678.16</v>
      </c>
      <c r="CA105" s="238" t="s">
        <v>38</v>
      </c>
      <c r="CB105">
        <v>22000</v>
      </c>
      <c r="CC105">
        <v>116425.22011695908</v>
      </c>
      <c r="CD105" s="238">
        <v>940500</v>
      </c>
      <c r="CE105" s="238">
        <v>4977178.16</v>
      </c>
      <c r="CH105" s="238" t="s">
        <v>39</v>
      </c>
      <c r="CI105" s="238" t="s">
        <v>39</v>
      </c>
      <c r="CJ105" t="s">
        <v>8950</v>
      </c>
      <c r="CK105" t="s">
        <v>1167</v>
      </c>
      <c r="CL105" t="s">
        <v>8961</v>
      </c>
      <c r="CM105" t="s">
        <v>8973</v>
      </c>
      <c r="CN105" s="238" t="b">
        <v>1</v>
      </c>
      <c r="CO105" t="s">
        <v>5393</v>
      </c>
      <c r="CQ105" t="s">
        <v>4895</v>
      </c>
      <c r="CR105" t="s">
        <v>3246</v>
      </c>
      <c r="CS105" t="s">
        <v>38</v>
      </c>
      <c r="CT105" t="b">
        <v>1</v>
      </c>
      <c r="CU105">
        <v>4036678.16</v>
      </c>
      <c r="CV105" t="s">
        <v>9002</v>
      </c>
      <c r="CW105">
        <v>0</v>
      </c>
      <c r="CX105">
        <v>4036678</v>
      </c>
      <c r="CY105">
        <v>0</v>
      </c>
      <c r="CZ105" t="b">
        <v>1</v>
      </c>
      <c r="DA105">
        <v>45224</v>
      </c>
      <c r="DB105" t="s">
        <v>4177</v>
      </c>
      <c r="DC105">
        <v>0</v>
      </c>
      <c r="DD105">
        <v>0</v>
      </c>
      <c r="DE105" s="420" cm="1">
        <f t="array" ref="DE105">_xlfn.XLOOKUP("Дом 5"&amp;Реестр_Д5[[#This Row],[№]]&amp;Реестр_Д5[[#This Row],[Статус]],РД[Дом]&amp;РД[№ кв]&amp;РД[Состояние],РД[Дата подачи на регистрацию],"-",0)</f>
        <v>45224</v>
      </c>
    </row>
    <row r="106" spans="1:109" hidden="1" x14ac:dyDescent="0.25">
      <c r="A106" s="238">
        <v>105</v>
      </c>
      <c r="B106" s="238" t="s">
        <v>6</v>
      </c>
      <c r="C106" s="238">
        <v>16</v>
      </c>
      <c r="D106" s="238">
        <v>1</v>
      </c>
      <c r="E106" s="238">
        <v>1</v>
      </c>
      <c r="F106" s="238">
        <v>14.68</v>
      </c>
      <c r="G106" s="238"/>
      <c r="H106" s="238"/>
      <c r="I106">
        <v>14.68</v>
      </c>
      <c r="J106" s="238">
        <v>9.84</v>
      </c>
      <c r="K106" s="238">
        <v>3.63</v>
      </c>
      <c r="L106" s="238"/>
      <c r="M106" s="238"/>
      <c r="N106" s="238">
        <v>4.8899999999999997</v>
      </c>
      <c r="O106" s="238">
        <v>2.7</v>
      </c>
      <c r="P106" s="238"/>
      <c r="R106" s="238">
        <v>2.7</v>
      </c>
      <c r="S106">
        <v>35.74</v>
      </c>
      <c r="T106">
        <v>33.04</v>
      </c>
      <c r="U106" s="238">
        <v>34.39</v>
      </c>
      <c r="V106">
        <v>34.35</v>
      </c>
      <c r="W106" s="238">
        <v>82734.75</v>
      </c>
      <c r="X106">
        <v>4136.7375000000002</v>
      </c>
      <c r="Y106">
        <v>86871.487500000003</v>
      </c>
      <c r="Z106">
        <v>2606.1446249999999</v>
      </c>
      <c r="AA106">
        <v>89477.632125000004</v>
      </c>
      <c r="AB106">
        <v>12526.8684975</v>
      </c>
      <c r="AC106">
        <v>102004.5006225</v>
      </c>
      <c r="AE106">
        <v>102004.5006225</v>
      </c>
      <c r="AF106">
        <v>5100.2250311250009</v>
      </c>
      <c r="AG106">
        <v>107104.72565362501</v>
      </c>
      <c r="AI106">
        <v>107104.72565362501</v>
      </c>
      <c r="AJ106">
        <v>1071.0472565362502</v>
      </c>
      <c r="AK106">
        <v>108175.77291016123</v>
      </c>
      <c r="AL106">
        <v>5408.7886455080625</v>
      </c>
      <c r="AM106">
        <v>113584.56155566932</v>
      </c>
      <c r="AO106">
        <v>113584.56155566932</v>
      </c>
      <c r="AP106">
        <v>3407.5368466700793</v>
      </c>
      <c r="AQ106">
        <v>116992.09840233938</v>
      </c>
      <c r="AS106">
        <v>116992.09840233938</v>
      </c>
      <c r="AU106">
        <v>116992.09840233938</v>
      </c>
      <c r="AW106">
        <v>116992.09840233938</v>
      </c>
      <c r="AY106">
        <v>116992.09840233938</v>
      </c>
      <c r="AZ106">
        <v>2339.8419680467882</v>
      </c>
      <c r="BA106">
        <v>119331.94037038618</v>
      </c>
      <c r="BC106">
        <v>119331.94037038618</v>
      </c>
      <c r="BE106">
        <v>119331.94037038618</v>
      </c>
      <c r="BF106">
        <v>2983.2985092596546</v>
      </c>
      <c r="BG106">
        <v>122315.23887964584</v>
      </c>
      <c r="BI106">
        <v>122315.23887964584</v>
      </c>
      <c r="BJ106">
        <v>2446.3047775929167</v>
      </c>
      <c r="BK106">
        <v>124761.54365723874</v>
      </c>
      <c r="BL106">
        <v>6238.0771828619372</v>
      </c>
      <c r="BM106">
        <v>130999.62084010067</v>
      </c>
      <c r="BN106">
        <v>17029.950709213088</v>
      </c>
      <c r="BO106">
        <v>148029.57154931375</v>
      </c>
      <c r="BP106">
        <v>35</v>
      </c>
      <c r="BQ106">
        <v>148064.57154931375</v>
      </c>
      <c r="BS106">
        <v>148064.57154931375</v>
      </c>
      <c r="BT106" s="238">
        <v>148064.57</v>
      </c>
      <c r="BU106" s="238">
        <v>5092000</v>
      </c>
      <c r="BV106">
        <v>793250</v>
      </c>
      <c r="BX106" s="238">
        <v>793250</v>
      </c>
      <c r="BY106" s="238">
        <v>125000</v>
      </c>
      <c r="BZ106" s="238">
        <v>4298750</v>
      </c>
      <c r="CA106" s="238" t="s">
        <v>38</v>
      </c>
      <c r="CB106">
        <v>25000</v>
      </c>
      <c r="CC106">
        <v>150000</v>
      </c>
      <c r="CD106" s="238">
        <v>859750</v>
      </c>
      <c r="CE106" s="238">
        <v>5158500</v>
      </c>
      <c r="CF106" t="s">
        <v>4633</v>
      </c>
      <c r="CG106" t="s">
        <v>8841</v>
      </c>
      <c r="CH106" s="238" t="s">
        <v>39</v>
      </c>
      <c r="CI106" s="238" t="s">
        <v>39</v>
      </c>
      <c r="CJ106" t="s">
        <v>8950</v>
      </c>
      <c r="CK106" t="s">
        <v>1167</v>
      </c>
      <c r="CL106" t="s">
        <v>8961</v>
      </c>
      <c r="CM106" t="s">
        <v>8973</v>
      </c>
      <c r="CN106" s="238" t="b">
        <v>1</v>
      </c>
      <c r="CO106" t="s">
        <v>5394</v>
      </c>
      <c r="CQ106" t="s">
        <v>6652</v>
      </c>
      <c r="CR106" t="s">
        <v>3246</v>
      </c>
      <c r="CS106" t="s">
        <v>38</v>
      </c>
      <c r="CT106" t="b">
        <v>1</v>
      </c>
      <c r="CU106">
        <v>5092000</v>
      </c>
      <c r="CV106" t="s">
        <v>9002</v>
      </c>
      <c r="CW106">
        <v>5092000</v>
      </c>
      <c r="CX106">
        <v>5092000</v>
      </c>
      <c r="CY106">
        <v>0</v>
      </c>
      <c r="CZ106" t="b">
        <v>1</v>
      </c>
      <c r="DA106">
        <v>45823</v>
      </c>
      <c r="DB106" t="s">
        <v>4177</v>
      </c>
      <c r="DC106">
        <v>-1.1631288165163678E-3</v>
      </c>
      <c r="DD106">
        <v>-145.39110206454598</v>
      </c>
      <c r="DE106" s="420" cm="1">
        <f t="array" ref="DE106">_xlfn.XLOOKUP("Дом 5"&amp;Реестр_Д5[[#This Row],[№]]&amp;Реестр_Д5[[#This Row],[Статус]],РД[Дом]&amp;РД[№ кв]&amp;РД[Состояние],РД[Дата подачи на регистрацию],"-",0)</f>
        <v>45823</v>
      </c>
    </row>
    <row r="107" spans="1:109" hidden="1" x14ac:dyDescent="0.25">
      <c r="A107" s="238">
        <v>106</v>
      </c>
      <c r="B107" s="238" t="s">
        <v>6</v>
      </c>
      <c r="C107" s="238">
        <v>16</v>
      </c>
      <c r="D107" s="238">
        <v>2</v>
      </c>
      <c r="E107" s="238">
        <v>2</v>
      </c>
      <c r="F107" s="238">
        <v>15.82</v>
      </c>
      <c r="G107" s="238">
        <v>15.54</v>
      </c>
      <c r="H107" s="238"/>
      <c r="I107">
        <v>31.36</v>
      </c>
      <c r="J107" s="238">
        <v>19.440000000000001</v>
      </c>
      <c r="K107" s="238">
        <v>4.42</v>
      </c>
      <c r="L107" s="238"/>
      <c r="M107" s="238">
        <v>3.25</v>
      </c>
      <c r="N107" s="238">
        <v>8.5299999999999994</v>
      </c>
      <c r="O107" s="238">
        <v>3</v>
      </c>
      <c r="P107" s="238"/>
      <c r="R107" s="238">
        <v>3</v>
      </c>
      <c r="S107">
        <v>70</v>
      </c>
      <c r="T107">
        <v>67</v>
      </c>
      <c r="U107" s="238">
        <v>68.5</v>
      </c>
      <c r="V107">
        <v>67.849999999999994</v>
      </c>
      <c r="W107" s="238">
        <v>84168.819000000003</v>
      </c>
      <c r="X107">
        <v>4208.4409500000002</v>
      </c>
      <c r="Y107">
        <v>88377.259950000007</v>
      </c>
      <c r="Z107">
        <v>2651.3177985000002</v>
      </c>
      <c r="AA107">
        <v>91028.577748500014</v>
      </c>
      <c r="AC107">
        <v>91028.577748500014</v>
      </c>
      <c r="AE107">
        <v>91028.577748500014</v>
      </c>
      <c r="AG107">
        <v>91028.577748500014</v>
      </c>
      <c r="AH107">
        <v>-831</v>
      </c>
      <c r="AI107">
        <v>90197.577748500014</v>
      </c>
      <c r="AJ107">
        <v>901.97577748500021</v>
      </c>
      <c r="AK107">
        <v>91099.553525985015</v>
      </c>
      <c r="AL107">
        <v>4554.9776762992506</v>
      </c>
      <c r="AM107">
        <v>95654.531202284285</v>
      </c>
      <c r="AO107">
        <v>95654.531202284285</v>
      </c>
      <c r="AP107">
        <v>1913.0906240456857</v>
      </c>
      <c r="AQ107">
        <v>97567.621826329952</v>
      </c>
      <c r="AS107">
        <v>97567.621826329952</v>
      </c>
      <c r="AT107">
        <v>1951.3524365265991</v>
      </c>
      <c r="AU107">
        <v>99518.974262856558</v>
      </c>
      <c r="AW107">
        <v>99518.974262856558</v>
      </c>
      <c r="AY107">
        <v>99518.974262856558</v>
      </c>
      <c r="BA107">
        <v>99518.974262856558</v>
      </c>
      <c r="BC107">
        <v>99518.974262856558</v>
      </c>
      <c r="BE107">
        <v>99518.974262856558</v>
      </c>
      <c r="BF107">
        <v>497.59487131428278</v>
      </c>
      <c r="BG107">
        <v>100016.56913417084</v>
      </c>
      <c r="BI107">
        <v>100016.56913417084</v>
      </c>
      <c r="BK107">
        <v>100016.56913417084</v>
      </c>
      <c r="BM107">
        <v>100016.56913417084</v>
      </c>
      <c r="BO107">
        <v>100016.56913417084</v>
      </c>
      <c r="BQ107">
        <v>100016.56913417084</v>
      </c>
      <c r="BS107">
        <v>100016.56913417084</v>
      </c>
      <c r="BT107" s="238">
        <v>100016.57</v>
      </c>
      <c r="BU107" s="238">
        <v>6851200</v>
      </c>
      <c r="BV107">
        <v>200000</v>
      </c>
      <c r="BX107" s="238">
        <v>200000</v>
      </c>
      <c r="BY107" s="238">
        <v>97097.810218978106</v>
      </c>
      <c r="BZ107" s="238">
        <v>6651200</v>
      </c>
      <c r="CA107" s="238" t="s">
        <v>38</v>
      </c>
      <c r="CB107">
        <v>20000</v>
      </c>
      <c r="CC107">
        <v>117097.81021897812</v>
      </c>
      <c r="CD107" s="238">
        <v>1370000</v>
      </c>
      <c r="CE107" s="238">
        <v>8021200</v>
      </c>
      <c r="CG107" t="s">
        <v>3390</v>
      </c>
      <c r="CH107" s="238" t="s">
        <v>39</v>
      </c>
      <c r="CI107" s="238" t="s">
        <v>39</v>
      </c>
      <c r="CJ107" t="s">
        <v>8950</v>
      </c>
      <c r="CK107" t="s">
        <v>1167</v>
      </c>
      <c r="CL107" t="s">
        <v>8961</v>
      </c>
      <c r="CM107" t="s">
        <v>8971</v>
      </c>
      <c r="CN107" s="238" t="b">
        <v>1</v>
      </c>
      <c r="CO107" t="s">
        <v>5395</v>
      </c>
      <c r="CQ107" t="s">
        <v>6652</v>
      </c>
      <c r="CR107" t="s">
        <v>3246</v>
      </c>
      <c r="CS107" t="s">
        <v>38</v>
      </c>
      <c r="CT107" t="b">
        <v>1</v>
      </c>
      <c r="CU107">
        <v>6851200</v>
      </c>
      <c r="CV107" t="s">
        <v>9002</v>
      </c>
      <c r="CW107">
        <v>0</v>
      </c>
      <c r="CX107">
        <v>6851200</v>
      </c>
      <c r="CY107">
        <v>0</v>
      </c>
      <c r="CZ107" t="b">
        <v>1</v>
      </c>
      <c r="DA107">
        <v>45498</v>
      </c>
      <c r="DB107" t="s">
        <v>4177</v>
      </c>
      <c r="DC107">
        <v>-9.4890510948906215E-3</v>
      </c>
      <c r="DD107">
        <v>-921.36608236987604</v>
      </c>
      <c r="DE107" s="420" cm="1">
        <f t="array" ref="DE107">_xlfn.XLOOKUP("Дом 5"&amp;Реестр_Д5[[#This Row],[№]]&amp;Реестр_Д5[[#This Row],[Статус]],РД[Дом]&amp;РД[№ кв]&amp;РД[Состояние],РД[Дата подачи на регистрацию],"-",0)</f>
        <v>45498</v>
      </c>
    </row>
    <row r="108" spans="1:109" hidden="1" x14ac:dyDescent="0.25">
      <c r="A108" s="238">
        <v>107</v>
      </c>
      <c r="B108" s="238" t="s">
        <v>6</v>
      </c>
      <c r="C108" s="238">
        <v>16</v>
      </c>
      <c r="D108" s="238">
        <v>3</v>
      </c>
      <c r="E108" s="238">
        <v>1</v>
      </c>
      <c r="F108" s="238">
        <v>13.6</v>
      </c>
      <c r="G108" s="238"/>
      <c r="H108" s="238"/>
      <c r="I108">
        <v>13.6</v>
      </c>
      <c r="J108" s="238">
        <v>14.97</v>
      </c>
      <c r="K108" s="238">
        <v>4.1100000000000003</v>
      </c>
      <c r="L108" s="238"/>
      <c r="M108" s="238"/>
      <c r="N108" s="238">
        <v>3.7</v>
      </c>
      <c r="O108" s="238">
        <v>2.69</v>
      </c>
      <c r="P108" s="238"/>
      <c r="R108" s="238">
        <v>2.69</v>
      </c>
      <c r="S108">
        <v>39.07</v>
      </c>
      <c r="T108">
        <v>36.380000000000003</v>
      </c>
      <c r="U108" s="238">
        <v>37.729999999999997</v>
      </c>
      <c r="V108">
        <v>37.700000000000003</v>
      </c>
      <c r="W108" s="238">
        <v>87601.5</v>
      </c>
      <c r="Y108">
        <v>87601.5</v>
      </c>
      <c r="AA108">
        <v>87601.5</v>
      </c>
      <c r="AC108">
        <v>87601.5</v>
      </c>
      <c r="AE108">
        <v>87601.5</v>
      </c>
      <c r="AG108">
        <v>87601.5</v>
      </c>
      <c r="AI108">
        <v>87601.5</v>
      </c>
      <c r="AK108">
        <v>87601.5</v>
      </c>
      <c r="AM108">
        <v>87601.5</v>
      </c>
      <c r="AO108">
        <v>87601.5</v>
      </c>
      <c r="AQ108">
        <v>87601.5</v>
      </c>
      <c r="AS108">
        <v>87601.5</v>
      </c>
      <c r="AU108">
        <v>87601.5</v>
      </c>
      <c r="AW108">
        <v>87601.5</v>
      </c>
      <c r="AY108">
        <v>87601.5</v>
      </c>
      <c r="BA108">
        <v>87601.5</v>
      </c>
      <c r="BC108">
        <v>87601.5</v>
      </c>
      <c r="BE108">
        <v>87601.5</v>
      </c>
      <c r="BG108">
        <v>87601.5</v>
      </c>
      <c r="BI108">
        <v>87601.5</v>
      </c>
      <c r="BK108">
        <v>87601.5</v>
      </c>
      <c r="BM108">
        <v>87601.5</v>
      </c>
      <c r="BO108">
        <v>87601.5</v>
      </c>
      <c r="BQ108">
        <v>87601.5</v>
      </c>
      <c r="BS108">
        <v>87601.5</v>
      </c>
      <c r="BT108" s="238">
        <v>87601.5</v>
      </c>
      <c r="BU108" s="238">
        <v>3305204.6</v>
      </c>
      <c r="BX108" s="238">
        <v>0</v>
      </c>
      <c r="BY108" s="238">
        <v>87601.500132520538</v>
      </c>
      <c r="BZ108" s="238">
        <v>3305204.6</v>
      </c>
      <c r="CA108" s="238" t="s">
        <v>37</v>
      </c>
      <c r="CB108">
        <v>4000</v>
      </c>
      <c r="CC108">
        <v>91601.500132520538</v>
      </c>
      <c r="CD108" s="238">
        <v>150920</v>
      </c>
      <c r="CE108" s="238">
        <v>3456124.6</v>
      </c>
      <c r="CH108" s="238" t="s">
        <v>39</v>
      </c>
      <c r="CI108" s="238" t="s">
        <v>39</v>
      </c>
      <c r="CJ108" t="s">
        <v>8950</v>
      </c>
      <c r="CK108" t="s">
        <v>1167</v>
      </c>
      <c r="CL108" t="s">
        <v>8961</v>
      </c>
      <c r="CM108" t="s">
        <v>8972</v>
      </c>
      <c r="CN108" s="238" t="b">
        <v>1</v>
      </c>
      <c r="CO108" t="s">
        <v>5396</v>
      </c>
      <c r="CQ108" t="s">
        <v>4895</v>
      </c>
      <c r="CR108" t="s">
        <v>3246</v>
      </c>
      <c r="CS108" t="s">
        <v>37</v>
      </c>
      <c r="CT108" t="b">
        <v>1</v>
      </c>
      <c r="CU108">
        <v>3305204.6</v>
      </c>
      <c r="CV108" t="s">
        <v>9002</v>
      </c>
      <c r="CW108">
        <v>3305205</v>
      </c>
      <c r="CX108">
        <v>3305205</v>
      </c>
      <c r="CY108">
        <v>0</v>
      </c>
      <c r="CZ108" t="b">
        <v>1</v>
      </c>
      <c r="DA108">
        <v>45189</v>
      </c>
      <c r="DB108" t="s">
        <v>130</v>
      </c>
      <c r="DC108">
        <v>-7.951232441026912E-4</v>
      </c>
      <c r="DD108">
        <v>-69.653988973632067</v>
      </c>
      <c r="DE108" s="420" cm="1">
        <f t="array" ref="DE108">_xlfn.XLOOKUP("Дом 5"&amp;Реестр_Д5[[#This Row],[№]]&amp;Реестр_Д5[[#This Row],[Статус]],РД[Дом]&amp;РД[№ кв]&amp;РД[Состояние],РД[Дата подачи на регистрацию],"-",0)</f>
        <v>45189</v>
      </c>
    </row>
    <row r="109" spans="1:109" hidden="1" x14ac:dyDescent="0.25">
      <c r="A109" s="238">
        <v>108</v>
      </c>
      <c r="B109" s="238" t="s">
        <v>6</v>
      </c>
      <c r="C109" s="238">
        <v>16</v>
      </c>
      <c r="D109" s="238">
        <v>4</v>
      </c>
      <c r="E109" s="238">
        <v>2</v>
      </c>
      <c r="F109" s="238">
        <v>16.61</v>
      </c>
      <c r="G109" s="238">
        <v>11.38</v>
      </c>
      <c r="H109" s="238"/>
      <c r="I109">
        <v>27.99</v>
      </c>
      <c r="J109" s="238">
        <v>14.58</v>
      </c>
      <c r="K109" s="238">
        <v>4.34</v>
      </c>
      <c r="L109" s="238">
        <v>2.08</v>
      </c>
      <c r="M109" s="238"/>
      <c r="N109" s="238">
        <v>8.82</v>
      </c>
      <c r="O109" s="238">
        <v>2.56</v>
      </c>
      <c r="P109" s="238"/>
      <c r="R109" s="238">
        <v>2.56</v>
      </c>
      <c r="S109">
        <v>60.37</v>
      </c>
      <c r="T109">
        <v>57.81</v>
      </c>
      <c r="U109" s="238">
        <v>59.09</v>
      </c>
      <c r="V109">
        <v>58.899999999999991</v>
      </c>
      <c r="W109" s="238">
        <v>80307.864000000001</v>
      </c>
      <c r="X109">
        <v>4015.3932</v>
      </c>
      <c r="Y109">
        <v>84323.257199999993</v>
      </c>
      <c r="Z109">
        <v>2529.6977160000001</v>
      </c>
      <c r="AA109">
        <v>86852.954916000002</v>
      </c>
      <c r="AC109">
        <v>86852.954916000002</v>
      </c>
      <c r="AE109">
        <v>86852.954916000002</v>
      </c>
      <c r="AG109">
        <v>86852.954916000002</v>
      </c>
      <c r="AI109">
        <v>86852.954916000002</v>
      </c>
      <c r="AJ109">
        <v>868.52954915999999</v>
      </c>
      <c r="AK109">
        <v>87721.48446516</v>
      </c>
      <c r="AL109">
        <v>4386.0742232580005</v>
      </c>
      <c r="AM109">
        <v>92107.558688417994</v>
      </c>
      <c r="AO109">
        <v>92107.558688417994</v>
      </c>
      <c r="AP109">
        <v>1842.15117376836</v>
      </c>
      <c r="AQ109">
        <v>93949.709862186355</v>
      </c>
      <c r="AS109">
        <v>93949.709862186355</v>
      </c>
      <c r="AT109">
        <v>1878.9941972437273</v>
      </c>
      <c r="AU109">
        <v>95828.704059430078</v>
      </c>
      <c r="AW109">
        <v>95828.704059430078</v>
      </c>
      <c r="AX109">
        <v>958.28704059430083</v>
      </c>
      <c r="AY109">
        <v>96786.991100024374</v>
      </c>
      <c r="BA109">
        <v>96786.991100024374</v>
      </c>
      <c r="BC109">
        <v>96786.991100024374</v>
      </c>
      <c r="BE109">
        <v>96786.991100024374</v>
      </c>
      <c r="BF109">
        <v>1451.8048665003655</v>
      </c>
      <c r="BG109">
        <v>98238.795966524733</v>
      </c>
      <c r="BI109">
        <v>98238.795966524733</v>
      </c>
      <c r="BJ109">
        <v>3929.5518386609888</v>
      </c>
      <c r="BK109">
        <v>102168.34780518572</v>
      </c>
      <c r="BL109">
        <v>6130.1008683111431</v>
      </c>
      <c r="BM109">
        <v>108298.44867349688</v>
      </c>
      <c r="BN109">
        <v>14078.798327554594</v>
      </c>
      <c r="BO109">
        <v>122377.24700105148</v>
      </c>
      <c r="BP109">
        <v>35</v>
      </c>
      <c r="BQ109">
        <v>122412.24700105148</v>
      </c>
      <c r="BS109">
        <v>122412.24700105148</v>
      </c>
      <c r="BT109" s="238">
        <v>122412.25</v>
      </c>
      <c r="BU109" s="238">
        <v>7233400</v>
      </c>
      <c r="BV109">
        <v>350000</v>
      </c>
      <c r="BW109">
        <v>0.03</v>
      </c>
      <c r="BX109" s="238">
        <v>567002</v>
      </c>
      <c r="BY109" s="238">
        <v>112817.70181079708</v>
      </c>
      <c r="BZ109" s="238">
        <v>6666398</v>
      </c>
      <c r="CA109" s="238" t="s">
        <v>38</v>
      </c>
      <c r="CB109">
        <v>25000</v>
      </c>
      <c r="CC109">
        <v>137817.70181079709</v>
      </c>
      <c r="CD109" s="238">
        <v>1477250.0000000007</v>
      </c>
      <c r="CE109" s="238">
        <v>8143648.0000000019</v>
      </c>
      <c r="CG109" t="s">
        <v>8675</v>
      </c>
      <c r="CH109" s="238" t="s">
        <v>39</v>
      </c>
      <c r="CI109" s="238" t="s">
        <v>39</v>
      </c>
      <c r="CJ109" t="s">
        <v>8950</v>
      </c>
      <c r="CK109" t="s">
        <v>1167</v>
      </c>
      <c r="CL109" t="s">
        <v>8961</v>
      </c>
      <c r="CM109" t="s">
        <v>8971</v>
      </c>
      <c r="CN109" s="238" t="b">
        <v>1</v>
      </c>
      <c r="CO109" t="s">
        <v>5397</v>
      </c>
      <c r="CQ109" t="s">
        <v>6652</v>
      </c>
      <c r="CR109" t="s">
        <v>3246</v>
      </c>
      <c r="CS109" t="s">
        <v>38</v>
      </c>
      <c r="CT109" t="b">
        <v>1</v>
      </c>
      <c r="CU109">
        <v>7233400</v>
      </c>
      <c r="CV109" t="s">
        <v>9002</v>
      </c>
      <c r="CW109">
        <v>0</v>
      </c>
      <c r="CX109">
        <v>7233400</v>
      </c>
      <c r="CY109">
        <v>0</v>
      </c>
      <c r="CZ109" t="b">
        <v>1</v>
      </c>
      <c r="DA109">
        <v>45759</v>
      </c>
      <c r="DB109" t="s">
        <v>4177</v>
      </c>
      <c r="DC109">
        <v>-3.2154340836014761E-3</v>
      </c>
      <c r="DD109">
        <v>-362.75788363602487</v>
      </c>
      <c r="DE109" s="420" cm="1">
        <f t="array" ref="DE109">_xlfn.XLOOKUP("Дом 5"&amp;Реестр_Д5[[#This Row],[№]]&amp;Реестр_Д5[[#This Row],[Статус]],РД[Дом]&amp;РД[№ кв]&amp;РД[Состояние],РД[Дата подачи на регистрацию],"-",0)</f>
        <v>45759</v>
      </c>
    </row>
    <row r="110" spans="1:109" hidden="1" x14ac:dyDescent="0.25">
      <c r="A110" s="238">
        <v>109</v>
      </c>
      <c r="B110" s="238" t="s">
        <v>6</v>
      </c>
      <c r="C110" s="238">
        <v>16</v>
      </c>
      <c r="D110" s="238">
        <v>5</v>
      </c>
      <c r="E110" s="238">
        <v>2</v>
      </c>
      <c r="F110" s="238">
        <v>16.46</v>
      </c>
      <c r="G110" s="238">
        <v>12.47</v>
      </c>
      <c r="H110" s="238"/>
      <c r="I110">
        <v>28.93</v>
      </c>
      <c r="J110" s="238">
        <v>18</v>
      </c>
      <c r="K110" s="238">
        <v>4.3499999999999996</v>
      </c>
      <c r="L110" s="238">
        <v>1.55</v>
      </c>
      <c r="M110" s="238"/>
      <c r="N110" s="238">
        <v>8</v>
      </c>
      <c r="O110" s="238">
        <v>2.67</v>
      </c>
      <c r="P110" s="238"/>
      <c r="R110" s="238">
        <v>2.67</v>
      </c>
      <c r="S110">
        <v>63.5</v>
      </c>
      <c r="T110">
        <v>60.83</v>
      </c>
      <c r="U110" s="238">
        <v>62.17</v>
      </c>
      <c r="V110">
        <v>61.749999999999993</v>
      </c>
      <c r="W110" s="238">
        <v>80307.864000000001</v>
      </c>
      <c r="X110">
        <v>4015.3932</v>
      </c>
      <c r="Y110">
        <v>84323.257199999993</v>
      </c>
      <c r="Z110">
        <v>2529.6977160000001</v>
      </c>
      <c r="AA110">
        <v>86852.954916000002</v>
      </c>
      <c r="AC110">
        <v>86852.954916000002</v>
      </c>
      <c r="AE110">
        <v>86852.954916000002</v>
      </c>
      <c r="AG110">
        <v>86852.954916000002</v>
      </c>
      <c r="AI110">
        <v>86852.954916000002</v>
      </c>
      <c r="AJ110">
        <v>868.52954915999999</v>
      </c>
      <c r="AK110">
        <v>87721.48446516</v>
      </c>
      <c r="AL110">
        <v>4386.0742232580005</v>
      </c>
      <c r="AM110">
        <v>92107.558688417994</v>
      </c>
      <c r="AO110">
        <v>92107.558688417994</v>
      </c>
      <c r="AP110">
        <v>1842.15117376836</v>
      </c>
      <c r="AQ110">
        <v>93949.709862186355</v>
      </c>
      <c r="AS110">
        <v>93949.709862186355</v>
      </c>
      <c r="AT110">
        <v>1878.9941972437273</v>
      </c>
      <c r="AU110">
        <v>95828.704059430078</v>
      </c>
      <c r="AW110">
        <v>95828.704059430078</v>
      </c>
      <c r="AY110">
        <v>95828.704059430078</v>
      </c>
      <c r="AZ110">
        <v>1916.5740811886017</v>
      </c>
      <c r="BA110">
        <v>97745.278140618684</v>
      </c>
      <c r="BC110">
        <v>97745.278140618684</v>
      </c>
      <c r="BE110">
        <v>97745.278140618684</v>
      </c>
      <c r="BG110">
        <v>97745.278140618684</v>
      </c>
      <c r="BI110">
        <v>97745.278140618684</v>
      </c>
      <c r="BK110">
        <v>97745.278140618684</v>
      </c>
      <c r="BM110">
        <v>97745.278140618684</v>
      </c>
      <c r="BO110">
        <v>97745.278140618684</v>
      </c>
      <c r="BQ110">
        <v>97745.278140618684</v>
      </c>
      <c r="BS110">
        <v>97745.278140618684</v>
      </c>
      <c r="BT110" s="238">
        <v>97745.279999999999</v>
      </c>
      <c r="BU110" s="238">
        <v>6076900</v>
      </c>
      <c r="BX110" s="238">
        <v>0</v>
      </c>
      <c r="BY110" s="238">
        <v>97746.501528068198</v>
      </c>
      <c r="BZ110" s="238">
        <v>6076900</v>
      </c>
      <c r="CA110" s="238" t="s">
        <v>36</v>
      </c>
      <c r="CC110">
        <v>97746.501528068198</v>
      </c>
      <c r="CD110" s="238">
        <v>0</v>
      </c>
      <c r="CE110" s="238">
        <v>6076900</v>
      </c>
      <c r="CH110" s="238" t="s">
        <v>39</v>
      </c>
      <c r="CI110" s="238" t="s">
        <v>39</v>
      </c>
      <c r="CJ110" t="s">
        <v>8950</v>
      </c>
      <c r="CK110" t="s">
        <v>1167</v>
      </c>
      <c r="CL110" t="s">
        <v>8961</v>
      </c>
      <c r="CM110" t="s">
        <v>8971</v>
      </c>
      <c r="CN110" s="238" t="b">
        <v>1</v>
      </c>
      <c r="CO110" t="s">
        <v>5398</v>
      </c>
      <c r="CQ110" t="s">
        <v>6652</v>
      </c>
      <c r="CR110" t="s">
        <v>3246</v>
      </c>
      <c r="CS110" t="s">
        <v>36</v>
      </c>
      <c r="CT110" t="b">
        <v>1</v>
      </c>
      <c r="CU110">
        <v>6076900</v>
      </c>
      <c r="CV110" t="s">
        <v>9002</v>
      </c>
      <c r="CW110">
        <v>0</v>
      </c>
      <c r="CX110">
        <v>6076900</v>
      </c>
      <c r="CY110">
        <v>0</v>
      </c>
      <c r="CZ110" t="b">
        <v>1</v>
      </c>
      <c r="DA110">
        <v>45456</v>
      </c>
      <c r="DB110" t="s">
        <v>7181</v>
      </c>
      <c r="DC110">
        <v>-6.7556699372689488E-3</v>
      </c>
      <c r="DD110">
        <v>-660.34310184638366</v>
      </c>
      <c r="DE110" s="420" cm="1">
        <f t="array" ref="DE110">_xlfn.XLOOKUP("Дом 5"&amp;Реестр_Д5[[#This Row],[№]]&amp;Реестр_Д5[[#This Row],[Статус]],РД[Дом]&amp;РД[№ кв]&amp;РД[Состояние],РД[Дата подачи на регистрацию],"-",0)</f>
        <v>45456</v>
      </c>
    </row>
    <row r="111" spans="1:109" x14ac:dyDescent="0.25">
      <c r="A111" s="238">
        <v>110</v>
      </c>
      <c r="B111" s="238" t="s">
        <v>6</v>
      </c>
      <c r="C111" s="238">
        <v>16</v>
      </c>
      <c r="D111" s="238">
        <v>6</v>
      </c>
      <c r="E111" s="238">
        <v>2</v>
      </c>
      <c r="F111" s="238">
        <v>14.64</v>
      </c>
      <c r="G111" s="238">
        <v>10.74</v>
      </c>
      <c r="H111" s="238"/>
      <c r="I111">
        <v>25.380000000000003</v>
      </c>
      <c r="J111" s="238">
        <v>14.35</v>
      </c>
      <c r="K111" s="238">
        <v>4.16</v>
      </c>
      <c r="L111" s="238">
        <v>1.93</v>
      </c>
      <c r="M111" s="238"/>
      <c r="N111" s="238">
        <v>11.03</v>
      </c>
      <c r="O111" s="238">
        <v>2.6219999999999999</v>
      </c>
      <c r="P111" s="238"/>
      <c r="R111" s="238">
        <v>2.6219999999999999</v>
      </c>
      <c r="S111">
        <v>59.47</v>
      </c>
      <c r="T111">
        <v>56.85</v>
      </c>
      <c r="U111" s="238">
        <v>58.16</v>
      </c>
      <c r="V111">
        <v>57.899999999999991</v>
      </c>
      <c r="W111" s="238">
        <v>81466.150500000003</v>
      </c>
      <c r="X111">
        <v>4073.3075250000002</v>
      </c>
      <c r="Y111">
        <v>85539.458025</v>
      </c>
      <c r="Z111">
        <v>2566.1837407499997</v>
      </c>
      <c r="AA111">
        <v>88105.641765749999</v>
      </c>
      <c r="AC111">
        <v>88105.641765749999</v>
      </c>
      <c r="AE111">
        <v>88105.641765749999</v>
      </c>
      <c r="AG111">
        <v>88105.641765749999</v>
      </c>
      <c r="AI111">
        <v>88105.641765749999</v>
      </c>
      <c r="AJ111">
        <v>881.05641765749999</v>
      </c>
      <c r="AK111">
        <v>88986.698183407498</v>
      </c>
      <c r="AL111">
        <v>4449.3349091703749</v>
      </c>
      <c r="AM111">
        <v>93436.033092577869</v>
      </c>
      <c r="AO111">
        <v>93436.033092577869</v>
      </c>
      <c r="AP111">
        <v>1868.7206618515577</v>
      </c>
      <c r="AQ111">
        <v>95304.753754429446</v>
      </c>
      <c r="AS111">
        <v>95304.753754429446</v>
      </c>
      <c r="AT111">
        <v>1906.0950750885888</v>
      </c>
      <c r="AU111">
        <v>97210.848829518014</v>
      </c>
      <c r="AW111">
        <v>97210.848829518014</v>
      </c>
      <c r="AX111">
        <v>972.10848829518011</v>
      </c>
      <c r="AY111">
        <v>98182.957317813198</v>
      </c>
      <c r="BA111">
        <v>98182.957317813198</v>
      </c>
      <c r="BC111">
        <v>98182.957317813198</v>
      </c>
      <c r="BE111">
        <v>98182.957317813198</v>
      </c>
      <c r="BF111">
        <v>1472.7443597671979</v>
      </c>
      <c r="BG111">
        <v>99655.701677580393</v>
      </c>
      <c r="BH111">
        <v>500</v>
      </c>
      <c r="BI111">
        <v>100155.70167758039</v>
      </c>
      <c r="BJ111">
        <v>4006.2280671032158</v>
      </c>
      <c r="BK111">
        <v>104161.9297446836</v>
      </c>
      <c r="BL111">
        <v>6249.7157846810169</v>
      </c>
      <c r="BM111">
        <v>110411.64552936464</v>
      </c>
      <c r="BN111">
        <v>14353.513918817402</v>
      </c>
      <c r="BO111">
        <v>124765.15944818204</v>
      </c>
      <c r="BP111">
        <v>35</v>
      </c>
      <c r="BQ111">
        <v>124800.15944818204</v>
      </c>
      <c r="BS111">
        <v>124800.15944818204</v>
      </c>
      <c r="BT111" s="238">
        <v>124800.16</v>
      </c>
      <c r="BU111" s="238">
        <v>7226000</v>
      </c>
      <c r="BV111">
        <v>300000</v>
      </c>
      <c r="BW111">
        <v>0.03</v>
      </c>
      <c r="BX111" s="238">
        <v>516780</v>
      </c>
      <c r="BY111" s="238">
        <v>115875.99309153717</v>
      </c>
      <c r="BZ111" s="238">
        <v>6709220</v>
      </c>
      <c r="CA111" s="238" t="s">
        <v>36</v>
      </c>
      <c r="CC111">
        <v>115875.99309153717</v>
      </c>
      <c r="CD111" s="238">
        <v>0</v>
      </c>
      <c r="CE111" s="238">
        <v>6709220</v>
      </c>
      <c r="CG111" t="s">
        <v>8585</v>
      </c>
      <c r="CH111" s="238" t="s">
        <v>39</v>
      </c>
      <c r="CI111" s="238" t="s">
        <v>39</v>
      </c>
      <c r="CJ111" t="s">
        <v>8950</v>
      </c>
      <c r="CK111" t="s">
        <v>1167</v>
      </c>
      <c r="CL111" t="s">
        <v>8961</v>
      </c>
      <c r="CM111" t="s">
        <v>8971</v>
      </c>
      <c r="CN111" s="238" t="b">
        <v>1</v>
      </c>
      <c r="CO111" t="s">
        <v>5399</v>
      </c>
      <c r="CQ111" t="s">
        <v>6652</v>
      </c>
      <c r="CR111" t="s">
        <v>3124</v>
      </c>
      <c r="CS111" t="s">
        <v>36</v>
      </c>
      <c r="CT111" t="b">
        <v>1</v>
      </c>
      <c r="CU111">
        <v>7226000</v>
      </c>
      <c r="CV111" t="s">
        <v>9002</v>
      </c>
      <c r="CW111">
        <v>0</v>
      </c>
      <c r="CX111">
        <v>7226000</v>
      </c>
      <c r="CY111">
        <v>0</v>
      </c>
      <c r="CZ111" t="b">
        <v>1</v>
      </c>
      <c r="DA111" t="s">
        <v>4246</v>
      </c>
      <c r="DB111" t="s">
        <v>1167</v>
      </c>
      <c r="DC111">
        <v>-4.4704264099038049E-3</v>
      </c>
      <c r="DD111">
        <v>-518.01509979023854</v>
      </c>
      <c r="DE111" s="420" cm="1">
        <f t="array" ref="DE111">_xlfn.XLOOKUP("Дом 5"&amp;Реестр_Д5[[#This Row],[№]]&amp;Реестр_Д5[[#This Row],[Статус]],РД[Дом]&amp;РД[№ кв]&amp;РД[Состояние],РД[Дата подачи на регистрацию],"-",0)</f>
        <v>45885</v>
      </c>
    </row>
    <row r="112" spans="1:109" hidden="1" x14ac:dyDescent="0.25">
      <c r="A112" s="238">
        <v>111</v>
      </c>
      <c r="B112" s="238" t="s">
        <v>6</v>
      </c>
      <c r="C112" s="238">
        <v>16</v>
      </c>
      <c r="D112" s="238">
        <v>7</v>
      </c>
      <c r="E112" s="238">
        <v>1</v>
      </c>
      <c r="F112" s="238">
        <v>18.489999999999998</v>
      </c>
      <c r="G112" s="238"/>
      <c r="H112" s="238"/>
      <c r="I112">
        <v>18.489999999999998</v>
      </c>
      <c r="J112" s="238">
        <v>13.04</v>
      </c>
      <c r="K112" s="238">
        <v>3.9</v>
      </c>
      <c r="L112" s="238"/>
      <c r="M112" s="238"/>
      <c r="N112" s="238">
        <v>5.99</v>
      </c>
      <c r="O112" s="238">
        <v>2.65</v>
      </c>
      <c r="P112" s="238"/>
      <c r="R112" s="238">
        <v>2.65</v>
      </c>
      <c r="S112">
        <v>44.07</v>
      </c>
      <c r="T112">
        <v>41.42</v>
      </c>
      <c r="U112" s="238">
        <v>42.75</v>
      </c>
      <c r="V112">
        <v>42.75</v>
      </c>
      <c r="W112" s="238">
        <v>83951.4375</v>
      </c>
      <c r="X112">
        <v>4197.5718750000005</v>
      </c>
      <c r="Y112">
        <v>88149.009374999994</v>
      </c>
      <c r="Z112">
        <v>2644.4702812499995</v>
      </c>
      <c r="AA112">
        <v>90793.479656249998</v>
      </c>
      <c r="AB112">
        <v>3631.7391862499999</v>
      </c>
      <c r="AC112">
        <v>94425.218842499977</v>
      </c>
      <c r="AE112">
        <v>94425.218842499977</v>
      </c>
      <c r="AF112">
        <v>4721.2609421249999</v>
      </c>
      <c r="AG112">
        <v>99146.479784624986</v>
      </c>
      <c r="AI112">
        <v>99146.479784624986</v>
      </c>
      <c r="AJ112">
        <v>991.46479784624989</v>
      </c>
      <c r="AK112">
        <v>100137.94458247125</v>
      </c>
      <c r="AL112">
        <v>5006.8972291235623</v>
      </c>
      <c r="AM112">
        <v>105144.8418115948</v>
      </c>
      <c r="AO112">
        <v>105144.8418115948</v>
      </c>
      <c r="AP112">
        <v>3154.3452543478434</v>
      </c>
      <c r="AQ112">
        <v>108299.18706594263</v>
      </c>
      <c r="AS112">
        <v>108299.18706594263</v>
      </c>
      <c r="AU112">
        <v>108299.18706594263</v>
      </c>
      <c r="AW112">
        <v>108299.18706594263</v>
      </c>
      <c r="AY112">
        <v>108299.18706594263</v>
      </c>
      <c r="BA112">
        <v>108299.18706594263</v>
      </c>
      <c r="BB112">
        <v>541.49593532971323</v>
      </c>
      <c r="BC112">
        <v>108840.68300127237</v>
      </c>
      <c r="BE112">
        <v>108840.68300127237</v>
      </c>
      <c r="BF112">
        <v>1632.6102450190851</v>
      </c>
      <c r="BG112">
        <v>110473.29324629145</v>
      </c>
      <c r="BI112">
        <v>110473.29324629145</v>
      </c>
      <c r="BK112">
        <v>110473.29324629145</v>
      </c>
      <c r="BM112">
        <v>110473.29324629145</v>
      </c>
      <c r="BO112">
        <v>110473.29324629145</v>
      </c>
      <c r="BQ112">
        <v>110473.29324629145</v>
      </c>
      <c r="BS112">
        <v>110473.29324629145</v>
      </c>
      <c r="BT112" s="238">
        <v>110473.29</v>
      </c>
      <c r="BU112" s="238">
        <v>4722800</v>
      </c>
      <c r="BW112">
        <v>0.02</v>
      </c>
      <c r="BX112" s="238">
        <v>94456</v>
      </c>
      <c r="BY112" s="238">
        <v>108265.35672514619</v>
      </c>
      <c r="BZ112" s="238">
        <v>4628344</v>
      </c>
      <c r="CA112" s="238" t="s">
        <v>6871</v>
      </c>
      <c r="CB112">
        <v>8000</v>
      </c>
      <c r="CC112">
        <v>116265.35672514619</v>
      </c>
      <c r="CD112" s="238">
        <v>342000</v>
      </c>
      <c r="CE112" s="238">
        <v>4970344</v>
      </c>
      <c r="CG112" t="s">
        <v>3540</v>
      </c>
      <c r="CH112" s="238" t="s">
        <v>39</v>
      </c>
      <c r="CI112" s="238" t="s">
        <v>39</v>
      </c>
      <c r="CJ112" t="s">
        <v>8950</v>
      </c>
      <c r="CK112" t="s">
        <v>1167</v>
      </c>
      <c r="CL112" t="s">
        <v>8961</v>
      </c>
      <c r="CM112" t="s">
        <v>8973</v>
      </c>
      <c r="CN112" s="238" t="b">
        <v>1</v>
      </c>
      <c r="CO112" t="s">
        <v>5400</v>
      </c>
      <c r="CQ112" t="s">
        <v>6652</v>
      </c>
      <c r="CR112" t="s">
        <v>3246</v>
      </c>
      <c r="CS112" t="s">
        <v>6871</v>
      </c>
      <c r="CT112" t="b">
        <v>1</v>
      </c>
      <c r="CU112">
        <v>4722800</v>
      </c>
      <c r="CV112" t="s">
        <v>9002</v>
      </c>
      <c r="CW112">
        <v>0</v>
      </c>
      <c r="CX112">
        <v>4722800</v>
      </c>
      <c r="CY112">
        <v>0</v>
      </c>
      <c r="CZ112" t="b">
        <v>1</v>
      </c>
      <c r="DA112">
        <v>45588</v>
      </c>
      <c r="DB112" t="s">
        <v>4177</v>
      </c>
      <c r="DC112">
        <v>0</v>
      </c>
      <c r="DD112">
        <v>0</v>
      </c>
      <c r="DE112" s="420" cm="1">
        <f t="array" ref="DE112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113" spans="1:109" x14ac:dyDescent="0.25">
      <c r="A113" s="238">
        <v>112</v>
      </c>
      <c r="B113" s="238" t="s">
        <v>5</v>
      </c>
      <c r="C113" s="238">
        <v>1</v>
      </c>
      <c r="D113" s="238">
        <v>1</v>
      </c>
      <c r="E113" s="238">
        <v>2</v>
      </c>
      <c r="F113" s="238">
        <v>15.91</v>
      </c>
      <c r="G113" s="238">
        <v>12.02</v>
      </c>
      <c r="H113" s="238"/>
      <c r="I113">
        <v>27.93</v>
      </c>
      <c r="J113" s="238">
        <v>15.31</v>
      </c>
      <c r="K113" s="238">
        <v>3.85</v>
      </c>
      <c r="L113" s="238">
        <v>2.2999999999999998</v>
      </c>
      <c r="M113" s="238"/>
      <c r="N113" s="238">
        <v>9.4499999999999993</v>
      </c>
      <c r="O113" s="238">
        <v>2.75</v>
      </c>
      <c r="P113" s="238"/>
      <c r="R113" s="238">
        <v>2.75</v>
      </c>
      <c r="S113">
        <v>61.59</v>
      </c>
      <c r="T113">
        <v>58.84</v>
      </c>
      <c r="U113" s="238">
        <v>60.22</v>
      </c>
      <c r="V113">
        <v>60.25</v>
      </c>
      <c r="W113" s="238">
        <v>81466.150500000003</v>
      </c>
      <c r="X113">
        <v>4073.3075250000002</v>
      </c>
      <c r="Y113">
        <v>85539.458025</v>
      </c>
      <c r="Z113">
        <v>2566.1837407499997</v>
      </c>
      <c r="AA113">
        <v>88105.641765749999</v>
      </c>
      <c r="AC113">
        <v>88105.641765749999</v>
      </c>
      <c r="AE113">
        <v>88105.641765749999</v>
      </c>
      <c r="AG113">
        <v>88105.641765749999</v>
      </c>
      <c r="AI113">
        <v>88105.641765749999</v>
      </c>
      <c r="AJ113">
        <v>881.05641765749999</v>
      </c>
      <c r="AK113">
        <v>88986.698183407498</v>
      </c>
      <c r="AL113">
        <v>4449.3349091703749</v>
      </c>
      <c r="AM113">
        <v>93436.033092577869</v>
      </c>
      <c r="AN113">
        <v>6563.966907422131</v>
      </c>
      <c r="AO113">
        <v>100000</v>
      </c>
      <c r="AP113">
        <v>2000</v>
      </c>
      <c r="AQ113">
        <v>102000</v>
      </c>
      <c r="AS113">
        <v>102000</v>
      </c>
      <c r="AT113">
        <v>2040</v>
      </c>
      <c r="AU113">
        <v>104040</v>
      </c>
      <c r="AW113">
        <v>104040</v>
      </c>
      <c r="AY113">
        <v>104040</v>
      </c>
      <c r="BA113">
        <v>104040</v>
      </c>
      <c r="BC113">
        <v>104040</v>
      </c>
      <c r="BE113">
        <v>104040</v>
      </c>
      <c r="BF113">
        <v>1560.6</v>
      </c>
      <c r="BG113">
        <v>105600.6</v>
      </c>
      <c r="BI113">
        <v>105600.6</v>
      </c>
      <c r="BJ113">
        <v>4224.0240000000003</v>
      </c>
      <c r="BK113">
        <v>109824.624</v>
      </c>
      <c r="BL113">
        <v>6589.4774400000006</v>
      </c>
      <c r="BM113">
        <v>116414.10144</v>
      </c>
      <c r="BN113">
        <v>15133.833187200002</v>
      </c>
      <c r="BO113">
        <v>131547.93462720001</v>
      </c>
      <c r="BP113">
        <v>35</v>
      </c>
      <c r="BQ113">
        <v>131582.93462720001</v>
      </c>
      <c r="BS113">
        <v>131582.93462720001</v>
      </c>
      <c r="BT113" s="238">
        <v>131582.93</v>
      </c>
      <c r="BU113" s="238">
        <v>7927900</v>
      </c>
      <c r="BX113" s="238">
        <v>0</v>
      </c>
      <c r="BY113" s="238">
        <v>131583.40248962655</v>
      </c>
      <c r="BZ113" s="238">
        <v>7927900</v>
      </c>
      <c r="CA113" s="238" t="s">
        <v>36</v>
      </c>
      <c r="CC113">
        <v>131583.40248962655</v>
      </c>
      <c r="CD113" s="238">
        <v>0</v>
      </c>
      <c r="CE113" s="238">
        <v>7927899.9999999981</v>
      </c>
      <c r="CH113" s="238" t="s">
        <v>3</v>
      </c>
      <c r="CI113" s="238" t="s">
        <v>3</v>
      </c>
      <c r="CJ113" t="s">
        <v>8951</v>
      </c>
      <c r="CK113" t="s">
        <v>1167</v>
      </c>
      <c r="CL113" t="s">
        <v>8961</v>
      </c>
      <c r="CM113" t="s">
        <v>8971</v>
      </c>
      <c r="CN113" s="238" t="b">
        <v>1</v>
      </c>
      <c r="CO113" t="s">
        <v>5401</v>
      </c>
      <c r="CQ113" t="s">
        <v>6652</v>
      </c>
      <c r="CR113" t="s">
        <v>3124</v>
      </c>
      <c r="CS113" t="s">
        <v>36</v>
      </c>
      <c r="CT113" t="b">
        <v>1</v>
      </c>
      <c r="CU113">
        <v>7927900</v>
      </c>
      <c r="CV113">
        <v>7927900</v>
      </c>
      <c r="CW113">
        <v>0</v>
      </c>
      <c r="CX113">
        <v>0</v>
      </c>
      <c r="CY113">
        <v>0</v>
      </c>
      <c r="CZ113" t="b">
        <v>1</v>
      </c>
      <c r="DA113" t="s">
        <v>4246</v>
      </c>
      <c r="DB113" t="s">
        <v>1167</v>
      </c>
      <c r="DC113">
        <v>4.9817336433077841E-4</v>
      </c>
      <c r="DD113">
        <v>65.551346308348187</v>
      </c>
      <c r="DE113" s="420" t="str" cm="1">
        <f t="array" ref="DE11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14" spans="1:109" hidden="1" x14ac:dyDescent="0.25">
      <c r="A114" s="238">
        <v>113</v>
      </c>
      <c r="B114" s="238" t="s">
        <v>5</v>
      </c>
      <c r="C114" s="238">
        <v>1</v>
      </c>
      <c r="D114" s="238">
        <v>2</v>
      </c>
      <c r="E114" s="238">
        <v>0</v>
      </c>
      <c r="F114" s="238">
        <v>7.13</v>
      </c>
      <c r="G114" s="238"/>
      <c r="H114" s="238"/>
      <c r="I114">
        <v>7.13</v>
      </c>
      <c r="J114" s="238">
        <v>5.12</v>
      </c>
      <c r="K114" s="238">
        <v>3.65</v>
      </c>
      <c r="L114" s="238"/>
      <c r="M114" s="238"/>
      <c r="N114" s="238">
        <v>6.92</v>
      </c>
      <c r="O114" s="238">
        <v>2.91</v>
      </c>
      <c r="P114" s="238"/>
      <c r="R114" s="238">
        <v>2.91</v>
      </c>
      <c r="S114">
        <v>25.73</v>
      </c>
      <c r="T114">
        <v>22.82</v>
      </c>
      <c r="U114" s="238">
        <v>24.28</v>
      </c>
      <c r="V114">
        <v>24.25</v>
      </c>
      <c r="W114" s="238">
        <v>98989.695000000007</v>
      </c>
      <c r="X114">
        <v>4949.4847500000005</v>
      </c>
      <c r="Y114">
        <v>103939.17975</v>
      </c>
      <c r="AA114">
        <v>103939.17975</v>
      </c>
      <c r="AC114">
        <v>103939.17975</v>
      </c>
      <c r="AE114">
        <v>103939.17975</v>
      </c>
      <c r="AG114">
        <v>103939.17975</v>
      </c>
      <c r="AI114">
        <v>103939.17975</v>
      </c>
      <c r="AK114">
        <v>103939.17975</v>
      </c>
      <c r="AM114">
        <v>103939.17975</v>
      </c>
      <c r="AO114">
        <v>103939.17975</v>
      </c>
      <c r="AQ114">
        <v>103939.17975</v>
      </c>
      <c r="AS114">
        <v>103939.17975</v>
      </c>
      <c r="AU114">
        <v>103939.17975</v>
      </c>
      <c r="AW114">
        <v>103939.17975</v>
      </c>
      <c r="AY114">
        <v>103939.17975</v>
      </c>
      <c r="BA114">
        <v>103939.17975</v>
      </c>
      <c r="BC114">
        <v>103939.17975</v>
      </c>
      <c r="BE114">
        <v>103939.17975</v>
      </c>
      <c r="BG114">
        <v>103939.17975</v>
      </c>
      <c r="BI114">
        <v>103939.17975</v>
      </c>
      <c r="BK114">
        <v>103939.17975</v>
      </c>
      <c r="BM114">
        <v>103939.17975</v>
      </c>
      <c r="BO114">
        <v>103939.17975</v>
      </c>
      <c r="BQ114">
        <v>103939.17975</v>
      </c>
      <c r="BS114">
        <v>103939.17975</v>
      </c>
      <c r="BT114" s="238">
        <v>103939.18</v>
      </c>
      <c r="BU114" s="238">
        <v>2523643.29</v>
      </c>
      <c r="BX114" s="238">
        <v>0</v>
      </c>
      <c r="BY114" s="238">
        <v>103939.17998352554</v>
      </c>
      <c r="BZ114" s="238">
        <v>2523643.29</v>
      </c>
      <c r="CA114" s="238" t="s">
        <v>36</v>
      </c>
      <c r="CC114">
        <v>103939.17998352554</v>
      </c>
      <c r="CD114" s="238">
        <v>0</v>
      </c>
      <c r="CE114" s="238">
        <v>2523643.29</v>
      </c>
      <c r="CH114" s="238" t="s">
        <v>39</v>
      </c>
      <c r="CI114" s="238" t="s">
        <v>39</v>
      </c>
      <c r="CJ114" t="s">
        <v>8950</v>
      </c>
      <c r="CK114" t="s">
        <v>1167</v>
      </c>
      <c r="CL114" t="s">
        <v>8961</v>
      </c>
      <c r="CM114" t="s">
        <v>8970</v>
      </c>
      <c r="CN114" s="238" t="b">
        <v>1</v>
      </c>
      <c r="CO114" t="s">
        <v>5402</v>
      </c>
      <c r="CQ114" t="s">
        <v>4895</v>
      </c>
      <c r="CR114" t="s">
        <v>3246</v>
      </c>
      <c r="CS114" t="s">
        <v>36</v>
      </c>
      <c r="CT114" t="b">
        <v>1</v>
      </c>
      <c r="CU114">
        <v>2523643.29</v>
      </c>
      <c r="CV114" t="s">
        <v>9002</v>
      </c>
      <c r="CW114">
        <v>2523643</v>
      </c>
      <c r="CX114">
        <v>2523643</v>
      </c>
      <c r="CY114">
        <v>0</v>
      </c>
      <c r="CZ114" t="b">
        <v>1</v>
      </c>
      <c r="DA114">
        <v>45188</v>
      </c>
      <c r="DB114" t="s">
        <v>4177</v>
      </c>
      <c r="DC114">
        <v>-1.2355848434926209E-3</v>
      </c>
      <c r="DD114">
        <v>-128.42567543269575</v>
      </c>
      <c r="DE114" s="420" cm="1">
        <f t="array" ref="DE114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15" spans="1:109" x14ac:dyDescent="0.25">
      <c r="A115" s="238">
        <v>114</v>
      </c>
      <c r="B115" s="238" t="s">
        <v>5</v>
      </c>
      <c r="C115" s="238">
        <v>1</v>
      </c>
      <c r="D115" s="238">
        <v>3</v>
      </c>
      <c r="E115" s="238">
        <v>2</v>
      </c>
      <c r="F115" s="238">
        <v>14.6</v>
      </c>
      <c r="G115" s="238">
        <v>13.12</v>
      </c>
      <c r="H115" s="238"/>
      <c r="I115">
        <v>27.72</v>
      </c>
      <c r="J115" s="238">
        <v>14.35</v>
      </c>
      <c r="K115" s="238">
        <v>3.68</v>
      </c>
      <c r="L115" s="238">
        <v>2.57</v>
      </c>
      <c r="M115" s="238"/>
      <c r="N115" s="238">
        <v>7.95</v>
      </c>
      <c r="O115" s="238">
        <v>2.65</v>
      </c>
      <c r="P115" s="238"/>
      <c r="R115" s="238">
        <v>2.65</v>
      </c>
      <c r="S115">
        <v>58.92</v>
      </c>
      <c r="T115">
        <v>56.27</v>
      </c>
      <c r="U115" s="238">
        <v>57.6</v>
      </c>
      <c r="V115">
        <v>57.35</v>
      </c>
      <c r="W115" s="238">
        <v>79921.768500000006</v>
      </c>
      <c r="X115">
        <v>3996.0884249999999</v>
      </c>
      <c r="Y115">
        <v>83917.856925</v>
      </c>
      <c r="Z115">
        <v>2517.5357077499998</v>
      </c>
      <c r="AA115">
        <v>86435.392632749994</v>
      </c>
      <c r="AC115">
        <v>86435.392632749994</v>
      </c>
      <c r="AE115">
        <v>86435.392632749994</v>
      </c>
      <c r="AG115">
        <v>86435.392632749994</v>
      </c>
      <c r="AI115">
        <v>86435.392632749994</v>
      </c>
      <c r="AJ115">
        <v>864.35392632749995</v>
      </c>
      <c r="AK115">
        <v>87299.746559077481</v>
      </c>
      <c r="AL115">
        <v>4364.9873279538751</v>
      </c>
      <c r="AM115">
        <v>91664.733887031369</v>
      </c>
      <c r="AN115">
        <v>8335.2661129686312</v>
      </c>
      <c r="AO115">
        <v>100000</v>
      </c>
      <c r="AP115">
        <v>2000</v>
      </c>
      <c r="AQ115">
        <v>102000</v>
      </c>
      <c r="AS115">
        <v>102000</v>
      </c>
      <c r="AT115">
        <v>2040</v>
      </c>
      <c r="AU115">
        <v>104040</v>
      </c>
      <c r="AW115">
        <v>104040</v>
      </c>
      <c r="AX115">
        <v>1040.4000000000001</v>
      </c>
      <c r="AY115">
        <v>105080.4</v>
      </c>
      <c r="BA115">
        <v>105080.4</v>
      </c>
      <c r="BC115">
        <v>105080.4</v>
      </c>
      <c r="BE115">
        <v>105080.4</v>
      </c>
      <c r="BF115">
        <v>2627.01</v>
      </c>
      <c r="BG115">
        <v>107707.41</v>
      </c>
      <c r="BI115">
        <v>107707.41</v>
      </c>
      <c r="BJ115">
        <v>4308.2963999999993</v>
      </c>
      <c r="BK115">
        <v>112015.7064</v>
      </c>
      <c r="BL115">
        <v>6720.942383999999</v>
      </c>
      <c r="BM115">
        <v>118736.648784</v>
      </c>
      <c r="BN115">
        <v>15435.764341919999</v>
      </c>
      <c r="BO115">
        <v>134172.41312591999</v>
      </c>
      <c r="BP115">
        <v>35</v>
      </c>
      <c r="BQ115">
        <v>134207.41312591999</v>
      </c>
      <c r="BR115">
        <v>1342.0741312591999</v>
      </c>
      <c r="BS115">
        <v>135549.48725717919</v>
      </c>
      <c r="BT115" s="238">
        <v>135549.49</v>
      </c>
      <c r="BU115" s="238">
        <v>7773800</v>
      </c>
      <c r="BX115" s="238">
        <v>0</v>
      </c>
      <c r="BY115" s="238">
        <v>135550.13077593723</v>
      </c>
      <c r="BZ115" s="238">
        <v>7773800</v>
      </c>
      <c r="CA115" s="238" t="s">
        <v>36</v>
      </c>
      <c r="CC115">
        <v>135550.13077593723</v>
      </c>
      <c r="CD115" s="238">
        <v>0</v>
      </c>
      <c r="CE115" s="238">
        <v>7773800</v>
      </c>
      <c r="CF115" t="s">
        <v>4633</v>
      </c>
      <c r="CH115" s="238" t="s">
        <v>3</v>
      </c>
      <c r="CI115" s="238" t="s">
        <v>3</v>
      </c>
      <c r="CJ115" t="s">
        <v>8951</v>
      </c>
      <c r="CK115" t="s">
        <v>1167</v>
      </c>
      <c r="CL115" t="s">
        <v>8961</v>
      </c>
      <c r="CM115" t="s">
        <v>8971</v>
      </c>
      <c r="CN115" s="238" t="b">
        <v>1</v>
      </c>
      <c r="CO115" t="s">
        <v>5403</v>
      </c>
      <c r="CQ115" t="s">
        <v>6652</v>
      </c>
      <c r="CR115" t="s">
        <v>3124</v>
      </c>
      <c r="CS115" t="s">
        <v>36</v>
      </c>
      <c r="CT115" t="b">
        <v>1</v>
      </c>
      <c r="CU115">
        <v>7773800</v>
      </c>
      <c r="CV115">
        <v>7773800</v>
      </c>
      <c r="CW115">
        <v>0</v>
      </c>
      <c r="CX115">
        <v>0</v>
      </c>
      <c r="CY115">
        <v>0</v>
      </c>
      <c r="CZ115" t="b">
        <v>1</v>
      </c>
      <c r="DA115" t="s">
        <v>4246</v>
      </c>
      <c r="DB115" t="s">
        <v>1167</v>
      </c>
      <c r="DC115">
        <v>-4.3402777777777901E-3</v>
      </c>
      <c r="DD115">
        <v>-588.32522038167372</v>
      </c>
      <c r="DE115" s="420" t="str" cm="1">
        <f t="array" ref="DE11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16" spans="1:109" x14ac:dyDescent="0.25">
      <c r="A116" s="238">
        <v>115</v>
      </c>
      <c r="B116" s="238" t="s">
        <v>5</v>
      </c>
      <c r="C116" s="238">
        <v>1</v>
      </c>
      <c r="D116" s="238">
        <v>4</v>
      </c>
      <c r="E116" s="238">
        <v>1</v>
      </c>
      <c r="F116" s="238">
        <v>12.06</v>
      </c>
      <c r="G116" s="238"/>
      <c r="H116" s="238"/>
      <c r="I116">
        <v>12.06</v>
      </c>
      <c r="J116" s="238">
        <v>13.18</v>
      </c>
      <c r="K116" s="238">
        <v>4.1100000000000003</v>
      </c>
      <c r="L116" s="238"/>
      <c r="M116" s="238"/>
      <c r="N116" s="238">
        <v>7.09</v>
      </c>
      <c r="O116" s="238">
        <v>2.84</v>
      </c>
      <c r="P116" s="238"/>
      <c r="R116" s="238">
        <v>2.84</v>
      </c>
      <c r="S116">
        <v>39.28</v>
      </c>
      <c r="T116">
        <v>36.44</v>
      </c>
      <c r="U116" s="238">
        <v>37.86</v>
      </c>
      <c r="V116">
        <v>37.799999999999997</v>
      </c>
      <c r="W116" s="238">
        <v>91657.125</v>
      </c>
      <c r="X116">
        <v>4582.8562499999998</v>
      </c>
      <c r="Y116">
        <v>96239.981249999997</v>
      </c>
      <c r="Z116">
        <v>2887.1994374999999</v>
      </c>
      <c r="AA116">
        <v>99127.180687500004</v>
      </c>
      <c r="AB116">
        <v>4460.7231309375002</v>
      </c>
      <c r="AC116">
        <v>103587.90381843752</v>
      </c>
      <c r="AE116">
        <v>103587.90381843752</v>
      </c>
      <c r="AF116">
        <v>5179.3951909218758</v>
      </c>
      <c r="AG116">
        <v>108767.29900935938</v>
      </c>
      <c r="AI116">
        <v>108767.29900935938</v>
      </c>
      <c r="AJ116">
        <v>1087.6729900935941</v>
      </c>
      <c r="AK116">
        <v>109854.97199945296</v>
      </c>
      <c r="AL116">
        <v>5492.7485999726487</v>
      </c>
      <c r="AM116">
        <v>115347.72059942562</v>
      </c>
      <c r="AN116">
        <v>4652.2794005743781</v>
      </c>
      <c r="AO116">
        <v>120000</v>
      </c>
      <c r="AP116">
        <v>3600</v>
      </c>
      <c r="AQ116">
        <v>123600</v>
      </c>
      <c r="AS116">
        <v>123600</v>
      </c>
      <c r="AU116">
        <v>123600</v>
      </c>
      <c r="AW116">
        <v>123600</v>
      </c>
      <c r="AY116">
        <v>123600</v>
      </c>
      <c r="AZ116">
        <v>1236</v>
      </c>
      <c r="BA116">
        <v>124836</v>
      </c>
      <c r="BB116">
        <v>624.18000000000006</v>
      </c>
      <c r="BC116">
        <v>125460.18</v>
      </c>
      <c r="BE116">
        <v>125460.18</v>
      </c>
      <c r="BF116">
        <v>1881.9027000000001</v>
      </c>
      <c r="BG116">
        <v>127342.0827</v>
      </c>
      <c r="BI116">
        <v>127342.0827</v>
      </c>
      <c r="BK116">
        <v>127342.0827</v>
      </c>
      <c r="BL116">
        <v>6367.1041350000005</v>
      </c>
      <c r="BM116">
        <v>133709.186835</v>
      </c>
      <c r="BN116">
        <v>17382.194288549999</v>
      </c>
      <c r="BO116">
        <v>151091.38112355</v>
      </c>
      <c r="BP116">
        <v>35</v>
      </c>
      <c r="BQ116">
        <v>151126.38112355</v>
      </c>
      <c r="BS116">
        <v>151126.38112355</v>
      </c>
      <c r="BT116" s="238">
        <v>151126.38</v>
      </c>
      <c r="BU116" s="238">
        <v>5712600</v>
      </c>
      <c r="BX116" s="238">
        <v>0</v>
      </c>
      <c r="BY116" s="238">
        <v>151126.98412698414</v>
      </c>
      <c r="BZ116" s="238">
        <v>5712600</v>
      </c>
      <c r="CA116" s="238" t="s">
        <v>36</v>
      </c>
      <c r="CC116">
        <v>151126.98412698414</v>
      </c>
      <c r="CD116" s="238">
        <v>0</v>
      </c>
      <c r="CE116" s="238">
        <v>5712600</v>
      </c>
      <c r="CH116" s="238" t="s">
        <v>3</v>
      </c>
      <c r="CI116" s="238" t="s">
        <v>3</v>
      </c>
      <c r="CJ116" t="s">
        <v>8951</v>
      </c>
      <c r="CK116" t="s">
        <v>1167</v>
      </c>
      <c r="CL116" t="s">
        <v>8961</v>
      </c>
      <c r="CM116" t="s">
        <v>8973</v>
      </c>
      <c r="CN116" s="238" t="b">
        <v>1</v>
      </c>
      <c r="CO116" t="s">
        <v>5404</v>
      </c>
      <c r="CQ116" t="s">
        <v>6652</v>
      </c>
      <c r="CR116" t="s">
        <v>3124</v>
      </c>
      <c r="CS116" t="s">
        <v>36</v>
      </c>
      <c r="CT116" t="b">
        <v>1</v>
      </c>
      <c r="CU116">
        <v>5712600</v>
      </c>
      <c r="CV116">
        <v>5712600</v>
      </c>
      <c r="CW116">
        <v>0</v>
      </c>
      <c r="CX116">
        <v>0</v>
      </c>
      <c r="CY116">
        <v>0</v>
      </c>
      <c r="CZ116" t="b">
        <v>1</v>
      </c>
      <c r="DA116" t="s">
        <v>4246</v>
      </c>
      <c r="DB116" t="s">
        <v>1167</v>
      </c>
      <c r="DC116">
        <v>-1.5847860538827918E-3</v>
      </c>
      <c r="DD116">
        <v>-239.50393680981051</v>
      </c>
      <c r="DE116" s="420" t="str" cm="1">
        <f t="array" ref="DE11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17" spans="1:109" hidden="1" x14ac:dyDescent="0.25">
      <c r="A117" s="238">
        <v>116</v>
      </c>
      <c r="B117" s="238" t="s">
        <v>5</v>
      </c>
      <c r="C117" s="238">
        <v>1</v>
      </c>
      <c r="D117" s="238">
        <v>5</v>
      </c>
      <c r="E117" s="238">
        <v>2</v>
      </c>
      <c r="F117" s="238">
        <v>17.2</v>
      </c>
      <c r="G117" s="238">
        <v>14.31</v>
      </c>
      <c r="H117" s="238"/>
      <c r="I117">
        <v>31.51</v>
      </c>
      <c r="J117" s="238">
        <v>13.39</v>
      </c>
      <c r="K117" s="238">
        <v>4.2</v>
      </c>
      <c r="L117" s="238"/>
      <c r="M117" s="238"/>
      <c r="N117" s="238">
        <v>13.21</v>
      </c>
      <c r="O117" s="238">
        <v>2.79</v>
      </c>
      <c r="P117" s="238">
        <v>2.68</v>
      </c>
      <c r="R117" s="238">
        <v>5.4700000000000006</v>
      </c>
      <c r="S117">
        <v>67.78</v>
      </c>
      <c r="T117">
        <v>62.31</v>
      </c>
      <c r="U117" s="238">
        <v>65.05</v>
      </c>
      <c r="V117">
        <v>64.849999999999994</v>
      </c>
      <c r="W117" s="238">
        <v>78377.386499999993</v>
      </c>
      <c r="X117">
        <v>3918.869325000001</v>
      </c>
      <c r="Y117">
        <v>82296.255825000015</v>
      </c>
      <c r="Z117">
        <v>2468.8876747500003</v>
      </c>
      <c r="AA117">
        <v>84765.143499750018</v>
      </c>
      <c r="AC117">
        <v>84765.143499750018</v>
      </c>
      <c r="AE117">
        <v>84765.143499750018</v>
      </c>
      <c r="AG117">
        <v>84765.143499750018</v>
      </c>
      <c r="AI117">
        <v>84765.143499750018</v>
      </c>
      <c r="AK117">
        <v>84765.143499750018</v>
      </c>
      <c r="AM117">
        <v>84765.143499750018</v>
      </c>
      <c r="AO117">
        <v>84765.143499750018</v>
      </c>
      <c r="AQ117">
        <v>84765.143499750018</v>
      </c>
      <c r="AS117">
        <v>84765.143499750018</v>
      </c>
      <c r="AU117">
        <v>84765.143499750018</v>
      </c>
      <c r="AW117">
        <v>84765.143499750018</v>
      </c>
      <c r="AY117">
        <v>84765.143499750018</v>
      </c>
      <c r="BA117">
        <v>84765.143499750018</v>
      </c>
      <c r="BC117">
        <v>84765.143499750018</v>
      </c>
      <c r="BE117">
        <v>84765.143499750018</v>
      </c>
      <c r="BG117">
        <v>84765.143499750018</v>
      </c>
      <c r="BI117">
        <v>84765.143499750018</v>
      </c>
      <c r="BK117">
        <v>84765.143499750018</v>
      </c>
      <c r="BM117">
        <v>84765.143499750018</v>
      </c>
      <c r="BO117">
        <v>84765.143499750018</v>
      </c>
      <c r="BQ117">
        <v>84765.143499750018</v>
      </c>
      <c r="BS117">
        <v>84765.143499750018</v>
      </c>
      <c r="BT117" s="238">
        <v>84765.14</v>
      </c>
      <c r="BU117" s="238">
        <v>5513972.3600000003</v>
      </c>
      <c r="BW117">
        <v>0.02</v>
      </c>
      <c r="BX117" s="238">
        <v>110279.4472</v>
      </c>
      <c r="BY117" s="238">
        <v>83069.837202152194</v>
      </c>
      <c r="BZ117" s="238">
        <v>5403692.9100000001</v>
      </c>
      <c r="CA117" s="238" t="s">
        <v>36</v>
      </c>
      <c r="CC117">
        <v>83069.837202152194</v>
      </c>
      <c r="CD117" s="238">
        <v>0</v>
      </c>
      <c r="CE117" s="238">
        <v>5403692.9100000001</v>
      </c>
      <c r="CG117" t="s">
        <v>3540</v>
      </c>
      <c r="CH117" s="238" t="s">
        <v>39</v>
      </c>
      <c r="CI117" s="238" t="s">
        <v>39</v>
      </c>
      <c r="CJ117" t="s">
        <v>8950</v>
      </c>
      <c r="CK117" t="s">
        <v>1167</v>
      </c>
      <c r="CL117" t="s">
        <v>8961</v>
      </c>
      <c r="CM117" t="s">
        <v>8974</v>
      </c>
      <c r="CN117" s="238" t="b">
        <v>1</v>
      </c>
      <c r="CO117" t="s">
        <v>5405</v>
      </c>
      <c r="CQ117" t="s">
        <v>4895</v>
      </c>
      <c r="CR117" t="s">
        <v>3246</v>
      </c>
      <c r="CS117" t="s">
        <v>36</v>
      </c>
      <c r="CT117" t="b">
        <v>1</v>
      </c>
      <c r="CU117">
        <v>5513972.3600000003</v>
      </c>
      <c r="CV117" t="s">
        <v>9002</v>
      </c>
      <c r="CW117">
        <v>0</v>
      </c>
      <c r="CX117">
        <v>5513972</v>
      </c>
      <c r="CY117">
        <v>0</v>
      </c>
      <c r="CZ117" t="b">
        <v>1</v>
      </c>
      <c r="DA117">
        <v>45258</v>
      </c>
      <c r="DB117" t="s">
        <v>4177</v>
      </c>
      <c r="DC117">
        <v>-3.0745580322828481E-3</v>
      </c>
      <c r="DD117">
        <v>-255.40303521030555</v>
      </c>
      <c r="DE117" s="420" cm="1">
        <f t="array" ref="DE117">_xlfn.XLOOKUP("Дом 5"&amp;Реестр_Д5[[#This Row],[№]]&amp;Реестр_Д5[[#This Row],[Статус]],РД[Дом]&amp;РД[№ кв]&amp;РД[Состояние],РД[Дата подачи на регистрацию],"-",0)</f>
        <v>45258</v>
      </c>
    </row>
    <row r="118" spans="1:109" x14ac:dyDescent="0.25">
      <c r="A118" s="238">
        <v>117</v>
      </c>
      <c r="B118" s="238" t="s">
        <v>5</v>
      </c>
      <c r="C118" s="238">
        <v>1</v>
      </c>
      <c r="D118" s="238">
        <v>6</v>
      </c>
      <c r="E118" s="238">
        <v>2</v>
      </c>
      <c r="F118" s="238">
        <v>17.48</v>
      </c>
      <c r="G118" s="238">
        <v>16.54</v>
      </c>
      <c r="H118" s="238"/>
      <c r="I118">
        <v>34.019999999999996</v>
      </c>
      <c r="J118" s="238">
        <v>13.04</v>
      </c>
      <c r="K118" s="238">
        <v>3.9</v>
      </c>
      <c r="L118" s="238"/>
      <c r="M118" s="238"/>
      <c r="N118" s="238">
        <v>9.8800000000000008</v>
      </c>
      <c r="O118" s="238">
        <v>2.65</v>
      </c>
      <c r="P118" s="238"/>
      <c r="R118" s="238">
        <v>2.65</v>
      </c>
      <c r="S118">
        <v>63.49</v>
      </c>
      <c r="T118">
        <v>60.84</v>
      </c>
      <c r="U118" s="238">
        <v>62.17</v>
      </c>
      <c r="V118">
        <v>62.25</v>
      </c>
      <c r="W118" s="238">
        <v>79921.768500000006</v>
      </c>
      <c r="X118">
        <v>3996.0884249999999</v>
      </c>
      <c r="Y118">
        <v>83917.856925</v>
      </c>
      <c r="Z118">
        <v>2517.5357077499998</v>
      </c>
      <c r="AA118">
        <v>86435.392632749994</v>
      </c>
      <c r="AC118">
        <v>86435.392632749994</v>
      </c>
      <c r="AE118">
        <v>86435.392632749994</v>
      </c>
      <c r="AG118">
        <v>86435.392632749994</v>
      </c>
      <c r="AI118">
        <v>86435.392632749994</v>
      </c>
      <c r="AJ118">
        <v>864.35392632749995</v>
      </c>
      <c r="AK118">
        <v>87299.746559077481</v>
      </c>
      <c r="AL118">
        <v>4364.9873279538751</v>
      </c>
      <c r="AM118">
        <v>91664.733887031369</v>
      </c>
      <c r="AN118">
        <v>8335.2661129686312</v>
      </c>
      <c r="AO118">
        <v>100000</v>
      </c>
      <c r="AP118">
        <v>2000</v>
      </c>
      <c r="AQ118">
        <v>102000</v>
      </c>
      <c r="AS118">
        <v>102000</v>
      </c>
      <c r="AT118">
        <v>2040</v>
      </c>
      <c r="AU118">
        <v>104040</v>
      </c>
      <c r="AW118">
        <v>104040</v>
      </c>
      <c r="AX118">
        <v>1040.4000000000001</v>
      </c>
      <c r="AY118">
        <v>105080.4</v>
      </c>
      <c r="BA118">
        <v>105080.4</v>
      </c>
      <c r="BC118">
        <v>105080.4</v>
      </c>
      <c r="BE118">
        <v>105080.4</v>
      </c>
      <c r="BF118">
        <v>1576.2059999999999</v>
      </c>
      <c r="BG118">
        <v>106656.606</v>
      </c>
      <c r="BI118">
        <v>106656.606</v>
      </c>
      <c r="BJ118">
        <v>4266.2642400000004</v>
      </c>
      <c r="BK118">
        <v>110922.87024</v>
      </c>
      <c r="BL118">
        <v>6655.3722144000003</v>
      </c>
      <c r="BM118">
        <v>117578.2424544</v>
      </c>
      <c r="BN118">
        <v>15285.171519072002</v>
      </c>
      <c r="BO118">
        <v>132863.41397347202</v>
      </c>
      <c r="BP118">
        <v>35</v>
      </c>
      <c r="BQ118">
        <v>132898.41397347202</v>
      </c>
      <c r="BS118">
        <v>132898.41397347202</v>
      </c>
      <c r="BT118" s="238">
        <v>132898.41</v>
      </c>
      <c r="BU118" s="238">
        <v>8273000</v>
      </c>
      <c r="BX118" s="238">
        <v>0</v>
      </c>
      <c r="BY118" s="238">
        <v>132899.5983935743</v>
      </c>
      <c r="BZ118" s="238">
        <v>8273000</v>
      </c>
      <c r="CA118" s="238" t="s">
        <v>36</v>
      </c>
      <c r="CC118">
        <v>132899.5983935743</v>
      </c>
      <c r="CD118" s="238">
        <v>0</v>
      </c>
      <c r="CE118" s="238">
        <v>8273000</v>
      </c>
      <c r="CH118" s="238" t="s">
        <v>3</v>
      </c>
      <c r="CI118" s="238" t="s">
        <v>3</v>
      </c>
      <c r="CJ118" t="s">
        <v>8951</v>
      </c>
      <c r="CK118" t="s">
        <v>1167</v>
      </c>
      <c r="CL118" t="s">
        <v>8961</v>
      </c>
      <c r="CM118" t="s">
        <v>8974</v>
      </c>
      <c r="CN118" s="238" t="b">
        <v>1</v>
      </c>
      <c r="CO118" t="s">
        <v>5406</v>
      </c>
      <c r="CQ118" t="s">
        <v>6652</v>
      </c>
      <c r="CR118" t="s">
        <v>3124</v>
      </c>
      <c r="CS118" t="s">
        <v>36</v>
      </c>
      <c r="CT118" t="b">
        <v>1</v>
      </c>
      <c r="CU118">
        <v>8273000</v>
      </c>
      <c r="CV118">
        <v>8273000</v>
      </c>
      <c r="CW118">
        <v>0</v>
      </c>
      <c r="CX118">
        <v>0</v>
      </c>
      <c r="CY118">
        <v>0</v>
      </c>
      <c r="CZ118" t="b">
        <v>1</v>
      </c>
      <c r="DA118" t="s">
        <v>4246</v>
      </c>
      <c r="DB118" t="s">
        <v>1167</v>
      </c>
      <c r="DC118">
        <v>1.2867942737655458E-3</v>
      </c>
      <c r="DD118">
        <v>171.01444219859212</v>
      </c>
      <c r="DE118" s="420" t="str" cm="1">
        <f t="array" ref="DE11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19" spans="1:109" x14ac:dyDescent="0.25">
      <c r="A119" s="238">
        <v>118</v>
      </c>
      <c r="B119" s="238" t="s">
        <v>5</v>
      </c>
      <c r="C119" s="238">
        <v>2</v>
      </c>
      <c r="D119" s="238">
        <v>1</v>
      </c>
      <c r="E119" s="238">
        <v>2</v>
      </c>
      <c r="F119" s="238">
        <v>15.91</v>
      </c>
      <c r="G119" s="238">
        <v>12.02</v>
      </c>
      <c r="H119" s="238"/>
      <c r="I119">
        <v>27.93</v>
      </c>
      <c r="J119" s="238">
        <v>15.31</v>
      </c>
      <c r="K119" s="238">
        <v>3.85</v>
      </c>
      <c r="L119" s="238">
        <v>2.2999999999999998</v>
      </c>
      <c r="M119" s="238"/>
      <c r="N119" s="238">
        <v>9.4499999999999993</v>
      </c>
      <c r="O119" s="238">
        <v>2.75</v>
      </c>
      <c r="P119" s="238"/>
      <c r="R119" s="238">
        <v>2.75</v>
      </c>
      <c r="S119">
        <v>61.59</v>
      </c>
      <c r="T119">
        <v>58.84</v>
      </c>
      <c r="U119" s="238">
        <v>60.22</v>
      </c>
      <c r="V119">
        <v>60.29999999999999</v>
      </c>
      <c r="W119" s="238">
        <v>81080.054999999993</v>
      </c>
      <c r="X119">
        <v>4054.002750000001</v>
      </c>
      <c r="Y119">
        <v>85134.057750000007</v>
      </c>
      <c r="Z119">
        <v>2554.0217325000003</v>
      </c>
      <c r="AA119">
        <v>87688.079482500005</v>
      </c>
      <c r="AC119">
        <v>87688.079482500005</v>
      </c>
      <c r="AE119">
        <v>87688.079482500005</v>
      </c>
      <c r="AG119">
        <v>87688.079482500005</v>
      </c>
      <c r="AI119">
        <v>87688.079482500005</v>
      </c>
      <c r="AJ119">
        <v>876.88079482499995</v>
      </c>
      <c r="AK119">
        <v>88564.960277325008</v>
      </c>
      <c r="AL119">
        <v>4428.2480138662504</v>
      </c>
      <c r="AM119">
        <v>92993.208291191258</v>
      </c>
      <c r="AO119">
        <v>92993.208291191258</v>
      </c>
      <c r="AP119">
        <v>1859.8641658238253</v>
      </c>
      <c r="AQ119">
        <v>94853.072457015078</v>
      </c>
      <c r="AS119">
        <v>94853.072457015078</v>
      </c>
      <c r="AT119">
        <v>1897.0614491403016</v>
      </c>
      <c r="AU119">
        <v>96750.133906155374</v>
      </c>
      <c r="AW119">
        <v>96750.133906155374</v>
      </c>
      <c r="AY119">
        <v>96750.133906155374</v>
      </c>
      <c r="BA119">
        <v>96750.133906155374</v>
      </c>
      <c r="BC119">
        <v>96750.133906155374</v>
      </c>
      <c r="BE119">
        <v>96750.133906155374</v>
      </c>
      <c r="BF119">
        <v>1451.2520085923306</v>
      </c>
      <c r="BG119">
        <v>98201.385914747705</v>
      </c>
      <c r="BI119">
        <v>98201.385914747705</v>
      </c>
      <c r="BJ119">
        <v>3928.0554365899088</v>
      </c>
      <c r="BK119">
        <v>102129.44135133762</v>
      </c>
      <c r="BL119">
        <v>6127.7664810802571</v>
      </c>
      <c r="BM119">
        <v>108257.20783241787</v>
      </c>
      <c r="BN119">
        <v>14073.437018214325</v>
      </c>
      <c r="BO119">
        <v>122330.6448506322</v>
      </c>
      <c r="BP119">
        <v>35</v>
      </c>
      <c r="BQ119">
        <v>122365.6448506322</v>
      </c>
      <c r="BS119">
        <v>122365.6448506322</v>
      </c>
      <c r="BT119" s="238">
        <v>122365.64</v>
      </c>
      <c r="BU119" s="238">
        <v>7378700</v>
      </c>
      <c r="BX119" s="238">
        <v>0</v>
      </c>
      <c r="BY119" s="238">
        <v>122366.5008291874</v>
      </c>
      <c r="BZ119" s="238">
        <v>7378700</v>
      </c>
      <c r="CA119" s="238" t="s">
        <v>6871</v>
      </c>
      <c r="CB119">
        <v>10000</v>
      </c>
      <c r="CC119">
        <v>132366.5008291874</v>
      </c>
      <c r="CD119" s="238">
        <v>602999.99999999907</v>
      </c>
      <c r="CE119" s="238">
        <v>7981699.9999999981</v>
      </c>
      <c r="CH119" s="238" t="s">
        <v>3</v>
      </c>
      <c r="CI119" s="238" t="s">
        <v>3</v>
      </c>
      <c r="CJ119" t="s">
        <v>8951</v>
      </c>
      <c r="CK119" t="s">
        <v>1167</v>
      </c>
      <c r="CL119" t="s">
        <v>8961</v>
      </c>
      <c r="CM119" t="s">
        <v>8971</v>
      </c>
      <c r="CN119" s="238" t="b">
        <v>1</v>
      </c>
      <c r="CO119" t="s">
        <v>5407</v>
      </c>
      <c r="CQ119" t="s">
        <v>6652</v>
      </c>
      <c r="CR119" t="s">
        <v>3124</v>
      </c>
      <c r="CS119" t="s">
        <v>6871</v>
      </c>
      <c r="CT119" t="b">
        <v>1</v>
      </c>
      <c r="CU119">
        <v>7378700</v>
      </c>
      <c r="CV119">
        <v>7378700</v>
      </c>
      <c r="CW119">
        <v>0</v>
      </c>
      <c r="CX119">
        <v>0</v>
      </c>
      <c r="CY119">
        <v>0</v>
      </c>
      <c r="CZ119" t="b">
        <v>1</v>
      </c>
      <c r="DA119" t="s">
        <v>4246</v>
      </c>
      <c r="DB119" t="s">
        <v>1167</v>
      </c>
      <c r="DC119">
        <v>1.3284623048819275E-3</v>
      </c>
      <c r="DD119">
        <v>162.55928373187862</v>
      </c>
      <c r="DE119" s="420" t="str" cm="1">
        <f t="array" ref="DE11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20" spans="1:109" hidden="1" x14ac:dyDescent="0.25">
      <c r="A120" s="238">
        <v>119</v>
      </c>
      <c r="B120" s="238" t="s">
        <v>5</v>
      </c>
      <c r="C120" s="238">
        <v>2</v>
      </c>
      <c r="D120" s="238">
        <v>2</v>
      </c>
      <c r="E120" s="238">
        <v>0</v>
      </c>
      <c r="F120" s="238">
        <v>7.13</v>
      </c>
      <c r="G120" s="238"/>
      <c r="H120" s="238"/>
      <c r="I120">
        <v>7.13</v>
      </c>
      <c r="J120" s="238">
        <v>5.12</v>
      </c>
      <c r="K120" s="238">
        <v>3.65</v>
      </c>
      <c r="L120" s="238"/>
      <c r="M120" s="238"/>
      <c r="N120" s="238">
        <v>6.92</v>
      </c>
      <c r="O120" s="238">
        <v>2.91</v>
      </c>
      <c r="P120" s="238"/>
      <c r="R120" s="238">
        <v>2.91</v>
      </c>
      <c r="S120">
        <v>25.73</v>
      </c>
      <c r="T120">
        <v>22.82</v>
      </c>
      <c r="U120" s="238">
        <v>24.28</v>
      </c>
      <c r="V120">
        <v>24.15</v>
      </c>
      <c r="W120" s="238">
        <v>91105.56</v>
      </c>
      <c r="Y120">
        <v>91105.56</v>
      </c>
      <c r="AA120">
        <v>91105.56</v>
      </c>
      <c r="AC120">
        <v>91105.56</v>
      </c>
      <c r="AE120">
        <v>91105.56</v>
      </c>
      <c r="AG120">
        <v>91105.56</v>
      </c>
      <c r="AI120">
        <v>91105.56</v>
      </c>
      <c r="AK120">
        <v>91105.56</v>
      </c>
      <c r="AM120">
        <v>91105.56</v>
      </c>
      <c r="AO120">
        <v>91105.56</v>
      </c>
      <c r="AQ120">
        <v>91105.56</v>
      </c>
      <c r="AS120">
        <v>91105.56</v>
      </c>
      <c r="AU120">
        <v>91105.56</v>
      </c>
      <c r="AW120">
        <v>91105.56</v>
      </c>
      <c r="AY120">
        <v>91105.56</v>
      </c>
      <c r="BA120">
        <v>91105.56</v>
      </c>
      <c r="BC120">
        <v>91105.56</v>
      </c>
      <c r="BE120">
        <v>91105.56</v>
      </c>
      <c r="BG120">
        <v>91105.56</v>
      </c>
      <c r="BI120">
        <v>91105.56</v>
      </c>
      <c r="BK120">
        <v>91105.56</v>
      </c>
      <c r="BM120">
        <v>91105.56</v>
      </c>
      <c r="BO120">
        <v>91105.56</v>
      </c>
      <c r="BQ120">
        <v>91105.56</v>
      </c>
      <c r="BS120">
        <v>91105.56</v>
      </c>
      <c r="BT120" s="238">
        <v>91105.56</v>
      </c>
      <c r="BU120" s="238">
        <v>2212043</v>
      </c>
      <c r="BX120" s="238">
        <v>0</v>
      </c>
      <c r="BY120" s="238">
        <v>91105.560131795719</v>
      </c>
      <c r="BZ120" s="238">
        <v>2212043</v>
      </c>
      <c r="CA120" s="238" t="s">
        <v>38</v>
      </c>
      <c r="CB120">
        <v>15500</v>
      </c>
      <c r="CC120">
        <v>106605.56013179572</v>
      </c>
      <c r="CD120" s="238">
        <v>376340</v>
      </c>
      <c r="CE120" s="238">
        <v>2588383</v>
      </c>
      <c r="CH120" s="238" t="s">
        <v>39</v>
      </c>
      <c r="CI120" s="238" t="s">
        <v>39</v>
      </c>
      <c r="CJ120" t="s">
        <v>8950</v>
      </c>
      <c r="CK120" t="s">
        <v>1167</v>
      </c>
      <c r="CL120" t="s">
        <v>8961</v>
      </c>
      <c r="CM120" t="s">
        <v>8970</v>
      </c>
      <c r="CN120" s="238" t="b">
        <v>1</v>
      </c>
      <c r="CO120" t="s">
        <v>5408</v>
      </c>
      <c r="CQ120" t="s">
        <v>4895</v>
      </c>
      <c r="CR120" t="s">
        <v>3246</v>
      </c>
      <c r="CS120" t="s">
        <v>38</v>
      </c>
      <c r="CT120" t="b">
        <v>1</v>
      </c>
      <c r="CU120">
        <v>2212043</v>
      </c>
      <c r="CV120" t="s">
        <v>9002</v>
      </c>
      <c r="CW120">
        <v>2212043</v>
      </c>
      <c r="CX120">
        <v>2212043</v>
      </c>
      <c r="CY120">
        <v>0</v>
      </c>
      <c r="CZ120" t="b">
        <v>1</v>
      </c>
      <c r="DA120">
        <v>45195</v>
      </c>
      <c r="DB120" t="s">
        <v>130</v>
      </c>
      <c r="DC120">
        <v>-5.3542009884679498E-3</v>
      </c>
      <c r="DD120">
        <v>-487.79748011258687</v>
      </c>
      <c r="DE120" s="420" cm="1">
        <f t="array" ref="DE120">_xlfn.XLOOKUP("Дом 5"&amp;Реестр_Д5[[#This Row],[№]]&amp;Реестр_Д5[[#This Row],[Статус]],РД[Дом]&amp;РД[№ кв]&amp;РД[Состояние],РД[Дата подачи на регистрацию],"-",0)</f>
        <v>45195</v>
      </c>
    </row>
    <row r="121" spans="1:109" hidden="1" x14ac:dyDescent="0.25">
      <c r="A121" s="238">
        <v>120</v>
      </c>
      <c r="B121" s="238" t="s">
        <v>5</v>
      </c>
      <c r="C121" s="238">
        <v>2</v>
      </c>
      <c r="D121" s="238">
        <v>3</v>
      </c>
      <c r="E121" s="238">
        <v>2</v>
      </c>
      <c r="F121" s="238">
        <v>14.6</v>
      </c>
      <c r="G121" s="238">
        <v>13.12</v>
      </c>
      <c r="H121" s="238"/>
      <c r="I121">
        <v>27.72</v>
      </c>
      <c r="J121" s="238">
        <v>14.35</v>
      </c>
      <c r="K121" s="238">
        <v>3.68</v>
      </c>
      <c r="L121" s="238">
        <v>2.57</v>
      </c>
      <c r="M121" s="238"/>
      <c r="N121" s="238">
        <v>7.95</v>
      </c>
      <c r="O121" s="238">
        <v>2.65</v>
      </c>
      <c r="P121" s="238"/>
      <c r="R121" s="238">
        <v>2.65</v>
      </c>
      <c r="S121">
        <v>58.92</v>
      </c>
      <c r="T121">
        <v>56.27</v>
      </c>
      <c r="U121" s="238">
        <v>57.6</v>
      </c>
      <c r="V121">
        <v>57.75</v>
      </c>
      <c r="W121" s="238">
        <v>79535.67300000001</v>
      </c>
      <c r="X121">
        <v>3976.7836500000008</v>
      </c>
      <c r="Y121">
        <v>83512.456649999993</v>
      </c>
      <c r="Z121">
        <v>2505.3736994999999</v>
      </c>
      <c r="AA121">
        <v>86017.8303495</v>
      </c>
      <c r="AC121">
        <v>86017.8303495</v>
      </c>
      <c r="AE121">
        <v>86017.8303495</v>
      </c>
      <c r="AG121">
        <v>86017.8303495</v>
      </c>
      <c r="AI121">
        <v>86017.8303495</v>
      </c>
      <c r="AJ121">
        <v>860.17830349500002</v>
      </c>
      <c r="AK121">
        <v>86878.008652995006</v>
      </c>
      <c r="AL121">
        <v>4343.9004326497507</v>
      </c>
      <c r="AM121">
        <v>91221.909085644758</v>
      </c>
      <c r="AO121">
        <v>91221.909085644758</v>
      </c>
      <c r="AP121">
        <v>1824.4381817128951</v>
      </c>
      <c r="AQ121">
        <v>93046.347267357647</v>
      </c>
      <c r="AS121">
        <v>93046.347267357647</v>
      </c>
      <c r="AT121">
        <v>1860.9269453471527</v>
      </c>
      <c r="AU121">
        <v>94907.274212704797</v>
      </c>
      <c r="AW121">
        <v>94907.274212704797</v>
      </c>
      <c r="AX121">
        <v>949.07274212704795</v>
      </c>
      <c r="AY121">
        <v>95856.346954831839</v>
      </c>
      <c r="BA121">
        <v>95856.346954831839</v>
      </c>
      <c r="BC121">
        <v>95856.346954831839</v>
      </c>
      <c r="BE121">
        <v>95856.346954831839</v>
      </c>
      <c r="BF121">
        <v>2396.4086738707961</v>
      </c>
      <c r="BG121">
        <v>98252.755628702638</v>
      </c>
      <c r="BI121">
        <v>98252.755628702638</v>
      </c>
      <c r="BJ121">
        <v>3930.1102251481057</v>
      </c>
      <c r="BK121">
        <v>102182.86585385074</v>
      </c>
      <c r="BL121">
        <v>6130.9719512310448</v>
      </c>
      <c r="BM121">
        <v>108313.83780508178</v>
      </c>
      <c r="BN121">
        <v>14080.798914660632</v>
      </c>
      <c r="BO121">
        <v>122394.6367197424</v>
      </c>
      <c r="BQ121">
        <v>122394.6367197424</v>
      </c>
      <c r="BS121">
        <v>122394.6367197424</v>
      </c>
      <c r="BT121" s="238">
        <v>122394.64</v>
      </c>
      <c r="BU121" s="238">
        <v>7050000</v>
      </c>
      <c r="BW121">
        <v>0.03</v>
      </c>
      <c r="BX121" s="238">
        <v>211500</v>
      </c>
      <c r="BY121" s="238">
        <v>118723.95833333331</v>
      </c>
      <c r="BZ121" s="238">
        <v>6838500</v>
      </c>
      <c r="CA121" s="238" t="s">
        <v>6871</v>
      </c>
      <c r="CB121">
        <v>10000</v>
      </c>
      <c r="CC121">
        <v>128723.95833333331</v>
      </c>
      <c r="CD121" s="238">
        <v>576000</v>
      </c>
      <c r="CE121" s="238">
        <v>7414500</v>
      </c>
      <c r="CF121" t="s">
        <v>4633</v>
      </c>
      <c r="CG121" t="s">
        <v>321</v>
      </c>
      <c r="CH121" s="238" t="s">
        <v>39</v>
      </c>
      <c r="CI121" s="238" t="s">
        <v>39</v>
      </c>
      <c r="CJ121" t="s">
        <v>8950</v>
      </c>
      <c r="CK121" t="s">
        <v>1167</v>
      </c>
      <c r="CL121" t="s">
        <v>8961</v>
      </c>
      <c r="CM121" t="s">
        <v>8971</v>
      </c>
      <c r="CN121" s="238" t="b">
        <v>1</v>
      </c>
      <c r="CO121" t="s">
        <v>5409</v>
      </c>
      <c r="CQ121" t="s">
        <v>6652</v>
      </c>
      <c r="CR121" t="s">
        <v>3246</v>
      </c>
      <c r="CS121" t="s">
        <v>6871</v>
      </c>
      <c r="CT121" t="b">
        <v>1</v>
      </c>
      <c r="CU121">
        <v>7050000</v>
      </c>
      <c r="CV121" t="s">
        <v>9002</v>
      </c>
      <c r="CW121">
        <v>0</v>
      </c>
      <c r="CX121">
        <v>7050000</v>
      </c>
      <c r="CY121">
        <v>0</v>
      </c>
      <c r="CZ121" t="b">
        <v>1</v>
      </c>
      <c r="DA121">
        <v>45643</v>
      </c>
      <c r="DB121" t="s">
        <v>126</v>
      </c>
      <c r="DC121">
        <v>2.6041666666667407E-3</v>
      </c>
      <c r="DD121">
        <v>309.17697482639767</v>
      </c>
      <c r="DE121" s="420" cm="1">
        <f t="array" ref="DE121">_xlfn.XLOOKUP("Дом 5"&amp;Реестр_Д5[[#This Row],[№]]&amp;Реестр_Д5[[#This Row],[Статус]],РД[Дом]&amp;РД[№ кв]&amp;РД[Состояние],РД[Дата подачи на регистрацию],"-",0)</f>
        <v>45643</v>
      </c>
    </row>
    <row r="122" spans="1:109" x14ac:dyDescent="0.25">
      <c r="A122" s="238">
        <v>121</v>
      </c>
      <c r="B122" s="238" t="s">
        <v>5</v>
      </c>
      <c r="C122" s="238">
        <v>2</v>
      </c>
      <c r="D122" s="238">
        <v>4</v>
      </c>
      <c r="E122" s="238">
        <v>2</v>
      </c>
      <c r="F122" s="238">
        <v>15.45</v>
      </c>
      <c r="G122" s="238">
        <v>14.5</v>
      </c>
      <c r="H122" s="238"/>
      <c r="I122">
        <v>29.95</v>
      </c>
      <c r="J122" s="238">
        <v>11.95</v>
      </c>
      <c r="K122" s="238">
        <v>3.86</v>
      </c>
      <c r="L122" s="238">
        <v>2.37</v>
      </c>
      <c r="M122" s="238"/>
      <c r="N122" s="238">
        <v>8.8699999999999992</v>
      </c>
      <c r="O122" s="238">
        <v>2.62</v>
      </c>
      <c r="P122" s="238"/>
      <c r="R122" s="238">
        <v>2.62</v>
      </c>
      <c r="S122">
        <v>59.62</v>
      </c>
      <c r="T122">
        <v>57</v>
      </c>
      <c r="U122" s="238">
        <v>58.31</v>
      </c>
      <c r="V122">
        <v>58.2</v>
      </c>
      <c r="W122" s="238">
        <v>80693.959500000012</v>
      </c>
      <c r="X122">
        <v>4034.697975000001</v>
      </c>
      <c r="Y122">
        <v>84728.657475000015</v>
      </c>
      <c r="Z122">
        <v>2541.8597242500005</v>
      </c>
      <c r="AA122">
        <v>87270.517199250011</v>
      </c>
      <c r="AC122">
        <v>87270.517199250011</v>
      </c>
      <c r="AE122">
        <v>87270.517199250011</v>
      </c>
      <c r="AG122">
        <v>87270.517199250011</v>
      </c>
      <c r="AI122">
        <v>87270.517199250011</v>
      </c>
      <c r="AJ122">
        <v>872.70517199250014</v>
      </c>
      <c r="AK122">
        <v>88143.222371242489</v>
      </c>
      <c r="AL122">
        <v>4407.161118562125</v>
      </c>
      <c r="AM122">
        <v>92550.383489804633</v>
      </c>
      <c r="AO122">
        <v>92550.383489804633</v>
      </c>
      <c r="AP122">
        <v>1851.0076697960928</v>
      </c>
      <c r="AQ122">
        <v>94401.391159600724</v>
      </c>
      <c r="AS122">
        <v>94401.391159600724</v>
      </c>
      <c r="AT122">
        <v>1888.0278231920145</v>
      </c>
      <c r="AU122">
        <v>96289.418982792733</v>
      </c>
      <c r="AW122">
        <v>96289.418982792733</v>
      </c>
      <c r="AY122">
        <v>96289.418982792733</v>
      </c>
      <c r="AZ122">
        <v>962.89418982792733</v>
      </c>
      <c r="BA122">
        <v>97252.313172620663</v>
      </c>
      <c r="BC122">
        <v>97252.313172620663</v>
      </c>
      <c r="BE122">
        <v>97252.313172620663</v>
      </c>
      <c r="BF122">
        <v>2431.3078293155168</v>
      </c>
      <c r="BG122">
        <v>99683.621001936175</v>
      </c>
      <c r="BH122">
        <v>500</v>
      </c>
      <c r="BI122">
        <v>100183.62100193618</v>
      </c>
      <c r="BJ122">
        <v>4007.3448400774473</v>
      </c>
      <c r="BK122">
        <v>104190.96584201364</v>
      </c>
      <c r="BL122">
        <v>6251.4579505208176</v>
      </c>
      <c r="BM122">
        <v>110442.42379253444</v>
      </c>
      <c r="BN122">
        <v>14357.51509302948</v>
      </c>
      <c r="BO122">
        <v>124799.93888556393</v>
      </c>
      <c r="BP122">
        <v>35</v>
      </c>
      <c r="BQ122">
        <v>124834.93888556393</v>
      </c>
      <c r="BS122">
        <v>124834.93888556393</v>
      </c>
      <c r="BT122" s="238">
        <v>124834.94</v>
      </c>
      <c r="BU122" s="238">
        <v>7265400</v>
      </c>
      <c r="BX122" s="238">
        <v>0</v>
      </c>
      <c r="BY122" s="238">
        <v>124835.05154639175</v>
      </c>
      <c r="BZ122" s="238">
        <v>7265400</v>
      </c>
      <c r="CA122" s="238" t="s">
        <v>36</v>
      </c>
      <c r="CC122">
        <v>124835.05154639175</v>
      </c>
      <c r="CD122" s="238">
        <v>0</v>
      </c>
      <c r="CE122" s="238">
        <v>7265400</v>
      </c>
      <c r="CH122" s="238" t="s">
        <v>35</v>
      </c>
      <c r="CI122" s="238" t="s">
        <v>35</v>
      </c>
      <c r="CJ122" t="s">
        <v>8953</v>
      </c>
      <c r="CK122" t="s">
        <v>8954</v>
      </c>
      <c r="CL122" t="s">
        <v>8961</v>
      </c>
      <c r="CM122" t="s">
        <v>8974</v>
      </c>
      <c r="CN122" s="238" t="b">
        <v>1</v>
      </c>
      <c r="CO122" t="s">
        <v>5410</v>
      </c>
      <c r="CQ122" t="s">
        <v>6652</v>
      </c>
      <c r="CR122" t="s">
        <v>3124</v>
      </c>
      <c r="CS122" t="s">
        <v>6871</v>
      </c>
      <c r="CT122" t="b">
        <v>0</v>
      </c>
      <c r="CU122">
        <v>7265400</v>
      </c>
      <c r="CV122">
        <v>7265400</v>
      </c>
      <c r="CW122">
        <v>0</v>
      </c>
      <c r="CX122">
        <v>0</v>
      </c>
      <c r="CY122">
        <v>0</v>
      </c>
      <c r="CZ122" t="b">
        <v>1</v>
      </c>
      <c r="DA122" t="s">
        <v>4246</v>
      </c>
      <c r="DB122" t="s">
        <v>1167</v>
      </c>
      <c r="DC122">
        <v>-1.8864688732637136E-3</v>
      </c>
      <c r="DD122">
        <v>-235.49743903453927</v>
      </c>
      <c r="DE122" s="420" t="str" cm="1">
        <f t="array" ref="DE12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23" spans="1:109" hidden="1" x14ac:dyDescent="0.25">
      <c r="A123" s="238">
        <v>122</v>
      </c>
      <c r="B123" s="238" t="s">
        <v>5</v>
      </c>
      <c r="C123" s="238">
        <v>2</v>
      </c>
      <c r="D123" s="238">
        <v>5</v>
      </c>
      <c r="E123" s="238">
        <v>1</v>
      </c>
      <c r="F123" s="238">
        <v>12.06</v>
      </c>
      <c r="G123" s="238"/>
      <c r="H123" s="238"/>
      <c r="I123">
        <v>12.06</v>
      </c>
      <c r="J123" s="238">
        <v>13.18</v>
      </c>
      <c r="K123" s="238">
        <v>4.1100000000000003</v>
      </c>
      <c r="L123" s="238"/>
      <c r="M123" s="238"/>
      <c r="N123" s="238">
        <v>7.09</v>
      </c>
      <c r="O123" s="238">
        <v>2.84</v>
      </c>
      <c r="P123" s="238"/>
      <c r="R123" s="238">
        <v>2.84</v>
      </c>
      <c r="S123">
        <v>39.28</v>
      </c>
      <c r="T123">
        <v>36.44</v>
      </c>
      <c r="U123" s="238">
        <v>37.86</v>
      </c>
      <c r="V123">
        <v>37.549999999999997</v>
      </c>
      <c r="W123" s="238">
        <v>88412.625</v>
      </c>
      <c r="X123">
        <v>4420.6312500000004</v>
      </c>
      <c r="Y123">
        <v>92833.256250000006</v>
      </c>
      <c r="Z123">
        <v>2784.9976875000002</v>
      </c>
      <c r="AA123">
        <v>95618.253937500005</v>
      </c>
      <c r="AB123">
        <v>4302.8214271875004</v>
      </c>
      <c r="AC123">
        <v>99921.075364687509</v>
      </c>
      <c r="AE123">
        <v>99921.075364687509</v>
      </c>
      <c r="AF123">
        <v>4996.0537682343756</v>
      </c>
      <c r="AG123">
        <v>104917.12913292188</v>
      </c>
      <c r="AI123">
        <v>104917.12913292188</v>
      </c>
      <c r="AJ123">
        <v>1049.1712913292188</v>
      </c>
      <c r="AK123">
        <v>105966.30042425108</v>
      </c>
      <c r="AL123">
        <v>5298.3150212125547</v>
      </c>
      <c r="AM123">
        <v>111264.61544546366</v>
      </c>
      <c r="AO123">
        <v>111264.61544546366</v>
      </c>
      <c r="AP123">
        <v>3337.9384633639097</v>
      </c>
      <c r="AQ123">
        <v>114602.55390882755</v>
      </c>
      <c r="AS123">
        <v>114602.55390882755</v>
      </c>
      <c r="AU123">
        <v>114602.55390882755</v>
      </c>
      <c r="AW123">
        <v>114602.55390882755</v>
      </c>
      <c r="AY123">
        <v>114602.55390882755</v>
      </c>
      <c r="AZ123">
        <v>1146.0255390882758</v>
      </c>
      <c r="BA123">
        <v>115748.57944791584</v>
      </c>
      <c r="BB123">
        <v>578.74289723957929</v>
      </c>
      <c r="BC123">
        <v>116327.32234515544</v>
      </c>
      <c r="BE123">
        <v>116327.32234515544</v>
      </c>
      <c r="BF123">
        <v>2908.1830586288861</v>
      </c>
      <c r="BG123">
        <v>119235.50540378432</v>
      </c>
      <c r="BI123">
        <v>119235.50540378432</v>
      </c>
      <c r="BK123">
        <v>119235.50540378432</v>
      </c>
      <c r="BM123">
        <v>119235.50540378432</v>
      </c>
      <c r="BO123">
        <v>119235.50540378432</v>
      </c>
      <c r="BQ123">
        <v>119235.50540378432</v>
      </c>
      <c r="BS123">
        <v>119235.50540378432</v>
      </c>
      <c r="BT123" s="238">
        <v>119235.51</v>
      </c>
      <c r="BU123" s="238">
        <v>4514300</v>
      </c>
      <c r="BW123">
        <v>0.02</v>
      </c>
      <c r="BX123" s="238">
        <v>90286</v>
      </c>
      <c r="BY123" s="238">
        <v>116851.92815636555</v>
      </c>
      <c r="BZ123" s="238">
        <v>4424014</v>
      </c>
      <c r="CA123" s="238" t="s">
        <v>6871</v>
      </c>
      <c r="CB123">
        <v>8000</v>
      </c>
      <c r="CC123">
        <v>124851.92815636555</v>
      </c>
      <c r="CD123" s="238">
        <v>302880</v>
      </c>
      <c r="CE123" s="238">
        <v>4726894</v>
      </c>
      <c r="CG123" t="s">
        <v>3540</v>
      </c>
      <c r="CH123" s="238" t="s">
        <v>39</v>
      </c>
      <c r="CI123" s="238" t="s">
        <v>39</v>
      </c>
      <c r="CJ123" t="s">
        <v>8950</v>
      </c>
      <c r="CK123" t="s">
        <v>1167</v>
      </c>
      <c r="CL123" t="s">
        <v>8961</v>
      </c>
      <c r="CM123" t="s">
        <v>8973</v>
      </c>
      <c r="CN123" s="238" t="b">
        <v>1</v>
      </c>
      <c r="CO123" t="s">
        <v>5411</v>
      </c>
      <c r="CQ123" t="s">
        <v>6652</v>
      </c>
      <c r="CR123" t="s">
        <v>3246</v>
      </c>
      <c r="CS123" t="s">
        <v>6871</v>
      </c>
      <c r="CT123" t="b">
        <v>1</v>
      </c>
      <c r="CU123">
        <v>4514300</v>
      </c>
      <c r="CV123" t="s">
        <v>9002</v>
      </c>
      <c r="CW123">
        <v>0</v>
      </c>
      <c r="CX123">
        <v>4514300</v>
      </c>
      <c r="CY123">
        <v>0</v>
      </c>
      <c r="CZ123" t="b">
        <v>1</v>
      </c>
      <c r="DA123">
        <v>45576</v>
      </c>
      <c r="DB123" t="s">
        <v>4177</v>
      </c>
      <c r="DC123">
        <v>-8.1880612783939988E-3</v>
      </c>
      <c r="DD123">
        <v>-956.79074824281429</v>
      </c>
      <c r="DE123" s="420" cm="1">
        <f t="array" ref="DE123">_xlfn.XLOOKUP("Дом 5"&amp;Реестр_Д5[[#This Row],[№]]&amp;Реестр_Д5[[#This Row],[Статус]],РД[Дом]&amp;РД[№ кв]&amp;РД[Состояние],РД[Дата подачи на регистрацию],"-",0)</f>
        <v>45576</v>
      </c>
    </row>
    <row r="124" spans="1:109" hidden="1" x14ac:dyDescent="0.25">
      <c r="A124" s="238">
        <v>123</v>
      </c>
      <c r="B124" s="238" t="s">
        <v>5</v>
      </c>
      <c r="C124" s="238">
        <v>2</v>
      </c>
      <c r="D124" s="238">
        <v>6</v>
      </c>
      <c r="E124" s="238">
        <v>3</v>
      </c>
      <c r="F124" s="238">
        <v>17.89</v>
      </c>
      <c r="G124" s="238">
        <v>17.2</v>
      </c>
      <c r="H124" s="238">
        <v>14.31</v>
      </c>
      <c r="I124">
        <v>49.400000000000006</v>
      </c>
      <c r="J124" s="238">
        <v>13.39</v>
      </c>
      <c r="K124" s="238">
        <v>4.2</v>
      </c>
      <c r="L124" s="238">
        <v>2.0499999999999998</v>
      </c>
      <c r="M124" s="238"/>
      <c r="N124" s="238">
        <v>13.21</v>
      </c>
      <c r="O124" s="238">
        <v>2.79</v>
      </c>
      <c r="P124" s="238">
        <v>2.68</v>
      </c>
      <c r="R124" s="238">
        <v>5.4700000000000006</v>
      </c>
      <c r="S124">
        <v>87.72</v>
      </c>
      <c r="T124">
        <v>82.25</v>
      </c>
      <c r="U124" s="238">
        <v>84.99</v>
      </c>
      <c r="V124">
        <v>84.8</v>
      </c>
      <c r="W124" s="238">
        <v>72806.580000000016</v>
      </c>
      <c r="X124">
        <v>3640.3290000000006</v>
      </c>
      <c r="Y124">
        <v>76446.909000000014</v>
      </c>
      <c r="Z124">
        <v>2293.4072700000002</v>
      </c>
      <c r="AA124">
        <v>78740.31627000001</v>
      </c>
      <c r="AC124">
        <v>78740.31627000001</v>
      </c>
      <c r="AE124">
        <v>78740.31627000001</v>
      </c>
      <c r="AG124">
        <v>78740.31627000001</v>
      </c>
      <c r="AI124">
        <v>78740.31627000001</v>
      </c>
      <c r="AJ124">
        <v>787.40316270000017</v>
      </c>
      <c r="AK124">
        <v>79527.719432700003</v>
      </c>
      <c r="AL124">
        <v>3976.3859716349998</v>
      </c>
      <c r="AM124">
        <v>83504.105404335001</v>
      </c>
      <c r="AO124">
        <v>83504.105404335001</v>
      </c>
      <c r="AP124">
        <v>1670.0821080866999</v>
      </c>
      <c r="AQ124">
        <v>85174.187512421689</v>
      </c>
      <c r="AS124">
        <v>85174.187512421689</v>
      </c>
      <c r="AT124">
        <v>1703.483750248434</v>
      </c>
      <c r="AU124">
        <v>86877.671262670134</v>
      </c>
      <c r="AW124">
        <v>86877.671262670134</v>
      </c>
      <c r="AX124">
        <v>868.7767126267014</v>
      </c>
      <c r="AY124">
        <v>87746.447975296833</v>
      </c>
      <c r="BA124">
        <v>87746.447975296833</v>
      </c>
      <c r="BC124">
        <v>87746.447975296833</v>
      </c>
      <c r="BD124">
        <v>1754.9289595059367</v>
      </c>
      <c r="BE124">
        <v>89501.376934802771</v>
      </c>
      <c r="BF124">
        <v>1342.5206540220415</v>
      </c>
      <c r="BG124">
        <v>90843.897588824795</v>
      </c>
      <c r="BI124">
        <v>90843.897588824795</v>
      </c>
      <c r="BJ124">
        <v>3633.755903552993</v>
      </c>
      <c r="BK124">
        <v>94477.653492377809</v>
      </c>
      <c r="BL124">
        <v>4723.8826746188906</v>
      </c>
      <c r="BM124">
        <v>99201.536166996695</v>
      </c>
      <c r="BN124">
        <v>12896.199701709573</v>
      </c>
      <c r="BO124">
        <v>112097.73586870628</v>
      </c>
      <c r="BP124">
        <v>35</v>
      </c>
      <c r="BQ124">
        <v>112132.73586870628</v>
      </c>
      <c r="BS124">
        <v>112132.73586870628</v>
      </c>
      <c r="BT124" s="238">
        <v>112132.74</v>
      </c>
      <c r="BU124" s="238">
        <v>9530200</v>
      </c>
      <c r="BV124">
        <v>400000</v>
      </c>
      <c r="BW124">
        <v>0.03</v>
      </c>
      <c r="BX124" s="238">
        <v>685906</v>
      </c>
      <c r="BY124" s="238">
        <v>104062.7603247441</v>
      </c>
      <c r="BZ124" s="238">
        <v>8844294</v>
      </c>
      <c r="CA124" s="238" t="s">
        <v>36</v>
      </c>
      <c r="CC124">
        <v>104062.7603247441</v>
      </c>
      <c r="CD124" s="238">
        <v>0</v>
      </c>
      <c r="CE124" s="238">
        <v>8844294</v>
      </c>
      <c r="CG124" t="s">
        <v>8592</v>
      </c>
      <c r="CH124" s="238" t="s">
        <v>39</v>
      </c>
      <c r="CI124" s="238" t="s">
        <v>39</v>
      </c>
      <c r="CJ124" t="s">
        <v>8950</v>
      </c>
      <c r="CK124" t="s">
        <v>1167</v>
      </c>
      <c r="CL124" t="s">
        <v>8961</v>
      </c>
      <c r="CM124" t="s">
        <v>8975</v>
      </c>
      <c r="CN124" s="238" t="b">
        <v>1</v>
      </c>
      <c r="CO124" t="s">
        <v>5412</v>
      </c>
      <c r="CQ124" t="s">
        <v>6652</v>
      </c>
      <c r="CR124" t="s">
        <v>3246</v>
      </c>
      <c r="CS124" t="s">
        <v>36</v>
      </c>
      <c r="CT124" t="b">
        <v>1</v>
      </c>
      <c r="CU124">
        <v>9530200</v>
      </c>
      <c r="CV124" t="s">
        <v>9002</v>
      </c>
      <c r="CW124">
        <v>9530200</v>
      </c>
      <c r="CX124">
        <v>9530200</v>
      </c>
      <c r="CY124">
        <v>0</v>
      </c>
      <c r="CZ124" t="b">
        <v>1</v>
      </c>
      <c r="DA124">
        <v>45800</v>
      </c>
      <c r="DB124" t="s">
        <v>8380</v>
      </c>
      <c r="DC124">
        <v>-2.2355571243675154E-3</v>
      </c>
      <c r="DD124">
        <v>-232.63824522533093</v>
      </c>
      <c r="DE124" s="420" cm="1">
        <f t="array" ref="DE124">_xlfn.XLOOKUP("Дом 5"&amp;Реестр_Д5[[#This Row],[№]]&amp;Реестр_Д5[[#This Row],[Статус]],РД[Дом]&amp;РД[№ кв]&amp;РД[Состояние],РД[Дата подачи на регистрацию],"-",0)</f>
        <v>45800</v>
      </c>
    </row>
    <row r="125" spans="1:109" hidden="1" x14ac:dyDescent="0.25">
      <c r="A125" s="238">
        <v>124</v>
      </c>
      <c r="B125" s="238" t="s">
        <v>5</v>
      </c>
      <c r="C125" s="238">
        <v>2</v>
      </c>
      <c r="D125" s="238">
        <v>7</v>
      </c>
      <c r="E125" s="238">
        <v>1</v>
      </c>
      <c r="F125" s="238">
        <v>17.89</v>
      </c>
      <c r="G125" s="238"/>
      <c r="H125" s="238"/>
      <c r="I125">
        <v>17.89</v>
      </c>
      <c r="J125" s="238">
        <v>13.04</v>
      </c>
      <c r="K125" s="238">
        <v>3.9</v>
      </c>
      <c r="L125" s="238"/>
      <c r="M125" s="238"/>
      <c r="N125" s="238">
        <v>6.12</v>
      </c>
      <c r="O125" s="238">
        <v>2.65</v>
      </c>
      <c r="P125" s="238"/>
      <c r="R125" s="238">
        <v>2.65</v>
      </c>
      <c r="S125">
        <v>43.6</v>
      </c>
      <c r="T125">
        <v>40.950000000000003</v>
      </c>
      <c r="U125" s="238">
        <v>42.28</v>
      </c>
      <c r="V125">
        <v>42.25</v>
      </c>
      <c r="W125" s="238">
        <v>84762.5625</v>
      </c>
      <c r="Y125">
        <v>84762.5625</v>
      </c>
      <c r="AA125">
        <v>84762.5625</v>
      </c>
      <c r="AC125">
        <v>84762.5625</v>
      </c>
      <c r="AE125">
        <v>84762.5625</v>
      </c>
      <c r="AG125">
        <v>84762.5625</v>
      </c>
      <c r="AI125">
        <v>84762.5625</v>
      </c>
      <c r="AK125">
        <v>84762.5625</v>
      </c>
      <c r="AM125">
        <v>84762.5625</v>
      </c>
      <c r="AO125">
        <v>84762.5625</v>
      </c>
      <c r="AQ125">
        <v>84762.5625</v>
      </c>
      <c r="AS125">
        <v>84762.5625</v>
      </c>
      <c r="AU125">
        <v>84762.5625</v>
      </c>
      <c r="AW125">
        <v>84762.5625</v>
      </c>
      <c r="AY125">
        <v>84762.5625</v>
      </c>
      <c r="BA125">
        <v>84762.5625</v>
      </c>
      <c r="BC125">
        <v>84762.5625</v>
      </c>
      <c r="BE125">
        <v>84762.5625</v>
      </c>
      <c r="BG125">
        <v>84762.5625</v>
      </c>
      <c r="BI125">
        <v>84762.5625</v>
      </c>
      <c r="BK125">
        <v>84762.5625</v>
      </c>
      <c r="BM125">
        <v>84762.5625</v>
      </c>
      <c r="BO125">
        <v>84762.5625</v>
      </c>
      <c r="BQ125">
        <v>84762.5625</v>
      </c>
      <c r="BS125">
        <v>84762.5625</v>
      </c>
      <c r="BT125" s="238">
        <v>84762.559999999998</v>
      </c>
      <c r="BU125" s="238">
        <v>3583761.04</v>
      </c>
      <c r="BX125" s="238">
        <v>0</v>
      </c>
      <c r="BY125" s="238">
        <v>84762.560075685906</v>
      </c>
      <c r="BZ125" s="238">
        <v>3583761.04</v>
      </c>
      <c r="CA125" s="238" t="s">
        <v>37</v>
      </c>
      <c r="CB125">
        <v>4500</v>
      </c>
      <c r="CC125">
        <v>89262.560075685906</v>
      </c>
      <c r="CD125" s="238">
        <v>190260</v>
      </c>
      <c r="CE125" s="238">
        <v>3774021.04</v>
      </c>
      <c r="CH125" s="238" t="s">
        <v>39</v>
      </c>
      <c r="CI125" s="238" t="s">
        <v>39</v>
      </c>
      <c r="CJ125" t="s">
        <v>8950</v>
      </c>
      <c r="CK125" t="s">
        <v>1167</v>
      </c>
      <c r="CL125" t="s">
        <v>8961</v>
      </c>
      <c r="CM125" t="s">
        <v>8973</v>
      </c>
      <c r="CN125" s="238" t="b">
        <v>1</v>
      </c>
      <c r="CO125" t="s">
        <v>5413</v>
      </c>
      <c r="CQ125" t="s">
        <v>4895</v>
      </c>
      <c r="CR125" t="s">
        <v>3246</v>
      </c>
      <c r="CS125" t="s">
        <v>37</v>
      </c>
      <c r="CT125" t="b">
        <v>1</v>
      </c>
      <c r="CU125">
        <v>3583761.04</v>
      </c>
      <c r="CV125" t="s">
        <v>9002</v>
      </c>
      <c r="CW125">
        <v>3583761</v>
      </c>
      <c r="CX125">
        <v>3583761</v>
      </c>
      <c r="CY125">
        <v>0</v>
      </c>
      <c r="CZ125" t="b">
        <v>1</v>
      </c>
      <c r="DA125">
        <v>45185</v>
      </c>
      <c r="DB125" t="s">
        <v>126</v>
      </c>
      <c r="DC125">
        <v>-7.0955534531691455E-4</v>
      </c>
      <c r="DD125">
        <v>-60.143727584449024</v>
      </c>
      <c r="DE125" s="420" cm="1">
        <f t="array" ref="DE125">_xlfn.XLOOKUP("Дом 5"&amp;Реестр_Д5[[#This Row],[№]]&amp;Реестр_Д5[[#This Row],[Статус]],РД[Дом]&amp;РД[№ кв]&amp;РД[Состояние],РД[Дата подачи на регистрацию],"-",0)</f>
        <v>45185</v>
      </c>
    </row>
    <row r="126" spans="1:109" hidden="1" x14ac:dyDescent="0.25">
      <c r="A126" s="238">
        <v>125</v>
      </c>
      <c r="B126" s="238" t="s">
        <v>5</v>
      </c>
      <c r="C126" s="238">
        <v>3</v>
      </c>
      <c r="D126" s="238">
        <v>1</v>
      </c>
      <c r="E126" s="238">
        <v>2</v>
      </c>
      <c r="F126" s="238">
        <v>15.91</v>
      </c>
      <c r="G126" s="238">
        <v>12.02</v>
      </c>
      <c r="H126" s="238"/>
      <c r="I126">
        <v>27.93</v>
      </c>
      <c r="J126" s="238">
        <v>15.31</v>
      </c>
      <c r="K126" s="238">
        <v>3.85</v>
      </c>
      <c r="L126" s="238">
        <v>2.2999999999999998</v>
      </c>
      <c r="M126" s="238"/>
      <c r="N126" s="238">
        <v>9.4499999999999993</v>
      </c>
      <c r="O126" s="238">
        <v>2.75</v>
      </c>
      <c r="P126" s="238"/>
      <c r="R126" s="238">
        <v>2.75</v>
      </c>
      <c r="S126">
        <v>61.59</v>
      </c>
      <c r="T126">
        <v>58.84</v>
      </c>
      <c r="U126" s="238">
        <v>60.22</v>
      </c>
      <c r="V126">
        <v>60.199999999999989</v>
      </c>
      <c r="W126" s="238">
        <v>81080.054999999993</v>
      </c>
      <c r="X126">
        <v>4054.002750000001</v>
      </c>
      <c r="Y126">
        <v>85134.057750000007</v>
      </c>
      <c r="Z126">
        <v>2554.0217325000003</v>
      </c>
      <c r="AA126">
        <v>87688.079482500005</v>
      </c>
      <c r="AC126">
        <v>87688.079482500005</v>
      </c>
      <c r="AE126">
        <v>87688.079482500005</v>
      </c>
      <c r="AG126">
        <v>87688.079482500005</v>
      </c>
      <c r="AI126">
        <v>87688.079482500005</v>
      </c>
      <c r="AJ126">
        <v>876.88079482499995</v>
      </c>
      <c r="AK126">
        <v>88564.960277325008</v>
      </c>
      <c r="AL126">
        <v>4428.2480138662504</v>
      </c>
      <c r="AM126">
        <v>92993.208291191258</v>
      </c>
      <c r="AO126">
        <v>92993.208291191258</v>
      </c>
      <c r="AP126">
        <v>1859.8641658238253</v>
      </c>
      <c r="AQ126">
        <v>94853.072457015078</v>
      </c>
      <c r="AS126">
        <v>94853.072457015078</v>
      </c>
      <c r="AT126">
        <v>1897.0614491403016</v>
      </c>
      <c r="AU126">
        <v>96750.133906155374</v>
      </c>
      <c r="AW126">
        <v>96750.133906155374</v>
      </c>
      <c r="AY126">
        <v>96750.133906155374</v>
      </c>
      <c r="BA126">
        <v>96750.133906155374</v>
      </c>
      <c r="BC126">
        <v>96750.133906155374</v>
      </c>
      <c r="BE126">
        <v>96750.133906155374</v>
      </c>
      <c r="BF126">
        <v>1451.2520085923306</v>
      </c>
      <c r="BG126">
        <v>98201.385914747705</v>
      </c>
      <c r="BI126">
        <v>98201.385914747705</v>
      </c>
      <c r="BJ126">
        <v>3928.0554365899088</v>
      </c>
      <c r="BK126">
        <v>102129.44135133762</v>
      </c>
      <c r="BL126">
        <v>6127.7664810802571</v>
      </c>
      <c r="BM126">
        <v>108257.20783241787</v>
      </c>
      <c r="BN126">
        <v>14073.437018214325</v>
      </c>
      <c r="BO126">
        <v>122330.6448506322</v>
      </c>
      <c r="BP126">
        <v>35</v>
      </c>
      <c r="BQ126">
        <v>122365.6448506322</v>
      </c>
      <c r="BS126">
        <v>122365.6448506322</v>
      </c>
      <c r="BT126" s="238">
        <v>122365.64</v>
      </c>
      <c r="BU126" s="238">
        <v>7368900</v>
      </c>
      <c r="BX126" s="238">
        <v>0</v>
      </c>
      <c r="BY126" s="238">
        <v>122366.32348057124</v>
      </c>
      <c r="BZ126" s="238">
        <v>7368900</v>
      </c>
      <c r="CA126" s="238" t="s">
        <v>36</v>
      </c>
      <c r="CC126">
        <v>122366.32348057124</v>
      </c>
      <c r="CD126" s="238">
        <v>0</v>
      </c>
      <c r="CE126" s="238">
        <v>7368900</v>
      </c>
      <c r="CH126" s="238" t="s">
        <v>39</v>
      </c>
      <c r="CI126" s="238" t="s">
        <v>39</v>
      </c>
      <c r="CJ126" t="s">
        <v>8950</v>
      </c>
      <c r="CK126" t="s">
        <v>1167</v>
      </c>
      <c r="CL126" t="s">
        <v>8961</v>
      </c>
      <c r="CM126" t="s">
        <v>8971</v>
      </c>
      <c r="CN126" s="238" t="b">
        <v>1</v>
      </c>
      <c r="CO126" t="s">
        <v>5414</v>
      </c>
      <c r="CQ126" t="s">
        <v>6652</v>
      </c>
      <c r="CR126" t="s">
        <v>3246</v>
      </c>
      <c r="CS126" t="s">
        <v>36</v>
      </c>
      <c r="CT126" t="b">
        <v>1</v>
      </c>
      <c r="CU126">
        <v>7368900</v>
      </c>
      <c r="CV126" t="s">
        <v>9002</v>
      </c>
      <c r="CW126">
        <v>0</v>
      </c>
      <c r="CX126">
        <v>7368900</v>
      </c>
      <c r="CY126">
        <v>0</v>
      </c>
      <c r="CZ126" t="b">
        <v>1</v>
      </c>
      <c r="DA126">
        <v>45698</v>
      </c>
      <c r="DB126" t="s">
        <v>4177</v>
      </c>
      <c r="DC126">
        <v>-3.3211557622070398E-4</v>
      </c>
      <c r="DD126">
        <v>-40.639762032758981</v>
      </c>
      <c r="DE126" s="420" cm="1">
        <f t="array" ref="DE126">_xlfn.XLOOKUP("Дом 5"&amp;Реестр_Д5[[#This Row],[№]]&amp;Реестр_Д5[[#This Row],[Статус]],РД[Дом]&amp;РД[№ кв]&amp;РД[Состояние],РД[Дата подачи на регистрацию],"-",0)</f>
        <v>45698</v>
      </c>
    </row>
    <row r="127" spans="1:109" hidden="1" x14ac:dyDescent="0.25">
      <c r="A127" s="238">
        <v>126</v>
      </c>
      <c r="B127" s="238" t="s">
        <v>5</v>
      </c>
      <c r="C127" s="238">
        <v>3</v>
      </c>
      <c r="D127" s="238">
        <v>2</v>
      </c>
      <c r="E127" s="238">
        <v>0</v>
      </c>
      <c r="F127" s="238">
        <v>7.13</v>
      </c>
      <c r="G127" s="238"/>
      <c r="H127" s="238"/>
      <c r="I127">
        <v>7.13</v>
      </c>
      <c r="J127" s="238">
        <v>5.12</v>
      </c>
      <c r="K127" s="238">
        <v>3.65</v>
      </c>
      <c r="L127" s="238"/>
      <c r="M127" s="238"/>
      <c r="N127" s="238">
        <v>6.92</v>
      </c>
      <c r="O127" s="238">
        <v>2.91</v>
      </c>
      <c r="P127" s="238"/>
      <c r="R127" s="238">
        <v>2.91</v>
      </c>
      <c r="S127">
        <v>25.73</v>
      </c>
      <c r="T127">
        <v>22.82</v>
      </c>
      <c r="U127" s="238">
        <v>24.28</v>
      </c>
      <c r="V127">
        <v>24.3</v>
      </c>
      <c r="W127" s="238">
        <v>91105.56</v>
      </c>
      <c r="X127">
        <v>4555.2780000000002</v>
      </c>
      <c r="Y127">
        <v>95660.838000000003</v>
      </c>
      <c r="Z127">
        <v>2869.8251399999999</v>
      </c>
      <c r="AA127">
        <v>98530.663140000004</v>
      </c>
      <c r="AB127">
        <v>14779.599471</v>
      </c>
      <c r="AC127">
        <v>113310.262611</v>
      </c>
      <c r="AE127">
        <v>113310.262611</v>
      </c>
      <c r="AG127">
        <v>113310.262611</v>
      </c>
      <c r="AI127">
        <v>113310.262611</v>
      </c>
      <c r="AJ127">
        <v>1133.1026261100001</v>
      </c>
      <c r="AK127">
        <v>114443.36523711</v>
      </c>
      <c r="AL127">
        <v>5722.1682618555005</v>
      </c>
      <c r="AM127">
        <v>120165.53349896552</v>
      </c>
      <c r="AO127">
        <v>120165.53349896552</v>
      </c>
      <c r="AP127">
        <v>3604.9660049689646</v>
      </c>
      <c r="AQ127">
        <v>123770.49950393448</v>
      </c>
      <c r="AS127">
        <v>123770.49950393448</v>
      </c>
      <c r="AU127">
        <v>123770.49950393448</v>
      </c>
      <c r="AW127">
        <v>123770.49950393448</v>
      </c>
      <c r="AY127">
        <v>123770.49950393448</v>
      </c>
      <c r="AZ127">
        <v>2475.4099900786896</v>
      </c>
      <c r="BA127">
        <v>126245.90949401318</v>
      </c>
      <c r="BC127">
        <v>126245.90949401318</v>
      </c>
      <c r="BE127">
        <v>126245.90949401318</v>
      </c>
      <c r="BF127">
        <v>1893.6886424101976</v>
      </c>
      <c r="BG127">
        <v>128139.59813642336</v>
      </c>
      <c r="BH127">
        <v>500</v>
      </c>
      <c r="BI127">
        <v>128639.59813642336</v>
      </c>
      <c r="BK127">
        <v>128639.59813642336</v>
      </c>
      <c r="BM127">
        <v>128639.59813642336</v>
      </c>
      <c r="BO127">
        <v>128639.59813642336</v>
      </c>
      <c r="BQ127">
        <v>128639.59813642336</v>
      </c>
      <c r="BS127">
        <v>128639.59813642336</v>
      </c>
      <c r="BT127" s="238">
        <v>128639.6</v>
      </c>
      <c r="BU127" s="238">
        <v>3123400</v>
      </c>
      <c r="BW127">
        <v>0.02</v>
      </c>
      <c r="BX127" s="238">
        <v>62468</v>
      </c>
      <c r="BY127" s="238">
        <v>126068.03953871501</v>
      </c>
      <c r="BZ127" s="238">
        <v>3060932</v>
      </c>
      <c r="CA127" s="238" t="s">
        <v>38</v>
      </c>
      <c r="CB127">
        <v>24000</v>
      </c>
      <c r="CC127">
        <v>150068.03953871498</v>
      </c>
      <c r="CD127" s="238">
        <v>582720</v>
      </c>
      <c r="CE127" s="238">
        <v>3643652</v>
      </c>
      <c r="CG127" t="s">
        <v>3540</v>
      </c>
      <c r="CH127" s="238" t="s">
        <v>39</v>
      </c>
      <c r="CI127" s="238" t="s">
        <v>39</v>
      </c>
      <c r="CJ127" t="s">
        <v>8950</v>
      </c>
      <c r="CK127" t="s">
        <v>1167</v>
      </c>
      <c r="CL127" t="s">
        <v>8961</v>
      </c>
      <c r="CM127" t="s">
        <v>8970</v>
      </c>
      <c r="CN127" s="238" t="b">
        <v>1</v>
      </c>
      <c r="CO127" t="s">
        <v>5415</v>
      </c>
      <c r="CQ127" t="s">
        <v>6652</v>
      </c>
      <c r="CR127" t="s">
        <v>3246</v>
      </c>
      <c r="CS127" t="s">
        <v>38</v>
      </c>
      <c r="CT127" t="b">
        <v>1</v>
      </c>
      <c r="CU127">
        <v>3123400</v>
      </c>
      <c r="CV127" t="s">
        <v>9002</v>
      </c>
      <c r="CW127">
        <v>0</v>
      </c>
      <c r="CX127">
        <v>3123400</v>
      </c>
      <c r="CY127">
        <v>0</v>
      </c>
      <c r="CZ127" t="b">
        <v>1</v>
      </c>
      <c r="DA127">
        <v>45588</v>
      </c>
      <c r="DB127" t="s">
        <v>5215</v>
      </c>
      <c r="DC127">
        <v>8.2372322899493245E-4</v>
      </c>
      <c r="DD127">
        <v>103.84517260189114</v>
      </c>
      <c r="DE127" s="420" cm="1">
        <f t="array" ref="DE127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128" spans="1:109" hidden="1" x14ac:dyDescent="0.25">
      <c r="A128" s="238">
        <v>127</v>
      </c>
      <c r="B128" s="238" t="s">
        <v>5</v>
      </c>
      <c r="C128" s="238">
        <v>3</v>
      </c>
      <c r="D128" s="238">
        <v>3</v>
      </c>
      <c r="E128" s="238">
        <v>2</v>
      </c>
      <c r="F128" s="238">
        <v>14.6</v>
      </c>
      <c r="G128" s="238">
        <v>13.12</v>
      </c>
      <c r="H128" s="238"/>
      <c r="I128">
        <v>27.72</v>
      </c>
      <c r="J128" s="238">
        <v>14.35</v>
      </c>
      <c r="K128" s="238">
        <v>3.68</v>
      </c>
      <c r="L128" s="238">
        <v>2.57</v>
      </c>
      <c r="M128" s="238"/>
      <c r="N128" s="238">
        <v>7.95</v>
      </c>
      <c r="O128" s="238">
        <v>2.65</v>
      </c>
      <c r="P128" s="238"/>
      <c r="R128" s="238">
        <v>2.65</v>
      </c>
      <c r="S128">
        <v>58.92</v>
      </c>
      <c r="T128">
        <v>56.27</v>
      </c>
      <c r="U128" s="238">
        <v>57.6</v>
      </c>
      <c r="V128">
        <v>57.65</v>
      </c>
      <c r="W128" s="238">
        <v>79535.67300000001</v>
      </c>
      <c r="X128">
        <v>3976.7836500000008</v>
      </c>
      <c r="Y128">
        <v>83512.456649999993</v>
      </c>
      <c r="Z128">
        <v>2505.3736994999999</v>
      </c>
      <c r="AA128">
        <v>86017.8303495</v>
      </c>
      <c r="AC128">
        <v>86017.8303495</v>
      </c>
      <c r="AE128">
        <v>86017.8303495</v>
      </c>
      <c r="AG128">
        <v>86017.8303495</v>
      </c>
      <c r="AI128">
        <v>86017.8303495</v>
      </c>
      <c r="AJ128">
        <v>860.17830349500002</v>
      </c>
      <c r="AK128">
        <v>86878.008652995006</v>
      </c>
      <c r="AL128">
        <v>4343.9004326497507</v>
      </c>
      <c r="AM128">
        <v>91221.909085644758</v>
      </c>
      <c r="AO128">
        <v>91221.909085644758</v>
      </c>
      <c r="AP128">
        <v>1824.4381817128951</v>
      </c>
      <c r="AQ128">
        <v>93046.347267357647</v>
      </c>
      <c r="AS128">
        <v>93046.347267357647</v>
      </c>
      <c r="AT128">
        <v>1860.9269453471527</v>
      </c>
      <c r="AU128">
        <v>94907.274212704797</v>
      </c>
      <c r="AW128">
        <v>94907.274212704797</v>
      </c>
      <c r="AX128">
        <v>949.07274212704795</v>
      </c>
      <c r="AY128">
        <v>95856.346954831839</v>
      </c>
      <c r="BA128">
        <v>95856.346954831839</v>
      </c>
      <c r="BC128">
        <v>95856.346954831839</v>
      </c>
      <c r="BE128">
        <v>95856.346954831839</v>
      </c>
      <c r="BG128">
        <v>95856.346954831839</v>
      </c>
      <c r="BI128">
        <v>95856.346954831839</v>
      </c>
      <c r="BK128">
        <v>95856.346954831839</v>
      </c>
      <c r="BM128">
        <v>95856.346954831839</v>
      </c>
      <c r="BO128">
        <v>95856.346954831839</v>
      </c>
      <c r="BQ128">
        <v>95856.346954831839</v>
      </c>
      <c r="BS128">
        <v>95856.346954831839</v>
      </c>
      <c r="BT128" s="238">
        <v>95856.35</v>
      </c>
      <c r="BU128" s="238">
        <v>5521400</v>
      </c>
      <c r="BX128" s="238">
        <v>0</v>
      </c>
      <c r="BY128" s="238">
        <v>95857.638888888891</v>
      </c>
      <c r="BZ128" s="238">
        <v>5521400</v>
      </c>
      <c r="CA128" s="238" t="s">
        <v>36</v>
      </c>
      <c r="CC128">
        <v>95857.638888888891</v>
      </c>
      <c r="CD128" s="238">
        <v>0</v>
      </c>
      <c r="CE128" s="238">
        <v>5521400</v>
      </c>
      <c r="CF128" t="s">
        <v>4633</v>
      </c>
      <c r="CH128" s="238" t="s">
        <v>39</v>
      </c>
      <c r="CI128" s="238" t="s">
        <v>39</v>
      </c>
      <c r="CJ128" t="s">
        <v>8950</v>
      </c>
      <c r="CK128" t="s">
        <v>1167</v>
      </c>
      <c r="CL128" t="s">
        <v>8961</v>
      </c>
      <c r="CM128" t="s">
        <v>8971</v>
      </c>
      <c r="CN128" s="238" t="b">
        <v>1</v>
      </c>
      <c r="CO128" t="s">
        <v>5416</v>
      </c>
      <c r="CQ128" t="s">
        <v>6652</v>
      </c>
      <c r="CR128" t="s">
        <v>3246</v>
      </c>
      <c r="CS128" t="s">
        <v>36</v>
      </c>
      <c r="CT128" t="b">
        <v>1</v>
      </c>
      <c r="CU128">
        <v>5521400</v>
      </c>
      <c r="CV128" t="s">
        <v>9002</v>
      </c>
      <c r="CW128">
        <v>0</v>
      </c>
      <c r="CX128">
        <v>5521400</v>
      </c>
      <c r="CY128">
        <v>0</v>
      </c>
      <c r="CZ128" t="b">
        <v>1</v>
      </c>
      <c r="DA128">
        <v>45471</v>
      </c>
      <c r="DB128" t="s">
        <v>5215</v>
      </c>
      <c r="DC128">
        <v>8.6805555555558012E-4</v>
      </c>
      <c r="DD128">
        <v>83.209755979940638</v>
      </c>
      <c r="DE128" s="420" cm="1">
        <f t="array" ref="DE128">_xlfn.XLOOKUP("Дом 5"&amp;Реестр_Д5[[#This Row],[№]]&amp;Реестр_Д5[[#This Row],[Статус]],РД[Дом]&amp;РД[№ кв]&amp;РД[Состояние],РД[Дата подачи на регистрацию],"-",0)</f>
        <v>45471</v>
      </c>
    </row>
    <row r="129" spans="1:109" hidden="1" x14ac:dyDescent="0.25">
      <c r="A129" s="238">
        <v>128</v>
      </c>
      <c r="B129" s="238" t="s">
        <v>5</v>
      </c>
      <c r="C129" s="238">
        <v>3</v>
      </c>
      <c r="D129" s="238">
        <v>4</v>
      </c>
      <c r="E129" s="238">
        <v>2</v>
      </c>
      <c r="F129" s="238">
        <v>15.45</v>
      </c>
      <c r="G129" s="238">
        <v>14.5</v>
      </c>
      <c r="H129" s="238"/>
      <c r="I129">
        <v>29.95</v>
      </c>
      <c r="J129" s="238">
        <v>11.95</v>
      </c>
      <c r="K129" s="238">
        <v>3.86</v>
      </c>
      <c r="L129" s="238">
        <v>2.37</v>
      </c>
      <c r="M129" s="238"/>
      <c r="N129" s="238">
        <v>8.8699999999999992</v>
      </c>
      <c r="O129" s="238">
        <v>2.62</v>
      </c>
      <c r="P129" s="238"/>
      <c r="R129" s="238">
        <v>2.62</v>
      </c>
      <c r="S129">
        <v>59.62</v>
      </c>
      <c r="T129">
        <v>57</v>
      </c>
      <c r="U129" s="238">
        <v>58.31</v>
      </c>
      <c r="V129">
        <v>58.15</v>
      </c>
      <c r="W129" s="238">
        <v>80693.959500000012</v>
      </c>
      <c r="X129">
        <v>4034.697975000001</v>
      </c>
      <c r="Y129">
        <v>84728.657475000015</v>
      </c>
      <c r="Z129">
        <v>2541.8597242500005</v>
      </c>
      <c r="AA129">
        <v>87270.517199250011</v>
      </c>
      <c r="AC129">
        <v>87270.517199250011</v>
      </c>
      <c r="AE129">
        <v>87270.517199250011</v>
      </c>
      <c r="AG129">
        <v>87270.517199250011</v>
      </c>
      <c r="AI129">
        <v>87270.517199250011</v>
      </c>
      <c r="AJ129">
        <v>872.70517199250014</v>
      </c>
      <c r="AK129">
        <v>88143.222371242489</v>
      </c>
      <c r="AL129">
        <v>4407.161118562125</v>
      </c>
      <c r="AM129">
        <v>92550.383489804633</v>
      </c>
      <c r="AO129">
        <v>92550.383489804633</v>
      </c>
      <c r="AP129">
        <v>1851.0076697960928</v>
      </c>
      <c r="AQ129">
        <v>94401.391159600724</v>
      </c>
      <c r="AS129">
        <v>94401.391159600724</v>
      </c>
      <c r="AU129">
        <v>94401.391159600724</v>
      </c>
      <c r="AW129">
        <v>94401.391159600724</v>
      </c>
      <c r="AY129">
        <v>94401.391159600724</v>
      </c>
      <c r="BA129">
        <v>94401.391159600724</v>
      </c>
      <c r="BC129">
        <v>94401.391159600724</v>
      </c>
      <c r="BE129">
        <v>94401.391159600724</v>
      </c>
      <c r="BG129">
        <v>94401.391159600724</v>
      </c>
      <c r="BI129">
        <v>94401.391159600724</v>
      </c>
      <c r="BK129">
        <v>94401.391159600724</v>
      </c>
      <c r="BM129">
        <v>94401.391159600724</v>
      </c>
      <c r="BO129">
        <v>94401.391159600724</v>
      </c>
      <c r="BQ129">
        <v>94401.391159600724</v>
      </c>
      <c r="BS129">
        <v>94401.391159600724</v>
      </c>
      <c r="BT129" s="238">
        <v>94401.39</v>
      </c>
      <c r="BU129" s="238">
        <v>5504600</v>
      </c>
      <c r="BV129">
        <v>88888</v>
      </c>
      <c r="BX129" s="238">
        <v>88888</v>
      </c>
      <c r="BY129" s="238">
        <v>92877.928314182805</v>
      </c>
      <c r="BZ129" s="238">
        <v>5415712</v>
      </c>
      <c r="CA129" s="238" t="s">
        <v>6871</v>
      </c>
      <c r="CB129">
        <v>7000</v>
      </c>
      <c r="CC129">
        <v>99877.928314182805</v>
      </c>
      <c r="CD129" s="238">
        <v>408170</v>
      </c>
      <c r="CE129" s="238">
        <v>5823882</v>
      </c>
      <c r="CG129" t="s">
        <v>4185</v>
      </c>
      <c r="CH129" s="238" t="s">
        <v>39</v>
      </c>
      <c r="CI129" s="238" t="s">
        <v>39</v>
      </c>
      <c r="CJ129" t="s">
        <v>8950</v>
      </c>
      <c r="CK129" t="s">
        <v>1167</v>
      </c>
      <c r="CL129" t="s">
        <v>8961</v>
      </c>
      <c r="CM129" t="s">
        <v>8974</v>
      </c>
      <c r="CN129" s="238" t="b">
        <v>1</v>
      </c>
      <c r="CO129" t="s">
        <v>5417</v>
      </c>
      <c r="CQ129" t="s">
        <v>6652</v>
      </c>
      <c r="CR129" t="s">
        <v>3246</v>
      </c>
      <c r="CS129" t="s">
        <v>6871</v>
      </c>
      <c r="CT129" t="b">
        <v>1</v>
      </c>
      <c r="CU129">
        <v>5504600</v>
      </c>
      <c r="CV129" t="s">
        <v>9002</v>
      </c>
      <c r="CW129">
        <v>0</v>
      </c>
      <c r="CX129">
        <v>5504600</v>
      </c>
      <c r="CY129">
        <v>0</v>
      </c>
      <c r="CZ129" t="b">
        <v>1</v>
      </c>
      <c r="DA129">
        <v>45372</v>
      </c>
      <c r="DB129" t="s">
        <v>5215</v>
      </c>
      <c r="DC129">
        <v>-2.743954724747089E-3</v>
      </c>
      <c r="DD129">
        <v>-254.85283022242331</v>
      </c>
      <c r="DE129" s="420" cm="1">
        <f t="array" ref="DE129">_xlfn.XLOOKUP("Дом 5"&amp;Реестр_Д5[[#This Row],[№]]&amp;Реестр_Д5[[#This Row],[Статус]],РД[Дом]&amp;РД[№ кв]&amp;РД[Состояние],РД[Дата подачи на регистрацию],"-",0)</f>
        <v>45372</v>
      </c>
    </row>
    <row r="130" spans="1:109" hidden="1" x14ac:dyDescent="0.25">
      <c r="A130" s="238">
        <v>129</v>
      </c>
      <c r="B130" s="238" t="s">
        <v>5</v>
      </c>
      <c r="C130" s="238">
        <v>3</v>
      </c>
      <c r="D130" s="238">
        <v>5</v>
      </c>
      <c r="E130" s="238">
        <v>1</v>
      </c>
      <c r="F130" s="238">
        <v>12.06</v>
      </c>
      <c r="G130" s="238"/>
      <c r="H130" s="238"/>
      <c r="I130">
        <v>12.06</v>
      </c>
      <c r="J130" s="238">
        <v>13.18</v>
      </c>
      <c r="K130" s="238">
        <v>4.1100000000000003</v>
      </c>
      <c r="L130" s="238"/>
      <c r="M130" s="238"/>
      <c r="N130" s="238">
        <v>7.09</v>
      </c>
      <c r="O130" s="238">
        <v>2.84</v>
      </c>
      <c r="P130" s="238"/>
      <c r="R130" s="238">
        <v>2.84</v>
      </c>
      <c r="S130">
        <v>39.28</v>
      </c>
      <c r="T130">
        <v>36.44</v>
      </c>
      <c r="U130" s="238">
        <v>37.86</v>
      </c>
      <c r="V130">
        <v>37.750000000000007</v>
      </c>
      <c r="W130" s="238">
        <v>88412.625</v>
      </c>
      <c r="Y130">
        <v>88412.625</v>
      </c>
      <c r="AA130">
        <v>88412.625</v>
      </c>
      <c r="AC130">
        <v>88412.625</v>
      </c>
      <c r="AE130">
        <v>88412.625</v>
      </c>
      <c r="AG130">
        <v>88412.625</v>
      </c>
      <c r="AI130">
        <v>88412.625</v>
      </c>
      <c r="AK130">
        <v>88412.625</v>
      </c>
      <c r="AM130">
        <v>88412.625</v>
      </c>
      <c r="AO130">
        <v>88412.625</v>
      </c>
      <c r="AQ130">
        <v>88412.625</v>
      </c>
      <c r="AS130">
        <v>88412.625</v>
      </c>
      <c r="AU130">
        <v>88412.625</v>
      </c>
      <c r="AW130">
        <v>88412.625</v>
      </c>
      <c r="AY130">
        <v>88412.625</v>
      </c>
      <c r="BA130">
        <v>88412.625</v>
      </c>
      <c r="BC130">
        <v>88412.625</v>
      </c>
      <c r="BE130">
        <v>88412.625</v>
      </c>
      <c r="BG130">
        <v>88412.625</v>
      </c>
      <c r="BI130">
        <v>88412.625</v>
      </c>
      <c r="BK130">
        <v>88412.625</v>
      </c>
      <c r="BM130">
        <v>88412.625</v>
      </c>
      <c r="BO130">
        <v>88412.625</v>
      </c>
      <c r="BQ130">
        <v>88412.625</v>
      </c>
      <c r="BS130">
        <v>88412.625</v>
      </c>
      <c r="BT130" s="238">
        <v>88412.63</v>
      </c>
      <c r="BU130" s="238">
        <v>3347302.17</v>
      </c>
      <c r="BW130">
        <v>0.06</v>
      </c>
      <c r="BX130" s="238">
        <v>200838.13020000001</v>
      </c>
      <c r="BY130" s="238">
        <v>83107.872160591651</v>
      </c>
      <c r="BZ130" s="238">
        <v>3146464.04</v>
      </c>
      <c r="CA130" s="238" t="s">
        <v>36</v>
      </c>
      <c r="CC130">
        <v>83107.872160591651</v>
      </c>
      <c r="CD130" s="238">
        <v>0</v>
      </c>
      <c r="CE130" s="238">
        <v>3146464.04</v>
      </c>
      <c r="CG130" t="s">
        <v>978</v>
      </c>
      <c r="CH130" s="238" t="s">
        <v>39</v>
      </c>
      <c r="CI130" s="238" t="s">
        <v>39</v>
      </c>
      <c r="CJ130" t="s">
        <v>8950</v>
      </c>
      <c r="CK130" t="s">
        <v>1167</v>
      </c>
      <c r="CL130" t="s">
        <v>8961</v>
      </c>
      <c r="CM130" t="s">
        <v>8973</v>
      </c>
      <c r="CN130" s="238" t="b">
        <v>1</v>
      </c>
      <c r="CO130" t="s">
        <v>5418</v>
      </c>
      <c r="CQ130" t="s">
        <v>4895</v>
      </c>
      <c r="CR130" t="s">
        <v>3246</v>
      </c>
      <c r="CS130" t="s">
        <v>36</v>
      </c>
      <c r="CT130" t="b">
        <v>1</v>
      </c>
      <c r="CU130">
        <v>3347302.17</v>
      </c>
      <c r="CV130" t="s">
        <v>9002</v>
      </c>
      <c r="CW130">
        <v>3347302</v>
      </c>
      <c r="CX130">
        <v>3347302</v>
      </c>
      <c r="CY130">
        <v>0</v>
      </c>
      <c r="CZ130" t="b">
        <v>1</v>
      </c>
      <c r="DA130">
        <v>45188</v>
      </c>
      <c r="DB130" t="s">
        <v>399</v>
      </c>
      <c r="DC130">
        <v>-2.9054410987847668E-3</v>
      </c>
      <c r="DD130">
        <v>-241.46502740793332</v>
      </c>
      <c r="DE130" s="420" cm="1">
        <f t="array" ref="DE130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31" spans="1:109" x14ac:dyDescent="0.25">
      <c r="A131" s="238">
        <v>130</v>
      </c>
      <c r="B131" s="238" t="s">
        <v>5</v>
      </c>
      <c r="C131" s="238">
        <v>3</v>
      </c>
      <c r="D131" s="238">
        <v>6</v>
      </c>
      <c r="E131" s="238">
        <v>3</v>
      </c>
      <c r="F131" s="238">
        <v>17.89</v>
      </c>
      <c r="G131" s="238">
        <v>17.2</v>
      </c>
      <c r="H131" s="238">
        <v>14.31</v>
      </c>
      <c r="I131">
        <v>49.400000000000006</v>
      </c>
      <c r="J131" s="238">
        <v>13.39</v>
      </c>
      <c r="K131" s="238">
        <v>4.2</v>
      </c>
      <c r="L131" s="238">
        <v>2.0499999999999998</v>
      </c>
      <c r="M131" s="238"/>
      <c r="N131" s="238">
        <v>13.21</v>
      </c>
      <c r="O131" s="238">
        <v>2.79</v>
      </c>
      <c r="P131" s="238">
        <v>2.68</v>
      </c>
      <c r="R131" s="238">
        <v>5.4700000000000006</v>
      </c>
      <c r="S131">
        <v>87.72</v>
      </c>
      <c r="T131">
        <v>82.25</v>
      </c>
      <c r="U131" s="238">
        <v>84.99</v>
      </c>
      <c r="V131">
        <v>84.75</v>
      </c>
      <c r="W131" s="238">
        <v>72806.580000000016</v>
      </c>
      <c r="X131">
        <v>3640.3290000000006</v>
      </c>
      <c r="Y131">
        <v>76446.909000000014</v>
      </c>
      <c r="Z131">
        <v>2293.4072700000002</v>
      </c>
      <c r="AA131">
        <v>78740.31627000001</v>
      </c>
      <c r="AC131">
        <v>78740.31627000001</v>
      </c>
      <c r="AE131">
        <v>78740.31627000001</v>
      </c>
      <c r="AG131">
        <v>78740.31627000001</v>
      </c>
      <c r="AI131">
        <v>78740.31627000001</v>
      </c>
      <c r="AJ131">
        <v>787.40316270000017</v>
      </c>
      <c r="AK131">
        <v>79527.719432700003</v>
      </c>
      <c r="AL131">
        <v>3976.3859716349998</v>
      </c>
      <c r="AM131">
        <v>83504.105404335001</v>
      </c>
      <c r="AO131">
        <v>83504.105404335001</v>
      </c>
      <c r="AP131">
        <v>1670.0821080866999</v>
      </c>
      <c r="AQ131">
        <v>85174.187512421689</v>
      </c>
      <c r="AS131">
        <v>85174.187512421689</v>
      </c>
      <c r="AT131">
        <v>1703.483750248434</v>
      </c>
      <c r="AU131">
        <v>86877.671262670134</v>
      </c>
      <c r="AW131">
        <v>86877.671262670134</v>
      </c>
      <c r="AX131">
        <v>868.7767126267014</v>
      </c>
      <c r="AY131">
        <v>87746.447975296833</v>
      </c>
      <c r="BA131">
        <v>87746.447975296833</v>
      </c>
      <c r="BC131">
        <v>87746.447975296833</v>
      </c>
      <c r="BD131">
        <v>1754.9289595059367</v>
      </c>
      <c r="BE131">
        <v>89501.376934802771</v>
      </c>
      <c r="BF131">
        <v>1342.5206540220415</v>
      </c>
      <c r="BG131">
        <v>90843.897588824795</v>
      </c>
      <c r="BI131">
        <v>90843.897588824795</v>
      </c>
      <c r="BJ131">
        <v>3633.755903552993</v>
      </c>
      <c r="BK131">
        <v>94477.653492377809</v>
      </c>
      <c r="BL131">
        <v>4723.8826746188906</v>
      </c>
      <c r="BM131">
        <v>99201.536166996695</v>
      </c>
      <c r="BN131">
        <v>12896.199701709573</v>
      </c>
      <c r="BO131">
        <v>112097.73586870628</v>
      </c>
      <c r="BP131">
        <v>35</v>
      </c>
      <c r="BQ131">
        <v>112132.73586870628</v>
      </c>
      <c r="BS131">
        <v>112132.73586870628</v>
      </c>
      <c r="BT131" s="238">
        <v>112132.74</v>
      </c>
      <c r="BU131" s="238">
        <v>9503300</v>
      </c>
      <c r="BX131" s="238">
        <v>0</v>
      </c>
      <c r="BY131" s="238">
        <v>112133.33333333331</v>
      </c>
      <c r="BZ131" s="238">
        <v>9503300</v>
      </c>
      <c r="CA131" s="238" t="s">
        <v>6871</v>
      </c>
      <c r="CB131">
        <v>10000</v>
      </c>
      <c r="CC131">
        <v>122133.33333333331</v>
      </c>
      <c r="CD131" s="238">
        <v>847500</v>
      </c>
      <c r="CE131" s="238">
        <v>10350800</v>
      </c>
      <c r="CH131" s="238" t="s">
        <v>3</v>
      </c>
      <c r="CI131" s="238" t="s">
        <v>3</v>
      </c>
      <c r="CJ131" t="s">
        <v>8951</v>
      </c>
      <c r="CK131" t="s">
        <v>1167</v>
      </c>
      <c r="CL131" t="s">
        <v>8961</v>
      </c>
      <c r="CM131" t="s">
        <v>8975</v>
      </c>
      <c r="CN131" s="238" t="b">
        <v>1</v>
      </c>
      <c r="CO131" t="s">
        <v>5419</v>
      </c>
      <c r="CQ131" t="s">
        <v>6652</v>
      </c>
      <c r="CR131" t="s">
        <v>3124</v>
      </c>
      <c r="CS131" t="s">
        <v>6871</v>
      </c>
      <c r="CT131" t="b">
        <v>1</v>
      </c>
      <c r="CU131">
        <v>9503300</v>
      </c>
      <c r="CV131">
        <v>9503300</v>
      </c>
      <c r="CW131">
        <v>0</v>
      </c>
      <c r="CX131">
        <v>0</v>
      </c>
      <c r="CY131">
        <v>0</v>
      </c>
      <c r="CZ131" t="b">
        <v>1</v>
      </c>
      <c r="DA131" t="s">
        <v>4246</v>
      </c>
      <c r="DB131" t="s">
        <v>1167</v>
      </c>
      <c r="DC131">
        <v>-2.8238616307800779E-3</v>
      </c>
      <c r="DD131">
        <v>-316.64901753147274</v>
      </c>
      <c r="DE131" s="420" t="str" cm="1">
        <f t="array" ref="DE13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32" spans="1:109" hidden="1" x14ac:dyDescent="0.25">
      <c r="A132" s="238">
        <v>131</v>
      </c>
      <c r="B132" s="238" t="s">
        <v>5</v>
      </c>
      <c r="C132" s="238">
        <v>3</v>
      </c>
      <c r="D132" s="238">
        <v>7</v>
      </c>
      <c r="E132" s="238">
        <v>1</v>
      </c>
      <c r="F132" s="238">
        <v>17.89</v>
      </c>
      <c r="G132" s="238"/>
      <c r="H132" s="238"/>
      <c r="I132">
        <v>17.89</v>
      </c>
      <c r="J132" s="238">
        <v>13.04</v>
      </c>
      <c r="K132" s="238">
        <v>3.9</v>
      </c>
      <c r="L132" s="238"/>
      <c r="M132" s="238"/>
      <c r="N132" s="238">
        <v>6.12</v>
      </c>
      <c r="O132" s="238">
        <v>2.65</v>
      </c>
      <c r="P132" s="238"/>
      <c r="R132" s="238">
        <v>2.65</v>
      </c>
      <c r="S132">
        <v>43.6</v>
      </c>
      <c r="T132">
        <v>40.950000000000003</v>
      </c>
      <c r="U132" s="238">
        <v>42.28</v>
      </c>
      <c r="V132">
        <v>42</v>
      </c>
      <c r="W132" s="238">
        <v>84762.5625</v>
      </c>
      <c r="Y132">
        <v>84762.5625</v>
      </c>
      <c r="AA132">
        <v>84762.5625</v>
      </c>
      <c r="AC132">
        <v>84762.5625</v>
      </c>
      <c r="AE132">
        <v>84762.5625</v>
      </c>
      <c r="AG132">
        <v>84762.5625</v>
      </c>
      <c r="AI132">
        <v>84762.5625</v>
      </c>
      <c r="AK132">
        <v>84762.5625</v>
      </c>
      <c r="AM132">
        <v>84762.5625</v>
      </c>
      <c r="AO132">
        <v>84762.5625</v>
      </c>
      <c r="AQ132">
        <v>84762.5625</v>
      </c>
      <c r="AS132">
        <v>84762.5625</v>
      </c>
      <c r="AU132">
        <v>84762.5625</v>
      </c>
      <c r="AW132">
        <v>84762.5625</v>
      </c>
      <c r="AY132">
        <v>84762.5625</v>
      </c>
      <c r="BA132">
        <v>84762.5625</v>
      </c>
      <c r="BC132">
        <v>84762.5625</v>
      </c>
      <c r="BE132">
        <v>84762.5625</v>
      </c>
      <c r="BG132">
        <v>84762.5625</v>
      </c>
      <c r="BI132">
        <v>84762.5625</v>
      </c>
      <c r="BK132">
        <v>84762.5625</v>
      </c>
      <c r="BM132">
        <v>84762.5625</v>
      </c>
      <c r="BO132">
        <v>84762.5625</v>
      </c>
      <c r="BQ132">
        <v>84762.5625</v>
      </c>
      <c r="BS132">
        <v>84762.5625</v>
      </c>
      <c r="BT132" s="238">
        <v>84762.559999999998</v>
      </c>
      <c r="BU132" s="238">
        <v>3583761.04</v>
      </c>
      <c r="BX132" s="238">
        <v>0</v>
      </c>
      <c r="BY132" s="238">
        <v>84762.560075685906</v>
      </c>
      <c r="BZ132" s="238">
        <v>3583761.04</v>
      </c>
      <c r="CA132" s="238" t="s">
        <v>37</v>
      </c>
      <c r="CB132">
        <v>4500</v>
      </c>
      <c r="CC132">
        <v>89262.560075685906</v>
      </c>
      <c r="CD132" s="238">
        <v>190260</v>
      </c>
      <c r="CE132" s="238">
        <v>3774021.04</v>
      </c>
      <c r="CH132" s="238" t="s">
        <v>39</v>
      </c>
      <c r="CI132" s="238" t="s">
        <v>39</v>
      </c>
      <c r="CJ132" t="s">
        <v>8950</v>
      </c>
      <c r="CK132" t="s">
        <v>1167</v>
      </c>
      <c r="CL132" t="s">
        <v>8961</v>
      </c>
      <c r="CM132" t="s">
        <v>8973</v>
      </c>
      <c r="CN132" s="238" t="b">
        <v>1</v>
      </c>
      <c r="CO132" t="s">
        <v>5420</v>
      </c>
      <c r="CQ132" t="s">
        <v>4895</v>
      </c>
      <c r="CR132" t="s">
        <v>3246</v>
      </c>
      <c r="CS132" t="s">
        <v>37</v>
      </c>
      <c r="CT132" t="b">
        <v>1</v>
      </c>
      <c r="CU132">
        <v>3583761.04</v>
      </c>
      <c r="CV132" t="s">
        <v>9002</v>
      </c>
      <c r="CW132">
        <v>3583761</v>
      </c>
      <c r="CX132">
        <v>3583761</v>
      </c>
      <c r="CY132">
        <v>0</v>
      </c>
      <c r="CZ132" t="b">
        <v>1</v>
      </c>
      <c r="DA132">
        <v>45185</v>
      </c>
      <c r="DB132" t="s">
        <v>126</v>
      </c>
      <c r="DC132">
        <v>-6.6225165562914245E-3</v>
      </c>
      <c r="DD132">
        <v>-561.34145745487638</v>
      </c>
      <c r="DE132" s="420" cm="1">
        <f t="array" ref="DE132">_xlfn.XLOOKUP("Дом 5"&amp;Реестр_Д5[[#This Row],[№]]&amp;Реестр_Д5[[#This Row],[Статус]],РД[Дом]&amp;РД[№ кв]&amp;РД[Состояние],РД[Дата подачи на регистрацию],"-",0)</f>
        <v>45185</v>
      </c>
    </row>
    <row r="133" spans="1:109" hidden="1" x14ac:dyDescent="0.25">
      <c r="A133" s="238">
        <v>132</v>
      </c>
      <c r="B133" s="238" t="s">
        <v>5</v>
      </c>
      <c r="C133" s="238">
        <v>4</v>
      </c>
      <c r="D133" s="238">
        <v>1</v>
      </c>
      <c r="E133" s="238">
        <v>2</v>
      </c>
      <c r="F133" s="238">
        <v>15.91</v>
      </c>
      <c r="G133" s="238">
        <v>12.02</v>
      </c>
      <c r="H133" s="238"/>
      <c r="I133">
        <v>27.93</v>
      </c>
      <c r="J133" s="238">
        <v>15.31</v>
      </c>
      <c r="K133" s="238">
        <v>3.85</v>
      </c>
      <c r="L133" s="238">
        <v>2.2999999999999998</v>
      </c>
      <c r="M133" s="238"/>
      <c r="N133" s="238">
        <v>9.4499999999999993</v>
      </c>
      <c r="O133" s="238">
        <v>2.75</v>
      </c>
      <c r="P133" s="238"/>
      <c r="R133" s="238">
        <v>2.75</v>
      </c>
      <c r="S133">
        <v>61.59</v>
      </c>
      <c r="T133">
        <v>58.84</v>
      </c>
      <c r="U133" s="238">
        <v>60.22</v>
      </c>
      <c r="V133">
        <v>60.1</v>
      </c>
      <c r="W133" s="238">
        <v>82624.437000000005</v>
      </c>
      <c r="X133">
        <v>4131.2218500000008</v>
      </c>
      <c r="Y133">
        <v>86755.658850000007</v>
      </c>
      <c r="Z133">
        <v>2602.6697655000003</v>
      </c>
      <c r="AA133">
        <v>89358.32861550001</v>
      </c>
      <c r="AC133">
        <v>89358.32861550001</v>
      </c>
      <c r="AE133">
        <v>89358.32861550001</v>
      </c>
      <c r="AG133">
        <v>89358.32861550001</v>
      </c>
      <c r="AI133">
        <v>89358.32861550001</v>
      </c>
      <c r="AJ133">
        <v>893.58328615500011</v>
      </c>
      <c r="AK133">
        <v>90251.911901654996</v>
      </c>
      <c r="AL133">
        <v>4512.5955950827511</v>
      </c>
      <c r="AM133">
        <v>94764.507496737759</v>
      </c>
      <c r="AO133">
        <v>94764.507496737759</v>
      </c>
      <c r="AQ133">
        <v>94764.507496737759</v>
      </c>
      <c r="AS133">
        <v>94764.507496737759</v>
      </c>
      <c r="AU133">
        <v>94764.507496737759</v>
      </c>
      <c r="AW133">
        <v>94764.507496737759</v>
      </c>
      <c r="AY133">
        <v>94764.507496737759</v>
      </c>
      <c r="BA133">
        <v>94764.507496737759</v>
      </c>
      <c r="BC133">
        <v>94764.507496737759</v>
      </c>
      <c r="BE133">
        <v>94764.507496737759</v>
      </c>
      <c r="BG133">
        <v>94764.507496737759</v>
      </c>
      <c r="BI133">
        <v>94764.507496737759</v>
      </c>
      <c r="BK133">
        <v>94764.507496737759</v>
      </c>
      <c r="BM133">
        <v>94764.507496737759</v>
      </c>
      <c r="BO133">
        <v>94764.507496737759</v>
      </c>
      <c r="BQ133">
        <v>94764.507496737759</v>
      </c>
      <c r="BS133">
        <v>94764.507496737759</v>
      </c>
      <c r="BT133" s="238">
        <v>94764.51</v>
      </c>
      <c r="BU133" s="238">
        <v>5706800</v>
      </c>
      <c r="BW133">
        <v>0.03</v>
      </c>
      <c r="BX133" s="238">
        <v>171204</v>
      </c>
      <c r="BY133" s="238">
        <v>91922.882763201589</v>
      </c>
      <c r="BZ133" s="238">
        <v>5535596</v>
      </c>
      <c r="CA133" s="238" t="s">
        <v>38</v>
      </c>
      <c r="CB133">
        <v>20000</v>
      </c>
      <c r="CC133">
        <v>111922.8827632016</v>
      </c>
      <c r="CD133" s="238">
        <v>1204400</v>
      </c>
      <c r="CE133" s="238">
        <v>6739996</v>
      </c>
      <c r="CG133" t="s">
        <v>978</v>
      </c>
      <c r="CH133" s="238" t="s">
        <v>39</v>
      </c>
      <c r="CI133" s="238" t="s">
        <v>39</v>
      </c>
      <c r="CJ133" t="s">
        <v>8950</v>
      </c>
      <c r="CK133" t="s">
        <v>1167</v>
      </c>
      <c r="CL133" t="s">
        <v>8961</v>
      </c>
      <c r="CM133" t="s">
        <v>8971</v>
      </c>
      <c r="CN133" s="238" t="b">
        <v>1</v>
      </c>
      <c r="CO133" t="s">
        <v>5421</v>
      </c>
      <c r="CQ133" t="s">
        <v>6652</v>
      </c>
      <c r="CR133" t="s">
        <v>3246</v>
      </c>
      <c r="CS133" t="s">
        <v>38</v>
      </c>
      <c r="CT133" t="b">
        <v>1</v>
      </c>
      <c r="CU133">
        <v>5706800</v>
      </c>
      <c r="CV133" t="s">
        <v>9002</v>
      </c>
      <c r="CW133">
        <v>0</v>
      </c>
      <c r="CX133">
        <v>5706800</v>
      </c>
      <c r="CY133">
        <v>0</v>
      </c>
      <c r="CZ133" t="b">
        <v>1</v>
      </c>
      <c r="DA133">
        <v>45344</v>
      </c>
      <c r="DB133" t="s">
        <v>4177</v>
      </c>
      <c r="DC133">
        <v>-1.9926934573231136E-3</v>
      </c>
      <c r="DD133">
        <v>-183.17412706051144</v>
      </c>
      <c r="DE133" s="420" cm="1">
        <f t="array" ref="DE133">_xlfn.XLOOKUP("Дом 5"&amp;Реестр_Д5[[#This Row],[№]]&amp;Реестр_Д5[[#This Row],[Статус]],РД[Дом]&amp;РД[№ кв]&amp;РД[Состояние],РД[Дата подачи на регистрацию],"-",0)</f>
        <v>45344</v>
      </c>
    </row>
    <row r="134" spans="1:109" hidden="1" x14ac:dyDescent="0.25">
      <c r="A134" s="238">
        <v>133</v>
      </c>
      <c r="B134" s="238" t="s">
        <v>5</v>
      </c>
      <c r="C134" s="238">
        <v>4</v>
      </c>
      <c r="D134" s="238">
        <v>2</v>
      </c>
      <c r="E134" s="238">
        <v>0</v>
      </c>
      <c r="F134" s="238">
        <v>7.13</v>
      </c>
      <c r="G134" s="238"/>
      <c r="H134" s="238"/>
      <c r="I134">
        <v>7.13</v>
      </c>
      <c r="J134" s="238">
        <v>5.12</v>
      </c>
      <c r="K134" s="238">
        <v>3.65</v>
      </c>
      <c r="L134" s="238"/>
      <c r="M134" s="238"/>
      <c r="N134" s="238">
        <v>6.92</v>
      </c>
      <c r="O134" s="238">
        <v>2.91</v>
      </c>
      <c r="P134" s="238"/>
      <c r="R134" s="238">
        <v>2.91</v>
      </c>
      <c r="S134">
        <v>25.73</v>
      </c>
      <c r="T134">
        <v>22.82</v>
      </c>
      <c r="U134" s="238">
        <v>24.28</v>
      </c>
      <c r="V134">
        <v>24.35</v>
      </c>
      <c r="W134" s="238">
        <v>92857.59</v>
      </c>
      <c r="Y134">
        <v>92857.59</v>
      </c>
      <c r="AA134">
        <v>92857.59</v>
      </c>
      <c r="AC134">
        <v>92857.59</v>
      </c>
      <c r="AE134">
        <v>92857.59</v>
      </c>
      <c r="AG134">
        <v>92857.59</v>
      </c>
      <c r="AI134">
        <v>92857.59</v>
      </c>
      <c r="AK134">
        <v>92857.59</v>
      </c>
      <c r="AM134">
        <v>92857.59</v>
      </c>
      <c r="AO134">
        <v>92857.59</v>
      </c>
      <c r="AQ134">
        <v>92857.59</v>
      </c>
      <c r="AS134">
        <v>92857.59</v>
      </c>
      <c r="AU134">
        <v>92857.59</v>
      </c>
      <c r="AW134">
        <v>92857.59</v>
      </c>
      <c r="AY134">
        <v>92857.59</v>
      </c>
      <c r="BA134">
        <v>92857.59</v>
      </c>
      <c r="BC134">
        <v>92857.59</v>
      </c>
      <c r="BE134">
        <v>92857.59</v>
      </c>
      <c r="BG134">
        <v>92857.59</v>
      </c>
      <c r="BI134">
        <v>92857.59</v>
      </c>
      <c r="BK134">
        <v>92857.59</v>
      </c>
      <c r="BM134">
        <v>92857.59</v>
      </c>
      <c r="BO134">
        <v>92857.59</v>
      </c>
      <c r="BQ134">
        <v>92857.59</v>
      </c>
      <c r="BS134">
        <v>92857.59</v>
      </c>
      <c r="BT134" s="238">
        <v>92857.59</v>
      </c>
      <c r="BU134" s="238">
        <v>2254582.29</v>
      </c>
      <c r="BX134" s="238">
        <v>0</v>
      </c>
      <c r="BY134" s="238">
        <v>92857.590197693571</v>
      </c>
      <c r="BZ134" s="238">
        <v>2254582.29</v>
      </c>
      <c r="CA134" s="238" t="s">
        <v>37</v>
      </c>
      <c r="CB134">
        <v>4500</v>
      </c>
      <c r="CC134">
        <v>97357.590197693571</v>
      </c>
      <c r="CD134" s="238">
        <v>109260</v>
      </c>
      <c r="CE134" s="238">
        <v>2363842.29</v>
      </c>
      <c r="CH134" s="238" t="s">
        <v>39</v>
      </c>
      <c r="CI134" s="238" t="s">
        <v>39</v>
      </c>
      <c r="CJ134" t="s">
        <v>8950</v>
      </c>
      <c r="CK134" t="s">
        <v>1167</v>
      </c>
      <c r="CL134" t="s">
        <v>8961</v>
      </c>
      <c r="CM134" t="s">
        <v>8970</v>
      </c>
      <c r="CN134" s="238" t="b">
        <v>1</v>
      </c>
      <c r="CO134" t="s">
        <v>5422</v>
      </c>
      <c r="CQ134" t="s">
        <v>4895</v>
      </c>
      <c r="CR134" t="s">
        <v>3246</v>
      </c>
      <c r="CS134" t="s">
        <v>37</v>
      </c>
      <c r="CT134" t="b">
        <v>1</v>
      </c>
      <c r="CU134">
        <v>2254582.29</v>
      </c>
      <c r="CV134" t="s">
        <v>9002</v>
      </c>
      <c r="CW134">
        <v>2254582</v>
      </c>
      <c r="CX134">
        <v>2254582</v>
      </c>
      <c r="CY134">
        <v>0</v>
      </c>
      <c r="CZ134" t="b">
        <v>1</v>
      </c>
      <c r="DA134">
        <v>45188</v>
      </c>
      <c r="DB134" t="s">
        <v>3901</v>
      </c>
      <c r="DC134">
        <v>2.883031301482486E-3</v>
      </c>
      <c r="DD134">
        <v>267.71133912018382</v>
      </c>
      <c r="DE134" s="420" cm="1">
        <f t="array" ref="DE134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35" spans="1:109" hidden="1" x14ac:dyDescent="0.25">
      <c r="A135" s="238">
        <v>134</v>
      </c>
      <c r="B135" s="238" t="s">
        <v>5</v>
      </c>
      <c r="C135" s="238">
        <v>4</v>
      </c>
      <c r="D135" s="238">
        <v>3</v>
      </c>
      <c r="E135" s="238">
        <v>2</v>
      </c>
      <c r="F135" s="238">
        <v>14.6</v>
      </c>
      <c r="G135" s="238">
        <v>13.12</v>
      </c>
      <c r="H135" s="238"/>
      <c r="I135">
        <v>27.72</v>
      </c>
      <c r="J135" s="238">
        <v>14.35</v>
      </c>
      <c r="K135" s="238">
        <v>3.68</v>
      </c>
      <c r="L135" s="238">
        <v>2.57</v>
      </c>
      <c r="M135" s="238"/>
      <c r="N135" s="238">
        <v>7.95</v>
      </c>
      <c r="O135" s="238">
        <v>2.65</v>
      </c>
      <c r="P135" s="238"/>
      <c r="R135" s="238">
        <v>2.65</v>
      </c>
      <c r="S135">
        <v>58.92</v>
      </c>
      <c r="T135">
        <v>56.27</v>
      </c>
      <c r="U135" s="238">
        <v>57.6</v>
      </c>
      <c r="V135">
        <v>57.85</v>
      </c>
      <c r="W135" s="238">
        <v>81080.054999999993</v>
      </c>
      <c r="X135">
        <v>4054.002750000001</v>
      </c>
      <c r="Y135">
        <v>85134.057750000007</v>
      </c>
      <c r="Z135">
        <v>2554.0217325000003</v>
      </c>
      <c r="AA135">
        <v>87688.079482500005</v>
      </c>
      <c r="AC135">
        <v>87688.079482500005</v>
      </c>
      <c r="AE135">
        <v>87688.079482500005</v>
      </c>
      <c r="AG135">
        <v>87688.079482500005</v>
      </c>
      <c r="AI135">
        <v>87688.079482500005</v>
      </c>
      <c r="AJ135">
        <v>876.88079482499995</v>
      </c>
      <c r="AK135">
        <v>88564.960277325008</v>
      </c>
      <c r="AL135">
        <v>4428.2480138662504</v>
      </c>
      <c r="AM135">
        <v>92993.208291191258</v>
      </c>
      <c r="AO135">
        <v>92993.208291191258</v>
      </c>
      <c r="AP135">
        <v>1859.8641658238253</v>
      </c>
      <c r="AQ135">
        <v>94853.072457015078</v>
      </c>
      <c r="AS135">
        <v>94853.072457015078</v>
      </c>
      <c r="AT135">
        <v>1897.0614491403016</v>
      </c>
      <c r="AU135">
        <v>96750.133906155374</v>
      </c>
      <c r="AW135">
        <v>96750.133906155374</v>
      </c>
      <c r="AX135">
        <v>967.50133906155372</v>
      </c>
      <c r="AY135">
        <v>97717.635245216923</v>
      </c>
      <c r="BA135">
        <v>97717.635245216923</v>
      </c>
      <c r="BC135">
        <v>97717.635245216923</v>
      </c>
      <c r="BE135">
        <v>97717.635245216923</v>
      </c>
      <c r="BG135">
        <v>97717.635245216923</v>
      </c>
      <c r="BI135">
        <v>97717.635245216923</v>
      </c>
      <c r="BK135">
        <v>97717.635245216923</v>
      </c>
      <c r="BM135">
        <v>97717.635245216923</v>
      </c>
      <c r="BO135">
        <v>97717.635245216923</v>
      </c>
      <c r="BQ135">
        <v>97717.635245216923</v>
      </c>
      <c r="BS135">
        <v>97717.635245216923</v>
      </c>
      <c r="BT135" s="238">
        <v>97717.64</v>
      </c>
      <c r="BU135" s="238">
        <v>5628600</v>
      </c>
      <c r="BW135">
        <v>0.03</v>
      </c>
      <c r="BX135" s="238">
        <v>168858</v>
      </c>
      <c r="BY135" s="238">
        <v>94787.1875</v>
      </c>
      <c r="BZ135" s="238">
        <v>5459742</v>
      </c>
      <c r="CA135" s="238" t="s">
        <v>38</v>
      </c>
      <c r="CB135">
        <v>20000</v>
      </c>
      <c r="CC135">
        <v>114787.1875</v>
      </c>
      <c r="CD135" s="238">
        <v>1152000</v>
      </c>
      <c r="CE135" s="238">
        <v>6611742</v>
      </c>
      <c r="CF135" t="s">
        <v>4633</v>
      </c>
      <c r="CG135" t="s">
        <v>978</v>
      </c>
      <c r="CH135" s="238" t="s">
        <v>39</v>
      </c>
      <c r="CI135" s="238" t="s">
        <v>39</v>
      </c>
      <c r="CJ135" t="s">
        <v>8950</v>
      </c>
      <c r="CK135" t="s">
        <v>1167</v>
      </c>
      <c r="CL135" t="s">
        <v>8961</v>
      </c>
      <c r="CM135" t="s">
        <v>8971</v>
      </c>
      <c r="CN135" s="238" t="b">
        <v>1</v>
      </c>
      <c r="CO135" t="s">
        <v>5423</v>
      </c>
      <c r="CQ135" t="s">
        <v>6652</v>
      </c>
      <c r="CR135" t="s">
        <v>3246</v>
      </c>
      <c r="CS135" t="s">
        <v>38</v>
      </c>
      <c r="CT135" t="b">
        <v>1</v>
      </c>
      <c r="CU135">
        <v>5628600</v>
      </c>
      <c r="CV135" t="s">
        <v>9002</v>
      </c>
      <c r="CW135">
        <v>0</v>
      </c>
      <c r="CX135">
        <v>5628600</v>
      </c>
      <c r="CY135">
        <v>0</v>
      </c>
      <c r="CZ135" t="b">
        <v>1</v>
      </c>
      <c r="DA135">
        <v>45466</v>
      </c>
      <c r="DB135" t="s">
        <v>126</v>
      </c>
      <c r="DC135">
        <v>4.3402777777776791E-3</v>
      </c>
      <c r="DD135">
        <v>411.40272352429622</v>
      </c>
      <c r="DE135" s="420" cm="1">
        <f t="array" ref="DE135">_xlfn.XLOOKUP("Дом 5"&amp;Реестр_Д5[[#This Row],[№]]&amp;Реестр_Д5[[#This Row],[Статус]],РД[Дом]&amp;РД[№ кв]&amp;РД[Состояние],РД[Дата подачи на регистрацию],"-",0)</f>
        <v>45466</v>
      </c>
    </row>
    <row r="136" spans="1:109" hidden="1" x14ac:dyDescent="0.25">
      <c r="A136" s="238">
        <v>135</v>
      </c>
      <c r="B136" s="238" t="s">
        <v>5</v>
      </c>
      <c r="C136" s="238">
        <v>4</v>
      </c>
      <c r="D136" s="238">
        <v>4</v>
      </c>
      <c r="E136" s="238">
        <v>2</v>
      </c>
      <c r="F136" s="238">
        <v>15.45</v>
      </c>
      <c r="G136" s="238">
        <v>14.5</v>
      </c>
      <c r="H136" s="238"/>
      <c r="I136">
        <v>29.95</v>
      </c>
      <c r="J136" s="238">
        <v>11.95</v>
      </c>
      <c r="K136" s="238">
        <v>3.86</v>
      </c>
      <c r="L136" s="238">
        <v>2.37</v>
      </c>
      <c r="M136" s="238"/>
      <c r="N136" s="238">
        <v>8.8699999999999992</v>
      </c>
      <c r="O136" s="238">
        <v>2.62</v>
      </c>
      <c r="P136" s="238"/>
      <c r="R136" s="238">
        <v>2.62</v>
      </c>
      <c r="S136">
        <v>59.62</v>
      </c>
      <c r="T136">
        <v>57</v>
      </c>
      <c r="U136" s="238">
        <v>58.31</v>
      </c>
      <c r="V136">
        <v>58.35</v>
      </c>
      <c r="W136" s="238">
        <v>82238.34150000001</v>
      </c>
      <c r="X136">
        <v>4111.9170750000003</v>
      </c>
      <c r="Y136">
        <v>86350.258575000014</v>
      </c>
      <c r="Z136">
        <v>2590.5077572500004</v>
      </c>
      <c r="AA136">
        <v>88940.766332250016</v>
      </c>
      <c r="AC136">
        <v>88940.766332250016</v>
      </c>
      <c r="AE136">
        <v>88940.766332250016</v>
      </c>
      <c r="AG136">
        <v>88940.766332250016</v>
      </c>
      <c r="AI136">
        <v>88940.766332250016</v>
      </c>
      <c r="AK136">
        <v>88940.766332250016</v>
      </c>
      <c r="AM136">
        <v>88940.766332250016</v>
      </c>
      <c r="AO136">
        <v>88940.766332250016</v>
      </c>
      <c r="AQ136">
        <v>88940.766332250016</v>
      </c>
      <c r="AS136">
        <v>88940.766332250016</v>
      </c>
      <c r="AU136">
        <v>88940.766332250016</v>
      </c>
      <c r="AW136">
        <v>88940.766332250016</v>
      </c>
      <c r="AY136">
        <v>88940.766332250016</v>
      </c>
      <c r="BA136">
        <v>88940.766332250016</v>
      </c>
      <c r="BC136">
        <v>88940.766332250016</v>
      </c>
      <c r="BE136">
        <v>88940.766332250016</v>
      </c>
      <c r="BG136">
        <v>88940.766332250016</v>
      </c>
      <c r="BI136">
        <v>88940.766332250016</v>
      </c>
      <c r="BK136">
        <v>88940.766332250016</v>
      </c>
      <c r="BM136">
        <v>88940.766332250016</v>
      </c>
      <c r="BO136">
        <v>88940.766332250016</v>
      </c>
      <c r="BQ136">
        <v>88940.766332250016</v>
      </c>
      <c r="BS136">
        <v>88940.766332250016</v>
      </c>
      <c r="BT136" s="238">
        <v>88940.77</v>
      </c>
      <c r="BU136" s="238">
        <v>5186136.3</v>
      </c>
      <c r="BW136">
        <v>0.02</v>
      </c>
      <c r="BX136" s="238">
        <v>103722.726</v>
      </c>
      <c r="BY136" s="238">
        <v>87161.954553249874</v>
      </c>
      <c r="BZ136" s="238">
        <v>5082413.57</v>
      </c>
      <c r="CA136" s="238" t="s">
        <v>38</v>
      </c>
      <c r="CB136">
        <v>22000</v>
      </c>
      <c r="CC136">
        <v>109161.95455324987</v>
      </c>
      <c r="CD136" s="238">
        <v>1282820</v>
      </c>
      <c r="CE136" s="238">
        <v>6365233.5700000003</v>
      </c>
      <c r="CG136" t="s">
        <v>3540</v>
      </c>
      <c r="CH136" s="238" t="s">
        <v>39</v>
      </c>
      <c r="CI136" s="238" t="s">
        <v>39</v>
      </c>
      <c r="CJ136" t="s">
        <v>8950</v>
      </c>
      <c r="CK136" t="s">
        <v>1167</v>
      </c>
      <c r="CL136" t="s">
        <v>8961</v>
      </c>
      <c r="CM136" t="s">
        <v>8974</v>
      </c>
      <c r="CN136" s="238" t="b">
        <v>1</v>
      </c>
      <c r="CO136" t="s">
        <v>5424</v>
      </c>
      <c r="CQ136" t="s">
        <v>4895</v>
      </c>
      <c r="CR136" t="s">
        <v>3246</v>
      </c>
      <c r="CS136" t="s">
        <v>38</v>
      </c>
      <c r="CT136" t="b">
        <v>1</v>
      </c>
      <c r="CU136">
        <v>5186136.3</v>
      </c>
      <c r="CV136" t="s">
        <v>9002</v>
      </c>
      <c r="CW136">
        <v>0</v>
      </c>
      <c r="CX136">
        <v>5186136</v>
      </c>
      <c r="CY136">
        <v>0</v>
      </c>
      <c r="CZ136" t="b">
        <v>1</v>
      </c>
      <c r="DA136">
        <v>45230</v>
      </c>
      <c r="DB136" t="s">
        <v>3901</v>
      </c>
      <c r="DC136">
        <v>6.8598868118674439E-4</v>
      </c>
      <c r="DD136">
        <v>59.792114253642829</v>
      </c>
      <c r="DE136" s="420" cm="1">
        <f t="array" ref="DE136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137" spans="1:109" hidden="1" x14ac:dyDescent="0.25">
      <c r="A137" s="238">
        <v>136</v>
      </c>
      <c r="B137" s="238" t="s">
        <v>5</v>
      </c>
      <c r="C137" s="238">
        <v>4</v>
      </c>
      <c r="D137" s="238">
        <v>5</v>
      </c>
      <c r="E137" s="238">
        <v>1</v>
      </c>
      <c r="F137" s="238">
        <v>12.06</v>
      </c>
      <c r="G137" s="238"/>
      <c r="H137" s="238"/>
      <c r="I137">
        <v>12.06</v>
      </c>
      <c r="J137" s="238">
        <v>13.18</v>
      </c>
      <c r="K137" s="238">
        <v>4.1100000000000003</v>
      </c>
      <c r="L137" s="238"/>
      <c r="M137" s="238"/>
      <c r="N137" s="238">
        <v>7.09</v>
      </c>
      <c r="O137" s="238">
        <v>2.84</v>
      </c>
      <c r="P137" s="238"/>
      <c r="R137" s="238">
        <v>2.84</v>
      </c>
      <c r="S137">
        <v>39.28</v>
      </c>
      <c r="T137">
        <v>36.44</v>
      </c>
      <c r="U137" s="238">
        <v>37.86</v>
      </c>
      <c r="V137">
        <v>37.6</v>
      </c>
      <c r="W137" s="238">
        <v>90034.875</v>
      </c>
      <c r="X137">
        <v>4501.7437500000005</v>
      </c>
      <c r="Y137">
        <v>94536.618749999994</v>
      </c>
      <c r="AA137">
        <v>94536.618749999994</v>
      </c>
      <c r="AC137">
        <v>94536.618749999994</v>
      </c>
      <c r="AE137">
        <v>94536.618749999994</v>
      </c>
      <c r="AG137">
        <v>94536.618749999994</v>
      </c>
      <c r="AI137">
        <v>94536.618749999994</v>
      </c>
      <c r="AK137">
        <v>94536.618749999994</v>
      </c>
      <c r="AM137">
        <v>94536.618749999994</v>
      </c>
      <c r="AO137">
        <v>94536.618749999994</v>
      </c>
      <c r="AQ137">
        <v>94536.618749999994</v>
      </c>
      <c r="AS137">
        <v>94536.618749999994</v>
      </c>
      <c r="AU137">
        <v>94536.618749999994</v>
      </c>
      <c r="AW137">
        <v>94536.618749999994</v>
      </c>
      <c r="AY137">
        <v>94536.618749999994</v>
      </c>
      <c r="BA137">
        <v>94536.618749999994</v>
      </c>
      <c r="BC137">
        <v>94536.618749999994</v>
      </c>
      <c r="BE137">
        <v>94536.618749999994</v>
      </c>
      <c r="BG137">
        <v>94536.618749999994</v>
      </c>
      <c r="BI137">
        <v>94536.618749999994</v>
      </c>
      <c r="BK137">
        <v>94536.618749999994</v>
      </c>
      <c r="BM137">
        <v>94536.618749999994</v>
      </c>
      <c r="BO137">
        <v>94536.618749999994</v>
      </c>
      <c r="BQ137">
        <v>94536.618749999994</v>
      </c>
      <c r="BS137">
        <v>94536.618749999994</v>
      </c>
      <c r="BT137" s="238">
        <v>94536.62</v>
      </c>
      <c r="BU137" s="238">
        <v>3579156.43</v>
      </c>
      <c r="BW137">
        <v>0.02</v>
      </c>
      <c r="BX137" s="238">
        <v>71583.128600000011</v>
      </c>
      <c r="BY137" s="238">
        <v>92645.887480190169</v>
      </c>
      <c r="BZ137" s="238">
        <v>3507573.3</v>
      </c>
      <c r="CA137" s="238" t="s">
        <v>36</v>
      </c>
      <c r="CC137">
        <v>92645.887480190169</v>
      </c>
      <c r="CD137" s="238">
        <v>0</v>
      </c>
      <c r="CE137" s="238">
        <v>3507573.3</v>
      </c>
      <c r="CG137" t="s">
        <v>4518</v>
      </c>
      <c r="CH137" s="238" t="s">
        <v>39</v>
      </c>
      <c r="CI137" s="238" t="s">
        <v>39</v>
      </c>
      <c r="CJ137" t="s">
        <v>8950</v>
      </c>
      <c r="CK137" t="s">
        <v>1167</v>
      </c>
      <c r="CL137" t="s">
        <v>8961</v>
      </c>
      <c r="CM137" t="s">
        <v>8973</v>
      </c>
      <c r="CN137" s="238" t="b">
        <v>1</v>
      </c>
      <c r="CO137" t="s">
        <v>5425</v>
      </c>
      <c r="CQ137" t="s">
        <v>4895</v>
      </c>
      <c r="CR137" t="s">
        <v>3246</v>
      </c>
      <c r="CS137" t="s">
        <v>36</v>
      </c>
      <c r="CT137" t="b">
        <v>1</v>
      </c>
      <c r="CU137">
        <v>3579156.43</v>
      </c>
      <c r="CV137" t="s">
        <v>9002</v>
      </c>
      <c r="CW137">
        <v>0</v>
      </c>
      <c r="CX137">
        <v>3579156</v>
      </c>
      <c r="CY137">
        <v>0</v>
      </c>
      <c r="CZ137" t="b">
        <v>1</v>
      </c>
      <c r="DA137">
        <v>45188</v>
      </c>
      <c r="DB137" t="s">
        <v>130</v>
      </c>
      <c r="DC137">
        <v>-6.8674062334918018E-3</v>
      </c>
      <c r="DD137">
        <v>-636.23694518883804</v>
      </c>
      <c r="DE137" s="420" cm="1">
        <f t="array" ref="DE137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38" spans="1:109" hidden="1" x14ac:dyDescent="0.25">
      <c r="A138" s="238">
        <v>137</v>
      </c>
      <c r="B138" s="238" t="s">
        <v>5</v>
      </c>
      <c r="C138" s="238">
        <v>4</v>
      </c>
      <c r="D138" s="238">
        <v>6</v>
      </c>
      <c r="E138" s="238">
        <v>3</v>
      </c>
      <c r="F138" s="238">
        <v>17.89</v>
      </c>
      <c r="G138" s="238">
        <v>17.2</v>
      </c>
      <c r="H138" s="238">
        <v>14.31</v>
      </c>
      <c r="I138">
        <v>49.400000000000006</v>
      </c>
      <c r="J138" s="238">
        <v>13.39</v>
      </c>
      <c r="K138" s="238">
        <v>4.2</v>
      </c>
      <c r="L138" s="238">
        <v>2.0499999999999998</v>
      </c>
      <c r="M138" s="238"/>
      <c r="N138" s="238">
        <v>13.21</v>
      </c>
      <c r="O138" s="238">
        <v>2.79</v>
      </c>
      <c r="P138" s="238">
        <v>2.68</v>
      </c>
      <c r="R138" s="238">
        <v>5.4700000000000006</v>
      </c>
      <c r="S138">
        <v>87.72</v>
      </c>
      <c r="T138">
        <v>82.25</v>
      </c>
      <c r="U138" s="238">
        <v>84.99</v>
      </c>
      <c r="V138">
        <v>84.499999999999986</v>
      </c>
      <c r="W138" s="238">
        <v>74234.160000000018</v>
      </c>
      <c r="X138">
        <v>3711.708000000001</v>
      </c>
      <c r="Y138">
        <v>77945.868000000017</v>
      </c>
      <c r="Z138">
        <v>2338.376040000001</v>
      </c>
      <c r="AA138">
        <v>80284.24404000002</v>
      </c>
      <c r="AC138">
        <v>80284.24404000002</v>
      </c>
      <c r="AE138">
        <v>80284.24404000002</v>
      </c>
      <c r="AG138">
        <v>80284.24404000002</v>
      </c>
      <c r="AI138">
        <v>80284.24404000002</v>
      </c>
      <c r="AK138">
        <v>80284.24404000002</v>
      </c>
      <c r="AM138">
        <v>80284.24404000002</v>
      </c>
      <c r="AO138">
        <v>80284.24404000002</v>
      </c>
      <c r="AQ138">
        <v>80284.24404000002</v>
      </c>
      <c r="AS138">
        <v>80284.24404000002</v>
      </c>
      <c r="AU138">
        <v>80284.24404000002</v>
      </c>
      <c r="AW138">
        <v>80284.24404000002</v>
      </c>
      <c r="AY138">
        <v>80284.24404000002</v>
      </c>
      <c r="BA138">
        <v>80284.24404000002</v>
      </c>
      <c r="BC138">
        <v>80284.24404000002</v>
      </c>
      <c r="BE138">
        <v>80284.24404000002</v>
      </c>
      <c r="BG138">
        <v>80284.24404000002</v>
      </c>
      <c r="BI138">
        <v>80284.24404000002</v>
      </c>
      <c r="BK138">
        <v>80284.24404000002</v>
      </c>
      <c r="BM138">
        <v>80284.24404000002</v>
      </c>
      <c r="BO138">
        <v>80284.24404000002</v>
      </c>
      <c r="BQ138">
        <v>80284.24404000002</v>
      </c>
      <c r="BS138">
        <v>80284.24404000002</v>
      </c>
      <c r="BT138" s="238">
        <v>80284.240000000005</v>
      </c>
      <c r="BU138" s="238">
        <v>6823357.5599999996</v>
      </c>
      <c r="BW138">
        <v>0.03</v>
      </c>
      <c r="BX138" s="238">
        <v>204700.72679999995</v>
      </c>
      <c r="BY138" s="238">
        <v>77875.712789739977</v>
      </c>
      <c r="BZ138" s="238">
        <v>6618656.8300000001</v>
      </c>
      <c r="CA138" s="238" t="s">
        <v>37</v>
      </c>
      <c r="CB138">
        <v>7500</v>
      </c>
      <c r="CC138">
        <v>85375.712789739977</v>
      </c>
      <c r="CD138" s="238">
        <v>637425</v>
      </c>
      <c r="CE138" s="238">
        <v>7256081.8300000001</v>
      </c>
      <c r="CG138" t="s">
        <v>7810</v>
      </c>
      <c r="CH138" s="238" t="s">
        <v>39</v>
      </c>
      <c r="CI138" s="238" t="s">
        <v>39</v>
      </c>
      <c r="CJ138" t="s">
        <v>8950</v>
      </c>
      <c r="CK138" t="s">
        <v>1167</v>
      </c>
      <c r="CL138" t="s">
        <v>8961</v>
      </c>
      <c r="CM138" t="s">
        <v>8975</v>
      </c>
      <c r="CN138" s="238" t="b">
        <v>1</v>
      </c>
      <c r="CO138" t="s">
        <v>5426</v>
      </c>
      <c r="CQ138" t="s">
        <v>4895</v>
      </c>
      <c r="CR138" t="s">
        <v>3246</v>
      </c>
      <c r="CS138" t="s">
        <v>37</v>
      </c>
      <c r="CT138" t="b">
        <v>1</v>
      </c>
      <c r="CU138">
        <v>6823357.5599999996</v>
      </c>
      <c r="CV138" t="s">
        <v>9002</v>
      </c>
      <c r="CW138">
        <v>0</v>
      </c>
      <c r="CX138">
        <v>6823358</v>
      </c>
      <c r="CY138">
        <v>0</v>
      </c>
      <c r="CZ138" t="b">
        <v>1</v>
      </c>
      <c r="DA138">
        <v>45188</v>
      </c>
      <c r="DB138" t="s">
        <v>126</v>
      </c>
      <c r="DC138">
        <v>-5.7653841628427793E-3</v>
      </c>
      <c r="DD138">
        <v>-448.98340118805976</v>
      </c>
      <c r="DE138" s="420" cm="1">
        <f t="array" ref="DE13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39" spans="1:109" hidden="1" x14ac:dyDescent="0.25">
      <c r="A139" s="238">
        <v>138</v>
      </c>
      <c r="B139" s="238" t="s">
        <v>5</v>
      </c>
      <c r="C139" s="238">
        <v>4</v>
      </c>
      <c r="D139" s="238">
        <v>7</v>
      </c>
      <c r="E139" s="238">
        <v>1</v>
      </c>
      <c r="F139" s="238">
        <v>17.89</v>
      </c>
      <c r="G139" s="238"/>
      <c r="H139" s="238"/>
      <c r="I139">
        <v>17.89</v>
      </c>
      <c r="J139" s="238">
        <v>13.04</v>
      </c>
      <c r="K139" s="238">
        <v>3.9</v>
      </c>
      <c r="L139" s="238"/>
      <c r="M139" s="238"/>
      <c r="N139" s="238">
        <v>6.12</v>
      </c>
      <c r="O139" s="238">
        <v>2.65</v>
      </c>
      <c r="P139" s="238"/>
      <c r="R139" s="238">
        <v>2.65</v>
      </c>
      <c r="S139">
        <v>43.6</v>
      </c>
      <c r="T139">
        <v>40.950000000000003</v>
      </c>
      <c r="U139" s="238">
        <v>42.28</v>
      </c>
      <c r="V139">
        <v>42.15</v>
      </c>
      <c r="W139" s="238">
        <v>86384.8125</v>
      </c>
      <c r="X139">
        <v>4319.2406250000004</v>
      </c>
      <c r="Y139">
        <v>90704.053125000006</v>
      </c>
      <c r="Z139">
        <v>2721.1215937500001</v>
      </c>
      <c r="AA139">
        <v>93425.17471875</v>
      </c>
      <c r="AB139">
        <v>2802.7552415625</v>
      </c>
      <c r="AC139">
        <v>96227.929960312496</v>
      </c>
      <c r="AE139">
        <v>96227.929960312496</v>
      </c>
      <c r="AF139">
        <v>4811.3964980156252</v>
      </c>
      <c r="AG139">
        <v>101039.32645832813</v>
      </c>
      <c r="AI139">
        <v>101039.32645832813</v>
      </c>
      <c r="AJ139">
        <v>1010.3932645832812</v>
      </c>
      <c r="AK139">
        <v>102049.7197229114</v>
      </c>
      <c r="AL139">
        <v>5102.4859861455707</v>
      </c>
      <c r="AM139">
        <v>107152.205709057</v>
      </c>
      <c r="AO139">
        <v>107152.205709057</v>
      </c>
      <c r="AP139">
        <v>3214.5661712717097</v>
      </c>
      <c r="AQ139">
        <v>110366.7718803287</v>
      </c>
      <c r="AS139">
        <v>110366.7718803287</v>
      </c>
      <c r="AU139">
        <v>110366.7718803287</v>
      </c>
      <c r="AW139">
        <v>110366.7718803287</v>
      </c>
      <c r="AX139">
        <v>1103.667718803287</v>
      </c>
      <c r="AY139">
        <v>111470.43959913201</v>
      </c>
      <c r="BA139">
        <v>111470.43959913201</v>
      </c>
      <c r="BC139">
        <v>111470.43959913201</v>
      </c>
      <c r="BE139">
        <v>111470.43959913201</v>
      </c>
      <c r="BG139">
        <v>111470.43959913201</v>
      </c>
      <c r="BI139">
        <v>111470.43959913201</v>
      </c>
      <c r="BK139">
        <v>111470.43959913201</v>
      </c>
      <c r="BM139">
        <v>111470.43959913201</v>
      </c>
      <c r="BO139">
        <v>111470.43959913201</v>
      </c>
      <c r="BQ139">
        <v>111470.43959913201</v>
      </c>
      <c r="BS139">
        <v>111470.43959913201</v>
      </c>
      <c r="BT139" s="238">
        <v>111470.44</v>
      </c>
      <c r="BU139" s="238">
        <v>4713000</v>
      </c>
      <c r="BX139" s="238">
        <v>0</v>
      </c>
      <c r="BY139" s="238">
        <v>111471.14474929044</v>
      </c>
      <c r="BZ139" s="238">
        <v>4713000</v>
      </c>
      <c r="CA139" s="238" t="s">
        <v>38</v>
      </c>
      <c r="CB139">
        <v>20000</v>
      </c>
      <c r="CC139">
        <v>131471.14474929043</v>
      </c>
      <c r="CD139" s="238">
        <v>845599.99999999907</v>
      </c>
      <c r="CE139" s="238">
        <v>5558599.9999999991</v>
      </c>
      <c r="CH139" s="238" t="s">
        <v>39</v>
      </c>
      <c r="CI139" s="238" t="s">
        <v>39</v>
      </c>
      <c r="CJ139" t="s">
        <v>8950</v>
      </c>
      <c r="CK139" t="s">
        <v>1167</v>
      </c>
      <c r="CL139" t="s">
        <v>8961</v>
      </c>
      <c r="CM139" t="s">
        <v>8973</v>
      </c>
      <c r="CN139" s="238" t="b">
        <v>1</v>
      </c>
      <c r="CO139" t="s">
        <v>5427</v>
      </c>
      <c r="CQ139" t="s">
        <v>6652</v>
      </c>
      <c r="CR139" t="s">
        <v>3246</v>
      </c>
      <c r="CS139" t="s">
        <v>38</v>
      </c>
      <c r="CT139" t="b">
        <v>1</v>
      </c>
      <c r="CU139">
        <v>4713000</v>
      </c>
      <c r="CV139" t="s">
        <v>9002</v>
      </c>
      <c r="CW139">
        <v>0</v>
      </c>
      <c r="CX139">
        <v>4713000</v>
      </c>
      <c r="CY139">
        <v>0</v>
      </c>
      <c r="CZ139" t="b">
        <v>1</v>
      </c>
      <c r="DA139">
        <v>45457</v>
      </c>
      <c r="DB139" t="s">
        <v>4177</v>
      </c>
      <c r="DC139">
        <v>-3.0747398297067408E-3</v>
      </c>
      <c r="DD139">
        <v>-342.74476862364872</v>
      </c>
      <c r="DE139" s="420" cm="1">
        <f t="array" ref="DE139">_xlfn.XLOOKUP("Дом 5"&amp;Реестр_Д5[[#This Row],[№]]&amp;Реестр_Д5[[#This Row],[Статус]],РД[Дом]&amp;РД[№ кв]&amp;РД[Состояние],РД[Дата подачи на регистрацию],"-",0)</f>
        <v>45457</v>
      </c>
    </row>
    <row r="140" spans="1:109" hidden="1" x14ac:dyDescent="0.25">
      <c r="A140" s="238">
        <v>139</v>
      </c>
      <c r="B140" s="238" t="s">
        <v>5</v>
      </c>
      <c r="C140" s="238">
        <v>5</v>
      </c>
      <c r="D140" s="238">
        <v>1</v>
      </c>
      <c r="E140" s="238">
        <v>2</v>
      </c>
      <c r="F140" s="238">
        <v>15.91</v>
      </c>
      <c r="G140" s="238">
        <v>12.02</v>
      </c>
      <c r="H140" s="238"/>
      <c r="I140">
        <v>27.93</v>
      </c>
      <c r="J140" s="238">
        <v>15.31</v>
      </c>
      <c r="K140" s="238">
        <v>3.85</v>
      </c>
      <c r="L140" s="238">
        <v>2.2999999999999998</v>
      </c>
      <c r="M140" s="238"/>
      <c r="N140" s="238">
        <v>9.4499999999999993</v>
      </c>
      <c r="O140" s="238">
        <v>2.75</v>
      </c>
      <c r="P140" s="238"/>
      <c r="R140" s="238">
        <v>2.75</v>
      </c>
      <c r="S140">
        <v>61.59</v>
      </c>
      <c r="T140">
        <v>58.84</v>
      </c>
      <c r="U140" s="238">
        <v>60.22</v>
      </c>
      <c r="V140">
        <v>59.6</v>
      </c>
      <c r="W140" s="238">
        <v>80307.864000000001</v>
      </c>
      <c r="X140">
        <v>4015.3932</v>
      </c>
      <c r="Y140">
        <v>84323.257199999993</v>
      </c>
      <c r="Z140">
        <v>2529.6977160000001</v>
      </c>
      <c r="AA140">
        <v>86852.954916000002</v>
      </c>
      <c r="AC140">
        <v>86852.954916000002</v>
      </c>
      <c r="AE140">
        <v>86852.954916000002</v>
      </c>
      <c r="AG140">
        <v>86852.954916000002</v>
      </c>
      <c r="AI140">
        <v>86852.954916000002</v>
      </c>
      <c r="AJ140">
        <v>868.52954915999999</v>
      </c>
      <c r="AK140">
        <v>87721.48446516</v>
      </c>
      <c r="AL140">
        <v>4386.0742232580005</v>
      </c>
      <c r="AM140">
        <v>92107.558688417994</v>
      </c>
      <c r="AO140">
        <v>92107.558688417994</v>
      </c>
      <c r="AP140">
        <v>1842.15117376836</v>
      </c>
      <c r="AQ140">
        <v>93949.709862186355</v>
      </c>
      <c r="AS140">
        <v>93949.709862186355</v>
      </c>
      <c r="AT140">
        <v>1878.9941972437273</v>
      </c>
      <c r="AU140">
        <v>95828.704059430078</v>
      </c>
      <c r="AW140">
        <v>95828.704059430078</v>
      </c>
      <c r="AY140">
        <v>95828.704059430078</v>
      </c>
      <c r="BA140">
        <v>95828.704059430078</v>
      </c>
      <c r="BC140">
        <v>95828.704059430078</v>
      </c>
      <c r="BE140">
        <v>95828.704059430078</v>
      </c>
      <c r="BF140">
        <v>1437.430560891451</v>
      </c>
      <c r="BG140">
        <v>97266.134620321536</v>
      </c>
      <c r="BI140">
        <v>97266.134620321536</v>
      </c>
      <c r="BK140">
        <v>97266.134620321536</v>
      </c>
      <c r="BM140">
        <v>97266.134620321536</v>
      </c>
      <c r="BO140">
        <v>97266.134620321536</v>
      </c>
      <c r="BQ140">
        <v>97266.134620321536</v>
      </c>
      <c r="BS140">
        <v>97266.134620321536</v>
      </c>
      <c r="BT140" s="238">
        <v>97266.13</v>
      </c>
      <c r="BU140" s="238">
        <v>5857400</v>
      </c>
      <c r="BX140" s="238">
        <v>0</v>
      </c>
      <c r="BY140" s="238">
        <v>97266.688807705083</v>
      </c>
      <c r="BZ140" s="238">
        <v>5857400</v>
      </c>
      <c r="CA140" s="238" t="s">
        <v>6871</v>
      </c>
      <c r="CB140">
        <v>7000</v>
      </c>
      <c r="CC140">
        <v>104266.68880770508</v>
      </c>
      <c r="CD140" s="238">
        <v>421540</v>
      </c>
      <c r="CE140" s="238">
        <v>6278940</v>
      </c>
      <c r="CH140" s="238" t="s">
        <v>39</v>
      </c>
      <c r="CI140" s="238" t="s">
        <v>39</v>
      </c>
      <c r="CJ140" t="s">
        <v>8950</v>
      </c>
      <c r="CK140" t="s">
        <v>1167</v>
      </c>
      <c r="CL140" t="s">
        <v>8961</v>
      </c>
      <c r="CM140" t="s">
        <v>8971</v>
      </c>
      <c r="CN140" s="238" t="b">
        <v>1</v>
      </c>
      <c r="CO140" t="s">
        <v>5428</v>
      </c>
      <c r="CQ140" t="s">
        <v>6652</v>
      </c>
      <c r="CR140" t="s">
        <v>3246</v>
      </c>
      <c r="CS140" t="s">
        <v>6871</v>
      </c>
      <c r="CT140" t="b">
        <v>1</v>
      </c>
      <c r="CU140">
        <v>5857400</v>
      </c>
      <c r="CV140" t="s">
        <v>9002</v>
      </c>
      <c r="CW140">
        <v>0</v>
      </c>
      <c r="CX140">
        <v>5857400</v>
      </c>
      <c r="CY140">
        <v>0</v>
      </c>
      <c r="CZ140" t="b">
        <v>1</v>
      </c>
      <c r="DA140">
        <v>45492</v>
      </c>
      <c r="DB140" t="s">
        <v>5215</v>
      </c>
      <c r="DC140">
        <v>-1.0295582862836272E-2</v>
      </c>
      <c r="DD140">
        <v>-1001.417254413437</v>
      </c>
      <c r="DE140" s="420" cm="1">
        <f t="array" ref="DE140">_xlfn.XLOOKUP("Дом 5"&amp;Реестр_Д5[[#This Row],[№]]&amp;Реестр_Д5[[#This Row],[Статус]],РД[Дом]&amp;РД[№ кв]&amp;РД[Состояние],РД[Дата подачи на регистрацию],"-",0)</f>
        <v>45492</v>
      </c>
    </row>
    <row r="141" spans="1:109" hidden="1" x14ac:dyDescent="0.25">
      <c r="A141" s="238">
        <v>140</v>
      </c>
      <c r="B141" s="238" t="s">
        <v>5</v>
      </c>
      <c r="C141" s="238">
        <v>5</v>
      </c>
      <c r="D141" s="238">
        <v>2</v>
      </c>
      <c r="E141" s="238">
        <v>0</v>
      </c>
      <c r="F141" s="238">
        <v>7.13</v>
      </c>
      <c r="G141" s="238"/>
      <c r="H141" s="238"/>
      <c r="I141">
        <v>7.13</v>
      </c>
      <c r="J141" s="238">
        <v>5.12</v>
      </c>
      <c r="K141" s="238">
        <v>3.65</v>
      </c>
      <c r="L141" s="238"/>
      <c r="M141" s="238"/>
      <c r="N141" s="238">
        <v>6.92</v>
      </c>
      <c r="O141" s="238">
        <v>2.91</v>
      </c>
      <c r="P141" s="238"/>
      <c r="R141" s="238">
        <v>2.91</v>
      </c>
      <c r="S141">
        <v>25.73</v>
      </c>
      <c r="T141">
        <v>22.82</v>
      </c>
      <c r="U141" s="238">
        <v>24.28</v>
      </c>
      <c r="V141">
        <v>24.45</v>
      </c>
      <c r="W141" s="238">
        <v>90229.544999999998</v>
      </c>
      <c r="X141">
        <v>4511.4772499999999</v>
      </c>
      <c r="Y141">
        <v>94741.022249999995</v>
      </c>
      <c r="Z141">
        <v>2842.2306674999995</v>
      </c>
      <c r="AA141">
        <v>97583.252917499995</v>
      </c>
      <c r="AB141">
        <v>14637.487937624999</v>
      </c>
      <c r="AC141">
        <v>112220.740855125</v>
      </c>
      <c r="AE141">
        <v>112220.740855125</v>
      </c>
      <c r="AG141">
        <v>112220.740855125</v>
      </c>
      <c r="AI141">
        <v>112220.740855125</v>
      </c>
      <c r="AJ141">
        <v>1122.20740855125</v>
      </c>
      <c r="AK141">
        <v>113342.94826367624</v>
      </c>
      <c r="AL141">
        <v>5667.1474131838122</v>
      </c>
      <c r="AM141">
        <v>119010.09567686006</v>
      </c>
      <c r="AO141">
        <v>119010.09567686006</v>
      </c>
      <c r="AP141">
        <v>3570.3028703058017</v>
      </c>
      <c r="AQ141">
        <v>122580.39854716588</v>
      </c>
      <c r="AS141">
        <v>122580.39854716588</v>
      </c>
      <c r="AU141">
        <v>122580.39854716588</v>
      </c>
      <c r="AW141">
        <v>122580.39854716588</v>
      </c>
      <c r="AY141">
        <v>122580.39854716588</v>
      </c>
      <c r="AZ141">
        <v>2451.6079709433175</v>
      </c>
      <c r="BA141">
        <v>125032.00651810918</v>
      </c>
      <c r="BC141">
        <v>125032.00651810918</v>
      </c>
      <c r="BE141">
        <v>125032.00651810918</v>
      </c>
      <c r="BF141">
        <v>1875.4800977716377</v>
      </c>
      <c r="BG141">
        <v>126907.4866158808</v>
      </c>
      <c r="BH141">
        <v>500</v>
      </c>
      <c r="BI141">
        <v>127407.4866158808</v>
      </c>
      <c r="BK141">
        <v>127407.4866158808</v>
      </c>
      <c r="BL141">
        <v>5096.2994646352327</v>
      </c>
      <c r="BM141">
        <v>132503.78608051606</v>
      </c>
      <c r="BN141">
        <v>17225.492190467088</v>
      </c>
      <c r="BO141">
        <v>149729.27827098314</v>
      </c>
      <c r="BP141">
        <v>35</v>
      </c>
      <c r="BQ141">
        <v>149764.27827098314</v>
      </c>
      <c r="BS141">
        <v>149764.27827098314</v>
      </c>
      <c r="BT141" s="238">
        <v>149764.28</v>
      </c>
      <c r="BU141" s="238">
        <v>3636300</v>
      </c>
      <c r="BV141">
        <v>194240</v>
      </c>
      <c r="BX141" s="238">
        <v>194240</v>
      </c>
      <c r="BY141" s="238">
        <v>141765.2388797364</v>
      </c>
      <c r="BZ141" s="238">
        <v>3442060</v>
      </c>
      <c r="CA141" s="238" t="s">
        <v>36</v>
      </c>
      <c r="CC141">
        <v>141765.2388797364</v>
      </c>
      <c r="CD141" s="238">
        <v>0</v>
      </c>
      <c r="CE141" s="238">
        <v>3442060</v>
      </c>
      <c r="CG141" t="s">
        <v>8676</v>
      </c>
      <c r="CH141" s="238" t="s">
        <v>39</v>
      </c>
      <c r="CI141" s="238" t="s">
        <v>39</v>
      </c>
      <c r="CJ141" t="s">
        <v>8950</v>
      </c>
      <c r="CK141" t="s">
        <v>1167</v>
      </c>
      <c r="CL141" t="s">
        <v>8961</v>
      </c>
      <c r="CM141" t="s">
        <v>8970</v>
      </c>
      <c r="CN141" s="238" t="b">
        <v>1</v>
      </c>
      <c r="CO141" t="s">
        <v>5429</v>
      </c>
      <c r="CQ141" t="s">
        <v>6652</v>
      </c>
      <c r="CR141" t="s">
        <v>3246</v>
      </c>
      <c r="CS141" t="s">
        <v>36</v>
      </c>
      <c r="CT141" t="b">
        <v>1</v>
      </c>
      <c r="CU141">
        <v>3636300</v>
      </c>
      <c r="CV141" t="s">
        <v>9002</v>
      </c>
      <c r="CW141">
        <v>0</v>
      </c>
      <c r="CX141">
        <v>3636300</v>
      </c>
      <c r="CY141">
        <v>0</v>
      </c>
      <c r="CZ141" t="b">
        <v>1</v>
      </c>
      <c r="DA141">
        <v>45772</v>
      </c>
      <c r="DB141" t="s">
        <v>8380</v>
      </c>
      <c r="DC141">
        <v>7.0016474464578149E-3</v>
      </c>
      <c r="DD141">
        <v>992.59022279878843</v>
      </c>
      <c r="DE141" s="420" cm="1">
        <f t="array" ref="DE141">_xlfn.XLOOKUP("Дом 5"&amp;Реестр_Д5[[#This Row],[№]]&amp;Реестр_Д5[[#This Row],[Статус]],РД[Дом]&amp;РД[№ кв]&amp;РД[Состояние],РД[Дата подачи на регистрацию],"-",0)</f>
        <v>45772</v>
      </c>
    </row>
    <row r="142" spans="1:109" hidden="1" x14ac:dyDescent="0.25">
      <c r="A142" s="238">
        <v>141</v>
      </c>
      <c r="B142" s="238" t="s">
        <v>5</v>
      </c>
      <c r="C142" s="238">
        <v>5</v>
      </c>
      <c r="D142" s="238">
        <v>3</v>
      </c>
      <c r="E142" s="238">
        <v>2</v>
      </c>
      <c r="F142" s="238">
        <v>14.6</v>
      </c>
      <c r="G142" s="238">
        <v>13.12</v>
      </c>
      <c r="H142" s="238"/>
      <c r="I142">
        <v>27.72</v>
      </c>
      <c r="J142" s="238">
        <v>14.35</v>
      </c>
      <c r="K142" s="238">
        <v>3.68</v>
      </c>
      <c r="L142" s="238">
        <v>2.57</v>
      </c>
      <c r="M142" s="238"/>
      <c r="N142" s="238">
        <v>7.95</v>
      </c>
      <c r="O142" s="238">
        <v>2.65</v>
      </c>
      <c r="P142" s="238"/>
      <c r="R142" s="238">
        <v>2.65</v>
      </c>
      <c r="S142">
        <v>58.92</v>
      </c>
      <c r="T142">
        <v>56.27</v>
      </c>
      <c r="U142" s="238">
        <v>57.6</v>
      </c>
      <c r="V142">
        <v>57.7</v>
      </c>
      <c r="W142" s="238">
        <v>78763.482000000004</v>
      </c>
      <c r="X142">
        <v>3938.1741000000002</v>
      </c>
      <c r="Y142">
        <v>82701.656099999993</v>
      </c>
      <c r="Z142">
        <v>2481.0496830000002</v>
      </c>
      <c r="AA142">
        <v>85182.705783000012</v>
      </c>
      <c r="AC142">
        <v>85182.705783000012</v>
      </c>
      <c r="AE142">
        <v>85182.705783000012</v>
      </c>
      <c r="AG142">
        <v>85182.705783000012</v>
      </c>
      <c r="AI142">
        <v>85182.705783000012</v>
      </c>
      <c r="AK142">
        <v>85182.705783000012</v>
      </c>
      <c r="AM142">
        <v>85182.705783000012</v>
      </c>
      <c r="AO142">
        <v>85182.705783000012</v>
      </c>
      <c r="AQ142">
        <v>85182.705783000012</v>
      </c>
      <c r="AS142">
        <v>85182.705783000012</v>
      </c>
      <c r="AU142">
        <v>85182.705783000012</v>
      </c>
      <c r="AW142">
        <v>85182.705783000012</v>
      </c>
      <c r="AY142">
        <v>85182.705783000012</v>
      </c>
      <c r="BA142">
        <v>85182.705783000012</v>
      </c>
      <c r="BC142">
        <v>85182.705783000012</v>
      </c>
      <c r="BE142">
        <v>85182.705783000012</v>
      </c>
      <c r="BG142">
        <v>85182.705783000012</v>
      </c>
      <c r="BI142">
        <v>85182.705783000012</v>
      </c>
      <c r="BK142">
        <v>85182.705783000012</v>
      </c>
      <c r="BM142">
        <v>85182.705783000012</v>
      </c>
      <c r="BO142">
        <v>85182.705783000012</v>
      </c>
      <c r="BQ142">
        <v>85182.705783000012</v>
      </c>
      <c r="BS142">
        <v>85182.705783000012</v>
      </c>
      <c r="BT142" s="238">
        <v>85182.71</v>
      </c>
      <c r="BU142" s="238">
        <v>4906600</v>
      </c>
      <c r="BV142">
        <v>30000</v>
      </c>
      <c r="BX142" s="238">
        <v>30000</v>
      </c>
      <c r="BY142" s="238">
        <v>84663.194444444438</v>
      </c>
      <c r="BZ142" s="238">
        <v>4876600</v>
      </c>
      <c r="CA142" s="238" t="s">
        <v>36</v>
      </c>
      <c r="CC142">
        <v>84663.194444444438</v>
      </c>
      <c r="CD142" s="238">
        <v>0</v>
      </c>
      <c r="CE142" s="238">
        <v>4876600</v>
      </c>
      <c r="CF142" t="s">
        <v>4633</v>
      </c>
      <c r="CG142" t="s">
        <v>6732</v>
      </c>
      <c r="CH142" s="238" t="s">
        <v>39</v>
      </c>
      <c r="CI142" s="238" t="s">
        <v>39</v>
      </c>
      <c r="CJ142" t="s">
        <v>8950</v>
      </c>
      <c r="CK142" t="s">
        <v>1167</v>
      </c>
      <c r="CL142" t="s">
        <v>8961</v>
      </c>
      <c r="CM142" t="s">
        <v>8971</v>
      </c>
      <c r="CN142" s="238" t="b">
        <v>1</v>
      </c>
      <c r="CO142" t="s">
        <v>5430</v>
      </c>
      <c r="CQ142" t="s">
        <v>6652</v>
      </c>
      <c r="CR142" t="s">
        <v>3246</v>
      </c>
      <c r="CS142" t="s">
        <v>36</v>
      </c>
      <c r="CT142" t="b">
        <v>1</v>
      </c>
      <c r="CU142">
        <v>4906600</v>
      </c>
      <c r="CV142" t="s">
        <v>9002</v>
      </c>
      <c r="CW142">
        <v>0</v>
      </c>
      <c r="CX142">
        <v>4906600</v>
      </c>
      <c r="CY142">
        <v>0</v>
      </c>
      <c r="CZ142" t="b">
        <v>1</v>
      </c>
      <c r="DA142">
        <v>45281</v>
      </c>
      <c r="DB142" t="s">
        <v>5215</v>
      </c>
      <c r="DC142">
        <v>1.7361111111109384E-3</v>
      </c>
      <c r="DD142">
        <v>146.98471257714587</v>
      </c>
      <c r="DE142" s="420" cm="1">
        <f t="array" ref="DE142">_xlfn.XLOOKUP("Дом 5"&amp;Реестр_Д5[[#This Row],[№]]&amp;Реестр_Д5[[#This Row],[Статус]],РД[Дом]&amp;РД[№ кв]&amp;РД[Состояние],РД[Дата подачи на регистрацию],"-",0)</f>
        <v>45281</v>
      </c>
    </row>
    <row r="143" spans="1:109" hidden="1" x14ac:dyDescent="0.25">
      <c r="A143" s="238">
        <v>142</v>
      </c>
      <c r="B143" s="238" t="s">
        <v>5</v>
      </c>
      <c r="C143" s="238">
        <v>5</v>
      </c>
      <c r="D143" s="238">
        <v>4</v>
      </c>
      <c r="E143" s="238">
        <v>2</v>
      </c>
      <c r="F143" s="238">
        <v>15.45</v>
      </c>
      <c r="G143" s="238">
        <v>14.5</v>
      </c>
      <c r="H143" s="238"/>
      <c r="I143">
        <v>29.95</v>
      </c>
      <c r="J143" s="238">
        <v>11.95</v>
      </c>
      <c r="K143" s="238">
        <v>3.86</v>
      </c>
      <c r="L143" s="238">
        <v>2.37</v>
      </c>
      <c r="M143" s="238"/>
      <c r="N143" s="238">
        <v>8.8699999999999992</v>
      </c>
      <c r="O143" s="238">
        <v>2.62</v>
      </c>
      <c r="P143" s="238"/>
      <c r="R143" s="238">
        <v>2.62</v>
      </c>
      <c r="S143">
        <v>59.62</v>
      </c>
      <c r="T143">
        <v>57</v>
      </c>
      <c r="U143" s="238">
        <v>58.31</v>
      </c>
      <c r="V143">
        <v>58.15</v>
      </c>
      <c r="W143" s="238">
        <v>79921.768500000006</v>
      </c>
      <c r="X143">
        <v>3996.0884249999999</v>
      </c>
      <c r="Y143">
        <v>83917.856925</v>
      </c>
      <c r="Z143">
        <v>2517.5357077499998</v>
      </c>
      <c r="AA143">
        <v>86435.392632749994</v>
      </c>
      <c r="AC143">
        <v>86435.392632749994</v>
      </c>
      <c r="AE143">
        <v>86435.392632749994</v>
      </c>
      <c r="AG143">
        <v>86435.392632749994</v>
      </c>
      <c r="AI143">
        <v>86435.392632749994</v>
      </c>
      <c r="AJ143">
        <v>864.35392632749995</v>
      </c>
      <c r="AK143">
        <v>87299.746559077481</v>
      </c>
      <c r="AL143">
        <v>4364.9873279538751</v>
      </c>
      <c r="AM143">
        <v>91664.733887031369</v>
      </c>
      <c r="AO143">
        <v>91664.733887031369</v>
      </c>
      <c r="AP143">
        <v>1833.2946777406271</v>
      </c>
      <c r="AQ143">
        <v>93498.028564772001</v>
      </c>
      <c r="AS143">
        <v>93498.028564772001</v>
      </c>
      <c r="AT143">
        <v>1869.9605712954401</v>
      </c>
      <c r="AU143">
        <v>95367.989136067437</v>
      </c>
      <c r="AW143">
        <v>95367.989136067437</v>
      </c>
      <c r="AY143">
        <v>95367.989136067437</v>
      </c>
      <c r="AZ143">
        <v>953.67989136067445</v>
      </c>
      <c r="BA143">
        <v>96321.669027428114</v>
      </c>
      <c r="BC143">
        <v>96321.669027428114</v>
      </c>
      <c r="BE143">
        <v>96321.669027428114</v>
      </c>
      <c r="BF143">
        <v>2408.0417256857031</v>
      </c>
      <c r="BG143">
        <v>98729.710753113817</v>
      </c>
      <c r="BH143">
        <v>500</v>
      </c>
      <c r="BI143">
        <v>99229.710753113817</v>
      </c>
      <c r="BJ143">
        <v>3969.1884301245527</v>
      </c>
      <c r="BK143">
        <v>103198.89918323838</v>
      </c>
      <c r="BM143">
        <v>103198.89918323838</v>
      </c>
      <c r="BO143">
        <v>103198.89918323838</v>
      </c>
      <c r="BQ143">
        <v>103198.89918323838</v>
      </c>
      <c r="BS143">
        <v>103198.89918323838</v>
      </c>
      <c r="BT143" s="238">
        <v>103198.9</v>
      </c>
      <c r="BU143" s="238">
        <v>6017600</v>
      </c>
      <c r="BX143" s="238">
        <v>0</v>
      </c>
      <c r="BY143" s="238">
        <v>103200.13719773624</v>
      </c>
      <c r="BZ143" s="238">
        <v>6017600</v>
      </c>
      <c r="CA143" s="238" t="s">
        <v>36</v>
      </c>
      <c r="CC143">
        <v>103200.13719773624</v>
      </c>
      <c r="CD143" s="238">
        <v>0</v>
      </c>
      <c r="CE143" s="238">
        <v>6017600</v>
      </c>
      <c r="CH143" s="238" t="s">
        <v>39</v>
      </c>
      <c r="CI143" s="238" t="s">
        <v>39</v>
      </c>
      <c r="CJ143" t="s">
        <v>8950</v>
      </c>
      <c r="CK143" t="s">
        <v>1167</v>
      </c>
      <c r="CL143" t="s">
        <v>8961</v>
      </c>
      <c r="CM143" t="s">
        <v>8974</v>
      </c>
      <c r="CN143" s="238" t="b">
        <v>1</v>
      </c>
      <c r="CO143" t="s">
        <v>5431</v>
      </c>
      <c r="CQ143" t="s">
        <v>6652</v>
      </c>
      <c r="CR143" t="s">
        <v>3246</v>
      </c>
      <c r="CS143" t="s">
        <v>36</v>
      </c>
      <c r="CT143" t="b">
        <v>1</v>
      </c>
      <c r="CU143">
        <v>6017600</v>
      </c>
      <c r="CV143" t="s">
        <v>9002</v>
      </c>
      <c r="CW143">
        <v>0</v>
      </c>
      <c r="CX143">
        <v>6017600</v>
      </c>
      <c r="CY143">
        <v>0</v>
      </c>
      <c r="CZ143" t="b">
        <v>1</v>
      </c>
      <c r="DA143">
        <v>45594</v>
      </c>
      <c r="DB143" t="s">
        <v>4177</v>
      </c>
      <c r="DC143">
        <v>-2.743954724747089E-3</v>
      </c>
      <c r="DD143">
        <v>-283.17650405827607</v>
      </c>
      <c r="DE143" s="420" cm="1">
        <f t="array" ref="DE143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144" spans="1:109" x14ac:dyDescent="0.25">
      <c r="A144" s="238">
        <v>143</v>
      </c>
      <c r="B144" s="238" t="s">
        <v>5</v>
      </c>
      <c r="C144" s="238">
        <v>5</v>
      </c>
      <c r="D144" s="238">
        <v>5</v>
      </c>
      <c r="E144" s="238">
        <v>1</v>
      </c>
      <c r="F144" s="238">
        <v>12.06</v>
      </c>
      <c r="G144" s="238"/>
      <c r="H144" s="238"/>
      <c r="I144">
        <v>12.06</v>
      </c>
      <c r="J144" s="238">
        <v>13.18</v>
      </c>
      <c r="K144" s="238">
        <v>4.1100000000000003</v>
      </c>
      <c r="L144" s="238"/>
      <c r="M144" s="238"/>
      <c r="N144" s="238">
        <v>7.09</v>
      </c>
      <c r="O144" s="238">
        <v>2.84</v>
      </c>
      <c r="P144" s="238"/>
      <c r="R144" s="238">
        <v>2.84</v>
      </c>
      <c r="S144">
        <v>39.28</v>
      </c>
      <c r="T144">
        <v>36.44</v>
      </c>
      <c r="U144" s="238">
        <v>37.86</v>
      </c>
      <c r="V144">
        <v>37.700000000000003</v>
      </c>
      <c r="W144" s="238">
        <v>87601.5</v>
      </c>
      <c r="X144">
        <v>4380.0749999999998</v>
      </c>
      <c r="Y144">
        <v>91981.574999999997</v>
      </c>
      <c r="Z144">
        <v>2759.4472499999997</v>
      </c>
      <c r="AA144">
        <v>94741.022249999995</v>
      </c>
      <c r="AB144">
        <v>4263.34600125</v>
      </c>
      <c r="AC144">
        <v>99004.368251249995</v>
      </c>
      <c r="AE144">
        <v>99004.368251249995</v>
      </c>
      <c r="AF144">
        <v>4950.2184125624999</v>
      </c>
      <c r="AG144">
        <v>103954.5866638125</v>
      </c>
      <c r="AI144">
        <v>103954.5866638125</v>
      </c>
      <c r="AJ144">
        <v>1039.5458666381253</v>
      </c>
      <c r="AK144">
        <v>104994.13253045065</v>
      </c>
      <c r="AL144">
        <v>5249.7066265225321</v>
      </c>
      <c r="AM144">
        <v>110243.83915697316</v>
      </c>
      <c r="AO144">
        <v>110243.83915697316</v>
      </c>
      <c r="AP144">
        <v>3307.3151747091947</v>
      </c>
      <c r="AQ144">
        <v>113551.15433168237</v>
      </c>
      <c r="AS144">
        <v>113551.15433168237</v>
      </c>
      <c r="AU144">
        <v>113551.15433168237</v>
      </c>
      <c r="AW144">
        <v>113551.15433168237</v>
      </c>
      <c r="AY144">
        <v>113551.15433168237</v>
      </c>
      <c r="AZ144">
        <v>1135.5115433168237</v>
      </c>
      <c r="BA144">
        <v>114686.66587499918</v>
      </c>
      <c r="BB144">
        <v>573.43332937499588</v>
      </c>
      <c r="BC144">
        <v>115260.09920437416</v>
      </c>
      <c r="BE144">
        <v>115260.09920437416</v>
      </c>
      <c r="BF144">
        <v>2881.5024801093546</v>
      </c>
      <c r="BG144">
        <v>118141.60168448352</v>
      </c>
      <c r="BI144">
        <v>118141.60168448352</v>
      </c>
      <c r="BK144">
        <v>118141.60168448352</v>
      </c>
      <c r="BL144">
        <v>5907.080084224177</v>
      </c>
      <c r="BM144">
        <v>124048.6817687077</v>
      </c>
      <c r="BN144">
        <v>16126.328629932001</v>
      </c>
      <c r="BO144">
        <v>140175.01039863969</v>
      </c>
      <c r="BP144">
        <v>35</v>
      </c>
      <c r="BQ144">
        <v>140210.01039863969</v>
      </c>
      <c r="BS144">
        <v>140210.01039863969</v>
      </c>
      <c r="BT144" s="238">
        <v>140210.01</v>
      </c>
      <c r="BU144" s="238">
        <v>5286000</v>
      </c>
      <c r="BX144" s="238">
        <v>0</v>
      </c>
      <c r="BY144" s="238">
        <v>140212.20159151193</v>
      </c>
      <c r="BZ144" s="238">
        <v>5286000</v>
      </c>
      <c r="CA144" s="238" t="s">
        <v>6871</v>
      </c>
      <c r="CB144">
        <v>10000</v>
      </c>
      <c r="CC144">
        <v>150212.20159151193</v>
      </c>
      <c r="CD144" s="238">
        <v>377000</v>
      </c>
      <c r="CE144" s="238">
        <v>5663000</v>
      </c>
      <c r="CH144" s="238" t="s">
        <v>3</v>
      </c>
      <c r="CI144" s="238" t="s">
        <v>3</v>
      </c>
      <c r="CJ144" t="s">
        <v>8951</v>
      </c>
      <c r="CK144" t="s">
        <v>1167</v>
      </c>
      <c r="CL144" t="s">
        <v>8961</v>
      </c>
      <c r="CM144" t="s">
        <v>8973</v>
      </c>
      <c r="CN144" s="238" t="b">
        <v>1</v>
      </c>
      <c r="CO144" t="s">
        <v>5432</v>
      </c>
      <c r="CQ144" t="s">
        <v>6652</v>
      </c>
      <c r="CR144" t="s">
        <v>3124</v>
      </c>
      <c r="CS144" t="s">
        <v>6871</v>
      </c>
      <c r="CT144" t="b">
        <v>1</v>
      </c>
      <c r="CU144">
        <v>5286000</v>
      </c>
      <c r="CV144">
        <v>5286000</v>
      </c>
      <c r="CW144">
        <v>0</v>
      </c>
      <c r="CX144">
        <v>0</v>
      </c>
      <c r="CY144">
        <v>0</v>
      </c>
      <c r="CZ144" t="b">
        <v>1</v>
      </c>
      <c r="DA144" t="s">
        <v>4246</v>
      </c>
      <c r="DB144" t="s">
        <v>1167</v>
      </c>
      <c r="DC144">
        <v>-4.2260961436871858E-3</v>
      </c>
      <c r="DD144">
        <v>-592.55024444377887</v>
      </c>
      <c r="DE144" s="420" t="str" cm="1">
        <f t="array" ref="DE14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45" spans="1:109" x14ac:dyDescent="0.25">
      <c r="A145" s="238">
        <v>144</v>
      </c>
      <c r="B145" s="238" t="s">
        <v>5</v>
      </c>
      <c r="C145" s="238">
        <v>5</v>
      </c>
      <c r="D145" s="238">
        <v>6</v>
      </c>
      <c r="E145" s="238">
        <v>3</v>
      </c>
      <c r="F145" s="238">
        <v>17.89</v>
      </c>
      <c r="G145" s="238">
        <v>17.2</v>
      </c>
      <c r="H145" s="238">
        <v>14.31</v>
      </c>
      <c r="I145">
        <v>49.400000000000006</v>
      </c>
      <c r="J145" s="238">
        <v>13.39</v>
      </c>
      <c r="K145" s="238">
        <v>4.2</v>
      </c>
      <c r="L145" s="238">
        <v>2.0499999999999998</v>
      </c>
      <c r="M145" s="238"/>
      <c r="N145" s="238">
        <v>13.21</v>
      </c>
      <c r="O145" s="238">
        <v>2.79</v>
      </c>
      <c r="P145" s="238">
        <v>2.68</v>
      </c>
      <c r="R145" s="238">
        <v>5.4700000000000006</v>
      </c>
      <c r="S145">
        <v>87.72</v>
      </c>
      <c r="T145">
        <v>82.25</v>
      </c>
      <c r="U145" s="238">
        <v>84.99</v>
      </c>
      <c r="V145">
        <v>84.45</v>
      </c>
      <c r="W145" s="238">
        <v>72092.789999999994</v>
      </c>
      <c r="X145">
        <v>3604.6395000000007</v>
      </c>
      <c r="Y145">
        <v>75697.429500000013</v>
      </c>
      <c r="Z145">
        <v>2270.9228850000004</v>
      </c>
      <c r="AA145">
        <v>77968.35238500002</v>
      </c>
      <c r="AC145">
        <v>77968.35238500002</v>
      </c>
      <c r="AE145">
        <v>77968.35238500002</v>
      </c>
      <c r="AG145">
        <v>77968.35238500002</v>
      </c>
      <c r="AI145">
        <v>77968.35238500002</v>
      </c>
      <c r="AJ145">
        <v>779.68352385000037</v>
      </c>
      <c r="AK145">
        <v>78748.035908850026</v>
      </c>
      <c r="AL145">
        <v>3937.4017954425017</v>
      </c>
      <c r="AM145">
        <v>82685.437704292533</v>
      </c>
      <c r="AO145">
        <v>82685.437704292533</v>
      </c>
      <c r="AP145">
        <v>1653.7087540858506</v>
      </c>
      <c r="AQ145">
        <v>84339.146458378382</v>
      </c>
      <c r="AS145">
        <v>84339.146458378382</v>
      </c>
      <c r="AT145">
        <v>1686.7829291675678</v>
      </c>
      <c r="AU145">
        <v>86025.929387545955</v>
      </c>
      <c r="AW145">
        <v>86025.929387545955</v>
      </c>
      <c r="AX145">
        <v>860.25929387545955</v>
      </c>
      <c r="AY145">
        <v>86886.188681421409</v>
      </c>
      <c r="BA145">
        <v>86886.188681421409</v>
      </c>
      <c r="BC145">
        <v>86886.188681421409</v>
      </c>
      <c r="BD145">
        <v>1737.7237736284285</v>
      </c>
      <c r="BE145">
        <v>88623.912455049838</v>
      </c>
      <c r="BF145">
        <v>1329.3586868257476</v>
      </c>
      <c r="BG145">
        <v>89953.271141875579</v>
      </c>
      <c r="BI145">
        <v>89953.271141875579</v>
      </c>
      <c r="BJ145">
        <v>3598.130845675023</v>
      </c>
      <c r="BK145">
        <v>93551.401987550606</v>
      </c>
      <c r="BL145">
        <v>4677.5700993775308</v>
      </c>
      <c r="BM145">
        <v>98228.972086928115</v>
      </c>
      <c r="BN145">
        <v>12769.766371300657</v>
      </c>
      <c r="BO145">
        <v>110998.73845822881</v>
      </c>
      <c r="BP145">
        <v>35</v>
      </c>
      <c r="BQ145">
        <v>111033.73845822881</v>
      </c>
      <c r="BS145">
        <v>111033.73845822881</v>
      </c>
      <c r="BT145" s="238">
        <v>111033.74</v>
      </c>
      <c r="BU145" s="238">
        <v>9376800</v>
      </c>
      <c r="BX145" s="238">
        <v>0</v>
      </c>
      <c r="BY145" s="238">
        <v>111033.74777975131</v>
      </c>
      <c r="BZ145" s="238">
        <v>9376800</v>
      </c>
      <c r="CA145" s="238" t="s">
        <v>36</v>
      </c>
      <c r="CC145">
        <v>111033.74777975131</v>
      </c>
      <c r="CD145" s="238">
        <v>0</v>
      </c>
      <c r="CE145" s="238">
        <v>9376800</v>
      </c>
      <c r="CH145" s="238" t="s">
        <v>3</v>
      </c>
      <c r="CI145" s="238" t="s">
        <v>3</v>
      </c>
      <c r="CJ145" t="s">
        <v>8951</v>
      </c>
      <c r="CK145" t="s">
        <v>1167</v>
      </c>
      <c r="CL145" t="s">
        <v>8961</v>
      </c>
      <c r="CM145" t="s">
        <v>8975</v>
      </c>
      <c r="CN145" s="238" t="b">
        <v>1</v>
      </c>
      <c r="CO145" t="s">
        <v>5433</v>
      </c>
      <c r="CQ145" t="s">
        <v>6652</v>
      </c>
      <c r="CR145" t="s">
        <v>3124</v>
      </c>
      <c r="CS145" t="s">
        <v>6871</v>
      </c>
      <c r="CT145" t="b">
        <v>0</v>
      </c>
      <c r="CU145">
        <v>9376800</v>
      </c>
      <c r="CV145">
        <v>9376800</v>
      </c>
      <c r="CW145">
        <v>0</v>
      </c>
      <c r="CX145">
        <v>0</v>
      </c>
      <c r="CY145">
        <v>0</v>
      </c>
      <c r="CZ145" t="b">
        <v>1</v>
      </c>
      <c r="DA145" t="s">
        <v>4246</v>
      </c>
      <c r="DB145" t="s">
        <v>1167</v>
      </c>
      <c r="DC145">
        <v>-6.3536886692551198E-3</v>
      </c>
      <c r="DD145">
        <v>-705.4738651731368</v>
      </c>
      <c r="DE145" s="420" t="str" cm="1">
        <f t="array" ref="DE14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46" spans="1:109" hidden="1" x14ac:dyDescent="0.25">
      <c r="A146" s="238">
        <v>145</v>
      </c>
      <c r="B146" s="238" t="s">
        <v>5</v>
      </c>
      <c r="C146" s="238">
        <v>5</v>
      </c>
      <c r="D146" s="238">
        <v>7</v>
      </c>
      <c r="E146" s="238">
        <v>1</v>
      </c>
      <c r="F146" s="238">
        <v>17.89</v>
      </c>
      <c r="G146" s="238"/>
      <c r="H146" s="238"/>
      <c r="I146">
        <v>17.89</v>
      </c>
      <c r="J146" s="238">
        <v>13.04</v>
      </c>
      <c r="K146" s="238">
        <v>3.9</v>
      </c>
      <c r="L146" s="238"/>
      <c r="M146" s="238"/>
      <c r="N146" s="238">
        <v>6.12</v>
      </c>
      <c r="O146" s="238">
        <v>2.65</v>
      </c>
      <c r="P146" s="238"/>
      <c r="R146" s="238">
        <v>2.65</v>
      </c>
      <c r="S146">
        <v>43.6</v>
      </c>
      <c r="T146">
        <v>40.950000000000003</v>
      </c>
      <c r="U146" s="238">
        <v>42.28</v>
      </c>
      <c r="V146">
        <v>42.099999999999994</v>
      </c>
      <c r="W146" s="238">
        <v>83951.4375</v>
      </c>
      <c r="X146">
        <v>4197.5718750000005</v>
      </c>
      <c r="Y146">
        <v>88149.009374999994</v>
      </c>
      <c r="Z146">
        <v>2644.4702812499995</v>
      </c>
      <c r="AA146">
        <v>90793.479656249998</v>
      </c>
      <c r="AB146">
        <v>2723.8043896874997</v>
      </c>
      <c r="AC146">
        <v>93517.2840459375</v>
      </c>
      <c r="AE146">
        <v>93517.2840459375</v>
      </c>
      <c r="AF146">
        <v>4675.8642022968752</v>
      </c>
      <c r="AG146">
        <v>98193.148248234371</v>
      </c>
      <c r="AI146">
        <v>98193.148248234371</v>
      </c>
      <c r="AJ146">
        <v>981.93148248234388</v>
      </c>
      <c r="AK146">
        <v>99175.079730716709</v>
      </c>
      <c r="AL146">
        <v>4958.7539865358358</v>
      </c>
      <c r="AM146">
        <v>104133.83371725256</v>
      </c>
      <c r="AO146">
        <v>104133.83371725256</v>
      </c>
      <c r="AP146">
        <v>3124.015011517577</v>
      </c>
      <c r="AQ146">
        <v>107257.84872877011</v>
      </c>
      <c r="AS146">
        <v>107257.84872877011</v>
      </c>
      <c r="AU146">
        <v>107257.84872877011</v>
      </c>
      <c r="AW146">
        <v>107257.84872877011</v>
      </c>
      <c r="AX146">
        <v>1072.5784872877014</v>
      </c>
      <c r="AY146">
        <v>108330.42721605784</v>
      </c>
      <c r="BA146">
        <v>108330.42721605784</v>
      </c>
      <c r="BC146">
        <v>108330.42721605784</v>
      </c>
      <c r="BE146">
        <v>108330.42721605784</v>
      </c>
      <c r="BF146">
        <v>2708.2606804014458</v>
      </c>
      <c r="BG146">
        <v>111038.68789645928</v>
      </c>
      <c r="BI146">
        <v>111038.68789645928</v>
      </c>
      <c r="BK146">
        <v>111038.68789645928</v>
      </c>
      <c r="BM146">
        <v>111038.68789645928</v>
      </c>
      <c r="BO146">
        <v>111038.68789645928</v>
      </c>
      <c r="BQ146">
        <v>111038.68789645928</v>
      </c>
      <c r="BS146">
        <v>111038.68789645928</v>
      </c>
      <c r="BT146" s="238">
        <v>111038.69</v>
      </c>
      <c r="BU146" s="238">
        <v>4694800</v>
      </c>
      <c r="BV146">
        <v>544800</v>
      </c>
      <c r="BX146" s="238">
        <v>544800</v>
      </c>
      <c r="BY146" s="238">
        <v>98155.156102175955</v>
      </c>
      <c r="BZ146" s="238">
        <v>4150000</v>
      </c>
      <c r="CA146" s="238" t="s">
        <v>36</v>
      </c>
      <c r="CC146">
        <v>98155.156102175955</v>
      </c>
      <c r="CD146" s="238">
        <v>0</v>
      </c>
      <c r="CE146" s="238">
        <v>4150000</v>
      </c>
      <c r="CG146" t="s">
        <v>321</v>
      </c>
      <c r="CH146" s="238" t="s">
        <v>39</v>
      </c>
      <c r="CI146" s="238" t="s">
        <v>39</v>
      </c>
      <c r="CJ146" t="s">
        <v>8950</v>
      </c>
      <c r="CK146" t="s">
        <v>1167</v>
      </c>
      <c r="CL146" t="s">
        <v>8961</v>
      </c>
      <c r="CM146" t="s">
        <v>8973</v>
      </c>
      <c r="CN146" s="238" t="b">
        <v>1</v>
      </c>
      <c r="CO146" t="s">
        <v>5434</v>
      </c>
      <c r="CQ146" t="s">
        <v>6652</v>
      </c>
      <c r="CR146" t="s">
        <v>3246</v>
      </c>
      <c r="CS146" t="s">
        <v>36</v>
      </c>
      <c r="CT146" t="b">
        <v>1</v>
      </c>
      <c r="CU146">
        <v>4694800</v>
      </c>
      <c r="CV146" t="s">
        <v>9002</v>
      </c>
      <c r="CW146">
        <v>0</v>
      </c>
      <c r="CX146">
        <v>4694800</v>
      </c>
      <c r="CY146">
        <v>0</v>
      </c>
      <c r="CZ146" t="b">
        <v>1</v>
      </c>
      <c r="DA146">
        <v>45617</v>
      </c>
      <c r="DB146" t="s">
        <v>126</v>
      </c>
      <c r="DC146">
        <v>-4.2573320719018204E-3</v>
      </c>
      <c r="DD146">
        <v>-417.87909409632346</v>
      </c>
      <c r="DE146" s="420" cm="1">
        <f t="array" ref="DE146">_xlfn.XLOOKUP("Дом 5"&amp;Реестр_Д5[[#This Row],[№]]&amp;Реестр_Д5[[#This Row],[Статус]],РД[Дом]&amp;РД[№ кв]&amp;РД[Состояние],РД[Дата подачи на регистрацию],"-",0)</f>
        <v>45617</v>
      </c>
    </row>
    <row r="147" spans="1:109" x14ac:dyDescent="0.25">
      <c r="A147" s="238">
        <v>146</v>
      </c>
      <c r="B147" s="238" t="s">
        <v>5</v>
      </c>
      <c r="C147" s="238">
        <v>6</v>
      </c>
      <c r="D147" s="238">
        <v>1</v>
      </c>
      <c r="E147" s="238">
        <v>2</v>
      </c>
      <c r="F147" s="238">
        <v>15.91</v>
      </c>
      <c r="G147" s="238">
        <v>12.02</v>
      </c>
      <c r="H147" s="238"/>
      <c r="I147">
        <v>27.93</v>
      </c>
      <c r="J147" s="238">
        <v>15.31</v>
      </c>
      <c r="K147" s="238">
        <v>3.85</v>
      </c>
      <c r="L147" s="238">
        <v>2.2999999999999998</v>
      </c>
      <c r="M147" s="238"/>
      <c r="N147" s="238">
        <v>9.4499999999999993</v>
      </c>
      <c r="O147" s="238">
        <v>2.75</v>
      </c>
      <c r="P147" s="238"/>
      <c r="R147" s="238">
        <v>2.75</v>
      </c>
      <c r="S147">
        <v>61.59</v>
      </c>
      <c r="T147">
        <v>58.84</v>
      </c>
      <c r="U147" s="238">
        <v>60.22</v>
      </c>
      <c r="V147">
        <v>59.79999999999999</v>
      </c>
      <c r="W147" s="238">
        <v>81852.246000000014</v>
      </c>
      <c r="X147">
        <v>4092.6123000000007</v>
      </c>
      <c r="Y147">
        <v>85944.858300000022</v>
      </c>
      <c r="Z147">
        <v>2578.3457490000005</v>
      </c>
      <c r="AA147">
        <v>88523.204049000022</v>
      </c>
      <c r="AC147">
        <v>88523.204049000022</v>
      </c>
      <c r="AE147">
        <v>88523.204049000022</v>
      </c>
      <c r="AG147">
        <v>88523.204049000022</v>
      </c>
      <c r="AI147">
        <v>88523.204049000022</v>
      </c>
      <c r="AJ147">
        <v>885.23204049000037</v>
      </c>
      <c r="AK147">
        <v>89408.436089490016</v>
      </c>
      <c r="AL147">
        <v>4470.4218044745012</v>
      </c>
      <c r="AM147">
        <v>93878.857893964523</v>
      </c>
      <c r="AO147">
        <v>93878.857893964523</v>
      </c>
      <c r="AP147">
        <v>1877.5771578792903</v>
      </c>
      <c r="AQ147">
        <v>95756.435051843815</v>
      </c>
      <c r="AS147">
        <v>95756.435051843815</v>
      </c>
      <c r="AT147">
        <v>1915.128701036876</v>
      </c>
      <c r="AU147">
        <v>97671.563752880698</v>
      </c>
      <c r="AW147">
        <v>97671.563752880698</v>
      </c>
      <c r="AY147">
        <v>97671.563752880698</v>
      </c>
      <c r="BA147">
        <v>97671.563752880698</v>
      </c>
      <c r="BC147">
        <v>97671.563752880698</v>
      </c>
      <c r="BE147">
        <v>97671.563752880698</v>
      </c>
      <c r="BF147">
        <v>1465.0734562932105</v>
      </c>
      <c r="BG147">
        <v>99136.637209173903</v>
      </c>
      <c r="BI147">
        <v>99136.637209173903</v>
      </c>
      <c r="BJ147">
        <v>3965.4654883669568</v>
      </c>
      <c r="BK147">
        <v>103102.10269754086</v>
      </c>
      <c r="BL147">
        <v>6186.1261618524513</v>
      </c>
      <c r="BM147">
        <v>109288.2288593933</v>
      </c>
      <c r="BN147">
        <v>14207.46975172113</v>
      </c>
      <c r="BO147">
        <v>123495.69861111444</v>
      </c>
      <c r="BP147">
        <v>35</v>
      </c>
      <c r="BQ147">
        <v>123530.69861111444</v>
      </c>
      <c r="BS147">
        <v>123530.69861111444</v>
      </c>
      <c r="BT147" s="238">
        <v>123530.7</v>
      </c>
      <c r="BU147" s="238">
        <v>7387200</v>
      </c>
      <c r="BX147" s="238">
        <v>0</v>
      </c>
      <c r="BY147" s="238">
        <v>123531.77257525086</v>
      </c>
      <c r="BZ147" s="238">
        <v>7387200</v>
      </c>
      <c r="CA147" s="238" t="s">
        <v>36</v>
      </c>
      <c r="CC147">
        <v>123531.77257525086</v>
      </c>
      <c r="CD147" s="238">
        <v>0</v>
      </c>
      <c r="CE147" s="238">
        <v>7387200</v>
      </c>
      <c r="CH147" s="238" t="s">
        <v>3</v>
      </c>
      <c r="CI147" s="238" t="s">
        <v>3</v>
      </c>
      <c r="CJ147" t="s">
        <v>8951</v>
      </c>
      <c r="CK147" t="s">
        <v>1167</v>
      </c>
      <c r="CL147" t="s">
        <v>8961</v>
      </c>
      <c r="CM147" t="s">
        <v>8971</v>
      </c>
      <c r="CN147" s="238" t="b">
        <v>1</v>
      </c>
      <c r="CO147" t="s">
        <v>5435</v>
      </c>
      <c r="CQ147" t="s">
        <v>6652</v>
      </c>
      <c r="CR147" t="s">
        <v>3124</v>
      </c>
      <c r="CS147" t="s">
        <v>36</v>
      </c>
      <c r="CT147" t="b">
        <v>1</v>
      </c>
      <c r="CU147">
        <v>7387200</v>
      </c>
      <c r="CV147">
        <v>7387200</v>
      </c>
      <c r="CW147">
        <v>0</v>
      </c>
      <c r="CX147">
        <v>0</v>
      </c>
      <c r="CY147">
        <v>0</v>
      </c>
      <c r="CZ147" t="b">
        <v>1</v>
      </c>
      <c r="DA147" t="s">
        <v>4246</v>
      </c>
      <c r="DB147" t="s">
        <v>1167</v>
      </c>
      <c r="DC147">
        <v>-6.9744271006311198E-3</v>
      </c>
      <c r="DD147">
        <v>-861.56334243782976</v>
      </c>
      <c r="DE147" s="420" t="str" cm="1">
        <f t="array" ref="DE14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48" spans="1:109" hidden="1" x14ac:dyDescent="0.25">
      <c r="A148" s="238">
        <v>147</v>
      </c>
      <c r="B148" s="238" t="s">
        <v>5</v>
      </c>
      <c r="C148" s="238">
        <v>6</v>
      </c>
      <c r="D148" s="238">
        <v>2</v>
      </c>
      <c r="E148" s="238">
        <v>0</v>
      </c>
      <c r="F148" s="238">
        <v>7.13</v>
      </c>
      <c r="G148" s="238"/>
      <c r="H148" s="238"/>
      <c r="I148">
        <v>7.13</v>
      </c>
      <c r="J148" s="238">
        <v>5.12</v>
      </c>
      <c r="K148" s="238">
        <v>3.65</v>
      </c>
      <c r="L148" s="238"/>
      <c r="M148" s="238"/>
      <c r="N148" s="238">
        <v>6.92</v>
      </c>
      <c r="O148" s="238">
        <v>2.91</v>
      </c>
      <c r="P148" s="238"/>
      <c r="R148" s="238">
        <v>2.91</v>
      </c>
      <c r="S148">
        <v>25.73</v>
      </c>
      <c r="T148">
        <v>22.82</v>
      </c>
      <c r="U148" s="238">
        <v>24.28</v>
      </c>
      <c r="V148">
        <v>24.2</v>
      </c>
      <c r="W148" s="238">
        <v>91981.574999999997</v>
      </c>
      <c r="Y148">
        <v>91981.574999999997</v>
      </c>
      <c r="AA148">
        <v>91981.574999999997</v>
      </c>
      <c r="AC148">
        <v>91981.574999999997</v>
      </c>
      <c r="AE148">
        <v>91981.574999999997</v>
      </c>
      <c r="AG148">
        <v>91981.574999999997</v>
      </c>
      <c r="AI148">
        <v>91981.574999999997</v>
      </c>
      <c r="AK148">
        <v>91981.574999999997</v>
      </c>
      <c r="AM148">
        <v>91981.574999999997</v>
      </c>
      <c r="AO148">
        <v>91981.574999999997</v>
      </c>
      <c r="AQ148">
        <v>91981.574999999997</v>
      </c>
      <c r="AS148">
        <v>91981.574999999997</v>
      </c>
      <c r="AU148">
        <v>91981.574999999997</v>
      </c>
      <c r="AW148">
        <v>91981.574999999997</v>
      </c>
      <c r="AY148">
        <v>91981.574999999997</v>
      </c>
      <c r="BA148">
        <v>91981.574999999997</v>
      </c>
      <c r="BC148">
        <v>91981.574999999997</v>
      </c>
      <c r="BE148">
        <v>91981.574999999997</v>
      </c>
      <c r="BG148">
        <v>91981.574999999997</v>
      </c>
      <c r="BI148">
        <v>91981.574999999997</v>
      </c>
      <c r="BK148">
        <v>91981.574999999997</v>
      </c>
      <c r="BM148">
        <v>91981.574999999997</v>
      </c>
      <c r="BO148">
        <v>91981.574999999997</v>
      </c>
      <c r="BQ148">
        <v>91981.574999999997</v>
      </c>
      <c r="BS148">
        <v>91981.574999999997</v>
      </c>
      <c r="BT148" s="238">
        <v>91981.58</v>
      </c>
      <c r="BU148" s="238">
        <v>2233312.7599999998</v>
      </c>
      <c r="BX148" s="238">
        <v>0</v>
      </c>
      <c r="BY148" s="238">
        <v>91981.579901153207</v>
      </c>
      <c r="BZ148" s="238">
        <v>2233312.7599999998</v>
      </c>
      <c r="CA148" s="238" t="s">
        <v>37</v>
      </c>
      <c r="CB148">
        <v>4500</v>
      </c>
      <c r="CC148">
        <v>96481.579901153207</v>
      </c>
      <c r="CD148" s="238">
        <v>109260</v>
      </c>
      <c r="CE148" s="238">
        <v>2342572.7599999998</v>
      </c>
      <c r="CH148" s="238" t="s">
        <v>39</v>
      </c>
      <c r="CI148" s="238" t="s">
        <v>39</v>
      </c>
      <c r="CJ148" t="s">
        <v>8950</v>
      </c>
      <c r="CK148" t="s">
        <v>1167</v>
      </c>
      <c r="CL148" t="s">
        <v>8961</v>
      </c>
      <c r="CM148" t="s">
        <v>8970</v>
      </c>
      <c r="CN148" s="238" t="b">
        <v>1</v>
      </c>
      <c r="CO148" t="s">
        <v>5436</v>
      </c>
      <c r="CQ148" t="s">
        <v>4895</v>
      </c>
      <c r="CR148" t="s">
        <v>3246</v>
      </c>
      <c r="CS148" t="s">
        <v>37</v>
      </c>
      <c r="CT148" t="b">
        <v>1</v>
      </c>
      <c r="CU148">
        <v>2233312.7599999998</v>
      </c>
      <c r="CV148" t="s">
        <v>9002</v>
      </c>
      <c r="CW148">
        <v>2233313</v>
      </c>
      <c r="CX148">
        <v>2233313</v>
      </c>
      <c r="CY148">
        <v>0</v>
      </c>
      <c r="CZ148" t="b">
        <v>1</v>
      </c>
      <c r="DA148">
        <v>45187</v>
      </c>
      <c r="DB148" t="s">
        <v>4177</v>
      </c>
      <c r="DC148">
        <v>-3.2948929159802853E-3</v>
      </c>
      <c r="DD148">
        <v>-303.06945601698425</v>
      </c>
      <c r="DE148" s="420" cm="1">
        <f t="array" ref="DE148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149" spans="1:109" hidden="1" x14ac:dyDescent="0.25">
      <c r="A149" s="238">
        <v>148</v>
      </c>
      <c r="B149" s="238" t="s">
        <v>5</v>
      </c>
      <c r="C149" s="238">
        <v>6</v>
      </c>
      <c r="D149" s="238">
        <v>3</v>
      </c>
      <c r="E149" s="238">
        <v>2</v>
      </c>
      <c r="F149" s="238">
        <v>14.6</v>
      </c>
      <c r="G149" s="238">
        <v>13.12</v>
      </c>
      <c r="H149" s="238"/>
      <c r="I149">
        <v>27.72</v>
      </c>
      <c r="J149" s="238">
        <v>14.35</v>
      </c>
      <c r="K149" s="238">
        <v>3.68</v>
      </c>
      <c r="L149" s="238">
        <v>2.57</v>
      </c>
      <c r="M149" s="238"/>
      <c r="N149" s="238">
        <v>7.95</v>
      </c>
      <c r="O149" s="238">
        <v>2.65</v>
      </c>
      <c r="P149" s="238"/>
      <c r="R149" s="238">
        <v>2.65</v>
      </c>
      <c r="S149">
        <v>58.92</v>
      </c>
      <c r="T149">
        <v>56.27</v>
      </c>
      <c r="U149" s="238">
        <v>57.6</v>
      </c>
      <c r="V149">
        <v>57.55</v>
      </c>
      <c r="W149" s="238">
        <v>80307.864000000001</v>
      </c>
      <c r="X149">
        <v>4015.3932</v>
      </c>
      <c r="Y149">
        <v>84323.257199999993</v>
      </c>
      <c r="Z149">
        <v>2529.6977160000001</v>
      </c>
      <c r="AA149">
        <v>86852.954916000002</v>
      </c>
      <c r="AC149">
        <v>86852.954916000002</v>
      </c>
      <c r="AE149">
        <v>86852.954916000002</v>
      </c>
      <c r="AG149">
        <v>86852.954916000002</v>
      </c>
      <c r="AI149">
        <v>86852.954916000002</v>
      </c>
      <c r="AJ149">
        <v>868.52954915999999</v>
      </c>
      <c r="AK149">
        <v>87721.48446516</v>
      </c>
      <c r="AL149">
        <v>4386.0742232580005</v>
      </c>
      <c r="AM149">
        <v>92107.558688417994</v>
      </c>
      <c r="AO149">
        <v>92107.558688417994</v>
      </c>
      <c r="AP149">
        <v>1842.15117376836</v>
      </c>
      <c r="AQ149">
        <v>93949.709862186355</v>
      </c>
      <c r="AS149">
        <v>93949.709862186355</v>
      </c>
      <c r="AT149">
        <v>1878.9941972437273</v>
      </c>
      <c r="AU149">
        <v>95828.704059430078</v>
      </c>
      <c r="AW149">
        <v>95828.704059430078</v>
      </c>
      <c r="AX149">
        <v>958.28704059430083</v>
      </c>
      <c r="AY149">
        <v>96786.991100024374</v>
      </c>
      <c r="BA149">
        <v>96786.991100024374</v>
      </c>
      <c r="BC149">
        <v>96786.991100024374</v>
      </c>
      <c r="BE149">
        <v>96786.991100024374</v>
      </c>
      <c r="BF149">
        <v>2419.6747775006093</v>
      </c>
      <c r="BG149">
        <v>99206.665877524982</v>
      </c>
      <c r="BI149">
        <v>99206.665877524982</v>
      </c>
      <c r="BK149">
        <v>99206.665877524982</v>
      </c>
      <c r="BM149">
        <v>99206.665877524982</v>
      </c>
      <c r="BO149">
        <v>99206.665877524982</v>
      </c>
      <c r="BQ149">
        <v>99206.665877524982</v>
      </c>
      <c r="BS149">
        <v>99206.665877524982</v>
      </c>
      <c r="BT149" s="238">
        <v>99206.67</v>
      </c>
      <c r="BU149" s="238">
        <v>5714400</v>
      </c>
      <c r="BW149">
        <v>0.03</v>
      </c>
      <c r="BX149" s="238">
        <v>171432</v>
      </c>
      <c r="BY149" s="238">
        <v>96232.083333333328</v>
      </c>
      <c r="BZ149" s="238">
        <v>5542968</v>
      </c>
      <c r="CA149" s="238" t="s">
        <v>6871</v>
      </c>
      <c r="CB149">
        <v>7000</v>
      </c>
      <c r="CC149">
        <v>103232.08333333331</v>
      </c>
      <c r="CD149" s="238">
        <v>403200</v>
      </c>
      <c r="CE149" s="238">
        <v>5946168</v>
      </c>
      <c r="CF149" t="s">
        <v>4633</v>
      </c>
      <c r="CG149" t="s">
        <v>7810</v>
      </c>
      <c r="CH149" s="238" t="s">
        <v>39</v>
      </c>
      <c r="CI149" s="238" t="s">
        <v>39</v>
      </c>
      <c r="CJ149" t="s">
        <v>8950</v>
      </c>
      <c r="CK149" t="s">
        <v>1167</v>
      </c>
      <c r="CL149" t="s">
        <v>8961</v>
      </c>
      <c r="CM149" t="s">
        <v>8971</v>
      </c>
      <c r="CN149" s="238" t="b">
        <v>1</v>
      </c>
      <c r="CO149" t="s">
        <v>5437</v>
      </c>
      <c r="CQ149" t="s">
        <v>6652</v>
      </c>
      <c r="CR149" t="s">
        <v>3246</v>
      </c>
      <c r="CS149" t="s">
        <v>6871</v>
      </c>
      <c r="CT149" t="b">
        <v>1</v>
      </c>
      <c r="CU149">
        <v>5714400</v>
      </c>
      <c r="CV149" t="s">
        <v>9002</v>
      </c>
      <c r="CW149">
        <v>0</v>
      </c>
      <c r="CX149">
        <v>5714400</v>
      </c>
      <c r="CY149">
        <v>0</v>
      </c>
      <c r="CZ149" t="b">
        <v>1</v>
      </c>
      <c r="DA149">
        <v>45555</v>
      </c>
      <c r="DB149" t="s">
        <v>4177</v>
      </c>
      <c r="DC149">
        <v>-8.6805555555558012E-4</v>
      </c>
      <c r="DD149">
        <v>-83.534794560187549</v>
      </c>
      <c r="DE149" s="420" cm="1">
        <f t="array" ref="DE149">_xlfn.XLOOKUP("Дом 5"&amp;Реестр_Д5[[#This Row],[№]]&amp;Реестр_Д5[[#This Row],[Статус]],РД[Дом]&amp;РД[№ кв]&amp;РД[Состояние],РД[Дата подачи на регистрацию],"-",0)</f>
        <v>45555</v>
      </c>
    </row>
    <row r="150" spans="1:109" hidden="1" x14ac:dyDescent="0.25">
      <c r="A150" s="238">
        <v>149</v>
      </c>
      <c r="B150" s="238" t="s">
        <v>5</v>
      </c>
      <c r="C150" s="238">
        <v>6</v>
      </c>
      <c r="D150" s="238">
        <v>4</v>
      </c>
      <c r="E150" s="238">
        <v>2</v>
      </c>
      <c r="F150" s="238">
        <v>15.45</v>
      </c>
      <c r="G150" s="238">
        <v>14.5</v>
      </c>
      <c r="H150" s="238"/>
      <c r="I150">
        <v>29.95</v>
      </c>
      <c r="J150" s="238">
        <v>11.95</v>
      </c>
      <c r="K150" s="238">
        <v>3.86</v>
      </c>
      <c r="L150" s="238">
        <v>2.37</v>
      </c>
      <c r="M150" s="238"/>
      <c r="N150" s="238">
        <v>8.8699999999999992</v>
      </c>
      <c r="O150" s="238">
        <v>2.62</v>
      </c>
      <c r="P150" s="238"/>
      <c r="R150" s="238">
        <v>2.62</v>
      </c>
      <c r="S150">
        <v>59.62</v>
      </c>
      <c r="T150">
        <v>57</v>
      </c>
      <c r="U150" s="238">
        <v>58.31</v>
      </c>
      <c r="V150">
        <v>58.3</v>
      </c>
      <c r="W150" s="238">
        <v>81466.150500000003</v>
      </c>
      <c r="X150">
        <v>4073.3075250000002</v>
      </c>
      <c r="Y150">
        <v>85539.458025</v>
      </c>
      <c r="Z150">
        <v>2566.1837407499997</v>
      </c>
      <c r="AA150">
        <v>88105.641765749999</v>
      </c>
      <c r="AC150">
        <v>88105.641765749999</v>
      </c>
      <c r="AE150">
        <v>88105.641765749999</v>
      </c>
      <c r="AG150">
        <v>88105.641765749999</v>
      </c>
      <c r="AI150">
        <v>88105.641765749999</v>
      </c>
      <c r="AJ150">
        <v>881.05641765749999</v>
      </c>
      <c r="AK150">
        <v>88986.698183407498</v>
      </c>
      <c r="AL150">
        <v>4449.3349091703749</v>
      </c>
      <c r="AM150">
        <v>93436.033092577869</v>
      </c>
      <c r="AO150">
        <v>93436.033092577869</v>
      </c>
      <c r="AP150">
        <v>1868.7206618515577</v>
      </c>
      <c r="AQ150">
        <v>95304.753754429446</v>
      </c>
      <c r="AS150">
        <v>95304.753754429446</v>
      </c>
      <c r="AT150">
        <v>1906.0950750885888</v>
      </c>
      <c r="AU150">
        <v>97210.848829518014</v>
      </c>
      <c r="AW150">
        <v>97210.848829518014</v>
      </c>
      <c r="AY150">
        <v>97210.848829518014</v>
      </c>
      <c r="AZ150">
        <v>972.10848829518011</v>
      </c>
      <c r="BA150">
        <v>98182.957317813198</v>
      </c>
      <c r="BC150">
        <v>98182.957317813198</v>
      </c>
      <c r="BE150">
        <v>98182.957317813198</v>
      </c>
      <c r="BF150">
        <v>2454.5739329453299</v>
      </c>
      <c r="BG150">
        <v>100637.53125075852</v>
      </c>
      <c r="BH150">
        <v>500</v>
      </c>
      <c r="BI150">
        <v>101137.53125075852</v>
      </c>
      <c r="BJ150">
        <v>4045.5012500303415</v>
      </c>
      <c r="BK150">
        <v>105183.03250078888</v>
      </c>
      <c r="BL150">
        <v>6310.9819500473322</v>
      </c>
      <c r="BM150">
        <v>111494.0144508362</v>
      </c>
      <c r="BN150">
        <v>14494.221878608709</v>
      </c>
      <c r="BO150">
        <v>125988.23632944492</v>
      </c>
      <c r="BP150">
        <v>35</v>
      </c>
      <c r="BQ150">
        <v>126023.23632944492</v>
      </c>
      <c r="BS150">
        <v>126023.23632944492</v>
      </c>
      <c r="BT150" s="238">
        <v>126023.24</v>
      </c>
      <c r="BU150" s="238">
        <v>7348500</v>
      </c>
      <c r="BV150">
        <v>548500</v>
      </c>
      <c r="BX150" s="238">
        <v>548500</v>
      </c>
      <c r="BY150" s="238">
        <v>116618.07580174926</v>
      </c>
      <c r="BZ150" s="238">
        <v>6800000</v>
      </c>
      <c r="CA150" s="238" t="s">
        <v>36</v>
      </c>
      <c r="CC150">
        <v>116618.07580174926</v>
      </c>
      <c r="CD150" s="238">
        <v>0</v>
      </c>
      <c r="CE150" s="238">
        <v>6800000</v>
      </c>
      <c r="CG150" t="s">
        <v>321</v>
      </c>
      <c r="CH150" s="238" t="s">
        <v>39</v>
      </c>
      <c r="CI150" s="238" t="s">
        <v>39</v>
      </c>
      <c r="CJ150" t="s">
        <v>8950</v>
      </c>
      <c r="CK150" t="s">
        <v>1167</v>
      </c>
      <c r="CL150" t="s">
        <v>8961</v>
      </c>
      <c r="CM150" t="s">
        <v>8974</v>
      </c>
      <c r="CN150" s="238" t="b">
        <v>1</v>
      </c>
      <c r="CO150" t="s">
        <v>5438</v>
      </c>
      <c r="CQ150" t="s">
        <v>6652</v>
      </c>
      <c r="CR150" t="s">
        <v>3246</v>
      </c>
      <c r="CS150" t="s">
        <v>36</v>
      </c>
      <c r="CT150" t="b">
        <v>1</v>
      </c>
      <c r="CU150">
        <v>7348500</v>
      </c>
      <c r="CV150" t="s">
        <v>9002</v>
      </c>
      <c r="CW150">
        <v>0</v>
      </c>
      <c r="CX150">
        <v>7348500</v>
      </c>
      <c r="CY150">
        <v>0</v>
      </c>
      <c r="CZ150" t="b">
        <v>1</v>
      </c>
      <c r="DA150">
        <v>45835</v>
      </c>
      <c r="DB150" t="s">
        <v>8380</v>
      </c>
      <c r="DC150">
        <v>-1.7149717029674161E-4</v>
      </c>
      <c r="DD150">
        <v>-19.999670005450916</v>
      </c>
      <c r="DE150" s="420" cm="1">
        <f t="array" ref="DE150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151" spans="1:109" hidden="1" x14ac:dyDescent="0.25">
      <c r="A151" s="238">
        <v>150</v>
      </c>
      <c r="B151" s="238" t="s">
        <v>5</v>
      </c>
      <c r="C151" s="238">
        <v>6</v>
      </c>
      <c r="D151" s="238">
        <v>5</v>
      </c>
      <c r="E151" s="238">
        <v>1</v>
      </c>
      <c r="F151" s="238">
        <v>12.06</v>
      </c>
      <c r="G151" s="238"/>
      <c r="H151" s="238"/>
      <c r="I151">
        <v>12.06</v>
      </c>
      <c r="J151" s="238">
        <v>13.18</v>
      </c>
      <c r="K151" s="238">
        <v>4.1100000000000003</v>
      </c>
      <c r="L151" s="238"/>
      <c r="M151" s="238"/>
      <c r="N151" s="238">
        <v>7.09</v>
      </c>
      <c r="O151" s="238">
        <v>2.84</v>
      </c>
      <c r="P151" s="238"/>
      <c r="R151" s="238">
        <v>2.84</v>
      </c>
      <c r="S151">
        <v>39.28</v>
      </c>
      <c r="T151">
        <v>36.44</v>
      </c>
      <c r="U151" s="238">
        <v>37.86</v>
      </c>
      <c r="V151">
        <v>37.650000000000006</v>
      </c>
      <c r="W151" s="238">
        <v>89223.75</v>
      </c>
      <c r="X151">
        <v>4461.1875</v>
      </c>
      <c r="Y151">
        <v>93684.9375</v>
      </c>
      <c r="Z151">
        <v>2810.5481249999998</v>
      </c>
      <c r="AA151">
        <v>96495.485625000001</v>
      </c>
      <c r="AB151">
        <v>4342.2968531249999</v>
      </c>
      <c r="AC151">
        <v>100837.78247812499</v>
      </c>
      <c r="AE151">
        <v>100837.78247812499</v>
      </c>
      <c r="AF151">
        <v>5041.8891239062505</v>
      </c>
      <c r="AG151">
        <v>105879.67160203125</v>
      </c>
      <c r="AI151">
        <v>105879.67160203125</v>
      </c>
      <c r="AJ151">
        <v>1058.7967160203125</v>
      </c>
      <c r="AK151">
        <v>106938.46831805156</v>
      </c>
      <c r="AL151">
        <v>5346.9234159025782</v>
      </c>
      <c r="AM151">
        <v>112285.39173395414</v>
      </c>
      <c r="AO151">
        <v>112285.39173395414</v>
      </c>
      <c r="AP151">
        <v>3368.5617520186238</v>
      </c>
      <c r="AQ151">
        <v>115653.95348597276</v>
      </c>
      <c r="AS151">
        <v>115653.95348597276</v>
      </c>
      <c r="AU151">
        <v>115653.95348597276</v>
      </c>
      <c r="AW151">
        <v>115653.95348597276</v>
      </c>
      <c r="AY151">
        <v>115653.95348597276</v>
      </c>
      <c r="AZ151">
        <v>1156.5395348597276</v>
      </c>
      <c r="BA151">
        <v>116810.49302083248</v>
      </c>
      <c r="BC151">
        <v>116810.49302083248</v>
      </c>
      <c r="BE151">
        <v>116810.49302083248</v>
      </c>
      <c r="BG151">
        <v>116810.49302083248</v>
      </c>
      <c r="BI151">
        <v>116810.49302083248</v>
      </c>
      <c r="BK151">
        <v>116810.49302083248</v>
      </c>
      <c r="BM151">
        <v>116810.49302083248</v>
      </c>
      <c r="BO151">
        <v>116810.49302083248</v>
      </c>
      <c r="BQ151">
        <v>116810.49302083248</v>
      </c>
      <c r="BS151">
        <v>116810.49302083248</v>
      </c>
      <c r="BT151" s="238">
        <v>116810.49</v>
      </c>
      <c r="BU151" s="238">
        <v>4422500</v>
      </c>
      <c r="BX151" s="238">
        <v>0</v>
      </c>
      <c r="BY151" s="238">
        <v>116811.93872160593</v>
      </c>
      <c r="BZ151" s="238">
        <v>4422500</v>
      </c>
      <c r="CA151" s="238" t="s">
        <v>36</v>
      </c>
      <c r="CC151">
        <v>116811.93872160593</v>
      </c>
      <c r="CD151" s="238">
        <v>0</v>
      </c>
      <c r="CE151" s="238">
        <v>4422500</v>
      </c>
      <c r="CH151" s="238" t="s">
        <v>39</v>
      </c>
      <c r="CI151" s="238" t="s">
        <v>39</v>
      </c>
      <c r="CJ151" t="s">
        <v>8950</v>
      </c>
      <c r="CK151" t="s">
        <v>1167</v>
      </c>
      <c r="CL151" t="s">
        <v>8961</v>
      </c>
      <c r="CM151" t="s">
        <v>8973</v>
      </c>
      <c r="CN151" s="238" t="b">
        <v>1</v>
      </c>
      <c r="CO151" t="s">
        <v>5439</v>
      </c>
      <c r="CQ151" t="s">
        <v>6652</v>
      </c>
      <c r="CR151" t="s">
        <v>3246</v>
      </c>
      <c r="CS151" t="s">
        <v>36</v>
      </c>
      <c r="CT151" t="b">
        <v>1</v>
      </c>
      <c r="CU151">
        <v>4422500</v>
      </c>
      <c r="CV151" t="s">
        <v>9002</v>
      </c>
      <c r="CW151">
        <v>0</v>
      </c>
      <c r="CX151">
        <v>4422500</v>
      </c>
      <c r="CY151">
        <v>0</v>
      </c>
      <c r="CZ151" t="b">
        <v>1</v>
      </c>
      <c r="DA151">
        <v>45454</v>
      </c>
      <c r="DB151" t="s">
        <v>4177</v>
      </c>
      <c r="DC151">
        <v>-5.5467511885893828E-3</v>
      </c>
      <c r="DD151">
        <v>-647.92675994549768</v>
      </c>
      <c r="DE151" s="420" cm="1">
        <f t="array" ref="DE151">_xlfn.XLOOKUP("Дом 5"&amp;Реестр_Д5[[#This Row],[№]]&amp;Реестр_Д5[[#This Row],[Статус]],РД[Дом]&amp;РД[№ кв]&amp;РД[Состояние],РД[Дата подачи на регистрацию],"-",0)</f>
        <v>45454</v>
      </c>
    </row>
    <row r="152" spans="1:109" hidden="1" x14ac:dyDescent="0.25">
      <c r="A152" s="238">
        <v>151</v>
      </c>
      <c r="B152" s="238" t="s">
        <v>5</v>
      </c>
      <c r="C152" s="238">
        <v>6</v>
      </c>
      <c r="D152" s="238">
        <v>6</v>
      </c>
      <c r="E152" s="238">
        <v>3</v>
      </c>
      <c r="F152" s="238">
        <v>17.89</v>
      </c>
      <c r="G152" s="238">
        <v>17.2</v>
      </c>
      <c r="H152" s="238">
        <v>14.31</v>
      </c>
      <c r="I152">
        <v>49.400000000000006</v>
      </c>
      <c r="J152" s="238">
        <v>13.39</v>
      </c>
      <c r="K152" s="238">
        <v>4.2</v>
      </c>
      <c r="L152" s="238">
        <v>2.0499999999999998</v>
      </c>
      <c r="M152" s="238"/>
      <c r="N152" s="238">
        <v>13.21</v>
      </c>
      <c r="O152" s="238">
        <v>2.79</v>
      </c>
      <c r="P152" s="238">
        <v>2.68</v>
      </c>
      <c r="R152" s="238">
        <v>5.4700000000000006</v>
      </c>
      <c r="S152">
        <v>87.72</v>
      </c>
      <c r="T152">
        <v>82.25</v>
      </c>
      <c r="U152" s="238">
        <v>84.99</v>
      </c>
      <c r="V152">
        <v>84.5</v>
      </c>
      <c r="W152" s="238">
        <v>73520.37000000001</v>
      </c>
      <c r="X152">
        <v>3676.0185000000006</v>
      </c>
      <c r="Y152">
        <v>77196.388500000015</v>
      </c>
      <c r="Z152">
        <v>2315.8916550000004</v>
      </c>
      <c r="AA152">
        <v>79512.280155000015</v>
      </c>
      <c r="AC152">
        <v>79512.280155000015</v>
      </c>
      <c r="AE152">
        <v>79512.280155000015</v>
      </c>
      <c r="AG152">
        <v>79512.280155000015</v>
      </c>
      <c r="AI152">
        <v>79512.280155000015</v>
      </c>
      <c r="AJ152">
        <v>795.12280155000019</v>
      </c>
      <c r="AK152">
        <v>80307.40295655001</v>
      </c>
      <c r="AL152">
        <v>4015.3701478275007</v>
      </c>
      <c r="AM152">
        <v>84322.773104377513</v>
      </c>
      <c r="AO152">
        <v>84322.773104377513</v>
      </c>
      <c r="AQ152">
        <v>84322.773104377513</v>
      </c>
      <c r="AS152">
        <v>84322.773104377513</v>
      </c>
      <c r="AU152">
        <v>84322.773104377513</v>
      </c>
      <c r="AW152">
        <v>84322.773104377513</v>
      </c>
      <c r="AY152">
        <v>84322.773104377513</v>
      </c>
      <c r="BA152">
        <v>84322.773104377513</v>
      </c>
      <c r="BC152">
        <v>84322.773104377513</v>
      </c>
      <c r="BE152">
        <v>84322.773104377513</v>
      </c>
      <c r="BG152">
        <v>84322.773104377513</v>
      </c>
      <c r="BI152">
        <v>84322.773104377513</v>
      </c>
      <c r="BK152">
        <v>84322.773104377513</v>
      </c>
      <c r="BM152">
        <v>84322.773104377513</v>
      </c>
      <c r="BO152">
        <v>84322.773104377513</v>
      </c>
      <c r="BQ152">
        <v>84322.773104377513</v>
      </c>
      <c r="BS152">
        <v>84322.773104377513</v>
      </c>
      <c r="BT152" s="238">
        <v>84322.77</v>
      </c>
      <c r="BU152" s="238">
        <v>7166600</v>
      </c>
      <c r="BW152">
        <v>0.04</v>
      </c>
      <c r="BX152" s="238">
        <v>286664</v>
      </c>
      <c r="BY152" s="238">
        <v>80949.947052594434</v>
      </c>
      <c r="BZ152" s="238">
        <v>6879936</v>
      </c>
      <c r="CA152" s="238" t="s">
        <v>6871</v>
      </c>
      <c r="CB152">
        <v>7000</v>
      </c>
      <c r="CC152">
        <v>87949.947052594434</v>
      </c>
      <c r="CD152" s="238">
        <v>594930.00000000093</v>
      </c>
      <c r="CE152" s="238">
        <v>7474866.0000000019</v>
      </c>
      <c r="CG152" t="s">
        <v>978</v>
      </c>
      <c r="CH152" s="238" t="s">
        <v>39</v>
      </c>
      <c r="CI152" s="238" t="s">
        <v>39</v>
      </c>
      <c r="CJ152" t="s">
        <v>8950</v>
      </c>
      <c r="CK152" t="s">
        <v>1167</v>
      </c>
      <c r="CL152" t="s">
        <v>8961</v>
      </c>
      <c r="CM152" t="s">
        <v>8975</v>
      </c>
      <c r="CN152" s="238" t="b">
        <v>1</v>
      </c>
      <c r="CO152" t="s">
        <v>5440</v>
      </c>
      <c r="CQ152" t="s">
        <v>6652</v>
      </c>
      <c r="CR152" t="s">
        <v>3246</v>
      </c>
      <c r="CS152" t="s">
        <v>6871</v>
      </c>
      <c r="CT152" t="b">
        <v>1</v>
      </c>
      <c r="CU152">
        <v>7166600</v>
      </c>
      <c r="CV152" t="s">
        <v>9002</v>
      </c>
      <c r="CW152">
        <v>0</v>
      </c>
      <c r="CX152">
        <v>7166600</v>
      </c>
      <c r="CY152">
        <v>0</v>
      </c>
      <c r="CZ152" t="b">
        <v>1</v>
      </c>
      <c r="DA152">
        <v>45315</v>
      </c>
      <c r="DB152" t="s">
        <v>126</v>
      </c>
      <c r="DC152">
        <v>-5.7653841628426683E-3</v>
      </c>
      <c r="DD152">
        <v>-466.70754271998049</v>
      </c>
      <c r="DE152" s="420" cm="1">
        <f t="array" ref="DE152">_xlfn.XLOOKUP("Дом 5"&amp;Реестр_Д5[[#This Row],[№]]&amp;Реестр_Д5[[#This Row],[Статус]],РД[Дом]&amp;РД[№ кв]&amp;РД[Состояние],РД[Дата подачи на регистрацию],"-",0)</f>
        <v>45315</v>
      </c>
    </row>
    <row r="153" spans="1:109" hidden="1" x14ac:dyDescent="0.25">
      <c r="A153" s="238">
        <v>152</v>
      </c>
      <c r="B153" s="238" t="s">
        <v>5</v>
      </c>
      <c r="C153" s="238">
        <v>6</v>
      </c>
      <c r="D153" s="238">
        <v>7</v>
      </c>
      <c r="E153" s="238">
        <v>1</v>
      </c>
      <c r="F153" s="238">
        <v>17.89</v>
      </c>
      <c r="G153" s="238"/>
      <c r="H153" s="238"/>
      <c r="I153">
        <v>17.89</v>
      </c>
      <c r="J153" s="238">
        <v>13.04</v>
      </c>
      <c r="K153" s="238">
        <v>3.9</v>
      </c>
      <c r="L153" s="238"/>
      <c r="M153" s="238"/>
      <c r="N153" s="238">
        <v>6.12</v>
      </c>
      <c r="O153" s="238">
        <v>2.65</v>
      </c>
      <c r="P153" s="238"/>
      <c r="R153" s="238">
        <v>2.65</v>
      </c>
      <c r="S153">
        <v>43.6</v>
      </c>
      <c r="T153">
        <v>40.950000000000003</v>
      </c>
      <c r="U153" s="238">
        <v>42.28</v>
      </c>
      <c r="V153">
        <v>42.2</v>
      </c>
      <c r="W153" s="238">
        <v>85573.6875</v>
      </c>
      <c r="X153">
        <v>4278.6843749999998</v>
      </c>
      <c r="Y153">
        <v>89852.371874999997</v>
      </c>
      <c r="Z153">
        <v>2695.5711562499996</v>
      </c>
      <c r="AA153">
        <v>92547.943031250004</v>
      </c>
      <c r="AB153">
        <v>2776.4382909374995</v>
      </c>
      <c r="AC153">
        <v>95324.381322187488</v>
      </c>
      <c r="AE153">
        <v>95324.381322187488</v>
      </c>
      <c r="AG153">
        <v>95324.381322187488</v>
      </c>
      <c r="AI153">
        <v>95324.381322187488</v>
      </c>
      <c r="AK153">
        <v>95324.381322187488</v>
      </c>
      <c r="AM153">
        <v>95324.381322187488</v>
      </c>
      <c r="AO153">
        <v>95324.381322187488</v>
      </c>
      <c r="AQ153">
        <v>95324.381322187488</v>
      </c>
      <c r="AS153">
        <v>95324.381322187488</v>
      </c>
      <c r="AU153">
        <v>95324.381322187488</v>
      </c>
      <c r="AW153">
        <v>95324.381322187488</v>
      </c>
      <c r="AY153">
        <v>95324.381322187488</v>
      </c>
      <c r="BA153">
        <v>95324.381322187488</v>
      </c>
      <c r="BC153">
        <v>95324.381322187488</v>
      </c>
      <c r="BE153">
        <v>95324.381322187488</v>
      </c>
      <c r="BG153">
        <v>95324.381322187488</v>
      </c>
      <c r="BI153">
        <v>95324.381322187488</v>
      </c>
      <c r="BK153">
        <v>95324.381322187488</v>
      </c>
      <c r="BM153">
        <v>95324.381322187488</v>
      </c>
      <c r="BO153">
        <v>95324.381322187488</v>
      </c>
      <c r="BQ153">
        <v>95324.381322187488</v>
      </c>
      <c r="BS153">
        <v>95324.381322187488</v>
      </c>
      <c r="BT153" s="238">
        <v>95324.38</v>
      </c>
      <c r="BU153" s="238">
        <v>4030314.79</v>
      </c>
      <c r="BX153" s="238">
        <v>0</v>
      </c>
      <c r="BY153" s="238">
        <v>95324.380085146637</v>
      </c>
      <c r="BZ153" s="238">
        <v>4030314.79</v>
      </c>
      <c r="CA153" s="238" t="s">
        <v>36</v>
      </c>
      <c r="CC153">
        <v>95324.380085146637</v>
      </c>
      <c r="CD153" s="238">
        <v>0</v>
      </c>
      <c r="CE153" s="238">
        <v>4030314.79</v>
      </c>
      <c r="CH153" s="238" t="s">
        <v>39</v>
      </c>
      <c r="CI153" s="238" t="s">
        <v>39</v>
      </c>
      <c r="CJ153" t="s">
        <v>8950</v>
      </c>
      <c r="CK153" t="s">
        <v>1167</v>
      </c>
      <c r="CL153" t="s">
        <v>8961</v>
      </c>
      <c r="CM153" t="s">
        <v>8973</v>
      </c>
      <c r="CN153" s="238" t="b">
        <v>1</v>
      </c>
      <c r="CO153" t="s">
        <v>5441</v>
      </c>
      <c r="CQ153" t="s">
        <v>4895</v>
      </c>
      <c r="CR153" t="s">
        <v>3246</v>
      </c>
      <c r="CS153" t="s">
        <v>36</v>
      </c>
      <c r="CT153" t="b">
        <v>1</v>
      </c>
      <c r="CU153">
        <v>4030314.79</v>
      </c>
      <c r="CV153" t="s">
        <v>9002</v>
      </c>
      <c r="CW153">
        <v>0</v>
      </c>
      <c r="CX153">
        <v>4030315</v>
      </c>
      <c r="CY153">
        <v>0</v>
      </c>
      <c r="CZ153" t="b">
        <v>1</v>
      </c>
      <c r="DA153">
        <v>45199</v>
      </c>
      <c r="DB153" t="s">
        <v>126</v>
      </c>
      <c r="DC153">
        <v>-1.8921475875119944E-3</v>
      </c>
      <c r="DD153">
        <v>-180.36779580918659</v>
      </c>
      <c r="DE153" s="420" cm="1">
        <f t="array" ref="DE153">_xlfn.XLOOKUP("Дом 5"&amp;Реестр_Д5[[#This Row],[№]]&amp;Реестр_Д5[[#This Row],[Статус]],РД[Дом]&amp;РД[№ кв]&amp;РД[Состояние],РД[Дата подачи на регистрацию],"-",0)</f>
        <v>45199</v>
      </c>
    </row>
    <row r="154" spans="1:109" hidden="1" x14ac:dyDescent="0.25">
      <c r="A154" s="238">
        <v>153</v>
      </c>
      <c r="B154" s="238" t="s">
        <v>5</v>
      </c>
      <c r="C154" s="238">
        <v>7</v>
      </c>
      <c r="D154" s="238">
        <v>1</v>
      </c>
      <c r="E154" s="238">
        <v>2</v>
      </c>
      <c r="F154" s="238">
        <v>15.91</v>
      </c>
      <c r="G154" s="238">
        <v>12.02</v>
      </c>
      <c r="H154" s="238"/>
      <c r="I154">
        <v>27.93</v>
      </c>
      <c r="J154" s="238">
        <v>15.31</v>
      </c>
      <c r="K154" s="238">
        <v>3.85</v>
      </c>
      <c r="L154" s="238">
        <v>2.2999999999999998</v>
      </c>
      <c r="M154" s="238"/>
      <c r="N154" s="238">
        <v>9.4499999999999993</v>
      </c>
      <c r="O154" s="238">
        <v>2.75</v>
      </c>
      <c r="P154" s="238"/>
      <c r="R154" s="238">
        <v>2.75</v>
      </c>
      <c r="S154">
        <v>61.59</v>
      </c>
      <c r="T154">
        <v>58.84</v>
      </c>
      <c r="U154" s="238">
        <v>60.22</v>
      </c>
      <c r="V154">
        <v>60.099999999999987</v>
      </c>
      <c r="W154" s="238">
        <v>80307.864000000001</v>
      </c>
      <c r="X154">
        <v>4015.3932</v>
      </c>
      <c r="Y154">
        <v>84323.257199999993</v>
      </c>
      <c r="Z154">
        <v>2529.6977160000001</v>
      </c>
      <c r="AA154">
        <v>86852.954916000002</v>
      </c>
      <c r="AC154">
        <v>86852.954916000002</v>
      </c>
      <c r="AE154">
        <v>86852.954916000002</v>
      </c>
      <c r="AG154">
        <v>86852.954916000002</v>
      </c>
      <c r="AI154">
        <v>86852.954916000002</v>
      </c>
      <c r="AJ154">
        <v>868.52954915999999</v>
      </c>
      <c r="AK154">
        <v>87721.48446516</v>
      </c>
      <c r="AL154">
        <v>4386.0742232580005</v>
      </c>
      <c r="AM154">
        <v>92107.558688417994</v>
      </c>
      <c r="AO154">
        <v>92107.558688417994</v>
      </c>
      <c r="AQ154">
        <v>92107.558688417994</v>
      </c>
      <c r="AS154">
        <v>92107.558688417994</v>
      </c>
      <c r="AU154">
        <v>92107.558688417994</v>
      </c>
      <c r="AW154">
        <v>92107.558688417994</v>
      </c>
      <c r="AY154">
        <v>92107.558688417994</v>
      </c>
      <c r="BA154">
        <v>92107.558688417994</v>
      </c>
      <c r="BC154">
        <v>92107.558688417994</v>
      </c>
      <c r="BE154">
        <v>92107.558688417994</v>
      </c>
      <c r="BG154">
        <v>92107.558688417994</v>
      </c>
      <c r="BI154">
        <v>92107.558688417994</v>
      </c>
      <c r="BK154">
        <v>92107.558688417994</v>
      </c>
      <c r="BM154">
        <v>92107.558688417994</v>
      </c>
      <c r="BO154">
        <v>92107.558688417994</v>
      </c>
      <c r="BQ154">
        <v>92107.558688417994</v>
      </c>
      <c r="BS154">
        <v>92107.558688417994</v>
      </c>
      <c r="BT154" s="238">
        <v>92107.56</v>
      </c>
      <c r="BU154" s="238">
        <v>5546800</v>
      </c>
      <c r="BW154">
        <v>0.03</v>
      </c>
      <c r="BX154" s="238">
        <v>166404</v>
      </c>
      <c r="BY154" s="238">
        <v>89345.665891730343</v>
      </c>
      <c r="BZ154" s="238">
        <v>5380396</v>
      </c>
      <c r="CA154" s="238" t="s">
        <v>38</v>
      </c>
      <c r="CB154">
        <v>20000</v>
      </c>
      <c r="CC154">
        <v>109345.66589173031</v>
      </c>
      <c r="CD154" s="238">
        <v>1204400</v>
      </c>
      <c r="CE154" s="238">
        <v>6584796</v>
      </c>
      <c r="CG154" t="s">
        <v>978</v>
      </c>
      <c r="CH154" s="238" t="s">
        <v>39</v>
      </c>
      <c r="CI154" s="238" t="s">
        <v>39</v>
      </c>
      <c r="CJ154" t="s">
        <v>8950</v>
      </c>
      <c r="CK154" t="s">
        <v>1167</v>
      </c>
      <c r="CL154" t="s">
        <v>8961</v>
      </c>
      <c r="CM154" t="s">
        <v>8971</v>
      </c>
      <c r="CN154" s="238" t="b">
        <v>1</v>
      </c>
      <c r="CO154" t="s">
        <v>5442</v>
      </c>
      <c r="CQ154" t="s">
        <v>6652</v>
      </c>
      <c r="CR154" t="s">
        <v>3246</v>
      </c>
      <c r="CS154" t="s">
        <v>38</v>
      </c>
      <c r="CT154" t="b">
        <v>1</v>
      </c>
      <c r="CU154">
        <v>5546800</v>
      </c>
      <c r="CV154" t="s">
        <v>9002</v>
      </c>
      <c r="CW154">
        <v>0</v>
      </c>
      <c r="CX154">
        <v>5546800</v>
      </c>
      <c r="CY154">
        <v>0</v>
      </c>
      <c r="CZ154" t="b">
        <v>1</v>
      </c>
      <c r="DA154">
        <v>45351</v>
      </c>
      <c r="DB154" t="s">
        <v>4177</v>
      </c>
      <c r="DC154">
        <v>-1.9926934573233357E-3</v>
      </c>
      <c r="DD154">
        <v>-178.03852386264774</v>
      </c>
      <c r="DE154" s="420" cm="1">
        <f t="array" ref="DE154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155" spans="1:109" hidden="1" x14ac:dyDescent="0.25">
      <c r="A155" s="238">
        <v>154</v>
      </c>
      <c r="B155" s="238" t="s">
        <v>5</v>
      </c>
      <c r="C155" s="238">
        <v>7</v>
      </c>
      <c r="D155" s="238">
        <v>2</v>
      </c>
      <c r="E155" s="238">
        <v>0</v>
      </c>
      <c r="F155" s="238">
        <v>7.13</v>
      </c>
      <c r="G155" s="238"/>
      <c r="H155" s="238"/>
      <c r="I155">
        <v>7.13</v>
      </c>
      <c r="J155" s="238">
        <v>5.12</v>
      </c>
      <c r="K155" s="238">
        <v>3.65</v>
      </c>
      <c r="L155" s="238"/>
      <c r="M155" s="238"/>
      <c r="N155" s="238">
        <v>6.92</v>
      </c>
      <c r="O155" s="238">
        <v>2.91</v>
      </c>
      <c r="P155" s="238"/>
      <c r="R155" s="238">
        <v>2.91</v>
      </c>
      <c r="S155">
        <v>25.73</v>
      </c>
      <c r="T155">
        <v>22.82</v>
      </c>
      <c r="U155" s="238">
        <v>24.28</v>
      </c>
      <c r="V155">
        <v>24.3</v>
      </c>
      <c r="W155" s="238">
        <v>90229.544999999998</v>
      </c>
      <c r="X155">
        <v>4511.4772499999999</v>
      </c>
      <c r="Y155">
        <v>94741.022249999995</v>
      </c>
      <c r="Z155">
        <v>2842.2306674999995</v>
      </c>
      <c r="AA155">
        <v>97583.252917499995</v>
      </c>
      <c r="AB155">
        <v>14637.487937624999</v>
      </c>
      <c r="AC155">
        <v>112220.740855125</v>
      </c>
      <c r="AE155">
        <v>112220.740855125</v>
      </c>
      <c r="AG155">
        <v>112220.740855125</v>
      </c>
      <c r="AI155">
        <v>112220.740855125</v>
      </c>
      <c r="AK155">
        <v>112220.740855125</v>
      </c>
      <c r="AM155">
        <v>112220.740855125</v>
      </c>
      <c r="AO155">
        <v>112220.740855125</v>
      </c>
      <c r="AQ155">
        <v>112220.740855125</v>
      </c>
      <c r="AS155">
        <v>112220.740855125</v>
      </c>
      <c r="AU155">
        <v>112220.740855125</v>
      </c>
      <c r="AW155">
        <v>112220.740855125</v>
      </c>
      <c r="AY155">
        <v>112220.740855125</v>
      </c>
      <c r="BA155">
        <v>112220.740855125</v>
      </c>
      <c r="BC155">
        <v>112220.740855125</v>
      </c>
      <c r="BE155">
        <v>112220.740855125</v>
      </c>
      <c r="BG155">
        <v>112220.740855125</v>
      </c>
      <c r="BI155">
        <v>112220.740855125</v>
      </c>
      <c r="BK155">
        <v>112220.740855125</v>
      </c>
      <c r="BM155">
        <v>112220.740855125</v>
      </c>
      <c r="BO155">
        <v>112220.740855125</v>
      </c>
      <c r="BQ155">
        <v>112220.740855125</v>
      </c>
      <c r="BS155">
        <v>112220.740855125</v>
      </c>
      <c r="BT155" s="238">
        <v>112220.74</v>
      </c>
      <c r="BU155" s="238">
        <v>2724719.57</v>
      </c>
      <c r="BW155">
        <v>0.03</v>
      </c>
      <c r="BX155" s="238">
        <v>81741.58709999999</v>
      </c>
      <c r="BY155" s="238">
        <v>108854.11779242172</v>
      </c>
      <c r="BZ155" s="238">
        <v>2642977.98</v>
      </c>
      <c r="CA155" s="238" t="s">
        <v>36</v>
      </c>
      <c r="CC155">
        <v>108854.11779242172</v>
      </c>
      <c r="CD155" s="238">
        <v>0</v>
      </c>
      <c r="CE155" s="238">
        <v>2642977.98</v>
      </c>
      <c r="CG155" t="s">
        <v>4784</v>
      </c>
      <c r="CH155" s="238" t="s">
        <v>39</v>
      </c>
      <c r="CI155" s="238" t="s">
        <v>39</v>
      </c>
      <c r="CJ155" t="s">
        <v>8950</v>
      </c>
      <c r="CK155" t="s">
        <v>1167</v>
      </c>
      <c r="CL155" t="s">
        <v>8961</v>
      </c>
      <c r="CM155" t="s">
        <v>8970</v>
      </c>
      <c r="CN155" s="238" t="b">
        <v>1</v>
      </c>
      <c r="CO155" t="s">
        <v>5443</v>
      </c>
      <c r="CQ155" t="s">
        <v>4895</v>
      </c>
      <c r="CR155" t="s">
        <v>3246</v>
      </c>
      <c r="CS155" t="s">
        <v>36</v>
      </c>
      <c r="CT155" t="b">
        <v>1</v>
      </c>
      <c r="CU155">
        <v>2724719.57</v>
      </c>
      <c r="CV155" t="s">
        <v>9002</v>
      </c>
      <c r="CW155">
        <v>0</v>
      </c>
      <c r="CX155">
        <v>2724720</v>
      </c>
      <c r="CY155">
        <v>0</v>
      </c>
      <c r="CZ155" t="b">
        <v>1</v>
      </c>
      <c r="DA155">
        <v>45230</v>
      </c>
      <c r="DB155" t="s">
        <v>982</v>
      </c>
      <c r="DC155">
        <v>8.2372322899493245E-4</v>
      </c>
      <c r="DD155">
        <v>89.665665397368372</v>
      </c>
      <c r="DE155" s="420" cm="1">
        <f t="array" ref="DE155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156" spans="1:109" hidden="1" x14ac:dyDescent="0.25">
      <c r="A156" s="238">
        <v>155</v>
      </c>
      <c r="B156" s="238" t="s">
        <v>5</v>
      </c>
      <c r="C156" s="238">
        <v>7</v>
      </c>
      <c r="D156" s="238">
        <v>3</v>
      </c>
      <c r="E156" s="238">
        <v>2</v>
      </c>
      <c r="F156" s="238">
        <v>14.6</v>
      </c>
      <c r="G156" s="238">
        <v>13.12</v>
      </c>
      <c r="H156" s="238"/>
      <c r="I156">
        <v>27.72</v>
      </c>
      <c r="J156" s="238">
        <v>14.35</v>
      </c>
      <c r="K156" s="238">
        <v>3.68</v>
      </c>
      <c r="L156" s="238">
        <v>2.57</v>
      </c>
      <c r="M156" s="238"/>
      <c r="N156" s="238">
        <v>7.95</v>
      </c>
      <c r="O156" s="238">
        <v>2.65</v>
      </c>
      <c r="P156" s="238"/>
      <c r="R156" s="238">
        <v>2.65</v>
      </c>
      <c r="S156">
        <v>58.92</v>
      </c>
      <c r="T156">
        <v>56.27</v>
      </c>
      <c r="U156" s="238">
        <v>57.6</v>
      </c>
      <c r="V156">
        <v>57.85</v>
      </c>
      <c r="W156" s="238">
        <v>78763.482000000004</v>
      </c>
      <c r="X156">
        <v>3938.1741000000002</v>
      </c>
      <c r="Y156">
        <v>82701.656099999993</v>
      </c>
      <c r="Z156">
        <v>2481.0496830000002</v>
      </c>
      <c r="AA156">
        <v>85182.705783000012</v>
      </c>
      <c r="AC156">
        <v>85182.705783000012</v>
      </c>
      <c r="AE156">
        <v>85182.705783000012</v>
      </c>
      <c r="AG156">
        <v>85182.705783000012</v>
      </c>
      <c r="AI156">
        <v>85182.705783000012</v>
      </c>
      <c r="AK156">
        <v>85182.705783000012</v>
      </c>
      <c r="AM156">
        <v>85182.705783000012</v>
      </c>
      <c r="AO156">
        <v>85182.705783000012</v>
      </c>
      <c r="AQ156">
        <v>85182.705783000012</v>
      </c>
      <c r="AS156">
        <v>85182.705783000012</v>
      </c>
      <c r="AU156">
        <v>85182.705783000012</v>
      </c>
      <c r="AW156">
        <v>85182.705783000012</v>
      </c>
      <c r="AY156">
        <v>85182.705783000012</v>
      </c>
      <c r="BA156">
        <v>85182.705783000012</v>
      </c>
      <c r="BC156">
        <v>85182.705783000012</v>
      </c>
      <c r="BE156">
        <v>85182.705783000012</v>
      </c>
      <c r="BG156">
        <v>85182.705783000012</v>
      </c>
      <c r="BI156">
        <v>85182.705783000012</v>
      </c>
      <c r="BK156">
        <v>85182.705783000012</v>
      </c>
      <c r="BM156">
        <v>85182.705783000012</v>
      </c>
      <c r="BO156">
        <v>85182.705783000012</v>
      </c>
      <c r="BQ156">
        <v>85182.705783000012</v>
      </c>
      <c r="BS156">
        <v>85182.705783000012</v>
      </c>
      <c r="BT156" s="238">
        <v>85182.71</v>
      </c>
      <c r="BU156" s="238">
        <v>4906524.0999999996</v>
      </c>
      <c r="BV156">
        <v>120000</v>
      </c>
      <c r="BX156" s="238">
        <v>120000</v>
      </c>
      <c r="BY156" s="238">
        <v>83099.376736111109</v>
      </c>
      <c r="BZ156" s="238">
        <v>4786524.0999999996</v>
      </c>
      <c r="CA156" s="238" t="s">
        <v>36</v>
      </c>
      <c r="CC156">
        <v>83099.376736111109</v>
      </c>
      <c r="CD156" s="238">
        <v>0</v>
      </c>
      <c r="CE156" s="238">
        <v>4786524.0999999996</v>
      </c>
      <c r="CF156" t="s">
        <v>4633</v>
      </c>
      <c r="CG156" t="s">
        <v>3515</v>
      </c>
      <c r="CH156" s="238" t="s">
        <v>39</v>
      </c>
      <c r="CI156" s="238" t="s">
        <v>39</v>
      </c>
      <c r="CJ156" t="s">
        <v>8950</v>
      </c>
      <c r="CK156" t="s">
        <v>1167</v>
      </c>
      <c r="CL156" t="s">
        <v>8961</v>
      </c>
      <c r="CM156" t="s">
        <v>8971</v>
      </c>
      <c r="CN156" s="238" t="b">
        <v>1</v>
      </c>
      <c r="CO156" t="s">
        <v>5444</v>
      </c>
      <c r="CQ156" t="s">
        <v>4895</v>
      </c>
      <c r="CR156" t="s">
        <v>3246</v>
      </c>
      <c r="CS156" t="s">
        <v>36</v>
      </c>
      <c r="CT156" t="b">
        <v>1</v>
      </c>
      <c r="CU156">
        <v>4906524.0999999996</v>
      </c>
      <c r="CV156" t="s">
        <v>9002</v>
      </c>
      <c r="CW156">
        <v>0</v>
      </c>
      <c r="CX156">
        <v>4906524</v>
      </c>
      <c r="CY156">
        <v>0</v>
      </c>
      <c r="CZ156" t="b">
        <v>1</v>
      </c>
      <c r="DA156">
        <v>45184</v>
      </c>
      <c r="DB156" t="s">
        <v>4177</v>
      </c>
      <c r="DC156">
        <v>4.3402777777776791E-3</v>
      </c>
      <c r="DD156">
        <v>360.67437819491857</v>
      </c>
      <c r="DE156" s="420" cm="1">
        <f t="array" ref="DE156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157" spans="1:109" hidden="1" x14ac:dyDescent="0.25">
      <c r="A157" s="238">
        <v>156</v>
      </c>
      <c r="B157" s="238" t="s">
        <v>5</v>
      </c>
      <c r="C157" s="238">
        <v>7</v>
      </c>
      <c r="D157" s="238">
        <v>4</v>
      </c>
      <c r="E157" s="238">
        <v>2</v>
      </c>
      <c r="F157" s="238">
        <v>15.45</v>
      </c>
      <c r="G157" s="238">
        <v>14.5</v>
      </c>
      <c r="H157" s="238"/>
      <c r="I157">
        <v>29.95</v>
      </c>
      <c r="J157" s="238">
        <v>11.95</v>
      </c>
      <c r="K157" s="238">
        <v>3.86</v>
      </c>
      <c r="L157" s="238">
        <v>2.37</v>
      </c>
      <c r="M157" s="238"/>
      <c r="N157" s="238">
        <v>8.8699999999999992</v>
      </c>
      <c r="O157" s="238">
        <v>2.62</v>
      </c>
      <c r="P157" s="238"/>
      <c r="R157" s="238">
        <v>2.62</v>
      </c>
      <c r="S157">
        <v>59.62</v>
      </c>
      <c r="T157">
        <v>57</v>
      </c>
      <c r="U157" s="238">
        <v>58.31</v>
      </c>
      <c r="V157">
        <v>58.2</v>
      </c>
      <c r="W157" s="238">
        <v>79921.768500000006</v>
      </c>
      <c r="X157">
        <v>3996.0884249999999</v>
      </c>
      <c r="Y157">
        <v>83917.856925</v>
      </c>
      <c r="Z157">
        <v>2517.5357077499998</v>
      </c>
      <c r="AA157">
        <v>86435.392632749994</v>
      </c>
      <c r="AC157">
        <v>86435.392632749994</v>
      </c>
      <c r="AE157">
        <v>86435.392632749994</v>
      </c>
      <c r="AG157">
        <v>86435.392632749994</v>
      </c>
      <c r="AI157">
        <v>86435.392632749994</v>
      </c>
      <c r="AJ157">
        <v>864.35392632749995</v>
      </c>
      <c r="AK157">
        <v>87299.746559077481</v>
      </c>
      <c r="AL157">
        <v>4364.9873279538751</v>
      </c>
      <c r="AM157">
        <v>91664.733887031369</v>
      </c>
      <c r="AO157">
        <v>91664.733887031369</v>
      </c>
      <c r="AP157">
        <v>1833.2946777406271</v>
      </c>
      <c r="AQ157">
        <v>93498.028564772001</v>
      </c>
      <c r="AS157">
        <v>93498.028564772001</v>
      </c>
      <c r="AT157">
        <v>1869.9605712954401</v>
      </c>
      <c r="AU157">
        <v>95367.989136067437</v>
      </c>
      <c r="AW157">
        <v>95367.989136067437</v>
      </c>
      <c r="AY157">
        <v>95367.989136067437</v>
      </c>
      <c r="BA157">
        <v>95367.989136067437</v>
      </c>
      <c r="BC157">
        <v>95367.989136067437</v>
      </c>
      <c r="BE157">
        <v>95367.989136067437</v>
      </c>
      <c r="BG157">
        <v>95367.989136067437</v>
      </c>
      <c r="BI157">
        <v>95367.989136067437</v>
      </c>
      <c r="BK157">
        <v>95367.989136067437</v>
      </c>
      <c r="BM157">
        <v>95367.989136067437</v>
      </c>
      <c r="BO157">
        <v>95367.989136067437</v>
      </c>
      <c r="BQ157">
        <v>95367.989136067437</v>
      </c>
      <c r="BS157">
        <v>95367.989136067437</v>
      </c>
      <c r="BT157" s="238">
        <v>95367.99</v>
      </c>
      <c r="BU157" s="238">
        <v>5561000</v>
      </c>
      <c r="BV157">
        <v>178888</v>
      </c>
      <c r="BX157" s="238">
        <v>178888</v>
      </c>
      <c r="BY157" s="238">
        <v>92301.697821985916</v>
      </c>
      <c r="BZ157" s="238">
        <v>5382112</v>
      </c>
      <c r="CA157" s="238" t="s">
        <v>36</v>
      </c>
      <c r="CC157">
        <v>92301.697821985916</v>
      </c>
      <c r="CD157" s="238">
        <v>0</v>
      </c>
      <c r="CE157" s="238">
        <v>5382112</v>
      </c>
      <c r="CG157" t="s">
        <v>321</v>
      </c>
      <c r="CH157" s="238" t="s">
        <v>39</v>
      </c>
      <c r="CI157" s="238" t="s">
        <v>39</v>
      </c>
      <c r="CJ157" t="s">
        <v>8950</v>
      </c>
      <c r="CK157" t="s">
        <v>1167</v>
      </c>
      <c r="CL157" t="s">
        <v>8961</v>
      </c>
      <c r="CM157" t="s">
        <v>8974</v>
      </c>
      <c r="CN157" s="238" t="b">
        <v>1</v>
      </c>
      <c r="CO157" t="s">
        <v>5445</v>
      </c>
      <c r="CQ157" t="s">
        <v>6652</v>
      </c>
      <c r="CR157" t="s">
        <v>3246</v>
      </c>
      <c r="CS157" t="s">
        <v>36</v>
      </c>
      <c r="CT157" t="b">
        <v>1</v>
      </c>
      <c r="CU157">
        <v>5561000</v>
      </c>
      <c r="CV157" t="s">
        <v>9002</v>
      </c>
      <c r="CW157">
        <v>0</v>
      </c>
      <c r="CX157">
        <v>5561000</v>
      </c>
      <c r="CY157">
        <v>0</v>
      </c>
      <c r="CZ157" t="b">
        <v>1</v>
      </c>
      <c r="DA157">
        <v>45401</v>
      </c>
      <c r="DB157" t="s">
        <v>126</v>
      </c>
      <c r="DC157">
        <v>-1.8864688732637136E-3</v>
      </c>
      <c r="DD157">
        <v>-174.12427989056957</v>
      </c>
      <c r="DE157" s="420" cm="1">
        <f t="array" ref="DE157">_xlfn.XLOOKUP("Дом 5"&amp;Реестр_Д5[[#This Row],[№]]&amp;Реестр_Д5[[#This Row],[Статус]],РД[Дом]&amp;РД[№ кв]&amp;РД[Состояние],РД[Дата подачи на регистрацию],"-",0)</f>
        <v>45401</v>
      </c>
    </row>
    <row r="158" spans="1:109" hidden="1" x14ac:dyDescent="0.25">
      <c r="A158" s="238">
        <v>157</v>
      </c>
      <c r="B158" s="238" t="s">
        <v>5</v>
      </c>
      <c r="C158" s="238">
        <v>7</v>
      </c>
      <c r="D158" s="238">
        <v>5</v>
      </c>
      <c r="E158" s="238">
        <v>1</v>
      </c>
      <c r="F158" s="238">
        <v>12.06</v>
      </c>
      <c r="G158" s="238"/>
      <c r="H158" s="238"/>
      <c r="I158">
        <v>12.06</v>
      </c>
      <c r="J158" s="238">
        <v>13.18</v>
      </c>
      <c r="K158" s="238">
        <v>4.1100000000000003</v>
      </c>
      <c r="L158" s="238"/>
      <c r="M158" s="238"/>
      <c r="N158" s="238">
        <v>7.09</v>
      </c>
      <c r="O158" s="238">
        <v>2.84</v>
      </c>
      <c r="P158" s="238"/>
      <c r="R158" s="238">
        <v>2.84</v>
      </c>
      <c r="S158">
        <v>39.28</v>
      </c>
      <c r="T158">
        <v>36.44</v>
      </c>
      <c r="U158" s="238">
        <v>37.86</v>
      </c>
      <c r="V158">
        <v>37.549999999999997</v>
      </c>
      <c r="W158" s="238">
        <v>87601.5</v>
      </c>
      <c r="Y158">
        <v>87601.5</v>
      </c>
      <c r="AA158">
        <v>87601.5</v>
      </c>
      <c r="AC158">
        <v>87601.5</v>
      </c>
      <c r="AE158">
        <v>87601.5</v>
      </c>
      <c r="AG158">
        <v>87601.5</v>
      </c>
      <c r="AI158">
        <v>87601.5</v>
      </c>
      <c r="AK158">
        <v>87601.5</v>
      </c>
      <c r="AM158">
        <v>87601.5</v>
      </c>
      <c r="AO158">
        <v>87601.5</v>
      </c>
      <c r="AQ158">
        <v>87601.5</v>
      </c>
      <c r="AS158">
        <v>87601.5</v>
      </c>
      <c r="AU158">
        <v>87601.5</v>
      </c>
      <c r="AW158">
        <v>87601.5</v>
      </c>
      <c r="AY158">
        <v>87601.5</v>
      </c>
      <c r="BA158">
        <v>87601.5</v>
      </c>
      <c r="BC158">
        <v>87601.5</v>
      </c>
      <c r="BE158">
        <v>87601.5</v>
      </c>
      <c r="BG158">
        <v>87601.5</v>
      </c>
      <c r="BI158">
        <v>87601.5</v>
      </c>
      <c r="BK158">
        <v>87601.5</v>
      </c>
      <c r="BM158">
        <v>87601.5</v>
      </c>
      <c r="BO158">
        <v>87601.5</v>
      </c>
      <c r="BQ158">
        <v>87601.5</v>
      </c>
      <c r="BS158">
        <v>87601.5</v>
      </c>
      <c r="BT158" s="238">
        <v>87601.5</v>
      </c>
      <c r="BU158" s="238">
        <v>3316592.79</v>
      </c>
      <c r="BW158">
        <v>0.06</v>
      </c>
      <c r="BX158" s="238">
        <v>198995.5674</v>
      </c>
      <c r="BY158" s="238">
        <v>82345.40993132595</v>
      </c>
      <c r="BZ158" s="238">
        <v>3117597.22</v>
      </c>
      <c r="CA158" s="238" t="s">
        <v>36</v>
      </c>
      <c r="CC158">
        <v>82345.40993132595</v>
      </c>
      <c r="CD158" s="238">
        <v>0</v>
      </c>
      <c r="CE158" s="238">
        <v>3117597.22</v>
      </c>
      <c r="CG158" t="s">
        <v>978</v>
      </c>
      <c r="CH158" s="238" t="s">
        <v>39</v>
      </c>
      <c r="CI158" s="238" t="s">
        <v>39</v>
      </c>
      <c r="CJ158" t="s">
        <v>8950</v>
      </c>
      <c r="CK158" t="s">
        <v>1167</v>
      </c>
      <c r="CL158" t="s">
        <v>8961</v>
      </c>
      <c r="CM158" t="s">
        <v>8973</v>
      </c>
      <c r="CN158" s="238" t="b">
        <v>1</v>
      </c>
      <c r="CO158" t="s">
        <v>5446</v>
      </c>
      <c r="CQ158" t="s">
        <v>4895</v>
      </c>
      <c r="CR158" t="s">
        <v>3246</v>
      </c>
      <c r="CS158" t="s">
        <v>36</v>
      </c>
      <c r="CT158" t="b">
        <v>1</v>
      </c>
      <c r="CU158">
        <v>3316592.79</v>
      </c>
      <c r="CV158" t="s">
        <v>9002</v>
      </c>
      <c r="CW158">
        <v>3316593</v>
      </c>
      <c r="CX158">
        <v>3316593</v>
      </c>
      <c r="CY158">
        <v>0</v>
      </c>
      <c r="CZ158" t="b">
        <v>1</v>
      </c>
      <c r="DA158">
        <v>45188</v>
      </c>
      <c r="DB158" t="s">
        <v>399</v>
      </c>
      <c r="DC158">
        <v>-8.1880612783939988E-3</v>
      </c>
      <c r="DD158">
        <v>-674.24926251217062</v>
      </c>
      <c r="DE158" s="420" cm="1">
        <f t="array" ref="DE15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59" spans="1:109" x14ac:dyDescent="0.25">
      <c r="A159" s="238">
        <v>158</v>
      </c>
      <c r="B159" s="238" t="s">
        <v>5</v>
      </c>
      <c r="C159" s="238">
        <v>7</v>
      </c>
      <c r="D159" s="238">
        <v>6</v>
      </c>
      <c r="E159" s="238">
        <v>3</v>
      </c>
      <c r="F159" s="238">
        <v>17.89</v>
      </c>
      <c r="G159" s="238">
        <v>17.2</v>
      </c>
      <c r="H159" s="238">
        <v>14.31</v>
      </c>
      <c r="I159">
        <v>49.400000000000006</v>
      </c>
      <c r="J159" s="238">
        <v>13.39</v>
      </c>
      <c r="K159" s="238">
        <v>4.2</v>
      </c>
      <c r="L159" s="238">
        <v>2.0499999999999998</v>
      </c>
      <c r="M159" s="238"/>
      <c r="N159" s="238">
        <v>13.21</v>
      </c>
      <c r="O159" s="238">
        <v>2.79</v>
      </c>
      <c r="P159" s="238">
        <v>2.68</v>
      </c>
      <c r="R159" s="238">
        <v>5.4700000000000006</v>
      </c>
      <c r="S159">
        <v>87.72</v>
      </c>
      <c r="T159">
        <v>82.25</v>
      </c>
      <c r="U159" s="238">
        <v>84.99</v>
      </c>
      <c r="V159">
        <v>84.55</v>
      </c>
      <c r="W159" s="238">
        <v>72092.789999999994</v>
      </c>
      <c r="X159">
        <v>3604.6395000000007</v>
      </c>
      <c r="Y159">
        <v>75697.429500000013</v>
      </c>
      <c r="Z159">
        <v>2270.9228850000004</v>
      </c>
      <c r="AA159">
        <v>77968.35238500002</v>
      </c>
      <c r="AC159">
        <v>77968.35238500002</v>
      </c>
      <c r="AE159">
        <v>77968.35238500002</v>
      </c>
      <c r="AG159">
        <v>77968.35238500002</v>
      </c>
      <c r="AI159">
        <v>77968.35238500002</v>
      </c>
      <c r="AJ159">
        <v>779.68352385000037</v>
      </c>
      <c r="AK159">
        <v>78748.035908850026</v>
      </c>
      <c r="AL159">
        <v>3937.4017954425017</v>
      </c>
      <c r="AM159">
        <v>82685.437704292533</v>
      </c>
      <c r="AO159">
        <v>82685.437704292533</v>
      </c>
      <c r="AP159">
        <v>1653.7087540858506</v>
      </c>
      <c r="AQ159">
        <v>84339.146458378382</v>
      </c>
      <c r="AS159">
        <v>84339.146458378382</v>
      </c>
      <c r="AT159">
        <v>1686.7829291675678</v>
      </c>
      <c r="AU159">
        <v>86025.929387545955</v>
      </c>
      <c r="AW159">
        <v>86025.929387545955</v>
      </c>
      <c r="AX159">
        <v>860.25929387545955</v>
      </c>
      <c r="AY159">
        <v>86886.188681421409</v>
      </c>
      <c r="BA159">
        <v>86886.188681421409</v>
      </c>
      <c r="BC159">
        <v>86886.188681421409</v>
      </c>
      <c r="BD159">
        <v>1737.7237736284285</v>
      </c>
      <c r="BE159">
        <v>88623.912455049838</v>
      </c>
      <c r="BF159">
        <v>1329.3586868257476</v>
      </c>
      <c r="BG159">
        <v>89953.271141875579</v>
      </c>
      <c r="BI159">
        <v>89953.271141875579</v>
      </c>
      <c r="BJ159">
        <v>3598.130845675023</v>
      </c>
      <c r="BK159">
        <v>93551.401987550606</v>
      </c>
      <c r="BL159">
        <v>4677.5700993775308</v>
      </c>
      <c r="BM159">
        <v>98228.972086928115</v>
      </c>
      <c r="BN159">
        <v>12769.766371300657</v>
      </c>
      <c r="BO159">
        <v>110998.73845822881</v>
      </c>
      <c r="BP159">
        <v>35</v>
      </c>
      <c r="BQ159">
        <v>111033.73845822881</v>
      </c>
      <c r="BS159">
        <v>111033.73845822881</v>
      </c>
      <c r="BT159" s="238">
        <v>111033.74</v>
      </c>
      <c r="BU159" s="238">
        <v>9388000</v>
      </c>
      <c r="BX159" s="238">
        <v>0</v>
      </c>
      <c r="BY159" s="238">
        <v>111034.89059727972</v>
      </c>
      <c r="BZ159" s="238">
        <v>9388000</v>
      </c>
      <c r="CA159" s="238" t="s">
        <v>6871</v>
      </c>
      <c r="CB159">
        <v>10000</v>
      </c>
      <c r="CC159">
        <v>121034.89059727972</v>
      </c>
      <c r="CD159" s="238">
        <v>845500</v>
      </c>
      <c r="CE159" s="238">
        <v>10233500</v>
      </c>
      <c r="CH159" s="238" t="s">
        <v>3</v>
      </c>
      <c r="CI159" s="238" t="s">
        <v>3</v>
      </c>
      <c r="CJ159" t="s">
        <v>8951</v>
      </c>
      <c r="CK159" t="s">
        <v>1167</v>
      </c>
      <c r="CL159" t="s">
        <v>8961</v>
      </c>
      <c r="CM159" t="s">
        <v>8975</v>
      </c>
      <c r="CN159" s="238" t="b">
        <v>1</v>
      </c>
      <c r="CO159" t="s">
        <v>5447</v>
      </c>
      <c r="CQ159" t="s">
        <v>6652</v>
      </c>
      <c r="CR159" t="s">
        <v>3124</v>
      </c>
      <c r="CS159" t="s">
        <v>6871</v>
      </c>
      <c r="CT159" t="b">
        <v>1</v>
      </c>
      <c r="CU159">
        <v>9388000</v>
      </c>
      <c r="CV159">
        <v>9388000</v>
      </c>
      <c r="CW159">
        <v>0</v>
      </c>
      <c r="CX159">
        <v>0</v>
      </c>
      <c r="CY159">
        <v>0</v>
      </c>
      <c r="CZ159" t="b">
        <v>1</v>
      </c>
      <c r="DA159" t="s">
        <v>4246</v>
      </c>
      <c r="DB159" t="s">
        <v>1167</v>
      </c>
      <c r="DC159">
        <v>-5.1770796564301058E-3</v>
      </c>
      <c r="DD159">
        <v>-574.83647326511925</v>
      </c>
      <c r="DE159" s="420" t="str" cm="1">
        <f t="array" ref="DE15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60" spans="1:109" hidden="1" x14ac:dyDescent="0.25">
      <c r="A160" s="238">
        <v>159</v>
      </c>
      <c r="B160" s="238" t="s">
        <v>5</v>
      </c>
      <c r="C160" s="238">
        <v>7</v>
      </c>
      <c r="D160" s="238">
        <v>7</v>
      </c>
      <c r="E160" s="238">
        <v>1</v>
      </c>
      <c r="F160" s="238">
        <v>17.89</v>
      </c>
      <c r="G160" s="238"/>
      <c r="H160" s="238"/>
      <c r="I160">
        <v>17.89</v>
      </c>
      <c r="J160" s="238">
        <v>13.04</v>
      </c>
      <c r="K160" s="238">
        <v>3.9</v>
      </c>
      <c r="L160" s="238"/>
      <c r="M160" s="238"/>
      <c r="N160" s="238">
        <v>6.12</v>
      </c>
      <c r="O160" s="238">
        <v>2.65</v>
      </c>
      <c r="P160" s="238"/>
      <c r="R160" s="238">
        <v>2.65</v>
      </c>
      <c r="S160">
        <v>43.6</v>
      </c>
      <c r="T160">
        <v>40.950000000000003</v>
      </c>
      <c r="U160" s="238">
        <v>42.28</v>
      </c>
      <c r="V160">
        <v>42.250000000000007</v>
      </c>
      <c r="W160" s="238">
        <v>83951.4375</v>
      </c>
      <c r="X160">
        <v>4197.5718750000005</v>
      </c>
      <c r="Y160">
        <v>88149.009374999994</v>
      </c>
      <c r="Z160">
        <v>2644.4702812499995</v>
      </c>
      <c r="AA160">
        <v>90793.479656249998</v>
      </c>
      <c r="AB160">
        <v>2723.8043896874997</v>
      </c>
      <c r="AC160">
        <v>93517.2840459375</v>
      </c>
      <c r="AE160">
        <v>93517.2840459375</v>
      </c>
      <c r="AF160">
        <v>4675.8642022968752</v>
      </c>
      <c r="AG160">
        <v>98193.148248234371</v>
      </c>
      <c r="AI160">
        <v>98193.148248234371</v>
      </c>
      <c r="AK160">
        <v>98193.148248234371</v>
      </c>
      <c r="AM160">
        <v>98193.148248234371</v>
      </c>
      <c r="AO160">
        <v>98193.148248234371</v>
      </c>
      <c r="AQ160">
        <v>98193.148248234371</v>
      </c>
      <c r="AS160">
        <v>98193.148248234371</v>
      </c>
      <c r="AU160">
        <v>98193.148248234371</v>
      </c>
      <c r="AW160">
        <v>98193.148248234371</v>
      </c>
      <c r="AY160">
        <v>98193.148248234371</v>
      </c>
      <c r="BA160">
        <v>98193.148248234371</v>
      </c>
      <c r="BC160">
        <v>98193.148248234371</v>
      </c>
      <c r="BE160">
        <v>98193.148248234371</v>
      </c>
      <c r="BG160">
        <v>98193.148248234371</v>
      </c>
      <c r="BI160">
        <v>98193.148248234371</v>
      </c>
      <c r="BK160">
        <v>98193.148248234371</v>
      </c>
      <c r="BM160">
        <v>98193.148248234371</v>
      </c>
      <c r="BO160">
        <v>98193.148248234371</v>
      </c>
      <c r="BQ160">
        <v>98193.148248234371</v>
      </c>
      <c r="BS160">
        <v>98193.148248234371</v>
      </c>
      <c r="BT160" s="238">
        <v>98193.15</v>
      </c>
      <c r="BU160" s="238">
        <v>4151700</v>
      </c>
      <c r="BX160" s="238">
        <v>0</v>
      </c>
      <c r="BY160" s="238">
        <v>98195.364238410591</v>
      </c>
      <c r="BZ160" s="238">
        <v>4151700</v>
      </c>
      <c r="CA160" s="238" t="s">
        <v>37</v>
      </c>
      <c r="CB160">
        <v>7500</v>
      </c>
      <c r="CC160">
        <v>105695.36423841061</v>
      </c>
      <c r="CD160" s="238">
        <v>317100</v>
      </c>
      <c r="CE160" s="238">
        <v>4468800</v>
      </c>
      <c r="CH160" s="238" t="s">
        <v>39</v>
      </c>
      <c r="CI160" s="238" t="s">
        <v>39</v>
      </c>
      <c r="CJ160" t="s">
        <v>8950</v>
      </c>
      <c r="CK160" t="s">
        <v>1167</v>
      </c>
      <c r="CL160" t="s">
        <v>8961</v>
      </c>
      <c r="CM160" t="s">
        <v>8973</v>
      </c>
      <c r="CN160" s="238" t="b">
        <v>1</v>
      </c>
      <c r="CO160" t="s">
        <v>5448</v>
      </c>
      <c r="CQ160" t="s">
        <v>6652</v>
      </c>
      <c r="CR160" t="s">
        <v>3246</v>
      </c>
      <c r="CS160" t="s">
        <v>37</v>
      </c>
      <c r="CT160" t="b">
        <v>1</v>
      </c>
      <c r="CU160">
        <v>4151700</v>
      </c>
      <c r="CV160" t="s">
        <v>9002</v>
      </c>
      <c r="CW160">
        <v>0</v>
      </c>
      <c r="CX160">
        <v>4151700</v>
      </c>
      <c r="CY160">
        <v>0</v>
      </c>
      <c r="CZ160" t="b">
        <v>1</v>
      </c>
      <c r="DA160">
        <v>45279</v>
      </c>
      <c r="DB160" t="s">
        <v>126</v>
      </c>
      <c r="DC160">
        <v>-7.0955534531680353E-4</v>
      </c>
      <c r="DD160">
        <v>-69.675045580694729</v>
      </c>
      <c r="DE160" s="420" cm="1">
        <f t="array" ref="DE160">_xlfn.XLOOKUP("Дом 5"&amp;Реестр_Д5[[#This Row],[№]]&amp;Реестр_Д5[[#This Row],[Статус]],РД[Дом]&amp;РД[№ кв]&amp;РД[Состояние],РД[Дата подачи на регистрацию],"-",0)</f>
        <v>45279</v>
      </c>
    </row>
    <row r="161" spans="1:109" hidden="1" x14ac:dyDescent="0.25">
      <c r="A161" s="238">
        <v>160</v>
      </c>
      <c r="B161" s="238" t="s">
        <v>5</v>
      </c>
      <c r="C161" s="238">
        <v>8</v>
      </c>
      <c r="D161" s="238">
        <v>1</v>
      </c>
      <c r="E161" s="238">
        <v>2</v>
      </c>
      <c r="F161" s="238">
        <v>15.91</v>
      </c>
      <c r="G161" s="238">
        <v>12.02</v>
      </c>
      <c r="H161" s="238"/>
      <c r="I161">
        <v>27.93</v>
      </c>
      <c r="J161" s="238">
        <v>15.31</v>
      </c>
      <c r="K161" s="238">
        <v>3.85</v>
      </c>
      <c r="L161" s="238">
        <v>2.2999999999999998</v>
      </c>
      <c r="M161" s="238"/>
      <c r="N161" s="238">
        <v>9.4499999999999993</v>
      </c>
      <c r="O161" s="238">
        <v>2.75</v>
      </c>
      <c r="P161" s="238"/>
      <c r="R161" s="238">
        <v>2.75</v>
      </c>
      <c r="S161">
        <v>61.59</v>
      </c>
      <c r="T161">
        <v>58.84</v>
      </c>
      <c r="U161" s="238">
        <v>60.22</v>
      </c>
      <c r="V161">
        <v>60.04999999999999</v>
      </c>
      <c r="W161" s="238">
        <v>81852.246000000014</v>
      </c>
      <c r="X161">
        <v>4092.6123000000007</v>
      </c>
      <c r="Y161">
        <v>85944.858300000022</v>
      </c>
      <c r="Z161">
        <v>2578.3457490000005</v>
      </c>
      <c r="AA161">
        <v>88523.204049000022</v>
      </c>
      <c r="AC161">
        <v>88523.204049000022</v>
      </c>
      <c r="AE161">
        <v>88523.204049000022</v>
      </c>
      <c r="AG161">
        <v>88523.204049000022</v>
      </c>
      <c r="AI161">
        <v>88523.204049000022</v>
      </c>
      <c r="AJ161">
        <v>885.23204049000037</v>
      </c>
      <c r="AK161">
        <v>89408.436089490016</v>
      </c>
      <c r="AL161">
        <v>4470.4218044745012</v>
      </c>
      <c r="AM161">
        <v>93878.857893964523</v>
      </c>
      <c r="AO161">
        <v>93878.857893964523</v>
      </c>
      <c r="AP161">
        <v>1877.5771578792903</v>
      </c>
      <c r="AQ161">
        <v>95756.435051843815</v>
      </c>
      <c r="AS161">
        <v>95756.435051843815</v>
      </c>
      <c r="AT161">
        <v>1915.128701036876</v>
      </c>
      <c r="AU161">
        <v>97671.563752880698</v>
      </c>
      <c r="AW161">
        <v>97671.563752880698</v>
      </c>
      <c r="AY161">
        <v>97671.563752880698</v>
      </c>
      <c r="BA161">
        <v>97671.563752880698</v>
      </c>
      <c r="BC161">
        <v>97671.563752880698</v>
      </c>
      <c r="BE161">
        <v>97671.563752880698</v>
      </c>
      <c r="BF161">
        <v>1465.0734562932105</v>
      </c>
      <c r="BG161">
        <v>99136.637209173903</v>
      </c>
      <c r="BI161">
        <v>99136.637209173903</v>
      </c>
      <c r="BK161">
        <v>99136.637209173903</v>
      </c>
      <c r="BM161">
        <v>99136.637209173903</v>
      </c>
      <c r="BO161">
        <v>99136.637209173903</v>
      </c>
      <c r="BQ161">
        <v>99136.637209173903</v>
      </c>
      <c r="BS161">
        <v>99136.637209173903</v>
      </c>
      <c r="BT161" s="238">
        <v>99136.639999999999</v>
      </c>
      <c r="BU161" s="238">
        <v>5970100</v>
      </c>
      <c r="BV161">
        <v>100000</v>
      </c>
      <c r="BX161" s="238">
        <v>100000</v>
      </c>
      <c r="BY161" s="238">
        <v>97477.582198605116</v>
      </c>
      <c r="BZ161" s="238">
        <v>5870100</v>
      </c>
      <c r="CA161" s="238" t="s">
        <v>38</v>
      </c>
      <c r="CB161">
        <v>20000</v>
      </c>
      <c r="CC161">
        <v>117477.58219860512</v>
      </c>
      <c r="CD161" s="238">
        <v>1204400</v>
      </c>
      <c r="CE161" s="238">
        <v>7074500</v>
      </c>
      <c r="CG161" t="s">
        <v>3515</v>
      </c>
      <c r="CH161" s="238" t="s">
        <v>39</v>
      </c>
      <c r="CI161" s="238" t="s">
        <v>39</v>
      </c>
      <c r="CJ161" t="s">
        <v>8950</v>
      </c>
      <c r="CK161" t="s">
        <v>1167</v>
      </c>
      <c r="CL161" t="s">
        <v>8961</v>
      </c>
      <c r="CM161" t="s">
        <v>8971</v>
      </c>
      <c r="CN161" s="238" t="b">
        <v>1</v>
      </c>
      <c r="CO161" t="s">
        <v>5449</v>
      </c>
      <c r="CQ161" t="s">
        <v>6652</v>
      </c>
      <c r="CR161" t="s">
        <v>3246</v>
      </c>
      <c r="CS161" t="s">
        <v>38</v>
      </c>
      <c r="CT161" t="b">
        <v>1</v>
      </c>
      <c r="CU161">
        <v>5970100</v>
      </c>
      <c r="CV161" t="s">
        <v>9002</v>
      </c>
      <c r="CW161">
        <v>0</v>
      </c>
      <c r="CX161">
        <v>5970100</v>
      </c>
      <c r="CY161">
        <v>0</v>
      </c>
      <c r="CZ161" t="b">
        <v>1</v>
      </c>
      <c r="DA161">
        <v>45554</v>
      </c>
      <c r="DB161" t="s">
        <v>5215</v>
      </c>
      <c r="DC161">
        <v>-2.822982397874596E-3</v>
      </c>
      <c r="DD161">
        <v>-275.17749873403631</v>
      </c>
      <c r="DE161" s="420" cm="1">
        <f t="array" ref="DE161">_xlfn.XLOOKUP("Дом 5"&amp;Реестр_Д5[[#This Row],[№]]&amp;Реестр_Д5[[#This Row],[Статус]],РД[Дом]&amp;РД[№ кв]&amp;РД[Состояние],РД[Дата подачи на регистрацию],"-",0)</f>
        <v>45554</v>
      </c>
    </row>
    <row r="162" spans="1:109" x14ac:dyDescent="0.25">
      <c r="A162" s="238">
        <v>161</v>
      </c>
      <c r="B162" s="238" t="s">
        <v>5</v>
      </c>
      <c r="C162" s="238">
        <v>8</v>
      </c>
      <c r="D162" s="238">
        <v>2</v>
      </c>
      <c r="E162" s="238">
        <v>0</v>
      </c>
      <c r="F162" s="238">
        <v>7.13</v>
      </c>
      <c r="G162" s="238"/>
      <c r="H162" s="238"/>
      <c r="I162">
        <v>7.13</v>
      </c>
      <c r="J162" s="238">
        <v>5.12</v>
      </c>
      <c r="K162" s="238">
        <v>3.65</v>
      </c>
      <c r="L162" s="238"/>
      <c r="M162" s="238"/>
      <c r="N162" s="238">
        <v>6.92</v>
      </c>
      <c r="O162" s="238">
        <v>2.91</v>
      </c>
      <c r="P162" s="238"/>
      <c r="R162" s="238">
        <v>2.91</v>
      </c>
      <c r="S162">
        <v>25.73</v>
      </c>
      <c r="T162">
        <v>22.82</v>
      </c>
      <c r="U162" s="238">
        <v>24.28</v>
      </c>
      <c r="V162">
        <v>24.299999999999997</v>
      </c>
      <c r="W162" s="238">
        <v>91981.574999999997</v>
      </c>
      <c r="X162">
        <v>4599.0787499999997</v>
      </c>
      <c r="Y162">
        <v>96580.653749999998</v>
      </c>
      <c r="Z162">
        <v>2897.4196124999999</v>
      </c>
      <c r="AA162">
        <v>99478.073362499999</v>
      </c>
      <c r="AB162">
        <v>14921.711004375</v>
      </c>
      <c r="AC162">
        <v>114399.784366875</v>
      </c>
      <c r="AE162">
        <v>114399.784366875</v>
      </c>
      <c r="AG162">
        <v>114399.784366875</v>
      </c>
      <c r="AI162">
        <v>114399.784366875</v>
      </c>
      <c r="AJ162">
        <v>1143.99784366875</v>
      </c>
      <c r="AK162">
        <v>115543.78221054377</v>
      </c>
      <c r="AL162">
        <v>5777.1891105271879</v>
      </c>
      <c r="AM162">
        <v>121320.97132107096</v>
      </c>
      <c r="AO162">
        <v>121320.97132107096</v>
      </c>
      <c r="AP162">
        <v>3639.629139632128</v>
      </c>
      <c r="AQ162">
        <v>124960.60046070308</v>
      </c>
      <c r="AS162">
        <v>124960.60046070308</v>
      </c>
      <c r="AU162">
        <v>124960.60046070308</v>
      </c>
      <c r="AW162">
        <v>124960.60046070308</v>
      </c>
      <c r="AY162">
        <v>124960.60046070308</v>
      </c>
      <c r="AZ162">
        <v>2499.2120092140617</v>
      </c>
      <c r="BA162">
        <v>127459.81246991716</v>
      </c>
      <c r="BC162">
        <v>127459.81246991716</v>
      </c>
      <c r="BE162">
        <v>127459.81246991716</v>
      </c>
      <c r="BF162">
        <v>1911.8971870487571</v>
      </c>
      <c r="BG162">
        <v>129371.7096569659</v>
      </c>
      <c r="BH162">
        <v>500</v>
      </c>
      <c r="BI162">
        <v>129871.7096569659</v>
      </c>
      <c r="BK162">
        <v>129871.7096569659</v>
      </c>
      <c r="BL162">
        <v>5194.8683862786365</v>
      </c>
      <c r="BM162">
        <v>135066.57804324455</v>
      </c>
      <c r="BN162">
        <v>17558.655145621793</v>
      </c>
      <c r="BO162">
        <v>152625.23318886635</v>
      </c>
      <c r="BP162">
        <v>35</v>
      </c>
      <c r="BQ162">
        <v>152660.23318886635</v>
      </c>
      <c r="BS162">
        <v>152660.23318886635</v>
      </c>
      <c r="BT162" s="238">
        <v>152660.23000000001</v>
      </c>
      <c r="BU162" s="238">
        <v>3709700</v>
      </c>
      <c r="BX162" s="238">
        <v>0</v>
      </c>
      <c r="BY162" s="238">
        <v>152662.55144032923</v>
      </c>
      <c r="BZ162" s="238">
        <v>3709700</v>
      </c>
      <c r="CA162" s="238" t="s">
        <v>6871</v>
      </c>
      <c r="CB162">
        <v>10000</v>
      </c>
      <c r="CC162">
        <v>162662.55144032923</v>
      </c>
      <c r="CD162" s="238">
        <v>243000</v>
      </c>
      <c r="CE162" s="238">
        <v>3952700</v>
      </c>
      <c r="CH162" s="238" t="s">
        <v>3</v>
      </c>
      <c r="CI162" s="238" t="s">
        <v>3</v>
      </c>
      <c r="CJ162" t="s">
        <v>8951</v>
      </c>
      <c r="CK162" t="s">
        <v>1167</v>
      </c>
      <c r="CL162" t="s">
        <v>8961</v>
      </c>
      <c r="CM162" t="s">
        <v>8970</v>
      </c>
      <c r="CN162" s="238" t="b">
        <v>1</v>
      </c>
      <c r="CO162" t="s">
        <v>5450</v>
      </c>
      <c r="CQ162" t="s">
        <v>6652</v>
      </c>
      <c r="CR162" t="s">
        <v>3124</v>
      </c>
      <c r="CS162" t="s">
        <v>6871</v>
      </c>
      <c r="CT162" t="b">
        <v>1</v>
      </c>
      <c r="CU162">
        <v>3709700</v>
      </c>
      <c r="CV162">
        <v>3709700</v>
      </c>
      <c r="CW162">
        <v>0</v>
      </c>
      <c r="CX162">
        <v>0</v>
      </c>
      <c r="CY162">
        <v>0</v>
      </c>
      <c r="CZ162" t="b">
        <v>1</v>
      </c>
      <c r="DA162" t="s">
        <v>4246</v>
      </c>
      <c r="DB162" t="s">
        <v>1167</v>
      </c>
      <c r="DC162">
        <v>8.2372322899493245E-4</v>
      </c>
      <c r="DD162">
        <v>125.751689819033</v>
      </c>
      <c r="DE162" s="420" t="str" cm="1">
        <f t="array" ref="DE16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63" spans="1:109" hidden="1" x14ac:dyDescent="0.25">
      <c r="A163" s="238">
        <v>162</v>
      </c>
      <c r="B163" s="238" t="s">
        <v>5</v>
      </c>
      <c r="C163" s="238">
        <v>8</v>
      </c>
      <c r="D163" s="238">
        <v>3</v>
      </c>
      <c r="E163" s="238">
        <v>2</v>
      </c>
      <c r="F163" s="238">
        <v>14.6</v>
      </c>
      <c r="G163" s="238">
        <v>13.12</v>
      </c>
      <c r="H163" s="238"/>
      <c r="I163">
        <v>27.72</v>
      </c>
      <c r="J163" s="238">
        <v>14.35</v>
      </c>
      <c r="K163" s="238">
        <v>3.68</v>
      </c>
      <c r="L163" s="238">
        <v>2.57</v>
      </c>
      <c r="M163" s="238"/>
      <c r="N163" s="238">
        <v>7.95</v>
      </c>
      <c r="O163" s="238">
        <v>2.65</v>
      </c>
      <c r="P163" s="238"/>
      <c r="R163" s="238">
        <v>2.65</v>
      </c>
      <c r="S163">
        <v>58.92</v>
      </c>
      <c r="T163">
        <v>56.27</v>
      </c>
      <c r="U163" s="238">
        <v>57.6</v>
      </c>
      <c r="V163">
        <v>57.85</v>
      </c>
      <c r="W163" s="238">
        <v>80307.864000000001</v>
      </c>
      <c r="X163">
        <v>4015.3932</v>
      </c>
      <c r="Y163">
        <v>84323.257199999993</v>
      </c>
      <c r="Z163">
        <v>2529.6977160000001</v>
      </c>
      <c r="AA163">
        <v>86852.954916000002</v>
      </c>
      <c r="AC163">
        <v>86852.954916000002</v>
      </c>
      <c r="AE163">
        <v>86852.954916000002</v>
      </c>
      <c r="AG163">
        <v>86852.954916000002</v>
      </c>
      <c r="AI163">
        <v>86852.954916000002</v>
      </c>
      <c r="AK163">
        <v>86852.954916000002</v>
      </c>
      <c r="AM163">
        <v>86852.954916000002</v>
      </c>
      <c r="AO163">
        <v>86852.954916000002</v>
      </c>
      <c r="AQ163">
        <v>86852.954916000002</v>
      </c>
      <c r="AS163">
        <v>86852.954916000002</v>
      </c>
      <c r="AU163">
        <v>86852.954916000002</v>
      </c>
      <c r="AW163">
        <v>86852.954916000002</v>
      </c>
      <c r="AY163">
        <v>86852.954916000002</v>
      </c>
      <c r="BA163">
        <v>86852.954916000002</v>
      </c>
      <c r="BC163">
        <v>86852.954916000002</v>
      </c>
      <c r="BE163">
        <v>86852.954916000002</v>
      </c>
      <c r="BG163">
        <v>86852.954916000002</v>
      </c>
      <c r="BI163">
        <v>86852.954916000002</v>
      </c>
      <c r="BK163">
        <v>86852.954916000002</v>
      </c>
      <c r="BM163">
        <v>86852.954916000002</v>
      </c>
      <c r="BO163">
        <v>86852.954916000002</v>
      </c>
      <c r="BQ163">
        <v>86852.954916000002</v>
      </c>
      <c r="BS163">
        <v>86852.954916000002</v>
      </c>
      <c r="BT163" s="238">
        <v>86852.95</v>
      </c>
      <c r="BU163" s="238">
        <v>5002729.92</v>
      </c>
      <c r="BW163">
        <v>0.02</v>
      </c>
      <c r="BX163" s="238">
        <v>100054.5984</v>
      </c>
      <c r="BY163" s="238">
        <v>85115.890972222231</v>
      </c>
      <c r="BZ163" s="238">
        <v>4902675.32</v>
      </c>
      <c r="CA163" s="238" t="s">
        <v>37</v>
      </c>
      <c r="CB163">
        <v>7500</v>
      </c>
      <c r="CC163">
        <v>92615.890972222231</v>
      </c>
      <c r="CD163" s="238">
        <v>432000</v>
      </c>
      <c r="CE163" s="238">
        <v>5334675.32</v>
      </c>
      <c r="CF163" t="s">
        <v>4633</v>
      </c>
      <c r="CG163" t="s">
        <v>3540</v>
      </c>
      <c r="CH163" s="238" t="s">
        <v>39</v>
      </c>
      <c r="CI163" s="238" t="s">
        <v>39</v>
      </c>
      <c r="CJ163" t="s">
        <v>8950</v>
      </c>
      <c r="CK163" t="s">
        <v>1167</v>
      </c>
      <c r="CL163" t="s">
        <v>8961</v>
      </c>
      <c r="CM163" t="s">
        <v>8971</v>
      </c>
      <c r="CN163" s="238" t="b">
        <v>1</v>
      </c>
      <c r="CO163" t="s">
        <v>5451</v>
      </c>
      <c r="CQ163" t="s">
        <v>4895</v>
      </c>
      <c r="CR163" t="s">
        <v>3246</v>
      </c>
      <c r="CS163" t="s">
        <v>37</v>
      </c>
      <c r="CT163" t="b">
        <v>1</v>
      </c>
      <c r="CU163">
        <v>5002729.92</v>
      </c>
      <c r="CV163" t="s">
        <v>9002</v>
      </c>
      <c r="CW163">
        <v>0</v>
      </c>
      <c r="CX163">
        <v>5002730</v>
      </c>
      <c r="CY163">
        <v>0</v>
      </c>
      <c r="CZ163" t="b">
        <v>1</v>
      </c>
      <c r="DA163">
        <v>45254</v>
      </c>
      <c r="DB163" t="s">
        <v>126</v>
      </c>
      <c r="DC163">
        <v>4.3402777777776791E-3</v>
      </c>
      <c r="DD163">
        <v>369.42661012248391</v>
      </c>
      <c r="DE163" s="420" cm="1">
        <f t="array" ref="DE163">_xlfn.XLOOKUP("Дом 5"&amp;Реестр_Д5[[#This Row],[№]]&amp;Реестр_Д5[[#This Row],[Статус]],РД[Дом]&amp;РД[№ кв]&amp;РД[Состояние],РД[Дата подачи на регистрацию],"-",0)</f>
        <v>45254</v>
      </c>
    </row>
    <row r="164" spans="1:109" x14ac:dyDescent="0.25">
      <c r="A164" s="238">
        <v>163</v>
      </c>
      <c r="B164" s="238" t="s">
        <v>5</v>
      </c>
      <c r="C164" s="238">
        <v>8</v>
      </c>
      <c r="D164" s="238">
        <v>4</v>
      </c>
      <c r="E164" s="238">
        <v>2</v>
      </c>
      <c r="F164" s="238">
        <v>15.45</v>
      </c>
      <c r="G164" s="238">
        <v>14.5</v>
      </c>
      <c r="H164" s="238"/>
      <c r="I164">
        <v>29.95</v>
      </c>
      <c r="J164" s="238">
        <v>11.95</v>
      </c>
      <c r="K164" s="238">
        <v>3.86</v>
      </c>
      <c r="L164" s="238">
        <v>2.37</v>
      </c>
      <c r="M164" s="238"/>
      <c r="N164" s="238">
        <v>8.8699999999999992</v>
      </c>
      <c r="O164" s="238">
        <v>2.62</v>
      </c>
      <c r="P164" s="238"/>
      <c r="R164" s="238">
        <v>2.62</v>
      </c>
      <c r="S164">
        <v>59.62</v>
      </c>
      <c r="T164">
        <v>57</v>
      </c>
      <c r="U164" s="238">
        <v>58.31</v>
      </c>
      <c r="V164">
        <v>58.349999999999994</v>
      </c>
      <c r="W164" s="238">
        <v>81466.150500000003</v>
      </c>
      <c r="X164">
        <v>4073.3075250000002</v>
      </c>
      <c r="Y164">
        <v>85539.458025</v>
      </c>
      <c r="Z164">
        <v>2566.1837407499997</v>
      </c>
      <c r="AA164">
        <v>88105.641765749999</v>
      </c>
      <c r="AC164">
        <v>88105.641765749999</v>
      </c>
      <c r="AE164">
        <v>88105.641765749999</v>
      </c>
      <c r="AG164">
        <v>88105.641765749999</v>
      </c>
      <c r="AI164">
        <v>88105.641765749999</v>
      </c>
      <c r="AJ164">
        <v>881.05641765749999</v>
      </c>
      <c r="AK164">
        <v>88986.698183407498</v>
      </c>
      <c r="AL164">
        <v>4449.3349091703749</v>
      </c>
      <c r="AM164">
        <v>93436.033092577869</v>
      </c>
      <c r="AO164">
        <v>93436.033092577869</v>
      </c>
      <c r="AP164">
        <v>1868.7206618515577</v>
      </c>
      <c r="AQ164">
        <v>95304.753754429446</v>
      </c>
      <c r="AS164">
        <v>95304.753754429446</v>
      </c>
      <c r="AT164">
        <v>1906.0950750885888</v>
      </c>
      <c r="AU164">
        <v>97210.848829518014</v>
      </c>
      <c r="AW164">
        <v>97210.848829518014</v>
      </c>
      <c r="AY164">
        <v>97210.848829518014</v>
      </c>
      <c r="AZ164">
        <v>972.10848829518011</v>
      </c>
      <c r="BA164">
        <v>98182.957317813198</v>
      </c>
      <c r="BC164">
        <v>98182.957317813198</v>
      </c>
      <c r="BE164">
        <v>98182.957317813198</v>
      </c>
      <c r="BF164">
        <v>2454.5739329453299</v>
      </c>
      <c r="BG164">
        <v>100637.53125075852</v>
      </c>
      <c r="BH164">
        <v>500</v>
      </c>
      <c r="BI164">
        <v>101137.53125075852</v>
      </c>
      <c r="BJ164">
        <v>4045.5012500303415</v>
      </c>
      <c r="BK164">
        <v>105183.03250078888</v>
      </c>
      <c r="BL164">
        <v>6310.9819500473322</v>
      </c>
      <c r="BM164">
        <v>111494.0144508362</v>
      </c>
      <c r="BN164">
        <v>14494.221878608709</v>
      </c>
      <c r="BO164">
        <v>125988.23632944492</v>
      </c>
      <c r="BP164">
        <v>35</v>
      </c>
      <c r="BQ164">
        <v>126023.23632944492</v>
      </c>
      <c r="BS164">
        <v>126023.23632944492</v>
      </c>
      <c r="BT164" s="238">
        <v>126023.24</v>
      </c>
      <c r="BU164" s="238">
        <v>7353500</v>
      </c>
      <c r="BX164" s="238">
        <v>0</v>
      </c>
      <c r="BY164" s="238">
        <v>126023.99314481576</v>
      </c>
      <c r="BZ164" s="238">
        <v>7353500</v>
      </c>
      <c r="CA164" s="238" t="s">
        <v>36</v>
      </c>
      <c r="CC164">
        <v>126023.99314481576</v>
      </c>
      <c r="CD164" s="238">
        <v>0</v>
      </c>
      <c r="CE164" s="238">
        <v>7353500</v>
      </c>
      <c r="CH164" s="238" t="s">
        <v>3</v>
      </c>
      <c r="CI164" s="238" t="s">
        <v>3</v>
      </c>
      <c r="CJ164" t="s">
        <v>8951</v>
      </c>
      <c r="CK164" t="s">
        <v>1167</v>
      </c>
      <c r="CL164" t="s">
        <v>8961</v>
      </c>
      <c r="CM164" t="s">
        <v>8974</v>
      </c>
      <c r="CN164" s="238" t="b">
        <v>1</v>
      </c>
      <c r="CO164" t="s">
        <v>5452</v>
      </c>
      <c r="CQ164" t="s">
        <v>6652</v>
      </c>
      <c r="CR164" t="s">
        <v>3124</v>
      </c>
      <c r="CS164" t="s">
        <v>36</v>
      </c>
      <c r="CT164" t="b">
        <v>1</v>
      </c>
      <c r="CU164">
        <v>7353500</v>
      </c>
      <c r="CV164">
        <v>7353500</v>
      </c>
      <c r="CW164">
        <v>0</v>
      </c>
      <c r="CX164">
        <v>0</v>
      </c>
      <c r="CY164">
        <v>0</v>
      </c>
      <c r="CZ164" t="b">
        <v>1</v>
      </c>
      <c r="DA164" t="s">
        <v>4246</v>
      </c>
      <c r="DB164" t="s">
        <v>1167</v>
      </c>
      <c r="DC164">
        <v>6.8598868118652234E-4</v>
      </c>
      <c r="DD164">
        <v>86.451032855271507</v>
      </c>
      <c r="DE164" s="420" t="str" cm="1">
        <f t="array" ref="DE16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65" spans="1:109" hidden="1" x14ac:dyDescent="0.25">
      <c r="A165" s="238">
        <v>164</v>
      </c>
      <c r="B165" s="238" t="s">
        <v>5</v>
      </c>
      <c r="C165" s="238">
        <v>8</v>
      </c>
      <c r="D165" s="238">
        <v>5</v>
      </c>
      <c r="E165" s="238">
        <v>1</v>
      </c>
      <c r="F165" s="238">
        <v>12.06</v>
      </c>
      <c r="G165" s="238"/>
      <c r="H165" s="238"/>
      <c r="I165">
        <v>12.06</v>
      </c>
      <c r="J165" s="238">
        <v>13.18</v>
      </c>
      <c r="K165" s="238">
        <v>4.1100000000000003</v>
      </c>
      <c r="L165" s="238"/>
      <c r="M165" s="238"/>
      <c r="N165" s="238">
        <v>7.09</v>
      </c>
      <c r="O165" s="238">
        <v>2.84</v>
      </c>
      <c r="P165" s="238"/>
      <c r="R165" s="238">
        <v>2.84</v>
      </c>
      <c r="S165">
        <v>39.28</v>
      </c>
      <c r="T165">
        <v>36.44</v>
      </c>
      <c r="U165" s="238">
        <v>37.86</v>
      </c>
      <c r="V165">
        <v>37.650000000000006</v>
      </c>
      <c r="W165" s="238">
        <v>89223.75</v>
      </c>
      <c r="X165">
        <v>4461.1875</v>
      </c>
      <c r="Y165">
        <v>93684.9375</v>
      </c>
      <c r="Z165">
        <v>2810.5481249999998</v>
      </c>
      <c r="AA165">
        <v>96495.485625000001</v>
      </c>
      <c r="AB165">
        <v>4342.2968531249999</v>
      </c>
      <c r="AC165">
        <v>100837.78247812499</v>
      </c>
      <c r="AE165">
        <v>100837.78247812499</v>
      </c>
      <c r="AF165">
        <v>5041.8891239062505</v>
      </c>
      <c r="AG165">
        <v>105879.67160203125</v>
      </c>
      <c r="AI165">
        <v>105879.67160203125</v>
      </c>
      <c r="AJ165">
        <v>1058.7967160203125</v>
      </c>
      <c r="AK165">
        <v>106938.46831805156</v>
      </c>
      <c r="AL165">
        <v>5346.9234159025782</v>
      </c>
      <c r="AM165">
        <v>112285.39173395414</v>
      </c>
      <c r="AO165">
        <v>112285.39173395414</v>
      </c>
      <c r="AP165">
        <v>3368.5617520186238</v>
      </c>
      <c r="AQ165">
        <v>115653.95348597276</v>
      </c>
      <c r="AS165">
        <v>115653.95348597276</v>
      </c>
      <c r="AU165">
        <v>115653.95348597276</v>
      </c>
      <c r="AW165">
        <v>115653.95348597276</v>
      </c>
      <c r="AY165">
        <v>115653.95348597276</v>
      </c>
      <c r="BA165">
        <v>115653.95348597276</v>
      </c>
      <c r="BC165">
        <v>115653.95348597276</v>
      </c>
      <c r="BE165">
        <v>115653.95348597276</v>
      </c>
      <c r="BG165">
        <v>115653.95348597276</v>
      </c>
      <c r="BI165">
        <v>115653.95348597276</v>
      </c>
      <c r="BK165">
        <v>115653.95348597276</v>
      </c>
      <c r="BM165">
        <v>115653.95348597276</v>
      </c>
      <c r="BO165">
        <v>115653.95348597276</v>
      </c>
      <c r="BQ165">
        <v>115653.95348597276</v>
      </c>
      <c r="BS165">
        <v>115653.95348597276</v>
      </c>
      <c r="BT165" s="238">
        <v>115653.95</v>
      </c>
      <c r="BU165" s="238">
        <v>4378700</v>
      </c>
      <c r="BV165">
        <v>88888</v>
      </c>
      <c r="BX165" s="238">
        <v>88888</v>
      </c>
      <c r="BY165" s="238">
        <v>113307.23718964608</v>
      </c>
      <c r="BZ165" s="238">
        <v>4289812</v>
      </c>
      <c r="CA165" s="238" t="s">
        <v>38</v>
      </c>
      <c r="CB165">
        <v>20000</v>
      </c>
      <c r="CC165">
        <v>133307.23718964605</v>
      </c>
      <c r="CD165" s="238">
        <v>757199.99999999907</v>
      </c>
      <c r="CE165" s="238">
        <v>5047011.9999999991</v>
      </c>
      <c r="CG165" t="s">
        <v>4185</v>
      </c>
      <c r="CH165" s="238" t="s">
        <v>39</v>
      </c>
      <c r="CI165" s="238" t="s">
        <v>39</v>
      </c>
      <c r="CJ165" t="s">
        <v>8950</v>
      </c>
      <c r="CK165" t="s">
        <v>1167</v>
      </c>
      <c r="CL165" t="s">
        <v>8961</v>
      </c>
      <c r="CM165" t="s">
        <v>8973</v>
      </c>
      <c r="CN165" s="238" t="b">
        <v>1</v>
      </c>
      <c r="CO165" t="s">
        <v>5453</v>
      </c>
      <c r="CQ165" t="s">
        <v>6652</v>
      </c>
      <c r="CR165" t="s">
        <v>3246</v>
      </c>
      <c r="CS165" t="s">
        <v>38</v>
      </c>
      <c r="CT165" t="b">
        <v>1</v>
      </c>
      <c r="CU165">
        <v>4378700</v>
      </c>
      <c r="CV165" t="s">
        <v>9002</v>
      </c>
      <c r="CW165">
        <v>0</v>
      </c>
      <c r="CX165">
        <v>4378700</v>
      </c>
      <c r="CY165">
        <v>0</v>
      </c>
      <c r="CZ165" t="b">
        <v>1</v>
      </c>
      <c r="DA165">
        <v>45397</v>
      </c>
      <c r="DB165" t="s">
        <v>4177</v>
      </c>
      <c r="DC165">
        <v>-5.5467511885893828E-3</v>
      </c>
      <c r="DD165">
        <v>-628.48705255744846</v>
      </c>
      <c r="DE165" s="420" cm="1">
        <f t="array" ref="DE165">_xlfn.XLOOKUP("Дом 5"&amp;Реестр_Д5[[#This Row],[№]]&amp;Реестр_Д5[[#This Row],[Статус]],РД[Дом]&amp;РД[№ кв]&amp;РД[Состояние],РД[Дата подачи на регистрацию],"-",0)</f>
        <v>45397</v>
      </c>
    </row>
    <row r="166" spans="1:109" hidden="1" x14ac:dyDescent="0.25">
      <c r="A166" s="238">
        <v>165</v>
      </c>
      <c r="B166" s="238" t="s">
        <v>5</v>
      </c>
      <c r="C166" s="238">
        <v>8</v>
      </c>
      <c r="D166" s="238">
        <v>6</v>
      </c>
      <c r="E166" s="238">
        <v>3</v>
      </c>
      <c r="F166" s="238">
        <v>17.89</v>
      </c>
      <c r="G166" s="238">
        <v>17.2</v>
      </c>
      <c r="H166" s="238">
        <v>14.31</v>
      </c>
      <c r="I166">
        <v>49.400000000000006</v>
      </c>
      <c r="J166" s="238">
        <v>13.39</v>
      </c>
      <c r="K166" s="238">
        <v>4.2</v>
      </c>
      <c r="L166" s="238">
        <v>2.0499999999999998</v>
      </c>
      <c r="M166" s="238"/>
      <c r="N166" s="238">
        <v>13.21</v>
      </c>
      <c r="O166" s="238">
        <v>2.79</v>
      </c>
      <c r="P166" s="238">
        <v>2.68</v>
      </c>
      <c r="R166" s="238">
        <v>5.4700000000000006</v>
      </c>
      <c r="S166">
        <v>87.72</v>
      </c>
      <c r="T166">
        <v>82.25</v>
      </c>
      <c r="U166" s="238">
        <v>84.99</v>
      </c>
      <c r="V166">
        <v>84.55</v>
      </c>
      <c r="W166" s="238">
        <v>73520.37000000001</v>
      </c>
      <c r="X166">
        <v>3676.0185000000006</v>
      </c>
      <c r="Y166">
        <v>77196.388500000015</v>
      </c>
      <c r="Z166">
        <v>2315.8916550000004</v>
      </c>
      <c r="AA166">
        <v>79512.280155000015</v>
      </c>
      <c r="AC166">
        <v>79512.280155000015</v>
      </c>
      <c r="AE166">
        <v>79512.280155000015</v>
      </c>
      <c r="AG166">
        <v>79512.280155000015</v>
      </c>
      <c r="AI166">
        <v>79512.280155000015</v>
      </c>
      <c r="AK166">
        <v>79512.280155000015</v>
      </c>
      <c r="AM166">
        <v>79512.280155000015</v>
      </c>
      <c r="AO166">
        <v>79512.280155000015</v>
      </c>
      <c r="AQ166">
        <v>79512.280155000015</v>
      </c>
      <c r="AS166">
        <v>79512.280155000015</v>
      </c>
      <c r="AU166">
        <v>79512.280155000015</v>
      </c>
      <c r="AW166">
        <v>79512.280155000015</v>
      </c>
      <c r="AY166">
        <v>79512.280155000015</v>
      </c>
      <c r="BA166">
        <v>79512.280155000015</v>
      </c>
      <c r="BC166">
        <v>79512.280155000015</v>
      </c>
      <c r="BE166">
        <v>79512.280155000015</v>
      </c>
      <c r="BG166">
        <v>79512.280155000015</v>
      </c>
      <c r="BI166">
        <v>79512.280155000015</v>
      </c>
      <c r="BK166">
        <v>79512.280155000015</v>
      </c>
      <c r="BM166">
        <v>79512.280155000015</v>
      </c>
      <c r="BO166">
        <v>79512.280155000015</v>
      </c>
      <c r="BQ166">
        <v>79512.280155000015</v>
      </c>
      <c r="BS166">
        <v>79512.280155000015</v>
      </c>
      <c r="BT166" s="238">
        <v>79512.28</v>
      </c>
      <c r="BU166" s="238">
        <v>6757748.6799999997</v>
      </c>
      <c r="BX166" s="238">
        <v>0</v>
      </c>
      <c r="BY166" s="238">
        <v>79512.280032945055</v>
      </c>
      <c r="BZ166" s="238">
        <v>6757748.6799999997</v>
      </c>
      <c r="CA166" s="238" t="s">
        <v>37</v>
      </c>
      <c r="CB166">
        <v>7500</v>
      </c>
      <c r="CC166">
        <v>87012.280032945055</v>
      </c>
      <c r="CD166" s="238">
        <v>637425</v>
      </c>
      <c r="CE166" s="238">
        <v>7395173.6799999997</v>
      </c>
      <c r="CH166" s="238" t="s">
        <v>39</v>
      </c>
      <c r="CI166" s="238" t="s">
        <v>39</v>
      </c>
      <c r="CJ166" t="s">
        <v>8950</v>
      </c>
      <c r="CK166" t="s">
        <v>1167</v>
      </c>
      <c r="CL166" t="s">
        <v>8961</v>
      </c>
      <c r="CM166" t="s">
        <v>8975</v>
      </c>
      <c r="CN166" s="238" t="b">
        <v>1</v>
      </c>
      <c r="CO166" t="s">
        <v>5454</v>
      </c>
      <c r="CQ166" t="s">
        <v>4895</v>
      </c>
      <c r="CR166" t="s">
        <v>3246</v>
      </c>
      <c r="CS166" t="s">
        <v>37</v>
      </c>
      <c r="CT166" t="b">
        <v>1</v>
      </c>
      <c r="CU166">
        <v>6757748.6799999997</v>
      </c>
      <c r="CV166" t="s">
        <v>9002</v>
      </c>
      <c r="CW166">
        <v>6757749</v>
      </c>
      <c r="CX166">
        <v>6757749</v>
      </c>
      <c r="CY166">
        <v>0</v>
      </c>
      <c r="CZ166" t="b">
        <v>1</v>
      </c>
      <c r="DA166">
        <v>45282</v>
      </c>
      <c r="DB166" t="s">
        <v>5215</v>
      </c>
      <c r="DC166">
        <v>-5.1770796564301058E-3</v>
      </c>
      <c r="DD166">
        <v>-411.64140739493354</v>
      </c>
      <c r="DE166" s="420" cm="1">
        <f t="array" ref="DE166">_xlfn.XLOOKUP("Дом 5"&amp;Реестр_Д5[[#This Row],[№]]&amp;Реестр_Д5[[#This Row],[Статус]],РД[Дом]&amp;РД[№ кв]&amp;РД[Состояние],РД[Дата подачи на регистрацию],"-",0)</f>
        <v>45282</v>
      </c>
    </row>
    <row r="167" spans="1:109" hidden="1" x14ac:dyDescent="0.25">
      <c r="A167" s="238">
        <v>166</v>
      </c>
      <c r="B167" s="238" t="s">
        <v>5</v>
      </c>
      <c r="C167" s="238">
        <v>8</v>
      </c>
      <c r="D167" s="238">
        <v>7</v>
      </c>
      <c r="E167" s="238">
        <v>1</v>
      </c>
      <c r="F167" s="238">
        <v>17.89</v>
      </c>
      <c r="G167" s="238"/>
      <c r="H167" s="238"/>
      <c r="I167">
        <v>17.89</v>
      </c>
      <c r="J167" s="238">
        <v>13.04</v>
      </c>
      <c r="K167" s="238">
        <v>3.9</v>
      </c>
      <c r="L167" s="238"/>
      <c r="M167" s="238"/>
      <c r="N167" s="238">
        <v>6.12</v>
      </c>
      <c r="O167" s="238">
        <v>2.65</v>
      </c>
      <c r="P167" s="238"/>
      <c r="R167" s="238">
        <v>2.65</v>
      </c>
      <c r="S167">
        <v>43.6</v>
      </c>
      <c r="T167">
        <v>40.950000000000003</v>
      </c>
      <c r="U167" s="238">
        <v>42.28</v>
      </c>
      <c r="V167">
        <v>42.350000000000009</v>
      </c>
      <c r="W167" s="238">
        <v>85573.6875</v>
      </c>
      <c r="X167">
        <v>4278.6843749999998</v>
      </c>
      <c r="Y167">
        <v>89852.371874999997</v>
      </c>
      <c r="Z167">
        <v>2695.5711562499996</v>
      </c>
      <c r="AA167">
        <v>92547.943031250004</v>
      </c>
      <c r="AB167">
        <v>2776.4382909374995</v>
      </c>
      <c r="AC167">
        <v>95324.381322187488</v>
      </c>
      <c r="AE167">
        <v>95324.381322187488</v>
      </c>
      <c r="AF167">
        <v>4766.2190661093746</v>
      </c>
      <c r="AG167">
        <v>100090.60038829688</v>
      </c>
      <c r="AI167">
        <v>100090.60038829688</v>
      </c>
      <c r="AJ167">
        <v>1000.9060038829688</v>
      </c>
      <c r="AK167">
        <v>101091.50639217984</v>
      </c>
      <c r="AL167">
        <v>5054.5753196089918</v>
      </c>
      <c r="AM167">
        <v>106146.08171178882</v>
      </c>
      <c r="AO167">
        <v>106146.08171178882</v>
      </c>
      <c r="AP167">
        <v>3184.3824513536647</v>
      </c>
      <c r="AQ167">
        <v>109330.46416314247</v>
      </c>
      <c r="AS167">
        <v>109330.46416314247</v>
      </c>
      <c r="AU167">
        <v>109330.46416314247</v>
      </c>
      <c r="AW167">
        <v>109330.46416314247</v>
      </c>
      <c r="AX167">
        <v>1093.3046416314248</v>
      </c>
      <c r="AY167">
        <v>110423.76880477392</v>
      </c>
      <c r="BA167">
        <v>110423.76880477392</v>
      </c>
      <c r="BC167">
        <v>110423.76880477392</v>
      </c>
      <c r="BE167">
        <v>110423.76880477392</v>
      </c>
      <c r="BF167">
        <v>2760.5942201193484</v>
      </c>
      <c r="BG167">
        <v>113184.36302489327</v>
      </c>
      <c r="BI167">
        <v>113184.36302489327</v>
      </c>
      <c r="BK167">
        <v>113184.36302489327</v>
      </c>
      <c r="BL167">
        <v>9054.7490419914629</v>
      </c>
      <c r="BM167">
        <v>122239.11206688474</v>
      </c>
      <c r="BN167">
        <v>15891.084568695018</v>
      </c>
      <c r="BO167">
        <v>138130.19663557975</v>
      </c>
      <c r="BP167">
        <v>35</v>
      </c>
      <c r="BQ167">
        <v>138165.19663557975</v>
      </c>
      <c r="BS167">
        <v>138165.19663557975</v>
      </c>
      <c r="BT167" s="238">
        <v>138165.20000000001</v>
      </c>
      <c r="BU167" s="238">
        <v>5841700</v>
      </c>
      <c r="BV167">
        <v>338240</v>
      </c>
      <c r="BX167" s="238">
        <v>338240</v>
      </c>
      <c r="BY167" s="238">
        <v>130166.98202459792</v>
      </c>
      <c r="BZ167" s="238">
        <v>5503460</v>
      </c>
      <c r="CA167" s="238" t="s">
        <v>38</v>
      </c>
      <c r="CB167">
        <v>25000</v>
      </c>
      <c r="CC167">
        <v>155166.98202459794</v>
      </c>
      <c r="CD167" s="238">
        <v>1057000.0000000007</v>
      </c>
      <c r="CE167" s="238">
        <v>6560460.0000000009</v>
      </c>
      <c r="CG167" t="s">
        <v>8676</v>
      </c>
      <c r="CH167" s="238" t="s">
        <v>39</v>
      </c>
      <c r="CI167" s="238" t="s">
        <v>39</v>
      </c>
      <c r="CJ167" t="s">
        <v>8950</v>
      </c>
      <c r="CK167" t="s">
        <v>1167</v>
      </c>
      <c r="CL167" t="s">
        <v>8961</v>
      </c>
      <c r="CM167" t="s">
        <v>8973</v>
      </c>
      <c r="CN167" s="238" t="b">
        <v>1</v>
      </c>
      <c r="CO167" t="s">
        <v>5455</v>
      </c>
      <c r="CQ167" t="s">
        <v>6652</v>
      </c>
      <c r="CR167" t="s">
        <v>3246</v>
      </c>
      <c r="CS167" t="s">
        <v>38</v>
      </c>
      <c r="CT167" t="b">
        <v>1</v>
      </c>
      <c r="CU167">
        <v>5841700</v>
      </c>
      <c r="CV167" t="s">
        <v>9002</v>
      </c>
      <c r="CW167">
        <v>0</v>
      </c>
      <c r="CX167">
        <v>5841700</v>
      </c>
      <c r="CY167">
        <v>0</v>
      </c>
      <c r="CZ167" t="b">
        <v>1</v>
      </c>
      <c r="DA167">
        <v>45828</v>
      </c>
      <c r="DB167" t="s">
        <v>4177</v>
      </c>
      <c r="DC167">
        <v>1.6556291390730229E-3</v>
      </c>
      <c r="DD167">
        <v>215.50824838511863</v>
      </c>
      <c r="DE167" s="420" cm="1">
        <f t="array" ref="DE167">_xlfn.XLOOKUP("Дом 5"&amp;Реестр_Д5[[#This Row],[№]]&amp;Реестр_Д5[[#This Row],[Статус]],РД[Дом]&amp;РД[№ кв]&amp;РД[Состояние],РД[Дата подачи на регистрацию],"-",0)</f>
        <v>45828</v>
      </c>
    </row>
    <row r="168" spans="1:109" x14ac:dyDescent="0.25">
      <c r="A168" s="238">
        <v>167</v>
      </c>
      <c r="B168" s="238" t="s">
        <v>5</v>
      </c>
      <c r="C168" s="238">
        <v>9</v>
      </c>
      <c r="D168" s="238">
        <v>1</v>
      </c>
      <c r="E168" s="238">
        <v>2</v>
      </c>
      <c r="F168" s="238">
        <v>15.91</v>
      </c>
      <c r="G168" s="238">
        <v>12.02</v>
      </c>
      <c r="H168" s="238"/>
      <c r="I168">
        <v>27.93</v>
      </c>
      <c r="J168" s="238">
        <v>15.31</v>
      </c>
      <c r="K168" s="238">
        <v>3.85</v>
      </c>
      <c r="L168" s="238">
        <v>2.2999999999999998</v>
      </c>
      <c r="M168" s="238"/>
      <c r="N168" s="238">
        <v>9.4499999999999993</v>
      </c>
      <c r="O168" s="238">
        <v>2.75</v>
      </c>
      <c r="P168" s="238"/>
      <c r="R168" s="238">
        <v>2.75</v>
      </c>
      <c r="S168">
        <v>61.59</v>
      </c>
      <c r="T168">
        <v>58.84</v>
      </c>
      <c r="U168" s="238">
        <v>60.22</v>
      </c>
      <c r="V168">
        <v>59.999999999999993</v>
      </c>
      <c r="W168" s="238">
        <v>80307.864000000001</v>
      </c>
      <c r="X168">
        <v>4015.3932</v>
      </c>
      <c r="Y168">
        <v>84323.257199999993</v>
      </c>
      <c r="Z168">
        <v>2529.6977160000001</v>
      </c>
      <c r="AA168">
        <v>86852.954916000002</v>
      </c>
      <c r="AC168">
        <v>86852.954916000002</v>
      </c>
      <c r="AE168">
        <v>86852.954916000002</v>
      </c>
      <c r="AG168">
        <v>86852.954916000002</v>
      </c>
      <c r="AI168">
        <v>86852.954916000002</v>
      </c>
      <c r="AJ168">
        <v>868.52954915999999</v>
      </c>
      <c r="AK168">
        <v>87721.48446516</v>
      </c>
      <c r="AL168">
        <v>4386.0742232580005</v>
      </c>
      <c r="AM168">
        <v>92107.558688417994</v>
      </c>
      <c r="AO168">
        <v>92107.558688417994</v>
      </c>
      <c r="AP168">
        <v>1842.15117376836</v>
      </c>
      <c r="AQ168">
        <v>93949.709862186355</v>
      </c>
      <c r="AS168">
        <v>93949.709862186355</v>
      </c>
      <c r="AT168">
        <v>1878.9941972437273</v>
      </c>
      <c r="AU168">
        <v>95828.704059430078</v>
      </c>
      <c r="AW168">
        <v>95828.704059430078</v>
      </c>
      <c r="AY168">
        <v>95828.704059430078</v>
      </c>
      <c r="BA168">
        <v>95828.704059430078</v>
      </c>
      <c r="BC168">
        <v>95828.704059430078</v>
      </c>
      <c r="BE168">
        <v>95828.704059430078</v>
      </c>
      <c r="BF168">
        <v>1437.430560891451</v>
      </c>
      <c r="BG168">
        <v>97266.134620321536</v>
      </c>
      <c r="BI168">
        <v>97266.134620321536</v>
      </c>
      <c r="BJ168">
        <v>3890.6453848128617</v>
      </c>
      <c r="BK168">
        <v>101156.78000513439</v>
      </c>
      <c r="BL168">
        <v>6069.4068003080638</v>
      </c>
      <c r="BM168">
        <v>107226.18680544246</v>
      </c>
      <c r="BN168">
        <v>13939.40428470752</v>
      </c>
      <c r="BO168">
        <v>121165.59109014996</v>
      </c>
      <c r="BP168">
        <v>35</v>
      </c>
      <c r="BQ168">
        <v>121200.59109014996</v>
      </c>
      <c r="BS168">
        <v>121200.59109014996</v>
      </c>
      <c r="BT168" s="238">
        <v>121200.59</v>
      </c>
      <c r="BU168" s="238">
        <v>7272100</v>
      </c>
      <c r="BV168">
        <v>300000</v>
      </c>
      <c r="BW168">
        <v>0.03</v>
      </c>
      <c r="BX168" s="238">
        <v>518163</v>
      </c>
      <c r="BY168" s="238">
        <v>112565.61666666668</v>
      </c>
      <c r="BZ168" s="238">
        <v>6753937</v>
      </c>
      <c r="CA168" s="238" t="s">
        <v>36</v>
      </c>
      <c r="CC168">
        <v>112565.61666666668</v>
      </c>
      <c r="CD168" s="238">
        <v>0</v>
      </c>
      <c r="CE168" s="238">
        <v>6753937</v>
      </c>
      <c r="CG168" t="s">
        <v>8585</v>
      </c>
      <c r="CH168" s="238" t="s">
        <v>8956</v>
      </c>
      <c r="CI168" s="238" t="s">
        <v>8956</v>
      </c>
      <c r="CJ168" t="s">
        <v>8953</v>
      </c>
      <c r="CK168" t="s">
        <v>8957</v>
      </c>
      <c r="CL168" t="s">
        <v>8961</v>
      </c>
      <c r="CM168" t="s">
        <v>8971</v>
      </c>
      <c r="CN168" s="238" t="b">
        <v>1</v>
      </c>
      <c r="CO168" t="s">
        <v>5456</v>
      </c>
      <c r="CQ168" t="s">
        <v>6652</v>
      </c>
      <c r="CR168" t="s">
        <v>3124</v>
      </c>
      <c r="CS168" t="s">
        <v>36</v>
      </c>
      <c r="CT168" t="b">
        <v>1</v>
      </c>
      <c r="CU168">
        <v>7272100</v>
      </c>
      <c r="CV168">
        <v>7272100</v>
      </c>
      <c r="CW168">
        <v>0</v>
      </c>
      <c r="CX168">
        <v>0</v>
      </c>
      <c r="CY168">
        <v>0</v>
      </c>
      <c r="CZ168" t="b">
        <v>1</v>
      </c>
      <c r="DA168" t="s">
        <v>4246</v>
      </c>
      <c r="DB168" t="s">
        <v>1167</v>
      </c>
      <c r="DC168">
        <v>-3.653271338425856E-3</v>
      </c>
      <c r="DD168">
        <v>-411.23274106056527</v>
      </c>
      <c r="DE168" s="420" t="str" cm="1">
        <f t="array" ref="DE16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69" spans="1:109" x14ac:dyDescent="0.25">
      <c r="A169" s="238">
        <v>168</v>
      </c>
      <c r="B169" s="238" t="s">
        <v>5</v>
      </c>
      <c r="C169" s="238">
        <v>9</v>
      </c>
      <c r="D169" s="238">
        <v>2</v>
      </c>
      <c r="E169" s="238">
        <v>0</v>
      </c>
      <c r="F169" s="238">
        <v>7.13</v>
      </c>
      <c r="G169" s="238"/>
      <c r="H169" s="238"/>
      <c r="I169">
        <v>7.13</v>
      </c>
      <c r="J169" s="238">
        <v>5.12</v>
      </c>
      <c r="K169" s="238">
        <v>3.65</v>
      </c>
      <c r="L169" s="238"/>
      <c r="M169" s="238"/>
      <c r="N169" s="238">
        <v>6.92</v>
      </c>
      <c r="O169" s="238">
        <v>2.91</v>
      </c>
      <c r="P169" s="238"/>
      <c r="R169" s="238">
        <v>2.91</v>
      </c>
      <c r="S169">
        <v>25.73</v>
      </c>
      <c r="T169">
        <v>22.82</v>
      </c>
      <c r="U169" s="238">
        <v>24.28</v>
      </c>
      <c r="V169">
        <v>24.25</v>
      </c>
      <c r="W169" s="238">
        <v>90229.544999999998</v>
      </c>
      <c r="X169">
        <v>4511.4772499999999</v>
      </c>
      <c r="Y169">
        <v>94741.022249999995</v>
      </c>
      <c r="Z169">
        <v>2842.2306674999995</v>
      </c>
      <c r="AA169">
        <v>97583.252917499995</v>
      </c>
      <c r="AB169">
        <v>14637.487937624999</v>
      </c>
      <c r="AC169">
        <v>112220.740855125</v>
      </c>
      <c r="AE169">
        <v>112220.740855125</v>
      </c>
      <c r="AG169">
        <v>112220.740855125</v>
      </c>
      <c r="AI169">
        <v>112220.740855125</v>
      </c>
      <c r="AJ169">
        <v>1122.20740855125</v>
      </c>
      <c r="AK169">
        <v>113342.94826367624</v>
      </c>
      <c r="AL169">
        <v>5667.1474131838122</v>
      </c>
      <c r="AM169">
        <v>119010.09567686006</v>
      </c>
      <c r="AO169">
        <v>119010.09567686006</v>
      </c>
      <c r="AP169">
        <v>3570.3028703058017</v>
      </c>
      <c r="AQ169">
        <v>122580.39854716588</v>
      </c>
      <c r="AS169">
        <v>122580.39854716588</v>
      </c>
      <c r="AU169">
        <v>122580.39854716588</v>
      </c>
      <c r="AW169">
        <v>122580.39854716588</v>
      </c>
      <c r="AY169">
        <v>122580.39854716588</v>
      </c>
      <c r="AZ169">
        <v>2451.6079709433175</v>
      </c>
      <c r="BA169">
        <v>125032.00651810918</v>
      </c>
      <c r="BC169">
        <v>125032.00651810918</v>
      </c>
      <c r="BE169">
        <v>125032.00651810918</v>
      </c>
      <c r="BF169">
        <v>1875.4800977716377</v>
      </c>
      <c r="BG169">
        <v>126907.4866158808</v>
      </c>
      <c r="BH169">
        <v>500</v>
      </c>
      <c r="BI169">
        <v>127407.4866158808</v>
      </c>
      <c r="BK169">
        <v>127407.4866158808</v>
      </c>
      <c r="BL169">
        <v>5096.2994646352327</v>
      </c>
      <c r="BM169">
        <v>132503.78608051606</v>
      </c>
      <c r="BN169">
        <v>17225.492190467088</v>
      </c>
      <c r="BO169">
        <v>149729.27827098314</v>
      </c>
      <c r="BP169">
        <v>35</v>
      </c>
      <c r="BQ169">
        <v>149764.27827098314</v>
      </c>
      <c r="BS169">
        <v>149764.27827098314</v>
      </c>
      <c r="BT169" s="238">
        <v>149764.28</v>
      </c>
      <c r="BU169" s="238">
        <v>3631800</v>
      </c>
      <c r="BX169" s="238">
        <v>0</v>
      </c>
      <c r="BY169" s="238">
        <v>149764.94845360826</v>
      </c>
      <c r="BZ169" s="238">
        <v>3631800</v>
      </c>
      <c r="CA169" s="238" t="s">
        <v>36</v>
      </c>
      <c r="CC169">
        <v>149764.94845360826</v>
      </c>
      <c r="CD169" s="238">
        <v>0</v>
      </c>
      <c r="CE169" s="238">
        <v>3631800.0000000009</v>
      </c>
      <c r="CH169" s="238" t="s">
        <v>3</v>
      </c>
      <c r="CI169" s="238" t="s">
        <v>3</v>
      </c>
      <c r="CJ169" t="s">
        <v>8951</v>
      </c>
      <c r="CK169" t="s">
        <v>1167</v>
      </c>
      <c r="CL169" t="s">
        <v>8961</v>
      </c>
      <c r="CM169" t="s">
        <v>8970</v>
      </c>
      <c r="CN169" s="238" t="b">
        <v>1</v>
      </c>
      <c r="CO169" t="s">
        <v>5457</v>
      </c>
      <c r="CQ169" t="s">
        <v>6652</v>
      </c>
      <c r="CR169" t="s">
        <v>3124</v>
      </c>
      <c r="CS169" t="s">
        <v>36</v>
      </c>
      <c r="CT169" t="b">
        <v>1</v>
      </c>
      <c r="CU169">
        <v>3631800</v>
      </c>
      <c r="CV169">
        <v>3631800</v>
      </c>
      <c r="CW169">
        <v>0</v>
      </c>
      <c r="CX169">
        <v>0</v>
      </c>
      <c r="CY169">
        <v>0</v>
      </c>
      <c r="CZ169" t="b">
        <v>1</v>
      </c>
      <c r="DA169" t="s">
        <v>4246</v>
      </c>
      <c r="DB169" t="s">
        <v>1167</v>
      </c>
      <c r="DC169">
        <v>-1.2355848434926209E-3</v>
      </c>
      <c r="DD169">
        <v>-185.04730039573201</v>
      </c>
      <c r="DE169" s="420" t="str" cm="1">
        <f t="array" ref="DE16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70" spans="1:109" hidden="1" x14ac:dyDescent="0.25">
      <c r="A170" s="238">
        <v>169</v>
      </c>
      <c r="B170" s="238" t="s">
        <v>5</v>
      </c>
      <c r="C170" s="238">
        <v>9</v>
      </c>
      <c r="D170" s="238">
        <v>3</v>
      </c>
      <c r="E170" s="238">
        <v>2</v>
      </c>
      <c r="F170" s="238">
        <v>14.6</v>
      </c>
      <c r="G170" s="238">
        <v>13.12</v>
      </c>
      <c r="H170" s="238"/>
      <c r="I170">
        <v>27.72</v>
      </c>
      <c r="J170" s="238">
        <v>14.35</v>
      </c>
      <c r="K170" s="238">
        <v>3.68</v>
      </c>
      <c r="L170" s="238">
        <v>2.57</v>
      </c>
      <c r="M170" s="238"/>
      <c r="N170" s="238">
        <v>7.95</v>
      </c>
      <c r="O170" s="238">
        <v>2.65</v>
      </c>
      <c r="P170" s="238"/>
      <c r="R170" s="238">
        <v>2.65</v>
      </c>
      <c r="S170">
        <v>58.92</v>
      </c>
      <c r="T170">
        <v>56.27</v>
      </c>
      <c r="U170" s="238">
        <v>57.6</v>
      </c>
      <c r="V170">
        <v>57.45</v>
      </c>
      <c r="W170" s="238">
        <v>78763.482000000004</v>
      </c>
      <c r="X170">
        <v>3938.1741000000002</v>
      </c>
      <c r="Y170">
        <v>82701.656099999993</v>
      </c>
      <c r="Z170">
        <v>2481.0496830000002</v>
      </c>
      <c r="AA170">
        <v>85182.705783000012</v>
      </c>
      <c r="AC170">
        <v>85182.705783000012</v>
      </c>
      <c r="AE170">
        <v>85182.705783000012</v>
      </c>
      <c r="AG170">
        <v>85182.705783000012</v>
      </c>
      <c r="AI170">
        <v>85182.705783000012</v>
      </c>
      <c r="AJ170">
        <v>851.82705783000017</v>
      </c>
      <c r="AK170">
        <v>86034.532840830012</v>
      </c>
      <c r="AL170">
        <v>4301.7266420415008</v>
      </c>
      <c r="AM170">
        <v>90336.259482871508</v>
      </c>
      <c r="AO170">
        <v>90336.259482871508</v>
      </c>
      <c r="AQ170">
        <v>90336.259482871508</v>
      </c>
      <c r="AS170">
        <v>90336.259482871508</v>
      </c>
      <c r="AU170">
        <v>90336.259482871508</v>
      </c>
      <c r="AW170">
        <v>90336.259482871508</v>
      </c>
      <c r="AY170">
        <v>90336.259482871508</v>
      </c>
      <c r="BA170">
        <v>90336.259482871508</v>
      </c>
      <c r="BC170">
        <v>90336.259482871508</v>
      </c>
      <c r="BE170">
        <v>90336.259482871508</v>
      </c>
      <c r="BG170">
        <v>90336.259482871508</v>
      </c>
      <c r="BI170">
        <v>90336.259482871508</v>
      </c>
      <c r="BK170">
        <v>90336.259482871508</v>
      </c>
      <c r="BM170">
        <v>90336.259482871508</v>
      </c>
      <c r="BO170">
        <v>90336.259482871508</v>
      </c>
      <c r="BQ170">
        <v>90336.259482871508</v>
      </c>
      <c r="BS170">
        <v>90336.259482871508</v>
      </c>
      <c r="BT170" s="238">
        <v>90336.26</v>
      </c>
      <c r="BU170" s="238">
        <v>5203400</v>
      </c>
      <c r="BW170">
        <v>0.03</v>
      </c>
      <c r="BX170" s="238">
        <v>156102</v>
      </c>
      <c r="BY170" s="238">
        <v>87626.701388888891</v>
      </c>
      <c r="BZ170" s="238">
        <v>5047298</v>
      </c>
      <c r="CA170" s="238" t="s">
        <v>6871</v>
      </c>
      <c r="CB170">
        <v>7000</v>
      </c>
      <c r="CC170">
        <v>94626.701388888891</v>
      </c>
      <c r="CD170" s="238">
        <v>403200</v>
      </c>
      <c r="CE170" s="238">
        <v>5450498</v>
      </c>
      <c r="CF170" t="s">
        <v>4633</v>
      </c>
      <c r="CG170" t="s">
        <v>978</v>
      </c>
      <c r="CH170" s="238" t="s">
        <v>39</v>
      </c>
      <c r="CI170" s="238" t="s">
        <v>39</v>
      </c>
      <c r="CJ170" t="s">
        <v>8950</v>
      </c>
      <c r="CK170" t="s">
        <v>1167</v>
      </c>
      <c r="CL170" t="s">
        <v>8961</v>
      </c>
      <c r="CM170" t="s">
        <v>8971</v>
      </c>
      <c r="CN170" s="238" t="b">
        <v>1</v>
      </c>
      <c r="CO170" t="s">
        <v>5458</v>
      </c>
      <c r="CQ170" t="s">
        <v>6652</v>
      </c>
      <c r="CR170" t="s">
        <v>3246</v>
      </c>
      <c r="CS170" t="s">
        <v>6871</v>
      </c>
      <c r="CT170" t="b">
        <v>1</v>
      </c>
      <c r="CU170">
        <v>5203400</v>
      </c>
      <c r="CV170" t="s">
        <v>9002</v>
      </c>
      <c r="CW170">
        <v>0</v>
      </c>
      <c r="CX170">
        <v>5203400</v>
      </c>
      <c r="CY170">
        <v>0</v>
      </c>
      <c r="CZ170" t="b">
        <v>1</v>
      </c>
      <c r="DA170">
        <v>45372</v>
      </c>
      <c r="DB170" t="s">
        <v>126</v>
      </c>
      <c r="DC170">
        <v>-2.6041666666667407E-3</v>
      </c>
      <c r="DD170">
        <v>-228.19453486690463</v>
      </c>
      <c r="DE170" s="420" cm="1">
        <f t="array" ref="DE170">_xlfn.XLOOKUP("Дом 5"&amp;Реестр_Д5[[#This Row],[№]]&amp;Реестр_Д5[[#This Row],[Статус]],РД[Дом]&amp;РД[№ кв]&amp;РД[Состояние],РД[Дата подачи на регистрацию],"-",0)</f>
        <v>45372</v>
      </c>
    </row>
    <row r="171" spans="1:109" hidden="1" x14ac:dyDescent="0.25">
      <c r="A171" s="238">
        <v>170</v>
      </c>
      <c r="B171" s="238" t="s">
        <v>5</v>
      </c>
      <c r="C171" s="238">
        <v>9</v>
      </c>
      <c r="D171" s="238">
        <v>4</v>
      </c>
      <c r="E171" s="238">
        <v>2</v>
      </c>
      <c r="F171" s="238">
        <v>15.45</v>
      </c>
      <c r="G171" s="238">
        <v>14.5</v>
      </c>
      <c r="H171" s="238"/>
      <c r="I171">
        <v>29.95</v>
      </c>
      <c r="J171" s="238">
        <v>11.95</v>
      </c>
      <c r="K171" s="238">
        <v>3.86</v>
      </c>
      <c r="L171" s="238">
        <v>2.37</v>
      </c>
      <c r="M171" s="238"/>
      <c r="N171" s="238">
        <v>8.8699999999999992</v>
      </c>
      <c r="O171" s="238">
        <v>2.62</v>
      </c>
      <c r="P171" s="238"/>
      <c r="R171" s="238">
        <v>2.62</v>
      </c>
      <c r="S171">
        <v>59.62</v>
      </c>
      <c r="T171">
        <v>57</v>
      </c>
      <c r="U171" s="238">
        <v>58.31</v>
      </c>
      <c r="V171">
        <v>57.95</v>
      </c>
      <c r="W171" s="238">
        <v>79921.768500000006</v>
      </c>
      <c r="X171">
        <v>3996.0884249999999</v>
      </c>
      <c r="Y171">
        <v>83917.856925</v>
      </c>
      <c r="Z171">
        <v>2517.5357077499998</v>
      </c>
      <c r="AA171">
        <v>86435.392632749994</v>
      </c>
      <c r="AC171">
        <v>86435.392632749994</v>
      </c>
      <c r="AE171">
        <v>86435.392632749994</v>
      </c>
      <c r="AG171">
        <v>86435.392632749994</v>
      </c>
      <c r="AI171">
        <v>86435.392632749994</v>
      </c>
      <c r="AK171">
        <v>86435.392632749994</v>
      </c>
      <c r="AM171">
        <v>86435.392632749994</v>
      </c>
      <c r="AO171">
        <v>86435.392632749994</v>
      </c>
      <c r="AQ171">
        <v>86435.392632749994</v>
      </c>
      <c r="AS171">
        <v>86435.392632749994</v>
      </c>
      <c r="AU171">
        <v>86435.392632749994</v>
      </c>
      <c r="AW171">
        <v>86435.392632749994</v>
      </c>
      <c r="AY171">
        <v>86435.392632749994</v>
      </c>
      <c r="BA171">
        <v>86435.392632749994</v>
      </c>
      <c r="BC171">
        <v>86435.392632749994</v>
      </c>
      <c r="BE171">
        <v>86435.392632749994</v>
      </c>
      <c r="BG171">
        <v>86435.392632749994</v>
      </c>
      <c r="BI171">
        <v>86435.392632749994</v>
      </c>
      <c r="BK171">
        <v>86435.392632749994</v>
      </c>
      <c r="BM171">
        <v>86435.392632749994</v>
      </c>
      <c r="BO171">
        <v>86435.392632749994</v>
      </c>
      <c r="BQ171">
        <v>86435.392632749994</v>
      </c>
      <c r="BS171">
        <v>86435.392632749994</v>
      </c>
      <c r="BT171" s="238">
        <v>86435.39</v>
      </c>
      <c r="BU171" s="238">
        <v>5040047.59</v>
      </c>
      <c r="BW171">
        <v>0.02</v>
      </c>
      <c r="BX171" s="238">
        <v>100800.9518</v>
      </c>
      <c r="BY171" s="238">
        <v>84706.682215743436</v>
      </c>
      <c r="BZ171" s="238">
        <v>4939246.6399999997</v>
      </c>
      <c r="CA171" s="238" t="s">
        <v>37</v>
      </c>
      <c r="CB171">
        <v>7500</v>
      </c>
      <c r="CC171">
        <v>92206.682215743436</v>
      </c>
      <c r="CD171" s="238">
        <v>437325</v>
      </c>
      <c r="CE171" s="238">
        <v>5376571.6399999997</v>
      </c>
      <c r="CG171" t="s">
        <v>3540</v>
      </c>
      <c r="CH171" s="238" t="s">
        <v>39</v>
      </c>
      <c r="CI171" s="238" t="s">
        <v>39</v>
      </c>
      <c r="CJ171" t="s">
        <v>8950</v>
      </c>
      <c r="CK171" t="s">
        <v>1167</v>
      </c>
      <c r="CL171" t="s">
        <v>8961</v>
      </c>
      <c r="CM171" t="s">
        <v>8974</v>
      </c>
      <c r="CN171" s="238" t="b">
        <v>1</v>
      </c>
      <c r="CO171" t="s">
        <v>5459</v>
      </c>
      <c r="CQ171" t="s">
        <v>4895</v>
      </c>
      <c r="CR171" t="s">
        <v>3246</v>
      </c>
      <c r="CS171" t="s">
        <v>37</v>
      </c>
      <c r="CT171" t="b">
        <v>1</v>
      </c>
      <c r="CU171">
        <v>5040047.59</v>
      </c>
      <c r="CV171" t="s">
        <v>9002</v>
      </c>
      <c r="CW171">
        <v>0</v>
      </c>
      <c r="CX171">
        <v>5040048</v>
      </c>
      <c r="CY171">
        <v>0</v>
      </c>
      <c r="CZ171" t="b">
        <v>1</v>
      </c>
      <c r="DA171">
        <v>45247</v>
      </c>
      <c r="DB171" t="s">
        <v>126</v>
      </c>
      <c r="DC171">
        <v>-6.1738981306809215E-3</v>
      </c>
      <c r="DD171">
        <v>-522.97042698796122</v>
      </c>
      <c r="DE171" s="420" cm="1">
        <f t="array" ref="DE171">_xlfn.XLOOKUP("Дом 5"&amp;Реестр_Д5[[#This Row],[№]]&amp;Реестр_Д5[[#This Row],[Статус]],РД[Дом]&amp;РД[№ кв]&amp;РД[Состояние],РД[Дата подачи на регистрацию],"-",0)</f>
        <v>45247</v>
      </c>
    </row>
    <row r="172" spans="1:109" hidden="1" x14ac:dyDescent="0.25">
      <c r="A172" s="238">
        <v>171</v>
      </c>
      <c r="B172" s="238" t="s">
        <v>5</v>
      </c>
      <c r="C172" s="238">
        <v>9</v>
      </c>
      <c r="D172" s="238">
        <v>5</v>
      </c>
      <c r="E172" s="238">
        <v>1</v>
      </c>
      <c r="F172" s="238">
        <v>12.06</v>
      </c>
      <c r="G172" s="238"/>
      <c r="H172" s="238"/>
      <c r="I172">
        <v>12.06</v>
      </c>
      <c r="J172" s="238">
        <v>13.18</v>
      </c>
      <c r="K172" s="238">
        <v>4.1100000000000003</v>
      </c>
      <c r="L172" s="238"/>
      <c r="M172" s="238"/>
      <c r="N172" s="238">
        <v>7.09</v>
      </c>
      <c r="O172" s="238">
        <v>2.84</v>
      </c>
      <c r="P172" s="238"/>
      <c r="R172" s="238">
        <v>2.84</v>
      </c>
      <c r="S172">
        <v>39.28</v>
      </c>
      <c r="T172">
        <v>36.44</v>
      </c>
      <c r="U172" s="238">
        <v>37.86</v>
      </c>
      <c r="V172">
        <v>37.700000000000003</v>
      </c>
      <c r="W172" s="238">
        <v>87601.5</v>
      </c>
      <c r="X172">
        <v>4380.0749999999998</v>
      </c>
      <c r="Y172">
        <v>91981.574999999997</v>
      </c>
      <c r="Z172">
        <v>2759.4472499999997</v>
      </c>
      <c r="AA172">
        <v>94741.022249999995</v>
      </c>
      <c r="AB172">
        <v>4263.34600125</v>
      </c>
      <c r="AC172">
        <v>99004.368251249995</v>
      </c>
      <c r="AE172">
        <v>99004.368251249995</v>
      </c>
      <c r="AF172">
        <v>4950.2184125624999</v>
      </c>
      <c r="AG172">
        <v>103954.5866638125</v>
      </c>
      <c r="AI172">
        <v>103954.5866638125</v>
      </c>
      <c r="AJ172">
        <v>1039.5458666381253</v>
      </c>
      <c r="AK172">
        <v>104994.13253045065</v>
      </c>
      <c r="AL172">
        <v>5249.7066265225321</v>
      </c>
      <c r="AM172">
        <v>110243.83915697316</v>
      </c>
      <c r="AO172">
        <v>110243.83915697316</v>
      </c>
      <c r="AP172">
        <v>3307.3151747091947</v>
      </c>
      <c r="AQ172">
        <v>113551.15433168237</v>
      </c>
      <c r="AS172">
        <v>113551.15433168237</v>
      </c>
      <c r="AU172">
        <v>113551.15433168237</v>
      </c>
      <c r="AW172">
        <v>113551.15433168237</v>
      </c>
      <c r="AY172">
        <v>113551.15433168237</v>
      </c>
      <c r="AZ172">
        <v>1135.5115433168237</v>
      </c>
      <c r="BA172">
        <v>114686.66587499918</v>
      </c>
      <c r="BB172">
        <v>573.43332937499588</v>
      </c>
      <c r="BC172">
        <v>115260.09920437416</v>
      </c>
      <c r="BE172">
        <v>115260.09920437416</v>
      </c>
      <c r="BF172">
        <v>2881.5024801093546</v>
      </c>
      <c r="BG172">
        <v>118141.60168448352</v>
      </c>
      <c r="BI172">
        <v>118141.60168448352</v>
      </c>
      <c r="BK172">
        <v>118141.60168448352</v>
      </c>
      <c r="BM172">
        <v>118141.60168448352</v>
      </c>
      <c r="BO172">
        <v>118141.60168448352</v>
      </c>
      <c r="BQ172">
        <v>118141.60168448352</v>
      </c>
      <c r="BS172">
        <v>118141.60168448352</v>
      </c>
      <c r="BT172" s="238">
        <v>118141.6</v>
      </c>
      <c r="BU172" s="238">
        <v>4472900</v>
      </c>
      <c r="BW172">
        <v>0.03</v>
      </c>
      <c r="BX172" s="238">
        <v>134187</v>
      </c>
      <c r="BY172" s="238">
        <v>114598.86423666138</v>
      </c>
      <c r="BZ172" s="238">
        <v>4338713</v>
      </c>
      <c r="CA172" s="238" t="s">
        <v>38</v>
      </c>
      <c r="CB172">
        <v>24000</v>
      </c>
      <c r="CC172">
        <v>138598.86423666138</v>
      </c>
      <c r="CD172" s="238">
        <v>908640</v>
      </c>
      <c r="CE172" s="238">
        <v>5247353</v>
      </c>
      <c r="CG172" t="s">
        <v>978</v>
      </c>
      <c r="CH172" s="238" t="s">
        <v>39</v>
      </c>
      <c r="CI172" s="238" t="s">
        <v>39</v>
      </c>
      <c r="CJ172" t="s">
        <v>8950</v>
      </c>
      <c r="CK172" t="s">
        <v>1167</v>
      </c>
      <c r="CL172" t="s">
        <v>8961</v>
      </c>
      <c r="CM172" t="s">
        <v>8973</v>
      </c>
      <c r="CN172" s="238" t="b">
        <v>1</v>
      </c>
      <c r="CO172" t="s">
        <v>5460</v>
      </c>
      <c r="CQ172" t="s">
        <v>6652</v>
      </c>
      <c r="CR172" t="s">
        <v>3246</v>
      </c>
      <c r="CS172" t="s">
        <v>38</v>
      </c>
      <c r="CT172" t="b">
        <v>1</v>
      </c>
      <c r="CU172">
        <v>4472900</v>
      </c>
      <c r="CV172" t="s">
        <v>9002</v>
      </c>
      <c r="CW172">
        <v>0</v>
      </c>
      <c r="CX172">
        <v>4472900</v>
      </c>
      <c r="CY172">
        <v>0</v>
      </c>
      <c r="CZ172" t="b">
        <v>1</v>
      </c>
      <c r="DA172">
        <v>45594</v>
      </c>
      <c r="DB172" t="s">
        <v>4177</v>
      </c>
      <c r="DC172">
        <v>-4.2260961436871858E-3</v>
      </c>
      <c r="DD172">
        <v>-484.30581822148599</v>
      </c>
      <c r="DE172" s="420" cm="1">
        <f t="array" ref="DE172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173" spans="1:109" hidden="1" x14ac:dyDescent="0.25">
      <c r="A173" s="238">
        <v>172</v>
      </c>
      <c r="B173" s="238" t="s">
        <v>5</v>
      </c>
      <c r="C173" s="238">
        <v>9</v>
      </c>
      <c r="D173" s="238">
        <v>6</v>
      </c>
      <c r="E173" s="238">
        <v>3</v>
      </c>
      <c r="F173" s="238">
        <v>17.89</v>
      </c>
      <c r="G173" s="238">
        <v>17.2</v>
      </c>
      <c r="H173" s="238">
        <v>14.31</v>
      </c>
      <c r="I173">
        <v>49.400000000000006</v>
      </c>
      <c r="J173" s="238">
        <v>13.39</v>
      </c>
      <c r="K173" s="238">
        <v>4.2</v>
      </c>
      <c r="L173" s="238">
        <v>2.0499999999999998</v>
      </c>
      <c r="M173" s="238"/>
      <c r="N173" s="238">
        <v>13.21</v>
      </c>
      <c r="O173" s="238">
        <v>2.79</v>
      </c>
      <c r="P173" s="238">
        <v>2.68</v>
      </c>
      <c r="R173" s="238">
        <v>5.4700000000000006</v>
      </c>
      <c r="S173">
        <v>87.72</v>
      </c>
      <c r="T173">
        <v>82.25</v>
      </c>
      <c r="U173" s="238">
        <v>84.99</v>
      </c>
      <c r="V173">
        <v>84.749999999999986</v>
      </c>
      <c r="W173" s="238">
        <v>72092.789999999994</v>
      </c>
      <c r="X173">
        <v>3604.6395000000007</v>
      </c>
      <c r="Y173">
        <v>75697.429500000013</v>
      </c>
      <c r="Z173">
        <v>2270.9228850000004</v>
      </c>
      <c r="AA173">
        <v>77968.35238500002</v>
      </c>
      <c r="AC173">
        <v>77968.35238500002</v>
      </c>
      <c r="AE173">
        <v>77968.35238500002</v>
      </c>
      <c r="AG173">
        <v>77968.35238500002</v>
      </c>
      <c r="AI173">
        <v>77968.35238500002</v>
      </c>
      <c r="AJ173">
        <v>779.68352385000037</v>
      </c>
      <c r="AK173">
        <v>78748.035908850026</v>
      </c>
      <c r="AL173">
        <v>3937.4017954425017</v>
      </c>
      <c r="AM173">
        <v>82685.437704292533</v>
      </c>
      <c r="AO173">
        <v>82685.437704292533</v>
      </c>
      <c r="AP173">
        <v>1653.7087540858506</v>
      </c>
      <c r="AQ173">
        <v>84339.146458378382</v>
      </c>
      <c r="AS173">
        <v>84339.146458378382</v>
      </c>
      <c r="AT173">
        <v>1686.7829291675678</v>
      </c>
      <c r="AU173">
        <v>86025.929387545955</v>
      </c>
      <c r="AW173">
        <v>86025.929387545955</v>
      </c>
      <c r="AX173">
        <v>860.25929387545955</v>
      </c>
      <c r="AY173">
        <v>86886.188681421409</v>
      </c>
      <c r="BA173">
        <v>86886.188681421409</v>
      </c>
      <c r="BC173">
        <v>86886.188681421409</v>
      </c>
      <c r="BD173">
        <v>1737.7237736284285</v>
      </c>
      <c r="BE173">
        <v>88623.912455049838</v>
      </c>
      <c r="BF173">
        <v>1329.3586868257476</v>
      </c>
      <c r="BG173">
        <v>89953.271141875579</v>
      </c>
      <c r="BI173">
        <v>89953.271141875579</v>
      </c>
      <c r="BJ173">
        <v>3598.130845675023</v>
      </c>
      <c r="BK173">
        <v>93551.401987550606</v>
      </c>
      <c r="BL173">
        <v>4677.5700993775308</v>
      </c>
      <c r="BM173">
        <v>98228.972086928115</v>
      </c>
      <c r="BN173">
        <v>12769.766371300657</v>
      </c>
      <c r="BO173">
        <v>110998.73845822881</v>
      </c>
      <c r="BP173">
        <v>35</v>
      </c>
      <c r="BQ173">
        <v>111033.73845822881</v>
      </c>
      <c r="BS173">
        <v>111033.73845822881</v>
      </c>
      <c r="BT173" s="238">
        <v>111033.74</v>
      </c>
      <c r="BU173" s="238">
        <v>9436800</v>
      </c>
      <c r="BV173">
        <v>400000</v>
      </c>
      <c r="BW173">
        <v>0.03</v>
      </c>
      <c r="BX173" s="238">
        <v>683104</v>
      </c>
      <c r="BY173" s="238">
        <v>102996.77609130488</v>
      </c>
      <c r="BZ173" s="238">
        <v>8753696</v>
      </c>
      <c r="CA173" s="238" t="s">
        <v>36</v>
      </c>
      <c r="CC173">
        <v>102996.77609130488</v>
      </c>
      <c r="CD173" s="238">
        <v>0</v>
      </c>
      <c r="CE173" s="238">
        <v>8753696</v>
      </c>
      <c r="CG173" t="s">
        <v>8592</v>
      </c>
      <c r="CH173" s="238" t="s">
        <v>39</v>
      </c>
      <c r="CI173" s="238" t="s">
        <v>39</v>
      </c>
      <c r="CJ173" t="s">
        <v>8950</v>
      </c>
      <c r="CK173" t="s">
        <v>1167</v>
      </c>
      <c r="CL173" t="s">
        <v>8961</v>
      </c>
      <c r="CM173" t="s">
        <v>8975</v>
      </c>
      <c r="CN173" s="238" t="b">
        <v>1</v>
      </c>
      <c r="CO173" t="s">
        <v>5461</v>
      </c>
      <c r="CQ173" t="s">
        <v>6652</v>
      </c>
      <c r="CR173" t="s">
        <v>3246</v>
      </c>
      <c r="CS173" t="s">
        <v>36</v>
      </c>
      <c r="CT173" t="b">
        <v>1</v>
      </c>
      <c r="CU173">
        <v>9436800</v>
      </c>
      <c r="CV173" t="s">
        <v>9002</v>
      </c>
      <c r="CW173">
        <v>0</v>
      </c>
      <c r="CX173">
        <v>9436800</v>
      </c>
      <c r="CY173">
        <v>0</v>
      </c>
      <c r="CZ173" t="b">
        <v>1</v>
      </c>
      <c r="DA173">
        <v>45744</v>
      </c>
      <c r="DB173" t="s">
        <v>5215</v>
      </c>
      <c r="DC173">
        <v>-2.8238616307801889E-3</v>
      </c>
      <c r="DD173">
        <v>-290.84864409829413</v>
      </c>
      <c r="DE173" s="420" cm="1">
        <f t="array" ref="DE173">_xlfn.XLOOKUP("Дом 5"&amp;Реестр_Д5[[#This Row],[№]]&amp;Реестр_Д5[[#This Row],[Статус]],РД[Дом]&amp;РД[№ кв]&amp;РД[Состояние],РД[Дата подачи на регистрацию],"-",0)</f>
        <v>45744</v>
      </c>
    </row>
    <row r="174" spans="1:109" hidden="1" x14ac:dyDescent="0.25">
      <c r="A174" s="238">
        <v>173</v>
      </c>
      <c r="B174" s="238" t="s">
        <v>5</v>
      </c>
      <c r="C174" s="238">
        <v>9</v>
      </c>
      <c r="D174" s="238">
        <v>7</v>
      </c>
      <c r="E174" s="238">
        <v>1</v>
      </c>
      <c r="F174" s="238">
        <v>17.89</v>
      </c>
      <c r="G174" s="238"/>
      <c r="H174" s="238"/>
      <c r="I174">
        <v>17.89</v>
      </c>
      <c r="J174" s="238">
        <v>13.04</v>
      </c>
      <c r="K174" s="238">
        <v>3.9</v>
      </c>
      <c r="L174" s="238"/>
      <c r="M174" s="238"/>
      <c r="N174" s="238">
        <v>6.12</v>
      </c>
      <c r="O174" s="238">
        <v>2.65</v>
      </c>
      <c r="P174" s="238"/>
      <c r="R174" s="238">
        <v>2.65</v>
      </c>
      <c r="S174">
        <v>43.6</v>
      </c>
      <c r="T174">
        <v>40.950000000000003</v>
      </c>
      <c r="U174" s="238">
        <v>42.28</v>
      </c>
      <c r="V174">
        <v>42.25</v>
      </c>
      <c r="W174" s="238">
        <v>83951.4375</v>
      </c>
      <c r="X174">
        <v>4197.5718750000005</v>
      </c>
      <c r="Y174">
        <v>88149.009374999994</v>
      </c>
      <c r="Z174">
        <v>2644.4702812499995</v>
      </c>
      <c r="AA174">
        <v>90793.479656249998</v>
      </c>
      <c r="AB174">
        <v>2723.8043896874997</v>
      </c>
      <c r="AC174">
        <v>93517.2840459375</v>
      </c>
      <c r="AE174">
        <v>93517.2840459375</v>
      </c>
      <c r="AF174">
        <v>4675.8642022968752</v>
      </c>
      <c r="AG174">
        <v>98193.148248234371</v>
      </c>
      <c r="AI174">
        <v>98193.148248234371</v>
      </c>
      <c r="AJ174">
        <v>981.93148248234388</v>
      </c>
      <c r="AK174">
        <v>99175.079730716709</v>
      </c>
      <c r="AL174">
        <v>4958.7539865358358</v>
      </c>
      <c r="AM174">
        <v>104133.83371725256</v>
      </c>
      <c r="AO174">
        <v>104133.83371725256</v>
      </c>
      <c r="AP174">
        <v>3124.015011517577</v>
      </c>
      <c r="AQ174">
        <v>107257.84872877011</v>
      </c>
      <c r="AS174">
        <v>107257.84872877011</v>
      </c>
      <c r="AU174">
        <v>107257.84872877011</v>
      </c>
      <c r="AW174">
        <v>107257.84872877011</v>
      </c>
      <c r="AX174">
        <v>1072.5784872877014</v>
      </c>
      <c r="AY174">
        <v>108330.42721605784</v>
      </c>
      <c r="BA174">
        <v>108330.42721605784</v>
      </c>
      <c r="BC174">
        <v>108330.42721605784</v>
      </c>
      <c r="BE174">
        <v>108330.42721605784</v>
      </c>
      <c r="BG174">
        <v>108330.42721605784</v>
      </c>
      <c r="BI174">
        <v>108330.42721605784</v>
      </c>
      <c r="BK174">
        <v>108330.42721605784</v>
      </c>
      <c r="BM174">
        <v>108330.42721605784</v>
      </c>
      <c r="BO174">
        <v>108330.42721605784</v>
      </c>
      <c r="BQ174">
        <v>108330.42721605784</v>
      </c>
      <c r="BS174">
        <v>108330.42721605784</v>
      </c>
      <c r="BT174" s="238">
        <v>108330.43</v>
      </c>
      <c r="BU174" s="238">
        <v>4580300</v>
      </c>
      <c r="BX174" s="238">
        <v>0</v>
      </c>
      <c r="BY174" s="238">
        <v>108332.54493850521</v>
      </c>
      <c r="BZ174" s="238">
        <v>4580300</v>
      </c>
      <c r="CA174" s="238" t="s">
        <v>6871</v>
      </c>
      <c r="CB174">
        <v>7000</v>
      </c>
      <c r="CC174">
        <v>115332.54493850521</v>
      </c>
      <c r="CD174" s="238">
        <v>295960</v>
      </c>
      <c r="CE174" s="238">
        <v>4876260</v>
      </c>
      <c r="CH174" s="238" t="s">
        <v>39</v>
      </c>
      <c r="CI174" s="238" t="s">
        <v>39</v>
      </c>
      <c r="CJ174" t="s">
        <v>8950</v>
      </c>
      <c r="CK174" t="s">
        <v>1167</v>
      </c>
      <c r="CL174" t="s">
        <v>8961</v>
      </c>
      <c r="CM174" t="s">
        <v>8973</v>
      </c>
      <c r="CN174" s="238" t="b">
        <v>1</v>
      </c>
      <c r="CO174" t="s">
        <v>5462</v>
      </c>
      <c r="CQ174" t="s">
        <v>6652</v>
      </c>
      <c r="CR174" t="s">
        <v>3246</v>
      </c>
      <c r="CS174" t="s">
        <v>6871</v>
      </c>
      <c r="CT174" t="b">
        <v>1</v>
      </c>
      <c r="CU174">
        <v>4580300</v>
      </c>
      <c r="CV174" t="s">
        <v>9002</v>
      </c>
      <c r="CW174">
        <v>0</v>
      </c>
      <c r="CX174">
        <v>4580300</v>
      </c>
      <c r="CY174">
        <v>0</v>
      </c>
      <c r="CZ174" t="b">
        <v>1</v>
      </c>
      <c r="DA174">
        <v>45465</v>
      </c>
      <c r="DB174" t="s">
        <v>4177</v>
      </c>
      <c r="DC174">
        <v>-7.0955534531691455E-4</v>
      </c>
      <c r="DD174">
        <v>-76.867936332901209</v>
      </c>
      <c r="DE174" s="420" cm="1">
        <f t="array" ref="DE174">_xlfn.XLOOKUP("Дом 5"&amp;Реестр_Д5[[#This Row],[№]]&amp;Реестр_Д5[[#This Row],[Статус]],РД[Дом]&amp;РД[№ кв]&amp;РД[Состояние],РД[Дата подачи на регистрацию],"-",0)</f>
        <v>45465</v>
      </c>
    </row>
    <row r="175" spans="1:109" hidden="1" x14ac:dyDescent="0.25">
      <c r="A175" s="238">
        <v>174</v>
      </c>
      <c r="B175" s="238" t="s">
        <v>5</v>
      </c>
      <c r="C175" s="238">
        <v>10</v>
      </c>
      <c r="D175" s="238">
        <v>1</v>
      </c>
      <c r="E175" s="238">
        <v>2</v>
      </c>
      <c r="F175" s="238">
        <v>15.91</v>
      </c>
      <c r="G175" s="238">
        <v>12.02</v>
      </c>
      <c r="H175" s="238"/>
      <c r="I175">
        <v>27.93</v>
      </c>
      <c r="J175" s="238">
        <v>15.31</v>
      </c>
      <c r="K175" s="238">
        <v>3.85</v>
      </c>
      <c r="L175" s="238">
        <v>2.2999999999999998</v>
      </c>
      <c r="M175" s="238"/>
      <c r="N175" s="238">
        <v>9.4499999999999993</v>
      </c>
      <c r="O175" s="238">
        <v>2.75</v>
      </c>
      <c r="P175" s="238"/>
      <c r="R175" s="238">
        <v>2.75</v>
      </c>
      <c r="S175">
        <v>61.59</v>
      </c>
      <c r="T175">
        <v>58.84</v>
      </c>
      <c r="U175" s="238">
        <v>60.22</v>
      </c>
      <c r="V175">
        <v>60.2</v>
      </c>
      <c r="W175" s="238">
        <v>81852.246000000014</v>
      </c>
      <c r="X175">
        <v>4092.6123000000007</v>
      </c>
      <c r="Y175">
        <v>85944.858300000022</v>
      </c>
      <c r="Z175">
        <v>2578.3457490000005</v>
      </c>
      <c r="AA175">
        <v>88523.204049000022</v>
      </c>
      <c r="AC175">
        <v>88523.204049000022</v>
      </c>
      <c r="AE175">
        <v>88523.204049000022</v>
      </c>
      <c r="AG175">
        <v>88523.204049000022</v>
      </c>
      <c r="AI175">
        <v>88523.204049000022</v>
      </c>
      <c r="AJ175">
        <v>885.23204049000037</v>
      </c>
      <c r="AK175">
        <v>89408.436089490016</v>
      </c>
      <c r="AL175">
        <v>4470.4218044745012</v>
      </c>
      <c r="AM175">
        <v>93878.857893964523</v>
      </c>
      <c r="AO175">
        <v>93878.857893964523</v>
      </c>
      <c r="AQ175">
        <v>93878.857893964523</v>
      </c>
      <c r="AS175">
        <v>93878.857893964523</v>
      </c>
      <c r="AU175">
        <v>93878.857893964523</v>
      </c>
      <c r="AW175">
        <v>93878.857893964523</v>
      </c>
      <c r="AY175">
        <v>93878.857893964523</v>
      </c>
      <c r="BA175">
        <v>93878.857893964523</v>
      </c>
      <c r="BC175">
        <v>93878.857893964523</v>
      </c>
      <c r="BE175">
        <v>93878.857893964523</v>
      </c>
      <c r="BG175">
        <v>93878.857893964523</v>
      </c>
      <c r="BI175">
        <v>93878.857893964523</v>
      </c>
      <c r="BK175">
        <v>93878.857893964523</v>
      </c>
      <c r="BM175">
        <v>93878.857893964523</v>
      </c>
      <c r="BO175">
        <v>93878.857893964523</v>
      </c>
      <c r="BQ175">
        <v>93878.857893964523</v>
      </c>
      <c r="BS175">
        <v>93878.857893964523</v>
      </c>
      <c r="BT175" s="238">
        <v>93878.86</v>
      </c>
      <c r="BU175" s="238">
        <v>5653400</v>
      </c>
      <c r="BX175" s="238">
        <v>0</v>
      </c>
      <c r="BY175" s="238">
        <v>93879.109930255727</v>
      </c>
      <c r="BZ175" s="238">
        <v>5653400</v>
      </c>
      <c r="CA175" s="238" t="s">
        <v>36</v>
      </c>
      <c r="CC175">
        <v>93879.109930255727</v>
      </c>
      <c r="CD175" s="238">
        <v>0</v>
      </c>
      <c r="CE175" s="238">
        <v>5653400</v>
      </c>
      <c r="CH175" s="238" t="s">
        <v>39</v>
      </c>
      <c r="CI175" s="238" t="s">
        <v>39</v>
      </c>
      <c r="CJ175" t="s">
        <v>8950</v>
      </c>
      <c r="CK175" t="s">
        <v>1167</v>
      </c>
      <c r="CL175" t="s">
        <v>8961</v>
      </c>
      <c r="CM175" t="s">
        <v>8971</v>
      </c>
      <c r="CN175" s="238" t="b">
        <v>1</v>
      </c>
      <c r="CO175" t="s">
        <v>5463</v>
      </c>
      <c r="CQ175" t="s">
        <v>6652</v>
      </c>
      <c r="CR175" t="s">
        <v>3246</v>
      </c>
      <c r="CS175" t="s">
        <v>36</v>
      </c>
      <c r="CT175" t="b">
        <v>1</v>
      </c>
      <c r="CU175">
        <v>5653400</v>
      </c>
      <c r="CV175" t="s">
        <v>9002</v>
      </c>
      <c r="CW175">
        <v>0</v>
      </c>
      <c r="CX175">
        <v>5653400</v>
      </c>
      <c r="CY175">
        <v>0</v>
      </c>
      <c r="CZ175" t="b">
        <v>1</v>
      </c>
      <c r="DA175">
        <v>45351</v>
      </c>
      <c r="DB175" t="s">
        <v>5215</v>
      </c>
      <c r="DC175">
        <v>-3.3211557622059296E-4</v>
      </c>
      <c r="DD175">
        <v>-31.178714689563272</v>
      </c>
      <c r="DE175" s="420" cm="1">
        <f t="array" ref="DE175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176" spans="1:109" hidden="1" x14ac:dyDescent="0.25">
      <c r="A176" s="238">
        <v>175</v>
      </c>
      <c r="B176" s="238" t="s">
        <v>5</v>
      </c>
      <c r="C176" s="238">
        <v>10</v>
      </c>
      <c r="D176" s="238">
        <v>2</v>
      </c>
      <c r="E176" s="238">
        <v>0</v>
      </c>
      <c r="F176" s="238">
        <v>7.13</v>
      </c>
      <c r="G176" s="238"/>
      <c r="H176" s="238"/>
      <c r="I176">
        <v>7.13</v>
      </c>
      <c r="J176" s="238">
        <v>5.12</v>
      </c>
      <c r="K176" s="238">
        <v>3.65</v>
      </c>
      <c r="L176" s="238"/>
      <c r="M176" s="238"/>
      <c r="N176" s="238">
        <v>6.92</v>
      </c>
      <c r="O176" s="238">
        <v>2.91</v>
      </c>
      <c r="P176" s="238"/>
      <c r="R176" s="238">
        <v>2.91</v>
      </c>
      <c r="S176">
        <v>25.73</v>
      </c>
      <c r="T176">
        <v>22.82</v>
      </c>
      <c r="U176" s="238">
        <v>24.28</v>
      </c>
      <c r="V176">
        <v>24.249999999999996</v>
      </c>
      <c r="W176" s="238">
        <v>91981.574999999997</v>
      </c>
      <c r="X176">
        <v>4599.0787499999997</v>
      </c>
      <c r="Y176">
        <v>96580.653749999998</v>
      </c>
      <c r="Z176">
        <v>2897.4196124999999</v>
      </c>
      <c r="AA176">
        <v>99478.073362499999</v>
      </c>
      <c r="AB176">
        <v>14921.711004375</v>
      </c>
      <c r="AC176">
        <v>114399.784366875</v>
      </c>
      <c r="AE176">
        <v>114399.784366875</v>
      </c>
      <c r="AG176">
        <v>114399.784366875</v>
      </c>
      <c r="AI176">
        <v>114399.784366875</v>
      </c>
      <c r="AJ176">
        <v>1143.99784366875</v>
      </c>
      <c r="AK176">
        <v>115543.78221054377</v>
      </c>
      <c r="AL176">
        <v>5777.1891105271879</v>
      </c>
      <c r="AM176">
        <v>121320.97132107096</v>
      </c>
      <c r="AO176">
        <v>121320.97132107096</v>
      </c>
      <c r="AP176">
        <v>3639.629139632128</v>
      </c>
      <c r="AQ176">
        <v>124960.60046070308</v>
      </c>
      <c r="AS176">
        <v>124960.60046070308</v>
      </c>
      <c r="AU176">
        <v>124960.60046070308</v>
      </c>
      <c r="AW176">
        <v>124960.60046070308</v>
      </c>
      <c r="AY176">
        <v>124960.60046070308</v>
      </c>
      <c r="AZ176">
        <v>2499.2120092140617</v>
      </c>
      <c r="BA176">
        <v>127459.81246991716</v>
      </c>
      <c r="BC176">
        <v>127459.81246991716</v>
      </c>
      <c r="BE176">
        <v>127459.81246991716</v>
      </c>
      <c r="BF176">
        <v>1911.8971870487571</v>
      </c>
      <c r="BG176">
        <v>129371.7096569659</v>
      </c>
      <c r="BH176">
        <v>500</v>
      </c>
      <c r="BI176">
        <v>129871.7096569659</v>
      </c>
      <c r="BK176">
        <v>129871.7096569659</v>
      </c>
      <c r="BM176">
        <v>129871.7096569659</v>
      </c>
      <c r="BO176">
        <v>129871.7096569659</v>
      </c>
      <c r="BQ176">
        <v>129871.7096569659</v>
      </c>
      <c r="BS176">
        <v>129871.7096569659</v>
      </c>
      <c r="BT176" s="238">
        <v>129871.71</v>
      </c>
      <c r="BU176" s="238">
        <v>3153300</v>
      </c>
      <c r="BV176">
        <v>50000</v>
      </c>
      <c r="BX176" s="238">
        <v>50000</v>
      </c>
      <c r="BY176" s="238">
        <v>127813.01482701812</v>
      </c>
      <c r="BZ176" s="238">
        <v>3103300</v>
      </c>
      <c r="CA176" s="238" t="s">
        <v>38</v>
      </c>
      <c r="CB176">
        <v>24000</v>
      </c>
      <c r="CC176">
        <v>151813.01482701811</v>
      </c>
      <c r="CD176" s="238">
        <v>582720</v>
      </c>
      <c r="CE176" s="238">
        <v>3686020</v>
      </c>
      <c r="CG176" t="s">
        <v>3441</v>
      </c>
      <c r="CH176" s="238" t="s">
        <v>39</v>
      </c>
      <c r="CI176" s="238" t="s">
        <v>39</v>
      </c>
      <c r="CJ176" t="s">
        <v>8950</v>
      </c>
      <c r="CK176" t="s">
        <v>1167</v>
      </c>
      <c r="CL176" t="s">
        <v>8961</v>
      </c>
      <c r="CM176" t="s">
        <v>8970</v>
      </c>
      <c r="CN176" s="238" t="b">
        <v>1</v>
      </c>
      <c r="CO176" t="s">
        <v>5464</v>
      </c>
      <c r="CQ176" t="s">
        <v>6652</v>
      </c>
      <c r="CR176" t="s">
        <v>3246</v>
      </c>
      <c r="CS176" t="s">
        <v>38</v>
      </c>
      <c r="CT176" t="b">
        <v>1</v>
      </c>
      <c r="CU176">
        <v>3153300</v>
      </c>
      <c r="CV176" t="s">
        <v>9002</v>
      </c>
      <c r="CW176">
        <v>0</v>
      </c>
      <c r="CX176">
        <v>3153300</v>
      </c>
      <c r="CY176">
        <v>0</v>
      </c>
      <c r="CZ176" t="b">
        <v>1</v>
      </c>
      <c r="DA176">
        <v>45589</v>
      </c>
      <c r="DB176" t="s">
        <v>5215</v>
      </c>
      <c r="DC176">
        <v>-1.2355848434927319E-3</v>
      </c>
      <c r="DD176">
        <v>-157.9238239213754</v>
      </c>
      <c r="DE176" s="420" cm="1">
        <f t="array" ref="DE176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177" spans="1:109" hidden="1" x14ac:dyDescent="0.25">
      <c r="A177" s="238">
        <v>176</v>
      </c>
      <c r="B177" s="238" t="s">
        <v>5</v>
      </c>
      <c r="C177" s="238">
        <v>10</v>
      </c>
      <c r="D177" s="238">
        <v>3</v>
      </c>
      <c r="E177" s="238">
        <v>2</v>
      </c>
      <c r="F177" s="238">
        <v>14.6</v>
      </c>
      <c r="G177" s="238">
        <v>13.12</v>
      </c>
      <c r="H177" s="238"/>
      <c r="I177">
        <v>27.72</v>
      </c>
      <c r="J177" s="238">
        <v>14.35</v>
      </c>
      <c r="K177" s="238">
        <v>3.68</v>
      </c>
      <c r="L177" s="238">
        <v>2.57</v>
      </c>
      <c r="M177" s="238"/>
      <c r="N177" s="238">
        <v>7.95</v>
      </c>
      <c r="O177" s="238">
        <v>2.65</v>
      </c>
      <c r="P177" s="238"/>
      <c r="R177" s="238">
        <v>2.65</v>
      </c>
      <c r="S177">
        <v>58.92</v>
      </c>
      <c r="T177">
        <v>56.27</v>
      </c>
      <c r="U177" s="238">
        <v>57.6</v>
      </c>
      <c r="V177">
        <v>57.7</v>
      </c>
      <c r="W177" s="238">
        <v>80307.864000000001</v>
      </c>
      <c r="Y177">
        <v>80307.864000000001</v>
      </c>
      <c r="AA177">
        <v>80307.864000000001</v>
      </c>
      <c r="AC177">
        <v>80307.864000000001</v>
      </c>
      <c r="AE177">
        <v>80307.864000000001</v>
      </c>
      <c r="AG177">
        <v>80307.864000000001</v>
      </c>
      <c r="AI177">
        <v>80307.864000000001</v>
      </c>
      <c r="AK177">
        <v>80307.864000000001</v>
      </c>
      <c r="AM177">
        <v>80307.864000000001</v>
      </c>
      <c r="AO177">
        <v>80307.864000000001</v>
      </c>
      <c r="AQ177">
        <v>80307.864000000001</v>
      </c>
      <c r="AS177">
        <v>80307.864000000001</v>
      </c>
      <c r="AU177">
        <v>80307.864000000001</v>
      </c>
      <c r="AW177">
        <v>80307.864000000001</v>
      </c>
      <c r="AY177">
        <v>80307.864000000001</v>
      </c>
      <c r="BA177">
        <v>80307.864000000001</v>
      </c>
      <c r="BC177">
        <v>80307.864000000001</v>
      </c>
      <c r="BE177">
        <v>80307.864000000001</v>
      </c>
      <c r="BG177">
        <v>80307.864000000001</v>
      </c>
      <c r="BI177">
        <v>80307.864000000001</v>
      </c>
      <c r="BK177">
        <v>80307.864000000001</v>
      </c>
      <c r="BM177">
        <v>80307.864000000001</v>
      </c>
      <c r="BO177">
        <v>80307.864000000001</v>
      </c>
      <c r="BQ177">
        <v>80307.864000000001</v>
      </c>
      <c r="BS177">
        <v>80307.864000000001</v>
      </c>
      <c r="BT177" s="238">
        <v>80307.86</v>
      </c>
      <c r="BU177" s="238">
        <v>4625732.74</v>
      </c>
      <c r="BX177" s="238">
        <v>0</v>
      </c>
      <c r="BY177" s="238">
        <v>80307.860069444447</v>
      </c>
      <c r="BZ177" s="238">
        <v>4625732.74</v>
      </c>
      <c r="CA177" s="238" t="s">
        <v>38</v>
      </c>
      <c r="CB177">
        <v>15500</v>
      </c>
      <c r="CC177">
        <v>95807.860069444447</v>
      </c>
      <c r="CD177" s="238">
        <v>892800</v>
      </c>
      <c r="CE177" s="238">
        <v>5518532.7400000002</v>
      </c>
      <c r="CF177" t="s">
        <v>4633</v>
      </c>
      <c r="CH177" s="238" t="s">
        <v>39</v>
      </c>
      <c r="CI177" s="238" t="s">
        <v>39</v>
      </c>
      <c r="CJ177" t="s">
        <v>8950</v>
      </c>
      <c r="CK177" t="s">
        <v>1167</v>
      </c>
      <c r="CL177" t="s">
        <v>8961</v>
      </c>
      <c r="CM177" t="s">
        <v>8971</v>
      </c>
      <c r="CN177" s="238" t="b">
        <v>1</v>
      </c>
      <c r="CO177" t="s">
        <v>5465</v>
      </c>
      <c r="CQ177" t="s">
        <v>4895</v>
      </c>
      <c r="CR177" t="s">
        <v>3246</v>
      </c>
      <c r="CS177" t="s">
        <v>38</v>
      </c>
      <c r="CT177" t="b">
        <v>1</v>
      </c>
      <c r="CU177">
        <v>4625732.74</v>
      </c>
      <c r="CV177" t="s">
        <v>9002</v>
      </c>
      <c r="CW177">
        <v>4625733</v>
      </c>
      <c r="CX177">
        <v>4625733</v>
      </c>
      <c r="CY177">
        <v>0</v>
      </c>
      <c r="CZ177" t="b">
        <v>1</v>
      </c>
      <c r="DA177">
        <v>45188</v>
      </c>
      <c r="DB177" t="s">
        <v>4177</v>
      </c>
      <c r="DC177">
        <v>1.7361111111109384E-3</v>
      </c>
      <c r="DD177">
        <v>139.42336817610496</v>
      </c>
      <c r="DE177" s="420" cm="1">
        <f t="array" ref="DE177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78" spans="1:109" hidden="1" x14ac:dyDescent="0.25">
      <c r="A178" s="238">
        <v>177</v>
      </c>
      <c r="B178" s="238" t="s">
        <v>5</v>
      </c>
      <c r="C178" s="238">
        <v>10</v>
      </c>
      <c r="D178" s="238">
        <v>4</v>
      </c>
      <c r="E178" s="238">
        <v>2</v>
      </c>
      <c r="F178" s="238">
        <v>15.45</v>
      </c>
      <c r="G178" s="238">
        <v>14.5</v>
      </c>
      <c r="H178" s="238"/>
      <c r="I178">
        <v>29.95</v>
      </c>
      <c r="J178" s="238">
        <v>11.95</v>
      </c>
      <c r="K178" s="238">
        <v>3.86</v>
      </c>
      <c r="L178" s="238">
        <v>2.37</v>
      </c>
      <c r="M178" s="238"/>
      <c r="N178" s="238">
        <v>8.8699999999999992</v>
      </c>
      <c r="O178" s="238">
        <v>2.62</v>
      </c>
      <c r="P178" s="238"/>
      <c r="R178" s="238">
        <v>2.62</v>
      </c>
      <c r="S178">
        <v>59.62</v>
      </c>
      <c r="T178">
        <v>57</v>
      </c>
      <c r="U178" s="238">
        <v>58.31</v>
      </c>
      <c r="V178">
        <v>58.2</v>
      </c>
      <c r="W178" s="238">
        <v>81466.150500000003</v>
      </c>
      <c r="X178">
        <v>4073.3075250000002</v>
      </c>
      <c r="Y178">
        <v>85539.458025</v>
      </c>
      <c r="Z178">
        <v>2566.1837407499997</v>
      </c>
      <c r="AA178">
        <v>88105.641765749999</v>
      </c>
      <c r="AC178">
        <v>88105.641765749999</v>
      </c>
      <c r="AE178">
        <v>88105.641765749999</v>
      </c>
      <c r="AG178">
        <v>88105.641765749999</v>
      </c>
      <c r="AI178">
        <v>88105.641765749999</v>
      </c>
      <c r="AJ178">
        <v>881.05641765749999</v>
      </c>
      <c r="AK178">
        <v>88986.698183407498</v>
      </c>
      <c r="AL178">
        <v>4449.3349091703749</v>
      </c>
      <c r="AM178">
        <v>93436.033092577869</v>
      </c>
      <c r="AO178">
        <v>93436.033092577869</v>
      </c>
      <c r="AQ178">
        <v>93436.033092577869</v>
      </c>
      <c r="AS178">
        <v>93436.033092577869</v>
      </c>
      <c r="AU178">
        <v>93436.033092577869</v>
      </c>
      <c r="AW178">
        <v>93436.033092577869</v>
      </c>
      <c r="AY178">
        <v>93436.033092577869</v>
      </c>
      <c r="BA178">
        <v>93436.033092577869</v>
      </c>
      <c r="BC178">
        <v>93436.033092577869</v>
      </c>
      <c r="BE178">
        <v>93436.033092577869</v>
      </c>
      <c r="BG178">
        <v>93436.033092577869</v>
      </c>
      <c r="BI178">
        <v>93436.033092577869</v>
      </c>
      <c r="BK178">
        <v>93436.033092577869</v>
      </c>
      <c r="BM178">
        <v>93436.033092577869</v>
      </c>
      <c r="BO178">
        <v>93436.033092577869</v>
      </c>
      <c r="BQ178">
        <v>93436.033092577869</v>
      </c>
      <c r="BS178">
        <v>93436.033092577869</v>
      </c>
      <c r="BT178" s="238">
        <v>93436.03</v>
      </c>
      <c r="BU178" s="238">
        <v>5448300</v>
      </c>
      <c r="BX178" s="238">
        <v>0</v>
      </c>
      <c r="BY178" s="238">
        <v>93436.803292745666</v>
      </c>
      <c r="BZ178" s="238">
        <v>5448300</v>
      </c>
      <c r="CA178" s="238" t="s">
        <v>38</v>
      </c>
      <c r="CB178">
        <v>20000</v>
      </c>
      <c r="CC178">
        <v>113436.80329274568</v>
      </c>
      <c r="CD178" s="238">
        <v>1166200</v>
      </c>
      <c r="CE178" s="238">
        <v>6614500</v>
      </c>
      <c r="CH178" s="238" t="s">
        <v>39</v>
      </c>
      <c r="CI178" s="238" t="s">
        <v>39</v>
      </c>
      <c r="CJ178" t="s">
        <v>8950</v>
      </c>
      <c r="CK178" t="s">
        <v>1167</v>
      </c>
      <c r="CL178" t="s">
        <v>8961</v>
      </c>
      <c r="CM178" t="s">
        <v>8974</v>
      </c>
      <c r="CN178" s="238" t="b">
        <v>1</v>
      </c>
      <c r="CO178" t="s">
        <v>5466</v>
      </c>
      <c r="CQ178" t="s">
        <v>6652</v>
      </c>
      <c r="CR178" t="s">
        <v>3246</v>
      </c>
      <c r="CS178" t="s">
        <v>38</v>
      </c>
      <c r="CT178" t="b">
        <v>1</v>
      </c>
      <c r="CU178">
        <v>5448300</v>
      </c>
      <c r="CV178" t="s">
        <v>9002</v>
      </c>
      <c r="CW178">
        <v>0</v>
      </c>
      <c r="CX178">
        <v>5448300</v>
      </c>
      <c r="CY178">
        <v>0</v>
      </c>
      <c r="CZ178" t="b">
        <v>1</v>
      </c>
      <c r="DA178">
        <v>45351</v>
      </c>
      <c r="DB178" t="s">
        <v>5215</v>
      </c>
      <c r="DC178">
        <v>-1.8864688732637136E-3</v>
      </c>
      <c r="DD178">
        <v>-176.26562102902915</v>
      </c>
      <c r="DE178" s="420" cm="1">
        <f t="array" ref="DE178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179" spans="1:109" hidden="1" x14ac:dyDescent="0.25">
      <c r="A179" s="238">
        <v>178</v>
      </c>
      <c r="B179" s="238" t="s">
        <v>5</v>
      </c>
      <c r="C179" s="238">
        <v>10</v>
      </c>
      <c r="D179" s="238">
        <v>5</v>
      </c>
      <c r="E179" s="238">
        <v>1</v>
      </c>
      <c r="F179" s="238">
        <v>12.06</v>
      </c>
      <c r="G179" s="238"/>
      <c r="H179" s="238"/>
      <c r="I179">
        <v>12.06</v>
      </c>
      <c r="J179" s="238">
        <v>13.18</v>
      </c>
      <c r="K179" s="238">
        <v>4.1100000000000003</v>
      </c>
      <c r="L179" s="238"/>
      <c r="M179" s="238"/>
      <c r="N179" s="238">
        <v>7.09</v>
      </c>
      <c r="O179" s="238">
        <v>2.84</v>
      </c>
      <c r="P179" s="238"/>
      <c r="R179" s="238">
        <v>2.84</v>
      </c>
      <c r="S179">
        <v>39.28</v>
      </c>
      <c r="T179">
        <v>36.44</v>
      </c>
      <c r="U179" s="238">
        <v>37.86</v>
      </c>
      <c r="V179">
        <v>37.75</v>
      </c>
      <c r="W179" s="238">
        <v>89223.75</v>
      </c>
      <c r="Y179">
        <v>89223.75</v>
      </c>
      <c r="AA179">
        <v>89223.75</v>
      </c>
      <c r="AC179">
        <v>89223.75</v>
      </c>
      <c r="AE179">
        <v>89223.75</v>
      </c>
      <c r="AG179">
        <v>89223.75</v>
      </c>
      <c r="AI179">
        <v>89223.75</v>
      </c>
      <c r="AK179">
        <v>89223.75</v>
      </c>
      <c r="AM179">
        <v>89223.75</v>
      </c>
      <c r="AO179">
        <v>89223.75</v>
      </c>
      <c r="AQ179">
        <v>89223.75</v>
      </c>
      <c r="AS179">
        <v>89223.75</v>
      </c>
      <c r="AU179">
        <v>89223.75</v>
      </c>
      <c r="AW179">
        <v>89223.75</v>
      </c>
      <c r="AY179">
        <v>89223.75</v>
      </c>
      <c r="BA179">
        <v>89223.75</v>
      </c>
      <c r="BC179">
        <v>89223.75</v>
      </c>
      <c r="BE179">
        <v>89223.75</v>
      </c>
      <c r="BG179">
        <v>89223.75</v>
      </c>
      <c r="BI179">
        <v>89223.75</v>
      </c>
      <c r="BK179">
        <v>89223.75</v>
      </c>
      <c r="BM179">
        <v>89223.75</v>
      </c>
      <c r="BO179">
        <v>89223.75</v>
      </c>
      <c r="BQ179">
        <v>89223.75</v>
      </c>
      <c r="BS179">
        <v>89223.75</v>
      </c>
      <c r="BT179" s="238">
        <v>89223.75</v>
      </c>
      <c r="BU179" s="238">
        <v>3378011.18</v>
      </c>
      <c r="BX179" s="238">
        <v>0</v>
      </c>
      <c r="BY179" s="238">
        <v>89223.750132065514</v>
      </c>
      <c r="BZ179" s="238">
        <v>3378011.18</v>
      </c>
      <c r="CA179" s="238" t="s">
        <v>37</v>
      </c>
      <c r="CB179">
        <v>4500</v>
      </c>
      <c r="CC179">
        <v>93723.750132065514</v>
      </c>
      <c r="CD179" s="238">
        <v>170370</v>
      </c>
      <c r="CE179" s="238">
        <v>3548381.18</v>
      </c>
      <c r="CH179" s="238" t="s">
        <v>39</v>
      </c>
      <c r="CI179" s="238" t="s">
        <v>39</v>
      </c>
      <c r="CJ179" t="s">
        <v>8950</v>
      </c>
      <c r="CK179" t="s">
        <v>1167</v>
      </c>
      <c r="CL179" t="s">
        <v>8961</v>
      </c>
      <c r="CM179" t="s">
        <v>8973</v>
      </c>
      <c r="CN179" s="238" t="b">
        <v>1</v>
      </c>
      <c r="CO179" t="s">
        <v>5467</v>
      </c>
      <c r="CQ179" t="s">
        <v>4895</v>
      </c>
      <c r="CR179" t="s">
        <v>3246</v>
      </c>
      <c r="CS179" t="s">
        <v>37</v>
      </c>
      <c r="CT179" t="b">
        <v>1</v>
      </c>
      <c r="CU179">
        <v>3378011.18</v>
      </c>
      <c r="CV179" t="s">
        <v>9002</v>
      </c>
      <c r="CW179">
        <v>3378011</v>
      </c>
      <c r="CX179">
        <v>3378011</v>
      </c>
      <c r="CY179">
        <v>0</v>
      </c>
      <c r="CZ179" t="b">
        <v>1</v>
      </c>
      <c r="DA179">
        <v>45185</v>
      </c>
      <c r="DB179" t="s">
        <v>126</v>
      </c>
      <c r="DC179">
        <v>-2.9054410987849888E-3</v>
      </c>
      <c r="DD179">
        <v>-259.23435062142573</v>
      </c>
      <c r="DE179" s="420" cm="1">
        <f t="array" ref="DE179">_xlfn.XLOOKUP("Дом 5"&amp;Реестр_Д5[[#This Row],[№]]&amp;Реестр_Д5[[#This Row],[Статус]],РД[Дом]&amp;РД[№ кв]&amp;РД[Состояние],РД[Дата подачи на регистрацию],"-",0)</f>
        <v>45185</v>
      </c>
    </row>
    <row r="180" spans="1:109" hidden="1" x14ac:dyDescent="0.25">
      <c r="A180" s="238">
        <v>179</v>
      </c>
      <c r="B180" s="238" t="s">
        <v>5</v>
      </c>
      <c r="C180" s="238">
        <v>10</v>
      </c>
      <c r="D180" s="238">
        <v>6</v>
      </c>
      <c r="E180" s="238">
        <v>3</v>
      </c>
      <c r="F180" s="238">
        <v>17.89</v>
      </c>
      <c r="G180" s="238">
        <v>17.2</v>
      </c>
      <c r="H180" s="238">
        <v>14.31</v>
      </c>
      <c r="I180">
        <v>49.400000000000006</v>
      </c>
      <c r="J180" s="238">
        <v>13.39</v>
      </c>
      <c r="K180" s="238">
        <v>4.2</v>
      </c>
      <c r="L180" s="238">
        <v>2.0499999999999998</v>
      </c>
      <c r="M180" s="238"/>
      <c r="N180" s="238">
        <v>13.21</v>
      </c>
      <c r="O180" s="238">
        <v>2.79</v>
      </c>
      <c r="P180" s="238">
        <v>2.68</v>
      </c>
      <c r="R180" s="238">
        <v>5.4700000000000006</v>
      </c>
      <c r="S180">
        <v>87.72</v>
      </c>
      <c r="T180">
        <v>82.25</v>
      </c>
      <c r="U180" s="238">
        <v>84.99</v>
      </c>
      <c r="V180">
        <v>84.55</v>
      </c>
      <c r="W180" s="238">
        <v>73520.37000000001</v>
      </c>
      <c r="X180">
        <v>3676.0185000000006</v>
      </c>
      <c r="Y180">
        <v>77196.388500000015</v>
      </c>
      <c r="Z180">
        <v>2315.8916550000004</v>
      </c>
      <c r="AA180">
        <v>79512.280155000015</v>
      </c>
      <c r="AC180">
        <v>79512.280155000015</v>
      </c>
      <c r="AE180">
        <v>79512.280155000015</v>
      </c>
      <c r="AG180">
        <v>79512.280155000015</v>
      </c>
      <c r="AI180">
        <v>79512.280155000015</v>
      </c>
      <c r="AJ180">
        <v>795.12280155000019</v>
      </c>
      <c r="AK180">
        <v>80307.40295655001</v>
      </c>
      <c r="AL180">
        <v>4015.3701478275007</v>
      </c>
      <c r="AM180">
        <v>84322.773104377513</v>
      </c>
      <c r="AO180">
        <v>84322.773104377513</v>
      </c>
      <c r="AP180">
        <v>1686.4554620875504</v>
      </c>
      <c r="AQ180">
        <v>86009.22856646507</v>
      </c>
      <c r="AS180">
        <v>86009.22856646507</v>
      </c>
      <c r="AT180">
        <v>1720.1845713293014</v>
      </c>
      <c r="AU180">
        <v>87729.41313779437</v>
      </c>
      <c r="AW180">
        <v>87729.41313779437</v>
      </c>
      <c r="AY180">
        <v>87729.41313779437</v>
      </c>
      <c r="BA180">
        <v>87729.41313779437</v>
      </c>
      <c r="BC180">
        <v>87729.41313779437</v>
      </c>
      <c r="BE180">
        <v>87729.41313779437</v>
      </c>
      <c r="BG180">
        <v>87729.41313779437</v>
      </c>
      <c r="BI180">
        <v>87729.41313779437</v>
      </c>
      <c r="BK180">
        <v>87729.41313779437</v>
      </c>
      <c r="BM180">
        <v>87729.41313779437</v>
      </c>
      <c r="BO180">
        <v>87729.41313779437</v>
      </c>
      <c r="BQ180">
        <v>87729.41313779437</v>
      </c>
      <c r="BS180">
        <v>87729.41313779437</v>
      </c>
      <c r="BT180" s="238">
        <v>87729.41</v>
      </c>
      <c r="BU180" s="238">
        <v>7456200</v>
      </c>
      <c r="BV180">
        <v>90000</v>
      </c>
      <c r="BX180" s="238">
        <v>90000</v>
      </c>
      <c r="BY180" s="238">
        <v>86671.373102717975</v>
      </c>
      <c r="BZ180" s="238">
        <v>7366200</v>
      </c>
      <c r="CA180" s="238" t="s">
        <v>36</v>
      </c>
      <c r="CC180">
        <v>86671.373102717975</v>
      </c>
      <c r="CD180" s="238">
        <v>0</v>
      </c>
      <c r="CE180" s="238">
        <v>7366200</v>
      </c>
      <c r="CG180" t="s">
        <v>7135</v>
      </c>
      <c r="CH180" s="238" t="s">
        <v>39</v>
      </c>
      <c r="CI180" s="238" t="s">
        <v>39</v>
      </c>
      <c r="CJ180" t="s">
        <v>8950</v>
      </c>
      <c r="CK180" t="s">
        <v>1167</v>
      </c>
      <c r="CL180" t="s">
        <v>8961</v>
      </c>
      <c r="CM180" t="s">
        <v>8975</v>
      </c>
      <c r="CN180" s="238" t="b">
        <v>1</v>
      </c>
      <c r="CO180" t="s">
        <v>5468</v>
      </c>
      <c r="CQ180" t="s">
        <v>6652</v>
      </c>
      <c r="CR180" t="s">
        <v>3246</v>
      </c>
      <c r="CS180" t="s">
        <v>36</v>
      </c>
      <c r="CT180" t="b">
        <v>1</v>
      </c>
      <c r="CU180">
        <v>7456200</v>
      </c>
      <c r="CV180" t="s">
        <v>9002</v>
      </c>
      <c r="CW180">
        <v>7456200</v>
      </c>
      <c r="CX180">
        <v>7456200</v>
      </c>
      <c r="CY180">
        <v>0</v>
      </c>
      <c r="CZ180" t="b">
        <v>1</v>
      </c>
      <c r="DA180">
        <v>45427</v>
      </c>
      <c r="DB180" t="s">
        <v>4177</v>
      </c>
      <c r="DC180">
        <v>-5.1770796564301058E-3</v>
      </c>
      <c r="DD180">
        <v>-448.7046024849447</v>
      </c>
      <c r="DE180" s="420" cm="1">
        <f t="array" ref="DE180">_xlfn.XLOOKUP("Дом 5"&amp;Реестр_Д5[[#This Row],[№]]&amp;Реестр_Д5[[#This Row],[Статус]],РД[Дом]&amp;РД[№ кв]&amp;РД[Состояние],РД[Дата подачи на регистрацию],"-",0)</f>
        <v>45427</v>
      </c>
    </row>
    <row r="181" spans="1:109" x14ac:dyDescent="0.25">
      <c r="A181" s="238">
        <v>180</v>
      </c>
      <c r="B181" s="238" t="s">
        <v>5</v>
      </c>
      <c r="C181" s="238">
        <v>10</v>
      </c>
      <c r="D181" s="238">
        <v>7</v>
      </c>
      <c r="E181" s="238">
        <v>1</v>
      </c>
      <c r="F181" s="238">
        <v>17.89</v>
      </c>
      <c r="G181" s="238"/>
      <c r="H181" s="238"/>
      <c r="I181">
        <v>17.89</v>
      </c>
      <c r="J181" s="238">
        <v>13.04</v>
      </c>
      <c r="K181" s="238">
        <v>3.9</v>
      </c>
      <c r="L181" s="238"/>
      <c r="M181" s="238"/>
      <c r="N181" s="238">
        <v>6.12</v>
      </c>
      <c r="O181" s="238">
        <v>2.65</v>
      </c>
      <c r="P181" s="238"/>
      <c r="R181" s="238">
        <v>2.65</v>
      </c>
      <c r="S181">
        <v>43.6</v>
      </c>
      <c r="T181">
        <v>40.950000000000003</v>
      </c>
      <c r="U181" s="238">
        <v>42.28</v>
      </c>
      <c r="V181">
        <v>42.1</v>
      </c>
      <c r="W181" s="238">
        <v>85573.6875</v>
      </c>
      <c r="X181">
        <v>4278.6843749999998</v>
      </c>
      <c r="Y181">
        <v>89852.371874999997</v>
      </c>
      <c r="Z181">
        <v>2695.5711562499996</v>
      </c>
      <c r="AA181">
        <v>92547.943031250004</v>
      </c>
      <c r="AB181">
        <v>2776.4382909374995</v>
      </c>
      <c r="AC181">
        <v>95324.381322187488</v>
      </c>
      <c r="AE181">
        <v>95324.381322187488</v>
      </c>
      <c r="AF181">
        <v>4766.2190661093746</v>
      </c>
      <c r="AG181">
        <v>100090.60038829688</v>
      </c>
      <c r="AI181">
        <v>100090.60038829688</v>
      </c>
      <c r="AJ181">
        <v>1000.9060038829688</v>
      </c>
      <c r="AK181">
        <v>101091.50639217984</v>
      </c>
      <c r="AL181">
        <v>5054.5753196089918</v>
      </c>
      <c r="AM181">
        <v>106146.08171178882</v>
      </c>
      <c r="AO181">
        <v>106146.08171178882</v>
      </c>
      <c r="AP181">
        <v>3184.3824513536647</v>
      </c>
      <c r="AQ181">
        <v>109330.46416314247</v>
      </c>
      <c r="AS181">
        <v>109330.46416314247</v>
      </c>
      <c r="AU181">
        <v>109330.46416314247</v>
      </c>
      <c r="AW181">
        <v>109330.46416314247</v>
      </c>
      <c r="AX181">
        <v>1093.3046416314248</v>
      </c>
      <c r="AY181">
        <v>110423.76880477392</v>
      </c>
      <c r="BA181">
        <v>110423.76880477392</v>
      </c>
      <c r="BC181">
        <v>110423.76880477392</v>
      </c>
      <c r="BE181">
        <v>110423.76880477392</v>
      </c>
      <c r="BF181">
        <v>2760.5942201193484</v>
      </c>
      <c r="BG181">
        <v>113184.36302489327</v>
      </c>
      <c r="BI181">
        <v>113184.36302489327</v>
      </c>
      <c r="BK181">
        <v>113184.36302489327</v>
      </c>
      <c r="BL181">
        <v>9054.7490419914629</v>
      </c>
      <c r="BM181">
        <v>122239.11206688474</v>
      </c>
      <c r="BN181">
        <v>15891.084568695018</v>
      </c>
      <c r="BO181">
        <v>138130.19663557975</v>
      </c>
      <c r="BP181">
        <v>35</v>
      </c>
      <c r="BQ181">
        <v>138165.19663557975</v>
      </c>
      <c r="BS181">
        <v>138165.19663557975</v>
      </c>
      <c r="BT181" s="238">
        <v>138165.20000000001</v>
      </c>
      <c r="BU181" s="238">
        <v>5816800</v>
      </c>
      <c r="BV181">
        <v>336800</v>
      </c>
      <c r="BX181" s="238">
        <v>336800</v>
      </c>
      <c r="BY181" s="238">
        <v>130166.27078384798</v>
      </c>
      <c r="BZ181" s="238">
        <v>5480000</v>
      </c>
      <c r="CA181" s="238" t="s">
        <v>36</v>
      </c>
      <c r="CC181">
        <v>130166.27078384798</v>
      </c>
      <c r="CD181" s="238">
        <v>0</v>
      </c>
      <c r="CE181" s="238">
        <v>5480000</v>
      </c>
      <c r="CG181" t="s">
        <v>8676</v>
      </c>
      <c r="CH181" s="238" t="s">
        <v>9037</v>
      </c>
      <c r="CI181" s="238" t="s">
        <v>9037</v>
      </c>
      <c r="CJ181" t="s">
        <v>8953</v>
      </c>
      <c r="CK181" t="s">
        <v>9038</v>
      </c>
      <c r="CL181" t="s">
        <v>8961</v>
      </c>
      <c r="CM181" t="s">
        <v>8973</v>
      </c>
      <c r="CN181" s="238" t="b">
        <v>1</v>
      </c>
      <c r="CO181" t="s">
        <v>5469</v>
      </c>
      <c r="CQ181" t="s">
        <v>6652</v>
      </c>
      <c r="CR181" t="s">
        <v>3124</v>
      </c>
      <c r="CS181" t="s">
        <v>6871</v>
      </c>
      <c r="CT181" t="b">
        <v>0</v>
      </c>
      <c r="CU181">
        <v>5816800</v>
      </c>
      <c r="CV181">
        <v>5816800</v>
      </c>
      <c r="CW181">
        <v>0</v>
      </c>
      <c r="CX181">
        <v>5816800</v>
      </c>
      <c r="CY181">
        <v>0</v>
      </c>
      <c r="CZ181" t="b">
        <v>1</v>
      </c>
      <c r="DA181" t="s">
        <v>4246</v>
      </c>
      <c r="DB181" t="s">
        <v>1167</v>
      </c>
      <c r="DC181">
        <v>-4.2573320719015983E-3</v>
      </c>
      <c r="DD181">
        <v>-554.16103928790403</v>
      </c>
      <c r="DE181" s="420" t="str" cm="1">
        <f t="array" ref="DE18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82" spans="1:109" x14ac:dyDescent="0.25">
      <c r="A182" s="238">
        <v>181</v>
      </c>
      <c r="B182" s="238" t="s">
        <v>5</v>
      </c>
      <c r="C182" s="238">
        <v>11</v>
      </c>
      <c r="D182" s="238">
        <v>1</v>
      </c>
      <c r="E182" s="238">
        <v>2</v>
      </c>
      <c r="F182" s="238">
        <v>15.91</v>
      </c>
      <c r="G182" s="238">
        <v>12.02</v>
      </c>
      <c r="H182" s="238"/>
      <c r="I182">
        <v>27.93</v>
      </c>
      <c r="J182" s="238">
        <v>15.31</v>
      </c>
      <c r="K182" s="238">
        <v>3.85</v>
      </c>
      <c r="L182" s="238">
        <v>2.2999999999999998</v>
      </c>
      <c r="M182" s="238"/>
      <c r="N182" s="238">
        <v>9.4499999999999993</v>
      </c>
      <c r="O182" s="238">
        <v>2.75</v>
      </c>
      <c r="P182" s="238"/>
      <c r="R182" s="238">
        <v>2.75</v>
      </c>
      <c r="S182">
        <v>61.59</v>
      </c>
      <c r="T182">
        <v>58.84</v>
      </c>
      <c r="U182" s="238">
        <v>60.22</v>
      </c>
      <c r="V182">
        <v>60.099999999999987</v>
      </c>
      <c r="W182" s="238">
        <v>80307.864000000001</v>
      </c>
      <c r="X182">
        <v>4015.3932</v>
      </c>
      <c r="Y182">
        <v>84323.257199999993</v>
      </c>
      <c r="Z182">
        <v>2529.6977160000001</v>
      </c>
      <c r="AA182">
        <v>86852.954916000002</v>
      </c>
      <c r="AC182">
        <v>86852.954916000002</v>
      </c>
      <c r="AE182">
        <v>86852.954916000002</v>
      </c>
      <c r="AG182">
        <v>86852.954916000002</v>
      </c>
      <c r="AI182">
        <v>86852.954916000002</v>
      </c>
      <c r="AJ182">
        <v>868.52954915999999</v>
      </c>
      <c r="AK182">
        <v>87721.48446516</v>
      </c>
      <c r="AL182">
        <v>4386.0742232580005</v>
      </c>
      <c r="AM182">
        <v>92107.558688417994</v>
      </c>
      <c r="AO182">
        <v>92107.558688417994</v>
      </c>
      <c r="AP182">
        <v>1842.15117376836</v>
      </c>
      <c r="AQ182">
        <v>93949.709862186355</v>
      </c>
      <c r="AS182">
        <v>93949.709862186355</v>
      </c>
      <c r="AT182">
        <v>1878.9941972437273</v>
      </c>
      <c r="AU182">
        <v>95828.704059430078</v>
      </c>
      <c r="AW182">
        <v>95828.704059430078</v>
      </c>
      <c r="AY182">
        <v>95828.704059430078</v>
      </c>
      <c r="BA182">
        <v>95828.704059430078</v>
      </c>
      <c r="BC182">
        <v>95828.704059430078</v>
      </c>
      <c r="BE182">
        <v>95828.704059430078</v>
      </c>
      <c r="BF182">
        <v>1437.430560891451</v>
      </c>
      <c r="BG182">
        <v>97266.134620321536</v>
      </c>
      <c r="BI182">
        <v>97266.134620321536</v>
      </c>
      <c r="BJ182">
        <v>3890.6453848128617</v>
      </c>
      <c r="BK182">
        <v>101156.78000513439</v>
      </c>
      <c r="BL182">
        <v>6069.4068003080638</v>
      </c>
      <c r="BM182">
        <v>107226.18680544246</v>
      </c>
      <c r="BN182">
        <v>13939.40428470752</v>
      </c>
      <c r="BO182">
        <v>121165.59109014996</v>
      </c>
      <c r="BP182">
        <v>35</v>
      </c>
      <c r="BQ182">
        <v>121200.59109014996</v>
      </c>
      <c r="BS182">
        <v>121200.59109014996</v>
      </c>
      <c r="BT182" s="238">
        <v>121200.59</v>
      </c>
      <c r="BU182" s="238">
        <v>7284200</v>
      </c>
      <c r="BV182">
        <v>400000</v>
      </c>
      <c r="BX182" s="238">
        <v>400000</v>
      </c>
      <c r="BY182" s="238">
        <v>114545.75707154744</v>
      </c>
      <c r="BZ182" s="238">
        <v>6884200</v>
      </c>
      <c r="CA182" s="238" t="s">
        <v>36</v>
      </c>
      <c r="CC182">
        <v>114545.75707154744</v>
      </c>
      <c r="CD182" s="238">
        <v>0</v>
      </c>
      <c r="CE182" s="238">
        <v>6884200</v>
      </c>
      <c r="CG182" t="s">
        <v>8930</v>
      </c>
      <c r="CH182" s="238" t="s">
        <v>39</v>
      </c>
      <c r="CI182" s="238" t="s">
        <v>39</v>
      </c>
      <c r="CJ182" t="s">
        <v>8950</v>
      </c>
      <c r="CK182" t="s">
        <v>1167</v>
      </c>
      <c r="CL182" t="s">
        <v>8961</v>
      </c>
      <c r="CM182" t="s">
        <v>8971</v>
      </c>
      <c r="CN182" s="238" t="b">
        <v>1</v>
      </c>
      <c r="CO182" t="s">
        <v>5470</v>
      </c>
      <c r="CQ182" t="s">
        <v>6652</v>
      </c>
      <c r="CR182" t="s">
        <v>3124</v>
      </c>
      <c r="CS182" t="s">
        <v>6871</v>
      </c>
      <c r="CT182" t="b">
        <v>0</v>
      </c>
      <c r="CU182">
        <v>7284200</v>
      </c>
      <c r="CV182" t="s">
        <v>9002</v>
      </c>
      <c r="CW182">
        <v>0</v>
      </c>
      <c r="CX182">
        <v>7284200</v>
      </c>
      <c r="CY182">
        <v>0</v>
      </c>
      <c r="CZ182" t="b">
        <v>1</v>
      </c>
      <c r="DA182" t="s">
        <v>4246</v>
      </c>
      <c r="DB182" t="s">
        <v>1167</v>
      </c>
      <c r="DC182">
        <v>-1.9926934573233357E-3</v>
      </c>
      <c r="DD182">
        <v>-228.25458068062079</v>
      </c>
      <c r="DE182" s="420" cm="1">
        <f t="array" ref="DE182">_xlfn.XLOOKUP("Дом 5"&amp;Реестр_Д5[[#This Row],[№]]&amp;Реестр_Д5[[#This Row],[Статус]],РД[Дом]&amp;РД[№ кв]&amp;РД[Состояние],РД[Дата подачи на регистрацию],"-",0)</f>
        <v>45888</v>
      </c>
    </row>
    <row r="183" spans="1:109" hidden="1" x14ac:dyDescent="0.25">
      <c r="A183" s="238">
        <v>182</v>
      </c>
      <c r="B183" s="238" t="s">
        <v>5</v>
      </c>
      <c r="C183" s="238">
        <v>11</v>
      </c>
      <c r="D183" s="238">
        <v>2</v>
      </c>
      <c r="E183" s="238">
        <v>0</v>
      </c>
      <c r="F183" s="238">
        <v>7.13</v>
      </c>
      <c r="G183" s="238"/>
      <c r="H183" s="238"/>
      <c r="I183">
        <v>7.13</v>
      </c>
      <c r="J183" s="238">
        <v>5.12</v>
      </c>
      <c r="K183" s="238">
        <v>3.65</v>
      </c>
      <c r="L183" s="238"/>
      <c r="M183" s="238"/>
      <c r="N183" s="238">
        <v>6.92</v>
      </c>
      <c r="O183" s="238">
        <v>2.91</v>
      </c>
      <c r="P183" s="238"/>
      <c r="R183" s="238">
        <v>2.91</v>
      </c>
      <c r="S183">
        <v>25.73</v>
      </c>
      <c r="T183">
        <v>22.82</v>
      </c>
      <c r="U183" s="238">
        <v>24.28</v>
      </c>
      <c r="V183">
        <v>24.25</v>
      </c>
      <c r="W183" s="238">
        <v>90229.544999999998</v>
      </c>
      <c r="X183">
        <v>4511.4772499999999</v>
      </c>
      <c r="Y183">
        <v>94741.022249999995</v>
      </c>
      <c r="Z183">
        <v>2842.2306674999995</v>
      </c>
      <c r="AA183">
        <v>97583.252917499995</v>
      </c>
      <c r="AB183">
        <v>14637.487937624999</v>
      </c>
      <c r="AC183">
        <v>112220.740855125</v>
      </c>
      <c r="AE183">
        <v>112220.740855125</v>
      </c>
      <c r="AG183">
        <v>112220.740855125</v>
      </c>
      <c r="AI183">
        <v>112220.740855125</v>
      </c>
      <c r="AJ183">
        <v>1122.20740855125</v>
      </c>
      <c r="AK183">
        <v>113342.94826367624</v>
      </c>
      <c r="AL183">
        <v>5667.1474131838122</v>
      </c>
      <c r="AM183">
        <v>119010.09567686006</v>
      </c>
      <c r="AO183">
        <v>119010.09567686006</v>
      </c>
      <c r="AP183">
        <v>3570.3028703058017</v>
      </c>
      <c r="AQ183">
        <v>122580.39854716588</v>
      </c>
      <c r="AS183">
        <v>122580.39854716588</v>
      </c>
      <c r="AU183">
        <v>122580.39854716588</v>
      </c>
      <c r="AW183">
        <v>122580.39854716588</v>
      </c>
      <c r="AY183">
        <v>122580.39854716588</v>
      </c>
      <c r="AZ183">
        <v>2451.6079709433175</v>
      </c>
      <c r="BA183">
        <v>125032.00651810918</v>
      </c>
      <c r="BC183">
        <v>125032.00651810918</v>
      </c>
      <c r="BE183">
        <v>125032.00651810918</v>
      </c>
      <c r="BG183">
        <v>125032.00651810918</v>
      </c>
      <c r="BI183">
        <v>125032.00651810918</v>
      </c>
      <c r="BK183">
        <v>125032.00651810918</v>
      </c>
      <c r="BM183">
        <v>125032.00651810918</v>
      </c>
      <c r="BO183">
        <v>125032.00651810918</v>
      </c>
      <c r="BQ183">
        <v>125032.00651810918</v>
      </c>
      <c r="BS183">
        <v>125032.00651810918</v>
      </c>
      <c r="BT183" s="238">
        <v>125032.01</v>
      </c>
      <c r="BU183" s="238">
        <v>3035800</v>
      </c>
      <c r="BW183">
        <v>0.03</v>
      </c>
      <c r="BX183" s="238">
        <v>91074</v>
      </c>
      <c r="BY183" s="238">
        <v>121281.96046128499</v>
      </c>
      <c r="BZ183" s="238">
        <v>2944726</v>
      </c>
      <c r="CA183" s="238" t="s">
        <v>38</v>
      </c>
      <c r="CB183">
        <v>20000</v>
      </c>
      <c r="CC183">
        <v>141281.96046128502</v>
      </c>
      <c r="CD183" s="238">
        <v>485600.00000000047</v>
      </c>
      <c r="CE183" s="238">
        <v>3430326.0000000005</v>
      </c>
      <c r="CG183" t="s">
        <v>7054</v>
      </c>
      <c r="CH183" s="238" t="s">
        <v>39</v>
      </c>
      <c r="CI183" s="238" t="s">
        <v>39</v>
      </c>
      <c r="CJ183" t="s">
        <v>8950</v>
      </c>
      <c r="CK183" t="s">
        <v>1167</v>
      </c>
      <c r="CL183" t="s">
        <v>8961</v>
      </c>
      <c r="CM183" t="s">
        <v>8970</v>
      </c>
      <c r="CN183" s="238" t="b">
        <v>1</v>
      </c>
      <c r="CO183" t="s">
        <v>5471</v>
      </c>
      <c r="CQ183" t="s">
        <v>6652</v>
      </c>
      <c r="CR183" t="s">
        <v>3246</v>
      </c>
      <c r="CS183" t="s">
        <v>38</v>
      </c>
      <c r="CT183" t="b">
        <v>1</v>
      </c>
      <c r="CU183">
        <v>3035800</v>
      </c>
      <c r="CV183" t="s">
        <v>9002</v>
      </c>
      <c r="CW183">
        <v>0</v>
      </c>
      <c r="CX183">
        <v>3035800</v>
      </c>
      <c r="CY183">
        <v>0</v>
      </c>
      <c r="CZ183" t="b">
        <v>1</v>
      </c>
      <c r="DA183">
        <v>45481</v>
      </c>
      <c r="DB183" t="s">
        <v>4177</v>
      </c>
      <c r="DC183">
        <v>-1.2355848434926209E-3</v>
      </c>
      <c r="DD183">
        <v>-149.85415213503506</v>
      </c>
      <c r="DE183" s="420" cm="1">
        <f t="array" ref="DE183">_xlfn.XLOOKUP("Дом 5"&amp;Реестр_Д5[[#This Row],[№]]&amp;Реестр_Д5[[#This Row],[Статус]],РД[Дом]&amp;РД[№ кв]&amp;РД[Состояние],РД[Дата подачи на регистрацию],"-",0)</f>
        <v>45481</v>
      </c>
    </row>
    <row r="184" spans="1:109" hidden="1" x14ac:dyDescent="0.25">
      <c r="A184" s="238">
        <v>183</v>
      </c>
      <c r="B184" s="238" t="s">
        <v>5</v>
      </c>
      <c r="C184" s="238">
        <v>11</v>
      </c>
      <c r="D184" s="238">
        <v>3</v>
      </c>
      <c r="E184" s="238">
        <v>2</v>
      </c>
      <c r="F184" s="238">
        <v>14.6</v>
      </c>
      <c r="G184" s="238">
        <v>13.12</v>
      </c>
      <c r="H184" s="238"/>
      <c r="I184">
        <v>27.72</v>
      </c>
      <c r="J184" s="238">
        <v>14.35</v>
      </c>
      <c r="K184" s="238">
        <v>3.68</v>
      </c>
      <c r="L184" s="238">
        <v>2.57</v>
      </c>
      <c r="M184" s="238"/>
      <c r="N184" s="238">
        <v>7.95</v>
      </c>
      <c r="O184" s="238">
        <v>2.65</v>
      </c>
      <c r="P184" s="238"/>
      <c r="R184" s="238">
        <v>2.65</v>
      </c>
      <c r="S184">
        <v>58.92</v>
      </c>
      <c r="T184">
        <v>56.27</v>
      </c>
      <c r="U184" s="238">
        <v>57.6</v>
      </c>
      <c r="V184">
        <v>57.8</v>
      </c>
      <c r="W184" s="238">
        <v>78763.482000000004</v>
      </c>
      <c r="X184">
        <v>3938.1741000000002</v>
      </c>
      <c r="Y184">
        <v>82701.656099999993</v>
      </c>
      <c r="Z184">
        <v>2481.0496830000002</v>
      </c>
      <c r="AA184">
        <v>85182.705783000012</v>
      </c>
      <c r="AC184">
        <v>85182.705783000012</v>
      </c>
      <c r="AE184">
        <v>85182.705783000012</v>
      </c>
      <c r="AG184">
        <v>85182.705783000012</v>
      </c>
      <c r="AI184">
        <v>85182.705783000012</v>
      </c>
      <c r="AJ184">
        <v>851.82705783000017</v>
      </c>
      <c r="AK184">
        <v>86034.532840830012</v>
      </c>
      <c r="AL184">
        <v>4301.7266420415008</v>
      </c>
      <c r="AM184">
        <v>90336.259482871508</v>
      </c>
      <c r="AO184">
        <v>90336.259482871508</v>
      </c>
      <c r="AP184">
        <v>1806.7251896574303</v>
      </c>
      <c r="AQ184">
        <v>92142.984672528939</v>
      </c>
      <c r="AS184">
        <v>92142.984672528939</v>
      </c>
      <c r="AT184">
        <v>1842.8596934505788</v>
      </c>
      <c r="AU184">
        <v>93985.844365979516</v>
      </c>
      <c r="AW184">
        <v>93985.844365979516</v>
      </c>
      <c r="AX184">
        <v>939.85844365979517</v>
      </c>
      <c r="AY184">
        <v>94925.70280963929</v>
      </c>
      <c r="BA184">
        <v>94925.70280963929</v>
      </c>
      <c r="BC184">
        <v>94925.70280963929</v>
      </c>
      <c r="BE184">
        <v>94925.70280963929</v>
      </c>
      <c r="BG184">
        <v>94925.70280963929</v>
      </c>
      <c r="BI184">
        <v>94925.70280963929</v>
      </c>
      <c r="BK184">
        <v>94925.70280963929</v>
      </c>
      <c r="BM184">
        <v>94925.70280963929</v>
      </c>
      <c r="BO184">
        <v>94925.70280963929</v>
      </c>
      <c r="BQ184">
        <v>94925.70280963929</v>
      </c>
      <c r="BS184">
        <v>94925.70280963929</v>
      </c>
      <c r="BT184" s="238">
        <v>94925.7</v>
      </c>
      <c r="BU184" s="238">
        <v>5467800</v>
      </c>
      <c r="BX184" s="238">
        <v>0</v>
      </c>
      <c r="BY184" s="238">
        <v>94927.083333333328</v>
      </c>
      <c r="BZ184" s="238">
        <v>5467800</v>
      </c>
      <c r="CA184" s="238" t="s">
        <v>38</v>
      </c>
      <c r="CB184">
        <v>20000</v>
      </c>
      <c r="CC184">
        <v>114927.08333333331</v>
      </c>
      <c r="CD184" s="238">
        <v>1152000</v>
      </c>
      <c r="CE184" s="238">
        <v>6619800</v>
      </c>
      <c r="CF184" t="s">
        <v>4633</v>
      </c>
      <c r="CH184" s="238" t="s">
        <v>39</v>
      </c>
      <c r="CI184" s="238" t="s">
        <v>39</v>
      </c>
      <c r="CJ184" t="s">
        <v>8950</v>
      </c>
      <c r="CK184" t="s">
        <v>1167</v>
      </c>
      <c r="CL184" t="s">
        <v>8961</v>
      </c>
      <c r="CM184" t="s">
        <v>8971</v>
      </c>
      <c r="CN184" s="238" t="b">
        <v>1</v>
      </c>
      <c r="CO184" t="s">
        <v>5472</v>
      </c>
      <c r="CQ184" t="s">
        <v>6652</v>
      </c>
      <c r="CR184" t="s">
        <v>3246</v>
      </c>
      <c r="CS184" t="s">
        <v>38</v>
      </c>
      <c r="CT184" t="b">
        <v>1</v>
      </c>
      <c r="CU184">
        <v>5467800</v>
      </c>
      <c r="CV184" t="s">
        <v>9002</v>
      </c>
      <c r="CW184">
        <v>0</v>
      </c>
      <c r="CX184">
        <v>5467800</v>
      </c>
      <c r="CY184">
        <v>0</v>
      </c>
      <c r="CZ184" t="b">
        <v>1</v>
      </c>
      <c r="DA184">
        <v>45464</v>
      </c>
      <c r="DB184" t="s">
        <v>5215</v>
      </c>
      <c r="DC184">
        <v>3.4722222222220989E-3</v>
      </c>
      <c r="DD184">
        <v>329.607928240729</v>
      </c>
      <c r="DE184" s="420" cm="1">
        <f t="array" ref="DE184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185" spans="1:109" hidden="1" x14ac:dyDescent="0.25">
      <c r="A185" s="238">
        <v>184</v>
      </c>
      <c r="B185" s="238" t="s">
        <v>5</v>
      </c>
      <c r="C185" s="238">
        <v>11</v>
      </c>
      <c r="D185" s="238">
        <v>4</v>
      </c>
      <c r="E185" s="238">
        <v>2</v>
      </c>
      <c r="F185" s="238">
        <v>15.45</v>
      </c>
      <c r="G185" s="238">
        <v>14.5</v>
      </c>
      <c r="H185" s="238"/>
      <c r="I185">
        <v>29.95</v>
      </c>
      <c r="J185" s="238">
        <v>11.95</v>
      </c>
      <c r="K185" s="238">
        <v>3.86</v>
      </c>
      <c r="L185" s="238">
        <v>2.37</v>
      </c>
      <c r="M185" s="238"/>
      <c r="N185" s="238">
        <v>8.8699999999999992</v>
      </c>
      <c r="O185" s="238">
        <v>2.62</v>
      </c>
      <c r="P185" s="238"/>
      <c r="R185" s="238">
        <v>2.62</v>
      </c>
      <c r="S185">
        <v>59.62</v>
      </c>
      <c r="T185">
        <v>57</v>
      </c>
      <c r="U185" s="238">
        <v>58.31</v>
      </c>
      <c r="V185">
        <v>58.3</v>
      </c>
      <c r="W185" s="238">
        <v>79921.768500000006</v>
      </c>
      <c r="X185">
        <v>3996.0884249999999</v>
      </c>
      <c r="Y185">
        <v>83917.856925</v>
      </c>
      <c r="Z185">
        <v>2517.5357077499998</v>
      </c>
      <c r="AA185">
        <v>86435.392632749994</v>
      </c>
      <c r="AC185">
        <v>86435.392632749994</v>
      </c>
      <c r="AE185">
        <v>86435.392632749994</v>
      </c>
      <c r="AG185">
        <v>86435.392632749994</v>
      </c>
      <c r="AI185">
        <v>86435.392632749994</v>
      </c>
      <c r="AJ185">
        <v>864.35392632749995</v>
      </c>
      <c r="AK185">
        <v>87299.746559077481</v>
      </c>
      <c r="AL185">
        <v>4364.9873279538751</v>
      </c>
      <c r="AM185">
        <v>91664.733887031369</v>
      </c>
      <c r="AO185">
        <v>91664.733887031369</v>
      </c>
      <c r="AP185">
        <v>1833.2946777406271</v>
      </c>
      <c r="AQ185">
        <v>93498.028564772001</v>
      </c>
      <c r="AS185">
        <v>93498.028564772001</v>
      </c>
      <c r="AT185">
        <v>1869.9605712954401</v>
      </c>
      <c r="AU185">
        <v>95367.989136067437</v>
      </c>
      <c r="AW185">
        <v>95367.989136067437</v>
      </c>
      <c r="AY185">
        <v>95367.989136067437</v>
      </c>
      <c r="AZ185">
        <v>953.67989136067445</v>
      </c>
      <c r="BA185">
        <v>96321.669027428114</v>
      </c>
      <c r="BC185">
        <v>96321.669027428114</v>
      </c>
      <c r="BE185">
        <v>96321.669027428114</v>
      </c>
      <c r="BF185">
        <v>2408.0417256857031</v>
      </c>
      <c r="BG185">
        <v>98729.710753113817</v>
      </c>
      <c r="BH185">
        <v>500</v>
      </c>
      <c r="BI185">
        <v>99229.710753113817</v>
      </c>
      <c r="BJ185">
        <v>3969.1884301245527</v>
      </c>
      <c r="BK185">
        <v>103198.89918323838</v>
      </c>
      <c r="BL185">
        <v>6191.933950994302</v>
      </c>
      <c r="BM185">
        <v>109390.83313423269</v>
      </c>
      <c r="BN185">
        <v>14220.808307450248</v>
      </c>
      <c r="BO185">
        <v>123611.64144168292</v>
      </c>
      <c r="BQ185">
        <v>123611.64144168292</v>
      </c>
      <c r="BS185">
        <v>123611.64144168292</v>
      </c>
      <c r="BT185" s="238">
        <v>123611.64</v>
      </c>
      <c r="BU185" s="238">
        <v>7207800</v>
      </c>
      <c r="BW185">
        <v>0.02</v>
      </c>
      <c r="BX185" s="238">
        <v>144156</v>
      </c>
      <c r="BY185" s="238">
        <v>121139.49579831932</v>
      </c>
      <c r="BZ185" s="238">
        <v>7063644</v>
      </c>
      <c r="CA185" s="238" t="s">
        <v>6871</v>
      </c>
      <c r="CB185">
        <v>8000</v>
      </c>
      <c r="CC185">
        <v>129139.49579831932</v>
      </c>
      <c r="CD185" s="238">
        <v>466480</v>
      </c>
      <c r="CE185" s="238">
        <v>7530124</v>
      </c>
      <c r="CG185" t="s">
        <v>3540</v>
      </c>
      <c r="CH185" s="238" t="s">
        <v>39</v>
      </c>
      <c r="CI185" s="238" t="s">
        <v>39</v>
      </c>
      <c r="CJ185" t="s">
        <v>8950</v>
      </c>
      <c r="CK185" t="s">
        <v>1167</v>
      </c>
      <c r="CL185" t="s">
        <v>8961</v>
      </c>
      <c r="CM185" t="s">
        <v>8974</v>
      </c>
      <c r="CN185" s="238" t="b">
        <v>1</v>
      </c>
      <c r="CO185" t="s">
        <v>5473</v>
      </c>
      <c r="CQ185" t="s">
        <v>6652</v>
      </c>
      <c r="CR185" t="s">
        <v>3246</v>
      </c>
      <c r="CS185" t="s">
        <v>6871</v>
      </c>
      <c r="CT185" t="b">
        <v>1</v>
      </c>
      <c r="CU185">
        <v>7207800</v>
      </c>
      <c r="CV185" t="s">
        <v>9002</v>
      </c>
      <c r="CW185">
        <v>0</v>
      </c>
      <c r="CX185">
        <v>7207800</v>
      </c>
      <c r="CY185">
        <v>0</v>
      </c>
      <c r="CZ185" t="b">
        <v>1</v>
      </c>
      <c r="DA185">
        <v>45616</v>
      </c>
      <c r="DB185" t="s">
        <v>4177</v>
      </c>
      <c r="DC185">
        <v>-1.7149717029674161E-4</v>
      </c>
      <c r="DD185">
        <v>-20.775080740585786</v>
      </c>
      <c r="DE185" s="420" cm="1">
        <f t="array" ref="DE185">_xlfn.XLOOKUP("Дом 5"&amp;Реестр_Д5[[#This Row],[№]]&amp;Реестр_Д5[[#This Row],[Статус]],РД[Дом]&amp;РД[№ кв]&amp;РД[Состояние],РД[Дата подачи на регистрацию],"-",0)</f>
        <v>45616</v>
      </c>
    </row>
    <row r="186" spans="1:109" hidden="1" x14ac:dyDescent="0.25">
      <c r="A186" s="238">
        <v>185</v>
      </c>
      <c r="B186" s="238" t="s">
        <v>5</v>
      </c>
      <c r="C186" s="238">
        <v>11</v>
      </c>
      <c r="D186" s="238">
        <v>5</v>
      </c>
      <c r="E186" s="238">
        <v>1</v>
      </c>
      <c r="F186" s="238">
        <v>12.06</v>
      </c>
      <c r="G186" s="238"/>
      <c r="H186" s="238"/>
      <c r="I186">
        <v>12.06</v>
      </c>
      <c r="J186" s="238">
        <v>13.18</v>
      </c>
      <c r="K186" s="238">
        <v>4.1100000000000003</v>
      </c>
      <c r="L186" s="238"/>
      <c r="M186" s="238"/>
      <c r="N186" s="238">
        <v>7.09</v>
      </c>
      <c r="O186" s="238">
        <v>2.84</v>
      </c>
      <c r="P186" s="238"/>
      <c r="R186" s="238">
        <v>2.84</v>
      </c>
      <c r="S186">
        <v>39.28</v>
      </c>
      <c r="T186">
        <v>36.44</v>
      </c>
      <c r="U186" s="238">
        <v>37.86</v>
      </c>
      <c r="V186">
        <v>37.700000000000003</v>
      </c>
      <c r="W186" s="238">
        <v>87601.5</v>
      </c>
      <c r="X186">
        <v>4380.0749999999998</v>
      </c>
      <c r="Y186">
        <v>91981.574999999997</v>
      </c>
      <c r="Z186">
        <v>2759.4472499999997</v>
      </c>
      <c r="AA186">
        <v>94741.022249999995</v>
      </c>
      <c r="AB186">
        <v>4263.34600125</v>
      </c>
      <c r="AC186">
        <v>99004.368251249995</v>
      </c>
      <c r="AE186">
        <v>99004.368251249995</v>
      </c>
      <c r="AF186">
        <v>4950.2184125624999</v>
      </c>
      <c r="AG186">
        <v>103954.5866638125</v>
      </c>
      <c r="AI186">
        <v>103954.5866638125</v>
      </c>
      <c r="AK186">
        <v>103954.5866638125</v>
      </c>
      <c r="AM186">
        <v>103954.5866638125</v>
      </c>
      <c r="AO186">
        <v>103954.5866638125</v>
      </c>
      <c r="AQ186">
        <v>103954.5866638125</v>
      </c>
      <c r="AS186">
        <v>103954.5866638125</v>
      </c>
      <c r="AU186">
        <v>103954.5866638125</v>
      </c>
      <c r="AW186">
        <v>103954.5866638125</v>
      </c>
      <c r="AY186">
        <v>103954.5866638125</v>
      </c>
      <c r="BA186">
        <v>103954.5866638125</v>
      </c>
      <c r="BC186">
        <v>103954.5866638125</v>
      </c>
      <c r="BE186">
        <v>103954.5866638125</v>
      </c>
      <c r="BG186">
        <v>103954.5866638125</v>
      </c>
      <c r="BI186">
        <v>103954.5866638125</v>
      </c>
      <c r="BK186">
        <v>103954.5866638125</v>
      </c>
      <c r="BM186">
        <v>103954.5866638125</v>
      </c>
      <c r="BO186">
        <v>103954.5866638125</v>
      </c>
      <c r="BQ186">
        <v>103954.5866638125</v>
      </c>
      <c r="BS186">
        <v>103954.5866638125</v>
      </c>
      <c r="BT186" s="238">
        <v>103954.59</v>
      </c>
      <c r="BU186" s="238">
        <v>3935800</v>
      </c>
      <c r="BX186" s="238">
        <v>0</v>
      </c>
      <c r="BY186" s="238">
        <v>103956.6825145272</v>
      </c>
      <c r="BZ186" s="238">
        <v>3935800</v>
      </c>
      <c r="CA186" s="238" t="s">
        <v>38</v>
      </c>
      <c r="CB186">
        <v>22000</v>
      </c>
      <c r="CC186">
        <v>125956.6825145272</v>
      </c>
      <c r="CD186" s="238">
        <v>832920</v>
      </c>
      <c r="CE186" s="238">
        <v>4768720</v>
      </c>
      <c r="CH186" s="238" t="s">
        <v>39</v>
      </c>
      <c r="CI186" s="238" t="s">
        <v>39</v>
      </c>
      <c r="CJ186" t="s">
        <v>8950</v>
      </c>
      <c r="CK186" t="s">
        <v>1167</v>
      </c>
      <c r="CL186" t="s">
        <v>8961</v>
      </c>
      <c r="CM186" t="s">
        <v>8973</v>
      </c>
      <c r="CN186" s="238" t="b">
        <v>1</v>
      </c>
      <c r="CO186" t="s">
        <v>5474</v>
      </c>
      <c r="CQ186" t="s">
        <v>6652</v>
      </c>
      <c r="CR186" t="s">
        <v>3246</v>
      </c>
      <c r="CS186" t="s">
        <v>38</v>
      </c>
      <c r="CT186" t="b">
        <v>1</v>
      </c>
      <c r="CU186">
        <v>3935800</v>
      </c>
      <c r="CV186" t="s">
        <v>9002</v>
      </c>
      <c r="CW186">
        <v>0</v>
      </c>
      <c r="CX186">
        <v>3935800</v>
      </c>
      <c r="CY186">
        <v>0</v>
      </c>
      <c r="CZ186" t="b">
        <v>1</v>
      </c>
      <c r="DA186">
        <v>45289</v>
      </c>
      <c r="DB186" t="s">
        <v>126</v>
      </c>
      <c r="DC186">
        <v>-4.2260961436874078E-3</v>
      </c>
      <c r="DD186">
        <v>-439.33093508517959</v>
      </c>
      <c r="DE186" s="420" cm="1">
        <f t="array" ref="DE186">_xlfn.XLOOKUP("Дом 5"&amp;Реестр_Д5[[#This Row],[№]]&amp;Реестр_Д5[[#This Row],[Статус]],РД[Дом]&amp;РД[№ кв]&amp;РД[Состояние],РД[Дата подачи на регистрацию],"-",0)</f>
        <v>45289</v>
      </c>
    </row>
    <row r="187" spans="1:109" hidden="1" x14ac:dyDescent="0.25">
      <c r="A187" s="238">
        <v>186</v>
      </c>
      <c r="B187" s="238" t="s">
        <v>5</v>
      </c>
      <c r="C187" s="238">
        <v>11</v>
      </c>
      <c r="D187" s="238">
        <v>6</v>
      </c>
      <c r="E187" s="238">
        <v>3</v>
      </c>
      <c r="F187" s="238">
        <v>17.89</v>
      </c>
      <c r="G187" s="238">
        <v>17.2</v>
      </c>
      <c r="H187" s="238">
        <v>14.31</v>
      </c>
      <c r="I187">
        <v>49.400000000000006</v>
      </c>
      <c r="J187" s="238">
        <v>13.39</v>
      </c>
      <c r="K187" s="238">
        <v>4.2</v>
      </c>
      <c r="L187" s="238">
        <v>2.0499999999999998</v>
      </c>
      <c r="M187" s="238"/>
      <c r="N187" s="238">
        <v>13.21</v>
      </c>
      <c r="O187" s="238">
        <v>2.79</v>
      </c>
      <c r="P187" s="238">
        <v>2.68</v>
      </c>
      <c r="R187" s="238">
        <v>5.4700000000000006</v>
      </c>
      <c r="S187">
        <v>87.72</v>
      </c>
      <c r="T187">
        <v>82.25</v>
      </c>
      <c r="U187" s="238">
        <v>84.99</v>
      </c>
      <c r="V187">
        <v>84.549999999999983</v>
      </c>
      <c r="W187" s="238">
        <v>72092.789999999994</v>
      </c>
      <c r="X187">
        <v>3604.6395000000007</v>
      </c>
      <c r="Y187">
        <v>75697.429500000013</v>
      </c>
      <c r="Z187">
        <v>2270.9228850000004</v>
      </c>
      <c r="AA187">
        <v>77968.35238500002</v>
      </c>
      <c r="AC187">
        <v>77968.35238500002</v>
      </c>
      <c r="AE187">
        <v>77968.35238500002</v>
      </c>
      <c r="AG187">
        <v>77968.35238500002</v>
      </c>
      <c r="AI187">
        <v>77968.35238500002</v>
      </c>
      <c r="AJ187">
        <v>779.68352385000037</v>
      </c>
      <c r="AK187">
        <v>78748.035908850026</v>
      </c>
      <c r="AL187">
        <v>3937.4017954425017</v>
      </c>
      <c r="AM187">
        <v>82685.437704292533</v>
      </c>
      <c r="AO187">
        <v>82685.437704292533</v>
      </c>
      <c r="AP187">
        <v>1653.7087540858506</v>
      </c>
      <c r="AQ187">
        <v>84339.146458378382</v>
      </c>
      <c r="AS187">
        <v>84339.146458378382</v>
      </c>
      <c r="AT187">
        <v>1686.7829291675678</v>
      </c>
      <c r="AU187">
        <v>86025.929387545955</v>
      </c>
      <c r="AW187">
        <v>86025.929387545955</v>
      </c>
      <c r="AX187">
        <v>860.25929387545955</v>
      </c>
      <c r="AY187">
        <v>86886.188681421409</v>
      </c>
      <c r="BA187">
        <v>86886.188681421409</v>
      </c>
      <c r="BC187">
        <v>86886.188681421409</v>
      </c>
      <c r="BD187">
        <v>1737.7237736284285</v>
      </c>
      <c r="BE187">
        <v>88623.912455049838</v>
      </c>
      <c r="BF187">
        <v>1329.3586868257476</v>
      </c>
      <c r="BG187">
        <v>89953.271141875579</v>
      </c>
      <c r="BI187">
        <v>89953.271141875579</v>
      </c>
      <c r="BJ187">
        <v>3598.130845675023</v>
      </c>
      <c r="BK187">
        <v>93551.401987550606</v>
      </c>
      <c r="BL187">
        <v>4677.5700993775308</v>
      </c>
      <c r="BM187">
        <v>98228.972086928115</v>
      </c>
      <c r="BN187">
        <v>12769.766371300657</v>
      </c>
      <c r="BO187">
        <v>110998.73845822881</v>
      </c>
      <c r="BP187">
        <v>35</v>
      </c>
      <c r="BQ187">
        <v>111033.73845822881</v>
      </c>
      <c r="BS187">
        <v>111033.73845822881</v>
      </c>
      <c r="BT187" s="238">
        <v>111033.74</v>
      </c>
      <c r="BU187" s="238">
        <v>9436800</v>
      </c>
      <c r="BV187">
        <v>936800</v>
      </c>
      <c r="BX187" s="238">
        <v>936800</v>
      </c>
      <c r="BY187" s="238">
        <v>100011.76609012824</v>
      </c>
      <c r="BZ187" s="238">
        <v>8500000</v>
      </c>
      <c r="CA187" s="238" t="s">
        <v>36</v>
      </c>
      <c r="CC187">
        <v>100011.76609012824</v>
      </c>
      <c r="CD187" s="238">
        <v>0</v>
      </c>
      <c r="CE187" s="238">
        <v>8500000</v>
      </c>
      <c r="CG187" t="s">
        <v>321</v>
      </c>
      <c r="CH187" s="238" t="s">
        <v>39</v>
      </c>
      <c r="CI187" s="238" t="s">
        <v>39</v>
      </c>
      <c r="CJ187" t="s">
        <v>8950</v>
      </c>
      <c r="CK187" t="s">
        <v>1167</v>
      </c>
      <c r="CL187" t="s">
        <v>8961</v>
      </c>
      <c r="CM187" t="s">
        <v>8975</v>
      </c>
      <c r="CN187" s="238" t="b">
        <v>1</v>
      </c>
      <c r="CO187" t="s">
        <v>5475</v>
      </c>
      <c r="CQ187" t="s">
        <v>6652</v>
      </c>
      <c r="CR187" t="s">
        <v>3246</v>
      </c>
      <c r="CS187" t="s">
        <v>36</v>
      </c>
      <c r="CT187" t="b">
        <v>1</v>
      </c>
      <c r="CU187">
        <v>9436800</v>
      </c>
      <c r="CV187" t="s">
        <v>9002</v>
      </c>
      <c r="CW187">
        <v>0</v>
      </c>
      <c r="CX187">
        <v>9436800</v>
      </c>
      <c r="CY187">
        <v>0</v>
      </c>
      <c r="CZ187" t="b">
        <v>1</v>
      </c>
      <c r="DA187">
        <v>45838</v>
      </c>
      <c r="DB187" t="s">
        <v>8380</v>
      </c>
      <c r="DC187">
        <v>-5.1770796564303279E-3</v>
      </c>
      <c r="DD187">
        <v>-517.76887962887145</v>
      </c>
      <c r="DE187" s="420" cm="1">
        <f t="array" ref="DE187">_xlfn.XLOOKUP("Дом 5"&amp;Реестр_Д5[[#This Row],[№]]&amp;Реестр_Д5[[#This Row],[Статус]],РД[Дом]&amp;РД[№ кв]&amp;РД[Состояние],РД[Дата подачи на регистрацию],"-",0)</f>
        <v>45838</v>
      </c>
    </row>
    <row r="188" spans="1:109" hidden="1" x14ac:dyDescent="0.25">
      <c r="A188" s="238">
        <v>187</v>
      </c>
      <c r="B188" s="238" t="s">
        <v>5</v>
      </c>
      <c r="C188" s="238">
        <v>11</v>
      </c>
      <c r="D188" s="238">
        <v>7</v>
      </c>
      <c r="E188" s="238">
        <v>1</v>
      </c>
      <c r="F188" s="238">
        <v>17.89</v>
      </c>
      <c r="G188" s="238"/>
      <c r="H188" s="238"/>
      <c r="I188">
        <v>17.89</v>
      </c>
      <c r="J188" s="238">
        <v>13.04</v>
      </c>
      <c r="K188" s="238">
        <v>3.9</v>
      </c>
      <c r="L188" s="238"/>
      <c r="M188" s="238"/>
      <c r="N188" s="238">
        <v>6.12</v>
      </c>
      <c r="O188" s="238">
        <v>2.65</v>
      </c>
      <c r="P188" s="238"/>
      <c r="R188" s="238">
        <v>2.65</v>
      </c>
      <c r="S188">
        <v>43.6</v>
      </c>
      <c r="T188">
        <v>40.950000000000003</v>
      </c>
      <c r="U188" s="238">
        <v>42.28</v>
      </c>
      <c r="V188">
        <v>42.15</v>
      </c>
      <c r="W188" s="238">
        <v>83951.4375</v>
      </c>
      <c r="X188">
        <v>4197.5718750000005</v>
      </c>
      <c r="Y188">
        <v>88149.009374999994</v>
      </c>
      <c r="Z188">
        <v>2644.4702812499995</v>
      </c>
      <c r="AA188">
        <v>90793.479656249998</v>
      </c>
      <c r="AB188">
        <v>2723.8043896874997</v>
      </c>
      <c r="AC188">
        <v>93517.2840459375</v>
      </c>
      <c r="AE188">
        <v>93517.2840459375</v>
      </c>
      <c r="AG188">
        <v>93517.2840459375</v>
      </c>
      <c r="AI188">
        <v>93517.2840459375</v>
      </c>
      <c r="AK188">
        <v>93517.2840459375</v>
      </c>
      <c r="AM188">
        <v>93517.2840459375</v>
      </c>
      <c r="AO188">
        <v>93517.2840459375</v>
      </c>
      <c r="AQ188">
        <v>93517.2840459375</v>
      </c>
      <c r="AS188">
        <v>93517.2840459375</v>
      </c>
      <c r="AU188">
        <v>93517.2840459375</v>
      </c>
      <c r="AW188">
        <v>93517.2840459375</v>
      </c>
      <c r="AY188">
        <v>93517.2840459375</v>
      </c>
      <c r="BA188">
        <v>93517.2840459375</v>
      </c>
      <c r="BC188">
        <v>93517.2840459375</v>
      </c>
      <c r="BE188">
        <v>93517.2840459375</v>
      </c>
      <c r="BG188">
        <v>93517.2840459375</v>
      </c>
      <c r="BI188">
        <v>93517.2840459375</v>
      </c>
      <c r="BK188">
        <v>93517.2840459375</v>
      </c>
      <c r="BM188">
        <v>93517.2840459375</v>
      </c>
      <c r="BO188">
        <v>93517.2840459375</v>
      </c>
      <c r="BQ188">
        <v>93517.2840459375</v>
      </c>
      <c r="BS188">
        <v>93517.2840459375</v>
      </c>
      <c r="BT188" s="238">
        <v>93517.28</v>
      </c>
      <c r="BU188" s="238">
        <v>3953910.6</v>
      </c>
      <c r="BX188" s="238">
        <v>0</v>
      </c>
      <c r="BY188" s="238">
        <v>93517.280037842953</v>
      </c>
      <c r="BZ188" s="238">
        <v>3953910.6</v>
      </c>
      <c r="CA188" s="238" t="s">
        <v>36</v>
      </c>
      <c r="CC188">
        <v>93517.280037842953</v>
      </c>
      <c r="CD188" s="238">
        <v>0</v>
      </c>
      <c r="CE188" s="238">
        <v>3953910.6</v>
      </c>
      <c r="CH188" s="238" t="s">
        <v>39</v>
      </c>
      <c r="CI188" s="238" t="s">
        <v>39</v>
      </c>
      <c r="CJ188" t="s">
        <v>8950</v>
      </c>
      <c r="CK188" t="s">
        <v>1167</v>
      </c>
      <c r="CL188" t="s">
        <v>8961</v>
      </c>
      <c r="CM188" t="s">
        <v>8973</v>
      </c>
      <c r="CN188" s="238" t="b">
        <v>1</v>
      </c>
      <c r="CO188" t="s">
        <v>5476</v>
      </c>
      <c r="CQ188" t="s">
        <v>4895</v>
      </c>
      <c r="CR188" t="s">
        <v>3246</v>
      </c>
      <c r="CS188" t="s">
        <v>36</v>
      </c>
      <c r="CT188" t="b">
        <v>1</v>
      </c>
      <c r="CU188">
        <v>3953910.6</v>
      </c>
      <c r="CV188" t="s">
        <v>9002</v>
      </c>
      <c r="CW188">
        <v>0</v>
      </c>
      <c r="CX188">
        <v>3953911</v>
      </c>
      <c r="CY188">
        <v>0</v>
      </c>
      <c r="CZ188" t="b">
        <v>1</v>
      </c>
      <c r="DA188">
        <v>45230</v>
      </c>
      <c r="DB188" t="s">
        <v>126</v>
      </c>
      <c r="DC188">
        <v>-3.0747398297067408E-3</v>
      </c>
      <c r="DD188">
        <v>-287.54130569819483</v>
      </c>
      <c r="DE188" s="420" cm="1">
        <f t="array" ref="DE188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189" spans="1:109" hidden="1" x14ac:dyDescent="0.25">
      <c r="A189" s="238">
        <v>188</v>
      </c>
      <c r="B189" s="238" t="s">
        <v>5</v>
      </c>
      <c r="C189" s="238">
        <v>12</v>
      </c>
      <c r="D189" s="238">
        <v>1</v>
      </c>
      <c r="E189" s="238">
        <v>2</v>
      </c>
      <c r="F189" s="238">
        <v>15.91</v>
      </c>
      <c r="G189" s="238">
        <v>12.02</v>
      </c>
      <c r="H189" s="238"/>
      <c r="I189">
        <v>27.93</v>
      </c>
      <c r="J189" s="238">
        <v>15.31</v>
      </c>
      <c r="K189" s="238">
        <v>3.85</v>
      </c>
      <c r="L189" s="238">
        <v>2.2999999999999998</v>
      </c>
      <c r="M189" s="238"/>
      <c r="N189" s="238">
        <v>9.4499999999999993</v>
      </c>
      <c r="O189" s="238">
        <v>2.75</v>
      </c>
      <c r="P189" s="238"/>
      <c r="R189" s="238">
        <v>2.75</v>
      </c>
      <c r="S189">
        <v>61.59</v>
      </c>
      <c r="T189">
        <v>58.84</v>
      </c>
      <c r="U189" s="238">
        <v>60.22</v>
      </c>
      <c r="V189">
        <v>60.099999999999994</v>
      </c>
      <c r="W189" s="238">
        <v>81852.246000000014</v>
      </c>
      <c r="X189">
        <v>4092.6123000000007</v>
      </c>
      <c r="Y189">
        <v>85944.858300000022</v>
      </c>
      <c r="Z189">
        <v>2578.3457490000005</v>
      </c>
      <c r="AA189">
        <v>88523.204049000022</v>
      </c>
      <c r="AC189">
        <v>88523.204049000022</v>
      </c>
      <c r="AE189">
        <v>88523.204049000022</v>
      </c>
      <c r="AG189">
        <v>88523.204049000022</v>
      </c>
      <c r="AI189">
        <v>88523.204049000022</v>
      </c>
      <c r="AJ189">
        <v>885.23204049000037</v>
      </c>
      <c r="AK189">
        <v>89408.436089490016</v>
      </c>
      <c r="AL189">
        <v>4470.4218044745012</v>
      </c>
      <c r="AM189">
        <v>93878.857893964523</v>
      </c>
      <c r="AO189">
        <v>93878.857893964523</v>
      </c>
      <c r="AP189">
        <v>1877.5771578792903</v>
      </c>
      <c r="AQ189">
        <v>95756.435051843815</v>
      </c>
      <c r="AS189">
        <v>95756.435051843815</v>
      </c>
      <c r="AT189">
        <v>1915.128701036876</v>
      </c>
      <c r="AU189">
        <v>97671.563752880698</v>
      </c>
      <c r="AW189">
        <v>97671.563752880698</v>
      </c>
      <c r="AY189">
        <v>97671.563752880698</v>
      </c>
      <c r="BA189">
        <v>97671.563752880698</v>
      </c>
      <c r="BC189">
        <v>97671.563752880698</v>
      </c>
      <c r="BE189">
        <v>97671.563752880698</v>
      </c>
      <c r="BG189">
        <v>97671.563752880698</v>
      </c>
      <c r="BI189">
        <v>97671.563752880698</v>
      </c>
      <c r="BK189">
        <v>97671.563752880698</v>
      </c>
      <c r="BM189">
        <v>97671.563752880698</v>
      </c>
      <c r="BO189">
        <v>97671.563752880698</v>
      </c>
      <c r="BQ189">
        <v>97671.563752880698</v>
      </c>
      <c r="BS189">
        <v>97671.563752880698</v>
      </c>
      <c r="BT189" s="238">
        <v>97671.56</v>
      </c>
      <c r="BU189" s="238">
        <v>5881800</v>
      </c>
      <c r="BX189" s="238">
        <v>0</v>
      </c>
      <c r="BY189" s="238">
        <v>97671.869810694116</v>
      </c>
      <c r="BZ189" s="238">
        <v>5881800</v>
      </c>
      <c r="CA189" s="238" t="s">
        <v>6871</v>
      </c>
      <c r="CB189">
        <v>7000</v>
      </c>
      <c r="CC189">
        <v>104671.86981069412</v>
      </c>
      <c r="CD189" s="238">
        <v>421540</v>
      </c>
      <c r="CE189" s="238">
        <v>6303340</v>
      </c>
      <c r="CH189" s="238" t="s">
        <v>39</v>
      </c>
      <c r="CI189" s="238" t="s">
        <v>39</v>
      </c>
      <c r="CJ189" t="s">
        <v>8950</v>
      </c>
      <c r="CK189" t="s">
        <v>1167</v>
      </c>
      <c r="CL189" t="s">
        <v>8961</v>
      </c>
      <c r="CM189" t="s">
        <v>8971</v>
      </c>
      <c r="CN189" s="238" t="b">
        <v>1</v>
      </c>
      <c r="CO189" t="s">
        <v>5477</v>
      </c>
      <c r="CQ189" t="s">
        <v>6652</v>
      </c>
      <c r="CR189" t="s">
        <v>3246</v>
      </c>
      <c r="CS189" t="s">
        <v>6871</v>
      </c>
      <c r="CT189" t="b">
        <v>1</v>
      </c>
      <c r="CU189">
        <v>5881800</v>
      </c>
      <c r="CV189" t="s">
        <v>9002</v>
      </c>
      <c r="CW189">
        <v>0</v>
      </c>
      <c r="CX189">
        <v>5881800</v>
      </c>
      <c r="CY189">
        <v>0</v>
      </c>
      <c r="CZ189" t="b">
        <v>1</v>
      </c>
      <c r="DA189">
        <v>45433</v>
      </c>
      <c r="DB189" t="s">
        <v>4177</v>
      </c>
      <c r="DC189">
        <v>-1.9926934573232247E-3</v>
      </c>
      <c r="DD189">
        <v>-194.63009593629599</v>
      </c>
      <c r="DE189" s="420" cm="1">
        <f t="array" ref="DE189">_xlfn.XLOOKUP("Дом 5"&amp;Реестр_Д5[[#This Row],[№]]&amp;Реестр_Д5[[#This Row],[Статус]],РД[Дом]&amp;РД[№ кв]&amp;РД[Состояние],РД[Дата подачи на регистрацию],"-",0)</f>
        <v>45433</v>
      </c>
    </row>
    <row r="190" spans="1:109" hidden="1" x14ac:dyDescent="0.25">
      <c r="A190" s="238">
        <v>189</v>
      </c>
      <c r="B190" s="238" t="s">
        <v>5</v>
      </c>
      <c r="C190" s="238">
        <v>12</v>
      </c>
      <c r="D190" s="238">
        <v>2</v>
      </c>
      <c r="E190" s="238">
        <v>0</v>
      </c>
      <c r="F190" s="238">
        <v>7.13</v>
      </c>
      <c r="G190" s="238"/>
      <c r="H190" s="238"/>
      <c r="I190">
        <v>7.13</v>
      </c>
      <c r="J190" s="238">
        <v>5.12</v>
      </c>
      <c r="K190" s="238">
        <v>3.65</v>
      </c>
      <c r="L190" s="238"/>
      <c r="M190" s="238"/>
      <c r="N190" s="238">
        <v>6.92</v>
      </c>
      <c r="O190" s="238">
        <v>2.91</v>
      </c>
      <c r="P190" s="238"/>
      <c r="R190" s="238">
        <v>2.91</v>
      </c>
      <c r="S190">
        <v>25.73</v>
      </c>
      <c r="T190">
        <v>22.82</v>
      </c>
      <c r="U190" s="238">
        <v>24.28</v>
      </c>
      <c r="V190">
        <v>24.249999999999996</v>
      </c>
      <c r="W190" s="238">
        <v>91981.574999999997</v>
      </c>
      <c r="Y190">
        <v>91981.574999999997</v>
      </c>
      <c r="AA190">
        <v>91981.574999999997</v>
      </c>
      <c r="AC190">
        <v>91981.574999999997</v>
      </c>
      <c r="AE190">
        <v>91981.574999999997</v>
      </c>
      <c r="AG190">
        <v>91981.574999999997</v>
      </c>
      <c r="AI190">
        <v>91981.574999999997</v>
      </c>
      <c r="AK190">
        <v>91981.574999999997</v>
      </c>
      <c r="AM190">
        <v>91981.574999999997</v>
      </c>
      <c r="AO190">
        <v>91981.574999999997</v>
      </c>
      <c r="AQ190">
        <v>91981.574999999997</v>
      </c>
      <c r="AS190">
        <v>91981.574999999997</v>
      </c>
      <c r="AU190">
        <v>91981.574999999997</v>
      </c>
      <c r="AW190">
        <v>91981.574999999997</v>
      </c>
      <c r="AY190">
        <v>91981.574999999997</v>
      </c>
      <c r="BA190">
        <v>91981.574999999997</v>
      </c>
      <c r="BC190">
        <v>91981.574999999997</v>
      </c>
      <c r="BE190">
        <v>91981.574999999997</v>
      </c>
      <c r="BG190">
        <v>91981.574999999997</v>
      </c>
      <c r="BI190">
        <v>91981.574999999997</v>
      </c>
      <c r="BK190">
        <v>91981.574999999997</v>
      </c>
      <c r="BM190">
        <v>91981.574999999997</v>
      </c>
      <c r="BO190">
        <v>91981.574999999997</v>
      </c>
      <c r="BQ190">
        <v>91981.574999999997</v>
      </c>
      <c r="BS190">
        <v>91981.574999999997</v>
      </c>
      <c r="BT190" s="238">
        <v>91981.58</v>
      </c>
      <c r="BU190" s="238">
        <v>2233312.7599999998</v>
      </c>
      <c r="BX190" s="238">
        <v>0</v>
      </c>
      <c r="BY190" s="238">
        <v>91981.579901153207</v>
      </c>
      <c r="BZ190" s="238">
        <v>2233312.7599999998</v>
      </c>
      <c r="CA190" s="238" t="s">
        <v>36</v>
      </c>
      <c r="CC190">
        <v>91981.579901153207</v>
      </c>
      <c r="CD190" s="238">
        <v>0</v>
      </c>
      <c r="CE190" s="238">
        <v>2233312.7599999998</v>
      </c>
      <c r="CH190" s="238" t="s">
        <v>39</v>
      </c>
      <c r="CI190" s="238" t="s">
        <v>39</v>
      </c>
      <c r="CJ190" t="s">
        <v>8950</v>
      </c>
      <c r="CK190" t="s">
        <v>1167</v>
      </c>
      <c r="CL190" t="s">
        <v>8961</v>
      </c>
      <c r="CM190" t="s">
        <v>8970</v>
      </c>
      <c r="CN190" s="238" t="b">
        <v>1</v>
      </c>
      <c r="CO190" t="s">
        <v>5478</v>
      </c>
      <c r="CQ190" t="s">
        <v>4895</v>
      </c>
      <c r="CR190" t="s">
        <v>3246</v>
      </c>
      <c r="CS190" t="s">
        <v>36</v>
      </c>
      <c r="CT190" t="b">
        <v>1</v>
      </c>
      <c r="CU190">
        <v>2233312.7599999998</v>
      </c>
      <c r="CV190" t="s">
        <v>9002</v>
      </c>
      <c r="CW190">
        <v>2233313</v>
      </c>
      <c r="CX190">
        <v>2233313</v>
      </c>
      <c r="CY190">
        <v>0</v>
      </c>
      <c r="CZ190" t="b">
        <v>1</v>
      </c>
      <c r="DA190">
        <v>45188</v>
      </c>
      <c r="DB190" t="s">
        <v>3901</v>
      </c>
      <c r="DC190">
        <v>-1.2355848434927319E-3</v>
      </c>
      <c r="DD190">
        <v>-113.65104600638058</v>
      </c>
      <c r="DE190" s="420" cm="1">
        <f t="array" ref="DE190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191" spans="1:109" x14ac:dyDescent="0.25">
      <c r="A191" s="238">
        <v>190</v>
      </c>
      <c r="B191" s="238" t="s">
        <v>5</v>
      </c>
      <c r="C191" s="238">
        <v>12</v>
      </c>
      <c r="D191" s="238">
        <v>3</v>
      </c>
      <c r="E191" s="238">
        <v>2</v>
      </c>
      <c r="F191" s="238">
        <v>14.6</v>
      </c>
      <c r="G191" s="238">
        <v>13.12</v>
      </c>
      <c r="H191" s="238"/>
      <c r="I191">
        <v>27.72</v>
      </c>
      <c r="J191" s="238">
        <v>14.35</v>
      </c>
      <c r="K191" s="238">
        <v>3.68</v>
      </c>
      <c r="L191" s="238">
        <v>2.57</v>
      </c>
      <c r="M191" s="238"/>
      <c r="N191" s="238">
        <v>7.95</v>
      </c>
      <c r="O191" s="238">
        <v>2.65</v>
      </c>
      <c r="P191" s="238"/>
      <c r="R191" s="238">
        <v>2.65</v>
      </c>
      <c r="S191">
        <v>58.92</v>
      </c>
      <c r="T191">
        <v>56.27</v>
      </c>
      <c r="U191" s="238">
        <v>57.6</v>
      </c>
      <c r="V191">
        <v>57.95</v>
      </c>
      <c r="W191" s="238">
        <v>80307.864000000001</v>
      </c>
      <c r="X191">
        <v>4015.3932</v>
      </c>
      <c r="Y191">
        <v>84323.257199999993</v>
      </c>
      <c r="Z191">
        <v>2529.6977160000001</v>
      </c>
      <c r="AA191">
        <v>86852.954916000002</v>
      </c>
      <c r="AC191">
        <v>86852.954916000002</v>
      </c>
      <c r="AE191">
        <v>86852.954916000002</v>
      </c>
      <c r="AG191">
        <v>86852.954916000002</v>
      </c>
      <c r="AI191">
        <v>86852.954916000002</v>
      </c>
      <c r="AJ191">
        <v>868.52954915999999</v>
      </c>
      <c r="AK191">
        <v>87721.48446516</v>
      </c>
      <c r="AL191">
        <v>4386.0742232580005</v>
      </c>
      <c r="AM191">
        <v>92107.558688417994</v>
      </c>
      <c r="AO191">
        <v>92107.558688417994</v>
      </c>
      <c r="AP191">
        <v>1842.15117376836</v>
      </c>
      <c r="AQ191">
        <v>93949.709862186355</v>
      </c>
      <c r="AS191">
        <v>93949.709862186355</v>
      </c>
      <c r="AT191">
        <v>1878.9941972437273</v>
      </c>
      <c r="AU191">
        <v>95828.704059430078</v>
      </c>
      <c r="AW191">
        <v>95828.704059430078</v>
      </c>
      <c r="AX191">
        <v>958.28704059430083</v>
      </c>
      <c r="AY191">
        <v>96786.991100024374</v>
      </c>
      <c r="BA191">
        <v>96786.991100024374</v>
      </c>
      <c r="BC191">
        <v>96786.991100024374</v>
      </c>
      <c r="BE191">
        <v>96786.991100024374</v>
      </c>
      <c r="BF191">
        <v>2419.6747775006093</v>
      </c>
      <c r="BG191">
        <v>99206.665877524982</v>
      </c>
      <c r="BI191">
        <v>99206.665877524982</v>
      </c>
      <c r="BJ191">
        <v>3968.2666351009993</v>
      </c>
      <c r="BK191">
        <v>103174.93251262598</v>
      </c>
      <c r="BL191">
        <v>6190.4959507575586</v>
      </c>
      <c r="BM191">
        <v>109365.42846338352</v>
      </c>
      <c r="BN191">
        <v>14217.505700239861</v>
      </c>
      <c r="BO191">
        <v>123582.9341636234</v>
      </c>
      <c r="BP191">
        <v>35</v>
      </c>
      <c r="BQ191">
        <v>123617.9341636234</v>
      </c>
      <c r="BR191">
        <v>1236.1793416362341</v>
      </c>
      <c r="BS191">
        <v>124854.11350525964</v>
      </c>
      <c r="BT191" s="238">
        <v>124854.11</v>
      </c>
      <c r="BU191" s="238">
        <v>7235300</v>
      </c>
      <c r="BX191" s="238">
        <v>0</v>
      </c>
      <c r="BY191" s="238">
        <v>124854.18464193268</v>
      </c>
      <c r="BZ191" s="238">
        <v>7235300</v>
      </c>
      <c r="CA191" s="238" t="s">
        <v>36</v>
      </c>
      <c r="CC191">
        <v>124854.18464193268</v>
      </c>
      <c r="CD191" s="238">
        <v>0</v>
      </c>
      <c r="CE191" s="238">
        <v>7235300</v>
      </c>
      <c r="CF191" t="s">
        <v>4633</v>
      </c>
      <c r="CH191" s="238" t="s">
        <v>8956</v>
      </c>
      <c r="CI191" s="238" t="s">
        <v>8956</v>
      </c>
      <c r="CJ191" t="s">
        <v>8953</v>
      </c>
      <c r="CK191" t="s">
        <v>8957</v>
      </c>
      <c r="CL191" t="s">
        <v>8961</v>
      </c>
      <c r="CM191" t="s">
        <v>8971</v>
      </c>
      <c r="CN191" s="238" t="b">
        <v>1</v>
      </c>
      <c r="CO191" t="s">
        <v>5479</v>
      </c>
      <c r="CQ191" t="s">
        <v>6652</v>
      </c>
      <c r="CR191" t="s">
        <v>3124</v>
      </c>
      <c r="CS191" t="s">
        <v>36</v>
      </c>
      <c r="CT191" t="b">
        <v>1</v>
      </c>
      <c r="CU191">
        <v>7235300</v>
      </c>
      <c r="CV191">
        <v>7235300</v>
      </c>
      <c r="CW191">
        <v>0</v>
      </c>
      <c r="CX191">
        <v>0</v>
      </c>
      <c r="CY191">
        <v>0</v>
      </c>
      <c r="CZ191" t="b">
        <v>1</v>
      </c>
      <c r="DA191" t="s">
        <v>4246</v>
      </c>
      <c r="DB191" t="s">
        <v>1167</v>
      </c>
      <c r="DC191">
        <v>6.0763888888888395E-3</v>
      </c>
      <c r="DD191">
        <v>758.6625802895154</v>
      </c>
      <c r="DE191" s="420" t="str" cm="1">
        <f t="array" ref="DE19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92" spans="1:109" x14ac:dyDescent="0.25">
      <c r="A192" s="238">
        <v>191</v>
      </c>
      <c r="B192" s="238" t="s">
        <v>5</v>
      </c>
      <c r="C192" s="238">
        <v>12</v>
      </c>
      <c r="D192" s="238">
        <v>4</v>
      </c>
      <c r="E192" s="238">
        <v>2</v>
      </c>
      <c r="F192" s="238">
        <v>15.45</v>
      </c>
      <c r="G192" s="238">
        <v>14.5</v>
      </c>
      <c r="H192" s="238"/>
      <c r="I192">
        <v>29.95</v>
      </c>
      <c r="J192" s="238">
        <v>11.95</v>
      </c>
      <c r="K192" s="238">
        <v>3.86</v>
      </c>
      <c r="L192" s="238">
        <v>2.37</v>
      </c>
      <c r="M192" s="238"/>
      <c r="N192" s="238">
        <v>8.8699999999999992</v>
      </c>
      <c r="O192" s="238">
        <v>2.62</v>
      </c>
      <c r="P192" s="238"/>
      <c r="R192" s="238">
        <v>2.62</v>
      </c>
      <c r="S192">
        <v>59.62</v>
      </c>
      <c r="T192">
        <v>57</v>
      </c>
      <c r="U192" s="238">
        <v>58.31</v>
      </c>
      <c r="V192">
        <v>58.349999999999994</v>
      </c>
      <c r="W192" s="238">
        <v>81466.150500000003</v>
      </c>
      <c r="X192">
        <v>4073.3075250000002</v>
      </c>
      <c r="Y192">
        <v>85539.458025</v>
      </c>
      <c r="Z192">
        <v>2566.1837407499997</v>
      </c>
      <c r="AA192">
        <v>88105.641765749999</v>
      </c>
      <c r="AC192">
        <v>88105.641765749999</v>
      </c>
      <c r="AE192">
        <v>88105.641765749999</v>
      </c>
      <c r="AG192">
        <v>88105.641765749999</v>
      </c>
      <c r="AI192">
        <v>88105.641765749999</v>
      </c>
      <c r="AJ192">
        <v>881.05641765749999</v>
      </c>
      <c r="AK192">
        <v>88986.698183407498</v>
      </c>
      <c r="AL192">
        <v>4449.3349091703749</v>
      </c>
      <c r="AM192">
        <v>93436.033092577869</v>
      </c>
      <c r="AO192">
        <v>93436.033092577869</v>
      </c>
      <c r="AP192">
        <v>1868.7206618515577</v>
      </c>
      <c r="AQ192">
        <v>95304.753754429446</v>
      </c>
      <c r="AS192">
        <v>95304.753754429446</v>
      </c>
      <c r="AT192">
        <v>1906.0950750885888</v>
      </c>
      <c r="AU192">
        <v>97210.848829518014</v>
      </c>
      <c r="AW192">
        <v>97210.848829518014</v>
      </c>
      <c r="AY192">
        <v>97210.848829518014</v>
      </c>
      <c r="AZ192">
        <v>972.10848829518011</v>
      </c>
      <c r="BA192">
        <v>98182.957317813198</v>
      </c>
      <c r="BC192">
        <v>98182.957317813198</v>
      </c>
      <c r="BE192">
        <v>98182.957317813198</v>
      </c>
      <c r="BF192">
        <v>2454.5739329453299</v>
      </c>
      <c r="BG192">
        <v>100637.53125075852</v>
      </c>
      <c r="BH192">
        <v>500</v>
      </c>
      <c r="BI192">
        <v>101137.53125075852</v>
      </c>
      <c r="BJ192">
        <v>4045.5012500303415</v>
      </c>
      <c r="BK192">
        <v>105183.03250078888</v>
      </c>
      <c r="BL192">
        <v>6310.9819500473322</v>
      </c>
      <c r="BM192">
        <v>111494.0144508362</v>
      </c>
      <c r="BN192">
        <v>14494.221878608709</v>
      </c>
      <c r="BO192">
        <v>125988.23632944492</v>
      </c>
      <c r="BP192">
        <v>35</v>
      </c>
      <c r="BQ192">
        <v>126023.23632944492</v>
      </c>
      <c r="BS192">
        <v>126023.23632944492</v>
      </c>
      <c r="BT192" s="238">
        <v>126023.24</v>
      </c>
      <c r="BU192" s="238">
        <v>7353500</v>
      </c>
      <c r="BX192" s="238">
        <v>0</v>
      </c>
      <c r="BY192" s="238">
        <v>126023.99314481576</v>
      </c>
      <c r="BZ192" s="238">
        <v>7353500</v>
      </c>
      <c r="CA192" s="238" t="s">
        <v>38</v>
      </c>
      <c r="CB192">
        <v>30000</v>
      </c>
      <c r="CC192">
        <v>156023.99314481579</v>
      </c>
      <c r="CD192" s="238">
        <v>1750500</v>
      </c>
      <c r="CE192" s="238">
        <v>9104000</v>
      </c>
      <c r="CH192" s="238" t="s">
        <v>3</v>
      </c>
      <c r="CI192" s="238" t="s">
        <v>3</v>
      </c>
      <c r="CJ192" t="s">
        <v>8951</v>
      </c>
      <c r="CK192" t="s">
        <v>1167</v>
      </c>
      <c r="CL192" t="s">
        <v>8961</v>
      </c>
      <c r="CM192" t="s">
        <v>8974</v>
      </c>
      <c r="CN192" s="238" t="b">
        <v>1</v>
      </c>
      <c r="CO192" t="s">
        <v>5480</v>
      </c>
      <c r="CQ192" t="s">
        <v>6652</v>
      </c>
      <c r="CR192" t="s">
        <v>3124</v>
      </c>
      <c r="CS192" t="s">
        <v>6871</v>
      </c>
      <c r="CT192" t="b">
        <v>0</v>
      </c>
      <c r="CU192">
        <v>7353500</v>
      </c>
      <c r="CV192">
        <v>7353500</v>
      </c>
      <c r="CW192">
        <v>0</v>
      </c>
      <c r="CX192">
        <v>0</v>
      </c>
      <c r="CY192">
        <v>0</v>
      </c>
      <c r="CZ192" t="b">
        <v>1</v>
      </c>
      <c r="DA192" t="s">
        <v>4246</v>
      </c>
      <c r="DB192" t="s">
        <v>1167</v>
      </c>
      <c r="DC192">
        <v>6.8598868118652234E-4</v>
      </c>
      <c r="DD192">
        <v>86.451032855271507</v>
      </c>
      <c r="DE192" s="420" t="str" cm="1">
        <f t="array" ref="DE19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93" spans="1:109" x14ac:dyDescent="0.25">
      <c r="A193" s="238">
        <v>192</v>
      </c>
      <c r="B193" s="238" t="s">
        <v>5</v>
      </c>
      <c r="C193" s="238">
        <v>12</v>
      </c>
      <c r="D193" s="238">
        <v>5</v>
      </c>
      <c r="E193" s="238">
        <v>1</v>
      </c>
      <c r="F193" s="238">
        <v>12.06</v>
      </c>
      <c r="G193" s="238"/>
      <c r="H193" s="238"/>
      <c r="I193">
        <v>12.06</v>
      </c>
      <c r="J193" s="238">
        <v>13.18</v>
      </c>
      <c r="K193" s="238">
        <v>4.1100000000000003</v>
      </c>
      <c r="L193" s="238"/>
      <c r="M193" s="238"/>
      <c r="N193" s="238">
        <v>7.09</v>
      </c>
      <c r="O193" s="238">
        <v>2.84</v>
      </c>
      <c r="P193" s="238"/>
      <c r="R193" s="238">
        <v>2.84</v>
      </c>
      <c r="S193">
        <v>39.28</v>
      </c>
      <c r="T193">
        <v>36.44</v>
      </c>
      <c r="U193" s="238">
        <v>37.86</v>
      </c>
      <c r="V193">
        <v>37.549999999999997</v>
      </c>
      <c r="W193" s="238">
        <v>89223.75</v>
      </c>
      <c r="X193">
        <v>4461.1875</v>
      </c>
      <c r="Y193">
        <v>93684.9375</v>
      </c>
      <c r="Z193">
        <v>2810.5481249999998</v>
      </c>
      <c r="AA193">
        <v>96495.485625000001</v>
      </c>
      <c r="AB193">
        <v>4342.2968531249999</v>
      </c>
      <c r="AC193">
        <v>100837.78247812499</v>
      </c>
      <c r="AE193">
        <v>100837.78247812499</v>
      </c>
      <c r="AF193">
        <v>5041.8891239062505</v>
      </c>
      <c r="AG193">
        <v>105879.67160203125</v>
      </c>
      <c r="AI193">
        <v>105879.67160203125</v>
      </c>
      <c r="AJ193">
        <v>1058.7967160203125</v>
      </c>
      <c r="AK193">
        <v>106938.46831805156</v>
      </c>
      <c r="AL193">
        <v>5346.9234159025782</v>
      </c>
      <c r="AM193">
        <v>112285.39173395414</v>
      </c>
      <c r="AO193">
        <v>112285.39173395414</v>
      </c>
      <c r="AP193">
        <v>3368.5617520186238</v>
      </c>
      <c r="AQ193">
        <v>115653.95348597276</v>
      </c>
      <c r="AS193">
        <v>115653.95348597276</v>
      </c>
      <c r="AU193">
        <v>115653.95348597276</v>
      </c>
      <c r="AW193">
        <v>115653.95348597276</v>
      </c>
      <c r="AY193">
        <v>115653.95348597276</v>
      </c>
      <c r="AZ193">
        <v>1156.5395348597276</v>
      </c>
      <c r="BA193">
        <v>116810.49302083248</v>
      </c>
      <c r="BB193">
        <v>584.05246510416237</v>
      </c>
      <c r="BC193">
        <v>117394.54548593664</v>
      </c>
      <c r="BE193">
        <v>117394.54548593664</v>
      </c>
      <c r="BF193">
        <v>2934.8636371484163</v>
      </c>
      <c r="BG193">
        <v>120329.40912308506</v>
      </c>
      <c r="BI193">
        <v>120329.40912308506</v>
      </c>
      <c r="BK193">
        <v>120329.40912308506</v>
      </c>
      <c r="BL193">
        <v>6016.470456154253</v>
      </c>
      <c r="BM193">
        <v>126345.87957923932</v>
      </c>
      <c r="BN193">
        <v>16424.964345301112</v>
      </c>
      <c r="BO193">
        <v>142770.84392454044</v>
      </c>
      <c r="BP193">
        <v>35</v>
      </c>
      <c r="BQ193">
        <v>142805.84392454044</v>
      </c>
      <c r="BS193">
        <v>142805.84392454044</v>
      </c>
      <c r="BT193" s="238">
        <v>142805.84</v>
      </c>
      <c r="BU193" s="238">
        <v>5362400</v>
      </c>
      <c r="BX193" s="238">
        <v>0</v>
      </c>
      <c r="BY193" s="238">
        <v>142806.92410119841</v>
      </c>
      <c r="BZ193" s="238">
        <v>5362400</v>
      </c>
      <c r="CA193" s="238" t="s">
        <v>36</v>
      </c>
      <c r="CC193">
        <v>142806.92410119841</v>
      </c>
      <c r="CD193" s="238">
        <v>0</v>
      </c>
      <c r="CE193" s="238">
        <v>5362400</v>
      </c>
      <c r="CH193" s="238" t="s">
        <v>3</v>
      </c>
      <c r="CI193" s="238" t="s">
        <v>3</v>
      </c>
      <c r="CJ193" t="s">
        <v>8951</v>
      </c>
      <c r="CK193" t="s">
        <v>1167</v>
      </c>
      <c r="CL193" t="s">
        <v>8961</v>
      </c>
      <c r="CM193" t="s">
        <v>8973</v>
      </c>
      <c r="CN193" s="238" t="b">
        <v>1</v>
      </c>
      <c r="CO193" t="s">
        <v>5481</v>
      </c>
      <c r="CQ193" t="s">
        <v>6652</v>
      </c>
      <c r="CR193" t="s">
        <v>3124</v>
      </c>
      <c r="CS193" t="s">
        <v>36</v>
      </c>
      <c r="CT193" t="b">
        <v>1</v>
      </c>
      <c r="CU193">
        <v>5362400</v>
      </c>
      <c r="CV193">
        <v>5362400</v>
      </c>
      <c r="CW193">
        <v>0</v>
      </c>
      <c r="CX193">
        <v>0</v>
      </c>
      <c r="CY193">
        <v>0</v>
      </c>
      <c r="CZ193" t="b">
        <v>1</v>
      </c>
      <c r="DA193" t="s">
        <v>4246</v>
      </c>
      <c r="DB193" t="s">
        <v>1167</v>
      </c>
      <c r="DC193">
        <v>-8.1880612783941098E-3</v>
      </c>
      <c r="DD193">
        <v>-1169.3118455195893</v>
      </c>
      <c r="DE193" s="420" t="str" cm="1">
        <f t="array" ref="DE19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94" spans="1:109" hidden="1" x14ac:dyDescent="0.25">
      <c r="A194" s="238">
        <v>193</v>
      </c>
      <c r="B194" s="238" t="s">
        <v>5</v>
      </c>
      <c r="C194" s="238">
        <v>12</v>
      </c>
      <c r="D194" s="238">
        <v>6</v>
      </c>
      <c r="E194" s="238">
        <v>3</v>
      </c>
      <c r="F194" s="238">
        <v>17.89</v>
      </c>
      <c r="G194" s="238">
        <v>17.2</v>
      </c>
      <c r="H194" s="238">
        <v>14.31</v>
      </c>
      <c r="I194">
        <v>49.400000000000006</v>
      </c>
      <c r="J194" s="238">
        <v>13.39</v>
      </c>
      <c r="K194" s="238">
        <v>4.2</v>
      </c>
      <c r="L194" s="238">
        <v>2.0499999999999998</v>
      </c>
      <c r="M194" s="238"/>
      <c r="N194" s="238">
        <v>13.21</v>
      </c>
      <c r="O194" s="238">
        <v>2.79</v>
      </c>
      <c r="P194" s="238">
        <v>2.68</v>
      </c>
      <c r="R194" s="238">
        <v>5.4700000000000006</v>
      </c>
      <c r="S194">
        <v>87.72</v>
      </c>
      <c r="T194">
        <v>82.25</v>
      </c>
      <c r="U194" s="238">
        <v>84.99</v>
      </c>
      <c r="V194">
        <v>84.45</v>
      </c>
      <c r="W194" s="238">
        <v>73520.37000000001</v>
      </c>
      <c r="X194">
        <v>3676.0185000000006</v>
      </c>
      <c r="Y194">
        <v>77196.388500000015</v>
      </c>
      <c r="Z194">
        <v>2315.8916550000004</v>
      </c>
      <c r="AA194">
        <v>79512.280155000015</v>
      </c>
      <c r="AC194">
        <v>79512.280155000015</v>
      </c>
      <c r="AE194">
        <v>79512.280155000015</v>
      </c>
      <c r="AG194">
        <v>79512.280155000015</v>
      </c>
      <c r="AI194">
        <v>79512.280155000015</v>
      </c>
      <c r="AK194">
        <v>79512.280155000015</v>
      </c>
      <c r="AM194">
        <v>79512.280155000015</v>
      </c>
      <c r="AO194">
        <v>79512.280155000015</v>
      </c>
      <c r="AQ194">
        <v>79512.280155000015</v>
      </c>
      <c r="AS194">
        <v>79512.280155000015</v>
      </c>
      <c r="AU194">
        <v>79512.280155000015</v>
      </c>
      <c r="AW194">
        <v>79512.280155000015</v>
      </c>
      <c r="AY194">
        <v>79512.280155000015</v>
      </c>
      <c r="BA194">
        <v>79512.280155000015</v>
      </c>
      <c r="BC194">
        <v>79512.280155000015</v>
      </c>
      <c r="BE194">
        <v>79512.280155000015</v>
      </c>
      <c r="BG194">
        <v>79512.280155000015</v>
      </c>
      <c r="BI194">
        <v>79512.280155000015</v>
      </c>
      <c r="BK194">
        <v>79512.280155000015</v>
      </c>
      <c r="BM194">
        <v>79512.280155000015</v>
      </c>
      <c r="BO194">
        <v>79512.280155000015</v>
      </c>
      <c r="BQ194">
        <v>79512.280155000015</v>
      </c>
      <c r="BS194">
        <v>79512.280155000015</v>
      </c>
      <c r="BT194" s="238">
        <v>79512.28</v>
      </c>
      <c r="BU194" s="238">
        <v>6757800</v>
      </c>
      <c r="BW194">
        <v>0.05</v>
      </c>
      <c r="BX194" s="238">
        <v>337890</v>
      </c>
      <c r="BY194" s="238">
        <v>75537.239675255914</v>
      </c>
      <c r="BZ194" s="238">
        <v>6419910</v>
      </c>
      <c r="CA194" s="238" t="s">
        <v>36</v>
      </c>
      <c r="CC194">
        <v>75537.239675255914</v>
      </c>
      <c r="CD194" s="238">
        <v>0</v>
      </c>
      <c r="CE194" s="238">
        <v>6419910</v>
      </c>
      <c r="CG194" t="s">
        <v>978</v>
      </c>
      <c r="CH194" s="238" t="s">
        <v>39</v>
      </c>
      <c r="CI194" s="238" t="s">
        <v>39</v>
      </c>
      <c r="CJ194" t="s">
        <v>8950</v>
      </c>
      <c r="CK194" t="s">
        <v>1167</v>
      </c>
      <c r="CL194" t="s">
        <v>8961</v>
      </c>
      <c r="CM194" t="s">
        <v>8975</v>
      </c>
      <c r="CN194" s="238" t="b">
        <v>1</v>
      </c>
      <c r="CO194" t="s">
        <v>5482</v>
      </c>
      <c r="CQ194" t="s">
        <v>6652</v>
      </c>
      <c r="CR194" t="s">
        <v>3246</v>
      </c>
      <c r="CS194" t="s">
        <v>36</v>
      </c>
      <c r="CT194" t="b">
        <v>1</v>
      </c>
      <c r="CU194">
        <v>6757800</v>
      </c>
      <c r="CV194" t="s">
        <v>9002</v>
      </c>
      <c r="CW194">
        <v>0</v>
      </c>
      <c r="CX194">
        <v>6757800</v>
      </c>
      <c r="CY194">
        <v>0</v>
      </c>
      <c r="CZ194" t="b">
        <v>1</v>
      </c>
      <c r="DA194">
        <v>45289</v>
      </c>
      <c r="DB194" t="s">
        <v>4177</v>
      </c>
      <c r="DC194">
        <v>-6.3536886692551198E-3</v>
      </c>
      <c r="DD194">
        <v>-479.94010383148174</v>
      </c>
      <c r="DE194" s="420" cm="1">
        <f t="array" ref="DE194">_xlfn.XLOOKUP("Дом 5"&amp;Реестр_Д5[[#This Row],[№]]&amp;Реестр_Д5[[#This Row],[Статус]],РД[Дом]&amp;РД[№ кв]&amp;РД[Состояние],РД[Дата подачи на регистрацию],"-",0)</f>
        <v>45289</v>
      </c>
    </row>
    <row r="195" spans="1:109" hidden="1" x14ac:dyDescent="0.25">
      <c r="A195" s="238">
        <v>194</v>
      </c>
      <c r="B195" s="238" t="s">
        <v>5</v>
      </c>
      <c r="C195" s="238">
        <v>12</v>
      </c>
      <c r="D195" s="238">
        <v>7</v>
      </c>
      <c r="E195" s="238">
        <v>1</v>
      </c>
      <c r="F195" s="238">
        <v>17.89</v>
      </c>
      <c r="G195" s="238"/>
      <c r="H195" s="238"/>
      <c r="I195">
        <v>17.89</v>
      </c>
      <c r="J195" s="238">
        <v>13.04</v>
      </c>
      <c r="K195" s="238">
        <v>3.9</v>
      </c>
      <c r="L195" s="238"/>
      <c r="M195" s="238"/>
      <c r="N195" s="238">
        <v>6.12</v>
      </c>
      <c r="O195" s="238">
        <v>2.65</v>
      </c>
      <c r="P195" s="238"/>
      <c r="R195" s="238">
        <v>2.65</v>
      </c>
      <c r="S195">
        <v>43.6</v>
      </c>
      <c r="T195">
        <v>40.950000000000003</v>
      </c>
      <c r="U195" s="238">
        <v>42.28</v>
      </c>
      <c r="V195">
        <v>42.15</v>
      </c>
      <c r="W195" s="238">
        <v>85573.6875</v>
      </c>
      <c r="X195">
        <v>4278.6843749999998</v>
      </c>
      <c r="Y195">
        <v>89852.371874999997</v>
      </c>
      <c r="Z195">
        <v>2695.5711562499996</v>
      </c>
      <c r="AA195">
        <v>92547.943031250004</v>
      </c>
      <c r="AB195">
        <v>2776.4382909374995</v>
      </c>
      <c r="AC195">
        <v>95324.381322187488</v>
      </c>
      <c r="AE195">
        <v>95324.381322187488</v>
      </c>
      <c r="AF195">
        <v>4766.2190661093746</v>
      </c>
      <c r="AG195">
        <v>100090.60038829688</v>
      </c>
      <c r="AI195">
        <v>100090.60038829688</v>
      </c>
      <c r="AJ195">
        <v>1000.9060038829688</v>
      </c>
      <c r="AK195">
        <v>101091.50639217984</v>
      </c>
      <c r="AL195">
        <v>5054.5753196089918</v>
      </c>
      <c r="AM195">
        <v>106146.08171178882</v>
      </c>
      <c r="AO195">
        <v>106146.08171178882</v>
      </c>
      <c r="AP195">
        <v>3184.3824513536647</v>
      </c>
      <c r="AQ195">
        <v>109330.46416314247</v>
      </c>
      <c r="AS195">
        <v>109330.46416314247</v>
      </c>
      <c r="AU195">
        <v>109330.46416314247</v>
      </c>
      <c r="AW195">
        <v>109330.46416314247</v>
      </c>
      <c r="AX195">
        <v>1093.3046416314248</v>
      </c>
      <c r="AY195">
        <v>110423.76880477392</v>
      </c>
      <c r="BA195">
        <v>110423.76880477392</v>
      </c>
      <c r="BC195">
        <v>110423.76880477392</v>
      </c>
      <c r="BE195">
        <v>110423.76880477392</v>
      </c>
      <c r="BG195">
        <v>110423.76880477392</v>
      </c>
      <c r="BI195">
        <v>110423.76880477392</v>
      </c>
      <c r="BK195">
        <v>110423.76880477392</v>
      </c>
      <c r="BM195">
        <v>110423.76880477392</v>
      </c>
      <c r="BO195">
        <v>110423.76880477392</v>
      </c>
      <c r="BQ195">
        <v>110423.76880477392</v>
      </c>
      <c r="BS195">
        <v>110423.76880477392</v>
      </c>
      <c r="BT195" s="238">
        <v>110423.77</v>
      </c>
      <c r="BU195" s="238">
        <v>4668800</v>
      </c>
      <c r="BX195" s="238">
        <v>0</v>
      </c>
      <c r="BY195" s="238">
        <v>110425.73320719016</v>
      </c>
      <c r="BZ195" s="238">
        <v>4668800</v>
      </c>
      <c r="CA195" s="238" t="s">
        <v>6871</v>
      </c>
      <c r="CB195">
        <v>7000</v>
      </c>
      <c r="CC195">
        <v>117425.73320719016</v>
      </c>
      <c r="CD195" s="238">
        <v>295960</v>
      </c>
      <c r="CE195" s="238">
        <v>4964760</v>
      </c>
      <c r="CH195" s="238" t="s">
        <v>39</v>
      </c>
      <c r="CI195" s="238" t="s">
        <v>39</v>
      </c>
      <c r="CJ195" t="s">
        <v>8950</v>
      </c>
      <c r="CK195" t="s">
        <v>1167</v>
      </c>
      <c r="CL195" t="s">
        <v>8961</v>
      </c>
      <c r="CM195" t="s">
        <v>8973</v>
      </c>
      <c r="CN195" s="238" t="b">
        <v>1</v>
      </c>
      <c r="CO195" t="s">
        <v>5483</v>
      </c>
      <c r="CQ195" t="s">
        <v>6652</v>
      </c>
      <c r="CR195" t="s">
        <v>3246</v>
      </c>
      <c r="CS195" t="s">
        <v>6871</v>
      </c>
      <c r="CT195" t="b">
        <v>1</v>
      </c>
      <c r="CU195">
        <v>4668800</v>
      </c>
      <c r="CV195" t="s">
        <v>9002</v>
      </c>
      <c r="CW195">
        <v>0</v>
      </c>
      <c r="CX195">
        <v>4668800</v>
      </c>
      <c r="CY195">
        <v>0</v>
      </c>
      <c r="CZ195" t="b">
        <v>1</v>
      </c>
      <c r="DA195">
        <v>45468</v>
      </c>
      <c r="DB195" t="s">
        <v>4177</v>
      </c>
      <c r="DC195">
        <v>-3.0747398297067408E-3</v>
      </c>
      <c r="DD195">
        <v>-339.53040011671789</v>
      </c>
      <c r="DE195" s="420" cm="1">
        <f t="array" ref="DE195">_xlfn.XLOOKUP("Дом 5"&amp;Реестр_Д5[[#This Row],[№]]&amp;Реестр_Д5[[#This Row],[Статус]],РД[Дом]&amp;РД[№ кв]&amp;РД[Состояние],РД[Дата подачи на регистрацию],"-",0)</f>
        <v>45468</v>
      </c>
    </row>
    <row r="196" spans="1:109" hidden="1" x14ac:dyDescent="0.25">
      <c r="A196" s="238">
        <v>195</v>
      </c>
      <c r="B196" s="238" t="s">
        <v>5</v>
      </c>
      <c r="C196" s="238">
        <v>13</v>
      </c>
      <c r="D196" s="238">
        <v>1</v>
      </c>
      <c r="E196" s="238">
        <v>2</v>
      </c>
      <c r="F196" s="238">
        <v>15.91</v>
      </c>
      <c r="G196" s="238">
        <v>12.02</v>
      </c>
      <c r="H196" s="238"/>
      <c r="I196">
        <v>27.93</v>
      </c>
      <c r="J196" s="238">
        <v>15.31</v>
      </c>
      <c r="K196" s="238">
        <v>3.85</v>
      </c>
      <c r="L196" s="238">
        <v>2.2999999999999998</v>
      </c>
      <c r="M196" s="238"/>
      <c r="N196" s="238">
        <v>9.4499999999999993</v>
      </c>
      <c r="O196" s="238">
        <v>2.75</v>
      </c>
      <c r="P196" s="238"/>
      <c r="R196" s="238">
        <v>2.75</v>
      </c>
      <c r="S196">
        <v>61.59</v>
      </c>
      <c r="T196">
        <v>58.84</v>
      </c>
      <c r="U196" s="238">
        <v>60.22</v>
      </c>
      <c r="V196">
        <v>60.099999999999994</v>
      </c>
      <c r="W196" s="238">
        <v>80307.864000000001</v>
      </c>
      <c r="X196">
        <v>4015.3932</v>
      </c>
      <c r="Y196">
        <v>84323.257199999993</v>
      </c>
      <c r="Z196">
        <v>2529.6977160000001</v>
      </c>
      <c r="AA196">
        <v>86852.954916000002</v>
      </c>
      <c r="AC196">
        <v>86852.954916000002</v>
      </c>
      <c r="AE196">
        <v>86852.954916000002</v>
      </c>
      <c r="AG196">
        <v>86852.954916000002</v>
      </c>
      <c r="AI196">
        <v>86852.954916000002</v>
      </c>
      <c r="AJ196">
        <v>868.52954915999999</v>
      </c>
      <c r="AK196">
        <v>87721.48446516</v>
      </c>
      <c r="AL196">
        <v>4386.0742232580005</v>
      </c>
      <c r="AM196">
        <v>92107.558688417994</v>
      </c>
      <c r="AO196">
        <v>92107.558688417994</v>
      </c>
      <c r="AQ196">
        <v>92107.558688417994</v>
      </c>
      <c r="AS196">
        <v>92107.558688417994</v>
      </c>
      <c r="AU196">
        <v>92107.558688417994</v>
      </c>
      <c r="AW196">
        <v>92107.558688417994</v>
      </c>
      <c r="AY196">
        <v>92107.558688417994</v>
      </c>
      <c r="BA196">
        <v>92107.558688417994</v>
      </c>
      <c r="BC196">
        <v>92107.558688417994</v>
      </c>
      <c r="BE196">
        <v>92107.558688417994</v>
      </c>
      <c r="BG196">
        <v>92107.558688417994</v>
      </c>
      <c r="BI196">
        <v>92107.558688417994</v>
      </c>
      <c r="BK196">
        <v>92107.558688417994</v>
      </c>
      <c r="BM196">
        <v>92107.558688417994</v>
      </c>
      <c r="BO196">
        <v>92107.558688417994</v>
      </c>
      <c r="BQ196">
        <v>92107.558688417994</v>
      </c>
      <c r="BS196">
        <v>92107.558688417994</v>
      </c>
      <c r="BT196" s="238">
        <v>92107.56</v>
      </c>
      <c r="BU196" s="238">
        <v>5546800</v>
      </c>
      <c r="BX196" s="238">
        <v>0</v>
      </c>
      <c r="BY196" s="238">
        <v>92108.933909000334</v>
      </c>
      <c r="BZ196" s="238">
        <v>5546800</v>
      </c>
      <c r="CA196" s="238" t="s">
        <v>36</v>
      </c>
      <c r="CC196">
        <v>92108.933909000334</v>
      </c>
      <c r="CD196" s="238">
        <v>0</v>
      </c>
      <c r="CE196" s="238">
        <v>5546800</v>
      </c>
      <c r="CH196" s="238" t="s">
        <v>39</v>
      </c>
      <c r="CI196" s="238" t="s">
        <v>39</v>
      </c>
      <c r="CJ196" t="s">
        <v>8950</v>
      </c>
      <c r="CK196" t="s">
        <v>1167</v>
      </c>
      <c r="CL196" t="s">
        <v>8961</v>
      </c>
      <c r="CM196" t="s">
        <v>8971</v>
      </c>
      <c r="CN196" s="238" t="b">
        <v>1</v>
      </c>
      <c r="CO196" t="s">
        <v>5484</v>
      </c>
      <c r="CQ196" t="s">
        <v>6652</v>
      </c>
      <c r="CR196" t="s">
        <v>3246</v>
      </c>
      <c r="CS196" t="s">
        <v>36</v>
      </c>
      <c r="CT196" t="b">
        <v>1</v>
      </c>
      <c r="CU196">
        <v>5546800</v>
      </c>
      <c r="CV196" t="s">
        <v>9002</v>
      </c>
      <c r="CW196">
        <v>0</v>
      </c>
      <c r="CX196">
        <v>5546800</v>
      </c>
      <c r="CY196">
        <v>0</v>
      </c>
      <c r="CZ196" t="b">
        <v>1</v>
      </c>
      <c r="DA196">
        <v>45349</v>
      </c>
      <c r="DB196" t="s">
        <v>5215</v>
      </c>
      <c r="DC196">
        <v>-1.9926934573232247E-3</v>
      </c>
      <c r="DD196">
        <v>-183.54486996148228</v>
      </c>
      <c r="DE196" s="420" cm="1">
        <f t="array" ref="DE196">_xlfn.XLOOKUP("Дом 5"&amp;Реестр_Д5[[#This Row],[№]]&amp;Реестр_Д5[[#This Row],[Статус]],РД[Дом]&amp;РД[№ кв]&amp;РД[Состояние],РД[Дата подачи на регистрацию],"-",0)</f>
        <v>45349</v>
      </c>
    </row>
    <row r="197" spans="1:109" x14ac:dyDescent="0.25">
      <c r="A197" s="238">
        <v>196</v>
      </c>
      <c r="B197" s="238" t="s">
        <v>5</v>
      </c>
      <c r="C197" s="238">
        <v>13</v>
      </c>
      <c r="D197" s="238">
        <v>2</v>
      </c>
      <c r="E197" s="238">
        <v>0</v>
      </c>
      <c r="F197" s="238">
        <v>7.13</v>
      </c>
      <c r="G197" s="238"/>
      <c r="H197" s="238"/>
      <c r="I197">
        <v>7.13</v>
      </c>
      <c r="J197" s="238">
        <v>5.12</v>
      </c>
      <c r="K197" s="238">
        <v>3.65</v>
      </c>
      <c r="L197" s="238"/>
      <c r="M197" s="238"/>
      <c r="N197" s="238">
        <v>6.92</v>
      </c>
      <c r="O197" s="238">
        <v>2.91</v>
      </c>
      <c r="P197" s="238"/>
      <c r="R197" s="238">
        <v>2.91</v>
      </c>
      <c r="S197">
        <v>25.73</v>
      </c>
      <c r="T197">
        <v>22.82</v>
      </c>
      <c r="U197" s="238">
        <v>24.28</v>
      </c>
      <c r="V197">
        <v>24.05</v>
      </c>
      <c r="W197" s="238">
        <v>90229.544999999998</v>
      </c>
      <c r="X197">
        <v>4511.4772499999999</v>
      </c>
      <c r="Y197">
        <v>94741.022249999995</v>
      </c>
      <c r="Z197">
        <v>2842.2306674999995</v>
      </c>
      <c r="AA197">
        <v>97583.252917499995</v>
      </c>
      <c r="AB197">
        <v>14637.487937624999</v>
      </c>
      <c r="AC197">
        <v>112220.740855125</v>
      </c>
      <c r="AE197">
        <v>112220.740855125</v>
      </c>
      <c r="AG197">
        <v>112220.740855125</v>
      </c>
      <c r="AI197">
        <v>112220.740855125</v>
      </c>
      <c r="AJ197">
        <v>1122.20740855125</v>
      </c>
      <c r="AK197">
        <v>113342.94826367624</v>
      </c>
      <c r="AL197">
        <v>5667.1474131838122</v>
      </c>
      <c r="AM197">
        <v>119010.09567686006</v>
      </c>
      <c r="AO197">
        <v>119010.09567686006</v>
      </c>
      <c r="AP197">
        <v>3570.3028703058017</v>
      </c>
      <c r="AQ197">
        <v>122580.39854716588</v>
      </c>
      <c r="AS197">
        <v>122580.39854716588</v>
      </c>
      <c r="AU197">
        <v>122580.39854716588</v>
      </c>
      <c r="AW197">
        <v>122580.39854716588</v>
      </c>
      <c r="AY197">
        <v>122580.39854716588</v>
      </c>
      <c r="AZ197">
        <v>2451.6079709433175</v>
      </c>
      <c r="BA197">
        <v>125032.00651810918</v>
      </c>
      <c r="BC197">
        <v>125032.00651810918</v>
      </c>
      <c r="BE197">
        <v>125032.00651810918</v>
      </c>
      <c r="BF197">
        <v>1875.4800977716377</v>
      </c>
      <c r="BG197">
        <v>126907.4866158808</v>
      </c>
      <c r="BH197">
        <v>500</v>
      </c>
      <c r="BI197">
        <v>127407.4866158808</v>
      </c>
      <c r="BK197">
        <v>127407.4866158808</v>
      </c>
      <c r="BL197">
        <v>5096.2994646352327</v>
      </c>
      <c r="BM197">
        <v>132503.78608051606</v>
      </c>
      <c r="BN197">
        <v>17225.492190467088</v>
      </c>
      <c r="BO197">
        <v>149729.27827098314</v>
      </c>
      <c r="BP197">
        <v>35</v>
      </c>
      <c r="BQ197">
        <v>149764.27827098314</v>
      </c>
      <c r="BS197">
        <v>149764.27827098314</v>
      </c>
      <c r="BT197" s="238">
        <v>149764.28</v>
      </c>
      <c r="BU197" s="238">
        <v>3601900</v>
      </c>
      <c r="BX197" s="238">
        <v>0</v>
      </c>
      <c r="BY197" s="238">
        <v>149767.15176715175</v>
      </c>
      <c r="BZ197" s="238">
        <v>3601900</v>
      </c>
      <c r="CA197" s="238" t="s">
        <v>36</v>
      </c>
      <c r="CC197">
        <v>149767.15176715175</v>
      </c>
      <c r="CD197" s="238">
        <v>0</v>
      </c>
      <c r="CE197" s="238">
        <v>3601899.9999999995</v>
      </c>
      <c r="CH197" s="238" t="s">
        <v>3</v>
      </c>
      <c r="CI197" s="238" t="s">
        <v>3</v>
      </c>
      <c r="CJ197" t="s">
        <v>8951</v>
      </c>
      <c r="CK197" t="s">
        <v>1167</v>
      </c>
      <c r="CL197" t="s">
        <v>8961</v>
      </c>
      <c r="CM197" t="s">
        <v>8970</v>
      </c>
      <c r="CN197" s="238" t="b">
        <v>1</v>
      </c>
      <c r="CO197" t="s">
        <v>5485</v>
      </c>
      <c r="CQ197" t="s">
        <v>6652</v>
      </c>
      <c r="CR197" t="s">
        <v>3124</v>
      </c>
      <c r="CS197" t="s">
        <v>6871</v>
      </c>
      <c r="CT197" t="b">
        <v>0</v>
      </c>
      <c r="CU197">
        <v>3601900</v>
      </c>
      <c r="CV197">
        <v>3601900</v>
      </c>
      <c r="CW197">
        <v>0</v>
      </c>
      <c r="CX197">
        <v>0</v>
      </c>
      <c r="CY197">
        <v>0</v>
      </c>
      <c r="CZ197" t="b">
        <v>1</v>
      </c>
      <c r="DA197" t="s">
        <v>4246</v>
      </c>
      <c r="DB197" t="s">
        <v>1167</v>
      </c>
      <c r="DC197">
        <v>-9.4728171334431677E-3</v>
      </c>
      <c r="DD197">
        <v>-1418.7168412868582</v>
      </c>
      <c r="DE197" s="420" t="str" cm="1">
        <f t="array" ref="DE19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198" spans="1:109" hidden="1" x14ac:dyDescent="0.25">
      <c r="A198" s="238">
        <v>197</v>
      </c>
      <c r="B198" s="238" t="s">
        <v>5</v>
      </c>
      <c r="C198" s="238">
        <v>13</v>
      </c>
      <c r="D198" s="238">
        <v>3</v>
      </c>
      <c r="E198" s="238">
        <v>2</v>
      </c>
      <c r="F198" s="238">
        <v>14.6</v>
      </c>
      <c r="G198" s="238">
        <v>13.12</v>
      </c>
      <c r="H198" s="238"/>
      <c r="I198">
        <v>27.72</v>
      </c>
      <c r="J198" s="238">
        <v>14.35</v>
      </c>
      <c r="K198" s="238">
        <v>3.68</v>
      </c>
      <c r="L198" s="238">
        <v>2.57</v>
      </c>
      <c r="M198" s="238"/>
      <c r="N198" s="238">
        <v>7.95</v>
      </c>
      <c r="O198" s="238">
        <v>2.65</v>
      </c>
      <c r="P198" s="238"/>
      <c r="R198" s="238">
        <v>2.65</v>
      </c>
      <c r="S198">
        <v>58.92</v>
      </c>
      <c r="T198">
        <v>56.27</v>
      </c>
      <c r="U198" s="238">
        <v>57.6</v>
      </c>
      <c r="V198">
        <v>57.95</v>
      </c>
      <c r="W198" s="238">
        <v>78763.482000000004</v>
      </c>
      <c r="X198">
        <v>3938.1741000000002</v>
      </c>
      <c r="Y198">
        <v>82701.656099999993</v>
      </c>
      <c r="Z198">
        <v>2481.0496830000002</v>
      </c>
      <c r="AA198">
        <v>85182.705783000012</v>
      </c>
      <c r="AC198">
        <v>85182.705783000012</v>
      </c>
      <c r="AE198">
        <v>85182.705783000012</v>
      </c>
      <c r="AG198">
        <v>85182.705783000012</v>
      </c>
      <c r="AI198">
        <v>85182.705783000012</v>
      </c>
      <c r="AJ198">
        <v>851.82705783000017</v>
      </c>
      <c r="AK198">
        <v>86034.532840830012</v>
      </c>
      <c r="AL198">
        <v>4301.7266420415008</v>
      </c>
      <c r="AM198">
        <v>90336.259482871508</v>
      </c>
      <c r="AO198">
        <v>90336.259482871508</v>
      </c>
      <c r="AP198">
        <v>1806.7251896574303</v>
      </c>
      <c r="AQ198">
        <v>92142.984672528939</v>
      </c>
      <c r="AS198">
        <v>92142.984672528939</v>
      </c>
      <c r="AT198">
        <v>1842.8596934505788</v>
      </c>
      <c r="AU198">
        <v>93985.844365979516</v>
      </c>
      <c r="AW198">
        <v>93985.844365979516</v>
      </c>
      <c r="AX198">
        <v>939.85844365979517</v>
      </c>
      <c r="AY198">
        <v>94925.70280963929</v>
      </c>
      <c r="BA198">
        <v>94925.70280963929</v>
      </c>
      <c r="BC198">
        <v>94925.70280963929</v>
      </c>
      <c r="BE198">
        <v>94925.70280963929</v>
      </c>
      <c r="BF198">
        <v>2373.1425702409829</v>
      </c>
      <c r="BG198">
        <v>97298.84537988028</v>
      </c>
      <c r="BI198">
        <v>97298.84537988028</v>
      </c>
      <c r="BJ198">
        <v>3891.9538151952111</v>
      </c>
      <c r="BK198">
        <v>101190.79919507548</v>
      </c>
      <c r="BL198">
        <v>6071.4479517045293</v>
      </c>
      <c r="BM198">
        <v>107262.24714678002</v>
      </c>
      <c r="BN198">
        <v>13944.092129081404</v>
      </c>
      <c r="BO198">
        <v>121206.33927586142</v>
      </c>
      <c r="BP198">
        <v>35</v>
      </c>
      <c r="BQ198">
        <v>121241.33927586142</v>
      </c>
      <c r="BR198">
        <v>1212.4133927586142</v>
      </c>
      <c r="BS198">
        <v>122453.75266862004</v>
      </c>
      <c r="BT198" s="238">
        <v>122453.75</v>
      </c>
      <c r="BU198" s="238">
        <v>7053400</v>
      </c>
      <c r="BV198">
        <v>300000</v>
      </c>
      <c r="BX198" s="238">
        <v>300000</v>
      </c>
      <c r="BY198" s="238">
        <v>117246.52777777778</v>
      </c>
      <c r="BZ198" s="238">
        <v>6753400</v>
      </c>
      <c r="CA198" s="238" t="s">
        <v>38</v>
      </c>
      <c r="CB198">
        <v>25000</v>
      </c>
      <c r="CC198">
        <v>142246.52777777778</v>
      </c>
      <c r="CD198" s="238">
        <v>1440000</v>
      </c>
      <c r="CE198" s="238">
        <v>8193400</v>
      </c>
      <c r="CF198" t="s">
        <v>4633</v>
      </c>
      <c r="CG198" t="s">
        <v>8594</v>
      </c>
      <c r="CH198" s="238" t="s">
        <v>39</v>
      </c>
      <c r="CI198" s="238" t="s">
        <v>39</v>
      </c>
      <c r="CJ198" t="s">
        <v>8950</v>
      </c>
      <c r="CK198" t="s">
        <v>1167</v>
      </c>
      <c r="CL198" t="s">
        <v>8961</v>
      </c>
      <c r="CM198" t="s">
        <v>8971</v>
      </c>
      <c r="CN198" s="238" t="b">
        <v>1</v>
      </c>
      <c r="CO198" t="s">
        <v>5486</v>
      </c>
      <c r="CQ198" t="s">
        <v>6652</v>
      </c>
      <c r="CR198" t="s">
        <v>3246</v>
      </c>
      <c r="CS198" t="s">
        <v>38</v>
      </c>
      <c r="CT198" t="b">
        <v>1</v>
      </c>
      <c r="CU198">
        <v>7053400</v>
      </c>
      <c r="CV198" t="s">
        <v>9002</v>
      </c>
      <c r="CW198">
        <v>0</v>
      </c>
      <c r="CX198">
        <v>7053400</v>
      </c>
      <c r="CY198">
        <v>0</v>
      </c>
      <c r="CZ198" t="b">
        <v>1</v>
      </c>
      <c r="DA198">
        <v>45805</v>
      </c>
      <c r="DB198" t="s">
        <v>5215</v>
      </c>
      <c r="DC198">
        <v>6.0763888888888395E-3</v>
      </c>
      <c r="DD198">
        <v>712.43549864968554</v>
      </c>
      <c r="DE198" s="420" cm="1">
        <f t="array" ref="DE198">_xlfn.XLOOKUP("Дом 5"&amp;Реестр_Д5[[#This Row],[№]]&amp;Реестр_Д5[[#This Row],[Статус]],РД[Дом]&amp;РД[№ кв]&amp;РД[Состояние],РД[Дата подачи на регистрацию],"-",0)</f>
        <v>45805</v>
      </c>
    </row>
    <row r="199" spans="1:109" hidden="1" x14ac:dyDescent="0.25">
      <c r="A199" s="238">
        <v>198</v>
      </c>
      <c r="B199" s="238" t="s">
        <v>5</v>
      </c>
      <c r="C199" s="238">
        <v>13</v>
      </c>
      <c r="D199" s="238">
        <v>4</v>
      </c>
      <c r="E199" s="238">
        <v>2</v>
      </c>
      <c r="F199" s="238">
        <v>15.45</v>
      </c>
      <c r="G199" s="238">
        <v>14.5</v>
      </c>
      <c r="H199" s="238"/>
      <c r="I199">
        <v>29.95</v>
      </c>
      <c r="J199" s="238">
        <v>11.95</v>
      </c>
      <c r="K199" s="238">
        <v>3.86</v>
      </c>
      <c r="L199" s="238">
        <v>2.37</v>
      </c>
      <c r="M199" s="238"/>
      <c r="N199" s="238">
        <v>8.8699999999999992</v>
      </c>
      <c r="O199" s="238">
        <v>2.62</v>
      </c>
      <c r="P199" s="238"/>
      <c r="R199" s="238">
        <v>2.62</v>
      </c>
      <c r="S199">
        <v>59.62</v>
      </c>
      <c r="T199">
        <v>57</v>
      </c>
      <c r="U199" s="238">
        <v>58.31</v>
      </c>
      <c r="V199">
        <v>58.199999999999989</v>
      </c>
      <c r="W199" s="238">
        <v>79921.768500000006</v>
      </c>
      <c r="X199">
        <v>3996.0884249999999</v>
      </c>
      <c r="Y199">
        <v>83917.856925</v>
      </c>
      <c r="Z199">
        <v>2517.5357077499998</v>
      </c>
      <c r="AA199">
        <v>86435.392632749994</v>
      </c>
      <c r="AC199">
        <v>86435.392632749994</v>
      </c>
      <c r="AE199">
        <v>86435.392632749994</v>
      </c>
      <c r="AG199">
        <v>86435.392632749994</v>
      </c>
      <c r="AI199">
        <v>86435.392632749994</v>
      </c>
      <c r="AJ199">
        <v>864.35392632749995</v>
      </c>
      <c r="AK199">
        <v>87299.746559077481</v>
      </c>
      <c r="AL199">
        <v>4364.9873279538751</v>
      </c>
      <c r="AM199">
        <v>91664.733887031369</v>
      </c>
      <c r="AO199">
        <v>91664.733887031369</v>
      </c>
      <c r="AP199">
        <v>1833.2946777406271</v>
      </c>
      <c r="AQ199">
        <v>93498.028564772001</v>
      </c>
      <c r="AS199">
        <v>93498.028564772001</v>
      </c>
      <c r="AT199">
        <v>1869.9605712954401</v>
      </c>
      <c r="AU199">
        <v>95367.989136067437</v>
      </c>
      <c r="AW199">
        <v>95367.989136067437</v>
      </c>
      <c r="AY199">
        <v>95367.989136067437</v>
      </c>
      <c r="BA199">
        <v>95367.989136067437</v>
      </c>
      <c r="BC199">
        <v>95367.989136067437</v>
      </c>
      <c r="BE199">
        <v>95367.989136067437</v>
      </c>
      <c r="BG199">
        <v>95367.989136067437</v>
      </c>
      <c r="BI199">
        <v>95367.989136067437</v>
      </c>
      <c r="BK199">
        <v>95367.989136067437</v>
      </c>
      <c r="BM199">
        <v>95367.989136067437</v>
      </c>
      <c r="BO199">
        <v>95367.989136067437</v>
      </c>
      <c r="BQ199">
        <v>95367.989136067437</v>
      </c>
      <c r="BS199">
        <v>95367.989136067437</v>
      </c>
      <c r="BT199" s="238">
        <v>95367.99</v>
      </c>
      <c r="BU199" s="238">
        <v>5561000</v>
      </c>
      <c r="BW199">
        <v>0.03</v>
      </c>
      <c r="BX199" s="238">
        <v>166830</v>
      </c>
      <c r="BY199" s="238">
        <v>92508.48910992968</v>
      </c>
      <c r="BZ199" s="238">
        <v>5394170</v>
      </c>
      <c r="CA199" s="238" t="s">
        <v>38</v>
      </c>
      <c r="CB199">
        <v>20000</v>
      </c>
      <c r="CC199">
        <v>112508.48910992968</v>
      </c>
      <c r="CD199" s="238">
        <v>1166200</v>
      </c>
      <c r="CE199" s="238">
        <v>6560370</v>
      </c>
      <c r="CG199" t="s">
        <v>978</v>
      </c>
      <c r="CH199" s="238" t="s">
        <v>39</v>
      </c>
      <c r="CI199" s="238" t="s">
        <v>39</v>
      </c>
      <c r="CJ199" t="s">
        <v>8950</v>
      </c>
      <c r="CK199" t="s">
        <v>1167</v>
      </c>
      <c r="CL199" t="s">
        <v>8961</v>
      </c>
      <c r="CM199" t="s">
        <v>8974</v>
      </c>
      <c r="CN199" s="238" t="b">
        <v>1</v>
      </c>
      <c r="CO199" t="s">
        <v>5487</v>
      </c>
      <c r="CQ199" t="s">
        <v>6652</v>
      </c>
      <c r="CR199" t="s">
        <v>3246</v>
      </c>
      <c r="CS199" t="s">
        <v>38</v>
      </c>
      <c r="CT199" t="b">
        <v>1</v>
      </c>
      <c r="CU199">
        <v>5561000</v>
      </c>
      <c r="CV199" t="s">
        <v>9002</v>
      </c>
      <c r="CW199">
        <v>0</v>
      </c>
      <c r="CX199">
        <v>5561000</v>
      </c>
      <c r="CY199">
        <v>0</v>
      </c>
      <c r="CZ199" t="b">
        <v>1</v>
      </c>
      <c r="DA199">
        <v>45441</v>
      </c>
      <c r="DB199" t="s">
        <v>4177</v>
      </c>
      <c r="DC199">
        <v>-1.8864688732638248E-3</v>
      </c>
      <c r="DD199">
        <v>-174.51438521854783</v>
      </c>
      <c r="DE199" s="420" cm="1">
        <f t="array" ref="DE199">_xlfn.XLOOKUP("Дом 5"&amp;Реестр_Д5[[#This Row],[№]]&amp;Реестр_Д5[[#This Row],[Статус]],РД[Дом]&amp;РД[№ кв]&amp;РД[Состояние],РД[Дата подачи на регистрацию],"-",0)</f>
        <v>45441</v>
      </c>
    </row>
    <row r="200" spans="1:109" hidden="1" x14ac:dyDescent="0.25">
      <c r="A200" s="238">
        <v>199</v>
      </c>
      <c r="B200" s="238" t="s">
        <v>5</v>
      </c>
      <c r="C200" s="238">
        <v>13</v>
      </c>
      <c r="D200" s="238">
        <v>5</v>
      </c>
      <c r="E200" s="238">
        <v>1</v>
      </c>
      <c r="F200" s="238">
        <v>12.06</v>
      </c>
      <c r="G200" s="238"/>
      <c r="H200" s="238"/>
      <c r="I200">
        <v>12.06</v>
      </c>
      <c r="J200" s="238">
        <v>13.18</v>
      </c>
      <c r="K200" s="238">
        <v>4.1100000000000003</v>
      </c>
      <c r="L200" s="238"/>
      <c r="M200" s="238"/>
      <c r="N200" s="238">
        <v>7.09</v>
      </c>
      <c r="O200" s="238">
        <v>2.84</v>
      </c>
      <c r="P200" s="238"/>
      <c r="R200" s="238">
        <v>2.84</v>
      </c>
      <c r="S200">
        <v>39.28</v>
      </c>
      <c r="T200">
        <v>36.44</v>
      </c>
      <c r="U200" s="238">
        <v>37.86</v>
      </c>
      <c r="V200">
        <v>37.9</v>
      </c>
      <c r="W200" s="238">
        <v>87601.5</v>
      </c>
      <c r="X200">
        <v>4380.0749999999998</v>
      </c>
      <c r="Y200">
        <v>91981.574999999997</v>
      </c>
      <c r="Z200">
        <v>2759.4472499999997</v>
      </c>
      <c r="AA200">
        <v>94741.022249999995</v>
      </c>
      <c r="AB200">
        <v>4263.34600125</v>
      </c>
      <c r="AC200">
        <v>99004.368251249995</v>
      </c>
      <c r="AE200">
        <v>99004.368251249995</v>
      </c>
      <c r="AF200">
        <v>4950.2184125624999</v>
      </c>
      <c r="AG200">
        <v>103954.5866638125</v>
      </c>
      <c r="AI200">
        <v>103954.5866638125</v>
      </c>
      <c r="AJ200">
        <v>1039.5458666381253</v>
      </c>
      <c r="AK200">
        <v>104994.13253045065</v>
      </c>
      <c r="AL200">
        <v>5249.7066265225321</v>
      </c>
      <c r="AM200">
        <v>110243.83915697316</v>
      </c>
      <c r="AO200">
        <v>110243.83915697316</v>
      </c>
      <c r="AP200">
        <v>3307.3151747091947</v>
      </c>
      <c r="AQ200">
        <v>113551.15433168237</v>
      </c>
      <c r="AS200">
        <v>113551.15433168237</v>
      </c>
      <c r="AU200">
        <v>113551.15433168237</v>
      </c>
      <c r="AW200">
        <v>113551.15433168237</v>
      </c>
      <c r="AY200">
        <v>113551.15433168237</v>
      </c>
      <c r="AZ200">
        <v>1135.5115433168237</v>
      </c>
      <c r="BA200">
        <v>114686.66587499918</v>
      </c>
      <c r="BB200">
        <v>573.43332937499588</v>
      </c>
      <c r="BC200">
        <v>115260.09920437416</v>
      </c>
      <c r="BE200">
        <v>115260.09920437416</v>
      </c>
      <c r="BF200">
        <v>2881.5024801093546</v>
      </c>
      <c r="BG200">
        <v>118141.60168448352</v>
      </c>
      <c r="BI200">
        <v>118141.60168448352</v>
      </c>
      <c r="BK200">
        <v>118141.60168448352</v>
      </c>
      <c r="BL200">
        <v>5907.080084224177</v>
      </c>
      <c r="BM200">
        <v>124048.6817687077</v>
      </c>
      <c r="BN200">
        <v>16126.328629932001</v>
      </c>
      <c r="BO200">
        <v>140175.01039863969</v>
      </c>
      <c r="BP200">
        <v>35</v>
      </c>
      <c r="BQ200">
        <v>140210.01039863969</v>
      </c>
      <c r="BS200">
        <v>140210.01039863969</v>
      </c>
      <c r="BT200" s="238">
        <v>140210.01</v>
      </c>
      <c r="BU200" s="238">
        <v>5308400</v>
      </c>
      <c r="BV200">
        <v>302880</v>
      </c>
      <c r="BX200" s="238">
        <v>302880</v>
      </c>
      <c r="BY200" s="238">
        <v>132211.30480718435</v>
      </c>
      <c r="BZ200" s="238">
        <v>5005520</v>
      </c>
      <c r="CA200" s="238" t="s">
        <v>38</v>
      </c>
      <c r="CB200">
        <v>25000</v>
      </c>
      <c r="CC200">
        <v>157211.30480718435</v>
      </c>
      <c r="CD200" s="238">
        <v>946499.99999999907</v>
      </c>
      <c r="CE200" s="238">
        <v>5952019.9999999991</v>
      </c>
      <c r="CG200" t="s">
        <v>8676</v>
      </c>
      <c r="CH200" s="238" t="s">
        <v>39</v>
      </c>
      <c r="CI200" s="238" t="s">
        <v>39</v>
      </c>
      <c r="CJ200" t="s">
        <v>8950</v>
      </c>
      <c r="CK200" t="s">
        <v>1167</v>
      </c>
      <c r="CL200" t="s">
        <v>8961</v>
      </c>
      <c r="CM200" t="s">
        <v>8973</v>
      </c>
      <c r="CN200" s="238" t="b">
        <v>1</v>
      </c>
      <c r="CO200" t="s">
        <v>5488</v>
      </c>
      <c r="CQ200" t="s">
        <v>6652</v>
      </c>
      <c r="CR200" t="s">
        <v>3246</v>
      </c>
      <c r="CS200" t="s">
        <v>38</v>
      </c>
      <c r="CT200" t="b">
        <v>1</v>
      </c>
      <c r="CU200">
        <v>5308400</v>
      </c>
      <c r="CV200" t="s">
        <v>9002</v>
      </c>
      <c r="CW200">
        <v>0</v>
      </c>
      <c r="CX200">
        <v>5308400</v>
      </c>
      <c r="CY200">
        <v>0</v>
      </c>
      <c r="CZ200" t="b">
        <v>1</v>
      </c>
      <c r="DA200">
        <v>45814</v>
      </c>
      <c r="DB200" t="s">
        <v>4177</v>
      </c>
      <c r="DC200">
        <v>1.0565240359217132E-3</v>
      </c>
      <c r="DD200">
        <v>139.6844213493622</v>
      </c>
      <c r="DE200" s="420" cm="1">
        <f t="array" ref="DE200">_xlfn.XLOOKUP("Дом 5"&amp;Реестр_Д5[[#This Row],[№]]&amp;Реестр_Д5[[#This Row],[Статус]],РД[Дом]&amp;РД[№ кв]&amp;РД[Состояние],РД[Дата подачи на регистрацию],"-",0)</f>
        <v>45814</v>
      </c>
    </row>
    <row r="201" spans="1:109" hidden="1" x14ac:dyDescent="0.25">
      <c r="A201" s="238">
        <v>200</v>
      </c>
      <c r="B201" s="238" t="s">
        <v>5</v>
      </c>
      <c r="C201" s="238">
        <v>13</v>
      </c>
      <c r="D201" s="238">
        <v>6</v>
      </c>
      <c r="E201" s="238">
        <v>3</v>
      </c>
      <c r="F201" s="238">
        <v>17.89</v>
      </c>
      <c r="G201" s="238">
        <v>17.2</v>
      </c>
      <c r="H201" s="238">
        <v>14.31</v>
      </c>
      <c r="I201">
        <v>49.400000000000006</v>
      </c>
      <c r="J201" s="238">
        <v>13.39</v>
      </c>
      <c r="K201" s="238">
        <v>4.2</v>
      </c>
      <c r="L201" s="238">
        <v>2.0499999999999998</v>
      </c>
      <c r="M201" s="238"/>
      <c r="N201" s="238">
        <v>13.21</v>
      </c>
      <c r="O201" s="238">
        <v>2.79</v>
      </c>
      <c r="P201" s="238">
        <v>2.68</v>
      </c>
      <c r="R201" s="238">
        <v>5.4700000000000006</v>
      </c>
      <c r="S201">
        <v>87.72</v>
      </c>
      <c r="T201">
        <v>82.25</v>
      </c>
      <c r="U201" s="238">
        <v>84.99</v>
      </c>
      <c r="V201">
        <v>84.35</v>
      </c>
      <c r="W201" s="238">
        <v>72092.789999999994</v>
      </c>
      <c r="X201">
        <v>3604.6395000000007</v>
      </c>
      <c r="Y201">
        <v>75697.429500000013</v>
      </c>
      <c r="Z201">
        <v>2270.9228850000004</v>
      </c>
      <c r="AA201">
        <v>77968.35238500002</v>
      </c>
      <c r="AC201">
        <v>77968.35238500002</v>
      </c>
      <c r="AE201">
        <v>77968.35238500002</v>
      </c>
      <c r="AG201">
        <v>77968.35238500002</v>
      </c>
      <c r="AI201">
        <v>77968.35238500002</v>
      </c>
      <c r="AJ201">
        <v>779.68352385000037</v>
      </c>
      <c r="AK201">
        <v>78748.035908850026</v>
      </c>
      <c r="AL201">
        <v>3937.4017954425017</v>
      </c>
      <c r="AM201">
        <v>82685.437704292533</v>
      </c>
      <c r="AO201">
        <v>82685.437704292533</v>
      </c>
      <c r="AP201">
        <v>1653.7087540858506</v>
      </c>
      <c r="AQ201">
        <v>84339.146458378382</v>
      </c>
      <c r="AS201">
        <v>84339.146458378382</v>
      </c>
      <c r="AT201">
        <v>1686.7829291675678</v>
      </c>
      <c r="AU201">
        <v>86025.929387545955</v>
      </c>
      <c r="AW201">
        <v>86025.929387545955</v>
      </c>
      <c r="AX201">
        <v>860.25929387545955</v>
      </c>
      <c r="AY201">
        <v>86886.188681421409</v>
      </c>
      <c r="BA201">
        <v>86886.188681421409</v>
      </c>
      <c r="BC201">
        <v>86886.188681421409</v>
      </c>
      <c r="BD201">
        <v>1737.7237736284285</v>
      </c>
      <c r="BE201">
        <v>88623.912455049838</v>
      </c>
      <c r="BF201">
        <v>1329.3586868257476</v>
      </c>
      <c r="BG201">
        <v>89953.271141875579</v>
      </c>
      <c r="BI201">
        <v>89953.271141875579</v>
      </c>
      <c r="BJ201">
        <v>3598.130845675023</v>
      </c>
      <c r="BK201">
        <v>93551.401987550606</v>
      </c>
      <c r="BL201">
        <v>4677.5700993775308</v>
      </c>
      <c r="BM201">
        <v>98228.972086928115</v>
      </c>
      <c r="BN201">
        <v>12769.766371300657</v>
      </c>
      <c r="BO201">
        <v>110998.73845822881</v>
      </c>
      <c r="BP201">
        <v>35</v>
      </c>
      <c r="BQ201">
        <v>111033.73845822881</v>
      </c>
      <c r="BS201">
        <v>111033.73845822881</v>
      </c>
      <c r="BT201" s="238">
        <v>111033.74</v>
      </c>
      <c r="BU201" s="238">
        <v>9436800</v>
      </c>
      <c r="BV201">
        <v>400000</v>
      </c>
      <c r="BX201" s="238">
        <v>400000</v>
      </c>
      <c r="BY201" s="238">
        <v>106327.80327097306</v>
      </c>
      <c r="BZ201" s="238">
        <v>9036800</v>
      </c>
      <c r="CA201" s="238" t="s">
        <v>36</v>
      </c>
      <c r="CC201">
        <v>106327.80327097306</v>
      </c>
      <c r="CD201" s="238">
        <v>0</v>
      </c>
      <c r="CE201" s="238">
        <v>9036800</v>
      </c>
      <c r="CG201" t="s">
        <v>8594</v>
      </c>
      <c r="CH201" s="238" t="s">
        <v>39</v>
      </c>
      <c r="CI201" s="238" t="s">
        <v>39</v>
      </c>
      <c r="CJ201" t="s">
        <v>8950</v>
      </c>
      <c r="CK201" t="s">
        <v>1167</v>
      </c>
      <c r="CL201" t="s">
        <v>8961</v>
      </c>
      <c r="CM201" t="s">
        <v>8975</v>
      </c>
      <c r="CN201" s="238" t="b">
        <v>1</v>
      </c>
      <c r="CO201" t="s">
        <v>5489</v>
      </c>
      <c r="CQ201" t="s">
        <v>6652</v>
      </c>
      <c r="CR201" t="s">
        <v>3246</v>
      </c>
      <c r="CS201" t="s">
        <v>36</v>
      </c>
      <c r="CT201" t="b">
        <v>1</v>
      </c>
      <c r="CU201">
        <v>9436800</v>
      </c>
      <c r="CV201" t="s">
        <v>9002</v>
      </c>
      <c r="CW201">
        <v>0</v>
      </c>
      <c r="CX201">
        <v>9436800</v>
      </c>
      <c r="CY201">
        <v>0</v>
      </c>
      <c r="CZ201" t="b">
        <v>1</v>
      </c>
      <c r="DA201">
        <v>45777</v>
      </c>
      <c r="DB201" t="s">
        <v>8380</v>
      </c>
      <c r="DC201">
        <v>-7.5302976820802447E-3</v>
      </c>
      <c r="DD201">
        <v>-800.68001051209285</v>
      </c>
      <c r="DE201" s="420" cm="1">
        <f t="array" ref="DE201">_xlfn.XLOOKUP("Дом 5"&amp;Реестр_Д5[[#This Row],[№]]&amp;Реестр_Д5[[#This Row],[Статус]],РД[Дом]&amp;РД[№ кв]&amp;РД[Состояние],РД[Дата подачи на регистрацию],"-",0)</f>
        <v>45777</v>
      </c>
    </row>
    <row r="202" spans="1:109" x14ac:dyDescent="0.25">
      <c r="A202" s="238">
        <v>201</v>
      </c>
      <c r="B202" s="238" t="s">
        <v>5</v>
      </c>
      <c r="C202" s="238">
        <v>13</v>
      </c>
      <c r="D202" s="238">
        <v>7</v>
      </c>
      <c r="E202" s="238">
        <v>1</v>
      </c>
      <c r="F202" s="238">
        <v>17.89</v>
      </c>
      <c r="G202" s="238"/>
      <c r="H202" s="238"/>
      <c r="I202">
        <v>17.89</v>
      </c>
      <c r="J202" s="238">
        <v>13.04</v>
      </c>
      <c r="K202" s="238">
        <v>3.9</v>
      </c>
      <c r="L202" s="238"/>
      <c r="M202" s="238"/>
      <c r="N202" s="238">
        <v>6.12</v>
      </c>
      <c r="O202" s="238">
        <v>2.65</v>
      </c>
      <c r="P202" s="238"/>
      <c r="R202" s="238">
        <v>2.65</v>
      </c>
      <c r="S202">
        <v>43.6</v>
      </c>
      <c r="T202">
        <v>40.950000000000003</v>
      </c>
      <c r="U202" s="238">
        <v>42.28</v>
      </c>
      <c r="V202">
        <v>42.35</v>
      </c>
      <c r="W202" s="238">
        <v>83951.4375</v>
      </c>
      <c r="X202">
        <v>4197.5718750000005</v>
      </c>
      <c r="Y202">
        <v>88149.009374999994</v>
      </c>
      <c r="Z202">
        <v>2644.4702812499995</v>
      </c>
      <c r="AA202">
        <v>90793.479656249998</v>
      </c>
      <c r="AB202">
        <v>2723.8043896874997</v>
      </c>
      <c r="AC202">
        <v>93517.2840459375</v>
      </c>
      <c r="AE202">
        <v>93517.2840459375</v>
      </c>
      <c r="AF202">
        <v>4675.8642022968752</v>
      </c>
      <c r="AG202">
        <v>98193.148248234371</v>
      </c>
      <c r="AI202">
        <v>98193.148248234371</v>
      </c>
      <c r="AJ202">
        <v>981.93148248234388</v>
      </c>
      <c r="AK202">
        <v>99175.079730716709</v>
      </c>
      <c r="AL202">
        <v>4958.7539865358358</v>
      </c>
      <c r="AM202">
        <v>104133.83371725256</v>
      </c>
      <c r="AO202">
        <v>104133.83371725256</v>
      </c>
      <c r="AP202">
        <v>3124.015011517577</v>
      </c>
      <c r="AQ202">
        <v>107257.84872877011</v>
      </c>
      <c r="AS202">
        <v>107257.84872877011</v>
      </c>
      <c r="AU202">
        <v>107257.84872877011</v>
      </c>
      <c r="AW202">
        <v>107257.84872877011</v>
      </c>
      <c r="AX202">
        <v>1072.5784872877014</v>
      </c>
      <c r="AY202">
        <v>108330.42721605784</v>
      </c>
      <c r="BA202">
        <v>108330.42721605784</v>
      </c>
      <c r="BC202">
        <v>108330.42721605784</v>
      </c>
      <c r="BE202">
        <v>108330.42721605784</v>
      </c>
      <c r="BF202">
        <v>2708.2606804014458</v>
      </c>
      <c r="BG202">
        <v>111038.68789645928</v>
      </c>
      <c r="BI202">
        <v>111038.68789645928</v>
      </c>
      <c r="BK202">
        <v>111038.68789645928</v>
      </c>
      <c r="BL202">
        <v>8883.0950317167426</v>
      </c>
      <c r="BM202">
        <v>119921.78292817602</v>
      </c>
      <c r="BN202">
        <v>15589.831780662884</v>
      </c>
      <c r="BO202">
        <v>135511.6147088389</v>
      </c>
      <c r="BP202">
        <v>35</v>
      </c>
      <c r="BQ202">
        <v>135546.6147088389</v>
      </c>
      <c r="BS202">
        <v>135546.6147088389</v>
      </c>
      <c r="BT202" s="238">
        <v>135546.60999999999</v>
      </c>
      <c r="BU202" s="238">
        <v>5740400</v>
      </c>
      <c r="BX202" s="238">
        <v>0</v>
      </c>
      <c r="BY202" s="238">
        <v>135546.63518299881</v>
      </c>
      <c r="BZ202" s="238">
        <v>5740400</v>
      </c>
      <c r="CA202" s="238" t="s">
        <v>38</v>
      </c>
      <c r="CB202">
        <v>30000</v>
      </c>
      <c r="CC202">
        <v>165546.63518299881</v>
      </c>
      <c r="CD202" s="238">
        <v>1270500</v>
      </c>
      <c r="CE202" s="238">
        <v>7010900</v>
      </c>
      <c r="CH202" s="238" t="s">
        <v>8956</v>
      </c>
      <c r="CI202" s="238" t="s">
        <v>8956</v>
      </c>
      <c r="CJ202" t="s">
        <v>8953</v>
      </c>
      <c r="CK202" t="s">
        <v>8957</v>
      </c>
      <c r="CL202" t="s">
        <v>8961</v>
      </c>
      <c r="CM202" t="s">
        <v>8973</v>
      </c>
      <c r="CN202" s="238" t="b">
        <v>1</v>
      </c>
      <c r="CO202" t="s">
        <v>5490</v>
      </c>
      <c r="CQ202" t="s">
        <v>6652</v>
      </c>
      <c r="CR202" t="s">
        <v>3124</v>
      </c>
      <c r="CS202" t="s">
        <v>36</v>
      </c>
      <c r="CT202" t="b">
        <v>0</v>
      </c>
      <c r="CU202">
        <v>5740400</v>
      </c>
      <c r="CV202">
        <v>5740400</v>
      </c>
      <c r="CW202">
        <v>0</v>
      </c>
      <c r="CX202">
        <v>0</v>
      </c>
      <c r="CY202">
        <v>0</v>
      </c>
      <c r="CZ202" t="b">
        <v>1</v>
      </c>
      <c r="DA202" t="s">
        <v>4246</v>
      </c>
      <c r="DB202" t="s">
        <v>1167</v>
      </c>
      <c r="DC202">
        <v>1.6556291390728006E-3</v>
      </c>
      <c r="DD202">
        <v>224.41495891224332</v>
      </c>
      <c r="DE202" s="420" t="str" cm="1">
        <f t="array" ref="DE20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03" spans="1:109" hidden="1" x14ac:dyDescent="0.25">
      <c r="A203" s="238">
        <v>202</v>
      </c>
      <c r="B203" s="238" t="s">
        <v>5</v>
      </c>
      <c r="C203" s="238">
        <v>14</v>
      </c>
      <c r="D203" s="238">
        <v>1</v>
      </c>
      <c r="E203" s="238">
        <v>2</v>
      </c>
      <c r="F203" s="238">
        <v>15.91</v>
      </c>
      <c r="G203" s="238">
        <v>12.02</v>
      </c>
      <c r="H203" s="238"/>
      <c r="I203">
        <v>27.93</v>
      </c>
      <c r="J203" s="238">
        <v>15.31</v>
      </c>
      <c r="K203" s="238">
        <v>3.85</v>
      </c>
      <c r="L203" s="238">
        <v>2.2999999999999998</v>
      </c>
      <c r="M203" s="238"/>
      <c r="N203" s="238">
        <v>9.4499999999999993</v>
      </c>
      <c r="O203" s="238">
        <v>2.75</v>
      </c>
      <c r="P203" s="238"/>
      <c r="R203" s="238">
        <v>2.75</v>
      </c>
      <c r="S203">
        <v>61.59</v>
      </c>
      <c r="T203">
        <v>58.84</v>
      </c>
      <c r="U203" s="238">
        <v>60.22</v>
      </c>
      <c r="V203">
        <v>60.499999999999993</v>
      </c>
      <c r="W203" s="238">
        <v>81852.246000000014</v>
      </c>
      <c r="X203">
        <v>4092.6123000000007</v>
      </c>
      <c r="Y203">
        <v>85944.858300000022</v>
      </c>
      <c r="Z203">
        <v>2578.3457490000005</v>
      </c>
      <c r="AA203">
        <v>88523.204049000022</v>
      </c>
      <c r="AC203">
        <v>88523.204049000022</v>
      </c>
      <c r="AE203">
        <v>88523.204049000022</v>
      </c>
      <c r="AG203">
        <v>88523.204049000022</v>
      </c>
      <c r="AI203">
        <v>88523.204049000022</v>
      </c>
      <c r="AJ203">
        <v>885.23204049000037</v>
      </c>
      <c r="AK203">
        <v>89408.436089490016</v>
      </c>
      <c r="AL203">
        <v>4470.4218044745012</v>
      </c>
      <c r="AM203">
        <v>93878.857893964523</v>
      </c>
      <c r="AO203">
        <v>93878.857893964523</v>
      </c>
      <c r="AP203">
        <v>1877.5771578792903</v>
      </c>
      <c r="AQ203">
        <v>95756.435051843815</v>
      </c>
      <c r="AS203">
        <v>95756.435051843815</v>
      </c>
      <c r="AT203">
        <v>1915.128701036876</v>
      </c>
      <c r="AU203">
        <v>97671.563752880698</v>
      </c>
      <c r="AW203">
        <v>97671.563752880698</v>
      </c>
      <c r="AY203">
        <v>97671.563752880698</v>
      </c>
      <c r="BA203">
        <v>97671.563752880698</v>
      </c>
      <c r="BC203">
        <v>97671.563752880698</v>
      </c>
      <c r="BE203">
        <v>97671.563752880698</v>
      </c>
      <c r="BF203">
        <v>1465.0734562932105</v>
      </c>
      <c r="BG203">
        <v>99136.637209173903</v>
      </c>
      <c r="BI203">
        <v>99136.637209173903</v>
      </c>
      <c r="BJ203">
        <v>3965.4654883669568</v>
      </c>
      <c r="BK203">
        <v>103102.10269754086</v>
      </c>
      <c r="BL203">
        <v>6186.1261618524513</v>
      </c>
      <c r="BM203">
        <v>109288.2288593933</v>
      </c>
      <c r="BN203">
        <v>14207.46975172113</v>
      </c>
      <c r="BO203">
        <v>123495.69861111444</v>
      </c>
      <c r="BQ203">
        <v>123495.69861111444</v>
      </c>
      <c r="BS203">
        <v>123495.69861111444</v>
      </c>
      <c r="BT203" s="238">
        <v>123495.7</v>
      </c>
      <c r="BU203" s="238">
        <v>7437000</v>
      </c>
      <c r="BW203">
        <v>0.03</v>
      </c>
      <c r="BX203" s="238">
        <v>223110</v>
      </c>
      <c r="BY203" s="238">
        <v>119792.26170707408</v>
      </c>
      <c r="BZ203" s="238">
        <v>7213890</v>
      </c>
      <c r="CA203" s="238" t="s">
        <v>6871</v>
      </c>
      <c r="CB203">
        <v>10000</v>
      </c>
      <c r="CC203">
        <v>129792.26170707408</v>
      </c>
      <c r="CD203" s="238">
        <v>602200</v>
      </c>
      <c r="CE203" s="238">
        <v>7816090</v>
      </c>
      <c r="CG203" t="s">
        <v>978</v>
      </c>
      <c r="CH203" s="238" t="s">
        <v>39</v>
      </c>
      <c r="CI203" s="238" t="s">
        <v>39</v>
      </c>
      <c r="CJ203" t="s">
        <v>8950</v>
      </c>
      <c r="CK203" t="s">
        <v>1167</v>
      </c>
      <c r="CL203" t="s">
        <v>8961</v>
      </c>
      <c r="CM203" t="s">
        <v>8971</v>
      </c>
      <c r="CN203" s="238" t="b">
        <v>1</v>
      </c>
      <c r="CO203" t="s">
        <v>5491</v>
      </c>
      <c r="CQ203" t="s">
        <v>6652</v>
      </c>
      <c r="CR203" t="s">
        <v>3246</v>
      </c>
      <c r="CS203" t="s">
        <v>6871</v>
      </c>
      <c r="CT203" t="b">
        <v>1</v>
      </c>
      <c r="CU203">
        <v>7437000</v>
      </c>
      <c r="CV203" t="s">
        <v>9002</v>
      </c>
      <c r="CW203">
        <v>0</v>
      </c>
      <c r="CX203">
        <v>7437000</v>
      </c>
      <c r="CY203">
        <v>0</v>
      </c>
      <c r="CZ203" t="b">
        <v>1</v>
      </c>
      <c r="DA203">
        <v>45621</v>
      </c>
      <c r="DB203" t="s">
        <v>4177</v>
      </c>
      <c r="DC203">
        <v>4.6496180670871912E-3</v>
      </c>
      <c r="DD203">
        <v>556.98826433044871</v>
      </c>
      <c r="DE203" s="420" cm="1">
        <f t="array" ref="DE203">_xlfn.XLOOKUP("Дом 5"&amp;Реестр_Д5[[#This Row],[№]]&amp;Реестр_Д5[[#This Row],[Статус]],РД[Дом]&amp;РД[№ кв]&amp;РД[Состояние],РД[Дата подачи на регистрацию],"-",0)</f>
        <v>45621</v>
      </c>
    </row>
    <row r="204" spans="1:109" hidden="1" x14ac:dyDescent="0.25">
      <c r="A204" s="238">
        <v>203</v>
      </c>
      <c r="B204" s="238" t="s">
        <v>5</v>
      </c>
      <c r="C204" s="238">
        <v>14</v>
      </c>
      <c r="D204" s="238">
        <v>2</v>
      </c>
      <c r="E204" s="238">
        <v>0</v>
      </c>
      <c r="F204" s="238">
        <v>7.13</v>
      </c>
      <c r="G204" s="238"/>
      <c r="H204" s="238"/>
      <c r="I204">
        <v>7.13</v>
      </c>
      <c r="J204" s="238">
        <v>5.12</v>
      </c>
      <c r="K204" s="238">
        <v>3.65</v>
      </c>
      <c r="L204" s="238"/>
      <c r="M204" s="238"/>
      <c r="N204" s="238">
        <v>6.92</v>
      </c>
      <c r="O204" s="238">
        <v>2.91</v>
      </c>
      <c r="P204" s="238"/>
      <c r="R204" s="238">
        <v>2.91</v>
      </c>
      <c r="S204">
        <v>25.73</v>
      </c>
      <c r="T204">
        <v>22.82</v>
      </c>
      <c r="U204" s="238">
        <v>24.28</v>
      </c>
      <c r="V204">
        <v>24.15</v>
      </c>
      <c r="W204" s="238">
        <v>91981.574999999997</v>
      </c>
      <c r="X204">
        <v>4599.0787499999997</v>
      </c>
      <c r="Y204">
        <v>96580.653749999998</v>
      </c>
      <c r="Z204">
        <v>2897.4196124999999</v>
      </c>
      <c r="AA204">
        <v>99478.073362499999</v>
      </c>
      <c r="AB204">
        <v>14921.711004375</v>
      </c>
      <c r="AC204">
        <v>114399.784366875</v>
      </c>
      <c r="AE204">
        <v>114399.784366875</v>
      </c>
      <c r="AG204">
        <v>114399.784366875</v>
      </c>
      <c r="AI204">
        <v>114399.784366875</v>
      </c>
      <c r="AJ204">
        <v>1143.99784366875</v>
      </c>
      <c r="AK204">
        <v>115543.78221054377</v>
      </c>
      <c r="AL204">
        <v>5777.1891105271879</v>
      </c>
      <c r="AM204">
        <v>121320.97132107096</v>
      </c>
      <c r="AO204">
        <v>121320.97132107096</v>
      </c>
      <c r="AP204">
        <v>3639.629139632128</v>
      </c>
      <c r="AQ204">
        <v>124960.60046070308</v>
      </c>
      <c r="AS204">
        <v>124960.60046070308</v>
      </c>
      <c r="AU204">
        <v>124960.60046070308</v>
      </c>
      <c r="AW204">
        <v>124960.60046070308</v>
      </c>
      <c r="AY204">
        <v>124960.60046070308</v>
      </c>
      <c r="AZ204">
        <v>2499.2120092140617</v>
      </c>
      <c r="BA204">
        <v>127459.81246991716</v>
      </c>
      <c r="BC204">
        <v>127459.81246991716</v>
      </c>
      <c r="BE204">
        <v>127459.81246991716</v>
      </c>
      <c r="BF204">
        <v>1911.8971870487571</v>
      </c>
      <c r="BG204">
        <v>129371.7096569659</v>
      </c>
      <c r="BH204">
        <v>500</v>
      </c>
      <c r="BI204">
        <v>129871.7096569659</v>
      </c>
      <c r="BK204">
        <v>129871.7096569659</v>
      </c>
      <c r="BL204">
        <v>5194.8683862786365</v>
      </c>
      <c r="BM204">
        <v>135066.57804324455</v>
      </c>
      <c r="BN204">
        <v>17558.655145621793</v>
      </c>
      <c r="BO204">
        <v>152625.23318886635</v>
      </c>
      <c r="BP204">
        <v>35</v>
      </c>
      <c r="BQ204">
        <v>152660.23318886635</v>
      </c>
      <c r="BS204">
        <v>152660.23318886635</v>
      </c>
      <c r="BT204" s="238">
        <v>152660.23000000001</v>
      </c>
      <c r="BU204" s="238">
        <v>3706600</v>
      </c>
      <c r="BX204" s="238">
        <v>0</v>
      </c>
      <c r="BY204" s="238">
        <v>152660.62602965403</v>
      </c>
      <c r="BZ204" s="238">
        <v>3706600</v>
      </c>
      <c r="CA204" s="238" t="s">
        <v>38</v>
      </c>
      <c r="CB204">
        <v>25000</v>
      </c>
      <c r="CC204">
        <v>177660.62602965403</v>
      </c>
      <c r="CD204" s="238">
        <v>607000</v>
      </c>
      <c r="CE204" s="238">
        <v>4313600</v>
      </c>
      <c r="CH204" s="238" t="s">
        <v>39</v>
      </c>
      <c r="CI204" s="238" t="s">
        <v>39</v>
      </c>
      <c r="CJ204" t="s">
        <v>8950</v>
      </c>
      <c r="CK204" t="s">
        <v>1167</v>
      </c>
      <c r="CL204" t="s">
        <v>8961</v>
      </c>
      <c r="CM204" t="s">
        <v>8970</v>
      </c>
      <c r="CN204" s="238" t="b">
        <v>1</v>
      </c>
      <c r="CO204" t="s">
        <v>5492</v>
      </c>
      <c r="CQ204" t="s">
        <v>6652</v>
      </c>
      <c r="CR204" t="s">
        <v>3246</v>
      </c>
      <c r="CS204" t="s">
        <v>38</v>
      </c>
      <c r="CT204" t="b">
        <v>1</v>
      </c>
      <c r="CU204">
        <v>3706600</v>
      </c>
      <c r="CV204" t="s">
        <v>9002</v>
      </c>
      <c r="CW204">
        <v>0</v>
      </c>
      <c r="CX204">
        <v>3706600</v>
      </c>
      <c r="CY204">
        <v>0</v>
      </c>
      <c r="CZ204" t="b">
        <v>1</v>
      </c>
      <c r="DA204">
        <v>45716</v>
      </c>
      <c r="DB204" t="s">
        <v>5215</v>
      </c>
      <c r="DC204">
        <v>-5.3542009884679498E-3</v>
      </c>
      <c r="DD204">
        <v>-817.37567478810956</v>
      </c>
      <c r="DE204" s="420" cm="1">
        <f t="array" ref="DE204">_xlfn.XLOOKUP("Дом 5"&amp;Реестр_Д5[[#This Row],[№]]&amp;Реестр_Д5[[#This Row],[Статус]],РД[Дом]&amp;РД[№ кв]&amp;РД[Состояние],РД[Дата подачи на регистрацию],"-",0)</f>
        <v>45716</v>
      </c>
    </row>
    <row r="205" spans="1:109" hidden="1" x14ac:dyDescent="0.25">
      <c r="A205" s="238">
        <v>204</v>
      </c>
      <c r="B205" s="238" t="s">
        <v>5</v>
      </c>
      <c r="C205" s="238">
        <v>14</v>
      </c>
      <c r="D205" s="238">
        <v>3</v>
      </c>
      <c r="E205" s="238">
        <v>2</v>
      </c>
      <c r="F205" s="238">
        <v>14.6</v>
      </c>
      <c r="G205" s="238">
        <v>13.12</v>
      </c>
      <c r="H205" s="238"/>
      <c r="I205">
        <v>27.72</v>
      </c>
      <c r="J205" s="238">
        <v>14.35</v>
      </c>
      <c r="K205" s="238">
        <v>3.68</v>
      </c>
      <c r="L205" s="238">
        <v>2.57</v>
      </c>
      <c r="M205" s="238"/>
      <c r="N205" s="238">
        <v>7.95</v>
      </c>
      <c r="O205" s="238">
        <v>2.65</v>
      </c>
      <c r="P205" s="238"/>
      <c r="R205" s="238">
        <v>2.65</v>
      </c>
      <c r="S205">
        <v>58.92</v>
      </c>
      <c r="T205">
        <v>56.27</v>
      </c>
      <c r="U205" s="238">
        <v>57.6</v>
      </c>
      <c r="V205">
        <v>57.75</v>
      </c>
      <c r="W205" s="238">
        <v>80307.864000000001</v>
      </c>
      <c r="X205">
        <v>4015.3932</v>
      </c>
      <c r="Y205">
        <v>84323.257199999993</v>
      </c>
      <c r="AA205">
        <v>84323.257199999993</v>
      </c>
      <c r="AC205">
        <v>84323.257199999993</v>
      </c>
      <c r="AE205">
        <v>84323.257199999993</v>
      </c>
      <c r="AG205">
        <v>84323.257199999993</v>
      </c>
      <c r="AI205">
        <v>84323.257199999993</v>
      </c>
      <c r="AK205">
        <v>84323.257199999993</v>
      </c>
      <c r="AM205">
        <v>84323.257199999993</v>
      </c>
      <c r="AO205">
        <v>84323.257199999993</v>
      </c>
      <c r="AQ205">
        <v>84323.257199999993</v>
      </c>
      <c r="AS205">
        <v>84323.257199999993</v>
      </c>
      <c r="AU205">
        <v>84323.257199999993</v>
      </c>
      <c r="AW205">
        <v>84323.257199999993</v>
      </c>
      <c r="AY205">
        <v>84323.257199999993</v>
      </c>
      <c r="BA205">
        <v>84323.257199999993</v>
      </c>
      <c r="BC205">
        <v>84323.257199999993</v>
      </c>
      <c r="BE205">
        <v>84323.257199999993</v>
      </c>
      <c r="BG205">
        <v>84323.257199999993</v>
      </c>
      <c r="BI205">
        <v>84323.257199999993</v>
      </c>
      <c r="BK205">
        <v>84323.257199999993</v>
      </c>
      <c r="BM205">
        <v>84323.257199999993</v>
      </c>
      <c r="BO205">
        <v>84323.257199999993</v>
      </c>
      <c r="BQ205">
        <v>84323.257199999993</v>
      </c>
      <c r="BS205">
        <v>84323.257199999993</v>
      </c>
      <c r="BT205" s="238">
        <v>84323.26</v>
      </c>
      <c r="BU205" s="238">
        <v>4857019.78</v>
      </c>
      <c r="BX205" s="238">
        <v>0</v>
      </c>
      <c r="BY205" s="238">
        <v>84323.260069444441</v>
      </c>
      <c r="BZ205" s="238">
        <v>4857019.78</v>
      </c>
      <c r="CA205" s="238" t="s">
        <v>38</v>
      </c>
      <c r="CB205">
        <v>16000</v>
      </c>
      <c r="CC205">
        <v>100323.26006944444</v>
      </c>
      <c r="CD205" s="238">
        <v>921600</v>
      </c>
      <c r="CE205" s="238">
        <v>5778619.7800000003</v>
      </c>
      <c r="CF205" t="s">
        <v>4633</v>
      </c>
      <c r="CH205" s="238" t="s">
        <v>39</v>
      </c>
      <c r="CI205" s="238" t="s">
        <v>39</v>
      </c>
      <c r="CJ205" t="s">
        <v>8950</v>
      </c>
      <c r="CK205" t="s">
        <v>1167</v>
      </c>
      <c r="CL205" t="s">
        <v>8961</v>
      </c>
      <c r="CM205" t="s">
        <v>8971</v>
      </c>
      <c r="CN205" s="238" t="b">
        <v>1</v>
      </c>
      <c r="CO205" t="s">
        <v>5493</v>
      </c>
      <c r="CQ205" t="s">
        <v>4895</v>
      </c>
      <c r="CR205" t="s">
        <v>3246</v>
      </c>
      <c r="CS205" t="s">
        <v>38</v>
      </c>
      <c r="CT205" t="b">
        <v>1</v>
      </c>
      <c r="CU205">
        <v>4857019.78</v>
      </c>
      <c r="CV205" t="s">
        <v>9002</v>
      </c>
      <c r="CW205">
        <v>0</v>
      </c>
      <c r="CX205">
        <v>4857020</v>
      </c>
      <c r="CY205">
        <v>0</v>
      </c>
      <c r="CZ205" t="b">
        <v>1</v>
      </c>
      <c r="DA205">
        <v>45184</v>
      </c>
      <c r="DB205" t="s">
        <v>126</v>
      </c>
      <c r="DC205">
        <v>2.6041666666667407E-3</v>
      </c>
      <c r="DD205">
        <v>219.59182309751785</v>
      </c>
      <c r="DE205" s="420" cm="1">
        <f t="array" ref="DE205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206" spans="1:109" hidden="1" x14ac:dyDescent="0.25">
      <c r="A206" s="238">
        <v>205</v>
      </c>
      <c r="B206" s="238" t="s">
        <v>5</v>
      </c>
      <c r="C206" s="238">
        <v>14</v>
      </c>
      <c r="D206" s="238">
        <v>4</v>
      </c>
      <c r="E206" s="238">
        <v>2</v>
      </c>
      <c r="F206" s="238">
        <v>15.45</v>
      </c>
      <c r="G206" s="238">
        <v>14.5</v>
      </c>
      <c r="H206" s="238"/>
      <c r="I206">
        <v>29.95</v>
      </c>
      <c r="J206" s="238">
        <v>11.95</v>
      </c>
      <c r="K206" s="238">
        <v>3.86</v>
      </c>
      <c r="L206" s="238">
        <v>2.37</v>
      </c>
      <c r="M206" s="238"/>
      <c r="N206" s="238">
        <v>8.8699999999999992</v>
      </c>
      <c r="O206" s="238">
        <v>2.62</v>
      </c>
      <c r="P206" s="238"/>
      <c r="R206" s="238">
        <v>2.62</v>
      </c>
      <c r="S206">
        <v>59.62</v>
      </c>
      <c r="T206">
        <v>57</v>
      </c>
      <c r="U206" s="238">
        <v>58.31</v>
      </c>
      <c r="V206">
        <v>58.3</v>
      </c>
      <c r="W206" s="238">
        <v>81466.150500000003</v>
      </c>
      <c r="X206">
        <v>4073.3075250000002</v>
      </c>
      <c r="Y206">
        <v>85539.458025</v>
      </c>
      <c r="Z206">
        <v>2566.1837407499997</v>
      </c>
      <c r="AA206">
        <v>88105.641765749999</v>
      </c>
      <c r="AC206">
        <v>88105.641765749999</v>
      </c>
      <c r="AE206">
        <v>88105.641765749999</v>
      </c>
      <c r="AG206">
        <v>88105.641765749999</v>
      </c>
      <c r="AI206">
        <v>88105.641765749999</v>
      </c>
      <c r="AK206">
        <v>88105.641765749999</v>
      </c>
      <c r="AM206">
        <v>88105.641765749999</v>
      </c>
      <c r="AO206">
        <v>88105.641765749999</v>
      </c>
      <c r="AQ206">
        <v>88105.641765749999</v>
      </c>
      <c r="AS206">
        <v>88105.641765749999</v>
      </c>
      <c r="AU206">
        <v>88105.641765749999</v>
      </c>
      <c r="AW206">
        <v>88105.641765749999</v>
      </c>
      <c r="AY206">
        <v>88105.641765749999</v>
      </c>
      <c r="BA206">
        <v>88105.641765749999</v>
      </c>
      <c r="BC206">
        <v>88105.641765749999</v>
      </c>
      <c r="BE206">
        <v>88105.641765749999</v>
      </c>
      <c r="BG206">
        <v>88105.641765749999</v>
      </c>
      <c r="BI206">
        <v>88105.641765749999</v>
      </c>
      <c r="BK206">
        <v>88105.641765749999</v>
      </c>
      <c r="BM206">
        <v>88105.641765749999</v>
      </c>
      <c r="BO206">
        <v>88105.641765749999</v>
      </c>
      <c r="BQ206">
        <v>88105.641765749999</v>
      </c>
      <c r="BS206">
        <v>88105.641765749999</v>
      </c>
      <c r="BT206" s="238">
        <v>88105.64</v>
      </c>
      <c r="BU206" s="238">
        <v>5137500</v>
      </c>
      <c r="BW206">
        <v>0.05</v>
      </c>
      <c r="BX206" s="238">
        <v>256875</v>
      </c>
      <c r="BY206" s="238">
        <v>83701.337677928313</v>
      </c>
      <c r="BZ206" s="238">
        <v>4880625</v>
      </c>
      <c r="CA206" s="238" t="s">
        <v>38</v>
      </c>
      <c r="CB206">
        <v>7500</v>
      </c>
      <c r="CC206">
        <v>91201.337677928313</v>
      </c>
      <c r="CD206" s="238">
        <v>437325</v>
      </c>
      <c r="CE206" s="238">
        <v>5317950</v>
      </c>
      <c r="CG206" t="s">
        <v>8931</v>
      </c>
      <c r="CH206" s="238" t="s">
        <v>39</v>
      </c>
      <c r="CI206" s="238" t="s">
        <v>39</v>
      </c>
      <c r="CJ206" t="s">
        <v>8950</v>
      </c>
      <c r="CK206" t="s">
        <v>1167</v>
      </c>
      <c r="CL206" t="s">
        <v>8961</v>
      </c>
      <c r="CM206" t="s">
        <v>8974</v>
      </c>
      <c r="CN206" s="238" t="b">
        <v>1</v>
      </c>
      <c r="CO206" t="s">
        <v>5494</v>
      </c>
      <c r="CQ206" t="s">
        <v>6652</v>
      </c>
      <c r="CR206" t="s">
        <v>3246</v>
      </c>
      <c r="CS206" t="s">
        <v>38</v>
      </c>
      <c r="CT206" t="b">
        <v>1</v>
      </c>
      <c r="CU206">
        <v>5137500</v>
      </c>
      <c r="CV206" t="s">
        <v>9002</v>
      </c>
      <c r="CW206">
        <v>0</v>
      </c>
      <c r="CX206">
        <v>5137500</v>
      </c>
      <c r="CY206">
        <v>0</v>
      </c>
      <c r="CZ206" t="b">
        <v>1</v>
      </c>
      <c r="DA206">
        <v>45275</v>
      </c>
      <c r="DB206" t="s">
        <v>4177</v>
      </c>
      <c r="DC206">
        <v>-1.7149717029674161E-4</v>
      </c>
      <c r="DD206">
        <v>-14.354542561816746</v>
      </c>
      <c r="DE206" s="420" cm="1">
        <f t="array" ref="DE206">_xlfn.XLOOKUP("Дом 5"&amp;Реестр_Д5[[#This Row],[№]]&amp;Реестр_Д5[[#This Row],[Статус]],РД[Дом]&amp;РД[№ кв]&amp;РД[Состояние],РД[Дата подачи на регистрацию],"-",0)</f>
        <v>45275</v>
      </c>
    </row>
    <row r="207" spans="1:109" hidden="1" x14ac:dyDescent="0.25">
      <c r="A207" s="238">
        <v>206</v>
      </c>
      <c r="B207" s="238" t="s">
        <v>5</v>
      </c>
      <c r="C207" s="238">
        <v>14</v>
      </c>
      <c r="D207" s="238">
        <v>5</v>
      </c>
      <c r="E207" s="238">
        <v>1</v>
      </c>
      <c r="F207" s="238">
        <v>12.06</v>
      </c>
      <c r="G207" s="238"/>
      <c r="H207" s="238"/>
      <c r="I207">
        <v>12.06</v>
      </c>
      <c r="J207" s="238">
        <v>13.18</v>
      </c>
      <c r="K207" s="238">
        <v>4.1100000000000003</v>
      </c>
      <c r="L207" s="238"/>
      <c r="M207" s="238"/>
      <c r="N207" s="238">
        <v>7.09</v>
      </c>
      <c r="O207" s="238">
        <v>2.84</v>
      </c>
      <c r="P207" s="238"/>
      <c r="R207" s="238">
        <v>2.84</v>
      </c>
      <c r="S207">
        <v>39.28</v>
      </c>
      <c r="T207">
        <v>36.44</v>
      </c>
      <c r="U207" s="238">
        <v>37.86</v>
      </c>
      <c r="V207">
        <v>37.650000000000006</v>
      </c>
      <c r="W207" s="238">
        <v>89223.75</v>
      </c>
      <c r="Y207">
        <v>89223.75</v>
      </c>
      <c r="AA207">
        <v>89223.75</v>
      </c>
      <c r="AC207">
        <v>89223.75</v>
      </c>
      <c r="AE207">
        <v>89223.75</v>
      </c>
      <c r="AG207">
        <v>89223.75</v>
      </c>
      <c r="AI207">
        <v>89223.75</v>
      </c>
      <c r="AK207">
        <v>89223.75</v>
      </c>
      <c r="AM207">
        <v>89223.75</v>
      </c>
      <c r="AO207">
        <v>89223.75</v>
      </c>
      <c r="AQ207">
        <v>89223.75</v>
      </c>
      <c r="AS207">
        <v>89223.75</v>
      </c>
      <c r="AU207">
        <v>89223.75</v>
      </c>
      <c r="AW207">
        <v>89223.75</v>
      </c>
      <c r="AY207">
        <v>89223.75</v>
      </c>
      <c r="BA207">
        <v>89223.75</v>
      </c>
      <c r="BC207">
        <v>89223.75</v>
      </c>
      <c r="BE207">
        <v>89223.75</v>
      </c>
      <c r="BG207">
        <v>89223.75</v>
      </c>
      <c r="BI207">
        <v>89223.75</v>
      </c>
      <c r="BK207">
        <v>89223.75</v>
      </c>
      <c r="BM207">
        <v>89223.75</v>
      </c>
      <c r="BO207">
        <v>89223.75</v>
      </c>
      <c r="BQ207">
        <v>89223.75</v>
      </c>
      <c r="BS207">
        <v>89223.75</v>
      </c>
      <c r="BT207" s="238">
        <v>89223.75</v>
      </c>
      <c r="BU207" s="238">
        <v>3378011.18</v>
      </c>
      <c r="BX207" s="238">
        <v>0</v>
      </c>
      <c r="BY207" s="238">
        <v>89223.750132065514</v>
      </c>
      <c r="BZ207" s="238">
        <v>3378011.18</v>
      </c>
      <c r="CA207" s="238" t="s">
        <v>37</v>
      </c>
      <c r="CB207">
        <v>4500</v>
      </c>
      <c r="CC207">
        <v>93723.750132065514</v>
      </c>
      <c r="CD207" s="238">
        <v>170370</v>
      </c>
      <c r="CE207" s="238">
        <v>3548381.18</v>
      </c>
      <c r="CH207" s="238" t="s">
        <v>39</v>
      </c>
      <c r="CI207" s="238" t="s">
        <v>39</v>
      </c>
      <c r="CJ207" t="s">
        <v>8950</v>
      </c>
      <c r="CK207" t="s">
        <v>1167</v>
      </c>
      <c r="CL207" t="s">
        <v>8961</v>
      </c>
      <c r="CM207" t="s">
        <v>8973</v>
      </c>
      <c r="CN207" s="238" t="b">
        <v>1</v>
      </c>
      <c r="CO207" t="s">
        <v>5495</v>
      </c>
      <c r="CQ207" t="s">
        <v>4895</v>
      </c>
      <c r="CR207" t="s">
        <v>3246</v>
      </c>
      <c r="CS207" t="s">
        <v>37</v>
      </c>
      <c r="CT207" t="b">
        <v>1</v>
      </c>
      <c r="CU207">
        <v>3378011.18</v>
      </c>
      <c r="CV207" t="s">
        <v>9002</v>
      </c>
      <c r="CW207">
        <v>3378011</v>
      </c>
      <c r="CX207">
        <v>3378011</v>
      </c>
      <c r="CY207">
        <v>0</v>
      </c>
      <c r="CZ207" t="b">
        <v>1</v>
      </c>
      <c r="DA207">
        <v>45184</v>
      </c>
      <c r="DB207" t="s">
        <v>126</v>
      </c>
      <c r="DC207">
        <v>-5.5467511885893828E-3</v>
      </c>
      <c r="DD207">
        <v>-494.90194209543648</v>
      </c>
      <c r="DE207" s="420" cm="1">
        <f t="array" ref="DE207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208" spans="1:109" hidden="1" x14ac:dyDescent="0.25">
      <c r="A208" s="238">
        <v>207</v>
      </c>
      <c r="B208" s="238" t="s">
        <v>5</v>
      </c>
      <c r="C208" s="238">
        <v>14</v>
      </c>
      <c r="D208" s="238">
        <v>6</v>
      </c>
      <c r="E208" s="238">
        <v>3</v>
      </c>
      <c r="F208" s="238">
        <v>17.89</v>
      </c>
      <c r="G208" s="238">
        <v>17.2</v>
      </c>
      <c r="H208" s="238">
        <v>14.31</v>
      </c>
      <c r="I208">
        <v>49.400000000000006</v>
      </c>
      <c r="J208" s="238">
        <v>13.39</v>
      </c>
      <c r="K208" s="238">
        <v>4.2</v>
      </c>
      <c r="L208" s="238">
        <v>2.0499999999999998</v>
      </c>
      <c r="M208" s="238"/>
      <c r="N208" s="238">
        <v>13.21</v>
      </c>
      <c r="O208" s="238">
        <v>2.79</v>
      </c>
      <c r="P208" s="238">
        <v>2.68</v>
      </c>
      <c r="R208" s="238">
        <v>5.4700000000000006</v>
      </c>
      <c r="S208">
        <v>87.72</v>
      </c>
      <c r="T208">
        <v>82.25</v>
      </c>
      <c r="U208" s="238">
        <v>84.99</v>
      </c>
      <c r="V208">
        <v>84.749999999999986</v>
      </c>
      <c r="W208" s="238">
        <v>73520.37000000001</v>
      </c>
      <c r="X208">
        <v>3676.0185000000006</v>
      </c>
      <c r="Y208">
        <v>77196.388500000015</v>
      </c>
      <c r="Z208">
        <v>2315.8916550000004</v>
      </c>
      <c r="AA208">
        <v>79512.280155000015</v>
      </c>
      <c r="AC208">
        <v>79512.280155000015</v>
      </c>
      <c r="AE208">
        <v>79512.280155000015</v>
      </c>
      <c r="AG208">
        <v>79512.280155000015</v>
      </c>
      <c r="AI208">
        <v>79512.280155000015</v>
      </c>
      <c r="AJ208">
        <v>795.12280155000019</v>
      </c>
      <c r="AK208">
        <v>80307.40295655001</v>
      </c>
      <c r="AL208">
        <v>4015.3701478275007</v>
      </c>
      <c r="AM208">
        <v>84322.773104377513</v>
      </c>
      <c r="AO208">
        <v>84322.773104377513</v>
      </c>
      <c r="AP208">
        <v>1686.4554620875504</v>
      </c>
      <c r="AQ208">
        <v>86009.22856646507</v>
      </c>
      <c r="AS208">
        <v>86009.22856646507</v>
      </c>
      <c r="AT208">
        <v>1720.1845713293014</v>
      </c>
      <c r="AU208">
        <v>87729.41313779437</v>
      </c>
      <c r="AW208">
        <v>87729.41313779437</v>
      </c>
      <c r="AX208">
        <v>877.2941313779437</v>
      </c>
      <c r="AY208">
        <v>88606.707269172315</v>
      </c>
      <c r="BA208">
        <v>88606.707269172315</v>
      </c>
      <c r="BC208">
        <v>88606.707269172315</v>
      </c>
      <c r="BD208">
        <v>1772.1341453834464</v>
      </c>
      <c r="BE208">
        <v>90378.841414555762</v>
      </c>
      <c r="BG208">
        <v>90378.841414555762</v>
      </c>
      <c r="BI208">
        <v>90378.841414555762</v>
      </c>
      <c r="BK208">
        <v>90378.841414555762</v>
      </c>
      <c r="BM208">
        <v>90378.841414555762</v>
      </c>
      <c r="BO208">
        <v>90378.841414555762</v>
      </c>
      <c r="BQ208">
        <v>90378.841414555762</v>
      </c>
      <c r="BS208">
        <v>90378.841414555762</v>
      </c>
      <c r="BT208" s="238">
        <v>90378.84</v>
      </c>
      <c r="BU208" s="238">
        <v>7681300</v>
      </c>
      <c r="BW208">
        <v>0.03</v>
      </c>
      <c r="BX208" s="238">
        <v>230439</v>
      </c>
      <c r="BY208" s="238">
        <v>87667.50205906578</v>
      </c>
      <c r="BZ208" s="238">
        <v>7450861</v>
      </c>
      <c r="CA208" s="238" t="s">
        <v>36</v>
      </c>
      <c r="CC208">
        <v>87667.50205906578</v>
      </c>
      <c r="CD208" s="238">
        <v>0</v>
      </c>
      <c r="CE208" s="238">
        <v>7450861</v>
      </c>
      <c r="CG208" t="s">
        <v>3538</v>
      </c>
      <c r="CH208" s="238" t="s">
        <v>39</v>
      </c>
      <c r="CI208" s="238" t="s">
        <v>39</v>
      </c>
      <c r="CJ208" t="s">
        <v>8950</v>
      </c>
      <c r="CK208" t="s">
        <v>1167</v>
      </c>
      <c r="CL208" t="s">
        <v>8961</v>
      </c>
      <c r="CM208" t="s">
        <v>8975</v>
      </c>
      <c r="CN208" s="238" t="b">
        <v>1</v>
      </c>
      <c r="CO208" t="s">
        <v>5496</v>
      </c>
      <c r="CQ208" t="s">
        <v>6652</v>
      </c>
      <c r="CR208" t="s">
        <v>3246</v>
      </c>
      <c r="CS208" t="s">
        <v>36</v>
      </c>
      <c r="CT208" t="b">
        <v>1</v>
      </c>
      <c r="CU208">
        <v>7681300</v>
      </c>
      <c r="CV208" t="s">
        <v>9002</v>
      </c>
      <c r="CW208">
        <v>0</v>
      </c>
      <c r="CX208">
        <v>7681300</v>
      </c>
      <c r="CY208">
        <v>0</v>
      </c>
      <c r="CZ208" t="b">
        <v>1</v>
      </c>
      <c r="DA208">
        <v>45472</v>
      </c>
      <c r="DB208" t="s">
        <v>5215</v>
      </c>
      <c r="DC208">
        <v>-2.8238616307801889E-3</v>
      </c>
      <c r="DD208">
        <v>-247.56089533093908</v>
      </c>
      <c r="DE208" s="420" cm="1">
        <f t="array" ref="DE208">_xlfn.XLOOKUP("Дом 5"&amp;Реестр_Д5[[#This Row],[№]]&amp;Реестр_Д5[[#This Row],[Статус]],РД[Дом]&amp;РД[№ кв]&amp;РД[Состояние],РД[Дата подачи на регистрацию],"-",0)</f>
        <v>45472</v>
      </c>
    </row>
    <row r="209" spans="1:109" hidden="1" x14ac:dyDescent="0.25">
      <c r="A209" s="238">
        <v>208</v>
      </c>
      <c r="B209" s="238" t="s">
        <v>5</v>
      </c>
      <c r="C209" s="238">
        <v>14</v>
      </c>
      <c r="D209" s="238">
        <v>7</v>
      </c>
      <c r="E209" s="238">
        <v>1</v>
      </c>
      <c r="F209" s="238">
        <v>17.89</v>
      </c>
      <c r="G209" s="238"/>
      <c r="H209" s="238"/>
      <c r="I209">
        <v>17.89</v>
      </c>
      <c r="J209" s="238">
        <v>13.04</v>
      </c>
      <c r="K209" s="238">
        <v>3.9</v>
      </c>
      <c r="L209" s="238"/>
      <c r="M209" s="238"/>
      <c r="N209" s="238">
        <v>6.12</v>
      </c>
      <c r="O209" s="238">
        <v>2.65</v>
      </c>
      <c r="P209" s="238"/>
      <c r="R209" s="238">
        <v>2.65</v>
      </c>
      <c r="S209">
        <v>43.6</v>
      </c>
      <c r="T209">
        <v>40.950000000000003</v>
      </c>
      <c r="U209" s="238">
        <v>42.28</v>
      </c>
      <c r="V209">
        <v>42.099999999999994</v>
      </c>
      <c r="W209" s="238">
        <v>85573.6875</v>
      </c>
      <c r="X209">
        <v>4278.6843749999998</v>
      </c>
      <c r="Y209">
        <v>89852.371874999997</v>
      </c>
      <c r="Z209">
        <v>2695.5711562499996</v>
      </c>
      <c r="AA209">
        <v>92547.943031250004</v>
      </c>
      <c r="AB209">
        <v>2776.4382909374995</v>
      </c>
      <c r="AC209">
        <v>95324.381322187488</v>
      </c>
      <c r="AE209">
        <v>95324.381322187488</v>
      </c>
      <c r="AG209">
        <v>95324.381322187488</v>
      </c>
      <c r="AI209">
        <v>95324.381322187488</v>
      </c>
      <c r="AK209">
        <v>95324.381322187488</v>
      </c>
      <c r="AM209">
        <v>95324.381322187488</v>
      </c>
      <c r="AO209">
        <v>95324.381322187488</v>
      </c>
      <c r="AQ209">
        <v>95324.381322187488</v>
      </c>
      <c r="AS209">
        <v>95324.381322187488</v>
      </c>
      <c r="AU209">
        <v>95324.381322187488</v>
      </c>
      <c r="AW209">
        <v>95324.381322187488</v>
      </c>
      <c r="AY209">
        <v>95324.381322187488</v>
      </c>
      <c r="BA209">
        <v>95324.381322187488</v>
      </c>
      <c r="BC209">
        <v>95324.381322187488</v>
      </c>
      <c r="BE209">
        <v>95324.381322187488</v>
      </c>
      <c r="BG209">
        <v>95324.381322187488</v>
      </c>
      <c r="BI209">
        <v>95324.381322187488</v>
      </c>
      <c r="BK209">
        <v>95324.381322187488</v>
      </c>
      <c r="BM209">
        <v>95324.381322187488</v>
      </c>
      <c r="BO209">
        <v>95324.381322187488</v>
      </c>
      <c r="BQ209">
        <v>95324.381322187488</v>
      </c>
      <c r="BS209">
        <v>95324.381322187488</v>
      </c>
      <c r="BT209" s="238">
        <v>95324.38</v>
      </c>
      <c r="BU209" s="238">
        <v>4030314.79</v>
      </c>
      <c r="BW209">
        <v>0.06</v>
      </c>
      <c r="BX209" s="238">
        <v>241818.88740000001</v>
      </c>
      <c r="BY209" s="238">
        <v>89604.917218543036</v>
      </c>
      <c r="BZ209" s="238">
        <v>3788495.9</v>
      </c>
      <c r="CA209" s="238" t="s">
        <v>36</v>
      </c>
      <c r="CC209">
        <v>89604.917218543036</v>
      </c>
      <c r="CD209" s="238">
        <v>0</v>
      </c>
      <c r="CE209" s="238">
        <v>3788495.899999999</v>
      </c>
      <c r="CG209" t="s">
        <v>978</v>
      </c>
      <c r="CH209" s="238" t="s">
        <v>39</v>
      </c>
      <c r="CI209" s="238" t="s">
        <v>39</v>
      </c>
      <c r="CJ209" t="s">
        <v>8950</v>
      </c>
      <c r="CK209" t="s">
        <v>1167</v>
      </c>
      <c r="CL209" t="s">
        <v>8961</v>
      </c>
      <c r="CM209" t="s">
        <v>8973</v>
      </c>
      <c r="CN209" s="238" t="b">
        <v>1</v>
      </c>
      <c r="CO209" t="s">
        <v>5497</v>
      </c>
      <c r="CQ209" t="s">
        <v>4895</v>
      </c>
      <c r="CR209" t="s">
        <v>3246</v>
      </c>
      <c r="CS209" t="s">
        <v>36</v>
      </c>
      <c r="CT209" t="b">
        <v>1</v>
      </c>
      <c r="CU209">
        <v>4030314.79</v>
      </c>
      <c r="CV209" t="s">
        <v>9002</v>
      </c>
      <c r="CW209">
        <v>0</v>
      </c>
      <c r="CX209">
        <v>4030315</v>
      </c>
      <c r="CY209">
        <v>0</v>
      </c>
      <c r="CZ209" t="b">
        <v>1</v>
      </c>
      <c r="DA209">
        <v>45194</v>
      </c>
      <c r="DB209" t="s">
        <v>4177</v>
      </c>
      <c r="DC209">
        <v>-4.2573320719018204E-3</v>
      </c>
      <c r="DD209">
        <v>-381.47788787461099</v>
      </c>
      <c r="DE209" s="420" cm="1">
        <f t="array" ref="DE209">_xlfn.XLOOKUP("Дом 5"&amp;Реестр_Д5[[#This Row],[№]]&amp;Реестр_Д5[[#This Row],[Статус]],РД[Дом]&amp;РД[№ кв]&amp;РД[Состояние],РД[Дата подачи на регистрацию],"-",0)</f>
        <v>45194</v>
      </c>
    </row>
    <row r="210" spans="1:109" hidden="1" x14ac:dyDescent="0.25">
      <c r="A210" s="238">
        <v>209</v>
      </c>
      <c r="B210" s="238" t="s">
        <v>5</v>
      </c>
      <c r="C210" s="238">
        <v>15</v>
      </c>
      <c r="D210" s="238">
        <v>1</v>
      </c>
      <c r="E210" s="238">
        <v>2</v>
      </c>
      <c r="F210" s="238">
        <v>15.91</v>
      </c>
      <c r="G210" s="238">
        <v>12.02</v>
      </c>
      <c r="H210" s="238"/>
      <c r="I210">
        <v>27.93</v>
      </c>
      <c r="J210" s="238">
        <v>15.31</v>
      </c>
      <c r="K210" s="238">
        <v>3.85</v>
      </c>
      <c r="L210" s="238">
        <v>2.2999999999999998</v>
      </c>
      <c r="M210" s="238"/>
      <c r="N210" s="238">
        <v>9.4499999999999993</v>
      </c>
      <c r="O210" s="238">
        <v>2.75</v>
      </c>
      <c r="P210" s="238"/>
      <c r="R210" s="238">
        <v>2.75</v>
      </c>
      <c r="S210">
        <v>61.59</v>
      </c>
      <c r="T210">
        <v>58.84</v>
      </c>
      <c r="U210" s="238">
        <v>60.22</v>
      </c>
      <c r="V210">
        <v>60.15</v>
      </c>
      <c r="W210" s="238">
        <v>80307.864000000001</v>
      </c>
      <c r="X210">
        <v>4015.3932</v>
      </c>
      <c r="Y210">
        <v>84323.257199999993</v>
      </c>
      <c r="Z210">
        <v>2529.6977160000001</v>
      </c>
      <c r="AA210">
        <v>86852.954916000002</v>
      </c>
      <c r="AC210">
        <v>86852.954916000002</v>
      </c>
      <c r="AE210">
        <v>86852.954916000002</v>
      </c>
      <c r="AG210">
        <v>86852.954916000002</v>
      </c>
      <c r="AI210">
        <v>86852.954916000002</v>
      </c>
      <c r="AJ210">
        <v>868.52954915999999</v>
      </c>
      <c r="AK210">
        <v>87721.48446516</v>
      </c>
      <c r="AL210">
        <v>4386.0742232580005</v>
      </c>
      <c r="AM210">
        <v>92107.558688417994</v>
      </c>
      <c r="AO210">
        <v>92107.558688417994</v>
      </c>
      <c r="AP210">
        <v>1842.15117376836</v>
      </c>
      <c r="AQ210">
        <v>93949.709862186355</v>
      </c>
      <c r="AS210">
        <v>93949.709862186355</v>
      </c>
      <c r="AT210">
        <v>1878.9941972437273</v>
      </c>
      <c r="AU210">
        <v>95828.704059430078</v>
      </c>
      <c r="AW210">
        <v>95828.704059430078</v>
      </c>
      <c r="AY210">
        <v>95828.704059430078</v>
      </c>
      <c r="BA210">
        <v>95828.704059430078</v>
      </c>
      <c r="BC210">
        <v>95828.704059430078</v>
      </c>
      <c r="BE210">
        <v>95828.704059430078</v>
      </c>
      <c r="BG210">
        <v>95828.704059430078</v>
      </c>
      <c r="BI210">
        <v>95828.704059430078</v>
      </c>
      <c r="BK210">
        <v>95828.704059430078</v>
      </c>
      <c r="BM210">
        <v>95828.704059430078</v>
      </c>
      <c r="BO210">
        <v>95828.704059430078</v>
      </c>
      <c r="BQ210">
        <v>95828.704059430078</v>
      </c>
      <c r="BS210">
        <v>95828.704059430078</v>
      </c>
      <c r="BT210" s="238">
        <v>95828.7</v>
      </c>
      <c r="BU210" s="238">
        <v>5770900</v>
      </c>
      <c r="BX210" s="238">
        <v>0</v>
      </c>
      <c r="BY210" s="238">
        <v>95830.288940551312</v>
      </c>
      <c r="BZ210" s="238">
        <v>5770900</v>
      </c>
      <c r="CA210" s="238" t="s">
        <v>36</v>
      </c>
      <c r="CC210">
        <v>95830.288940551312</v>
      </c>
      <c r="CD210" s="238">
        <v>0</v>
      </c>
      <c r="CE210" s="238">
        <v>5770900</v>
      </c>
      <c r="CH210" s="238" t="s">
        <v>39</v>
      </c>
      <c r="CI210" s="238" t="s">
        <v>39</v>
      </c>
      <c r="CJ210" t="s">
        <v>8950</v>
      </c>
      <c r="CK210" t="s">
        <v>1167</v>
      </c>
      <c r="CL210" t="s">
        <v>8961</v>
      </c>
      <c r="CM210" t="s">
        <v>8971</v>
      </c>
      <c r="CN210" s="238" t="b">
        <v>1</v>
      </c>
      <c r="CO210" t="s">
        <v>5498</v>
      </c>
      <c r="CQ210" t="s">
        <v>6652</v>
      </c>
      <c r="CR210" t="s">
        <v>3246</v>
      </c>
      <c r="CS210" t="s">
        <v>36</v>
      </c>
      <c r="CT210" t="b">
        <v>1</v>
      </c>
      <c r="CU210">
        <v>5770900</v>
      </c>
      <c r="CV210" t="s">
        <v>9002</v>
      </c>
      <c r="CW210">
        <v>0</v>
      </c>
      <c r="CX210">
        <v>5770900</v>
      </c>
      <c r="CY210">
        <v>0</v>
      </c>
      <c r="CZ210" t="b">
        <v>1</v>
      </c>
      <c r="DA210">
        <v>45469</v>
      </c>
      <c r="DB210" t="s">
        <v>4177</v>
      </c>
      <c r="DC210">
        <v>-1.1624045167718533E-3</v>
      </c>
      <c r="DD210">
        <v>-111.39356070804862</v>
      </c>
      <c r="DE210" s="420" cm="1">
        <f t="array" ref="DE210">_xlfn.XLOOKUP("Дом 5"&amp;Реестр_Д5[[#This Row],[№]]&amp;Реестр_Д5[[#This Row],[Статус]],РД[Дом]&amp;РД[№ кв]&amp;РД[Состояние],РД[Дата подачи на регистрацию],"-",0)</f>
        <v>45469</v>
      </c>
    </row>
    <row r="211" spans="1:109" hidden="1" x14ac:dyDescent="0.25">
      <c r="A211" s="238">
        <v>210</v>
      </c>
      <c r="B211" s="238" t="s">
        <v>5</v>
      </c>
      <c r="C211" s="238">
        <v>15</v>
      </c>
      <c r="D211" s="238">
        <v>2</v>
      </c>
      <c r="E211" s="238">
        <v>0</v>
      </c>
      <c r="F211" s="238">
        <v>7.13</v>
      </c>
      <c r="G211" s="238"/>
      <c r="H211" s="238"/>
      <c r="I211">
        <v>7.13</v>
      </c>
      <c r="J211" s="238">
        <v>5.12</v>
      </c>
      <c r="K211" s="238">
        <v>3.65</v>
      </c>
      <c r="L211" s="238"/>
      <c r="M211" s="238"/>
      <c r="N211" s="238">
        <v>6.92</v>
      </c>
      <c r="O211" s="238">
        <v>2.91</v>
      </c>
      <c r="P211" s="238"/>
      <c r="R211" s="238">
        <v>2.91</v>
      </c>
      <c r="S211">
        <v>25.73</v>
      </c>
      <c r="T211">
        <v>22.82</v>
      </c>
      <c r="U211" s="238">
        <v>24.28</v>
      </c>
      <c r="V211">
        <v>24.2</v>
      </c>
      <c r="W211" s="238">
        <v>90229.544999999998</v>
      </c>
      <c r="X211">
        <v>4511.4772499999999</v>
      </c>
      <c r="Y211">
        <v>94741.022249999995</v>
      </c>
      <c r="Z211">
        <v>2842.2306674999995</v>
      </c>
      <c r="AA211">
        <v>97583.252917499995</v>
      </c>
      <c r="AB211">
        <v>14637.487937624999</v>
      </c>
      <c r="AC211">
        <v>112220.740855125</v>
      </c>
      <c r="AE211">
        <v>112220.740855125</v>
      </c>
      <c r="AG211">
        <v>112220.740855125</v>
      </c>
      <c r="AI211">
        <v>112220.740855125</v>
      </c>
      <c r="AJ211">
        <v>1122.20740855125</v>
      </c>
      <c r="AK211">
        <v>113342.94826367624</v>
      </c>
      <c r="AL211">
        <v>5667.1474131838122</v>
      </c>
      <c r="AM211">
        <v>119010.09567686006</v>
      </c>
      <c r="AO211">
        <v>119010.09567686006</v>
      </c>
      <c r="AP211">
        <v>3570.3028703058017</v>
      </c>
      <c r="AQ211">
        <v>122580.39854716588</v>
      </c>
      <c r="AS211">
        <v>122580.39854716588</v>
      </c>
      <c r="AU211">
        <v>122580.39854716588</v>
      </c>
      <c r="AW211">
        <v>122580.39854716588</v>
      </c>
      <c r="AY211">
        <v>122580.39854716588</v>
      </c>
      <c r="AZ211">
        <v>2451.6079709433175</v>
      </c>
      <c r="BA211">
        <v>125032.00651810918</v>
      </c>
      <c r="BC211">
        <v>125032.00651810918</v>
      </c>
      <c r="BE211">
        <v>125032.00651810918</v>
      </c>
      <c r="BF211">
        <v>1875.4800977716377</v>
      </c>
      <c r="BG211">
        <v>126907.4866158808</v>
      </c>
      <c r="BI211">
        <v>126907.4866158808</v>
      </c>
      <c r="BK211">
        <v>126907.4866158808</v>
      </c>
      <c r="BM211">
        <v>126907.4866158808</v>
      </c>
      <c r="BO211">
        <v>126907.4866158808</v>
      </c>
      <c r="BQ211">
        <v>126907.4866158808</v>
      </c>
      <c r="BS211">
        <v>126907.4866158808</v>
      </c>
      <c r="BT211" s="238">
        <v>126907.49</v>
      </c>
      <c r="BU211" s="238">
        <v>3081400</v>
      </c>
      <c r="BX211" s="238">
        <v>0</v>
      </c>
      <c r="BY211" s="238">
        <v>126911.03789126853</v>
      </c>
      <c r="BZ211" s="238">
        <v>3081400</v>
      </c>
      <c r="CA211" s="238" t="s">
        <v>38</v>
      </c>
      <c r="CB211">
        <v>20000</v>
      </c>
      <c r="CC211">
        <v>146911.03789126853</v>
      </c>
      <c r="CD211" s="238">
        <v>485600</v>
      </c>
      <c r="CE211" s="238">
        <v>3567000</v>
      </c>
      <c r="CH211" s="238" t="s">
        <v>39</v>
      </c>
      <c r="CI211" s="238" t="s">
        <v>39</v>
      </c>
      <c r="CJ211" t="s">
        <v>8950</v>
      </c>
      <c r="CK211" t="s">
        <v>1167</v>
      </c>
      <c r="CL211" t="s">
        <v>8961</v>
      </c>
      <c r="CM211" t="s">
        <v>8970</v>
      </c>
      <c r="CN211" s="238" t="b">
        <v>1</v>
      </c>
      <c r="CO211" t="s">
        <v>5499</v>
      </c>
      <c r="CQ211" t="s">
        <v>6652</v>
      </c>
      <c r="CR211" t="s">
        <v>3246</v>
      </c>
      <c r="CS211" t="s">
        <v>38</v>
      </c>
      <c r="CT211" t="b">
        <v>1</v>
      </c>
      <c r="CU211">
        <v>3081400</v>
      </c>
      <c r="CV211" t="s">
        <v>9002</v>
      </c>
      <c r="CW211">
        <v>0</v>
      </c>
      <c r="CX211">
        <v>3081400</v>
      </c>
      <c r="CY211">
        <v>0</v>
      </c>
      <c r="CZ211" t="b">
        <v>1</v>
      </c>
      <c r="DA211">
        <v>45504</v>
      </c>
      <c r="DB211" t="s">
        <v>5215</v>
      </c>
      <c r="DC211">
        <v>-3.2948929159802853E-3</v>
      </c>
      <c r="DD211">
        <v>-418.15827970764622</v>
      </c>
      <c r="DE211" s="420" cm="1">
        <f t="array" ref="DE211">_xlfn.XLOOKUP("Дом 5"&amp;Реестр_Д5[[#This Row],[№]]&amp;Реестр_Д5[[#This Row],[Статус]],РД[Дом]&amp;РД[№ кв]&amp;РД[Состояние],РД[Дата подачи на регистрацию],"-",0)</f>
        <v>45504</v>
      </c>
    </row>
    <row r="212" spans="1:109" hidden="1" x14ac:dyDescent="0.25">
      <c r="A212" s="238">
        <v>211</v>
      </c>
      <c r="B212" s="238" t="s">
        <v>5</v>
      </c>
      <c r="C212" s="238">
        <v>15</v>
      </c>
      <c r="D212" s="238">
        <v>3</v>
      </c>
      <c r="E212" s="238">
        <v>2</v>
      </c>
      <c r="F212" s="238">
        <v>14.6</v>
      </c>
      <c r="G212" s="238">
        <v>13.12</v>
      </c>
      <c r="H212" s="238"/>
      <c r="I212">
        <v>27.72</v>
      </c>
      <c r="J212" s="238">
        <v>14.35</v>
      </c>
      <c r="K212" s="238">
        <v>3.68</v>
      </c>
      <c r="L212" s="238">
        <v>2.57</v>
      </c>
      <c r="M212" s="238"/>
      <c r="N212" s="238">
        <v>7.95</v>
      </c>
      <c r="O212" s="238">
        <v>2.65</v>
      </c>
      <c r="P212" s="238"/>
      <c r="R212" s="238">
        <v>2.65</v>
      </c>
      <c r="S212">
        <v>58.92</v>
      </c>
      <c r="T212">
        <v>56.27</v>
      </c>
      <c r="U212" s="238">
        <v>57.6</v>
      </c>
      <c r="V212">
        <v>57.95</v>
      </c>
      <c r="W212" s="238">
        <v>78763.482000000004</v>
      </c>
      <c r="X212">
        <v>3938.1741000000002</v>
      </c>
      <c r="Y212">
        <v>82701.656099999993</v>
      </c>
      <c r="Z212">
        <v>2481.0496830000002</v>
      </c>
      <c r="AA212">
        <v>85182.705783000012</v>
      </c>
      <c r="AC212">
        <v>85182.705783000012</v>
      </c>
      <c r="AE212">
        <v>85182.705783000012</v>
      </c>
      <c r="AG212">
        <v>85182.705783000012</v>
      </c>
      <c r="AI212">
        <v>85182.705783000012</v>
      </c>
      <c r="AJ212">
        <v>851.82705783000017</v>
      </c>
      <c r="AK212">
        <v>86034.532840830012</v>
      </c>
      <c r="AL212">
        <v>4301.7266420415008</v>
      </c>
      <c r="AM212">
        <v>90336.259482871508</v>
      </c>
      <c r="AO212">
        <v>90336.259482871508</v>
      </c>
      <c r="AP212">
        <v>1806.7251896574303</v>
      </c>
      <c r="AQ212">
        <v>92142.984672528939</v>
      </c>
      <c r="AS212">
        <v>92142.984672528939</v>
      </c>
      <c r="AT212">
        <v>1842.8596934505788</v>
      </c>
      <c r="AU212">
        <v>93985.844365979516</v>
      </c>
      <c r="AW212">
        <v>93985.844365979516</v>
      </c>
      <c r="AX212">
        <v>939.85844365979517</v>
      </c>
      <c r="AY212">
        <v>94925.70280963929</v>
      </c>
      <c r="BA212">
        <v>94925.70280963929</v>
      </c>
      <c r="BC212">
        <v>94925.70280963929</v>
      </c>
      <c r="BE212">
        <v>94925.70280963929</v>
      </c>
      <c r="BG212">
        <v>94925.70280963929</v>
      </c>
      <c r="BI212">
        <v>94925.70280963929</v>
      </c>
      <c r="BK212">
        <v>94925.70280963929</v>
      </c>
      <c r="BM212">
        <v>94925.70280963929</v>
      </c>
      <c r="BO212">
        <v>94925.70280963929</v>
      </c>
      <c r="BQ212">
        <v>94925.70280963929</v>
      </c>
      <c r="BS212">
        <v>94925.70280963929</v>
      </c>
      <c r="BT212" s="238">
        <v>94925.7</v>
      </c>
      <c r="BU212" s="238">
        <v>5467800</v>
      </c>
      <c r="BX212" s="238">
        <v>0</v>
      </c>
      <c r="BY212" s="238">
        <v>94927.083333333328</v>
      </c>
      <c r="BZ212" s="238">
        <v>5467800</v>
      </c>
      <c r="CA212" s="238" t="s">
        <v>38</v>
      </c>
      <c r="CB212">
        <v>20000</v>
      </c>
      <c r="CC212">
        <v>114927.08333333331</v>
      </c>
      <c r="CD212" s="238">
        <v>1152000</v>
      </c>
      <c r="CE212" s="238">
        <v>6619800</v>
      </c>
      <c r="CF212" t="s">
        <v>4633</v>
      </c>
      <c r="CH212" s="238" t="s">
        <v>39</v>
      </c>
      <c r="CI212" s="238" t="s">
        <v>39</v>
      </c>
      <c r="CJ212" t="s">
        <v>8950</v>
      </c>
      <c r="CK212" t="s">
        <v>1167</v>
      </c>
      <c r="CL212" t="s">
        <v>8961</v>
      </c>
      <c r="CM212" t="s">
        <v>8971</v>
      </c>
      <c r="CN212" s="238" t="b">
        <v>1</v>
      </c>
      <c r="CO212" t="s">
        <v>5500</v>
      </c>
      <c r="CQ212" t="s">
        <v>6652</v>
      </c>
      <c r="CR212" t="s">
        <v>3246</v>
      </c>
      <c r="CS212" t="s">
        <v>38</v>
      </c>
      <c r="CT212" t="b">
        <v>1</v>
      </c>
      <c r="CU212">
        <v>5467800</v>
      </c>
      <c r="CV212" t="s">
        <v>9002</v>
      </c>
      <c r="CW212">
        <v>0</v>
      </c>
      <c r="CX212">
        <v>5467800</v>
      </c>
      <c r="CY212">
        <v>0</v>
      </c>
      <c r="CZ212" t="b">
        <v>1</v>
      </c>
      <c r="DA212">
        <v>45440</v>
      </c>
      <c r="DB212" t="s">
        <v>130</v>
      </c>
      <c r="DC212">
        <v>6.0763888888888395E-3</v>
      </c>
      <c r="DD212">
        <v>576.81387442129153</v>
      </c>
      <c r="DE212" s="420" cm="1">
        <f t="array" ref="DE212">_xlfn.XLOOKUP("Дом 5"&amp;Реестр_Д5[[#This Row],[№]]&amp;Реестр_Д5[[#This Row],[Статус]],РД[Дом]&amp;РД[№ кв]&amp;РД[Состояние],РД[Дата подачи на регистрацию],"-",0)</f>
        <v>45440</v>
      </c>
    </row>
    <row r="213" spans="1:109" hidden="1" x14ac:dyDescent="0.25">
      <c r="A213" s="238">
        <v>212</v>
      </c>
      <c r="B213" s="238" t="s">
        <v>5</v>
      </c>
      <c r="C213" s="238">
        <v>15</v>
      </c>
      <c r="D213" s="238">
        <v>4</v>
      </c>
      <c r="E213" s="238">
        <v>2</v>
      </c>
      <c r="F213" s="238">
        <v>15.45</v>
      </c>
      <c r="G213" s="238">
        <v>14.5</v>
      </c>
      <c r="H213" s="238"/>
      <c r="I213">
        <v>29.95</v>
      </c>
      <c r="J213" s="238">
        <v>11.95</v>
      </c>
      <c r="K213" s="238">
        <v>3.86</v>
      </c>
      <c r="L213" s="238">
        <v>2.37</v>
      </c>
      <c r="M213" s="238"/>
      <c r="N213" s="238">
        <v>8.8699999999999992</v>
      </c>
      <c r="O213" s="238">
        <v>2.62</v>
      </c>
      <c r="P213" s="238"/>
      <c r="R213" s="238">
        <v>2.62</v>
      </c>
      <c r="S213">
        <v>59.62</v>
      </c>
      <c r="T213">
        <v>57</v>
      </c>
      <c r="U213" s="238">
        <v>58.31</v>
      </c>
      <c r="V213">
        <v>58.45</v>
      </c>
      <c r="W213" s="238">
        <v>79921.768500000006</v>
      </c>
      <c r="X213">
        <v>3996.0884249999999</v>
      </c>
      <c r="Y213">
        <v>83917.856925</v>
      </c>
      <c r="Z213">
        <v>2517.5357077499998</v>
      </c>
      <c r="AA213">
        <v>86435.392632749994</v>
      </c>
      <c r="AC213">
        <v>86435.392632749994</v>
      </c>
      <c r="AE213">
        <v>86435.392632749994</v>
      </c>
      <c r="AG213">
        <v>86435.392632749994</v>
      </c>
      <c r="AI213">
        <v>86435.392632749994</v>
      </c>
      <c r="AK213">
        <v>86435.392632749994</v>
      </c>
      <c r="AM213">
        <v>86435.392632749994</v>
      </c>
      <c r="AO213">
        <v>86435.392632749994</v>
      </c>
      <c r="AQ213">
        <v>86435.392632749994</v>
      </c>
      <c r="AS213">
        <v>86435.392632749994</v>
      </c>
      <c r="AU213">
        <v>86435.392632749994</v>
      </c>
      <c r="AW213">
        <v>86435.392632749994</v>
      </c>
      <c r="AY213">
        <v>86435.392632749994</v>
      </c>
      <c r="BA213">
        <v>86435.392632749994</v>
      </c>
      <c r="BC213">
        <v>86435.392632749994</v>
      </c>
      <c r="BE213">
        <v>86435.392632749994</v>
      </c>
      <c r="BG213">
        <v>86435.392632749994</v>
      </c>
      <c r="BI213">
        <v>86435.392632749994</v>
      </c>
      <c r="BK213">
        <v>86435.392632749994</v>
      </c>
      <c r="BM213">
        <v>86435.392632749994</v>
      </c>
      <c r="BO213">
        <v>86435.392632749994</v>
      </c>
      <c r="BQ213">
        <v>86435.392632749994</v>
      </c>
      <c r="BS213">
        <v>86435.392632749994</v>
      </c>
      <c r="BT213" s="238">
        <v>86435.39</v>
      </c>
      <c r="BU213" s="238">
        <v>5040047.59</v>
      </c>
      <c r="BV213">
        <v>120000</v>
      </c>
      <c r="BX213" s="238">
        <v>120000</v>
      </c>
      <c r="BY213" s="238">
        <v>84377.423941004963</v>
      </c>
      <c r="BZ213" s="238">
        <v>4920047.59</v>
      </c>
      <c r="CA213" s="238" t="s">
        <v>36</v>
      </c>
      <c r="CC213">
        <v>84377.423941004963</v>
      </c>
      <c r="CD213" s="238">
        <v>0</v>
      </c>
      <c r="CE213" s="238">
        <v>4920047.59</v>
      </c>
      <c r="CG213" t="s">
        <v>3515</v>
      </c>
      <c r="CH213" s="238" t="s">
        <v>39</v>
      </c>
      <c r="CI213" s="238" t="s">
        <v>39</v>
      </c>
      <c r="CJ213" t="s">
        <v>8950</v>
      </c>
      <c r="CK213" t="s">
        <v>1167</v>
      </c>
      <c r="CL213" t="s">
        <v>8961</v>
      </c>
      <c r="CM213" t="s">
        <v>8974</v>
      </c>
      <c r="CN213" s="238" t="b">
        <v>1</v>
      </c>
      <c r="CO213" t="s">
        <v>5501</v>
      </c>
      <c r="CQ213" t="s">
        <v>4895</v>
      </c>
      <c r="CR213" t="s">
        <v>3246</v>
      </c>
      <c r="CS213" t="s">
        <v>36</v>
      </c>
      <c r="CT213" t="b">
        <v>1</v>
      </c>
      <c r="CU213">
        <v>5040047.59</v>
      </c>
      <c r="CV213" t="s">
        <v>9002</v>
      </c>
      <c r="CW213">
        <v>0</v>
      </c>
      <c r="CX213">
        <v>5040048</v>
      </c>
      <c r="CY213">
        <v>0</v>
      </c>
      <c r="CZ213" t="b">
        <v>1</v>
      </c>
      <c r="DA213">
        <v>45247</v>
      </c>
      <c r="DB213" t="s">
        <v>126</v>
      </c>
      <c r="DC213">
        <v>2.4009603841534943E-3</v>
      </c>
      <c r="DD213">
        <v>202.58685219927753</v>
      </c>
      <c r="DE213" s="420" cm="1">
        <f t="array" ref="DE213">_xlfn.XLOOKUP("Дом 5"&amp;Реестр_Д5[[#This Row],[№]]&amp;Реестр_Д5[[#This Row],[Статус]],РД[Дом]&amp;РД[№ кв]&amp;РД[Состояние],РД[Дата подачи на регистрацию],"-",0)</f>
        <v>45247</v>
      </c>
    </row>
    <row r="214" spans="1:109" x14ac:dyDescent="0.25">
      <c r="A214" s="238">
        <v>213</v>
      </c>
      <c r="B214" s="238" t="s">
        <v>5</v>
      </c>
      <c r="C214" s="238">
        <v>15</v>
      </c>
      <c r="D214" s="238">
        <v>5</v>
      </c>
      <c r="E214" s="238">
        <v>1</v>
      </c>
      <c r="F214" s="238">
        <v>12.06</v>
      </c>
      <c r="G214" s="238"/>
      <c r="H214" s="238"/>
      <c r="I214">
        <v>12.06</v>
      </c>
      <c r="J214" s="238">
        <v>13.18</v>
      </c>
      <c r="K214" s="238">
        <v>4.1100000000000003</v>
      </c>
      <c r="L214" s="238"/>
      <c r="M214" s="238"/>
      <c r="N214" s="238">
        <v>7.09</v>
      </c>
      <c r="O214" s="238">
        <v>2.84</v>
      </c>
      <c r="P214" s="238"/>
      <c r="R214" s="238">
        <v>2.84</v>
      </c>
      <c r="S214">
        <v>39.28</v>
      </c>
      <c r="T214">
        <v>36.44</v>
      </c>
      <c r="U214" s="238">
        <v>37.86</v>
      </c>
      <c r="V214">
        <v>37.950000000000003</v>
      </c>
      <c r="W214" s="238">
        <v>87601.5</v>
      </c>
      <c r="X214">
        <v>4380.0749999999998</v>
      </c>
      <c r="Y214">
        <v>91981.574999999997</v>
      </c>
      <c r="Z214">
        <v>2759.4472499999997</v>
      </c>
      <c r="AA214">
        <v>94741.022249999995</v>
      </c>
      <c r="AB214">
        <v>4263.34600125</v>
      </c>
      <c r="AC214">
        <v>99004.368251249995</v>
      </c>
      <c r="AE214">
        <v>99004.368251249995</v>
      </c>
      <c r="AF214">
        <v>4950.2184125624999</v>
      </c>
      <c r="AG214">
        <v>103954.5866638125</v>
      </c>
      <c r="AI214">
        <v>103954.5866638125</v>
      </c>
      <c r="AJ214">
        <v>1039.5458666381253</v>
      </c>
      <c r="AK214">
        <v>104994.13253045065</v>
      </c>
      <c r="AL214">
        <v>5249.7066265225321</v>
      </c>
      <c r="AM214">
        <v>110243.83915697316</v>
      </c>
      <c r="AO214">
        <v>110243.83915697316</v>
      </c>
      <c r="AP214">
        <v>3307.3151747091947</v>
      </c>
      <c r="AQ214">
        <v>113551.15433168237</v>
      </c>
      <c r="AS214">
        <v>113551.15433168237</v>
      </c>
      <c r="AU214">
        <v>113551.15433168237</v>
      </c>
      <c r="AW214">
        <v>113551.15433168237</v>
      </c>
      <c r="AY214">
        <v>113551.15433168237</v>
      </c>
      <c r="AZ214">
        <v>1135.5115433168237</v>
      </c>
      <c r="BA214">
        <v>114686.66587499918</v>
      </c>
      <c r="BB214">
        <v>573.43332937499588</v>
      </c>
      <c r="BC214">
        <v>115260.09920437416</v>
      </c>
      <c r="BE214">
        <v>115260.09920437416</v>
      </c>
      <c r="BF214">
        <v>2881.5024801093546</v>
      </c>
      <c r="BG214">
        <v>118141.60168448352</v>
      </c>
      <c r="BI214">
        <v>118141.60168448352</v>
      </c>
      <c r="BK214">
        <v>118141.60168448352</v>
      </c>
      <c r="BL214">
        <v>5907.080084224177</v>
      </c>
      <c r="BM214">
        <v>124048.6817687077</v>
      </c>
      <c r="BN214">
        <v>16126.328629932001</v>
      </c>
      <c r="BO214">
        <v>140175.01039863969</v>
      </c>
      <c r="BP214">
        <v>35</v>
      </c>
      <c r="BQ214">
        <v>140210.01039863969</v>
      </c>
      <c r="BS214">
        <v>140210.01039863969</v>
      </c>
      <c r="BT214" s="238">
        <v>140210.01</v>
      </c>
      <c r="BU214" s="238">
        <v>5321000</v>
      </c>
      <c r="BX214" s="238">
        <v>0</v>
      </c>
      <c r="BY214" s="238">
        <v>140210.80368906457</v>
      </c>
      <c r="BZ214" s="238">
        <v>5321000</v>
      </c>
      <c r="CA214" s="238" t="s">
        <v>38</v>
      </c>
      <c r="CB214">
        <v>30000</v>
      </c>
      <c r="CC214">
        <v>170210.80368906457</v>
      </c>
      <c r="CD214" s="238">
        <v>1138500</v>
      </c>
      <c r="CE214" s="238">
        <v>6459500</v>
      </c>
      <c r="CH214" s="238" t="s">
        <v>3</v>
      </c>
      <c r="CI214" s="238" t="s">
        <v>3</v>
      </c>
      <c r="CJ214" t="s">
        <v>8951</v>
      </c>
      <c r="CK214" t="s">
        <v>1167</v>
      </c>
      <c r="CL214" t="s">
        <v>8961</v>
      </c>
      <c r="CM214" t="s">
        <v>8973</v>
      </c>
      <c r="CN214" s="238" t="b">
        <v>1</v>
      </c>
      <c r="CO214" t="s">
        <v>5502</v>
      </c>
      <c r="CQ214" t="s">
        <v>6652</v>
      </c>
      <c r="CR214" t="s">
        <v>3124</v>
      </c>
      <c r="CS214" t="s">
        <v>36</v>
      </c>
      <c r="CT214" t="b">
        <v>0</v>
      </c>
      <c r="CU214">
        <v>5321000</v>
      </c>
      <c r="CV214">
        <v>5321000</v>
      </c>
      <c r="CW214">
        <v>0</v>
      </c>
      <c r="CX214">
        <v>0</v>
      </c>
      <c r="CY214">
        <v>0</v>
      </c>
      <c r="CZ214" t="b">
        <v>1</v>
      </c>
      <c r="DA214" t="s">
        <v>4246</v>
      </c>
      <c r="DB214" t="s">
        <v>1167</v>
      </c>
      <c r="DC214">
        <v>2.3771790808242432E-3</v>
      </c>
      <c r="DD214">
        <v>333.30618943519886</v>
      </c>
      <c r="DE214" s="420" t="str" cm="1">
        <f t="array" ref="DE21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15" spans="1:109" hidden="1" x14ac:dyDescent="0.25">
      <c r="A215" s="238">
        <v>214</v>
      </c>
      <c r="B215" s="238" t="s">
        <v>5</v>
      </c>
      <c r="C215" s="238">
        <v>15</v>
      </c>
      <c r="D215" s="238">
        <v>6</v>
      </c>
      <c r="E215" s="238">
        <v>3</v>
      </c>
      <c r="F215" s="238">
        <v>17.89</v>
      </c>
      <c r="G215" s="238">
        <v>17.2</v>
      </c>
      <c r="H215" s="238">
        <v>14.31</v>
      </c>
      <c r="I215">
        <v>49.400000000000006</v>
      </c>
      <c r="J215" s="238">
        <v>13.39</v>
      </c>
      <c r="K215" s="238">
        <v>4.2</v>
      </c>
      <c r="L215" s="238">
        <v>2.0499999999999998</v>
      </c>
      <c r="M215" s="238"/>
      <c r="N215" s="238">
        <v>13.21</v>
      </c>
      <c r="O215" s="238">
        <v>2.79</v>
      </c>
      <c r="P215" s="238">
        <v>2.68</v>
      </c>
      <c r="R215" s="238">
        <v>5.4700000000000006</v>
      </c>
      <c r="S215">
        <v>87.72</v>
      </c>
      <c r="T215">
        <v>82.25</v>
      </c>
      <c r="U215" s="238">
        <v>84.99</v>
      </c>
      <c r="V215">
        <v>84.55</v>
      </c>
      <c r="W215" s="238">
        <v>72092.789999999994</v>
      </c>
      <c r="X215">
        <v>3604.6395000000007</v>
      </c>
      <c r="Y215">
        <v>75697.429500000013</v>
      </c>
      <c r="Z215">
        <v>2270.9228850000004</v>
      </c>
      <c r="AA215">
        <v>77968.35238500002</v>
      </c>
      <c r="AC215">
        <v>77968.35238500002</v>
      </c>
      <c r="AE215">
        <v>77968.35238500002</v>
      </c>
      <c r="AG215">
        <v>77968.35238500002</v>
      </c>
      <c r="AI215">
        <v>77968.35238500002</v>
      </c>
      <c r="AJ215">
        <v>779.68352385000037</v>
      </c>
      <c r="AK215">
        <v>78748.035908850026</v>
      </c>
      <c r="AL215">
        <v>3937.4017954425017</v>
      </c>
      <c r="AM215">
        <v>82685.437704292533</v>
      </c>
      <c r="AO215">
        <v>82685.437704292533</v>
      </c>
      <c r="AQ215">
        <v>82685.437704292533</v>
      </c>
      <c r="AS215">
        <v>82685.437704292533</v>
      </c>
      <c r="AU215">
        <v>82685.437704292533</v>
      </c>
      <c r="AW215">
        <v>82685.437704292533</v>
      </c>
      <c r="AY215">
        <v>82685.437704292533</v>
      </c>
      <c r="BA215">
        <v>82685.437704292533</v>
      </c>
      <c r="BC215">
        <v>82685.437704292533</v>
      </c>
      <c r="BE215">
        <v>82685.437704292533</v>
      </c>
      <c r="BG215">
        <v>82685.437704292533</v>
      </c>
      <c r="BI215">
        <v>82685.437704292533</v>
      </c>
      <c r="BK215">
        <v>82685.437704292533</v>
      </c>
      <c r="BM215">
        <v>82685.437704292533</v>
      </c>
      <c r="BO215">
        <v>82685.437704292533</v>
      </c>
      <c r="BQ215">
        <v>82685.437704292533</v>
      </c>
      <c r="BS215">
        <v>82685.437704292533</v>
      </c>
      <c r="BT215" s="238">
        <v>82685.440000000002</v>
      </c>
      <c r="BU215" s="238">
        <v>7027500</v>
      </c>
      <c r="BX215" s="238">
        <v>0</v>
      </c>
      <c r="BY215" s="238">
        <v>82686.198376279572</v>
      </c>
      <c r="BZ215" s="238">
        <v>7027500</v>
      </c>
      <c r="CA215" s="238" t="s">
        <v>38</v>
      </c>
      <c r="CB215">
        <v>20000</v>
      </c>
      <c r="CC215">
        <v>102686.19837627956</v>
      </c>
      <c r="CD215" s="238">
        <v>1699800</v>
      </c>
      <c r="CE215" s="238">
        <v>8727300</v>
      </c>
      <c r="CH215" s="238" t="s">
        <v>39</v>
      </c>
      <c r="CI215" s="238" t="s">
        <v>39</v>
      </c>
      <c r="CJ215" t="s">
        <v>8950</v>
      </c>
      <c r="CK215" t="s">
        <v>1167</v>
      </c>
      <c r="CL215" t="s">
        <v>8961</v>
      </c>
      <c r="CM215" t="s">
        <v>8975</v>
      </c>
      <c r="CN215" s="238" t="b">
        <v>1</v>
      </c>
      <c r="CO215" t="s">
        <v>5503</v>
      </c>
      <c r="CQ215" t="s">
        <v>6652</v>
      </c>
      <c r="CR215" t="s">
        <v>3246</v>
      </c>
      <c r="CS215" t="s">
        <v>38</v>
      </c>
      <c r="CT215" t="b">
        <v>1</v>
      </c>
      <c r="CU215">
        <v>7027500</v>
      </c>
      <c r="CV215" t="s">
        <v>9002</v>
      </c>
      <c r="CW215">
        <v>7027500</v>
      </c>
      <c r="CX215">
        <v>7027500</v>
      </c>
      <c r="CY215">
        <v>0</v>
      </c>
      <c r="CZ215" t="b">
        <v>1</v>
      </c>
      <c r="DA215">
        <v>45377</v>
      </c>
      <c r="DB215" t="s">
        <v>4177</v>
      </c>
      <c r="DC215">
        <v>-5.1770796564301058E-3</v>
      </c>
      <c r="DD215">
        <v>-428.073035481381</v>
      </c>
      <c r="DE215" s="420" cm="1">
        <f t="array" ref="DE215">_xlfn.XLOOKUP("Дом 5"&amp;Реестр_Д5[[#This Row],[№]]&amp;Реестр_Д5[[#This Row],[Статус]],РД[Дом]&amp;РД[№ кв]&amp;РД[Состояние],РД[Дата подачи на регистрацию],"-",0)</f>
        <v>45377</v>
      </c>
    </row>
    <row r="216" spans="1:109" x14ac:dyDescent="0.25">
      <c r="A216" s="238">
        <v>215</v>
      </c>
      <c r="B216" s="238" t="s">
        <v>5</v>
      </c>
      <c r="C216" s="238">
        <v>15</v>
      </c>
      <c r="D216" s="238">
        <v>7</v>
      </c>
      <c r="E216" s="238">
        <v>1</v>
      </c>
      <c r="F216" s="238">
        <v>17.89</v>
      </c>
      <c r="G216" s="238"/>
      <c r="H216" s="238"/>
      <c r="I216">
        <v>17.89</v>
      </c>
      <c r="J216" s="238">
        <v>13.04</v>
      </c>
      <c r="K216" s="238">
        <v>3.9</v>
      </c>
      <c r="L216" s="238"/>
      <c r="M216" s="238"/>
      <c r="N216" s="238">
        <v>6.12</v>
      </c>
      <c r="O216" s="238">
        <v>2.65</v>
      </c>
      <c r="P216" s="238"/>
      <c r="R216" s="238">
        <v>2.65</v>
      </c>
      <c r="S216">
        <v>43.6</v>
      </c>
      <c r="T216">
        <v>40.950000000000003</v>
      </c>
      <c r="U216" s="238">
        <v>42.28</v>
      </c>
      <c r="V216">
        <v>42.35</v>
      </c>
      <c r="W216" s="238">
        <v>83951.4375</v>
      </c>
      <c r="X216">
        <v>4197.5718750000005</v>
      </c>
      <c r="Y216">
        <v>88149.009374999994</v>
      </c>
      <c r="Z216">
        <v>2644.4702812499995</v>
      </c>
      <c r="AA216">
        <v>90793.479656249998</v>
      </c>
      <c r="AB216">
        <v>2723.8043896874997</v>
      </c>
      <c r="AC216">
        <v>93517.2840459375</v>
      </c>
      <c r="AE216">
        <v>93517.2840459375</v>
      </c>
      <c r="AF216">
        <v>4675.8642022968752</v>
      </c>
      <c r="AG216">
        <v>98193.148248234371</v>
      </c>
      <c r="AI216">
        <v>98193.148248234371</v>
      </c>
      <c r="AJ216">
        <v>981.93148248234388</v>
      </c>
      <c r="AK216">
        <v>99175.079730716709</v>
      </c>
      <c r="AL216">
        <v>4958.7539865358358</v>
      </c>
      <c r="AM216">
        <v>104133.83371725256</v>
      </c>
      <c r="AO216">
        <v>104133.83371725256</v>
      </c>
      <c r="AP216">
        <v>3124.015011517577</v>
      </c>
      <c r="AQ216">
        <v>107257.84872877011</v>
      </c>
      <c r="AS216">
        <v>107257.84872877011</v>
      </c>
      <c r="AU216">
        <v>107257.84872877011</v>
      </c>
      <c r="AW216">
        <v>107257.84872877011</v>
      </c>
      <c r="AX216">
        <v>1072.5784872877014</v>
      </c>
      <c r="AY216">
        <v>108330.42721605784</v>
      </c>
      <c r="BA216">
        <v>108330.42721605784</v>
      </c>
      <c r="BC216">
        <v>108330.42721605784</v>
      </c>
      <c r="BE216">
        <v>108330.42721605784</v>
      </c>
      <c r="BF216">
        <v>2708.2606804014458</v>
      </c>
      <c r="BG216">
        <v>111038.68789645928</v>
      </c>
      <c r="BI216">
        <v>111038.68789645928</v>
      </c>
      <c r="BK216">
        <v>111038.68789645928</v>
      </c>
      <c r="BL216">
        <v>8883.0950317167426</v>
      </c>
      <c r="BM216">
        <v>119921.78292817602</v>
      </c>
      <c r="BN216">
        <v>15589.831780662884</v>
      </c>
      <c r="BO216">
        <v>135511.6147088389</v>
      </c>
      <c r="BP216">
        <v>35</v>
      </c>
      <c r="BQ216">
        <v>135546.6147088389</v>
      </c>
      <c r="BS216">
        <v>135546.6147088389</v>
      </c>
      <c r="BT216" s="238">
        <v>135546.60999999999</v>
      </c>
      <c r="BU216" s="238">
        <v>5740400</v>
      </c>
      <c r="BV216">
        <v>460000</v>
      </c>
      <c r="BX216" s="238">
        <v>460000</v>
      </c>
      <c r="BY216" s="238">
        <v>124684.76977567888</v>
      </c>
      <c r="BZ216" s="238">
        <v>5280400</v>
      </c>
      <c r="CA216" s="238" t="s">
        <v>36</v>
      </c>
      <c r="CC216">
        <v>124684.76977567888</v>
      </c>
      <c r="CD216" s="238">
        <v>0</v>
      </c>
      <c r="CE216" s="238">
        <v>5280400</v>
      </c>
      <c r="CG216" t="s">
        <v>350</v>
      </c>
      <c r="CH216" s="238" t="s">
        <v>39</v>
      </c>
      <c r="CI216" s="238" t="s">
        <v>39</v>
      </c>
      <c r="CJ216" t="s">
        <v>8950</v>
      </c>
      <c r="CK216" t="s">
        <v>1167</v>
      </c>
      <c r="CL216" t="s">
        <v>8961</v>
      </c>
      <c r="CM216" t="s">
        <v>8973</v>
      </c>
      <c r="CN216" s="238" t="b">
        <v>1</v>
      </c>
      <c r="CO216" t="s">
        <v>5504</v>
      </c>
      <c r="CQ216" t="s">
        <v>6652</v>
      </c>
      <c r="CR216" t="s">
        <v>3124</v>
      </c>
      <c r="CS216" t="s">
        <v>36</v>
      </c>
      <c r="CT216" t="b">
        <v>1</v>
      </c>
      <c r="CU216">
        <v>5740400</v>
      </c>
      <c r="CV216" t="s">
        <v>9002</v>
      </c>
      <c r="CW216">
        <v>5740400</v>
      </c>
      <c r="CX216">
        <v>5740400</v>
      </c>
      <c r="CY216">
        <v>0</v>
      </c>
      <c r="CZ216" t="b">
        <v>1</v>
      </c>
      <c r="DA216" t="s">
        <v>4246</v>
      </c>
      <c r="DB216" t="s">
        <v>1167</v>
      </c>
      <c r="DC216">
        <v>1.6556291390728006E-3</v>
      </c>
      <c r="DD216">
        <v>206.43173803919757</v>
      </c>
      <c r="DE216" s="420" cm="1">
        <f t="array" ref="DE216">_xlfn.XLOOKUP("Дом 5"&amp;Реестр_Д5[[#This Row],[№]]&amp;Реестр_Д5[[#This Row],[Статус]],РД[Дом]&amp;РД[№ кв]&amp;РД[Состояние],РД[Дата подачи на регистрацию],"-",0)</f>
        <v>45882</v>
      </c>
    </row>
    <row r="217" spans="1:109" hidden="1" x14ac:dyDescent="0.25">
      <c r="A217" s="238">
        <v>216</v>
      </c>
      <c r="B217" s="238" t="s">
        <v>5</v>
      </c>
      <c r="C217" s="238">
        <v>16</v>
      </c>
      <c r="D217" s="238">
        <v>1</v>
      </c>
      <c r="E217" s="238">
        <v>2</v>
      </c>
      <c r="F217" s="238">
        <v>15.91</v>
      </c>
      <c r="G217" s="238">
        <v>12.02</v>
      </c>
      <c r="H217" s="238"/>
      <c r="I217">
        <v>27.93</v>
      </c>
      <c r="J217" s="238">
        <v>15.31</v>
      </c>
      <c r="K217" s="238">
        <v>3.85</v>
      </c>
      <c r="L217" s="238">
        <v>2.2999999999999998</v>
      </c>
      <c r="M217" s="238"/>
      <c r="N217" s="238">
        <v>9.4499999999999993</v>
      </c>
      <c r="O217" s="238">
        <v>2.75</v>
      </c>
      <c r="P217" s="238"/>
      <c r="R217" s="238">
        <v>2.75</v>
      </c>
      <c r="S217">
        <v>61.59</v>
      </c>
      <c r="T217">
        <v>58.84</v>
      </c>
      <c r="U217" s="238">
        <v>60.22</v>
      </c>
      <c r="V217">
        <v>60.29999999999999</v>
      </c>
      <c r="W217" s="238">
        <v>81852.246000000014</v>
      </c>
      <c r="X217">
        <v>4092.6123000000007</v>
      </c>
      <c r="Y217">
        <v>85944.858300000022</v>
      </c>
      <c r="Z217">
        <v>2578.3457490000005</v>
      </c>
      <c r="AA217">
        <v>88523.204049000022</v>
      </c>
      <c r="AC217">
        <v>88523.204049000022</v>
      </c>
      <c r="AE217">
        <v>88523.204049000022</v>
      </c>
      <c r="AG217">
        <v>88523.204049000022</v>
      </c>
      <c r="AI217">
        <v>88523.204049000022</v>
      </c>
      <c r="AJ217">
        <v>885.23204049000037</v>
      </c>
      <c r="AK217">
        <v>89408.436089490016</v>
      </c>
      <c r="AL217">
        <v>4470.4218044745012</v>
      </c>
      <c r="AM217">
        <v>93878.857893964523</v>
      </c>
      <c r="AO217">
        <v>93878.857893964523</v>
      </c>
      <c r="AQ217">
        <v>93878.857893964523</v>
      </c>
      <c r="AS217">
        <v>93878.857893964523</v>
      </c>
      <c r="AU217">
        <v>93878.857893964523</v>
      </c>
      <c r="AW217">
        <v>93878.857893964523</v>
      </c>
      <c r="AY217">
        <v>93878.857893964523</v>
      </c>
      <c r="BA217">
        <v>93878.857893964523</v>
      </c>
      <c r="BC217">
        <v>93878.857893964523</v>
      </c>
      <c r="BE217">
        <v>93878.857893964523</v>
      </c>
      <c r="BG217">
        <v>93878.857893964523</v>
      </c>
      <c r="BI217">
        <v>93878.857893964523</v>
      </c>
      <c r="BK217">
        <v>93878.857893964523</v>
      </c>
      <c r="BM217">
        <v>93878.857893964523</v>
      </c>
      <c r="BO217">
        <v>93878.857893964523</v>
      </c>
      <c r="BQ217">
        <v>93878.857893964523</v>
      </c>
      <c r="BS217">
        <v>93878.857893964523</v>
      </c>
      <c r="BT217" s="238">
        <v>93878.86</v>
      </c>
      <c r="BU217" s="238">
        <v>5653400</v>
      </c>
      <c r="BX217" s="238">
        <v>0</v>
      </c>
      <c r="BY217" s="238">
        <v>93879.109930255727</v>
      </c>
      <c r="BZ217" s="238">
        <v>5653400</v>
      </c>
      <c r="CA217" s="238" t="s">
        <v>36</v>
      </c>
      <c r="CC217">
        <v>93879.109930255727</v>
      </c>
      <c r="CD217" s="238">
        <v>0</v>
      </c>
      <c r="CE217" s="238">
        <v>5653400</v>
      </c>
      <c r="CH217" s="238" t="s">
        <v>39</v>
      </c>
      <c r="CI217" s="238" t="s">
        <v>39</v>
      </c>
      <c r="CJ217" t="s">
        <v>8950</v>
      </c>
      <c r="CK217" t="s">
        <v>1167</v>
      </c>
      <c r="CL217" t="s">
        <v>8961</v>
      </c>
      <c r="CM217" t="s">
        <v>8971</v>
      </c>
      <c r="CN217" s="238" t="b">
        <v>1</v>
      </c>
      <c r="CO217" t="s">
        <v>5505</v>
      </c>
      <c r="CQ217" t="s">
        <v>6652</v>
      </c>
      <c r="CR217" t="s">
        <v>3246</v>
      </c>
      <c r="CS217" t="s">
        <v>36</v>
      </c>
      <c r="CT217" t="b">
        <v>1</v>
      </c>
      <c r="CU217">
        <v>5653400</v>
      </c>
      <c r="CV217" t="s">
        <v>9002</v>
      </c>
      <c r="CW217">
        <v>0</v>
      </c>
      <c r="CX217">
        <v>5653400</v>
      </c>
      <c r="CY217">
        <v>0</v>
      </c>
      <c r="CZ217" t="b">
        <v>1</v>
      </c>
      <c r="DA217">
        <v>45351</v>
      </c>
      <c r="DB217" t="s">
        <v>126</v>
      </c>
      <c r="DC217">
        <v>1.3284623048819275E-3</v>
      </c>
      <c r="DD217">
        <v>124.71485875821141</v>
      </c>
      <c r="DE217" s="420" cm="1">
        <f t="array" ref="DE217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218" spans="1:109" hidden="1" x14ac:dyDescent="0.25">
      <c r="A218" s="238">
        <v>217</v>
      </c>
      <c r="B218" s="238" t="s">
        <v>5</v>
      </c>
      <c r="C218" s="238">
        <v>16</v>
      </c>
      <c r="D218" s="238">
        <v>2</v>
      </c>
      <c r="E218" s="238">
        <v>0</v>
      </c>
      <c r="F218" s="238">
        <v>7.13</v>
      </c>
      <c r="G218" s="238"/>
      <c r="H218" s="238"/>
      <c r="I218">
        <v>7.13</v>
      </c>
      <c r="J218" s="238">
        <v>5.12</v>
      </c>
      <c r="K218" s="238">
        <v>3.65</v>
      </c>
      <c r="L218" s="238"/>
      <c r="M218" s="238"/>
      <c r="N218" s="238">
        <v>6.92</v>
      </c>
      <c r="O218" s="238">
        <v>2.91</v>
      </c>
      <c r="P218" s="238"/>
      <c r="R218" s="238">
        <v>2.91</v>
      </c>
      <c r="S218">
        <v>25.73</v>
      </c>
      <c r="T218">
        <v>22.82</v>
      </c>
      <c r="U218" s="238">
        <v>24.28</v>
      </c>
      <c r="V218">
        <v>24.1</v>
      </c>
      <c r="W218" s="238">
        <v>91981.574999999997</v>
      </c>
      <c r="X218">
        <v>4599.0787499999997</v>
      </c>
      <c r="Y218">
        <v>96580.653749999998</v>
      </c>
      <c r="Z218">
        <v>2897.4196124999999</v>
      </c>
      <c r="AA218">
        <v>99478.073362499999</v>
      </c>
      <c r="AB218">
        <v>14921.711004375</v>
      </c>
      <c r="AC218">
        <v>114399.784366875</v>
      </c>
      <c r="AE218">
        <v>114399.784366875</v>
      </c>
      <c r="AG218">
        <v>114399.784366875</v>
      </c>
      <c r="AI218">
        <v>114399.784366875</v>
      </c>
      <c r="AJ218">
        <v>1143.99784366875</v>
      </c>
      <c r="AK218">
        <v>115543.78221054377</v>
      </c>
      <c r="AL218">
        <v>5777.1891105271879</v>
      </c>
      <c r="AM218">
        <v>121320.97132107096</v>
      </c>
      <c r="AO218">
        <v>121320.97132107096</v>
      </c>
      <c r="AP218">
        <v>3639.629139632128</v>
      </c>
      <c r="AQ218">
        <v>124960.60046070308</v>
      </c>
      <c r="AS218">
        <v>124960.60046070308</v>
      </c>
      <c r="AU218">
        <v>124960.60046070308</v>
      </c>
      <c r="AW218">
        <v>124960.60046070308</v>
      </c>
      <c r="AY218">
        <v>124960.60046070308</v>
      </c>
      <c r="AZ218">
        <v>2499.2120092140617</v>
      </c>
      <c r="BA218">
        <v>127459.81246991716</v>
      </c>
      <c r="BC218">
        <v>127459.81246991716</v>
      </c>
      <c r="BE218">
        <v>127459.81246991716</v>
      </c>
      <c r="BF218">
        <v>1911.8971870487571</v>
      </c>
      <c r="BG218">
        <v>129371.7096569659</v>
      </c>
      <c r="BH218">
        <v>500</v>
      </c>
      <c r="BI218">
        <v>129871.7096569659</v>
      </c>
      <c r="BK218">
        <v>129871.7096569659</v>
      </c>
      <c r="BL218">
        <v>5194.8683862786365</v>
      </c>
      <c r="BM218">
        <v>135066.57804324455</v>
      </c>
      <c r="BN218">
        <v>17558.655145621793</v>
      </c>
      <c r="BO218">
        <v>152625.23318886635</v>
      </c>
      <c r="BQ218">
        <v>152625.23318886635</v>
      </c>
      <c r="BS218">
        <v>152625.23318886635</v>
      </c>
      <c r="BT218" s="238">
        <v>152625.23000000001</v>
      </c>
      <c r="BU218" s="238">
        <v>3705800</v>
      </c>
      <c r="BW218">
        <v>0.02</v>
      </c>
      <c r="BX218" s="238">
        <v>74116</v>
      </c>
      <c r="BY218" s="238">
        <v>149575.12355848434</v>
      </c>
      <c r="BZ218" s="238">
        <v>3631684</v>
      </c>
      <c r="CA218" s="238" t="s">
        <v>36</v>
      </c>
      <c r="CC218">
        <v>149575.12355848434</v>
      </c>
      <c r="CD218" s="238">
        <v>0</v>
      </c>
      <c r="CE218" s="238">
        <v>3631684</v>
      </c>
      <c r="CG218" t="s">
        <v>3540</v>
      </c>
      <c r="CH218" s="238" t="s">
        <v>39</v>
      </c>
      <c r="CI218" s="238" t="s">
        <v>39</v>
      </c>
      <c r="CJ218" t="s">
        <v>8950</v>
      </c>
      <c r="CK218" t="s">
        <v>1167</v>
      </c>
      <c r="CL218" t="s">
        <v>8961</v>
      </c>
      <c r="CM218" t="s">
        <v>8970</v>
      </c>
      <c r="CN218" s="238" t="b">
        <v>1</v>
      </c>
      <c r="CO218" t="s">
        <v>5506</v>
      </c>
      <c r="CQ218" t="s">
        <v>6652</v>
      </c>
      <c r="CR218" t="s">
        <v>3246</v>
      </c>
      <c r="CS218" t="s">
        <v>36</v>
      </c>
      <c r="CT218" t="b">
        <v>1</v>
      </c>
      <c r="CU218">
        <v>3705800</v>
      </c>
      <c r="CV218" t="s">
        <v>9002</v>
      </c>
      <c r="CW218">
        <v>0</v>
      </c>
      <c r="CX218">
        <v>3705800</v>
      </c>
      <c r="CY218">
        <v>0</v>
      </c>
      <c r="CZ218" t="b">
        <v>1</v>
      </c>
      <c r="DA218">
        <v>45618</v>
      </c>
      <c r="DB218" t="s">
        <v>126</v>
      </c>
      <c r="DC218">
        <v>-7.4135090609556142E-3</v>
      </c>
      <c r="DD218">
        <v>-1108.8765337943792</v>
      </c>
      <c r="DE218" s="420" cm="1">
        <f t="array" ref="DE218">_xlfn.XLOOKUP("Дом 5"&amp;Реестр_Д5[[#This Row],[№]]&amp;Реестр_Д5[[#This Row],[Статус]],РД[Дом]&amp;РД[№ кв]&amp;РД[Состояние],РД[Дата подачи на регистрацию],"-",0)</f>
        <v>45618</v>
      </c>
    </row>
    <row r="219" spans="1:109" hidden="1" x14ac:dyDescent="0.25">
      <c r="A219" s="238">
        <v>218</v>
      </c>
      <c r="B219" s="238" t="s">
        <v>5</v>
      </c>
      <c r="C219" s="238">
        <v>16</v>
      </c>
      <c r="D219" s="238">
        <v>3</v>
      </c>
      <c r="E219" s="238">
        <v>2</v>
      </c>
      <c r="F219" s="238">
        <v>14.6</v>
      </c>
      <c r="G219" s="238">
        <v>13.12</v>
      </c>
      <c r="H219" s="238"/>
      <c r="I219">
        <v>27.72</v>
      </c>
      <c r="J219" s="238">
        <v>14.35</v>
      </c>
      <c r="K219" s="238">
        <v>3.68</v>
      </c>
      <c r="L219" s="238">
        <v>2.57</v>
      </c>
      <c r="M219" s="238"/>
      <c r="N219" s="238">
        <v>7.95</v>
      </c>
      <c r="O219" s="238">
        <v>2.65</v>
      </c>
      <c r="P219" s="238"/>
      <c r="R219" s="238">
        <v>2.65</v>
      </c>
      <c r="S219">
        <v>58.92</v>
      </c>
      <c r="T219">
        <v>56.27</v>
      </c>
      <c r="U219" s="238">
        <v>57.6</v>
      </c>
      <c r="V219">
        <v>57.55</v>
      </c>
      <c r="W219" s="238">
        <v>80307.864000000001</v>
      </c>
      <c r="X219">
        <v>4015.3932</v>
      </c>
      <c r="Y219">
        <v>84323.257199999993</v>
      </c>
      <c r="Z219">
        <v>2529.6977160000001</v>
      </c>
      <c r="AA219">
        <v>86852.954916000002</v>
      </c>
      <c r="AC219">
        <v>86852.954916000002</v>
      </c>
      <c r="AE219">
        <v>86852.954916000002</v>
      </c>
      <c r="AG219">
        <v>86852.954916000002</v>
      </c>
      <c r="AI219">
        <v>86852.954916000002</v>
      </c>
      <c r="AJ219">
        <v>868.52954915999999</v>
      </c>
      <c r="AK219">
        <v>87721.48446516</v>
      </c>
      <c r="AL219">
        <v>4386.0742232580005</v>
      </c>
      <c r="AM219">
        <v>92107.558688417994</v>
      </c>
      <c r="AO219">
        <v>92107.558688417994</v>
      </c>
      <c r="AP219">
        <v>1842.15117376836</v>
      </c>
      <c r="AQ219">
        <v>93949.709862186355</v>
      </c>
      <c r="AS219">
        <v>93949.709862186355</v>
      </c>
      <c r="AT219">
        <v>1878.9941972437273</v>
      </c>
      <c r="AU219">
        <v>95828.704059430078</v>
      </c>
      <c r="AW219">
        <v>95828.704059430078</v>
      </c>
      <c r="AX219">
        <v>958.28704059430083</v>
      </c>
      <c r="AY219">
        <v>96786.991100024374</v>
      </c>
      <c r="BA219">
        <v>96786.991100024374</v>
      </c>
      <c r="BC219">
        <v>96786.991100024374</v>
      </c>
      <c r="BE219">
        <v>96786.991100024374</v>
      </c>
      <c r="BG219">
        <v>96786.991100024374</v>
      </c>
      <c r="BI219">
        <v>96786.991100024374</v>
      </c>
      <c r="BK219">
        <v>96786.991100024374</v>
      </c>
      <c r="BM219">
        <v>96786.991100024374</v>
      </c>
      <c r="BO219">
        <v>96786.991100024374</v>
      </c>
      <c r="BQ219">
        <v>96786.991100024374</v>
      </c>
      <c r="BS219">
        <v>96786.991100024374</v>
      </c>
      <c r="BT219" s="238">
        <v>96786.99</v>
      </c>
      <c r="BU219" s="238">
        <v>5575000</v>
      </c>
      <c r="BX219" s="238">
        <v>0</v>
      </c>
      <c r="BY219" s="238">
        <v>96788.194444444438</v>
      </c>
      <c r="BZ219" s="238">
        <v>5575000</v>
      </c>
      <c r="CA219" s="238" t="s">
        <v>6871</v>
      </c>
      <c r="CB219">
        <v>7000</v>
      </c>
      <c r="CC219">
        <v>103788.19444444444</v>
      </c>
      <c r="CD219" s="238">
        <v>403200</v>
      </c>
      <c r="CE219" s="238">
        <v>5978200</v>
      </c>
      <c r="CF219" t="s">
        <v>4633</v>
      </c>
      <c r="CH219" s="238" t="s">
        <v>39</v>
      </c>
      <c r="CI219" s="238" t="s">
        <v>39</v>
      </c>
      <c r="CJ219" t="s">
        <v>8950</v>
      </c>
      <c r="CK219" t="s">
        <v>1167</v>
      </c>
      <c r="CL219" t="s">
        <v>8961</v>
      </c>
      <c r="CM219" t="s">
        <v>8971</v>
      </c>
      <c r="CN219" s="238" t="b">
        <v>1</v>
      </c>
      <c r="CO219" t="s">
        <v>5507</v>
      </c>
      <c r="CQ219" t="s">
        <v>6652</v>
      </c>
      <c r="CR219" t="s">
        <v>3246</v>
      </c>
      <c r="CS219" t="s">
        <v>6871</v>
      </c>
      <c r="CT219" t="b">
        <v>1</v>
      </c>
      <c r="CU219">
        <v>5575000</v>
      </c>
      <c r="CV219" t="s">
        <v>9002</v>
      </c>
      <c r="CW219">
        <v>0</v>
      </c>
      <c r="CX219">
        <v>5575000</v>
      </c>
      <c r="CY219">
        <v>0</v>
      </c>
      <c r="CZ219" t="b">
        <v>1</v>
      </c>
      <c r="DA219">
        <v>45467</v>
      </c>
      <c r="DB219" t="s">
        <v>126</v>
      </c>
      <c r="DC219">
        <v>-8.6805555555558012E-4</v>
      </c>
      <c r="DD219">
        <v>-84.017529899693741</v>
      </c>
      <c r="DE219" s="420" cm="1">
        <f t="array" ref="DE219">_xlfn.XLOOKUP("Дом 5"&amp;Реестр_Д5[[#This Row],[№]]&amp;Реестр_Д5[[#This Row],[Статус]],РД[Дом]&amp;РД[№ кв]&amp;РД[Состояние],РД[Дата подачи на регистрацию],"-",0)</f>
        <v>45467</v>
      </c>
    </row>
    <row r="220" spans="1:109" x14ac:dyDescent="0.25">
      <c r="A220" s="238">
        <v>219</v>
      </c>
      <c r="B220" s="238" t="s">
        <v>5</v>
      </c>
      <c r="C220" s="238">
        <v>16</v>
      </c>
      <c r="D220" s="238">
        <v>4</v>
      </c>
      <c r="E220" s="238">
        <v>2</v>
      </c>
      <c r="F220" s="238">
        <v>15.45</v>
      </c>
      <c r="G220" s="238">
        <v>14.5</v>
      </c>
      <c r="H220" s="238"/>
      <c r="I220">
        <v>29.95</v>
      </c>
      <c r="J220" s="238">
        <v>11.95</v>
      </c>
      <c r="K220" s="238">
        <v>3.86</v>
      </c>
      <c r="L220" s="238">
        <v>2.37</v>
      </c>
      <c r="M220" s="238"/>
      <c r="N220" s="238">
        <v>8.8699999999999992</v>
      </c>
      <c r="O220" s="238">
        <v>2.62</v>
      </c>
      <c r="P220" s="238"/>
      <c r="R220" s="238">
        <v>2.62</v>
      </c>
      <c r="S220">
        <v>59.62</v>
      </c>
      <c r="T220">
        <v>57</v>
      </c>
      <c r="U220" s="238">
        <v>58.31</v>
      </c>
      <c r="V220">
        <v>58.25</v>
      </c>
      <c r="W220" s="238">
        <v>81466.150500000003</v>
      </c>
      <c r="X220">
        <v>4073.3075250000002</v>
      </c>
      <c r="Y220">
        <v>85539.458025</v>
      </c>
      <c r="Z220">
        <v>2566.1837407499997</v>
      </c>
      <c r="AA220">
        <v>88105.641765749999</v>
      </c>
      <c r="AC220">
        <v>88105.641765749999</v>
      </c>
      <c r="AE220">
        <v>88105.641765749999</v>
      </c>
      <c r="AG220">
        <v>88105.641765749999</v>
      </c>
      <c r="AI220">
        <v>88105.641765749999</v>
      </c>
      <c r="AJ220">
        <v>881.05641765749999</v>
      </c>
      <c r="AK220">
        <v>88986.698183407498</v>
      </c>
      <c r="AL220">
        <v>4449.3349091703749</v>
      </c>
      <c r="AM220">
        <v>93436.033092577869</v>
      </c>
      <c r="AO220">
        <v>93436.033092577869</v>
      </c>
      <c r="AP220">
        <v>1868.7206618515577</v>
      </c>
      <c r="AQ220">
        <v>95304.753754429446</v>
      </c>
      <c r="AS220">
        <v>95304.753754429446</v>
      </c>
      <c r="AT220">
        <v>1906.0950750885888</v>
      </c>
      <c r="AU220">
        <v>97210.848829518014</v>
      </c>
      <c r="AW220">
        <v>97210.848829518014</v>
      </c>
      <c r="AY220">
        <v>97210.848829518014</v>
      </c>
      <c r="AZ220">
        <v>972.10848829518011</v>
      </c>
      <c r="BA220">
        <v>98182.957317813198</v>
      </c>
      <c r="BC220">
        <v>98182.957317813198</v>
      </c>
      <c r="BE220">
        <v>98182.957317813198</v>
      </c>
      <c r="BF220">
        <v>2454.5739329453299</v>
      </c>
      <c r="BG220">
        <v>100637.53125075852</v>
      </c>
      <c r="BH220">
        <v>500</v>
      </c>
      <c r="BI220">
        <v>101137.53125075852</v>
      </c>
      <c r="BJ220">
        <v>4045.5012500303415</v>
      </c>
      <c r="BK220">
        <v>105183.03250078888</v>
      </c>
      <c r="BL220">
        <v>6310.9819500473322</v>
      </c>
      <c r="BM220">
        <v>111494.0144508362</v>
      </c>
      <c r="BN220">
        <v>14494.221878608709</v>
      </c>
      <c r="BO220">
        <v>125988.23632944492</v>
      </c>
      <c r="BP220">
        <v>35</v>
      </c>
      <c r="BQ220">
        <v>126023.23632944492</v>
      </c>
      <c r="BS220">
        <v>126023.23632944492</v>
      </c>
      <c r="BT220" s="238">
        <v>126023.24</v>
      </c>
      <c r="BU220" s="238">
        <v>7340900</v>
      </c>
      <c r="BX220" s="238">
        <v>0</v>
      </c>
      <c r="BY220" s="238">
        <v>126024.03433476394</v>
      </c>
      <c r="BZ220" s="238">
        <v>7340900</v>
      </c>
      <c r="CA220" s="238" t="s">
        <v>36</v>
      </c>
      <c r="CC220">
        <v>126024.03433476394</v>
      </c>
      <c r="CD220" s="238">
        <v>0</v>
      </c>
      <c r="CE220" s="238">
        <v>7340900</v>
      </c>
      <c r="CH220" s="238" t="s">
        <v>3</v>
      </c>
      <c r="CI220" s="238" t="s">
        <v>3</v>
      </c>
      <c r="CJ220" t="s">
        <v>8951</v>
      </c>
      <c r="CK220" t="s">
        <v>1167</v>
      </c>
      <c r="CL220" t="s">
        <v>8961</v>
      </c>
      <c r="CM220" t="s">
        <v>8974</v>
      </c>
      <c r="CN220" s="238" t="b">
        <v>1</v>
      </c>
      <c r="CO220" t="s">
        <v>5508</v>
      </c>
      <c r="CQ220" t="s">
        <v>6652</v>
      </c>
      <c r="CR220" t="s">
        <v>3124</v>
      </c>
      <c r="CS220" t="s">
        <v>36</v>
      </c>
      <c r="CT220" t="b">
        <v>1</v>
      </c>
      <c r="CU220">
        <v>7340900</v>
      </c>
      <c r="CV220">
        <v>7340900</v>
      </c>
      <c r="CW220">
        <v>0</v>
      </c>
      <c r="CX220">
        <v>0</v>
      </c>
      <c r="CY220">
        <v>0</v>
      </c>
      <c r="CZ220" t="b">
        <v>1</v>
      </c>
      <c r="DA220" t="s">
        <v>4246</v>
      </c>
      <c r="DB220" t="s">
        <v>1167</v>
      </c>
      <c r="DC220">
        <v>-1.0289830217802276E-3</v>
      </c>
      <c r="DD220">
        <v>-129.67659166672055</v>
      </c>
      <c r="DE220" s="420" t="str" cm="1">
        <f t="array" ref="DE22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21" spans="1:109" x14ac:dyDescent="0.25">
      <c r="A221" s="238">
        <v>220</v>
      </c>
      <c r="B221" s="238" t="s">
        <v>5</v>
      </c>
      <c r="C221" s="238">
        <v>16</v>
      </c>
      <c r="D221" s="238">
        <v>5</v>
      </c>
      <c r="E221" s="238">
        <v>1</v>
      </c>
      <c r="F221" s="238">
        <v>12.06</v>
      </c>
      <c r="G221" s="238"/>
      <c r="H221" s="238"/>
      <c r="I221">
        <v>12.06</v>
      </c>
      <c r="J221" s="238">
        <v>13.18</v>
      </c>
      <c r="K221" s="238">
        <v>4.1100000000000003</v>
      </c>
      <c r="L221" s="238"/>
      <c r="M221" s="238"/>
      <c r="N221" s="238">
        <v>7.09</v>
      </c>
      <c r="O221" s="238">
        <v>2.84</v>
      </c>
      <c r="P221" s="238"/>
      <c r="R221" s="238">
        <v>2.84</v>
      </c>
      <c r="S221">
        <v>39.28</v>
      </c>
      <c r="T221">
        <v>36.44</v>
      </c>
      <c r="U221" s="238">
        <v>37.86</v>
      </c>
      <c r="V221">
        <v>37.650000000000006</v>
      </c>
      <c r="W221" s="238">
        <v>89223.75</v>
      </c>
      <c r="X221">
        <v>4461.1875</v>
      </c>
      <c r="Y221">
        <v>93684.9375</v>
      </c>
      <c r="Z221">
        <v>2810.5481249999998</v>
      </c>
      <c r="AA221">
        <v>96495.485625000001</v>
      </c>
      <c r="AB221">
        <v>4342.2968531249999</v>
      </c>
      <c r="AC221">
        <v>100837.78247812499</v>
      </c>
      <c r="AE221">
        <v>100837.78247812499</v>
      </c>
      <c r="AF221">
        <v>5041.8891239062505</v>
      </c>
      <c r="AG221">
        <v>105879.67160203125</v>
      </c>
      <c r="AI221">
        <v>105879.67160203125</v>
      </c>
      <c r="AJ221">
        <v>1058.7967160203125</v>
      </c>
      <c r="AK221">
        <v>106938.46831805156</v>
      </c>
      <c r="AL221">
        <v>5346.9234159025782</v>
      </c>
      <c r="AM221">
        <v>112285.39173395414</v>
      </c>
      <c r="AO221">
        <v>112285.39173395414</v>
      </c>
      <c r="AP221">
        <v>3368.5617520186238</v>
      </c>
      <c r="AQ221">
        <v>115653.95348597276</v>
      </c>
      <c r="AS221">
        <v>115653.95348597276</v>
      </c>
      <c r="AU221">
        <v>115653.95348597276</v>
      </c>
      <c r="AW221">
        <v>115653.95348597276</v>
      </c>
      <c r="AY221">
        <v>115653.95348597276</v>
      </c>
      <c r="AZ221">
        <v>1156.5395348597276</v>
      </c>
      <c r="BA221">
        <v>116810.49302083248</v>
      </c>
      <c r="BB221">
        <v>584.05246510416237</v>
      </c>
      <c r="BC221">
        <v>117394.54548593664</v>
      </c>
      <c r="BE221">
        <v>117394.54548593664</v>
      </c>
      <c r="BF221">
        <v>2934.8636371484163</v>
      </c>
      <c r="BG221">
        <v>120329.40912308506</v>
      </c>
      <c r="BI221">
        <v>120329.40912308506</v>
      </c>
      <c r="BK221">
        <v>120329.40912308506</v>
      </c>
      <c r="BL221">
        <v>6016.470456154253</v>
      </c>
      <c r="BM221">
        <v>126345.87957923932</v>
      </c>
      <c r="BN221">
        <v>16424.964345301112</v>
      </c>
      <c r="BO221">
        <v>142770.84392454044</v>
      </c>
      <c r="BP221">
        <v>35</v>
      </c>
      <c r="BQ221">
        <v>142805.84392454044</v>
      </c>
      <c r="BS221">
        <v>142805.84392454044</v>
      </c>
      <c r="BT221" s="238">
        <v>142805.84</v>
      </c>
      <c r="BU221" s="238">
        <v>5376700</v>
      </c>
      <c r="BX221" s="238">
        <v>0</v>
      </c>
      <c r="BY221" s="238">
        <v>142807.43691899069</v>
      </c>
      <c r="BZ221" s="238">
        <v>5376700</v>
      </c>
      <c r="CA221" s="238" t="s">
        <v>36</v>
      </c>
      <c r="CC221">
        <v>142807.43691899069</v>
      </c>
      <c r="CD221" s="238">
        <v>0</v>
      </c>
      <c r="CE221" s="238">
        <v>5376700</v>
      </c>
      <c r="CH221" s="238" t="s">
        <v>3</v>
      </c>
      <c r="CI221" s="238" t="s">
        <v>3</v>
      </c>
      <c r="CJ221" t="s">
        <v>8951</v>
      </c>
      <c r="CK221" t="s">
        <v>1167</v>
      </c>
      <c r="CL221" t="s">
        <v>8961</v>
      </c>
      <c r="CM221" t="s">
        <v>8973</v>
      </c>
      <c r="CN221" s="238" t="b">
        <v>1</v>
      </c>
      <c r="CO221" t="s">
        <v>5509</v>
      </c>
      <c r="CQ221" t="s">
        <v>6652</v>
      </c>
      <c r="CR221" t="s">
        <v>3124</v>
      </c>
      <c r="CS221" t="s">
        <v>36</v>
      </c>
      <c r="CT221" t="b">
        <v>1</v>
      </c>
      <c r="CU221">
        <v>5376700</v>
      </c>
      <c r="CV221">
        <v>5376700</v>
      </c>
      <c r="CW221">
        <v>0</v>
      </c>
      <c r="CX221">
        <v>0</v>
      </c>
      <c r="CY221">
        <v>0</v>
      </c>
      <c r="CZ221" t="b">
        <v>1</v>
      </c>
      <c r="DA221" t="s">
        <v>4246</v>
      </c>
      <c r="DB221" t="s">
        <v>1167</v>
      </c>
      <c r="DC221">
        <v>-5.5467511885893828E-3</v>
      </c>
      <c r="DD221">
        <v>-792.1173204698149</v>
      </c>
      <c r="DE221" s="420" t="str" cm="1">
        <f t="array" ref="DE22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22" spans="1:109" x14ac:dyDescent="0.25">
      <c r="A222" s="238">
        <v>221</v>
      </c>
      <c r="B222" s="238" t="s">
        <v>5</v>
      </c>
      <c r="C222" s="238">
        <v>16</v>
      </c>
      <c r="D222" s="238">
        <v>6</v>
      </c>
      <c r="E222" s="238">
        <v>3</v>
      </c>
      <c r="F222" s="238">
        <v>17.89</v>
      </c>
      <c r="G222" s="238">
        <v>17.2</v>
      </c>
      <c r="H222" s="238">
        <v>14.31</v>
      </c>
      <c r="I222">
        <v>49.400000000000006</v>
      </c>
      <c r="J222" s="238">
        <v>13.39</v>
      </c>
      <c r="K222" s="238">
        <v>4.2</v>
      </c>
      <c r="L222" s="238">
        <v>2.0499999999999998</v>
      </c>
      <c r="M222" s="238"/>
      <c r="N222" s="238">
        <v>13.21</v>
      </c>
      <c r="O222" s="238">
        <v>2.79</v>
      </c>
      <c r="P222" s="238">
        <v>2.68</v>
      </c>
      <c r="R222" s="238">
        <v>5.4700000000000006</v>
      </c>
      <c r="S222">
        <v>87.72</v>
      </c>
      <c r="T222">
        <v>82.25</v>
      </c>
      <c r="U222" s="238">
        <v>84.99</v>
      </c>
      <c r="V222">
        <v>84.55</v>
      </c>
      <c r="W222" s="238">
        <v>73520.37000000001</v>
      </c>
      <c r="X222">
        <v>3676.0185000000006</v>
      </c>
      <c r="Y222">
        <v>77196.388500000015</v>
      </c>
      <c r="Z222">
        <v>2315.8916550000004</v>
      </c>
      <c r="AA222">
        <v>79512.280155000015</v>
      </c>
      <c r="AC222">
        <v>79512.280155000015</v>
      </c>
      <c r="AE222">
        <v>79512.280155000015</v>
      </c>
      <c r="AG222">
        <v>79512.280155000015</v>
      </c>
      <c r="AI222">
        <v>79512.280155000015</v>
      </c>
      <c r="AJ222">
        <v>795.12280155000019</v>
      </c>
      <c r="AK222">
        <v>80307.40295655001</v>
      </c>
      <c r="AL222">
        <v>4015.3701478275007</v>
      </c>
      <c r="AM222">
        <v>84322.773104377513</v>
      </c>
      <c r="AO222">
        <v>84322.773104377513</v>
      </c>
      <c r="AP222">
        <v>1686.4554620875504</v>
      </c>
      <c r="AQ222">
        <v>86009.22856646507</v>
      </c>
      <c r="AS222">
        <v>86009.22856646507</v>
      </c>
      <c r="AT222">
        <v>1720.1845713293014</v>
      </c>
      <c r="AU222">
        <v>87729.41313779437</v>
      </c>
      <c r="AW222">
        <v>87729.41313779437</v>
      </c>
      <c r="AX222">
        <v>877.2941313779437</v>
      </c>
      <c r="AY222">
        <v>88606.707269172315</v>
      </c>
      <c r="BA222">
        <v>88606.707269172315</v>
      </c>
      <c r="BB222">
        <v>443.03353634586159</v>
      </c>
      <c r="BC222">
        <v>89049.740805518173</v>
      </c>
      <c r="BD222">
        <v>1780.9948161103634</v>
      </c>
      <c r="BE222">
        <v>90830.735621628541</v>
      </c>
      <c r="BF222">
        <v>1362.4610343244281</v>
      </c>
      <c r="BG222">
        <v>92193.196655952954</v>
      </c>
      <c r="BI222">
        <v>92193.196655952954</v>
      </c>
      <c r="BJ222">
        <v>3687.7278662381186</v>
      </c>
      <c r="BK222">
        <v>95880.924522191082</v>
      </c>
      <c r="BL222">
        <v>4794.0462261095545</v>
      </c>
      <c r="BM222">
        <v>100674.97074830064</v>
      </c>
      <c r="BN222">
        <v>13087.746197279082</v>
      </c>
      <c r="BO222">
        <v>113762.71694557973</v>
      </c>
      <c r="BP222">
        <v>35</v>
      </c>
      <c r="BQ222">
        <v>113797.71694557973</v>
      </c>
      <c r="BS222">
        <v>113797.71694557973</v>
      </c>
      <c r="BT222" s="238">
        <v>113797.72</v>
      </c>
      <c r="BU222" s="238">
        <v>9621600</v>
      </c>
      <c r="BX222" s="238">
        <v>0</v>
      </c>
      <c r="BY222" s="238">
        <v>113797.75280898876</v>
      </c>
      <c r="BZ222" s="238">
        <v>9621600</v>
      </c>
      <c r="CA222" s="238" t="s">
        <v>36</v>
      </c>
      <c r="CC222">
        <v>113797.75280898876</v>
      </c>
      <c r="CD222" s="238">
        <v>0</v>
      </c>
      <c r="CE222" s="238">
        <v>9621600</v>
      </c>
      <c r="CH222" s="238" t="s">
        <v>3</v>
      </c>
      <c r="CI222" s="238" t="s">
        <v>3</v>
      </c>
      <c r="CJ222" t="s">
        <v>8951</v>
      </c>
      <c r="CK222" t="s">
        <v>1167</v>
      </c>
      <c r="CL222" t="s">
        <v>8961</v>
      </c>
      <c r="CM222" t="s">
        <v>8975</v>
      </c>
      <c r="CN222" s="238" t="b">
        <v>1</v>
      </c>
      <c r="CO222" t="s">
        <v>5510</v>
      </c>
      <c r="CQ222" t="s">
        <v>6652</v>
      </c>
      <c r="CR222" t="s">
        <v>3124</v>
      </c>
      <c r="CS222" t="s">
        <v>6871</v>
      </c>
      <c r="CT222" t="b">
        <v>0</v>
      </c>
      <c r="CU222">
        <v>9621600</v>
      </c>
      <c r="CV222">
        <v>9621600</v>
      </c>
      <c r="CW222">
        <v>0</v>
      </c>
      <c r="CX222">
        <v>0</v>
      </c>
      <c r="CY222">
        <v>0</v>
      </c>
      <c r="CZ222" t="b">
        <v>1</v>
      </c>
      <c r="DA222" t="s">
        <v>4246</v>
      </c>
      <c r="DB222" t="s">
        <v>1167</v>
      </c>
      <c r="DC222">
        <v>-5.1770796564301058E-3</v>
      </c>
      <c r="DD222">
        <v>-589.14003101487765</v>
      </c>
      <c r="DE222" s="420" t="str" cm="1">
        <f t="array" ref="DE22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23" spans="1:109" hidden="1" x14ac:dyDescent="0.25">
      <c r="A223" s="238">
        <v>222</v>
      </c>
      <c r="B223" s="238" t="s">
        <v>5</v>
      </c>
      <c r="C223" s="238">
        <v>16</v>
      </c>
      <c r="D223" s="238">
        <v>7</v>
      </c>
      <c r="E223" s="238">
        <v>1</v>
      </c>
      <c r="F223" s="238">
        <v>17.89</v>
      </c>
      <c r="G223" s="238"/>
      <c r="H223" s="238"/>
      <c r="I223">
        <v>17.89</v>
      </c>
      <c r="J223" s="238">
        <v>13.04</v>
      </c>
      <c r="K223" s="238">
        <v>3.9</v>
      </c>
      <c r="L223" s="238"/>
      <c r="M223" s="238"/>
      <c r="N223" s="238">
        <v>6.12</v>
      </c>
      <c r="O223" s="238">
        <v>2.65</v>
      </c>
      <c r="P223" s="238"/>
      <c r="R223" s="238">
        <v>2.65</v>
      </c>
      <c r="S223">
        <v>43.6</v>
      </c>
      <c r="T223">
        <v>40.950000000000003</v>
      </c>
      <c r="U223" s="238">
        <v>42.28</v>
      </c>
      <c r="V223">
        <v>42.15</v>
      </c>
      <c r="W223" s="238">
        <v>85573.6875</v>
      </c>
      <c r="X223">
        <v>4278.6843749999998</v>
      </c>
      <c r="Y223">
        <v>89852.371874999997</v>
      </c>
      <c r="Z223">
        <v>2695.5711562499996</v>
      </c>
      <c r="AA223">
        <v>92547.943031250004</v>
      </c>
      <c r="AB223">
        <v>2776.4382909374995</v>
      </c>
      <c r="AC223">
        <v>95324.381322187488</v>
      </c>
      <c r="AE223">
        <v>95324.381322187488</v>
      </c>
      <c r="AF223">
        <v>4766.2190661093746</v>
      </c>
      <c r="AG223">
        <v>100090.60038829688</v>
      </c>
      <c r="AI223">
        <v>100090.60038829688</v>
      </c>
      <c r="AJ223">
        <v>1000.9060038829688</v>
      </c>
      <c r="AK223">
        <v>101091.50639217984</v>
      </c>
      <c r="AL223">
        <v>5054.5753196089918</v>
      </c>
      <c r="AM223">
        <v>106146.08171178882</v>
      </c>
      <c r="AO223">
        <v>106146.08171178882</v>
      </c>
      <c r="AP223">
        <v>3184.3824513536647</v>
      </c>
      <c r="AQ223">
        <v>109330.46416314247</v>
      </c>
      <c r="AS223">
        <v>109330.46416314247</v>
      </c>
      <c r="AU223">
        <v>109330.46416314247</v>
      </c>
      <c r="AW223">
        <v>109330.46416314247</v>
      </c>
      <c r="AX223">
        <v>1093.3046416314248</v>
      </c>
      <c r="AY223">
        <v>110423.76880477392</v>
      </c>
      <c r="BA223">
        <v>110423.76880477392</v>
      </c>
      <c r="BC223">
        <v>110423.76880477392</v>
      </c>
      <c r="BE223">
        <v>110423.76880477392</v>
      </c>
      <c r="BG223">
        <v>110423.76880477392</v>
      </c>
      <c r="BI223">
        <v>110423.76880477392</v>
      </c>
      <c r="BK223">
        <v>110423.76880477392</v>
      </c>
      <c r="BM223">
        <v>110423.76880477392</v>
      </c>
      <c r="BO223">
        <v>110423.76880477392</v>
      </c>
      <c r="BQ223">
        <v>110423.76880477392</v>
      </c>
      <c r="BS223">
        <v>110423.76880477392</v>
      </c>
      <c r="BT223" s="238">
        <v>110423.77</v>
      </c>
      <c r="BU223" s="238">
        <v>4668800</v>
      </c>
      <c r="BX223" s="238">
        <v>0</v>
      </c>
      <c r="BY223" s="238">
        <v>110425.73320719016</v>
      </c>
      <c r="BZ223" s="238">
        <v>4668800</v>
      </c>
      <c r="CA223" s="238" t="s">
        <v>38</v>
      </c>
      <c r="CB223">
        <v>20000</v>
      </c>
      <c r="CC223">
        <v>130425.73320719016</v>
      </c>
      <c r="CD223" s="238">
        <v>845600</v>
      </c>
      <c r="CE223" s="238">
        <v>5514400</v>
      </c>
      <c r="CH223" s="238" t="s">
        <v>39</v>
      </c>
      <c r="CI223" s="238" t="s">
        <v>39</v>
      </c>
      <c r="CJ223" t="s">
        <v>8950</v>
      </c>
      <c r="CK223" t="s">
        <v>1167</v>
      </c>
      <c r="CL223" t="s">
        <v>8961</v>
      </c>
      <c r="CM223" t="s">
        <v>8973</v>
      </c>
      <c r="CN223" s="238" t="b">
        <v>1</v>
      </c>
      <c r="CO223" t="s">
        <v>5511</v>
      </c>
      <c r="CQ223" t="s">
        <v>6652</v>
      </c>
      <c r="CR223" t="s">
        <v>3246</v>
      </c>
      <c r="CS223" t="s">
        <v>38</v>
      </c>
      <c r="CT223" t="b">
        <v>1</v>
      </c>
      <c r="CU223">
        <v>4668800</v>
      </c>
      <c r="CV223" t="s">
        <v>9002</v>
      </c>
      <c r="CW223">
        <v>0</v>
      </c>
      <c r="CX223">
        <v>4668800</v>
      </c>
      <c r="CY223">
        <v>0</v>
      </c>
      <c r="CZ223" t="b">
        <v>1</v>
      </c>
      <c r="DA223">
        <v>45465</v>
      </c>
      <c r="DB223" t="s">
        <v>4177</v>
      </c>
      <c r="DC223">
        <v>-3.0747398297067408E-3</v>
      </c>
      <c r="DD223">
        <v>-339.53040011671789</v>
      </c>
      <c r="DE223" s="420" cm="1">
        <f t="array" ref="DE223">_xlfn.XLOOKUP("Дом 5"&amp;Реестр_Д5[[#This Row],[№]]&amp;Реестр_Д5[[#This Row],[Статус]],РД[Дом]&amp;РД[№ кв]&amp;РД[Состояние],РД[Дата подачи на регистрацию],"-",0)</f>
        <v>45465</v>
      </c>
    </row>
    <row r="224" spans="1:109" x14ac:dyDescent="0.25">
      <c r="A224" s="238">
        <v>223</v>
      </c>
      <c r="B224" s="238" t="s">
        <v>16</v>
      </c>
      <c r="C224" s="238">
        <v>1</v>
      </c>
      <c r="D224" s="238">
        <v>1</v>
      </c>
      <c r="E224" s="238">
        <v>2</v>
      </c>
      <c r="F224" s="238">
        <v>17.63</v>
      </c>
      <c r="G224" s="238">
        <v>13.69</v>
      </c>
      <c r="H224" s="238"/>
      <c r="I224">
        <v>31.32</v>
      </c>
      <c r="J224" s="238">
        <v>20.05</v>
      </c>
      <c r="K224" s="238">
        <v>3.54</v>
      </c>
      <c r="L224" s="238">
        <v>2.93</v>
      </c>
      <c r="M224" s="238"/>
      <c r="N224" s="238">
        <v>12.19</v>
      </c>
      <c r="O224" s="238">
        <v>2.68</v>
      </c>
      <c r="P224" s="238"/>
      <c r="R224" s="238">
        <v>2.68</v>
      </c>
      <c r="S224">
        <v>72.709999999999994</v>
      </c>
      <c r="T224">
        <v>70.03</v>
      </c>
      <c r="U224" s="238">
        <v>71.37</v>
      </c>
      <c r="V224">
        <v>71.249999999999986</v>
      </c>
      <c r="W224" s="238">
        <v>77219.100000000006</v>
      </c>
      <c r="X224">
        <v>3860.9549999999999</v>
      </c>
      <c r="Y224">
        <v>81080.054999999993</v>
      </c>
      <c r="Z224">
        <v>2432.4016499999998</v>
      </c>
      <c r="AA224">
        <v>83512.456649999993</v>
      </c>
      <c r="AC224">
        <v>83512.456649999993</v>
      </c>
      <c r="AE224">
        <v>83512.456649999993</v>
      </c>
      <c r="AG224">
        <v>83512.456649999993</v>
      </c>
      <c r="AH224">
        <v>4059</v>
      </c>
      <c r="AI224">
        <v>87571.456649999993</v>
      </c>
      <c r="AJ224">
        <v>875.71456650000005</v>
      </c>
      <c r="AK224">
        <v>88447.171216500006</v>
      </c>
      <c r="AL224">
        <v>4422.3585608250005</v>
      </c>
      <c r="AM224">
        <v>92869.529777325006</v>
      </c>
      <c r="AN224">
        <v>7130.4702226749941</v>
      </c>
      <c r="AO224">
        <v>100000</v>
      </c>
      <c r="AP224">
        <v>2000</v>
      </c>
      <c r="AQ224">
        <v>102000</v>
      </c>
      <c r="AS224">
        <v>102000</v>
      </c>
      <c r="AT224">
        <v>2040</v>
      </c>
      <c r="AU224">
        <v>104040</v>
      </c>
      <c r="AW224">
        <v>104040</v>
      </c>
      <c r="AY224">
        <v>104040</v>
      </c>
      <c r="BA224">
        <v>104040</v>
      </c>
      <c r="BC224">
        <v>104040</v>
      </c>
      <c r="BE224">
        <v>104040</v>
      </c>
      <c r="BF224">
        <v>1560.6</v>
      </c>
      <c r="BG224">
        <v>105600.6</v>
      </c>
      <c r="BI224">
        <v>105600.6</v>
      </c>
      <c r="BK224">
        <v>105600.6</v>
      </c>
      <c r="BL224">
        <v>7392.0420000000013</v>
      </c>
      <c r="BM224">
        <v>112992.64200000001</v>
      </c>
      <c r="BN224">
        <v>14689.043460000001</v>
      </c>
      <c r="BO224">
        <v>127681.68545999999</v>
      </c>
      <c r="BP224">
        <v>35</v>
      </c>
      <c r="BQ224">
        <v>127716.68545999999</v>
      </c>
      <c r="BS224">
        <v>127716.68545999999</v>
      </c>
      <c r="BT224" s="238">
        <v>127716.69</v>
      </c>
      <c r="BU224" s="238">
        <v>9099900</v>
      </c>
      <c r="BX224" s="238">
        <v>0</v>
      </c>
      <c r="BY224" s="238">
        <v>127717.89473684214</v>
      </c>
      <c r="BZ224" s="238">
        <v>9099900</v>
      </c>
      <c r="CA224" s="238" t="s">
        <v>36</v>
      </c>
      <c r="CC224">
        <v>127717.89473684214</v>
      </c>
      <c r="CD224" s="238">
        <v>0</v>
      </c>
      <c r="CE224" s="238">
        <v>9099900</v>
      </c>
      <c r="CF224" t="s">
        <v>4635</v>
      </c>
      <c r="CH224" s="238" t="s">
        <v>3</v>
      </c>
      <c r="CI224" s="238" t="s">
        <v>3</v>
      </c>
      <c r="CJ224" t="s">
        <v>8951</v>
      </c>
      <c r="CK224" t="s">
        <v>1167</v>
      </c>
      <c r="CL224" t="s">
        <v>8961</v>
      </c>
      <c r="CM224" t="s">
        <v>8971</v>
      </c>
      <c r="CN224" s="238" t="b">
        <v>1</v>
      </c>
      <c r="CO224" t="s">
        <v>5512</v>
      </c>
      <c r="CQ224" t="s">
        <v>6652</v>
      </c>
      <c r="CR224" t="s">
        <v>3124</v>
      </c>
      <c r="CS224" t="s">
        <v>36</v>
      </c>
      <c r="CT224" t="b">
        <v>1</v>
      </c>
      <c r="CU224">
        <v>9099900</v>
      </c>
      <c r="CV224">
        <v>9099900</v>
      </c>
      <c r="CW224">
        <v>0</v>
      </c>
      <c r="CX224">
        <v>0</v>
      </c>
      <c r="CY224">
        <v>0</v>
      </c>
      <c r="CZ224" t="b">
        <v>1</v>
      </c>
      <c r="DA224" t="s">
        <v>4246</v>
      </c>
      <c r="DB224" t="s">
        <v>1167</v>
      </c>
      <c r="DC224">
        <v>-1.6813787305592909E-3</v>
      </c>
      <c r="DD224">
        <v>-214.74215172233676</v>
      </c>
      <c r="DE224" s="420" t="str" cm="1">
        <f t="array" ref="DE22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25" spans="1:109" hidden="1" x14ac:dyDescent="0.25">
      <c r="A225" s="238">
        <v>224</v>
      </c>
      <c r="B225" s="238" t="s">
        <v>16</v>
      </c>
      <c r="C225" s="238">
        <v>1</v>
      </c>
      <c r="D225" s="238">
        <v>2</v>
      </c>
      <c r="E225" s="238">
        <v>0</v>
      </c>
      <c r="F225" s="238">
        <v>7.18</v>
      </c>
      <c r="G225" s="238"/>
      <c r="H225" s="238"/>
      <c r="I225">
        <v>7.18</v>
      </c>
      <c r="J225" s="238">
        <v>5.17</v>
      </c>
      <c r="K225" s="238">
        <v>3.72</v>
      </c>
      <c r="L225" s="238"/>
      <c r="M225" s="238"/>
      <c r="N225" s="238">
        <v>6.97</v>
      </c>
      <c r="O225" s="238">
        <v>2.97</v>
      </c>
      <c r="P225" s="238"/>
      <c r="R225" s="238">
        <v>2.97</v>
      </c>
      <c r="S225">
        <v>26.01</v>
      </c>
      <c r="T225">
        <v>23.04</v>
      </c>
      <c r="U225" s="238">
        <v>24.53</v>
      </c>
      <c r="V225">
        <v>24.75</v>
      </c>
      <c r="W225" s="238">
        <v>99865.71</v>
      </c>
      <c r="X225">
        <v>4993.2855000000009</v>
      </c>
      <c r="Y225">
        <v>104858.9955</v>
      </c>
      <c r="AA225">
        <v>104858.9955</v>
      </c>
      <c r="AC225">
        <v>104858.9955</v>
      </c>
      <c r="AE225">
        <v>104858.9955</v>
      </c>
      <c r="AG225">
        <v>104858.9955</v>
      </c>
      <c r="AI225">
        <v>104858.9955</v>
      </c>
      <c r="AK225">
        <v>104858.9955</v>
      </c>
      <c r="AM225">
        <v>104858.9955</v>
      </c>
      <c r="AO225">
        <v>104858.9955</v>
      </c>
      <c r="AQ225">
        <v>104858.9955</v>
      </c>
      <c r="AS225">
        <v>104858.9955</v>
      </c>
      <c r="AU225">
        <v>104858.9955</v>
      </c>
      <c r="AW225">
        <v>104858.9955</v>
      </c>
      <c r="AY225">
        <v>104858.9955</v>
      </c>
      <c r="BA225">
        <v>104858.9955</v>
      </c>
      <c r="BC225">
        <v>104858.9955</v>
      </c>
      <c r="BE225">
        <v>104858.9955</v>
      </c>
      <c r="BG225">
        <v>104858.9955</v>
      </c>
      <c r="BI225">
        <v>104858.9955</v>
      </c>
      <c r="BK225">
        <v>104858.9955</v>
      </c>
      <c r="BM225">
        <v>104858.9955</v>
      </c>
      <c r="BO225">
        <v>104858.9955</v>
      </c>
      <c r="BQ225">
        <v>104858.9955</v>
      </c>
      <c r="BS225">
        <v>104858.9955</v>
      </c>
      <c r="BT225" s="238">
        <v>104859</v>
      </c>
      <c r="BU225" s="238">
        <v>2572191.27</v>
      </c>
      <c r="BX225" s="238">
        <v>0</v>
      </c>
      <c r="BY225" s="238">
        <v>104859</v>
      </c>
      <c r="BZ225" s="238">
        <v>2572191.27</v>
      </c>
      <c r="CA225" s="238" t="s">
        <v>36</v>
      </c>
      <c r="CC225">
        <v>104859</v>
      </c>
      <c r="CD225" s="238">
        <v>0</v>
      </c>
      <c r="CE225" s="238">
        <v>2572191.27</v>
      </c>
      <c r="CH225" s="238" t="s">
        <v>39</v>
      </c>
      <c r="CI225" s="238" t="s">
        <v>39</v>
      </c>
      <c r="CJ225" t="s">
        <v>8950</v>
      </c>
      <c r="CK225" t="s">
        <v>1167</v>
      </c>
      <c r="CL225" t="s">
        <v>8961</v>
      </c>
      <c r="CM225" t="s">
        <v>8970</v>
      </c>
      <c r="CN225" s="238" t="b">
        <v>1</v>
      </c>
      <c r="CO225" t="s">
        <v>5513</v>
      </c>
      <c r="CQ225" t="s">
        <v>4895</v>
      </c>
      <c r="CR225" t="s">
        <v>3246</v>
      </c>
      <c r="CS225" t="s">
        <v>36</v>
      </c>
      <c r="CT225" t="b">
        <v>1</v>
      </c>
      <c r="CU225">
        <v>2572191.27</v>
      </c>
      <c r="CV225" t="s">
        <v>9002</v>
      </c>
      <c r="CW225">
        <v>2572191</v>
      </c>
      <c r="CX225">
        <v>2572191</v>
      </c>
      <c r="CY225">
        <v>0</v>
      </c>
      <c r="CZ225" t="b">
        <v>1</v>
      </c>
      <c r="DA225">
        <v>45188</v>
      </c>
      <c r="DB225" t="s">
        <v>4177</v>
      </c>
      <c r="DC225">
        <v>8.9686098654708779E-3</v>
      </c>
      <c r="DD225">
        <v>940.43946188341067</v>
      </c>
      <c r="DE225" s="420" cm="1">
        <f t="array" ref="DE225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226" spans="1:109" x14ac:dyDescent="0.25">
      <c r="A226" s="238">
        <v>225</v>
      </c>
      <c r="B226" s="238" t="s">
        <v>16</v>
      </c>
      <c r="C226" s="238">
        <v>1</v>
      </c>
      <c r="D226" s="238">
        <v>3</v>
      </c>
      <c r="E226" s="238">
        <v>2</v>
      </c>
      <c r="F226" s="238">
        <v>13.69</v>
      </c>
      <c r="G226" s="238">
        <v>10.16</v>
      </c>
      <c r="H226" s="238"/>
      <c r="I226">
        <v>23.85</v>
      </c>
      <c r="J226" s="238">
        <v>18.71</v>
      </c>
      <c r="K226" s="238">
        <v>3.49</v>
      </c>
      <c r="L226" s="238">
        <v>2.11</v>
      </c>
      <c r="M226" s="238"/>
      <c r="N226" s="238">
        <v>7.09</v>
      </c>
      <c r="O226" s="238">
        <v>2.65</v>
      </c>
      <c r="P226" s="238"/>
      <c r="R226" s="238">
        <v>2.65</v>
      </c>
      <c r="S226">
        <v>57.9</v>
      </c>
      <c r="T226">
        <v>55.25</v>
      </c>
      <c r="U226" s="238">
        <v>56.58</v>
      </c>
      <c r="V226">
        <v>56.6</v>
      </c>
      <c r="W226" s="238">
        <v>80307.864000000001</v>
      </c>
      <c r="X226">
        <v>4015.3932</v>
      </c>
      <c r="Y226">
        <v>84323.257199999993</v>
      </c>
      <c r="Z226">
        <v>2529.6977160000001</v>
      </c>
      <c r="AA226">
        <v>86852.954916000002</v>
      </c>
      <c r="AC226">
        <v>86852.954916000002</v>
      </c>
      <c r="AE226">
        <v>86852.954916000002</v>
      </c>
      <c r="AG226">
        <v>86852.954916000002</v>
      </c>
      <c r="AI226">
        <v>86852.954916000002</v>
      </c>
      <c r="AJ226">
        <v>868.52954915999999</v>
      </c>
      <c r="AK226">
        <v>87721.48446516</v>
      </c>
      <c r="AL226">
        <v>4386.0742232580005</v>
      </c>
      <c r="AM226">
        <v>92107.558688417994</v>
      </c>
      <c r="AN226">
        <v>7892.4413115820062</v>
      </c>
      <c r="AO226">
        <v>100000</v>
      </c>
      <c r="AP226">
        <v>2000</v>
      </c>
      <c r="AQ226">
        <v>102000</v>
      </c>
      <c r="AS226">
        <v>102000</v>
      </c>
      <c r="AT226">
        <v>2040</v>
      </c>
      <c r="AU226">
        <v>104040</v>
      </c>
      <c r="AV226">
        <v>150</v>
      </c>
      <c r="AW226">
        <v>104190</v>
      </c>
      <c r="AX226">
        <v>1041.9000000000001</v>
      </c>
      <c r="AY226">
        <v>105231.9</v>
      </c>
      <c r="BA226">
        <v>105231.9</v>
      </c>
      <c r="BC226">
        <v>105231.9</v>
      </c>
      <c r="BE226">
        <v>105231.9</v>
      </c>
      <c r="BF226">
        <v>2630.7975000000001</v>
      </c>
      <c r="BG226">
        <v>107862.69749999999</v>
      </c>
      <c r="BH226">
        <v>500</v>
      </c>
      <c r="BI226">
        <v>108362.69749999999</v>
      </c>
      <c r="BJ226">
        <v>4334.5078999999996</v>
      </c>
      <c r="BK226">
        <v>112697.20540000001</v>
      </c>
      <c r="BL226">
        <v>6761.8323239999991</v>
      </c>
      <c r="BM226">
        <v>119459.03772399999</v>
      </c>
      <c r="BN226">
        <v>15529.67490412</v>
      </c>
      <c r="BO226">
        <v>134988.71262812</v>
      </c>
      <c r="BP226">
        <v>35</v>
      </c>
      <c r="BQ226">
        <v>135023.71262812</v>
      </c>
      <c r="BR226">
        <v>1350.2371262812001</v>
      </c>
      <c r="BS226">
        <v>136373.9497544012</v>
      </c>
      <c r="BT226" s="238">
        <v>136373.95000000001</v>
      </c>
      <c r="BU226" s="238">
        <v>7718800</v>
      </c>
      <c r="BX226" s="238">
        <v>0</v>
      </c>
      <c r="BY226" s="238">
        <v>136374.55830388691</v>
      </c>
      <c r="BZ226" s="238">
        <v>7718800</v>
      </c>
      <c r="CA226" s="238" t="s">
        <v>36</v>
      </c>
      <c r="CC226">
        <v>136374.55830388691</v>
      </c>
      <c r="CD226" s="238">
        <v>0</v>
      </c>
      <c r="CE226" s="238">
        <v>7718799.9999999981</v>
      </c>
      <c r="CF226" t="s">
        <v>4633</v>
      </c>
      <c r="CH226" s="238" t="s">
        <v>3</v>
      </c>
      <c r="CI226" s="238" t="s">
        <v>3</v>
      </c>
      <c r="CJ226" t="s">
        <v>8951</v>
      </c>
      <c r="CK226" t="s">
        <v>1167</v>
      </c>
      <c r="CL226" t="s">
        <v>8961</v>
      </c>
      <c r="CM226" t="s">
        <v>8971</v>
      </c>
      <c r="CN226" s="238" t="b">
        <v>1</v>
      </c>
      <c r="CO226" t="s">
        <v>5514</v>
      </c>
      <c r="CQ226" t="s">
        <v>6652</v>
      </c>
      <c r="CR226" t="s">
        <v>3124</v>
      </c>
      <c r="CS226" t="s">
        <v>36</v>
      </c>
      <c r="CT226" t="b">
        <v>1</v>
      </c>
      <c r="CU226">
        <v>7718800</v>
      </c>
      <c r="CV226">
        <v>7718800</v>
      </c>
      <c r="CW226">
        <v>0</v>
      </c>
      <c r="CX226">
        <v>0</v>
      </c>
      <c r="CY226">
        <v>0</v>
      </c>
      <c r="CZ226" t="b">
        <v>1</v>
      </c>
      <c r="DA226" t="s">
        <v>4246</v>
      </c>
      <c r="DB226" t="s">
        <v>1167</v>
      </c>
      <c r="DC226">
        <v>3.5348179568761573E-4</v>
      </c>
      <c r="DD226">
        <v>48.205923755363393</v>
      </c>
      <c r="DE226" s="420" t="str" cm="1">
        <f t="array" ref="DE22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27" spans="1:109" hidden="1" x14ac:dyDescent="0.25">
      <c r="A227" s="238">
        <v>226</v>
      </c>
      <c r="B227" s="238" t="s">
        <v>16</v>
      </c>
      <c r="C227" s="238">
        <v>1</v>
      </c>
      <c r="D227" s="238">
        <v>4</v>
      </c>
      <c r="E227" s="238">
        <v>2</v>
      </c>
      <c r="F227" s="238">
        <v>12.54</v>
      </c>
      <c r="G227" s="238">
        <v>9.9</v>
      </c>
      <c r="H227" s="238"/>
      <c r="I227">
        <v>22.44</v>
      </c>
      <c r="J227" s="238">
        <v>12.74</v>
      </c>
      <c r="K227" s="238">
        <v>4.05</v>
      </c>
      <c r="L227" s="238"/>
      <c r="M227" s="238"/>
      <c r="N227" s="238">
        <v>7.09</v>
      </c>
      <c r="O227" s="238">
        <v>2.84</v>
      </c>
      <c r="P227" s="238"/>
      <c r="R227" s="238">
        <v>2.84</v>
      </c>
      <c r="S227">
        <v>49.16</v>
      </c>
      <c r="T227">
        <v>46.32</v>
      </c>
      <c r="U227" s="238">
        <v>47.74</v>
      </c>
      <c r="V227">
        <v>47.8</v>
      </c>
      <c r="W227" s="238">
        <v>86485.392000000007</v>
      </c>
      <c r="X227">
        <v>4324.2696000000005</v>
      </c>
      <c r="Y227">
        <v>90809.661600000007</v>
      </c>
      <c r="Z227">
        <v>2724.2898479999999</v>
      </c>
      <c r="AA227">
        <v>93533.951448000007</v>
      </c>
      <c r="AC227">
        <v>93533.951448000007</v>
      </c>
      <c r="AE227">
        <v>93533.951448000007</v>
      </c>
      <c r="AG227">
        <v>93533.951448000007</v>
      </c>
      <c r="AI227">
        <v>93533.951448000007</v>
      </c>
      <c r="AJ227">
        <v>935.33951448000005</v>
      </c>
      <c r="AK227">
        <v>94469.290962480023</v>
      </c>
      <c r="AL227">
        <v>4723.4645481240004</v>
      </c>
      <c r="AM227">
        <v>99192.755510604009</v>
      </c>
      <c r="AN227">
        <v>10807.244489395993</v>
      </c>
      <c r="AO227">
        <v>110000</v>
      </c>
      <c r="AP227">
        <v>2200</v>
      </c>
      <c r="AQ227">
        <v>112200</v>
      </c>
      <c r="AS227">
        <v>112200</v>
      </c>
      <c r="AT227">
        <v>2244</v>
      </c>
      <c r="AU227">
        <v>114444</v>
      </c>
      <c r="AW227">
        <v>114444</v>
      </c>
      <c r="AY227">
        <v>114444</v>
      </c>
      <c r="BA227">
        <v>114444</v>
      </c>
      <c r="BC227">
        <v>114444</v>
      </c>
      <c r="BE227">
        <v>114444</v>
      </c>
      <c r="BG227">
        <v>114444</v>
      </c>
      <c r="BI227">
        <v>114444</v>
      </c>
      <c r="BK227">
        <v>114444</v>
      </c>
      <c r="BM227">
        <v>114444</v>
      </c>
      <c r="BO227">
        <v>114444</v>
      </c>
      <c r="BQ227">
        <v>114444</v>
      </c>
      <c r="BS227">
        <v>114444</v>
      </c>
      <c r="BT227" s="238">
        <v>114444</v>
      </c>
      <c r="BU227" s="238">
        <v>5463600</v>
      </c>
      <c r="BW227">
        <v>0.03</v>
      </c>
      <c r="BX227" s="238">
        <v>163908</v>
      </c>
      <c r="BY227" s="238">
        <v>111011.56263091748</v>
      </c>
      <c r="BZ227" s="238">
        <v>5299692</v>
      </c>
      <c r="CA227" s="238" t="s">
        <v>36</v>
      </c>
      <c r="CC227">
        <v>111011.56263091748</v>
      </c>
      <c r="CD227" s="238">
        <v>0</v>
      </c>
      <c r="CE227" s="238">
        <v>5299692</v>
      </c>
      <c r="CG227" t="s">
        <v>978</v>
      </c>
      <c r="CH227" s="238" t="s">
        <v>39</v>
      </c>
      <c r="CI227" s="238" t="s">
        <v>39</v>
      </c>
      <c r="CJ227" t="s">
        <v>8950</v>
      </c>
      <c r="CK227" t="s">
        <v>1167</v>
      </c>
      <c r="CL227" t="s">
        <v>8961</v>
      </c>
      <c r="CM227" t="s">
        <v>8974</v>
      </c>
      <c r="CN227" s="238" t="b">
        <v>1</v>
      </c>
      <c r="CO227" t="s">
        <v>5515</v>
      </c>
      <c r="CQ227" t="s">
        <v>6652</v>
      </c>
      <c r="CR227" t="s">
        <v>3246</v>
      </c>
      <c r="CS227" t="s">
        <v>36</v>
      </c>
      <c r="CT227" t="b">
        <v>1</v>
      </c>
      <c r="CU227">
        <v>5463600</v>
      </c>
      <c r="CV227" t="s">
        <v>9002</v>
      </c>
      <c r="CW227">
        <v>0</v>
      </c>
      <c r="CX227">
        <v>5463600</v>
      </c>
      <c r="CY227">
        <v>0</v>
      </c>
      <c r="CZ227" t="b">
        <v>1</v>
      </c>
      <c r="DA227">
        <v>45404</v>
      </c>
      <c r="DB227" t="s">
        <v>7181</v>
      </c>
      <c r="DC227">
        <v>1.2568077084207374E-3</v>
      </c>
      <c r="DD227">
        <v>139.52018763836855</v>
      </c>
      <c r="DE227" s="420" cm="1">
        <f t="array" ref="DE227">_xlfn.XLOOKUP("Дом 5"&amp;Реестр_Д5[[#This Row],[№]]&amp;Реестр_Д5[[#This Row],[Статус]],РД[Дом]&amp;РД[№ кв]&amp;РД[Состояние],РД[Дата подачи на регистрацию],"-",0)</f>
        <v>45404</v>
      </c>
    </row>
    <row r="228" spans="1:109" hidden="1" x14ac:dyDescent="0.25">
      <c r="A228" s="238">
        <v>227</v>
      </c>
      <c r="B228" s="238" t="s">
        <v>16</v>
      </c>
      <c r="C228" s="238">
        <v>1</v>
      </c>
      <c r="D228" s="238">
        <v>5</v>
      </c>
      <c r="E228" s="238">
        <v>3</v>
      </c>
      <c r="F228" s="238">
        <v>17.2</v>
      </c>
      <c r="G228" s="238">
        <v>14.64</v>
      </c>
      <c r="H228" s="238">
        <v>14.34</v>
      </c>
      <c r="I228">
        <v>46.18</v>
      </c>
      <c r="J228" s="238">
        <v>13.15</v>
      </c>
      <c r="K228" s="238">
        <v>4.03</v>
      </c>
      <c r="L228" s="238">
        <v>1.76</v>
      </c>
      <c r="M228" s="238"/>
      <c r="N228" s="238">
        <v>13.11</v>
      </c>
      <c r="O228" s="238">
        <v>2.79</v>
      </c>
      <c r="P228" s="238">
        <v>2.68</v>
      </c>
      <c r="R228" s="238">
        <v>5.4700000000000006</v>
      </c>
      <c r="S228">
        <v>83.7</v>
      </c>
      <c r="T228">
        <v>78.23</v>
      </c>
      <c r="U228" s="238">
        <v>80.97</v>
      </c>
      <c r="V228">
        <v>80.399999999999977</v>
      </c>
      <c r="W228" s="238">
        <v>74234.160000000018</v>
      </c>
      <c r="X228">
        <v>3711.708000000001</v>
      </c>
      <c r="Y228">
        <v>77945.868000000017</v>
      </c>
      <c r="Z228">
        <v>2338.376040000001</v>
      </c>
      <c r="AA228">
        <v>80284.24404000002</v>
      </c>
      <c r="AC228">
        <v>80284.24404000002</v>
      </c>
      <c r="AE228">
        <v>80284.24404000002</v>
      </c>
      <c r="AG228">
        <v>80284.24404000002</v>
      </c>
      <c r="AI228">
        <v>80284.24404000002</v>
      </c>
      <c r="AJ228">
        <v>802.84244040000021</v>
      </c>
      <c r="AK228">
        <v>81087.086480400016</v>
      </c>
      <c r="AL228">
        <v>4054.3543240200006</v>
      </c>
      <c r="AM228">
        <v>85141.44080442001</v>
      </c>
      <c r="AN228">
        <v>4858.55919557999</v>
      </c>
      <c r="AO228">
        <v>90000</v>
      </c>
      <c r="AP228">
        <v>1800</v>
      </c>
      <c r="AQ228">
        <v>91800</v>
      </c>
      <c r="AS228">
        <v>91800</v>
      </c>
      <c r="AT228">
        <v>1836</v>
      </c>
      <c r="AU228">
        <v>93636</v>
      </c>
      <c r="AW228">
        <v>93636</v>
      </c>
      <c r="AY228">
        <v>93636</v>
      </c>
      <c r="BA228">
        <v>93636</v>
      </c>
      <c r="BC228">
        <v>93636</v>
      </c>
      <c r="BE228">
        <v>93636</v>
      </c>
      <c r="BG228">
        <v>93636</v>
      </c>
      <c r="BI228">
        <v>93636</v>
      </c>
      <c r="BK228">
        <v>93636</v>
      </c>
      <c r="BM228">
        <v>93636</v>
      </c>
      <c r="BO228">
        <v>93636</v>
      </c>
      <c r="BQ228">
        <v>93636</v>
      </c>
      <c r="BS228">
        <v>93636</v>
      </c>
      <c r="BT228" s="238">
        <v>93636</v>
      </c>
      <c r="BU228" s="238">
        <v>7581800</v>
      </c>
      <c r="BV228">
        <v>90000</v>
      </c>
      <c r="BX228" s="238">
        <v>90000</v>
      </c>
      <c r="BY228" s="238">
        <v>92525.626775348894</v>
      </c>
      <c r="BZ228" s="238">
        <v>7491800</v>
      </c>
      <c r="CA228" s="238" t="s">
        <v>36</v>
      </c>
      <c r="CC228">
        <v>92525.626775348894</v>
      </c>
      <c r="CD228" s="238">
        <v>0</v>
      </c>
      <c r="CE228" s="238">
        <v>7491800</v>
      </c>
      <c r="CG228" t="s">
        <v>7135</v>
      </c>
      <c r="CH228" s="238" t="s">
        <v>39</v>
      </c>
      <c r="CI228" s="238" t="s">
        <v>39</v>
      </c>
      <c r="CJ228" t="s">
        <v>8950</v>
      </c>
      <c r="CK228" t="s">
        <v>1167</v>
      </c>
      <c r="CL228" t="s">
        <v>8961</v>
      </c>
      <c r="CM228" t="s">
        <v>8975</v>
      </c>
      <c r="CN228" s="238" t="b">
        <v>1</v>
      </c>
      <c r="CO228" t="s">
        <v>5516</v>
      </c>
      <c r="CQ228" t="s">
        <v>6652</v>
      </c>
      <c r="CR228" t="s">
        <v>3246</v>
      </c>
      <c r="CS228" t="s">
        <v>36</v>
      </c>
      <c r="CT228" t="b">
        <v>1</v>
      </c>
      <c r="CU228">
        <v>7581800</v>
      </c>
      <c r="CV228" t="s">
        <v>9002</v>
      </c>
      <c r="CW228">
        <v>0</v>
      </c>
      <c r="CX228">
        <v>7581800</v>
      </c>
      <c r="CY228">
        <v>0</v>
      </c>
      <c r="CZ228" t="b">
        <v>1</v>
      </c>
      <c r="DA228">
        <v>45402</v>
      </c>
      <c r="DB228" t="s">
        <v>126</v>
      </c>
      <c r="DC228">
        <v>-7.0396443127085373E-3</v>
      </c>
      <c r="DD228">
        <v>-651.34750230887755</v>
      </c>
      <c r="DE228" s="420" cm="1">
        <f t="array" ref="DE228">_xlfn.XLOOKUP("Дом 5"&amp;Реестр_Д5[[#This Row],[№]]&amp;Реестр_Д5[[#This Row],[Статус]],РД[Дом]&amp;РД[№ кв]&amp;РД[Состояние],РД[Дата подачи на регистрацию],"-",0)</f>
        <v>45402</v>
      </c>
    </row>
    <row r="229" spans="1:109" hidden="1" x14ac:dyDescent="0.25">
      <c r="A229" s="238">
        <v>228</v>
      </c>
      <c r="B229" s="238" t="s">
        <v>16</v>
      </c>
      <c r="C229" s="238">
        <v>1</v>
      </c>
      <c r="D229" s="238">
        <v>6</v>
      </c>
      <c r="E229" s="238">
        <v>1</v>
      </c>
      <c r="F229" s="238">
        <v>14.3</v>
      </c>
      <c r="G229" s="238"/>
      <c r="H229" s="238"/>
      <c r="I229">
        <v>14.3</v>
      </c>
      <c r="J229" s="238">
        <v>8.43</v>
      </c>
      <c r="K229" s="238">
        <v>3.79</v>
      </c>
      <c r="L229" s="238"/>
      <c r="M229" s="238"/>
      <c r="N229" s="238">
        <v>6.92</v>
      </c>
      <c r="O229" s="238">
        <v>2.64</v>
      </c>
      <c r="P229" s="238"/>
      <c r="R229" s="238">
        <v>2.64</v>
      </c>
      <c r="S229">
        <v>36.08</v>
      </c>
      <c r="T229">
        <v>33.44</v>
      </c>
      <c r="U229" s="238">
        <v>34.76</v>
      </c>
      <c r="V229">
        <v>34.9</v>
      </c>
      <c r="W229" s="238">
        <v>88007.0625</v>
      </c>
      <c r="Y229">
        <v>88007.0625</v>
      </c>
      <c r="AA229">
        <v>88007.0625</v>
      </c>
      <c r="AC229">
        <v>88007.0625</v>
      </c>
      <c r="AE229">
        <v>88007.0625</v>
      </c>
      <c r="AG229">
        <v>88007.0625</v>
      </c>
      <c r="AI229">
        <v>88007.0625</v>
      </c>
      <c r="AK229">
        <v>88007.0625</v>
      </c>
      <c r="AM229">
        <v>88007.0625</v>
      </c>
      <c r="AO229">
        <v>88007.0625</v>
      </c>
      <c r="AQ229">
        <v>88007.0625</v>
      </c>
      <c r="AS229">
        <v>88007.0625</v>
      </c>
      <c r="AU229">
        <v>88007.0625</v>
      </c>
      <c r="AW229">
        <v>88007.0625</v>
      </c>
      <c r="AY229">
        <v>88007.0625</v>
      </c>
      <c r="BA229">
        <v>88007.0625</v>
      </c>
      <c r="BC229">
        <v>88007.0625</v>
      </c>
      <c r="BE229">
        <v>88007.0625</v>
      </c>
      <c r="BG229">
        <v>88007.0625</v>
      </c>
      <c r="BI229">
        <v>88007.0625</v>
      </c>
      <c r="BK229">
        <v>88007.0625</v>
      </c>
      <c r="BM229">
        <v>88007.0625</v>
      </c>
      <c r="BO229">
        <v>88007.0625</v>
      </c>
      <c r="BQ229">
        <v>88007.0625</v>
      </c>
      <c r="BS229">
        <v>88007.0625</v>
      </c>
      <c r="BT229" s="238">
        <v>88007.06</v>
      </c>
      <c r="BU229" s="238">
        <v>3059125.41</v>
      </c>
      <c r="BW229">
        <v>0.02</v>
      </c>
      <c r="BX229" s="238">
        <v>61182.508199999997</v>
      </c>
      <c r="BY229" s="238">
        <v>86246.918872266979</v>
      </c>
      <c r="BZ229" s="238">
        <v>2997942.9</v>
      </c>
      <c r="CA229" s="238" t="s">
        <v>38</v>
      </c>
      <c r="CB229">
        <v>15500</v>
      </c>
      <c r="CC229">
        <v>101746.91887226698</v>
      </c>
      <c r="CD229" s="238">
        <v>538780</v>
      </c>
      <c r="CE229" s="238">
        <v>3536722.9</v>
      </c>
      <c r="CF229" t="s">
        <v>4633</v>
      </c>
      <c r="CG229" t="s">
        <v>3537</v>
      </c>
      <c r="CH229" s="238" t="s">
        <v>39</v>
      </c>
      <c r="CI229" s="238" t="s">
        <v>39</v>
      </c>
      <c r="CJ229" t="s">
        <v>8950</v>
      </c>
      <c r="CK229" t="s">
        <v>1167</v>
      </c>
      <c r="CL229" t="s">
        <v>8961</v>
      </c>
      <c r="CM229" t="s">
        <v>8973</v>
      </c>
      <c r="CN229" s="238" t="b">
        <v>1</v>
      </c>
      <c r="CO229" t="s">
        <v>5517</v>
      </c>
      <c r="CQ229" t="s">
        <v>4895</v>
      </c>
      <c r="CR229" t="s">
        <v>3246</v>
      </c>
      <c r="CS229" t="s">
        <v>38</v>
      </c>
      <c r="CT229" t="b">
        <v>1</v>
      </c>
      <c r="CU229">
        <v>3059125.41</v>
      </c>
      <c r="CV229" t="s">
        <v>9002</v>
      </c>
      <c r="CW229">
        <v>3059125</v>
      </c>
      <c r="CX229">
        <v>3059125</v>
      </c>
      <c r="CY229">
        <v>0</v>
      </c>
      <c r="CZ229" t="b">
        <v>1</v>
      </c>
      <c r="DA229">
        <v>45189</v>
      </c>
      <c r="DB229" t="s">
        <v>399</v>
      </c>
      <c r="DC229">
        <v>4.0276179516685051E-3</v>
      </c>
      <c r="DD229">
        <v>347.36963872603968</v>
      </c>
      <c r="DE229" s="420" cm="1">
        <f t="array" ref="DE229">_xlfn.XLOOKUP("Дом 5"&amp;Реестр_Д5[[#This Row],[№]]&amp;Реестр_Д5[[#This Row],[Статус]],РД[Дом]&amp;РД[№ кв]&amp;РД[Состояние],РД[Дата подачи на регистрацию],"-",0)</f>
        <v>45189</v>
      </c>
    </row>
    <row r="230" spans="1:109" x14ac:dyDescent="0.25">
      <c r="A230" s="238">
        <v>229</v>
      </c>
      <c r="B230" s="238" t="s">
        <v>16</v>
      </c>
      <c r="C230" s="238">
        <v>2</v>
      </c>
      <c r="D230" s="238">
        <v>1</v>
      </c>
      <c r="E230" s="238">
        <v>2</v>
      </c>
      <c r="F230" s="238">
        <v>17.63</v>
      </c>
      <c r="G230" s="238">
        <v>13.69</v>
      </c>
      <c r="H230" s="238"/>
      <c r="I230">
        <v>31.32</v>
      </c>
      <c r="J230" s="238">
        <v>20.05</v>
      </c>
      <c r="K230" s="238">
        <v>3.54</v>
      </c>
      <c r="L230" s="238">
        <v>2.93</v>
      </c>
      <c r="M230" s="238"/>
      <c r="N230" s="238">
        <v>12.19</v>
      </c>
      <c r="O230" s="238">
        <v>4.6500000000000004</v>
      </c>
      <c r="P230" s="238">
        <v>2.68</v>
      </c>
      <c r="R230" s="238">
        <v>7.33</v>
      </c>
      <c r="S230">
        <v>77.36</v>
      </c>
      <c r="T230">
        <v>70.03</v>
      </c>
      <c r="U230" s="238">
        <v>73.7</v>
      </c>
      <c r="V230">
        <v>73.449999999999989</v>
      </c>
      <c r="W230" s="238">
        <v>79535.67300000001</v>
      </c>
      <c r="X230">
        <v>3976.7836500000008</v>
      </c>
      <c r="Y230">
        <v>83512.456649999993</v>
      </c>
      <c r="Z230">
        <v>2505.3736994999999</v>
      </c>
      <c r="AA230">
        <v>86017.8303495</v>
      </c>
      <c r="AC230">
        <v>86017.8303495</v>
      </c>
      <c r="AE230">
        <v>86017.8303495</v>
      </c>
      <c r="AG230">
        <v>86017.8303495</v>
      </c>
      <c r="AI230">
        <v>86017.8303495</v>
      </c>
      <c r="AJ230">
        <v>860.17830349500002</v>
      </c>
      <c r="AK230">
        <v>86878.008652995006</v>
      </c>
      <c r="AL230">
        <v>4343.9004326497507</v>
      </c>
      <c r="AM230">
        <v>91221.909085644758</v>
      </c>
      <c r="AO230">
        <v>91221.909085644758</v>
      </c>
      <c r="AP230">
        <v>1824.4381817128951</v>
      </c>
      <c r="AQ230">
        <v>93046.347267357647</v>
      </c>
      <c r="AS230">
        <v>93046.347267357647</v>
      </c>
      <c r="AT230">
        <v>1860.9269453471527</v>
      </c>
      <c r="AU230">
        <v>94907.274212704797</v>
      </c>
      <c r="AW230">
        <v>94907.274212704797</v>
      </c>
      <c r="AY230">
        <v>94907.274212704797</v>
      </c>
      <c r="BA230">
        <v>94907.274212704797</v>
      </c>
      <c r="BC230">
        <v>94907.274212704797</v>
      </c>
      <c r="BE230">
        <v>94907.274212704797</v>
      </c>
      <c r="BF230">
        <v>474.53637106352397</v>
      </c>
      <c r="BG230">
        <v>95381.810583768325</v>
      </c>
      <c r="BI230">
        <v>95381.810583768325</v>
      </c>
      <c r="BK230">
        <v>95381.810583768325</v>
      </c>
      <c r="BL230">
        <v>7630.5448467014658</v>
      </c>
      <c r="BM230">
        <v>103012.3554304698</v>
      </c>
      <c r="BN230">
        <v>13391.606205961074</v>
      </c>
      <c r="BO230">
        <v>116403.96163643086</v>
      </c>
      <c r="BP230">
        <v>35</v>
      </c>
      <c r="BQ230">
        <v>116438.96163643086</v>
      </c>
      <c r="BS230">
        <v>116438.96163643086</v>
      </c>
      <c r="BT230" s="238">
        <v>116438.96</v>
      </c>
      <c r="BU230" s="238">
        <v>8552500</v>
      </c>
      <c r="BX230" s="238">
        <v>0</v>
      </c>
      <c r="BY230" s="238">
        <v>116439.75493533016</v>
      </c>
      <c r="BZ230" s="238">
        <v>8552500</v>
      </c>
      <c r="CA230" s="238" t="s">
        <v>6871</v>
      </c>
      <c r="CB230">
        <v>10000</v>
      </c>
      <c r="CC230">
        <v>126439.75493533016</v>
      </c>
      <c r="CD230" s="238">
        <v>734500</v>
      </c>
      <c r="CE230" s="238">
        <v>9287000</v>
      </c>
      <c r="CF230" t="s">
        <v>4635</v>
      </c>
      <c r="CH230" s="238" t="s">
        <v>3</v>
      </c>
      <c r="CI230" s="238" t="s">
        <v>3</v>
      </c>
      <c r="CJ230" t="s">
        <v>8951</v>
      </c>
      <c r="CK230" t="s">
        <v>1167</v>
      </c>
      <c r="CL230" t="s">
        <v>8961</v>
      </c>
      <c r="CM230" t="s">
        <v>8971</v>
      </c>
      <c r="CN230" s="238" t="b">
        <v>1</v>
      </c>
      <c r="CO230" t="s">
        <v>5518</v>
      </c>
      <c r="CQ230" t="s">
        <v>6652</v>
      </c>
      <c r="CR230" t="s">
        <v>3124</v>
      </c>
      <c r="CS230" t="s">
        <v>6871</v>
      </c>
      <c r="CT230" t="b">
        <v>1</v>
      </c>
      <c r="CU230">
        <v>8552500</v>
      </c>
      <c r="CV230">
        <v>8552500</v>
      </c>
      <c r="CW230">
        <v>0</v>
      </c>
      <c r="CX230">
        <v>0</v>
      </c>
      <c r="CY230">
        <v>0</v>
      </c>
      <c r="CZ230" t="b">
        <v>1</v>
      </c>
      <c r="DA230" t="s">
        <v>4246</v>
      </c>
      <c r="DB230" t="s">
        <v>1167</v>
      </c>
      <c r="DC230">
        <v>-3.3921302578020507E-3</v>
      </c>
      <c r="DD230">
        <v>-394.97881592718915</v>
      </c>
      <c r="DE230" s="420" t="str" cm="1">
        <f t="array" ref="DE23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31" spans="1:109" hidden="1" x14ac:dyDescent="0.25">
      <c r="A231" s="238">
        <v>230</v>
      </c>
      <c r="B231" s="238" t="s">
        <v>16</v>
      </c>
      <c r="C231" s="238">
        <v>2</v>
      </c>
      <c r="D231" s="238">
        <v>2</v>
      </c>
      <c r="E231" s="238">
        <v>0</v>
      </c>
      <c r="F231" s="238">
        <v>7.18</v>
      </c>
      <c r="G231" s="238"/>
      <c r="H231" s="238"/>
      <c r="I231">
        <v>7.18</v>
      </c>
      <c r="J231" s="238">
        <v>5.17</v>
      </c>
      <c r="K231" s="238">
        <v>3.72</v>
      </c>
      <c r="L231" s="238"/>
      <c r="M231" s="238"/>
      <c r="N231" s="238">
        <v>6.97</v>
      </c>
      <c r="O231" s="238">
        <v>2.97</v>
      </c>
      <c r="P231" s="238"/>
      <c r="R231" s="238">
        <v>2.97</v>
      </c>
      <c r="S231">
        <v>26.01</v>
      </c>
      <c r="T231">
        <v>23.04</v>
      </c>
      <c r="U231" s="238">
        <v>24.53</v>
      </c>
      <c r="V231">
        <v>24.45</v>
      </c>
      <c r="W231" s="238">
        <v>91981.574999999997</v>
      </c>
      <c r="Y231">
        <v>91981.574999999997</v>
      </c>
      <c r="AA231">
        <v>91981.574999999997</v>
      </c>
      <c r="AC231">
        <v>91981.574999999997</v>
      </c>
      <c r="AE231">
        <v>91981.574999999997</v>
      </c>
      <c r="AG231">
        <v>91981.574999999997</v>
      </c>
      <c r="AI231">
        <v>91981.574999999997</v>
      </c>
      <c r="AK231">
        <v>91981.574999999997</v>
      </c>
      <c r="AM231">
        <v>91981.574999999997</v>
      </c>
      <c r="AO231">
        <v>91981.574999999997</v>
      </c>
      <c r="AQ231">
        <v>91981.574999999997</v>
      </c>
      <c r="AS231">
        <v>91981.574999999997</v>
      </c>
      <c r="AU231">
        <v>91981.574999999997</v>
      </c>
      <c r="AW231">
        <v>91981.574999999997</v>
      </c>
      <c r="AY231">
        <v>91981.574999999997</v>
      </c>
      <c r="BA231">
        <v>91981.574999999997</v>
      </c>
      <c r="BC231">
        <v>91981.574999999997</v>
      </c>
      <c r="BE231">
        <v>91981.574999999997</v>
      </c>
      <c r="BG231">
        <v>91981.574999999997</v>
      </c>
      <c r="BI231">
        <v>91981.574999999997</v>
      </c>
      <c r="BK231">
        <v>91981.574999999997</v>
      </c>
      <c r="BM231">
        <v>91981.574999999997</v>
      </c>
      <c r="BO231">
        <v>91981.574999999997</v>
      </c>
      <c r="BQ231">
        <v>91981.574999999997</v>
      </c>
      <c r="BS231">
        <v>91981.574999999997</v>
      </c>
      <c r="BT231" s="238">
        <v>91981.58</v>
      </c>
      <c r="BU231" s="238">
        <v>2256308.16</v>
      </c>
      <c r="BX231" s="238">
        <v>0</v>
      </c>
      <c r="BY231" s="238">
        <v>91981.58010599266</v>
      </c>
      <c r="BZ231" s="238">
        <v>2256308.16</v>
      </c>
      <c r="CA231" s="238" t="s">
        <v>38</v>
      </c>
      <c r="CB231">
        <v>15500</v>
      </c>
      <c r="CC231">
        <v>107481.58010599266</v>
      </c>
      <c r="CD231" s="238">
        <v>380215</v>
      </c>
      <c r="CE231" s="238">
        <v>2636523.16</v>
      </c>
      <c r="CH231" s="238" t="s">
        <v>39</v>
      </c>
      <c r="CI231" s="238" t="s">
        <v>39</v>
      </c>
      <c r="CJ231" t="s">
        <v>8950</v>
      </c>
      <c r="CK231" t="s">
        <v>1167</v>
      </c>
      <c r="CL231" t="s">
        <v>8961</v>
      </c>
      <c r="CM231" t="s">
        <v>8970</v>
      </c>
      <c r="CN231" s="238" t="b">
        <v>1</v>
      </c>
      <c r="CO231" t="s">
        <v>5519</v>
      </c>
      <c r="CQ231" t="s">
        <v>4895</v>
      </c>
      <c r="CR231" t="s">
        <v>3246</v>
      </c>
      <c r="CS231" t="s">
        <v>38</v>
      </c>
      <c r="CT231" t="b">
        <v>1</v>
      </c>
      <c r="CU231">
        <v>2256308.16</v>
      </c>
      <c r="CV231" t="s">
        <v>9002</v>
      </c>
      <c r="CW231">
        <v>2256308</v>
      </c>
      <c r="CX231">
        <v>2256308</v>
      </c>
      <c r="CY231">
        <v>0</v>
      </c>
      <c r="CZ231" t="b">
        <v>1</v>
      </c>
      <c r="DA231">
        <v>45188</v>
      </c>
      <c r="DB231" t="s">
        <v>130</v>
      </c>
      <c r="DC231">
        <v>-3.2613126783531676E-3</v>
      </c>
      <c r="DD231">
        <v>-299.98069337463136</v>
      </c>
      <c r="DE231" s="420" cm="1">
        <f t="array" ref="DE231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232" spans="1:109" x14ac:dyDescent="0.25">
      <c r="A232" s="238">
        <v>231</v>
      </c>
      <c r="B232" s="238" t="s">
        <v>16</v>
      </c>
      <c r="C232" s="238">
        <v>2</v>
      </c>
      <c r="D232" s="238">
        <v>3</v>
      </c>
      <c r="E232" s="238">
        <v>2</v>
      </c>
      <c r="F232" s="238">
        <v>13.69</v>
      </c>
      <c r="G232" s="238">
        <v>10.16</v>
      </c>
      <c r="H232" s="238"/>
      <c r="I232">
        <v>23.85</v>
      </c>
      <c r="J232" s="238">
        <v>18.71</v>
      </c>
      <c r="K232" s="238">
        <v>3.49</v>
      </c>
      <c r="L232" s="238">
        <v>2.11</v>
      </c>
      <c r="M232" s="238"/>
      <c r="N232" s="238">
        <v>7.09</v>
      </c>
      <c r="O232" s="238">
        <v>2.65</v>
      </c>
      <c r="P232" s="238"/>
      <c r="R232" s="238">
        <v>2.65</v>
      </c>
      <c r="S232">
        <v>57.9</v>
      </c>
      <c r="T232">
        <v>55.25</v>
      </c>
      <c r="U232" s="238">
        <v>56.58</v>
      </c>
      <c r="V232">
        <v>56.4</v>
      </c>
      <c r="W232" s="238">
        <v>80307.864000000001</v>
      </c>
      <c r="X232">
        <v>4015.3932</v>
      </c>
      <c r="Y232">
        <v>84323.257199999993</v>
      </c>
      <c r="Z232">
        <v>2529.6977160000001</v>
      </c>
      <c r="AA232">
        <v>86852.954916000002</v>
      </c>
      <c r="AC232">
        <v>86852.954916000002</v>
      </c>
      <c r="AE232">
        <v>86852.954916000002</v>
      </c>
      <c r="AG232">
        <v>86852.954916000002</v>
      </c>
      <c r="AI232">
        <v>86852.954916000002</v>
      </c>
      <c r="AJ232">
        <v>868.52954915999999</v>
      </c>
      <c r="AK232">
        <v>87721.48446516</v>
      </c>
      <c r="AL232">
        <v>4386.0742232580005</v>
      </c>
      <c r="AM232">
        <v>92107.558688417994</v>
      </c>
      <c r="AO232">
        <v>92107.558688417994</v>
      </c>
      <c r="AP232">
        <v>1842.15117376836</v>
      </c>
      <c r="AQ232">
        <v>93949.709862186355</v>
      </c>
      <c r="AS232">
        <v>93949.709862186355</v>
      </c>
      <c r="AT232">
        <v>1878.9941972437273</v>
      </c>
      <c r="AU232">
        <v>95828.704059430078</v>
      </c>
      <c r="AV232">
        <v>150</v>
      </c>
      <c r="AW232">
        <v>95978.704059430078</v>
      </c>
      <c r="AX232">
        <v>959.78704059430083</v>
      </c>
      <c r="AY232">
        <v>96938.491100024374</v>
      </c>
      <c r="BA232">
        <v>96938.491100024374</v>
      </c>
      <c r="BC232">
        <v>96938.491100024374</v>
      </c>
      <c r="BE232">
        <v>96938.491100024374</v>
      </c>
      <c r="BF232">
        <v>2423.4622775006096</v>
      </c>
      <c r="BG232">
        <v>99361.953377524987</v>
      </c>
      <c r="BH232">
        <v>500</v>
      </c>
      <c r="BI232">
        <v>99861.953377524987</v>
      </c>
      <c r="BJ232">
        <v>3994.4781351010001</v>
      </c>
      <c r="BK232">
        <v>103856.431512626</v>
      </c>
      <c r="BL232">
        <v>6231.3858907575595</v>
      </c>
      <c r="BM232">
        <v>110087.81740338355</v>
      </c>
      <c r="BN232">
        <v>14311.416262439863</v>
      </c>
      <c r="BO232">
        <v>124399.2336658234</v>
      </c>
      <c r="BP232">
        <v>35</v>
      </c>
      <c r="BQ232">
        <v>124434.2336658234</v>
      </c>
      <c r="BR232">
        <v>1244.3423366582342</v>
      </c>
      <c r="BS232">
        <v>125678.57600248164</v>
      </c>
      <c r="BT232" s="238">
        <v>125678.58</v>
      </c>
      <c r="BU232" s="238">
        <v>7088300</v>
      </c>
      <c r="BV232">
        <v>391000</v>
      </c>
      <c r="BX232" s="238">
        <v>391000</v>
      </c>
      <c r="BY232" s="238">
        <v>118746.45390070922</v>
      </c>
      <c r="BZ232" s="238">
        <v>6697300</v>
      </c>
      <c r="CA232" s="238" t="s">
        <v>36</v>
      </c>
      <c r="CC232">
        <v>118746.45390070922</v>
      </c>
      <c r="CD232" s="238">
        <v>0</v>
      </c>
      <c r="CE232" s="238">
        <v>6697300</v>
      </c>
      <c r="CF232" t="s">
        <v>4633</v>
      </c>
      <c r="CG232" t="s">
        <v>8930</v>
      </c>
      <c r="CH232" s="238" t="s">
        <v>8956</v>
      </c>
      <c r="CI232" s="238" t="s">
        <v>8956</v>
      </c>
      <c r="CJ232" t="s">
        <v>8953</v>
      </c>
      <c r="CK232" t="s">
        <v>8957</v>
      </c>
      <c r="CL232" t="s">
        <v>8961</v>
      </c>
      <c r="CM232" t="s">
        <v>8971</v>
      </c>
      <c r="CN232" s="238" t="b">
        <v>1</v>
      </c>
      <c r="CO232" t="s">
        <v>5520</v>
      </c>
      <c r="CQ232" t="s">
        <v>6652</v>
      </c>
      <c r="CR232" t="s">
        <v>3124</v>
      </c>
      <c r="CS232" t="s">
        <v>6871</v>
      </c>
      <c r="CT232" t="b">
        <v>0</v>
      </c>
      <c r="CU232">
        <v>7088300</v>
      </c>
      <c r="CV232">
        <v>7088300</v>
      </c>
      <c r="CW232">
        <v>0</v>
      </c>
      <c r="CX232">
        <v>7088300</v>
      </c>
      <c r="CY232">
        <v>0</v>
      </c>
      <c r="CZ232" t="b">
        <v>1</v>
      </c>
      <c r="DA232" t="s">
        <v>4246</v>
      </c>
      <c r="DB232" t="s">
        <v>1167</v>
      </c>
      <c r="DC232">
        <v>-3.1813361611876534E-3</v>
      </c>
      <c r="DD232">
        <v>-377.77238780712895</v>
      </c>
      <c r="DE232" s="420" t="str" cm="1">
        <f t="array" ref="DE23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33" spans="1:109" hidden="1" x14ac:dyDescent="0.25">
      <c r="A233" s="238">
        <v>232</v>
      </c>
      <c r="B233" s="238" t="s">
        <v>16</v>
      </c>
      <c r="C233" s="238">
        <v>2</v>
      </c>
      <c r="D233" s="238">
        <v>4</v>
      </c>
      <c r="E233" s="238">
        <v>1</v>
      </c>
      <c r="F233" s="238">
        <v>23.04</v>
      </c>
      <c r="G233" s="238"/>
      <c r="H233" s="238"/>
      <c r="I233">
        <v>23.04</v>
      </c>
      <c r="J233" s="238">
        <v>14.85</v>
      </c>
      <c r="K233" s="238">
        <v>4.59</v>
      </c>
      <c r="L233" s="238">
        <v>3.72</v>
      </c>
      <c r="M233" s="238"/>
      <c r="N233" s="238">
        <v>11.41</v>
      </c>
      <c r="O233" s="238">
        <v>4.1399999999999997</v>
      </c>
      <c r="P233" s="238"/>
      <c r="R233" s="238">
        <v>4.1399999999999997</v>
      </c>
      <c r="S233">
        <v>61.75</v>
      </c>
      <c r="T233">
        <v>57.61</v>
      </c>
      <c r="U233" s="238">
        <v>59.68</v>
      </c>
      <c r="V233">
        <v>59.5</v>
      </c>
      <c r="W233" s="238">
        <v>77868</v>
      </c>
      <c r="X233">
        <v>3893.4</v>
      </c>
      <c r="Y233">
        <v>81761.399999999994</v>
      </c>
      <c r="Z233">
        <v>2452.8419999999996</v>
      </c>
      <c r="AA233">
        <v>84214.241999999998</v>
      </c>
      <c r="AB233">
        <v>842.14242000000002</v>
      </c>
      <c r="AC233">
        <v>85056.384420000002</v>
      </c>
      <c r="AE233">
        <v>85056.384420000002</v>
      </c>
      <c r="AG233">
        <v>85056.384420000002</v>
      </c>
      <c r="AI233">
        <v>85056.384420000002</v>
      </c>
      <c r="AK233">
        <v>85056.384420000002</v>
      </c>
      <c r="AM233">
        <v>85056.384420000002</v>
      </c>
      <c r="AO233">
        <v>85056.384420000002</v>
      </c>
      <c r="AQ233">
        <v>85056.384420000002</v>
      </c>
      <c r="AS233">
        <v>85056.384420000002</v>
      </c>
      <c r="AU233">
        <v>85056.384420000002</v>
      </c>
      <c r="AW233">
        <v>85056.384420000002</v>
      </c>
      <c r="AY233">
        <v>85056.384420000002</v>
      </c>
      <c r="BA233">
        <v>85056.384420000002</v>
      </c>
      <c r="BC233">
        <v>85056.384420000002</v>
      </c>
      <c r="BE233">
        <v>85056.384420000002</v>
      </c>
      <c r="BG233">
        <v>85056.384420000002</v>
      </c>
      <c r="BI233">
        <v>85056.384420000002</v>
      </c>
      <c r="BK233">
        <v>85056.384420000002</v>
      </c>
      <c r="BM233">
        <v>85056.384420000002</v>
      </c>
      <c r="BO233">
        <v>85056.384420000002</v>
      </c>
      <c r="BQ233">
        <v>85056.384420000002</v>
      </c>
      <c r="BS233">
        <v>85056.384420000002</v>
      </c>
      <c r="BT233" s="238">
        <v>85056.38</v>
      </c>
      <c r="BU233" s="238">
        <v>5076164.76</v>
      </c>
      <c r="BX233" s="238">
        <v>0</v>
      </c>
      <c r="BY233" s="238">
        <v>85056.380026809653</v>
      </c>
      <c r="BZ233" s="238">
        <v>5076164.76</v>
      </c>
      <c r="CA233" s="238" t="s">
        <v>36</v>
      </c>
      <c r="CC233">
        <v>85056.380026809653</v>
      </c>
      <c r="CD233" s="238">
        <v>0</v>
      </c>
      <c r="CE233" s="238">
        <v>5076164.76</v>
      </c>
      <c r="CF233" t="s">
        <v>4634</v>
      </c>
      <c r="CH233" s="238" t="s">
        <v>39</v>
      </c>
      <c r="CI233" s="238" t="s">
        <v>39</v>
      </c>
      <c r="CJ233" t="s">
        <v>8950</v>
      </c>
      <c r="CK233" t="s">
        <v>1167</v>
      </c>
      <c r="CL233" t="s">
        <v>8961</v>
      </c>
      <c r="CM233" t="s">
        <v>8973</v>
      </c>
      <c r="CN233" s="238" t="b">
        <v>1</v>
      </c>
      <c r="CO233" t="s">
        <v>5521</v>
      </c>
      <c r="CQ233" t="s">
        <v>4895</v>
      </c>
      <c r="CR233" t="s">
        <v>3246</v>
      </c>
      <c r="CS233" t="s">
        <v>36</v>
      </c>
      <c r="CT233" t="b">
        <v>1</v>
      </c>
      <c r="CU233">
        <v>5076164.76</v>
      </c>
      <c r="CV233" t="s">
        <v>9002</v>
      </c>
      <c r="CW233">
        <v>0</v>
      </c>
      <c r="CX233">
        <v>5076165</v>
      </c>
      <c r="CY233">
        <v>0</v>
      </c>
      <c r="CZ233" t="b">
        <v>1</v>
      </c>
      <c r="DA233">
        <v>45216</v>
      </c>
      <c r="DB233" t="s">
        <v>5215</v>
      </c>
      <c r="DC233">
        <v>-3.0160857908847483E-3</v>
      </c>
      <c r="DD233">
        <v>-256.5373392229539</v>
      </c>
      <c r="DE233" s="420" cm="1">
        <f t="array" ref="DE233">_xlfn.XLOOKUP("Дом 5"&amp;Реестр_Д5[[#This Row],[№]]&amp;Реестр_Д5[[#This Row],[Статус]],РД[Дом]&amp;РД[№ кв]&amp;РД[Состояние],РД[Дата подачи на регистрацию],"-",0)</f>
        <v>45216</v>
      </c>
    </row>
    <row r="234" spans="1:109" hidden="1" x14ac:dyDescent="0.25">
      <c r="A234" s="238">
        <v>233</v>
      </c>
      <c r="B234" s="238" t="s">
        <v>16</v>
      </c>
      <c r="C234" s="238">
        <v>2</v>
      </c>
      <c r="D234" s="238">
        <v>5</v>
      </c>
      <c r="E234" s="238">
        <v>1</v>
      </c>
      <c r="F234" s="238">
        <v>12.54</v>
      </c>
      <c r="G234" s="238"/>
      <c r="H234" s="238"/>
      <c r="I234">
        <v>12.54</v>
      </c>
      <c r="J234" s="238">
        <v>12.74</v>
      </c>
      <c r="K234" s="238">
        <v>4.0199999999999996</v>
      </c>
      <c r="L234" s="238"/>
      <c r="M234" s="238"/>
      <c r="N234" s="238">
        <v>7.09</v>
      </c>
      <c r="O234" s="238">
        <v>2.84</v>
      </c>
      <c r="P234" s="238"/>
      <c r="R234" s="238">
        <v>2.84</v>
      </c>
      <c r="S234">
        <v>39.229999999999997</v>
      </c>
      <c r="T234">
        <v>36.39</v>
      </c>
      <c r="U234" s="238">
        <v>37.81</v>
      </c>
      <c r="V234">
        <v>37.499999999999993</v>
      </c>
      <c r="W234" s="238">
        <v>89223.75</v>
      </c>
      <c r="X234">
        <v>4461.1875</v>
      </c>
      <c r="Y234">
        <v>93684.9375</v>
      </c>
      <c r="Z234">
        <v>2810.5481249999998</v>
      </c>
      <c r="AA234">
        <v>96495.485625000001</v>
      </c>
      <c r="AB234">
        <v>4342.2968531249999</v>
      </c>
      <c r="AC234">
        <v>100837.78247812499</v>
      </c>
      <c r="AE234">
        <v>100837.78247812499</v>
      </c>
      <c r="AF234">
        <v>5041.8891239062505</v>
      </c>
      <c r="AG234">
        <v>105879.67160203125</v>
      </c>
      <c r="AH234">
        <v>-620</v>
      </c>
      <c r="AI234">
        <v>105259.67160203125</v>
      </c>
      <c r="AJ234">
        <v>1052.5967160203124</v>
      </c>
      <c r="AK234">
        <v>106312.26831805156</v>
      </c>
      <c r="AL234">
        <v>5315.6134159025787</v>
      </c>
      <c r="AM234">
        <v>111627.88173395414</v>
      </c>
      <c r="AO234">
        <v>111627.88173395414</v>
      </c>
      <c r="AP234">
        <v>3348.8364520186242</v>
      </c>
      <c r="AQ234">
        <v>114976.71818597276</v>
      </c>
      <c r="AS234">
        <v>114976.71818597276</v>
      </c>
      <c r="AU234">
        <v>114976.71818597276</v>
      </c>
      <c r="AW234">
        <v>114976.71818597276</v>
      </c>
      <c r="AX234">
        <v>1149.7671818597278</v>
      </c>
      <c r="AY234">
        <v>116126.4853678325</v>
      </c>
      <c r="BA234">
        <v>116126.4853678325</v>
      </c>
      <c r="BC234">
        <v>116126.4853678325</v>
      </c>
      <c r="BE234">
        <v>116126.4853678325</v>
      </c>
      <c r="BG234">
        <v>116126.4853678325</v>
      </c>
      <c r="BI234">
        <v>116126.4853678325</v>
      </c>
      <c r="BK234">
        <v>116126.4853678325</v>
      </c>
      <c r="BM234">
        <v>116126.4853678325</v>
      </c>
      <c r="BO234">
        <v>116126.4853678325</v>
      </c>
      <c r="BQ234">
        <v>116126.4853678325</v>
      </c>
      <c r="BS234">
        <v>116126.4853678325</v>
      </c>
      <c r="BT234" s="238">
        <v>116126.49</v>
      </c>
      <c r="BU234" s="238">
        <v>4390800</v>
      </c>
      <c r="BX234" s="238">
        <v>0</v>
      </c>
      <c r="BY234" s="238">
        <v>116128.00846336948</v>
      </c>
      <c r="BZ234" s="238">
        <v>4390800</v>
      </c>
      <c r="CA234" s="238" t="s">
        <v>6871</v>
      </c>
      <c r="CB234">
        <v>7000</v>
      </c>
      <c r="CC234">
        <v>123128.00846336948</v>
      </c>
      <c r="CD234" s="238">
        <v>264670</v>
      </c>
      <c r="CE234" s="238">
        <v>4655470</v>
      </c>
      <c r="CH234" s="238" t="s">
        <v>39</v>
      </c>
      <c r="CI234" s="238" t="s">
        <v>39</v>
      </c>
      <c r="CJ234" t="s">
        <v>8950</v>
      </c>
      <c r="CK234" t="s">
        <v>1167</v>
      </c>
      <c r="CL234" t="s">
        <v>8961</v>
      </c>
      <c r="CM234" t="s">
        <v>8973</v>
      </c>
      <c r="CN234" s="238" t="b">
        <v>1</v>
      </c>
      <c r="CO234" t="s">
        <v>5522</v>
      </c>
      <c r="CQ234" t="s">
        <v>6652</v>
      </c>
      <c r="CR234" t="s">
        <v>3246</v>
      </c>
      <c r="CS234" t="s">
        <v>6871</v>
      </c>
      <c r="CT234" t="b">
        <v>1</v>
      </c>
      <c r="CU234">
        <v>4390800</v>
      </c>
      <c r="CV234" t="s">
        <v>9002</v>
      </c>
      <c r="CW234">
        <v>0</v>
      </c>
      <c r="CX234">
        <v>4390800</v>
      </c>
      <c r="CY234">
        <v>0</v>
      </c>
      <c r="CZ234" t="b">
        <v>1</v>
      </c>
      <c r="DA234">
        <v>45470</v>
      </c>
      <c r="DB234" t="s">
        <v>4177</v>
      </c>
      <c r="DC234">
        <v>-8.1988891827561305E-3</v>
      </c>
      <c r="DD234">
        <v>-952.12067240533236</v>
      </c>
      <c r="DE234" s="420" cm="1">
        <f t="array" ref="DE234">_xlfn.XLOOKUP("Дом 5"&amp;Реестр_Д5[[#This Row],[№]]&amp;Реестр_Д5[[#This Row],[Статус]],РД[Дом]&amp;РД[№ кв]&amp;РД[Состояние],РД[Дата подачи на регистрацию],"-",0)</f>
        <v>45470</v>
      </c>
    </row>
    <row r="235" spans="1:109" hidden="1" x14ac:dyDescent="0.25">
      <c r="A235" s="238">
        <v>234</v>
      </c>
      <c r="B235" s="238" t="s">
        <v>16</v>
      </c>
      <c r="C235" s="238">
        <v>2</v>
      </c>
      <c r="D235" s="238">
        <v>6</v>
      </c>
      <c r="E235" s="238">
        <v>3</v>
      </c>
      <c r="F235" s="238">
        <v>17.2</v>
      </c>
      <c r="G235" s="238">
        <v>14.64</v>
      </c>
      <c r="H235" s="238">
        <v>14.34</v>
      </c>
      <c r="I235">
        <v>46.18</v>
      </c>
      <c r="J235" s="238">
        <v>13.15</v>
      </c>
      <c r="K235" s="238">
        <v>4.03</v>
      </c>
      <c r="L235" s="238">
        <v>1.76</v>
      </c>
      <c r="M235" s="238"/>
      <c r="N235" s="238">
        <v>13.11</v>
      </c>
      <c r="O235" s="238">
        <v>2.79</v>
      </c>
      <c r="P235" s="238">
        <v>2.68</v>
      </c>
      <c r="R235" s="238">
        <v>5.4700000000000006</v>
      </c>
      <c r="S235">
        <v>83.7</v>
      </c>
      <c r="T235">
        <v>78.23</v>
      </c>
      <c r="U235" s="238">
        <v>80.97</v>
      </c>
      <c r="V235">
        <v>80.25</v>
      </c>
      <c r="W235" s="238">
        <v>73520.37000000001</v>
      </c>
      <c r="X235">
        <v>3676.0185000000006</v>
      </c>
      <c r="Y235">
        <v>77196.388500000015</v>
      </c>
      <c r="Z235">
        <v>2315.8916550000004</v>
      </c>
      <c r="AA235">
        <v>79512.280155000015</v>
      </c>
      <c r="AC235">
        <v>79512.280155000015</v>
      </c>
      <c r="AE235">
        <v>79512.280155000015</v>
      </c>
      <c r="AG235">
        <v>79512.280155000015</v>
      </c>
      <c r="AI235">
        <v>79512.280155000015</v>
      </c>
      <c r="AJ235">
        <v>795.12280155000019</v>
      </c>
      <c r="AK235">
        <v>80307.40295655001</v>
      </c>
      <c r="AL235">
        <v>4015.3701478275007</v>
      </c>
      <c r="AM235">
        <v>84322.773104377513</v>
      </c>
      <c r="AO235">
        <v>84322.773104377513</v>
      </c>
      <c r="AP235">
        <v>1686.4554620875504</v>
      </c>
      <c r="AQ235">
        <v>86009.22856646507</v>
      </c>
      <c r="AS235">
        <v>86009.22856646507</v>
      </c>
      <c r="AT235">
        <v>1720.1845713293014</v>
      </c>
      <c r="AU235">
        <v>87729.41313779437</v>
      </c>
      <c r="AW235">
        <v>87729.41313779437</v>
      </c>
      <c r="AX235">
        <v>877.2941313779437</v>
      </c>
      <c r="AY235">
        <v>88606.707269172315</v>
      </c>
      <c r="BA235">
        <v>88606.707269172315</v>
      </c>
      <c r="BB235">
        <v>443.03353634586159</v>
      </c>
      <c r="BC235">
        <v>89049.740805518173</v>
      </c>
      <c r="BD235">
        <v>1780.9948161103634</v>
      </c>
      <c r="BE235">
        <v>90830.735621628541</v>
      </c>
      <c r="BF235">
        <v>1362.4610343244281</v>
      </c>
      <c r="BG235">
        <v>92193.196655952954</v>
      </c>
      <c r="BI235">
        <v>92193.196655952954</v>
      </c>
      <c r="BK235">
        <v>92193.196655952954</v>
      </c>
      <c r="BM235">
        <v>92193.196655952954</v>
      </c>
      <c r="BO235">
        <v>92193.196655952954</v>
      </c>
      <c r="BQ235">
        <v>92193.196655952954</v>
      </c>
      <c r="BS235">
        <v>92193.196655952954</v>
      </c>
      <c r="BT235" s="238">
        <v>92193.2</v>
      </c>
      <c r="BU235" s="238">
        <v>7464900</v>
      </c>
      <c r="BW235">
        <v>0.03</v>
      </c>
      <c r="BX235" s="238">
        <v>223947</v>
      </c>
      <c r="BY235" s="238">
        <v>89427.602815857725</v>
      </c>
      <c r="BZ235" s="238">
        <v>7240953</v>
      </c>
      <c r="CA235" s="238" t="s">
        <v>6871</v>
      </c>
      <c r="CB235">
        <v>7000</v>
      </c>
      <c r="CC235">
        <v>96427.602815857725</v>
      </c>
      <c r="CD235" s="238">
        <v>566790</v>
      </c>
      <c r="CE235" s="238">
        <v>7807743</v>
      </c>
      <c r="CG235" t="s">
        <v>978</v>
      </c>
      <c r="CH235" s="238" t="s">
        <v>39</v>
      </c>
      <c r="CI235" s="238" t="s">
        <v>39</v>
      </c>
      <c r="CJ235" t="s">
        <v>8950</v>
      </c>
      <c r="CK235" t="s">
        <v>1167</v>
      </c>
      <c r="CL235" t="s">
        <v>8961</v>
      </c>
      <c r="CM235" t="s">
        <v>8975</v>
      </c>
      <c r="CN235" s="238" t="b">
        <v>1</v>
      </c>
      <c r="CO235" t="s">
        <v>5523</v>
      </c>
      <c r="CQ235" t="s">
        <v>6652</v>
      </c>
      <c r="CR235" t="s">
        <v>3246</v>
      </c>
      <c r="CS235" t="s">
        <v>6871</v>
      </c>
      <c r="CT235" t="b">
        <v>1</v>
      </c>
      <c r="CU235">
        <v>7464900</v>
      </c>
      <c r="CV235" t="s">
        <v>9002</v>
      </c>
      <c r="CW235">
        <v>0</v>
      </c>
      <c r="CX235">
        <v>7464900</v>
      </c>
      <c r="CY235">
        <v>0</v>
      </c>
      <c r="CZ235" t="b">
        <v>1</v>
      </c>
      <c r="DA235">
        <v>45563</v>
      </c>
      <c r="DB235" t="s">
        <v>126</v>
      </c>
      <c r="DC235">
        <v>-8.8921822897368719E-3</v>
      </c>
      <c r="DD235">
        <v>-795.20654597279326</v>
      </c>
      <c r="DE235" s="420" cm="1">
        <f t="array" ref="DE235">_xlfn.XLOOKUP("Дом 5"&amp;Реестр_Д5[[#This Row],[№]]&amp;Реестр_Д5[[#This Row],[Статус]],РД[Дом]&amp;РД[№ кв]&amp;РД[Состояние],РД[Дата подачи на регистрацию],"-",0)</f>
        <v>45563</v>
      </c>
    </row>
    <row r="236" spans="1:109" hidden="1" x14ac:dyDescent="0.25">
      <c r="A236" s="238">
        <v>235</v>
      </c>
      <c r="B236" s="238" t="s">
        <v>16</v>
      </c>
      <c r="C236" s="238">
        <v>2</v>
      </c>
      <c r="D236" s="238">
        <v>7</v>
      </c>
      <c r="E236" s="238">
        <v>1</v>
      </c>
      <c r="F236" s="238">
        <v>14.3</v>
      </c>
      <c r="G236" s="238"/>
      <c r="H236" s="238"/>
      <c r="I236">
        <v>14.3</v>
      </c>
      <c r="J236" s="238">
        <v>9.2799999999999994</v>
      </c>
      <c r="K236" s="238">
        <v>3.79</v>
      </c>
      <c r="L236" s="238"/>
      <c r="M236" s="238"/>
      <c r="N236" s="238">
        <v>6.08</v>
      </c>
      <c r="O236" s="238">
        <v>2.71</v>
      </c>
      <c r="P236" s="238"/>
      <c r="R236" s="238">
        <v>2.71</v>
      </c>
      <c r="S236">
        <v>36.159999999999997</v>
      </c>
      <c r="T236">
        <v>33.450000000000003</v>
      </c>
      <c r="U236" s="238">
        <v>34.81</v>
      </c>
      <c r="V236">
        <v>34.85</v>
      </c>
      <c r="W236" s="238">
        <v>84762.5625</v>
      </c>
      <c r="X236">
        <v>4238.1281250000002</v>
      </c>
      <c r="Y236">
        <v>89000.690625000003</v>
      </c>
      <c r="Z236">
        <v>2670.02071875</v>
      </c>
      <c r="AA236">
        <v>91670.711343750023</v>
      </c>
      <c r="AB236">
        <v>12833.899588125005</v>
      </c>
      <c r="AC236">
        <v>104504.610931875</v>
      </c>
      <c r="AE236">
        <v>104504.610931875</v>
      </c>
      <c r="AG236">
        <v>104504.610931875</v>
      </c>
      <c r="AI236">
        <v>104504.610931875</v>
      </c>
      <c r="AK236">
        <v>104504.610931875</v>
      </c>
      <c r="AM236">
        <v>104504.610931875</v>
      </c>
      <c r="AO236">
        <v>104504.610931875</v>
      </c>
      <c r="AQ236">
        <v>104504.610931875</v>
      </c>
      <c r="AS236">
        <v>104504.610931875</v>
      </c>
      <c r="AU236">
        <v>104504.610931875</v>
      </c>
      <c r="AW236">
        <v>104504.610931875</v>
      </c>
      <c r="AY236">
        <v>104504.610931875</v>
      </c>
      <c r="BA236">
        <v>104504.610931875</v>
      </c>
      <c r="BC236">
        <v>104504.610931875</v>
      </c>
      <c r="BE236">
        <v>104504.610931875</v>
      </c>
      <c r="BG236">
        <v>104504.610931875</v>
      </c>
      <c r="BI236">
        <v>104504.610931875</v>
      </c>
      <c r="BK236">
        <v>104504.610931875</v>
      </c>
      <c r="BM236">
        <v>104504.610931875</v>
      </c>
      <c r="BO236">
        <v>104504.610931875</v>
      </c>
      <c r="BQ236">
        <v>104504.610931875</v>
      </c>
      <c r="BS236">
        <v>104504.610931875</v>
      </c>
      <c r="BT236" s="238">
        <v>104504.61</v>
      </c>
      <c r="BU236" s="238">
        <v>3637805.47</v>
      </c>
      <c r="BX236" s="238">
        <v>0</v>
      </c>
      <c r="BY236" s="238">
        <v>104504.60988221776</v>
      </c>
      <c r="BZ236" s="238">
        <v>3637805.47</v>
      </c>
      <c r="CA236" s="238" t="s">
        <v>36</v>
      </c>
      <c r="CC236">
        <v>104504.60988221776</v>
      </c>
      <c r="CD236" s="238">
        <v>0</v>
      </c>
      <c r="CE236" s="238">
        <v>3637805.47</v>
      </c>
      <c r="CF236" t="s">
        <v>4633</v>
      </c>
      <c r="CH236" s="238" t="s">
        <v>39</v>
      </c>
      <c r="CI236" s="238" t="s">
        <v>39</v>
      </c>
      <c r="CJ236" t="s">
        <v>8950</v>
      </c>
      <c r="CK236" t="s">
        <v>1167</v>
      </c>
      <c r="CL236" t="s">
        <v>8961</v>
      </c>
      <c r="CM236" t="s">
        <v>8973</v>
      </c>
      <c r="CN236" s="238" t="b">
        <v>1</v>
      </c>
      <c r="CO236" t="s">
        <v>5524</v>
      </c>
      <c r="CQ236" t="s">
        <v>4895</v>
      </c>
      <c r="CR236" t="s">
        <v>3246</v>
      </c>
      <c r="CS236" t="s">
        <v>36</v>
      </c>
      <c r="CT236" t="b">
        <v>1</v>
      </c>
      <c r="CU236">
        <v>3637805.47</v>
      </c>
      <c r="CV236" t="s">
        <v>9002</v>
      </c>
      <c r="CW236">
        <v>0</v>
      </c>
      <c r="CX236">
        <v>3637805</v>
      </c>
      <c r="CY236">
        <v>0</v>
      </c>
      <c r="CZ236" t="b">
        <v>1</v>
      </c>
      <c r="DA236">
        <v>45233</v>
      </c>
      <c r="DB236" t="s">
        <v>4177</v>
      </c>
      <c r="DC236">
        <v>1.1490950876185124E-3</v>
      </c>
      <c r="DD236">
        <v>120.08573384914548</v>
      </c>
      <c r="DE236" s="420" cm="1">
        <f t="array" ref="DE236">_xlfn.XLOOKUP("Дом 5"&amp;Реестр_Д5[[#This Row],[№]]&amp;Реестр_Д5[[#This Row],[Статус]],РД[Дом]&amp;РД[№ кв]&amp;РД[Состояние],РД[Дата подачи на регистрацию],"-",0)</f>
        <v>45233</v>
      </c>
    </row>
    <row r="237" spans="1:109" x14ac:dyDescent="0.25">
      <c r="A237" s="238">
        <v>236</v>
      </c>
      <c r="B237" s="238" t="s">
        <v>16</v>
      </c>
      <c r="C237" s="238">
        <v>3</v>
      </c>
      <c r="D237" s="238">
        <v>1</v>
      </c>
      <c r="E237" s="238">
        <v>2</v>
      </c>
      <c r="F237" s="238">
        <v>17.63</v>
      </c>
      <c r="G237" s="238">
        <v>13.69</v>
      </c>
      <c r="H237" s="238"/>
      <c r="I237">
        <v>31.32</v>
      </c>
      <c r="J237" s="238">
        <v>20.05</v>
      </c>
      <c r="K237" s="238">
        <v>3.54</v>
      </c>
      <c r="L237" s="238">
        <v>2.93</v>
      </c>
      <c r="M237" s="238"/>
      <c r="N237" s="238">
        <v>12.19</v>
      </c>
      <c r="O237" s="238">
        <v>4.6500000000000004</v>
      </c>
      <c r="P237" s="238">
        <v>2.68</v>
      </c>
      <c r="R237" s="238">
        <v>7.33</v>
      </c>
      <c r="S237">
        <v>77.36</v>
      </c>
      <c r="T237">
        <v>70.03</v>
      </c>
      <c r="U237" s="238">
        <v>73.7</v>
      </c>
      <c r="V237">
        <v>73.3</v>
      </c>
      <c r="W237" s="238">
        <v>79535.67300000001</v>
      </c>
      <c r="X237">
        <v>3976.7836500000008</v>
      </c>
      <c r="Y237">
        <v>83512.456649999993</v>
      </c>
      <c r="Z237">
        <v>2505.3736994999999</v>
      </c>
      <c r="AA237">
        <v>86017.8303495</v>
      </c>
      <c r="AC237">
        <v>86017.8303495</v>
      </c>
      <c r="AE237">
        <v>86017.8303495</v>
      </c>
      <c r="AG237">
        <v>86017.8303495</v>
      </c>
      <c r="AI237">
        <v>86017.8303495</v>
      </c>
      <c r="AJ237">
        <v>860.17830349500002</v>
      </c>
      <c r="AK237">
        <v>86878.008652995006</v>
      </c>
      <c r="AL237">
        <v>4343.9004326497507</v>
      </c>
      <c r="AM237">
        <v>91221.909085644758</v>
      </c>
      <c r="AO237">
        <v>91221.909085644758</v>
      </c>
      <c r="AP237">
        <v>1824.4381817128951</v>
      </c>
      <c r="AQ237">
        <v>93046.347267357647</v>
      </c>
      <c r="AS237">
        <v>93046.347267357647</v>
      </c>
      <c r="AT237">
        <v>1860.9269453471527</v>
      </c>
      <c r="AU237">
        <v>94907.274212704797</v>
      </c>
      <c r="AW237">
        <v>94907.274212704797</v>
      </c>
      <c r="AY237">
        <v>94907.274212704797</v>
      </c>
      <c r="BA237">
        <v>94907.274212704797</v>
      </c>
      <c r="BC237">
        <v>94907.274212704797</v>
      </c>
      <c r="BE237">
        <v>94907.274212704797</v>
      </c>
      <c r="BF237">
        <v>474.53637106352397</v>
      </c>
      <c r="BG237">
        <v>95381.810583768325</v>
      </c>
      <c r="BI237">
        <v>95381.810583768325</v>
      </c>
      <c r="BK237">
        <v>95381.810583768325</v>
      </c>
      <c r="BL237">
        <v>7630.5448467014658</v>
      </c>
      <c r="BM237">
        <v>103012.3554304698</v>
      </c>
      <c r="BN237">
        <v>13391.606205961074</v>
      </c>
      <c r="BO237">
        <v>116403.96163643086</v>
      </c>
      <c r="BP237">
        <v>35</v>
      </c>
      <c r="BQ237">
        <v>116438.96163643086</v>
      </c>
      <c r="BS237">
        <v>116438.96163643086</v>
      </c>
      <c r="BT237" s="238">
        <v>116438.96</v>
      </c>
      <c r="BU237" s="238">
        <v>8535000</v>
      </c>
      <c r="BX237" s="238">
        <v>0</v>
      </c>
      <c r="BY237" s="238">
        <v>116439.29058663028</v>
      </c>
      <c r="BZ237" s="238">
        <v>8535000</v>
      </c>
      <c r="CA237" s="238" t="s">
        <v>36</v>
      </c>
      <c r="CC237">
        <v>116439.29058663028</v>
      </c>
      <c r="CD237" s="238">
        <v>0</v>
      </c>
      <c r="CE237" s="238">
        <v>8535000</v>
      </c>
      <c r="CF237" t="s">
        <v>4635</v>
      </c>
      <c r="CH237" s="238" t="s">
        <v>3</v>
      </c>
      <c r="CI237" s="238" t="s">
        <v>3</v>
      </c>
      <c r="CJ237" t="s">
        <v>8951</v>
      </c>
      <c r="CK237" t="s">
        <v>1167</v>
      </c>
      <c r="CL237" t="s">
        <v>8961</v>
      </c>
      <c r="CM237" t="s">
        <v>8971</v>
      </c>
      <c r="CN237" s="238" t="b">
        <v>1</v>
      </c>
      <c r="CO237" t="s">
        <v>5525</v>
      </c>
      <c r="CQ237" t="s">
        <v>6652</v>
      </c>
      <c r="CR237" t="s">
        <v>3124</v>
      </c>
      <c r="CS237" t="s">
        <v>6871</v>
      </c>
      <c r="CT237" t="b">
        <v>0</v>
      </c>
      <c r="CU237">
        <v>8535000</v>
      </c>
      <c r="CV237">
        <v>8535000</v>
      </c>
      <c r="CW237">
        <v>0</v>
      </c>
      <c r="CX237">
        <v>0</v>
      </c>
      <c r="CY237">
        <v>0</v>
      </c>
      <c r="CZ237" t="b">
        <v>1</v>
      </c>
      <c r="DA237" t="s">
        <v>4246</v>
      </c>
      <c r="DB237" t="s">
        <v>1167</v>
      </c>
      <c r="DC237">
        <v>-5.4274084124831257E-3</v>
      </c>
      <c r="DD237">
        <v>-631.96358527344444</v>
      </c>
      <c r="DE237" s="420" t="str" cm="1">
        <f t="array" ref="DE23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38" spans="1:109" hidden="1" x14ac:dyDescent="0.25">
      <c r="A238" s="238">
        <v>237</v>
      </c>
      <c r="B238" s="238" t="s">
        <v>16</v>
      </c>
      <c r="C238" s="238">
        <v>3</v>
      </c>
      <c r="D238" s="238">
        <v>2</v>
      </c>
      <c r="E238" s="238">
        <v>0</v>
      </c>
      <c r="F238" s="238">
        <v>7.18</v>
      </c>
      <c r="G238" s="238"/>
      <c r="H238" s="238"/>
      <c r="I238">
        <v>7.18</v>
      </c>
      <c r="J238" s="238">
        <v>5.17</v>
      </c>
      <c r="K238" s="238">
        <v>3.72</v>
      </c>
      <c r="L238" s="238"/>
      <c r="M238" s="238"/>
      <c r="N238" s="238">
        <v>6.97</v>
      </c>
      <c r="O238" s="238">
        <v>2.97</v>
      </c>
      <c r="P238" s="238"/>
      <c r="R238" s="238">
        <v>2.97</v>
      </c>
      <c r="S238">
        <v>26.01</v>
      </c>
      <c r="T238">
        <v>23.04</v>
      </c>
      <c r="U238" s="238">
        <v>24.53</v>
      </c>
      <c r="V238">
        <v>24.35</v>
      </c>
      <c r="W238" s="238">
        <v>91981.574999999997</v>
      </c>
      <c r="X238">
        <v>4599.0787499999997</v>
      </c>
      <c r="Y238">
        <v>96580.653749999998</v>
      </c>
      <c r="AA238">
        <v>96580.653749999998</v>
      </c>
      <c r="AC238">
        <v>96580.653749999998</v>
      </c>
      <c r="AE238">
        <v>96580.653749999998</v>
      </c>
      <c r="AG238">
        <v>96580.653749999998</v>
      </c>
      <c r="AI238">
        <v>96580.653749999998</v>
      </c>
      <c r="AK238">
        <v>96580.653749999998</v>
      </c>
      <c r="AM238">
        <v>96580.653749999998</v>
      </c>
      <c r="AO238">
        <v>96580.653749999998</v>
      </c>
      <c r="AQ238">
        <v>96580.653749999998</v>
      </c>
      <c r="AS238">
        <v>96580.653749999998</v>
      </c>
      <c r="AU238">
        <v>96580.653749999998</v>
      </c>
      <c r="AW238">
        <v>96580.653749999998</v>
      </c>
      <c r="AY238">
        <v>96580.653749999998</v>
      </c>
      <c r="BA238">
        <v>96580.653749999998</v>
      </c>
      <c r="BC238">
        <v>96580.653749999998</v>
      </c>
      <c r="BE238">
        <v>96580.653749999998</v>
      </c>
      <c r="BG238">
        <v>96580.653749999998</v>
      </c>
      <c r="BI238">
        <v>96580.653749999998</v>
      </c>
      <c r="BK238">
        <v>96580.653749999998</v>
      </c>
      <c r="BM238">
        <v>96580.653749999998</v>
      </c>
      <c r="BO238">
        <v>96580.653749999998</v>
      </c>
      <c r="BQ238">
        <v>96580.653749999998</v>
      </c>
      <c r="BS238">
        <v>96580.653749999998</v>
      </c>
      <c r="BT238" s="238">
        <v>96580.65</v>
      </c>
      <c r="BU238" s="238">
        <v>2369123.34</v>
      </c>
      <c r="BX238" s="238">
        <v>0</v>
      </c>
      <c r="BY238" s="238">
        <v>96580.649816551158</v>
      </c>
      <c r="BZ238" s="238">
        <v>2369123.34</v>
      </c>
      <c r="CA238" s="238" t="s">
        <v>36</v>
      </c>
      <c r="CC238">
        <v>96580.649816551158</v>
      </c>
      <c r="CD238" s="238">
        <v>0</v>
      </c>
      <c r="CE238" s="238">
        <v>2369123.34</v>
      </c>
      <c r="CH238" s="238" t="s">
        <v>39</v>
      </c>
      <c r="CI238" s="238" t="s">
        <v>39</v>
      </c>
      <c r="CJ238" t="s">
        <v>8950</v>
      </c>
      <c r="CK238" t="s">
        <v>1167</v>
      </c>
      <c r="CL238" t="s">
        <v>8961</v>
      </c>
      <c r="CM238" t="s">
        <v>8970</v>
      </c>
      <c r="CN238" s="238" t="b">
        <v>1</v>
      </c>
      <c r="CO238" t="s">
        <v>5526</v>
      </c>
      <c r="CQ238" t="s">
        <v>4895</v>
      </c>
      <c r="CR238" t="s">
        <v>3246</v>
      </c>
      <c r="CS238" t="s">
        <v>36</v>
      </c>
      <c r="CT238" t="b">
        <v>1</v>
      </c>
      <c r="CU238">
        <v>2369123.34</v>
      </c>
      <c r="CV238" t="s">
        <v>9002</v>
      </c>
      <c r="CW238">
        <v>0</v>
      </c>
      <c r="CX238">
        <v>2369123</v>
      </c>
      <c r="CY238">
        <v>0</v>
      </c>
      <c r="CZ238" t="b">
        <v>1</v>
      </c>
      <c r="DA238">
        <v>45188</v>
      </c>
      <c r="DB238" t="s">
        <v>399</v>
      </c>
      <c r="DC238">
        <v>-7.337953526294517E-3</v>
      </c>
      <c r="DD238">
        <v>-708.7043198931774</v>
      </c>
      <c r="DE238" s="420" cm="1">
        <f t="array" ref="DE23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239" spans="1:109" hidden="1" x14ac:dyDescent="0.25">
      <c r="A239" s="238">
        <v>238</v>
      </c>
      <c r="B239" s="238" t="s">
        <v>16</v>
      </c>
      <c r="C239" s="238">
        <v>3</v>
      </c>
      <c r="D239" s="238">
        <v>3</v>
      </c>
      <c r="E239" s="238">
        <v>2</v>
      </c>
      <c r="F239" s="238">
        <v>13.69</v>
      </c>
      <c r="G239" s="238">
        <v>10.16</v>
      </c>
      <c r="H239" s="238"/>
      <c r="I239">
        <v>23.85</v>
      </c>
      <c r="J239" s="238">
        <v>18.71</v>
      </c>
      <c r="K239" s="238">
        <v>3.49</v>
      </c>
      <c r="L239" s="238">
        <v>2.11</v>
      </c>
      <c r="M239" s="238"/>
      <c r="N239" s="238">
        <v>7.09</v>
      </c>
      <c r="O239" s="238">
        <v>2.65</v>
      </c>
      <c r="P239" s="238"/>
      <c r="R239" s="238">
        <v>2.65</v>
      </c>
      <c r="S239">
        <v>57.9</v>
      </c>
      <c r="T239">
        <v>55.25</v>
      </c>
      <c r="U239" s="238">
        <v>56.58</v>
      </c>
      <c r="V239">
        <v>56</v>
      </c>
      <c r="W239" s="238">
        <v>80307.864000000001</v>
      </c>
      <c r="X239">
        <v>4015.3932</v>
      </c>
      <c r="Y239">
        <v>84323.257199999993</v>
      </c>
      <c r="Z239">
        <v>2529.6977160000001</v>
      </c>
      <c r="AA239">
        <v>86852.954916000002</v>
      </c>
      <c r="AC239">
        <v>86852.954916000002</v>
      </c>
      <c r="AE239">
        <v>86852.954916000002</v>
      </c>
      <c r="AG239">
        <v>86852.954916000002</v>
      </c>
      <c r="AI239">
        <v>86852.954916000002</v>
      </c>
      <c r="AK239">
        <v>86852.954916000002</v>
      </c>
      <c r="AM239">
        <v>86852.954916000002</v>
      </c>
      <c r="AO239">
        <v>86852.954916000002</v>
      </c>
      <c r="AQ239">
        <v>86852.954916000002</v>
      </c>
      <c r="AS239">
        <v>86852.954916000002</v>
      </c>
      <c r="AU239">
        <v>86852.954916000002</v>
      </c>
      <c r="AW239">
        <v>86852.954916000002</v>
      </c>
      <c r="AY239">
        <v>86852.954916000002</v>
      </c>
      <c r="BA239">
        <v>86852.954916000002</v>
      </c>
      <c r="BC239">
        <v>86852.954916000002</v>
      </c>
      <c r="BE239">
        <v>86852.954916000002</v>
      </c>
      <c r="BG239">
        <v>86852.954916000002</v>
      </c>
      <c r="BI239">
        <v>86852.954916000002</v>
      </c>
      <c r="BK239">
        <v>86852.954916000002</v>
      </c>
      <c r="BM239">
        <v>86852.954916000002</v>
      </c>
      <c r="BO239">
        <v>86852.954916000002</v>
      </c>
      <c r="BQ239">
        <v>86852.954916000002</v>
      </c>
      <c r="BS239">
        <v>86852.954916000002</v>
      </c>
      <c r="BT239" s="238">
        <v>86852.95</v>
      </c>
      <c r="BU239" s="238">
        <v>4914139.91</v>
      </c>
      <c r="BX239" s="238">
        <v>0</v>
      </c>
      <c r="BY239" s="238">
        <v>86852.94998232591</v>
      </c>
      <c r="BZ239" s="238">
        <v>4914139.91</v>
      </c>
      <c r="CA239" s="238" t="s">
        <v>37</v>
      </c>
      <c r="CB239">
        <v>7500</v>
      </c>
      <c r="CC239">
        <v>94352.949982325925</v>
      </c>
      <c r="CD239" s="238">
        <v>424350</v>
      </c>
      <c r="CE239" s="238">
        <v>5338489.91</v>
      </c>
      <c r="CF239" t="s">
        <v>4633</v>
      </c>
      <c r="CH239" s="238" t="s">
        <v>39</v>
      </c>
      <c r="CI239" s="238" t="s">
        <v>39</v>
      </c>
      <c r="CJ239" t="s">
        <v>8950</v>
      </c>
      <c r="CK239" t="s">
        <v>1167</v>
      </c>
      <c r="CL239" t="s">
        <v>8961</v>
      </c>
      <c r="CM239" t="s">
        <v>8971</v>
      </c>
      <c r="CN239" s="238" t="b">
        <v>1</v>
      </c>
      <c r="CO239" t="s">
        <v>5527</v>
      </c>
      <c r="CQ239" t="s">
        <v>4895</v>
      </c>
      <c r="CR239" t="s">
        <v>3246</v>
      </c>
      <c r="CS239" t="s">
        <v>37</v>
      </c>
      <c r="CT239" t="b">
        <v>1</v>
      </c>
      <c r="CU239">
        <v>4914139.91</v>
      </c>
      <c r="CV239" t="s">
        <v>9002</v>
      </c>
      <c r="CW239">
        <v>0</v>
      </c>
      <c r="CX239">
        <v>4914140</v>
      </c>
      <c r="CY239">
        <v>0</v>
      </c>
      <c r="CZ239" t="b">
        <v>1</v>
      </c>
      <c r="DA239">
        <v>45191</v>
      </c>
      <c r="DB239" t="s">
        <v>126</v>
      </c>
      <c r="DC239">
        <v>-1.0250972074938081E-2</v>
      </c>
      <c r="DD239">
        <v>-890.32716489481675</v>
      </c>
      <c r="DE239" s="420" cm="1">
        <f t="array" ref="DE239">_xlfn.XLOOKUP("Дом 5"&amp;Реестр_Д5[[#This Row],[№]]&amp;Реестр_Д5[[#This Row],[Статус]],РД[Дом]&amp;РД[№ кв]&amp;РД[Состояние],РД[Дата подачи на регистрацию],"-",0)</f>
        <v>45191</v>
      </c>
    </row>
    <row r="240" spans="1:109" hidden="1" x14ac:dyDescent="0.25">
      <c r="A240" s="238">
        <v>239</v>
      </c>
      <c r="B240" s="238" t="s">
        <v>16</v>
      </c>
      <c r="C240" s="238">
        <v>3</v>
      </c>
      <c r="D240" s="238">
        <v>4</v>
      </c>
      <c r="E240" s="238">
        <v>2</v>
      </c>
      <c r="F240" s="238">
        <v>15.45</v>
      </c>
      <c r="G240" s="238">
        <v>10.34</v>
      </c>
      <c r="H240" s="238"/>
      <c r="I240">
        <v>25.79</v>
      </c>
      <c r="J240" s="238">
        <v>15.44</v>
      </c>
      <c r="K240" s="238">
        <v>4.59</v>
      </c>
      <c r="L240" s="238">
        <v>2.21</v>
      </c>
      <c r="M240" s="238"/>
      <c r="N240" s="238">
        <v>10.79</v>
      </c>
      <c r="O240" s="238">
        <v>2.84</v>
      </c>
      <c r="P240" s="238"/>
      <c r="R240" s="238">
        <v>2.84</v>
      </c>
      <c r="S240">
        <v>61.66</v>
      </c>
      <c r="T240">
        <v>58.82</v>
      </c>
      <c r="U240" s="238">
        <v>60.24</v>
      </c>
      <c r="V240">
        <v>60.050000000000011</v>
      </c>
      <c r="W240" s="238">
        <v>82238.34150000001</v>
      </c>
      <c r="X240">
        <v>4111.9170750000003</v>
      </c>
      <c r="Y240">
        <v>86350.258575000014</v>
      </c>
      <c r="Z240">
        <v>2590.5077572500004</v>
      </c>
      <c r="AA240">
        <v>88940.766332250016</v>
      </c>
      <c r="AC240">
        <v>88940.766332250016</v>
      </c>
      <c r="AE240">
        <v>88940.766332250016</v>
      </c>
      <c r="AG240">
        <v>88940.766332250016</v>
      </c>
      <c r="AI240">
        <v>88940.766332250016</v>
      </c>
      <c r="AJ240">
        <v>889.40766332250018</v>
      </c>
      <c r="AK240">
        <v>89830.173995572535</v>
      </c>
      <c r="AL240">
        <v>4491.5086997786266</v>
      </c>
      <c r="AM240">
        <v>94321.682695351148</v>
      </c>
      <c r="AO240">
        <v>94321.682695351148</v>
      </c>
      <c r="AP240">
        <v>1886.433653907023</v>
      </c>
      <c r="AQ240">
        <v>96208.116349258169</v>
      </c>
      <c r="AS240">
        <v>96208.116349258169</v>
      </c>
      <c r="AT240">
        <v>1924.1623269851632</v>
      </c>
      <c r="AU240">
        <v>98132.278676243339</v>
      </c>
      <c r="AW240">
        <v>98132.278676243339</v>
      </c>
      <c r="AY240">
        <v>98132.278676243339</v>
      </c>
      <c r="BA240">
        <v>98132.278676243339</v>
      </c>
      <c r="BC240">
        <v>98132.278676243339</v>
      </c>
      <c r="BE240">
        <v>98132.278676243339</v>
      </c>
      <c r="BF240">
        <v>490.66139338121673</v>
      </c>
      <c r="BG240">
        <v>98622.940069624558</v>
      </c>
      <c r="BI240">
        <v>98622.940069624558</v>
      </c>
      <c r="BJ240">
        <v>3944.9176027849826</v>
      </c>
      <c r="BK240">
        <v>102567.85767240952</v>
      </c>
      <c r="BL240">
        <v>6154.0714603445722</v>
      </c>
      <c r="BM240">
        <v>108721.9291327541</v>
      </c>
      <c r="BN240">
        <v>14133.850787258034</v>
      </c>
      <c r="BO240">
        <v>122855.77992001214</v>
      </c>
      <c r="BP240">
        <v>35</v>
      </c>
      <c r="BQ240">
        <v>122890.77992001214</v>
      </c>
      <c r="BS240">
        <v>122890.77992001214</v>
      </c>
      <c r="BT240" s="238">
        <v>122890.78</v>
      </c>
      <c r="BU240" s="238">
        <v>7403000</v>
      </c>
      <c r="BV240">
        <v>300000</v>
      </c>
      <c r="BX240" s="238">
        <v>300000</v>
      </c>
      <c r="BY240" s="238">
        <v>117911.68658698539</v>
      </c>
      <c r="BZ240" s="238">
        <v>7103000</v>
      </c>
      <c r="CA240" s="238" t="s">
        <v>36</v>
      </c>
      <c r="CC240">
        <v>117911.68658698539</v>
      </c>
      <c r="CD240" s="238">
        <v>0</v>
      </c>
      <c r="CE240" s="238">
        <v>7103000</v>
      </c>
      <c r="CG240" t="s">
        <v>8594</v>
      </c>
      <c r="CH240" s="238" t="s">
        <v>39</v>
      </c>
      <c r="CI240" s="238" t="s">
        <v>39</v>
      </c>
      <c r="CJ240" t="s">
        <v>8950</v>
      </c>
      <c r="CK240" t="s">
        <v>1167</v>
      </c>
      <c r="CL240" t="s">
        <v>8961</v>
      </c>
      <c r="CM240" t="s">
        <v>8971</v>
      </c>
      <c r="CN240" s="238" t="b">
        <v>1</v>
      </c>
      <c r="CO240" t="s">
        <v>5528</v>
      </c>
      <c r="CQ240" t="s">
        <v>6652</v>
      </c>
      <c r="CR240" t="s">
        <v>3246</v>
      </c>
      <c r="CS240" t="s">
        <v>36</v>
      </c>
      <c r="CT240" t="b">
        <v>1</v>
      </c>
      <c r="CU240">
        <v>7403000</v>
      </c>
      <c r="CV240" t="s">
        <v>9002</v>
      </c>
      <c r="CW240">
        <v>0</v>
      </c>
      <c r="CX240">
        <v>7403000</v>
      </c>
      <c r="CY240">
        <v>0</v>
      </c>
      <c r="CZ240" t="b">
        <v>1</v>
      </c>
      <c r="DA240">
        <v>45756</v>
      </c>
      <c r="DB240" t="s">
        <v>5215</v>
      </c>
      <c r="DC240">
        <v>-3.1540504648073231E-3</v>
      </c>
      <c r="DD240">
        <v>-371.89940988589666</v>
      </c>
      <c r="DE240" s="420" cm="1">
        <f t="array" ref="DE240">_xlfn.XLOOKUP("Дом 5"&amp;Реестр_Д5[[#This Row],[№]]&amp;Реестр_Д5[[#This Row],[Статус]],РД[Дом]&amp;РД[№ кв]&amp;РД[Состояние],РД[Дата подачи на регистрацию],"-",0)</f>
        <v>45756</v>
      </c>
    </row>
    <row r="241" spans="1:109" hidden="1" x14ac:dyDescent="0.25">
      <c r="A241" s="238">
        <v>240</v>
      </c>
      <c r="B241" s="238" t="s">
        <v>16</v>
      </c>
      <c r="C241" s="238">
        <v>3</v>
      </c>
      <c r="D241" s="238">
        <v>5</v>
      </c>
      <c r="E241" s="238">
        <v>1</v>
      </c>
      <c r="F241" s="238">
        <v>12.54</v>
      </c>
      <c r="G241" s="238"/>
      <c r="H241" s="238"/>
      <c r="I241">
        <v>12.54</v>
      </c>
      <c r="J241" s="238">
        <v>12.74</v>
      </c>
      <c r="K241" s="238">
        <v>4.0199999999999996</v>
      </c>
      <c r="L241" s="238"/>
      <c r="M241" s="238"/>
      <c r="N241" s="238">
        <v>7.09</v>
      </c>
      <c r="O241" s="238">
        <v>2.84</v>
      </c>
      <c r="P241" s="238"/>
      <c r="R241" s="238">
        <v>2.84</v>
      </c>
      <c r="S241">
        <v>39.229999999999997</v>
      </c>
      <c r="T241">
        <v>36.39</v>
      </c>
      <c r="U241" s="238">
        <v>37.81</v>
      </c>
      <c r="V241">
        <v>37.450000000000003</v>
      </c>
      <c r="W241" s="238">
        <v>89223.75</v>
      </c>
      <c r="X241">
        <v>4461.1875</v>
      </c>
      <c r="Y241">
        <v>93684.9375</v>
      </c>
      <c r="AA241">
        <v>93684.9375</v>
      </c>
      <c r="AC241">
        <v>93684.9375</v>
      </c>
      <c r="AE241">
        <v>93684.9375</v>
      </c>
      <c r="AG241">
        <v>93684.9375</v>
      </c>
      <c r="AI241">
        <v>93684.9375</v>
      </c>
      <c r="AK241">
        <v>93684.9375</v>
      </c>
      <c r="AM241">
        <v>93684.9375</v>
      </c>
      <c r="AO241">
        <v>93684.9375</v>
      </c>
      <c r="AQ241">
        <v>93684.9375</v>
      </c>
      <c r="AS241">
        <v>93684.9375</v>
      </c>
      <c r="AU241">
        <v>93684.9375</v>
      </c>
      <c r="AW241">
        <v>93684.9375</v>
      </c>
      <c r="AY241">
        <v>93684.9375</v>
      </c>
      <c r="BA241">
        <v>93684.9375</v>
      </c>
      <c r="BC241">
        <v>93684.9375</v>
      </c>
      <c r="BE241">
        <v>93684.9375</v>
      </c>
      <c r="BG241">
        <v>93684.9375</v>
      </c>
      <c r="BI241">
        <v>93684.9375</v>
      </c>
      <c r="BK241">
        <v>93684.9375</v>
      </c>
      <c r="BM241">
        <v>93684.9375</v>
      </c>
      <c r="BO241">
        <v>93684.9375</v>
      </c>
      <c r="BQ241">
        <v>93684.9375</v>
      </c>
      <c r="BS241">
        <v>93684.9375</v>
      </c>
      <c r="BT241" s="238">
        <v>93684.94</v>
      </c>
      <c r="BU241" s="238">
        <v>3542227.58</v>
      </c>
      <c r="BW241">
        <v>0.02</v>
      </c>
      <c r="BX241" s="238">
        <v>70844.551600000006</v>
      </c>
      <c r="BY241" s="238">
        <v>91811.241206030143</v>
      </c>
      <c r="BZ241" s="238">
        <v>3471383.03</v>
      </c>
      <c r="CA241" s="238" t="s">
        <v>36</v>
      </c>
      <c r="CC241">
        <v>91811.241206030143</v>
      </c>
      <c r="CD241" s="238">
        <v>0</v>
      </c>
      <c r="CE241" s="238">
        <v>3471383.03</v>
      </c>
      <c r="CG241" t="s">
        <v>4518</v>
      </c>
      <c r="CH241" s="238" t="s">
        <v>39</v>
      </c>
      <c r="CI241" s="238" t="s">
        <v>39</v>
      </c>
      <c r="CJ241" t="s">
        <v>8950</v>
      </c>
      <c r="CK241" t="s">
        <v>1167</v>
      </c>
      <c r="CL241" t="s">
        <v>8961</v>
      </c>
      <c r="CM241" t="s">
        <v>8973</v>
      </c>
      <c r="CN241" s="238" t="b">
        <v>1</v>
      </c>
      <c r="CO241" t="s">
        <v>5529</v>
      </c>
      <c r="CQ241" t="s">
        <v>4895</v>
      </c>
      <c r="CR241" t="s">
        <v>3246</v>
      </c>
      <c r="CS241" t="s">
        <v>36</v>
      </c>
      <c r="CT241" t="b">
        <v>1</v>
      </c>
      <c r="CU241">
        <v>3542227.58</v>
      </c>
      <c r="CV241" t="s">
        <v>9002</v>
      </c>
      <c r="CW241">
        <v>0</v>
      </c>
      <c r="CX241">
        <v>3542228</v>
      </c>
      <c r="CY241">
        <v>0</v>
      </c>
      <c r="CZ241" t="b">
        <v>1</v>
      </c>
      <c r="DA241">
        <v>45188</v>
      </c>
      <c r="DB241" t="s">
        <v>130</v>
      </c>
      <c r="DC241">
        <v>-9.5212906638455497E-3</v>
      </c>
      <c r="DD241">
        <v>-874.16151373104651</v>
      </c>
      <c r="DE241" s="420" cm="1">
        <f t="array" ref="DE241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242" spans="1:109" hidden="1" x14ac:dyDescent="0.25">
      <c r="A242" s="238">
        <v>241</v>
      </c>
      <c r="B242" s="238" t="s">
        <v>16</v>
      </c>
      <c r="C242" s="238">
        <v>3</v>
      </c>
      <c r="D242" s="238">
        <v>6</v>
      </c>
      <c r="E242" s="238">
        <v>3</v>
      </c>
      <c r="F242" s="238">
        <v>17.2</v>
      </c>
      <c r="G242" s="238">
        <v>14.64</v>
      </c>
      <c r="H242" s="238">
        <v>14.34</v>
      </c>
      <c r="I242">
        <v>46.18</v>
      </c>
      <c r="J242" s="238">
        <v>13.15</v>
      </c>
      <c r="K242" s="238">
        <v>4.03</v>
      </c>
      <c r="L242" s="238">
        <v>1.76</v>
      </c>
      <c r="M242" s="238"/>
      <c r="N242" s="238">
        <v>13.11</v>
      </c>
      <c r="O242" s="238">
        <v>2.79</v>
      </c>
      <c r="P242" s="238">
        <v>2.68</v>
      </c>
      <c r="R242" s="238">
        <v>5.4700000000000006</v>
      </c>
      <c r="S242">
        <v>83.7</v>
      </c>
      <c r="T242">
        <v>78.23</v>
      </c>
      <c r="U242" s="238">
        <v>80.97</v>
      </c>
      <c r="V242">
        <v>80.3</v>
      </c>
      <c r="W242" s="238">
        <v>74234.160000000018</v>
      </c>
      <c r="X242">
        <v>3711.708000000001</v>
      </c>
      <c r="Y242">
        <v>77945.868000000017</v>
      </c>
      <c r="Z242">
        <v>2338.376040000001</v>
      </c>
      <c r="AA242">
        <v>80284.24404000002</v>
      </c>
      <c r="AC242">
        <v>80284.24404000002</v>
      </c>
      <c r="AE242">
        <v>80284.24404000002</v>
      </c>
      <c r="AG242">
        <v>80284.24404000002</v>
      </c>
      <c r="AI242">
        <v>80284.24404000002</v>
      </c>
      <c r="AJ242">
        <v>802.84244040000021</v>
      </c>
      <c r="AK242">
        <v>81087.086480400016</v>
      </c>
      <c r="AL242">
        <v>4054.3543240200006</v>
      </c>
      <c r="AM242">
        <v>85141.44080442001</v>
      </c>
      <c r="AO242">
        <v>85141.44080442001</v>
      </c>
      <c r="AP242">
        <v>1702.8288160884003</v>
      </c>
      <c r="AQ242">
        <v>86844.269620508407</v>
      </c>
      <c r="AS242">
        <v>86844.269620508407</v>
      </c>
      <c r="AT242">
        <v>1736.8853924101682</v>
      </c>
      <c r="AU242">
        <v>88581.155012918578</v>
      </c>
      <c r="AW242">
        <v>88581.155012918578</v>
      </c>
      <c r="AX242">
        <v>885.81155012918578</v>
      </c>
      <c r="AY242">
        <v>89466.966563047783</v>
      </c>
      <c r="BA242">
        <v>89466.966563047783</v>
      </c>
      <c r="BB242">
        <v>447.33483281523883</v>
      </c>
      <c r="BC242">
        <v>89914.301395863004</v>
      </c>
      <c r="BD242">
        <v>1798.2860279172601</v>
      </c>
      <c r="BE242">
        <v>91712.587423780249</v>
      </c>
      <c r="BG242">
        <v>91712.587423780249</v>
      </c>
      <c r="BI242">
        <v>91712.587423780249</v>
      </c>
      <c r="BK242">
        <v>91712.587423780249</v>
      </c>
      <c r="BM242">
        <v>91712.587423780249</v>
      </c>
      <c r="BO242">
        <v>91712.587423780249</v>
      </c>
      <c r="BQ242">
        <v>91712.587423780249</v>
      </c>
      <c r="BS242">
        <v>91712.587423780249</v>
      </c>
      <c r="BT242" s="238">
        <v>91712.59</v>
      </c>
      <c r="BU242" s="238">
        <v>7426000</v>
      </c>
      <c r="BX242" s="238">
        <v>0</v>
      </c>
      <c r="BY242" s="238">
        <v>91712.980116092382</v>
      </c>
      <c r="BZ242" s="238">
        <v>7426000</v>
      </c>
      <c r="CA242" s="238" t="s">
        <v>36</v>
      </c>
      <c r="CC242">
        <v>91712.980116092382</v>
      </c>
      <c r="CD242" s="238">
        <v>0</v>
      </c>
      <c r="CE242" s="238">
        <v>7426000</v>
      </c>
      <c r="CH242" s="238" t="s">
        <v>39</v>
      </c>
      <c r="CI242" s="238" t="s">
        <v>39</v>
      </c>
      <c r="CJ242" t="s">
        <v>8950</v>
      </c>
      <c r="CK242" t="s">
        <v>1167</v>
      </c>
      <c r="CL242" t="s">
        <v>8961</v>
      </c>
      <c r="CM242" t="s">
        <v>8975</v>
      </c>
      <c r="CN242" s="238" t="b">
        <v>1</v>
      </c>
      <c r="CO242" t="s">
        <v>5530</v>
      </c>
      <c r="CQ242" t="s">
        <v>6652</v>
      </c>
      <c r="CR242" t="s">
        <v>3246</v>
      </c>
      <c r="CS242" t="s">
        <v>36</v>
      </c>
      <c r="CT242" t="b">
        <v>1</v>
      </c>
      <c r="CU242">
        <v>7426000</v>
      </c>
      <c r="CV242" t="s">
        <v>9002</v>
      </c>
      <c r="CW242">
        <v>7426000</v>
      </c>
      <c r="CX242">
        <v>7426000</v>
      </c>
      <c r="CY242">
        <v>0</v>
      </c>
      <c r="CZ242" t="b">
        <v>1</v>
      </c>
      <c r="DA242">
        <v>45576</v>
      </c>
      <c r="DB242" t="s">
        <v>5215</v>
      </c>
      <c r="DC242">
        <v>-8.274669630727427E-3</v>
      </c>
      <c r="DD242">
        <v>-758.89461131013798</v>
      </c>
      <c r="DE242" s="420" cm="1">
        <f t="array" ref="DE242">_xlfn.XLOOKUP("Дом 5"&amp;Реестр_Д5[[#This Row],[№]]&amp;Реестр_Д5[[#This Row],[Статус]],РД[Дом]&amp;РД[№ кв]&amp;РД[Состояние],РД[Дата подачи на регистрацию],"-",0)</f>
        <v>45576</v>
      </c>
    </row>
    <row r="243" spans="1:109" hidden="1" x14ac:dyDescent="0.25">
      <c r="A243" s="238">
        <v>242</v>
      </c>
      <c r="B243" s="238" t="s">
        <v>16</v>
      </c>
      <c r="C243" s="238">
        <v>3</v>
      </c>
      <c r="D243" s="238">
        <v>7</v>
      </c>
      <c r="E243" s="238">
        <v>1</v>
      </c>
      <c r="F243" s="238">
        <v>14.3</v>
      </c>
      <c r="G243" s="238"/>
      <c r="H243" s="238"/>
      <c r="I243">
        <v>14.3</v>
      </c>
      <c r="J243" s="238">
        <v>9.2799999999999994</v>
      </c>
      <c r="K243" s="238">
        <v>3.79</v>
      </c>
      <c r="L243" s="238"/>
      <c r="M243" s="238"/>
      <c r="N243" s="238">
        <v>6.08</v>
      </c>
      <c r="O243" s="238">
        <v>2.71</v>
      </c>
      <c r="P243" s="238"/>
      <c r="R243" s="238">
        <v>2.71</v>
      </c>
      <c r="S243">
        <v>36.159999999999997</v>
      </c>
      <c r="T243">
        <v>33.450000000000003</v>
      </c>
      <c r="U243" s="238">
        <v>34.81</v>
      </c>
      <c r="V243">
        <v>34.599999999999994</v>
      </c>
      <c r="W243" s="238">
        <v>85573.6875</v>
      </c>
      <c r="Y243">
        <v>85573.6875</v>
      </c>
      <c r="AA243">
        <v>85573.6875</v>
      </c>
      <c r="AC243">
        <v>85573.6875</v>
      </c>
      <c r="AE243">
        <v>85573.6875</v>
      </c>
      <c r="AG243">
        <v>85573.6875</v>
      </c>
      <c r="AI243">
        <v>85573.6875</v>
      </c>
      <c r="AK243">
        <v>85573.6875</v>
      </c>
      <c r="AM243">
        <v>85573.6875</v>
      </c>
      <c r="AO243">
        <v>85573.6875</v>
      </c>
      <c r="AQ243">
        <v>85573.6875</v>
      </c>
      <c r="AS243">
        <v>85573.6875</v>
      </c>
      <c r="AU243">
        <v>85573.6875</v>
      </c>
      <c r="AW243">
        <v>85573.6875</v>
      </c>
      <c r="AY243">
        <v>85573.6875</v>
      </c>
      <c r="BA243">
        <v>85573.6875</v>
      </c>
      <c r="BC243">
        <v>85573.6875</v>
      </c>
      <c r="BE243">
        <v>85573.6875</v>
      </c>
      <c r="BG243">
        <v>85573.6875</v>
      </c>
      <c r="BI243">
        <v>85573.6875</v>
      </c>
      <c r="BK243">
        <v>85573.6875</v>
      </c>
      <c r="BM243">
        <v>85573.6875</v>
      </c>
      <c r="BO243">
        <v>85573.6875</v>
      </c>
      <c r="BQ243">
        <v>85573.6875</v>
      </c>
      <c r="BS243">
        <v>85573.6875</v>
      </c>
      <c r="BT243" s="238">
        <v>85573.69</v>
      </c>
      <c r="BU243" s="238">
        <v>2978820.15</v>
      </c>
      <c r="BX243" s="238">
        <v>0</v>
      </c>
      <c r="BY243" s="238">
        <v>85573.690031600112</v>
      </c>
      <c r="BZ243" s="238">
        <v>2978820.15</v>
      </c>
      <c r="CA243" s="238" t="s">
        <v>36</v>
      </c>
      <c r="CC243">
        <v>85573.690031600112</v>
      </c>
      <c r="CD243" s="238">
        <v>0</v>
      </c>
      <c r="CE243" s="238">
        <v>2978820.15</v>
      </c>
      <c r="CF243" t="s">
        <v>4633</v>
      </c>
      <c r="CH243" s="238" t="s">
        <v>39</v>
      </c>
      <c r="CI243" s="238" t="s">
        <v>39</v>
      </c>
      <c r="CJ243" t="s">
        <v>8950</v>
      </c>
      <c r="CK243" t="s">
        <v>1167</v>
      </c>
      <c r="CL243" t="s">
        <v>8961</v>
      </c>
      <c r="CM243" t="s">
        <v>8973</v>
      </c>
      <c r="CN243" s="238" t="b">
        <v>1</v>
      </c>
      <c r="CO243" t="s">
        <v>5531</v>
      </c>
      <c r="CQ243" t="s">
        <v>4895</v>
      </c>
      <c r="CR243" t="s">
        <v>3246</v>
      </c>
      <c r="CS243" t="s">
        <v>36</v>
      </c>
      <c r="CT243" t="b">
        <v>1</v>
      </c>
      <c r="CU243">
        <v>2978820.15</v>
      </c>
      <c r="CV243" t="s">
        <v>9002</v>
      </c>
      <c r="CW243">
        <v>2978820</v>
      </c>
      <c r="CX243">
        <v>2978820</v>
      </c>
      <c r="CY243">
        <v>0</v>
      </c>
      <c r="CZ243" t="b">
        <v>1</v>
      </c>
      <c r="DA243">
        <v>45198</v>
      </c>
      <c r="DB243" t="s">
        <v>130</v>
      </c>
      <c r="DC243">
        <v>-6.0327492099973004E-3</v>
      </c>
      <c r="DD243">
        <v>-516.24461093468949</v>
      </c>
      <c r="DE243" s="420" cm="1">
        <f t="array" ref="DE243">_xlfn.XLOOKUP("Дом 5"&amp;Реестр_Д5[[#This Row],[№]]&amp;Реестр_Д5[[#This Row],[Статус]],РД[Дом]&amp;РД[№ кв]&amp;РД[Состояние],РД[Дата подачи на регистрацию],"-",0)</f>
        <v>45198</v>
      </c>
    </row>
    <row r="244" spans="1:109" x14ac:dyDescent="0.25">
      <c r="A244" s="238">
        <v>243</v>
      </c>
      <c r="B244" s="238" t="s">
        <v>16</v>
      </c>
      <c r="C244" s="238">
        <v>4</v>
      </c>
      <c r="D244" s="238">
        <v>1</v>
      </c>
      <c r="E244" s="238">
        <v>2</v>
      </c>
      <c r="F244" s="238">
        <v>17.63</v>
      </c>
      <c r="G244" s="238">
        <v>13.69</v>
      </c>
      <c r="H244" s="238"/>
      <c r="I244">
        <v>31.32</v>
      </c>
      <c r="J244" s="238">
        <v>20.05</v>
      </c>
      <c r="K244" s="238">
        <v>3.54</v>
      </c>
      <c r="L244" s="238">
        <v>2.93</v>
      </c>
      <c r="M244" s="238"/>
      <c r="N244" s="238">
        <v>12.19</v>
      </c>
      <c r="O244" s="238">
        <v>4.6500000000000004</v>
      </c>
      <c r="P244" s="238">
        <v>2.68</v>
      </c>
      <c r="R244" s="238">
        <v>7.33</v>
      </c>
      <c r="S244">
        <v>77.36</v>
      </c>
      <c r="T244">
        <v>70.03</v>
      </c>
      <c r="U244" s="238">
        <v>73.7</v>
      </c>
      <c r="V244">
        <v>73.249999999999986</v>
      </c>
      <c r="W244" s="238">
        <v>81080.054999999993</v>
      </c>
      <c r="X244">
        <v>4054.002750000001</v>
      </c>
      <c r="Y244">
        <v>85134.057750000007</v>
      </c>
      <c r="Z244">
        <v>2554.0217325000003</v>
      </c>
      <c r="AA244">
        <v>87688.079482500005</v>
      </c>
      <c r="AC244">
        <v>87688.079482500005</v>
      </c>
      <c r="AE244">
        <v>87688.079482500005</v>
      </c>
      <c r="AG244">
        <v>87688.079482500005</v>
      </c>
      <c r="AI244">
        <v>87688.079482500005</v>
      </c>
      <c r="AJ244">
        <v>876.88079482499995</v>
      </c>
      <c r="AK244">
        <v>88564.960277325008</v>
      </c>
      <c r="AL244">
        <v>4428.2480138662504</v>
      </c>
      <c r="AM244">
        <v>92993.208291191258</v>
      </c>
      <c r="AO244">
        <v>92993.208291191258</v>
      </c>
      <c r="AP244">
        <v>1859.8641658238253</v>
      </c>
      <c r="AQ244">
        <v>94853.072457015078</v>
      </c>
      <c r="AS244">
        <v>94853.072457015078</v>
      </c>
      <c r="AT244">
        <v>1897.0614491403016</v>
      </c>
      <c r="AU244">
        <v>96750.133906155374</v>
      </c>
      <c r="AW244">
        <v>96750.133906155374</v>
      </c>
      <c r="AY244">
        <v>96750.133906155374</v>
      </c>
      <c r="BA244">
        <v>96750.133906155374</v>
      </c>
      <c r="BC244">
        <v>96750.133906155374</v>
      </c>
      <c r="BE244">
        <v>96750.133906155374</v>
      </c>
      <c r="BF244">
        <v>483.75066953077686</v>
      </c>
      <c r="BG244">
        <v>97233.884575686156</v>
      </c>
      <c r="BI244">
        <v>97233.884575686156</v>
      </c>
      <c r="BK244">
        <v>97233.884575686156</v>
      </c>
      <c r="BL244">
        <v>7778.7107660548927</v>
      </c>
      <c r="BM244">
        <v>105012.59534174103</v>
      </c>
      <c r="BN244">
        <v>13651.637394426336</v>
      </c>
      <c r="BO244">
        <v>118664.23273616738</v>
      </c>
      <c r="BP244">
        <v>35</v>
      </c>
      <c r="BQ244">
        <v>118699.23273616738</v>
      </c>
      <c r="BS244">
        <v>118699.23273616738</v>
      </c>
      <c r="BT244" s="238">
        <v>118699.23</v>
      </c>
      <c r="BU244" s="238">
        <v>8694800</v>
      </c>
      <c r="BX244" s="238">
        <v>0</v>
      </c>
      <c r="BY244" s="238">
        <v>118700.34129692837</v>
      </c>
      <c r="BZ244" s="238">
        <v>8694800</v>
      </c>
      <c r="CA244" s="238" t="s">
        <v>6871</v>
      </c>
      <c r="CB244">
        <v>10000</v>
      </c>
      <c r="CC244">
        <v>128700.34129692837</v>
      </c>
      <c r="CD244" s="238">
        <v>732500</v>
      </c>
      <c r="CE244" s="238">
        <v>9427300</v>
      </c>
      <c r="CF244" t="s">
        <v>4635</v>
      </c>
      <c r="CH244" s="238" t="s">
        <v>3</v>
      </c>
      <c r="CI244" s="238" t="s">
        <v>3</v>
      </c>
      <c r="CJ244" t="s">
        <v>8951</v>
      </c>
      <c r="CK244" t="s">
        <v>1167</v>
      </c>
      <c r="CL244" t="s">
        <v>8961</v>
      </c>
      <c r="CM244" t="s">
        <v>8971</v>
      </c>
      <c r="CN244" s="238" t="b">
        <v>1</v>
      </c>
      <c r="CO244" t="s">
        <v>5532</v>
      </c>
      <c r="CQ244" t="s">
        <v>6652</v>
      </c>
      <c r="CR244" t="s">
        <v>3124</v>
      </c>
      <c r="CS244" t="s">
        <v>36</v>
      </c>
      <c r="CT244" t="b">
        <v>0</v>
      </c>
      <c r="CU244">
        <v>8694800</v>
      </c>
      <c r="CV244">
        <v>8694800</v>
      </c>
      <c r="CW244">
        <v>0</v>
      </c>
      <c r="CX244">
        <v>0</v>
      </c>
      <c r="CY244">
        <v>0</v>
      </c>
      <c r="CZ244" t="b">
        <v>1</v>
      </c>
      <c r="DA244" t="s">
        <v>4246</v>
      </c>
      <c r="DB244" t="s">
        <v>1167</v>
      </c>
      <c r="DC244">
        <v>-6.105834464043669E-3</v>
      </c>
      <c r="DD244">
        <v>-724.76463478453115</v>
      </c>
      <c r="DE244" s="420" t="str" cm="1">
        <f t="array" ref="DE24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45" spans="1:109" hidden="1" x14ac:dyDescent="0.25">
      <c r="A245" s="238">
        <v>244</v>
      </c>
      <c r="B245" s="238" t="s">
        <v>16</v>
      </c>
      <c r="C245" s="238">
        <v>4</v>
      </c>
      <c r="D245" s="238">
        <v>2</v>
      </c>
      <c r="E245" s="238">
        <v>0</v>
      </c>
      <c r="F245" s="238">
        <v>7.18</v>
      </c>
      <c r="G245" s="238"/>
      <c r="H245" s="238"/>
      <c r="I245">
        <v>7.18</v>
      </c>
      <c r="J245" s="238">
        <v>5.17</v>
      </c>
      <c r="K245" s="238">
        <v>3.72</v>
      </c>
      <c r="L245" s="238"/>
      <c r="M245" s="238"/>
      <c r="N245" s="238">
        <v>6.97</v>
      </c>
      <c r="O245" s="238">
        <v>2.97</v>
      </c>
      <c r="P245" s="238"/>
      <c r="R245" s="238">
        <v>2.97</v>
      </c>
      <c r="S245">
        <v>26.01</v>
      </c>
      <c r="T245">
        <v>23.04</v>
      </c>
      <c r="U245" s="238">
        <v>24.53</v>
      </c>
      <c r="V245">
        <v>24.35</v>
      </c>
      <c r="W245" s="238">
        <v>91981.574999999997</v>
      </c>
      <c r="X245">
        <v>4599.0787499999997</v>
      </c>
      <c r="Y245">
        <v>96580.653749999998</v>
      </c>
      <c r="Z245">
        <v>2897.4196124999999</v>
      </c>
      <c r="AA245">
        <v>99478.073362499999</v>
      </c>
      <c r="AB245">
        <v>12932.149537125</v>
      </c>
      <c r="AC245">
        <v>112410.22289962501</v>
      </c>
      <c r="AD245">
        <v>3372.3066869887502</v>
      </c>
      <c r="AE245">
        <v>115782.52958661376</v>
      </c>
      <c r="AG245">
        <v>115782.52958661376</v>
      </c>
      <c r="AI245">
        <v>115782.52958661376</v>
      </c>
      <c r="AJ245">
        <v>1157.8252958661376</v>
      </c>
      <c r="AK245">
        <v>116940.35488247988</v>
      </c>
      <c r="AL245">
        <v>5847.0177441239948</v>
      </c>
      <c r="AM245">
        <v>122787.37262660389</v>
      </c>
      <c r="AO245">
        <v>122787.37262660389</v>
      </c>
      <c r="AQ245">
        <v>122787.37262660389</v>
      </c>
      <c r="AS245">
        <v>122787.37262660389</v>
      </c>
      <c r="AU245">
        <v>122787.37262660389</v>
      </c>
      <c r="AW245">
        <v>122787.37262660389</v>
      </c>
      <c r="AY245">
        <v>122787.37262660389</v>
      </c>
      <c r="BA245">
        <v>122787.37262660389</v>
      </c>
      <c r="BC245">
        <v>122787.37262660389</v>
      </c>
      <c r="BE245">
        <v>122787.37262660389</v>
      </c>
      <c r="BG245">
        <v>122787.37262660389</v>
      </c>
      <c r="BI245">
        <v>122787.37262660389</v>
      </c>
      <c r="BK245">
        <v>122787.37262660389</v>
      </c>
      <c r="BM245">
        <v>122787.37262660389</v>
      </c>
      <c r="BO245">
        <v>122787.37262660389</v>
      </c>
      <c r="BQ245">
        <v>122787.37262660389</v>
      </c>
      <c r="BS245">
        <v>122787.37262660389</v>
      </c>
      <c r="BT245" s="238">
        <v>122787.37</v>
      </c>
      <c r="BU245" s="238">
        <v>3012000</v>
      </c>
      <c r="BW245">
        <v>0.03</v>
      </c>
      <c r="BX245" s="238">
        <v>90360</v>
      </c>
      <c r="BY245" s="238">
        <v>119104.76966979208</v>
      </c>
      <c r="BZ245" s="238">
        <v>2921640</v>
      </c>
      <c r="CA245" s="238" t="s">
        <v>38</v>
      </c>
      <c r="CB245">
        <v>24000</v>
      </c>
      <c r="CC245">
        <v>143104.76966979209</v>
      </c>
      <c r="CD245" s="238">
        <v>588720</v>
      </c>
      <c r="CE245" s="238">
        <v>3510360</v>
      </c>
      <c r="CG245" t="s">
        <v>3538</v>
      </c>
      <c r="CH245" s="238" t="s">
        <v>39</v>
      </c>
      <c r="CI245" s="238" t="s">
        <v>39</v>
      </c>
      <c r="CJ245" t="s">
        <v>8950</v>
      </c>
      <c r="CK245" t="s">
        <v>1167</v>
      </c>
      <c r="CL245" t="s">
        <v>8961</v>
      </c>
      <c r="CM245" t="s">
        <v>8970</v>
      </c>
      <c r="CN245" s="238" t="b">
        <v>1</v>
      </c>
      <c r="CO245" t="s">
        <v>5533</v>
      </c>
      <c r="CQ245" t="s">
        <v>6652</v>
      </c>
      <c r="CR245" t="s">
        <v>3246</v>
      </c>
      <c r="CS245" t="s">
        <v>38</v>
      </c>
      <c r="CT245" t="b">
        <v>1</v>
      </c>
      <c r="CU245">
        <v>3012000</v>
      </c>
      <c r="CV245" t="s">
        <v>9002</v>
      </c>
      <c r="CW245">
        <v>0</v>
      </c>
      <c r="CX245">
        <v>3012000</v>
      </c>
      <c r="CY245">
        <v>0</v>
      </c>
      <c r="CZ245" t="b">
        <v>1</v>
      </c>
      <c r="DA245">
        <v>45321</v>
      </c>
      <c r="DB245" t="s">
        <v>126</v>
      </c>
      <c r="DC245">
        <v>-7.337953526294517E-3</v>
      </c>
      <c r="DD245">
        <v>-873.98526459694699</v>
      </c>
      <c r="DE245" s="420" cm="1">
        <f t="array" ref="DE245">_xlfn.XLOOKUP("Дом 5"&amp;Реестр_Д5[[#This Row],[№]]&amp;Реестр_Д5[[#This Row],[Статус]],РД[Дом]&amp;РД[№ кв]&amp;РД[Состояние],РД[Дата подачи на регистрацию],"-",0)</f>
        <v>45321</v>
      </c>
    </row>
    <row r="246" spans="1:109" hidden="1" x14ac:dyDescent="0.25">
      <c r="A246" s="238">
        <v>245</v>
      </c>
      <c r="B246" s="238" t="s">
        <v>16</v>
      </c>
      <c r="C246" s="238">
        <v>4</v>
      </c>
      <c r="D246" s="238">
        <v>3</v>
      </c>
      <c r="E246" s="238">
        <v>2</v>
      </c>
      <c r="F246" s="238">
        <v>13.69</v>
      </c>
      <c r="G246" s="238">
        <v>10.16</v>
      </c>
      <c r="H246" s="238"/>
      <c r="I246">
        <v>23.85</v>
      </c>
      <c r="J246" s="238">
        <v>18.71</v>
      </c>
      <c r="K246" s="238">
        <v>3.49</v>
      </c>
      <c r="L246" s="238">
        <v>2.11</v>
      </c>
      <c r="M246" s="238"/>
      <c r="N246" s="238">
        <v>7.09</v>
      </c>
      <c r="O246" s="238">
        <v>2.65</v>
      </c>
      <c r="P246" s="238"/>
      <c r="R246" s="238">
        <v>2.65</v>
      </c>
      <c r="S246">
        <v>57.9</v>
      </c>
      <c r="T246">
        <v>55.25</v>
      </c>
      <c r="U246" s="238">
        <v>56.58</v>
      </c>
      <c r="V246">
        <v>56.05</v>
      </c>
      <c r="W246" s="238">
        <v>80307.864000000001</v>
      </c>
      <c r="X246">
        <v>4015.3932</v>
      </c>
      <c r="Y246">
        <v>84323.257199999993</v>
      </c>
      <c r="Z246">
        <v>2529.6977160000001</v>
      </c>
      <c r="AA246">
        <v>86852.954916000002</v>
      </c>
      <c r="AC246">
        <v>86852.954916000002</v>
      </c>
      <c r="AE246">
        <v>86852.954916000002</v>
      </c>
      <c r="AG246">
        <v>86852.954916000002</v>
      </c>
      <c r="AI246">
        <v>86852.954916000002</v>
      </c>
      <c r="AK246">
        <v>86852.954916000002</v>
      </c>
      <c r="AM246">
        <v>86852.954916000002</v>
      </c>
      <c r="AO246">
        <v>86852.954916000002</v>
      </c>
      <c r="AQ246">
        <v>86852.954916000002</v>
      </c>
      <c r="AS246">
        <v>86852.954916000002</v>
      </c>
      <c r="AU246">
        <v>86852.954916000002</v>
      </c>
      <c r="AW246">
        <v>86852.954916000002</v>
      </c>
      <c r="AY246">
        <v>86852.954916000002</v>
      </c>
      <c r="BA246">
        <v>86852.954916000002</v>
      </c>
      <c r="BC246">
        <v>86852.954916000002</v>
      </c>
      <c r="BE246">
        <v>86852.954916000002</v>
      </c>
      <c r="BG246">
        <v>86852.954916000002</v>
      </c>
      <c r="BI246">
        <v>86852.954916000002</v>
      </c>
      <c r="BK246">
        <v>86852.954916000002</v>
      </c>
      <c r="BM246">
        <v>86852.954916000002</v>
      </c>
      <c r="BO246">
        <v>86852.954916000002</v>
      </c>
      <c r="BQ246">
        <v>86852.954916000002</v>
      </c>
      <c r="BS246">
        <v>86852.954916000002</v>
      </c>
      <c r="BT246" s="238">
        <v>86852.95</v>
      </c>
      <c r="BU246" s="238">
        <v>4914139.91</v>
      </c>
      <c r="BW246">
        <v>0.02</v>
      </c>
      <c r="BX246" s="238">
        <v>98282.798200000005</v>
      </c>
      <c r="BY246" s="238">
        <v>85115.890950866044</v>
      </c>
      <c r="BZ246" s="238">
        <v>4815857.1100000003</v>
      </c>
      <c r="CA246" s="238" t="s">
        <v>38</v>
      </c>
      <c r="CB246">
        <v>22000</v>
      </c>
      <c r="CC246">
        <v>107115.89095086604</v>
      </c>
      <c r="CD246" s="238">
        <v>1244760</v>
      </c>
      <c r="CE246" s="238">
        <v>6060617.1100000003</v>
      </c>
      <c r="CF246" t="s">
        <v>4633</v>
      </c>
      <c r="CG246" t="s">
        <v>3540</v>
      </c>
      <c r="CH246" s="238" t="s">
        <v>39</v>
      </c>
      <c r="CI246" s="238" t="s">
        <v>39</v>
      </c>
      <c r="CJ246" t="s">
        <v>8950</v>
      </c>
      <c r="CK246" t="s">
        <v>1167</v>
      </c>
      <c r="CL246" t="s">
        <v>8961</v>
      </c>
      <c r="CM246" t="s">
        <v>8971</v>
      </c>
      <c r="CN246" s="238" t="b">
        <v>1</v>
      </c>
      <c r="CO246" t="s">
        <v>5534</v>
      </c>
      <c r="CQ246" t="s">
        <v>4895</v>
      </c>
      <c r="CR246" t="s">
        <v>3246</v>
      </c>
      <c r="CS246" t="s">
        <v>38</v>
      </c>
      <c r="CT246" t="b">
        <v>1</v>
      </c>
      <c r="CU246">
        <v>4914139.91</v>
      </c>
      <c r="CV246" t="s">
        <v>9002</v>
      </c>
      <c r="CW246">
        <v>0</v>
      </c>
      <c r="CX246">
        <v>4914140</v>
      </c>
      <c r="CY246">
        <v>0</v>
      </c>
      <c r="CZ246" t="b">
        <v>1</v>
      </c>
      <c r="DA246">
        <v>45254</v>
      </c>
      <c r="DB246" t="s">
        <v>4177</v>
      </c>
      <c r="DC246">
        <v>-9.3672675857192633E-3</v>
      </c>
      <c r="DD246">
        <v>-797.30332633366299</v>
      </c>
      <c r="DE246" s="420" cm="1">
        <f t="array" ref="DE246">_xlfn.XLOOKUP("Дом 5"&amp;Реестр_Д5[[#This Row],[№]]&amp;Реестр_Д5[[#This Row],[Статус]],РД[Дом]&amp;РД[№ кв]&amp;РД[Состояние],РД[Дата подачи на регистрацию],"-",0)</f>
        <v>45254</v>
      </c>
    </row>
    <row r="247" spans="1:109" x14ac:dyDescent="0.25">
      <c r="A247" s="238">
        <v>246</v>
      </c>
      <c r="B247" s="238" t="s">
        <v>16</v>
      </c>
      <c r="C247" s="238">
        <v>4</v>
      </c>
      <c r="D247" s="238">
        <v>4</v>
      </c>
      <c r="E247" s="238">
        <v>2</v>
      </c>
      <c r="F247" s="238">
        <v>15.45</v>
      </c>
      <c r="G247" s="238">
        <v>10.34</v>
      </c>
      <c r="H247" s="238"/>
      <c r="I247">
        <v>25.79</v>
      </c>
      <c r="J247" s="238">
        <v>15.44</v>
      </c>
      <c r="K247" s="238">
        <v>4.59</v>
      </c>
      <c r="L247" s="238">
        <v>2.21</v>
      </c>
      <c r="M247" s="238"/>
      <c r="N247" s="238">
        <v>10.79</v>
      </c>
      <c r="O247" s="238">
        <v>2.84</v>
      </c>
      <c r="P247" s="238"/>
      <c r="R247" s="238">
        <v>2.84</v>
      </c>
      <c r="S247">
        <v>61.66</v>
      </c>
      <c r="T247">
        <v>58.82</v>
      </c>
      <c r="U247" s="238">
        <v>60.24</v>
      </c>
      <c r="V247">
        <v>60.150000000000006</v>
      </c>
      <c r="W247" s="238">
        <v>82238.34150000001</v>
      </c>
      <c r="X247">
        <v>4111.9170750000003</v>
      </c>
      <c r="Y247">
        <v>86350.258575000014</v>
      </c>
      <c r="Z247">
        <v>2590.5077572500004</v>
      </c>
      <c r="AA247">
        <v>88940.766332250016</v>
      </c>
      <c r="AC247">
        <v>88940.766332250016</v>
      </c>
      <c r="AE247">
        <v>88940.766332250016</v>
      </c>
      <c r="AG247">
        <v>88940.766332250016</v>
      </c>
      <c r="AI247">
        <v>88940.766332250016</v>
      </c>
      <c r="AJ247">
        <v>889.40766332250018</v>
      </c>
      <c r="AK247">
        <v>89830.173995572535</v>
      </c>
      <c r="AL247">
        <v>4491.5086997786266</v>
      </c>
      <c r="AM247">
        <v>94321.682695351148</v>
      </c>
      <c r="AO247">
        <v>94321.682695351148</v>
      </c>
      <c r="AP247">
        <v>1886.433653907023</v>
      </c>
      <c r="AQ247">
        <v>96208.116349258169</v>
      </c>
      <c r="AS247">
        <v>96208.116349258169</v>
      </c>
      <c r="AT247">
        <v>1924.1623269851632</v>
      </c>
      <c r="AU247">
        <v>98132.278676243339</v>
      </c>
      <c r="AW247">
        <v>98132.278676243339</v>
      </c>
      <c r="AY247">
        <v>98132.278676243339</v>
      </c>
      <c r="BA247">
        <v>98132.278676243339</v>
      </c>
      <c r="BC247">
        <v>98132.278676243339</v>
      </c>
      <c r="BE247">
        <v>98132.278676243339</v>
      </c>
      <c r="BF247">
        <v>490.66139338121673</v>
      </c>
      <c r="BG247">
        <v>98622.940069624558</v>
      </c>
      <c r="BI247">
        <v>98622.940069624558</v>
      </c>
      <c r="BJ247">
        <v>3944.9176027849826</v>
      </c>
      <c r="BK247">
        <v>102567.85767240952</v>
      </c>
      <c r="BL247">
        <v>6154.0714603445722</v>
      </c>
      <c r="BM247">
        <v>108721.9291327541</v>
      </c>
      <c r="BN247">
        <v>14133.850787258034</v>
      </c>
      <c r="BO247">
        <v>122855.77992001214</v>
      </c>
      <c r="BP247">
        <v>35</v>
      </c>
      <c r="BQ247">
        <v>122890.77992001214</v>
      </c>
      <c r="BS247">
        <v>122890.77992001214</v>
      </c>
      <c r="BT247" s="238">
        <v>122890.78</v>
      </c>
      <c r="BU247" s="238">
        <v>7391900</v>
      </c>
      <c r="BX247" s="238">
        <v>0</v>
      </c>
      <c r="BY247" s="238">
        <v>122891.1055694098</v>
      </c>
      <c r="BZ247" s="238">
        <v>7391900</v>
      </c>
      <c r="CA247" s="238" t="s">
        <v>36</v>
      </c>
      <c r="CC247">
        <v>122891.1055694098</v>
      </c>
      <c r="CD247" s="238">
        <v>0</v>
      </c>
      <c r="CE247" s="238">
        <v>7391900</v>
      </c>
      <c r="CH247" s="238" t="s">
        <v>3</v>
      </c>
      <c r="CI247" s="238" t="s">
        <v>3</v>
      </c>
      <c r="CJ247" t="s">
        <v>8951</v>
      </c>
      <c r="CK247" t="s">
        <v>1167</v>
      </c>
      <c r="CL247" t="s">
        <v>8961</v>
      </c>
      <c r="CM247" t="s">
        <v>8971</v>
      </c>
      <c r="CN247" s="238" t="b">
        <v>1</v>
      </c>
      <c r="CO247" t="s">
        <v>5535</v>
      </c>
      <c r="CQ247" t="s">
        <v>6652</v>
      </c>
      <c r="CR247" t="s">
        <v>3124</v>
      </c>
      <c r="CS247" t="s">
        <v>6871</v>
      </c>
      <c r="CT247" t="b">
        <v>0</v>
      </c>
      <c r="CU247">
        <v>7391900</v>
      </c>
      <c r="CV247">
        <v>7391900</v>
      </c>
      <c r="CW247">
        <v>0</v>
      </c>
      <c r="CX247">
        <v>0</v>
      </c>
      <c r="CY247">
        <v>0</v>
      </c>
      <c r="CZ247" t="b">
        <v>1</v>
      </c>
      <c r="DA247" t="s">
        <v>4246</v>
      </c>
      <c r="DB247" t="s">
        <v>1167</v>
      </c>
      <c r="DC247">
        <v>-1.4940239043823578E-3</v>
      </c>
      <c r="DD247">
        <v>-183.60224935667415</v>
      </c>
      <c r="DE247" s="420" t="str" cm="1">
        <f t="array" ref="DE24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48" spans="1:109" x14ac:dyDescent="0.25">
      <c r="A248" s="238">
        <v>247</v>
      </c>
      <c r="B248" s="238" t="s">
        <v>16</v>
      </c>
      <c r="C248" s="238">
        <v>4</v>
      </c>
      <c r="D248" s="238">
        <v>5</v>
      </c>
      <c r="E248" s="238">
        <v>1</v>
      </c>
      <c r="F248" s="238">
        <v>12.54</v>
      </c>
      <c r="G248" s="238"/>
      <c r="H248" s="238"/>
      <c r="I248">
        <v>12.54</v>
      </c>
      <c r="J248" s="238">
        <v>12.74</v>
      </c>
      <c r="K248" s="238">
        <v>4.0199999999999996</v>
      </c>
      <c r="L248" s="238"/>
      <c r="M248" s="238"/>
      <c r="N248" s="238">
        <v>7.09</v>
      </c>
      <c r="O248" s="238">
        <v>2.84</v>
      </c>
      <c r="P248" s="238"/>
      <c r="R248" s="238">
        <v>2.84</v>
      </c>
      <c r="S248">
        <v>39.229999999999997</v>
      </c>
      <c r="T248">
        <v>36.39</v>
      </c>
      <c r="U248" s="238">
        <v>37.81</v>
      </c>
      <c r="V248">
        <v>37.5</v>
      </c>
      <c r="W248" s="238">
        <v>89223.75</v>
      </c>
      <c r="X248">
        <v>4461.1875</v>
      </c>
      <c r="Y248">
        <v>93684.9375</v>
      </c>
      <c r="Z248">
        <v>2810.5481249999998</v>
      </c>
      <c r="AA248">
        <v>96495.485625000001</v>
      </c>
      <c r="AB248">
        <v>4342.2968531249999</v>
      </c>
      <c r="AC248">
        <v>100837.78247812499</v>
      </c>
      <c r="AE248">
        <v>100837.78247812499</v>
      </c>
      <c r="AF248">
        <v>5041.8891239062505</v>
      </c>
      <c r="AG248">
        <v>105879.67160203125</v>
      </c>
      <c r="AH248">
        <v>-620</v>
      </c>
      <c r="AI248">
        <v>105259.67160203125</v>
      </c>
      <c r="AJ248">
        <v>1052.5967160203124</v>
      </c>
      <c r="AK248">
        <v>106312.26831805156</v>
      </c>
      <c r="AL248">
        <v>5315.6134159025787</v>
      </c>
      <c r="AM248">
        <v>111627.88173395414</v>
      </c>
      <c r="AO248">
        <v>111627.88173395414</v>
      </c>
      <c r="AP248">
        <v>3348.8364520186242</v>
      </c>
      <c r="AQ248">
        <v>114976.71818597276</v>
      </c>
      <c r="AS248">
        <v>114976.71818597276</v>
      </c>
      <c r="AU248">
        <v>114976.71818597276</v>
      </c>
      <c r="AW248">
        <v>114976.71818597276</v>
      </c>
      <c r="AX248">
        <v>1149.7671818597278</v>
      </c>
      <c r="AY248">
        <v>116126.4853678325</v>
      </c>
      <c r="BA248">
        <v>116126.4853678325</v>
      </c>
      <c r="BC248">
        <v>116126.4853678325</v>
      </c>
      <c r="BE248">
        <v>116126.4853678325</v>
      </c>
      <c r="BF248">
        <v>580.63242683916258</v>
      </c>
      <c r="BG248">
        <v>116707.11779467166</v>
      </c>
      <c r="BI248">
        <v>116707.11779467166</v>
      </c>
      <c r="BK248">
        <v>116707.11779467166</v>
      </c>
      <c r="BL248">
        <v>5835.3558897335834</v>
      </c>
      <c r="BM248">
        <v>122542.47368440524</v>
      </c>
      <c r="BN248">
        <v>15930.521578972684</v>
      </c>
      <c r="BO248">
        <v>138472.99526337793</v>
      </c>
      <c r="BP248">
        <v>35</v>
      </c>
      <c r="BQ248">
        <v>138507.99526337793</v>
      </c>
      <c r="BS248">
        <v>138507.99526337793</v>
      </c>
      <c r="BT248" s="238">
        <v>138508</v>
      </c>
      <c r="BU248" s="238">
        <v>5194100</v>
      </c>
      <c r="BX248" s="238">
        <v>0</v>
      </c>
      <c r="BY248" s="238">
        <v>138509.33333333334</v>
      </c>
      <c r="BZ248" s="238">
        <v>5194100</v>
      </c>
      <c r="CA248" s="238" t="s">
        <v>36</v>
      </c>
      <c r="CC248">
        <v>138509.33333333334</v>
      </c>
      <c r="CD248" s="238">
        <v>0</v>
      </c>
      <c r="CE248" s="238">
        <v>5194100</v>
      </c>
      <c r="CH248" s="238" t="s">
        <v>3</v>
      </c>
      <c r="CI248" s="238" t="s">
        <v>3</v>
      </c>
      <c r="CJ248" t="s">
        <v>8951</v>
      </c>
      <c r="CK248" t="s">
        <v>1167</v>
      </c>
      <c r="CL248" t="s">
        <v>8961</v>
      </c>
      <c r="CM248" t="s">
        <v>8973</v>
      </c>
      <c r="CN248" s="238" t="b">
        <v>1</v>
      </c>
      <c r="CO248" t="s">
        <v>5536</v>
      </c>
      <c r="CQ248" t="s">
        <v>6652</v>
      </c>
      <c r="CR248" t="s">
        <v>3124</v>
      </c>
      <c r="CS248" t="s">
        <v>6871</v>
      </c>
      <c r="CT248" t="b">
        <v>0</v>
      </c>
      <c r="CU248">
        <v>5194100</v>
      </c>
      <c r="CV248">
        <v>5194100</v>
      </c>
      <c r="CW248">
        <v>0</v>
      </c>
      <c r="CX248">
        <v>0</v>
      </c>
      <c r="CY248">
        <v>0</v>
      </c>
      <c r="CZ248" t="b">
        <v>1</v>
      </c>
      <c r="DA248" t="s">
        <v>4246</v>
      </c>
      <c r="DB248" t="s">
        <v>1167</v>
      </c>
      <c r="DC248">
        <v>-8.1988891827559085E-3</v>
      </c>
      <c r="DD248">
        <v>-1135.6226747773992</v>
      </c>
      <c r="DE248" s="420" t="str" cm="1">
        <f t="array" ref="DE24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49" spans="1:109" hidden="1" x14ac:dyDescent="0.25">
      <c r="A249" s="238">
        <v>248</v>
      </c>
      <c r="B249" s="238" t="s">
        <v>16</v>
      </c>
      <c r="C249" s="238">
        <v>4</v>
      </c>
      <c r="D249" s="238">
        <v>6</v>
      </c>
      <c r="E249" s="238">
        <v>3</v>
      </c>
      <c r="F249" s="238">
        <v>17.2</v>
      </c>
      <c r="G249" s="238">
        <v>14.64</v>
      </c>
      <c r="H249" s="238">
        <v>14.34</v>
      </c>
      <c r="I249">
        <v>46.18</v>
      </c>
      <c r="J249" s="238">
        <v>13.15</v>
      </c>
      <c r="K249" s="238">
        <v>4.03</v>
      </c>
      <c r="L249" s="238">
        <v>1.76</v>
      </c>
      <c r="M249" s="238"/>
      <c r="N249" s="238">
        <v>13.11</v>
      </c>
      <c r="O249" s="238">
        <v>2.79</v>
      </c>
      <c r="P249" s="238">
        <v>2.68</v>
      </c>
      <c r="R249" s="238">
        <v>5.4700000000000006</v>
      </c>
      <c r="S249">
        <v>83.7</v>
      </c>
      <c r="T249">
        <v>78.23</v>
      </c>
      <c r="U249" s="238">
        <v>80.97</v>
      </c>
      <c r="V249">
        <v>80.45</v>
      </c>
      <c r="W249" s="238">
        <v>74947.950000000012</v>
      </c>
      <c r="X249">
        <v>3747.3975000000009</v>
      </c>
      <c r="Y249">
        <v>78695.347500000018</v>
      </c>
      <c r="Z249">
        <v>2360.8604250000003</v>
      </c>
      <c r="AA249">
        <v>81056.207925000039</v>
      </c>
      <c r="AC249">
        <v>81056.207925000039</v>
      </c>
      <c r="AE249">
        <v>81056.207925000039</v>
      </c>
      <c r="AG249">
        <v>81056.207925000039</v>
      </c>
      <c r="AI249">
        <v>81056.207925000039</v>
      </c>
      <c r="AJ249">
        <v>810.56207925000035</v>
      </c>
      <c r="AK249">
        <v>81866.770004250022</v>
      </c>
      <c r="AL249">
        <v>4093.3385002125015</v>
      </c>
      <c r="AM249">
        <v>85960.108504462522</v>
      </c>
      <c r="AO249">
        <v>85960.108504462522</v>
      </c>
      <c r="AP249">
        <v>1719.2021700892506</v>
      </c>
      <c r="AQ249">
        <v>87679.310674551773</v>
      </c>
      <c r="AS249">
        <v>87679.310674551773</v>
      </c>
      <c r="AT249">
        <v>1753.5862134910356</v>
      </c>
      <c r="AU249">
        <v>89432.896888042815</v>
      </c>
      <c r="AW249">
        <v>89432.896888042815</v>
      </c>
      <c r="AX249">
        <v>894.32896888042819</v>
      </c>
      <c r="AY249">
        <v>90327.225856923236</v>
      </c>
      <c r="BA249">
        <v>90327.225856923236</v>
      </c>
      <c r="BB249">
        <v>451.63612928461617</v>
      </c>
      <c r="BC249">
        <v>90778.861986207863</v>
      </c>
      <c r="BD249">
        <v>1815.5772397241567</v>
      </c>
      <c r="BE249">
        <v>92594.439225932001</v>
      </c>
      <c r="BF249">
        <v>1388.91658838898</v>
      </c>
      <c r="BG249">
        <v>93983.355814320981</v>
      </c>
      <c r="BI249">
        <v>93983.355814320981</v>
      </c>
      <c r="BJ249">
        <v>3759.334232572839</v>
      </c>
      <c r="BK249">
        <v>97742.690046893826</v>
      </c>
      <c r="BL249">
        <v>4887.1345023446911</v>
      </c>
      <c r="BM249">
        <v>102629.82454923852</v>
      </c>
      <c r="BN249">
        <v>13341.877191401009</v>
      </c>
      <c r="BO249">
        <v>115971.70174063952</v>
      </c>
      <c r="BP249">
        <v>35</v>
      </c>
      <c r="BQ249">
        <v>116006.70174063952</v>
      </c>
      <c r="BS249">
        <v>116006.70174063952</v>
      </c>
      <c r="BT249" s="238">
        <v>116006.7</v>
      </c>
      <c r="BU249" s="238">
        <v>9393100</v>
      </c>
      <c r="BV249">
        <v>648340</v>
      </c>
      <c r="BX249" s="238">
        <v>648340</v>
      </c>
      <c r="BY249" s="238">
        <v>108000</v>
      </c>
      <c r="BZ249" s="238">
        <v>8744760</v>
      </c>
      <c r="CA249" s="238" t="s">
        <v>38</v>
      </c>
      <c r="CB249">
        <v>25000</v>
      </c>
      <c r="CC249">
        <v>133000</v>
      </c>
      <c r="CD249" s="238">
        <v>2024250</v>
      </c>
      <c r="CE249" s="238">
        <v>10769010</v>
      </c>
      <c r="CG249" t="s">
        <v>8841</v>
      </c>
      <c r="CH249" s="238" t="s">
        <v>39</v>
      </c>
      <c r="CI249" s="238" t="s">
        <v>39</v>
      </c>
      <c r="CJ249" t="s">
        <v>8950</v>
      </c>
      <c r="CK249" t="s">
        <v>1167</v>
      </c>
      <c r="CL249" t="s">
        <v>8961</v>
      </c>
      <c r="CM249" t="s">
        <v>8975</v>
      </c>
      <c r="CN249" s="238" t="b">
        <v>1</v>
      </c>
      <c r="CO249" t="s">
        <v>5537</v>
      </c>
      <c r="CQ249" t="s">
        <v>6652</v>
      </c>
      <c r="CR249" t="s">
        <v>3246</v>
      </c>
      <c r="CS249" t="s">
        <v>38</v>
      </c>
      <c r="CT249" t="b">
        <v>1</v>
      </c>
      <c r="CU249">
        <v>9393100</v>
      </c>
      <c r="CV249" t="s">
        <v>9002</v>
      </c>
      <c r="CW249">
        <v>0</v>
      </c>
      <c r="CX249">
        <v>9393100</v>
      </c>
      <c r="CY249">
        <v>0</v>
      </c>
      <c r="CZ249" t="b">
        <v>1</v>
      </c>
      <c r="DA249">
        <v>45833</v>
      </c>
      <c r="DB249" t="s">
        <v>8380</v>
      </c>
      <c r="DC249">
        <v>-6.4221316536988704E-3</v>
      </c>
      <c r="DD249">
        <v>-693.59021859947802</v>
      </c>
      <c r="DE249" s="420" cm="1">
        <f t="array" ref="DE249">_xlfn.XLOOKUP("Дом 5"&amp;Реестр_Д5[[#This Row],[№]]&amp;Реестр_Д5[[#This Row],[Статус]],РД[Дом]&amp;РД[№ кв]&amp;РД[Состояние],РД[Дата подачи на регистрацию],"-",0)</f>
        <v>45833</v>
      </c>
    </row>
    <row r="250" spans="1:109" hidden="1" x14ac:dyDescent="0.25">
      <c r="A250" s="238">
        <v>249</v>
      </c>
      <c r="B250" s="238" t="s">
        <v>16</v>
      </c>
      <c r="C250" s="238">
        <v>4</v>
      </c>
      <c r="D250" s="238">
        <v>7</v>
      </c>
      <c r="E250" s="238">
        <v>1</v>
      </c>
      <c r="F250" s="238">
        <v>14.3</v>
      </c>
      <c r="G250" s="238"/>
      <c r="H250" s="238"/>
      <c r="I250">
        <v>14.3</v>
      </c>
      <c r="J250" s="238">
        <v>9.2799999999999994</v>
      </c>
      <c r="K250" s="238">
        <v>3.79</v>
      </c>
      <c r="L250" s="238"/>
      <c r="M250" s="238"/>
      <c r="N250" s="238">
        <v>6.08</v>
      </c>
      <c r="O250" s="238">
        <v>2.71</v>
      </c>
      <c r="P250" s="238"/>
      <c r="R250" s="238">
        <v>2.71</v>
      </c>
      <c r="S250">
        <v>36.159999999999997</v>
      </c>
      <c r="T250">
        <v>33.450000000000003</v>
      </c>
      <c r="U250" s="238">
        <v>34.81</v>
      </c>
      <c r="V250">
        <v>34.599999999999994</v>
      </c>
      <c r="W250" s="238">
        <v>86384.8125</v>
      </c>
      <c r="X250">
        <v>4319.2406250000004</v>
      </c>
      <c r="Y250">
        <v>90704.053125000006</v>
      </c>
      <c r="Z250">
        <v>2721.1215937500001</v>
      </c>
      <c r="AA250">
        <v>93425.17471875</v>
      </c>
      <c r="AB250">
        <v>13079.524460625002</v>
      </c>
      <c r="AC250">
        <v>106504.69917937501</v>
      </c>
      <c r="AE250">
        <v>106504.69917937501</v>
      </c>
      <c r="AF250">
        <v>5325.234958968751</v>
      </c>
      <c r="AG250">
        <v>111829.93413834376</v>
      </c>
      <c r="AI250">
        <v>111829.93413834376</v>
      </c>
      <c r="AJ250">
        <v>1118.2993413834376</v>
      </c>
      <c r="AK250">
        <v>112948.23347972721</v>
      </c>
      <c r="AL250">
        <v>5647.4116739863603</v>
      </c>
      <c r="AM250">
        <v>118595.64515371356</v>
      </c>
      <c r="AO250">
        <v>118595.64515371356</v>
      </c>
      <c r="AP250">
        <v>3557.8693546114068</v>
      </c>
      <c r="AQ250">
        <v>122153.51450832497</v>
      </c>
      <c r="AS250">
        <v>122153.51450832497</v>
      </c>
      <c r="AU250">
        <v>122153.51450832497</v>
      </c>
      <c r="AW250">
        <v>122153.51450832497</v>
      </c>
      <c r="AY250">
        <v>122153.51450832497</v>
      </c>
      <c r="BA250">
        <v>122153.51450832497</v>
      </c>
      <c r="BC250">
        <v>122153.51450832497</v>
      </c>
      <c r="BE250">
        <v>122153.51450832497</v>
      </c>
      <c r="BG250">
        <v>122153.51450832497</v>
      </c>
      <c r="BI250">
        <v>122153.51450832497</v>
      </c>
      <c r="BK250">
        <v>122153.51450832497</v>
      </c>
      <c r="BM250">
        <v>122153.51450832497</v>
      </c>
      <c r="BO250">
        <v>122153.51450832497</v>
      </c>
      <c r="BQ250">
        <v>122153.51450832497</v>
      </c>
      <c r="BS250">
        <v>122153.51450832497</v>
      </c>
      <c r="BT250" s="238">
        <v>122153.51</v>
      </c>
      <c r="BU250" s="238">
        <v>4252200</v>
      </c>
      <c r="BX250" s="238">
        <v>0</v>
      </c>
      <c r="BY250" s="238">
        <v>122154.55328928468</v>
      </c>
      <c r="BZ250" s="238">
        <v>4252200</v>
      </c>
      <c r="CA250" s="238" t="s">
        <v>38</v>
      </c>
      <c r="CB250">
        <v>20000</v>
      </c>
      <c r="CC250">
        <v>142154.5532892847</v>
      </c>
      <c r="CD250" s="238">
        <v>696200.00000000093</v>
      </c>
      <c r="CE250" s="238">
        <v>4948400.0000000009</v>
      </c>
      <c r="CF250" t="s">
        <v>4633</v>
      </c>
      <c r="CH250" s="238" t="s">
        <v>39</v>
      </c>
      <c r="CI250" s="238" t="s">
        <v>39</v>
      </c>
      <c r="CJ250" t="s">
        <v>8950</v>
      </c>
      <c r="CK250" t="s">
        <v>1167</v>
      </c>
      <c r="CL250" t="s">
        <v>8961</v>
      </c>
      <c r="CM250" t="s">
        <v>8973</v>
      </c>
      <c r="CN250" s="238" t="b">
        <v>1</v>
      </c>
      <c r="CO250" t="s">
        <v>5538</v>
      </c>
      <c r="CQ250" t="s">
        <v>6652</v>
      </c>
      <c r="CR250" t="s">
        <v>3246</v>
      </c>
      <c r="CS250" t="s">
        <v>38</v>
      </c>
      <c r="CT250" t="b">
        <v>1</v>
      </c>
      <c r="CU250">
        <v>4252200</v>
      </c>
      <c r="CV250" t="s">
        <v>9002</v>
      </c>
      <c r="CW250">
        <v>0</v>
      </c>
      <c r="CX250">
        <v>4252200</v>
      </c>
      <c r="CY250">
        <v>0</v>
      </c>
      <c r="CZ250" t="b">
        <v>1</v>
      </c>
      <c r="DA250">
        <v>45470</v>
      </c>
      <c r="DB250" t="s">
        <v>126</v>
      </c>
      <c r="DC250">
        <v>-6.0327492099973004E-3</v>
      </c>
      <c r="DD250">
        <v>-736.92778485350539</v>
      </c>
      <c r="DE250" s="420" cm="1">
        <f t="array" ref="DE250">_xlfn.XLOOKUP("Дом 5"&amp;Реестр_Д5[[#This Row],[№]]&amp;Реестр_Д5[[#This Row],[Статус]],РД[Дом]&amp;РД[№ кв]&amp;РД[Состояние],РД[Дата подачи на регистрацию],"-",0)</f>
        <v>45470</v>
      </c>
    </row>
    <row r="251" spans="1:109" hidden="1" x14ac:dyDescent="0.25">
      <c r="A251" s="238">
        <v>250</v>
      </c>
      <c r="B251" s="238" t="s">
        <v>16</v>
      </c>
      <c r="C251" s="238">
        <v>5</v>
      </c>
      <c r="D251" s="238">
        <v>1</v>
      </c>
      <c r="E251" s="238">
        <v>2</v>
      </c>
      <c r="F251" s="238">
        <v>17.63</v>
      </c>
      <c r="G251" s="238">
        <v>13.69</v>
      </c>
      <c r="H251" s="238"/>
      <c r="I251">
        <v>31.32</v>
      </c>
      <c r="J251" s="238">
        <v>20.05</v>
      </c>
      <c r="K251" s="238">
        <v>3.54</v>
      </c>
      <c r="L251" s="238">
        <v>2.93</v>
      </c>
      <c r="M251" s="238"/>
      <c r="N251" s="238">
        <v>12.19</v>
      </c>
      <c r="O251" s="238">
        <v>4.6500000000000004</v>
      </c>
      <c r="P251" s="238">
        <v>2.68</v>
      </c>
      <c r="R251" s="238">
        <v>7.33</v>
      </c>
      <c r="S251">
        <v>77.36</v>
      </c>
      <c r="T251">
        <v>70.03</v>
      </c>
      <c r="U251" s="238">
        <v>73.7</v>
      </c>
      <c r="V251">
        <v>73.349999999999994</v>
      </c>
      <c r="W251" s="238">
        <v>78763.482000000004</v>
      </c>
      <c r="X251">
        <v>3938.1741000000002</v>
      </c>
      <c r="Y251">
        <v>82701.656099999993</v>
      </c>
      <c r="Z251">
        <v>2481.0496830000002</v>
      </c>
      <c r="AA251">
        <v>85182.705783000012</v>
      </c>
      <c r="AC251">
        <v>85182.705783000012</v>
      </c>
      <c r="AE251">
        <v>85182.705783000012</v>
      </c>
      <c r="AG251">
        <v>85182.705783000012</v>
      </c>
      <c r="AI251">
        <v>85182.705783000012</v>
      </c>
      <c r="AJ251">
        <v>851.82705783000017</v>
      </c>
      <c r="AK251">
        <v>86034.532840830012</v>
      </c>
      <c r="AL251">
        <v>4301.7266420415008</v>
      </c>
      <c r="AM251">
        <v>90336.259482871508</v>
      </c>
      <c r="AO251">
        <v>90336.259482871508</v>
      </c>
      <c r="AP251">
        <v>1806.7251896574303</v>
      </c>
      <c r="AQ251">
        <v>92142.984672528939</v>
      </c>
      <c r="AS251">
        <v>92142.984672528939</v>
      </c>
      <c r="AT251">
        <v>1842.8596934505788</v>
      </c>
      <c r="AU251">
        <v>93985.844365979516</v>
      </c>
      <c r="AW251">
        <v>93985.844365979516</v>
      </c>
      <c r="AY251">
        <v>93985.844365979516</v>
      </c>
      <c r="BA251">
        <v>93985.844365979516</v>
      </c>
      <c r="BC251">
        <v>93985.844365979516</v>
      </c>
      <c r="BE251">
        <v>93985.844365979516</v>
      </c>
      <c r="BF251">
        <v>469.92922182989759</v>
      </c>
      <c r="BG251">
        <v>94455.773587809395</v>
      </c>
      <c r="BI251">
        <v>94455.773587809395</v>
      </c>
      <c r="BK251">
        <v>94455.773587809395</v>
      </c>
      <c r="BL251">
        <v>7556.4618870247532</v>
      </c>
      <c r="BM251">
        <v>102012.23547483416</v>
      </c>
      <c r="BO251">
        <v>102012.23547483416</v>
      </c>
      <c r="BQ251">
        <v>102012.23547483416</v>
      </c>
      <c r="BS251">
        <v>102012.23547483416</v>
      </c>
      <c r="BT251" s="238">
        <v>102012.24</v>
      </c>
      <c r="BU251" s="238">
        <v>7518400</v>
      </c>
      <c r="BX251" s="238">
        <v>0</v>
      </c>
      <c r="BY251" s="238">
        <v>102013.56852103119</v>
      </c>
      <c r="BZ251" s="238">
        <v>7518400</v>
      </c>
      <c r="CA251" s="238" t="s">
        <v>36</v>
      </c>
      <c r="CC251">
        <v>102013.56852103119</v>
      </c>
      <c r="CD251" s="238">
        <v>0</v>
      </c>
      <c r="CE251" s="238">
        <v>7518400</v>
      </c>
      <c r="CF251" t="s">
        <v>4635</v>
      </c>
      <c r="CH251" s="238" t="s">
        <v>39</v>
      </c>
      <c r="CI251" s="238" t="s">
        <v>39</v>
      </c>
      <c r="CJ251" t="s">
        <v>8950</v>
      </c>
      <c r="CK251" t="s">
        <v>1167</v>
      </c>
      <c r="CL251" t="s">
        <v>8961</v>
      </c>
      <c r="CM251" t="s">
        <v>8971</v>
      </c>
      <c r="CN251" s="238" t="b">
        <v>1</v>
      </c>
      <c r="CO251" t="s">
        <v>5539</v>
      </c>
      <c r="CQ251" t="s">
        <v>6652</v>
      </c>
      <c r="CR251" t="s">
        <v>3246</v>
      </c>
      <c r="CS251" t="s">
        <v>36</v>
      </c>
      <c r="CT251" t="b">
        <v>1</v>
      </c>
      <c r="CU251">
        <v>7518400</v>
      </c>
      <c r="CV251" t="s">
        <v>9002</v>
      </c>
      <c r="CW251">
        <v>0</v>
      </c>
      <c r="CX251">
        <v>7518400</v>
      </c>
      <c r="CY251">
        <v>0</v>
      </c>
      <c r="CZ251" t="b">
        <v>1</v>
      </c>
      <c r="DA251">
        <v>45625</v>
      </c>
      <c r="DB251" t="s">
        <v>4177</v>
      </c>
      <c r="DC251">
        <v>-4.7489823609228043E-3</v>
      </c>
      <c r="DD251">
        <v>-484.46063748116705</v>
      </c>
      <c r="DE251" s="420" cm="1">
        <f t="array" ref="DE251">_xlfn.XLOOKUP("Дом 5"&amp;Реестр_Д5[[#This Row],[№]]&amp;Реестр_Д5[[#This Row],[Статус]],РД[Дом]&amp;РД[№ кв]&amp;РД[Состояние],РД[Дата подачи на регистрацию],"-",0)</f>
        <v>45625</v>
      </c>
    </row>
    <row r="252" spans="1:109" hidden="1" x14ac:dyDescent="0.25">
      <c r="A252" s="238">
        <v>251</v>
      </c>
      <c r="B252" s="238" t="s">
        <v>16</v>
      </c>
      <c r="C252" s="238">
        <v>5</v>
      </c>
      <c r="D252" s="238">
        <v>2</v>
      </c>
      <c r="E252" s="238">
        <v>0</v>
      </c>
      <c r="F252" s="238">
        <v>7.18</v>
      </c>
      <c r="G252" s="238"/>
      <c r="H252" s="238"/>
      <c r="I252">
        <v>7.18</v>
      </c>
      <c r="J252" s="238">
        <v>5.17</v>
      </c>
      <c r="K252" s="238">
        <v>3.72</v>
      </c>
      <c r="L252" s="238"/>
      <c r="M252" s="238"/>
      <c r="N252" s="238">
        <v>6.97</v>
      </c>
      <c r="O252" s="238">
        <v>2.97</v>
      </c>
      <c r="P252" s="238"/>
      <c r="R252" s="238">
        <v>2.97</v>
      </c>
      <c r="S252">
        <v>26.01</v>
      </c>
      <c r="T252">
        <v>23.04</v>
      </c>
      <c r="U252" s="238">
        <v>24.53</v>
      </c>
      <c r="V252">
        <v>24.4</v>
      </c>
      <c r="W252" s="238">
        <v>91105.56</v>
      </c>
      <c r="Y252">
        <v>91105.56</v>
      </c>
      <c r="AA252">
        <v>91105.56</v>
      </c>
      <c r="AC252">
        <v>91105.56</v>
      </c>
      <c r="AE252">
        <v>91105.56</v>
      </c>
      <c r="AG252">
        <v>91105.56</v>
      </c>
      <c r="AI252">
        <v>91105.56</v>
      </c>
      <c r="AK252">
        <v>91105.56</v>
      </c>
      <c r="AM252">
        <v>91105.56</v>
      </c>
      <c r="AO252">
        <v>91105.56</v>
      </c>
      <c r="AQ252">
        <v>91105.56</v>
      </c>
      <c r="AS252">
        <v>91105.56</v>
      </c>
      <c r="AU252">
        <v>91105.56</v>
      </c>
      <c r="AW252">
        <v>91105.56</v>
      </c>
      <c r="AY252">
        <v>91105.56</v>
      </c>
      <c r="BA252">
        <v>91105.56</v>
      </c>
      <c r="BC252">
        <v>91105.56</v>
      </c>
      <c r="BE252">
        <v>91105.56</v>
      </c>
      <c r="BG252">
        <v>91105.56</v>
      </c>
      <c r="BI252">
        <v>91105.56</v>
      </c>
      <c r="BK252">
        <v>91105.56</v>
      </c>
      <c r="BM252">
        <v>91105.56</v>
      </c>
      <c r="BO252">
        <v>91105.56</v>
      </c>
      <c r="BQ252">
        <v>91105.56</v>
      </c>
      <c r="BS252">
        <v>91105.56</v>
      </c>
      <c r="BT252" s="238">
        <v>91105.56</v>
      </c>
      <c r="BU252" s="238">
        <v>2234819.39</v>
      </c>
      <c r="BV252">
        <v>20000</v>
      </c>
      <c r="BX252" s="238">
        <v>20000</v>
      </c>
      <c r="BY252" s="238">
        <v>90290.231960864243</v>
      </c>
      <c r="BZ252" s="238">
        <v>2214819.39</v>
      </c>
      <c r="CA252" s="238" t="s">
        <v>36</v>
      </c>
      <c r="CC252">
        <v>90290.231960864243</v>
      </c>
      <c r="CD252" s="238">
        <v>0</v>
      </c>
      <c r="CE252" s="238">
        <v>2214819.39</v>
      </c>
      <c r="CG252" t="s">
        <v>3441</v>
      </c>
      <c r="CH252" s="238" t="s">
        <v>39</v>
      </c>
      <c r="CI252" s="238" t="s">
        <v>39</v>
      </c>
      <c r="CJ252" t="s">
        <v>8950</v>
      </c>
      <c r="CK252" t="s">
        <v>1167</v>
      </c>
      <c r="CL252" t="s">
        <v>8961</v>
      </c>
      <c r="CM252" t="s">
        <v>8970</v>
      </c>
      <c r="CN252" s="238" t="b">
        <v>1</v>
      </c>
      <c r="CO252" t="s">
        <v>5540</v>
      </c>
      <c r="CQ252" t="s">
        <v>4895</v>
      </c>
      <c r="CR252" t="s">
        <v>3246</v>
      </c>
      <c r="CS252" t="s">
        <v>36</v>
      </c>
      <c r="CT252" t="b">
        <v>1</v>
      </c>
      <c r="CU252">
        <v>2234819.39</v>
      </c>
      <c r="CV252" t="s">
        <v>9002</v>
      </c>
      <c r="CW252">
        <v>2234819</v>
      </c>
      <c r="CX252">
        <v>2234819</v>
      </c>
      <c r="CY252">
        <v>0</v>
      </c>
      <c r="CZ252" t="b">
        <v>1</v>
      </c>
      <c r="DA252">
        <v>45191</v>
      </c>
      <c r="DB252" t="s">
        <v>126</v>
      </c>
      <c r="DC252">
        <v>-5.2996331023238419E-3</v>
      </c>
      <c r="DD252">
        <v>-478.50510211629427</v>
      </c>
      <c r="DE252" s="420" cm="1">
        <f t="array" ref="DE252">_xlfn.XLOOKUP("Дом 5"&amp;Реестр_Д5[[#This Row],[№]]&amp;Реестр_Д5[[#This Row],[Статус]],РД[Дом]&amp;РД[№ кв]&amp;РД[Состояние],РД[Дата подачи на регистрацию],"-",0)</f>
        <v>45191</v>
      </c>
    </row>
    <row r="253" spans="1:109" hidden="1" x14ac:dyDescent="0.25">
      <c r="A253" s="238">
        <v>252</v>
      </c>
      <c r="B253" s="238" t="s">
        <v>16</v>
      </c>
      <c r="C253" s="238">
        <v>5</v>
      </c>
      <c r="D253" s="238">
        <v>3</v>
      </c>
      <c r="E253" s="238">
        <v>2</v>
      </c>
      <c r="F253" s="238">
        <v>13.69</v>
      </c>
      <c r="G253" s="238">
        <v>10.16</v>
      </c>
      <c r="H253" s="238"/>
      <c r="I253">
        <v>23.85</v>
      </c>
      <c r="J253" s="238">
        <v>18.71</v>
      </c>
      <c r="K253" s="238">
        <v>3.49</v>
      </c>
      <c r="L253" s="238">
        <v>2.11</v>
      </c>
      <c r="M253" s="238"/>
      <c r="N253" s="238">
        <v>7.09</v>
      </c>
      <c r="O253" s="238">
        <v>2.65</v>
      </c>
      <c r="P253" s="238"/>
      <c r="R253" s="238">
        <v>2.65</v>
      </c>
      <c r="S253">
        <v>57.9</v>
      </c>
      <c r="T253">
        <v>55.25</v>
      </c>
      <c r="U253" s="238">
        <v>56.58</v>
      </c>
      <c r="V253">
        <v>56.45000000000001</v>
      </c>
      <c r="W253" s="238">
        <v>79535.67300000001</v>
      </c>
      <c r="X253">
        <v>3976.7836500000008</v>
      </c>
      <c r="Y253">
        <v>83512.456649999993</v>
      </c>
      <c r="Z253">
        <v>2505.3736994999999</v>
      </c>
      <c r="AA253">
        <v>86017.8303495</v>
      </c>
      <c r="AC253">
        <v>86017.8303495</v>
      </c>
      <c r="AE253">
        <v>86017.8303495</v>
      </c>
      <c r="AG253">
        <v>86017.8303495</v>
      </c>
      <c r="AI253">
        <v>86017.8303495</v>
      </c>
      <c r="AJ253">
        <v>860.17830349500002</v>
      </c>
      <c r="AK253">
        <v>86878.008652995006</v>
      </c>
      <c r="AL253">
        <v>4343.9004326497507</v>
      </c>
      <c r="AM253">
        <v>91221.909085644758</v>
      </c>
      <c r="AO253">
        <v>91221.909085644758</v>
      </c>
      <c r="AP253">
        <v>1824.4381817128951</v>
      </c>
      <c r="AQ253">
        <v>93046.347267357647</v>
      </c>
      <c r="AS253">
        <v>93046.347267357647</v>
      </c>
      <c r="AT253">
        <v>1860.9269453471527</v>
      </c>
      <c r="AU253">
        <v>94907.274212704797</v>
      </c>
      <c r="AV253">
        <v>150</v>
      </c>
      <c r="AW253">
        <v>95057.274212704797</v>
      </c>
      <c r="AX253">
        <v>950.57274212704795</v>
      </c>
      <c r="AY253">
        <v>96007.846954831839</v>
      </c>
      <c r="BA253">
        <v>96007.846954831839</v>
      </c>
      <c r="BC253">
        <v>96007.846954831839</v>
      </c>
      <c r="BE253">
        <v>96007.846954831839</v>
      </c>
      <c r="BF253">
        <v>2400.196173870796</v>
      </c>
      <c r="BG253">
        <v>98408.043128702629</v>
      </c>
      <c r="BI253">
        <v>98408.043128702629</v>
      </c>
      <c r="BK253">
        <v>98408.043128702629</v>
      </c>
      <c r="BM253">
        <v>98408.043128702629</v>
      </c>
      <c r="BO253">
        <v>98408.043128702629</v>
      </c>
      <c r="BQ253">
        <v>98408.043128702629</v>
      </c>
      <c r="BS253">
        <v>98408.043128702629</v>
      </c>
      <c r="BT253" s="238">
        <v>98408.04</v>
      </c>
      <c r="BU253" s="238">
        <v>5568000</v>
      </c>
      <c r="BX253" s="238">
        <v>0</v>
      </c>
      <c r="BY253" s="238">
        <v>98409.331919406148</v>
      </c>
      <c r="BZ253" s="238">
        <v>5568000</v>
      </c>
      <c r="CA253" s="238" t="s">
        <v>6871</v>
      </c>
      <c r="CB253">
        <v>7000</v>
      </c>
      <c r="CC253">
        <v>105409.33191940616</v>
      </c>
      <c r="CD253" s="238">
        <v>396060</v>
      </c>
      <c r="CE253" s="238">
        <v>5964060</v>
      </c>
      <c r="CF253" t="s">
        <v>4633</v>
      </c>
      <c r="CH253" s="238" t="s">
        <v>39</v>
      </c>
      <c r="CI253" s="238" t="s">
        <v>39</v>
      </c>
      <c r="CJ253" t="s">
        <v>8950</v>
      </c>
      <c r="CK253" t="s">
        <v>1167</v>
      </c>
      <c r="CL253" t="s">
        <v>8961</v>
      </c>
      <c r="CM253" t="s">
        <v>8971</v>
      </c>
      <c r="CN253" s="238" t="b">
        <v>1</v>
      </c>
      <c r="CO253" t="s">
        <v>5541</v>
      </c>
      <c r="CQ253" t="s">
        <v>6652</v>
      </c>
      <c r="CR253" t="s">
        <v>3246</v>
      </c>
      <c r="CS253" t="s">
        <v>6871</v>
      </c>
      <c r="CT253" t="b">
        <v>1</v>
      </c>
      <c r="CU253">
        <v>5568000</v>
      </c>
      <c r="CV253" t="s">
        <v>9002</v>
      </c>
      <c r="CW253">
        <v>0</v>
      </c>
      <c r="CX253">
        <v>5568000</v>
      </c>
      <c r="CY253">
        <v>0</v>
      </c>
      <c r="CZ253" t="b">
        <v>1</v>
      </c>
      <c r="DA253">
        <v>45490</v>
      </c>
      <c r="DB253" t="s">
        <v>4177</v>
      </c>
      <c r="DC253">
        <v>-2.2976316719687251E-3</v>
      </c>
      <c r="DD253">
        <v>-226.10839783531037</v>
      </c>
      <c r="DE253" s="420" cm="1">
        <f t="array" ref="DE253">_xlfn.XLOOKUP("Дом 5"&amp;Реестр_Д5[[#This Row],[№]]&amp;Реестр_Д5[[#This Row],[Статус]],РД[Дом]&amp;РД[№ кв]&amp;РД[Состояние],РД[Дата подачи на регистрацию],"-",0)</f>
        <v>45490</v>
      </c>
    </row>
    <row r="254" spans="1:109" hidden="1" x14ac:dyDescent="0.25">
      <c r="A254" s="238">
        <v>253</v>
      </c>
      <c r="B254" s="238" t="s">
        <v>16</v>
      </c>
      <c r="C254" s="238">
        <v>5</v>
      </c>
      <c r="D254" s="238">
        <v>4</v>
      </c>
      <c r="E254" s="238">
        <v>2</v>
      </c>
      <c r="F254" s="238">
        <v>15.45</v>
      </c>
      <c r="G254" s="238">
        <v>10.34</v>
      </c>
      <c r="H254" s="238"/>
      <c r="I254">
        <v>25.79</v>
      </c>
      <c r="J254" s="238">
        <v>15.44</v>
      </c>
      <c r="K254" s="238">
        <v>4.59</v>
      </c>
      <c r="L254" s="238">
        <v>2.21</v>
      </c>
      <c r="M254" s="238"/>
      <c r="N254" s="238">
        <v>10.79</v>
      </c>
      <c r="O254" s="238">
        <v>2.84</v>
      </c>
      <c r="P254" s="238"/>
      <c r="R254" s="238">
        <v>2.84</v>
      </c>
      <c r="S254">
        <v>61.66</v>
      </c>
      <c r="T254">
        <v>58.82</v>
      </c>
      <c r="U254" s="238">
        <v>60.24</v>
      </c>
      <c r="V254">
        <v>60.150000000000006</v>
      </c>
      <c r="W254" s="238">
        <v>81466.150500000003</v>
      </c>
      <c r="X254">
        <v>4073.3075250000002</v>
      </c>
      <c r="Y254">
        <v>85539.458025</v>
      </c>
      <c r="Z254">
        <v>2566.1837407499997</v>
      </c>
      <c r="AA254">
        <v>88105.641765749999</v>
      </c>
      <c r="AC254">
        <v>88105.641765749999</v>
      </c>
      <c r="AE254">
        <v>88105.641765749999</v>
      </c>
      <c r="AG254">
        <v>88105.641765749999</v>
      </c>
      <c r="AI254">
        <v>88105.641765749999</v>
      </c>
      <c r="AJ254">
        <v>881.05641765749999</v>
      </c>
      <c r="AK254">
        <v>88986.698183407498</v>
      </c>
      <c r="AL254">
        <v>4449.3349091703749</v>
      </c>
      <c r="AM254">
        <v>93436.033092577869</v>
      </c>
      <c r="AO254">
        <v>93436.033092577869</v>
      </c>
      <c r="AP254">
        <v>1868.7206618515577</v>
      </c>
      <c r="AQ254">
        <v>95304.753754429446</v>
      </c>
      <c r="AS254">
        <v>95304.753754429446</v>
      </c>
      <c r="AT254">
        <v>1906.0950750885888</v>
      </c>
      <c r="AU254">
        <v>97210.848829518014</v>
      </c>
      <c r="AW254">
        <v>97210.848829518014</v>
      </c>
      <c r="AY254">
        <v>97210.848829518014</v>
      </c>
      <c r="BA254">
        <v>97210.848829518014</v>
      </c>
      <c r="BC254">
        <v>97210.848829518014</v>
      </c>
      <c r="BE254">
        <v>97210.848829518014</v>
      </c>
      <c r="BF254">
        <v>486.05424414759005</v>
      </c>
      <c r="BG254">
        <v>97696.903073665599</v>
      </c>
      <c r="BI254">
        <v>97696.903073665599</v>
      </c>
      <c r="BK254">
        <v>97696.903073665599</v>
      </c>
      <c r="BM254">
        <v>97696.903073665599</v>
      </c>
      <c r="BO254">
        <v>97696.903073665599</v>
      </c>
      <c r="BQ254">
        <v>97696.903073665599</v>
      </c>
      <c r="BS254">
        <v>97696.903073665599</v>
      </c>
      <c r="BT254" s="238">
        <v>97696.9</v>
      </c>
      <c r="BU254" s="238">
        <v>5885300</v>
      </c>
      <c r="BX254" s="238">
        <v>0</v>
      </c>
      <c r="BY254" s="238">
        <v>97697.543160690562</v>
      </c>
      <c r="BZ254" s="238">
        <v>5885300</v>
      </c>
      <c r="CA254" s="238" t="s">
        <v>38</v>
      </c>
      <c r="CB254">
        <v>20000</v>
      </c>
      <c r="CC254">
        <v>117697.54316069056</v>
      </c>
      <c r="CD254" s="238">
        <v>1204800</v>
      </c>
      <c r="CE254" s="238">
        <v>7090100</v>
      </c>
      <c r="CH254" s="238" t="s">
        <v>39</v>
      </c>
      <c r="CI254" s="238" t="s">
        <v>39</v>
      </c>
      <c r="CJ254" t="s">
        <v>8950</v>
      </c>
      <c r="CK254" t="s">
        <v>1167</v>
      </c>
      <c r="CL254" t="s">
        <v>8961</v>
      </c>
      <c r="CM254" t="s">
        <v>8971</v>
      </c>
      <c r="CN254" s="238" t="b">
        <v>1</v>
      </c>
      <c r="CO254" t="s">
        <v>5542</v>
      </c>
      <c r="CQ254" t="s">
        <v>6652</v>
      </c>
      <c r="CR254" t="s">
        <v>3246</v>
      </c>
      <c r="CS254" t="s">
        <v>38</v>
      </c>
      <c r="CT254" t="b">
        <v>1</v>
      </c>
      <c r="CU254">
        <v>5885300</v>
      </c>
      <c r="CV254" t="s">
        <v>9002</v>
      </c>
      <c r="CW254">
        <v>0</v>
      </c>
      <c r="CX254">
        <v>5885300</v>
      </c>
      <c r="CY254">
        <v>0</v>
      </c>
      <c r="CZ254" t="b">
        <v>1</v>
      </c>
      <c r="DA254">
        <v>45561</v>
      </c>
      <c r="DB254" t="s">
        <v>7767</v>
      </c>
      <c r="DC254">
        <v>-1.4940239043823578E-3</v>
      </c>
      <c r="DD254">
        <v>-145.96246488149882</v>
      </c>
      <c r="DE254" s="420" cm="1">
        <f t="array" ref="DE254">_xlfn.XLOOKUP("Дом 5"&amp;Реестр_Д5[[#This Row],[№]]&amp;Реестр_Д5[[#This Row],[Статус]],РД[Дом]&amp;РД[№ кв]&amp;РД[Состояние],РД[Дата подачи на регистрацию],"-",0)</f>
        <v>45561</v>
      </c>
    </row>
    <row r="255" spans="1:109" hidden="1" x14ac:dyDescent="0.25">
      <c r="A255" s="238">
        <v>254</v>
      </c>
      <c r="B255" s="238" t="s">
        <v>16</v>
      </c>
      <c r="C255" s="238">
        <v>5</v>
      </c>
      <c r="D255" s="238">
        <v>5</v>
      </c>
      <c r="E255" s="238">
        <v>1</v>
      </c>
      <c r="F255" s="238">
        <v>12.54</v>
      </c>
      <c r="G255" s="238"/>
      <c r="H255" s="238"/>
      <c r="I255">
        <v>12.54</v>
      </c>
      <c r="J255" s="238">
        <v>12.74</v>
      </c>
      <c r="K255" s="238">
        <v>4.0199999999999996</v>
      </c>
      <c r="L255" s="238"/>
      <c r="M255" s="238"/>
      <c r="N255" s="238">
        <v>7.09</v>
      </c>
      <c r="O255" s="238">
        <v>2.84</v>
      </c>
      <c r="P255" s="238"/>
      <c r="R255" s="238">
        <v>2.84</v>
      </c>
      <c r="S255">
        <v>39.229999999999997</v>
      </c>
      <c r="T255">
        <v>36.39</v>
      </c>
      <c r="U255" s="238">
        <v>37.81</v>
      </c>
      <c r="V255">
        <v>37.549999999999997</v>
      </c>
      <c r="W255" s="238">
        <v>88412.625</v>
      </c>
      <c r="X255">
        <v>4420.6312500000004</v>
      </c>
      <c r="Y255">
        <v>92833.256250000006</v>
      </c>
      <c r="Z255">
        <v>2784.9976875000002</v>
      </c>
      <c r="AA255">
        <v>95618.253937500005</v>
      </c>
      <c r="AB255">
        <v>4302.8214271875004</v>
      </c>
      <c r="AC255">
        <v>99921.075364687509</v>
      </c>
      <c r="AE255">
        <v>99921.075364687509</v>
      </c>
      <c r="AG255">
        <v>99921.075364687509</v>
      </c>
      <c r="AI255">
        <v>99921.075364687509</v>
      </c>
      <c r="AK255">
        <v>99921.075364687509</v>
      </c>
      <c r="AM255">
        <v>99921.075364687509</v>
      </c>
      <c r="AO255">
        <v>99921.075364687509</v>
      </c>
      <c r="AQ255">
        <v>99921.075364687509</v>
      </c>
      <c r="AS255">
        <v>99921.075364687509</v>
      </c>
      <c r="AU255">
        <v>99921.075364687509</v>
      </c>
      <c r="AW255">
        <v>99921.075364687509</v>
      </c>
      <c r="AY255">
        <v>99921.075364687509</v>
      </c>
      <c r="BA255">
        <v>99921.075364687509</v>
      </c>
      <c r="BC255">
        <v>99921.075364687509</v>
      </c>
      <c r="BE255">
        <v>99921.075364687509</v>
      </c>
      <c r="BG255">
        <v>99921.075364687509</v>
      </c>
      <c r="BI255">
        <v>99921.075364687509</v>
      </c>
      <c r="BK255">
        <v>99921.075364687509</v>
      </c>
      <c r="BM255">
        <v>99921.075364687509</v>
      </c>
      <c r="BO255">
        <v>99921.075364687509</v>
      </c>
      <c r="BQ255">
        <v>99921.075364687509</v>
      </c>
      <c r="BS255">
        <v>99921.075364687509</v>
      </c>
      <c r="BT255" s="238">
        <v>99921.08</v>
      </c>
      <c r="BU255" s="238">
        <v>3778016.03</v>
      </c>
      <c r="BX255" s="238">
        <v>0</v>
      </c>
      <c r="BY255" s="238">
        <v>99921.079873049443</v>
      </c>
      <c r="BZ255" s="238">
        <v>3778016.03</v>
      </c>
      <c r="CA255" s="238" t="s">
        <v>38</v>
      </c>
      <c r="CB255">
        <v>22000</v>
      </c>
      <c r="CC255">
        <v>121921.07987304944</v>
      </c>
      <c r="CD255" s="238">
        <v>831819.99999999953</v>
      </c>
      <c r="CE255" s="238">
        <v>4609836.0299999993</v>
      </c>
      <c r="CH255" s="238" t="s">
        <v>39</v>
      </c>
      <c r="CI255" s="238" t="s">
        <v>39</v>
      </c>
      <c r="CJ255" t="s">
        <v>8950</v>
      </c>
      <c r="CK255" t="s">
        <v>1167</v>
      </c>
      <c r="CL255" t="s">
        <v>8961</v>
      </c>
      <c r="CM255" t="s">
        <v>8973</v>
      </c>
      <c r="CN255" s="238" t="b">
        <v>1</v>
      </c>
      <c r="CO255" t="s">
        <v>5543</v>
      </c>
      <c r="CQ255" t="s">
        <v>4895</v>
      </c>
      <c r="CR255" t="s">
        <v>3246</v>
      </c>
      <c r="CS255" t="s">
        <v>38</v>
      </c>
      <c r="CT255" t="b">
        <v>1</v>
      </c>
      <c r="CU255">
        <v>3778016.03</v>
      </c>
      <c r="CV255" t="s">
        <v>9002</v>
      </c>
      <c r="CW255">
        <v>0</v>
      </c>
      <c r="CX255">
        <v>3778016</v>
      </c>
      <c r="CY255">
        <v>0</v>
      </c>
      <c r="CZ255" t="b">
        <v>1</v>
      </c>
      <c r="DA255">
        <v>45243</v>
      </c>
      <c r="DB255" t="s">
        <v>126</v>
      </c>
      <c r="DC255">
        <v>-6.8764877016661563E-3</v>
      </c>
      <c r="DD255">
        <v>-687.10607688422624</v>
      </c>
      <c r="DE255" s="420" cm="1">
        <f t="array" ref="DE255">_xlfn.XLOOKUP("Дом 5"&amp;Реестр_Д5[[#This Row],[№]]&amp;Реестр_Д5[[#This Row],[Статус]],РД[Дом]&amp;РД[№ кв]&amp;РД[Состояние],РД[Дата подачи на регистрацию],"-",0)</f>
        <v>45243</v>
      </c>
    </row>
    <row r="256" spans="1:109" hidden="1" x14ac:dyDescent="0.25">
      <c r="A256" s="238">
        <v>255</v>
      </c>
      <c r="B256" s="238" t="s">
        <v>16</v>
      </c>
      <c r="C256" s="238">
        <v>5</v>
      </c>
      <c r="D256" s="238">
        <v>6</v>
      </c>
      <c r="E256" s="238">
        <v>3</v>
      </c>
      <c r="F256" s="238">
        <v>17.2</v>
      </c>
      <c r="G256" s="238">
        <v>14.64</v>
      </c>
      <c r="H256" s="238">
        <v>14.34</v>
      </c>
      <c r="I256">
        <v>46.18</v>
      </c>
      <c r="J256" s="238">
        <v>13.15</v>
      </c>
      <c r="K256" s="238">
        <v>4.03</v>
      </c>
      <c r="L256" s="238">
        <v>1.76</v>
      </c>
      <c r="M256" s="238"/>
      <c r="N256" s="238">
        <v>13.11</v>
      </c>
      <c r="O256" s="238">
        <v>2.79</v>
      </c>
      <c r="P256" s="238">
        <v>2.68</v>
      </c>
      <c r="R256" s="238">
        <v>5.4700000000000006</v>
      </c>
      <c r="S256">
        <v>83.7</v>
      </c>
      <c r="T256">
        <v>78.23</v>
      </c>
      <c r="U256" s="238">
        <v>80.97</v>
      </c>
      <c r="V256">
        <v>80.55</v>
      </c>
      <c r="W256" s="238">
        <v>73520.37000000001</v>
      </c>
      <c r="Y256">
        <v>73520.37000000001</v>
      </c>
      <c r="AA256">
        <v>73520.37000000001</v>
      </c>
      <c r="AC256">
        <v>73520.37000000001</v>
      </c>
      <c r="AE256">
        <v>73520.37000000001</v>
      </c>
      <c r="AG256">
        <v>73520.37000000001</v>
      </c>
      <c r="AI256">
        <v>73520.37000000001</v>
      </c>
      <c r="AK256">
        <v>73520.37000000001</v>
      </c>
      <c r="AM256">
        <v>73520.37000000001</v>
      </c>
      <c r="AO256">
        <v>73520.37000000001</v>
      </c>
      <c r="AQ256">
        <v>73520.37000000001</v>
      </c>
      <c r="AS256">
        <v>73520.37000000001</v>
      </c>
      <c r="AU256">
        <v>73520.37000000001</v>
      </c>
      <c r="AW256">
        <v>73520.37000000001</v>
      </c>
      <c r="AY256">
        <v>73520.37000000001</v>
      </c>
      <c r="BA256">
        <v>73520.37000000001</v>
      </c>
      <c r="BC256">
        <v>73520.37000000001</v>
      </c>
      <c r="BE256">
        <v>73520.37000000001</v>
      </c>
      <c r="BG256">
        <v>73520.37000000001</v>
      </c>
      <c r="BI256">
        <v>73520.37000000001</v>
      </c>
      <c r="BK256">
        <v>73520.37000000001</v>
      </c>
      <c r="BM256">
        <v>73520.37000000001</v>
      </c>
      <c r="BO256">
        <v>73520.37000000001</v>
      </c>
      <c r="BQ256">
        <v>73520.37000000001</v>
      </c>
      <c r="BS256">
        <v>73520.37000000001</v>
      </c>
      <c r="BT256" s="238">
        <v>73520.37</v>
      </c>
      <c r="BU256" s="238">
        <v>5952944.3600000003</v>
      </c>
      <c r="BW256">
        <v>0.06</v>
      </c>
      <c r="BX256" s="238">
        <v>357176.66159999999</v>
      </c>
      <c r="BY256" s="238">
        <v>69109.147832530565</v>
      </c>
      <c r="BZ256" s="238">
        <v>5595767.7000000002</v>
      </c>
      <c r="CA256" s="238" t="s">
        <v>38</v>
      </c>
      <c r="CB256">
        <v>15500</v>
      </c>
      <c r="CC256">
        <v>84609.147832530565</v>
      </c>
      <c r="CD256" s="238">
        <v>1255035</v>
      </c>
      <c r="CE256" s="238">
        <v>6850802.7000000002</v>
      </c>
      <c r="CG256" t="s">
        <v>978</v>
      </c>
      <c r="CH256" s="238" t="s">
        <v>39</v>
      </c>
      <c r="CI256" s="238" t="s">
        <v>39</v>
      </c>
      <c r="CJ256" t="s">
        <v>8950</v>
      </c>
      <c r="CK256" t="s">
        <v>1167</v>
      </c>
      <c r="CL256" t="s">
        <v>8961</v>
      </c>
      <c r="CM256" t="s">
        <v>8975</v>
      </c>
      <c r="CN256" s="238" t="b">
        <v>1</v>
      </c>
      <c r="CO256" t="s">
        <v>5544</v>
      </c>
      <c r="CQ256" t="s">
        <v>4895</v>
      </c>
      <c r="CR256" t="s">
        <v>3246</v>
      </c>
      <c r="CS256" t="s">
        <v>38</v>
      </c>
      <c r="CT256" t="b">
        <v>1</v>
      </c>
      <c r="CU256">
        <v>5952944.3600000003</v>
      </c>
      <c r="CV256" t="s">
        <v>9002</v>
      </c>
      <c r="CW256">
        <v>5952944</v>
      </c>
      <c r="CX256">
        <v>5952944</v>
      </c>
      <c r="CY256">
        <v>0</v>
      </c>
      <c r="CZ256" t="b">
        <v>1</v>
      </c>
      <c r="DA256">
        <v>45241</v>
      </c>
      <c r="DB256" t="s">
        <v>3901</v>
      </c>
      <c r="DC256">
        <v>-5.1871063356798697E-3</v>
      </c>
      <c r="DD256">
        <v>-358.47649857555604</v>
      </c>
      <c r="DE256" s="420" cm="1">
        <f t="array" ref="DE256">_xlfn.XLOOKUP("Дом 5"&amp;Реестр_Д5[[#This Row],[№]]&amp;Реестр_Д5[[#This Row],[Статус]],РД[Дом]&amp;РД[№ кв]&amp;РД[Состояние],РД[Дата подачи на регистрацию],"-",0)</f>
        <v>45241</v>
      </c>
    </row>
    <row r="257" spans="1:109" hidden="1" x14ac:dyDescent="0.25">
      <c r="A257" s="238">
        <v>256</v>
      </c>
      <c r="B257" s="238" t="s">
        <v>16</v>
      </c>
      <c r="C257" s="238">
        <v>5</v>
      </c>
      <c r="D257" s="238">
        <v>7</v>
      </c>
      <c r="E257" s="238">
        <v>1</v>
      </c>
      <c r="F257" s="238">
        <v>14.3</v>
      </c>
      <c r="G257" s="238"/>
      <c r="H257" s="238"/>
      <c r="I257">
        <v>14.3</v>
      </c>
      <c r="J257" s="238">
        <v>9.2799999999999994</v>
      </c>
      <c r="K257" s="238">
        <v>3.79</v>
      </c>
      <c r="L257" s="238"/>
      <c r="M257" s="238"/>
      <c r="N257" s="238">
        <v>6.08</v>
      </c>
      <c r="O257" s="238">
        <v>2.71</v>
      </c>
      <c r="P257" s="238"/>
      <c r="R257" s="238">
        <v>2.71</v>
      </c>
      <c r="S257">
        <v>36.159999999999997</v>
      </c>
      <c r="T257">
        <v>33.450000000000003</v>
      </c>
      <c r="U257" s="238">
        <v>34.81</v>
      </c>
      <c r="V257">
        <v>34.599999999999994</v>
      </c>
      <c r="W257" s="238">
        <v>84762.5625</v>
      </c>
      <c r="X257">
        <v>4238.1281250000002</v>
      </c>
      <c r="Y257">
        <v>89000.690625000003</v>
      </c>
      <c r="Z257">
        <v>2670.02071875</v>
      </c>
      <c r="AA257">
        <v>91670.711343750023</v>
      </c>
      <c r="AB257">
        <v>12833.899588125005</v>
      </c>
      <c r="AC257">
        <v>104504.610931875</v>
      </c>
      <c r="AE257">
        <v>104504.610931875</v>
      </c>
      <c r="AF257">
        <v>5225.2305465937507</v>
      </c>
      <c r="AG257">
        <v>109729.84147846876</v>
      </c>
      <c r="AI257">
        <v>109729.84147846876</v>
      </c>
      <c r="AJ257">
        <v>1097.2984147846876</v>
      </c>
      <c r="AK257">
        <v>110827.13989325344</v>
      </c>
      <c r="AL257">
        <v>5541.3569946626731</v>
      </c>
      <c r="AM257">
        <v>116368.49688791612</v>
      </c>
      <c r="AO257">
        <v>116368.49688791612</v>
      </c>
      <c r="AP257">
        <v>3491.0549066374833</v>
      </c>
      <c r="AQ257">
        <v>119859.5517945536</v>
      </c>
      <c r="AS257">
        <v>119859.5517945536</v>
      </c>
      <c r="AU257">
        <v>119859.5517945536</v>
      </c>
      <c r="AW257">
        <v>119859.5517945536</v>
      </c>
      <c r="AY257">
        <v>119859.5517945536</v>
      </c>
      <c r="BA257">
        <v>119859.5517945536</v>
      </c>
      <c r="BC257">
        <v>119859.5517945536</v>
      </c>
      <c r="BE257">
        <v>119859.5517945536</v>
      </c>
      <c r="BF257">
        <v>599.29775897276795</v>
      </c>
      <c r="BG257">
        <v>120458.84955352636</v>
      </c>
      <c r="BI257">
        <v>120458.84955352636</v>
      </c>
      <c r="BJ257">
        <v>2409.1769910705275</v>
      </c>
      <c r="BK257">
        <v>122868.0265445969</v>
      </c>
      <c r="BL257">
        <v>6143.4013272298453</v>
      </c>
      <c r="BM257">
        <v>129011.42787182676</v>
      </c>
      <c r="BN257">
        <v>16771.485623337478</v>
      </c>
      <c r="BO257">
        <v>145782.91349516422</v>
      </c>
      <c r="BP257">
        <v>35</v>
      </c>
      <c r="BQ257">
        <v>145817.91349516422</v>
      </c>
      <c r="BS257">
        <v>145817.91349516422</v>
      </c>
      <c r="BT257" s="238">
        <v>145817.91</v>
      </c>
      <c r="BU257" s="238">
        <v>5076000</v>
      </c>
      <c r="BW257">
        <v>0.02</v>
      </c>
      <c r="BX257" s="238">
        <v>101520</v>
      </c>
      <c r="BY257" s="238">
        <v>142903.76328641194</v>
      </c>
      <c r="BZ257" s="238">
        <v>4974480</v>
      </c>
      <c r="CA257" s="238" t="s">
        <v>36</v>
      </c>
      <c r="CC257">
        <v>142903.76328641194</v>
      </c>
      <c r="CD257" s="238">
        <v>0</v>
      </c>
      <c r="CE257" s="238">
        <v>4974480</v>
      </c>
      <c r="CF257" t="s">
        <v>4633</v>
      </c>
      <c r="CG257" t="s">
        <v>3540</v>
      </c>
      <c r="CH257" s="238" t="s">
        <v>39</v>
      </c>
      <c r="CI257" s="238" t="s">
        <v>39</v>
      </c>
      <c r="CJ257" t="s">
        <v>8950</v>
      </c>
      <c r="CK257" t="s">
        <v>1167</v>
      </c>
      <c r="CL257" t="s">
        <v>8961</v>
      </c>
      <c r="CM257" t="s">
        <v>8973</v>
      </c>
      <c r="CN257" s="238" t="b">
        <v>1</v>
      </c>
      <c r="CO257" t="s">
        <v>5545</v>
      </c>
      <c r="CQ257" t="s">
        <v>6652</v>
      </c>
      <c r="CR257" t="s">
        <v>3246</v>
      </c>
      <c r="CS257" t="s">
        <v>36</v>
      </c>
      <c r="CT257" t="b">
        <v>1</v>
      </c>
      <c r="CU257">
        <v>5076000</v>
      </c>
      <c r="CV257" t="s">
        <v>9002</v>
      </c>
      <c r="CW257">
        <v>5076000</v>
      </c>
      <c r="CX257">
        <v>5076000</v>
      </c>
      <c r="CY257">
        <v>0</v>
      </c>
      <c r="CZ257" t="b">
        <v>1</v>
      </c>
      <c r="DA257">
        <v>45735</v>
      </c>
      <c r="DB257" t="s">
        <v>8380</v>
      </c>
      <c r="DC257">
        <v>-6.0327492099973004E-3</v>
      </c>
      <c r="DD257">
        <v>-862.1025650717429</v>
      </c>
      <c r="DE257" s="420" cm="1">
        <f t="array" ref="DE257">_xlfn.XLOOKUP("Дом 5"&amp;Реестр_Д5[[#This Row],[№]]&amp;Реестр_Д5[[#This Row],[Статус]],РД[Дом]&amp;РД[№ кв]&amp;РД[Состояние],РД[Дата подачи на регистрацию],"-",0)</f>
        <v>45735</v>
      </c>
    </row>
    <row r="258" spans="1:109" hidden="1" x14ac:dyDescent="0.25">
      <c r="A258" s="238">
        <v>257</v>
      </c>
      <c r="B258" s="238" t="s">
        <v>16</v>
      </c>
      <c r="C258" s="238">
        <v>6</v>
      </c>
      <c r="D258" s="238">
        <v>1</v>
      </c>
      <c r="E258" s="238">
        <v>2</v>
      </c>
      <c r="F258" s="238">
        <v>17.63</v>
      </c>
      <c r="G258" s="238">
        <v>13.69</v>
      </c>
      <c r="H258" s="238"/>
      <c r="I258">
        <v>31.32</v>
      </c>
      <c r="J258" s="238">
        <v>20.05</v>
      </c>
      <c r="K258" s="238">
        <v>3.54</v>
      </c>
      <c r="L258" s="238">
        <v>2.93</v>
      </c>
      <c r="M258" s="238"/>
      <c r="N258" s="238">
        <v>12.19</v>
      </c>
      <c r="O258" s="238">
        <v>4.6500000000000004</v>
      </c>
      <c r="P258" s="238">
        <v>2.68</v>
      </c>
      <c r="R258" s="238">
        <v>7.33</v>
      </c>
      <c r="S258">
        <v>77.36</v>
      </c>
      <c r="T258">
        <v>70.03</v>
      </c>
      <c r="U258" s="238">
        <v>73.7</v>
      </c>
      <c r="V258">
        <v>73.349999999999994</v>
      </c>
      <c r="W258" s="238">
        <v>80307.864000000001</v>
      </c>
      <c r="X258">
        <v>4015.3932</v>
      </c>
      <c r="Y258">
        <v>84323.257199999993</v>
      </c>
      <c r="Z258">
        <v>2529.6977160000001</v>
      </c>
      <c r="AA258">
        <v>86852.954916000002</v>
      </c>
      <c r="AC258">
        <v>86852.954916000002</v>
      </c>
      <c r="AE258">
        <v>86852.954916000002</v>
      </c>
      <c r="AG258">
        <v>86852.954916000002</v>
      </c>
      <c r="AI258">
        <v>86852.954916000002</v>
      </c>
      <c r="AK258">
        <v>86852.954916000002</v>
      </c>
      <c r="AM258">
        <v>86852.954916000002</v>
      </c>
      <c r="AO258">
        <v>86852.954916000002</v>
      </c>
      <c r="AQ258">
        <v>86852.954916000002</v>
      </c>
      <c r="AS258">
        <v>86852.954916000002</v>
      </c>
      <c r="AU258">
        <v>86852.954916000002</v>
      </c>
      <c r="AW258">
        <v>86852.954916000002</v>
      </c>
      <c r="AY258">
        <v>86852.954916000002</v>
      </c>
      <c r="BA258">
        <v>86852.954916000002</v>
      </c>
      <c r="BC258">
        <v>86852.954916000002</v>
      </c>
      <c r="BE258">
        <v>86852.954916000002</v>
      </c>
      <c r="BG258">
        <v>86852.954916000002</v>
      </c>
      <c r="BI258">
        <v>86852.954916000002</v>
      </c>
      <c r="BK258">
        <v>86852.954916000002</v>
      </c>
      <c r="BM258">
        <v>86852.954916000002</v>
      </c>
      <c r="BO258">
        <v>86852.954916000002</v>
      </c>
      <c r="BQ258">
        <v>86852.954916000002</v>
      </c>
      <c r="BS258">
        <v>86852.954916000002</v>
      </c>
      <c r="BT258" s="238">
        <v>86852.95</v>
      </c>
      <c r="BU258" s="238">
        <v>6401100</v>
      </c>
      <c r="BW258">
        <v>0.02</v>
      </c>
      <c r="BX258" s="238">
        <v>128022</v>
      </c>
      <c r="BY258" s="238">
        <v>85116.390773405699</v>
      </c>
      <c r="BZ258" s="238">
        <v>6273078</v>
      </c>
      <c r="CA258" s="238" t="s">
        <v>38</v>
      </c>
      <c r="CB258">
        <v>22000</v>
      </c>
      <c r="CC258">
        <v>107116.3907734057</v>
      </c>
      <c r="CD258" s="238">
        <v>1621400</v>
      </c>
      <c r="CE258" s="238">
        <v>7894478</v>
      </c>
      <c r="CF258" t="s">
        <v>4635</v>
      </c>
      <c r="CG258" t="s">
        <v>3540</v>
      </c>
      <c r="CH258" s="238" t="s">
        <v>39</v>
      </c>
      <c r="CI258" s="238" t="s">
        <v>39</v>
      </c>
      <c r="CJ258" t="s">
        <v>8950</v>
      </c>
      <c r="CK258" t="s">
        <v>1167</v>
      </c>
      <c r="CL258" t="s">
        <v>8961</v>
      </c>
      <c r="CM258" t="s">
        <v>8971</v>
      </c>
      <c r="CN258" s="238" t="b">
        <v>1</v>
      </c>
      <c r="CO258" t="s">
        <v>5546</v>
      </c>
      <c r="CQ258" t="s">
        <v>6652</v>
      </c>
      <c r="CR258" t="s">
        <v>3246</v>
      </c>
      <c r="CS258" t="s">
        <v>38</v>
      </c>
      <c r="CT258" t="b">
        <v>1</v>
      </c>
      <c r="CU258">
        <v>6401100</v>
      </c>
      <c r="CV258" t="s">
        <v>9002</v>
      </c>
      <c r="CW258">
        <v>0</v>
      </c>
      <c r="CX258">
        <v>6401100</v>
      </c>
      <c r="CY258">
        <v>0</v>
      </c>
      <c r="CZ258" t="b">
        <v>1</v>
      </c>
      <c r="DA258">
        <v>45285</v>
      </c>
      <c r="DB258" t="s">
        <v>4177</v>
      </c>
      <c r="DC258">
        <v>-4.7489823609228043E-3</v>
      </c>
      <c r="DD258">
        <v>-404.2162384083162</v>
      </c>
      <c r="DE258" s="420" cm="1">
        <f t="array" ref="DE258">_xlfn.XLOOKUP("Дом 5"&amp;Реестр_Д5[[#This Row],[№]]&amp;Реестр_Д5[[#This Row],[Статус]],РД[Дом]&amp;РД[№ кв]&amp;РД[Состояние],РД[Дата подачи на регистрацию],"-",0)</f>
        <v>45285</v>
      </c>
    </row>
    <row r="259" spans="1:109" hidden="1" x14ac:dyDescent="0.25">
      <c r="A259" s="238">
        <v>258</v>
      </c>
      <c r="B259" s="238" t="s">
        <v>16</v>
      </c>
      <c r="C259" s="238">
        <v>6</v>
      </c>
      <c r="D259" s="238">
        <v>2</v>
      </c>
      <c r="E259" s="238">
        <v>0</v>
      </c>
      <c r="F259" s="238">
        <v>7.18</v>
      </c>
      <c r="G259" s="238"/>
      <c r="H259" s="238"/>
      <c r="I259">
        <v>7.18</v>
      </c>
      <c r="J259" s="238">
        <v>5.17</v>
      </c>
      <c r="K259" s="238">
        <v>3.72</v>
      </c>
      <c r="L259" s="238"/>
      <c r="M259" s="238"/>
      <c r="N259" s="238">
        <v>6.97</v>
      </c>
      <c r="O259" s="238">
        <v>2.97</v>
      </c>
      <c r="P259" s="238"/>
      <c r="R259" s="238">
        <v>2.97</v>
      </c>
      <c r="S259">
        <v>26.01</v>
      </c>
      <c r="T259">
        <v>23.04</v>
      </c>
      <c r="U259" s="238">
        <v>24.53</v>
      </c>
      <c r="V259">
        <v>24.35</v>
      </c>
      <c r="W259" s="238">
        <v>91105.56</v>
      </c>
      <c r="X259">
        <v>4555.2780000000002</v>
      </c>
      <c r="Y259">
        <v>95660.838000000003</v>
      </c>
      <c r="Z259">
        <v>2869.8251399999999</v>
      </c>
      <c r="AA259">
        <v>98530.663140000004</v>
      </c>
      <c r="AB259">
        <v>12808.986208200002</v>
      </c>
      <c r="AC259">
        <v>111339.64934819999</v>
      </c>
      <c r="AD259">
        <v>3340.1894804460003</v>
      </c>
      <c r="AE259">
        <v>114679.838828646</v>
      </c>
      <c r="AG259">
        <v>114679.838828646</v>
      </c>
      <c r="AI259">
        <v>114679.838828646</v>
      </c>
      <c r="AJ259">
        <v>1146.7983882864601</v>
      </c>
      <c r="AK259">
        <v>115826.63721693247</v>
      </c>
      <c r="AL259">
        <v>5791.3318608466243</v>
      </c>
      <c r="AM259">
        <v>121617.9690777791</v>
      </c>
      <c r="AO259">
        <v>121617.9690777791</v>
      </c>
      <c r="AP259">
        <v>3648.5390723333726</v>
      </c>
      <c r="AQ259">
        <v>125266.50815011248</v>
      </c>
      <c r="AS259">
        <v>125266.50815011248</v>
      </c>
      <c r="AU259">
        <v>125266.50815011248</v>
      </c>
      <c r="AW259">
        <v>125266.50815011248</v>
      </c>
      <c r="AX259">
        <v>1252.6650815011246</v>
      </c>
      <c r="AY259">
        <v>126519.1732316136</v>
      </c>
      <c r="BA259">
        <v>126519.1732316136</v>
      </c>
      <c r="BC259">
        <v>126519.1732316136</v>
      </c>
      <c r="BE259">
        <v>126519.1732316136</v>
      </c>
      <c r="BG259">
        <v>126519.1732316136</v>
      </c>
      <c r="BI259">
        <v>126519.1732316136</v>
      </c>
      <c r="BK259">
        <v>126519.1732316136</v>
      </c>
      <c r="BM259">
        <v>126519.1732316136</v>
      </c>
      <c r="BO259">
        <v>126519.1732316136</v>
      </c>
      <c r="BQ259">
        <v>126519.1732316136</v>
      </c>
      <c r="BS259">
        <v>126519.1732316136</v>
      </c>
      <c r="BT259" s="238">
        <v>126519.17</v>
      </c>
      <c r="BU259" s="238">
        <v>3103600</v>
      </c>
      <c r="BX259" s="238">
        <v>0</v>
      </c>
      <c r="BY259" s="238">
        <v>126522.62535670606</v>
      </c>
      <c r="BZ259" s="238">
        <v>3103600</v>
      </c>
      <c r="CA259" s="238" t="s">
        <v>38</v>
      </c>
      <c r="CB259">
        <v>20000</v>
      </c>
      <c r="CC259">
        <v>146522.62535670606</v>
      </c>
      <c r="CD259" s="238">
        <v>490600</v>
      </c>
      <c r="CE259" s="238">
        <v>3594200</v>
      </c>
      <c r="CH259" s="238" t="s">
        <v>39</v>
      </c>
      <c r="CI259" s="238" t="s">
        <v>39</v>
      </c>
      <c r="CJ259" t="s">
        <v>8950</v>
      </c>
      <c r="CK259" t="s">
        <v>1167</v>
      </c>
      <c r="CL259" t="s">
        <v>8961</v>
      </c>
      <c r="CM259" t="s">
        <v>8970</v>
      </c>
      <c r="CN259" s="238" t="b">
        <v>1</v>
      </c>
      <c r="CO259" t="s">
        <v>5547</v>
      </c>
      <c r="CQ259" t="s">
        <v>6652</v>
      </c>
      <c r="CR259" t="s">
        <v>3246</v>
      </c>
      <c r="CS259" t="s">
        <v>38</v>
      </c>
      <c r="CT259" t="b">
        <v>1</v>
      </c>
      <c r="CU259">
        <v>3103600</v>
      </c>
      <c r="CV259" t="s">
        <v>9002</v>
      </c>
      <c r="CW259">
        <v>0</v>
      </c>
      <c r="CX259">
        <v>3103600</v>
      </c>
      <c r="CY259">
        <v>0</v>
      </c>
      <c r="CZ259" t="b">
        <v>1</v>
      </c>
      <c r="DA259">
        <v>45441</v>
      </c>
      <c r="DB259" t="s">
        <v>4177</v>
      </c>
      <c r="DC259">
        <v>-7.337953526294517E-3</v>
      </c>
      <c r="DD259">
        <v>-928.41714489228127</v>
      </c>
      <c r="DE259" s="420" cm="1">
        <f t="array" ref="DE259">_xlfn.XLOOKUP("Дом 5"&amp;Реестр_Д5[[#This Row],[№]]&amp;Реестр_Д5[[#This Row],[Статус]],РД[Дом]&amp;РД[№ кв]&amp;РД[Состояние],РД[Дата подачи на регистрацию],"-",0)</f>
        <v>45441</v>
      </c>
    </row>
    <row r="260" spans="1:109" hidden="1" x14ac:dyDescent="0.25">
      <c r="A260" s="238">
        <v>259</v>
      </c>
      <c r="B260" s="238" t="s">
        <v>16</v>
      </c>
      <c r="C260" s="238">
        <v>6</v>
      </c>
      <c r="D260" s="238">
        <v>3</v>
      </c>
      <c r="E260" s="238">
        <v>2</v>
      </c>
      <c r="F260" s="238">
        <v>13.69</v>
      </c>
      <c r="G260" s="238">
        <v>10.16</v>
      </c>
      <c r="H260" s="238"/>
      <c r="I260">
        <v>23.85</v>
      </c>
      <c r="J260" s="238">
        <v>18.71</v>
      </c>
      <c r="K260" s="238">
        <v>3.49</v>
      </c>
      <c r="L260" s="238">
        <v>2.11</v>
      </c>
      <c r="M260" s="238"/>
      <c r="N260" s="238">
        <v>7.09</v>
      </c>
      <c r="O260" s="238">
        <v>2.65</v>
      </c>
      <c r="P260" s="238"/>
      <c r="R260" s="238">
        <v>2.65</v>
      </c>
      <c r="S260">
        <v>57.9</v>
      </c>
      <c r="T260">
        <v>55.25</v>
      </c>
      <c r="U260" s="238">
        <v>56.58</v>
      </c>
      <c r="V260">
        <v>56.250000000000007</v>
      </c>
      <c r="W260" s="238">
        <v>79535.67300000001</v>
      </c>
      <c r="X260">
        <v>3976.7836500000008</v>
      </c>
      <c r="Y260">
        <v>83512.456649999993</v>
      </c>
      <c r="Z260">
        <v>2505.3736994999999</v>
      </c>
      <c r="AA260">
        <v>86017.8303495</v>
      </c>
      <c r="AC260">
        <v>86017.8303495</v>
      </c>
      <c r="AE260">
        <v>86017.8303495</v>
      </c>
      <c r="AG260">
        <v>86017.8303495</v>
      </c>
      <c r="AI260">
        <v>86017.8303495</v>
      </c>
      <c r="AJ260">
        <v>860.17830349500002</v>
      </c>
      <c r="AK260">
        <v>86878.008652995006</v>
      </c>
      <c r="AL260">
        <v>4343.9004326497507</v>
      </c>
      <c r="AM260">
        <v>91221.909085644758</v>
      </c>
      <c r="AO260">
        <v>91221.909085644758</v>
      </c>
      <c r="AP260">
        <v>1824.4381817128951</v>
      </c>
      <c r="AQ260">
        <v>93046.347267357647</v>
      </c>
      <c r="AS260">
        <v>93046.347267357647</v>
      </c>
      <c r="AT260">
        <v>1860.9269453471527</v>
      </c>
      <c r="AU260">
        <v>94907.274212704797</v>
      </c>
      <c r="AV260">
        <v>150</v>
      </c>
      <c r="AW260">
        <v>95057.274212704797</v>
      </c>
      <c r="AX260">
        <v>950.57274212704795</v>
      </c>
      <c r="AY260">
        <v>96007.846954831839</v>
      </c>
      <c r="BA260">
        <v>96007.846954831839</v>
      </c>
      <c r="BC260">
        <v>96007.846954831839</v>
      </c>
      <c r="BE260">
        <v>96007.846954831839</v>
      </c>
      <c r="BF260">
        <v>2400.196173870796</v>
      </c>
      <c r="BG260">
        <v>98408.043128702629</v>
      </c>
      <c r="BH260">
        <v>500</v>
      </c>
      <c r="BI260">
        <v>98908.043128702629</v>
      </c>
      <c r="BJ260">
        <v>3956.3217251481046</v>
      </c>
      <c r="BK260">
        <v>102864.36485385074</v>
      </c>
      <c r="BL260">
        <v>6171.861891231044</v>
      </c>
      <c r="BM260">
        <v>109036.2267450818</v>
      </c>
      <c r="BN260">
        <v>14174.709476860631</v>
      </c>
      <c r="BO260">
        <v>123210.93622194242</v>
      </c>
      <c r="BP260">
        <v>35</v>
      </c>
      <c r="BQ260">
        <v>123245.93622194242</v>
      </c>
      <c r="BS260">
        <v>123245.93622194242</v>
      </c>
      <c r="BT260" s="238">
        <v>123245.94</v>
      </c>
      <c r="BU260" s="238">
        <v>6973300</v>
      </c>
      <c r="BV260">
        <v>40000</v>
      </c>
      <c r="BX260" s="238">
        <v>40000</v>
      </c>
      <c r="BY260" s="238">
        <v>122539.76670201484</v>
      </c>
      <c r="BZ260" s="238">
        <v>6933300</v>
      </c>
      <c r="CA260" s="238" t="s">
        <v>38</v>
      </c>
      <c r="CB260">
        <v>25000</v>
      </c>
      <c r="CC260">
        <v>147539.76670201484</v>
      </c>
      <c r="CD260" s="238">
        <v>1414499.9999999993</v>
      </c>
      <c r="CE260" s="238">
        <v>8347799.9999999981</v>
      </c>
      <c r="CF260" t="s">
        <v>4633</v>
      </c>
      <c r="CG260" t="s">
        <v>6732</v>
      </c>
      <c r="CH260" s="238" t="s">
        <v>39</v>
      </c>
      <c r="CI260" s="238" t="s">
        <v>39</v>
      </c>
      <c r="CJ260" t="s">
        <v>8950</v>
      </c>
      <c r="CK260" t="s">
        <v>1167</v>
      </c>
      <c r="CL260" t="s">
        <v>8961</v>
      </c>
      <c r="CM260" t="s">
        <v>8971</v>
      </c>
      <c r="CN260" s="238" t="b">
        <v>1</v>
      </c>
      <c r="CO260" t="s">
        <v>5548</v>
      </c>
      <c r="CQ260" t="s">
        <v>6652</v>
      </c>
      <c r="CR260" t="s">
        <v>3246</v>
      </c>
      <c r="CS260" t="s">
        <v>38</v>
      </c>
      <c r="CT260" t="b">
        <v>1</v>
      </c>
      <c r="CU260">
        <v>6973300</v>
      </c>
      <c r="CV260" t="s">
        <v>9002</v>
      </c>
      <c r="CW260">
        <v>0</v>
      </c>
      <c r="CX260">
        <v>6973300</v>
      </c>
      <c r="CY260">
        <v>0</v>
      </c>
      <c r="CZ260" t="b">
        <v>1</v>
      </c>
      <c r="DA260">
        <v>45649</v>
      </c>
      <c r="DB260" t="s">
        <v>5215</v>
      </c>
      <c r="DC260">
        <v>-5.8324496288439942E-3</v>
      </c>
      <c r="DD260">
        <v>-714.70701681979619</v>
      </c>
      <c r="DE260" s="420" cm="1">
        <f t="array" ref="DE260">_xlfn.XLOOKUP("Дом 5"&amp;Реестр_Д5[[#This Row],[№]]&amp;Реестр_Д5[[#This Row],[Статус]],РД[Дом]&amp;РД[№ кв]&amp;РД[Состояние],РД[Дата подачи на регистрацию],"-",0)</f>
        <v>45649</v>
      </c>
    </row>
    <row r="261" spans="1:109" hidden="1" x14ac:dyDescent="0.25">
      <c r="A261" s="238">
        <v>260</v>
      </c>
      <c r="B261" s="238" t="s">
        <v>16</v>
      </c>
      <c r="C261" s="238">
        <v>6</v>
      </c>
      <c r="D261" s="238">
        <v>4</v>
      </c>
      <c r="E261" s="238">
        <v>2</v>
      </c>
      <c r="F261" s="238">
        <v>15.45</v>
      </c>
      <c r="G261" s="238">
        <v>10.34</v>
      </c>
      <c r="H261" s="238"/>
      <c r="I261">
        <v>25.79</v>
      </c>
      <c r="J261" s="238">
        <v>15.44</v>
      </c>
      <c r="K261" s="238">
        <v>4.59</v>
      </c>
      <c r="L261" s="238">
        <v>2.21</v>
      </c>
      <c r="M261" s="238"/>
      <c r="N261" s="238">
        <v>10.79</v>
      </c>
      <c r="O261" s="238">
        <v>2.84</v>
      </c>
      <c r="P261" s="238"/>
      <c r="R261" s="238">
        <v>2.84</v>
      </c>
      <c r="S261">
        <v>61.66</v>
      </c>
      <c r="T261">
        <v>58.82</v>
      </c>
      <c r="U261" s="238">
        <v>60.24</v>
      </c>
      <c r="V261">
        <v>59.850000000000009</v>
      </c>
      <c r="W261" s="238">
        <v>81466.150500000003</v>
      </c>
      <c r="X261">
        <v>4073.3075250000002</v>
      </c>
      <c r="Y261">
        <v>85539.458025</v>
      </c>
      <c r="Z261">
        <v>2566.1837407499997</v>
      </c>
      <c r="AA261">
        <v>88105.641765749999</v>
      </c>
      <c r="AC261">
        <v>88105.641765749999</v>
      </c>
      <c r="AE261">
        <v>88105.641765749999</v>
      </c>
      <c r="AG261">
        <v>88105.641765749999</v>
      </c>
      <c r="AI261">
        <v>88105.641765749999</v>
      </c>
      <c r="AJ261">
        <v>881.05641765749999</v>
      </c>
      <c r="AK261">
        <v>88986.698183407498</v>
      </c>
      <c r="AL261">
        <v>4449.3349091703749</v>
      </c>
      <c r="AM261">
        <v>93436.033092577869</v>
      </c>
      <c r="AO261">
        <v>93436.033092577869</v>
      </c>
      <c r="AP261">
        <v>1868.7206618515577</v>
      </c>
      <c r="AQ261">
        <v>95304.753754429446</v>
      </c>
      <c r="AS261">
        <v>95304.753754429446</v>
      </c>
      <c r="AT261">
        <v>1906.0950750885888</v>
      </c>
      <c r="AU261">
        <v>97210.848829518014</v>
      </c>
      <c r="AW261">
        <v>97210.848829518014</v>
      </c>
      <c r="AY261">
        <v>97210.848829518014</v>
      </c>
      <c r="BA261">
        <v>97210.848829518014</v>
      </c>
      <c r="BC261">
        <v>97210.848829518014</v>
      </c>
      <c r="BE261">
        <v>97210.848829518014</v>
      </c>
      <c r="BF261">
        <v>486.05424414759005</v>
      </c>
      <c r="BG261">
        <v>97696.903073665599</v>
      </c>
      <c r="BI261">
        <v>97696.903073665599</v>
      </c>
      <c r="BJ261">
        <v>3907.876122946624</v>
      </c>
      <c r="BK261">
        <v>101604.77919661222</v>
      </c>
      <c r="BL261">
        <v>6096.2867517967325</v>
      </c>
      <c r="BM261">
        <v>107701.06594840896</v>
      </c>
      <c r="BN261">
        <v>14001.138573293165</v>
      </c>
      <c r="BO261">
        <v>121702.20452170212</v>
      </c>
      <c r="BP261">
        <v>35</v>
      </c>
      <c r="BQ261">
        <v>121737.20452170212</v>
      </c>
      <c r="BS261">
        <v>121737.20452170212</v>
      </c>
      <c r="BT261" s="238">
        <v>121737.2</v>
      </c>
      <c r="BU261" s="238">
        <v>7333500</v>
      </c>
      <c r="BV261">
        <v>300000</v>
      </c>
      <c r="BX261" s="238">
        <v>300000</v>
      </c>
      <c r="BY261" s="238">
        <v>116757.96812749004</v>
      </c>
      <c r="BZ261" s="238">
        <v>7033500</v>
      </c>
      <c r="CA261" s="238" t="s">
        <v>36</v>
      </c>
      <c r="CC261">
        <v>116757.96812749004</v>
      </c>
      <c r="CD261" s="238">
        <v>0</v>
      </c>
      <c r="CE261" s="238">
        <v>7033500</v>
      </c>
      <c r="CG261" t="s">
        <v>8594</v>
      </c>
      <c r="CH261" s="238" t="s">
        <v>39</v>
      </c>
      <c r="CI261" s="238" t="s">
        <v>39</v>
      </c>
      <c r="CJ261" t="s">
        <v>8950</v>
      </c>
      <c r="CK261" t="s">
        <v>1167</v>
      </c>
      <c r="CL261" t="s">
        <v>8961</v>
      </c>
      <c r="CM261" t="s">
        <v>8971</v>
      </c>
      <c r="CN261" s="238" t="b">
        <v>1</v>
      </c>
      <c r="CO261" t="s">
        <v>5549</v>
      </c>
      <c r="CQ261" t="s">
        <v>6652</v>
      </c>
      <c r="CR261" t="s">
        <v>3246</v>
      </c>
      <c r="CS261" t="s">
        <v>36</v>
      </c>
      <c r="CT261" t="b">
        <v>1</v>
      </c>
      <c r="CU261">
        <v>7333500</v>
      </c>
      <c r="CV261" t="s">
        <v>9002</v>
      </c>
      <c r="CW261">
        <v>7333500</v>
      </c>
      <c r="CX261">
        <v>7333500</v>
      </c>
      <c r="CY261">
        <v>0</v>
      </c>
      <c r="CZ261" t="b">
        <v>1</v>
      </c>
      <c r="DA261">
        <v>45793</v>
      </c>
      <c r="DB261" t="s">
        <v>5215</v>
      </c>
      <c r="DC261">
        <v>-6.4741035856572537E-3</v>
      </c>
      <c r="DD261">
        <v>-755.90318010823876</v>
      </c>
      <c r="DE261" s="420" cm="1">
        <f t="array" ref="DE261">_xlfn.XLOOKUP("Дом 5"&amp;Реестр_Д5[[#This Row],[№]]&amp;Реестр_Д5[[#This Row],[Статус]],РД[Дом]&amp;РД[№ кв]&amp;РД[Состояние],РД[Дата подачи на регистрацию],"-",0)</f>
        <v>45793</v>
      </c>
    </row>
    <row r="262" spans="1:109" x14ac:dyDescent="0.25">
      <c r="A262" s="238">
        <v>261</v>
      </c>
      <c r="B262" s="238" t="s">
        <v>16</v>
      </c>
      <c r="C262" s="238">
        <v>6</v>
      </c>
      <c r="D262" s="238">
        <v>5</v>
      </c>
      <c r="E262" s="238">
        <v>1</v>
      </c>
      <c r="F262" s="238">
        <v>12.54</v>
      </c>
      <c r="G262" s="238"/>
      <c r="H262" s="238"/>
      <c r="I262">
        <v>12.54</v>
      </c>
      <c r="J262" s="238">
        <v>12.74</v>
      </c>
      <c r="K262" s="238">
        <v>4.0199999999999996</v>
      </c>
      <c r="L262" s="238"/>
      <c r="M262" s="238"/>
      <c r="N262" s="238">
        <v>7.09</v>
      </c>
      <c r="O262" s="238">
        <v>2.84</v>
      </c>
      <c r="P262" s="238"/>
      <c r="R262" s="238">
        <v>2.84</v>
      </c>
      <c r="S262">
        <v>39.229999999999997</v>
      </c>
      <c r="T262">
        <v>36.39</v>
      </c>
      <c r="U262" s="238">
        <v>37.81</v>
      </c>
      <c r="V262">
        <v>37.549999999999997</v>
      </c>
      <c r="W262" s="238">
        <v>88412.625</v>
      </c>
      <c r="X262">
        <v>4420.6312500000004</v>
      </c>
      <c r="Y262">
        <v>92833.256250000006</v>
      </c>
      <c r="Z262">
        <v>2784.9976875000002</v>
      </c>
      <c r="AA262">
        <v>95618.253937500005</v>
      </c>
      <c r="AB262">
        <v>4302.8214271875004</v>
      </c>
      <c r="AC262">
        <v>99921.075364687509</v>
      </c>
      <c r="AE262">
        <v>99921.075364687509</v>
      </c>
      <c r="AF262">
        <v>4996.0537682343756</v>
      </c>
      <c r="AG262">
        <v>104917.12913292188</v>
      </c>
      <c r="AH262">
        <v>-620</v>
      </c>
      <c r="AI262">
        <v>104297.12913292188</v>
      </c>
      <c r="AJ262">
        <v>1042.9712913292187</v>
      </c>
      <c r="AK262">
        <v>105340.1004242511</v>
      </c>
      <c r="AL262">
        <v>5267.0050212125552</v>
      </c>
      <c r="AM262">
        <v>110607.10544546365</v>
      </c>
      <c r="AO262">
        <v>110607.10544546365</v>
      </c>
      <c r="AP262">
        <v>3318.2131633639092</v>
      </c>
      <c r="AQ262">
        <v>113925.31860882755</v>
      </c>
      <c r="AS262">
        <v>113925.31860882755</v>
      </c>
      <c r="AU262">
        <v>113925.31860882755</v>
      </c>
      <c r="AW262">
        <v>113925.31860882755</v>
      </c>
      <c r="AX262">
        <v>1139.2531860882757</v>
      </c>
      <c r="AY262">
        <v>115064.57179491584</v>
      </c>
      <c r="BA262">
        <v>115064.57179491584</v>
      </c>
      <c r="BC262">
        <v>115064.57179491584</v>
      </c>
      <c r="BE262">
        <v>115064.57179491584</v>
      </c>
      <c r="BF262">
        <v>575.32285897457916</v>
      </c>
      <c r="BG262">
        <v>115639.8946538904</v>
      </c>
      <c r="BI262">
        <v>115639.8946538904</v>
      </c>
      <c r="BK262">
        <v>115639.8946538904</v>
      </c>
      <c r="BL262">
        <v>5781.9947326945212</v>
      </c>
      <c r="BM262">
        <v>121421.88938658494</v>
      </c>
      <c r="BN262">
        <v>15784.845620256045</v>
      </c>
      <c r="BO262">
        <v>137206.73500684099</v>
      </c>
      <c r="BP262">
        <v>35</v>
      </c>
      <c r="BQ262">
        <v>137241.73500684099</v>
      </c>
      <c r="BS262">
        <v>137241.73500684099</v>
      </c>
      <c r="BT262" s="238">
        <v>137241.74</v>
      </c>
      <c r="BU262" s="238">
        <v>5153500</v>
      </c>
      <c r="BX262" s="238">
        <v>0</v>
      </c>
      <c r="BY262" s="238">
        <v>137243.67509986684</v>
      </c>
      <c r="BZ262" s="238">
        <v>5153500</v>
      </c>
      <c r="CA262" s="238" t="s">
        <v>36</v>
      </c>
      <c r="CC262">
        <v>137243.67509986684</v>
      </c>
      <c r="CD262" s="238">
        <v>0</v>
      </c>
      <c r="CE262" s="238">
        <v>5153500.0000000009</v>
      </c>
      <c r="CH262" s="238" t="s">
        <v>3</v>
      </c>
      <c r="CI262" s="238" t="s">
        <v>3</v>
      </c>
      <c r="CJ262" t="s">
        <v>8951</v>
      </c>
      <c r="CK262" t="s">
        <v>1167</v>
      </c>
      <c r="CL262" t="s">
        <v>8961</v>
      </c>
      <c r="CM262" t="s">
        <v>8973</v>
      </c>
      <c r="CN262" s="238" t="b">
        <v>1</v>
      </c>
      <c r="CO262" t="s">
        <v>5550</v>
      </c>
      <c r="CQ262" t="s">
        <v>6652</v>
      </c>
      <c r="CR262" t="s">
        <v>3124</v>
      </c>
      <c r="CS262" t="s">
        <v>6871</v>
      </c>
      <c r="CT262" t="b">
        <v>0</v>
      </c>
      <c r="CU262">
        <v>5153500</v>
      </c>
      <c r="CV262">
        <v>5153500</v>
      </c>
      <c r="CW262">
        <v>0</v>
      </c>
      <c r="CX262">
        <v>0</v>
      </c>
      <c r="CY262">
        <v>0</v>
      </c>
      <c r="CZ262" t="b">
        <v>1</v>
      </c>
      <c r="DA262" t="s">
        <v>4246</v>
      </c>
      <c r="DB262" t="s">
        <v>1167</v>
      </c>
      <c r="DC262">
        <v>-6.8764877016661563E-3</v>
      </c>
      <c r="DD262">
        <v>-943.75444395570003</v>
      </c>
      <c r="DE262" s="420" t="str" cm="1">
        <f t="array" ref="DE26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63" spans="1:109" hidden="1" x14ac:dyDescent="0.25">
      <c r="A263" s="238">
        <v>262</v>
      </c>
      <c r="B263" s="238" t="s">
        <v>16</v>
      </c>
      <c r="C263" s="238">
        <v>6</v>
      </c>
      <c r="D263" s="238">
        <v>6</v>
      </c>
      <c r="E263" s="238">
        <v>3</v>
      </c>
      <c r="F263" s="238">
        <v>17.2</v>
      </c>
      <c r="G263" s="238">
        <v>14.64</v>
      </c>
      <c r="H263" s="238">
        <v>14.34</v>
      </c>
      <c r="I263">
        <v>46.18</v>
      </c>
      <c r="J263" s="238">
        <v>13.15</v>
      </c>
      <c r="K263" s="238">
        <v>4.03</v>
      </c>
      <c r="L263" s="238">
        <v>1.76</v>
      </c>
      <c r="M263" s="238"/>
      <c r="N263" s="238">
        <v>13.11</v>
      </c>
      <c r="O263" s="238">
        <v>2.79</v>
      </c>
      <c r="P263" s="238">
        <v>2.68</v>
      </c>
      <c r="R263" s="238">
        <v>5.4700000000000006</v>
      </c>
      <c r="S263">
        <v>83.7</v>
      </c>
      <c r="T263">
        <v>78.23</v>
      </c>
      <c r="U263" s="238">
        <v>80.97</v>
      </c>
      <c r="V263">
        <v>80.95</v>
      </c>
      <c r="W263" s="238">
        <v>74234.160000000018</v>
      </c>
      <c r="X263">
        <v>3711.708000000001</v>
      </c>
      <c r="Y263">
        <v>77945.868000000017</v>
      </c>
      <c r="Z263">
        <v>2338.376040000001</v>
      </c>
      <c r="AA263">
        <v>80284.24404000002</v>
      </c>
      <c r="AC263">
        <v>80284.24404000002</v>
      </c>
      <c r="AE263">
        <v>80284.24404000002</v>
      </c>
      <c r="AG263">
        <v>80284.24404000002</v>
      </c>
      <c r="AI263">
        <v>80284.24404000002</v>
      </c>
      <c r="AJ263">
        <v>802.84244040000021</v>
      </c>
      <c r="AK263">
        <v>81087.086480400016</v>
      </c>
      <c r="AL263">
        <v>4054.3543240200006</v>
      </c>
      <c r="AM263">
        <v>85141.44080442001</v>
      </c>
      <c r="AO263">
        <v>85141.44080442001</v>
      </c>
      <c r="AP263">
        <v>1702.8288160884003</v>
      </c>
      <c r="AQ263">
        <v>86844.269620508407</v>
      </c>
      <c r="AS263">
        <v>86844.269620508407</v>
      </c>
      <c r="AT263">
        <v>1736.8853924101682</v>
      </c>
      <c r="AU263">
        <v>88581.155012918578</v>
      </c>
      <c r="AW263">
        <v>88581.155012918578</v>
      </c>
      <c r="AX263">
        <v>885.81155012918578</v>
      </c>
      <c r="AY263">
        <v>89466.966563047783</v>
      </c>
      <c r="BA263">
        <v>89466.966563047783</v>
      </c>
      <c r="BB263">
        <v>447.33483281523883</v>
      </c>
      <c r="BC263">
        <v>89914.301395863004</v>
      </c>
      <c r="BD263">
        <v>1798.2860279172601</v>
      </c>
      <c r="BE263">
        <v>91712.587423780249</v>
      </c>
      <c r="BF263">
        <v>1375.6888113567038</v>
      </c>
      <c r="BG263">
        <v>93088.27623513696</v>
      </c>
      <c r="BI263">
        <v>93088.27623513696</v>
      </c>
      <c r="BK263">
        <v>93088.27623513696</v>
      </c>
      <c r="BM263">
        <v>93088.27623513696</v>
      </c>
      <c r="BO263">
        <v>93088.27623513696</v>
      </c>
      <c r="BQ263">
        <v>93088.27623513696</v>
      </c>
      <c r="BS263">
        <v>93088.27623513696</v>
      </c>
      <c r="BT263" s="238">
        <v>93088.28</v>
      </c>
      <c r="BU263" s="238">
        <v>7537400</v>
      </c>
      <c r="BX263" s="238">
        <v>0</v>
      </c>
      <c r="BY263" s="238">
        <v>93088.798320365575</v>
      </c>
      <c r="BZ263" s="238">
        <v>7537400</v>
      </c>
      <c r="CA263" s="238" t="s">
        <v>36</v>
      </c>
      <c r="CC263">
        <v>93088.798320365575</v>
      </c>
      <c r="CD263" s="238">
        <v>0</v>
      </c>
      <c r="CE263" s="238">
        <v>7537400.0000000019</v>
      </c>
      <c r="CH263" s="238" t="s">
        <v>39</v>
      </c>
      <c r="CI263" s="238" t="s">
        <v>39</v>
      </c>
      <c r="CJ263" t="s">
        <v>8950</v>
      </c>
      <c r="CK263" t="s">
        <v>1167</v>
      </c>
      <c r="CL263" t="s">
        <v>8961</v>
      </c>
      <c r="CM263" t="s">
        <v>8975</v>
      </c>
      <c r="CN263" s="238" t="b">
        <v>1</v>
      </c>
      <c r="CO263" t="s">
        <v>5551</v>
      </c>
      <c r="CQ263" t="s">
        <v>6652</v>
      </c>
      <c r="CR263" t="s">
        <v>3246</v>
      </c>
      <c r="CS263" t="s">
        <v>36</v>
      </c>
      <c r="CT263" t="b">
        <v>1</v>
      </c>
      <c r="CU263">
        <v>7537400</v>
      </c>
      <c r="CV263" t="s">
        <v>9002</v>
      </c>
      <c r="CW263">
        <v>0</v>
      </c>
      <c r="CX263">
        <v>7537400</v>
      </c>
      <c r="CY263">
        <v>0</v>
      </c>
      <c r="CZ263" t="b">
        <v>1</v>
      </c>
      <c r="DA263">
        <v>45499</v>
      </c>
      <c r="DB263" t="s">
        <v>5215</v>
      </c>
      <c r="DC263">
        <v>-2.4700506360375574E-4</v>
      </c>
      <c r="DD263">
        <v>-22.993404549919088</v>
      </c>
      <c r="DE263" s="420" cm="1">
        <f t="array" ref="DE263">_xlfn.XLOOKUP("Дом 5"&amp;Реестр_Д5[[#This Row],[№]]&amp;Реестр_Д5[[#This Row],[Статус]],РД[Дом]&amp;РД[№ кв]&amp;РД[Состояние],РД[Дата подачи на регистрацию],"-",0)</f>
        <v>45499</v>
      </c>
    </row>
    <row r="264" spans="1:109" hidden="1" x14ac:dyDescent="0.25">
      <c r="A264" s="238">
        <v>263</v>
      </c>
      <c r="B264" s="238" t="s">
        <v>16</v>
      </c>
      <c r="C264" s="238">
        <v>6</v>
      </c>
      <c r="D264" s="238">
        <v>7</v>
      </c>
      <c r="E264" s="238">
        <v>1</v>
      </c>
      <c r="F264" s="238">
        <v>14.3</v>
      </c>
      <c r="G264" s="238"/>
      <c r="H264" s="238"/>
      <c r="I264">
        <v>14.3</v>
      </c>
      <c r="J264" s="238">
        <v>9.2799999999999994</v>
      </c>
      <c r="K264" s="238">
        <v>3.79</v>
      </c>
      <c r="L264" s="238"/>
      <c r="M264" s="238"/>
      <c r="N264" s="238">
        <v>6.08</v>
      </c>
      <c r="O264" s="238">
        <v>2.71</v>
      </c>
      <c r="P264" s="238"/>
      <c r="R264" s="238">
        <v>2.71</v>
      </c>
      <c r="S264">
        <v>36.159999999999997</v>
      </c>
      <c r="T264">
        <v>33.450000000000003</v>
      </c>
      <c r="U264" s="238">
        <v>34.81</v>
      </c>
      <c r="V264">
        <v>34.599999999999994</v>
      </c>
      <c r="W264" s="238">
        <v>85573.6875</v>
      </c>
      <c r="X264">
        <v>4278.6843749999998</v>
      </c>
      <c r="Y264">
        <v>89852.371874999997</v>
      </c>
      <c r="Z264">
        <v>2695.5711562499996</v>
      </c>
      <c r="AA264">
        <v>92547.943031250004</v>
      </c>
      <c r="AB264">
        <v>12956.712024375</v>
      </c>
      <c r="AC264">
        <v>105504.655055625</v>
      </c>
      <c r="AE264">
        <v>105504.655055625</v>
      </c>
      <c r="AF264">
        <v>5275.2327527812495</v>
      </c>
      <c r="AG264">
        <v>110779.88780840625</v>
      </c>
      <c r="AI264">
        <v>110779.88780840625</v>
      </c>
      <c r="AJ264">
        <v>1107.7988780840624</v>
      </c>
      <c r="AK264">
        <v>111887.6866864903</v>
      </c>
      <c r="AL264">
        <v>5594.3843343245153</v>
      </c>
      <c r="AM264">
        <v>117482.07102081479</v>
      </c>
      <c r="AO264">
        <v>117482.07102081479</v>
      </c>
      <c r="AP264">
        <v>3524.4621306244439</v>
      </c>
      <c r="AQ264">
        <v>121006.53315143925</v>
      </c>
      <c r="AS264">
        <v>121006.53315143925</v>
      </c>
      <c r="AU264">
        <v>121006.53315143925</v>
      </c>
      <c r="AW264">
        <v>121006.53315143925</v>
      </c>
      <c r="AY264">
        <v>121006.53315143925</v>
      </c>
      <c r="BA264">
        <v>121006.53315143925</v>
      </c>
      <c r="BC264">
        <v>121006.53315143925</v>
      </c>
      <c r="BE264">
        <v>121006.53315143925</v>
      </c>
      <c r="BF264">
        <v>605.03266575719624</v>
      </c>
      <c r="BG264">
        <v>121611.56581719645</v>
      </c>
      <c r="BI264">
        <v>121611.56581719645</v>
      </c>
      <c r="BJ264">
        <v>2432.2313163439289</v>
      </c>
      <c r="BK264">
        <v>124043.79713354036</v>
      </c>
      <c r="BM264">
        <v>124043.79713354036</v>
      </c>
      <c r="BO264">
        <v>124043.79713354036</v>
      </c>
      <c r="BQ264">
        <v>124043.79713354036</v>
      </c>
      <c r="BS264">
        <v>124043.79713354036</v>
      </c>
      <c r="BT264" s="238">
        <v>124043.8</v>
      </c>
      <c r="BU264" s="238">
        <v>4318000</v>
      </c>
      <c r="BW264">
        <v>0.03</v>
      </c>
      <c r="BX264" s="238">
        <v>129540</v>
      </c>
      <c r="BY264" s="238">
        <v>120323.47026716459</v>
      </c>
      <c r="BZ264" s="238">
        <v>4188460</v>
      </c>
      <c r="CA264" s="238" t="s">
        <v>38</v>
      </c>
      <c r="CB264">
        <v>20000</v>
      </c>
      <c r="CC264">
        <v>140323.47026716458</v>
      </c>
      <c r="CD264" s="238">
        <v>696199.99999999907</v>
      </c>
      <c r="CE264" s="238">
        <v>4884659.9999999991</v>
      </c>
      <c r="CF264" t="s">
        <v>4633</v>
      </c>
      <c r="CG264" t="s">
        <v>978</v>
      </c>
      <c r="CH264" s="238" t="s">
        <v>39</v>
      </c>
      <c r="CI264" s="238" t="s">
        <v>39</v>
      </c>
      <c r="CJ264" t="s">
        <v>8950</v>
      </c>
      <c r="CK264" t="s">
        <v>1167</v>
      </c>
      <c r="CL264" t="s">
        <v>8961</v>
      </c>
      <c r="CM264" t="s">
        <v>8973</v>
      </c>
      <c r="CN264" s="238" t="b">
        <v>1</v>
      </c>
      <c r="CO264" t="s">
        <v>5552</v>
      </c>
      <c r="CQ264" t="s">
        <v>6652</v>
      </c>
      <c r="CR264" t="s">
        <v>3246</v>
      </c>
      <c r="CS264" t="s">
        <v>38</v>
      </c>
      <c r="CT264" t="b">
        <v>1</v>
      </c>
      <c r="CU264">
        <v>4318000</v>
      </c>
      <c r="CV264" t="s">
        <v>9002</v>
      </c>
      <c r="CW264">
        <v>0</v>
      </c>
      <c r="CX264">
        <v>4318000</v>
      </c>
      <c r="CY264">
        <v>0</v>
      </c>
      <c r="CZ264" t="b">
        <v>1</v>
      </c>
      <c r="DA264">
        <v>45555</v>
      </c>
      <c r="DB264" t="s">
        <v>4177</v>
      </c>
      <c r="DC264">
        <v>-6.0327492099973004E-3</v>
      </c>
      <c r="DD264">
        <v>-725.88132019837099</v>
      </c>
      <c r="DE264" s="420" cm="1">
        <f t="array" ref="DE264">_xlfn.XLOOKUP("Дом 5"&amp;Реестр_Д5[[#This Row],[№]]&amp;Реестр_Д5[[#This Row],[Статус]],РД[Дом]&amp;РД[№ кв]&amp;РД[Состояние],РД[Дата подачи на регистрацию],"-",0)</f>
        <v>45555</v>
      </c>
    </row>
    <row r="265" spans="1:109" x14ac:dyDescent="0.25">
      <c r="A265" s="238">
        <v>264</v>
      </c>
      <c r="B265" s="238" t="s">
        <v>16</v>
      </c>
      <c r="C265" s="238">
        <v>7</v>
      </c>
      <c r="D265" s="238">
        <v>1</v>
      </c>
      <c r="E265" s="238">
        <v>2</v>
      </c>
      <c r="F265" s="238">
        <v>17.63</v>
      </c>
      <c r="G265" s="238">
        <v>13.69</v>
      </c>
      <c r="H265" s="238"/>
      <c r="I265">
        <v>31.32</v>
      </c>
      <c r="J265" s="238">
        <v>20.05</v>
      </c>
      <c r="K265" s="238">
        <v>3.54</v>
      </c>
      <c r="L265" s="238">
        <v>2.93</v>
      </c>
      <c r="M265" s="238"/>
      <c r="N265" s="238">
        <v>12.19</v>
      </c>
      <c r="O265" s="238">
        <v>4.6500000000000004</v>
      </c>
      <c r="P265" s="238">
        <v>2.68</v>
      </c>
      <c r="R265" s="238">
        <v>7.33</v>
      </c>
      <c r="S265">
        <v>77.36</v>
      </c>
      <c r="T265">
        <v>70.03</v>
      </c>
      <c r="U265" s="238">
        <v>73.7</v>
      </c>
      <c r="V265">
        <v>73.199999999999989</v>
      </c>
      <c r="W265" s="238">
        <v>78763.482000000004</v>
      </c>
      <c r="X265">
        <v>3938.1741000000002</v>
      </c>
      <c r="Y265">
        <v>82701.656099999993</v>
      </c>
      <c r="Z265">
        <v>2481.0496830000002</v>
      </c>
      <c r="AA265">
        <v>85182.705783000012</v>
      </c>
      <c r="AC265">
        <v>85182.705783000012</v>
      </c>
      <c r="AE265">
        <v>85182.705783000012</v>
      </c>
      <c r="AG265">
        <v>85182.705783000012</v>
      </c>
      <c r="AI265">
        <v>85182.705783000012</v>
      </c>
      <c r="AJ265">
        <v>851.82705783000017</v>
      </c>
      <c r="AK265">
        <v>86034.532840830012</v>
      </c>
      <c r="AL265">
        <v>4301.7266420415008</v>
      </c>
      <c r="AM265">
        <v>90336.259482871508</v>
      </c>
      <c r="AO265">
        <v>90336.259482871508</v>
      </c>
      <c r="AP265">
        <v>1806.7251896574303</v>
      </c>
      <c r="AQ265">
        <v>92142.984672528939</v>
      </c>
      <c r="AS265">
        <v>92142.984672528939</v>
      </c>
      <c r="AT265">
        <v>1842.8596934505788</v>
      </c>
      <c r="AU265">
        <v>93985.844365979516</v>
      </c>
      <c r="AW265">
        <v>93985.844365979516</v>
      </c>
      <c r="AY265">
        <v>93985.844365979516</v>
      </c>
      <c r="BA265">
        <v>93985.844365979516</v>
      </c>
      <c r="BC265">
        <v>93985.844365979516</v>
      </c>
      <c r="BE265">
        <v>93985.844365979516</v>
      </c>
      <c r="BF265">
        <v>469.92922182989759</v>
      </c>
      <c r="BG265">
        <v>94455.773587809395</v>
      </c>
      <c r="BI265">
        <v>94455.773587809395</v>
      </c>
      <c r="BK265">
        <v>94455.773587809395</v>
      </c>
      <c r="BL265">
        <v>7556.4618870247532</v>
      </c>
      <c r="BM265">
        <v>102012.23547483416</v>
      </c>
      <c r="BN265">
        <v>13261.590611728439</v>
      </c>
      <c r="BO265">
        <v>115273.82608656261</v>
      </c>
      <c r="BP265">
        <v>35</v>
      </c>
      <c r="BQ265">
        <v>115308.82608656261</v>
      </c>
      <c r="BS265">
        <v>115308.82608656261</v>
      </c>
      <c r="BT265" s="238">
        <v>115308.83</v>
      </c>
      <c r="BU265" s="238">
        <v>8440700</v>
      </c>
      <c r="BX265" s="238">
        <v>0</v>
      </c>
      <c r="BY265" s="238">
        <v>115310.10928961753</v>
      </c>
      <c r="BZ265" s="238">
        <v>8440700</v>
      </c>
      <c r="CA265" s="238" t="s">
        <v>36</v>
      </c>
      <c r="CC265">
        <v>115310.10928961753</v>
      </c>
      <c r="CD265" s="238">
        <v>0</v>
      </c>
      <c r="CE265" s="238">
        <v>8440700</v>
      </c>
      <c r="CF265" t="s">
        <v>4635</v>
      </c>
      <c r="CH265" s="238" t="s">
        <v>3</v>
      </c>
      <c r="CI265" s="238" t="s">
        <v>3</v>
      </c>
      <c r="CJ265" t="s">
        <v>8951</v>
      </c>
      <c r="CK265" t="s">
        <v>1167</v>
      </c>
      <c r="CL265" t="s">
        <v>8961</v>
      </c>
      <c r="CM265" t="s">
        <v>8971</v>
      </c>
      <c r="CN265" s="238" t="b">
        <v>1</v>
      </c>
      <c r="CO265" t="s">
        <v>5553</v>
      </c>
      <c r="CQ265" t="s">
        <v>6652</v>
      </c>
      <c r="CR265" t="s">
        <v>3124</v>
      </c>
      <c r="CS265" t="s">
        <v>6871</v>
      </c>
      <c r="CT265" t="b">
        <v>0</v>
      </c>
      <c r="CU265">
        <v>8440700</v>
      </c>
      <c r="CV265">
        <v>8440700</v>
      </c>
      <c r="CW265">
        <v>0</v>
      </c>
      <c r="CX265">
        <v>0</v>
      </c>
      <c r="CY265">
        <v>0</v>
      </c>
      <c r="CZ265" t="b">
        <v>1</v>
      </c>
      <c r="DA265" t="s">
        <v>4246</v>
      </c>
      <c r="DB265" t="s">
        <v>1167</v>
      </c>
      <c r="DC265">
        <v>-6.7842605156039903E-3</v>
      </c>
      <c r="DD265">
        <v>-782.29382150353297</v>
      </c>
      <c r="DE265" s="420" t="str" cm="1">
        <f t="array" ref="DE26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66" spans="1:109" hidden="1" x14ac:dyDescent="0.25">
      <c r="A266" s="238">
        <v>265</v>
      </c>
      <c r="B266" s="238" t="s">
        <v>16</v>
      </c>
      <c r="C266" s="238">
        <v>7</v>
      </c>
      <c r="D266" s="238">
        <v>2</v>
      </c>
      <c r="E266" s="238">
        <v>0</v>
      </c>
      <c r="F266" s="238">
        <v>7.18</v>
      </c>
      <c r="G266" s="238"/>
      <c r="H266" s="238"/>
      <c r="I266">
        <v>7.18</v>
      </c>
      <c r="J266" s="238">
        <v>5.17</v>
      </c>
      <c r="K266" s="238">
        <v>3.72</v>
      </c>
      <c r="L266" s="238"/>
      <c r="M266" s="238"/>
      <c r="N266" s="238">
        <v>6.97</v>
      </c>
      <c r="O266" s="238">
        <v>2.97</v>
      </c>
      <c r="P266" s="238"/>
      <c r="R266" s="238">
        <v>2.97</v>
      </c>
      <c r="S266">
        <v>26.01</v>
      </c>
      <c r="T266">
        <v>23.04</v>
      </c>
      <c r="U266" s="238">
        <v>24.53</v>
      </c>
      <c r="V266">
        <v>24.35</v>
      </c>
      <c r="W266" s="238">
        <v>91981.574999999997</v>
      </c>
      <c r="X266">
        <v>4599.0787499999997</v>
      </c>
      <c r="Y266">
        <v>96580.653749999998</v>
      </c>
      <c r="Z266">
        <v>2897.4196124999999</v>
      </c>
      <c r="AA266">
        <v>99478.073362499999</v>
      </c>
      <c r="AB266">
        <v>12932.149537125</v>
      </c>
      <c r="AC266">
        <v>112410.22289962501</v>
      </c>
      <c r="AD266">
        <v>3372.3066869887502</v>
      </c>
      <c r="AE266">
        <v>115782.52958661376</v>
      </c>
      <c r="AG266">
        <v>115782.52958661376</v>
      </c>
      <c r="AI266">
        <v>115782.52958661376</v>
      </c>
      <c r="AJ266">
        <v>1157.8252958661376</v>
      </c>
      <c r="AK266">
        <v>116940.35488247988</v>
      </c>
      <c r="AL266">
        <v>5847.0177441239948</v>
      </c>
      <c r="AM266">
        <v>122787.37262660389</v>
      </c>
      <c r="AO266">
        <v>122787.37262660389</v>
      </c>
      <c r="AP266">
        <v>3683.6211787981169</v>
      </c>
      <c r="AQ266">
        <v>126470.993805402</v>
      </c>
      <c r="AS266">
        <v>126470.993805402</v>
      </c>
      <c r="AU266">
        <v>126470.993805402</v>
      </c>
      <c r="AW266">
        <v>126470.993805402</v>
      </c>
      <c r="AX266">
        <v>1264.7099380540201</v>
      </c>
      <c r="AY266">
        <v>127735.70374345602</v>
      </c>
      <c r="BA266">
        <v>127735.70374345602</v>
      </c>
      <c r="BB266">
        <v>638.6785187172801</v>
      </c>
      <c r="BC266">
        <v>128374.3822621733</v>
      </c>
      <c r="BE266">
        <v>128374.3822621733</v>
      </c>
      <c r="BF266">
        <v>1925.6157339325991</v>
      </c>
      <c r="BG266">
        <v>130299.9979961059</v>
      </c>
      <c r="BI266">
        <v>130299.9979961059</v>
      </c>
      <c r="BK266">
        <v>130299.9979961059</v>
      </c>
      <c r="BM266">
        <v>130299.9979961059</v>
      </c>
      <c r="BO266">
        <v>130299.9979961059</v>
      </c>
      <c r="BQ266">
        <v>130299.9979961059</v>
      </c>
      <c r="BS266">
        <v>130299.9979961059</v>
      </c>
      <c r="BT266" s="238">
        <v>130300</v>
      </c>
      <c r="BU266" s="238">
        <v>3196300</v>
      </c>
      <c r="BX266" s="238">
        <v>0</v>
      </c>
      <c r="BY266" s="238">
        <v>130301.67142274763</v>
      </c>
      <c r="BZ266" s="238">
        <v>3196300</v>
      </c>
      <c r="CA266" s="238" t="s">
        <v>6871</v>
      </c>
      <c r="CB266">
        <v>8000</v>
      </c>
      <c r="CC266">
        <v>138301.67142274766</v>
      </c>
      <c r="CD266" s="238">
        <v>196240.00000000047</v>
      </c>
      <c r="CE266" s="238">
        <v>3392540.0000000005</v>
      </c>
      <c r="CH266" s="238" t="s">
        <v>39</v>
      </c>
      <c r="CI266" s="238" t="s">
        <v>39</v>
      </c>
      <c r="CJ266" t="s">
        <v>8950</v>
      </c>
      <c r="CK266" t="s">
        <v>1167</v>
      </c>
      <c r="CL266" t="s">
        <v>8961</v>
      </c>
      <c r="CM266" t="s">
        <v>8970</v>
      </c>
      <c r="CN266" s="238" t="b">
        <v>1</v>
      </c>
      <c r="CO266" t="s">
        <v>5554</v>
      </c>
      <c r="CQ266" t="s">
        <v>6652</v>
      </c>
      <c r="CR266" t="s">
        <v>3246</v>
      </c>
      <c r="CS266" t="s">
        <v>6871</v>
      </c>
      <c r="CT266" t="b">
        <v>1</v>
      </c>
      <c r="CU266">
        <v>3196300</v>
      </c>
      <c r="CV266" t="s">
        <v>9002</v>
      </c>
      <c r="CW266">
        <v>0</v>
      </c>
      <c r="CX266">
        <v>3196300</v>
      </c>
      <c r="CY266">
        <v>0</v>
      </c>
      <c r="CZ266" t="b">
        <v>1</v>
      </c>
      <c r="DA266">
        <v>45594</v>
      </c>
      <c r="DB266" t="s">
        <v>4177</v>
      </c>
      <c r="DC266">
        <v>-7.337953526294517E-3</v>
      </c>
      <c r="DD266">
        <v>-956.14760929862052</v>
      </c>
      <c r="DE266" s="420" cm="1">
        <f t="array" ref="DE266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267" spans="1:109" hidden="1" x14ac:dyDescent="0.25">
      <c r="A267" s="238">
        <v>266</v>
      </c>
      <c r="B267" s="238" t="s">
        <v>16</v>
      </c>
      <c r="C267" s="238">
        <v>7</v>
      </c>
      <c r="D267" s="238">
        <v>3</v>
      </c>
      <c r="E267" s="238">
        <v>2</v>
      </c>
      <c r="F267" s="238">
        <v>13.69</v>
      </c>
      <c r="G267" s="238">
        <v>10.16</v>
      </c>
      <c r="H267" s="238"/>
      <c r="I267">
        <v>23.85</v>
      </c>
      <c r="J267" s="238">
        <v>18.71</v>
      </c>
      <c r="K267" s="238">
        <v>3.49</v>
      </c>
      <c r="L267" s="238">
        <v>2.11</v>
      </c>
      <c r="M267" s="238"/>
      <c r="N267" s="238">
        <v>7.09</v>
      </c>
      <c r="O267" s="238">
        <v>2.65</v>
      </c>
      <c r="P267" s="238"/>
      <c r="R267" s="238">
        <v>2.65</v>
      </c>
      <c r="S267">
        <v>57.9</v>
      </c>
      <c r="T267">
        <v>55.25</v>
      </c>
      <c r="U267" s="238">
        <v>56.58</v>
      </c>
      <c r="V267">
        <v>56.1</v>
      </c>
      <c r="W267" s="238">
        <v>80307.864000000001</v>
      </c>
      <c r="X267">
        <v>4015.3932</v>
      </c>
      <c r="Y267">
        <v>84323.257199999993</v>
      </c>
      <c r="Z267">
        <v>2529.6977160000001</v>
      </c>
      <c r="AA267">
        <v>86852.954916000002</v>
      </c>
      <c r="AC267">
        <v>86852.954916000002</v>
      </c>
      <c r="AE267">
        <v>86852.954916000002</v>
      </c>
      <c r="AG267">
        <v>86852.954916000002</v>
      </c>
      <c r="AI267">
        <v>86852.954916000002</v>
      </c>
      <c r="AJ267">
        <v>868.52954915999999</v>
      </c>
      <c r="AK267">
        <v>87721.48446516</v>
      </c>
      <c r="AL267">
        <v>4386.0742232580005</v>
      </c>
      <c r="AM267">
        <v>92107.558688417994</v>
      </c>
      <c r="AO267">
        <v>92107.558688417994</v>
      </c>
      <c r="AP267">
        <v>1842.15117376836</v>
      </c>
      <c r="AQ267">
        <v>93949.709862186355</v>
      </c>
      <c r="AS267">
        <v>93949.709862186355</v>
      </c>
      <c r="AT267">
        <v>1878.9941972437273</v>
      </c>
      <c r="AU267">
        <v>95828.704059430078</v>
      </c>
      <c r="AV267">
        <v>1108.2870405943008</v>
      </c>
      <c r="AW267">
        <v>96936.991100024374</v>
      </c>
      <c r="AY267">
        <v>96936.991100024374</v>
      </c>
      <c r="BA267">
        <v>96936.991100024374</v>
      </c>
      <c r="BC267">
        <v>96936.991100024374</v>
      </c>
      <c r="BE267">
        <v>96936.991100024374</v>
      </c>
      <c r="BG267">
        <v>96936.991100024374</v>
      </c>
      <c r="BI267">
        <v>96936.991100024374</v>
      </c>
      <c r="BK267">
        <v>96936.991100024374</v>
      </c>
      <c r="BM267">
        <v>96936.991100024374</v>
      </c>
      <c r="BO267">
        <v>96936.991100024374</v>
      </c>
      <c r="BQ267">
        <v>96936.991100024374</v>
      </c>
      <c r="BS267">
        <v>96936.991100024374</v>
      </c>
      <c r="BT267" s="238">
        <v>96936.99</v>
      </c>
      <c r="BU267" s="238">
        <v>5484700</v>
      </c>
      <c r="BX267" s="238">
        <v>0</v>
      </c>
      <c r="BY267" s="238">
        <v>96937.080240367621</v>
      </c>
      <c r="BZ267" s="238">
        <v>5484700</v>
      </c>
      <c r="CA267" s="238" t="s">
        <v>6871</v>
      </c>
      <c r="CB267">
        <v>7000</v>
      </c>
      <c r="CC267">
        <v>103937.08024036762</v>
      </c>
      <c r="CD267" s="238">
        <v>396060</v>
      </c>
      <c r="CE267" s="238">
        <v>5880760</v>
      </c>
      <c r="CF267" t="s">
        <v>4633</v>
      </c>
      <c r="CH267" s="238" t="s">
        <v>39</v>
      </c>
      <c r="CI267" s="238" t="s">
        <v>39</v>
      </c>
      <c r="CJ267" t="s">
        <v>8950</v>
      </c>
      <c r="CK267" t="s">
        <v>1167</v>
      </c>
      <c r="CL267" t="s">
        <v>8961</v>
      </c>
      <c r="CM267" t="s">
        <v>8971</v>
      </c>
      <c r="CN267" s="238" t="b">
        <v>1</v>
      </c>
      <c r="CO267" t="s">
        <v>5555</v>
      </c>
      <c r="CQ267" t="s">
        <v>6652</v>
      </c>
      <c r="CR267" t="s">
        <v>3246</v>
      </c>
      <c r="CS267" t="s">
        <v>6871</v>
      </c>
      <c r="CT267" t="b">
        <v>1</v>
      </c>
      <c r="CU267">
        <v>5484700</v>
      </c>
      <c r="CV267" t="s">
        <v>9002</v>
      </c>
      <c r="CW267">
        <v>0</v>
      </c>
      <c r="CX267">
        <v>5484700</v>
      </c>
      <c r="CY267">
        <v>0</v>
      </c>
      <c r="CZ267" t="b">
        <v>1</v>
      </c>
      <c r="DA267">
        <v>45436</v>
      </c>
      <c r="DB267" t="s">
        <v>126</v>
      </c>
      <c r="DC267">
        <v>-8.483563096500446E-3</v>
      </c>
      <c r="DD267">
        <v>-822.37183660968549</v>
      </c>
      <c r="DE267" s="420" cm="1">
        <f t="array" ref="DE267">_xlfn.XLOOKUP("Дом 5"&amp;Реестр_Д5[[#This Row],[№]]&amp;Реестр_Д5[[#This Row],[Статус]],РД[Дом]&amp;РД[№ кв]&amp;РД[Состояние],РД[Дата подачи на регистрацию],"-",0)</f>
        <v>45436</v>
      </c>
    </row>
    <row r="268" spans="1:109" hidden="1" x14ac:dyDescent="0.25">
      <c r="A268" s="238">
        <v>267</v>
      </c>
      <c r="B268" s="238" t="s">
        <v>16</v>
      </c>
      <c r="C268" s="238">
        <v>7</v>
      </c>
      <c r="D268" s="238">
        <v>4</v>
      </c>
      <c r="E268" s="238">
        <v>2</v>
      </c>
      <c r="F268" s="238">
        <v>15.45</v>
      </c>
      <c r="G268" s="238">
        <v>10.34</v>
      </c>
      <c r="H268" s="238"/>
      <c r="I268">
        <v>25.79</v>
      </c>
      <c r="J268" s="238">
        <v>15.44</v>
      </c>
      <c r="K268" s="238">
        <v>4.59</v>
      </c>
      <c r="L268" s="238">
        <v>2.21</v>
      </c>
      <c r="M268" s="238"/>
      <c r="N268" s="238">
        <v>10.79</v>
      </c>
      <c r="O268" s="238">
        <v>2.84</v>
      </c>
      <c r="P268" s="238"/>
      <c r="R268" s="238">
        <v>2.84</v>
      </c>
      <c r="S268">
        <v>61.66</v>
      </c>
      <c r="T268">
        <v>58.82</v>
      </c>
      <c r="U268" s="238">
        <v>60.24</v>
      </c>
      <c r="V268">
        <v>59.6</v>
      </c>
      <c r="W268" s="238">
        <v>82238.34150000001</v>
      </c>
      <c r="X268">
        <v>4111.9170750000003</v>
      </c>
      <c r="Y268">
        <v>86350.258575000014</v>
      </c>
      <c r="Z268">
        <v>2590.5077572500004</v>
      </c>
      <c r="AA268">
        <v>88940.766332250016</v>
      </c>
      <c r="AC268">
        <v>88940.766332250016</v>
      </c>
      <c r="AE268">
        <v>88940.766332250016</v>
      </c>
      <c r="AG268">
        <v>88940.766332250016</v>
      </c>
      <c r="AI268">
        <v>88940.766332250016</v>
      </c>
      <c r="AJ268">
        <v>889.40766332250018</v>
      </c>
      <c r="AK268">
        <v>89830.173995572535</v>
      </c>
      <c r="AL268">
        <v>4491.5086997786266</v>
      </c>
      <c r="AM268">
        <v>94321.682695351148</v>
      </c>
      <c r="AO268">
        <v>94321.682695351148</v>
      </c>
      <c r="AP268">
        <v>1886.433653907023</v>
      </c>
      <c r="AQ268">
        <v>96208.116349258169</v>
      </c>
      <c r="AS268">
        <v>96208.116349258169</v>
      </c>
      <c r="AT268">
        <v>1924.1623269851632</v>
      </c>
      <c r="AU268">
        <v>98132.278676243339</v>
      </c>
      <c r="AW268">
        <v>98132.278676243339</v>
      </c>
      <c r="AY268">
        <v>98132.278676243339</v>
      </c>
      <c r="BA268">
        <v>98132.278676243339</v>
      </c>
      <c r="BC268">
        <v>98132.278676243339</v>
      </c>
      <c r="BE268">
        <v>98132.278676243339</v>
      </c>
      <c r="BF268">
        <v>490.66139338121673</v>
      </c>
      <c r="BG268">
        <v>98622.940069624558</v>
      </c>
      <c r="BI268">
        <v>98622.940069624558</v>
      </c>
      <c r="BK268">
        <v>98622.940069624558</v>
      </c>
      <c r="BM268">
        <v>98622.940069624558</v>
      </c>
      <c r="BO268">
        <v>98622.940069624558</v>
      </c>
      <c r="BQ268">
        <v>98622.940069624558</v>
      </c>
      <c r="BS268">
        <v>98622.940069624558</v>
      </c>
      <c r="BT268" s="238">
        <v>98622.94</v>
      </c>
      <c r="BU268" s="238">
        <v>5941100</v>
      </c>
      <c r="BX268" s="238">
        <v>0</v>
      </c>
      <c r="BY268" s="238">
        <v>98623.837981407705</v>
      </c>
      <c r="BZ268" s="238">
        <v>5941100</v>
      </c>
      <c r="CA268" s="238" t="s">
        <v>6871</v>
      </c>
      <c r="CB268">
        <v>7000</v>
      </c>
      <c r="CC268">
        <v>105623.83798140772</v>
      </c>
      <c r="CD268" s="238">
        <v>421680</v>
      </c>
      <c r="CE268" s="238">
        <v>6362780</v>
      </c>
      <c r="CH268" s="238" t="s">
        <v>39</v>
      </c>
      <c r="CI268" s="238" t="s">
        <v>39</v>
      </c>
      <c r="CJ268" t="s">
        <v>8950</v>
      </c>
      <c r="CK268" t="s">
        <v>1167</v>
      </c>
      <c r="CL268" t="s">
        <v>8961</v>
      </c>
      <c r="CM268" t="s">
        <v>8971</v>
      </c>
      <c r="CN268" s="238" t="b">
        <v>1</v>
      </c>
      <c r="CO268" t="s">
        <v>5556</v>
      </c>
      <c r="CQ268" t="s">
        <v>6652</v>
      </c>
      <c r="CR268" t="s">
        <v>3246</v>
      </c>
      <c r="CS268" t="s">
        <v>6871</v>
      </c>
      <c r="CT268" t="b">
        <v>1</v>
      </c>
      <c r="CU268">
        <v>5941100</v>
      </c>
      <c r="CV268" t="s">
        <v>9002</v>
      </c>
      <c r="CW268">
        <v>0</v>
      </c>
      <c r="CX268">
        <v>5941100</v>
      </c>
      <c r="CY268">
        <v>0</v>
      </c>
      <c r="CZ268" t="b">
        <v>1</v>
      </c>
      <c r="DA268">
        <v>45533</v>
      </c>
      <c r="DB268" t="s">
        <v>5215</v>
      </c>
      <c r="DC268">
        <v>-1.0624169986719778E-2</v>
      </c>
      <c r="DD268">
        <v>-1047.7964194571859</v>
      </c>
      <c r="DE268" s="420" cm="1">
        <f t="array" ref="DE268">_xlfn.XLOOKUP("Дом 5"&amp;Реестр_Д5[[#This Row],[№]]&amp;Реестр_Д5[[#This Row],[Статус]],РД[Дом]&amp;РД[№ кв]&amp;РД[Состояние],РД[Дата подачи на регистрацию],"-",0)</f>
        <v>45533</v>
      </c>
    </row>
    <row r="269" spans="1:109" hidden="1" x14ac:dyDescent="0.25">
      <c r="A269" s="238">
        <v>268</v>
      </c>
      <c r="B269" s="238" t="s">
        <v>16</v>
      </c>
      <c r="C269" s="238">
        <v>7</v>
      </c>
      <c r="D269" s="238">
        <v>5</v>
      </c>
      <c r="E269" s="238">
        <v>1</v>
      </c>
      <c r="F269" s="238">
        <v>12.54</v>
      </c>
      <c r="G269" s="238"/>
      <c r="H269" s="238"/>
      <c r="I269">
        <v>12.54</v>
      </c>
      <c r="J269" s="238">
        <v>12.74</v>
      </c>
      <c r="K269" s="238">
        <v>4.0199999999999996</v>
      </c>
      <c r="L269" s="238"/>
      <c r="M269" s="238"/>
      <c r="N269" s="238">
        <v>7.09</v>
      </c>
      <c r="O269" s="238">
        <v>2.84</v>
      </c>
      <c r="P269" s="238"/>
      <c r="R269" s="238">
        <v>2.84</v>
      </c>
      <c r="S269">
        <v>39.229999999999997</v>
      </c>
      <c r="T269">
        <v>36.39</v>
      </c>
      <c r="U269" s="238">
        <v>37.81</v>
      </c>
      <c r="V269">
        <v>37.4</v>
      </c>
      <c r="W269" s="238">
        <v>89223.75</v>
      </c>
      <c r="X269">
        <v>4461.1875</v>
      </c>
      <c r="Y269">
        <v>93684.9375</v>
      </c>
      <c r="Z269">
        <v>2810.5481249999998</v>
      </c>
      <c r="AA269">
        <v>96495.485625000001</v>
      </c>
      <c r="AB269">
        <v>4342.2968531249999</v>
      </c>
      <c r="AC269">
        <v>100837.78247812499</v>
      </c>
      <c r="AE269">
        <v>100837.78247812499</v>
      </c>
      <c r="AF269">
        <v>5041.8891239062505</v>
      </c>
      <c r="AG269">
        <v>105879.67160203125</v>
      </c>
      <c r="AH269">
        <v>-620</v>
      </c>
      <c r="AI269">
        <v>105259.67160203125</v>
      </c>
      <c r="AJ269">
        <v>1052.5967160203124</v>
      </c>
      <c r="AK269">
        <v>106312.26831805156</v>
      </c>
      <c r="AL269">
        <v>5315.6134159025787</v>
      </c>
      <c r="AM269">
        <v>111627.88173395414</v>
      </c>
      <c r="AO269">
        <v>111627.88173395414</v>
      </c>
      <c r="AQ269">
        <v>111627.88173395414</v>
      </c>
      <c r="AS269">
        <v>111627.88173395414</v>
      </c>
      <c r="AU269">
        <v>111627.88173395414</v>
      </c>
      <c r="AW269">
        <v>111627.88173395414</v>
      </c>
      <c r="AY269">
        <v>111627.88173395414</v>
      </c>
      <c r="BA269">
        <v>111627.88173395414</v>
      </c>
      <c r="BC269">
        <v>111627.88173395414</v>
      </c>
      <c r="BE269">
        <v>111627.88173395414</v>
      </c>
      <c r="BG269">
        <v>111627.88173395414</v>
      </c>
      <c r="BI269">
        <v>111627.88173395414</v>
      </c>
      <c r="BK269">
        <v>111627.88173395414</v>
      </c>
      <c r="BM269">
        <v>111627.88173395414</v>
      </c>
      <c r="BO269">
        <v>111627.88173395414</v>
      </c>
      <c r="BQ269">
        <v>111627.88173395414</v>
      </c>
      <c r="BS269">
        <v>111627.88173395414</v>
      </c>
      <c r="BT269" s="238">
        <v>111627.88</v>
      </c>
      <c r="BU269" s="238">
        <v>4220700</v>
      </c>
      <c r="BV269">
        <v>88888</v>
      </c>
      <c r="BX269" s="238">
        <v>88888</v>
      </c>
      <c r="BY269" s="238">
        <v>109278.2861676805</v>
      </c>
      <c r="BZ269" s="238">
        <v>4131812</v>
      </c>
      <c r="CA269" s="238" t="s">
        <v>38</v>
      </c>
      <c r="CB269">
        <v>20000</v>
      </c>
      <c r="CC269">
        <v>129278.2861676805</v>
      </c>
      <c r="CD269" s="238">
        <v>756200</v>
      </c>
      <c r="CE269" s="238">
        <v>4888012</v>
      </c>
      <c r="CG269" t="s">
        <v>4185</v>
      </c>
      <c r="CH269" s="238" t="s">
        <v>39</v>
      </c>
      <c r="CI269" s="238" t="s">
        <v>39</v>
      </c>
      <c r="CJ269" t="s">
        <v>8950</v>
      </c>
      <c r="CK269" t="s">
        <v>1167</v>
      </c>
      <c r="CL269" t="s">
        <v>8961</v>
      </c>
      <c r="CM269" t="s">
        <v>8973</v>
      </c>
      <c r="CN269" s="238" t="b">
        <v>1</v>
      </c>
      <c r="CO269" t="s">
        <v>5557</v>
      </c>
      <c r="CQ269" t="s">
        <v>6652</v>
      </c>
      <c r="CR269" t="s">
        <v>3246</v>
      </c>
      <c r="CS269" t="s">
        <v>38</v>
      </c>
      <c r="CT269" t="b">
        <v>1</v>
      </c>
      <c r="CU269">
        <v>4220700</v>
      </c>
      <c r="CV269" t="s">
        <v>9002</v>
      </c>
      <c r="CW269">
        <v>0</v>
      </c>
      <c r="CX269">
        <v>4220700</v>
      </c>
      <c r="CY269">
        <v>0</v>
      </c>
      <c r="CZ269" t="b">
        <v>1</v>
      </c>
      <c r="DA269">
        <v>45363</v>
      </c>
      <c r="DB269" t="s">
        <v>5215</v>
      </c>
      <c r="DC269">
        <v>-1.0843692144935302E-2</v>
      </c>
      <c r="DD269">
        <v>-1184.9800933284691</v>
      </c>
      <c r="DE269" s="420" cm="1">
        <f t="array" ref="DE269">_xlfn.XLOOKUP("Дом 5"&amp;Реестр_Д5[[#This Row],[№]]&amp;Реестр_Д5[[#This Row],[Статус]],РД[Дом]&amp;РД[№ кв]&amp;РД[Состояние],РД[Дата подачи на регистрацию],"-",0)</f>
        <v>45363</v>
      </c>
    </row>
    <row r="270" spans="1:109" hidden="1" x14ac:dyDescent="0.25">
      <c r="A270" s="238">
        <v>269</v>
      </c>
      <c r="B270" s="238" t="s">
        <v>16</v>
      </c>
      <c r="C270" s="238">
        <v>7</v>
      </c>
      <c r="D270" s="238">
        <v>6</v>
      </c>
      <c r="E270" s="238">
        <v>3</v>
      </c>
      <c r="F270" s="238">
        <v>17.2</v>
      </c>
      <c r="G270" s="238">
        <v>14.64</v>
      </c>
      <c r="H270" s="238">
        <v>14.34</v>
      </c>
      <c r="I270">
        <v>46.18</v>
      </c>
      <c r="J270" s="238">
        <v>13.15</v>
      </c>
      <c r="K270" s="238">
        <v>4.03</v>
      </c>
      <c r="L270" s="238">
        <v>1.76</v>
      </c>
      <c r="M270" s="238"/>
      <c r="N270" s="238">
        <v>13.11</v>
      </c>
      <c r="O270" s="238">
        <v>2.79</v>
      </c>
      <c r="P270" s="238">
        <v>2.68</v>
      </c>
      <c r="R270" s="238">
        <v>5.4700000000000006</v>
      </c>
      <c r="S270">
        <v>83.7</v>
      </c>
      <c r="T270">
        <v>78.23</v>
      </c>
      <c r="U270" s="238">
        <v>80.97</v>
      </c>
      <c r="V270">
        <v>80.349999999999994</v>
      </c>
      <c r="W270" s="238">
        <v>73520.37000000001</v>
      </c>
      <c r="X270">
        <v>3676.0185000000006</v>
      </c>
      <c r="Y270">
        <v>77196.388500000015</v>
      </c>
      <c r="Z270">
        <v>2315.8916550000004</v>
      </c>
      <c r="AA270">
        <v>79512.280155000015</v>
      </c>
      <c r="AC270">
        <v>79512.280155000015</v>
      </c>
      <c r="AE270">
        <v>79512.280155000015</v>
      </c>
      <c r="AG270">
        <v>79512.280155000015</v>
      </c>
      <c r="AI270">
        <v>79512.280155000015</v>
      </c>
      <c r="AJ270">
        <v>795.12280155000019</v>
      </c>
      <c r="AK270">
        <v>80307.40295655001</v>
      </c>
      <c r="AL270">
        <v>4015.3701478275007</v>
      </c>
      <c r="AM270">
        <v>84322.773104377513</v>
      </c>
      <c r="AO270">
        <v>84322.773104377513</v>
      </c>
      <c r="AP270">
        <v>1686.4554620875504</v>
      </c>
      <c r="AQ270">
        <v>86009.22856646507</v>
      </c>
      <c r="AS270">
        <v>86009.22856646507</v>
      </c>
      <c r="AT270">
        <v>1720.1845713293014</v>
      </c>
      <c r="AU270">
        <v>87729.41313779437</v>
      </c>
      <c r="AW270">
        <v>87729.41313779437</v>
      </c>
      <c r="AX270">
        <v>877.2941313779437</v>
      </c>
      <c r="AY270">
        <v>88606.707269172315</v>
      </c>
      <c r="BA270">
        <v>88606.707269172315</v>
      </c>
      <c r="BB270">
        <v>443.03353634586159</v>
      </c>
      <c r="BC270">
        <v>89049.740805518173</v>
      </c>
      <c r="BD270">
        <v>1780.9948161103634</v>
      </c>
      <c r="BE270">
        <v>90830.735621628541</v>
      </c>
      <c r="BF270">
        <v>1362.4610343244281</v>
      </c>
      <c r="BG270">
        <v>92193.196655952954</v>
      </c>
      <c r="BI270">
        <v>92193.196655952954</v>
      </c>
      <c r="BK270">
        <v>92193.196655952954</v>
      </c>
      <c r="BM270">
        <v>92193.196655952954</v>
      </c>
      <c r="BO270">
        <v>92193.196655952954</v>
      </c>
      <c r="BQ270">
        <v>92193.196655952954</v>
      </c>
      <c r="BS270">
        <v>92193.196655952954</v>
      </c>
      <c r="BT270" s="238">
        <v>92193.2</v>
      </c>
      <c r="BU270" s="238">
        <v>7464900</v>
      </c>
      <c r="BX270" s="238">
        <v>0</v>
      </c>
      <c r="BY270" s="238">
        <v>92193.404964801783</v>
      </c>
      <c r="BZ270" s="238">
        <v>7464900</v>
      </c>
      <c r="CA270" s="238" t="s">
        <v>36</v>
      </c>
      <c r="CC270">
        <v>92193.404964801783</v>
      </c>
      <c r="CD270" s="238">
        <v>0</v>
      </c>
      <c r="CE270" s="238">
        <v>7464900</v>
      </c>
      <c r="CH270" s="238" t="s">
        <v>39</v>
      </c>
      <c r="CI270" s="238" t="s">
        <v>39</v>
      </c>
      <c r="CJ270" t="s">
        <v>8950</v>
      </c>
      <c r="CK270" t="s">
        <v>1167</v>
      </c>
      <c r="CL270" t="s">
        <v>8961</v>
      </c>
      <c r="CM270" t="s">
        <v>8975</v>
      </c>
      <c r="CN270" s="238" t="b">
        <v>1</v>
      </c>
      <c r="CO270" t="s">
        <v>5558</v>
      </c>
      <c r="CQ270" t="s">
        <v>6652</v>
      </c>
      <c r="CR270" t="s">
        <v>3246</v>
      </c>
      <c r="CS270" t="s">
        <v>36</v>
      </c>
      <c r="CT270" t="b">
        <v>1</v>
      </c>
      <c r="CU270">
        <v>7464900</v>
      </c>
      <c r="CV270" t="s">
        <v>9002</v>
      </c>
      <c r="CW270">
        <v>7464900</v>
      </c>
      <c r="CX270">
        <v>7464900</v>
      </c>
      <c r="CY270">
        <v>0</v>
      </c>
      <c r="CZ270" t="b">
        <v>1</v>
      </c>
      <c r="DA270">
        <v>45593</v>
      </c>
      <c r="DB270" t="s">
        <v>4177</v>
      </c>
      <c r="DC270">
        <v>-7.6571569717179822E-3</v>
      </c>
      <c r="DD270">
        <v>-705.93937357265122</v>
      </c>
      <c r="DE270" s="420" cm="1">
        <f t="array" ref="DE270">_xlfn.XLOOKUP("Дом 5"&amp;Реестр_Д5[[#This Row],[№]]&amp;Реестр_Д5[[#This Row],[Статус]],РД[Дом]&amp;РД[№ кв]&amp;РД[Состояние],РД[Дата подачи на регистрацию],"-",0)</f>
        <v>45593</v>
      </c>
    </row>
    <row r="271" spans="1:109" hidden="1" x14ac:dyDescent="0.25">
      <c r="A271" s="238">
        <v>270</v>
      </c>
      <c r="B271" s="238" t="s">
        <v>16</v>
      </c>
      <c r="C271" s="238">
        <v>7</v>
      </c>
      <c r="D271" s="238">
        <v>7</v>
      </c>
      <c r="E271" s="238">
        <v>1</v>
      </c>
      <c r="F271" s="238">
        <v>14.3</v>
      </c>
      <c r="G271" s="238"/>
      <c r="H271" s="238"/>
      <c r="I271">
        <v>14.3</v>
      </c>
      <c r="J271" s="238">
        <v>9.2799999999999994</v>
      </c>
      <c r="K271" s="238">
        <v>3.79</v>
      </c>
      <c r="L271" s="238"/>
      <c r="M271" s="238"/>
      <c r="N271" s="238">
        <v>6.08</v>
      </c>
      <c r="O271" s="238">
        <v>2.71</v>
      </c>
      <c r="P271" s="238"/>
      <c r="R271" s="238">
        <v>2.71</v>
      </c>
      <c r="S271">
        <v>36.159999999999997</v>
      </c>
      <c r="T271">
        <v>33.450000000000003</v>
      </c>
      <c r="U271" s="238">
        <v>34.81</v>
      </c>
      <c r="V271">
        <v>34.9</v>
      </c>
      <c r="W271" s="238">
        <v>84762.5625</v>
      </c>
      <c r="Y271">
        <v>84762.5625</v>
      </c>
      <c r="AA271">
        <v>84762.5625</v>
      </c>
      <c r="AC271">
        <v>84762.5625</v>
      </c>
      <c r="AE271">
        <v>84762.5625</v>
      </c>
      <c r="AG271">
        <v>84762.5625</v>
      </c>
      <c r="AI271">
        <v>84762.5625</v>
      </c>
      <c r="AK271">
        <v>84762.5625</v>
      </c>
      <c r="AM271">
        <v>84762.5625</v>
      </c>
      <c r="AO271">
        <v>84762.5625</v>
      </c>
      <c r="AQ271">
        <v>84762.5625</v>
      </c>
      <c r="AS271">
        <v>84762.5625</v>
      </c>
      <c r="AU271">
        <v>84762.5625</v>
      </c>
      <c r="AW271">
        <v>84762.5625</v>
      </c>
      <c r="AY271">
        <v>84762.5625</v>
      </c>
      <c r="BA271">
        <v>84762.5625</v>
      </c>
      <c r="BC271">
        <v>84762.5625</v>
      </c>
      <c r="BE271">
        <v>84762.5625</v>
      </c>
      <c r="BG271">
        <v>84762.5625</v>
      </c>
      <c r="BI271">
        <v>84762.5625</v>
      </c>
      <c r="BK271">
        <v>84762.5625</v>
      </c>
      <c r="BM271">
        <v>84762.5625</v>
      </c>
      <c r="BO271">
        <v>84762.5625</v>
      </c>
      <c r="BQ271">
        <v>84762.5625</v>
      </c>
      <c r="BS271">
        <v>84762.5625</v>
      </c>
      <c r="BT271" s="238">
        <v>84762.559999999998</v>
      </c>
      <c r="BU271" s="238">
        <v>2950584.71</v>
      </c>
      <c r="BV271">
        <v>20000</v>
      </c>
      <c r="BX271" s="238">
        <v>20000</v>
      </c>
      <c r="BY271" s="238">
        <v>84188.012352772188</v>
      </c>
      <c r="BZ271" s="238">
        <v>2930584.71</v>
      </c>
      <c r="CA271" s="238" t="s">
        <v>37</v>
      </c>
      <c r="CB271">
        <v>4000</v>
      </c>
      <c r="CC271">
        <v>88188.012352772188</v>
      </c>
      <c r="CD271" s="238">
        <v>139240</v>
      </c>
      <c r="CE271" s="238">
        <v>3069824.71</v>
      </c>
      <c r="CF271" t="s">
        <v>4633</v>
      </c>
      <c r="CG271" t="s">
        <v>3441</v>
      </c>
      <c r="CH271" s="238" t="s">
        <v>39</v>
      </c>
      <c r="CI271" s="238" t="s">
        <v>39</v>
      </c>
      <c r="CJ271" t="s">
        <v>8950</v>
      </c>
      <c r="CK271" t="s">
        <v>1167</v>
      </c>
      <c r="CL271" t="s">
        <v>8961</v>
      </c>
      <c r="CM271" t="s">
        <v>8973</v>
      </c>
      <c r="CN271" s="238" t="b">
        <v>1</v>
      </c>
      <c r="CO271" t="s">
        <v>5559</v>
      </c>
      <c r="CQ271" t="s">
        <v>4895</v>
      </c>
      <c r="CR271" t="s">
        <v>3246</v>
      </c>
      <c r="CS271" t="s">
        <v>37</v>
      </c>
      <c r="CT271" t="b">
        <v>1</v>
      </c>
      <c r="CU271">
        <v>2950584.71</v>
      </c>
      <c r="CV271" t="s">
        <v>9002</v>
      </c>
      <c r="CW271">
        <v>2950585</v>
      </c>
      <c r="CX271">
        <v>2950585</v>
      </c>
      <c r="CY271">
        <v>0</v>
      </c>
      <c r="CZ271" t="b">
        <v>1</v>
      </c>
      <c r="DA271">
        <v>45195</v>
      </c>
      <c r="DB271" t="s">
        <v>4177</v>
      </c>
      <c r="DC271">
        <v>2.5854639471414309E-3</v>
      </c>
      <c r="DD271">
        <v>217.66507071958992</v>
      </c>
      <c r="DE271" s="420" cm="1">
        <f t="array" ref="DE271">_xlfn.XLOOKUP("Дом 5"&amp;Реестр_Д5[[#This Row],[№]]&amp;Реестр_Д5[[#This Row],[Статус]],РД[Дом]&amp;РД[№ кв]&amp;РД[Состояние],РД[Дата подачи на регистрацию],"-",0)</f>
        <v>45195</v>
      </c>
    </row>
    <row r="272" spans="1:109" hidden="1" x14ac:dyDescent="0.25">
      <c r="A272" s="238">
        <v>271</v>
      </c>
      <c r="B272" s="238" t="s">
        <v>16</v>
      </c>
      <c r="C272" s="238">
        <v>8</v>
      </c>
      <c r="D272" s="238">
        <v>1</v>
      </c>
      <c r="E272" s="238">
        <v>2</v>
      </c>
      <c r="F272" s="238">
        <v>17.63</v>
      </c>
      <c r="G272" s="238">
        <v>13.69</v>
      </c>
      <c r="H272" s="238"/>
      <c r="I272">
        <v>31.32</v>
      </c>
      <c r="J272" s="238">
        <v>20.05</v>
      </c>
      <c r="K272" s="238">
        <v>3.54</v>
      </c>
      <c r="L272" s="238">
        <v>2.93</v>
      </c>
      <c r="M272" s="238"/>
      <c r="N272" s="238">
        <v>12.19</v>
      </c>
      <c r="O272" s="238">
        <v>4.6500000000000004</v>
      </c>
      <c r="P272" s="238">
        <v>2.68</v>
      </c>
      <c r="R272" s="238">
        <v>7.33</v>
      </c>
      <c r="S272">
        <v>77.36</v>
      </c>
      <c r="T272">
        <v>70.03</v>
      </c>
      <c r="U272" s="238">
        <v>73.7</v>
      </c>
      <c r="V272">
        <v>73.45</v>
      </c>
      <c r="W272" s="238">
        <v>80307.864000000001</v>
      </c>
      <c r="X272">
        <v>4015.3932</v>
      </c>
      <c r="Y272">
        <v>84323.257199999993</v>
      </c>
      <c r="Z272">
        <v>2529.6977160000001</v>
      </c>
      <c r="AA272">
        <v>86852.954916000002</v>
      </c>
      <c r="AC272">
        <v>86852.954916000002</v>
      </c>
      <c r="AE272">
        <v>86852.954916000002</v>
      </c>
      <c r="AG272">
        <v>86852.954916000002</v>
      </c>
      <c r="AI272">
        <v>86852.954916000002</v>
      </c>
      <c r="AJ272">
        <v>868.52954915999999</v>
      </c>
      <c r="AK272">
        <v>87721.48446516</v>
      </c>
      <c r="AL272">
        <v>4386.0742232580005</v>
      </c>
      <c r="AM272">
        <v>92107.558688417994</v>
      </c>
      <c r="AO272">
        <v>92107.558688417994</v>
      </c>
      <c r="AP272">
        <v>1842.15117376836</v>
      </c>
      <c r="AQ272">
        <v>93949.709862186355</v>
      </c>
      <c r="AS272">
        <v>93949.709862186355</v>
      </c>
      <c r="AT272">
        <v>1878.9941972437273</v>
      </c>
      <c r="AU272">
        <v>95828.704059430078</v>
      </c>
      <c r="AW272">
        <v>95828.704059430078</v>
      </c>
      <c r="AY272">
        <v>95828.704059430078</v>
      </c>
      <c r="BA272">
        <v>95828.704059430078</v>
      </c>
      <c r="BC272">
        <v>95828.704059430078</v>
      </c>
      <c r="BE272">
        <v>95828.704059430078</v>
      </c>
      <c r="BG272">
        <v>95828.704059430078</v>
      </c>
      <c r="BI272">
        <v>95828.704059430078</v>
      </c>
      <c r="BK272">
        <v>95828.704059430078</v>
      </c>
      <c r="BM272">
        <v>95828.704059430078</v>
      </c>
      <c r="BO272">
        <v>95828.704059430078</v>
      </c>
      <c r="BQ272">
        <v>95828.704059430078</v>
      </c>
      <c r="BS272">
        <v>95828.704059430078</v>
      </c>
      <c r="BT272" s="238">
        <v>95828.7</v>
      </c>
      <c r="BU272" s="238">
        <v>7062600</v>
      </c>
      <c r="BX272" s="238">
        <v>0</v>
      </c>
      <c r="BY272" s="238">
        <v>95829.036635006778</v>
      </c>
      <c r="BZ272" s="238">
        <v>7062600</v>
      </c>
      <c r="CA272" s="238" t="s">
        <v>6871</v>
      </c>
      <c r="CB272">
        <v>7000</v>
      </c>
      <c r="CC272">
        <v>102829.03663500678</v>
      </c>
      <c r="CD272" s="238">
        <v>515900</v>
      </c>
      <c r="CE272" s="238">
        <v>7578500</v>
      </c>
      <c r="CF272" t="s">
        <v>4635</v>
      </c>
      <c r="CH272" s="238" t="s">
        <v>39</v>
      </c>
      <c r="CI272" s="238" t="s">
        <v>39</v>
      </c>
      <c r="CJ272" t="s">
        <v>8950</v>
      </c>
      <c r="CK272" t="s">
        <v>1167</v>
      </c>
      <c r="CL272" t="s">
        <v>8961</v>
      </c>
      <c r="CM272" t="s">
        <v>8971</v>
      </c>
      <c r="CN272" s="238" t="b">
        <v>1</v>
      </c>
      <c r="CO272" t="s">
        <v>5560</v>
      </c>
      <c r="CQ272" t="s">
        <v>6652</v>
      </c>
      <c r="CR272" t="s">
        <v>3246</v>
      </c>
      <c r="CS272" t="s">
        <v>6871</v>
      </c>
      <c r="CT272" t="b">
        <v>1</v>
      </c>
      <c r="CU272">
        <v>7062600</v>
      </c>
      <c r="CV272" t="s">
        <v>9002</v>
      </c>
      <c r="CW272">
        <v>0</v>
      </c>
      <c r="CX272">
        <v>7062600</v>
      </c>
      <c r="CY272">
        <v>0</v>
      </c>
      <c r="CZ272" t="b">
        <v>1</v>
      </c>
      <c r="DA272">
        <v>45461</v>
      </c>
      <c r="DB272" t="s">
        <v>5215</v>
      </c>
      <c r="DC272">
        <v>-3.3921302578019397E-3</v>
      </c>
      <c r="DD272">
        <v>-325.06457474561705</v>
      </c>
      <c r="DE272" s="420" cm="1">
        <f t="array" ref="DE272">_xlfn.XLOOKUP("Дом 5"&amp;Реестр_Д5[[#This Row],[№]]&amp;Реестр_Д5[[#This Row],[Статус]],РД[Дом]&amp;РД[№ кв]&amp;РД[Состояние],РД[Дата подачи на регистрацию],"-",0)</f>
        <v>45461</v>
      </c>
    </row>
    <row r="273" spans="1:109" x14ac:dyDescent="0.25">
      <c r="A273" s="238">
        <v>272</v>
      </c>
      <c r="B273" s="238" t="s">
        <v>16</v>
      </c>
      <c r="C273" s="238">
        <v>8</v>
      </c>
      <c r="D273" s="238">
        <v>2</v>
      </c>
      <c r="E273" s="238">
        <v>0</v>
      </c>
      <c r="F273" s="238">
        <v>7.18</v>
      </c>
      <c r="G273" s="238"/>
      <c r="H273" s="238"/>
      <c r="I273">
        <v>7.18</v>
      </c>
      <c r="J273" s="238">
        <v>5.17</v>
      </c>
      <c r="K273" s="238">
        <v>3.72</v>
      </c>
      <c r="L273" s="238"/>
      <c r="M273" s="238"/>
      <c r="N273" s="238">
        <v>6.97</v>
      </c>
      <c r="O273" s="238">
        <v>2.97</v>
      </c>
      <c r="P273" s="238"/>
      <c r="R273" s="238">
        <v>2.97</v>
      </c>
      <c r="S273">
        <v>26.01</v>
      </c>
      <c r="T273">
        <v>23.04</v>
      </c>
      <c r="U273" s="238">
        <v>24.53</v>
      </c>
      <c r="V273">
        <v>24.25</v>
      </c>
      <c r="W273" s="238">
        <v>92857.59</v>
      </c>
      <c r="X273">
        <v>4642.8795</v>
      </c>
      <c r="Y273">
        <v>97500.469500000007</v>
      </c>
      <c r="Z273">
        <v>2925.0140849999998</v>
      </c>
      <c r="AA273">
        <v>100425.48358499999</v>
      </c>
      <c r="AB273">
        <v>13055.312866050001</v>
      </c>
      <c r="AC273">
        <v>113480.79645105</v>
      </c>
      <c r="AD273">
        <v>3404.4238935314997</v>
      </c>
      <c r="AE273">
        <v>116885.2203445815</v>
      </c>
      <c r="AG273">
        <v>116885.2203445815</v>
      </c>
      <c r="AI273">
        <v>116885.2203445815</v>
      </c>
      <c r="AJ273">
        <v>1168.8522034458149</v>
      </c>
      <c r="AK273">
        <v>118054.07254802732</v>
      </c>
      <c r="AL273">
        <v>5902.7036274013662</v>
      </c>
      <c r="AM273">
        <v>123956.77617542868</v>
      </c>
      <c r="AO273">
        <v>123956.77617542868</v>
      </c>
      <c r="AP273">
        <v>3718.7032852628599</v>
      </c>
      <c r="AQ273">
        <v>127675.47946069154</v>
      </c>
      <c r="AS273">
        <v>127675.47946069154</v>
      </c>
      <c r="AU273">
        <v>127675.47946069154</v>
      </c>
      <c r="AW273">
        <v>127675.47946069154</v>
      </c>
      <c r="AX273">
        <v>1276.7547946069153</v>
      </c>
      <c r="AY273">
        <v>128952.23425529843</v>
      </c>
      <c r="BA273">
        <v>128952.23425529843</v>
      </c>
      <c r="BB273">
        <v>644.76117127649229</v>
      </c>
      <c r="BC273">
        <v>129596.99542657494</v>
      </c>
      <c r="BE273">
        <v>129596.99542657494</v>
      </c>
      <c r="BF273">
        <v>1943.954931398624</v>
      </c>
      <c r="BG273">
        <v>131540.95035797358</v>
      </c>
      <c r="BI273">
        <v>131540.95035797358</v>
      </c>
      <c r="BK273">
        <v>131540.95035797358</v>
      </c>
      <c r="BL273">
        <v>5261.6380143189435</v>
      </c>
      <c r="BM273">
        <v>136802.58837229252</v>
      </c>
      <c r="BN273">
        <v>17784.336488398028</v>
      </c>
      <c r="BO273">
        <v>154586.92486069055</v>
      </c>
      <c r="BP273">
        <v>35</v>
      </c>
      <c r="BQ273">
        <v>154621.92486069055</v>
      </c>
      <c r="BS273">
        <v>154621.92486069055</v>
      </c>
      <c r="BT273" s="238">
        <v>154621.92000000001</v>
      </c>
      <c r="BU273" s="238">
        <v>3749600</v>
      </c>
      <c r="BX273" s="238">
        <v>0</v>
      </c>
      <c r="BY273" s="238">
        <v>154622.68041237115</v>
      </c>
      <c r="BZ273" s="238">
        <v>3749600</v>
      </c>
      <c r="CA273" s="238" t="s">
        <v>36</v>
      </c>
      <c r="CC273">
        <v>154622.68041237115</v>
      </c>
      <c r="CD273" s="238">
        <v>0</v>
      </c>
      <c r="CE273" s="238">
        <v>3749600.0000000009</v>
      </c>
      <c r="CH273" s="238" t="s">
        <v>3</v>
      </c>
      <c r="CI273" s="238" t="s">
        <v>3</v>
      </c>
      <c r="CJ273" t="s">
        <v>8951</v>
      </c>
      <c r="CK273" t="s">
        <v>1167</v>
      </c>
      <c r="CL273" t="s">
        <v>8961</v>
      </c>
      <c r="CM273" t="s">
        <v>8970</v>
      </c>
      <c r="CN273" s="238" t="b">
        <v>1</v>
      </c>
      <c r="CO273" t="s">
        <v>5561</v>
      </c>
      <c r="CQ273" t="s">
        <v>6652</v>
      </c>
      <c r="CR273" t="s">
        <v>3124</v>
      </c>
      <c r="CS273" t="s">
        <v>36</v>
      </c>
      <c r="CT273" t="b">
        <v>1</v>
      </c>
      <c r="CU273">
        <v>3749600</v>
      </c>
      <c r="CV273">
        <v>3749600</v>
      </c>
      <c r="CW273">
        <v>0</v>
      </c>
      <c r="CX273">
        <v>0</v>
      </c>
      <c r="CY273">
        <v>0</v>
      </c>
      <c r="CZ273" t="b">
        <v>1</v>
      </c>
      <c r="DA273" t="s">
        <v>4246</v>
      </c>
      <c r="DB273" t="s">
        <v>1167</v>
      </c>
      <c r="DC273">
        <v>-1.1414594374235644E-2</v>
      </c>
      <c r="DD273">
        <v>-1764.9551779642877</v>
      </c>
      <c r="DE273" s="420" t="str" cm="1">
        <f t="array" ref="DE27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74" spans="1:109" hidden="1" x14ac:dyDescent="0.25">
      <c r="A274" s="238">
        <v>273</v>
      </c>
      <c r="B274" s="238" t="s">
        <v>16</v>
      </c>
      <c r="C274" s="238">
        <v>8</v>
      </c>
      <c r="D274" s="238">
        <v>3</v>
      </c>
      <c r="E274" s="238">
        <v>2</v>
      </c>
      <c r="F274" s="238">
        <v>13.69</v>
      </c>
      <c r="G274" s="238">
        <v>10.16</v>
      </c>
      <c r="H274" s="238"/>
      <c r="I274">
        <v>23.85</v>
      </c>
      <c r="J274" s="238">
        <v>18.71</v>
      </c>
      <c r="K274" s="238">
        <v>3.49</v>
      </c>
      <c r="L274" s="238">
        <v>2.11</v>
      </c>
      <c r="M274" s="238"/>
      <c r="N274" s="238">
        <v>7.09</v>
      </c>
      <c r="O274" s="238">
        <v>2.65</v>
      </c>
      <c r="P274" s="238"/>
      <c r="R274" s="238">
        <v>2.65</v>
      </c>
      <c r="S274">
        <v>57.9</v>
      </c>
      <c r="T274">
        <v>55.25</v>
      </c>
      <c r="U274" s="238">
        <v>56.58</v>
      </c>
      <c r="V274">
        <v>56.3</v>
      </c>
      <c r="W274" s="238">
        <v>81080.054999999993</v>
      </c>
      <c r="X274">
        <v>4054.002750000001</v>
      </c>
      <c r="Y274">
        <v>85134.057750000007</v>
      </c>
      <c r="Z274">
        <v>2554.0217325000003</v>
      </c>
      <c r="AA274">
        <v>87688.079482500005</v>
      </c>
      <c r="AC274">
        <v>87688.079482500005</v>
      </c>
      <c r="AE274">
        <v>87688.079482500005</v>
      </c>
      <c r="AG274">
        <v>87688.079482500005</v>
      </c>
      <c r="AI274">
        <v>87688.079482500005</v>
      </c>
      <c r="AJ274">
        <v>876.88079482499995</v>
      </c>
      <c r="AK274">
        <v>88564.960277325008</v>
      </c>
      <c r="AL274">
        <v>4428.2480138662504</v>
      </c>
      <c r="AM274">
        <v>92993.208291191258</v>
      </c>
      <c r="AO274">
        <v>92993.208291191258</v>
      </c>
      <c r="AP274">
        <v>1859.8641658238253</v>
      </c>
      <c r="AQ274">
        <v>94853.072457015078</v>
      </c>
      <c r="AS274">
        <v>94853.072457015078</v>
      </c>
      <c r="AT274">
        <v>1897.0614491403016</v>
      </c>
      <c r="AU274">
        <v>96750.133906155374</v>
      </c>
      <c r="AV274">
        <v>150</v>
      </c>
      <c r="AW274">
        <v>96900.133906155374</v>
      </c>
      <c r="AY274">
        <v>96900.133906155374</v>
      </c>
      <c r="BA274">
        <v>96900.133906155374</v>
      </c>
      <c r="BC274">
        <v>96900.133906155374</v>
      </c>
      <c r="BE274">
        <v>96900.133906155374</v>
      </c>
      <c r="BG274">
        <v>96900.133906155374</v>
      </c>
      <c r="BI274">
        <v>96900.133906155374</v>
      </c>
      <c r="BK274">
        <v>96900.133906155374</v>
      </c>
      <c r="BM274">
        <v>96900.133906155374</v>
      </c>
      <c r="BO274">
        <v>96900.133906155374</v>
      </c>
      <c r="BQ274">
        <v>96900.133906155374</v>
      </c>
      <c r="BS274">
        <v>96900.133906155374</v>
      </c>
      <c r="BT274" s="238">
        <v>96900.13</v>
      </c>
      <c r="BU274" s="238">
        <v>5482700</v>
      </c>
      <c r="BV274">
        <v>90000</v>
      </c>
      <c r="BX274" s="238">
        <v>90000</v>
      </c>
      <c r="BY274" s="238">
        <v>95311.063980205028</v>
      </c>
      <c r="BZ274" s="238">
        <v>5392700</v>
      </c>
      <c r="CA274" s="238" t="s">
        <v>6871</v>
      </c>
      <c r="CB274">
        <v>7000</v>
      </c>
      <c r="CC274">
        <v>102311.06398020504</v>
      </c>
      <c r="CD274" s="238">
        <v>396060</v>
      </c>
      <c r="CE274" s="238">
        <v>5788760</v>
      </c>
      <c r="CF274" t="s">
        <v>4633</v>
      </c>
      <c r="CG274" t="s">
        <v>7135</v>
      </c>
      <c r="CH274" s="238" t="s">
        <v>39</v>
      </c>
      <c r="CI274" s="238" t="s">
        <v>39</v>
      </c>
      <c r="CJ274" t="s">
        <v>8950</v>
      </c>
      <c r="CK274" t="s">
        <v>1167</v>
      </c>
      <c r="CL274" t="s">
        <v>8961</v>
      </c>
      <c r="CM274" t="s">
        <v>8971</v>
      </c>
      <c r="CN274" s="238" t="b">
        <v>1</v>
      </c>
      <c r="CO274" t="s">
        <v>5562</v>
      </c>
      <c r="CQ274" t="s">
        <v>6652</v>
      </c>
      <c r="CR274" t="s">
        <v>3246</v>
      </c>
      <c r="CS274" t="s">
        <v>6871</v>
      </c>
      <c r="CT274" t="b">
        <v>1</v>
      </c>
      <c r="CU274">
        <v>5482700</v>
      </c>
      <c r="CV274" t="s">
        <v>9002</v>
      </c>
      <c r="CW274">
        <v>5482700</v>
      </c>
      <c r="CX274">
        <v>5482700</v>
      </c>
      <c r="CY274">
        <v>0</v>
      </c>
      <c r="CZ274" t="b">
        <v>1</v>
      </c>
      <c r="DA274">
        <v>45439</v>
      </c>
      <c r="DB274" t="s">
        <v>5215</v>
      </c>
      <c r="DC274">
        <v>-4.9487451396251769E-3</v>
      </c>
      <c r="DD274">
        <v>-471.67016462454393</v>
      </c>
      <c r="DE274" s="420" cm="1">
        <f t="array" ref="DE274">_xlfn.XLOOKUP("Дом 5"&amp;Реестр_Д5[[#This Row],[№]]&amp;Реестр_Д5[[#This Row],[Статус]],РД[Дом]&amp;РД[№ кв]&amp;РД[Состояние],РД[Дата подачи на регистрацию],"-",0)</f>
        <v>45439</v>
      </c>
    </row>
    <row r="275" spans="1:109" hidden="1" x14ac:dyDescent="0.25">
      <c r="A275" s="238">
        <v>274</v>
      </c>
      <c r="B275" s="238" t="s">
        <v>16</v>
      </c>
      <c r="C275" s="238">
        <v>8</v>
      </c>
      <c r="D275" s="238">
        <v>4</v>
      </c>
      <c r="E275" s="238">
        <v>2</v>
      </c>
      <c r="F275" s="238">
        <v>15.45</v>
      </c>
      <c r="G275" s="238">
        <v>10.34</v>
      </c>
      <c r="H275" s="238"/>
      <c r="I275">
        <v>25.79</v>
      </c>
      <c r="J275" s="238">
        <v>15.44</v>
      </c>
      <c r="K275" s="238">
        <v>4.59</v>
      </c>
      <c r="L275" s="238">
        <v>2.21</v>
      </c>
      <c r="M275" s="238"/>
      <c r="N275" s="238">
        <v>10.79</v>
      </c>
      <c r="O275" s="238">
        <v>2.84</v>
      </c>
      <c r="P275" s="238"/>
      <c r="R275" s="238">
        <v>2.84</v>
      </c>
      <c r="S275">
        <v>61.66</v>
      </c>
      <c r="T275">
        <v>58.82</v>
      </c>
      <c r="U275" s="238">
        <v>60.24</v>
      </c>
      <c r="V275">
        <v>60.1</v>
      </c>
      <c r="W275" s="238">
        <v>83010.532500000001</v>
      </c>
      <c r="X275">
        <v>4150.5266250000004</v>
      </c>
      <c r="Y275">
        <v>87161.059125</v>
      </c>
      <c r="Z275">
        <v>2614.8317737499997</v>
      </c>
      <c r="AA275">
        <v>89775.890898750004</v>
      </c>
      <c r="AC275">
        <v>89775.890898750004</v>
      </c>
      <c r="AE275">
        <v>89775.890898750004</v>
      </c>
      <c r="AG275">
        <v>89775.890898750004</v>
      </c>
      <c r="AI275">
        <v>89775.890898750004</v>
      </c>
      <c r="AJ275">
        <v>897.75890898750004</v>
      </c>
      <c r="AK275">
        <v>90673.6498077375</v>
      </c>
      <c r="AL275">
        <v>4533.6824903868755</v>
      </c>
      <c r="AM275">
        <v>95207.332298124369</v>
      </c>
      <c r="AO275">
        <v>95207.332298124369</v>
      </c>
      <c r="AQ275">
        <v>95207.332298124369</v>
      </c>
      <c r="AS275">
        <v>95207.332298124369</v>
      </c>
      <c r="AU275">
        <v>95207.332298124369</v>
      </c>
      <c r="AW275">
        <v>95207.332298124369</v>
      </c>
      <c r="AY275">
        <v>95207.332298124369</v>
      </c>
      <c r="BA275">
        <v>95207.332298124369</v>
      </c>
      <c r="BC275">
        <v>95207.332298124369</v>
      </c>
      <c r="BE275">
        <v>95207.332298124369</v>
      </c>
      <c r="BG275">
        <v>95207.332298124369</v>
      </c>
      <c r="BI275">
        <v>95207.332298124369</v>
      </c>
      <c r="BK275">
        <v>95207.332298124369</v>
      </c>
      <c r="BM275">
        <v>95207.332298124369</v>
      </c>
      <c r="BO275">
        <v>95207.332298124369</v>
      </c>
      <c r="BQ275">
        <v>95207.332298124369</v>
      </c>
      <c r="BS275">
        <v>95207.332298124369</v>
      </c>
      <c r="BT275" s="238">
        <v>95207.33</v>
      </c>
      <c r="BU275" s="238">
        <v>5735300</v>
      </c>
      <c r="BW275">
        <v>0.03</v>
      </c>
      <c r="BX275" s="238">
        <v>172059</v>
      </c>
      <c r="BY275" s="238">
        <v>92351.278220451524</v>
      </c>
      <c r="BZ275" s="238">
        <v>5563241</v>
      </c>
      <c r="CA275" s="238" t="s">
        <v>38</v>
      </c>
      <c r="CB275">
        <v>20000</v>
      </c>
      <c r="CC275">
        <v>112351.27822045152</v>
      </c>
      <c r="CD275" s="238">
        <v>1204800</v>
      </c>
      <c r="CE275" s="238">
        <v>6768041</v>
      </c>
      <c r="CG275" t="s">
        <v>978</v>
      </c>
      <c r="CH275" s="238" t="s">
        <v>39</v>
      </c>
      <c r="CI275" s="238" t="s">
        <v>39</v>
      </c>
      <c r="CJ275" t="s">
        <v>8950</v>
      </c>
      <c r="CK275" t="s">
        <v>1167</v>
      </c>
      <c r="CL275" t="s">
        <v>8961</v>
      </c>
      <c r="CM275" t="s">
        <v>8971</v>
      </c>
      <c r="CN275" s="238" t="b">
        <v>1</v>
      </c>
      <c r="CO275" t="s">
        <v>5563</v>
      </c>
      <c r="CQ275" t="s">
        <v>6652</v>
      </c>
      <c r="CR275" t="s">
        <v>3246</v>
      </c>
      <c r="CS275" t="s">
        <v>38</v>
      </c>
      <c r="CT275" t="b">
        <v>1</v>
      </c>
      <c r="CU275">
        <v>5735300</v>
      </c>
      <c r="CV275" t="s">
        <v>9002</v>
      </c>
      <c r="CW275">
        <v>0</v>
      </c>
      <c r="CX275">
        <v>5735300</v>
      </c>
      <c r="CY275">
        <v>0</v>
      </c>
      <c r="CZ275" t="b">
        <v>1</v>
      </c>
      <c r="DA275">
        <v>45358</v>
      </c>
      <c r="DB275" t="s">
        <v>4177</v>
      </c>
      <c r="DC275">
        <v>-2.3240371845949515E-3</v>
      </c>
      <c r="DD275">
        <v>-214.62780462920321</v>
      </c>
      <c r="DE275" s="420" cm="1">
        <f t="array" ref="DE275">_xlfn.XLOOKUP("Дом 5"&amp;Реестр_Д5[[#This Row],[№]]&amp;Реестр_Д5[[#This Row],[Статус]],РД[Дом]&amp;РД[№ кв]&amp;РД[Состояние],РД[Дата подачи на регистрацию],"-",0)</f>
        <v>45358</v>
      </c>
    </row>
    <row r="276" spans="1:109" hidden="1" x14ac:dyDescent="0.25">
      <c r="A276" s="238">
        <v>275</v>
      </c>
      <c r="B276" s="238" t="s">
        <v>16</v>
      </c>
      <c r="C276" s="238">
        <v>8</v>
      </c>
      <c r="D276" s="238">
        <v>5</v>
      </c>
      <c r="E276" s="238">
        <v>1</v>
      </c>
      <c r="F276" s="238">
        <v>12.54</v>
      </c>
      <c r="G276" s="238"/>
      <c r="H276" s="238"/>
      <c r="I276">
        <v>12.54</v>
      </c>
      <c r="J276" s="238">
        <v>12.74</v>
      </c>
      <c r="K276" s="238">
        <v>4.0199999999999996</v>
      </c>
      <c r="L276" s="238"/>
      <c r="M276" s="238"/>
      <c r="N276" s="238">
        <v>7.09</v>
      </c>
      <c r="O276" s="238">
        <v>2.84</v>
      </c>
      <c r="P276" s="238"/>
      <c r="R276" s="238">
        <v>2.84</v>
      </c>
      <c r="S276">
        <v>39.229999999999997</v>
      </c>
      <c r="T276">
        <v>36.39</v>
      </c>
      <c r="U276" s="238">
        <v>37.81</v>
      </c>
      <c r="V276">
        <v>37.5</v>
      </c>
      <c r="W276" s="238">
        <v>90034.875</v>
      </c>
      <c r="Y276">
        <v>90034.875</v>
      </c>
      <c r="AA276">
        <v>90034.875</v>
      </c>
      <c r="AC276">
        <v>90034.875</v>
      </c>
      <c r="AE276">
        <v>90034.875</v>
      </c>
      <c r="AG276">
        <v>90034.875</v>
      </c>
      <c r="AI276">
        <v>90034.875</v>
      </c>
      <c r="AK276">
        <v>90034.875</v>
      </c>
      <c r="AM276">
        <v>90034.875</v>
      </c>
      <c r="AO276">
        <v>90034.875</v>
      </c>
      <c r="AQ276">
        <v>90034.875</v>
      </c>
      <c r="AS276">
        <v>90034.875</v>
      </c>
      <c r="AU276">
        <v>90034.875</v>
      </c>
      <c r="AW276">
        <v>90034.875</v>
      </c>
      <c r="AY276">
        <v>90034.875</v>
      </c>
      <c r="BA276">
        <v>90034.875</v>
      </c>
      <c r="BC276">
        <v>90034.875</v>
      </c>
      <c r="BE276">
        <v>90034.875</v>
      </c>
      <c r="BG276">
        <v>90034.875</v>
      </c>
      <c r="BI276">
        <v>90034.875</v>
      </c>
      <c r="BK276">
        <v>90034.875</v>
      </c>
      <c r="BM276">
        <v>90034.875</v>
      </c>
      <c r="BO276">
        <v>90034.875</v>
      </c>
      <c r="BQ276">
        <v>90034.875</v>
      </c>
      <c r="BS276">
        <v>90034.875</v>
      </c>
      <c r="BT276" s="238">
        <v>90034.880000000005</v>
      </c>
      <c r="BU276" s="238">
        <v>3404218.81</v>
      </c>
      <c r="BX276" s="238">
        <v>0</v>
      </c>
      <c r="BY276" s="238">
        <v>90034.879925945497</v>
      </c>
      <c r="BZ276" s="238">
        <v>3404218.81</v>
      </c>
      <c r="CA276" s="238" t="s">
        <v>38</v>
      </c>
      <c r="CB276">
        <v>15500</v>
      </c>
      <c r="CC276">
        <v>105534.87992594553</v>
      </c>
      <c r="CD276" s="238">
        <v>586055</v>
      </c>
      <c r="CE276" s="238">
        <v>3990273.81</v>
      </c>
      <c r="CH276" s="238" t="s">
        <v>39</v>
      </c>
      <c r="CI276" s="238" t="s">
        <v>39</v>
      </c>
      <c r="CJ276" t="s">
        <v>8950</v>
      </c>
      <c r="CK276" t="s">
        <v>1167</v>
      </c>
      <c r="CL276" t="s">
        <v>8961</v>
      </c>
      <c r="CM276" t="s">
        <v>8973</v>
      </c>
      <c r="CN276" s="238" t="b">
        <v>1</v>
      </c>
      <c r="CO276" t="s">
        <v>5564</v>
      </c>
      <c r="CQ276" t="s">
        <v>4895</v>
      </c>
      <c r="CR276" t="s">
        <v>3246</v>
      </c>
      <c r="CS276" t="s">
        <v>38</v>
      </c>
      <c r="CT276" t="b">
        <v>1</v>
      </c>
      <c r="CU276">
        <v>3404218.81</v>
      </c>
      <c r="CV276" t="s">
        <v>9002</v>
      </c>
      <c r="CW276">
        <v>3404219</v>
      </c>
      <c r="CX276">
        <v>3404219</v>
      </c>
      <c r="CY276">
        <v>0</v>
      </c>
      <c r="CZ276" t="b">
        <v>1</v>
      </c>
      <c r="DA276">
        <v>45188</v>
      </c>
      <c r="DB276" t="s">
        <v>4177</v>
      </c>
      <c r="DC276">
        <v>-8.1988891827559085E-3</v>
      </c>
      <c r="DD276">
        <v>-738.18600309556177</v>
      </c>
      <c r="DE276" s="420" cm="1">
        <f t="array" ref="DE276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277" spans="1:109" hidden="1" x14ac:dyDescent="0.25">
      <c r="A277" s="238">
        <v>276</v>
      </c>
      <c r="B277" s="238" t="s">
        <v>16</v>
      </c>
      <c r="C277" s="238">
        <v>8</v>
      </c>
      <c r="D277" s="238">
        <v>6</v>
      </c>
      <c r="E277" s="238">
        <v>3</v>
      </c>
      <c r="F277" s="238">
        <v>17.2</v>
      </c>
      <c r="G277" s="238">
        <v>14.64</v>
      </c>
      <c r="H277" s="238">
        <v>14.34</v>
      </c>
      <c r="I277">
        <v>46.18</v>
      </c>
      <c r="J277" s="238">
        <v>13.15</v>
      </c>
      <c r="K277" s="238">
        <v>4.03</v>
      </c>
      <c r="L277" s="238">
        <v>1.76</v>
      </c>
      <c r="M277" s="238"/>
      <c r="N277" s="238">
        <v>13.11</v>
      </c>
      <c r="O277" s="238">
        <v>2.79</v>
      </c>
      <c r="P277" s="238">
        <v>2.68</v>
      </c>
      <c r="R277" s="238">
        <v>5.4700000000000006</v>
      </c>
      <c r="S277">
        <v>83.7</v>
      </c>
      <c r="T277">
        <v>78.23</v>
      </c>
      <c r="U277" s="238">
        <v>80.97</v>
      </c>
      <c r="V277">
        <v>80.550000000000011</v>
      </c>
      <c r="W277" s="238">
        <v>74234.160000000018</v>
      </c>
      <c r="X277">
        <v>3711.708000000001</v>
      </c>
      <c r="Y277">
        <v>77945.868000000017</v>
      </c>
      <c r="Z277">
        <v>2338.376040000001</v>
      </c>
      <c r="AA277">
        <v>80284.24404000002</v>
      </c>
      <c r="AC277">
        <v>80284.24404000002</v>
      </c>
      <c r="AE277">
        <v>80284.24404000002</v>
      </c>
      <c r="AG277">
        <v>80284.24404000002</v>
      </c>
      <c r="AI277">
        <v>80284.24404000002</v>
      </c>
      <c r="AJ277">
        <v>802.84244040000021</v>
      </c>
      <c r="AK277">
        <v>81087.086480400016</v>
      </c>
      <c r="AL277">
        <v>4054.3543240200006</v>
      </c>
      <c r="AM277">
        <v>85141.44080442001</v>
      </c>
      <c r="AO277">
        <v>85141.44080442001</v>
      </c>
      <c r="AP277">
        <v>1702.8288160884003</v>
      </c>
      <c r="AQ277">
        <v>86844.269620508407</v>
      </c>
      <c r="AS277">
        <v>86844.269620508407</v>
      </c>
      <c r="AT277">
        <v>1736.8853924101682</v>
      </c>
      <c r="AU277">
        <v>88581.155012918578</v>
      </c>
      <c r="AW277">
        <v>88581.155012918578</v>
      </c>
      <c r="AX277">
        <v>885.81155012918578</v>
      </c>
      <c r="AY277">
        <v>89466.966563047783</v>
      </c>
      <c r="BA277">
        <v>89466.966563047783</v>
      </c>
      <c r="BB277">
        <v>447.33483281523883</v>
      </c>
      <c r="BC277">
        <v>89914.301395863004</v>
      </c>
      <c r="BD277">
        <v>1798.2860279172601</v>
      </c>
      <c r="BE277">
        <v>91712.587423780249</v>
      </c>
      <c r="BF277">
        <v>1375.6888113567038</v>
      </c>
      <c r="BG277">
        <v>93088.27623513696</v>
      </c>
      <c r="BI277">
        <v>93088.27623513696</v>
      </c>
      <c r="BJ277">
        <v>3723.5310494054784</v>
      </c>
      <c r="BK277">
        <v>96811.807284542432</v>
      </c>
      <c r="BM277">
        <v>96811.807284542432</v>
      </c>
      <c r="BO277">
        <v>96811.807284542432</v>
      </c>
      <c r="BQ277">
        <v>96811.807284542432</v>
      </c>
      <c r="BS277">
        <v>96811.807284542432</v>
      </c>
      <c r="BT277" s="238">
        <v>96811.81</v>
      </c>
      <c r="BU277" s="238">
        <v>7838900</v>
      </c>
      <c r="BW277">
        <v>0.03</v>
      </c>
      <c r="BX277" s="238">
        <v>235167</v>
      </c>
      <c r="BY277" s="238">
        <v>93908.027664567126</v>
      </c>
      <c r="BZ277" s="238">
        <v>7603733</v>
      </c>
      <c r="CA277" s="238" t="s">
        <v>36</v>
      </c>
      <c r="CC277">
        <v>93908.027664567126</v>
      </c>
      <c r="CD277" s="238">
        <v>0</v>
      </c>
      <c r="CE277" s="238">
        <v>7603733</v>
      </c>
      <c r="CG277" t="s">
        <v>3538</v>
      </c>
      <c r="CH277" s="238" t="s">
        <v>39</v>
      </c>
      <c r="CI277" s="238" t="s">
        <v>39</v>
      </c>
      <c r="CJ277" t="s">
        <v>8950</v>
      </c>
      <c r="CK277" t="s">
        <v>1167</v>
      </c>
      <c r="CL277" t="s">
        <v>8961</v>
      </c>
      <c r="CM277" t="s">
        <v>8975</v>
      </c>
      <c r="CN277" s="238" t="b">
        <v>1</v>
      </c>
      <c r="CO277" t="s">
        <v>5565</v>
      </c>
      <c r="CQ277" t="s">
        <v>6652</v>
      </c>
      <c r="CR277" t="s">
        <v>3246</v>
      </c>
      <c r="CS277" t="s">
        <v>36</v>
      </c>
      <c r="CT277" t="b">
        <v>1</v>
      </c>
      <c r="CU277">
        <v>7838900</v>
      </c>
      <c r="CV277" t="s">
        <v>9002</v>
      </c>
      <c r="CW277">
        <v>0</v>
      </c>
      <c r="CX277">
        <v>7838900</v>
      </c>
      <c r="CY277">
        <v>0</v>
      </c>
      <c r="CZ277" t="b">
        <v>1</v>
      </c>
      <c r="DA277">
        <v>45589</v>
      </c>
      <c r="DB277" t="s">
        <v>4177</v>
      </c>
      <c r="DC277">
        <v>-5.1871063356797587E-3</v>
      </c>
      <c r="DD277">
        <v>-487.11092527006616</v>
      </c>
      <c r="DE277" s="420" cm="1">
        <f t="array" ref="DE277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278" spans="1:109" hidden="1" x14ac:dyDescent="0.25">
      <c r="A278" s="238">
        <v>277</v>
      </c>
      <c r="B278" s="238" t="s">
        <v>16</v>
      </c>
      <c r="C278" s="238">
        <v>8</v>
      </c>
      <c r="D278" s="238">
        <v>7</v>
      </c>
      <c r="E278" s="238">
        <v>1</v>
      </c>
      <c r="F278" s="238">
        <v>14.3</v>
      </c>
      <c r="G278" s="238"/>
      <c r="H278" s="238"/>
      <c r="I278">
        <v>14.3</v>
      </c>
      <c r="J278" s="238">
        <v>9.2799999999999994</v>
      </c>
      <c r="K278" s="238">
        <v>3.79</v>
      </c>
      <c r="L278" s="238"/>
      <c r="M278" s="238"/>
      <c r="N278" s="238">
        <v>6.08</v>
      </c>
      <c r="O278" s="238">
        <v>2.71</v>
      </c>
      <c r="P278" s="238"/>
      <c r="R278" s="238">
        <v>2.71</v>
      </c>
      <c r="S278">
        <v>36.159999999999997</v>
      </c>
      <c r="T278">
        <v>33.450000000000003</v>
      </c>
      <c r="U278" s="238">
        <v>34.81</v>
      </c>
      <c r="V278">
        <v>34.5</v>
      </c>
      <c r="W278" s="238">
        <v>85573.6875</v>
      </c>
      <c r="X278">
        <v>4278.6843749999998</v>
      </c>
      <c r="Y278">
        <v>89852.371874999997</v>
      </c>
      <c r="Z278">
        <v>2695.5711562499996</v>
      </c>
      <c r="AA278">
        <v>92547.943031250004</v>
      </c>
      <c r="AB278">
        <v>12956.712024375</v>
      </c>
      <c r="AC278">
        <v>105504.655055625</v>
      </c>
      <c r="AE278">
        <v>105504.655055625</v>
      </c>
      <c r="AF278">
        <v>5275.2327527812495</v>
      </c>
      <c r="AG278">
        <v>110779.88780840625</v>
      </c>
      <c r="AI278">
        <v>110779.88780840625</v>
      </c>
      <c r="AJ278">
        <v>1107.7988780840624</v>
      </c>
      <c r="AK278">
        <v>111887.6866864903</v>
      </c>
      <c r="AL278">
        <v>5594.3843343245153</v>
      </c>
      <c r="AM278">
        <v>117482.07102081479</v>
      </c>
      <c r="AO278">
        <v>117482.07102081479</v>
      </c>
      <c r="AP278">
        <v>3524.4621306244439</v>
      </c>
      <c r="AQ278">
        <v>121006.53315143925</v>
      </c>
      <c r="AS278">
        <v>121006.53315143925</v>
      </c>
      <c r="AU278">
        <v>121006.53315143925</v>
      </c>
      <c r="AW278">
        <v>121006.53315143925</v>
      </c>
      <c r="AY278">
        <v>121006.53315143925</v>
      </c>
      <c r="BA278">
        <v>121006.53315143925</v>
      </c>
      <c r="BC278">
        <v>121006.53315143925</v>
      </c>
      <c r="BE278">
        <v>121006.53315143925</v>
      </c>
      <c r="BG278">
        <v>121006.53315143925</v>
      </c>
      <c r="BI278">
        <v>121006.53315143925</v>
      </c>
      <c r="BK278">
        <v>121006.53315143925</v>
      </c>
      <c r="BM278">
        <v>121006.53315143925</v>
      </c>
      <c r="BO278">
        <v>121006.53315143925</v>
      </c>
      <c r="BQ278">
        <v>121006.53315143925</v>
      </c>
      <c r="BS278">
        <v>121006.53315143925</v>
      </c>
      <c r="BT278" s="238">
        <v>121006.53</v>
      </c>
      <c r="BU278" s="238">
        <v>4212300</v>
      </c>
      <c r="BX278" s="238">
        <v>0</v>
      </c>
      <c r="BY278" s="238">
        <v>121008.33093938524</v>
      </c>
      <c r="BZ278" s="238">
        <v>4212300</v>
      </c>
      <c r="CA278" s="238" t="s">
        <v>36</v>
      </c>
      <c r="CC278">
        <v>121008.33093938524</v>
      </c>
      <c r="CD278" s="238">
        <v>0</v>
      </c>
      <c r="CE278" s="238">
        <v>4212300</v>
      </c>
      <c r="CF278" t="s">
        <v>4633</v>
      </c>
      <c r="CH278" s="238" t="s">
        <v>39</v>
      </c>
      <c r="CI278" s="238" t="s">
        <v>39</v>
      </c>
      <c r="CJ278" t="s">
        <v>8950</v>
      </c>
      <c r="CK278" t="s">
        <v>1167</v>
      </c>
      <c r="CL278" t="s">
        <v>8961</v>
      </c>
      <c r="CM278" t="s">
        <v>8973</v>
      </c>
      <c r="CN278" s="238" t="b">
        <v>1</v>
      </c>
      <c r="CO278" t="s">
        <v>5566</v>
      </c>
      <c r="CQ278" t="s">
        <v>6652</v>
      </c>
      <c r="CR278" t="s">
        <v>3246</v>
      </c>
      <c r="CS278" t="s">
        <v>36</v>
      </c>
      <c r="CT278" t="b">
        <v>1</v>
      </c>
      <c r="CU278">
        <v>4212300</v>
      </c>
      <c r="CV278" t="s">
        <v>9002</v>
      </c>
      <c r="CW278">
        <v>0</v>
      </c>
      <c r="CX278">
        <v>4212300</v>
      </c>
      <c r="CY278">
        <v>0</v>
      </c>
      <c r="CZ278" t="b">
        <v>1</v>
      </c>
      <c r="DA278">
        <v>45464</v>
      </c>
      <c r="DB278" t="s">
        <v>4177</v>
      </c>
      <c r="DC278">
        <v>-8.9054869290434713E-3</v>
      </c>
      <c r="DD278">
        <v>-1077.6381094860617</v>
      </c>
      <c r="DE278" s="420" cm="1">
        <f t="array" ref="DE278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279" spans="1:109" x14ac:dyDescent="0.25">
      <c r="A279" s="238">
        <v>278</v>
      </c>
      <c r="B279" s="238" t="s">
        <v>16</v>
      </c>
      <c r="C279" s="238">
        <v>9</v>
      </c>
      <c r="D279" s="238">
        <v>1</v>
      </c>
      <c r="E279" s="238">
        <v>2</v>
      </c>
      <c r="F279" s="238">
        <v>17.63</v>
      </c>
      <c r="G279" s="238">
        <v>13.69</v>
      </c>
      <c r="H279" s="238"/>
      <c r="I279">
        <v>31.32</v>
      </c>
      <c r="J279" s="238">
        <v>20.05</v>
      </c>
      <c r="K279" s="238">
        <v>3.54</v>
      </c>
      <c r="L279" s="238">
        <v>2.93</v>
      </c>
      <c r="M279" s="238"/>
      <c r="N279" s="238">
        <v>12.19</v>
      </c>
      <c r="O279" s="238">
        <v>4.6500000000000004</v>
      </c>
      <c r="P279" s="238">
        <v>2.68</v>
      </c>
      <c r="R279" s="238">
        <v>7.33</v>
      </c>
      <c r="S279">
        <v>77.36</v>
      </c>
      <c r="T279">
        <v>70.03</v>
      </c>
      <c r="U279" s="238">
        <v>73.7</v>
      </c>
      <c r="V279">
        <v>73.599999999999994</v>
      </c>
      <c r="W279" s="238">
        <v>78763.482000000004</v>
      </c>
      <c r="X279">
        <v>3938.1741000000002</v>
      </c>
      <c r="Y279">
        <v>82701.656099999993</v>
      </c>
      <c r="Z279">
        <v>2481.0496830000002</v>
      </c>
      <c r="AA279">
        <v>85182.705783000012</v>
      </c>
      <c r="AC279">
        <v>85182.705783000012</v>
      </c>
      <c r="AE279">
        <v>85182.705783000012</v>
      </c>
      <c r="AG279">
        <v>85182.705783000012</v>
      </c>
      <c r="AI279">
        <v>85182.705783000012</v>
      </c>
      <c r="AJ279">
        <v>851.82705783000017</v>
      </c>
      <c r="AK279">
        <v>86034.532840830012</v>
      </c>
      <c r="AL279">
        <v>4301.7266420415008</v>
      </c>
      <c r="AM279">
        <v>90336.259482871508</v>
      </c>
      <c r="AO279">
        <v>90336.259482871508</v>
      </c>
      <c r="AP279">
        <v>1806.7251896574303</v>
      </c>
      <c r="AQ279">
        <v>92142.984672528939</v>
      </c>
      <c r="AS279">
        <v>92142.984672528939</v>
      </c>
      <c r="AT279">
        <v>1842.8596934505788</v>
      </c>
      <c r="AU279">
        <v>93985.844365979516</v>
      </c>
      <c r="AW279">
        <v>93985.844365979516</v>
      </c>
      <c r="AY279">
        <v>93985.844365979516</v>
      </c>
      <c r="BA279">
        <v>93985.844365979516</v>
      </c>
      <c r="BC279">
        <v>93985.844365979516</v>
      </c>
      <c r="BE279">
        <v>93985.844365979516</v>
      </c>
      <c r="BF279">
        <v>469.92922182989759</v>
      </c>
      <c r="BG279">
        <v>94455.773587809395</v>
      </c>
      <c r="BI279">
        <v>94455.773587809395</v>
      </c>
      <c r="BK279">
        <v>94455.773587809395</v>
      </c>
      <c r="BL279">
        <v>7556.4618870247532</v>
      </c>
      <c r="BM279">
        <v>102012.23547483416</v>
      </c>
      <c r="BN279">
        <v>13261.590611728439</v>
      </c>
      <c r="BO279">
        <v>115273.82608656261</v>
      </c>
      <c r="BP279">
        <v>35</v>
      </c>
      <c r="BQ279">
        <v>115308.82608656261</v>
      </c>
      <c r="BS279">
        <v>115308.82608656261</v>
      </c>
      <c r="BT279" s="238">
        <v>115308.83</v>
      </c>
      <c r="BU279" s="238">
        <v>8486800</v>
      </c>
      <c r="BX279" s="238">
        <v>0</v>
      </c>
      <c r="BY279" s="238">
        <v>115309.78260869566</v>
      </c>
      <c r="BZ279" s="238">
        <v>8486800</v>
      </c>
      <c r="CA279" s="238" t="s">
        <v>38</v>
      </c>
      <c r="CB279">
        <v>30000</v>
      </c>
      <c r="CC279">
        <v>145309.78260869568</v>
      </c>
      <c r="CD279" s="238">
        <v>2208000.0000000019</v>
      </c>
      <c r="CE279" s="238">
        <v>10694800.000000002</v>
      </c>
      <c r="CF279" t="s">
        <v>4635</v>
      </c>
      <c r="CH279" s="238" t="s">
        <v>3</v>
      </c>
      <c r="CI279" s="238" t="s">
        <v>3</v>
      </c>
      <c r="CJ279" t="s">
        <v>8951</v>
      </c>
      <c r="CK279" t="s">
        <v>1167</v>
      </c>
      <c r="CL279" t="s">
        <v>8961</v>
      </c>
      <c r="CM279" t="s">
        <v>8971</v>
      </c>
      <c r="CN279" s="238" t="b">
        <v>1</v>
      </c>
      <c r="CO279" t="s">
        <v>5567</v>
      </c>
      <c r="CQ279" t="s">
        <v>6652</v>
      </c>
      <c r="CR279" t="s">
        <v>3124</v>
      </c>
      <c r="CS279" t="s">
        <v>36</v>
      </c>
      <c r="CT279" t="b">
        <v>0</v>
      </c>
      <c r="CU279">
        <v>8486800</v>
      </c>
      <c r="CV279">
        <v>8486800</v>
      </c>
      <c r="CW279">
        <v>0</v>
      </c>
      <c r="CX279">
        <v>0</v>
      </c>
      <c r="CY279">
        <v>0</v>
      </c>
      <c r="CZ279" t="b">
        <v>1</v>
      </c>
      <c r="DA279" t="s">
        <v>4246</v>
      </c>
      <c r="DB279" t="s">
        <v>1167</v>
      </c>
      <c r="DC279">
        <v>-1.3568521031208649E-3</v>
      </c>
      <c r="DD279">
        <v>-156.45832104301843</v>
      </c>
      <c r="DE279" s="420" t="str" cm="1">
        <f t="array" ref="DE27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80" spans="1:109" hidden="1" x14ac:dyDescent="0.25">
      <c r="A280" s="238">
        <v>279</v>
      </c>
      <c r="B280" s="238" t="s">
        <v>16</v>
      </c>
      <c r="C280" s="238">
        <v>9</v>
      </c>
      <c r="D280" s="238">
        <v>2</v>
      </c>
      <c r="E280" s="238">
        <v>0</v>
      </c>
      <c r="F280" s="238">
        <v>7.18</v>
      </c>
      <c r="G280" s="238"/>
      <c r="H280" s="238"/>
      <c r="I280">
        <v>7.18</v>
      </c>
      <c r="J280" s="238">
        <v>5.17</v>
      </c>
      <c r="K280" s="238">
        <v>3.72</v>
      </c>
      <c r="L280" s="238"/>
      <c r="M280" s="238"/>
      <c r="N280" s="238">
        <v>6.97</v>
      </c>
      <c r="O280" s="238">
        <v>2.97</v>
      </c>
      <c r="P280" s="238"/>
      <c r="R280" s="238">
        <v>2.97</v>
      </c>
      <c r="S280">
        <v>26.01</v>
      </c>
      <c r="T280">
        <v>23.04</v>
      </c>
      <c r="U280" s="238">
        <v>24.53</v>
      </c>
      <c r="V280">
        <v>24.35</v>
      </c>
      <c r="W280" s="238">
        <v>91981.574999999997</v>
      </c>
      <c r="X280">
        <v>4599.0787499999997</v>
      </c>
      <c r="Y280">
        <v>96580.653749999998</v>
      </c>
      <c r="Z280">
        <v>2897.4196124999999</v>
      </c>
      <c r="AA280">
        <v>99478.073362499999</v>
      </c>
      <c r="AB280">
        <v>12932.149537125</v>
      </c>
      <c r="AC280">
        <v>112410.22289962501</v>
      </c>
      <c r="AD280">
        <v>3372.3066869887502</v>
      </c>
      <c r="AE280">
        <v>115782.52958661376</v>
      </c>
      <c r="AG280">
        <v>115782.52958661376</v>
      </c>
      <c r="AI280">
        <v>115782.52958661376</v>
      </c>
      <c r="AJ280">
        <v>1157.8252958661376</v>
      </c>
      <c r="AK280">
        <v>116940.35488247988</v>
      </c>
      <c r="AL280">
        <v>5847.0177441239948</v>
      </c>
      <c r="AM280">
        <v>122787.37262660389</v>
      </c>
      <c r="AO280">
        <v>122787.37262660389</v>
      </c>
      <c r="AP280">
        <v>3683.6211787981169</v>
      </c>
      <c r="AQ280">
        <v>126470.993805402</v>
      </c>
      <c r="AS280">
        <v>126470.993805402</v>
      </c>
      <c r="AU280">
        <v>126470.993805402</v>
      </c>
      <c r="AW280">
        <v>126470.993805402</v>
      </c>
      <c r="AX280">
        <v>1264.7099380540201</v>
      </c>
      <c r="AY280">
        <v>127735.70374345602</v>
      </c>
      <c r="BA280">
        <v>127735.70374345602</v>
      </c>
      <c r="BB280">
        <v>638.6785187172801</v>
      </c>
      <c r="BC280">
        <v>128374.3822621733</v>
      </c>
      <c r="BE280">
        <v>128374.3822621733</v>
      </c>
      <c r="BF280">
        <v>1925.6157339325991</v>
      </c>
      <c r="BG280">
        <v>130299.9979961059</v>
      </c>
      <c r="BI280">
        <v>130299.9979961059</v>
      </c>
      <c r="BK280">
        <v>130299.9979961059</v>
      </c>
      <c r="BL280">
        <v>5211.9999198442365</v>
      </c>
      <c r="BM280">
        <v>135511.99791595014</v>
      </c>
      <c r="BN280">
        <v>17616.559729073517</v>
      </c>
      <c r="BO280">
        <v>153128.55764502363</v>
      </c>
      <c r="BP280">
        <v>35</v>
      </c>
      <c r="BQ280">
        <v>153163.55764502363</v>
      </c>
      <c r="BS280">
        <v>153163.55764502363</v>
      </c>
      <c r="BT280" s="238">
        <v>153163.56</v>
      </c>
      <c r="BU280" s="238">
        <v>3757200</v>
      </c>
      <c r="BV280">
        <v>249410</v>
      </c>
      <c r="BX280" s="238">
        <v>249410</v>
      </c>
      <c r="BY280" s="238">
        <v>143000</v>
      </c>
      <c r="BZ280" s="238">
        <v>3507790</v>
      </c>
      <c r="CA280" s="238" t="s">
        <v>38</v>
      </c>
      <c r="CB280">
        <v>25000</v>
      </c>
      <c r="CC280">
        <v>168000</v>
      </c>
      <c r="CD280" s="238">
        <v>613250</v>
      </c>
      <c r="CE280" s="238">
        <v>4121040</v>
      </c>
      <c r="CG280" t="s">
        <v>8841</v>
      </c>
      <c r="CH280" s="238" t="s">
        <v>39</v>
      </c>
      <c r="CI280" s="238" t="s">
        <v>39</v>
      </c>
      <c r="CJ280" t="s">
        <v>8950</v>
      </c>
      <c r="CK280" t="s">
        <v>1167</v>
      </c>
      <c r="CL280" t="s">
        <v>8961</v>
      </c>
      <c r="CM280" t="s">
        <v>8970</v>
      </c>
      <c r="CN280" s="238" t="b">
        <v>1</v>
      </c>
      <c r="CO280" t="s">
        <v>5568</v>
      </c>
      <c r="CQ280" t="s">
        <v>6652</v>
      </c>
      <c r="CR280" t="s">
        <v>3246</v>
      </c>
      <c r="CS280" t="s">
        <v>38</v>
      </c>
      <c r="CT280" t="b">
        <v>1</v>
      </c>
      <c r="CU280">
        <v>3757200</v>
      </c>
      <c r="CV280" t="s">
        <v>9002</v>
      </c>
      <c r="CW280">
        <v>0</v>
      </c>
      <c r="CX280">
        <v>3757200</v>
      </c>
      <c r="CY280">
        <v>0</v>
      </c>
      <c r="CZ280" t="b">
        <v>1</v>
      </c>
      <c r="DA280">
        <v>45838</v>
      </c>
      <c r="DB280" t="s">
        <v>126</v>
      </c>
      <c r="DC280">
        <v>-7.337953526294517E-3</v>
      </c>
      <c r="DD280">
        <v>-1049.3273542601155</v>
      </c>
      <c r="DE280" s="420" cm="1">
        <f t="array" ref="DE280">_xlfn.XLOOKUP("Дом 5"&amp;Реестр_Д5[[#This Row],[№]]&amp;Реестр_Д5[[#This Row],[Статус]],РД[Дом]&amp;РД[№ кв]&amp;РД[Состояние],РД[Дата подачи на регистрацию],"-",0)</f>
        <v>45838</v>
      </c>
    </row>
    <row r="281" spans="1:109" hidden="1" x14ac:dyDescent="0.25">
      <c r="A281" s="238">
        <v>280</v>
      </c>
      <c r="B281" s="238" t="s">
        <v>16</v>
      </c>
      <c r="C281" s="238">
        <v>9</v>
      </c>
      <c r="D281" s="238">
        <v>3</v>
      </c>
      <c r="E281" s="238">
        <v>2</v>
      </c>
      <c r="F281" s="238">
        <v>13.69</v>
      </c>
      <c r="G281" s="238">
        <v>10.16</v>
      </c>
      <c r="H281" s="238"/>
      <c r="I281">
        <v>23.85</v>
      </c>
      <c r="J281" s="238">
        <v>18.71</v>
      </c>
      <c r="K281" s="238">
        <v>3.49</v>
      </c>
      <c r="L281" s="238">
        <v>2.11</v>
      </c>
      <c r="M281" s="238"/>
      <c r="N281" s="238">
        <v>7.09</v>
      </c>
      <c r="O281" s="238">
        <v>2.65</v>
      </c>
      <c r="P281" s="238"/>
      <c r="R281" s="238">
        <v>2.65</v>
      </c>
      <c r="S281">
        <v>57.9</v>
      </c>
      <c r="T281">
        <v>55.25</v>
      </c>
      <c r="U281" s="238">
        <v>56.58</v>
      </c>
      <c r="V281">
        <v>56.4</v>
      </c>
      <c r="W281" s="238">
        <v>80307.864000000001</v>
      </c>
      <c r="X281">
        <v>4015.3932</v>
      </c>
      <c r="Y281">
        <v>84323.257199999993</v>
      </c>
      <c r="Z281">
        <v>2529.6977160000001</v>
      </c>
      <c r="AA281">
        <v>86852.954916000002</v>
      </c>
      <c r="AC281">
        <v>86852.954916000002</v>
      </c>
      <c r="AE281">
        <v>86852.954916000002</v>
      </c>
      <c r="AG281">
        <v>86852.954916000002</v>
      </c>
      <c r="AI281">
        <v>86852.954916000002</v>
      </c>
      <c r="AK281">
        <v>86852.954916000002</v>
      </c>
      <c r="AM281">
        <v>86852.954916000002</v>
      </c>
      <c r="AO281">
        <v>86852.954916000002</v>
      </c>
      <c r="AQ281">
        <v>86852.954916000002</v>
      </c>
      <c r="AS281">
        <v>86852.954916000002</v>
      </c>
      <c r="AU281">
        <v>86852.954916000002</v>
      </c>
      <c r="AW281">
        <v>86852.954916000002</v>
      </c>
      <c r="AY281">
        <v>86852.954916000002</v>
      </c>
      <c r="BA281">
        <v>86852.954916000002</v>
      </c>
      <c r="BC281">
        <v>86852.954916000002</v>
      </c>
      <c r="BE281">
        <v>86852.954916000002</v>
      </c>
      <c r="BG281">
        <v>86852.954916000002</v>
      </c>
      <c r="BI281">
        <v>86852.954916000002</v>
      </c>
      <c r="BK281">
        <v>86852.954916000002</v>
      </c>
      <c r="BM281">
        <v>86852.954916000002</v>
      </c>
      <c r="BO281">
        <v>86852.954916000002</v>
      </c>
      <c r="BQ281">
        <v>86852.954916000002</v>
      </c>
      <c r="BS281">
        <v>86852.954916000002</v>
      </c>
      <c r="BT281" s="238">
        <v>86852.95</v>
      </c>
      <c r="BU281" s="238">
        <v>4914139.91</v>
      </c>
      <c r="BW281">
        <v>0.02</v>
      </c>
      <c r="BX281" s="238">
        <v>98282.798200000005</v>
      </c>
      <c r="BY281" s="238">
        <v>85115.890950866044</v>
      </c>
      <c r="BZ281" s="238">
        <v>4815857.1100000003</v>
      </c>
      <c r="CA281" s="238" t="s">
        <v>38</v>
      </c>
      <c r="CB281">
        <v>22000</v>
      </c>
      <c r="CC281">
        <v>107115.89095086604</v>
      </c>
      <c r="CD281" s="238">
        <v>1244760</v>
      </c>
      <c r="CE281" s="238">
        <v>6060617.1100000003</v>
      </c>
      <c r="CF281" t="s">
        <v>4633</v>
      </c>
      <c r="CG281" t="s">
        <v>3540</v>
      </c>
      <c r="CH281" s="238" t="s">
        <v>39</v>
      </c>
      <c r="CI281" s="238" t="s">
        <v>39</v>
      </c>
      <c r="CJ281" t="s">
        <v>8950</v>
      </c>
      <c r="CK281" t="s">
        <v>1167</v>
      </c>
      <c r="CL281" t="s">
        <v>8961</v>
      </c>
      <c r="CM281" t="s">
        <v>8971</v>
      </c>
      <c r="CN281" s="238" t="b">
        <v>1</v>
      </c>
      <c r="CO281" t="s">
        <v>5569</v>
      </c>
      <c r="CQ281" t="s">
        <v>4895</v>
      </c>
      <c r="CR281" t="s">
        <v>3246</v>
      </c>
      <c r="CS281" t="s">
        <v>38</v>
      </c>
      <c r="CT281" t="b">
        <v>1</v>
      </c>
      <c r="CU281">
        <v>4914139.91</v>
      </c>
      <c r="CV281" t="s">
        <v>9002</v>
      </c>
      <c r="CW281">
        <v>0</v>
      </c>
      <c r="CX281">
        <v>4914140</v>
      </c>
      <c r="CY281">
        <v>0</v>
      </c>
      <c r="CZ281" t="b">
        <v>1</v>
      </c>
      <c r="DA281">
        <v>45254</v>
      </c>
      <c r="DB281" t="s">
        <v>4177</v>
      </c>
      <c r="DC281">
        <v>-3.1813361611876534E-3</v>
      </c>
      <c r="DD281">
        <v>-270.7822617736951</v>
      </c>
      <c r="DE281" s="420" cm="1">
        <f t="array" ref="DE281">_xlfn.XLOOKUP("Дом 5"&amp;Реестр_Д5[[#This Row],[№]]&amp;Реестр_Д5[[#This Row],[Статус]],РД[Дом]&amp;РД[№ кв]&amp;РД[Состояние],РД[Дата подачи на регистрацию],"-",0)</f>
        <v>45254</v>
      </c>
    </row>
    <row r="282" spans="1:109" hidden="1" x14ac:dyDescent="0.25">
      <c r="A282" s="238">
        <v>281</v>
      </c>
      <c r="B282" s="238" t="s">
        <v>16</v>
      </c>
      <c r="C282" s="238">
        <v>9</v>
      </c>
      <c r="D282" s="238">
        <v>4</v>
      </c>
      <c r="E282" s="238">
        <v>2</v>
      </c>
      <c r="F282" s="238">
        <v>15.45</v>
      </c>
      <c r="G282" s="238">
        <v>10.34</v>
      </c>
      <c r="H282" s="238"/>
      <c r="I282">
        <v>25.79</v>
      </c>
      <c r="J282" s="238">
        <v>15.44</v>
      </c>
      <c r="K282" s="238">
        <v>4.59</v>
      </c>
      <c r="L282" s="238">
        <v>2.21</v>
      </c>
      <c r="M282" s="238"/>
      <c r="N282" s="238">
        <v>10.79</v>
      </c>
      <c r="O282" s="238">
        <v>2.84</v>
      </c>
      <c r="P282" s="238"/>
      <c r="R282" s="238">
        <v>2.84</v>
      </c>
      <c r="S282">
        <v>61.66</v>
      </c>
      <c r="T282">
        <v>58.82</v>
      </c>
      <c r="U282" s="238">
        <v>60.24</v>
      </c>
      <c r="V282">
        <v>60.20000000000001</v>
      </c>
      <c r="W282" s="238">
        <v>82238.34150000001</v>
      </c>
      <c r="X282">
        <v>4111.9170750000003</v>
      </c>
      <c r="Y282">
        <v>86350.258575000014</v>
      </c>
      <c r="Z282">
        <v>2590.5077572500004</v>
      </c>
      <c r="AA282">
        <v>88940.766332250016</v>
      </c>
      <c r="AC282">
        <v>88940.766332250016</v>
      </c>
      <c r="AE282">
        <v>88940.766332250016</v>
      </c>
      <c r="AG282">
        <v>88940.766332250016</v>
      </c>
      <c r="AI282">
        <v>88940.766332250016</v>
      </c>
      <c r="AJ282">
        <v>889.40766332250018</v>
      </c>
      <c r="AK282">
        <v>89830.173995572535</v>
      </c>
      <c r="AL282">
        <v>4491.5086997786266</v>
      </c>
      <c r="AM282">
        <v>94321.682695351148</v>
      </c>
      <c r="AO282">
        <v>94321.682695351148</v>
      </c>
      <c r="AP282">
        <v>1886.433653907023</v>
      </c>
      <c r="AQ282">
        <v>96208.116349258169</v>
      </c>
      <c r="AS282">
        <v>96208.116349258169</v>
      </c>
      <c r="AT282">
        <v>1924.1623269851632</v>
      </c>
      <c r="AU282">
        <v>98132.278676243339</v>
      </c>
      <c r="AW282">
        <v>98132.278676243339</v>
      </c>
      <c r="AY282">
        <v>98132.278676243339</v>
      </c>
      <c r="BA282">
        <v>98132.278676243339</v>
      </c>
      <c r="BC282">
        <v>98132.278676243339</v>
      </c>
      <c r="BE282">
        <v>98132.278676243339</v>
      </c>
      <c r="BF282">
        <v>490.66139338121673</v>
      </c>
      <c r="BG282">
        <v>98622.940069624558</v>
      </c>
      <c r="BI282">
        <v>98622.940069624558</v>
      </c>
      <c r="BJ282">
        <v>3944.9176027849826</v>
      </c>
      <c r="BK282">
        <v>102567.85767240952</v>
      </c>
      <c r="BM282">
        <v>102567.85767240952</v>
      </c>
      <c r="BO282">
        <v>102567.85767240952</v>
      </c>
      <c r="BQ282">
        <v>102567.85767240952</v>
      </c>
      <c r="BS282">
        <v>102567.85767240952</v>
      </c>
      <c r="BT282" s="238">
        <v>102567.86</v>
      </c>
      <c r="BU282" s="238">
        <v>6178700</v>
      </c>
      <c r="BW282">
        <v>0.02</v>
      </c>
      <c r="BX282" s="238">
        <v>123574</v>
      </c>
      <c r="BY282" s="238">
        <v>100516.69986719788</v>
      </c>
      <c r="BZ282" s="238">
        <v>6055126</v>
      </c>
      <c r="CA282" s="238" t="s">
        <v>6871</v>
      </c>
      <c r="CB282">
        <v>8000</v>
      </c>
      <c r="CC282">
        <v>108516.69986719788</v>
      </c>
      <c r="CD282" s="238">
        <v>481920</v>
      </c>
      <c r="CE282" s="238">
        <v>6537046</v>
      </c>
      <c r="CG282" t="s">
        <v>3540</v>
      </c>
      <c r="CH282" s="238" t="s">
        <v>39</v>
      </c>
      <c r="CI282" s="238" t="s">
        <v>39</v>
      </c>
      <c r="CJ282" t="s">
        <v>8950</v>
      </c>
      <c r="CK282" t="s">
        <v>1167</v>
      </c>
      <c r="CL282" t="s">
        <v>8961</v>
      </c>
      <c r="CM282" t="s">
        <v>8971</v>
      </c>
      <c r="CN282" s="238" t="b">
        <v>1</v>
      </c>
      <c r="CO282" t="s">
        <v>5570</v>
      </c>
      <c r="CQ282" t="s">
        <v>6652</v>
      </c>
      <c r="CR282" t="s">
        <v>3246</v>
      </c>
      <c r="CS282" t="s">
        <v>6871</v>
      </c>
      <c r="CT282" t="b">
        <v>1</v>
      </c>
      <c r="CU282">
        <v>6178700</v>
      </c>
      <c r="CV282" t="s">
        <v>9002</v>
      </c>
      <c r="CW282">
        <v>0</v>
      </c>
      <c r="CX282">
        <v>6178700</v>
      </c>
      <c r="CY282">
        <v>0</v>
      </c>
      <c r="CZ282" t="b">
        <v>1</v>
      </c>
      <c r="DA282">
        <v>45604</v>
      </c>
      <c r="DB282" t="s">
        <v>5215</v>
      </c>
      <c r="DC282">
        <v>-6.6401062416987511E-4</v>
      </c>
      <c r="DD282">
        <v>-66.744156618314051</v>
      </c>
      <c r="DE282" s="420" cm="1">
        <f t="array" ref="DE282">_xlfn.XLOOKUP("Дом 5"&amp;Реестр_Д5[[#This Row],[№]]&amp;Реестр_Д5[[#This Row],[Статус]],РД[Дом]&amp;РД[№ кв]&amp;РД[Состояние],РД[Дата подачи на регистрацию],"-",0)</f>
        <v>45604</v>
      </c>
    </row>
    <row r="283" spans="1:109" hidden="1" x14ac:dyDescent="0.25">
      <c r="A283" s="238">
        <v>282</v>
      </c>
      <c r="B283" s="238" t="s">
        <v>16</v>
      </c>
      <c r="C283" s="238">
        <v>9</v>
      </c>
      <c r="D283" s="238">
        <v>5</v>
      </c>
      <c r="E283" s="238">
        <v>1</v>
      </c>
      <c r="F283" s="238">
        <v>12.54</v>
      </c>
      <c r="G283" s="238"/>
      <c r="H283" s="238"/>
      <c r="I283">
        <v>12.54</v>
      </c>
      <c r="J283" s="238">
        <v>12.74</v>
      </c>
      <c r="K283" s="238">
        <v>4.0199999999999996</v>
      </c>
      <c r="L283" s="238"/>
      <c r="M283" s="238"/>
      <c r="N283" s="238">
        <v>7.09</v>
      </c>
      <c r="O283" s="238">
        <v>2.84</v>
      </c>
      <c r="P283" s="238"/>
      <c r="R283" s="238">
        <v>2.84</v>
      </c>
      <c r="S283">
        <v>39.229999999999997</v>
      </c>
      <c r="T283">
        <v>36.39</v>
      </c>
      <c r="U283" s="238">
        <v>37.81</v>
      </c>
      <c r="V283">
        <v>37.499999999999993</v>
      </c>
      <c r="W283" s="238">
        <v>89223.75</v>
      </c>
      <c r="X283">
        <v>4461.1875</v>
      </c>
      <c r="Y283">
        <v>93684.9375</v>
      </c>
      <c r="Z283">
        <v>2810.5481249999998</v>
      </c>
      <c r="AA283">
        <v>96495.485625000001</v>
      </c>
      <c r="AB283">
        <v>4342.2968531249999</v>
      </c>
      <c r="AC283">
        <v>100837.78247812499</v>
      </c>
      <c r="AE283">
        <v>100837.78247812499</v>
      </c>
      <c r="AF283">
        <v>5041.8891239062505</v>
      </c>
      <c r="AG283">
        <v>105879.67160203125</v>
      </c>
      <c r="AH283">
        <v>-620</v>
      </c>
      <c r="AI283">
        <v>105259.67160203125</v>
      </c>
      <c r="AJ283">
        <v>1052.5967160203124</v>
      </c>
      <c r="AK283">
        <v>106312.26831805156</v>
      </c>
      <c r="AL283">
        <v>5315.6134159025787</v>
      </c>
      <c r="AM283">
        <v>111627.88173395414</v>
      </c>
      <c r="AO283">
        <v>111627.88173395414</v>
      </c>
      <c r="AP283">
        <v>3348.8364520186242</v>
      </c>
      <c r="AQ283">
        <v>114976.71818597276</v>
      </c>
      <c r="AS283">
        <v>114976.71818597276</v>
      </c>
      <c r="AU283">
        <v>114976.71818597276</v>
      </c>
      <c r="AW283">
        <v>114976.71818597276</v>
      </c>
      <c r="AX283">
        <v>1149.7671818597278</v>
      </c>
      <c r="AY283">
        <v>116126.4853678325</v>
      </c>
      <c r="BA283">
        <v>116126.4853678325</v>
      </c>
      <c r="BC283">
        <v>116126.4853678325</v>
      </c>
      <c r="BE283">
        <v>116126.4853678325</v>
      </c>
      <c r="BF283">
        <v>580.63242683916258</v>
      </c>
      <c r="BG283">
        <v>116707.11779467166</v>
      </c>
      <c r="BI283">
        <v>116707.11779467166</v>
      </c>
      <c r="BK283">
        <v>116707.11779467166</v>
      </c>
      <c r="BL283">
        <v>5835.3558897335834</v>
      </c>
      <c r="BM283">
        <v>122542.47368440524</v>
      </c>
      <c r="BN283">
        <v>15930.521578972684</v>
      </c>
      <c r="BO283">
        <v>138472.99526337793</v>
      </c>
      <c r="BP283">
        <v>35</v>
      </c>
      <c r="BQ283">
        <v>138507.99526337793</v>
      </c>
      <c r="BS283">
        <v>138507.99526337793</v>
      </c>
      <c r="BT283" s="238">
        <v>138508</v>
      </c>
      <c r="BU283" s="238">
        <v>5237000</v>
      </c>
      <c r="BV283">
        <v>302480</v>
      </c>
      <c r="BX283" s="238">
        <v>302480</v>
      </c>
      <c r="BY283" s="238">
        <v>130508.33112933084</v>
      </c>
      <c r="BZ283" s="238">
        <v>4934520</v>
      </c>
      <c r="CA283" s="238" t="s">
        <v>6871</v>
      </c>
      <c r="CB283">
        <v>10000</v>
      </c>
      <c r="CC283">
        <v>140508.33112933085</v>
      </c>
      <c r="CD283" s="238">
        <v>378100</v>
      </c>
      <c r="CE283" s="238">
        <v>5312620</v>
      </c>
      <c r="CG283" t="s">
        <v>8676</v>
      </c>
      <c r="CH283" s="238" t="s">
        <v>39</v>
      </c>
      <c r="CI283" s="238" t="s">
        <v>39</v>
      </c>
      <c r="CJ283" t="s">
        <v>8950</v>
      </c>
      <c r="CK283" t="s">
        <v>1167</v>
      </c>
      <c r="CL283" t="s">
        <v>8961</v>
      </c>
      <c r="CM283" t="s">
        <v>8973</v>
      </c>
      <c r="CN283" s="238" t="b">
        <v>1</v>
      </c>
      <c r="CO283" t="s">
        <v>5571</v>
      </c>
      <c r="CQ283" t="s">
        <v>6652</v>
      </c>
      <c r="CR283" t="s">
        <v>3246</v>
      </c>
      <c r="CS283" t="s">
        <v>6871</v>
      </c>
      <c r="CT283" t="b">
        <v>1</v>
      </c>
      <c r="CU283">
        <v>5237000</v>
      </c>
      <c r="CV283" t="s">
        <v>9002</v>
      </c>
      <c r="CW283">
        <v>0</v>
      </c>
      <c r="CX283">
        <v>5237000</v>
      </c>
      <c r="CY283">
        <v>0</v>
      </c>
      <c r="CZ283" t="b">
        <v>1</v>
      </c>
      <c r="DA283">
        <v>45749</v>
      </c>
      <c r="DB283" t="s">
        <v>8380</v>
      </c>
      <c r="DC283">
        <v>-8.1988891827561305E-3</v>
      </c>
      <c r="DD283">
        <v>-1070.0233443558261</v>
      </c>
      <c r="DE283" s="420" cm="1">
        <f t="array" ref="DE283">_xlfn.XLOOKUP("Дом 5"&amp;Реестр_Д5[[#This Row],[№]]&amp;Реестр_Д5[[#This Row],[Статус]],РД[Дом]&amp;РД[№ кв]&amp;РД[Состояние],РД[Дата подачи на регистрацию],"-",0)</f>
        <v>45749</v>
      </c>
    </row>
    <row r="284" spans="1:109" hidden="1" x14ac:dyDescent="0.25">
      <c r="A284" s="238">
        <v>283</v>
      </c>
      <c r="B284" s="238" t="s">
        <v>16</v>
      </c>
      <c r="C284" s="238">
        <v>9</v>
      </c>
      <c r="D284" s="238">
        <v>6</v>
      </c>
      <c r="E284" s="238">
        <v>3</v>
      </c>
      <c r="F284" s="238">
        <v>17.2</v>
      </c>
      <c r="G284" s="238">
        <v>14.64</v>
      </c>
      <c r="H284" s="238">
        <v>14.34</v>
      </c>
      <c r="I284">
        <v>46.18</v>
      </c>
      <c r="J284" s="238">
        <v>13.15</v>
      </c>
      <c r="K284" s="238">
        <v>4.03</v>
      </c>
      <c r="L284" s="238">
        <v>1.76</v>
      </c>
      <c r="M284" s="238"/>
      <c r="N284" s="238">
        <v>13.11</v>
      </c>
      <c r="O284" s="238">
        <v>2.79</v>
      </c>
      <c r="P284" s="238">
        <v>2.68</v>
      </c>
      <c r="R284" s="238">
        <v>5.4700000000000006</v>
      </c>
      <c r="S284">
        <v>83.7</v>
      </c>
      <c r="T284">
        <v>78.23</v>
      </c>
      <c r="U284" s="238">
        <v>80.97</v>
      </c>
      <c r="V284">
        <v>80.55</v>
      </c>
      <c r="W284" s="238">
        <v>73520.37000000001</v>
      </c>
      <c r="X284">
        <v>3676.0185000000006</v>
      </c>
      <c r="Y284">
        <v>77196.388500000015</v>
      </c>
      <c r="Z284">
        <v>2315.8916550000004</v>
      </c>
      <c r="AA284">
        <v>79512.280155000015</v>
      </c>
      <c r="AC284">
        <v>79512.280155000015</v>
      </c>
      <c r="AE284">
        <v>79512.280155000015</v>
      </c>
      <c r="AG284">
        <v>79512.280155000015</v>
      </c>
      <c r="AI284">
        <v>79512.280155000015</v>
      </c>
      <c r="AJ284">
        <v>795.12280155000019</v>
      </c>
      <c r="AK284">
        <v>80307.40295655001</v>
      </c>
      <c r="AL284">
        <v>4015.3701478275007</v>
      </c>
      <c r="AM284">
        <v>84322.773104377513</v>
      </c>
      <c r="AO284">
        <v>84322.773104377513</v>
      </c>
      <c r="AP284">
        <v>1686.4554620875504</v>
      </c>
      <c r="AQ284">
        <v>86009.22856646507</v>
      </c>
      <c r="AS284">
        <v>86009.22856646507</v>
      </c>
      <c r="AT284">
        <v>1720.1845713293014</v>
      </c>
      <c r="AU284">
        <v>87729.41313779437</v>
      </c>
      <c r="AW284">
        <v>87729.41313779437</v>
      </c>
      <c r="AX284">
        <v>877.2941313779437</v>
      </c>
      <c r="AY284">
        <v>88606.707269172315</v>
      </c>
      <c r="BA284">
        <v>88606.707269172315</v>
      </c>
      <c r="BB284">
        <v>443.03353634586159</v>
      </c>
      <c r="BC284">
        <v>89049.740805518173</v>
      </c>
      <c r="BD284">
        <v>1780.9948161103634</v>
      </c>
      <c r="BE284">
        <v>90830.735621628541</v>
      </c>
      <c r="BF284">
        <v>1362.4610343244281</v>
      </c>
      <c r="BG284">
        <v>92193.196655952954</v>
      </c>
      <c r="BI284">
        <v>92193.196655952954</v>
      </c>
      <c r="BJ284">
        <v>3687.7278662381186</v>
      </c>
      <c r="BK284">
        <v>95880.924522191082</v>
      </c>
      <c r="BM284">
        <v>95880.924522191082</v>
      </c>
      <c r="BO284">
        <v>95880.924522191082</v>
      </c>
      <c r="BQ284">
        <v>95880.924522191082</v>
      </c>
      <c r="BS284">
        <v>95880.924522191082</v>
      </c>
      <c r="BT284" s="238">
        <v>95880.92</v>
      </c>
      <c r="BU284" s="238">
        <v>7763500</v>
      </c>
      <c r="BW284">
        <v>0.02</v>
      </c>
      <c r="BX284" s="238">
        <v>155270</v>
      </c>
      <c r="BY284" s="238">
        <v>93963.566753118444</v>
      </c>
      <c r="BZ284" s="238">
        <v>7608230</v>
      </c>
      <c r="CA284" s="238" t="s">
        <v>36</v>
      </c>
      <c r="CC284">
        <v>93963.566753118444</v>
      </c>
      <c r="CD284" s="238">
        <v>0</v>
      </c>
      <c r="CE284" s="238">
        <v>7608230</v>
      </c>
      <c r="CG284" t="s">
        <v>3540</v>
      </c>
      <c r="CH284" s="238" t="s">
        <v>39</v>
      </c>
      <c r="CI284" s="238" t="s">
        <v>39</v>
      </c>
      <c r="CJ284" t="s">
        <v>8950</v>
      </c>
      <c r="CK284" t="s">
        <v>1167</v>
      </c>
      <c r="CL284" t="s">
        <v>8961</v>
      </c>
      <c r="CM284" t="s">
        <v>8975</v>
      </c>
      <c r="CN284" s="238" t="b">
        <v>1</v>
      </c>
      <c r="CO284" t="s">
        <v>5572</v>
      </c>
      <c r="CQ284" t="s">
        <v>6652</v>
      </c>
      <c r="CR284" t="s">
        <v>3246</v>
      </c>
      <c r="CS284" t="s">
        <v>36</v>
      </c>
      <c r="CT284" t="b">
        <v>1</v>
      </c>
      <c r="CU284">
        <v>7763500</v>
      </c>
      <c r="CV284" t="s">
        <v>9002</v>
      </c>
      <c r="CW284">
        <v>0</v>
      </c>
      <c r="CX284">
        <v>7763500</v>
      </c>
      <c r="CY284">
        <v>0</v>
      </c>
      <c r="CZ284" t="b">
        <v>1</v>
      </c>
      <c r="DA284">
        <v>45595</v>
      </c>
      <c r="DB284" t="s">
        <v>5215</v>
      </c>
      <c r="DC284">
        <v>-5.1871063356798697E-3</v>
      </c>
      <c r="DD284">
        <v>-487.39901242817905</v>
      </c>
      <c r="DE284" s="420" cm="1">
        <f t="array" ref="DE284">_xlfn.XLOOKUP("Дом 5"&amp;Реестр_Д5[[#This Row],[№]]&amp;Реестр_Д5[[#This Row],[Статус]],РД[Дом]&amp;РД[№ кв]&amp;РД[Состояние],РД[Дата подачи на регистрацию],"-",0)</f>
        <v>45595</v>
      </c>
    </row>
    <row r="285" spans="1:109" hidden="1" x14ac:dyDescent="0.25">
      <c r="A285" s="238">
        <v>284</v>
      </c>
      <c r="B285" s="238" t="s">
        <v>16</v>
      </c>
      <c r="C285" s="238">
        <v>9</v>
      </c>
      <c r="D285" s="238">
        <v>7</v>
      </c>
      <c r="E285" s="238">
        <v>1</v>
      </c>
      <c r="F285" s="238">
        <v>14.3</v>
      </c>
      <c r="G285" s="238"/>
      <c r="H285" s="238"/>
      <c r="I285">
        <v>14.3</v>
      </c>
      <c r="J285" s="238">
        <v>9.2799999999999994</v>
      </c>
      <c r="K285" s="238">
        <v>3.79</v>
      </c>
      <c r="L285" s="238"/>
      <c r="M285" s="238"/>
      <c r="N285" s="238">
        <v>6.08</v>
      </c>
      <c r="O285" s="238">
        <v>2.71</v>
      </c>
      <c r="P285" s="238"/>
      <c r="R285" s="238">
        <v>2.71</v>
      </c>
      <c r="S285">
        <v>36.159999999999997</v>
      </c>
      <c r="T285">
        <v>33.450000000000003</v>
      </c>
      <c r="U285" s="238">
        <v>34.81</v>
      </c>
      <c r="V285">
        <v>34.699999999999996</v>
      </c>
      <c r="W285" s="238">
        <v>84762.5625</v>
      </c>
      <c r="X285">
        <v>4238.1281250000002</v>
      </c>
      <c r="Y285">
        <v>89000.690625000003</v>
      </c>
      <c r="Z285">
        <v>2670.02071875</v>
      </c>
      <c r="AA285">
        <v>91670.711343750023</v>
      </c>
      <c r="AB285">
        <v>12833.899588125005</v>
      </c>
      <c r="AC285">
        <v>104504.610931875</v>
      </c>
      <c r="AE285">
        <v>104504.610931875</v>
      </c>
      <c r="AF285">
        <v>5225.2305465937507</v>
      </c>
      <c r="AG285">
        <v>109729.84147846876</v>
      </c>
      <c r="AI285">
        <v>109729.84147846876</v>
      </c>
      <c r="AK285">
        <v>109729.84147846876</v>
      </c>
      <c r="AM285">
        <v>109729.84147846876</v>
      </c>
      <c r="AO285">
        <v>109729.84147846876</v>
      </c>
      <c r="AQ285">
        <v>109729.84147846876</v>
      </c>
      <c r="AS285">
        <v>109729.84147846876</v>
      </c>
      <c r="AU285">
        <v>109729.84147846876</v>
      </c>
      <c r="AW285">
        <v>109729.84147846876</v>
      </c>
      <c r="AY285">
        <v>109729.84147846876</v>
      </c>
      <c r="BA285">
        <v>109729.84147846876</v>
      </c>
      <c r="BC285">
        <v>109729.84147846876</v>
      </c>
      <c r="BE285">
        <v>109729.84147846876</v>
      </c>
      <c r="BG285">
        <v>109729.84147846876</v>
      </c>
      <c r="BI285">
        <v>109729.84147846876</v>
      </c>
      <c r="BK285">
        <v>109729.84147846876</v>
      </c>
      <c r="BM285">
        <v>109729.84147846876</v>
      </c>
      <c r="BO285">
        <v>109729.84147846876</v>
      </c>
      <c r="BQ285">
        <v>109729.84147846876</v>
      </c>
      <c r="BS285">
        <v>109729.84147846876</v>
      </c>
      <c r="BT285" s="238">
        <v>109729.84</v>
      </c>
      <c r="BU285" s="238">
        <v>3819700</v>
      </c>
      <c r="BV285">
        <v>50000</v>
      </c>
      <c r="BX285" s="238">
        <v>50000</v>
      </c>
      <c r="BY285" s="238">
        <v>108293.59379488652</v>
      </c>
      <c r="BZ285" s="238">
        <v>3769700</v>
      </c>
      <c r="CA285" s="238" t="s">
        <v>37</v>
      </c>
      <c r="CB285">
        <v>7500</v>
      </c>
      <c r="CC285">
        <v>115793.59379488652</v>
      </c>
      <c r="CD285" s="238">
        <v>261075</v>
      </c>
      <c r="CE285" s="238">
        <v>4030775</v>
      </c>
      <c r="CF285" t="s">
        <v>4633</v>
      </c>
      <c r="CG285" t="s">
        <v>6732</v>
      </c>
      <c r="CH285" s="238" t="s">
        <v>39</v>
      </c>
      <c r="CI285" s="238" t="s">
        <v>39</v>
      </c>
      <c r="CJ285" t="s">
        <v>8950</v>
      </c>
      <c r="CK285" t="s">
        <v>1167</v>
      </c>
      <c r="CL285" t="s">
        <v>8961</v>
      </c>
      <c r="CM285" t="s">
        <v>8973</v>
      </c>
      <c r="CN285" s="238" t="b">
        <v>1</v>
      </c>
      <c r="CO285" t="s">
        <v>5573</v>
      </c>
      <c r="CQ285" t="s">
        <v>6652</v>
      </c>
      <c r="CR285" t="s">
        <v>3246</v>
      </c>
      <c r="CS285" t="s">
        <v>37</v>
      </c>
      <c r="CT285" t="b">
        <v>1</v>
      </c>
      <c r="CU285">
        <v>3819700</v>
      </c>
      <c r="CV285" t="s">
        <v>9002</v>
      </c>
      <c r="CW285">
        <v>0</v>
      </c>
      <c r="CX285">
        <v>3819700</v>
      </c>
      <c r="CY285">
        <v>0</v>
      </c>
      <c r="CZ285" t="b">
        <v>1</v>
      </c>
      <c r="DA285">
        <v>45282</v>
      </c>
      <c r="DB285" t="s">
        <v>4177</v>
      </c>
      <c r="DC285">
        <v>-3.1600114909510202E-3</v>
      </c>
      <c r="DD285">
        <v>-342.20900078822348</v>
      </c>
      <c r="DE285" s="420" cm="1">
        <f t="array" ref="DE285">_xlfn.XLOOKUP("Дом 5"&amp;Реестр_Д5[[#This Row],[№]]&amp;Реестр_Д5[[#This Row],[Статус]],РД[Дом]&amp;РД[№ кв]&amp;РД[Состояние],РД[Дата подачи на регистрацию],"-",0)</f>
        <v>45282</v>
      </c>
    </row>
    <row r="286" spans="1:109" hidden="1" x14ac:dyDescent="0.25">
      <c r="A286" s="238">
        <v>285</v>
      </c>
      <c r="B286" s="238" t="s">
        <v>16</v>
      </c>
      <c r="C286" s="238">
        <v>10</v>
      </c>
      <c r="D286" s="238">
        <v>1</v>
      </c>
      <c r="E286" s="238">
        <v>2</v>
      </c>
      <c r="F286" s="238">
        <v>17.63</v>
      </c>
      <c r="G286" s="238">
        <v>13.69</v>
      </c>
      <c r="H286" s="238"/>
      <c r="I286">
        <v>31.32</v>
      </c>
      <c r="J286" s="238">
        <v>20.05</v>
      </c>
      <c r="K286" s="238">
        <v>3.54</v>
      </c>
      <c r="L286" s="238">
        <v>2.93</v>
      </c>
      <c r="M286" s="238"/>
      <c r="N286" s="238">
        <v>12.19</v>
      </c>
      <c r="O286" s="238">
        <v>4.6500000000000004</v>
      </c>
      <c r="P286" s="238">
        <v>2.68</v>
      </c>
      <c r="R286" s="238">
        <v>7.33</v>
      </c>
      <c r="S286">
        <v>77.36</v>
      </c>
      <c r="T286">
        <v>70.03</v>
      </c>
      <c r="U286" s="238">
        <v>73.7</v>
      </c>
      <c r="V286">
        <v>73.05</v>
      </c>
      <c r="W286" s="238">
        <v>80307.864000000001</v>
      </c>
      <c r="X286">
        <v>4015.3932</v>
      </c>
      <c r="Y286">
        <v>84323.257199999993</v>
      </c>
      <c r="Z286">
        <v>2529.6977160000001</v>
      </c>
      <c r="AA286">
        <v>86852.954916000002</v>
      </c>
      <c r="AC286">
        <v>86852.954916000002</v>
      </c>
      <c r="AE286">
        <v>86852.954916000002</v>
      </c>
      <c r="AG286">
        <v>86852.954916000002</v>
      </c>
      <c r="AI286">
        <v>86852.954916000002</v>
      </c>
      <c r="AJ286">
        <v>868.52954915999999</v>
      </c>
      <c r="AK286">
        <v>87721.48446516</v>
      </c>
      <c r="AL286">
        <v>4386.0742232580005</v>
      </c>
      <c r="AM286">
        <v>92107.558688417994</v>
      </c>
      <c r="AO286">
        <v>92107.558688417994</v>
      </c>
      <c r="AQ286">
        <v>92107.558688417994</v>
      </c>
      <c r="AS286">
        <v>92107.558688417994</v>
      </c>
      <c r="AU286">
        <v>92107.558688417994</v>
      </c>
      <c r="AW286">
        <v>92107.558688417994</v>
      </c>
      <c r="AY286">
        <v>92107.558688417994</v>
      </c>
      <c r="BA286">
        <v>92107.558688417994</v>
      </c>
      <c r="BC286">
        <v>92107.558688417994</v>
      </c>
      <c r="BE286">
        <v>92107.558688417994</v>
      </c>
      <c r="BG286">
        <v>92107.558688417994</v>
      </c>
      <c r="BI286">
        <v>92107.558688417994</v>
      </c>
      <c r="BK286">
        <v>92107.558688417994</v>
      </c>
      <c r="BM286">
        <v>92107.558688417994</v>
      </c>
      <c r="BO286">
        <v>92107.558688417994</v>
      </c>
      <c r="BQ286">
        <v>92107.558688417994</v>
      </c>
      <c r="BS286">
        <v>92107.558688417994</v>
      </c>
      <c r="BT286" s="238">
        <v>92107.56</v>
      </c>
      <c r="BU286" s="238">
        <v>6788400</v>
      </c>
      <c r="BX286" s="238">
        <v>0</v>
      </c>
      <c r="BY286" s="238">
        <v>92108.548168249661</v>
      </c>
      <c r="BZ286" s="238">
        <v>6788400</v>
      </c>
      <c r="CA286" s="238" t="s">
        <v>36</v>
      </c>
      <c r="CC286">
        <v>92108.548168249661</v>
      </c>
      <c r="CD286" s="238">
        <v>0</v>
      </c>
      <c r="CE286" s="238">
        <v>6788400</v>
      </c>
      <c r="CF286" t="s">
        <v>4635</v>
      </c>
      <c r="CH286" s="238" t="s">
        <v>39</v>
      </c>
      <c r="CI286" s="238" t="s">
        <v>39</v>
      </c>
      <c r="CJ286" t="s">
        <v>8950</v>
      </c>
      <c r="CK286" t="s">
        <v>1167</v>
      </c>
      <c r="CL286" t="s">
        <v>8961</v>
      </c>
      <c r="CM286" t="s">
        <v>8971</v>
      </c>
      <c r="CN286" s="238" t="b">
        <v>1</v>
      </c>
      <c r="CO286" t="s">
        <v>5574</v>
      </c>
      <c r="CQ286" t="s">
        <v>6652</v>
      </c>
      <c r="CR286" t="s">
        <v>3246</v>
      </c>
      <c r="CS286" t="s">
        <v>36</v>
      </c>
      <c r="CT286" t="b">
        <v>1</v>
      </c>
      <c r="CU286">
        <v>6788400</v>
      </c>
      <c r="CV286" t="s">
        <v>9002</v>
      </c>
      <c r="CW286">
        <v>0</v>
      </c>
      <c r="CX286">
        <v>6788400</v>
      </c>
      <c r="CY286">
        <v>0</v>
      </c>
      <c r="CZ286" t="b">
        <v>1</v>
      </c>
      <c r="DA286">
        <v>45370</v>
      </c>
      <c r="DB286" t="s">
        <v>5215</v>
      </c>
      <c r="DC286">
        <v>-8.8195386702850653E-3</v>
      </c>
      <c r="DD286">
        <v>-812.35490243369247</v>
      </c>
      <c r="DE286" s="420" cm="1">
        <f t="array" ref="DE286">_xlfn.XLOOKUP("Дом 5"&amp;Реестр_Д5[[#This Row],[№]]&amp;Реестр_Д5[[#This Row],[Статус]],РД[Дом]&amp;РД[№ кв]&amp;РД[Состояние],РД[Дата подачи на регистрацию],"-",0)</f>
        <v>45370</v>
      </c>
    </row>
    <row r="287" spans="1:109" hidden="1" x14ac:dyDescent="0.25">
      <c r="A287" s="238">
        <v>286</v>
      </c>
      <c r="B287" s="238" t="s">
        <v>16</v>
      </c>
      <c r="C287" s="238">
        <v>10</v>
      </c>
      <c r="D287" s="238">
        <v>2</v>
      </c>
      <c r="E287" s="238">
        <v>0</v>
      </c>
      <c r="F287" s="238">
        <v>7.18</v>
      </c>
      <c r="G287" s="238"/>
      <c r="H287" s="238"/>
      <c r="I287">
        <v>7.18</v>
      </c>
      <c r="J287" s="238">
        <v>5.17</v>
      </c>
      <c r="K287" s="238">
        <v>3.72</v>
      </c>
      <c r="L287" s="238"/>
      <c r="M287" s="238"/>
      <c r="N287" s="238">
        <v>6.97</v>
      </c>
      <c r="O287" s="238">
        <v>2.97</v>
      </c>
      <c r="P287" s="238"/>
      <c r="R287" s="238">
        <v>2.97</v>
      </c>
      <c r="S287">
        <v>26.01</v>
      </c>
      <c r="T287">
        <v>23.04</v>
      </c>
      <c r="U287" s="238">
        <v>24.53</v>
      </c>
      <c r="V287">
        <v>24.2</v>
      </c>
      <c r="W287" s="238">
        <v>92857.59</v>
      </c>
      <c r="X287">
        <v>4642.8795</v>
      </c>
      <c r="Y287">
        <v>97500.469500000007</v>
      </c>
      <c r="Z287">
        <v>2925.0140849999998</v>
      </c>
      <c r="AA287">
        <v>100425.48358499999</v>
      </c>
      <c r="AB287">
        <v>13055.312866050001</v>
      </c>
      <c r="AC287">
        <v>113480.79645105</v>
      </c>
      <c r="AD287">
        <v>3404.4238935314997</v>
      </c>
      <c r="AE287">
        <v>116885.2203445815</v>
      </c>
      <c r="AG287">
        <v>116885.2203445815</v>
      </c>
      <c r="AI287">
        <v>116885.2203445815</v>
      </c>
      <c r="AJ287">
        <v>1168.8522034458149</v>
      </c>
      <c r="AK287">
        <v>118054.07254802732</v>
      </c>
      <c r="AL287">
        <v>5902.7036274013662</v>
      </c>
      <c r="AM287">
        <v>123956.77617542868</v>
      </c>
      <c r="AO287">
        <v>123956.77617542868</v>
      </c>
      <c r="AP287">
        <v>3718.7032852628599</v>
      </c>
      <c r="AQ287">
        <v>127675.47946069154</v>
      </c>
      <c r="AS287">
        <v>127675.47946069154</v>
      </c>
      <c r="AU287">
        <v>127675.47946069154</v>
      </c>
      <c r="AW287">
        <v>127675.47946069154</v>
      </c>
      <c r="AX287">
        <v>1276.7547946069153</v>
      </c>
      <c r="AY287">
        <v>128952.23425529843</v>
      </c>
      <c r="BA287">
        <v>128952.23425529843</v>
      </c>
      <c r="BB287">
        <v>644.76117127649229</v>
      </c>
      <c r="BC287">
        <v>129596.99542657494</v>
      </c>
      <c r="BE287">
        <v>129596.99542657494</v>
      </c>
      <c r="BF287">
        <v>1943.954931398624</v>
      </c>
      <c r="BG287">
        <v>131540.95035797358</v>
      </c>
      <c r="BI287">
        <v>131540.95035797358</v>
      </c>
      <c r="BK287">
        <v>131540.95035797358</v>
      </c>
      <c r="BM287">
        <v>131540.95035797358</v>
      </c>
      <c r="BO287">
        <v>131540.95035797358</v>
      </c>
      <c r="BQ287">
        <v>131540.95035797358</v>
      </c>
      <c r="BS287">
        <v>131540.95035797358</v>
      </c>
      <c r="BT287" s="238">
        <v>131540.95000000001</v>
      </c>
      <c r="BU287" s="238">
        <v>3226700</v>
      </c>
      <c r="BX287" s="238">
        <v>0</v>
      </c>
      <c r="BY287" s="238">
        <v>131540.9702405218</v>
      </c>
      <c r="BZ287" s="238">
        <v>3226700</v>
      </c>
      <c r="CA287" s="238" t="s">
        <v>36</v>
      </c>
      <c r="CC287">
        <v>131540.9702405218</v>
      </c>
      <c r="CD287" s="238">
        <v>0</v>
      </c>
      <c r="CE287" s="238">
        <v>3226700</v>
      </c>
      <c r="CH287" s="238" t="s">
        <v>39</v>
      </c>
      <c r="CI287" s="238" t="s">
        <v>39</v>
      </c>
      <c r="CJ287" t="s">
        <v>8950</v>
      </c>
      <c r="CK287" t="s">
        <v>1167</v>
      </c>
      <c r="CL287" t="s">
        <v>8961</v>
      </c>
      <c r="CM287" t="s">
        <v>8970</v>
      </c>
      <c r="CN287" s="238" t="b">
        <v>1</v>
      </c>
      <c r="CO287" t="s">
        <v>5575</v>
      </c>
      <c r="CQ287" t="s">
        <v>6652</v>
      </c>
      <c r="CR287" t="s">
        <v>3246</v>
      </c>
      <c r="CS287" t="s">
        <v>36</v>
      </c>
      <c r="CT287" t="b">
        <v>1</v>
      </c>
      <c r="CU287">
        <v>3226700</v>
      </c>
      <c r="CV287" t="s">
        <v>9002</v>
      </c>
      <c r="CW287">
        <v>0</v>
      </c>
      <c r="CX287">
        <v>3226700</v>
      </c>
      <c r="CY287">
        <v>0</v>
      </c>
      <c r="CZ287" t="b">
        <v>1</v>
      </c>
      <c r="DA287">
        <v>45507</v>
      </c>
      <c r="DB287" t="s">
        <v>5215</v>
      </c>
      <c r="DC287">
        <v>-1.3452914798206317E-2</v>
      </c>
      <c r="DD287">
        <v>-1769.6094651191324</v>
      </c>
      <c r="DE287" s="420" cm="1">
        <f t="array" ref="DE287">_xlfn.XLOOKUP("Дом 5"&amp;Реестр_Д5[[#This Row],[№]]&amp;Реестр_Д5[[#This Row],[Статус]],РД[Дом]&amp;РД[№ кв]&amp;РД[Состояние],РД[Дата подачи на регистрацию],"-",0)</f>
        <v>45507</v>
      </c>
    </row>
    <row r="288" spans="1:109" hidden="1" x14ac:dyDescent="0.25">
      <c r="A288" s="238">
        <v>287</v>
      </c>
      <c r="B288" s="238" t="s">
        <v>16</v>
      </c>
      <c r="C288" s="238">
        <v>10</v>
      </c>
      <c r="D288" s="238">
        <v>3</v>
      </c>
      <c r="E288" s="238">
        <v>2</v>
      </c>
      <c r="F288" s="238">
        <v>13.69</v>
      </c>
      <c r="G288" s="238">
        <v>10.16</v>
      </c>
      <c r="H288" s="238"/>
      <c r="I288">
        <v>23.85</v>
      </c>
      <c r="J288" s="238">
        <v>18.71</v>
      </c>
      <c r="K288" s="238">
        <v>3.49</v>
      </c>
      <c r="L288" s="238">
        <v>2.11</v>
      </c>
      <c r="M288" s="238"/>
      <c r="N288" s="238">
        <v>7.09</v>
      </c>
      <c r="O288" s="238">
        <v>2.65</v>
      </c>
      <c r="P288" s="238"/>
      <c r="R288" s="238">
        <v>2.65</v>
      </c>
      <c r="S288">
        <v>57.9</v>
      </c>
      <c r="T288">
        <v>55.25</v>
      </c>
      <c r="U288" s="238">
        <v>56.58</v>
      </c>
      <c r="V288">
        <v>56.150000000000006</v>
      </c>
      <c r="W288" s="238">
        <v>81080.054999999993</v>
      </c>
      <c r="X288">
        <v>4054.002750000001</v>
      </c>
      <c r="Y288">
        <v>85134.057750000007</v>
      </c>
      <c r="Z288">
        <v>2554.0217325000003</v>
      </c>
      <c r="AA288">
        <v>87688.079482500005</v>
      </c>
      <c r="AC288">
        <v>87688.079482500005</v>
      </c>
      <c r="AE288">
        <v>87688.079482500005</v>
      </c>
      <c r="AG288">
        <v>87688.079482500005</v>
      </c>
      <c r="AI288">
        <v>87688.079482500005</v>
      </c>
      <c r="AJ288">
        <v>876.88079482499995</v>
      </c>
      <c r="AK288">
        <v>88564.960277325008</v>
      </c>
      <c r="AL288">
        <v>4428.2480138662504</v>
      </c>
      <c r="AM288">
        <v>92993.208291191258</v>
      </c>
      <c r="AO288">
        <v>92993.208291191258</v>
      </c>
      <c r="AP288">
        <v>1859.8641658238253</v>
      </c>
      <c r="AQ288">
        <v>94853.072457015078</v>
      </c>
      <c r="AS288">
        <v>94853.072457015078</v>
      </c>
      <c r="AT288">
        <v>1897.0614491403016</v>
      </c>
      <c r="AU288">
        <v>96750.133906155374</v>
      </c>
      <c r="AW288">
        <v>96750.133906155374</v>
      </c>
      <c r="AY288">
        <v>96750.133906155374</v>
      </c>
      <c r="BA288">
        <v>96750.133906155374</v>
      </c>
      <c r="BC288">
        <v>96750.133906155374</v>
      </c>
      <c r="BE288">
        <v>96750.133906155374</v>
      </c>
      <c r="BG288">
        <v>96750.133906155374</v>
      </c>
      <c r="BI288">
        <v>96750.133906155374</v>
      </c>
      <c r="BK288">
        <v>96750.133906155374</v>
      </c>
      <c r="BM288">
        <v>96750.133906155374</v>
      </c>
      <c r="BO288">
        <v>96750.133906155374</v>
      </c>
      <c r="BQ288">
        <v>96750.133906155374</v>
      </c>
      <c r="BS288">
        <v>96750.133906155374</v>
      </c>
      <c r="BT288" s="238">
        <v>96750.13</v>
      </c>
      <c r="BU288" s="238">
        <v>5474200</v>
      </c>
      <c r="BV288">
        <v>90000</v>
      </c>
      <c r="BX288" s="238">
        <v>90000</v>
      </c>
      <c r="BY288" s="238">
        <v>95160.834217037831</v>
      </c>
      <c r="BZ288" s="238">
        <v>5384200</v>
      </c>
      <c r="CA288" s="238" t="s">
        <v>38</v>
      </c>
      <c r="CB288">
        <v>20000</v>
      </c>
      <c r="CC288">
        <v>115160.83421703785</v>
      </c>
      <c r="CD288" s="238">
        <v>1131600</v>
      </c>
      <c r="CE288" s="238">
        <v>6515800</v>
      </c>
      <c r="CF288" t="s">
        <v>4633</v>
      </c>
      <c r="CG288" t="s">
        <v>7135</v>
      </c>
      <c r="CH288" s="238" t="s">
        <v>39</v>
      </c>
      <c r="CI288" s="238" t="s">
        <v>39</v>
      </c>
      <c r="CJ288" t="s">
        <v>8950</v>
      </c>
      <c r="CK288" t="s">
        <v>1167</v>
      </c>
      <c r="CL288" t="s">
        <v>8961</v>
      </c>
      <c r="CM288" t="s">
        <v>8971</v>
      </c>
      <c r="CN288" s="238" t="b">
        <v>1</v>
      </c>
      <c r="CO288" t="s">
        <v>5576</v>
      </c>
      <c r="CQ288" t="s">
        <v>6652</v>
      </c>
      <c r="CR288" t="s">
        <v>3246</v>
      </c>
      <c r="CS288" t="s">
        <v>38</v>
      </c>
      <c r="CT288" t="b">
        <v>1</v>
      </c>
      <c r="CU288">
        <v>5474200</v>
      </c>
      <c r="CV288" t="s">
        <v>9002</v>
      </c>
      <c r="CW288">
        <v>0</v>
      </c>
      <c r="CX288">
        <v>5474200</v>
      </c>
      <c r="CY288">
        <v>0</v>
      </c>
      <c r="CZ288" t="b">
        <v>1</v>
      </c>
      <c r="DA288">
        <v>45393</v>
      </c>
      <c r="DB288" t="s">
        <v>126</v>
      </c>
      <c r="DC288">
        <v>-7.5998586072816288E-3</v>
      </c>
      <c r="DD288">
        <v>-723.2088850004551</v>
      </c>
      <c r="DE288" s="420" cm="1">
        <f t="array" ref="DE288">_xlfn.XLOOKUP("Дом 5"&amp;Реестр_Д5[[#This Row],[№]]&amp;Реестр_Д5[[#This Row],[Статус]],РД[Дом]&amp;РД[№ кв]&amp;РД[Состояние],РД[Дата подачи на регистрацию],"-",0)</f>
        <v>45393</v>
      </c>
    </row>
    <row r="289" spans="1:109" x14ac:dyDescent="0.25">
      <c r="A289" s="238">
        <v>288</v>
      </c>
      <c r="B289" s="238" t="s">
        <v>16</v>
      </c>
      <c r="C289" s="238">
        <v>10</v>
      </c>
      <c r="D289" s="238">
        <v>4</v>
      </c>
      <c r="E289" s="238">
        <v>2</v>
      </c>
      <c r="F289" s="238">
        <v>15.45</v>
      </c>
      <c r="G289" s="238">
        <v>10.34</v>
      </c>
      <c r="H289" s="238"/>
      <c r="I289">
        <v>25.79</v>
      </c>
      <c r="J289" s="238">
        <v>15.44</v>
      </c>
      <c r="K289" s="238">
        <v>4.59</v>
      </c>
      <c r="L289" s="238">
        <v>2.21</v>
      </c>
      <c r="M289" s="238"/>
      <c r="N289" s="238">
        <v>10.79</v>
      </c>
      <c r="O289" s="238">
        <v>2.84</v>
      </c>
      <c r="P289" s="238"/>
      <c r="R289" s="238">
        <v>2.84</v>
      </c>
      <c r="S289">
        <v>61.66</v>
      </c>
      <c r="T289">
        <v>58.82</v>
      </c>
      <c r="U289" s="238">
        <v>60.24</v>
      </c>
      <c r="V289">
        <v>60.000000000000007</v>
      </c>
      <c r="W289" s="238">
        <v>83010.532500000001</v>
      </c>
      <c r="X289">
        <v>4150.5266250000004</v>
      </c>
      <c r="Y289">
        <v>87161.059125</v>
      </c>
      <c r="Z289">
        <v>2614.8317737499997</v>
      </c>
      <c r="AA289">
        <v>89775.890898750004</v>
      </c>
      <c r="AC289">
        <v>89775.890898750004</v>
      </c>
      <c r="AE289">
        <v>89775.890898750004</v>
      </c>
      <c r="AG289">
        <v>89775.890898750004</v>
      </c>
      <c r="AI289">
        <v>89775.890898750004</v>
      </c>
      <c r="AJ289">
        <v>897.75890898750004</v>
      </c>
      <c r="AK289">
        <v>90673.6498077375</v>
      </c>
      <c r="AL289">
        <v>4533.6824903868755</v>
      </c>
      <c r="AM289">
        <v>95207.332298124369</v>
      </c>
      <c r="AO289">
        <v>95207.332298124369</v>
      </c>
      <c r="AP289">
        <v>1904.1466459624871</v>
      </c>
      <c r="AQ289">
        <v>97111.478944086863</v>
      </c>
      <c r="AS289">
        <v>97111.478944086863</v>
      </c>
      <c r="AT289">
        <v>1942.2295788817371</v>
      </c>
      <c r="AU289">
        <v>99053.708522968605</v>
      </c>
      <c r="AW289">
        <v>99053.708522968605</v>
      </c>
      <c r="AY289">
        <v>99053.708522968605</v>
      </c>
      <c r="BA289">
        <v>99053.708522968605</v>
      </c>
      <c r="BC289">
        <v>99053.708522968605</v>
      </c>
      <c r="BE289">
        <v>99053.708522968605</v>
      </c>
      <c r="BF289">
        <v>495.26854261484306</v>
      </c>
      <c r="BG289">
        <v>99548.977065583444</v>
      </c>
      <c r="BI289">
        <v>99548.977065583444</v>
      </c>
      <c r="BJ289">
        <v>3981.959082623338</v>
      </c>
      <c r="BK289">
        <v>103530.93614820678</v>
      </c>
      <c r="BL289">
        <v>6211.8561688924065</v>
      </c>
      <c r="BM289">
        <v>109742.7923170992</v>
      </c>
      <c r="BN289">
        <v>14266.563001222894</v>
      </c>
      <c r="BO289">
        <v>124009.35531832208</v>
      </c>
      <c r="BP289">
        <v>35</v>
      </c>
      <c r="BQ289">
        <v>124044.35531832208</v>
      </c>
      <c r="BS289">
        <v>124044.35531832208</v>
      </c>
      <c r="BT289" s="238">
        <v>124044.36</v>
      </c>
      <c r="BU289" s="238">
        <v>7442700</v>
      </c>
      <c r="BV289">
        <v>300000</v>
      </c>
      <c r="BX289" s="238">
        <v>300000</v>
      </c>
      <c r="BY289" s="238">
        <v>119045</v>
      </c>
      <c r="BZ289" s="238">
        <v>7142700</v>
      </c>
      <c r="CA289" s="238" t="s">
        <v>36</v>
      </c>
      <c r="CC289">
        <v>119045</v>
      </c>
      <c r="CD289" s="238">
        <v>0</v>
      </c>
      <c r="CE289" s="238">
        <v>7142700</v>
      </c>
      <c r="CG289" t="s">
        <v>8594</v>
      </c>
      <c r="CH289" s="238" t="s">
        <v>39</v>
      </c>
      <c r="CI289" s="238" t="s">
        <v>39</v>
      </c>
      <c r="CJ289" t="s">
        <v>8950</v>
      </c>
      <c r="CK289" t="s">
        <v>1167</v>
      </c>
      <c r="CL289" t="s">
        <v>8961</v>
      </c>
      <c r="CM289" t="s">
        <v>8971</v>
      </c>
      <c r="CN289" s="238" t="b">
        <v>1</v>
      </c>
      <c r="CO289" t="s">
        <v>5577</v>
      </c>
      <c r="CQ289" t="s">
        <v>6652</v>
      </c>
      <c r="CR289" t="s">
        <v>3124</v>
      </c>
      <c r="CS289" t="s">
        <v>6871</v>
      </c>
      <c r="CT289" t="b">
        <v>0</v>
      </c>
      <c r="CU289">
        <v>7442700</v>
      </c>
      <c r="CV289" t="s">
        <v>9002</v>
      </c>
      <c r="CW289">
        <v>7442700</v>
      </c>
      <c r="CX289">
        <v>7442700</v>
      </c>
      <c r="CY289">
        <v>0</v>
      </c>
      <c r="CZ289" t="b">
        <v>1</v>
      </c>
      <c r="DA289">
        <v>45874</v>
      </c>
      <c r="DB289" t="s">
        <v>8380</v>
      </c>
      <c r="DC289">
        <v>-3.9840637450198058E-3</v>
      </c>
      <c r="DD289">
        <v>-474.28286852588275</v>
      </c>
      <c r="DE289" s="420" cm="1">
        <f t="array" ref="DE289">_xlfn.XLOOKUP("Дом 5"&amp;Реестр_Д5[[#This Row],[№]]&amp;Реестр_Д5[[#This Row],[Статус]],РД[Дом]&amp;РД[№ кв]&amp;РД[Состояние],РД[Дата подачи на регистрацию],"-",0)</f>
        <v>45874</v>
      </c>
    </row>
    <row r="290" spans="1:109" hidden="1" x14ac:dyDescent="0.25">
      <c r="A290" s="238">
        <v>289</v>
      </c>
      <c r="B290" s="238" t="s">
        <v>16</v>
      </c>
      <c r="C290" s="238">
        <v>10</v>
      </c>
      <c r="D290" s="238">
        <v>5</v>
      </c>
      <c r="E290" s="238">
        <v>1</v>
      </c>
      <c r="F290" s="238">
        <v>12.54</v>
      </c>
      <c r="G290" s="238"/>
      <c r="H290" s="238"/>
      <c r="I290">
        <v>12.54</v>
      </c>
      <c r="J290" s="238">
        <v>12.74</v>
      </c>
      <c r="K290" s="238">
        <v>4.0199999999999996</v>
      </c>
      <c r="L290" s="238"/>
      <c r="M290" s="238"/>
      <c r="N290" s="238">
        <v>7.09</v>
      </c>
      <c r="O290" s="238">
        <v>2.84</v>
      </c>
      <c r="P290" s="238"/>
      <c r="R290" s="238">
        <v>2.84</v>
      </c>
      <c r="S290">
        <v>39.229999999999997</v>
      </c>
      <c r="T290">
        <v>36.39</v>
      </c>
      <c r="U290" s="238">
        <v>37.81</v>
      </c>
      <c r="V290">
        <v>37.4</v>
      </c>
      <c r="W290" s="238">
        <v>90034.875</v>
      </c>
      <c r="X290">
        <v>4501.7437500000005</v>
      </c>
      <c r="Y290">
        <v>94536.618749999994</v>
      </c>
      <c r="Z290">
        <v>2836.0985624999998</v>
      </c>
      <c r="AA290">
        <v>97372.717312499997</v>
      </c>
      <c r="AB290">
        <v>4381.7722790624994</v>
      </c>
      <c r="AC290">
        <v>101754.48959156248</v>
      </c>
      <c r="AE290">
        <v>101754.48959156248</v>
      </c>
      <c r="AF290">
        <v>5087.7244795781253</v>
      </c>
      <c r="AG290">
        <v>106842.21407114062</v>
      </c>
      <c r="AH290">
        <v>-620</v>
      </c>
      <c r="AI290">
        <v>106222.21407114062</v>
      </c>
      <c r="AJ290">
        <v>1062.2221407114062</v>
      </c>
      <c r="AK290">
        <v>107284.43621185204</v>
      </c>
      <c r="AL290">
        <v>5364.2218105926022</v>
      </c>
      <c r="AM290">
        <v>112648.65802244464</v>
      </c>
      <c r="AO290">
        <v>112648.65802244464</v>
      </c>
      <c r="AP290">
        <v>3379.4597406733392</v>
      </c>
      <c r="AQ290">
        <v>116028.11776311796</v>
      </c>
      <c r="AS290">
        <v>116028.11776311796</v>
      </c>
      <c r="AU290">
        <v>116028.11776311796</v>
      </c>
      <c r="AW290">
        <v>116028.11776311796</v>
      </c>
      <c r="AX290">
        <v>1160.2811776311798</v>
      </c>
      <c r="AY290">
        <v>117188.39894074916</v>
      </c>
      <c r="BA290">
        <v>117188.39894074916</v>
      </c>
      <c r="BC290">
        <v>117188.39894074916</v>
      </c>
      <c r="BE290">
        <v>117188.39894074916</v>
      </c>
      <c r="BG290">
        <v>117188.39894074916</v>
      </c>
      <c r="BI290">
        <v>117188.39894074916</v>
      </c>
      <c r="BK290">
        <v>117188.39894074916</v>
      </c>
      <c r="BM290">
        <v>117188.39894074916</v>
      </c>
      <c r="BO290">
        <v>117188.39894074916</v>
      </c>
      <c r="BQ290">
        <v>117188.39894074916</v>
      </c>
      <c r="BS290">
        <v>117188.39894074916</v>
      </c>
      <c r="BT290" s="238">
        <v>117188.4</v>
      </c>
      <c r="BU290" s="238">
        <v>4430900</v>
      </c>
      <c r="BX290" s="238">
        <v>0</v>
      </c>
      <c r="BY290" s="238">
        <v>117188.5744512034</v>
      </c>
      <c r="BZ290" s="238">
        <v>4430900</v>
      </c>
      <c r="CA290" s="238" t="s">
        <v>36</v>
      </c>
      <c r="CC290">
        <v>117188.5744512034</v>
      </c>
      <c r="CD290" s="238">
        <v>0</v>
      </c>
      <c r="CE290" s="238">
        <v>4430900</v>
      </c>
      <c r="CH290" s="238" t="s">
        <v>39</v>
      </c>
      <c r="CI290" s="238" t="s">
        <v>39</v>
      </c>
      <c r="CJ290" t="s">
        <v>8950</v>
      </c>
      <c r="CK290" t="s">
        <v>1167</v>
      </c>
      <c r="CL290" t="s">
        <v>8961</v>
      </c>
      <c r="CM290" t="s">
        <v>8973</v>
      </c>
      <c r="CN290" s="238" t="b">
        <v>1</v>
      </c>
      <c r="CO290" t="s">
        <v>5578</v>
      </c>
      <c r="CQ290" t="s">
        <v>6652</v>
      </c>
      <c r="CR290" t="s">
        <v>3246</v>
      </c>
      <c r="CS290" t="s">
        <v>36</v>
      </c>
      <c r="CT290" t="b">
        <v>1</v>
      </c>
      <c r="CU290">
        <v>4430900</v>
      </c>
      <c r="CV290" t="s">
        <v>9002</v>
      </c>
      <c r="CW290">
        <v>0</v>
      </c>
      <c r="CX290">
        <v>4430900</v>
      </c>
      <c r="CY290">
        <v>0</v>
      </c>
      <c r="CZ290" t="b">
        <v>1</v>
      </c>
      <c r="DA290">
        <v>45464</v>
      </c>
      <c r="DB290" t="s">
        <v>4177</v>
      </c>
      <c r="DC290">
        <v>-1.0843692144935302E-2</v>
      </c>
      <c r="DD290">
        <v>-1270.75682425268</v>
      </c>
      <c r="DE290" s="420" cm="1">
        <f t="array" ref="DE290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291" spans="1:109" hidden="1" x14ac:dyDescent="0.25">
      <c r="A291" s="238">
        <v>290</v>
      </c>
      <c r="B291" s="238" t="s">
        <v>16</v>
      </c>
      <c r="C291" s="238">
        <v>10</v>
      </c>
      <c r="D291" s="238">
        <v>6</v>
      </c>
      <c r="E291" s="238">
        <v>3</v>
      </c>
      <c r="F291" s="238">
        <v>17.2</v>
      </c>
      <c r="G291" s="238">
        <v>14.64</v>
      </c>
      <c r="H291" s="238">
        <v>14.34</v>
      </c>
      <c r="I291">
        <v>46.18</v>
      </c>
      <c r="J291" s="238">
        <v>13.15</v>
      </c>
      <c r="K291" s="238">
        <v>4.03</v>
      </c>
      <c r="L291" s="238">
        <v>1.76</v>
      </c>
      <c r="M291" s="238"/>
      <c r="N291" s="238">
        <v>13.11</v>
      </c>
      <c r="O291" s="238">
        <v>2.79</v>
      </c>
      <c r="P291" s="238">
        <v>2.68</v>
      </c>
      <c r="R291" s="238">
        <v>5.4700000000000006</v>
      </c>
      <c r="S291">
        <v>83.7</v>
      </c>
      <c r="T291">
        <v>78.23</v>
      </c>
      <c r="U291" s="238">
        <v>80.97</v>
      </c>
      <c r="V291">
        <v>80.499999999999986</v>
      </c>
      <c r="W291" s="238">
        <v>74234.160000000018</v>
      </c>
      <c r="X291">
        <v>3711.708000000001</v>
      </c>
      <c r="Y291">
        <v>77945.868000000017</v>
      </c>
      <c r="Z291">
        <v>2338.376040000001</v>
      </c>
      <c r="AA291">
        <v>80284.24404000002</v>
      </c>
      <c r="AC291">
        <v>80284.24404000002</v>
      </c>
      <c r="AE291">
        <v>80284.24404000002</v>
      </c>
      <c r="AG291">
        <v>80284.24404000002</v>
      </c>
      <c r="AI291">
        <v>80284.24404000002</v>
      </c>
      <c r="AK291">
        <v>80284.24404000002</v>
      </c>
      <c r="AM291">
        <v>80284.24404000002</v>
      </c>
      <c r="AO291">
        <v>80284.24404000002</v>
      </c>
      <c r="AQ291">
        <v>80284.24404000002</v>
      </c>
      <c r="AS291">
        <v>80284.24404000002</v>
      </c>
      <c r="AU291">
        <v>80284.24404000002</v>
      </c>
      <c r="AW291">
        <v>80284.24404000002</v>
      </c>
      <c r="AY291">
        <v>80284.24404000002</v>
      </c>
      <c r="BA291">
        <v>80284.24404000002</v>
      </c>
      <c r="BC291">
        <v>80284.24404000002</v>
      </c>
      <c r="BE291">
        <v>80284.24404000002</v>
      </c>
      <c r="BG291">
        <v>80284.24404000002</v>
      </c>
      <c r="BI291">
        <v>80284.24404000002</v>
      </c>
      <c r="BK291">
        <v>80284.24404000002</v>
      </c>
      <c r="BM291">
        <v>80284.24404000002</v>
      </c>
      <c r="BO291">
        <v>80284.24404000002</v>
      </c>
      <c r="BQ291">
        <v>80284.24404000002</v>
      </c>
      <c r="BS291">
        <v>80284.24404000002</v>
      </c>
      <c r="BT291" s="238">
        <v>80284.240000000005</v>
      </c>
      <c r="BU291" s="238">
        <v>6500700</v>
      </c>
      <c r="BV291">
        <v>10000</v>
      </c>
      <c r="BX291" s="238">
        <v>10000</v>
      </c>
      <c r="BY291" s="238">
        <v>80161.788316660473</v>
      </c>
      <c r="BZ291" s="238">
        <v>6490700</v>
      </c>
      <c r="CA291" s="238" t="s">
        <v>37</v>
      </c>
      <c r="CB291">
        <v>7500</v>
      </c>
      <c r="CC291">
        <v>87661.788316660473</v>
      </c>
      <c r="CD291" s="238">
        <v>607275</v>
      </c>
      <c r="CE291" s="238">
        <v>7097975</v>
      </c>
      <c r="CG291" t="s">
        <v>6732</v>
      </c>
      <c r="CH291" s="238" t="s">
        <v>39</v>
      </c>
      <c r="CI291" s="238" t="s">
        <v>39</v>
      </c>
      <c r="CJ291" t="s">
        <v>8950</v>
      </c>
      <c r="CK291" t="s">
        <v>1167</v>
      </c>
      <c r="CL291" t="s">
        <v>8961</v>
      </c>
      <c r="CM291" t="s">
        <v>8975</v>
      </c>
      <c r="CN291" s="238" t="b">
        <v>1</v>
      </c>
      <c r="CO291" t="s">
        <v>5579</v>
      </c>
      <c r="CQ291" t="s">
        <v>6652</v>
      </c>
      <c r="CR291" t="s">
        <v>3246</v>
      </c>
      <c r="CS291" t="s">
        <v>37</v>
      </c>
      <c r="CT291" t="b">
        <v>1</v>
      </c>
      <c r="CU291">
        <v>6500700</v>
      </c>
      <c r="CV291" t="s">
        <v>9002</v>
      </c>
      <c r="CW291">
        <v>0</v>
      </c>
      <c r="CX291">
        <v>6500700</v>
      </c>
      <c r="CY291">
        <v>0</v>
      </c>
      <c r="CZ291" t="b">
        <v>1</v>
      </c>
      <c r="DA291">
        <v>45273</v>
      </c>
      <c r="DB291" t="s">
        <v>126</v>
      </c>
      <c r="DC291">
        <v>-5.8046189946895366E-3</v>
      </c>
      <c r="DD291">
        <v>-465.30863911116921</v>
      </c>
      <c r="DE291" s="420" cm="1">
        <f t="array" ref="DE291">_xlfn.XLOOKUP("Дом 5"&amp;Реестр_Д5[[#This Row],[№]]&amp;Реестр_Д5[[#This Row],[Статус]],РД[Дом]&amp;РД[№ кв]&amp;РД[Состояние],РД[Дата подачи на регистрацию],"-",0)</f>
        <v>45273</v>
      </c>
    </row>
    <row r="292" spans="1:109" x14ac:dyDescent="0.25">
      <c r="A292" s="238">
        <v>291</v>
      </c>
      <c r="B292" s="238" t="s">
        <v>16</v>
      </c>
      <c r="C292" s="238">
        <v>10</v>
      </c>
      <c r="D292" s="238">
        <v>7</v>
      </c>
      <c r="E292" s="238">
        <v>1</v>
      </c>
      <c r="F292" s="238">
        <v>14.3</v>
      </c>
      <c r="G292" s="238"/>
      <c r="H292" s="238"/>
      <c r="I292">
        <v>14.3</v>
      </c>
      <c r="J292" s="238">
        <v>9.2799999999999994</v>
      </c>
      <c r="K292" s="238">
        <v>3.79</v>
      </c>
      <c r="L292" s="238"/>
      <c r="M292" s="238"/>
      <c r="N292" s="238">
        <v>6.08</v>
      </c>
      <c r="O292" s="238">
        <v>2.71</v>
      </c>
      <c r="P292" s="238"/>
      <c r="R292" s="238">
        <v>2.71</v>
      </c>
      <c r="S292">
        <v>36.159999999999997</v>
      </c>
      <c r="T292">
        <v>33.450000000000003</v>
      </c>
      <c r="U292" s="238">
        <v>34.81</v>
      </c>
      <c r="V292">
        <v>34.75</v>
      </c>
      <c r="W292" s="238">
        <v>85573.6875</v>
      </c>
      <c r="X292">
        <v>4278.6843749999998</v>
      </c>
      <c r="Y292">
        <v>89852.371874999997</v>
      </c>
      <c r="Z292">
        <v>2695.5711562499996</v>
      </c>
      <c r="AA292">
        <v>92547.943031250004</v>
      </c>
      <c r="AB292">
        <v>12956.712024375</v>
      </c>
      <c r="AC292">
        <v>105504.655055625</v>
      </c>
      <c r="AE292">
        <v>105504.655055625</v>
      </c>
      <c r="AF292">
        <v>5275.2327527812495</v>
      </c>
      <c r="AG292">
        <v>110779.88780840625</v>
      </c>
      <c r="AI292">
        <v>110779.88780840625</v>
      </c>
      <c r="AJ292">
        <v>1107.7988780840624</v>
      </c>
      <c r="AK292">
        <v>111887.6866864903</v>
      </c>
      <c r="AL292">
        <v>5594.3843343245153</v>
      </c>
      <c r="AM292">
        <v>117482.07102081479</v>
      </c>
      <c r="AO292">
        <v>117482.07102081479</v>
      </c>
      <c r="AP292">
        <v>3524.4621306244439</v>
      </c>
      <c r="AQ292">
        <v>121006.53315143925</v>
      </c>
      <c r="AS292">
        <v>121006.53315143925</v>
      </c>
      <c r="AU292">
        <v>121006.53315143925</v>
      </c>
      <c r="AW292">
        <v>121006.53315143925</v>
      </c>
      <c r="AY292">
        <v>121006.53315143925</v>
      </c>
      <c r="BA292">
        <v>121006.53315143925</v>
      </c>
      <c r="BC292">
        <v>121006.53315143925</v>
      </c>
      <c r="BE292">
        <v>121006.53315143925</v>
      </c>
      <c r="BF292">
        <v>605.03266575719624</v>
      </c>
      <c r="BG292">
        <v>121611.56581719645</v>
      </c>
      <c r="BI292">
        <v>121611.56581719645</v>
      </c>
      <c r="BJ292">
        <v>2432.2313163439289</v>
      </c>
      <c r="BK292">
        <v>124043.79713354036</v>
      </c>
      <c r="BL292">
        <v>6202.1898566770187</v>
      </c>
      <c r="BM292">
        <v>130245.9869902174</v>
      </c>
      <c r="BN292">
        <v>16931.978308728263</v>
      </c>
      <c r="BO292">
        <v>147177.96529894567</v>
      </c>
      <c r="BP292">
        <v>35</v>
      </c>
      <c r="BQ292">
        <v>147212.96529894567</v>
      </c>
      <c r="BS292">
        <v>147212.96529894567</v>
      </c>
      <c r="BT292" s="238">
        <v>147212.97</v>
      </c>
      <c r="BU292" s="238">
        <v>5115700</v>
      </c>
      <c r="BX292" s="238">
        <v>0</v>
      </c>
      <c r="BY292" s="238">
        <v>147214.38848920862</v>
      </c>
      <c r="BZ292" s="238">
        <v>5115700</v>
      </c>
      <c r="CA292" s="238" t="s">
        <v>36</v>
      </c>
      <c r="CC292">
        <v>147214.38848920862</v>
      </c>
      <c r="CD292" s="238">
        <v>0</v>
      </c>
      <c r="CE292" s="238">
        <v>5115700</v>
      </c>
      <c r="CF292" t="s">
        <v>4633</v>
      </c>
      <c r="CH292" s="238" t="s">
        <v>3</v>
      </c>
      <c r="CI292" s="238" t="s">
        <v>3</v>
      </c>
      <c r="CJ292" t="s">
        <v>8951</v>
      </c>
      <c r="CK292" t="s">
        <v>1167</v>
      </c>
      <c r="CL292" t="s">
        <v>8961</v>
      </c>
      <c r="CM292" t="s">
        <v>8973</v>
      </c>
      <c r="CN292" s="238" t="b">
        <v>1</v>
      </c>
      <c r="CO292" t="s">
        <v>5580</v>
      </c>
      <c r="CQ292" t="s">
        <v>6652</v>
      </c>
      <c r="CR292" t="s">
        <v>3124</v>
      </c>
      <c r="CS292" t="s">
        <v>6871</v>
      </c>
      <c r="CT292" t="b">
        <v>0</v>
      </c>
      <c r="CU292">
        <v>5115700</v>
      </c>
      <c r="CV292">
        <v>5115700</v>
      </c>
      <c r="CW292">
        <v>0</v>
      </c>
      <c r="CX292">
        <v>0</v>
      </c>
      <c r="CY292">
        <v>0</v>
      </c>
      <c r="CZ292" t="b">
        <v>1</v>
      </c>
      <c r="DA292" t="s">
        <v>4246</v>
      </c>
      <c r="DB292" t="s">
        <v>1167</v>
      </c>
      <c r="DC292">
        <v>-1.7236426314277686E-3</v>
      </c>
      <c r="DD292">
        <v>-253.74499595956937</v>
      </c>
      <c r="DE292" s="420" t="str" cm="1">
        <f t="array" ref="DE29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93" spans="1:109" x14ac:dyDescent="0.25">
      <c r="A293" s="238">
        <v>292</v>
      </c>
      <c r="B293" s="238" t="s">
        <v>16</v>
      </c>
      <c r="C293" s="238">
        <v>11</v>
      </c>
      <c r="D293" s="238">
        <v>1</v>
      </c>
      <c r="E293" s="238">
        <v>2</v>
      </c>
      <c r="F293" s="238">
        <v>17.63</v>
      </c>
      <c r="G293" s="238">
        <v>13.69</v>
      </c>
      <c r="H293" s="238"/>
      <c r="I293">
        <v>31.32</v>
      </c>
      <c r="J293" s="238">
        <v>20.05</v>
      </c>
      <c r="K293" s="238">
        <v>3.54</v>
      </c>
      <c r="L293" s="238">
        <v>2.93</v>
      </c>
      <c r="M293" s="238"/>
      <c r="N293" s="238">
        <v>12.19</v>
      </c>
      <c r="O293" s="238">
        <v>4.6500000000000004</v>
      </c>
      <c r="P293" s="238">
        <v>2.68</v>
      </c>
      <c r="R293" s="238">
        <v>7.33</v>
      </c>
      <c r="S293">
        <v>77.36</v>
      </c>
      <c r="T293">
        <v>70.03</v>
      </c>
      <c r="U293" s="238">
        <v>73.7</v>
      </c>
      <c r="V293">
        <v>73.55</v>
      </c>
      <c r="W293" s="238">
        <v>78763.482000000004</v>
      </c>
      <c r="X293">
        <v>3938.1741000000002</v>
      </c>
      <c r="Y293">
        <v>82701.656099999993</v>
      </c>
      <c r="Z293">
        <v>2481.0496830000002</v>
      </c>
      <c r="AA293">
        <v>85182.705783000012</v>
      </c>
      <c r="AC293">
        <v>85182.705783000012</v>
      </c>
      <c r="AE293">
        <v>85182.705783000012</v>
      </c>
      <c r="AG293">
        <v>85182.705783000012</v>
      </c>
      <c r="AI293">
        <v>85182.705783000012</v>
      </c>
      <c r="AJ293">
        <v>851.82705783000017</v>
      </c>
      <c r="AK293">
        <v>86034.532840830012</v>
      </c>
      <c r="AL293">
        <v>4301.7266420415008</v>
      </c>
      <c r="AM293">
        <v>90336.259482871508</v>
      </c>
      <c r="AO293">
        <v>90336.259482871508</v>
      </c>
      <c r="AP293">
        <v>1806.7251896574303</v>
      </c>
      <c r="AQ293">
        <v>92142.984672528939</v>
      </c>
      <c r="AS293">
        <v>92142.984672528939</v>
      </c>
      <c r="AT293">
        <v>1842.8596934505788</v>
      </c>
      <c r="AU293">
        <v>93985.844365979516</v>
      </c>
      <c r="AW293">
        <v>93985.844365979516</v>
      </c>
      <c r="AY293">
        <v>93985.844365979516</v>
      </c>
      <c r="BA293">
        <v>93985.844365979516</v>
      </c>
      <c r="BC293">
        <v>93985.844365979516</v>
      </c>
      <c r="BE293">
        <v>93985.844365979516</v>
      </c>
      <c r="BF293">
        <v>469.92922182989759</v>
      </c>
      <c r="BG293">
        <v>94455.773587809395</v>
      </c>
      <c r="BI293">
        <v>94455.773587809395</v>
      </c>
      <c r="BK293">
        <v>94455.773587809395</v>
      </c>
      <c r="BL293">
        <v>7556.4618870247532</v>
      </c>
      <c r="BM293">
        <v>102012.23547483416</v>
      </c>
      <c r="BN293">
        <v>13261.590611728439</v>
      </c>
      <c r="BO293">
        <v>115273.82608656261</v>
      </c>
      <c r="BP293">
        <v>35</v>
      </c>
      <c r="BQ293">
        <v>115308.82608656261</v>
      </c>
      <c r="BS293">
        <v>115308.82608656261</v>
      </c>
      <c r="BT293" s="238">
        <v>115308.83</v>
      </c>
      <c r="BU293" s="238">
        <v>8481000</v>
      </c>
      <c r="BX293" s="238">
        <v>0</v>
      </c>
      <c r="BY293" s="238">
        <v>115309.31339225016</v>
      </c>
      <c r="BZ293" s="238">
        <v>8481000</v>
      </c>
      <c r="CA293" s="238" t="s">
        <v>36</v>
      </c>
      <c r="CC293">
        <v>115309.31339225016</v>
      </c>
      <c r="CD293" s="238">
        <v>0</v>
      </c>
      <c r="CE293" s="238">
        <v>8481000</v>
      </c>
      <c r="CF293" t="s">
        <v>4635</v>
      </c>
      <c r="CH293" s="238" t="s">
        <v>3</v>
      </c>
      <c r="CI293" s="238" t="s">
        <v>3</v>
      </c>
      <c r="CJ293" t="s">
        <v>8951</v>
      </c>
      <c r="CK293" t="s">
        <v>1167</v>
      </c>
      <c r="CL293" t="s">
        <v>8961</v>
      </c>
      <c r="CM293" t="s">
        <v>8971</v>
      </c>
      <c r="CN293" s="238" t="b">
        <v>1</v>
      </c>
      <c r="CO293" t="s">
        <v>5581</v>
      </c>
      <c r="CQ293" t="s">
        <v>6652</v>
      </c>
      <c r="CR293" t="s">
        <v>3124</v>
      </c>
      <c r="CS293" t="s">
        <v>36</v>
      </c>
      <c r="CT293" t="b">
        <v>1</v>
      </c>
      <c r="CU293">
        <v>8481000</v>
      </c>
      <c r="CV293">
        <v>8481000</v>
      </c>
      <c r="CW293">
        <v>0</v>
      </c>
      <c r="CX293">
        <v>0</v>
      </c>
      <c r="CY293">
        <v>0</v>
      </c>
      <c r="CZ293" t="b">
        <v>1</v>
      </c>
      <c r="DA293" t="s">
        <v>4246</v>
      </c>
      <c r="DB293" t="s">
        <v>1167</v>
      </c>
      <c r="DC293">
        <v>-2.035278154681186E-3</v>
      </c>
      <c r="DD293">
        <v>-234.68652657853349</v>
      </c>
      <c r="DE293" s="420" t="str" cm="1">
        <f t="array" ref="DE29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94" spans="1:109" x14ac:dyDescent="0.25">
      <c r="A294" s="238">
        <v>293</v>
      </c>
      <c r="B294" s="238" t="s">
        <v>16</v>
      </c>
      <c r="C294" s="238">
        <v>11</v>
      </c>
      <c r="D294" s="238">
        <v>2</v>
      </c>
      <c r="E294" s="238">
        <v>0</v>
      </c>
      <c r="F294" s="238">
        <v>7.18</v>
      </c>
      <c r="G294" s="238"/>
      <c r="H294" s="238"/>
      <c r="I294">
        <v>7.18</v>
      </c>
      <c r="J294" s="238">
        <v>5.17</v>
      </c>
      <c r="K294" s="238">
        <v>3.72</v>
      </c>
      <c r="L294" s="238"/>
      <c r="M294" s="238"/>
      <c r="N294" s="238">
        <v>6.97</v>
      </c>
      <c r="O294" s="238">
        <v>2.97</v>
      </c>
      <c r="P294" s="238"/>
      <c r="R294" s="238">
        <v>2.97</v>
      </c>
      <c r="S294">
        <v>26.01</v>
      </c>
      <c r="T294">
        <v>23.04</v>
      </c>
      <c r="U294" s="238">
        <v>24.53</v>
      </c>
      <c r="V294">
        <v>24.249999999999996</v>
      </c>
      <c r="W294" s="238">
        <v>91981.574999999997</v>
      </c>
      <c r="X294">
        <v>4599.0787499999997</v>
      </c>
      <c r="Y294">
        <v>96580.653749999998</v>
      </c>
      <c r="Z294">
        <v>2897.4196124999999</v>
      </c>
      <c r="AA294">
        <v>99478.073362499999</v>
      </c>
      <c r="AB294">
        <v>12932.149537125</v>
      </c>
      <c r="AC294">
        <v>112410.22289962501</v>
      </c>
      <c r="AD294">
        <v>3372.3066869887502</v>
      </c>
      <c r="AE294">
        <v>115782.52958661376</v>
      </c>
      <c r="AG294">
        <v>115782.52958661376</v>
      </c>
      <c r="AI294">
        <v>115782.52958661376</v>
      </c>
      <c r="AJ294">
        <v>1157.8252958661376</v>
      </c>
      <c r="AK294">
        <v>116940.35488247988</v>
      </c>
      <c r="AL294">
        <v>5847.0177441239948</v>
      </c>
      <c r="AM294">
        <v>122787.37262660389</v>
      </c>
      <c r="AO294">
        <v>122787.37262660389</v>
      </c>
      <c r="AP294">
        <v>3683.6211787981169</v>
      </c>
      <c r="AQ294">
        <v>126470.993805402</v>
      </c>
      <c r="AS294">
        <v>126470.993805402</v>
      </c>
      <c r="AU294">
        <v>126470.993805402</v>
      </c>
      <c r="AW294">
        <v>126470.993805402</v>
      </c>
      <c r="AX294">
        <v>1264.7099380540201</v>
      </c>
      <c r="AY294">
        <v>127735.70374345602</v>
      </c>
      <c r="BA294">
        <v>127735.70374345602</v>
      </c>
      <c r="BB294">
        <v>638.6785187172801</v>
      </c>
      <c r="BC294">
        <v>128374.3822621733</v>
      </c>
      <c r="BE294">
        <v>128374.3822621733</v>
      </c>
      <c r="BF294">
        <v>1925.6157339325991</v>
      </c>
      <c r="BG294">
        <v>130299.9979961059</v>
      </c>
      <c r="BI294">
        <v>130299.9979961059</v>
      </c>
      <c r="BK294">
        <v>130299.9979961059</v>
      </c>
      <c r="BL294">
        <v>5211.9999198442365</v>
      </c>
      <c r="BM294">
        <v>135511.99791595014</v>
      </c>
      <c r="BN294">
        <v>17616.559729073517</v>
      </c>
      <c r="BO294">
        <v>153128.55764502363</v>
      </c>
      <c r="BP294">
        <v>35</v>
      </c>
      <c r="BQ294">
        <v>153163.55764502363</v>
      </c>
      <c r="BS294">
        <v>153163.55764502363</v>
      </c>
      <c r="BT294" s="238">
        <v>153163.56</v>
      </c>
      <c r="BU294" s="238">
        <v>3714300</v>
      </c>
      <c r="BX294" s="238">
        <v>0</v>
      </c>
      <c r="BY294" s="238">
        <v>153167.01030927838</v>
      </c>
      <c r="BZ294" s="238">
        <v>3714300</v>
      </c>
      <c r="CA294" s="238" t="s">
        <v>36</v>
      </c>
      <c r="CC294">
        <v>153167.01030927838</v>
      </c>
      <c r="CD294" s="238">
        <v>0</v>
      </c>
      <c r="CE294" s="238">
        <v>3714300.0000000009</v>
      </c>
      <c r="CG294" t="s">
        <v>8932</v>
      </c>
      <c r="CH294" s="238" t="s">
        <v>35</v>
      </c>
      <c r="CI294" s="238" t="s">
        <v>35</v>
      </c>
      <c r="CJ294" t="s">
        <v>8953</v>
      </c>
      <c r="CK294" t="s">
        <v>8954</v>
      </c>
      <c r="CL294" t="s">
        <v>8961</v>
      </c>
      <c r="CM294" t="s">
        <v>8970</v>
      </c>
      <c r="CN294" s="238" t="b">
        <v>1</v>
      </c>
      <c r="CO294" t="s">
        <v>5582</v>
      </c>
      <c r="CQ294" t="s">
        <v>6652</v>
      </c>
      <c r="CR294" t="s">
        <v>3124</v>
      </c>
      <c r="CS294" t="s">
        <v>36</v>
      </c>
      <c r="CT294" t="b">
        <v>1</v>
      </c>
      <c r="CU294">
        <v>3714300</v>
      </c>
      <c r="CV294">
        <v>3714300</v>
      </c>
      <c r="CW294">
        <v>0</v>
      </c>
      <c r="CX294">
        <v>0</v>
      </c>
      <c r="CY294">
        <v>0</v>
      </c>
      <c r="CZ294" t="b">
        <v>1</v>
      </c>
      <c r="DA294" t="s">
        <v>4246</v>
      </c>
      <c r="DB294" t="s">
        <v>1167</v>
      </c>
      <c r="DC294">
        <v>-1.1414594374235865E-2</v>
      </c>
      <c r="DD294">
        <v>-1748.3392941948157</v>
      </c>
      <c r="DE294" s="420" t="str" cm="1">
        <f t="array" ref="DE29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295" spans="1:109" hidden="1" x14ac:dyDescent="0.25">
      <c r="A295" s="238">
        <v>294</v>
      </c>
      <c r="B295" s="238" t="s">
        <v>16</v>
      </c>
      <c r="C295" s="238">
        <v>11</v>
      </c>
      <c r="D295" s="238">
        <v>3</v>
      </c>
      <c r="E295" s="238">
        <v>2</v>
      </c>
      <c r="F295" s="238">
        <v>13.69</v>
      </c>
      <c r="G295" s="238">
        <v>10.16</v>
      </c>
      <c r="H295" s="238"/>
      <c r="I295">
        <v>23.85</v>
      </c>
      <c r="J295" s="238">
        <v>18.71</v>
      </c>
      <c r="K295" s="238">
        <v>3.49</v>
      </c>
      <c r="L295" s="238">
        <v>2.11</v>
      </c>
      <c r="M295" s="238"/>
      <c r="N295" s="238">
        <v>7.09</v>
      </c>
      <c r="O295" s="238">
        <v>2.65</v>
      </c>
      <c r="P295" s="238"/>
      <c r="R295" s="238">
        <v>2.65</v>
      </c>
      <c r="S295">
        <v>57.9</v>
      </c>
      <c r="T295">
        <v>55.25</v>
      </c>
      <c r="U295" s="238">
        <v>56.58</v>
      </c>
      <c r="V295">
        <v>56.250000000000007</v>
      </c>
      <c r="W295" s="238">
        <v>80307.864000000001</v>
      </c>
      <c r="X295">
        <v>4015.3932</v>
      </c>
      <c r="Y295">
        <v>84323.257199999993</v>
      </c>
      <c r="Z295">
        <v>2529.6977160000001</v>
      </c>
      <c r="AA295">
        <v>86852.954916000002</v>
      </c>
      <c r="AC295">
        <v>86852.954916000002</v>
      </c>
      <c r="AE295">
        <v>86852.954916000002</v>
      </c>
      <c r="AG295">
        <v>86852.954916000002</v>
      </c>
      <c r="AI295">
        <v>86852.954916000002</v>
      </c>
      <c r="AK295">
        <v>86852.954916000002</v>
      </c>
      <c r="AM295">
        <v>86852.954916000002</v>
      </c>
      <c r="AO295">
        <v>86852.954916000002</v>
      </c>
      <c r="AQ295">
        <v>86852.954916000002</v>
      </c>
      <c r="AS295">
        <v>86852.954916000002</v>
      </c>
      <c r="AU295">
        <v>86852.954916000002</v>
      </c>
      <c r="AW295">
        <v>86852.954916000002</v>
      </c>
      <c r="AY295">
        <v>86852.954916000002</v>
      </c>
      <c r="BA295">
        <v>86852.954916000002</v>
      </c>
      <c r="BC295">
        <v>86852.954916000002</v>
      </c>
      <c r="BE295">
        <v>86852.954916000002</v>
      </c>
      <c r="BG295">
        <v>86852.954916000002</v>
      </c>
      <c r="BI295">
        <v>86852.954916000002</v>
      </c>
      <c r="BK295">
        <v>86852.954916000002</v>
      </c>
      <c r="BM295">
        <v>86852.954916000002</v>
      </c>
      <c r="BO295">
        <v>86852.954916000002</v>
      </c>
      <c r="BQ295">
        <v>86852.954916000002</v>
      </c>
      <c r="BS295">
        <v>86852.954916000002</v>
      </c>
      <c r="BT295" s="238">
        <v>86852.95</v>
      </c>
      <c r="BU295" s="238">
        <v>4914200</v>
      </c>
      <c r="BW295">
        <v>0.02</v>
      </c>
      <c r="BX295" s="238">
        <v>98284</v>
      </c>
      <c r="BY295" s="238">
        <v>85116.93177801343</v>
      </c>
      <c r="BZ295" s="238">
        <v>4815916</v>
      </c>
      <c r="CA295" s="238" t="s">
        <v>37</v>
      </c>
      <c r="CB295">
        <v>7500</v>
      </c>
      <c r="CC295">
        <v>92616.931778013444</v>
      </c>
      <c r="CD295" s="238">
        <v>424350</v>
      </c>
      <c r="CE295" s="238">
        <v>5240266</v>
      </c>
      <c r="CF295" t="s">
        <v>4633</v>
      </c>
      <c r="CG295" t="s">
        <v>3540</v>
      </c>
      <c r="CH295" s="238" t="s">
        <v>39</v>
      </c>
      <c r="CI295" s="238" t="s">
        <v>39</v>
      </c>
      <c r="CJ295" t="s">
        <v>8950</v>
      </c>
      <c r="CK295" t="s">
        <v>1167</v>
      </c>
      <c r="CL295" t="s">
        <v>8961</v>
      </c>
      <c r="CM295" t="s">
        <v>8971</v>
      </c>
      <c r="CN295" s="238" t="b">
        <v>1</v>
      </c>
      <c r="CO295" t="s">
        <v>5583</v>
      </c>
      <c r="CQ295" t="s">
        <v>6728</v>
      </c>
      <c r="CR295" t="s">
        <v>3246</v>
      </c>
      <c r="CS295" t="s">
        <v>37</v>
      </c>
      <c r="CT295" t="b">
        <v>1</v>
      </c>
      <c r="CU295">
        <v>4914200</v>
      </c>
      <c r="CV295" t="s">
        <v>9002</v>
      </c>
      <c r="CW295">
        <v>0</v>
      </c>
      <c r="CX295">
        <v>4914200</v>
      </c>
      <c r="CY295">
        <v>0</v>
      </c>
      <c r="CZ295" t="b">
        <v>1</v>
      </c>
      <c r="DA295">
        <v>45273</v>
      </c>
      <c r="DB295" t="s">
        <v>5215</v>
      </c>
      <c r="DC295">
        <v>-5.8324496288439942E-3</v>
      </c>
      <c r="DD295">
        <v>-496.44021715701399</v>
      </c>
      <c r="DE295" s="420" cm="1">
        <f t="array" ref="DE295">_xlfn.XLOOKUP("Дом 5"&amp;Реестр_Д5[[#This Row],[№]]&amp;Реестр_Д5[[#This Row],[Статус]],РД[Дом]&amp;РД[№ кв]&amp;РД[Состояние],РД[Дата подачи на регистрацию],"-",0)</f>
        <v>45273</v>
      </c>
    </row>
    <row r="296" spans="1:109" hidden="1" x14ac:dyDescent="0.25">
      <c r="A296" s="238">
        <v>295</v>
      </c>
      <c r="B296" s="238" t="s">
        <v>16</v>
      </c>
      <c r="C296" s="238">
        <v>11</v>
      </c>
      <c r="D296" s="238">
        <v>4</v>
      </c>
      <c r="E296" s="238">
        <v>2</v>
      </c>
      <c r="F296" s="238">
        <v>15.45</v>
      </c>
      <c r="G296" s="238">
        <v>10.34</v>
      </c>
      <c r="H296" s="238"/>
      <c r="I296">
        <v>25.79</v>
      </c>
      <c r="J296" s="238">
        <v>15.44</v>
      </c>
      <c r="K296" s="238">
        <v>4.59</v>
      </c>
      <c r="L296" s="238">
        <v>2.21</v>
      </c>
      <c r="M296" s="238"/>
      <c r="N296" s="238">
        <v>10.79</v>
      </c>
      <c r="O296" s="238">
        <v>2.84</v>
      </c>
      <c r="P296" s="238"/>
      <c r="R296" s="238">
        <v>2.84</v>
      </c>
      <c r="S296">
        <v>61.66</v>
      </c>
      <c r="T296">
        <v>58.82</v>
      </c>
      <c r="U296" s="238">
        <v>60.24</v>
      </c>
      <c r="V296">
        <v>60.1</v>
      </c>
      <c r="W296" s="238">
        <v>82238.34150000001</v>
      </c>
      <c r="X296">
        <v>4111.9170750000003</v>
      </c>
      <c r="Y296">
        <v>86350.258575000014</v>
      </c>
      <c r="Z296">
        <v>2590.5077572500004</v>
      </c>
      <c r="AA296">
        <v>88940.766332250016</v>
      </c>
      <c r="AC296">
        <v>88940.766332250016</v>
      </c>
      <c r="AE296">
        <v>88940.766332250016</v>
      </c>
      <c r="AG296">
        <v>88940.766332250016</v>
      </c>
      <c r="AI296">
        <v>88940.766332250016</v>
      </c>
      <c r="AK296">
        <v>88940.766332250016</v>
      </c>
      <c r="AM296">
        <v>88940.766332250016</v>
      </c>
      <c r="AO296">
        <v>88940.766332250016</v>
      </c>
      <c r="AQ296">
        <v>88940.766332250016</v>
      </c>
      <c r="AS296">
        <v>88940.766332250016</v>
      </c>
      <c r="AU296">
        <v>88940.766332250016</v>
      </c>
      <c r="AW296">
        <v>88940.766332250016</v>
      </c>
      <c r="AY296">
        <v>88940.766332250016</v>
      </c>
      <c r="BA296">
        <v>88940.766332250016</v>
      </c>
      <c r="BC296">
        <v>88940.766332250016</v>
      </c>
      <c r="BE296">
        <v>88940.766332250016</v>
      </c>
      <c r="BG296">
        <v>88940.766332250016</v>
      </c>
      <c r="BI296">
        <v>88940.766332250016</v>
      </c>
      <c r="BK296">
        <v>88940.766332250016</v>
      </c>
      <c r="BM296">
        <v>88940.766332250016</v>
      </c>
      <c r="BO296">
        <v>88940.766332250016</v>
      </c>
      <c r="BQ296">
        <v>88940.766332250016</v>
      </c>
      <c r="BS296">
        <v>88940.766332250016</v>
      </c>
      <c r="BT296" s="238">
        <v>88940.77</v>
      </c>
      <c r="BU296" s="238">
        <v>5357791.9800000004</v>
      </c>
      <c r="BW296">
        <v>0.05</v>
      </c>
      <c r="BX296" s="238">
        <v>267889.59900000005</v>
      </c>
      <c r="BY296" s="238">
        <v>84493.731407702522</v>
      </c>
      <c r="BZ296" s="238">
        <v>5089902.38</v>
      </c>
      <c r="CA296" s="238" t="s">
        <v>36</v>
      </c>
      <c r="CC296">
        <v>84493.731407702522</v>
      </c>
      <c r="CD296" s="238">
        <v>0</v>
      </c>
      <c r="CE296" s="238">
        <v>5089902.38</v>
      </c>
      <c r="CG296" t="s">
        <v>978</v>
      </c>
      <c r="CH296" s="238" t="s">
        <v>39</v>
      </c>
      <c r="CI296" s="238" t="s">
        <v>39</v>
      </c>
      <c r="CJ296" t="s">
        <v>8950</v>
      </c>
      <c r="CK296" t="s">
        <v>1167</v>
      </c>
      <c r="CL296" t="s">
        <v>8961</v>
      </c>
      <c r="CM296" t="s">
        <v>8971</v>
      </c>
      <c r="CN296" s="238" t="b">
        <v>1</v>
      </c>
      <c r="CO296" t="s">
        <v>5584</v>
      </c>
      <c r="CQ296" t="s">
        <v>4895</v>
      </c>
      <c r="CR296" t="s">
        <v>3246</v>
      </c>
      <c r="CS296" t="s">
        <v>36</v>
      </c>
      <c r="CT296" t="b">
        <v>1</v>
      </c>
      <c r="CU296">
        <v>5357791.9800000004</v>
      </c>
      <c r="CV296" t="s">
        <v>9002</v>
      </c>
      <c r="CW296">
        <v>0</v>
      </c>
      <c r="CX296">
        <v>5357792</v>
      </c>
      <c r="CY296">
        <v>0</v>
      </c>
      <c r="CZ296" t="b">
        <v>1</v>
      </c>
      <c r="DA296">
        <v>45246</v>
      </c>
      <c r="DB296" t="s">
        <v>126</v>
      </c>
      <c r="DC296">
        <v>-2.3240371845949515E-3</v>
      </c>
      <c r="DD296">
        <v>-196.36657365667895</v>
      </c>
      <c r="DE296" s="420" cm="1">
        <f t="array" ref="DE296">_xlfn.XLOOKUP("Дом 5"&amp;Реестр_Д5[[#This Row],[№]]&amp;Реестр_Д5[[#This Row],[Статус]],РД[Дом]&amp;РД[№ кв]&amp;РД[Состояние],РД[Дата подачи на регистрацию],"-",0)</f>
        <v>45246</v>
      </c>
    </row>
    <row r="297" spans="1:109" hidden="1" x14ac:dyDescent="0.25">
      <c r="A297" s="238">
        <v>296</v>
      </c>
      <c r="B297" s="238" t="s">
        <v>16</v>
      </c>
      <c r="C297" s="238">
        <v>11</v>
      </c>
      <c r="D297" s="238">
        <v>5</v>
      </c>
      <c r="E297" s="238">
        <v>1</v>
      </c>
      <c r="F297" s="238">
        <v>12.54</v>
      </c>
      <c r="G297" s="238"/>
      <c r="H297" s="238"/>
      <c r="I297">
        <v>12.54</v>
      </c>
      <c r="J297" s="238">
        <v>12.74</v>
      </c>
      <c r="K297" s="238">
        <v>4.0199999999999996</v>
      </c>
      <c r="L297" s="238"/>
      <c r="M297" s="238"/>
      <c r="N297" s="238">
        <v>7.09</v>
      </c>
      <c r="O297" s="238">
        <v>2.84</v>
      </c>
      <c r="P297" s="238"/>
      <c r="R297" s="238">
        <v>2.84</v>
      </c>
      <c r="S297">
        <v>39.229999999999997</v>
      </c>
      <c r="T297">
        <v>36.39</v>
      </c>
      <c r="U297" s="238">
        <v>37.81</v>
      </c>
      <c r="V297">
        <v>37.549999999999997</v>
      </c>
      <c r="W297" s="238">
        <v>89223.75</v>
      </c>
      <c r="X297">
        <v>4461.1875</v>
      </c>
      <c r="Y297">
        <v>93684.9375</v>
      </c>
      <c r="Z297">
        <v>2810.5481249999998</v>
      </c>
      <c r="AA297">
        <v>96495.485625000001</v>
      </c>
      <c r="AB297">
        <v>4342.2968531249999</v>
      </c>
      <c r="AC297">
        <v>100837.78247812499</v>
      </c>
      <c r="AE297">
        <v>100837.78247812499</v>
      </c>
      <c r="AF297">
        <v>5041.8891239062505</v>
      </c>
      <c r="AG297">
        <v>105879.67160203125</v>
      </c>
      <c r="AH297">
        <v>-620</v>
      </c>
      <c r="AI297">
        <v>105259.67160203125</v>
      </c>
      <c r="AJ297">
        <v>1052.5967160203124</v>
      </c>
      <c r="AK297">
        <v>106312.26831805156</v>
      </c>
      <c r="AL297">
        <v>5315.6134159025787</v>
      </c>
      <c r="AM297">
        <v>111627.88173395414</v>
      </c>
      <c r="AO297">
        <v>111627.88173395414</v>
      </c>
      <c r="AP297">
        <v>3348.8364520186242</v>
      </c>
      <c r="AQ297">
        <v>114976.71818597276</v>
      </c>
      <c r="AS297">
        <v>114976.71818597276</v>
      </c>
      <c r="AU297">
        <v>114976.71818597276</v>
      </c>
      <c r="AW297">
        <v>114976.71818597276</v>
      </c>
      <c r="AX297">
        <v>1149.7671818597278</v>
      </c>
      <c r="AY297">
        <v>116126.4853678325</v>
      </c>
      <c r="BA297">
        <v>116126.4853678325</v>
      </c>
      <c r="BC297">
        <v>116126.4853678325</v>
      </c>
      <c r="BE297">
        <v>116126.4853678325</v>
      </c>
      <c r="BF297">
        <v>580.63242683916258</v>
      </c>
      <c r="BG297">
        <v>116707.11779467166</v>
      </c>
      <c r="BI297">
        <v>116707.11779467166</v>
      </c>
      <c r="BK297">
        <v>116707.11779467166</v>
      </c>
      <c r="BL297">
        <v>5835.3558897335834</v>
      </c>
      <c r="BM297">
        <v>122542.47368440524</v>
      </c>
      <c r="BN297">
        <v>15930.521578972684</v>
      </c>
      <c r="BO297">
        <v>138472.99526337793</v>
      </c>
      <c r="BP297">
        <v>35</v>
      </c>
      <c r="BQ297">
        <v>138507.99526337793</v>
      </c>
      <c r="BS297">
        <v>138507.99526337793</v>
      </c>
      <c r="BT297" s="238">
        <v>138508</v>
      </c>
      <c r="BU297" s="238">
        <v>5237000</v>
      </c>
      <c r="BV297">
        <v>100000</v>
      </c>
      <c r="BX297" s="238">
        <v>100000</v>
      </c>
      <c r="BY297" s="238">
        <v>135863.52816715153</v>
      </c>
      <c r="BZ297" s="238">
        <v>5137000</v>
      </c>
      <c r="CA297" s="238" t="s">
        <v>6871</v>
      </c>
      <c r="CB297">
        <v>10000</v>
      </c>
      <c r="CC297">
        <v>145863.52816715153</v>
      </c>
      <c r="CD297" s="238">
        <v>378099.99999999907</v>
      </c>
      <c r="CE297" s="238">
        <v>5515099.9999999991</v>
      </c>
      <c r="CG297" t="s">
        <v>321</v>
      </c>
      <c r="CH297" s="238" t="s">
        <v>39</v>
      </c>
      <c r="CI297" s="238" t="s">
        <v>39</v>
      </c>
      <c r="CJ297" t="s">
        <v>8950</v>
      </c>
      <c r="CK297" t="s">
        <v>1167</v>
      </c>
      <c r="CL297" t="s">
        <v>8961</v>
      </c>
      <c r="CM297" t="s">
        <v>8973</v>
      </c>
      <c r="CN297" s="238" t="b">
        <v>1</v>
      </c>
      <c r="CO297" t="s">
        <v>5585</v>
      </c>
      <c r="CQ297" t="s">
        <v>6652</v>
      </c>
      <c r="CR297" t="s">
        <v>3246</v>
      </c>
      <c r="CS297" t="s">
        <v>6871</v>
      </c>
      <c r="CT297" t="b">
        <v>1</v>
      </c>
      <c r="CU297">
        <v>5237000</v>
      </c>
      <c r="CV297" t="s">
        <v>9002</v>
      </c>
      <c r="CW297">
        <v>0</v>
      </c>
      <c r="CX297">
        <v>5237000</v>
      </c>
      <c r="CY297">
        <v>0</v>
      </c>
      <c r="CZ297" t="b">
        <v>1</v>
      </c>
      <c r="DA297">
        <v>45679</v>
      </c>
      <c r="DB297" t="s">
        <v>8380</v>
      </c>
      <c r="DC297">
        <v>-6.8764877016661563E-3</v>
      </c>
      <c r="DD297">
        <v>-934.26388054639085</v>
      </c>
      <c r="DE297" s="420" cm="1">
        <f t="array" ref="DE297">_xlfn.XLOOKUP("Дом 5"&amp;Реестр_Д5[[#This Row],[№]]&amp;Реестр_Д5[[#This Row],[Статус]],РД[Дом]&amp;РД[№ кв]&amp;РД[Состояние],РД[Дата подачи на регистрацию],"-",0)</f>
        <v>45679</v>
      </c>
    </row>
    <row r="298" spans="1:109" hidden="1" x14ac:dyDescent="0.25">
      <c r="A298" s="238">
        <v>297</v>
      </c>
      <c r="B298" s="238" t="s">
        <v>16</v>
      </c>
      <c r="C298" s="238">
        <v>11</v>
      </c>
      <c r="D298" s="238">
        <v>6</v>
      </c>
      <c r="E298" s="238">
        <v>3</v>
      </c>
      <c r="F298" s="238">
        <v>17.2</v>
      </c>
      <c r="G298" s="238">
        <v>14.64</v>
      </c>
      <c r="H298" s="238">
        <v>14.34</v>
      </c>
      <c r="I298">
        <v>46.18</v>
      </c>
      <c r="J298" s="238">
        <v>13.15</v>
      </c>
      <c r="K298" s="238">
        <v>4.03</v>
      </c>
      <c r="L298" s="238">
        <v>1.76</v>
      </c>
      <c r="M298" s="238"/>
      <c r="N298" s="238">
        <v>13.11</v>
      </c>
      <c r="O298" s="238">
        <v>2.79</v>
      </c>
      <c r="P298" s="238">
        <v>2.68</v>
      </c>
      <c r="R298" s="238">
        <v>5.4700000000000006</v>
      </c>
      <c r="S298">
        <v>83.7</v>
      </c>
      <c r="T298">
        <v>78.23</v>
      </c>
      <c r="U298" s="238">
        <v>80.97</v>
      </c>
      <c r="V298">
        <v>80.2</v>
      </c>
      <c r="W298" s="238">
        <v>73520.37000000001</v>
      </c>
      <c r="X298">
        <v>3676.0185000000006</v>
      </c>
      <c r="Y298">
        <v>77196.388500000015</v>
      </c>
      <c r="Z298">
        <v>2315.8916550000004</v>
      </c>
      <c r="AA298">
        <v>79512.280155000015</v>
      </c>
      <c r="AC298">
        <v>79512.280155000015</v>
      </c>
      <c r="AE298">
        <v>79512.280155000015</v>
      </c>
      <c r="AG298">
        <v>79512.280155000015</v>
      </c>
      <c r="AI298">
        <v>79512.280155000015</v>
      </c>
      <c r="AJ298">
        <v>795.12280155000019</v>
      </c>
      <c r="AK298">
        <v>80307.40295655001</v>
      </c>
      <c r="AL298">
        <v>4015.3701478275007</v>
      </c>
      <c r="AM298">
        <v>84322.773104377513</v>
      </c>
      <c r="AO298">
        <v>84322.773104377513</v>
      </c>
      <c r="AP298">
        <v>1686.4554620875504</v>
      </c>
      <c r="AQ298">
        <v>86009.22856646507</v>
      </c>
      <c r="AS298">
        <v>86009.22856646507</v>
      </c>
      <c r="AT298">
        <v>1720.1845713293014</v>
      </c>
      <c r="AU298">
        <v>87729.41313779437</v>
      </c>
      <c r="AW298">
        <v>87729.41313779437</v>
      </c>
      <c r="AX298">
        <v>877.2941313779437</v>
      </c>
      <c r="AY298">
        <v>88606.707269172315</v>
      </c>
      <c r="BA298">
        <v>88606.707269172315</v>
      </c>
      <c r="BB298">
        <v>443.03353634586159</v>
      </c>
      <c r="BC298">
        <v>89049.740805518173</v>
      </c>
      <c r="BE298">
        <v>89049.740805518173</v>
      </c>
      <c r="BG298">
        <v>89049.740805518173</v>
      </c>
      <c r="BI298">
        <v>89049.740805518173</v>
      </c>
      <c r="BK298">
        <v>89049.740805518173</v>
      </c>
      <c r="BM298">
        <v>89049.740805518173</v>
      </c>
      <c r="BO298">
        <v>89049.740805518173</v>
      </c>
      <c r="BQ298">
        <v>89049.740805518173</v>
      </c>
      <c r="BS298">
        <v>89049.740805518173</v>
      </c>
      <c r="BT298" s="238">
        <v>89049.74</v>
      </c>
      <c r="BU298" s="238">
        <v>7210400</v>
      </c>
      <c r="BX298" s="238">
        <v>0</v>
      </c>
      <c r="BY298" s="238">
        <v>89050.265530443372</v>
      </c>
      <c r="BZ298" s="238">
        <v>7210400</v>
      </c>
      <c r="CA298" s="238" t="s">
        <v>38</v>
      </c>
      <c r="CB298">
        <v>20000</v>
      </c>
      <c r="CC298">
        <v>109050.26553044336</v>
      </c>
      <c r="CD298" s="238">
        <v>1619400</v>
      </c>
      <c r="CE298" s="238">
        <v>8829800</v>
      </c>
      <c r="CH298" s="238" t="s">
        <v>39</v>
      </c>
      <c r="CI298" s="238" t="s">
        <v>39</v>
      </c>
      <c r="CJ298" t="s">
        <v>8950</v>
      </c>
      <c r="CK298" t="s">
        <v>1167</v>
      </c>
      <c r="CL298" t="s">
        <v>8961</v>
      </c>
      <c r="CM298" t="s">
        <v>8975</v>
      </c>
      <c r="CN298" s="238" t="b">
        <v>1</v>
      </c>
      <c r="CO298" t="s">
        <v>5586</v>
      </c>
      <c r="CQ298" t="s">
        <v>6652</v>
      </c>
      <c r="CR298" t="s">
        <v>3246</v>
      </c>
      <c r="CS298" t="s">
        <v>38</v>
      </c>
      <c r="CT298" t="b">
        <v>1</v>
      </c>
      <c r="CU298">
        <v>7210400</v>
      </c>
      <c r="CV298" t="s">
        <v>9002</v>
      </c>
      <c r="CW298">
        <v>0</v>
      </c>
      <c r="CX298">
        <v>7210400</v>
      </c>
      <c r="CY298">
        <v>0</v>
      </c>
      <c r="CZ298" t="b">
        <v>1</v>
      </c>
      <c r="DA298">
        <v>45471</v>
      </c>
      <c r="DB298" t="s">
        <v>126</v>
      </c>
      <c r="DC298">
        <v>-9.5096949487464277E-3</v>
      </c>
      <c r="DD298">
        <v>-846.84086029938544</v>
      </c>
      <c r="DE298" s="420" cm="1">
        <f t="array" ref="DE298">_xlfn.XLOOKUP("Дом 5"&amp;Реестр_Д5[[#This Row],[№]]&amp;Реестр_Д5[[#This Row],[Статус]],РД[Дом]&amp;РД[№ кв]&amp;РД[Состояние],РД[Дата подачи на регистрацию],"-",0)</f>
        <v>45471</v>
      </c>
    </row>
    <row r="299" spans="1:109" x14ac:dyDescent="0.25">
      <c r="A299" s="238">
        <v>298</v>
      </c>
      <c r="B299" s="238" t="s">
        <v>16</v>
      </c>
      <c r="C299" s="238">
        <v>11</v>
      </c>
      <c r="D299" s="238">
        <v>7</v>
      </c>
      <c r="E299" s="238">
        <v>1</v>
      </c>
      <c r="F299" s="238">
        <v>14.3</v>
      </c>
      <c r="G299" s="238"/>
      <c r="H299" s="238"/>
      <c r="I299">
        <v>14.3</v>
      </c>
      <c r="J299" s="238">
        <v>9.2799999999999994</v>
      </c>
      <c r="K299" s="238">
        <v>3.79</v>
      </c>
      <c r="L299" s="238"/>
      <c r="M299" s="238"/>
      <c r="N299" s="238">
        <v>6.08</v>
      </c>
      <c r="O299" s="238">
        <v>2.71</v>
      </c>
      <c r="P299" s="238"/>
      <c r="R299" s="238">
        <v>2.71</v>
      </c>
      <c r="S299">
        <v>36.159999999999997</v>
      </c>
      <c r="T299">
        <v>33.450000000000003</v>
      </c>
      <c r="U299" s="238">
        <v>34.81</v>
      </c>
      <c r="V299">
        <v>34.599999999999994</v>
      </c>
      <c r="W299" s="238">
        <v>84762.5625</v>
      </c>
      <c r="X299">
        <v>4238.1281250000002</v>
      </c>
      <c r="Y299">
        <v>89000.690625000003</v>
      </c>
      <c r="Z299">
        <v>2670.02071875</v>
      </c>
      <c r="AA299">
        <v>91670.711343750023</v>
      </c>
      <c r="AB299">
        <v>12833.899588125005</v>
      </c>
      <c r="AC299">
        <v>104504.610931875</v>
      </c>
      <c r="AE299">
        <v>104504.610931875</v>
      </c>
      <c r="AF299">
        <v>5225.2305465937507</v>
      </c>
      <c r="AG299">
        <v>109729.84147846876</v>
      </c>
      <c r="AI299">
        <v>109729.84147846876</v>
      </c>
      <c r="AJ299">
        <v>1097.2984147846876</v>
      </c>
      <c r="AK299">
        <v>110827.13989325344</v>
      </c>
      <c r="AL299">
        <v>5541.3569946626731</v>
      </c>
      <c r="AM299">
        <v>116368.49688791612</v>
      </c>
      <c r="AO299">
        <v>116368.49688791612</v>
      </c>
      <c r="AP299">
        <v>3491.0549066374833</v>
      </c>
      <c r="AQ299">
        <v>119859.5517945536</v>
      </c>
      <c r="AS299">
        <v>119859.5517945536</v>
      </c>
      <c r="AU299">
        <v>119859.5517945536</v>
      </c>
      <c r="AW299">
        <v>119859.5517945536</v>
      </c>
      <c r="AY299">
        <v>119859.5517945536</v>
      </c>
      <c r="BA299">
        <v>119859.5517945536</v>
      </c>
      <c r="BC299">
        <v>119859.5517945536</v>
      </c>
      <c r="BE299">
        <v>119859.5517945536</v>
      </c>
      <c r="BF299">
        <v>599.29775897276795</v>
      </c>
      <c r="BG299">
        <v>120458.84955352636</v>
      </c>
      <c r="BI299">
        <v>120458.84955352636</v>
      </c>
      <c r="BJ299">
        <v>2409.1769910705275</v>
      </c>
      <c r="BK299">
        <v>122868.0265445969</v>
      </c>
      <c r="BL299">
        <v>6143.4013272298453</v>
      </c>
      <c r="BM299">
        <v>129011.42787182676</v>
      </c>
      <c r="BN299">
        <v>16771.485623337478</v>
      </c>
      <c r="BO299">
        <v>145782.91349516422</v>
      </c>
      <c r="BP299">
        <v>35</v>
      </c>
      <c r="BQ299">
        <v>145817.91349516422</v>
      </c>
      <c r="BS299">
        <v>145817.91349516422</v>
      </c>
      <c r="BT299" s="238">
        <v>145817.91</v>
      </c>
      <c r="BU299" s="238">
        <v>5045300</v>
      </c>
      <c r="BV299">
        <v>452799.99999999994</v>
      </c>
      <c r="BX299" s="238">
        <v>452799.99999999994</v>
      </c>
      <c r="BY299" s="238">
        <v>132731.21387283239</v>
      </c>
      <c r="BZ299" s="238">
        <v>4592500</v>
      </c>
      <c r="CA299" s="238" t="s">
        <v>38</v>
      </c>
      <c r="CB299">
        <v>30000</v>
      </c>
      <c r="CC299">
        <v>162731.21387283239</v>
      </c>
      <c r="CD299" s="238">
        <v>1038000</v>
      </c>
      <c r="CE299" s="238">
        <v>5630500</v>
      </c>
      <c r="CF299" t="s">
        <v>4633</v>
      </c>
      <c r="CG299" t="s">
        <v>321</v>
      </c>
      <c r="CH299" s="238" t="s">
        <v>8956</v>
      </c>
      <c r="CI299" s="238" t="s">
        <v>8956</v>
      </c>
      <c r="CJ299" t="s">
        <v>8953</v>
      </c>
      <c r="CK299" t="s">
        <v>8957</v>
      </c>
      <c r="CL299" t="s">
        <v>8961</v>
      </c>
      <c r="CM299" t="s">
        <v>8973</v>
      </c>
      <c r="CN299" s="238" t="b">
        <v>1</v>
      </c>
      <c r="CO299" t="s">
        <v>5587</v>
      </c>
      <c r="CQ299" t="s">
        <v>6652</v>
      </c>
      <c r="CR299" t="s">
        <v>3124</v>
      </c>
      <c r="CS299" t="s">
        <v>36</v>
      </c>
      <c r="CT299" t="b">
        <v>0</v>
      </c>
      <c r="CU299">
        <v>5045300</v>
      </c>
      <c r="CV299">
        <v>5045300</v>
      </c>
      <c r="CW299">
        <v>0</v>
      </c>
      <c r="CX299">
        <v>5045300</v>
      </c>
      <c r="CY299">
        <v>0</v>
      </c>
      <c r="CZ299" t="b">
        <v>1</v>
      </c>
      <c r="DA299" t="s">
        <v>4246</v>
      </c>
      <c r="DB299" t="s">
        <v>1167</v>
      </c>
      <c r="DC299">
        <v>-6.0327492099973004E-3</v>
      </c>
      <c r="DD299">
        <v>-800.73412563331249</v>
      </c>
      <c r="DE299" s="420" t="str" cm="1">
        <f t="array" ref="DE29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00" spans="1:109" hidden="1" x14ac:dyDescent="0.25">
      <c r="A300" s="238">
        <v>299</v>
      </c>
      <c r="B300" s="238" t="s">
        <v>16</v>
      </c>
      <c r="C300" s="238">
        <v>12</v>
      </c>
      <c r="D300" s="238">
        <v>1</v>
      </c>
      <c r="E300" s="238">
        <v>2</v>
      </c>
      <c r="F300" s="238">
        <v>17.63</v>
      </c>
      <c r="G300" s="238">
        <v>13.69</v>
      </c>
      <c r="H300" s="238"/>
      <c r="I300">
        <v>31.32</v>
      </c>
      <c r="J300" s="238">
        <v>20.05</v>
      </c>
      <c r="K300" s="238">
        <v>3.54</v>
      </c>
      <c r="L300" s="238">
        <v>2.93</v>
      </c>
      <c r="M300" s="238"/>
      <c r="N300" s="238">
        <v>12.19</v>
      </c>
      <c r="O300" s="238">
        <v>4.6500000000000004</v>
      </c>
      <c r="P300" s="238">
        <v>2.68</v>
      </c>
      <c r="R300" s="238">
        <v>7.33</v>
      </c>
      <c r="S300">
        <v>77.36</v>
      </c>
      <c r="T300">
        <v>70.03</v>
      </c>
      <c r="U300" s="238">
        <v>73.7</v>
      </c>
      <c r="V300">
        <v>73.399999999999977</v>
      </c>
      <c r="W300" s="238">
        <v>80307.864000000001</v>
      </c>
      <c r="X300">
        <v>4015.3932</v>
      </c>
      <c r="Y300">
        <v>84323.257199999993</v>
      </c>
      <c r="Z300">
        <v>2529.6977160000001</v>
      </c>
      <c r="AA300">
        <v>86852.954916000002</v>
      </c>
      <c r="AC300">
        <v>86852.954916000002</v>
      </c>
      <c r="AE300">
        <v>86852.954916000002</v>
      </c>
      <c r="AG300">
        <v>86852.954916000002</v>
      </c>
      <c r="AI300">
        <v>86852.954916000002</v>
      </c>
      <c r="AK300">
        <v>86852.954916000002</v>
      </c>
      <c r="AM300">
        <v>86852.954916000002</v>
      </c>
      <c r="AO300">
        <v>86852.954916000002</v>
      </c>
      <c r="AQ300">
        <v>86852.954916000002</v>
      </c>
      <c r="AS300">
        <v>86852.954916000002</v>
      </c>
      <c r="AU300">
        <v>86852.954916000002</v>
      </c>
      <c r="AW300">
        <v>86852.954916000002</v>
      </c>
      <c r="AY300">
        <v>86852.954916000002</v>
      </c>
      <c r="BA300">
        <v>86852.954916000002</v>
      </c>
      <c r="BC300">
        <v>86852.954916000002</v>
      </c>
      <c r="BE300">
        <v>86852.954916000002</v>
      </c>
      <c r="BG300">
        <v>86852.954916000002</v>
      </c>
      <c r="BI300">
        <v>86852.954916000002</v>
      </c>
      <c r="BK300">
        <v>86852.954916000002</v>
      </c>
      <c r="BM300">
        <v>86852.954916000002</v>
      </c>
      <c r="BO300">
        <v>86852.954916000002</v>
      </c>
      <c r="BQ300">
        <v>86852.954916000002</v>
      </c>
      <c r="BS300">
        <v>86852.954916000002</v>
      </c>
      <c r="BT300" s="238">
        <v>86852.95</v>
      </c>
      <c r="BU300" s="238">
        <v>6401100</v>
      </c>
      <c r="BW300">
        <v>0.02</v>
      </c>
      <c r="BX300" s="238">
        <v>128022</v>
      </c>
      <c r="BY300" s="238">
        <v>85116.390773405699</v>
      </c>
      <c r="BZ300" s="238">
        <v>6273078</v>
      </c>
      <c r="CA300" s="238" t="s">
        <v>36</v>
      </c>
      <c r="CC300">
        <v>85116.390773405699</v>
      </c>
      <c r="CD300" s="238">
        <v>0</v>
      </c>
      <c r="CE300" s="238">
        <v>6273078</v>
      </c>
      <c r="CF300" t="s">
        <v>4635</v>
      </c>
      <c r="CG300" t="s">
        <v>3540</v>
      </c>
      <c r="CH300" s="238" t="s">
        <v>39</v>
      </c>
      <c r="CI300" s="238" t="s">
        <v>39</v>
      </c>
      <c r="CJ300" t="s">
        <v>8950</v>
      </c>
      <c r="CK300" t="s">
        <v>1167</v>
      </c>
      <c r="CL300" t="s">
        <v>8961</v>
      </c>
      <c r="CM300" t="s">
        <v>8971</v>
      </c>
      <c r="CN300" s="238" t="b">
        <v>1</v>
      </c>
      <c r="CO300" t="s">
        <v>5588</v>
      </c>
      <c r="CQ300" t="s">
        <v>6652</v>
      </c>
      <c r="CR300" t="s">
        <v>3246</v>
      </c>
      <c r="CS300" t="s">
        <v>36</v>
      </c>
      <c r="CT300" t="b">
        <v>1</v>
      </c>
      <c r="CU300">
        <v>6401100</v>
      </c>
      <c r="CV300" t="s">
        <v>9002</v>
      </c>
      <c r="CW300">
        <v>0</v>
      </c>
      <c r="CX300">
        <v>6401100</v>
      </c>
      <c r="CY300">
        <v>0</v>
      </c>
      <c r="CZ300" t="b">
        <v>1</v>
      </c>
      <c r="DA300">
        <v>45269</v>
      </c>
      <c r="DB300" t="s">
        <v>4177</v>
      </c>
      <c r="DC300">
        <v>-4.070556309362483E-3</v>
      </c>
      <c r="DD300">
        <v>-346.47106149284923</v>
      </c>
      <c r="DE300" s="420" cm="1">
        <f t="array" ref="DE300">_xlfn.XLOOKUP("Дом 5"&amp;Реестр_Д5[[#This Row],[№]]&amp;Реестр_Д5[[#This Row],[Статус]],РД[Дом]&amp;РД[№ кв]&amp;РД[Состояние],РД[Дата подачи на регистрацию],"-",0)</f>
        <v>45269</v>
      </c>
    </row>
    <row r="301" spans="1:109" hidden="1" x14ac:dyDescent="0.25">
      <c r="A301" s="238">
        <v>300</v>
      </c>
      <c r="B301" s="238" t="s">
        <v>16</v>
      </c>
      <c r="C301" s="238">
        <v>12</v>
      </c>
      <c r="D301" s="238">
        <v>2</v>
      </c>
      <c r="E301" s="238">
        <v>0</v>
      </c>
      <c r="F301" s="238">
        <v>7.18</v>
      </c>
      <c r="G301" s="238"/>
      <c r="H301" s="238"/>
      <c r="I301">
        <v>7.18</v>
      </c>
      <c r="J301" s="238">
        <v>5.17</v>
      </c>
      <c r="K301" s="238">
        <v>3.72</v>
      </c>
      <c r="L301" s="238"/>
      <c r="M301" s="238"/>
      <c r="N301" s="238">
        <v>6.97</v>
      </c>
      <c r="O301" s="238">
        <v>2.97</v>
      </c>
      <c r="P301" s="238"/>
      <c r="R301" s="238">
        <v>2.97</v>
      </c>
      <c r="S301">
        <v>26.01</v>
      </c>
      <c r="T301">
        <v>23.04</v>
      </c>
      <c r="U301" s="238">
        <v>24.53</v>
      </c>
      <c r="V301">
        <v>24.35</v>
      </c>
      <c r="W301" s="238">
        <v>92857.59</v>
      </c>
      <c r="Y301">
        <v>92857.59</v>
      </c>
      <c r="AA301">
        <v>92857.59</v>
      </c>
      <c r="AC301">
        <v>92857.59</v>
      </c>
      <c r="AE301">
        <v>92857.59</v>
      </c>
      <c r="AG301">
        <v>92857.59</v>
      </c>
      <c r="AI301">
        <v>92857.59</v>
      </c>
      <c r="AK301">
        <v>92857.59</v>
      </c>
      <c r="AM301">
        <v>92857.59</v>
      </c>
      <c r="AO301">
        <v>92857.59</v>
      </c>
      <c r="AQ301">
        <v>92857.59</v>
      </c>
      <c r="AS301">
        <v>92857.59</v>
      </c>
      <c r="AU301">
        <v>92857.59</v>
      </c>
      <c r="AW301">
        <v>92857.59</v>
      </c>
      <c r="AY301">
        <v>92857.59</v>
      </c>
      <c r="BA301">
        <v>92857.59</v>
      </c>
      <c r="BC301">
        <v>92857.59</v>
      </c>
      <c r="BE301">
        <v>92857.59</v>
      </c>
      <c r="BG301">
        <v>92857.59</v>
      </c>
      <c r="BI301">
        <v>92857.59</v>
      </c>
      <c r="BK301">
        <v>92857.59</v>
      </c>
      <c r="BM301">
        <v>92857.59</v>
      </c>
      <c r="BO301">
        <v>92857.59</v>
      </c>
      <c r="BQ301">
        <v>92857.59</v>
      </c>
      <c r="BS301">
        <v>92857.59</v>
      </c>
      <c r="BT301" s="238">
        <v>92857.59</v>
      </c>
      <c r="BU301" s="238">
        <v>2277796.6800000002</v>
      </c>
      <c r="BX301" s="238">
        <v>0</v>
      </c>
      <c r="BY301" s="238">
        <v>92857.589889930707</v>
      </c>
      <c r="BZ301" s="238">
        <v>2277796.6800000002</v>
      </c>
      <c r="CA301" s="238" t="s">
        <v>36</v>
      </c>
      <c r="CC301">
        <v>92857.589889930707</v>
      </c>
      <c r="CD301" s="238">
        <v>0</v>
      </c>
      <c r="CE301" s="238">
        <v>2277796.6800000002</v>
      </c>
      <c r="CH301" s="238" t="s">
        <v>39</v>
      </c>
      <c r="CI301" s="238" t="s">
        <v>39</v>
      </c>
      <c r="CJ301" t="s">
        <v>8950</v>
      </c>
      <c r="CK301" t="s">
        <v>1167</v>
      </c>
      <c r="CL301" t="s">
        <v>8961</v>
      </c>
      <c r="CM301" t="s">
        <v>8970</v>
      </c>
      <c r="CN301" s="238" t="b">
        <v>1</v>
      </c>
      <c r="CO301" t="s">
        <v>5589</v>
      </c>
      <c r="CQ301" t="s">
        <v>4895</v>
      </c>
      <c r="CR301" t="s">
        <v>3246</v>
      </c>
      <c r="CS301" t="s">
        <v>36</v>
      </c>
      <c r="CT301" t="b">
        <v>1</v>
      </c>
      <c r="CU301">
        <v>2277796.6800000002</v>
      </c>
      <c r="CV301" t="s">
        <v>9002</v>
      </c>
      <c r="CW301">
        <v>2277797</v>
      </c>
      <c r="CX301">
        <v>2277797</v>
      </c>
      <c r="CY301">
        <v>0</v>
      </c>
      <c r="CZ301" t="b">
        <v>1</v>
      </c>
      <c r="DA301">
        <v>45194</v>
      </c>
      <c r="DB301" t="s">
        <v>130</v>
      </c>
      <c r="DC301">
        <v>-7.337953526294517E-3</v>
      </c>
      <c r="DD301">
        <v>-681.38467917602702</v>
      </c>
      <c r="DE301" s="420" cm="1">
        <f t="array" ref="DE301">_xlfn.XLOOKUP("Дом 5"&amp;Реестр_Д5[[#This Row],[№]]&amp;Реестр_Д5[[#This Row],[Статус]],РД[Дом]&amp;РД[№ кв]&amp;РД[Состояние],РД[Дата подачи на регистрацию],"-",0)</f>
        <v>45194</v>
      </c>
    </row>
    <row r="302" spans="1:109" hidden="1" x14ac:dyDescent="0.25">
      <c r="A302" s="238">
        <v>301</v>
      </c>
      <c r="B302" s="238" t="s">
        <v>16</v>
      </c>
      <c r="C302" s="238">
        <v>12</v>
      </c>
      <c r="D302" s="238">
        <v>3</v>
      </c>
      <c r="E302" s="238">
        <v>2</v>
      </c>
      <c r="F302" s="238">
        <v>13.69</v>
      </c>
      <c r="G302" s="238">
        <v>10.16</v>
      </c>
      <c r="H302" s="238"/>
      <c r="I302">
        <v>23.85</v>
      </c>
      <c r="J302" s="238">
        <v>18.71</v>
      </c>
      <c r="K302" s="238">
        <v>3.49</v>
      </c>
      <c r="L302" s="238">
        <v>2.11</v>
      </c>
      <c r="M302" s="238"/>
      <c r="N302" s="238">
        <v>7.09</v>
      </c>
      <c r="O302" s="238">
        <v>2.65</v>
      </c>
      <c r="P302" s="238"/>
      <c r="R302" s="238">
        <v>2.65</v>
      </c>
      <c r="S302">
        <v>57.9</v>
      </c>
      <c r="T302">
        <v>55.25</v>
      </c>
      <c r="U302" s="238">
        <v>56.58</v>
      </c>
      <c r="V302">
        <v>56.3</v>
      </c>
      <c r="W302" s="238">
        <v>81080.054999999993</v>
      </c>
      <c r="X302">
        <v>4054.002750000001</v>
      </c>
      <c r="Y302">
        <v>85134.057750000007</v>
      </c>
      <c r="Z302">
        <v>2554.0217325000003</v>
      </c>
      <c r="AA302">
        <v>87688.079482500005</v>
      </c>
      <c r="AC302">
        <v>87688.079482500005</v>
      </c>
      <c r="AE302">
        <v>87688.079482500005</v>
      </c>
      <c r="AG302">
        <v>87688.079482500005</v>
      </c>
      <c r="AI302">
        <v>87688.079482500005</v>
      </c>
      <c r="AJ302">
        <v>876.88079482499995</v>
      </c>
      <c r="AK302">
        <v>88564.960277325008</v>
      </c>
      <c r="AL302">
        <v>4428.2480138662504</v>
      </c>
      <c r="AM302">
        <v>92993.208291191258</v>
      </c>
      <c r="AO302">
        <v>92993.208291191258</v>
      </c>
      <c r="AP302">
        <v>1859.8641658238253</v>
      </c>
      <c r="AQ302">
        <v>94853.072457015078</v>
      </c>
      <c r="AS302">
        <v>94853.072457015078</v>
      </c>
      <c r="AT302">
        <v>1897.0614491403016</v>
      </c>
      <c r="AU302">
        <v>96750.133906155374</v>
      </c>
      <c r="AV302">
        <v>150</v>
      </c>
      <c r="AW302">
        <v>96900.133906155374</v>
      </c>
      <c r="AX302">
        <v>969.00133906155372</v>
      </c>
      <c r="AY302">
        <v>97869.135245216923</v>
      </c>
      <c r="BA302">
        <v>97869.135245216923</v>
      </c>
      <c r="BC302">
        <v>97869.135245216923</v>
      </c>
      <c r="BE302">
        <v>97869.135245216923</v>
      </c>
      <c r="BF302">
        <v>2446.7283811304233</v>
      </c>
      <c r="BG302">
        <v>100315.86362634736</v>
      </c>
      <c r="BH302">
        <v>500</v>
      </c>
      <c r="BI302">
        <v>100815.86362634736</v>
      </c>
      <c r="BJ302">
        <v>4032.6345450538938</v>
      </c>
      <c r="BK302">
        <v>104848.49817140124</v>
      </c>
      <c r="BL302">
        <v>6290.9098902840742</v>
      </c>
      <c r="BM302">
        <v>111139.40806168532</v>
      </c>
      <c r="BN302">
        <v>14448.123048019092</v>
      </c>
      <c r="BO302">
        <v>125587.5311097044</v>
      </c>
      <c r="BP302">
        <v>35</v>
      </c>
      <c r="BQ302">
        <v>125622.5311097044</v>
      </c>
      <c r="BS302">
        <v>125622.5311097044</v>
      </c>
      <c r="BT302" s="238">
        <v>125622.53</v>
      </c>
      <c r="BU302" s="238">
        <v>7107800</v>
      </c>
      <c r="BW302">
        <v>0.03</v>
      </c>
      <c r="BX302" s="238">
        <v>213234</v>
      </c>
      <c r="BY302" s="238">
        <v>121855.17850830682</v>
      </c>
      <c r="BZ302" s="238">
        <v>6894566</v>
      </c>
      <c r="CA302" s="238" t="s">
        <v>6871</v>
      </c>
      <c r="CB302">
        <v>10000</v>
      </c>
      <c r="CC302">
        <v>131855.17850830682</v>
      </c>
      <c r="CD302" s="238">
        <v>565800</v>
      </c>
      <c r="CE302" s="238">
        <v>7460366</v>
      </c>
      <c r="CF302" t="s">
        <v>4633</v>
      </c>
      <c r="CG302" t="s">
        <v>978</v>
      </c>
      <c r="CH302" s="238" t="s">
        <v>39</v>
      </c>
      <c r="CI302" s="238" t="s">
        <v>39</v>
      </c>
      <c r="CJ302" t="s">
        <v>8950</v>
      </c>
      <c r="CK302" t="s">
        <v>1167</v>
      </c>
      <c r="CL302" t="s">
        <v>8961</v>
      </c>
      <c r="CM302" t="s">
        <v>8971</v>
      </c>
      <c r="CN302" s="238" t="b">
        <v>1</v>
      </c>
      <c r="CO302" t="s">
        <v>5590</v>
      </c>
      <c r="CQ302" t="s">
        <v>6652</v>
      </c>
      <c r="CR302" t="s">
        <v>3246</v>
      </c>
      <c r="CS302" t="s">
        <v>6871</v>
      </c>
      <c r="CT302" t="b">
        <v>1</v>
      </c>
      <c r="CU302">
        <v>7107800</v>
      </c>
      <c r="CV302" t="s">
        <v>9002</v>
      </c>
      <c r="CW302">
        <v>7107800</v>
      </c>
      <c r="CX302">
        <v>7107800</v>
      </c>
      <c r="CY302">
        <v>0</v>
      </c>
      <c r="CZ302" t="b">
        <v>1</v>
      </c>
      <c r="DA302">
        <v>45701</v>
      </c>
      <c r="DB302" t="s">
        <v>4177</v>
      </c>
      <c r="DC302">
        <v>-4.9487451396251769E-3</v>
      </c>
      <c r="DD302">
        <v>-603.0302223811417</v>
      </c>
      <c r="DE302" s="420" cm="1">
        <f t="array" ref="DE302">_xlfn.XLOOKUP("Дом 5"&amp;Реестр_Д5[[#This Row],[№]]&amp;Реестр_Д5[[#This Row],[Статус]],РД[Дом]&amp;РД[№ кв]&amp;РД[Состояние],РД[Дата подачи на регистрацию],"-",0)</f>
        <v>45701</v>
      </c>
    </row>
    <row r="303" spans="1:109" hidden="1" x14ac:dyDescent="0.25">
      <c r="A303" s="238">
        <v>302</v>
      </c>
      <c r="B303" s="238" t="s">
        <v>16</v>
      </c>
      <c r="C303" s="238">
        <v>12</v>
      </c>
      <c r="D303" s="238">
        <v>4</v>
      </c>
      <c r="E303" s="238">
        <v>2</v>
      </c>
      <c r="F303" s="238">
        <v>15.45</v>
      </c>
      <c r="G303" s="238">
        <v>10.34</v>
      </c>
      <c r="H303" s="238"/>
      <c r="I303">
        <v>25.79</v>
      </c>
      <c r="J303" s="238">
        <v>15.44</v>
      </c>
      <c r="K303" s="238">
        <v>4.59</v>
      </c>
      <c r="L303" s="238">
        <v>2.21</v>
      </c>
      <c r="M303" s="238"/>
      <c r="N303" s="238">
        <v>10.79</v>
      </c>
      <c r="O303" s="238">
        <v>2.84</v>
      </c>
      <c r="P303" s="238"/>
      <c r="R303" s="238">
        <v>2.84</v>
      </c>
      <c r="S303">
        <v>61.66</v>
      </c>
      <c r="T303">
        <v>58.82</v>
      </c>
      <c r="U303" s="238">
        <v>60.24</v>
      </c>
      <c r="V303">
        <v>59.95</v>
      </c>
      <c r="W303" s="238">
        <v>83010.532500000001</v>
      </c>
      <c r="X303">
        <v>4150.5266250000004</v>
      </c>
      <c r="Y303">
        <v>87161.059125</v>
      </c>
      <c r="Z303">
        <v>2614.8317737499997</v>
      </c>
      <c r="AA303">
        <v>89775.890898750004</v>
      </c>
      <c r="AC303">
        <v>89775.890898750004</v>
      </c>
      <c r="AE303">
        <v>89775.890898750004</v>
      </c>
      <c r="AG303">
        <v>89775.890898750004</v>
      </c>
      <c r="AI303">
        <v>89775.890898750004</v>
      </c>
      <c r="AJ303">
        <v>897.75890898750004</v>
      </c>
      <c r="AK303">
        <v>90673.6498077375</v>
      </c>
      <c r="AL303">
        <v>4533.6824903868755</v>
      </c>
      <c r="AM303">
        <v>95207.332298124369</v>
      </c>
      <c r="AO303">
        <v>95207.332298124369</v>
      </c>
      <c r="AP303">
        <v>1904.1466459624871</v>
      </c>
      <c r="AQ303">
        <v>97111.478944086863</v>
      </c>
      <c r="AS303">
        <v>97111.478944086863</v>
      </c>
      <c r="AT303">
        <v>1942.2295788817371</v>
      </c>
      <c r="AU303">
        <v>99053.708522968605</v>
      </c>
      <c r="AW303">
        <v>99053.708522968605</v>
      </c>
      <c r="AY303">
        <v>99053.708522968605</v>
      </c>
      <c r="BA303">
        <v>99053.708522968605</v>
      </c>
      <c r="BC303">
        <v>99053.708522968605</v>
      </c>
      <c r="BE303">
        <v>99053.708522968605</v>
      </c>
      <c r="BF303">
        <v>495.26854261484306</v>
      </c>
      <c r="BG303">
        <v>99548.977065583444</v>
      </c>
      <c r="BI303">
        <v>99548.977065583444</v>
      </c>
      <c r="BK303">
        <v>99548.977065583444</v>
      </c>
      <c r="BM303">
        <v>99548.977065583444</v>
      </c>
      <c r="BO303">
        <v>99548.977065583444</v>
      </c>
      <c r="BQ303">
        <v>99548.977065583444</v>
      </c>
      <c r="BS303">
        <v>99548.977065583444</v>
      </c>
      <c r="BT303" s="238">
        <v>99548.98</v>
      </c>
      <c r="BU303" s="238">
        <v>5996900</v>
      </c>
      <c r="BX303" s="238">
        <v>0</v>
      </c>
      <c r="BY303" s="238">
        <v>99550.132802124834</v>
      </c>
      <c r="BZ303" s="238">
        <v>5996900</v>
      </c>
      <c r="CA303" s="238" t="s">
        <v>38</v>
      </c>
      <c r="CB303">
        <v>20000</v>
      </c>
      <c r="CC303">
        <v>119550.13280212483</v>
      </c>
      <c r="CD303" s="238">
        <v>1204800</v>
      </c>
      <c r="CE303" s="238">
        <v>7201700</v>
      </c>
      <c r="CH303" s="238" t="s">
        <v>39</v>
      </c>
      <c r="CI303" s="238" t="s">
        <v>39</v>
      </c>
      <c r="CJ303" t="s">
        <v>8950</v>
      </c>
      <c r="CK303" t="s">
        <v>1167</v>
      </c>
      <c r="CL303" t="s">
        <v>8961</v>
      </c>
      <c r="CM303" t="s">
        <v>8971</v>
      </c>
      <c r="CN303" s="238" t="b">
        <v>1</v>
      </c>
      <c r="CO303" t="s">
        <v>5591</v>
      </c>
      <c r="CQ303" t="s">
        <v>6652</v>
      </c>
      <c r="CR303" t="s">
        <v>3246</v>
      </c>
      <c r="CS303" t="s">
        <v>38</v>
      </c>
      <c r="CT303" t="b">
        <v>1</v>
      </c>
      <c r="CU303">
        <v>5996900</v>
      </c>
      <c r="CV303" t="s">
        <v>9002</v>
      </c>
      <c r="CW303">
        <v>5996900</v>
      </c>
      <c r="CX303">
        <v>5996900</v>
      </c>
      <c r="CY303">
        <v>0</v>
      </c>
      <c r="CZ303" t="b">
        <v>1</v>
      </c>
      <c r="DA303">
        <v>45593</v>
      </c>
      <c r="DB303" t="s">
        <v>4177</v>
      </c>
      <c r="DC303">
        <v>-4.8140770252323994E-3</v>
      </c>
      <c r="DD303">
        <v>-479.24200718154344</v>
      </c>
      <c r="DE303" s="420" cm="1">
        <f t="array" ref="DE303">_xlfn.XLOOKUP("Дом 5"&amp;Реестр_Д5[[#This Row],[№]]&amp;Реестр_Д5[[#This Row],[Статус]],РД[Дом]&amp;РД[№ кв]&amp;РД[Состояние],РД[Дата подачи на регистрацию],"-",0)</f>
        <v>45593</v>
      </c>
    </row>
    <row r="304" spans="1:109" hidden="1" x14ac:dyDescent="0.25">
      <c r="A304" s="238">
        <v>303</v>
      </c>
      <c r="B304" s="238" t="s">
        <v>16</v>
      </c>
      <c r="C304" s="238">
        <v>12</v>
      </c>
      <c r="D304" s="238">
        <v>5</v>
      </c>
      <c r="E304" s="238">
        <v>1</v>
      </c>
      <c r="F304" s="238">
        <v>12.54</v>
      </c>
      <c r="G304" s="238"/>
      <c r="H304" s="238"/>
      <c r="I304">
        <v>12.54</v>
      </c>
      <c r="J304" s="238">
        <v>12.74</v>
      </c>
      <c r="K304" s="238">
        <v>4.0199999999999996</v>
      </c>
      <c r="L304" s="238"/>
      <c r="M304" s="238"/>
      <c r="N304" s="238">
        <v>7.09</v>
      </c>
      <c r="O304" s="238">
        <v>2.84</v>
      </c>
      <c r="P304" s="238"/>
      <c r="R304" s="238">
        <v>2.84</v>
      </c>
      <c r="S304">
        <v>39.229999999999997</v>
      </c>
      <c r="T304">
        <v>36.39</v>
      </c>
      <c r="U304" s="238">
        <v>37.81</v>
      </c>
      <c r="V304">
        <v>37.549999999999997</v>
      </c>
      <c r="W304" s="238">
        <v>90034.875</v>
      </c>
      <c r="X304">
        <v>4501.7437500000005</v>
      </c>
      <c r="Y304">
        <v>94536.618749999994</v>
      </c>
      <c r="Z304">
        <v>2836.0985624999998</v>
      </c>
      <c r="AA304">
        <v>97372.717312499997</v>
      </c>
      <c r="AB304">
        <v>4381.7722790624994</v>
      </c>
      <c r="AC304">
        <v>101754.48959156248</v>
      </c>
      <c r="AE304">
        <v>101754.48959156248</v>
      </c>
      <c r="AF304">
        <v>5087.7244795781253</v>
      </c>
      <c r="AG304">
        <v>106842.21407114062</v>
      </c>
      <c r="AH304">
        <v>-620</v>
      </c>
      <c r="AI304">
        <v>106222.21407114062</v>
      </c>
      <c r="AJ304">
        <v>1062.2221407114062</v>
      </c>
      <c r="AK304">
        <v>107284.43621185204</v>
      </c>
      <c r="AL304">
        <v>5364.2218105926022</v>
      </c>
      <c r="AM304">
        <v>112648.65802244464</v>
      </c>
      <c r="AO304">
        <v>112648.65802244464</v>
      </c>
      <c r="AP304">
        <v>3379.4597406733392</v>
      </c>
      <c r="AQ304">
        <v>116028.11776311796</v>
      </c>
      <c r="AS304">
        <v>116028.11776311796</v>
      </c>
      <c r="AU304">
        <v>116028.11776311796</v>
      </c>
      <c r="AW304">
        <v>116028.11776311796</v>
      </c>
      <c r="AX304">
        <v>1160.2811776311798</v>
      </c>
      <c r="AY304">
        <v>117188.39894074916</v>
      </c>
      <c r="BA304">
        <v>117188.39894074916</v>
      </c>
      <c r="BC304">
        <v>117188.39894074916</v>
      </c>
      <c r="BE304">
        <v>117188.39894074916</v>
      </c>
      <c r="BG304">
        <v>117188.39894074916</v>
      </c>
      <c r="BI304">
        <v>117188.39894074916</v>
      </c>
      <c r="BK304">
        <v>117188.39894074916</v>
      </c>
      <c r="BM304">
        <v>117188.39894074916</v>
      </c>
      <c r="BO304">
        <v>117188.39894074916</v>
      </c>
      <c r="BQ304">
        <v>117188.39894074916</v>
      </c>
      <c r="BS304">
        <v>117188.39894074916</v>
      </c>
      <c r="BT304" s="238">
        <v>117188.4</v>
      </c>
      <c r="BU304" s="238">
        <v>4430900</v>
      </c>
      <c r="BX304" s="238">
        <v>0</v>
      </c>
      <c r="BY304" s="238">
        <v>117188.5744512034</v>
      </c>
      <c r="BZ304" s="238">
        <v>4430900</v>
      </c>
      <c r="CA304" s="238" t="s">
        <v>6871</v>
      </c>
      <c r="CB304">
        <v>7000</v>
      </c>
      <c r="CC304">
        <v>124188.5744512034</v>
      </c>
      <c r="CD304" s="238">
        <v>264670</v>
      </c>
      <c r="CE304" s="238">
        <v>4695570</v>
      </c>
      <c r="CH304" s="238" t="s">
        <v>39</v>
      </c>
      <c r="CI304" s="238" t="s">
        <v>39</v>
      </c>
      <c r="CJ304" t="s">
        <v>8950</v>
      </c>
      <c r="CK304" t="s">
        <v>1167</v>
      </c>
      <c r="CL304" t="s">
        <v>8961</v>
      </c>
      <c r="CM304" t="s">
        <v>8973</v>
      </c>
      <c r="CN304" s="238" t="b">
        <v>1</v>
      </c>
      <c r="CO304" t="s">
        <v>5592</v>
      </c>
      <c r="CQ304" t="s">
        <v>6652</v>
      </c>
      <c r="CR304" t="s">
        <v>3246</v>
      </c>
      <c r="CS304" t="s">
        <v>6871</v>
      </c>
      <c r="CT304" t="b">
        <v>1</v>
      </c>
      <c r="CU304">
        <v>4430900</v>
      </c>
      <c r="CV304" t="s">
        <v>9002</v>
      </c>
      <c r="CW304">
        <v>0</v>
      </c>
      <c r="CX304">
        <v>4430900</v>
      </c>
      <c r="CY304">
        <v>0</v>
      </c>
      <c r="CZ304" t="b">
        <v>1</v>
      </c>
      <c r="DA304">
        <v>45440</v>
      </c>
      <c r="DB304" t="s">
        <v>4177</v>
      </c>
      <c r="DC304">
        <v>-6.8764877016661563E-3</v>
      </c>
      <c r="DD304">
        <v>-805.84579098948882</v>
      </c>
      <c r="DE304" s="420" cm="1">
        <f t="array" ref="DE304">_xlfn.XLOOKUP("Дом 5"&amp;Реестр_Д5[[#This Row],[№]]&amp;Реестр_Д5[[#This Row],[Статус]],РД[Дом]&amp;РД[№ кв]&amp;РД[Состояние],РД[Дата подачи на регистрацию],"-",0)</f>
        <v>45440</v>
      </c>
    </row>
    <row r="305" spans="1:109" hidden="1" x14ac:dyDescent="0.25">
      <c r="A305" s="238">
        <v>304</v>
      </c>
      <c r="B305" s="238" t="s">
        <v>16</v>
      </c>
      <c r="C305" s="238">
        <v>12</v>
      </c>
      <c r="D305" s="238">
        <v>6</v>
      </c>
      <c r="E305" s="238">
        <v>3</v>
      </c>
      <c r="F305" s="238">
        <v>17.2</v>
      </c>
      <c r="G305" s="238">
        <v>14.64</v>
      </c>
      <c r="H305" s="238">
        <v>14.34</v>
      </c>
      <c r="I305">
        <v>46.18</v>
      </c>
      <c r="J305" s="238">
        <v>13.15</v>
      </c>
      <c r="K305" s="238">
        <v>4.03</v>
      </c>
      <c r="L305" s="238">
        <v>1.76</v>
      </c>
      <c r="M305" s="238"/>
      <c r="N305" s="238">
        <v>13.11</v>
      </c>
      <c r="O305" s="238">
        <v>2.79</v>
      </c>
      <c r="P305" s="238">
        <v>2.68</v>
      </c>
      <c r="R305" s="238">
        <v>5.4700000000000006</v>
      </c>
      <c r="S305">
        <v>83.7</v>
      </c>
      <c r="T305">
        <v>78.23</v>
      </c>
      <c r="U305" s="238">
        <v>80.97</v>
      </c>
      <c r="V305">
        <v>80.600000000000023</v>
      </c>
      <c r="W305" s="238">
        <v>74234.160000000018</v>
      </c>
      <c r="X305">
        <v>3711.708000000001</v>
      </c>
      <c r="Y305">
        <v>77945.868000000017</v>
      </c>
      <c r="Z305">
        <v>2338.376040000001</v>
      </c>
      <c r="AA305">
        <v>80284.24404000002</v>
      </c>
      <c r="AC305">
        <v>80284.24404000002</v>
      </c>
      <c r="AE305">
        <v>80284.24404000002</v>
      </c>
      <c r="AG305">
        <v>80284.24404000002</v>
      </c>
      <c r="AI305">
        <v>80284.24404000002</v>
      </c>
      <c r="AK305">
        <v>80284.24404000002</v>
      </c>
      <c r="AM305">
        <v>80284.24404000002</v>
      </c>
      <c r="AO305">
        <v>80284.24404000002</v>
      </c>
      <c r="AQ305">
        <v>80284.24404000002</v>
      </c>
      <c r="AS305">
        <v>80284.24404000002</v>
      </c>
      <c r="AU305">
        <v>80284.24404000002</v>
      </c>
      <c r="AW305">
        <v>80284.24404000002</v>
      </c>
      <c r="AY305">
        <v>80284.24404000002</v>
      </c>
      <c r="BA305">
        <v>80284.24404000002</v>
      </c>
      <c r="BC305">
        <v>80284.24404000002</v>
      </c>
      <c r="BE305">
        <v>80284.24404000002</v>
      </c>
      <c r="BG305">
        <v>80284.24404000002</v>
      </c>
      <c r="BI305">
        <v>80284.24404000002</v>
      </c>
      <c r="BK305">
        <v>80284.24404000002</v>
      </c>
      <c r="BM305">
        <v>80284.24404000002</v>
      </c>
      <c r="BO305">
        <v>80284.24404000002</v>
      </c>
      <c r="BQ305">
        <v>80284.24404000002</v>
      </c>
      <c r="BS305">
        <v>80284.24404000002</v>
      </c>
      <c r="BT305" s="238">
        <v>80284.240000000005</v>
      </c>
      <c r="BU305" s="238">
        <v>6500614.9100000001</v>
      </c>
      <c r="BV305">
        <v>20000</v>
      </c>
      <c r="BX305" s="238">
        <v>20000</v>
      </c>
      <c r="BY305" s="238">
        <v>80037.234901815493</v>
      </c>
      <c r="BZ305" s="238">
        <v>6480614.9100000001</v>
      </c>
      <c r="CA305" s="238" t="s">
        <v>36</v>
      </c>
      <c r="CC305">
        <v>80037.234901815493</v>
      </c>
      <c r="CD305" s="238">
        <v>0</v>
      </c>
      <c r="CE305" s="238">
        <v>6480614.9100000001</v>
      </c>
      <c r="CG305" t="s">
        <v>3441</v>
      </c>
      <c r="CH305" s="238" t="s">
        <v>39</v>
      </c>
      <c r="CI305" s="238" t="s">
        <v>39</v>
      </c>
      <c r="CJ305" t="s">
        <v>8950</v>
      </c>
      <c r="CK305" t="s">
        <v>1167</v>
      </c>
      <c r="CL305" t="s">
        <v>8961</v>
      </c>
      <c r="CM305" t="s">
        <v>8975</v>
      </c>
      <c r="CN305" s="238" t="b">
        <v>1</v>
      </c>
      <c r="CO305" t="s">
        <v>5593</v>
      </c>
      <c r="CQ305" t="s">
        <v>4895</v>
      </c>
      <c r="CR305" t="s">
        <v>3246</v>
      </c>
      <c r="CS305" t="s">
        <v>36</v>
      </c>
      <c r="CT305" t="b">
        <v>1</v>
      </c>
      <c r="CU305">
        <v>6500614.9100000001</v>
      </c>
      <c r="CV305" t="s">
        <v>9002</v>
      </c>
      <c r="CW305">
        <v>0</v>
      </c>
      <c r="CX305">
        <v>6500615</v>
      </c>
      <c r="CY305">
        <v>0</v>
      </c>
      <c r="CZ305" t="b">
        <v>1</v>
      </c>
      <c r="DA305">
        <v>45217</v>
      </c>
      <c r="DB305" t="s">
        <v>126</v>
      </c>
      <c r="DC305">
        <v>-4.5695936766700918E-3</v>
      </c>
      <c r="DD305">
        <v>-365.73764250549488</v>
      </c>
      <c r="DE305" s="420" cm="1">
        <f t="array" ref="DE305">_xlfn.XLOOKUP("Дом 5"&amp;Реестр_Д5[[#This Row],[№]]&amp;Реестр_Д5[[#This Row],[Статус]],РД[Дом]&amp;РД[№ кв]&amp;РД[Состояние],РД[Дата подачи на регистрацию],"-",0)</f>
        <v>45217</v>
      </c>
    </row>
    <row r="306" spans="1:109" x14ac:dyDescent="0.25">
      <c r="A306" s="238">
        <v>305</v>
      </c>
      <c r="B306" s="238" t="s">
        <v>16</v>
      </c>
      <c r="C306" s="238">
        <v>12</v>
      </c>
      <c r="D306" s="238">
        <v>7</v>
      </c>
      <c r="E306" s="238">
        <v>1</v>
      </c>
      <c r="F306" s="238">
        <v>14.3</v>
      </c>
      <c r="G306" s="238"/>
      <c r="H306" s="238"/>
      <c r="I306">
        <v>14.3</v>
      </c>
      <c r="J306" s="238">
        <v>9.2799999999999994</v>
      </c>
      <c r="K306" s="238">
        <v>3.79</v>
      </c>
      <c r="L306" s="238"/>
      <c r="M306" s="238"/>
      <c r="N306" s="238">
        <v>6.08</v>
      </c>
      <c r="O306" s="238">
        <v>2.71</v>
      </c>
      <c r="P306" s="238"/>
      <c r="R306" s="238">
        <v>2.71</v>
      </c>
      <c r="S306">
        <v>36.159999999999997</v>
      </c>
      <c r="T306">
        <v>33.450000000000003</v>
      </c>
      <c r="U306" s="238">
        <v>34.81</v>
      </c>
      <c r="V306">
        <v>34.65</v>
      </c>
      <c r="W306" s="238">
        <v>85573.6875</v>
      </c>
      <c r="X306">
        <v>4278.6843749999998</v>
      </c>
      <c r="Y306">
        <v>89852.371874999997</v>
      </c>
      <c r="Z306">
        <v>2695.5711562499996</v>
      </c>
      <c r="AA306">
        <v>92547.943031250004</v>
      </c>
      <c r="AB306">
        <v>12956.712024375</v>
      </c>
      <c r="AC306">
        <v>105504.655055625</v>
      </c>
      <c r="AE306">
        <v>105504.655055625</v>
      </c>
      <c r="AF306">
        <v>5275.2327527812495</v>
      </c>
      <c r="AG306">
        <v>110779.88780840625</v>
      </c>
      <c r="AI306">
        <v>110779.88780840625</v>
      </c>
      <c r="AJ306">
        <v>1107.7988780840624</v>
      </c>
      <c r="AK306">
        <v>111887.6866864903</v>
      </c>
      <c r="AL306">
        <v>5594.3843343245153</v>
      </c>
      <c r="AM306">
        <v>117482.07102081479</v>
      </c>
      <c r="AO306">
        <v>117482.07102081479</v>
      </c>
      <c r="AP306">
        <v>3524.4621306244439</v>
      </c>
      <c r="AQ306">
        <v>121006.53315143925</v>
      </c>
      <c r="AS306">
        <v>121006.53315143925</v>
      </c>
      <c r="AU306">
        <v>121006.53315143925</v>
      </c>
      <c r="AW306">
        <v>121006.53315143925</v>
      </c>
      <c r="AY306">
        <v>121006.53315143925</v>
      </c>
      <c r="BA306">
        <v>121006.53315143925</v>
      </c>
      <c r="BC306">
        <v>121006.53315143925</v>
      </c>
      <c r="BE306">
        <v>121006.53315143925</v>
      </c>
      <c r="BF306">
        <v>605.03266575719624</v>
      </c>
      <c r="BG306">
        <v>121611.56581719645</v>
      </c>
      <c r="BI306">
        <v>121611.56581719645</v>
      </c>
      <c r="BJ306">
        <v>2432.2313163439289</v>
      </c>
      <c r="BK306">
        <v>124043.79713354036</v>
      </c>
      <c r="BL306">
        <v>6202.1898566770187</v>
      </c>
      <c r="BM306">
        <v>130245.9869902174</v>
      </c>
      <c r="BN306">
        <v>16931.978308728263</v>
      </c>
      <c r="BO306">
        <v>147177.96529894567</v>
      </c>
      <c r="BP306">
        <v>35</v>
      </c>
      <c r="BQ306">
        <v>147212.96529894567</v>
      </c>
      <c r="BS306">
        <v>147212.96529894567</v>
      </c>
      <c r="BT306" s="238">
        <v>147212.97</v>
      </c>
      <c r="BU306" s="238">
        <v>5101000</v>
      </c>
      <c r="BX306" s="238">
        <v>0</v>
      </c>
      <c r="BY306" s="238">
        <v>147215.00721500721</v>
      </c>
      <c r="BZ306" s="238">
        <v>5101000</v>
      </c>
      <c r="CA306" s="238" t="s">
        <v>38</v>
      </c>
      <c r="CB306">
        <v>30000</v>
      </c>
      <c r="CC306">
        <v>177215.00721500721</v>
      </c>
      <c r="CD306" s="238">
        <v>1039499.9999999992</v>
      </c>
      <c r="CE306" s="238">
        <v>6140499.9999999991</v>
      </c>
      <c r="CF306" t="s">
        <v>4633</v>
      </c>
      <c r="CG306" t="s">
        <v>8910</v>
      </c>
      <c r="CH306" s="238" t="s">
        <v>3</v>
      </c>
      <c r="CI306" s="238" t="s">
        <v>3</v>
      </c>
      <c r="CJ306" t="s">
        <v>8951</v>
      </c>
      <c r="CK306" t="s">
        <v>1167</v>
      </c>
      <c r="CL306" t="s">
        <v>8961</v>
      </c>
      <c r="CM306" t="s">
        <v>8973</v>
      </c>
      <c r="CN306" s="238" t="b">
        <v>1</v>
      </c>
      <c r="CO306" t="s">
        <v>5594</v>
      </c>
      <c r="CQ306" t="s">
        <v>6652</v>
      </c>
      <c r="CR306" t="s">
        <v>3124</v>
      </c>
      <c r="CS306" t="s">
        <v>38</v>
      </c>
      <c r="CT306" t="b">
        <v>1</v>
      </c>
      <c r="CU306">
        <v>5101000</v>
      </c>
      <c r="CV306">
        <v>5101000</v>
      </c>
      <c r="CW306">
        <v>0</v>
      </c>
      <c r="CX306">
        <v>0</v>
      </c>
      <c r="CY306">
        <v>0</v>
      </c>
      <c r="CZ306" t="b">
        <v>1</v>
      </c>
      <c r="DA306" t="s">
        <v>4246</v>
      </c>
      <c r="DB306" t="s">
        <v>1167</v>
      </c>
      <c r="DC306">
        <v>-4.5963803504741607E-3</v>
      </c>
      <c r="DD306">
        <v>-676.65616645797093</v>
      </c>
      <c r="DE306" s="420" t="str" cm="1">
        <f t="array" ref="DE30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07" spans="1:109" hidden="1" x14ac:dyDescent="0.25">
      <c r="A307" s="238">
        <v>306</v>
      </c>
      <c r="B307" s="238" t="s">
        <v>16</v>
      </c>
      <c r="C307" s="238">
        <v>13</v>
      </c>
      <c r="D307" s="238">
        <v>1</v>
      </c>
      <c r="E307" s="238">
        <v>2</v>
      </c>
      <c r="F307" s="238">
        <v>17.63</v>
      </c>
      <c r="G307" s="238">
        <v>13.69</v>
      </c>
      <c r="H307" s="238"/>
      <c r="I307">
        <v>31.32</v>
      </c>
      <c r="J307" s="238">
        <v>20.05</v>
      </c>
      <c r="K307" s="238">
        <v>3.54</v>
      </c>
      <c r="L307" s="238">
        <v>2.93</v>
      </c>
      <c r="M307" s="238"/>
      <c r="N307" s="238">
        <v>12.19</v>
      </c>
      <c r="O307" s="238">
        <v>4.6500000000000004</v>
      </c>
      <c r="P307" s="238">
        <v>2.68</v>
      </c>
      <c r="R307" s="238">
        <v>7.33</v>
      </c>
      <c r="S307">
        <v>77.36</v>
      </c>
      <c r="T307">
        <v>70.03</v>
      </c>
      <c r="U307" s="238">
        <v>73.7</v>
      </c>
      <c r="V307">
        <v>73.499999999999986</v>
      </c>
      <c r="W307" s="238">
        <v>78763.482000000004</v>
      </c>
      <c r="X307">
        <v>3938.1741000000002</v>
      </c>
      <c r="Y307">
        <v>82701.656099999993</v>
      </c>
      <c r="Z307">
        <v>2481.0496830000002</v>
      </c>
      <c r="AA307">
        <v>85182.705783000012</v>
      </c>
      <c r="AC307">
        <v>85182.705783000012</v>
      </c>
      <c r="AE307">
        <v>85182.705783000012</v>
      </c>
      <c r="AG307">
        <v>85182.705783000012</v>
      </c>
      <c r="AI307">
        <v>85182.705783000012</v>
      </c>
      <c r="AJ307">
        <v>851.82705783000017</v>
      </c>
      <c r="AK307">
        <v>86034.532840830012</v>
      </c>
      <c r="AL307">
        <v>4301.7266420415008</v>
      </c>
      <c r="AM307">
        <v>90336.259482871508</v>
      </c>
      <c r="AO307">
        <v>90336.259482871508</v>
      </c>
      <c r="AP307">
        <v>1806.7251896574303</v>
      </c>
      <c r="AQ307">
        <v>92142.984672528939</v>
      </c>
      <c r="AS307">
        <v>92142.984672528939</v>
      </c>
      <c r="AT307">
        <v>1842.8596934505788</v>
      </c>
      <c r="AU307">
        <v>93985.844365979516</v>
      </c>
      <c r="AW307">
        <v>93985.844365979516</v>
      </c>
      <c r="AY307">
        <v>93985.844365979516</v>
      </c>
      <c r="BA307">
        <v>93985.844365979516</v>
      </c>
      <c r="BC307">
        <v>93985.844365979516</v>
      </c>
      <c r="BE307">
        <v>93985.844365979516</v>
      </c>
      <c r="BF307">
        <v>469.92922182989759</v>
      </c>
      <c r="BG307">
        <v>94455.773587809395</v>
      </c>
      <c r="BI307">
        <v>94455.773587809395</v>
      </c>
      <c r="BK307">
        <v>94455.773587809395</v>
      </c>
      <c r="BL307">
        <v>7556.4618870247532</v>
      </c>
      <c r="BM307">
        <v>102012.23547483416</v>
      </c>
      <c r="BO307">
        <v>102012.23547483416</v>
      </c>
      <c r="BQ307">
        <v>102012.23547483416</v>
      </c>
      <c r="BS307">
        <v>102012.23547483416</v>
      </c>
      <c r="BT307" s="238">
        <v>102012.24</v>
      </c>
      <c r="BU307" s="238">
        <v>7518400</v>
      </c>
      <c r="BW307">
        <v>0.02</v>
      </c>
      <c r="BX307" s="238">
        <v>150368</v>
      </c>
      <c r="BY307" s="238">
        <v>99973.297150610582</v>
      </c>
      <c r="BZ307" s="238">
        <v>7368032</v>
      </c>
      <c r="CA307" s="238" t="s">
        <v>38</v>
      </c>
      <c r="CB307">
        <v>24000</v>
      </c>
      <c r="CC307">
        <v>123973.29715061058</v>
      </c>
      <c r="CD307" s="238">
        <v>1768800</v>
      </c>
      <c r="CE307" s="238">
        <v>9136832</v>
      </c>
      <c r="CF307" t="s">
        <v>4635</v>
      </c>
      <c r="CG307" t="s">
        <v>3540</v>
      </c>
      <c r="CH307" s="238" t="s">
        <v>39</v>
      </c>
      <c r="CI307" s="238" t="s">
        <v>39</v>
      </c>
      <c r="CJ307" t="s">
        <v>8950</v>
      </c>
      <c r="CK307" t="s">
        <v>1167</v>
      </c>
      <c r="CL307" t="s">
        <v>8961</v>
      </c>
      <c r="CM307" t="s">
        <v>8971</v>
      </c>
      <c r="CN307" s="238" t="b">
        <v>1</v>
      </c>
      <c r="CO307" t="s">
        <v>5595</v>
      </c>
      <c r="CQ307" t="s">
        <v>6652</v>
      </c>
      <c r="CR307" t="s">
        <v>3246</v>
      </c>
      <c r="CS307" t="s">
        <v>38</v>
      </c>
      <c r="CT307" t="b">
        <v>1</v>
      </c>
      <c r="CU307">
        <v>7518400</v>
      </c>
      <c r="CV307" t="s">
        <v>9002</v>
      </c>
      <c r="CW307">
        <v>0</v>
      </c>
      <c r="CX307">
        <v>7518400</v>
      </c>
      <c r="CY307">
        <v>0</v>
      </c>
      <c r="CZ307" t="b">
        <v>1</v>
      </c>
      <c r="DA307">
        <v>45610</v>
      </c>
      <c r="DB307" t="s">
        <v>4177</v>
      </c>
      <c r="DC307">
        <v>-2.7137042062417298E-3</v>
      </c>
      <c r="DD307">
        <v>-271.29795698946623</v>
      </c>
      <c r="DE307" s="420" cm="1">
        <f t="array" ref="DE307">_xlfn.XLOOKUP("Дом 5"&amp;Реестр_Д5[[#This Row],[№]]&amp;Реестр_Д5[[#This Row],[Статус]],РД[Дом]&amp;РД[№ кв]&amp;РД[Состояние],РД[Дата подачи на регистрацию],"-",0)</f>
        <v>45610</v>
      </c>
    </row>
    <row r="308" spans="1:109" hidden="1" x14ac:dyDescent="0.25">
      <c r="A308" s="238">
        <v>307</v>
      </c>
      <c r="B308" s="238" t="s">
        <v>16</v>
      </c>
      <c r="C308" s="238">
        <v>13</v>
      </c>
      <c r="D308" s="238">
        <v>2</v>
      </c>
      <c r="E308" s="238">
        <v>0</v>
      </c>
      <c r="F308" s="238">
        <v>7.18</v>
      </c>
      <c r="G308" s="238"/>
      <c r="H308" s="238"/>
      <c r="I308">
        <v>7.18</v>
      </c>
      <c r="J308" s="238">
        <v>5.17</v>
      </c>
      <c r="K308" s="238">
        <v>3.72</v>
      </c>
      <c r="L308" s="238"/>
      <c r="M308" s="238"/>
      <c r="N308" s="238">
        <v>6.97</v>
      </c>
      <c r="O308" s="238">
        <v>2.97</v>
      </c>
      <c r="P308" s="238"/>
      <c r="R308" s="238">
        <v>2.97</v>
      </c>
      <c r="S308">
        <v>26.01</v>
      </c>
      <c r="T308">
        <v>23.04</v>
      </c>
      <c r="U308" s="238">
        <v>24.53</v>
      </c>
      <c r="V308">
        <v>24.35</v>
      </c>
      <c r="W308" s="238">
        <v>91981.574999999997</v>
      </c>
      <c r="X308">
        <v>4599.0787499999997</v>
      </c>
      <c r="Y308">
        <v>96580.653749999998</v>
      </c>
      <c r="Z308">
        <v>2897.4196124999999</v>
      </c>
      <c r="AA308">
        <v>99478.073362499999</v>
      </c>
      <c r="AB308">
        <v>12932.149537125</v>
      </c>
      <c r="AC308">
        <v>112410.22289962501</v>
      </c>
      <c r="AD308">
        <v>3372.3066869887502</v>
      </c>
      <c r="AE308">
        <v>115782.52958661376</v>
      </c>
      <c r="AG308">
        <v>115782.52958661376</v>
      </c>
      <c r="AI308">
        <v>115782.52958661376</v>
      </c>
      <c r="AK308">
        <v>115782.52958661376</v>
      </c>
      <c r="AM308">
        <v>115782.52958661376</v>
      </c>
      <c r="AO308">
        <v>115782.52958661376</v>
      </c>
      <c r="AQ308">
        <v>115782.52958661376</v>
      </c>
      <c r="AS308">
        <v>115782.52958661376</v>
      </c>
      <c r="AU308">
        <v>115782.52958661376</v>
      </c>
      <c r="AW308">
        <v>115782.52958661376</v>
      </c>
      <c r="AY308">
        <v>115782.52958661376</v>
      </c>
      <c r="BA308">
        <v>115782.52958661376</v>
      </c>
      <c r="BC308">
        <v>115782.52958661376</v>
      </c>
      <c r="BE308">
        <v>115782.52958661376</v>
      </c>
      <c r="BG308">
        <v>115782.52958661376</v>
      </c>
      <c r="BI308">
        <v>115782.52958661376</v>
      </c>
      <c r="BK308">
        <v>115782.52958661376</v>
      </c>
      <c r="BM308">
        <v>115782.52958661376</v>
      </c>
      <c r="BO308">
        <v>115782.52958661376</v>
      </c>
      <c r="BQ308">
        <v>115782.52958661376</v>
      </c>
      <c r="BS308">
        <v>115782.52958661376</v>
      </c>
      <c r="BT308" s="238">
        <v>115782.53</v>
      </c>
      <c r="BU308" s="238">
        <v>2840145.46</v>
      </c>
      <c r="BW308">
        <v>0.02</v>
      </c>
      <c r="BX308" s="238">
        <v>56802.909200000002</v>
      </c>
      <c r="BY308" s="238">
        <v>113466.87933143089</v>
      </c>
      <c r="BZ308" s="238">
        <v>2783342.55</v>
      </c>
      <c r="CA308" s="238" t="s">
        <v>36</v>
      </c>
      <c r="CC308">
        <v>113466.87933143089</v>
      </c>
      <c r="CD308" s="238">
        <v>0</v>
      </c>
      <c r="CE308" s="238">
        <v>2783342.55</v>
      </c>
      <c r="CG308" t="s">
        <v>3540</v>
      </c>
      <c r="CH308" s="238" t="s">
        <v>39</v>
      </c>
      <c r="CI308" s="238" t="s">
        <v>39</v>
      </c>
      <c r="CJ308" t="s">
        <v>8950</v>
      </c>
      <c r="CK308" t="s">
        <v>1167</v>
      </c>
      <c r="CL308" t="s">
        <v>8961</v>
      </c>
      <c r="CM308" t="s">
        <v>8970</v>
      </c>
      <c r="CN308" s="238" t="b">
        <v>1</v>
      </c>
      <c r="CO308" t="s">
        <v>5596</v>
      </c>
      <c r="CQ308" t="s">
        <v>4895</v>
      </c>
      <c r="CR308" t="s">
        <v>3246</v>
      </c>
      <c r="CS308" t="s">
        <v>36</v>
      </c>
      <c r="CT308" t="b">
        <v>1</v>
      </c>
      <c r="CU308">
        <v>2840145.46</v>
      </c>
      <c r="CV308" t="s">
        <v>9002</v>
      </c>
      <c r="CW308">
        <v>2840145</v>
      </c>
      <c r="CX308">
        <v>2840145</v>
      </c>
      <c r="CY308">
        <v>0</v>
      </c>
      <c r="CZ308" t="b">
        <v>1</v>
      </c>
      <c r="DA308">
        <v>45288</v>
      </c>
      <c r="DB308" t="s">
        <v>5215</v>
      </c>
      <c r="DC308">
        <v>-7.337953526294517E-3</v>
      </c>
      <c r="DD308">
        <v>-832.61468730770764</v>
      </c>
      <c r="DE308" s="420" cm="1">
        <f t="array" ref="DE308">_xlfn.XLOOKUP("Дом 5"&amp;Реестр_Д5[[#This Row],[№]]&amp;Реестр_Д5[[#This Row],[Статус]],РД[Дом]&amp;РД[№ кв]&amp;РД[Состояние],РД[Дата подачи на регистрацию],"-",0)</f>
        <v>45288</v>
      </c>
    </row>
    <row r="309" spans="1:109" hidden="1" x14ac:dyDescent="0.25">
      <c r="A309" s="238">
        <v>308</v>
      </c>
      <c r="B309" s="238" t="s">
        <v>16</v>
      </c>
      <c r="C309" s="238">
        <v>13</v>
      </c>
      <c r="D309" s="238">
        <v>3</v>
      </c>
      <c r="E309" s="238">
        <v>2</v>
      </c>
      <c r="F309" s="238">
        <v>13.69</v>
      </c>
      <c r="G309" s="238">
        <v>10.16</v>
      </c>
      <c r="H309" s="238"/>
      <c r="I309">
        <v>23.85</v>
      </c>
      <c r="J309" s="238">
        <v>18.71</v>
      </c>
      <c r="K309" s="238">
        <v>3.49</v>
      </c>
      <c r="L309" s="238">
        <v>2.11</v>
      </c>
      <c r="M309" s="238"/>
      <c r="N309" s="238">
        <v>7.09</v>
      </c>
      <c r="O309" s="238">
        <v>2.65</v>
      </c>
      <c r="P309" s="238"/>
      <c r="R309" s="238">
        <v>2.65</v>
      </c>
      <c r="S309">
        <v>57.9</v>
      </c>
      <c r="T309">
        <v>55.25</v>
      </c>
      <c r="U309" s="238">
        <v>56.58</v>
      </c>
      <c r="V309">
        <v>56.400000000000006</v>
      </c>
      <c r="W309" s="238">
        <v>80307.864000000001</v>
      </c>
      <c r="X309">
        <v>4015.3932</v>
      </c>
      <c r="Y309">
        <v>84323.257199999993</v>
      </c>
      <c r="AA309">
        <v>84323.257199999993</v>
      </c>
      <c r="AC309">
        <v>84323.257199999993</v>
      </c>
      <c r="AE309">
        <v>84323.257199999993</v>
      </c>
      <c r="AG309">
        <v>84323.257199999993</v>
      </c>
      <c r="AI309">
        <v>84323.257199999993</v>
      </c>
      <c r="AK309">
        <v>84323.257199999993</v>
      </c>
      <c r="AM309">
        <v>84323.257199999993</v>
      </c>
      <c r="AO309">
        <v>84323.257199999993</v>
      </c>
      <c r="AQ309">
        <v>84323.257199999993</v>
      </c>
      <c r="AS309">
        <v>84323.257199999993</v>
      </c>
      <c r="AU309">
        <v>84323.257199999993</v>
      </c>
      <c r="AW309">
        <v>84323.257199999993</v>
      </c>
      <c r="AY309">
        <v>84323.257199999993</v>
      </c>
      <c r="BA309">
        <v>84323.257199999993</v>
      </c>
      <c r="BC309">
        <v>84323.257199999993</v>
      </c>
      <c r="BE309">
        <v>84323.257199999993</v>
      </c>
      <c r="BG309">
        <v>84323.257199999993</v>
      </c>
      <c r="BI309">
        <v>84323.257199999993</v>
      </c>
      <c r="BK309">
        <v>84323.257199999993</v>
      </c>
      <c r="BM309">
        <v>84323.257199999993</v>
      </c>
      <c r="BO309">
        <v>84323.257199999993</v>
      </c>
      <c r="BQ309">
        <v>84323.257199999993</v>
      </c>
      <c r="BS309">
        <v>84323.257199999993</v>
      </c>
      <c r="BT309" s="238">
        <v>84323.26</v>
      </c>
      <c r="BU309" s="238">
        <v>4771010.05</v>
      </c>
      <c r="BX309" s="238">
        <v>0</v>
      </c>
      <c r="BY309" s="238">
        <v>84323.259985860743</v>
      </c>
      <c r="BZ309" s="238">
        <v>4771010.05</v>
      </c>
      <c r="CA309" s="238" t="s">
        <v>36</v>
      </c>
      <c r="CC309">
        <v>84323.259985860743</v>
      </c>
      <c r="CD309" s="238">
        <v>0</v>
      </c>
      <c r="CE309" s="238">
        <v>4771010.05</v>
      </c>
      <c r="CF309" t="s">
        <v>4633</v>
      </c>
      <c r="CH309" s="238" t="s">
        <v>39</v>
      </c>
      <c r="CI309" s="238" t="s">
        <v>39</v>
      </c>
      <c r="CJ309" t="s">
        <v>8950</v>
      </c>
      <c r="CK309" t="s">
        <v>1167</v>
      </c>
      <c r="CL309" t="s">
        <v>8961</v>
      </c>
      <c r="CM309" t="s">
        <v>8971</v>
      </c>
      <c r="CN309" s="238" t="b">
        <v>1</v>
      </c>
      <c r="CO309" t="s">
        <v>5597</v>
      </c>
      <c r="CQ309" t="s">
        <v>4895</v>
      </c>
      <c r="CR309" t="s">
        <v>3246</v>
      </c>
      <c r="CS309" t="s">
        <v>36</v>
      </c>
      <c r="CT309" t="b">
        <v>1</v>
      </c>
      <c r="CU309">
        <v>4771010.05</v>
      </c>
      <c r="CV309" t="s">
        <v>9002</v>
      </c>
      <c r="CW309">
        <v>0</v>
      </c>
      <c r="CX309">
        <v>4771010</v>
      </c>
      <c r="CY309">
        <v>0</v>
      </c>
      <c r="CZ309" t="b">
        <v>1</v>
      </c>
      <c r="DA309">
        <v>45187</v>
      </c>
      <c r="DB309" t="s">
        <v>130</v>
      </c>
      <c r="DC309">
        <v>-3.1813361611875424E-3</v>
      </c>
      <c r="DD309">
        <v>-268.26063622223728</v>
      </c>
      <c r="DE309" s="420" cm="1">
        <f t="array" ref="DE309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310" spans="1:109" hidden="1" x14ac:dyDescent="0.25">
      <c r="A310" s="238">
        <v>309</v>
      </c>
      <c r="B310" s="238" t="s">
        <v>16</v>
      </c>
      <c r="C310" s="238">
        <v>13</v>
      </c>
      <c r="D310" s="238">
        <v>4</v>
      </c>
      <c r="E310" s="238">
        <v>2</v>
      </c>
      <c r="F310" s="238">
        <v>15.45</v>
      </c>
      <c r="G310" s="238">
        <v>10.34</v>
      </c>
      <c r="H310" s="238"/>
      <c r="I310">
        <v>25.79</v>
      </c>
      <c r="J310" s="238">
        <v>15.44</v>
      </c>
      <c r="K310" s="238">
        <v>4.59</v>
      </c>
      <c r="L310" s="238">
        <v>2.21</v>
      </c>
      <c r="M310" s="238"/>
      <c r="N310" s="238">
        <v>10.79</v>
      </c>
      <c r="O310" s="238">
        <v>2.84</v>
      </c>
      <c r="P310" s="238"/>
      <c r="R310" s="238">
        <v>2.84</v>
      </c>
      <c r="S310">
        <v>61.66</v>
      </c>
      <c r="T310">
        <v>58.82</v>
      </c>
      <c r="U310" s="238">
        <v>60.24</v>
      </c>
      <c r="V310">
        <v>60.1</v>
      </c>
      <c r="W310" s="238">
        <v>82238.34150000001</v>
      </c>
      <c r="X310">
        <v>4111.9170750000003</v>
      </c>
      <c r="Y310">
        <v>86350.258575000014</v>
      </c>
      <c r="Z310">
        <v>2590.5077572500004</v>
      </c>
      <c r="AA310">
        <v>88940.766332250016</v>
      </c>
      <c r="AC310">
        <v>88940.766332250016</v>
      </c>
      <c r="AE310">
        <v>88940.766332250016</v>
      </c>
      <c r="AG310">
        <v>88940.766332250016</v>
      </c>
      <c r="AI310">
        <v>88940.766332250016</v>
      </c>
      <c r="AJ310">
        <v>889.40766332250018</v>
      </c>
      <c r="AK310">
        <v>89830.173995572535</v>
      </c>
      <c r="AL310">
        <v>4491.5086997786266</v>
      </c>
      <c r="AM310">
        <v>94321.682695351148</v>
      </c>
      <c r="AO310">
        <v>94321.682695351148</v>
      </c>
      <c r="AP310">
        <v>1886.433653907023</v>
      </c>
      <c r="AQ310">
        <v>96208.116349258169</v>
      </c>
      <c r="AS310">
        <v>96208.116349258169</v>
      </c>
      <c r="AT310">
        <v>1924.1623269851632</v>
      </c>
      <c r="AU310">
        <v>98132.278676243339</v>
      </c>
      <c r="AW310">
        <v>98132.278676243339</v>
      </c>
      <c r="AY310">
        <v>98132.278676243339</v>
      </c>
      <c r="BA310">
        <v>98132.278676243339</v>
      </c>
      <c r="BC310">
        <v>98132.278676243339</v>
      </c>
      <c r="BE310">
        <v>98132.278676243339</v>
      </c>
      <c r="BF310">
        <v>490.66139338121673</v>
      </c>
      <c r="BG310">
        <v>98622.940069624558</v>
      </c>
      <c r="BI310">
        <v>98622.940069624558</v>
      </c>
      <c r="BJ310">
        <v>3944.9176027849826</v>
      </c>
      <c r="BK310">
        <v>102567.85767240952</v>
      </c>
      <c r="BL310">
        <v>6154.0714603445722</v>
      </c>
      <c r="BM310">
        <v>108721.9291327541</v>
      </c>
      <c r="BN310">
        <v>14133.850787258034</v>
      </c>
      <c r="BO310">
        <v>122855.77992001214</v>
      </c>
      <c r="BP310">
        <v>35</v>
      </c>
      <c r="BQ310">
        <v>122890.77992001214</v>
      </c>
      <c r="BS310">
        <v>122890.77992001214</v>
      </c>
      <c r="BT310" s="238">
        <v>122890.78</v>
      </c>
      <c r="BU310" s="238">
        <v>7403000</v>
      </c>
      <c r="BW310">
        <v>0.03</v>
      </c>
      <c r="BX310" s="238">
        <v>222090</v>
      </c>
      <c r="BY310" s="238">
        <v>119205.01328021249</v>
      </c>
      <c r="BZ310" s="238">
        <v>7180910</v>
      </c>
      <c r="CA310" s="238" t="s">
        <v>38</v>
      </c>
      <c r="CB310">
        <v>25000</v>
      </c>
      <c r="CC310">
        <v>144205.01328021247</v>
      </c>
      <c r="CD310" s="238">
        <v>1506000</v>
      </c>
      <c r="CE310" s="238">
        <v>8686910</v>
      </c>
      <c r="CG310" t="s">
        <v>7756</v>
      </c>
      <c r="CH310" s="238" t="s">
        <v>39</v>
      </c>
      <c r="CI310" s="238" t="s">
        <v>39</v>
      </c>
      <c r="CJ310" t="s">
        <v>8950</v>
      </c>
      <c r="CK310" t="s">
        <v>1167</v>
      </c>
      <c r="CL310" t="s">
        <v>8961</v>
      </c>
      <c r="CM310" t="s">
        <v>8971</v>
      </c>
      <c r="CN310" s="238" t="b">
        <v>1</v>
      </c>
      <c r="CO310" t="s">
        <v>5598</v>
      </c>
      <c r="CQ310" t="s">
        <v>6652</v>
      </c>
      <c r="CR310" t="s">
        <v>3246</v>
      </c>
      <c r="CS310" t="s">
        <v>38</v>
      </c>
      <c r="CT310" t="b">
        <v>1</v>
      </c>
      <c r="CU310">
        <v>7403000</v>
      </c>
      <c r="CV310" t="s">
        <v>9002</v>
      </c>
      <c r="CW310">
        <v>0</v>
      </c>
      <c r="CX310">
        <v>7403000</v>
      </c>
      <c r="CY310">
        <v>0</v>
      </c>
      <c r="CZ310" t="b">
        <v>1</v>
      </c>
      <c r="DA310">
        <v>45742</v>
      </c>
      <c r="DB310" t="s">
        <v>126</v>
      </c>
      <c r="DC310">
        <v>-2.3240371845949515E-3</v>
      </c>
      <c r="DD310">
        <v>-277.03688345334882</v>
      </c>
      <c r="DE310" s="420" cm="1">
        <f t="array" ref="DE310">_xlfn.XLOOKUP("Дом 5"&amp;Реестр_Д5[[#This Row],[№]]&amp;Реестр_Д5[[#This Row],[Статус]],РД[Дом]&amp;РД[№ кв]&amp;РД[Состояние],РД[Дата подачи на регистрацию],"-",0)</f>
        <v>45742</v>
      </c>
    </row>
    <row r="311" spans="1:109" x14ac:dyDescent="0.25">
      <c r="A311" s="238">
        <v>310</v>
      </c>
      <c r="B311" s="238" t="s">
        <v>16</v>
      </c>
      <c r="C311" s="238">
        <v>13</v>
      </c>
      <c r="D311" s="238">
        <v>5</v>
      </c>
      <c r="E311" s="238">
        <v>1</v>
      </c>
      <c r="F311" s="238">
        <v>12.54</v>
      </c>
      <c r="G311" s="238"/>
      <c r="H311" s="238"/>
      <c r="I311">
        <v>12.54</v>
      </c>
      <c r="J311" s="238">
        <v>12.74</v>
      </c>
      <c r="K311" s="238">
        <v>4.0199999999999996</v>
      </c>
      <c r="L311" s="238"/>
      <c r="M311" s="238"/>
      <c r="N311" s="238">
        <v>7.09</v>
      </c>
      <c r="O311" s="238">
        <v>2.84</v>
      </c>
      <c r="P311" s="238"/>
      <c r="R311" s="238">
        <v>2.84</v>
      </c>
      <c r="S311">
        <v>39.229999999999997</v>
      </c>
      <c r="T311">
        <v>36.39</v>
      </c>
      <c r="U311" s="238">
        <v>37.81</v>
      </c>
      <c r="V311">
        <v>37.6</v>
      </c>
      <c r="W311" s="238">
        <v>89223.75</v>
      </c>
      <c r="X311">
        <v>4461.1875</v>
      </c>
      <c r="Y311">
        <v>93684.9375</v>
      </c>
      <c r="Z311">
        <v>2810.5481249999998</v>
      </c>
      <c r="AA311">
        <v>96495.485625000001</v>
      </c>
      <c r="AB311">
        <v>4342.2968531249999</v>
      </c>
      <c r="AC311">
        <v>100837.78247812499</v>
      </c>
      <c r="AE311">
        <v>100837.78247812499</v>
      </c>
      <c r="AF311">
        <v>5041.8891239062505</v>
      </c>
      <c r="AG311">
        <v>105879.67160203125</v>
      </c>
      <c r="AH311">
        <v>-620</v>
      </c>
      <c r="AI311">
        <v>105259.67160203125</v>
      </c>
      <c r="AJ311">
        <v>1052.5967160203124</v>
      </c>
      <c r="AK311">
        <v>106312.26831805156</v>
      </c>
      <c r="AL311">
        <v>5315.6134159025787</v>
      </c>
      <c r="AM311">
        <v>111627.88173395414</v>
      </c>
      <c r="AO311">
        <v>111627.88173395414</v>
      </c>
      <c r="AP311">
        <v>3348.8364520186242</v>
      </c>
      <c r="AQ311">
        <v>114976.71818597276</v>
      </c>
      <c r="AS311">
        <v>114976.71818597276</v>
      </c>
      <c r="AU311">
        <v>114976.71818597276</v>
      </c>
      <c r="AW311">
        <v>114976.71818597276</v>
      </c>
      <c r="AX311">
        <v>1149.7671818597278</v>
      </c>
      <c r="AY311">
        <v>116126.4853678325</v>
      </c>
      <c r="BA311">
        <v>116126.4853678325</v>
      </c>
      <c r="BC311">
        <v>116126.4853678325</v>
      </c>
      <c r="BE311">
        <v>116126.4853678325</v>
      </c>
      <c r="BF311">
        <v>580.63242683916258</v>
      </c>
      <c r="BG311">
        <v>116707.11779467166</v>
      </c>
      <c r="BI311">
        <v>116707.11779467166</v>
      </c>
      <c r="BK311">
        <v>116707.11779467166</v>
      </c>
      <c r="BL311">
        <v>5835.3558897335834</v>
      </c>
      <c r="BM311">
        <v>122542.47368440524</v>
      </c>
      <c r="BN311">
        <v>15930.521578972684</v>
      </c>
      <c r="BO311">
        <v>138472.99526337793</v>
      </c>
      <c r="BP311">
        <v>35</v>
      </c>
      <c r="BQ311">
        <v>138507.99526337793</v>
      </c>
      <c r="BS311">
        <v>138507.99526337793</v>
      </c>
      <c r="BT311" s="238">
        <v>138508</v>
      </c>
      <c r="BU311" s="238">
        <v>5208000</v>
      </c>
      <c r="BX311" s="238">
        <v>0</v>
      </c>
      <c r="BY311" s="238">
        <v>138510.63829787233</v>
      </c>
      <c r="BZ311" s="238">
        <v>5208000</v>
      </c>
      <c r="CA311" s="238" t="s">
        <v>36</v>
      </c>
      <c r="CC311">
        <v>138510.63829787233</v>
      </c>
      <c r="CD311" s="238">
        <v>0</v>
      </c>
      <c r="CE311" s="238">
        <v>5208000</v>
      </c>
      <c r="CH311" s="238" t="s">
        <v>3</v>
      </c>
      <c r="CI311" s="238" t="s">
        <v>3</v>
      </c>
      <c r="CJ311" t="s">
        <v>8951</v>
      </c>
      <c r="CK311" t="s">
        <v>1167</v>
      </c>
      <c r="CL311" t="s">
        <v>8961</v>
      </c>
      <c r="CM311" t="s">
        <v>8973</v>
      </c>
      <c r="CN311" s="238" t="b">
        <v>1</v>
      </c>
      <c r="CO311" t="s">
        <v>5599</v>
      </c>
      <c r="CQ311" t="s">
        <v>6652</v>
      </c>
      <c r="CR311" t="s">
        <v>3124</v>
      </c>
      <c r="CS311" t="s">
        <v>6871</v>
      </c>
      <c r="CT311" t="b">
        <v>0</v>
      </c>
      <c r="CU311">
        <v>5208000</v>
      </c>
      <c r="CV311">
        <v>5208000</v>
      </c>
      <c r="CW311">
        <v>0</v>
      </c>
      <c r="CX311">
        <v>0</v>
      </c>
      <c r="CY311">
        <v>0</v>
      </c>
      <c r="CZ311" t="b">
        <v>1</v>
      </c>
      <c r="DA311" t="s">
        <v>4246</v>
      </c>
      <c r="DB311" t="s">
        <v>1167</v>
      </c>
      <c r="DC311">
        <v>-5.5540862205766262E-3</v>
      </c>
      <c r="DD311">
        <v>-769.30002757348575</v>
      </c>
      <c r="DE311" s="420" t="str" cm="1">
        <f t="array" ref="DE31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12" spans="1:109" hidden="1" x14ac:dyDescent="0.25">
      <c r="A312" s="238">
        <v>311</v>
      </c>
      <c r="B312" s="238" t="s">
        <v>16</v>
      </c>
      <c r="C312" s="238">
        <v>13</v>
      </c>
      <c r="D312" s="238">
        <v>6</v>
      </c>
      <c r="E312" s="238">
        <v>3</v>
      </c>
      <c r="F312" s="238">
        <v>17.2</v>
      </c>
      <c r="G312" s="238">
        <v>14.64</v>
      </c>
      <c r="H312" s="238">
        <v>14.34</v>
      </c>
      <c r="I312">
        <v>46.18</v>
      </c>
      <c r="J312" s="238">
        <v>13.15</v>
      </c>
      <c r="K312" s="238">
        <v>4.03</v>
      </c>
      <c r="L312" s="238">
        <v>1.76</v>
      </c>
      <c r="M312" s="238"/>
      <c r="N312" s="238">
        <v>13.11</v>
      </c>
      <c r="O312" s="238">
        <v>2.79</v>
      </c>
      <c r="P312" s="238">
        <v>2.68</v>
      </c>
      <c r="R312" s="238">
        <v>5.4700000000000006</v>
      </c>
      <c r="S312">
        <v>83.7</v>
      </c>
      <c r="T312">
        <v>78.23</v>
      </c>
      <c r="U312" s="238">
        <v>80.97</v>
      </c>
      <c r="V312">
        <v>80.55</v>
      </c>
      <c r="W312" s="238">
        <v>73520.37000000001</v>
      </c>
      <c r="X312">
        <v>3676.0185000000006</v>
      </c>
      <c r="Y312">
        <v>77196.388500000015</v>
      </c>
      <c r="Z312">
        <v>2315.8916550000004</v>
      </c>
      <c r="AA312">
        <v>79512.280155000015</v>
      </c>
      <c r="AC312">
        <v>79512.280155000015</v>
      </c>
      <c r="AE312">
        <v>79512.280155000015</v>
      </c>
      <c r="AG312">
        <v>79512.280155000015</v>
      </c>
      <c r="AI312">
        <v>79512.280155000015</v>
      </c>
      <c r="AJ312">
        <v>795.12280155000019</v>
      </c>
      <c r="AK312">
        <v>80307.40295655001</v>
      </c>
      <c r="AL312">
        <v>4015.3701478275007</v>
      </c>
      <c r="AM312">
        <v>84322.773104377513</v>
      </c>
      <c r="AO312">
        <v>84322.773104377513</v>
      </c>
      <c r="AP312">
        <v>1686.4554620875504</v>
      </c>
      <c r="AQ312">
        <v>86009.22856646507</v>
      </c>
      <c r="AS312">
        <v>86009.22856646507</v>
      </c>
      <c r="AT312">
        <v>1720.1845713293014</v>
      </c>
      <c r="AU312">
        <v>87729.41313779437</v>
      </c>
      <c r="AW312">
        <v>87729.41313779437</v>
      </c>
      <c r="AX312">
        <v>877.2941313779437</v>
      </c>
      <c r="AY312">
        <v>88606.707269172315</v>
      </c>
      <c r="BA312">
        <v>88606.707269172315</v>
      </c>
      <c r="BC312">
        <v>88606.707269172315</v>
      </c>
      <c r="BE312">
        <v>88606.707269172315</v>
      </c>
      <c r="BG312">
        <v>88606.707269172315</v>
      </c>
      <c r="BI312">
        <v>88606.707269172315</v>
      </c>
      <c r="BK312">
        <v>88606.707269172315</v>
      </c>
      <c r="BM312">
        <v>88606.707269172315</v>
      </c>
      <c r="BO312">
        <v>88606.707269172315</v>
      </c>
      <c r="BQ312">
        <v>88606.707269172315</v>
      </c>
      <c r="BS312">
        <v>88606.707269172315</v>
      </c>
      <c r="BT312" s="238">
        <v>88606.71</v>
      </c>
      <c r="BU312" s="238">
        <v>7174500</v>
      </c>
      <c r="BX312" s="238">
        <v>0</v>
      </c>
      <c r="BY312" s="238">
        <v>88606.891441274551</v>
      </c>
      <c r="BZ312" s="238">
        <v>7174500</v>
      </c>
      <c r="CA312" s="238" t="s">
        <v>36</v>
      </c>
      <c r="CC312">
        <v>88606.891441274551</v>
      </c>
      <c r="CD312" s="238">
        <v>0</v>
      </c>
      <c r="CE312" s="238">
        <v>7174500</v>
      </c>
      <c r="CH312" s="238" t="s">
        <v>39</v>
      </c>
      <c r="CI312" s="238" t="s">
        <v>39</v>
      </c>
      <c r="CJ312" t="s">
        <v>8950</v>
      </c>
      <c r="CK312" t="s">
        <v>1167</v>
      </c>
      <c r="CL312" t="s">
        <v>8961</v>
      </c>
      <c r="CM312" t="s">
        <v>8975</v>
      </c>
      <c r="CN312" s="238" t="b">
        <v>1</v>
      </c>
      <c r="CO312" t="s">
        <v>5600</v>
      </c>
      <c r="CQ312" t="s">
        <v>6652</v>
      </c>
      <c r="CR312" t="s">
        <v>3246</v>
      </c>
      <c r="CS312" t="s">
        <v>36</v>
      </c>
      <c r="CT312" t="b">
        <v>1</v>
      </c>
      <c r="CU312">
        <v>7174500</v>
      </c>
      <c r="CV312" t="s">
        <v>9002</v>
      </c>
      <c r="CW312">
        <v>0</v>
      </c>
      <c r="CX312">
        <v>7174500</v>
      </c>
      <c r="CY312">
        <v>0</v>
      </c>
      <c r="CZ312" t="b">
        <v>1</v>
      </c>
      <c r="DA312">
        <v>45448</v>
      </c>
      <c r="DB312" t="s">
        <v>126</v>
      </c>
      <c r="DC312">
        <v>-5.1871063356798697E-3</v>
      </c>
      <c r="DD312">
        <v>-459.61336797993363</v>
      </c>
      <c r="DE312" s="420" cm="1">
        <f t="array" ref="DE312">_xlfn.XLOOKUP("Дом 5"&amp;Реестр_Д5[[#This Row],[№]]&amp;Реестр_Д5[[#This Row],[Статус]],РД[Дом]&amp;РД[№ кв]&amp;РД[Состояние],РД[Дата подачи на регистрацию],"-",0)</f>
        <v>45448</v>
      </c>
    </row>
    <row r="313" spans="1:109" hidden="1" x14ac:dyDescent="0.25">
      <c r="A313" s="238">
        <v>312</v>
      </c>
      <c r="B313" s="238" t="s">
        <v>16</v>
      </c>
      <c r="C313" s="238">
        <v>13</v>
      </c>
      <c r="D313" s="238">
        <v>7</v>
      </c>
      <c r="E313" s="238">
        <v>1</v>
      </c>
      <c r="F313" s="238">
        <v>14.3</v>
      </c>
      <c r="G313" s="238"/>
      <c r="H313" s="238"/>
      <c r="I313">
        <v>14.3</v>
      </c>
      <c r="J313" s="238">
        <v>9.2799999999999994</v>
      </c>
      <c r="K313" s="238">
        <v>3.79</v>
      </c>
      <c r="L313" s="238"/>
      <c r="M313" s="238"/>
      <c r="N313" s="238">
        <v>6.08</v>
      </c>
      <c r="O313" s="238">
        <v>2.71</v>
      </c>
      <c r="P313" s="238"/>
      <c r="R313" s="238">
        <v>2.71</v>
      </c>
      <c r="S313">
        <v>36.159999999999997</v>
      </c>
      <c r="T313">
        <v>33.450000000000003</v>
      </c>
      <c r="U313" s="238">
        <v>34.81</v>
      </c>
      <c r="V313">
        <v>34.799999999999997</v>
      </c>
      <c r="W313" s="238">
        <v>84762.5625</v>
      </c>
      <c r="X313">
        <v>4238.1281250000002</v>
      </c>
      <c r="Y313">
        <v>89000.690625000003</v>
      </c>
      <c r="Z313">
        <v>2670.02071875</v>
      </c>
      <c r="AA313">
        <v>91670.711343750023</v>
      </c>
      <c r="AB313">
        <v>4583.5355671875004</v>
      </c>
      <c r="AC313">
        <v>96254.246910937509</v>
      </c>
      <c r="AE313">
        <v>96254.246910937509</v>
      </c>
      <c r="AG313">
        <v>96254.246910937509</v>
      </c>
      <c r="AI313">
        <v>96254.246910937509</v>
      </c>
      <c r="AK313">
        <v>96254.246910937509</v>
      </c>
      <c r="AM313">
        <v>96254.246910937509</v>
      </c>
      <c r="AO313">
        <v>96254.246910937509</v>
      </c>
      <c r="AQ313">
        <v>96254.246910937509</v>
      </c>
      <c r="AS313">
        <v>96254.246910937509</v>
      </c>
      <c r="AU313">
        <v>96254.246910937509</v>
      </c>
      <c r="AW313">
        <v>96254.246910937509</v>
      </c>
      <c r="AY313">
        <v>96254.246910937509</v>
      </c>
      <c r="BA313">
        <v>96254.246910937509</v>
      </c>
      <c r="BC313">
        <v>96254.246910937509</v>
      </c>
      <c r="BE313">
        <v>96254.246910937509</v>
      </c>
      <c r="BG313">
        <v>96254.246910937509</v>
      </c>
      <c r="BI313">
        <v>96254.246910937509</v>
      </c>
      <c r="BK313">
        <v>96254.246910937509</v>
      </c>
      <c r="BM313">
        <v>96254.246910937509</v>
      </c>
      <c r="BO313">
        <v>96254.246910937509</v>
      </c>
      <c r="BQ313">
        <v>96254.246910937509</v>
      </c>
      <c r="BS313">
        <v>96254.246910937509</v>
      </c>
      <c r="BT313" s="238">
        <v>96254.25</v>
      </c>
      <c r="BU313" s="238">
        <v>3350610.44</v>
      </c>
      <c r="BX313" s="238">
        <v>0</v>
      </c>
      <c r="BY313" s="238">
        <v>96254.249928181554</v>
      </c>
      <c r="BZ313" s="238">
        <v>3350610.44</v>
      </c>
      <c r="CA313" s="238" t="s">
        <v>36</v>
      </c>
      <c r="CC313">
        <v>96254.249928181554</v>
      </c>
      <c r="CD313" s="238">
        <v>0</v>
      </c>
      <c r="CE313" s="238">
        <v>3350610.44</v>
      </c>
      <c r="CF313" t="s">
        <v>4633</v>
      </c>
      <c r="CH313" s="238" t="s">
        <v>39</v>
      </c>
      <c r="CI313" s="238" t="s">
        <v>39</v>
      </c>
      <c r="CJ313" t="s">
        <v>8950</v>
      </c>
      <c r="CK313" t="s">
        <v>1167</v>
      </c>
      <c r="CL313" t="s">
        <v>8961</v>
      </c>
      <c r="CM313" t="s">
        <v>8973</v>
      </c>
      <c r="CN313" s="238" t="b">
        <v>1</v>
      </c>
      <c r="CO313" t="s">
        <v>5601</v>
      </c>
      <c r="CQ313" t="s">
        <v>4895</v>
      </c>
      <c r="CR313" t="s">
        <v>3246</v>
      </c>
      <c r="CS313" t="s">
        <v>36</v>
      </c>
      <c r="CT313" t="b">
        <v>1</v>
      </c>
      <c r="CU313">
        <v>3350610.44</v>
      </c>
      <c r="CV313" t="s">
        <v>9002</v>
      </c>
      <c r="CW313">
        <v>0</v>
      </c>
      <c r="CX313">
        <v>3350610</v>
      </c>
      <c r="CY313">
        <v>0</v>
      </c>
      <c r="CZ313" t="b">
        <v>1</v>
      </c>
      <c r="DA313">
        <v>45184</v>
      </c>
      <c r="DB313" t="s">
        <v>3901</v>
      </c>
      <c r="DC313">
        <v>-2.8727377190473913E-4</v>
      </c>
      <c r="DD313">
        <v>-27.651321438730186</v>
      </c>
      <c r="DE313" s="420" cm="1">
        <f t="array" ref="DE313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314" spans="1:109" hidden="1" x14ac:dyDescent="0.25">
      <c r="A314" s="238">
        <v>313</v>
      </c>
      <c r="B314" s="238" t="s">
        <v>16</v>
      </c>
      <c r="C314" s="238">
        <v>14</v>
      </c>
      <c r="D314" s="238">
        <v>1</v>
      </c>
      <c r="E314" s="238">
        <v>2</v>
      </c>
      <c r="F314" s="238">
        <v>17.63</v>
      </c>
      <c r="G314" s="238">
        <v>13.69</v>
      </c>
      <c r="H314" s="238"/>
      <c r="I314">
        <v>31.32</v>
      </c>
      <c r="J314" s="238">
        <v>20.05</v>
      </c>
      <c r="K314" s="238">
        <v>3.54</v>
      </c>
      <c r="L314" s="238">
        <v>2.93</v>
      </c>
      <c r="M314" s="238"/>
      <c r="N314" s="238">
        <v>12.19</v>
      </c>
      <c r="O314" s="238">
        <v>4.6500000000000004</v>
      </c>
      <c r="P314" s="238">
        <v>2.68</v>
      </c>
      <c r="R314" s="238">
        <v>7.33</v>
      </c>
      <c r="S314">
        <v>77.36</v>
      </c>
      <c r="T314">
        <v>70.03</v>
      </c>
      <c r="U314" s="238">
        <v>73.7</v>
      </c>
      <c r="V314">
        <v>73.699999999999989</v>
      </c>
      <c r="W314" s="238">
        <v>80307.864000000001</v>
      </c>
      <c r="X314">
        <v>4015.3932</v>
      </c>
      <c r="Y314">
        <v>84323.257199999993</v>
      </c>
      <c r="Z314">
        <v>2529.6977160000001</v>
      </c>
      <c r="AA314">
        <v>86852.954916000002</v>
      </c>
      <c r="AC314">
        <v>86852.954916000002</v>
      </c>
      <c r="AE314">
        <v>86852.954916000002</v>
      </c>
      <c r="AG314">
        <v>86852.954916000002</v>
      </c>
      <c r="AI314">
        <v>86852.954916000002</v>
      </c>
      <c r="AJ314">
        <v>868.52954915999999</v>
      </c>
      <c r="AK314">
        <v>87721.48446516</v>
      </c>
      <c r="AL314">
        <v>4386.0742232580005</v>
      </c>
      <c r="AM314">
        <v>92107.558688417994</v>
      </c>
      <c r="AO314">
        <v>92107.558688417994</v>
      </c>
      <c r="AP314">
        <v>1842.15117376836</v>
      </c>
      <c r="AQ314">
        <v>93949.709862186355</v>
      </c>
      <c r="AS314">
        <v>93949.709862186355</v>
      </c>
      <c r="AT314">
        <v>1878.9941972437273</v>
      </c>
      <c r="AU314">
        <v>95828.704059430078</v>
      </c>
      <c r="AW314">
        <v>95828.704059430078</v>
      </c>
      <c r="AY314">
        <v>95828.704059430078</v>
      </c>
      <c r="BA314">
        <v>95828.704059430078</v>
      </c>
      <c r="BC314">
        <v>95828.704059430078</v>
      </c>
      <c r="BE314">
        <v>95828.704059430078</v>
      </c>
      <c r="BF314">
        <v>479.14352029715042</v>
      </c>
      <c r="BG314">
        <v>96307.847579727226</v>
      </c>
      <c r="BI314">
        <v>96307.847579727226</v>
      </c>
      <c r="BK314">
        <v>96307.847579727226</v>
      </c>
      <c r="BM314">
        <v>96307.847579727226</v>
      </c>
      <c r="BO314">
        <v>96307.847579727226</v>
      </c>
      <c r="BQ314">
        <v>96307.847579727226</v>
      </c>
      <c r="BS314">
        <v>96307.847579727226</v>
      </c>
      <c r="BT314" s="238">
        <v>96307.85</v>
      </c>
      <c r="BU314" s="238">
        <v>7097900</v>
      </c>
      <c r="BX314" s="238">
        <v>0</v>
      </c>
      <c r="BY314" s="238">
        <v>96308.005427408396</v>
      </c>
      <c r="BZ314" s="238">
        <v>7097900</v>
      </c>
      <c r="CA314" s="238" t="s">
        <v>6871</v>
      </c>
      <c r="CB314">
        <v>8000</v>
      </c>
      <c r="CC314">
        <v>104308.0054274084</v>
      </c>
      <c r="CD314" s="238">
        <v>589600</v>
      </c>
      <c r="CE314" s="238">
        <v>7687500</v>
      </c>
      <c r="CF314" t="s">
        <v>4635</v>
      </c>
      <c r="CH314" s="238" t="s">
        <v>39</v>
      </c>
      <c r="CI314" s="238" t="s">
        <v>39</v>
      </c>
      <c r="CJ314" t="s">
        <v>8950</v>
      </c>
      <c r="CK314" t="s">
        <v>1167</v>
      </c>
      <c r="CL314" t="s">
        <v>8961</v>
      </c>
      <c r="CM314" t="s">
        <v>8971</v>
      </c>
      <c r="CN314" s="238" t="b">
        <v>1</v>
      </c>
      <c r="CO314" t="s">
        <v>5602</v>
      </c>
      <c r="CQ314" t="s">
        <v>6652</v>
      </c>
      <c r="CR314" t="s">
        <v>3246</v>
      </c>
      <c r="CS314" t="s">
        <v>6871</v>
      </c>
      <c r="CT314" t="b">
        <v>1</v>
      </c>
      <c r="CU314">
        <v>7097900</v>
      </c>
      <c r="CV314" t="s">
        <v>9002</v>
      </c>
      <c r="CW314">
        <v>0</v>
      </c>
      <c r="CX314">
        <v>7097900</v>
      </c>
      <c r="CY314">
        <v>0</v>
      </c>
      <c r="CZ314" t="b">
        <v>1</v>
      </c>
      <c r="DA314">
        <v>45589</v>
      </c>
      <c r="DB314" t="s">
        <v>4177</v>
      </c>
      <c r="DC314">
        <v>0</v>
      </c>
      <c r="DD314">
        <v>0</v>
      </c>
      <c r="DE314" s="420" cm="1">
        <f t="array" ref="DE314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315" spans="1:109" x14ac:dyDescent="0.25">
      <c r="A315" s="238">
        <v>314</v>
      </c>
      <c r="B315" s="238" t="s">
        <v>16</v>
      </c>
      <c r="C315" s="238">
        <v>14</v>
      </c>
      <c r="D315" s="238">
        <v>2</v>
      </c>
      <c r="E315" s="238">
        <v>0</v>
      </c>
      <c r="F315" s="238">
        <v>7.18</v>
      </c>
      <c r="G315" s="238"/>
      <c r="H315" s="238"/>
      <c r="I315">
        <v>7.18</v>
      </c>
      <c r="J315" s="238">
        <v>5.17</v>
      </c>
      <c r="K315" s="238">
        <v>3.72</v>
      </c>
      <c r="L315" s="238"/>
      <c r="M315" s="238"/>
      <c r="N315" s="238">
        <v>6.97</v>
      </c>
      <c r="O315" s="238">
        <v>2.97</v>
      </c>
      <c r="P315" s="238"/>
      <c r="R315" s="238">
        <v>2.97</v>
      </c>
      <c r="S315">
        <v>26.01</v>
      </c>
      <c r="T315">
        <v>23.04</v>
      </c>
      <c r="U315" s="238">
        <v>24.53</v>
      </c>
      <c r="V315">
        <v>24.55</v>
      </c>
      <c r="W315" s="238">
        <v>92857.59</v>
      </c>
      <c r="X315">
        <v>4642.8795</v>
      </c>
      <c r="Y315">
        <v>97500.469500000007</v>
      </c>
      <c r="Z315">
        <v>2925.0140849999998</v>
      </c>
      <c r="AA315">
        <v>100425.48358499999</v>
      </c>
      <c r="AB315">
        <v>13055.312866050001</v>
      </c>
      <c r="AC315">
        <v>113480.79645105</v>
      </c>
      <c r="AD315">
        <v>3404.4238935314997</v>
      </c>
      <c r="AE315">
        <v>116885.2203445815</v>
      </c>
      <c r="AG315">
        <v>116885.2203445815</v>
      </c>
      <c r="AI315">
        <v>116885.2203445815</v>
      </c>
      <c r="AJ315">
        <v>1168.8522034458149</v>
      </c>
      <c r="AK315">
        <v>118054.07254802732</v>
      </c>
      <c r="AL315">
        <v>5902.7036274013662</v>
      </c>
      <c r="AM315">
        <v>123956.77617542868</v>
      </c>
      <c r="AO315">
        <v>123956.77617542868</v>
      </c>
      <c r="AP315">
        <v>3718.7032852628599</v>
      </c>
      <c r="AQ315">
        <v>127675.47946069154</v>
      </c>
      <c r="AS315">
        <v>127675.47946069154</v>
      </c>
      <c r="AU315">
        <v>127675.47946069154</v>
      </c>
      <c r="AW315">
        <v>127675.47946069154</v>
      </c>
      <c r="AX315">
        <v>1276.7547946069153</v>
      </c>
      <c r="AY315">
        <v>128952.23425529843</v>
      </c>
      <c r="BA315">
        <v>128952.23425529843</v>
      </c>
      <c r="BB315">
        <v>644.76117127649229</v>
      </c>
      <c r="BC315">
        <v>129596.99542657494</v>
      </c>
      <c r="BE315">
        <v>129596.99542657494</v>
      </c>
      <c r="BF315">
        <v>1943.954931398624</v>
      </c>
      <c r="BG315">
        <v>131540.95035797358</v>
      </c>
      <c r="BI315">
        <v>131540.95035797358</v>
      </c>
      <c r="BK315">
        <v>131540.95035797358</v>
      </c>
      <c r="BL315">
        <v>5261.6380143189435</v>
      </c>
      <c r="BM315">
        <v>136802.58837229252</v>
      </c>
      <c r="BN315">
        <v>17784.336488398028</v>
      </c>
      <c r="BO315">
        <v>154586.92486069055</v>
      </c>
      <c r="BP315">
        <v>35</v>
      </c>
      <c r="BQ315">
        <v>154621.92486069055</v>
      </c>
      <c r="BS315">
        <v>154621.92486069055</v>
      </c>
      <c r="BT315" s="238">
        <v>154621.92000000001</v>
      </c>
      <c r="BU315" s="238">
        <v>3796000</v>
      </c>
      <c r="BX315" s="238">
        <v>0</v>
      </c>
      <c r="BY315" s="238">
        <v>154623.21792260691</v>
      </c>
      <c r="BZ315" s="238">
        <v>3796000</v>
      </c>
      <c r="CA315" s="238" t="s">
        <v>36</v>
      </c>
      <c r="CC315">
        <v>154623.21792260691</v>
      </c>
      <c r="CD315" s="238">
        <v>0</v>
      </c>
      <c r="CE315" s="238">
        <v>3796000</v>
      </c>
      <c r="CH315" s="238" t="s">
        <v>3</v>
      </c>
      <c r="CI315" s="238" t="s">
        <v>3</v>
      </c>
      <c r="CJ315" t="s">
        <v>8951</v>
      </c>
      <c r="CK315" t="s">
        <v>1167</v>
      </c>
      <c r="CL315" t="s">
        <v>8961</v>
      </c>
      <c r="CM315" t="s">
        <v>8970</v>
      </c>
      <c r="CN315" s="238" t="b">
        <v>1</v>
      </c>
      <c r="CO315" t="s">
        <v>5603</v>
      </c>
      <c r="CQ315" t="s">
        <v>6652</v>
      </c>
      <c r="CR315" t="s">
        <v>3124</v>
      </c>
      <c r="CS315" t="s">
        <v>38</v>
      </c>
      <c r="CT315" t="b">
        <v>0</v>
      </c>
      <c r="CU315">
        <v>3796000</v>
      </c>
      <c r="CV315">
        <v>3796000</v>
      </c>
      <c r="CW315">
        <v>0</v>
      </c>
      <c r="CX315">
        <v>0</v>
      </c>
      <c r="CY315">
        <v>0</v>
      </c>
      <c r="CZ315" t="b">
        <v>1</v>
      </c>
      <c r="DA315" t="s">
        <v>4246</v>
      </c>
      <c r="DB315" t="s">
        <v>1167</v>
      </c>
      <c r="DC315">
        <v>8.1532816958818078E-4</v>
      </c>
      <c r="DD315">
        <v>126.0686652446735</v>
      </c>
      <c r="DE315" s="420" t="str" cm="1">
        <f t="array" ref="DE31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16" spans="1:109" hidden="1" x14ac:dyDescent="0.25">
      <c r="A316" s="238">
        <v>315</v>
      </c>
      <c r="B316" s="238" t="s">
        <v>16</v>
      </c>
      <c r="C316" s="238">
        <v>14</v>
      </c>
      <c r="D316" s="238">
        <v>3</v>
      </c>
      <c r="E316" s="238">
        <v>2</v>
      </c>
      <c r="F316" s="238">
        <v>13.69</v>
      </c>
      <c r="G316" s="238">
        <v>10.16</v>
      </c>
      <c r="H316" s="238"/>
      <c r="I316">
        <v>23.85</v>
      </c>
      <c r="J316" s="238">
        <v>18.71</v>
      </c>
      <c r="K316" s="238">
        <v>3.49</v>
      </c>
      <c r="L316" s="238">
        <v>2.11</v>
      </c>
      <c r="M316" s="238"/>
      <c r="N316" s="238">
        <v>7.09</v>
      </c>
      <c r="O316" s="238">
        <v>2.65</v>
      </c>
      <c r="P316" s="238"/>
      <c r="R316" s="238">
        <v>2.65</v>
      </c>
      <c r="S316">
        <v>57.9</v>
      </c>
      <c r="T316">
        <v>55.25</v>
      </c>
      <c r="U316" s="238">
        <v>56.58</v>
      </c>
      <c r="V316">
        <v>56.3</v>
      </c>
      <c r="W316" s="238">
        <v>81080.054999999993</v>
      </c>
      <c r="X316">
        <v>4054.002750000001</v>
      </c>
      <c r="Y316">
        <v>85134.057750000007</v>
      </c>
      <c r="Z316">
        <v>2554.0217325000003</v>
      </c>
      <c r="AA316">
        <v>87688.079482500005</v>
      </c>
      <c r="AC316">
        <v>87688.079482500005</v>
      </c>
      <c r="AE316">
        <v>87688.079482500005</v>
      </c>
      <c r="AG316">
        <v>87688.079482500005</v>
      </c>
      <c r="AI316">
        <v>87688.079482500005</v>
      </c>
      <c r="AJ316">
        <v>876.88079482499995</v>
      </c>
      <c r="AK316">
        <v>88564.960277325008</v>
      </c>
      <c r="AL316">
        <v>4428.2480138662504</v>
      </c>
      <c r="AM316">
        <v>92993.208291191258</v>
      </c>
      <c r="AO316">
        <v>92993.208291191258</v>
      </c>
      <c r="AP316">
        <v>1859.8641658238253</v>
      </c>
      <c r="AQ316">
        <v>94853.072457015078</v>
      </c>
      <c r="AS316">
        <v>94853.072457015078</v>
      </c>
      <c r="AT316">
        <v>1897.0614491403016</v>
      </c>
      <c r="AU316">
        <v>96750.133906155374</v>
      </c>
      <c r="AV316">
        <v>150</v>
      </c>
      <c r="AW316">
        <v>96900.133906155374</v>
      </c>
      <c r="AX316">
        <v>969.00133906155372</v>
      </c>
      <c r="AY316">
        <v>97869.135245216923</v>
      </c>
      <c r="BA316">
        <v>97869.135245216923</v>
      </c>
      <c r="BC316">
        <v>97869.135245216923</v>
      </c>
      <c r="BE316">
        <v>97869.135245216923</v>
      </c>
      <c r="BG316">
        <v>97869.135245216923</v>
      </c>
      <c r="BI316">
        <v>97869.135245216923</v>
      </c>
      <c r="BK316">
        <v>97869.135245216923</v>
      </c>
      <c r="BM316">
        <v>97869.135245216923</v>
      </c>
      <c r="BO316">
        <v>97869.135245216923</v>
      </c>
      <c r="BQ316">
        <v>97869.135245216923</v>
      </c>
      <c r="BS316">
        <v>97869.135245216923</v>
      </c>
      <c r="BT316" s="238">
        <v>97869.14</v>
      </c>
      <c r="BU316" s="238">
        <v>5537500</v>
      </c>
      <c r="BX316" s="238">
        <v>0</v>
      </c>
      <c r="BY316" s="238">
        <v>97870.272180982676</v>
      </c>
      <c r="BZ316" s="238">
        <v>5537500</v>
      </c>
      <c r="CA316" s="238" t="s">
        <v>38</v>
      </c>
      <c r="CB316">
        <v>20000</v>
      </c>
      <c r="CC316">
        <v>117870.27218098268</v>
      </c>
      <c r="CD316" s="238">
        <v>1131600</v>
      </c>
      <c r="CE316" s="238">
        <v>6669100</v>
      </c>
      <c r="CF316" t="s">
        <v>4633</v>
      </c>
      <c r="CH316" s="238" t="s">
        <v>39</v>
      </c>
      <c r="CI316" s="238" t="s">
        <v>39</v>
      </c>
      <c r="CJ316" t="s">
        <v>8950</v>
      </c>
      <c r="CK316" t="s">
        <v>1167</v>
      </c>
      <c r="CL316" t="s">
        <v>8961</v>
      </c>
      <c r="CM316" t="s">
        <v>8971</v>
      </c>
      <c r="CN316" s="238" t="b">
        <v>1</v>
      </c>
      <c r="CO316" t="s">
        <v>5604</v>
      </c>
      <c r="CQ316" t="s">
        <v>6652</v>
      </c>
      <c r="CR316" t="s">
        <v>3246</v>
      </c>
      <c r="CS316" t="s">
        <v>38</v>
      </c>
      <c r="CT316" t="b">
        <v>1</v>
      </c>
      <c r="CU316">
        <v>5537500</v>
      </c>
      <c r="CV316" t="s">
        <v>9002</v>
      </c>
      <c r="CW316">
        <v>0</v>
      </c>
      <c r="CX316">
        <v>5537500</v>
      </c>
      <c r="CY316">
        <v>0</v>
      </c>
      <c r="CZ316" t="b">
        <v>1</v>
      </c>
      <c r="DA316">
        <v>45469</v>
      </c>
      <c r="DB316" t="s">
        <v>4177</v>
      </c>
      <c r="DC316">
        <v>-4.9487451396252879E-3</v>
      </c>
      <c r="DD316">
        <v>-484.33503376944202</v>
      </c>
      <c r="DE316" s="420" cm="1">
        <f t="array" ref="DE316">_xlfn.XLOOKUP("Дом 5"&amp;Реестр_Д5[[#This Row],[№]]&amp;Реестр_Д5[[#This Row],[Статус]],РД[Дом]&amp;РД[№ кв]&amp;РД[Состояние],РД[Дата подачи на регистрацию],"-",0)</f>
        <v>45469</v>
      </c>
    </row>
    <row r="317" spans="1:109" hidden="1" x14ac:dyDescent="0.25">
      <c r="A317" s="238">
        <v>316</v>
      </c>
      <c r="B317" s="238" t="s">
        <v>16</v>
      </c>
      <c r="C317" s="238">
        <v>14</v>
      </c>
      <c r="D317" s="238">
        <v>4</v>
      </c>
      <c r="E317" s="238">
        <v>2</v>
      </c>
      <c r="F317" s="238">
        <v>15.45</v>
      </c>
      <c r="G317" s="238">
        <v>10.34</v>
      </c>
      <c r="H317" s="238"/>
      <c r="I317">
        <v>25.79</v>
      </c>
      <c r="J317" s="238">
        <v>15.44</v>
      </c>
      <c r="K317" s="238">
        <v>4.59</v>
      </c>
      <c r="L317" s="238">
        <v>2.21</v>
      </c>
      <c r="M317" s="238"/>
      <c r="N317" s="238">
        <v>10.79</v>
      </c>
      <c r="O317" s="238">
        <v>2.84</v>
      </c>
      <c r="P317" s="238"/>
      <c r="R317" s="238">
        <v>2.84</v>
      </c>
      <c r="S317">
        <v>61.66</v>
      </c>
      <c r="T317">
        <v>58.82</v>
      </c>
      <c r="U317" s="238">
        <v>60.24</v>
      </c>
      <c r="V317">
        <v>60.150000000000006</v>
      </c>
      <c r="W317" s="238">
        <v>83010.532500000001</v>
      </c>
      <c r="X317">
        <v>4150.5266250000004</v>
      </c>
      <c r="Y317">
        <v>87161.059125</v>
      </c>
      <c r="Z317">
        <v>2614.8317737499997</v>
      </c>
      <c r="AA317">
        <v>89775.890898750004</v>
      </c>
      <c r="AC317">
        <v>89775.890898750004</v>
      </c>
      <c r="AE317">
        <v>89775.890898750004</v>
      </c>
      <c r="AG317">
        <v>89775.890898750004</v>
      </c>
      <c r="AI317">
        <v>89775.890898750004</v>
      </c>
      <c r="AJ317">
        <v>897.75890898750004</v>
      </c>
      <c r="AK317">
        <v>90673.6498077375</v>
      </c>
      <c r="AL317">
        <v>4533.6824903868755</v>
      </c>
      <c r="AM317">
        <v>95207.332298124369</v>
      </c>
      <c r="AO317">
        <v>95207.332298124369</v>
      </c>
      <c r="AP317">
        <v>1904.1466459624871</v>
      </c>
      <c r="AQ317">
        <v>97111.478944086863</v>
      </c>
      <c r="AS317">
        <v>97111.478944086863</v>
      </c>
      <c r="AT317">
        <v>1942.2295788817371</v>
      </c>
      <c r="AU317">
        <v>99053.708522968605</v>
      </c>
      <c r="AW317">
        <v>99053.708522968605</v>
      </c>
      <c r="AY317">
        <v>99053.708522968605</v>
      </c>
      <c r="BA317">
        <v>99053.708522968605</v>
      </c>
      <c r="BC317">
        <v>99053.708522968605</v>
      </c>
      <c r="BE317">
        <v>99053.708522968605</v>
      </c>
      <c r="BF317">
        <v>495.26854261484306</v>
      </c>
      <c r="BG317">
        <v>99548.977065583444</v>
      </c>
      <c r="BI317">
        <v>99548.977065583444</v>
      </c>
      <c r="BK317">
        <v>99548.977065583444</v>
      </c>
      <c r="BM317">
        <v>99548.977065583444</v>
      </c>
      <c r="BO317">
        <v>99548.977065583444</v>
      </c>
      <c r="BQ317">
        <v>99548.977065583444</v>
      </c>
      <c r="BS317">
        <v>99548.977065583444</v>
      </c>
      <c r="BT317" s="238">
        <v>99548.98</v>
      </c>
      <c r="BU317" s="238">
        <v>5996900</v>
      </c>
      <c r="BX317" s="238">
        <v>0</v>
      </c>
      <c r="BY317" s="238">
        <v>99550.132802124834</v>
      </c>
      <c r="BZ317" s="238">
        <v>5996900</v>
      </c>
      <c r="CA317" s="238" t="s">
        <v>38</v>
      </c>
      <c r="CB317">
        <v>20000</v>
      </c>
      <c r="CC317">
        <v>119550.13280212483</v>
      </c>
      <c r="CD317" s="238">
        <v>1204800</v>
      </c>
      <c r="CE317" s="238">
        <v>7201700</v>
      </c>
      <c r="CH317" s="238" t="s">
        <v>39</v>
      </c>
      <c r="CI317" s="238" t="s">
        <v>39</v>
      </c>
      <c r="CJ317" t="s">
        <v>8950</v>
      </c>
      <c r="CK317" t="s">
        <v>1167</v>
      </c>
      <c r="CL317" t="s">
        <v>8961</v>
      </c>
      <c r="CM317" t="s">
        <v>8971</v>
      </c>
      <c r="CN317" s="238" t="b">
        <v>1</v>
      </c>
      <c r="CO317" t="s">
        <v>5605</v>
      </c>
      <c r="CQ317" t="s">
        <v>6652</v>
      </c>
      <c r="CR317" t="s">
        <v>3246</v>
      </c>
      <c r="CS317" t="s">
        <v>38</v>
      </c>
      <c r="CT317" t="b">
        <v>1</v>
      </c>
      <c r="CU317">
        <v>5996900</v>
      </c>
      <c r="CV317" t="s">
        <v>9002</v>
      </c>
      <c r="CW317">
        <v>0</v>
      </c>
      <c r="CX317">
        <v>5996900</v>
      </c>
      <c r="CY317">
        <v>0</v>
      </c>
      <c r="CZ317" t="b">
        <v>1</v>
      </c>
      <c r="DA317">
        <v>45587</v>
      </c>
      <c r="DB317" t="s">
        <v>5215</v>
      </c>
      <c r="DC317">
        <v>-1.4940239043823578E-3</v>
      </c>
      <c r="DD317">
        <v>-148.73027809081276</v>
      </c>
      <c r="DE317" s="420" cm="1">
        <f t="array" ref="DE317">_xlfn.XLOOKUP("Дом 5"&amp;Реестр_Д5[[#This Row],[№]]&amp;Реестр_Д5[[#This Row],[Статус]],РД[Дом]&amp;РД[№ кв]&amp;РД[Состояние],РД[Дата подачи на регистрацию],"-",0)</f>
        <v>45587</v>
      </c>
    </row>
    <row r="318" spans="1:109" hidden="1" x14ac:dyDescent="0.25">
      <c r="A318" s="238">
        <v>317</v>
      </c>
      <c r="B318" s="238" t="s">
        <v>16</v>
      </c>
      <c r="C318" s="238">
        <v>14</v>
      </c>
      <c r="D318" s="238">
        <v>5</v>
      </c>
      <c r="E318" s="238">
        <v>1</v>
      </c>
      <c r="F318" s="238">
        <v>12.54</v>
      </c>
      <c r="G318" s="238"/>
      <c r="H318" s="238"/>
      <c r="I318">
        <v>12.54</v>
      </c>
      <c r="J318" s="238">
        <v>12.74</v>
      </c>
      <c r="K318" s="238">
        <v>4.0199999999999996</v>
      </c>
      <c r="L318" s="238"/>
      <c r="M318" s="238"/>
      <c r="N318" s="238">
        <v>7.09</v>
      </c>
      <c r="O318" s="238">
        <v>2.84</v>
      </c>
      <c r="P318" s="238"/>
      <c r="R318" s="238">
        <v>2.84</v>
      </c>
      <c r="S318">
        <v>39.229999999999997</v>
      </c>
      <c r="T318">
        <v>36.39</v>
      </c>
      <c r="U318" s="238">
        <v>37.81</v>
      </c>
      <c r="V318">
        <v>37.549999999999997</v>
      </c>
      <c r="W318" s="238">
        <v>90034.875</v>
      </c>
      <c r="X318">
        <v>4501.7437500000005</v>
      </c>
      <c r="Y318">
        <v>94536.618749999994</v>
      </c>
      <c r="Z318">
        <v>2836.0985624999998</v>
      </c>
      <c r="AA318">
        <v>97372.717312499997</v>
      </c>
      <c r="AB318">
        <v>4381.7722790624994</v>
      </c>
      <c r="AC318">
        <v>101754.48959156248</v>
      </c>
      <c r="AE318">
        <v>101754.48959156248</v>
      </c>
      <c r="AF318">
        <v>5087.7244795781253</v>
      </c>
      <c r="AG318">
        <v>106842.21407114062</v>
      </c>
      <c r="AH318">
        <v>-620</v>
      </c>
      <c r="AI318">
        <v>106222.21407114062</v>
      </c>
      <c r="AJ318">
        <v>1062.2221407114062</v>
      </c>
      <c r="AK318">
        <v>107284.43621185204</v>
      </c>
      <c r="AL318">
        <v>5364.2218105926022</v>
      </c>
      <c r="AM318">
        <v>112648.65802244464</v>
      </c>
      <c r="AO318">
        <v>112648.65802244464</v>
      </c>
      <c r="AP318">
        <v>3379.4597406733392</v>
      </c>
      <c r="AQ318">
        <v>116028.11776311796</v>
      </c>
      <c r="AS318">
        <v>116028.11776311796</v>
      </c>
      <c r="AU318">
        <v>116028.11776311796</v>
      </c>
      <c r="AW318">
        <v>116028.11776311796</v>
      </c>
      <c r="AY318">
        <v>116028.11776311796</v>
      </c>
      <c r="BA318">
        <v>116028.11776311796</v>
      </c>
      <c r="BC318">
        <v>116028.11776311796</v>
      </c>
      <c r="BE318">
        <v>116028.11776311796</v>
      </c>
      <c r="BG318">
        <v>116028.11776311796</v>
      </c>
      <c r="BI318">
        <v>116028.11776311796</v>
      </c>
      <c r="BK318">
        <v>116028.11776311796</v>
      </c>
      <c r="BM318">
        <v>116028.11776311796</v>
      </c>
      <c r="BO318">
        <v>116028.11776311796</v>
      </c>
      <c r="BQ318">
        <v>116028.11776311796</v>
      </c>
      <c r="BS318">
        <v>116028.11776311796</v>
      </c>
      <c r="BT318" s="238">
        <v>116028.12</v>
      </c>
      <c r="BU318" s="238">
        <v>4387100</v>
      </c>
      <c r="BV318">
        <v>88888</v>
      </c>
      <c r="BX318" s="238">
        <v>88888</v>
      </c>
      <c r="BY318" s="238">
        <v>113679.23829674687</v>
      </c>
      <c r="BZ318" s="238">
        <v>4298212</v>
      </c>
      <c r="CA318" s="238" t="s">
        <v>36</v>
      </c>
      <c r="CC318">
        <v>113679.23829674687</v>
      </c>
      <c r="CD318" s="238">
        <v>0</v>
      </c>
      <c r="CE318" s="238">
        <v>4298212</v>
      </c>
      <c r="CG318" t="s">
        <v>4185</v>
      </c>
      <c r="CH318" s="238" t="s">
        <v>39</v>
      </c>
      <c r="CI318" s="238" t="s">
        <v>39</v>
      </c>
      <c r="CJ318" t="s">
        <v>8950</v>
      </c>
      <c r="CK318" t="s">
        <v>1167</v>
      </c>
      <c r="CL318" t="s">
        <v>8961</v>
      </c>
      <c r="CM318" t="s">
        <v>8973</v>
      </c>
      <c r="CN318" s="238" t="b">
        <v>1</v>
      </c>
      <c r="CO318" t="s">
        <v>5606</v>
      </c>
      <c r="CQ318" t="s">
        <v>6652</v>
      </c>
      <c r="CR318" t="s">
        <v>3246</v>
      </c>
      <c r="CS318" t="s">
        <v>36</v>
      </c>
      <c r="CT318" t="b">
        <v>1</v>
      </c>
      <c r="CU318">
        <v>4387100</v>
      </c>
      <c r="CV318" t="s">
        <v>9002</v>
      </c>
      <c r="CW318">
        <v>0</v>
      </c>
      <c r="CX318">
        <v>4387100</v>
      </c>
      <c r="CY318">
        <v>0</v>
      </c>
      <c r="CZ318" t="b">
        <v>1</v>
      </c>
      <c r="DA318">
        <v>45372</v>
      </c>
      <c r="DB318" t="s">
        <v>5215</v>
      </c>
      <c r="DC318">
        <v>-6.8764877016661563E-3</v>
      </c>
      <c r="DD318">
        <v>-781.71388408235634</v>
      </c>
      <c r="DE318" s="420" cm="1">
        <f t="array" ref="DE318">_xlfn.XLOOKUP("Дом 5"&amp;Реестр_Д5[[#This Row],[№]]&amp;Реестр_Д5[[#This Row],[Статус]],РД[Дом]&amp;РД[№ кв]&amp;РД[Состояние],РД[Дата подачи на регистрацию],"-",0)</f>
        <v>45372</v>
      </c>
    </row>
    <row r="319" spans="1:109" x14ac:dyDescent="0.25">
      <c r="A319" s="238">
        <v>318</v>
      </c>
      <c r="B319" s="238" t="s">
        <v>16</v>
      </c>
      <c r="C319" s="238">
        <v>14</v>
      </c>
      <c r="D319" s="238">
        <v>6</v>
      </c>
      <c r="E319" s="238">
        <v>3</v>
      </c>
      <c r="F319" s="238">
        <v>17.2</v>
      </c>
      <c r="G319" s="238">
        <v>14.64</v>
      </c>
      <c r="H319" s="238">
        <v>14.34</v>
      </c>
      <c r="I319">
        <v>46.18</v>
      </c>
      <c r="J319" s="238">
        <v>13.15</v>
      </c>
      <c r="K319" s="238">
        <v>4.03</v>
      </c>
      <c r="L319" s="238">
        <v>1.76</v>
      </c>
      <c r="M319" s="238"/>
      <c r="N319" s="238">
        <v>13.11</v>
      </c>
      <c r="O319" s="238">
        <v>2.79</v>
      </c>
      <c r="P319" s="238">
        <v>2.68</v>
      </c>
      <c r="R319" s="238">
        <v>5.4700000000000006</v>
      </c>
      <c r="S319">
        <v>83.7</v>
      </c>
      <c r="T319">
        <v>78.23</v>
      </c>
      <c r="U319" s="238">
        <v>80.97</v>
      </c>
      <c r="V319">
        <v>80.650000000000006</v>
      </c>
      <c r="W319" s="238">
        <v>74234.160000000018</v>
      </c>
      <c r="X319">
        <v>3711.708000000001</v>
      </c>
      <c r="Y319">
        <v>77945.868000000017</v>
      </c>
      <c r="Z319">
        <v>2338.376040000001</v>
      </c>
      <c r="AA319">
        <v>80284.24404000002</v>
      </c>
      <c r="AC319">
        <v>80284.24404000002</v>
      </c>
      <c r="AE319">
        <v>80284.24404000002</v>
      </c>
      <c r="AG319">
        <v>80284.24404000002</v>
      </c>
      <c r="AI319">
        <v>80284.24404000002</v>
      </c>
      <c r="AJ319">
        <v>802.84244040000021</v>
      </c>
      <c r="AK319">
        <v>81087.086480400016</v>
      </c>
      <c r="AL319">
        <v>4054.3543240200006</v>
      </c>
      <c r="AM319">
        <v>85141.44080442001</v>
      </c>
      <c r="AO319">
        <v>85141.44080442001</v>
      </c>
      <c r="AP319">
        <v>1702.8288160884003</v>
      </c>
      <c r="AQ319">
        <v>86844.269620508407</v>
      </c>
      <c r="AS319">
        <v>86844.269620508407</v>
      </c>
      <c r="AT319">
        <v>1736.8853924101682</v>
      </c>
      <c r="AU319">
        <v>88581.155012918578</v>
      </c>
      <c r="AW319">
        <v>88581.155012918578</v>
      </c>
      <c r="AX319">
        <v>885.81155012918578</v>
      </c>
      <c r="AY319">
        <v>89466.966563047783</v>
      </c>
      <c r="BA319">
        <v>89466.966563047783</v>
      </c>
      <c r="BB319">
        <v>447.33483281523883</v>
      </c>
      <c r="BC319">
        <v>89914.301395863004</v>
      </c>
      <c r="BD319">
        <v>1798.2860279172601</v>
      </c>
      <c r="BE319">
        <v>91712.587423780249</v>
      </c>
      <c r="BF319">
        <v>1375.6888113567038</v>
      </c>
      <c r="BG319">
        <v>93088.27623513696</v>
      </c>
      <c r="BI319">
        <v>93088.27623513696</v>
      </c>
      <c r="BJ319">
        <v>3723.5310494054784</v>
      </c>
      <c r="BK319">
        <v>96811.807284542432</v>
      </c>
      <c r="BL319">
        <v>4840.5903642271214</v>
      </c>
      <c r="BM319">
        <v>101652.39764876956</v>
      </c>
      <c r="BN319">
        <v>13214.811694340042</v>
      </c>
      <c r="BO319">
        <v>114867.2093431096</v>
      </c>
      <c r="BP319">
        <v>35</v>
      </c>
      <c r="BQ319">
        <v>114902.2093431096</v>
      </c>
      <c r="BS319">
        <v>114902.2093431096</v>
      </c>
      <c r="BT319" s="238">
        <v>114902.21</v>
      </c>
      <c r="BU319" s="238">
        <v>9266900</v>
      </c>
      <c r="BX319" s="238">
        <v>0</v>
      </c>
      <c r="BY319" s="238">
        <v>114902.66584004959</v>
      </c>
      <c r="BZ319" s="238">
        <v>9266900</v>
      </c>
      <c r="CA319" s="238" t="s">
        <v>36</v>
      </c>
      <c r="CC319">
        <v>114902.66584004959</v>
      </c>
      <c r="CD319" s="238">
        <v>0</v>
      </c>
      <c r="CE319" s="238">
        <v>9266900</v>
      </c>
      <c r="CH319" s="238" t="s">
        <v>3</v>
      </c>
      <c r="CI319" s="238" t="s">
        <v>3</v>
      </c>
      <c r="CJ319" t="s">
        <v>8951</v>
      </c>
      <c r="CK319" t="s">
        <v>1167</v>
      </c>
      <c r="CL319" t="s">
        <v>8961</v>
      </c>
      <c r="CM319" t="s">
        <v>8975</v>
      </c>
      <c r="CN319" s="238" t="b">
        <v>1</v>
      </c>
      <c r="CO319" t="s">
        <v>5607</v>
      </c>
      <c r="CQ319" t="s">
        <v>6652</v>
      </c>
      <c r="CR319" t="s">
        <v>3124</v>
      </c>
      <c r="CS319" t="s">
        <v>36</v>
      </c>
      <c r="CT319" t="b">
        <v>1</v>
      </c>
      <c r="CU319">
        <v>9266900</v>
      </c>
      <c r="CV319">
        <v>9266900</v>
      </c>
      <c r="CW319">
        <v>0</v>
      </c>
      <c r="CX319">
        <v>0</v>
      </c>
      <c r="CY319">
        <v>0</v>
      </c>
      <c r="CZ319" t="b">
        <v>1</v>
      </c>
      <c r="DA319" t="s">
        <v>4246</v>
      </c>
      <c r="DB319" t="s">
        <v>1167</v>
      </c>
      <c r="DC319">
        <v>-3.9520810176607579E-3</v>
      </c>
      <c r="DD319">
        <v>-454.10464454507729</v>
      </c>
      <c r="DE319" s="420" t="str" cm="1">
        <f t="array" ref="DE31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20" spans="1:109" hidden="1" x14ac:dyDescent="0.25">
      <c r="A320" s="238">
        <v>319</v>
      </c>
      <c r="B320" s="238" t="s">
        <v>16</v>
      </c>
      <c r="C320" s="238">
        <v>14</v>
      </c>
      <c r="D320" s="238">
        <v>7</v>
      </c>
      <c r="E320" s="238">
        <v>1</v>
      </c>
      <c r="F320" s="238">
        <v>14.3</v>
      </c>
      <c r="G320" s="238"/>
      <c r="H320" s="238"/>
      <c r="I320">
        <v>14.3</v>
      </c>
      <c r="J320" s="238">
        <v>9.2799999999999994</v>
      </c>
      <c r="K320" s="238">
        <v>3.79</v>
      </c>
      <c r="L320" s="238"/>
      <c r="M320" s="238"/>
      <c r="N320" s="238">
        <v>6.08</v>
      </c>
      <c r="O320" s="238">
        <v>2.71</v>
      </c>
      <c r="P320" s="238"/>
      <c r="R320" s="238">
        <v>2.71</v>
      </c>
      <c r="S320">
        <v>36.159999999999997</v>
      </c>
      <c r="T320">
        <v>33.450000000000003</v>
      </c>
      <c r="U320" s="238">
        <v>34.81</v>
      </c>
      <c r="V320">
        <v>34.85</v>
      </c>
      <c r="W320" s="238">
        <v>85573.6875</v>
      </c>
      <c r="X320">
        <v>4278.6843749999998</v>
      </c>
      <c r="Y320">
        <v>89852.371874999997</v>
      </c>
      <c r="Z320">
        <v>2695.5711562499996</v>
      </c>
      <c r="AA320">
        <v>92547.943031250004</v>
      </c>
      <c r="AB320">
        <v>12956.712024375</v>
      </c>
      <c r="AC320">
        <v>105504.655055625</v>
      </c>
      <c r="AE320">
        <v>105504.655055625</v>
      </c>
      <c r="AF320">
        <v>5275.2327527812495</v>
      </c>
      <c r="AG320">
        <v>110779.88780840625</v>
      </c>
      <c r="AI320">
        <v>110779.88780840625</v>
      </c>
      <c r="AJ320">
        <v>1107.7988780840624</v>
      </c>
      <c r="AK320">
        <v>111887.6866864903</v>
      </c>
      <c r="AL320">
        <v>5594.3843343245153</v>
      </c>
      <c r="AM320">
        <v>117482.07102081479</v>
      </c>
      <c r="AO320">
        <v>117482.07102081479</v>
      </c>
      <c r="AP320">
        <v>3524.4621306244439</v>
      </c>
      <c r="AQ320">
        <v>121006.53315143925</v>
      </c>
      <c r="AS320">
        <v>121006.53315143925</v>
      </c>
      <c r="AU320">
        <v>121006.53315143925</v>
      </c>
      <c r="AW320">
        <v>121006.53315143925</v>
      </c>
      <c r="AY320">
        <v>121006.53315143925</v>
      </c>
      <c r="BA320">
        <v>121006.53315143925</v>
      </c>
      <c r="BC320">
        <v>121006.53315143925</v>
      </c>
      <c r="BE320">
        <v>121006.53315143925</v>
      </c>
      <c r="BG320">
        <v>121006.53315143925</v>
      </c>
      <c r="BI320">
        <v>121006.53315143925</v>
      </c>
      <c r="BK320">
        <v>121006.53315143925</v>
      </c>
      <c r="BM320">
        <v>121006.53315143925</v>
      </c>
      <c r="BO320">
        <v>121006.53315143925</v>
      </c>
      <c r="BQ320">
        <v>121006.53315143925</v>
      </c>
      <c r="BS320">
        <v>121006.53315143925</v>
      </c>
      <c r="BT320" s="238">
        <v>121006.53</v>
      </c>
      <c r="BU320" s="238">
        <v>4212300</v>
      </c>
      <c r="BX320" s="238">
        <v>0</v>
      </c>
      <c r="BY320" s="238">
        <v>121008.33093938524</v>
      </c>
      <c r="BZ320" s="238">
        <v>4212300</v>
      </c>
      <c r="CA320" s="238" t="s">
        <v>38</v>
      </c>
      <c r="CB320">
        <v>20000</v>
      </c>
      <c r="CC320">
        <v>141008.33093938525</v>
      </c>
      <c r="CD320" s="238">
        <v>696200</v>
      </c>
      <c r="CE320" s="238">
        <v>4908500</v>
      </c>
      <c r="CF320" t="s">
        <v>4633</v>
      </c>
      <c r="CH320" s="238" t="s">
        <v>39</v>
      </c>
      <c r="CI320" s="238" t="s">
        <v>39</v>
      </c>
      <c r="CJ320" t="s">
        <v>8950</v>
      </c>
      <c r="CK320" t="s">
        <v>1167</v>
      </c>
      <c r="CL320" t="s">
        <v>8961</v>
      </c>
      <c r="CM320" t="s">
        <v>8973</v>
      </c>
      <c r="CN320" s="238" t="b">
        <v>1</v>
      </c>
      <c r="CO320" t="s">
        <v>5608</v>
      </c>
      <c r="CQ320" t="s">
        <v>6652</v>
      </c>
      <c r="CR320" t="s">
        <v>3246</v>
      </c>
      <c r="CS320" t="s">
        <v>38</v>
      </c>
      <c r="CT320" t="b">
        <v>1</v>
      </c>
      <c r="CU320">
        <v>4212300</v>
      </c>
      <c r="CV320" t="s">
        <v>9002</v>
      </c>
      <c r="CW320">
        <v>0</v>
      </c>
      <c r="CX320">
        <v>4212300</v>
      </c>
      <c r="CY320">
        <v>0</v>
      </c>
      <c r="CZ320" t="b">
        <v>1</v>
      </c>
      <c r="DA320">
        <v>45419</v>
      </c>
      <c r="DB320" t="s">
        <v>126</v>
      </c>
      <c r="DC320">
        <v>1.1490950876185124E-3</v>
      </c>
      <c r="DD320">
        <v>139.05007864336281</v>
      </c>
      <c r="DE320" s="420" cm="1">
        <f t="array" ref="DE320">_xlfn.XLOOKUP("Дом 5"&amp;Реестр_Д5[[#This Row],[№]]&amp;Реестр_Д5[[#This Row],[Статус]],РД[Дом]&amp;РД[№ кв]&amp;РД[Состояние],РД[Дата подачи на регистрацию],"-",0)</f>
        <v>45419</v>
      </c>
    </row>
    <row r="321" spans="1:109" x14ac:dyDescent="0.25">
      <c r="A321" s="238">
        <v>320</v>
      </c>
      <c r="B321" s="238" t="s">
        <v>16</v>
      </c>
      <c r="C321" s="238">
        <v>15</v>
      </c>
      <c r="D321" s="238">
        <v>1</v>
      </c>
      <c r="E321" s="238">
        <v>2</v>
      </c>
      <c r="F321" s="238">
        <v>17.63</v>
      </c>
      <c r="G321" s="238">
        <v>13.69</v>
      </c>
      <c r="H321" s="238"/>
      <c r="I321">
        <v>31.32</v>
      </c>
      <c r="J321" s="238">
        <v>20.05</v>
      </c>
      <c r="K321" s="238">
        <v>3.54</v>
      </c>
      <c r="L321" s="238">
        <v>2.93</v>
      </c>
      <c r="M321" s="238"/>
      <c r="N321" s="238">
        <v>12.19</v>
      </c>
      <c r="O321" s="238">
        <v>4.6500000000000004</v>
      </c>
      <c r="P321" s="238">
        <v>2.68</v>
      </c>
      <c r="R321" s="238">
        <v>7.33</v>
      </c>
      <c r="S321">
        <v>77.36</v>
      </c>
      <c r="T321">
        <v>70.03</v>
      </c>
      <c r="U321" s="238">
        <v>73.7</v>
      </c>
      <c r="V321">
        <v>73.499999999999986</v>
      </c>
      <c r="W321" s="238">
        <v>78763.482000000004</v>
      </c>
      <c r="X321">
        <v>3938.1741000000002</v>
      </c>
      <c r="Y321">
        <v>82701.656099999993</v>
      </c>
      <c r="Z321">
        <v>2481.0496830000002</v>
      </c>
      <c r="AA321">
        <v>85182.705783000012</v>
      </c>
      <c r="AC321">
        <v>85182.705783000012</v>
      </c>
      <c r="AE321">
        <v>85182.705783000012</v>
      </c>
      <c r="AG321">
        <v>85182.705783000012</v>
      </c>
      <c r="AI321">
        <v>85182.705783000012</v>
      </c>
      <c r="AJ321">
        <v>851.82705783000017</v>
      </c>
      <c r="AK321">
        <v>86034.532840830012</v>
      </c>
      <c r="AL321">
        <v>4301.7266420415008</v>
      </c>
      <c r="AM321">
        <v>90336.259482871508</v>
      </c>
      <c r="AO321">
        <v>90336.259482871508</v>
      </c>
      <c r="AP321">
        <v>1806.7251896574303</v>
      </c>
      <c r="AQ321">
        <v>92142.984672528939</v>
      </c>
      <c r="AS321">
        <v>92142.984672528939</v>
      </c>
      <c r="AT321">
        <v>1842.8596934505788</v>
      </c>
      <c r="AU321">
        <v>93985.844365979516</v>
      </c>
      <c r="AW321">
        <v>93985.844365979516</v>
      </c>
      <c r="AY321">
        <v>93985.844365979516</v>
      </c>
      <c r="BA321">
        <v>93985.844365979516</v>
      </c>
      <c r="BC321">
        <v>93985.844365979516</v>
      </c>
      <c r="BE321">
        <v>93985.844365979516</v>
      </c>
      <c r="BF321">
        <v>469.92922182989759</v>
      </c>
      <c r="BG321">
        <v>94455.773587809395</v>
      </c>
      <c r="BI321">
        <v>94455.773587809395</v>
      </c>
      <c r="BK321">
        <v>94455.773587809395</v>
      </c>
      <c r="BL321">
        <v>7556.4618870247532</v>
      </c>
      <c r="BM321">
        <v>102012.23547483416</v>
      </c>
      <c r="BN321">
        <v>13261.590611728439</v>
      </c>
      <c r="BO321">
        <v>115273.82608656261</v>
      </c>
      <c r="BP321">
        <v>35</v>
      </c>
      <c r="BQ321">
        <v>115308.82608656261</v>
      </c>
      <c r="BS321">
        <v>115308.82608656261</v>
      </c>
      <c r="BT321" s="238">
        <v>115308.83</v>
      </c>
      <c r="BU321" s="238">
        <v>8475200</v>
      </c>
      <c r="BX321" s="238">
        <v>0</v>
      </c>
      <c r="BY321" s="238">
        <v>115308.84353741498</v>
      </c>
      <c r="BZ321" s="238">
        <v>8475200</v>
      </c>
      <c r="CA321" s="238" t="s">
        <v>36</v>
      </c>
      <c r="CC321">
        <v>115308.84353741498</v>
      </c>
      <c r="CD321" s="238">
        <v>0</v>
      </c>
      <c r="CE321" s="238">
        <v>8475200</v>
      </c>
      <c r="CF321" t="s">
        <v>4635</v>
      </c>
      <c r="CH321" s="238" t="s">
        <v>3</v>
      </c>
      <c r="CI321" s="238" t="s">
        <v>3</v>
      </c>
      <c r="CJ321" t="s">
        <v>8951</v>
      </c>
      <c r="CK321" t="s">
        <v>1167</v>
      </c>
      <c r="CL321" t="s">
        <v>8961</v>
      </c>
      <c r="CM321" t="s">
        <v>8971</v>
      </c>
      <c r="CN321" s="238" t="b">
        <v>1</v>
      </c>
      <c r="CO321" t="s">
        <v>5609</v>
      </c>
      <c r="CQ321" t="s">
        <v>6652</v>
      </c>
      <c r="CR321" t="s">
        <v>3124</v>
      </c>
      <c r="CS321" t="s">
        <v>36</v>
      </c>
      <c r="CT321" t="b">
        <v>1</v>
      </c>
      <c r="CU321">
        <v>8475200</v>
      </c>
      <c r="CV321">
        <v>8475200</v>
      </c>
      <c r="CW321">
        <v>0</v>
      </c>
      <c r="CX321">
        <v>0</v>
      </c>
      <c r="CY321">
        <v>0</v>
      </c>
      <c r="CZ321" t="b">
        <v>1</v>
      </c>
      <c r="DA321" t="s">
        <v>4246</v>
      </c>
      <c r="DB321" t="s">
        <v>1167</v>
      </c>
      <c r="DC321">
        <v>-2.7137042062417298E-3</v>
      </c>
      <c r="DD321">
        <v>-312.91409372435248</v>
      </c>
      <c r="DE321" s="420" t="str" cm="1">
        <f t="array" ref="DE32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22" spans="1:109" hidden="1" x14ac:dyDescent="0.25">
      <c r="A322" s="238">
        <v>321</v>
      </c>
      <c r="B322" s="238" t="s">
        <v>16</v>
      </c>
      <c r="C322" s="238">
        <v>15</v>
      </c>
      <c r="D322" s="238">
        <v>2</v>
      </c>
      <c r="E322" s="238">
        <v>0</v>
      </c>
      <c r="F322" s="238">
        <v>7.18</v>
      </c>
      <c r="G322" s="238"/>
      <c r="H322" s="238"/>
      <c r="I322">
        <v>7.18</v>
      </c>
      <c r="J322" s="238">
        <v>5.17</v>
      </c>
      <c r="K322" s="238">
        <v>3.72</v>
      </c>
      <c r="L322" s="238"/>
      <c r="M322" s="238"/>
      <c r="N322" s="238">
        <v>6.97</v>
      </c>
      <c r="O322" s="238">
        <v>2.97</v>
      </c>
      <c r="P322" s="238"/>
      <c r="R322" s="238">
        <v>2.97</v>
      </c>
      <c r="S322">
        <v>26.01</v>
      </c>
      <c r="T322">
        <v>23.04</v>
      </c>
      <c r="U322" s="238">
        <v>24.53</v>
      </c>
      <c r="V322">
        <v>24.35</v>
      </c>
      <c r="W322" s="238">
        <v>91981.574999999997</v>
      </c>
      <c r="X322">
        <v>4599.0787499999997</v>
      </c>
      <c r="Y322">
        <v>96580.653749999998</v>
      </c>
      <c r="Z322">
        <v>2897.4196124999999</v>
      </c>
      <c r="AA322">
        <v>99478.073362499999</v>
      </c>
      <c r="AB322">
        <v>12932.149537125</v>
      </c>
      <c r="AC322">
        <v>112410.22289962501</v>
      </c>
      <c r="AD322">
        <v>3372.3066869887502</v>
      </c>
      <c r="AE322">
        <v>115782.52958661376</v>
      </c>
      <c r="AG322">
        <v>115782.52958661376</v>
      </c>
      <c r="AI322">
        <v>115782.52958661376</v>
      </c>
      <c r="AJ322">
        <v>1157.8252958661376</v>
      </c>
      <c r="AK322">
        <v>116940.35488247988</v>
      </c>
      <c r="AL322">
        <v>5847.0177441239948</v>
      </c>
      <c r="AM322">
        <v>122787.37262660389</v>
      </c>
      <c r="AO322">
        <v>122787.37262660389</v>
      </c>
      <c r="AP322">
        <v>3683.6211787981169</v>
      </c>
      <c r="AQ322">
        <v>126470.993805402</v>
      </c>
      <c r="AS322">
        <v>126470.993805402</v>
      </c>
      <c r="AU322">
        <v>126470.993805402</v>
      </c>
      <c r="AW322">
        <v>126470.993805402</v>
      </c>
      <c r="AX322">
        <v>1264.7099380540201</v>
      </c>
      <c r="AY322">
        <v>127735.70374345602</v>
      </c>
      <c r="BA322">
        <v>127735.70374345602</v>
      </c>
      <c r="BB322">
        <v>638.6785187172801</v>
      </c>
      <c r="BC322">
        <v>128374.3822621733</v>
      </c>
      <c r="BE322">
        <v>128374.3822621733</v>
      </c>
      <c r="BF322">
        <v>1925.6157339325991</v>
      </c>
      <c r="BG322">
        <v>130299.9979961059</v>
      </c>
      <c r="BI322">
        <v>130299.9979961059</v>
      </c>
      <c r="BK322">
        <v>130299.9979961059</v>
      </c>
      <c r="BM322">
        <v>130299.9979961059</v>
      </c>
      <c r="BO322">
        <v>130299.9979961059</v>
      </c>
      <c r="BQ322">
        <v>130299.9979961059</v>
      </c>
      <c r="BS322">
        <v>130299.9979961059</v>
      </c>
      <c r="BT322" s="238">
        <v>130300</v>
      </c>
      <c r="BU322" s="238">
        <v>3196300</v>
      </c>
      <c r="BX322" s="238">
        <v>0</v>
      </c>
      <c r="BY322" s="238">
        <v>130301.67142274763</v>
      </c>
      <c r="BZ322" s="238">
        <v>3196300</v>
      </c>
      <c r="CA322" s="238" t="s">
        <v>38</v>
      </c>
      <c r="CB322">
        <v>20000</v>
      </c>
      <c r="CC322">
        <v>150301.67142274766</v>
      </c>
      <c r="CD322" s="238">
        <v>490600.00000000047</v>
      </c>
      <c r="CE322" s="238">
        <v>3686900.0000000009</v>
      </c>
      <c r="CH322" s="238" t="s">
        <v>39</v>
      </c>
      <c r="CI322" s="238" t="s">
        <v>39</v>
      </c>
      <c r="CJ322" t="s">
        <v>8950</v>
      </c>
      <c r="CK322" t="s">
        <v>1167</v>
      </c>
      <c r="CL322" t="s">
        <v>8961</v>
      </c>
      <c r="CM322" t="s">
        <v>8970</v>
      </c>
      <c r="CN322" s="238" t="b">
        <v>1</v>
      </c>
      <c r="CO322" t="s">
        <v>5610</v>
      </c>
      <c r="CQ322" t="s">
        <v>6652</v>
      </c>
      <c r="CR322" t="s">
        <v>3246</v>
      </c>
      <c r="CS322" t="s">
        <v>38</v>
      </c>
      <c r="CT322" t="b">
        <v>1</v>
      </c>
      <c r="CU322">
        <v>3196300</v>
      </c>
      <c r="CV322" t="s">
        <v>9002</v>
      </c>
      <c r="CW322">
        <v>0</v>
      </c>
      <c r="CX322">
        <v>3196300</v>
      </c>
      <c r="CY322">
        <v>0</v>
      </c>
      <c r="CZ322" t="b">
        <v>1</v>
      </c>
      <c r="DA322">
        <v>45533</v>
      </c>
      <c r="DB322" t="s">
        <v>4177</v>
      </c>
      <c r="DC322">
        <v>-7.337953526294517E-3</v>
      </c>
      <c r="DD322">
        <v>-956.14760929862052</v>
      </c>
      <c r="DE322" s="420" cm="1">
        <f t="array" ref="DE322">_xlfn.XLOOKUP("Дом 5"&amp;Реестр_Д5[[#This Row],[№]]&amp;Реестр_Д5[[#This Row],[Статус]],РД[Дом]&amp;РД[№ кв]&amp;РД[Состояние],РД[Дата подачи на регистрацию],"-",0)</f>
        <v>45533</v>
      </c>
    </row>
    <row r="323" spans="1:109" hidden="1" x14ac:dyDescent="0.25">
      <c r="A323" s="238">
        <v>322</v>
      </c>
      <c r="B323" s="238" t="s">
        <v>16</v>
      </c>
      <c r="C323" s="238">
        <v>15</v>
      </c>
      <c r="D323" s="238">
        <v>3</v>
      </c>
      <c r="E323" s="238">
        <v>2</v>
      </c>
      <c r="F323" s="238">
        <v>13.69</v>
      </c>
      <c r="G323" s="238">
        <v>10.16</v>
      </c>
      <c r="H323" s="238"/>
      <c r="I323">
        <v>23.85</v>
      </c>
      <c r="J323" s="238">
        <v>18.71</v>
      </c>
      <c r="K323" s="238">
        <v>3.49</v>
      </c>
      <c r="L323" s="238">
        <v>2.11</v>
      </c>
      <c r="M323" s="238"/>
      <c r="N323" s="238">
        <v>7.09</v>
      </c>
      <c r="O323" s="238">
        <v>2.65</v>
      </c>
      <c r="P323" s="238"/>
      <c r="R323" s="238">
        <v>2.65</v>
      </c>
      <c r="S323">
        <v>57.9</v>
      </c>
      <c r="T323">
        <v>55.25</v>
      </c>
      <c r="U323" s="238">
        <v>56.58</v>
      </c>
      <c r="V323">
        <v>56.400000000000006</v>
      </c>
      <c r="W323" s="238">
        <v>80307.864000000001</v>
      </c>
      <c r="X323">
        <v>4015.3932</v>
      </c>
      <c r="Y323">
        <v>84323.257199999993</v>
      </c>
      <c r="Z323">
        <v>2529.6977160000001</v>
      </c>
      <c r="AA323">
        <v>86852.954916000002</v>
      </c>
      <c r="AC323">
        <v>86852.954916000002</v>
      </c>
      <c r="AE323">
        <v>86852.954916000002</v>
      </c>
      <c r="AG323">
        <v>86852.954916000002</v>
      </c>
      <c r="AI323">
        <v>86852.954916000002</v>
      </c>
      <c r="AJ323">
        <v>868.52954915999999</v>
      </c>
      <c r="AK323">
        <v>87721.48446516</v>
      </c>
      <c r="AL323">
        <v>4386.0742232580005</v>
      </c>
      <c r="AM323">
        <v>92107.558688417994</v>
      </c>
      <c r="AO323">
        <v>92107.558688417994</v>
      </c>
      <c r="AP323">
        <v>1842.15117376836</v>
      </c>
      <c r="AQ323">
        <v>93949.709862186355</v>
      </c>
      <c r="AS323">
        <v>93949.709862186355</v>
      </c>
      <c r="AT323">
        <v>1878.9941972437273</v>
      </c>
      <c r="AU323">
        <v>95828.704059430078</v>
      </c>
      <c r="AW323">
        <v>95828.704059430078</v>
      </c>
      <c r="AY323">
        <v>95828.704059430078</v>
      </c>
      <c r="BA323">
        <v>95828.704059430078</v>
      </c>
      <c r="BC323">
        <v>95828.704059430078</v>
      </c>
      <c r="BE323">
        <v>95828.704059430078</v>
      </c>
      <c r="BG323">
        <v>95828.704059430078</v>
      </c>
      <c r="BI323">
        <v>95828.704059430078</v>
      </c>
      <c r="BK323">
        <v>95828.704059430078</v>
      </c>
      <c r="BM323">
        <v>95828.704059430078</v>
      </c>
      <c r="BO323">
        <v>95828.704059430078</v>
      </c>
      <c r="BQ323">
        <v>95828.704059430078</v>
      </c>
      <c r="BS323">
        <v>95828.704059430078</v>
      </c>
      <c r="BT323" s="238">
        <v>95828.7</v>
      </c>
      <c r="BU323" s="238">
        <v>5422000</v>
      </c>
      <c r="BV323">
        <v>90000</v>
      </c>
      <c r="BX323" s="238">
        <v>90000</v>
      </c>
      <c r="BY323" s="238">
        <v>94238.246730293395</v>
      </c>
      <c r="BZ323" s="238">
        <v>5332000</v>
      </c>
      <c r="CA323" s="238" t="s">
        <v>38</v>
      </c>
      <c r="CB323">
        <v>20000</v>
      </c>
      <c r="CC323">
        <v>114238.24673029339</v>
      </c>
      <c r="CD323" s="238">
        <v>1131600</v>
      </c>
      <c r="CE323" s="238">
        <v>6463600</v>
      </c>
      <c r="CF323" t="s">
        <v>4633</v>
      </c>
      <c r="CG323" t="s">
        <v>7135</v>
      </c>
      <c r="CH323" s="238" t="s">
        <v>39</v>
      </c>
      <c r="CI323" s="238" t="s">
        <v>39</v>
      </c>
      <c r="CJ323" t="s">
        <v>8950</v>
      </c>
      <c r="CK323" t="s">
        <v>1167</v>
      </c>
      <c r="CL323" t="s">
        <v>8961</v>
      </c>
      <c r="CM323" t="s">
        <v>8971</v>
      </c>
      <c r="CN323" s="238" t="b">
        <v>1</v>
      </c>
      <c r="CO323" t="s">
        <v>5611</v>
      </c>
      <c r="CQ323" t="s">
        <v>6652</v>
      </c>
      <c r="CR323" t="s">
        <v>3246</v>
      </c>
      <c r="CS323" t="s">
        <v>38</v>
      </c>
      <c r="CT323" t="b">
        <v>1</v>
      </c>
      <c r="CU323">
        <v>5422000</v>
      </c>
      <c r="CV323" t="s">
        <v>9002</v>
      </c>
      <c r="CW323">
        <v>0</v>
      </c>
      <c r="CX323">
        <v>5422000</v>
      </c>
      <c r="CY323">
        <v>0</v>
      </c>
      <c r="CZ323" t="b">
        <v>1</v>
      </c>
      <c r="DA323">
        <v>45394</v>
      </c>
      <c r="DB323" t="s">
        <v>126</v>
      </c>
      <c r="DC323">
        <v>-3.1813361611875424E-3</v>
      </c>
      <c r="DD323">
        <v>-299.80354208999603</v>
      </c>
      <c r="DE323" s="420" cm="1">
        <f t="array" ref="DE323">_xlfn.XLOOKUP("Дом 5"&amp;Реестр_Д5[[#This Row],[№]]&amp;Реестр_Д5[[#This Row],[Статус]],РД[Дом]&amp;РД[№ кв]&amp;РД[Состояние],РД[Дата подачи на регистрацию],"-",0)</f>
        <v>45394</v>
      </c>
    </row>
    <row r="324" spans="1:109" hidden="1" x14ac:dyDescent="0.25">
      <c r="A324" s="238">
        <v>323</v>
      </c>
      <c r="B324" s="238" t="s">
        <v>16</v>
      </c>
      <c r="C324" s="238">
        <v>15</v>
      </c>
      <c r="D324" s="238">
        <v>4</v>
      </c>
      <c r="E324" s="238">
        <v>2</v>
      </c>
      <c r="F324" s="238">
        <v>15.45</v>
      </c>
      <c r="G324" s="238">
        <v>10.34</v>
      </c>
      <c r="H324" s="238"/>
      <c r="I324">
        <v>25.79</v>
      </c>
      <c r="J324" s="238">
        <v>15.44</v>
      </c>
      <c r="K324" s="238">
        <v>4.59</v>
      </c>
      <c r="L324" s="238">
        <v>2.21</v>
      </c>
      <c r="M324" s="238"/>
      <c r="N324" s="238">
        <v>10.79</v>
      </c>
      <c r="O324" s="238">
        <v>2.84</v>
      </c>
      <c r="P324" s="238"/>
      <c r="R324" s="238">
        <v>2.84</v>
      </c>
      <c r="S324">
        <v>61.66</v>
      </c>
      <c r="T324">
        <v>58.82</v>
      </c>
      <c r="U324" s="238">
        <v>60.24</v>
      </c>
      <c r="V324">
        <v>60.150000000000006</v>
      </c>
      <c r="W324" s="238">
        <v>82238.34150000001</v>
      </c>
      <c r="X324">
        <v>4111.9170750000003</v>
      </c>
      <c r="Y324">
        <v>86350.258575000014</v>
      </c>
      <c r="Z324">
        <v>2590.5077572500004</v>
      </c>
      <c r="AA324">
        <v>88940.766332250016</v>
      </c>
      <c r="AC324">
        <v>88940.766332250016</v>
      </c>
      <c r="AE324">
        <v>88940.766332250016</v>
      </c>
      <c r="AG324">
        <v>88940.766332250016</v>
      </c>
      <c r="AI324">
        <v>88940.766332250016</v>
      </c>
      <c r="AJ324">
        <v>889.40766332250018</v>
      </c>
      <c r="AK324">
        <v>89830.173995572535</v>
      </c>
      <c r="AL324">
        <v>4491.5086997786266</v>
      </c>
      <c r="AM324">
        <v>94321.682695351148</v>
      </c>
      <c r="AO324">
        <v>94321.682695351148</v>
      </c>
      <c r="AP324">
        <v>1886.433653907023</v>
      </c>
      <c r="AQ324">
        <v>96208.116349258169</v>
      </c>
      <c r="AS324">
        <v>96208.116349258169</v>
      </c>
      <c r="AT324">
        <v>1924.1623269851632</v>
      </c>
      <c r="AU324">
        <v>98132.278676243339</v>
      </c>
      <c r="AW324">
        <v>98132.278676243339</v>
      </c>
      <c r="AY324">
        <v>98132.278676243339</v>
      </c>
      <c r="BA324">
        <v>98132.278676243339</v>
      </c>
      <c r="BC324">
        <v>98132.278676243339</v>
      </c>
      <c r="BE324">
        <v>98132.278676243339</v>
      </c>
      <c r="BF324">
        <v>490.66139338121673</v>
      </c>
      <c r="BG324">
        <v>98622.940069624558</v>
      </c>
      <c r="BI324">
        <v>98622.940069624558</v>
      </c>
      <c r="BJ324">
        <v>3944.9176027849826</v>
      </c>
      <c r="BK324">
        <v>102567.85767240952</v>
      </c>
      <c r="BL324">
        <v>6154.0714603445722</v>
      </c>
      <c r="BM324">
        <v>108721.9291327541</v>
      </c>
      <c r="BN324">
        <v>14133.850787258034</v>
      </c>
      <c r="BO324">
        <v>122855.77992001214</v>
      </c>
      <c r="BP324">
        <v>35</v>
      </c>
      <c r="BQ324">
        <v>122890.77992001214</v>
      </c>
      <c r="BS324">
        <v>122890.77992001214</v>
      </c>
      <c r="BT324" s="238">
        <v>122890.78</v>
      </c>
      <c r="BU324" s="238">
        <v>7403000</v>
      </c>
      <c r="BV324">
        <v>300000</v>
      </c>
      <c r="BX324" s="238">
        <v>300000</v>
      </c>
      <c r="BY324" s="238">
        <v>117911.68658698539</v>
      </c>
      <c r="BZ324" s="238">
        <v>7103000</v>
      </c>
      <c r="CA324" s="238" t="s">
        <v>6871</v>
      </c>
      <c r="CB324">
        <v>10000</v>
      </c>
      <c r="CC324">
        <v>127911.68658698539</v>
      </c>
      <c r="CD324" s="238">
        <v>602400</v>
      </c>
      <c r="CE324" s="238">
        <v>7705400</v>
      </c>
      <c r="CG324" t="s">
        <v>8594</v>
      </c>
      <c r="CH324" s="238" t="s">
        <v>39</v>
      </c>
      <c r="CI324" s="238" t="s">
        <v>39</v>
      </c>
      <c r="CJ324" t="s">
        <v>8950</v>
      </c>
      <c r="CK324" t="s">
        <v>1167</v>
      </c>
      <c r="CL324" t="s">
        <v>8961</v>
      </c>
      <c r="CM324" t="s">
        <v>8971</v>
      </c>
      <c r="CN324" s="238" t="b">
        <v>1</v>
      </c>
      <c r="CO324" t="s">
        <v>5612</v>
      </c>
      <c r="CQ324" t="s">
        <v>6652</v>
      </c>
      <c r="CR324" t="s">
        <v>3246</v>
      </c>
      <c r="CS324" t="s">
        <v>6871</v>
      </c>
      <c r="CT324" t="b">
        <v>1</v>
      </c>
      <c r="CU324">
        <v>7403000</v>
      </c>
      <c r="CV324" t="s">
        <v>9002</v>
      </c>
      <c r="CW324">
        <v>0</v>
      </c>
      <c r="CX324">
        <v>7403000</v>
      </c>
      <c r="CY324">
        <v>0</v>
      </c>
      <c r="CZ324" t="b">
        <v>1</v>
      </c>
      <c r="DA324">
        <v>45772</v>
      </c>
      <c r="DB324" t="s">
        <v>5215</v>
      </c>
      <c r="DC324">
        <v>-1.4940239043823578E-3</v>
      </c>
      <c r="DD324">
        <v>-176.16287836699681</v>
      </c>
      <c r="DE324" s="420" cm="1">
        <f t="array" ref="DE324">_xlfn.XLOOKUP("Дом 5"&amp;Реестр_Д5[[#This Row],[№]]&amp;Реестр_Д5[[#This Row],[Статус]],РД[Дом]&amp;РД[№ кв]&amp;РД[Состояние],РД[Дата подачи на регистрацию],"-",0)</f>
        <v>45772</v>
      </c>
    </row>
    <row r="325" spans="1:109" hidden="1" x14ac:dyDescent="0.25">
      <c r="A325" s="238">
        <v>324</v>
      </c>
      <c r="B325" s="238" t="s">
        <v>16</v>
      </c>
      <c r="C325" s="238">
        <v>15</v>
      </c>
      <c r="D325" s="238">
        <v>5</v>
      </c>
      <c r="E325" s="238">
        <v>1</v>
      </c>
      <c r="F325" s="238">
        <v>12.54</v>
      </c>
      <c r="G325" s="238"/>
      <c r="H325" s="238"/>
      <c r="I325">
        <v>12.54</v>
      </c>
      <c r="J325" s="238">
        <v>12.74</v>
      </c>
      <c r="K325" s="238">
        <v>4.0199999999999996</v>
      </c>
      <c r="L325" s="238"/>
      <c r="M325" s="238"/>
      <c r="N325" s="238">
        <v>7.09</v>
      </c>
      <c r="O325" s="238">
        <v>2.84</v>
      </c>
      <c r="P325" s="238"/>
      <c r="R325" s="238">
        <v>2.84</v>
      </c>
      <c r="S325">
        <v>39.229999999999997</v>
      </c>
      <c r="T325">
        <v>36.39</v>
      </c>
      <c r="U325" s="238">
        <v>37.81</v>
      </c>
      <c r="V325">
        <v>37.450000000000003</v>
      </c>
      <c r="W325" s="238">
        <v>89223.75</v>
      </c>
      <c r="X325">
        <v>4461.1875</v>
      </c>
      <c r="Y325">
        <v>93684.9375</v>
      </c>
      <c r="Z325">
        <v>2810.5481249999998</v>
      </c>
      <c r="AA325">
        <v>96495.485625000001</v>
      </c>
      <c r="AB325">
        <v>4342.2968531249999</v>
      </c>
      <c r="AC325">
        <v>100837.78247812499</v>
      </c>
      <c r="AE325">
        <v>100837.78247812499</v>
      </c>
      <c r="AF325">
        <v>5041.8891239062505</v>
      </c>
      <c r="AG325">
        <v>105879.67160203125</v>
      </c>
      <c r="AH325">
        <v>-620</v>
      </c>
      <c r="AI325">
        <v>105259.67160203125</v>
      </c>
      <c r="AJ325">
        <v>1052.5967160203124</v>
      </c>
      <c r="AK325">
        <v>106312.26831805156</v>
      </c>
      <c r="AL325">
        <v>5315.6134159025787</v>
      </c>
      <c r="AM325">
        <v>111627.88173395414</v>
      </c>
      <c r="AO325">
        <v>111627.88173395414</v>
      </c>
      <c r="AP325">
        <v>3348.8364520186242</v>
      </c>
      <c r="AQ325">
        <v>114976.71818597276</v>
      </c>
      <c r="AS325">
        <v>114976.71818597276</v>
      </c>
      <c r="AU325">
        <v>114976.71818597276</v>
      </c>
      <c r="AW325">
        <v>114976.71818597276</v>
      </c>
      <c r="AX325">
        <v>1149.7671818597278</v>
      </c>
      <c r="AY325">
        <v>116126.4853678325</v>
      </c>
      <c r="BA325">
        <v>116126.4853678325</v>
      </c>
      <c r="BC325">
        <v>116126.4853678325</v>
      </c>
      <c r="BE325">
        <v>116126.4853678325</v>
      </c>
      <c r="BF325">
        <v>580.63242683916258</v>
      </c>
      <c r="BG325">
        <v>116707.11779467166</v>
      </c>
      <c r="BI325">
        <v>116707.11779467166</v>
      </c>
      <c r="BK325">
        <v>116707.11779467166</v>
      </c>
      <c r="BM325">
        <v>116707.11779467166</v>
      </c>
      <c r="BO325">
        <v>116707.11779467166</v>
      </c>
      <c r="BQ325">
        <v>116707.11779467166</v>
      </c>
      <c r="BS325">
        <v>116707.11779467166</v>
      </c>
      <c r="BT325" s="238">
        <v>116707.12</v>
      </c>
      <c r="BU325" s="238">
        <v>4412700</v>
      </c>
      <c r="BX325" s="238">
        <v>0</v>
      </c>
      <c r="BY325" s="238">
        <v>116707.22031208676</v>
      </c>
      <c r="BZ325" s="238">
        <v>4412700</v>
      </c>
      <c r="CA325" s="238" t="s">
        <v>36</v>
      </c>
      <c r="CC325">
        <v>116707.22031208676</v>
      </c>
      <c r="CD325" s="238">
        <v>0</v>
      </c>
      <c r="CE325" s="238">
        <v>4412700</v>
      </c>
      <c r="CH325" s="238" t="s">
        <v>39</v>
      </c>
      <c r="CI325" s="238" t="s">
        <v>39</v>
      </c>
      <c r="CJ325" t="s">
        <v>8950</v>
      </c>
      <c r="CK325" t="s">
        <v>1167</v>
      </c>
      <c r="CL325" t="s">
        <v>8961</v>
      </c>
      <c r="CM325" t="s">
        <v>8973</v>
      </c>
      <c r="CN325" s="238" t="b">
        <v>1</v>
      </c>
      <c r="CO325" t="s">
        <v>5613</v>
      </c>
      <c r="CQ325" t="s">
        <v>6652</v>
      </c>
      <c r="CR325" t="s">
        <v>3246</v>
      </c>
      <c r="CS325" t="s">
        <v>36</v>
      </c>
      <c r="CT325" t="b">
        <v>1</v>
      </c>
      <c r="CU325">
        <v>4412700</v>
      </c>
      <c r="CV325" t="s">
        <v>9002</v>
      </c>
      <c r="CW325">
        <v>0</v>
      </c>
      <c r="CX325">
        <v>4412700</v>
      </c>
      <c r="CY325">
        <v>0</v>
      </c>
      <c r="CZ325" t="b">
        <v>1</v>
      </c>
      <c r="DA325">
        <v>45561</v>
      </c>
      <c r="DB325" t="s">
        <v>126</v>
      </c>
      <c r="DC325">
        <v>-9.5212906638455497E-3</v>
      </c>
      <c r="DD325">
        <v>-1111.2033671608372</v>
      </c>
      <c r="DE325" s="420" cm="1">
        <f t="array" ref="DE325">_xlfn.XLOOKUP("Дом 5"&amp;Реестр_Д5[[#This Row],[№]]&amp;Реестр_Д5[[#This Row],[Статус]],РД[Дом]&amp;РД[№ кв]&amp;РД[Состояние],РД[Дата подачи на регистрацию],"-",0)</f>
        <v>45561</v>
      </c>
    </row>
    <row r="326" spans="1:109" hidden="1" x14ac:dyDescent="0.25">
      <c r="A326" s="238">
        <v>325</v>
      </c>
      <c r="B326" s="238" t="s">
        <v>16</v>
      </c>
      <c r="C326" s="238">
        <v>15</v>
      </c>
      <c r="D326" s="238">
        <v>6</v>
      </c>
      <c r="E326" s="238">
        <v>3</v>
      </c>
      <c r="F326" s="238">
        <v>17.2</v>
      </c>
      <c r="G326" s="238">
        <v>14.64</v>
      </c>
      <c r="H326" s="238">
        <v>14.34</v>
      </c>
      <c r="I326">
        <v>46.18</v>
      </c>
      <c r="J326" s="238">
        <v>13.15</v>
      </c>
      <c r="K326" s="238">
        <v>4.03</v>
      </c>
      <c r="L326" s="238">
        <v>1.76</v>
      </c>
      <c r="M326" s="238"/>
      <c r="N326" s="238">
        <v>13.11</v>
      </c>
      <c r="O326" s="238">
        <v>2.79</v>
      </c>
      <c r="P326" s="238">
        <v>2.68</v>
      </c>
      <c r="R326" s="238">
        <v>5.4700000000000006</v>
      </c>
      <c r="S326">
        <v>83.7</v>
      </c>
      <c r="T326">
        <v>78.23</v>
      </c>
      <c r="U326" s="238">
        <v>80.97</v>
      </c>
      <c r="V326">
        <v>80.600000000000023</v>
      </c>
      <c r="W326" s="238">
        <v>73520.37000000001</v>
      </c>
      <c r="X326">
        <v>3676.0185000000006</v>
      </c>
      <c r="Y326">
        <v>77196.388500000015</v>
      </c>
      <c r="Z326">
        <v>2315.8916550000004</v>
      </c>
      <c r="AA326">
        <v>79512.280155000015</v>
      </c>
      <c r="AC326">
        <v>79512.280155000015</v>
      </c>
      <c r="AE326">
        <v>79512.280155000015</v>
      </c>
      <c r="AG326">
        <v>79512.280155000015</v>
      </c>
      <c r="AI326">
        <v>79512.280155000015</v>
      </c>
      <c r="AJ326">
        <v>795.12280155000019</v>
      </c>
      <c r="AK326">
        <v>80307.40295655001</v>
      </c>
      <c r="AL326">
        <v>4015.3701478275007</v>
      </c>
      <c r="AM326">
        <v>84322.773104377513</v>
      </c>
      <c r="AO326">
        <v>84322.773104377513</v>
      </c>
      <c r="AP326">
        <v>1686.4554620875504</v>
      </c>
      <c r="AQ326">
        <v>86009.22856646507</v>
      </c>
      <c r="AS326">
        <v>86009.22856646507</v>
      </c>
      <c r="AT326">
        <v>1720.1845713293014</v>
      </c>
      <c r="AU326">
        <v>87729.41313779437</v>
      </c>
      <c r="AW326">
        <v>87729.41313779437</v>
      </c>
      <c r="AY326">
        <v>87729.41313779437</v>
      </c>
      <c r="BA326">
        <v>87729.41313779437</v>
      </c>
      <c r="BC326">
        <v>87729.41313779437</v>
      </c>
      <c r="BE326">
        <v>87729.41313779437</v>
      </c>
      <c r="BG326">
        <v>87729.41313779437</v>
      </c>
      <c r="BI326">
        <v>87729.41313779437</v>
      </c>
      <c r="BK326">
        <v>87729.41313779437</v>
      </c>
      <c r="BM326">
        <v>87729.41313779437</v>
      </c>
      <c r="BO326">
        <v>87729.41313779437</v>
      </c>
      <c r="BQ326">
        <v>87729.41313779437</v>
      </c>
      <c r="BS326">
        <v>87729.41313779437</v>
      </c>
      <c r="BT326" s="238">
        <v>87729.41</v>
      </c>
      <c r="BU326" s="238">
        <v>7103500</v>
      </c>
      <c r="BW326">
        <v>0.03</v>
      </c>
      <c r="BX326" s="238">
        <v>213105</v>
      </c>
      <c r="BY326" s="238">
        <v>85098.122761516614</v>
      </c>
      <c r="BZ326" s="238">
        <v>6890395</v>
      </c>
      <c r="CA326" s="238" t="s">
        <v>6871</v>
      </c>
      <c r="CB326">
        <v>7000</v>
      </c>
      <c r="CC326">
        <v>92098.122761516614</v>
      </c>
      <c r="CD326" s="238">
        <v>566790</v>
      </c>
      <c r="CE326" s="238">
        <v>7457185</v>
      </c>
      <c r="CG326" t="s">
        <v>3538</v>
      </c>
      <c r="CH326" s="238" t="s">
        <v>39</v>
      </c>
      <c r="CI326" s="238" t="s">
        <v>39</v>
      </c>
      <c r="CJ326" t="s">
        <v>8950</v>
      </c>
      <c r="CK326" t="s">
        <v>1167</v>
      </c>
      <c r="CL326" t="s">
        <v>8961</v>
      </c>
      <c r="CM326" t="s">
        <v>8975</v>
      </c>
      <c r="CN326" s="238" t="b">
        <v>1</v>
      </c>
      <c r="CO326" t="s">
        <v>5614</v>
      </c>
      <c r="CQ326" t="s">
        <v>6652</v>
      </c>
      <c r="CR326" t="s">
        <v>3246</v>
      </c>
      <c r="CS326" t="s">
        <v>6871</v>
      </c>
      <c r="CT326" t="b">
        <v>1</v>
      </c>
      <c r="CU326">
        <v>7103500</v>
      </c>
      <c r="CV326" t="s">
        <v>9002</v>
      </c>
      <c r="CW326">
        <v>0</v>
      </c>
      <c r="CX326">
        <v>7103500</v>
      </c>
      <c r="CY326">
        <v>0</v>
      </c>
      <c r="CZ326" t="b">
        <v>1</v>
      </c>
      <c r="DA326">
        <v>45419</v>
      </c>
      <c r="DB326" t="s">
        <v>4177</v>
      </c>
      <c r="DC326">
        <v>-4.5695936766702028E-3</v>
      </c>
      <c r="DD326">
        <v>-388.86384366753094</v>
      </c>
      <c r="DE326" s="420" cm="1">
        <f t="array" ref="DE326">_xlfn.XLOOKUP("Дом 5"&amp;Реестр_Д5[[#This Row],[№]]&amp;Реестр_Д5[[#This Row],[Статус]],РД[Дом]&amp;РД[№ кв]&amp;РД[Состояние],РД[Дата подачи на регистрацию],"-",0)</f>
        <v>45419</v>
      </c>
    </row>
    <row r="327" spans="1:109" hidden="1" x14ac:dyDescent="0.25">
      <c r="A327" s="238">
        <v>326</v>
      </c>
      <c r="B327" s="238" t="s">
        <v>16</v>
      </c>
      <c r="C327" s="238">
        <v>15</v>
      </c>
      <c r="D327" s="238">
        <v>7</v>
      </c>
      <c r="E327" s="238">
        <v>1</v>
      </c>
      <c r="F327" s="238">
        <v>14.3</v>
      </c>
      <c r="G327" s="238"/>
      <c r="H327" s="238"/>
      <c r="I327">
        <v>14.3</v>
      </c>
      <c r="J327" s="238">
        <v>9.2799999999999994</v>
      </c>
      <c r="K327" s="238">
        <v>3.79</v>
      </c>
      <c r="L327" s="238"/>
      <c r="M327" s="238"/>
      <c r="N327" s="238">
        <v>6.08</v>
      </c>
      <c r="O327" s="238">
        <v>2.71</v>
      </c>
      <c r="P327" s="238"/>
      <c r="R327" s="238">
        <v>2.71</v>
      </c>
      <c r="S327">
        <v>36.159999999999997</v>
      </c>
      <c r="T327">
        <v>33.450000000000003</v>
      </c>
      <c r="U327" s="238">
        <v>34.81</v>
      </c>
      <c r="V327">
        <v>34.950000000000003</v>
      </c>
      <c r="W327" s="238">
        <v>84762.5625</v>
      </c>
      <c r="X327">
        <v>4238.1281250000002</v>
      </c>
      <c r="Y327">
        <v>89000.690625000003</v>
      </c>
      <c r="Z327">
        <v>2670.02071875</v>
      </c>
      <c r="AA327">
        <v>91670.711343750023</v>
      </c>
      <c r="AB327">
        <v>12833.899588125005</v>
      </c>
      <c r="AC327">
        <v>104504.610931875</v>
      </c>
      <c r="AE327">
        <v>104504.610931875</v>
      </c>
      <c r="AF327">
        <v>5225.2305465937507</v>
      </c>
      <c r="AG327">
        <v>109729.84147846876</v>
      </c>
      <c r="AI327">
        <v>109729.84147846876</v>
      </c>
      <c r="AJ327">
        <v>1097.2984147846876</v>
      </c>
      <c r="AK327">
        <v>110827.13989325344</v>
      </c>
      <c r="AL327">
        <v>5541.3569946626731</v>
      </c>
      <c r="AM327">
        <v>116368.49688791612</v>
      </c>
      <c r="AO327">
        <v>116368.49688791612</v>
      </c>
      <c r="AP327">
        <v>3491.0549066374833</v>
      </c>
      <c r="AQ327">
        <v>119859.5517945536</v>
      </c>
      <c r="AS327">
        <v>119859.5517945536</v>
      </c>
      <c r="AU327">
        <v>119859.5517945536</v>
      </c>
      <c r="AW327">
        <v>119859.5517945536</v>
      </c>
      <c r="AY327">
        <v>119859.5517945536</v>
      </c>
      <c r="BA327">
        <v>119859.5517945536</v>
      </c>
      <c r="BC327">
        <v>119859.5517945536</v>
      </c>
      <c r="BE327">
        <v>119859.5517945536</v>
      </c>
      <c r="BF327">
        <v>599.29775897276795</v>
      </c>
      <c r="BG327">
        <v>120458.84955352636</v>
      </c>
      <c r="BI327">
        <v>120458.84955352636</v>
      </c>
      <c r="BJ327">
        <v>2409.1769910705275</v>
      </c>
      <c r="BK327">
        <v>122868.0265445969</v>
      </c>
      <c r="BM327">
        <v>122868.0265445969</v>
      </c>
      <c r="BO327">
        <v>122868.0265445969</v>
      </c>
      <c r="BQ327">
        <v>122868.0265445969</v>
      </c>
      <c r="BS327">
        <v>122868.0265445969</v>
      </c>
      <c r="BT327" s="238">
        <v>122868.03</v>
      </c>
      <c r="BU327" s="238">
        <v>4277100</v>
      </c>
      <c r="BW327">
        <v>0.02</v>
      </c>
      <c r="BX327" s="238">
        <v>85542</v>
      </c>
      <c r="BY327" s="238">
        <v>120412.46768170064</v>
      </c>
      <c r="BZ327" s="238">
        <v>4191558</v>
      </c>
      <c r="CA327" s="238" t="s">
        <v>38</v>
      </c>
      <c r="CB327">
        <v>24000</v>
      </c>
      <c r="CC327">
        <v>144412.46768170063</v>
      </c>
      <c r="CD327" s="238">
        <v>835440</v>
      </c>
      <c r="CE327" s="238">
        <v>5026998</v>
      </c>
      <c r="CF327" t="s">
        <v>4633</v>
      </c>
      <c r="CG327" t="s">
        <v>3540</v>
      </c>
      <c r="CH327" s="238" t="s">
        <v>39</v>
      </c>
      <c r="CI327" s="238" t="s">
        <v>39</v>
      </c>
      <c r="CJ327" t="s">
        <v>8950</v>
      </c>
      <c r="CK327" t="s">
        <v>1167</v>
      </c>
      <c r="CL327" t="s">
        <v>8961</v>
      </c>
      <c r="CM327" t="s">
        <v>8973</v>
      </c>
      <c r="CN327" s="238" t="b">
        <v>1</v>
      </c>
      <c r="CO327" t="s">
        <v>5615</v>
      </c>
      <c r="CQ327" t="s">
        <v>6652</v>
      </c>
      <c r="CR327" t="s">
        <v>3246</v>
      </c>
      <c r="CS327" t="s">
        <v>38</v>
      </c>
      <c r="CT327" t="b">
        <v>1</v>
      </c>
      <c r="CU327">
        <v>4277100</v>
      </c>
      <c r="CV327" t="s">
        <v>9002</v>
      </c>
      <c r="CW327">
        <v>0</v>
      </c>
      <c r="CX327">
        <v>4277100</v>
      </c>
      <c r="CY327">
        <v>0</v>
      </c>
      <c r="CZ327" t="b">
        <v>1</v>
      </c>
      <c r="DA327">
        <v>45625</v>
      </c>
      <c r="DB327" t="s">
        <v>126</v>
      </c>
      <c r="DC327">
        <v>4.0218328066647935E-3</v>
      </c>
      <c r="DD327">
        <v>484.27881285372786</v>
      </c>
      <c r="DE327" s="420" cm="1">
        <f t="array" ref="DE327">_xlfn.XLOOKUP("Дом 5"&amp;Реестр_Д5[[#This Row],[№]]&amp;Реестр_Д5[[#This Row],[Статус]],РД[Дом]&amp;РД[№ кв]&amp;РД[Состояние],РД[Дата подачи на регистрацию],"-",0)</f>
        <v>45625</v>
      </c>
    </row>
    <row r="328" spans="1:109" hidden="1" x14ac:dyDescent="0.25">
      <c r="A328" s="238">
        <v>327</v>
      </c>
      <c r="B328" s="238" t="s">
        <v>16</v>
      </c>
      <c r="C328" s="238">
        <v>16</v>
      </c>
      <c r="D328" s="238">
        <v>1</v>
      </c>
      <c r="E328" s="238">
        <v>2</v>
      </c>
      <c r="F328" s="238">
        <v>17.63</v>
      </c>
      <c r="G328" s="238">
        <v>13.69</v>
      </c>
      <c r="H328" s="238"/>
      <c r="I328">
        <v>31.32</v>
      </c>
      <c r="J328" s="238">
        <v>20.05</v>
      </c>
      <c r="K328" s="238">
        <v>3.54</v>
      </c>
      <c r="L328" s="238">
        <v>2.93</v>
      </c>
      <c r="M328" s="238"/>
      <c r="N328" s="238">
        <v>12.19</v>
      </c>
      <c r="O328" s="238">
        <v>4.6500000000000004</v>
      </c>
      <c r="P328" s="238">
        <v>2.68</v>
      </c>
      <c r="R328" s="238">
        <v>7.33</v>
      </c>
      <c r="S328">
        <v>77.36</v>
      </c>
      <c r="T328">
        <v>70.03</v>
      </c>
      <c r="U328" s="238">
        <v>73.7</v>
      </c>
      <c r="V328">
        <v>73.149999999999977</v>
      </c>
      <c r="W328" s="238">
        <v>80307.864000000001</v>
      </c>
      <c r="X328">
        <v>4015.3932</v>
      </c>
      <c r="Y328">
        <v>84323.257199999993</v>
      </c>
      <c r="Z328">
        <v>2529.6977160000001</v>
      </c>
      <c r="AA328">
        <v>86852.954916000002</v>
      </c>
      <c r="AC328">
        <v>86852.954916000002</v>
      </c>
      <c r="AE328">
        <v>86852.954916000002</v>
      </c>
      <c r="AG328">
        <v>86852.954916000002</v>
      </c>
      <c r="AI328">
        <v>86852.954916000002</v>
      </c>
      <c r="AK328">
        <v>86852.954916000002</v>
      </c>
      <c r="AM328">
        <v>86852.954916000002</v>
      </c>
      <c r="AO328">
        <v>86852.954916000002</v>
      </c>
      <c r="AQ328">
        <v>86852.954916000002</v>
      </c>
      <c r="AS328">
        <v>86852.954916000002</v>
      </c>
      <c r="AU328">
        <v>86852.954916000002</v>
      </c>
      <c r="AW328">
        <v>86852.954916000002</v>
      </c>
      <c r="AY328">
        <v>86852.954916000002</v>
      </c>
      <c r="BA328">
        <v>86852.954916000002</v>
      </c>
      <c r="BC328">
        <v>86852.954916000002</v>
      </c>
      <c r="BE328">
        <v>86852.954916000002</v>
      </c>
      <c r="BG328">
        <v>86852.954916000002</v>
      </c>
      <c r="BI328">
        <v>86852.954916000002</v>
      </c>
      <c r="BK328">
        <v>86852.954916000002</v>
      </c>
      <c r="BM328">
        <v>86852.954916000002</v>
      </c>
      <c r="BO328">
        <v>86852.954916000002</v>
      </c>
      <c r="BQ328">
        <v>86852.954916000002</v>
      </c>
      <c r="BS328">
        <v>86852.954916000002</v>
      </c>
      <c r="BT328" s="238">
        <v>86852.95</v>
      </c>
      <c r="BU328" s="238">
        <v>6401100</v>
      </c>
      <c r="BW328">
        <v>0.02</v>
      </c>
      <c r="BX328" s="238">
        <v>128022</v>
      </c>
      <c r="BY328" s="238">
        <v>85116.390773405699</v>
      </c>
      <c r="BZ328" s="238">
        <v>6273078</v>
      </c>
      <c r="CA328" s="238" t="s">
        <v>36</v>
      </c>
      <c r="CC328">
        <v>85116.390773405699</v>
      </c>
      <c r="CD328" s="238">
        <v>0</v>
      </c>
      <c r="CE328" s="238">
        <v>6273078</v>
      </c>
      <c r="CF328" t="s">
        <v>4635</v>
      </c>
      <c r="CG328" t="s">
        <v>3540</v>
      </c>
      <c r="CH328" s="238" t="s">
        <v>39</v>
      </c>
      <c r="CI328" s="238" t="s">
        <v>39</v>
      </c>
      <c r="CJ328" t="s">
        <v>8950</v>
      </c>
      <c r="CK328" t="s">
        <v>1167</v>
      </c>
      <c r="CL328" t="s">
        <v>8961</v>
      </c>
      <c r="CM328" t="s">
        <v>8971</v>
      </c>
      <c r="CN328" s="238" t="b">
        <v>1</v>
      </c>
      <c r="CO328" t="s">
        <v>5616</v>
      </c>
      <c r="CQ328" t="s">
        <v>6652</v>
      </c>
      <c r="CR328" t="s">
        <v>3246</v>
      </c>
      <c r="CS328" t="s">
        <v>36</v>
      </c>
      <c r="CT328" t="b">
        <v>1</v>
      </c>
      <c r="CU328">
        <v>6401100</v>
      </c>
      <c r="CV328" t="s">
        <v>9002</v>
      </c>
      <c r="CW328">
        <v>0</v>
      </c>
      <c r="CX328">
        <v>6401100</v>
      </c>
      <c r="CY328">
        <v>0</v>
      </c>
      <c r="CZ328" t="b">
        <v>1</v>
      </c>
      <c r="DA328">
        <v>45275</v>
      </c>
      <c r="DB328" t="s">
        <v>5215</v>
      </c>
      <c r="DC328">
        <v>-7.4626865671643117E-3</v>
      </c>
      <c r="DD328">
        <v>-635.19694607020313</v>
      </c>
      <c r="DE328" s="420" cm="1">
        <f t="array" ref="DE328">_xlfn.XLOOKUP("Дом 5"&amp;Реестр_Д5[[#This Row],[№]]&amp;Реестр_Д5[[#This Row],[Статус]],РД[Дом]&amp;РД[№ кв]&amp;РД[Состояние],РД[Дата подачи на регистрацию],"-",0)</f>
        <v>45275</v>
      </c>
    </row>
    <row r="329" spans="1:109" hidden="1" x14ac:dyDescent="0.25">
      <c r="A329" s="238">
        <v>328</v>
      </c>
      <c r="B329" s="238" t="s">
        <v>16</v>
      </c>
      <c r="C329" s="238">
        <v>16</v>
      </c>
      <c r="D329" s="238">
        <v>2</v>
      </c>
      <c r="E329" s="238">
        <v>0</v>
      </c>
      <c r="F329" s="238">
        <v>7.18</v>
      </c>
      <c r="G329" s="238"/>
      <c r="H329" s="238"/>
      <c r="I329">
        <v>7.18</v>
      </c>
      <c r="J329" s="238">
        <v>5.17</v>
      </c>
      <c r="K329" s="238">
        <v>3.72</v>
      </c>
      <c r="L329" s="238"/>
      <c r="M329" s="238"/>
      <c r="N329" s="238">
        <v>6.97</v>
      </c>
      <c r="O329" s="238">
        <v>2.97</v>
      </c>
      <c r="P329" s="238"/>
      <c r="R329" s="238">
        <v>2.97</v>
      </c>
      <c r="S329">
        <v>26.01</v>
      </c>
      <c r="T329">
        <v>23.04</v>
      </c>
      <c r="U329" s="238">
        <v>24.53</v>
      </c>
      <c r="V329">
        <v>24.45</v>
      </c>
      <c r="W329" s="238">
        <v>92857.59</v>
      </c>
      <c r="X329">
        <v>4642.8795</v>
      </c>
      <c r="Y329">
        <v>97500.469500000007</v>
      </c>
      <c r="Z329">
        <v>2925.0140849999998</v>
      </c>
      <c r="AA329">
        <v>100425.48358499999</v>
      </c>
      <c r="AB329">
        <v>13055.312866050001</v>
      </c>
      <c r="AC329">
        <v>113480.79645105</v>
      </c>
      <c r="AD329">
        <v>3404.4238935314997</v>
      </c>
      <c r="AE329">
        <v>116885.2203445815</v>
      </c>
      <c r="AG329">
        <v>116885.2203445815</v>
      </c>
      <c r="AI329">
        <v>116885.2203445815</v>
      </c>
      <c r="AJ329">
        <v>1168.8522034458149</v>
      </c>
      <c r="AK329">
        <v>118054.07254802732</v>
      </c>
      <c r="AL329">
        <v>5902.7036274013662</v>
      </c>
      <c r="AM329">
        <v>123956.77617542868</v>
      </c>
      <c r="AO329">
        <v>123956.77617542868</v>
      </c>
      <c r="AQ329">
        <v>123956.77617542868</v>
      </c>
      <c r="AS329">
        <v>123956.77617542868</v>
      </c>
      <c r="AU329">
        <v>123956.77617542868</v>
      </c>
      <c r="AW329">
        <v>123956.77617542868</v>
      </c>
      <c r="AY329">
        <v>123956.77617542868</v>
      </c>
      <c r="BA329">
        <v>123956.77617542868</v>
      </c>
      <c r="BC329">
        <v>123956.77617542868</v>
      </c>
      <c r="BE329">
        <v>123956.77617542868</v>
      </c>
      <c r="BG329">
        <v>123956.77617542868</v>
      </c>
      <c r="BI329">
        <v>123956.77617542868</v>
      </c>
      <c r="BK329">
        <v>123956.77617542868</v>
      </c>
      <c r="BM329">
        <v>123956.77617542868</v>
      </c>
      <c r="BO329">
        <v>123956.77617542868</v>
      </c>
      <c r="BQ329">
        <v>123956.77617542868</v>
      </c>
      <c r="BS329">
        <v>123956.77617542868</v>
      </c>
      <c r="BT329" s="238">
        <v>123956.78</v>
      </c>
      <c r="BU329" s="238">
        <v>3040700</v>
      </c>
      <c r="BW329">
        <v>0.04</v>
      </c>
      <c r="BX329" s="238">
        <v>121628</v>
      </c>
      <c r="BY329" s="238">
        <v>119000.08153281696</v>
      </c>
      <c r="BZ329" s="238">
        <v>2919072</v>
      </c>
      <c r="CA329" s="238" t="s">
        <v>38</v>
      </c>
      <c r="CB329">
        <v>20000</v>
      </c>
      <c r="CC329">
        <v>139000.08153281696</v>
      </c>
      <c r="CD329" s="238">
        <v>490600</v>
      </c>
      <c r="CE329" s="238">
        <v>3409672</v>
      </c>
      <c r="CG329" t="s">
        <v>978</v>
      </c>
      <c r="CH329" s="238" t="s">
        <v>39</v>
      </c>
      <c r="CI329" s="238" t="s">
        <v>39</v>
      </c>
      <c r="CJ329" t="s">
        <v>8950</v>
      </c>
      <c r="CK329" t="s">
        <v>1167</v>
      </c>
      <c r="CL329" t="s">
        <v>8961</v>
      </c>
      <c r="CM329" t="s">
        <v>8970</v>
      </c>
      <c r="CN329" s="238" t="b">
        <v>1</v>
      </c>
      <c r="CO329" t="s">
        <v>5617</v>
      </c>
      <c r="CQ329" t="s">
        <v>6652</v>
      </c>
      <c r="CR329" t="s">
        <v>3246</v>
      </c>
      <c r="CS329" t="s">
        <v>38</v>
      </c>
      <c r="CT329" t="b">
        <v>1</v>
      </c>
      <c r="CU329">
        <v>3040700</v>
      </c>
      <c r="CV329" t="s">
        <v>9002</v>
      </c>
      <c r="CW329">
        <v>0</v>
      </c>
      <c r="CX329">
        <v>3040700</v>
      </c>
      <c r="CY329">
        <v>0</v>
      </c>
      <c r="CZ329" t="b">
        <v>1</v>
      </c>
      <c r="DA329">
        <v>45321</v>
      </c>
      <c r="DB329" t="s">
        <v>5215</v>
      </c>
      <c r="DC329">
        <v>-3.2613126783531676E-3</v>
      </c>
      <c r="DD329">
        <v>-388.09647462803656</v>
      </c>
      <c r="DE329" s="420" cm="1">
        <f t="array" ref="DE329">_xlfn.XLOOKUP("Дом 5"&amp;Реестр_Д5[[#This Row],[№]]&amp;Реестр_Д5[[#This Row],[Статус]],РД[Дом]&amp;РД[№ кв]&amp;РД[Состояние],РД[Дата подачи на регистрацию],"-",0)</f>
        <v>45321</v>
      </c>
    </row>
    <row r="330" spans="1:109" hidden="1" x14ac:dyDescent="0.25">
      <c r="A330" s="238">
        <v>329</v>
      </c>
      <c r="B330" s="238" t="s">
        <v>16</v>
      </c>
      <c r="C330" s="238">
        <v>16</v>
      </c>
      <c r="D330" s="238">
        <v>3</v>
      </c>
      <c r="E330" s="238">
        <v>2</v>
      </c>
      <c r="F330" s="238">
        <v>13.69</v>
      </c>
      <c r="G330" s="238">
        <v>10.16</v>
      </c>
      <c r="H330" s="238"/>
      <c r="I330">
        <v>23.85</v>
      </c>
      <c r="J330" s="238">
        <v>18.71</v>
      </c>
      <c r="K330" s="238">
        <v>3.49</v>
      </c>
      <c r="L330" s="238">
        <v>2.11</v>
      </c>
      <c r="M330" s="238"/>
      <c r="N330" s="238">
        <v>7.09</v>
      </c>
      <c r="O330" s="238">
        <v>2.65</v>
      </c>
      <c r="P330" s="238"/>
      <c r="R330" s="238">
        <v>2.65</v>
      </c>
      <c r="S330">
        <v>57.9</v>
      </c>
      <c r="T330">
        <v>55.25</v>
      </c>
      <c r="U330" s="238">
        <v>56.58</v>
      </c>
      <c r="V330">
        <v>56.4</v>
      </c>
      <c r="W330" s="238">
        <v>81080.054999999993</v>
      </c>
      <c r="X330">
        <v>4054.002750000001</v>
      </c>
      <c r="Y330">
        <v>85134.057750000007</v>
      </c>
      <c r="Z330">
        <v>2554.0217325000003</v>
      </c>
      <c r="AA330">
        <v>87688.079482500005</v>
      </c>
      <c r="AC330">
        <v>87688.079482500005</v>
      </c>
      <c r="AE330">
        <v>87688.079482500005</v>
      </c>
      <c r="AG330">
        <v>87688.079482500005</v>
      </c>
      <c r="AI330">
        <v>87688.079482500005</v>
      </c>
      <c r="AJ330">
        <v>876.88079482499995</v>
      </c>
      <c r="AK330">
        <v>88564.960277325008</v>
      </c>
      <c r="AL330">
        <v>4428.2480138662504</v>
      </c>
      <c r="AM330">
        <v>92993.208291191258</v>
      </c>
      <c r="AO330">
        <v>92993.208291191258</v>
      </c>
      <c r="AP330">
        <v>1859.8641658238253</v>
      </c>
      <c r="AQ330">
        <v>94853.072457015078</v>
      </c>
      <c r="AS330">
        <v>94853.072457015078</v>
      </c>
      <c r="AT330">
        <v>1897.0614491403016</v>
      </c>
      <c r="AU330">
        <v>96750.133906155374</v>
      </c>
      <c r="AV330">
        <v>150</v>
      </c>
      <c r="AW330">
        <v>96900.133906155374</v>
      </c>
      <c r="AX330">
        <v>969.00133906155372</v>
      </c>
      <c r="AY330">
        <v>97869.135245216923</v>
      </c>
      <c r="BA330">
        <v>97869.135245216923</v>
      </c>
      <c r="BC330">
        <v>97869.135245216923</v>
      </c>
      <c r="BE330">
        <v>97869.135245216923</v>
      </c>
      <c r="BF330">
        <v>2446.7283811304233</v>
      </c>
      <c r="BG330">
        <v>100315.86362634736</v>
      </c>
      <c r="BH330">
        <v>500</v>
      </c>
      <c r="BI330">
        <v>100815.86362634736</v>
      </c>
      <c r="BJ330">
        <v>4032.6345450538938</v>
      </c>
      <c r="BK330">
        <v>104848.49817140124</v>
      </c>
      <c r="BL330">
        <v>6290.9098902840742</v>
      </c>
      <c r="BM330">
        <v>111139.40806168532</v>
      </c>
      <c r="BN330">
        <v>14448.123048019092</v>
      </c>
      <c r="BO330">
        <v>125587.5311097044</v>
      </c>
      <c r="BP330">
        <v>35</v>
      </c>
      <c r="BQ330">
        <v>125622.5311097044</v>
      </c>
      <c r="BR330">
        <v>1256.2253110970439</v>
      </c>
      <c r="BS330">
        <v>126878.75642080144</v>
      </c>
      <c r="BT330" s="238">
        <v>126878.76</v>
      </c>
      <c r="BU330" s="238">
        <v>7178900</v>
      </c>
      <c r="BV330">
        <v>300000</v>
      </c>
      <c r="BW330">
        <v>0.03</v>
      </c>
      <c r="BX330" s="238">
        <v>515367</v>
      </c>
      <c r="BY330" s="238">
        <v>117771.88052315306</v>
      </c>
      <c r="BZ330" s="238">
        <v>6663533</v>
      </c>
      <c r="CA330" s="238" t="s">
        <v>36</v>
      </c>
      <c r="CC330">
        <v>117771.88052315306</v>
      </c>
      <c r="CD330" s="238">
        <v>0</v>
      </c>
      <c r="CE330" s="238">
        <v>6663533</v>
      </c>
      <c r="CF330" t="s">
        <v>4633</v>
      </c>
      <c r="CG330" t="s">
        <v>8592</v>
      </c>
      <c r="CH330" s="238" t="s">
        <v>39</v>
      </c>
      <c r="CI330" s="238" t="s">
        <v>39</v>
      </c>
      <c r="CJ330" t="s">
        <v>8950</v>
      </c>
      <c r="CK330" t="s">
        <v>1167</v>
      </c>
      <c r="CL330" t="s">
        <v>8961</v>
      </c>
      <c r="CM330" t="s">
        <v>8971</v>
      </c>
      <c r="CN330" s="238" t="b">
        <v>1</v>
      </c>
      <c r="CO330" t="s">
        <v>5618</v>
      </c>
      <c r="CQ330" t="s">
        <v>6652</v>
      </c>
      <c r="CR330" t="s">
        <v>3246</v>
      </c>
      <c r="CS330" t="s">
        <v>36</v>
      </c>
      <c r="CT330" t="b">
        <v>1</v>
      </c>
      <c r="CU330">
        <v>7178900</v>
      </c>
      <c r="CV330" t="s">
        <v>9002</v>
      </c>
      <c r="CW330">
        <v>7178900</v>
      </c>
      <c r="CX330">
        <v>7178900</v>
      </c>
      <c r="CY330">
        <v>0</v>
      </c>
      <c r="CZ330" t="b">
        <v>1</v>
      </c>
      <c r="DA330">
        <v>45763</v>
      </c>
      <c r="DB330" t="s">
        <v>5215</v>
      </c>
      <c r="DC330">
        <v>-3.1813361611876534E-3</v>
      </c>
      <c r="DD330">
        <v>-374.6719422793787</v>
      </c>
      <c r="DE330" s="420" cm="1">
        <f t="array" ref="DE330">_xlfn.XLOOKUP("Дом 5"&amp;Реестр_Д5[[#This Row],[№]]&amp;Реестр_Д5[[#This Row],[Статус]],РД[Дом]&amp;РД[№ кв]&amp;РД[Состояние],РД[Дата подачи на регистрацию],"-",0)</f>
        <v>45763</v>
      </c>
    </row>
    <row r="331" spans="1:109" hidden="1" x14ac:dyDescent="0.25">
      <c r="A331" s="238">
        <v>330</v>
      </c>
      <c r="B331" s="238" t="s">
        <v>16</v>
      </c>
      <c r="C331" s="238">
        <v>16</v>
      </c>
      <c r="D331" s="238">
        <v>4</v>
      </c>
      <c r="E331" s="238">
        <v>2</v>
      </c>
      <c r="F331" s="238">
        <v>15.45</v>
      </c>
      <c r="G331" s="238">
        <v>10.34</v>
      </c>
      <c r="H331" s="238"/>
      <c r="I331">
        <v>25.79</v>
      </c>
      <c r="J331" s="238">
        <v>15.44</v>
      </c>
      <c r="K331" s="238">
        <v>4.59</v>
      </c>
      <c r="L331" s="238">
        <v>2.21</v>
      </c>
      <c r="M331" s="238"/>
      <c r="N331" s="238">
        <v>10.79</v>
      </c>
      <c r="O331" s="238">
        <v>2.84</v>
      </c>
      <c r="P331" s="238"/>
      <c r="R331" s="238">
        <v>2.84</v>
      </c>
      <c r="S331">
        <v>61.66</v>
      </c>
      <c r="T331">
        <v>58.82</v>
      </c>
      <c r="U331" s="238">
        <v>60.24</v>
      </c>
      <c r="V331">
        <v>59.850000000000009</v>
      </c>
      <c r="W331" s="238">
        <v>83010.532500000001</v>
      </c>
      <c r="X331">
        <v>4150.5266250000004</v>
      </c>
      <c r="Y331">
        <v>87161.059125</v>
      </c>
      <c r="Z331">
        <v>2614.8317737499997</v>
      </c>
      <c r="AA331">
        <v>89775.890898750004</v>
      </c>
      <c r="AC331">
        <v>89775.890898750004</v>
      </c>
      <c r="AE331">
        <v>89775.890898750004</v>
      </c>
      <c r="AG331">
        <v>89775.890898750004</v>
      </c>
      <c r="AI331">
        <v>89775.890898750004</v>
      </c>
      <c r="AJ331">
        <v>897.75890898750004</v>
      </c>
      <c r="AK331">
        <v>90673.6498077375</v>
      </c>
      <c r="AL331">
        <v>4533.6824903868755</v>
      </c>
      <c r="AM331">
        <v>95207.332298124369</v>
      </c>
      <c r="AO331">
        <v>95207.332298124369</v>
      </c>
      <c r="AP331">
        <v>1904.1466459624871</v>
      </c>
      <c r="AQ331">
        <v>97111.478944086863</v>
      </c>
      <c r="AS331">
        <v>97111.478944086863</v>
      </c>
      <c r="AT331">
        <v>1942.2295788817371</v>
      </c>
      <c r="AU331">
        <v>99053.708522968605</v>
      </c>
      <c r="AW331">
        <v>99053.708522968605</v>
      </c>
      <c r="AY331">
        <v>99053.708522968605</v>
      </c>
      <c r="BA331">
        <v>99053.708522968605</v>
      </c>
      <c r="BC331">
        <v>99053.708522968605</v>
      </c>
      <c r="BE331">
        <v>99053.708522968605</v>
      </c>
      <c r="BF331">
        <v>495.26854261484306</v>
      </c>
      <c r="BG331">
        <v>99548.977065583444</v>
      </c>
      <c r="BI331">
        <v>99548.977065583444</v>
      </c>
      <c r="BJ331">
        <v>3981.959082623338</v>
      </c>
      <c r="BK331">
        <v>103530.93614820678</v>
      </c>
      <c r="BM331">
        <v>103530.93614820678</v>
      </c>
      <c r="BO331">
        <v>103530.93614820678</v>
      </c>
      <c r="BQ331">
        <v>103530.93614820678</v>
      </c>
      <c r="BS331">
        <v>103530.93614820678</v>
      </c>
      <c r="BT331" s="238">
        <v>103530.94</v>
      </c>
      <c r="BU331" s="238">
        <v>6236800</v>
      </c>
      <c r="BW331">
        <v>0.02</v>
      </c>
      <c r="BX331" s="238">
        <v>124736</v>
      </c>
      <c r="BY331" s="238">
        <v>101461.88579017264</v>
      </c>
      <c r="BZ331" s="238">
        <v>6112064</v>
      </c>
      <c r="CA331" s="238" t="s">
        <v>38</v>
      </c>
      <c r="CB331">
        <v>24000</v>
      </c>
      <c r="CC331">
        <v>125461.88579017264</v>
      </c>
      <c r="CD331" s="238">
        <v>1445760</v>
      </c>
      <c r="CE331" s="238">
        <v>7557824</v>
      </c>
      <c r="CG331" t="s">
        <v>3540</v>
      </c>
      <c r="CH331" s="238" t="s">
        <v>39</v>
      </c>
      <c r="CI331" s="238" t="s">
        <v>39</v>
      </c>
      <c r="CJ331" t="s">
        <v>8950</v>
      </c>
      <c r="CK331" t="s">
        <v>1167</v>
      </c>
      <c r="CL331" t="s">
        <v>8961</v>
      </c>
      <c r="CM331" t="s">
        <v>8971</v>
      </c>
      <c r="CN331" s="238" t="b">
        <v>1</v>
      </c>
      <c r="CO331" t="s">
        <v>5619</v>
      </c>
      <c r="CQ331" t="s">
        <v>6652</v>
      </c>
      <c r="CR331" t="s">
        <v>3246</v>
      </c>
      <c r="CS331" t="s">
        <v>38</v>
      </c>
      <c r="CT331" t="b">
        <v>1</v>
      </c>
      <c r="CU331">
        <v>6236800</v>
      </c>
      <c r="CV331" t="s">
        <v>9002</v>
      </c>
      <c r="CW331">
        <v>0</v>
      </c>
      <c r="CX331">
        <v>6236800</v>
      </c>
      <c r="CY331">
        <v>0</v>
      </c>
      <c r="CZ331" t="b">
        <v>1</v>
      </c>
      <c r="DA331">
        <v>45594</v>
      </c>
      <c r="DB331" t="s">
        <v>4177</v>
      </c>
      <c r="DC331">
        <v>-6.4741035856572537E-3</v>
      </c>
      <c r="DD331">
        <v>-656.87475860170343</v>
      </c>
      <c r="DE331" s="420" cm="1">
        <f t="array" ref="DE331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332" spans="1:109" hidden="1" x14ac:dyDescent="0.25">
      <c r="A332" s="238">
        <v>331</v>
      </c>
      <c r="B332" s="238" t="s">
        <v>16</v>
      </c>
      <c r="C332" s="238">
        <v>16</v>
      </c>
      <c r="D332" s="238">
        <v>5</v>
      </c>
      <c r="E332" s="238">
        <v>1</v>
      </c>
      <c r="F332" s="238">
        <v>12.54</v>
      </c>
      <c r="G332" s="238"/>
      <c r="H332" s="238"/>
      <c r="I332">
        <v>12.54</v>
      </c>
      <c r="J332" s="238">
        <v>12.74</v>
      </c>
      <c r="K332" s="238">
        <v>4.0199999999999996</v>
      </c>
      <c r="L332" s="238"/>
      <c r="M332" s="238"/>
      <c r="N332" s="238">
        <v>7.09</v>
      </c>
      <c r="O332" s="238">
        <v>2.84</v>
      </c>
      <c r="P332" s="238"/>
      <c r="R332" s="238">
        <v>2.84</v>
      </c>
      <c r="S332">
        <v>39.229999999999997</v>
      </c>
      <c r="T332">
        <v>36.39</v>
      </c>
      <c r="U332" s="238">
        <v>37.81</v>
      </c>
      <c r="V332">
        <v>37.450000000000003</v>
      </c>
      <c r="W332" s="238">
        <v>90034.875</v>
      </c>
      <c r="X332">
        <v>4501.7437500000005</v>
      </c>
      <c r="Y332">
        <v>94536.618749999994</v>
      </c>
      <c r="Z332">
        <v>2836.0985624999998</v>
      </c>
      <c r="AA332">
        <v>97372.717312499997</v>
      </c>
      <c r="AB332">
        <v>4381.7722790624994</v>
      </c>
      <c r="AC332">
        <v>101754.48959156248</v>
      </c>
      <c r="AE332">
        <v>101754.48959156248</v>
      </c>
      <c r="AF332">
        <v>5087.7244795781253</v>
      </c>
      <c r="AG332">
        <v>106842.21407114062</v>
      </c>
      <c r="AH332">
        <v>-620</v>
      </c>
      <c r="AI332">
        <v>106222.21407114062</v>
      </c>
      <c r="AJ332">
        <v>1062.2221407114062</v>
      </c>
      <c r="AK332">
        <v>107284.43621185204</v>
      </c>
      <c r="AL332">
        <v>5364.2218105926022</v>
      </c>
      <c r="AM332">
        <v>112648.65802244464</v>
      </c>
      <c r="AO332">
        <v>112648.65802244464</v>
      </c>
      <c r="AP332">
        <v>3379.4597406733392</v>
      </c>
      <c r="AQ332">
        <v>116028.11776311796</v>
      </c>
      <c r="AS332">
        <v>116028.11776311796</v>
      </c>
      <c r="AU332">
        <v>116028.11776311796</v>
      </c>
      <c r="AW332">
        <v>116028.11776311796</v>
      </c>
      <c r="AX332">
        <v>1160.2811776311798</v>
      </c>
      <c r="AY332">
        <v>117188.39894074916</v>
      </c>
      <c r="BA332">
        <v>117188.39894074916</v>
      </c>
      <c r="BC332">
        <v>117188.39894074916</v>
      </c>
      <c r="BE332">
        <v>117188.39894074916</v>
      </c>
      <c r="BF332">
        <v>585.94199470374576</v>
      </c>
      <c r="BG332">
        <v>117774.3409354529</v>
      </c>
      <c r="BI332">
        <v>117774.3409354529</v>
      </c>
      <c r="BK332">
        <v>117774.3409354529</v>
      </c>
      <c r="BL332">
        <v>5888.7170467726455</v>
      </c>
      <c r="BM332">
        <v>123663.05798222554</v>
      </c>
      <c r="BN332">
        <v>16076.197537689321</v>
      </c>
      <c r="BO332">
        <v>139739.25551991485</v>
      </c>
      <c r="BP332">
        <v>35</v>
      </c>
      <c r="BQ332">
        <v>139774.25551991485</v>
      </c>
      <c r="BS332">
        <v>139774.25551991485</v>
      </c>
      <c r="BT332" s="238">
        <v>139774.26</v>
      </c>
      <c r="BU332" s="238">
        <v>5284900</v>
      </c>
      <c r="BV332">
        <v>302480</v>
      </c>
      <c r="BX332" s="238">
        <v>302480</v>
      </c>
      <c r="BY332" s="238">
        <v>131775.19174821474</v>
      </c>
      <c r="BZ332" s="238">
        <v>4982420</v>
      </c>
      <c r="CA332" s="238" t="s">
        <v>38</v>
      </c>
      <c r="CB332">
        <v>25000</v>
      </c>
      <c r="CC332">
        <v>156775.19174821474</v>
      </c>
      <c r="CD332" s="238">
        <v>945250</v>
      </c>
      <c r="CE332" s="238">
        <v>5927670</v>
      </c>
      <c r="CG332" t="s">
        <v>8676</v>
      </c>
      <c r="CH332" s="238" t="s">
        <v>39</v>
      </c>
      <c r="CI332" s="238" t="s">
        <v>39</v>
      </c>
      <c r="CJ332" t="s">
        <v>8950</v>
      </c>
      <c r="CK332" t="s">
        <v>1167</v>
      </c>
      <c r="CL332" t="s">
        <v>8961</v>
      </c>
      <c r="CM332" t="s">
        <v>8973</v>
      </c>
      <c r="CN332" s="238" t="b">
        <v>1</v>
      </c>
      <c r="CO332" t="s">
        <v>5620</v>
      </c>
      <c r="CQ332" t="s">
        <v>6652</v>
      </c>
      <c r="CR332" t="s">
        <v>3246</v>
      </c>
      <c r="CS332" t="s">
        <v>38</v>
      </c>
      <c r="CT332" t="b">
        <v>1</v>
      </c>
      <c r="CU332">
        <v>5284900</v>
      </c>
      <c r="CV332" t="s">
        <v>9002</v>
      </c>
      <c r="CW332">
        <v>0</v>
      </c>
      <c r="CX332">
        <v>5284900</v>
      </c>
      <c r="CY332">
        <v>0</v>
      </c>
      <c r="CZ332" t="b">
        <v>1</v>
      </c>
      <c r="DA332">
        <v>45760</v>
      </c>
      <c r="DB332" t="s">
        <v>4177</v>
      </c>
      <c r="DC332">
        <v>-9.5212906638455497E-3</v>
      </c>
      <c r="DD332">
        <v>-1254.6699029187339</v>
      </c>
      <c r="DE332" s="420" cm="1">
        <f t="array" ref="DE332">_xlfn.XLOOKUP("Дом 5"&amp;Реестр_Д5[[#This Row],[№]]&amp;Реестр_Д5[[#This Row],[Статус]],РД[Дом]&amp;РД[№ кв]&amp;РД[Состояние],РД[Дата подачи на регистрацию],"-",0)</f>
        <v>45760</v>
      </c>
    </row>
    <row r="333" spans="1:109" hidden="1" x14ac:dyDescent="0.25">
      <c r="A333" s="238">
        <v>332</v>
      </c>
      <c r="B333" s="238" t="s">
        <v>16</v>
      </c>
      <c r="C333" s="238">
        <v>16</v>
      </c>
      <c r="D333" s="238">
        <v>6</v>
      </c>
      <c r="E333" s="238">
        <v>3</v>
      </c>
      <c r="F333" s="238">
        <v>17.2</v>
      </c>
      <c r="G333" s="238">
        <v>14.64</v>
      </c>
      <c r="H333" s="238">
        <v>14.34</v>
      </c>
      <c r="I333">
        <v>46.18</v>
      </c>
      <c r="J333" s="238">
        <v>13.15</v>
      </c>
      <c r="K333" s="238">
        <v>4.03</v>
      </c>
      <c r="L333" s="238">
        <v>1.76</v>
      </c>
      <c r="M333" s="238"/>
      <c r="N333" s="238">
        <v>13.11</v>
      </c>
      <c r="O333" s="238">
        <v>2.79</v>
      </c>
      <c r="P333" s="238">
        <v>2.68</v>
      </c>
      <c r="R333" s="238">
        <v>5.4700000000000006</v>
      </c>
      <c r="S333">
        <v>83.7</v>
      </c>
      <c r="T333">
        <v>78.23</v>
      </c>
      <c r="U333" s="238">
        <v>80.97</v>
      </c>
      <c r="V333">
        <v>80.5</v>
      </c>
      <c r="W333" s="238">
        <v>74234.160000000018</v>
      </c>
      <c r="X333">
        <v>3711.708000000001</v>
      </c>
      <c r="Y333">
        <v>77945.868000000017</v>
      </c>
      <c r="AA333">
        <v>77945.868000000017</v>
      </c>
      <c r="AC333">
        <v>77945.868000000017</v>
      </c>
      <c r="AE333">
        <v>77945.868000000017</v>
      </c>
      <c r="AG333">
        <v>77945.868000000017</v>
      </c>
      <c r="AI333">
        <v>77945.868000000017</v>
      </c>
      <c r="AK333">
        <v>77945.868000000017</v>
      </c>
      <c r="AM333">
        <v>77945.868000000017</v>
      </c>
      <c r="AO333">
        <v>77945.868000000017</v>
      </c>
      <c r="AQ333">
        <v>77945.868000000017</v>
      </c>
      <c r="AS333">
        <v>77945.868000000017</v>
      </c>
      <c r="AU333">
        <v>77945.868000000017</v>
      </c>
      <c r="AW333">
        <v>77945.868000000017</v>
      </c>
      <c r="AY333">
        <v>77945.868000000017</v>
      </c>
      <c r="BA333">
        <v>77945.868000000017</v>
      </c>
      <c r="BC333">
        <v>77945.868000000017</v>
      </c>
      <c r="BE333">
        <v>77945.868000000017</v>
      </c>
      <c r="BG333">
        <v>77945.868000000017</v>
      </c>
      <c r="BI333">
        <v>77945.868000000017</v>
      </c>
      <c r="BK333">
        <v>77945.868000000017</v>
      </c>
      <c r="BM333">
        <v>77945.868000000017</v>
      </c>
      <c r="BO333">
        <v>77945.868000000017</v>
      </c>
      <c r="BQ333">
        <v>77945.868000000017</v>
      </c>
      <c r="BS333">
        <v>77945.868000000017</v>
      </c>
      <c r="BT333" s="238">
        <v>77945.87</v>
      </c>
      <c r="BU333" s="238">
        <v>6311277.0899999999</v>
      </c>
      <c r="BW333">
        <v>0.03</v>
      </c>
      <c r="BX333" s="238">
        <v>189338.31270000001</v>
      </c>
      <c r="BY333" s="238">
        <v>75607.493886624681</v>
      </c>
      <c r="BZ333" s="238">
        <v>6121938.7800000003</v>
      </c>
      <c r="CA333" s="238" t="s">
        <v>36</v>
      </c>
      <c r="CC333">
        <v>75607.493886624681</v>
      </c>
      <c r="CD333" s="238">
        <v>0</v>
      </c>
      <c r="CE333" s="238">
        <v>6121938.7800000003</v>
      </c>
      <c r="CG333" t="s">
        <v>3538</v>
      </c>
      <c r="CH333" s="238" t="s">
        <v>39</v>
      </c>
      <c r="CI333" s="238" t="s">
        <v>39</v>
      </c>
      <c r="CJ333" t="s">
        <v>8950</v>
      </c>
      <c r="CK333" t="s">
        <v>1167</v>
      </c>
      <c r="CL333" t="s">
        <v>8961</v>
      </c>
      <c r="CM333" t="s">
        <v>8975</v>
      </c>
      <c r="CN333" s="238" t="b">
        <v>1</v>
      </c>
      <c r="CO333" t="s">
        <v>5621</v>
      </c>
      <c r="CQ333" t="s">
        <v>4895</v>
      </c>
      <c r="CR333" t="s">
        <v>3246</v>
      </c>
      <c r="CS333" t="s">
        <v>36</v>
      </c>
      <c r="CT333" t="b">
        <v>1</v>
      </c>
      <c r="CU333">
        <v>6311277.0899999999</v>
      </c>
      <c r="CV333" t="s">
        <v>9002</v>
      </c>
      <c r="CW333">
        <v>0</v>
      </c>
      <c r="CX333">
        <v>6311277</v>
      </c>
      <c r="CY333">
        <v>0</v>
      </c>
      <c r="CZ333" t="b">
        <v>1</v>
      </c>
      <c r="DA333">
        <v>45190</v>
      </c>
      <c r="DB333" t="s">
        <v>3901</v>
      </c>
      <c r="DC333">
        <v>-5.8046189946894255E-3</v>
      </c>
      <c r="DD333">
        <v>-438.87269515516624</v>
      </c>
      <c r="DE333" s="420" cm="1">
        <f t="array" ref="DE333">_xlfn.XLOOKUP("Дом 5"&amp;Реестр_Д5[[#This Row],[№]]&amp;Реестр_Д5[[#This Row],[Статус]],РД[Дом]&amp;РД[№ кв]&amp;РД[Состояние],РД[Дата подачи на регистрацию],"-",0)</f>
        <v>45190</v>
      </c>
    </row>
    <row r="334" spans="1:109" hidden="1" x14ac:dyDescent="0.25">
      <c r="A334" s="238">
        <v>333</v>
      </c>
      <c r="B334" s="238" t="s">
        <v>16</v>
      </c>
      <c r="C334" s="238">
        <v>16</v>
      </c>
      <c r="D334" s="238">
        <v>7</v>
      </c>
      <c r="E334" s="238">
        <v>1</v>
      </c>
      <c r="F334" s="238">
        <v>14.3</v>
      </c>
      <c r="G334" s="238"/>
      <c r="H334" s="238"/>
      <c r="I334">
        <v>14.3</v>
      </c>
      <c r="J334" s="238">
        <v>9.2799999999999994</v>
      </c>
      <c r="K334" s="238">
        <v>3.79</v>
      </c>
      <c r="L334" s="238"/>
      <c r="M334" s="238"/>
      <c r="N334" s="238">
        <v>6.08</v>
      </c>
      <c r="O334" s="238">
        <v>2.71</v>
      </c>
      <c r="P334" s="238"/>
      <c r="R334" s="238">
        <v>2.71</v>
      </c>
      <c r="S334">
        <v>36.159999999999997</v>
      </c>
      <c r="T334">
        <v>33.450000000000003</v>
      </c>
      <c r="U334" s="238">
        <v>34.81</v>
      </c>
      <c r="V334">
        <v>34.549999999999997</v>
      </c>
      <c r="W334" s="238">
        <v>85573.6875</v>
      </c>
      <c r="X334">
        <v>4278.6843749999998</v>
      </c>
      <c r="Y334">
        <v>89852.371874999997</v>
      </c>
      <c r="Z334">
        <v>2695.5711562499996</v>
      </c>
      <c r="AA334">
        <v>92547.943031250004</v>
      </c>
      <c r="AB334">
        <v>12956.712024375</v>
      </c>
      <c r="AC334">
        <v>105504.655055625</v>
      </c>
      <c r="AE334">
        <v>105504.655055625</v>
      </c>
      <c r="AF334">
        <v>5275.2327527812495</v>
      </c>
      <c r="AG334">
        <v>110779.88780840625</v>
      </c>
      <c r="AI334">
        <v>110779.88780840625</v>
      </c>
      <c r="AJ334">
        <v>1107.7988780840624</v>
      </c>
      <c r="AK334">
        <v>111887.6866864903</v>
      </c>
      <c r="AL334">
        <v>5594.3843343245153</v>
      </c>
      <c r="AM334">
        <v>117482.07102081479</v>
      </c>
      <c r="AO334">
        <v>117482.07102081479</v>
      </c>
      <c r="AP334">
        <v>3524.4621306244439</v>
      </c>
      <c r="AQ334">
        <v>121006.53315143925</v>
      </c>
      <c r="AS334">
        <v>121006.53315143925</v>
      </c>
      <c r="AU334">
        <v>121006.53315143925</v>
      </c>
      <c r="AW334">
        <v>121006.53315143925</v>
      </c>
      <c r="AY334">
        <v>121006.53315143925</v>
      </c>
      <c r="BA334">
        <v>121006.53315143925</v>
      </c>
      <c r="BC334">
        <v>121006.53315143925</v>
      </c>
      <c r="BE334">
        <v>121006.53315143925</v>
      </c>
      <c r="BF334">
        <v>605.03266575719624</v>
      </c>
      <c r="BG334">
        <v>121611.56581719645</v>
      </c>
      <c r="BI334">
        <v>121611.56581719645</v>
      </c>
      <c r="BK334">
        <v>121611.56581719645</v>
      </c>
      <c r="BM334">
        <v>121611.56581719645</v>
      </c>
      <c r="BO334">
        <v>121611.56581719645</v>
      </c>
      <c r="BQ334">
        <v>121611.56581719645</v>
      </c>
      <c r="BS334">
        <v>121611.56581719645</v>
      </c>
      <c r="BT334" s="238">
        <v>121611.57</v>
      </c>
      <c r="BU334" s="238">
        <v>4233300</v>
      </c>
      <c r="BX334" s="238">
        <v>0</v>
      </c>
      <c r="BY334" s="238">
        <v>121611.60586038494</v>
      </c>
      <c r="BZ334" s="238">
        <v>4233300</v>
      </c>
      <c r="CA334" s="238" t="s">
        <v>38</v>
      </c>
      <c r="CB334">
        <v>20000</v>
      </c>
      <c r="CC334">
        <v>141611.60586038494</v>
      </c>
      <c r="CD334" s="238">
        <v>696200</v>
      </c>
      <c r="CE334" s="238">
        <v>4929500</v>
      </c>
      <c r="CF334" t="s">
        <v>4633</v>
      </c>
      <c r="CH334" s="238" t="s">
        <v>39</v>
      </c>
      <c r="CI334" s="238" t="s">
        <v>39</v>
      </c>
      <c r="CJ334" t="s">
        <v>8950</v>
      </c>
      <c r="CK334" t="s">
        <v>1167</v>
      </c>
      <c r="CL334" t="s">
        <v>8961</v>
      </c>
      <c r="CM334" t="s">
        <v>8973</v>
      </c>
      <c r="CN334" s="238" t="b">
        <v>1</v>
      </c>
      <c r="CO334" t="s">
        <v>5622</v>
      </c>
      <c r="CQ334" t="s">
        <v>6652</v>
      </c>
      <c r="CR334" t="s">
        <v>3246</v>
      </c>
      <c r="CS334" t="s">
        <v>38</v>
      </c>
      <c r="CT334" t="b">
        <v>1</v>
      </c>
      <c r="CU334">
        <v>4233300</v>
      </c>
      <c r="CV334" t="s">
        <v>9002</v>
      </c>
      <c r="CW334">
        <v>0</v>
      </c>
      <c r="CX334">
        <v>4233300</v>
      </c>
      <c r="CY334">
        <v>0</v>
      </c>
      <c r="CZ334" t="b">
        <v>1</v>
      </c>
      <c r="DA334">
        <v>45533</v>
      </c>
      <c r="DB334" t="s">
        <v>4177</v>
      </c>
      <c r="DC334">
        <v>-7.4691180695204418E-3</v>
      </c>
      <c r="DD334">
        <v>-908.33144279519922</v>
      </c>
      <c r="DE334" s="420" cm="1">
        <f t="array" ref="DE334">_xlfn.XLOOKUP("Дом 5"&amp;Реестр_Д5[[#This Row],[№]]&amp;Реестр_Д5[[#This Row],[Статус]],РД[Дом]&amp;РД[№ кв]&amp;РД[Состояние],РД[Дата подачи на регистрацию],"-",0)</f>
        <v>45533</v>
      </c>
    </row>
    <row r="335" spans="1:109" x14ac:dyDescent="0.25">
      <c r="A335" s="238">
        <v>334</v>
      </c>
      <c r="B335" s="238" t="s">
        <v>16</v>
      </c>
      <c r="C335" s="238">
        <v>17</v>
      </c>
      <c r="D335" s="238">
        <v>1</v>
      </c>
      <c r="E335" s="238">
        <v>2</v>
      </c>
      <c r="F335" s="238">
        <v>17.63</v>
      </c>
      <c r="G335" s="238">
        <v>13.69</v>
      </c>
      <c r="H335" s="238"/>
      <c r="I335">
        <v>31.32</v>
      </c>
      <c r="J335" s="238">
        <v>20.05</v>
      </c>
      <c r="K335" s="238">
        <v>3.54</v>
      </c>
      <c r="L335" s="238">
        <v>2.93</v>
      </c>
      <c r="M335" s="238"/>
      <c r="N335" s="238">
        <v>12.19</v>
      </c>
      <c r="O335" s="238">
        <v>4.6500000000000004</v>
      </c>
      <c r="P335" s="238">
        <v>2.68</v>
      </c>
      <c r="R335" s="238">
        <v>7.33</v>
      </c>
      <c r="S335">
        <v>77.36</v>
      </c>
      <c r="T335">
        <v>70.03</v>
      </c>
      <c r="U335" s="238">
        <v>73.7</v>
      </c>
      <c r="V335">
        <v>73.649999999999977</v>
      </c>
      <c r="W335" s="238">
        <v>78763.482000000004</v>
      </c>
      <c r="X335">
        <v>3938.1741000000002</v>
      </c>
      <c r="Y335">
        <v>82701.656099999993</v>
      </c>
      <c r="Z335">
        <v>2481.0496830000002</v>
      </c>
      <c r="AA335">
        <v>85182.705783000012</v>
      </c>
      <c r="AC335">
        <v>85182.705783000012</v>
      </c>
      <c r="AE335">
        <v>85182.705783000012</v>
      </c>
      <c r="AG335">
        <v>85182.705783000012</v>
      </c>
      <c r="AI335">
        <v>85182.705783000012</v>
      </c>
      <c r="AJ335">
        <v>851.82705783000017</v>
      </c>
      <c r="AK335">
        <v>86034.532840830012</v>
      </c>
      <c r="AL335">
        <v>4301.7266420415008</v>
      </c>
      <c r="AM335">
        <v>90336.259482871508</v>
      </c>
      <c r="AO335">
        <v>90336.259482871508</v>
      </c>
      <c r="AP335">
        <v>1806.7251896574303</v>
      </c>
      <c r="AQ335">
        <v>92142.984672528939</v>
      </c>
      <c r="AS335">
        <v>92142.984672528939</v>
      </c>
      <c r="AT335">
        <v>1842.8596934505788</v>
      </c>
      <c r="AU335">
        <v>93985.844365979516</v>
      </c>
      <c r="AW335">
        <v>93985.844365979516</v>
      </c>
      <c r="AY335">
        <v>93985.844365979516</v>
      </c>
      <c r="BA335">
        <v>93985.844365979516</v>
      </c>
      <c r="BC335">
        <v>93985.844365979516</v>
      </c>
      <c r="BE335">
        <v>93985.844365979516</v>
      </c>
      <c r="BF335">
        <v>469.92922182989759</v>
      </c>
      <c r="BG335">
        <v>94455.773587809395</v>
      </c>
      <c r="BI335">
        <v>94455.773587809395</v>
      </c>
      <c r="BK335">
        <v>94455.773587809395</v>
      </c>
      <c r="BL335">
        <v>7556.4618870247532</v>
      </c>
      <c r="BM335">
        <v>102012.23547483416</v>
      </c>
      <c r="BN335">
        <v>13261.590611728439</v>
      </c>
      <c r="BO335">
        <v>115273.82608656261</v>
      </c>
      <c r="BP335">
        <v>35</v>
      </c>
      <c r="BQ335">
        <v>115308.82608656261</v>
      </c>
      <c r="BS335">
        <v>115308.82608656261</v>
      </c>
      <c r="BT335" s="238">
        <v>115308.83</v>
      </c>
      <c r="BU335" s="238">
        <v>8492500</v>
      </c>
      <c r="BX335" s="238">
        <v>0</v>
      </c>
      <c r="BY335" s="238">
        <v>115308.89341479974</v>
      </c>
      <c r="BZ335" s="238">
        <v>8492500</v>
      </c>
      <c r="CA335" s="238" t="s">
        <v>36</v>
      </c>
      <c r="CC335">
        <v>115308.89341479974</v>
      </c>
      <c r="CD335" s="238">
        <v>0</v>
      </c>
      <c r="CE335" s="238">
        <v>8492500</v>
      </c>
      <c r="CF335" t="s">
        <v>4635</v>
      </c>
      <c r="CH335" s="238" t="s">
        <v>3</v>
      </c>
      <c r="CI335" s="238" t="s">
        <v>3</v>
      </c>
      <c r="CJ335" t="s">
        <v>8951</v>
      </c>
      <c r="CK335" t="s">
        <v>1167</v>
      </c>
      <c r="CL335" t="s">
        <v>8961</v>
      </c>
      <c r="CM335" t="s">
        <v>8971</v>
      </c>
      <c r="CN335" s="238" t="b">
        <v>1</v>
      </c>
      <c r="CO335" t="s">
        <v>5623</v>
      </c>
      <c r="CQ335" t="s">
        <v>6652</v>
      </c>
      <c r="CR335" t="s">
        <v>3124</v>
      </c>
      <c r="CS335" t="s">
        <v>36</v>
      </c>
      <c r="CT335" t="b">
        <v>1</v>
      </c>
      <c r="CU335">
        <v>8492500</v>
      </c>
      <c r="CV335">
        <v>8492500</v>
      </c>
      <c r="CW335">
        <v>0</v>
      </c>
      <c r="CX335">
        <v>0</v>
      </c>
      <c r="CY335">
        <v>0</v>
      </c>
      <c r="CZ335" t="b">
        <v>1</v>
      </c>
      <c r="DA335" t="s">
        <v>4246</v>
      </c>
      <c r="DB335" t="s">
        <v>1167</v>
      </c>
      <c r="DC335">
        <v>-6.7842605156054336E-4</v>
      </c>
      <c r="DD335">
        <v>-78.228557269218129</v>
      </c>
      <c r="DE335" s="420" t="str" cm="1">
        <f t="array" ref="DE33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36" spans="1:109" hidden="1" x14ac:dyDescent="0.25">
      <c r="A336" s="238">
        <v>335</v>
      </c>
      <c r="B336" s="238" t="s">
        <v>16</v>
      </c>
      <c r="C336" s="238">
        <v>17</v>
      </c>
      <c r="D336" s="238">
        <v>2</v>
      </c>
      <c r="E336" s="238">
        <v>0</v>
      </c>
      <c r="F336" s="238">
        <v>7.18</v>
      </c>
      <c r="G336" s="238"/>
      <c r="H336" s="238"/>
      <c r="I336">
        <v>7.18</v>
      </c>
      <c r="J336" s="238">
        <v>5.17</v>
      </c>
      <c r="K336" s="238">
        <v>3.72</v>
      </c>
      <c r="L336" s="238"/>
      <c r="M336" s="238"/>
      <c r="N336" s="238">
        <v>6.97</v>
      </c>
      <c r="O336" s="238">
        <v>2.97</v>
      </c>
      <c r="P336" s="238"/>
      <c r="R336" s="238">
        <v>2.97</v>
      </c>
      <c r="S336">
        <v>26.01</v>
      </c>
      <c r="T336">
        <v>23.04</v>
      </c>
      <c r="U336" s="238">
        <v>24.53</v>
      </c>
      <c r="V336">
        <v>24.299999999999997</v>
      </c>
      <c r="W336" s="238">
        <v>91981.574999999997</v>
      </c>
      <c r="X336">
        <v>4599.0787499999997</v>
      </c>
      <c r="Y336">
        <v>96580.653749999998</v>
      </c>
      <c r="Z336">
        <v>2897.4196124999999</v>
      </c>
      <c r="AA336">
        <v>99478.073362499999</v>
      </c>
      <c r="AB336">
        <v>12932.149537125</v>
      </c>
      <c r="AC336">
        <v>112410.22289962501</v>
      </c>
      <c r="AD336">
        <v>3372.3066869887502</v>
      </c>
      <c r="AE336">
        <v>115782.52958661376</v>
      </c>
      <c r="AG336">
        <v>115782.52958661376</v>
      </c>
      <c r="AI336">
        <v>115782.52958661376</v>
      </c>
      <c r="AJ336">
        <v>1157.8252958661376</v>
      </c>
      <c r="AK336">
        <v>116940.35488247988</v>
      </c>
      <c r="AL336">
        <v>5847.0177441239948</v>
      </c>
      <c r="AM336">
        <v>122787.37262660389</v>
      </c>
      <c r="AO336">
        <v>122787.37262660389</v>
      </c>
      <c r="AP336">
        <v>3683.6211787981169</v>
      </c>
      <c r="AQ336">
        <v>126470.993805402</v>
      </c>
      <c r="AS336">
        <v>126470.993805402</v>
      </c>
      <c r="AU336">
        <v>126470.993805402</v>
      </c>
      <c r="AW336">
        <v>126470.993805402</v>
      </c>
      <c r="AX336">
        <v>1264.7099380540201</v>
      </c>
      <c r="AY336">
        <v>127735.70374345602</v>
      </c>
      <c r="BA336">
        <v>127735.70374345602</v>
      </c>
      <c r="BB336">
        <v>638.6785187172801</v>
      </c>
      <c r="BC336">
        <v>128374.3822621733</v>
      </c>
      <c r="BE336">
        <v>128374.3822621733</v>
      </c>
      <c r="BF336">
        <v>1925.6157339325991</v>
      </c>
      <c r="BG336">
        <v>130299.9979961059</v>
      </c>
      <c r="BI336">
        <v>130299.9979961059</v>
      </c>
      <c r="BK336">
        <v>130299.9979961059</v>
      </c>
      <c r="BL336">
        <v>5211.9999198442365</v>
      </c>
      <c r="BM336">
        <v>135511.99791595014</v>
      </c>
      <c r="BN336">
        <v>17616.559729073517</v>
      </c>
      <c r="BO336">
        <v>153128.55764502363</v>
      </c>
      <c r="BQ336">
        <v>153128.55764502363</v>
      </c>
      <c r="BS336">
        <v>153128.55764502363</v>
      </c>
      <c r="BT336" s="238">
        <v>153128.56</v>
      </c>
      <c r="BU336" s="238">
        <v>3756300</v>
      </c>
      <c r="BW336">
        <v>0.02</v>
      </c>
      <c r="BX336" s="238">
        <v>75126</v>
      </c>
      <c r="BY336" s="238">
        <v>150068.24296779453</v>
      </c>
      <c r="BZ336" s="238">
        <v>3681174</v>
      </c>
      <c r="CA336" s="238" t="s">
        <v>38</v>
      </c>
      <c r="CB336">
        <v>25000</v>
      </c>
      <c r="CC336">
        <v>175068.24296779453</v>
      </c>
      <c r="CD336" s="238">
        <v>613250</v>
      </c>
      <c r="CE336" s="238">
        <v>4294424</v>
      </c>
      <c r="CG336" t="s">
        <v>3540</v>
      </c>
      <c r="CH336" s="238" t="s">
        <v>39</v>
      </c>
      <c r="CI336" s="238" t="s">
        <v>39</v>
      </c>
      <c r="CJ336" t="s">
        <v>8950</v>
      </c>
      <c r="CK336" t="s">
        <v>1167</v>
      </c>
      <c r="CL336" t="s">
        <v>8961</v>
      </c>
      <c r="CM336" t="s">
        <v>8970</v>
      </c>
      <c r="CN336" s="238" t="b">
        <v>1</v>
      </c>
      <c r="CO336" t="s">
        <v>5624</v>
      </c>
      <c r="CQ336" t="s">
        <v>6652</v>
      </c>
      <c r="CR336" t="s">
        <v>3246</v>
      </c>
      <c r="CS336" t="s">
        <v>38</v>
      </c>
      <c r="CT336" t="b">
        <v>1</v>
      </c>
      <c r="CU336">
        <v>3756300</v>
      </c>
      <c r="CV336" t="s">
        <v>9002</v>
      </c>
      <c r="CW336">
        <v>0</v>
      </c>
      <c r="CX336">
        <v>3756300</v>
      </c>
      <c r="CY336">
        <v>0</v>
      </c>
      <c r="CZ336" t="b">
        <v>1</v>
      </c>
      <c r="DA336">
        <v>45625</v>
      </c>
      <c r="DB336" t="s">
        <v>5215</v>
      </c>
      <c r="DC336">
        <v>-9.3762739502651904E-3</v>
      </c>
      <c r="DD336">
        <v>-1407.0809573009992</v>
      </c>
      <c r="DE336" s="420" cm="1">
        <f t="array" ref="DE336">_xlfn.XLOOKUP("Дом 5"&amp;Реестр_Д5[[#This Row],[№]]&amp;Реестр_Д5[[#This Row],[Статус]],РД[Дом]&amp;РД[№ кв]&amp;РД[Состояние],РД[Дата подачи на регистрацию],"-",0)</f>
        <v>45625</v>
      </c>
    </row>
    <row r="337" spans="1:109" hidden="1" x14ac:dyDescent="0.25">
      <c r="A337" s="238">
        <v>336</v>
      </c>
      <c r="B337" s="238" t="s">
        <v>16</v>
      </c>
      <c r="C337" s="238">
        <v>17</v>
      </c>
      <c r="D337" s="238">
        <v>3</v>
      </c>
      <c r="E337" s="238">
        <v>2</v>
      </c>
      <c r="F337" s="238">
        <v>13.69</v>
      </c>
      <c r="G337" s="238">
        <v>10.16</v>
      </c>
      <c r="H337" s="238"/>
      <c r="I337">
        <v>23.85</v>
      </c>
      <c r="J337" s="238">
        <v>18.71</v>
      </c>
      <c r="K337" s="238">
        <v>3.49</v>
      </c>
      <c r="L337" s="238">
        <v>2.11</v>
      </c>
      <c r="M337" s="238"/>
      <c r="N337" s="238">
        <v>7.09</v>
      </c>
      <c r="O337" s="238">
        <v>2.65</v>
      </c>
      <c r="P337" s="238"/>
      <c r="R337" s="238">
        <v>2.65</v>
      </c>
      <c r="S337">
        <v>57.9</v>
      </c>
      <c r="T337">
        <v>55.25</v>
      </c>
      <c r="U337" s="238">
        <v>56.58</v>
      </c>
      <c r="V337">
        <v>56.45000000000001</v>
      </c>
      <c r="W337" s="238">
        <v>80307.864000000001</v>
      </c>
      <c r="X337">
        <v>4015.3932</v>
      </c>
      <c r="Y337">
        <v>84323.257199999993</v>
      </c>
      <c r="Z337">
        <v>2529.6977160000001</v>
      </c>
      <c r="AA337">
        <v>86852.954916000002</v>
      </c>
      <c r="AC337">
        <v>86852.954916000002</v>
      </c>
      <c r="AE337">
        <v>86852.954916000002</v>
      </c>
      <c r="AG337">
        <v>86852.954916000002</v>
      </c>
      <c r="AI337">
        <v>86852.954916000002</v>
      </c>
      <c r="AJ337">
        <v>868.52954915999999</v>
      </c>
      <c r="AK337">
        <v>87721.48446516</v>
      </c>
      <c r="AL337">
        <v>4386.0742232580005</v>
      </c>
      <c r="AM337">
        <v>92107.558688417994</v>
      </c>
      <c r="AO337">
        <v>92107.558688417994</v>
      </c>
      <c r="AP337">
        <v>1842.15117376836</v>
      </c>
      <c r="AQ337">
        <v>93949.709862186355</v>
      </c>
      <c r="AS337">
        <v>93949.709862186355</v>
      </c>
      <c r="AT337">
        <v>1878.9941972437273</v>
      </c>
      <c r="AU337">
        <v>95828.704059430078</v>
      </c>
      <c r="AV337">
        <v>150</v>
      </c>
      <c r="AW337">
        <v>95978.704059430078</v>
      </c>
      <c r="AX337">
        <v>959.78704059430083</v>
      </c>
      <c r="AY337">
        <v>96938.491100024374</v>
      </c>
      <c r="BA337">
        <v>96938.491100024374</v>
      </c>
      <c r="BC337">
        <v>96938.491100024374</v>
      </c>
      <c r="BE337">
        <v>96938.491100024374</v>
      </c>
      <c r="BG337">
        <v>96938.491100024374</v>
      </c>
      <c r="BI337">
        <v>96938.491100024374</v>
      </c>
      <c r="BK337">
        <v>96938.491100024374</v>
      </c>
      <c r="BM337">
        <v>96938.491100024374</v>
      </c>
      <c r="BO337">
        <v>96938.491100024374</v>
      </c>
      <c r="BQ337">
        <v>96938.491100024374</v>
      </c>
      <c r="BS337">
        <v>96938.491100024374</v>
      </c>
      <c r="BT337" s="238">
        <v>96938.49</v>
      </c>
      <c r="BU337" s="238">
        <v>5484800</v>
      </c>
      <c r="BW337">
        <v>0.03</v>
      </c>
      <c r="BX337" s="238">
        <v>164544</v>
      </c>
      <c r="BY337" s="238">
        <v>94030.682219865674</v>
      </c>
      <c r="BZ337" s="238">
        <v>5320256</v>
      </c>
      <c r="CA337" s="238" t="s">
        <v>38</v>
      </c>
      <c r="CB337">
        <v>20000</v>
      </c>
      <c r="CC337">
        <v>114030.68221986567</v>
      </c>
      <c r="CD337" s="238">
        <v>1131600</v>
      </c>
      <c r="CE337" s="238">
        <v>6451856</v>
      </c>
      <c r="CF337" t="s">
        <v>4633</v>
      </c>
      <c r="CG337" t="s">
        <v>7054</v>
      </c>
      <c r="CH337" s="238" t="s">
        <v>39</v>
      </c>
      <c r="CI337" s="238" t="s">
        <v>39</v>
      </c>
      <c r="CJ337" t="s">
        <v>8950</v>
      </c>
      <c r="CK337" t="s">
        <v>1167</v>
      </c>
      <c r="CL337" t="s">
        <v>8961</v>
      </c>
      <c r="CM337" t="s">
        <v>8971</v>
      </c>
      <c r="CN337" s="238" t="b">
        <v>1</v>
      </c>
      <c r="CO337" t="s">
        <v>5625</v>
      </c>
      <c r="CQ337" t="s">
        <v>6652</v>
      </c>
      <c r="CR337" t="s">
        <v>3246</v>
      </c>
      <c r="CS337" t="s">
        <v>38</v>
      </c>
      <c r="CT337" t="b">
        <v>1</v>
      </c>
      <c r="CU337">
        <v>5484800</v>
      </c>
      <c r="CV337" t="s">
        <v>9002</v>
      </c>
      <c r="CW337">
        <v>0</v>
      </c>
      <c r="CX337">
        <v>5484800</v>
      </c>
      <c r="CY337">
        <v>0</v>
      </c>
      <c r="CZ337" t="b">
        <v>1</v>
      </c>
      <c r="DA337">
        <v>45468</v>
      </c>
      <c r="DB337" t="s">
        <v>4177</v>
      </c>
      <c r="DC337">
        <v>-2.2976316719687251E-3</v>
      </c>
      <c r="DD337">
        <v>-216.04787360518984</v>
      </c>
      <c r="DE337" s="420" cm="1">
        <f t="array" ref="DE337">_xlfn.XLOOKUP("Дом 5"&amp;Реестр_Д5[[#This Row],[№]]&amp;Реестр_Д5[[#This Row],[Статус]],РД[Дом]&amp;РД[№ кв]&amp;РД[Состояние],РД[Дата подачи на регистрацию],"-",0)</f>
        <v>45468</v>
      </c>
    </row>
    <row r="338" spans="1:109" hidden="1" x14ac:dyDescent="0.25">
      <c r="A338" s="238">
        <v>337</v>
      </c>
      <c r="B338" s="238" t="s">
        <v>16</v>
      </c>
      <c r="C338" s="238">
        <v>17</v>
      </c>
      <c r="D338" s="238">
        <v>4</v>
      </c>
      <c r="E338" s="238">
        <v>2</v>
      </c>
      <c r="F338" s="238">
        <v>15.45</v>
      </c>
      <c r="G338" s="238">
        <v>10.34</v>
      </c>
      <c r="H338" s="238"/>
      <c r="I338">
        <v>25.79</v>
      </c>
      <c r="J338" s="238">
        <v>15.44</v>
      </c>
      <c r="K338" s="238">
        <v>4.59</v>
      </c>
      <c r="L338" s="238">
        <v>2.21</v>
      </c>
      <c r="M338" s="238"/>
      <c r="N338" s="238">
        <v>10.79</v>
      </c>
      <c r="O338" s="238">
        <v>2.84</v>
      </c>
      <c r="P338" s="238"/>
      <c r="R338" s="238">
        <v>2.84</v>
      </c>
      <c r="S338">
        <v>61.66</v>
      </c>
      <c r="T338">
        <v>58.82</v>
      </c>
      <c r="U338" s="238">
        <v>60.24</v>
      </c>
      <c r="V338">
        <v>60.050000000000011</v>
      </c>
      <c r="W338" s="238">
        <v>82238.34150000001</v>
      </c>
      <c r="X338">
        <v>4111.9170750000003</v>
      </c>
      <c r="Y338">
        <v>86350.258575000014</v>
      </c>
      <c r="Z338">
        <v>2590.5077572500004</v>
      </c>
      <c r="AA338">
        <v>88940.766332250016</v>
      </c>
      <c r="AC338">
        <v>88940.766332250016</v>
      </c>
      <c r="AE338">
        <v>88940.766332250016</v>
      </c>
      <c r="AG338">
        <v>88940.766332250016</v>
      </c>
      <c r="AI338">
        <v>88940.766332250016</v>
      </c>
      <c r="AK338">
        <v>88940.766332250016</v>
      </c>
      <c r="AM338">
        <v>88940.766332250016</v>
      </c>
      <c r="AO338">
        <v>88940.766332250016</v>
      </c>
      <c r="AQ338">
        <v>88940.766332250016</v>
      </c>
      <c r="AS338">
        <v>88940.766332250016</v>
      </c>
      <c r="AU338">
        <v>88940.766332250016</v>
      </c>
      <c r="AW338">
        <v>88940.766332250016</v>
      </c>
      <c r="AY338">
        <v>88940.766332250016</v>
      </c>
      <c r="BA338">
        <v>88940.766332250016</v>
      </c>
      <c r="BC338">
        <v>88940.766332250016</v>
      </c>
      <c r="BE338">
        <v>88940.766332250016</v>
      </c>
      <c r="BG338">
        <v>88940.766332250016</v>
      </c>
      <c r="BI338">
        <v>88940.766332250016</v>
      </c>
      <c r="BK338">
        <v>88940.766332250016</v>
      </c>
      <c r="BM338">
        <v>88940.766332250016</v>
      </c>
      <c r="BO338">
        <v>88940.766332250016</v>
      </c>
      <c r="BQ338">
        <v>88940.766332250016</v>
      </c>
      <c r="BS338">
        <v>88940.766332250016</v>
      </c>
      <c r="BT338" s="238">
        <v>88940.77</v>
      </c>
      <c r="BU338" s="238">
        <v>5357791.9800000004</v>
      </c>
      <c r="BW338">
        <v>0.05</v>
      </c>
      <c r="BX338" s="238">
        <v>267889.59900000005</v>
      </c>
      <c r="BY338" s="238">
        <v>84493.731407702522</v>
      </c>
      <c r="BZ338" s="238">
        <v>5089902.38</v>
      </c>
      <c r="CA338" s="238" t="s">
        <v>37</v>
      </c>
      <c r="CB338">
        <v>7500</v>
      </c>
      <c r="CC338">
        <v>91993.731407702522</v>
      </c>
      <c r="CD338" s="238">
        <v>451800</v>
      </c>
      <c r="CE338" s="238">
        <v>5541702.3799999999</v>
      </c>
      <c r="CG338" t="s">
        <v>978</v>
      </c>
      <c r="CH338" s="238" t="s">
        <v>39</v>
      </c>
      <c r="CI338" s="238" t="s">
        <v>39</v>
      </c>
      <c r="CJ338" t="s">
        <v>8950</v>
      </c>
      <c r="CK338" t="s">
        <v>1167</v>
      </c>
      <c r="CL338" t="s">
        <v>8961</v>
      </c>
      <c r="CM338" t="s">
        <v>8971</v>
      </c>
      <c r="CN338" s="238" t="b">
        <v>1</v>
      </c>
      <c r="CO338" t="s">
        <v>5626</v>
      </c>
      <c r="CQ338" t="s">
        <v>4895</v>
      </c>
      <c r="CR338" t="s">
        <v>3246</v>
      </c>
      <c r="CS338" t="s">
        <v>37</v>
      </c>
      <c r="CT338" t="b">
        <v>1</v>
      </c>
      <c r="CU338">
        <v>5357791.9800000004</v>
      </c>
      <c r="CV338" t="s">
        <v>9002</v>
      </c>
      <c r="CW338">
        <v>0</v>
      </c>
      <c r="CX338">
        <v>5357792</v>
      </c>
      <c r="CY338">
        <v>0</v>
      </c>
      <c r="CZ338" t="b">
        <v>1</v>
      </c>
      <c r="DA338">
        <v>45222</v>
      </c>
      <c r="DB338" t="s">
        <v>4177</v>
      </c>
      <c r="DC338">
        <v>-3.1540504648073231E-3</v>
      </c>
      <c r="DD338">
        <v>-266.49749281976926</v>
      </c>
      <c r="DE338" s="420" cm="1">
        <f t="array" ref="DE338">_xlfn.XLOOKUP("Дом 5"&amp;Реестр_Д5[[#This Row],[№]]&amp;Реестр_Д5[[#This Row],[Статус]],РД[Дом]&amp;РД[№ кв]&amp;РД[Состояние],РД[Дата подачи на регистрацию],"-",0)</f>
        <v>45222</v>
      </c>
    </row>
    <row r="339" spans="1:109" hidden="1" x14ac:dyDescent="0.25">
      <c r="A339" s="238">
        <v>338</v>
      </c>
      <c r="B339" s="238" t="s">
        <v>16</v>
      </c>
      <c r="C339" s="238">
        <v>17</v>
      </c>
      <c r="D339" s="238">
        <v>5</v>
      </c>
      <c r="E339" s="238">
        <v>1</v>
      </c>
      <c r="F339" s="238">
        <v>12.54</v>
      </c>
      <c r="G339" s="238"/>
      <c r="H339" s="238"/>
      <c r="I339">
        <v>12.54</v>
      </c>
      <c r="J339" s="238">
        <v>12.74</v>
      </c>
      <c r="K339" s="238">
        <v>4.0199999999999996</v>
      </c>
      <c r="L339" s="238"/>
      <c r="M339" s="238"/>
      <c r="N339" s="238">
        <v>7.09</v>
      </c>
      <c r="O339" s="238">
        <v>2.84</v>
      </c>
      <c r="P339" s="238"/>
      <c r="R339" s="238">
        <v>2.84</v>
      </c>
      <c r="S339">
        <v>39.229999999999997</v>
      </c>
      <c r="T339">
        <v>36.39</v>
      </c>
      <c r="U339" s="238">
        <v>37.81</v>
      </c>
      <c r="V339">
        <v>37.4</v>
      </c>
      <c r="W339" s="238">
        <v>89223.75</v>
      </c>
      <c r="X339">
        <v>4461.1875</v>
      </c>
      <c r="Y339">
        <v>93684.9375</v>
      </c>
      <c r="Z339">
        <v>2810.5481249999998</v>
      </c>
      <c r="AA339">
        <v>96495.485625000001</v>
      </c>
      <c r="AB339">
        <v>4342.2968531249999</v>
      </c>
      <c r="AC339">
        <v>100837.78247812499</v>
      </c>
      <c r="AE339">
        <v>100837.78247812499</v>
      </c>
      <c r="AF339">
        <v>5041.8891239062505</v>
      </c>
      <c r="AG339">
        <v>105879.67160203125</v>
      </c>
      <c r="AH339">
        <v>-620</v>
      </c>
      <c r="AI339">
        <v>105259.67160203125</v>
      </c>
      <c r="AJ339">
        <v>1052.5967160203124</v>
      </c>
      <c r="AK339">
        <v>106312.26831805156</v>
      </c>
      <c r="AL339">
        <v>5315.6134159025787</v>
      </c>
      <c r="AM339">
        <v>111627.88173395414</v>
      </c>
      <c r="AO339">
        <v>111627.88173395414</v>
      </c>
      <c r="AP339">
        <v>3348.8364520186242</v>
      </c>
      <c r="AQ339">
        <v>114976.71818597276</v>
      </c>
      <c r="AS339">
        <v>114976.71818597276</v>
      </c>
      <c r="AU339">
        <v>114976.71818597276</v>
      </c>
      <c r="AW339">
        <v>114976.71818597276</v>
      </c>
      <c r="AX339">
        <v>1149.7671818597278</v>
      </c>
      <c r="AY339">
        <v>116126.4853678325</v>
      </c>
      <c r="BA339">
        <v>116126.4853678325</v>
      </c>
      <c r="BC339">
        <v>116126.4853678325</v>
      </c>
      <c r="BE339">
        <v>116126.4853678325</v>
      </c>
      <c r="BF339">
        <v>580.63242683916258</v>
      </c>
      <c r="BG339">
        <v>116707.11779467166</v>
      </c>
      <c r="BI339">
        <v>116707.11779467166</v>
      </c>
      <c r="BK339">
        <v>116707.11779467166</v>
      </c>
      <c r="BM339">
        <v>116707.11779467166</v>
      </c>
      <c r="BO339">
        <v>116707.11779467166</v>
      </c>
      <c r="BQ339">
        <v>116707.11779467166</v>
      </c>
      <c r="BS339">
        <v>116707.11779467166</v>
      </c>
      <c r="BT339" s="238">
        <v>116707.12</v>
      </c>
      <c r="BU339" s="238">
        <v>4412700</v>
      </c>
      <c r="BW339">
        <v>0.02</v>
      </c>
      <c r="BX339" s="238">
        <v>88254</v>
      </c>
      <c r="BY339" s="238">
        <v>114373.07590584501</v>
      </c>
      <c r="BZ339" s="238">
        <v>4324446</v>
      </c>
      <c r="CA339" s="238" t="s">
        <v>6871</v>
      </c>
      <c r="CB339">
        <v>8000</v>
      </c>
      <c r="CC339">
        <v>122373.07590584501</v>
      </c>
      <c r="CD339" s="238">
        <v>302480</v>
      </c>
      <c r="CE339" s="238">
        <v>4626926</v>
      </c>
      <c r="CG339" t="s">
        <v>3540</v>
      </c>
      <c r="CH339" s="238" t="s">
        <v>39</v>
      </c>
      <c r="CI339" s="238" t="s">
        <v>39</v>
      </c>
      <c r="CJ339" t="s">
        <v>8950</v>
      </c>
      <c r="CK339" t="s">
        <v>1167</v>
      </c>
      <c r="CL339" t="s">
        <v>8961</v>
      </c>
      <c r="CM339" t="s">
        <v>8973</v>
      </c>
      <c r="CN339" s="238" t="b">
        <v>1</v>
      </c>
      <c r="CO339" t="s">
        <v>5627</v>
      </c>
      <c r="CQ339" t="s">
        <v>6652</v>
      </c>
      <c r="CR339" t="s">
        <v>3246</v>
      </c>
      <c r="CS339" t="s">
        <v>6871</v>
      </c>
      <c r="CT339" t="b">
        <v>1</v>
      </c>
      <c r="CU339">
        <v>4412700</v>
      </c>
      <c r="CV339" t="s">
        <v>9002</v>
      </c>
      <c r="CW339">
        <v>0</v>
      </c>
      <c r="CX339">
        <v>4412700</v>
      </c>
      <c r="CY339">
        <v>0</v>
      </c>
      <c r="CZ339" t="b">
        <v>1</v>
      </c>
      <c r="DA339">
        <v>45589</v>
      </c>
      <c r="DB339" t="s">
        <v>126</v>
      </c>
      <c r="DC339">
        <v>-1.0843692144935302E-2</v>
      </c>
      <c r="DD339">
        <v>-1240.2264247923006</v>
      </c>
      <c r="DE339" s="420" cm="1">
        <f t="array" ref="DE339">_xlfn.XLOOKUP("Дом 5"&amp;Реестр_Д5[[#This Row],[№]]&amp;Реестр_Д5[[#This Row],[Статус]],РД[Дом]&amp;РД[№ кв]&amp;РД[Состояние],РД[Дата подачи на регистрацию],"-",0)</f>
        <v>45589</v>
      </c>
    </row>
    <row r="340" spans="1:109" x14ac:dyDescent="0.25">
      <c r="A340" s="238">
        <v>339</v>
      </c>
      <c r="B340" s="238" t="s">
        <v>16</v>
      </c>
      <c r="C340" s="238">
        <v>17</v>
      </c>
      <c r="D340" s="238">
        <v>6</v>
      </c>
      <c r="E340" s="238">
        <v>3</v>
      </c>
      <c r="F340" s="238">
        <v>17.2</v>
      </c>
      <c r="G340" s="238">
        <v>14.64</v>
      </c>
      <c r="H340" s="238">
        <v>14.34</v>
      </c>
      <c r="I340">
        <v>46.18</v>
      </c>
      <c r="J340" s="238">
        <v>13.15</v>
      </c>
      <c r="K340" s="238">
        <v>4.03</v>
      </c>
      <c r="L340" s="238">
        <v>1.76</v>
      </c>
      <c r="M340" s="238"/>
      <c r="N340" s="238">
        <v>13.11</v>
      </c>
      <c r="O340" s="238">
        <v>2.79</v>
      </c>
      <c r="P340" s="238">
        <v>2.68</v>
      </c>
      <c r="R340" s="238">
        <v>5.4700000000000006</v>
      </c>
      <c r="S340">
        <v>83.7</v>
      </c>
      <c r="T340">
        <v>78.23</v>
      </c>
      <c r="U340" s="238">
        <v>80.97</v>
      </c>
      <c r="V340">
        <v>80.249999999999986</v>
      </c>
      <c r="W340" s="238">
        <v>73520.37000000001</v>
      </c>
      <c r="X340">
        <v>3676.0185000000006</v>
      </c>
      <c r="Y340">
        <v>77196.388500000015</v>
      </c>
      <c r="Z340">
        <v>2315.8916550000004</v>
      </c>
      <c r="AA340">
        <v>79512.280155000015</v>
      </c>
      <c r="AC340">
        <v>79512.280155000015</v>
      </c>
      <c r="AE340">
        <v>79512.280155000015</v>
      </c>
      <c r="AG340">
        <v>79512.280155000015</v>
      </c>
      <c r="AI340">
        <v>79512.280155000015</v>
      </c>
      <c r="AJ340">
        <v>795.12280155000019</v>
      </c>
      <c r="AK340">
        <v>80307.40295655001</v>
      </c>
      <c r="AL340">
        <v>4015.3701478275007</v>
      </c>
      <c r="AM340">
        <v>84322.773104377513</v>
      </c>
      <c r="AO340">
        <v>84322.773104377513</v>
      </c>
      <c r="AP340">
        <v>1686.4554620875504</v>
      </c>
      <c r="AQ340">
        <v>86009.22856646507</v>
      </c>
      <c r="AS340">
        <v>86009.22856646507</v>
      </c>
      <c r="AT340">
        <v>1720.1845713293014</v>
      </c>
      <c r="AU340">
        <v>87729.41313779437</v>
      </c>
      <c r="AW340">
        <v>87729.41313779437</v>
      </c>
      <c r="AX340">
        <v>877.2941313779437</v>
      </c>
      <c r="AY340">
        <v>88606.707269172315</v>
      </c>
      <c r="BA340">
        <v>88606.707269172315</v>
      </c>
      <c r="BB340">
        <v>443.03353634586159</v>
      </c>
      <c r="BC340">
        <v>89049.740805518173</v>
      </c>
      <c r="BD340">
        <v>1780.9948161103634</v>
      </c>
      <c r="BE340">
        <v>90830.735621628541</v>
      </c>
      <c r="BF340">
        <v>1362.4610343244281</v>
      </c>
      <c r="BG340">
        <v>92193.196655952954</v>
      </c>
      <c r="BI340">
        <v>92193.196655952954</v>
      </c>
      <c r="BJ340">
        <v>3687.7278662381186</v>
      </c>
      <c r="BK340">
        <v>95880.924522191082</v>
      </c>
      <c r="BL340">
        <v>4794.0462261095545</v>
      </c>
      <c r="BM340">
        <v>100674.97074830064</v>
      </c>
      <c r="BN340">
        <v>13087.746197279082</v>
      </c>
      <c r="BO340">
        <v>113762.71694557973</v>
      </c>
      <c r="BP340">
        <v>35</v>
      </c>
      <c r="BQ340">
        <v>113797.71694557973</v>
      </c>
      <c r="BS340">
        <v>113797.71694557973</v>
      </c>
      <c r="BT340" s="238">
        <v>113797.72</v>
      </c>
      <c r="BU340" s="238">
        <v>9132300</v>
      </c>
      <c r="BX340" s="238">
        <v>0</v>
      </c>
      <c r="BY340" s="238">
        <v>113798.13084112151</v>
      </c>
      <c r="BZ340" s="238">
        <v>9132300</v>
      </c>
      <c r="CA340" s="238" t="s">
        <v>36</v>
      </c>
      <c r="CC340">
        <v>113798.13084112151</v>
      </c>
      <c r="CD340" s="238">
        <v>0</v>
      </c>
      <c r="CE340" s="238">
        <v>9132300</v>
      </c>
      <c r="CH340" s="238" t="s">
        <v>8956</v>
      </c>
      <c r="CI340" s="238" t="s">
        <v>8956</v>
      </c>
      <c r="CJ340" t="s">
        <v>8953</v>
      </c>
      <c r="CK340" t="s">
        <v>8957</v>
      </c>
      <c r="CL340" t="s">
        <v>8961</v>
      </c>
      <c r="CM340" t="s">
        <v>8975</v>
      </c>
      <c r="CN340" s="238" t="b">
        <v>1</v>
      </c>
      <c r="CO340" t="s">
        <v>5628</v>
      </c>
      <c r="CQ340" t="s">
        <v>6652</v>
      </c>
      <c r="CR340" t="s">
        <v>3124</v>
      </c>
      <c r="CS340" t="s">
        <v>6871</v>
      </c>
      <c r="CT340" t="b">
        <v>0</v>
      </c>
      <c r="CU340">
        <v>9132300</v>
      </c>
      <c r="CV340">
        <v>9132300</v>
      </c>
      <c r="CW340">
        <v>0</v>
      </c>
      <c r="CX340">
        <v>0</v>
      </c>
      <c r="CY340">
        <v>0</v>
      </c>
      <c r="CZ340" t="b">
        <v>1</v>
      </c>
      <c r="DA340" t="s">
        <v>4246</v>
      </c>
      <c r="DB340" t="s">
        <v>1167</v>
      </c>
      <c r="DC340">
        <v>-8.8921822897370939E-3</v>
      </c>
      <c r="DD340">
        <v>-1011.9137236706052</v>
      </c>
      <c r="DE340" s="420" t="str" cm="1">
        <f t="array" ref="DE34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41" spans="1:109" hidden="1" x14ac:dyDescent="0.25">
      <c r="A341" s="238">
        <v>340</v>
      </c>
      <c r="B341" s="238" t="s">
        <v>16</v>
      </c>
      <c r="C341" s="238">
        <v>17</v>
      </c>
      <c r="D341" s="238">
        <v>7</v>
      </c>
      <c r="E341" s="238">
        <v>1</v>
      </c>
      <c r="F341" s="238">
        <v>14.3</v>
      </c>
      <c r="G341" s="238"/>
      <c r="H341" s="238"/>
      <c r="I341">
        <v>14.3</v>
      </c>
      <c r="J341" s="238">
        <v>9.2799999999999994</v>
      </c>
      <c r="K341" s="238">
        <v>3.79</v>
      </c>
      <c r="L341" s="238"/>
      <c r="M341" s="238"/>
      <c r="N341" s="238">
        <v>6.08</v>
      </c>
      <c r="O341" s="238">
        <v>2.71</v>
      </c>
      <c r="P341" s="238"/>
      <c r="R341" s="238">
        <v>2.71</v>
      </c>
      <c r="S341">
        <v>36.159999999999997</v>
      </c>
      <c r="T341">
        <v>33.450000000000003</v>
      </c>
      <c r="U341" s="238">
        <v>34.81</v>
      </c>
      <c r="V341">
        <v>34.699999999999996</v>
      </c>
      <c r="W341" s="238">
        <v>84762.5625</v>
      </c>
      <c r="X341">
        <v>4238.1281250000002</v>
      </c>
      <c r="Y341">
        <v>89000.690625000003</v>
      </c>
      <c r="Z341">
        <v>2670.02071875</v>
      </c>
      <c r="AA341">
        <v>91670.711343750023</v>
      </c>
      <c r="AB341">
        <v>12833.899588125005</v>
      </c>
      <c r="AC341">
        <v>104504.610931875</v>
      </c>
      <c r="AE341">
        <v>104504.610931875</v>
      </c>
      <c r="AF341">
        <v>5225.2305465937507</v>
      </c>
      <c r="AG341">
        <v>109729.84147846876</v>
      </c>
      <c r="AI341">
        <v>109729.84147846876</v>
      </c>
      <c r="AJ341">
        <v>1097.2984147846876</v>
      </c>
      <c r="AK341">
        <v>110827.13989325344</v>
      </c>
      <c r="AL341">
        <v>5541.3569946626731</v>
      </c>
      <c r="AM341">
        <v>116368.49688791612</v>
      </c>
      <c r="AO341">
        <v>116368.49688791612</v>
      </c>
      <c r="AP341">
        <v>3491.0549066374833</v>
      </c>
      <c r="AQ341">
        <v>119859.5517945536</v>
      </c>
      <c r="AS341">
        <v>119859.5517945536</v>
      </c>
      <c r="AU341">
        <v>119859.5517945536</v>
      </c>
      <c r="AW341">
        <v>119859.5517945536</v>
      </c>
      <c r="AY341">
        <v>119859.5517945536</v>
      </c>
      <c r="BA341">
        <v>119859.5517945536</v>
      </c>
      <c r="BC341">
        <v>119859.5517945536</v>
      </c>
      <c r="BE341">
        <v>119859.5517945536</v>
      </c>
      <c r="BF341">
        <v>599.29775897276795</v>
      </c>
      <c r="BG341">
        <v>120458.84955352636</v>
      </c>
      <c r="BI341">
        <v>120458.84955352636</v>
      </c>
      <c r="BJ341">
        <v>2409.1769910705275</v>
      </c>
      <c r="BK341">
        <v>122868.0265445969</v>
      </c>
      <c r="BL341">
        <v>6143.4013272298453</v>
      </c>
      <c r="BM341">
        <v>129011.42787182676</v>
      </c>
      <c r="BN341">
        <v>16771.485623337478</v>
      </c>
      <c r="BO341">
        <v>145782.91349516422</v>
      </c>
      <c r="BP341">
        <v>35</v>
      </c>
      <c r="BQ341">
        <v>145817.91349516422</v>
      </c>
      <c r="BS341">
        <v>145817.91349516422</v>
      </c>
      <c r="BT341" s="238">
        <v>145817.91</v>
      </c>
      <c r="BU341" s="238">
        <v>5076000</v>
      </c>
      <c r="BV341">
        <v>278480</v>
      </c>
      <c r="BX341" s="238">
        <v>278480</v>
      </c>
      <c r="BY341" s="238">
        <v>137820.16661878768</v>
      </c>
      <c r="BZ341" s="238">
        <v>4797520</v>
      </c>
      <c r="CA341" s="238" t="s">
        <v>38</v>
      </c>
      <c r="CB341">
        <v>25000</v>
      </c>
      <c r="CC341">
        <v>162820.16661878768</v>
      </c>
      <c r="CD341" s="238">
        <v>870250</v>
      </c>
      <c r="CE341" s="238">
        <v>5667770</v>
      </c>
      <c r="CF341" t="s">
        <v>4633</v>
      </c>
      <c r="CG341" t="s">
        <v>8676</v>
      </c>
      <c r="CH341" s="238" t="s">
        <v>39</v>
      </c>
      <c r="CI341" s="238" t="s">
        <v>39</v>
      </c>
      <c r="CJ341" t="s">
        <v>8950</v>
      </c>
      <c r="CK341" t="s">
        <v>1167</v>
      </c>
      <c r="CL341" t="s">
        <v>8961</v>
      </c>
      <c r="CM341" t="s">
        <v>8973</v>
      </c>
      <c r="CN341" s="238" t="b">
        <v>1</v>
      </c>
      <c r="CO341" t="s">
        <v>5629</v>
      </c>
      <c r="CQ341" t="s">
        <v>6652</v>
      </c>
      <c r="CR341" t="s">
        <v>3246</v>
      </c>
      <c r="CS341" t="s">
        <v>38</v>
      </c>
      <c r="CT341" t="b">
        <v>1</v>
      </c>
      <c r="CU341">
        <v>5076000</v>
      </c>
      <c r="CV341" t="s">
        <v>9002</v>
      </c>
      <c r="CW341">
        <v>0</v>
      </c>
      <c r="CX341">
        <v>5076000</v>
      </c>
      <c r="CY341">
        <v>0</v>
      </c>
      <c r="CZ341" t="b">
        <v>1</v>
      </c>
      <c r="DA341">
        <v>45828</v>
      </c>
      <c r="DB341" t="s">
        <v>5215</v>
      </c>
      <c r="DC341">
        <v>-3.1600114909510202E-3</v>
      </c>
      <c r="DD341">
        <v>-435.51331020015328</v>
      </c>
      <c r="DE341" s="420" cm="1">
        <f t="array" ref="DE341">_xlfn.XLOOKUP("Дом 5"&amp;Реестр_Д5[[#This Row],[№]]&amp;Реестр_Д5[[#This Row],[Статус]],РД[Дом]&amp;РД[№ кв]&amp;РД[Состояние],РД[Дата подачи на регистрацию],"-",0)</f>
        <v>45828</v>
      </c>
    </row>
    <row r="342" spans="1:109" hidden="1" x14ac:dyDescent="0.25">
      <c r="A342" s="238">
        <v>341</v>
      </c>
      <c r="B342" s="238" t="s">
        <v>16</v>
      </c>
      <c r="C342" s="238">
        <v>18</v>
      </c>
      <c r="D342" s="238">
        <v>1</v>
      </c>
      <c r="E342" s="238">
        <v>2</v>
      </c>
      <c r="F342" s="238">
        <v>17.63</v>
      </c>
      <c r="G342" s="238">
        <v>13.69</v>
      </c>
      <c r="H342" s="238"/>
      <c r="I342">
        <v>31.32</v>
      </c>
      <c r="J342" s="238">
        <v>20.05</v>
      </c>
      <c r="K342" s="238">
        <v>3.54</v>
      </c>
      <c r="L342" s="238">
        <v>2.93</v>
      </c>
      <c r="M342" s="238"/>
      <c r="N342" s="238">
        <v>12.19</v>
      </c>
      <c r="O342" s="238">
        <v>4.6500000000000004</v>
      </c>
      <c r="P342" s="238">
        <v>2.68</v>
      </c>
      <c r="R342" s="238">
        <v>7.33</v>
      </c>
      <c r="S342">
        <v>77.36</v>
      </c>
      <c r="T342">
        <v>70.03</v>
      </c>
      <c r="U342" s="238">
        <v>73.7</v>
      </c>
      <c r="V342">
        <v>72.949999999999989</v>
      </c>
      <c r="W342" s="238">
        <v>80307.864000000001</v>
      </c>
      <c r="X342">
        <v>4015.3932</v>
      </c>
      <c r="Y342">
        <v>84323.257199999993</v>
      </c>
      <c r="Z342">
        <v>2529.6977160000001</v>
      </c>
      <c r="AA342">
        <v>86852.954916000002</v>
      </c>
      <c r="AC342">
        <v>86852.954916000002</v>
      </c>
      <c r="AE342">
        <v>86852.954916000002</v>
      </c>
      <c r="AG342">
        <v>86852.954916000002</v>
      </c>
      <c r="AI342">
        <v>86852.954916000002</v>
      </c>
      <c r="AJ342">
        <v>868.52954915999999</v>
      </c>
      <c r="AK342">
        <v>87721.48446516</v>
      </c>
      <c r="AL342">
        <v>4386.0742232580005</v>
      </c>
      <c r="AM342">
        <v>92107.558688417994</v>
      </c>
      <c r="AO342">
        <v>92107.558688417994</v>
      </c>
      <c r="AP342">
        <v>1842.15117376836</v>
      </c>
      <c r="AQ342">
        <v>93949.709862186355</v>
      </c>
      <c r="AS342">
        <v>93949.709862186355</v>
      </c>
      <c r="AT342">
        <v>1878.9941972437273</v>
      </c>
      <c r="AU342">
        <v>95828.704059430078</v>
      </c>
      <c r="AW342">
        <v>95828.704059430078</v>
      </c>
      <c r="AY342">
        <v>95828.704059430078</v>
      </c>
      <c r="BA342">
        <v>95828.704059430078</v>
      </c>
      <c r="BC342">
        <v>95828.704059430078</v>
      </c>
      <c r="BE342">
        <v>95828.704059430078</v>
      </c>
      <c r="BF342">
        <v>479.14352029715042</v>
      </c>
      <c r="BG342">
        <v>96307.847579727226</v>
      </c>
      <c r="BI342">
        <v>96307.847579727226</v>
      </c>
      <c r="BK342">
        <v>96307.847579727226</v>
      </c>
      <c r="BM342">
        <v>96307.847579727226</v>
      </c>
      <c r="BO342">
        <v>96307.847579727226</v>
      </c>
      <c r="BQ342">
        <v>96307.847579727226</v>
      </c>
      <c r="BS342">
        <v>96307.847579727226</v>
      </c>
      <c r="BT342" s="238">
        <v>96307.85</v>
      </c>
      <c r="BU342" s="238">
        <v>7097900</v>
      </c>
      <c r="BW342">
        <v>0.03</v>
      </c>
      <c r="BX342" s="238">
        <v>212937</v>
      </c>
      <c r="BY342" s="238">
        <v>93418.765264586167</v>
      </c>
      <c r="BZ342" s="238">
        <v>6884963</v>
      </c>
      <c r="CA342" s="238" t="s">
        <v>36</v>
      </c>
      <c r="CC342">
        <v>93418.765264586167</v>
      </c>
      <c r="CD342" s="238">
        <v>0</v>
      </c>
      <c r="CE342" s="238">
        <v>6884963</v>
      </c>
      <c r="CF342" t="s">
        <v>4635</v>
      </c>
      <c r="CG342" t="s">
        <v>3538</v>
      </c>
      <c r="CH342" s="238" t="s">
        <v>39</v>
      </c>
      <c r="CI342" s="238" t="s">
        <v>39</v>
      </c>
      <c r="CJ342" t="s">
        <v>8950</v>
      </c>
      <c r="CK342" t="s">
        <v>1167</v>
      </c>
      <c r="CL342" t="s">
        <v>8961</v>
      </c>
      <c r="CM342" t="s">
        <v>8971</v>
      </c>
      <c r="CN342" s="238" t="b">
        <v>1</v>
      </c>
      <c r="CO342" t="s">
        <v>5630</v>
      </c>
      <c r="CQ342" t="s">
        <v>6652</v>
      </c>
      <c r="CR342" t="s">
        <v>3246</v>
      </c>
      <c r="CS342" t="s">
        <v>36</v>
      </c>
      <c r="CT342" t="b">
        <v>1</v>
      </c>
      <c r="CU342">
        <v>7097900</v>
      </c>
      <c r="CV342" t="s">
        <v>9002</v>
      </c>
      <c r="CW342">
        <v>0</v>
      </c>
      <c r="CX342">
        <v>7097900</v>
      </c>
      <c r="CY342">
        <v>0</v>
      </c>
      <c r="CZ342" t="b">
        <v>1</v>
      </c>
      <c r="DA342">
        <v>45597</v>
      </c>
      <c r="DB342" t="s">
        <v>4177</v>
      </c>
      <c r="DC342">
        <v>-1.017639077340593E-2</v>
      </c>
      <c r="DD342">
        <v>-950.66586090150895</v>
      </c>
      <c r="DE342" s="420" cm="1">
        <f t="array" ref="DE342">_xlfn.XLOOKUP("Дом 5"&amp;Реестр_Д5[[#This Row],[№]]&amp;Реестр_Д5[[#This Row],[Статус]],РД[Дом]&amp;РД[№ кв]&amp;РД[Состояние],РД[Дата подачи на регистрацию],"-",0)</f>
        <v>45597</v>
      </c>
    </row>
    <row r="343" spans="1:109" x14ac:dyDescent="0.25">
      <c r="A343" s="238">
        <v>342</v>
      </c>
      <c r="B343" s="238" t="s">
        <v>16</v>
      </c>
      <c r="C343" s="238">
        <v>18</v>
      </c>
      <c r="D343" s="238">
        <v>2</v>
      </c>
      <c r="E343" s="238">
        <v>0</v>
      </c>
      <c r="F343" s="238">
        <v>7.18</v>
      </c>
      <c r="G343" s="238"/>
      <c r="H343" s="238"/>
      <c r="I343">
        <v>7.18</v>
      </c>
      <c r="J343" s="238">
        <v>5.17</v>
      </c>
      <c r="K343" s="238">
        <v>3.72</v>
      </c>
      <c r="L343" s="238"/>
      <c r="M343" s="238"/>
      <c r="N343" s="238">
        <v>6.97</v>
      </c>
      <c r="O343" s="238">
        <v>2.97</v>
      </c>
      <c r="P343" s="238"/>
      <c r="R343" s="238">
        <v>2.97</v>
      </c>
      <c r="S343">
        <v>26.01</v>
      </c>
      <c r="T343">
        <v>23.04</v>
      </c>
      <c r="U343" s="238">
        <v>24.53</v>
      </c>
      <c r="V343">
        <v>24.4</v>
      </c>
      <c r="W343" s="238">
        <v>92857.59</v>
      </c>
      <c r="X343">
        <v>4642.8795</v>
      </c>
      <c r="Y343">
        <v>97500.469500000007</v>
      </c>
      <c r="Z343">
        <v>2925.0140849999998</v>
      </c>
      <c r="AA343">
        <v>100425.48358499999</v>
      </c>
      <c r="AB343">
        <v>13055.312866050001</v>
      </c>
      <c r="AC343">
        <v>113480.79645105</v>
      </c>
      <c r="AD343">
        <v>3404.4238935314997</v>
      </c>
      <c r="AE343">
        <v>116885.2203445815</v>
      </c>
      <c r="AG343">
        <v>116885.2203445815</v>
      </c>
      <c r="AI343">
        <v>116885.2203445815</v>
      </c>
      <c r="AJ343">
        <v>1168.8522034458149</v>
      </c>
      <c r="AK343">
        <v>118054.07254802732</v>
      </c>
      <c r="AL343">
        <v>5902.7036274013662</v>
      </c>
      <c r="AM343">
        <v>123956.77617542868</v>
      </c>
      <c r="AO343">
        <v>123956.77617542868</v>
      </c>
      <c r="AP343">
        <v>3718.7032852628599</v>
      </c>
      <c r="AQ343">
        <v>127675.47946069154</v>
      </c>
      <c r="AS343">
        <v>127675.47946069154</v>
      </c>
      <c r="AU343">
        <v>127675.47946069154</v>
      </c>
      <c r="AW343">
        <v>127675.47946069154</v>
      </c>
      <c r="AX343">
        <v>1276.7547946069153</v>
      </c>
      <c r="AY343">
        <v>128952.23425529843</v>
      </c>
      <c r="BA343">
        <v>128952.23425529843</v>
      </c>
      <c r="BB343">
        <v>644.76117127649229</v>
      </c>
      <c r="BC343">
        <v>129596.99542657494</v>
      </c>
      <c r="BE343">
        <v>129596.99542657494</v>
      </c>
      <c r="BF343">
        <v>1943.954931398624</v>
      </c>
      <c r="BG343">
        <v>131540.95035797358</v>
      </c>
      <c r="BI343">
        <v>131540.95035797358</v>
      </c>
      <c r="BK343">
        <v>131540.95035797358</v>
      </c>
      <c r="BL343">
        <v>5261.6380143189435</v>
      </c>
      <c r="BM343">
        <v>136802.58837229252</v>
      </c>
      <c r="BN343">
        <v>17784.336488398028</v>
      </c>
      <c r="BO343">
        <v>154586.92486069055</v>
      </c>
      <c r="BP343">
        <v>35</v>
      </c>
      <c r="BQ343">
        <v>154621.92486069055</v>
      </c>
      <c r="BS343">
        <v>154621.92486069055</v>
      </c>
      <c r="BT343" s="238">
        <v>154621.92000000001</v>
      </c>
      <c r="BU343" s="238">
        <v>3772800</v>
      </c>
      <c r="BX343" s="238">
        <v>0</v>
      </c>
      <c r="BY343" s="238">
        <v>154622.95081967214</v>
      </c>
      <c r="BZ343" s="238">
        <v>3772800</v>
      </c>
      <c r="CA343" s="238" t="s">
        <v>36</v>
      </c>
      <c r="CC343">
        <v>154622.95081967214</v>
      </c>
      <c r="CD343" s="238">
        <v>0</v>
      </c>
      <c r="CE343" s="238">
        <v>3772800</v>
      </c>
      <c r="CH343" s="238" t="s">
        <v>3</v>
      </c>
      <c r="CI343" s="238" t="s">
        <v>3</v>
      </c>
      <c r="CJ343" t="s">
        <v>8951</v>
      </c>
      <c r="CK343" t="s">
        <v>1167</v>
      </c>
      <c r="CL343" t="s">
        <v>8961</v>
      </c>
      <c r="CM343" t="s">
        <v>8970</v>
      </c>
      <c r="CN343" s="238" t="b">
        <v>1</v>
      </c>
      <c r="CO343" t="s">
        <v>5631</v>
      </c>
      <c r="CQ343" t="s">
        <v>6652</v>
      </c>
      <c r="CR343" t="s">
        <v>3124</v>
      </c>
      <c r="CS343" t="s">
        <v>36</v>
      </c>
      <c r="CT343" t="b">
        <v>1</v>
      </c>
      <c r="CU343">
        <v>3772800</v>
      </c>
      <c r="CV343">
        <v>3772800</v>
      </c>
      <c r="CW343">
        <v>0</v>
      </c>
      <c r="CX343">
        <v>0</v>
      </c>
      <c r="CY343">
        <v>0</v>
      </c>
      <c r="CZ343" t="b">
        <v>1</v>
      </c>
      <c r="DA343" t="s">
        <v>4246</v>
      </c>
      <c r="DB343" t="s">
        <v>1167</v>
      </c>
      <c r="DC343">
        <v>-5.2996331023238419E-3</v>
      </c>
      <c r="DD343">
        <v>-819.44490854292587</v>
      </c>
      <c r="DE343" s="420" t="str" cm="1">
        <f t="array" ref="DE34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44" spans="1:109" hidden="1" x14ac:dyDescent="0.25">
      <c r="A344" s="238">
        <v>343</v>
      </c>
      <c r="B344" s="238" t="s">
        <v>16</v>
      </c>
      <c r="C344" s="238">
        <v>18</v>
      </c>
      <c r="D344" s="238">
        <v>3</v>
      </c>
      <c r="E344" s="238">
        <v>2</v>
      </c>
      <c r="F344" s="238">
        <v>13.69</v>
      </c>
      <c r="G344" s="238">
        <v>10.16</v>
      </c>
      <c r="H344" s="238"/>
      <c r="I344">
        <v>23.85</v>
      </c>
      <c r="J344" s="238">
        <v>18.71</v>
      </c>
      <c r="K344" s="238">
        <v>3.49</v>
      </c>
      <c r="L344" s="238">
        <v>2.11</v>
      </c>
      <c r="M344" s="238"/>
      <c r="N344" s="238">
        <v>7.09</v>
      </c>
      <c r="O344" s="238">
        <v>2.65</v>
      </c>
      <c r="P344" s="238"/>
      <c r="R344" s="238">
        <v>2.65</v>
      </c>
      <c r="S344">
        <v>57.9</v>
      </c>
      <c r="T344">
        <v>55.25</v>
      </c>
      <c r="U344" s="238">
        <v>56.58</v>
      </c>
      <c r="V344">
        <v>56.45</v>
      </c>
      <c r="W344" s="238">
        <v>81080.054999999993</v>
      </c>
      <c r="X344">
        <v>4054.002750000001</v>
      </c>
      <c r="Y344">
        <v>85134.057750000007</v>
      </c>
      <c r="Z344">
        <v>2554.0217325000003</v>
      </c>
      <c r="AA344">
        <v>87688.079482500005</v>
      </c>
      <c r="AC344">
        <v>87688.079482500005</v>
      </c>
      <c r="AE344">
        <v>87688.079482500005</v>
      </c>
      <c r="AG344">
        <v>87688.079482500005</v>
      </c>
      <c r="AI344">
        <v>87688.079482500005</v>
      </c>
      <c r="AJ344">
        <v>876.88079482499995</v>
      </c>
      <c r="AK344">
        <v>88564.960277325008</v>
      </c>
      <c r="AL344">
        <v>4428.2480138662504</v>
      </c>
      <c r="AM344">
        <v>92993.208291191258</v>
      </c>
      <c r="AO344">
        <v>92993.208291191258</v>
      </c>
      <c r="AP344">
        <v>1859.8641658238253</v>
      </c>
      <c r="AQ344">
        <v>94853.072457015078</v>
      </c>
      <c r="AS344">
        <v>94853.072457015078</v>
      </c>
      <c r="AT344">
        <v>1897.0614491403016</v>
      </c>
      <c r="AU344">
        <v>96750.133906155374</v>
      </c>
      <c r="AV344">
        <v>150</v>
      </c>
      <c r="AW344">
        <v>96900.133906155374</v>
      </c>
      <c r="AX344">
        <v>969.00133906155372</v>
      </c>
      <c r="AY344">
        <v>97869.135245216923</v>
      </c>
      <c r="BA344">
        <v>97869.135245216923</v>
      </c>
      <c r="BC344">
        <v>97869.135245216923</v>
      </c>
      <c r="BE344">
        <v>97869.135245216923</v>
      </c>
      <c r="BF344">
        <v>2446.7283811304233</v>
      </c>
      <c r="BG344">
        <v>100315.86362634736</v>
      </c>
      <c r="BH344">
        <v>500</v>
      </c>
      <c r="BI344">
        <v>100815.86362634736</v>
      </c>
      <c r="BJ344">
        <v>4032.6345450538938</v>
      </c>
      <c r="BK344">
        <v>104848.49817140124</v>
      </c>
      <c r="BL344">
        <v>6290.9098902840742</v>
      </c>
      <c r="BM344">
        <v>111139.40806168532</v>
      </c>
      <c r="BN344">
        <v>14448.123048019092</v>
      </c>
      <c r="BO344">
        <v>125587.5311097044</v>
      </c>
      <c r="BP344">
        <v>35</v>
      </c>
      <c r="BQ344">
        <v>125622.5311097044</v>
      </c>
      <c r="BS344">
        <v>125622.5311097044</v>
      </c>
      <c r="BT344" s="238">
        <v>125622.53</v>
      </c>
      <c r="BU344" s="238">
        <v>7107800</v>
      </c>
      <c r="BW344">
        <v>0.02</v>
      </c>
      <c r="BX344" s="238">
        <v>142156</v>
      </c>
      <c r="BY344" s="238">
        <v>123111.41746200073</v>
      </c>
      <c r="BZ344" s="238">
        <v>6965644</v>
      </c>
      <c r="CA344" s="238" t="s">
        <v>6871</v>
      </c>
      <c r="CB344">
        <v>10000</v>
      </c>
      <c r="CC344">
        <v>133111.41746200071</v>
      </c>
      <c r="CD344" s="238">
        <v>565800</v>
      </c>
      <c r="CE344" s="238">
        <v>7531444</v>
      </c>
      <c r="CF344" t="s">
        <v>4633</v>
      </c>
      <c r="CG344" t="s">
        <v>321</v>
      </c>
      <c r="CH344" s="238" t="s">
        <v>39</v>
      </c>
      <c r="CI344" s="238" t="s">
        <v>39</v>
      </c>
      <c r="CJ344" t="s">
        <v>8950</v>
      </c>
      <c r="CK344" t="s">
        <v>1167</v>
      </c>
      <c r="CL344" t="s">
        <v>8961</v>
      </c>
      <c r="CM344" t="s">
        <v>8971</v>
      </c>
      <c r="CN344" s="238" t="b">
        <v>1</v>
      </c>
      <c r="CO344" t="s">
        <v>5632</v>
      </c>
      <c r="CQ344" t="s">
        <v>6652</v>
      </c>
      <c r="CR344" t="s">
        <v>3246</v>
      </c>
      <c r="CS344" t="s">
        <v>6871</v>
      </c>
      <c r="CT344" t="b">
        <v>1</v>
      </c>
      <c r="CU344">
        <v>7107800</v>
      </c>
      <c r="CV344" t="s">
        <v>9002</v>
      </c>
      <c r="CW344">
        <v>0</v>
      </c>
      <c r="CX344">
        <v>7107800</v>
      </c>
      <c r="CY344">
        <v>0</v>
      </c>
      <c r="CZ344" t="b">
        <v>1</v>
      </c>
      <c r="DA344">
        <v>45705</v>
      </c>
      <c r="DB344" t="s">
        <v>8380</v>
      </c>
      <c r="DC344">
        <v>-2.2976316719688361E-3</v>
      </c>
      <c r="DD344">
        <v>-282.86469194167006</v>
      </c>
      <c r="DE344" s="420" cm="1">
        <f t="array" ref="DE344">_xlfn.XLOOKUP("Дом 5"&amp;Реестр_Д5[[#This Row],[№]]&amp;Реестр_Д5[[#This Row],[Статус]],РД[Дом]&amp;РД[№ кв]&amp;РД[Состояние],РД[Дата подачи на регистрацию],"-",0)</f>
        <v>45705</v>
      </c>
    </row>
    <row r="345" spans="1:109" x14ac:dyDescent="0.25">
      <c r="A345" s="238">
        <v>344</v>
      </c>
      <c r="B345" s="238" t="s">
        <v>16</v>
      </c>
      <c r="C345" s="238">
        <v>18</v>
      </c>
      <c r="D345" s="238">
        <v>4</v>
      </c>
      <c r="E345" s="238">
        <v>2</v>
      </c>
      <c r="F345" s="238">
        <v>15.45</v>
      </c>
      <c r="G345" s="238">
        <v>10.34</v>
      </c>
      <c r="H345" s="238"/>
      <c r="I345">
        <v>25.79</v>
      </c>
      <c r="J345" s="238">
        <v>15.44</v>
      </c>
      <c r="K345" s="238">
        <v>4.59</v>
      </c>
      <c r="L345" s="238">
        <v>2.21</v>
      </c>
      <c r="M345" s="238"/>
      <c r="N345" s="238">
        <v>10.79</v>
      </c>
      <c r="O345" s="238">
        <v>2.84</v>
      </c>
      <c r="P345" s="238"/>
      <c r="R345" s="238">
        <v>2.84</v>
      </c>
      <c r="S345">
        <v>61.66</v>
      </c>
      <c r="T345">
        <v>58.82</v>
      </c>
      <c r="U345" s="238">
        <v>60.24</v>
      </c>
      <c r="V345">
        <v>60.150000000000006</v>
      </c>
      <c r="W345" s="238">
        <v>83010.532500000001</v>
      </c>
      <c r="X345">
        <v>4150.5266250000004</v>
      </c>
      <c r="Y345">
        <v>87161.059125</v>
      </c>
      <c r="Z345">
        <v>2614.8317737499997</v>
      </c>
      <c r="AA345">
        <v>89775.890898750004</v>
      </c>
      <c r="AC345">
        <v>89775.890898750004</v>
      </c>
      <c r="AE345">
        <v>89775.890898750004</v>
      </c>
      <c r="AG345">
        <v>89775.890898750004</v>
      </c>
      <c r="AI345">
        <v>89775.890898750004</v>
      </c>
      <c r="AJ345">
        <v>897.75890898750004</v>
      </c>
      <c r="AK345">
        <v>90673.6498077375</v>
      </c>
      <c r="AL345">
        <v>4533.6824903868755</v>
      </c>
      <c r="AM345">
        <v>95207.332298124369</v>
      </c>
      <c r="AO345">
        <v>95207.332298124369</v>
      </c>
      <c r="AP345">
        <v>1904.1466459624871</v>
      </c>
      <c r="AQ345">
        <v>97111.478944086863</v>
      </c>
      <c r="AS345">
        <v>97111.478944086863</v>
      </c>
      <c r="AT345">
        <v>1942.2295788817371</v>
      </c>
      <c r="AU345">
        <v>99053.708522968605</v>
      </c>
      <c r="AW345">
        <v>99053.708522968605</v>
      </c>
      <c r="AY345">
        <v>99053.708522968605</v>
      </c>
      <c r="BA345">
        <v>99053.708522968605</v>
      </c>
      <c r="BC345">
        <v>99053.708522968605</v>
      </c>
      <c r="BE345">
        <v>99053.708522968605</v>
      </c>
      <c r="BF345">
        <v>495.26854261484306</v>
      </c>
      <c r="BG345">
        <v>99548.977065583444</v>
      </c>
      <c r="BI345">
        <v>99548.977065583444</v>
      </c>
      <c r="BJ345">
        <v>3981.959082623338</v>
      </c>
      <c r="BK345">
        <v>103530.93614820678</v>
      </c>
      <c r="BL345">
        <v>6211.8561688924065</v>
      </c>
      <c r="BM345">
        <v>109742.7923170992</v>
      </c>
      <c r="BN345">
        <v>14266.563001222894</v>
      </c>
      <c r="BO345">
        <v>124009.35531832208</v>
      </c>
      <c r="BP345">
        <v>35</v>
      </c>
      <c r="BQ345">
        <v>124044.35531832208</v>
      </c>
      <c r="BS345">
        <v>124044.35531832208</v>
      </c>
      <c r="BT345" s="238">
        <v>124044.36</v>
      </c>
      <c r="BU345" s="238">
        <v>7461300</v>
      </c>
      <c r="BV345">
        <v>590300</v>
      </c>
      <c r="BX345" s="238">
        <v>590300</v>
      </c>
      <c r="BY345" s="238">
        <v>114231.08894430588</v>
      </c>
      <c r="BZ345" s="238">
        <v>6871000</v>
      </c>
      <c r="CA345" s="238" t="s">
        <v>6871</v>
      </c>
      <c r="CB345">
        <v>10000</v>
      </c>
      <c r="CC345">
        <v>124231.08894430588</v>
      </c>
      <c r="CD345" s="238">
        <v>601500</v>
      </c>
      <c r="CE345" s="238">
        <v>7472500</v>
      </c>
      <c r="CG345" t="s">
        <v>8841</v>
      </c>
      <c r="CH345" s="238" t="s">
        <v>39</v>
      </c>
      <c r="CI345" s="238" t="s">
        <v>39</v>
      </c>
      <c r="CJ345" t="s">
        <v>8950</v>
      </c>
      <c r="CK345" t="s">
        <v>1167</v>
      </c>
      <c r="CL345" t="s">
        <v>8961</v>
      </c>
      <c r="CM345" t="s">
        <v>8971</v>
      </c>
      <c r="CN345" s="238" t="b">
        <v>1</v>
      </c>
      <c r="CO345" t="s">
        <v>5633</v>
      </c>
      <c r="CQ345" t="s">
        <v>6652</v>
      </c>
      <c r="CR345" t="s">
        <v>3124</v>
      </c>
      <c r="CS345" t="s">
        <v>6871</v>
      </c>
      <c r="CT345" t="b">
        <v>1</v>
      </c>
      <c r="CU345">
        <v>7461300</v>
      </c>
      <c r="CV345" t="s">
        <v>9002</v>
      </c>
      <c r="CW345">
        <v>0</v>
      </c>
      <c r="CX345">
        <v>7461300</v>
      </c>
      <c r="CY345">
        <v>0</v>
      </c>
      <c r="CZ345" t="b">
        <v>1</v>
      </c>
      <c r="DA345" t="s">
        <v>4246</v>
      </c>
      <c r="DB345" t="s">
        <v>1167</v>
      </c>
      <c r="DC345">
        <v>-1.4940239043823578E-3</v>
      </c>
      <c r="DD345">
        <v>-170.66397750642025</v>
      </c>
      <c r="DE345" s="420" cm="1">
        <f t="array" ref="DE345">_xlfn.XLOOKUP("Дом 5"&amp;Реестр_Д5[[#This Row],[№]]&amp;Реестр_Д5[[#This Row],[Статус]],РД[Дом]&amp;РД[№ кв]&amp;РД[Состояние],РД[Дата подачи на регистрацию],"-",0)</f>
        <v>45882</v>
      </c>
    </row>
    <row r="346" spans="1:109" hidden="1" x14ac:dyDescent="0.25">
      <c r="A346" s="238">
        <v>345</v>
      </c>
      <c r="B346" s="238" t="s">
        <v>16</v>
      </c>
      <c r="C346" s="238">
        <v>18</v>
      </c>
      <c r="D346" s="238">
        <v>5</v>
      </c>
      <c r="E346" s="238">
        <v>1</v>
      </c>
      <c r="F346" s="238">
        <v>12.54</v>
      </c>
      <c r="G346" s="238"/>
      <c r="H346" s="238"/>
      <c r="I346">
        <v>12.54</v>
      </c>
      <c r="J346" s="238">
        <v>12.74</v>
      </c>
      <c r="K346" s="238">
        <v>4.0199999999999996</v>
      </c>
      <c r="L346" s="238"/>
      <c r="M346" s="238"/>
      <c r="N346" s="238">
        <v>7.09</v>
      </c>
      <c r="O346" s="238">
        <v>2.84</v>
      </c>
      <c r="P346" s="238"/>
      <c r="R346" s="238">
        <v>2.84</v>
      </c>
      <c r="S346">
        <v>39.229999999999997</v>
      </c>
      <c r="T346">
        <v>36.39</v>
      </c>
      <c r="U346" s="238">
        <v>37.81</v>
      </c>
      <c r="V346">
        <v>37.549999999999997</v>
      </c>
      <c r="W346" s="238">
        <v>90034.875</v>
      </c>
      <c r="X346">
        <v>4501.7437500000005</v>
      </c>
      <c r="Y346">
        <v>94536.618749999994</v>
      </c>
      <c r="Z346">
        <v>2836.0985624999998</v>
      </c>
      <c r="AA346">
        <v>97372.717312499997</v>
      </c>
      <c r="AB346">
        <v>4381.7722790624994</v>
      </c>
      <c r="AC346">
        <v>101754.48959156248</v>
      </c>
      <c r="AE346">
        <v>101754.48959156248</v>
      </c>
      <c r="AF346">
        <v>5087.7244795781253</v>
      </c>
      <c r="AG346">
        <v>106842.21407114062</v>
      </c>
      <c r="AH346">
        <v>-620</v>
      </c>
      <c r="AI346">
        <v>106222.21407114062</v>
      </c>
      <c r="AJ346">
        <v>1062.2221407114062</v>
      </c>
      <c r="AK346">
        <v>107284.43621185204</v>
      </c>
      <c r="AL346">
        <v>5364.2218105926022</v>
      </c>
      <c r="AM346">
        <v>112648.65802244464</v>
      </c>
      <c r="AO346">
        <v>112648.65802244464</v>
      </c>
      <c r="AP346">
        <v>3379.4597406733392</v>
      </c>
      <c r="AQ346">
        <v>116028.11776311796</v>
      </c>
      <c r="AS346">
        <v>116028.11776311796</v>
      </c>
      <c r="AU346">
        <v>116028.11776311796</v>
      </c>
      <c r="AW346">
        <v>116028.11776311796</v>
      </c>
      <c r="AX346">
        <v>1160.2811776311798</v>
      </c>
      <c r="AY346">
        <v>117188.39894074916</v>
      </c>
      <c r="BA346">
        <v>117188.39894074916</v>
      </c>
      <c r="BC346">
        <v>117188.39894074916</v>
      </c>
      <c r="BE346">
        <v>117188.39894074916</v>
      </c>
      <c r="BG346">
        <v>117188.39894074916</v>
      </c>
      <c r="BI346">
        <v>117188.39894074916</v>
      </c>
      <c r="BK346">
        <v>117188.39894074916</v>
      </c>
      <c r="BM346">
        <v>117188.39894074916</v>
      </c>
      <c r="BO346">
        <v>117188.39894074916</v>
      </c>
      <c r="BQ346">
        <v>117188.39894074916</v>
      </c>
      <c r="BS346">
        <v>117188.39894074916</v>
      </c>
      <c r="BT346" s="238">
        <v>117188.4</v>
      </c>
      <c r="BU346" s="238">
        <v>4430900</v>
      </c>
      <c r="BX346" s="238">
        <v>0</v>
      </c>
      <c r="BY346" s="238">
        <v>117188.5744512034</v>
      </c>
      <c r="BZ346" s="238">
        <v>4430900</v>
      </c>
      <c r="CA346" s="238" t="s">
        <v>36</v>
      </c>
      <c r="CC346">
        <v>117188.5744512034</v>
      </c>
      <c r="CD346" s="238">
        <v>0</v>
      </c>
      <c r="CE346" s="238">
        <v>4430900</v>
      </c>
      <c r="CH346" s="238" t="s">
        <v>39</v>
      </c>
      <c r="CI346" s="238" t="s">
        <v>39</v>
      </c>
      <c r="CJ346" t="s">
        <v>8950</v>
      </c>
      <c r="CK346" t="s">
        <v>1167</v>
      </c>
      <c r="CL346" t="s">
        <v>8961</v>
      </c>
      <c r="CM346" t="s">
        <v>8973</v>
      </c>
      <c r="CN346" s="238" t="b">
        <v>1</v>
      </c>
      <c r="CO346" t="s">
        <v>5634</v>
      </c>
      <c r="CQ346" t="s">
        <v>6652</v>
      </c>
      <c r="CR346" t="s">
        <v>3246</v>
      </c>
      <c r="CS346" t="s">
        <v>36</v>
      </c>
      <c r="CT346" t="b">
        <v>1</v>
      </c>
      <c r="CU346">
        <v>4430900</v>
      </c>
      <c r="CV346" t="s">
        <v>9002</v>
      </c>
      <c r="CW346">
        <v>0</v>
      </c>
      <c r="CX346">
        <v>4430900</v>
      </c>
      <c r="CY346">
        <v>0</v>
      </c>
      <c r="CZ346" t="b">
        <v>1</v>
      </c>
      <c r="DA346">
        <v>45471</v>
      </c>
      <c r="DB346" t="s">
        <v>5215</v>
      </c>
      <c r="DC346">
        <v>-6.8764877016663783E-3</v>
      </c>
      <c r="DD346">
        <v>-805.84579098951485</v>
      </c>
      <c r="DE346" s="420" cm="1">
        <f t="array" ref="DE346">_xlfn.XLOOKUP("Дом 5"&amp;Реестр_Д5[[#This Row],[№]]&amp;Реестр_Д5[[#This Row],[Статус]],РД[Дом]&amp;РД[№ кв]&amp;РД[Состояние],РД[Дата подачи на регистрацию],"-",0)</f>
        <v>45471</v>
      </c>
    </row>
    <row r="347" spans="1:109" hidden="1" x14ac:dyDescent="0.25">
      <c r="A347" s="238">
        <v>346</v>
      </c>
      <c r="B347" s="238" t="s">
        <v>16</v>
      </c>
      <c r="C347" s="238">
        <v>18</v>
      </c>
      <c r="D347" s="238">
        <v>6</v>
      </c>
      <c r="E347" s="238">
        <v>3</v>
      </c>
      <c r="F347" s="238">
        <v>17.2</v>
      </c>
      <c r="G347" s="238">
        <v>14.64</v>
      </c>
      <c r="H347" s="238">
        <v>14.34</v>
      </c>
      <c r="I347">
        <v>46.18</v>
      </c>
      <c r="J347" s="238">
        <v>13.15</v>
      </c>
      <c r="K347" s="238">
        <v>4.03</v>
      </c>
      <c r="L347" s="238">
        <v>1.76</v>
      </c>
      <c r="M347" s="238"/>
      <c r="N347" s="238">
        <v>13.11</v>
      </c>
      <c r="O347" s="238">
        <v>2.79</v>
      </c>
      <c r="P347" s="238">
        <v>2.68</v>
      </c>
      <c r="R347" s="238">
        <v>5.4700000000000006</v>
      </c>
      <c r="S347">
        <v>83.7</v>
      </c>
      <c r="T347">
        <v>78.23</v>
      </c>
      <c r="U347" s="238">
        <v>80.97</v>
      </c>
      <c r="V347">
        <v>80.45</v>
      </c>
      <c r="W347" s="238">
        <v>74234.160000000018</v>
      </c>
      <c r="X347">
        <v>3711.708000000001</v>
      </c>
      <c r="Y347">
        <v>77945.868000000017</v>
      </c>
      <c r="Z347">
        <v>2338.376040000001</v>
      </c>
      <c r="AA347">
        <v>80284.24404000002</v>
      </c>
      <c r="AC347">
        <v>80284.24404000002</v>
      </c>
      <c r="AE347">
        <v>80284.24404000002</v>
      </c>
      <c r="AG347">
        <v>80284.24404000002</v>
      </c>
      <c r="AI347">
        <v>80284.24404000002</v>
      </c>
      <c r="AJ347">
        <v>802.84244040000021</v>
      </c>
      <c r="AK347">
        <v>81087.086480400016</v>
      </c>
      <c r="AL347">
        <v>4054.3543240200006</v>
      </c>
      <c r="AM347">
        <v>85141.44080442001</v>
      </c>
      <c r="AO347">
        <v>85141.44080442001</v>
      </c>
      <c r="AP347">
        <v>1702.8288160884003</v>
      </c>
      <c r="AQ347">
        <v>86844.269620508407</v>
      </c>
      <c r="AS347">
        <v>86844.269620508407</v>
      </c>
      <c r="AT347">
        <v>1736.8853924101682</v>
      </c>
      <c r="AU347">
        <v>88581.155012918578</v>
      </c>
      <c r="AW347">
        <v>88581.155012918578</v>
      </c>
      <c r="AX347">
        <v>885.81155012918578</v>
      </c>
      <c r="AY347">
        <v>89466.966563047783</v>
      </c>
      <c r="BA347">
        <v>89466.966563047783</v>
      </c>
      <c r="BB347">
        <v>447.33483281523883</v>
      </c>
      <c r="BC347">
        <v>89914.301395863004</v>
      </c>
      <c r="BD347">
        <v>1798.2860279172601</v>
      </c>
      <c r="BE347">
        <v>91712.587423780249</v>
      </c>
      <c r="BF347">
        <v>1375.6888113567038</v>
      </c>
      <c r="BG347">
        <v>93088.27623513696</v>
      </c>
      <c r="BI347">
        <v>93088.27623513696</v>
      </c>
      <c r="BK347">
        <v>93088.27623513696</v>
      </c>
      <c r="BM347">
        <v>93088.27623513696</v>
      </c>
      <c r="BO347">
        <v>93088.27623513696</v>
      </c>
      <c r="BQ347">
        <v>93088.27623513696</v>
      </c>
      <c r="BS347">
        <v>93088.27623513696</v>
      </c>
      <c r="BT347" s="238">
        <v>93088.28</v>
      </c>
      <c r="BU347" s="238">
        <v>7537400</v>
      </c>
      <c r="BW347">
        <v>0.03</v>
      </c>
      <c r="BX347" s="238">
        <v>226122</v>
      </c>
      <c r="BY347" s="238">
        <v>90296.134370754604</v>
      </c>
      <c r="BZ347" s="238">
        <v>7311278</v>
      </c>
      <c r="CA347" s="238" t="s">
        <v>36</v>
      </c>
      <c r="CC347">
        <v>90296.134370754604</v>
      </c>
      <c r="CD347" s="238">
        <v>0</v>
      </c>
      <c r="CE347" s="238">
        <v>7311278</v>
      </c>
      <c r="CG347" t="s">
        <v>3538</v>
      </c>
      <c r="CH347" s="238" t="s">
        <v>39</v>
      </c>
      <c r="CI347" s="238" t="s">
        <v>39</v>
      </c>
      <c r="CJ347" t="s">
        <v>8950</v>
      </c>
      <c r="CK347" t="s">
        <v>1167</v>
      </c>
      <c r="CL347" t="s">
        <v>8961</v>
      </c>
      <c r="CM347" t="s">
        <v>8975</v>
      </c>
      <c r="CN347" s="238" t="b">
        <v>1</v>
      </c>
      <c r="CO347" t="s">
        <v>5635</v>
      </c>
      <c r="CQ347" t="s">
        <v>6652</v>
      </c>
      <c r="CR347" t="s">
        <v>3246</v>
      </c>
      <c r="CS347" t="s">
        <v>36</v>
      </c>
      <c r="CT347" t="b">
        <v>1</v>
      </c>
      <c r="CU347">
        <v>7537400</v>
      </c>
      <c r="CV347" t="s">
        <v>9002</v>
      </c>
      <c r="CW347">
        <v>7537400</v>
      </c>
      <c r="CX347">
        <v>7537400</v>
      </c>
      <c r="CY347">
        <v>0</v>
      </c>
      <c r="CZ347" t="b">
        <v>1</v>
      </c>
      <c r="DA347">
        <v>45535</v>
      </c>
      <c r="DB347" t="s">
        <v>4177</v>
      </c>
      <c r="DC347">
        <v>-6.4221316536988704E-3</v>
      </c>
      <c r="DD347">
        <v>-579.89366274906968</v>
      </c>
      <c r="DE347" s="420" cm="1">
        <f t="array" ref="DE347">_xlfn.XLOOKUP("Дом 5"&amp;Реестр_Д5[[#This Row],[№]]&amp;Реестр_Д5[[#This Row],[Статус]],РД[Дом]&amp;РД[№ кв]&amp;РД[Состояние],РД[Дата подачи на регистрацию],"-",0)</f>
        <v>45535</v>
      </c>
    </row>
    <row r="348" spans="1:109" hidden="1" x14ac:dyDescent="0.25">
      <c r="A348" s="238">
        <v>347</v>
      </c>
      <c r="B348" s="238" t="s">
        <v>16</v>
      </c>
      <c r="C348" s="238">
        <v>18</v>
      </c>
      <c r="D348" s="238">
        <v>7</v>
      </c>
      <c r="E348" s="238">
        <v>1</v>
      </c>
      <c r="F348" s="238">
        <v>14.3</v>
      </c>
      <c r="G348" s="238"/>
      <c r="H348" s="238"/>
      <c r="I348">
        <v>14.3</v>
      </c>
      <c r="J348" s="238">
        <v>9.2799999999999994</v>
      </c>
      <c r="K348" s="238">
        <v>3.79</v>
      </c>
      <c r="L348" s="238"/>
      <c r="M348" s="238"/>
      <c r="N348" s="238">
        <v>6.08</v>
      </c>
      <c r="O348" s="238">
        <v>2.71</v>
      </c>
      <c r="P348" s="238"/>
      <c r="R348" s="238">
        <v>2.71</v>
      </c>
      <c r="S348">
        <v>36.159999999999997</v>
      </c>
      <c r="T348">
        <v>33.450000000000003</v>
      </c>
      <c r="U348" s="238">
        <v>34.81</v>
      </c>
      <c r="V348">
        <v>34.65</v>
      </c>
      <c r="W348" s="238">
        <v>85573.6875</v>
      </c>
      <c r="X348">
        <v>4278.6843749999998</v>
      </c>
      <c r="Y348">
        <v>89852.371874999997</v>
      </c>
      <c r="Z348">
        <v>2695.5711562499996</v>
      </c>
      <c r="AA348">
        <v>92547.943031250004</v>
      </c>
      <c r="AB348">
        <v>12956.712024375</v>
      </c>
      <c r="AC348">
        <v>105504.655055625</v>
      </c>
      <c r="AE348">
        <v>105504.655055625</v>
      </c>
      <c r="AF348">
        <v>5275.2327527812495</v>
      </c>
      <c r="AG348">
        <v>110779.88780840625</v>
      </c>
      <c r="AI348">
        <v>110779.88780840625</v>
      </c>
      <c r="AJ348">
        <v>1107.7988780840624</v>
      </c>
      <c r="AK348">
        <v>111887.6866864903</v>
      </c>
      <c r="AL348">
        <v>5594.3843343245153</v>
      </c>
      <c r="AM348">
        <v>117482.07102081479</v>
      </c>
      <c r="AO348">
        <v>117482.07102081479</v>
      </c>
      <c r="AP348">
        <v>3524.4621306244439</v>
      </c>
      <c r="AQ348">
        <v>121006.53315143925</v>
      </c>
      <c r="AS348">
        <v>121006.53315143925</v>
      </c>
      <c r="AU348">
        <v>121006.53315143925</v>
      </c>
      <c r="AW348">
        <v>121006.53315143925</v>
      </c>
      <c r="AY348">
        <v>121006.53315143925</v>
      </c>
      <c r="BA348">
        <v>121006.53315143925</v>
      </c>
      <c r="BC348">
        <v>121006.53315143925</v>
      </c>
      <c r="BE348">
        <v>121006.53315143925</v>
      </c>
      <c r="BF348">
        <v>605.03266575719624</v>
      </c>
      <c r="BG348">
        <v>121611.56581719645</v>
      </c>
      <c r="BI348">
        <v>121611.56581719645</v>
      </c>
      <c r="BJ348">
        <v>2432.2313163439289</v>
      </c>
      <c r="BK348">
        <v>124043.79713354036</v>
      </c>
      <c r="BM348">
        <v>124043.79713354036</v>
      </c>
      <c r="BO348">
        <v>124043.79713354036</v>
      </c>
      <c r="BQ348">
        <v>124043.79713354036</v>
      </c>
      <c r="BS348">
        <v>124043.79713354036</v>
      </c>
      <c r="BT348" s="238">
        <v>124043.8</v>
      </c>
      <c r="BU348" s="238">
        <v>4318000</v>
      </c>
      <c r="BX348" s="238">
        <v>0</v>
      </c>
      <c r="BY348" s="238">
        <v>124044.81470841712</v>
      </c>
      <c r="BZ348" s="238">
        <v>4318000</v>
      </c>
      <c r="CA348" s="238" t="s">
        <v>6871</v>
      </c>
      <c r="CB348">
        <v>8000</v>
      </c>
      <c r="CC348">
        <v>132044.81470841711</v>
      </c>
      <c r="CD348" s="238">
        <v>278480</v>
      </c>
      <c r="CE348" s="238">
        <v>4596480</v>
      </c>
      <c r="CF348" t="s">
        <v>4633</v>
      </c>
      <c r="CH348" s="238" t="s">
        <v>39</v>
      </c>
      <c r="CI348" s="238" t="s">
        <v>39</v>
      </c>
      <c r="CJ348" t="s">
        <v>8950</v>
      </c>
      <c r="CK348" t="s">
        <v>1167</v>
      </c>
      <c r="CL348" t="s">
        <v>8961</v>
      </c>
      <c r="CM348" t="s">
        <v>8973</v>
      </c>
      <c r="CN348" s="238" t="b">
        <v>1</v>
      </c>
      <c r="CO348" t="s">
        <v>5636</v>
      </c>
      <c r="CQ348" t="s">
        <v>6652</v>
      </c>
      <c r="CR348" t="s">
        <v>3246</v>
      </c>
      <c r="CS348" t="s">
        <v>6871</v>
      </c>
      <c r="CT348" t="b">
        <v>1</v>
      </c>
      <c r="CU348">
        <v>4318000</v>
      </c>
      <c r="CV348" t="s">
        <v>9002</v>
      </c>
      <c r="CW348">
        <v>0</v>
      </c>
      <c r="CX348">
        <v>4318000</v>
      </c>
      <c r="CY348">
        <v>0</v>
      </c>
      <c r="CZ348" t="b">
        <v>1</v>
      </c>
      <c r="DA348">
        <v>45588</v>
      </c>
      <c r="DB348" t="s">
        <v>4177</v>
      </c>
      <c r="DC348">
        <v>-4.5963803504741607E-3</v>
      </c>
      <c r="DD348">
        <v>-570.15714890397658</v>
      </c>
      <c r="DE348" s="420" cm="1">
        <f t="array" ref="DE348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349" spans="1:109" x14ac:dyDescent="0.25">
      <c r="A349" s="238">
        <v>348</v>
      </c>
      <c r="B349" s="238" t="s">
        <v>16</v>
      </c>
      <c r="C349" s="238">
        <v>19</v>
      </c>
      <c r="D349" s="238">
        <v>1</v>
      </c>
      <c r="E349" s="238">
        <v>2</v>
      </c>
      <c r="F349" s="238">
        <v>17.63</v>
      </c>
      <c r="G349" s="238">
        <v>13.69</v>
      </c>
      <c r="H349" s="238"/>
      <c r="I349">
        <v>31.32</v>
      </c>
      <c r="J349" s="238">
        <v>20.05</v>
      </c>
      <c r="K349" s="238">
        <v>3.54</v>
      </c>
      <c r="L349" s="238">
        <v>2.93</v>
      </c>
      <c r="M349" s="238"/>
      <c r="N349" s="238">
        <v>12.19</v>
      </c>
      <c r="O349" s="238">
        <v>4.6500000000000004</v>
      </c>
      <c r="P349" s="238">
        <v>2.68</v>
      </c>
      <c r="R349" s="238">
        <v>7.33</v>
      </c>
      <c r="S349">
        <v>77.36</v>
      </c>
      <c r="T349">
        <v>70.03</v>
      </c>
      <c r="U349" s="238">
        <v>73.7</v>
      </c>
      <c r="V349">
        <v>73.149999999999977</v>
      </c>
      <c r="W349" s="238">
        <v>84941.010000000009</v>
      </c>
      <c r="X349">
        <v>4247.0505000000003</v>
      </c>
      <c r="Y349">
        <v>89188.060500000007</v>
      </c>
      <c r="Z349">
        <v>2675.641815</v>
      </c>
      <c r="AA349">
        <v>91863.702315000002</v>
      </c>
      <c r="AC349">
        <v>91863.702315000002</v>
      </c>
      <c r="AE349">
        <v>91863.702315000002</v>
      </c>
      <c r="AG349">
        <v>91863.702315000002</v>
      </c>
      <c r="AI349">
        <v>91863.702315000002</v>
      </c>
      <c r="AJ349">
        <v>918.63702315</v>
      </c>
      <c r="AK349">
        <v>92782.339338150006</v>
      </c>
      <c r="AL349">
        <v>4639.1169669075007</v>
      </c>
      <c r="AM349">
        <v>97421.456305057509</v>
      </c>
      <c r="AO349">
        <v>97421.456305057509</v>
      </c>
      <c r="AP349">
        <v>1948.4291261011499</v>
      </c>
      <c r="AQ349">
        <v>99369.885431158662</v>
      </c>
      <c r="AS349">
        <v>99369.885431158662</v>
      </c>
      <c r="AT349">
        <v>1987.3977086231732</v>
      </c>
      <c r="AU349">
        <v>101357.28313978184</v>
      </c>
      <c r="AW349">
        <v>101357.28313978184</v>
      </c>
      <c r="AY349">
        <v>101357.28313978184</v>
      </c>
      <c r="BA349">
        <v>101357.28313978184</v>
      </c>
      <c r="BC349">
        <v>101357.28313978184</v>
      </c>
      <c r="BE349">
        <v>101357.28313978184</v>
      </c>
      <c r="BF349">
        <v>506.7864156989092</v>
      </c>
      <c r="BG349">
        <v>101864.06955548076</v>
      </c>
      <c r="BI349">
        <v>101864.06955548076</v>
      </c>
      <c r="BK349">
        <v>101864.06955548076</v>
      </c>
      <c r="BL349">
        <v>8149.125564438461</v>
      </c>
      <c r="BM349">
        <v>110013.1951199192</v>
      </c>
      <c r="BN349">
        <v>14301.715365589498</v>
      </c>
      <c r="BO349">
        <v>124314.91048550872</v>
      </c>
      <c r="BP349">
        <v>35</v>
      </c>
      <c r="BQ349">
        <v>124349.91048550872</v>
      </c>
      <c r="BS349">
        <v>124349.91048550872</v>
      </c>
      <c r="BT349" s="238">
        <v>124349.91</v>
      </c>
      <c r="BU349" s="238">
        <v>9096200</v>
      </c>
      <c r="BX349" s="238">
        <v>0</v>
      </c>
      <c r="BY349" s="238">
        <v>124349.96582365004</v>
      </c>
      <c r="BZ349" s="238">
        <v>9096200</v>
      </c>
      <c r="CA349" s="238" t="s">
        <v>6871</v>
      </c>
      <c r="CB349">
        <v>10000</v>
      </c>
      <c r="CC349">
        <v>134349.96582365007</v>
      </c>
      <c r="CD349" s="238">
        <v>731500.00000000186</v>
      </c>
      <c r="CE349" s="238">
        <v>9827700.0000000019</v>
      </c>
      <c r="CF349" t="s">
        <v>4635</v>
      </c>
      <c r="CH349" s="238" t="s">
        <v>3</v>
      </c>
      <c r="CI349" s="238" t="s">
        <v>3</v>
      </c>
      <c r="CJ349" t="s">
        <v>8951</v>
      </c>
      <c r="CK349" t="s">
        <v>1167</v>
      </c>
      <c r="CL349" t="s">
        <v>8961</v>
      </c>
      <c r="CM349" t="s">
        <v>8971</v>
      </c>
      <c r="CN349" s="238" t="b">
        <v>1</v>
      </c>
      <c r="CO349" t="s">
        <v>5637</v>
      </c>
      <c r="CQ349" t="s">
        <v>6652</v>
      </c>
      <c r="CR349" t="s">
        <v>3124</v>
      </c>
      <c r="CS349" t="s">
        <v>6871</v>
      </c>
      <c r="CT349" t="b">
        <v>1</v>
      </c>
      <c r="CU349">
        <v>9096200</v>
      </c>
      <c r="CV349">
        <v>9096200</v>
      </c>
      <c r="CW349">
        <v>0</v>
      </c>
      <c r="CX349">
        <v>0</v>
      </c>
      <c r="CY349">
        <v>0</v>
      </c>
      <c r="CZ349" t="b">
        <v>1</v>
      </c>
      <c r="DA349" t="s">
        <v>4246</v>
      </c>
      <c r="DB349" t="s">
        <v>1167</v>
      </c>
      <c r="DC349">
        <v>-7.4626865671643117E-3</v>
      </c>
      <c r="DD349">
        <v>-927.98481957949446</v>
      </c>
      <c r="DE349" s="420" t="str" cm="1">
        <f t="array" ref="DE34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50" spans="1:109" x14ac:dyDescent="0.25">
      <c r="A350" s="238">
        <v>349</v>
      </c>
      <c r="B350" s="238" t="s">
        <v>16</v>
      </c>
      <c r="C350" s="238">
        <v>19</v>
      </c>
      <c r="D350" s="238">
        <v>2</v>
      </c>
      <c r="E350" s="238">
        <v>0</v>
      </c>
      <c r="F350" s="238">
        <v>7.18</v>
      </c>
      <c r="G350" s="238"/>
      <c r="H350" s="238"/>
      <c r="I350">
        <v>7.18</v>
      </c>
      <c r="J350" s="238">
        <v>5.17</v>
      </c>
      <c r="K350" s="238">
        <v>3.72</v>
      </c>
      <c r="L350" s="238"/>
      <c r="M350" s="238"/>
      <c r="N350" s="238">
        <v>6.97</v>
      </c>
      <c r="O350" s="238">
        <v>2.97</v>
      </c>
      <c r="P350" s="238"/>
      <c r="R350" s="238">
        <v>2.97</v>
      </c>
      <c r="S350">
        <v>26.01</v>
      </c>
      <c r="T350">
        <v>23.04</v>
      </c>
      <c r="U350" s="238">
        <v>24.53</v>
      </c>
      <c r="V350">
        <v>24.35</v>
      </c>
      <c r="W350" s="238">
        <v>98989.695000000007</v>
      </c>
      <c r="X350">
        <v>4949.4847500000005</v>
      </c>
      <c r="Y350">
        <v>103939.17975</v>
      </c>
      <c r="Z350">
        <v>3118.1753925000003</v>
      </c>
      <c r="AA350">
        <v>107057.3551425</v>
      </c>
      <c r="AB350">
        <v>13917.456168524999</v>
      </c>
      <c r="AC350">
        <v>120974.811311025</v>
      </c>
      <c r="AD350">
        <v>1209.74811311025</v>
      </c>
      <c r="AE350">
        <v>122184.55942413524</v>
      </c>
      <c r="AG350">
        <v>122184.55942413524</v>
      </c>
      <c r="AI350">
        <v>122184.55942413524</v>
      </c>
      <c r="AJ350">
        <v>1221.8455942413525</v>
      </c>
      <c r="AK350">
        <v>123406.40501837659</v>
      </c>
      <c r="AL350">
        <v>6170.3202509188304</v>
      </c>
      <c r="AM350">
        <v>129576.72526929544</v>
      </c>
      <c r="AO350">
        <v>129576.72526929544</v>
      </c>
      <c r="AP350">
        <v>3887.3017580788623</v>
      </c>
      <c r="AQ350">
        <v>133464.02702737431</v>
      </c>
      <c r="AS350">
        <v>133464.02702737431</v>
      </c>
      <c r="AU350">
        <v>133464.02702737431</v>
      </c>
      <c r="AW350">
        <v>133464.02702737431</v>
      </c>
      <c r="AX350">
        <v>1334.640270273743</v>
      </c>
      <c r="AY350">
        <v>134798.66729764806</v>
      </c>
      <c r="BA350">
        <v>134798.66729764806</v>
      </c>
      <c r="BB350">
        <v>673.99333648824029</v>
      </c>
      <c r="BC350">
        <v>135472.66063413629</v>
      </c>
      <c r="BE350">
        <v>135472.66063413629</v>
      </c>
      <c r="BF350">
        <v>2032.0899095120444</v>
      </c>
      <c r="BG350">
        <v>137504.75054364835</v>
      </c>
      <c r="BI350">
        <v>137504.75054364835</v>
      </c>
      <c r="BK350">
        <v>137504.75054364835</v>
      </c>
      <c r="BL350">
        <v>5500.1900217459342</v>
      </c>
      <c r="BM350">
        <v>143004.9405653943</v>
      </c>
      <c r="BN350">
        <v>18590.64227350126</v>
      </c>
      <c r="BO350">
        <v>161595.58283889556</v>
      </c>
      <c r="BP350">
        <v>1229.8791734247643</v>
      </c>
      <c r="BQ350">
        <v>162825.46201232032</v>
      </c>
      <c r="BS350">
        <v>162825.46201232032</v>
      </c>
      <c r="BT350" s="238">
        <v>162825.46</v>
      </c>
      <c r="BU350" s="238">
        <v>3964800</v>
      </c>
      <c r="BV350">
        <v>626098</v>
      </c>
      <c r="BX350" s="238">
        <v>626098</v>
      </c>
      <c r="BY350" s="238">
        <v>137113.01848049281</v>
      </c>
      <c r="BZ350" s="238">
        <v>3338702</v>
      </c>
      <c r="CA350" s="238" t="s">
        <v>6871</v>
      </c>
      <c r="CB350">
        <v>10000</v>
      </c>
      <c r="CC350">
        <v>147113.01848049281</v>
      </c>
      <c r="CD350" s="238">
        <v>243499.99999999953</v>
      </c>
      <c r="CE350" s="238">
        <v>3582201.9999999995</v>
      </c>
      <c r="CG350" t="s">
        <v>8939</v>
      </c>
      <c r="CH350" s="238" t="s">
        <v>39</v>
      </c>
      <c r="CI350" s="238" t="s">
        <v>39</v>
      </c>
      <c r="CJ350" t="s">
        <v>8950</v>
      </c>
      <c r="CK350" t="s">
        <v>1167</v>
      </c>
      <c r="CL350" t="s">
        <v>8961</v>
      </c>
      <c r="CM350" t="s">
        <v>8970</v>
      </c>
      <c r="CN350" s="238" t="b">
        <v>1</v>
      </c>
      <c r="CO350" t="s">
        <v>5638</v>
      </c>
      <c r="CQ350" t="s">
        <v>6652</v>
      </c>
      <c r="CR350" t="s">
        <v>3124</v>
      </c>
      <c r="CS350" t="s">
        <v>6871</v>
      </c>
      <c r="CT350" t="b">
        <v>1</v>
      </c>
      <c r="CU350">
        <v>3964800</v>
      </c>
      <c r="CV350" t="s">
        <v>9002</v>
      </c>
      <c r="CW350">
        <v>0</v>
      </c>
      <c r="CX350">
        <v>3964800</v>
      </c>
      <c r="CY350">
        <v>0</v>
      </c>
      <c r="CZ350" t="b">
        <v>1</v>
      </c>
      <c r="DA350">
        <v>45863</v>
      </c>
      <c r="DB350" t="s">
        <v>8893</v>
      </c>
      <c r="DC350">
        <v>-7.337953526294517E-3</v>
      </c>
      <c r="DD350">
        <v>-1006.1289574598176</v>
      </c>
      <c r="DE350" s="420" cm="1">
        <f t="array" ref="DE350">_xlfn.XLOOKUP("Дом 5"&amp;Реестр_Д5[[#This Row],[№]]&amp;Реестр_Д5[[#This Row],[Статус]],РД[Дом]&amp;РД[№ кв]&amp;РД[Состояние],РД[Дата подачи на регистрацию],"-",0)</f>
        <v>45863</v>
      </c>
    </row>
    <row r="351" spans="1:109" hidden="1" x14ac:dyDescent="0.25">
      <c r="A351" s="238">
        <v>350</v>
      </c>
      <c r="B351" s="238" t="s">
        <v>16</v>
      </c>
      <c r="C351" s="238">
        <v>19</v>
      </c>
      <c r="D351" s="238">
        <v>3</v>
      </c>
      <c r="E351" s="238">
        <v>2</v>
      </c>
      <c r="F351" s="238">
        <v>13.69</v>
      </c>
      <c r="G351" s="238">
        <v>10.16</v>
      </c>
      <c r="H351" s="238"/>
      <c r="I351">
        <v>23.85</v>
      </c>
      <c r="J351" s="238">
        <v>18.71</v>
      </c>
      <c r="K351" s="238">
        <v>3.49</v>
      </c>
      <c r="L351" s="238">
        <v>2.11</v>
      </c>
      <c r="M351" s="238"/>
      <c r="N351" s="238">
        <v>7.09</v>
      </c>
      <c r="O351" s="238">
        <v>2.65</v>
      </c>
      <c r="P351" s="238"/>
      <c r="R351" s="238">
        <v>2.65</v>
      </c>
      <c r="S351">
        <v>57.9</v>
      </c>
      <c r="T351">
        <v>55.25</v>
      </c>
      <c r="U351" s="238">
        <v>56.58</v>
      </c>
      <c r="V351">
        <v>56.45</v>
      </c>
      <c r="W351" s="238">
        <v>86485.392000000007</v>
      </c>
      <c r="X351">
        <v>4324.2696000000005</v>
      </c>
      <c r="Y351">
        <v>90809.661600000007</v>
      </c>
      <c r="Z351">
        <v>2724.2898479999999</v>
      </c>
      <c r="AA351">
        <v>93533.951448000007</v>
      </c>
      <c r="AC351">
        <v>93533.951448000007</v>
      </c>
      <c r="AE351">
        <v>93533.951448000007</v>
      </c>
      <c r="AG351">
        <v>93533.951448000007</v>
      </c>
      <c r="AI351">
        <v>93533.951448000007</v>
      </c>
      <c r="AJ351">
        <v>935.33951448000005</v>
      </c>
      <c r="AK351">
        <v>94469.290962480023</v>
      </c>
      <c r="AL351">
        <v>4723.4645481240004</v>
      </c>
      <c r="AM351">
        <v>99192.755510604009</v>
      </c>
      <c r="AO351">
        <v>99192.755510604009</v>
      </c>
      <c r="AP351">
        <v>1983.8551102120805</v>
      </c>
      <c r="AQ351">
        <v>101176.61062081608</v>
      </c>
      <c r="AS351">
        <v>101176.61062081608</v>
      </c>
      <c r="AT351">
        <v>2023.532212416322</v>
      </c>
      <c r="AU351">
        <v>103200.1428332324</v>
      </c>
      <c r="AV351">
        <v>150</v>
      </c>
      <c r="AW351">
        <v>103350.1428332324</v>
      </c>
      <c r="AX351">
        <v>1033.5014283323242</v>
      </c>
      <c r="AY351">
        <v>104383.64426156474</v>
      </c>
      <c r="BA351">
        <v>104383.64426156474</v>
      </c>
      <c r="BC351">
        <v>104383.64426156474</v>
      </c>
      <c r="BE351">
        <v>104383.64426156474</v>
      </c>
      <c r="BF351">
        <v>2609.5911065391188</v>
      </c>
      <c r="BG351">
        <v>106993.23536810384</v>
      </c>
      <c r="BH351">
        <v>500</v>
      </c>
      <c r="BI351">
        <v>107493.23536810384</v>
      </c>
      <c r="BJ351">
        <v>4299.7294147241537</v>
      </c>
      <c r="BK351">
        <v>111792.964782828</v>
      </c>
      <c r="BL351">
        <v>6707.5778869696796</v>
      </c>
      <c r="BM351">
        <v>118500.54266979768</v>
      </c>
      <c r="BN351">
        <v>15405.070547073699</v>
      </c>
      <c r="BO351">
        <v>133905.61321687137</v>
      </c>
      <c r="BP351">
        <v>35</v>
      </c>
      <c r="BQ351">
        <v>133940.61321687137</v>
      </c>
      <c r="BS351">
        <v>133940.61321687137</v>
      </c>
      <c r="BT351" s="238">
        <v>133940.60999999999</v>
      </c>
      <c r="BU351" s="238">
        <v>7578400</v>
      </c>
      <c r="BW351">
        <v>0.03</v>
      </c>
      <c r="BX351" s="238">
        <v>227352</v>
      </c>
      <c r="BY351" s="238">
        <v>129923.08236125841</v>
      </c>
      <c r="BZ351" s="238">
        <v>7351048</v>
      </c>
      <c r="CA351" s="238" t="s">
        <v>6871</v>
      </c>
      <c r="CB351">
        <v>10000</v>
      </c>
      <c r="CC351">
        <v>139923.08236125839</v>
      </c>
      <c r="CD351" s="238">
        <v>565800</v>
      </c>
      <c r="CE351" s="238">
        <v>7916848</v>
      </c>
      <c r="CF351" t="s">
        <v>4633</v>
      </c>
      <c r="CG351" t="s">
        <v>978</v>
      </c>
      <c r="CH351" s="238" t="s">
        <v>39</v>
      </c>
      <c r="CI351" s="238" t="s">
        <v>39</v>
      </c>
      <c r="CJ351" t="s">
        <v>8950</v>
      </c>
      <c r="CK351" t="s">
        <v>1167</v>
      </c>
      <c r="CL351" t="s">
        <v>8961</v>
      </c>
      <c r="CM351" t="s">
        <v>8971</v>
      </c>
      <c r="CN351" s="238" t="b">
        <v>1</v>
      </c>
      <c r="CO351" t="s">
        <v>5639</v>
      </c>
      <c r="CQ351" t="s">
        <v>6652</v>
      </c>
      <c r="CR351" t="s">
        <v>3246</v>
      </c>
      <c r="CS351" t="s">
        <v>6871</v>
      </c>
      <c r="CT351" t="b">
        <v>1</v>
      </c>
      <c r="CU351">
        <v>7578400</v>
      </c>
      <c r="CV351" t="s">
        <v>9002</v>
      </c>
      <c r="CW351">
        <v>0</v>
      </c>
      <c r="CX351">
        <v>7578400</v>
      </c>
      <c r="CY351">
        <v>0</v>
      </c>
      <c r="CZ351" t="b">
        <v>1</v>
      </c>
      <c r="DA351">
        <v>45672</v>
      </c>
      <c r="DB351" t="s">
        <v>5215</v>
      </c>
      <c r="DC351">
        <v>-2.2976316719688361E-3</v>
      </c>
      <c r="DD351">
        <v>-298.51538895304293</v>
      </c>
      <c r="DE351" s="420" cm="1">
        <f t="array" ref="DE351">_xlfn.XLOOKUP("Дом 5"&amp;Реестр_Д5[[#This Row],[№]]&amp;Реестр_Д5[[#This Row],[Статус]],РД[Дом]&amp;РД[№ кв]&amp;РД[Состояние],РД[Дата подачи на регистрацию],"-",0)</f>
        <v>45672</v>
      </c>
    </row>
    <row r="352" spans="1:109" x14ac:dyDescent="0.25">
      <c r="A352" s="238">
        <v>351</v>
      </c>
      <c r="B352" s="238" t="s">
        <v>16</v>
      </c>
      <c r="C352" s="238">
        <v>19</v>
      </c>
      <c r="D352" s="238">
        <v>4</v>
      </c>
      <c r="E352" s="238">
        <v>2</v>
      </c>
      <c r="F352" s="238">
        <v>15.45</v>
      </c>
      <c r="G352" s="238">
        <v>10.34</v>
      </c>
      <c r="H352" s="238"/>
      <c r="I352">
        <v>25.79</v>
      </c>
      <c r="J352" s="238">
        <v>15.44</v>
      </c>
      <c r="K352" s="238">
        <v>4.59</v>
      </c>
      <c r="L352" s="238">
        <v>2.21</v>
      </c>
      <c r="M352" s="238"/>
      <c r="N352" s="238">
        <v>10.79</v>
      </c>
      <c r="O352" s="238">
        <v>2.84</v>
      </c>
      <c r="P352" s="238"/>
      <c r="R352" s="238">
        <v>2.84</v>
      </c>
      <c r="S352">
        <v>61.66</v>
      </c>
      <c r="T352">
        <v>58.82</v>
      </c>
      <c r="U352" s="238">
        <v>60.24</v>
      </c>
      <c r="V352">
        <v>60.150000000000006</v>
      </c>
      <c r="W352" s="238">
        <v>88415.869500000001</v>
      </c>
      <c r="X352">
        <v>4420.7934750000004</v>
      </c>
      <c r="Y352">
        <v>92836.662974999999</v>
      </c>
      <c r="Z352">
        <v>2785.0998892499997</v>
      </c>
      <c r="AA352">
        <v>95621.762864250006</v>
      </c>
      <c r="AC352">
        <v>95621.762864250006</v>
      </c>
      <c r="AE352">
        <v>95621.762864250006</v>
      </c>
      <c r="AG352">
        <v>95621.762864250006</v>
      </c>
      <c r="AI352">
        <v>95621.762864250006</v>
      </c>
      <c r="AJ352">
        <v>956.21762864250013</v>
      </c>
      <c r="AK352">
        <v>96577.9804928925</v>
      </c>
      <c r="AL352">
        <v>4828.8990246446256</v>
      </c>
      <c r="AM352">
        <v>101406.87951753712</v>
      </c>
      <c r="AO352">
        <v>101406.87951753712</v>
      </c>
      <c r="AP352">
        <v>2028.1375903507424</v>
      </c>
      <c r="AQ352">
        <v>103435.01710788786</v>
      </c>
      <c r="AS352">
        <v>103435.01710788786</v>
      </c>
      <c r="AT352">
        <v>2068.7003421577574</v>
      </c>
      <c r="AU352">
        <v>105503.71745004562</v>
      </c>
      <c r="AW352">
        <v>105503.71745004562</v>
      </c>
      <c r="AY352">
        <v>105503.71745004562</v>
      </c>
      <c r="BA352">
        <v>105503.71745004562</v>
      </c>
      <c r="BC352">
        <v>105503.71745004562</v>
      </c>
      <c r="BE352">
        <v>105503.71745004562</v>
      </c>
      <c r="BF352">
        <v>527.51858725022805</v>
      </c>
      <c r="BG352">
        <v>106031.23603729584</v>
      </c>
      <c r="BI352">
        <v>106031.23603729584</v>
      </c>
      <c r="BJ352">
        <v>4241.2494414918337</v>
      </c>
      <c r="BK352">
        <v>110272.48547878768</v>
      </c>
      <c r="BL352">
        <v>6616.3491287272609</v>
      </c>
      <c r="BM352">
        <v>116888.83460751496</v>
      </c>
      <c r="BN352">
        <v>15195.548498976945</v>
      </c>
      <c r="BO352">
        <v>132084.38310649188</v>
      </c>
      <c r="BP352">
        <v>35</v>
      </c>
      <c r="BQ352">
        <v>132119.38310649188</v>
      </c>
      <c r="BS352">
        <v>132119.38310649188</v>
      </c>
      <c r="BT352" s="238">
        <v>132119.38</v>
      </c>
      <c r="BU352" s="238">
        <v>7947000</v>
      </c>
      <c r="BX352" s="238">
        <v>0</v>
      </c>
      <c r="BY352" s="238">
        <v>132119.70074812966</v>
      </c>
      <c r="BZ352" s="238">
        <v>7947000</v>
      </c>
      <c r="CA352" s="238" t="s">
        <v>6871</v>
      </c>
      <c r="CB352">
        <v>10000</v>
      </c>
      <c r="CC352">
        <v>142119.70074812966</v>
      </c>
      <c r="CD352" s="238">
        <v>601500</v>
      </c>
      <c r="CE352" s="238">
        <v>8548500</v>
      </c>
      <c r="CH352" s="238" t="s">
        <v>3</v>
      </c>
      <c r="CI352" s="238" t="s">
        <v>3</v>
      </c>
      <c r="CJ352" t="s">
        <v>8951</v>
      </c>
      <c r="CK352" t="s">
        <v>1167</v>
      </c>
      <c r="CL352" t="s">
        <v>8961</v>
      </c>
      <c r="CM352" t="s">
        <v>8971</v>
      </c>
      <c r="CN352" s="238" t="b">
        <v>1</v>
      </c>
      <c r="CO352" t="s">
        <v>5640</v>
      </c>
      <c r="CQ352" t="s">
        <v>6652</v>
      </c>
      <c r="CR352" t="s">
        <v>3124</v>
      </c>
      <c r="CS352" t="s">
        <v>36</v>
      </c>
      <c r="CT352" t="b">
        <v>0</v>
      </c>
      <c r="CU352">
        <v>7947000</v>
      </c>
      <c r="CV352">
        <v>7947000</v>
      </c>
      <c r="CW352">
        <v>0</v>
      </c>
      <c r="CX352">
        <v>0</v>
      </c>
      <c r="CY352">
        <v>0</v>
      </c>
      <c r="CZ352" t="b">
        <v>1</v>
      </c>
      <c r="DA352" t="s">
        <v>4246</v>
      </c>
      <c r="DB352" t="s">
        <v>1167</v>
      </c>
      <c r="DC352">
        <v>-1.4940239043823578E-3</v>
      </c>
      <c r="DD352">
        <v>-197.38999115754939</v>
      </c>
      <c r="DE352" s="420" t="str" cm="1">
        <f t="array" ref="DE35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53" spans="1:109" hidden="1" x14ac:dyDescent="0.25">
      <c r="A353" s="238">
        <v>352</v>
      </c>
      <c r="B353" s="238" t="s">
        <v>16</v>
      </c>
      <c r="C353" s="238">
        <v>19</v>
      </c>
      <c r="D353" s="238">
        <v>5</v>
      </c>
      <c r="E353" s="238">
        <v>1</v>
      </c>
      <c r="F353" s="238">
        <v>12.54</v>
      </c>
      <c r="G353" s="238"/>
      <c r="H353" s="238"/>
      <c r="I353">
        <v>12.54</v>
      </c>
      <c r="J353" s="238">
        <v>12.74</v>
      </c>
      <c r="K353" s="238">
        <v>4.0199999999999996</v>
      </c>
      <c r="L353" s="238"/>
      <c r="M353" s="238"/>
      <c r="N353" s="238">
        <v>7.09</v>
      </c>
      <c r="O353" s="238">
        <v>2.84</v>
      </c>
      <c r="P353" s="238"/>
      <c r="R353" s="238">
        <v>2.84</v>
      </c>
      <c r="S353">
        <v>39.229999999999997</v>
      </c>
      <c r="T353">
        <v>36.39</v>
      </c>
      <c r="U353" s="238">
        <v>37.81</v>
      </c>
      <c r="V353">
        <v>37.549999999999997</v>
      </c>
      <c r="W353" s="238">
        <v>95712.75</v>
      </c>
      <c r="X353">
        <v>4785.6374999999998</v>
      </c>
      <c r="Y353">
        <v>100498.3875</v>
      </c>
      <c r="Z353">
        <v>3014.9516249999997</v>
      </c>
      <c r="AA353">
        <v>103513.339125</v>
      </c>
      <c r="AB353">
        <v>4658.1002606249995</v>
      </c>
      <c r="AC353">
        <v>108171.439385625</v>
      </c>
      <c r="AE353">
        <v>108171.439385625</v>
      </c>
      <c r="AF353">
        <v>5408.5719692812499</v>
      </c>
      <c r="AG353">
        <v>113580.01135490624</v>
      </c>
      <c r="AH353">
        <v>-620</v>
      </c>
      <c r="AI353">
        <v>112960.01135490624</v>
      </c>
      <c r="AJ353">
        <v>1129.6001135490626</v>
      </c>
      <c r="AK353">
        <v>114089.61146845532</v>
      </c>
      <c r="AL353">
        <v>5704.4805734227666</v>
      </c>
      <c r="AM353">
        <v>119794.09204187807</v>
      </c>
      <c r="AO353">
        <v>119794.09204187807</v>
      </c>
      <c r="AQ353">
        <v>119794.09204187807</v>
      </c>
      <c r="AS353">
        <v>119794.09204187807</v>
      </c>
      <c r="AU353">
        <v>119794.09204187807</v>
      </c>
      <c r="AW353">
        <v>119794.09204187807</v>
      </c>
      <c r="AY353">
        <v>119794.09204187807</v>
      </c>
      <c r="BA353">
        <v>119794.09204187807</v>
      </c>
      <c r="BC353">
        <v>119794.09204187807</v>
      </c>
      <c r="BE353">
        <v>119794.09204187807</v>
      </c>
      <c r="BG353">
        <v>119794.09204187807</v>
      </c>
      <c r="BI353">
        <v>119794.09204187807</v>
      </c>
      <c r="BK353">
        <v>119794.09204187807</v>
      </c>
      <c r="BM353">
        <v>119794.09204187807</v>
      </c>
      <c r="BO353">
        <v>119794.09204187807</v>
      </c>
      <c r="BQ353">
        <v>119794.09204187807</v>
      </c>
      <c r="BS353">
        <v>119794.09204187807</v>
      </c>
      <c r="BT353" s="238">
        <v>119794.09</v>
      </c>
      <c r="BU353" s="238">
        <v>4529500</v>
      </c>
      <c r="BX353" s="238">
        <v>0</v>
      </c>
      <c r="BY353" s="238">
        <v>119796.3501719122</v>
      </c>
      <c r="BZ353" s="238">
        <v>4529500</v>
      </c>
      <c r="CA353" s="238" t="s">
        <v>38</v>
      </c>
      <c r="CB353">
        <v>20000</v>
      </c>
      <c r="CC353">
        <v>139796.35017191217</v>
      </c>
      <c r="CD353" s="238">
        <v>756199.99999999907</v>
      </c>
      <c r="CE353" s="238">
        <v>5285699.9999999991</v>
      </c>
      <c r="CH353" s="238" t="s">
        <v>39</v>
      </c>
      <c r="CI353" s="238" t="s">
        <v>39</v>
      </c>
      <c r="CJ353" t="s">
        <v>8950</v>
      </c>
      <c r="CK353" t="s">
        <v>1167</v>
      </c>
      <c r="CL353" t="s">
        <v>8961</v>
      </c>
      <c r="CM353" t="s">
        <v>8973</v>
      </c>
      <c r="CN353" s="238" t="b">
        <v>1</v>
      </c>
      <c r="CO353" t="s">
        <v>5641</v>
      </c>
      <c r="CQ353" t="s">
        <v>6652</v>
      </c>
      <c r="CR353" t="s">
        <v>3246</v>
      </c>
      <c r="CS353" t="s">
        <v>38</v>
      </c>
      <c r="CT353" t="b">
        <v>1</v>
      </c>
      <c r="CU353">
        <v>4529500</v>
      </c>
      <c r="CV353" t="s">
        <v>9002</v>
      </c>
      <c r="CW353">
        <v>0</v>
      </c>
      <c r="CX353">
        <v>4529500</v>
      </c>
      <c r="CY353">
        <v>0</v>
      </c>
      <c r="CZ353" t="b">
        <v>1</v>
      </c>
      <c r="DA353">
        <v>45309</v>
      </c>
      <c r="DB353" t="s">
        <v>5215</v>
      </c>
      <c r="DC353">
        <v>-6.8764877016661563E-3</v>
      </c>
      <c r="DD353">
        <v>-823.77812866164652</v>
      </c>
      <c r="DE353" s="420" cm="1">
        <f t="array" ref="DE353">_xlfn.XLOOKUP("Дом 5"&amp;Реестр_Д5[[#This Row],[№]]&amp;Реестр_Д5[[#This Row],[Статус]],РД[Дом]&amp;РД[№ кв]&amp;РД[Состояние],РД[Дата подачи на регистрацию],"-",0)</f>
        <v>45309</v>
      </c>
    </row>
    <row r="354" spans="1:109" hidden="1" x14ac:dyDescent="0.25">
      <c r="A354" s="238">
        <v>353</v>
      </c>
      <c r="B354" s="238" t="s">
        <v>16</v>
      </c>
      <c r="C354" s="238">
        <v>19</v>
      </c>
      <c r="D354" s="238">
        <v>6</v>
      </c>
      <c r="E354" s="238">
        <v>3</v>
      </c>
      <c r="F354" s="238">
        <v>17.2</v>
      </c>
      <c r="G354" s="238">
        <v>14.64</v>
      </c>
      <c r="H354" s="238">
        <v>14.34</v>
      </c>
      <c r="I354">
        <v>46.18</v>
      </c>
      <c r="J354" s="238">
        <v>13.15</v>
      </c>
      <c r="K354" s="238">
        <v>4.03</v>
      </c>
      <c r="L354" s="238">
        <v>1.76</v>
      </c>
      <c r="M354" s="238"/>
      <c r="N354" s="238">
        <v>13.11</v>
      </c>
      <c r="O354" s="238">
        <v>2.79</v>
      </c>
      <c r="P354" s="238">
        <v>2.68</v>
      </c>
      <c r="R354" s="238">
        <v>5.4700000000000006</v>
      </c>
      <c r="S354">
        <v>83.7</v>
      </c>
      <c r="T354">
        <v>78.23</v>
      </c>
      <c r="U354" s="238">
        <v>80.97</v>
      </c>
      <c r="V354">
        <v>80.349999999999994</v>
      </c>
      <c r="W354" s="238">
        <v>79230.690000000017</v>
      </c>
      <c r="X354">
        <v>3961.5345000000007</v>
      </c>
      <c r="Y354">
        <v>83192.224500000011</v>
      </c>
      <c r="Z354">
        <v>2495.7667350000002</v>
      </c>
      <c r="AA354">
        <v>85687.991235000023</v>
      </c>
      <c r="AC354">
        <v>85687.991235000023</v>
      </c>
      <c r="AE354">
        <v>85687.991235000023</v>
      </c>
      <c r="AG354">
        <v>85687.991235000023</v>
      </c>
      <c r="AI354">
        <v>85687.991235000023</v>
      </c>
      <c r="AK354">
        <v>85687.991235000023</v>
      </c>
      <c r="AM354">
        <v>85687.991235000023</v>
      </c>
      <c r="AO354">
        <v>85687.991235000023</v>
      </c>
      <c r="AQ354">
        <v>85687.991235000023</v>
      </c>
      <c r="AS354">
        <v>85687.991235000023</v>
      </c>
      <c r="AU354">
        <v>85687.991235000023</v>
      </c>
      <c r="AW354">
        <v>85687.991235000023</v>
      </c>
      <c r="AY354">
        <v>85687.991235000023</v>
      </c>
      <c r="BA354">
        <v>85687.991235000023</v>
      </c>
      <c r="BC354">
        <v>85687.991235000023</v>
      </c>
      <c r="BE354">
        <v>85687.991235000023</v>
      </c>
      <c r="BG354">
        <v>85687.991235000023</v>
      </c>
      <c r="BI354">
        <v>85687.991235000023</v>
      </c>
      <c r="BK354">
        <v>85687.991235000023</v>
      </c>
      <c r="BM354">
        <v>85687.991235000023</v>
      </c>
      <c r="BO354">
        <v>85687.991235000023</v>
      </c>
      <c r="BQ354">
        <v>85687.991235000023</v>
      </c>
      <c r="BS354">
        <v>85687.991235000023</v>
      </c>
      <c r="BT354" s="238">
        <v>85687.99</v>
      </c>
      <c r="BU354" s="238">
        <v>6938156.5499999998</v>
      </c>
      <c r="BW354">
        <v>0.05</v>
      </c>
      <c r="BX354" s="238">
        <v>346907.82750000001</v>
      </c>
      <c r="BY354" s="238">
        <v>81403.590465604546</v>
      </c>
      <c r="BZ354" s="238">
        <v>6591248.7199999997</v>
      </c>
      <c r="CA354" s="238" t="s">
        <v>36</v>
      </c>
      <c r="CC354">
        <v>81403.590465604546</v>
      </c>
      <c r="CD354" s="238">
        <v>0</v>
      </c>
      <c r="CE354" s="238">
        <v>6591248.7199999997</v>
      </c>
      <c r="CG354" t="s">
        <v>978</v>
      </c>
      <c r="CH354" s="238" t="s">
        <v>39</v>
      </c>
      <c r="CI354" s="238" t="s">
        <v>39</v>
      </c>
      <c r="CJ354" t="s">
        <v>8950</v>
      </c>
      <c r="CK354" t="s">
        <v>1167</v>
      </c>
      <c r="CL354" t="s">
        <v>8961</v>
      </c>
      <c r="CM354" t="s">
        <v>8975</v>
      </c>
      <c r="CN354" s="238" t="b">
        <v>1</v>
      </c>
      <c r="CO354" t="s">
        <v>5642</v>
      </c>
      <c r="CQ354" t="s">
        <v>4895</v>
      </c>
      <c r="CR354" t="s">
        <v>3246</v>
      </c>
      <c r="CS354" t="s">
        <v>36</v>
      </c>
      <c r="CT354" t="b">
        <v>1</v>
      </c>
      <c r="CU354">
        <v>6938156.5499999998</v>
      </c>
      <c r="CV354" t="s">
        <v>9002</v>
      </c>
      <c r="CW354">
        <v>6938157</v>
      </c>
      <c r="CX354">
        <v>6938157</v>
      </c>
      <c r="CY354">
        <v>0</v>
      </c>
      <c r="CZ354" t="b">
        <v>1</v>
      </c>
      <c r="DA354">
        <v>45380</v>
      </c>
      <c r="DB354" t="s">
        <v>4177</v>
      </c>
      <c r="DC354">
        <v>-7.6571569717179822E-3</v>
      </c>
      <c r="DD354">
        <v>-623.32007025657936</v>
      </c>
      <c r="DE354" s="420" cm="1">
        <f t="array" ref="DE354">_xlfn.XLOOKUP("Дом 5"&amp;Реестр_Д5[[#This Row],[№]]&amp;Реестр_Д5[[#This Row],[Статус]],РД[Дом]&amp;РД[№ кв]&amp;РД[Состояние],РД[Дата подачи на регистрацию],"-",0)</f>
        <v>45380</v>
      </c>
    </row>
    <row r="355" spans="1:109" x14ac:dyDescent="0.25">
      <c r="A355" s="238">
        <v>354</v>
      </c>
      <c r="B355" s="238" t="s">
        <v>16</v>
      </c>
      <c r="C355" s="238">
        <v>19</v>
      </c>
      <c r="D355" s="238">
        <v>7</v>
      </c>
      <c r="E355" s="238">
        <v>1</v>
      </c>
      <c r="F355" s="238">
        <v>14.3</v>
      </c>
      <c r="G355" s="238"/>
      <c r="H355" s="238"/>
      <c r="I355">
        <v>14.3</v>
      </c>
      <c r="J355" s="238">
        <v>9.2799999999999994</v>
      </c>
      <c r="K355" s="238">
        <v>3.79</v>
      </c>
      <c r="L355" s="238"/>
      <c r="M355" s="238"/>
      <c r="N355" s="238">
        <v>6.08</v>
      </c>
      <c r="O355" s="238">
        <v>2.71</v>
      </c>
      <c r="P355" s="238"/>
      <c r="R355" s="238">
        <v>2.71</v>
      </c>
      <c r="S355">
        <v>36.159999999999997</v>
      </c>
      <c r="T355">
        <v>33.450000000000003</v>
      </c>
      <c r="U355" s="238">
        <v>34.81</v>
      </c>
      <c r="V355">
        <v>34.85</v>
      </c>
      <c r="W355" s="238">
        <v>91251.5625</v>
      </c>
      <c r="X355">
        <v>4562.578125</v>
      </c>
      <c r="Y355">
        <v>95814.140625</v>
      </c>
      <c r="Z355">
        <v>2874.4242187499999</v>
      </c>
      <c r="AA355">
        <v>98688.564843750006</v>
      </c>
      <c r="AB355">
        <v>13816.399078125</v>
      </c>
      <c r="AC355">
        <v>112504.96392187499</v>
      </c>
      <c r="AE355">
        <v>112504.96392187499</v>
      </c>
      <c r="AF355">
        <v>5625.2481960937512</v>
      </c>
      <c r="AG355">
        <v>118130.21211796875</v>
      </c>
      <c r="AI355">
        <v>118130.21211796875</v>
      </c>
      <c r="AJ355">
        <v>1181.3021211796877</v>
      </c>
      <c r="AK355">
        <v>119311.51423914846</v>
      </c>
      <c r="AL355">
        <v>5965.5757119574228</v>
      </c>
      <c r="AM355">
        <v>125277.08995110588</v>
      </c>
      <c r="AO355">
        <v>125277.08995110588</v>
      </c>
      <c r="AP355">
        <v>3758.312698533176</v>
      </c>
      <c r="AQ355">
        <v>129035.40264963906</v>
      </c>
      <c r="AS355">
        <v>129035.40264963906</v>
      </c>
      <c r="AU355">
        <v>129035.40264963906</v>
      </c>
      <c r="AW355">
        <v>129035.40264963906</v>
      </c>
      <c r="AY355">
        <v>129035.40264963906</v>
      </c>
      <c r="BA355">
        <v>129035.40264963906</v>
      </c>
      <c r="BC355">
        <v>129035.40264963906</v>
      </c>
      <c r="BE355">
        <v>129035.40264963906</v>
      </c>
      <c r="BF355">
        <v>645.17701324819529</v>
      </c>
      <c r="BG355">
        <v>129680.57966288723</v>
      </c>
      <c r="BI355">
        <v>129680.57966288723</v>
      </c>
      <c r="BJ355">
        <v>2593.611593257745</v>
      </c>
      <c r="BK355">
        <v>132274.19125614499</v>
      </c>
      <c r="BL355">
        <v>6613.7095628072493</v>
      </c>
      <c r="BM355">
        <v>138887.90081895224</v>
      </c>
      <c r="BN355">
        <v>18055.427106463791</v>
      </c>
      <c r="BO355">
        <v>156943.32792541603</v>
      </c>
      <c r="BP355">
        <v>35</v>
      </c>
      <c r="BQ355">
        <v>156978.32792541603</v>
      </c>
      <c r="BS355">
        <v>156978.32792541603</v>
      </c>
      <c r="BT355" s="238">
        <v>156978.32999999999</v>
      </c>
      <c r="BU355" s="238">
        <v>5470700</v>
      </c>
      <c r="BX355" s="238">
        <v>0</v>
      </c>
      <c r="BY355" s="238">
        <v>156978.47919655667</v>
      </c>
      <c r="BZ355" s="238">
        <v>5470700</v>
      </c>
      <c r="CA355" s="238" t="s">
        <v>36</v>
      </c>
      <c r="CC355">
        <v>156978.47919655667</v>
      </c>
      <c r="CD355" s="238">
        <v>0</v>
      </c>
      <c r="CE355" s="238">
        <v>5470700</v>
      </c>
      <c r="CF355" t="s">
        <v>4633</v>
      </c>
      <c r="CH355" s="238" t="s">
        <v>3</v>
      </c>
      <c r="CI355" s="238" t="s">
        <v>3</v>
      </c>
      <c r="CJ355" t="s">
        <v>8951</v>
      </c>
      <c r="CK355" t="s">
        <v>1167</v>
      </c>
      <c r="CL355" t="s">
        <v>8961</v>
      </c>
      <c r="CM355" t="s">
        <v>8973</v>
      </c>
      <c r="CN355" s="238" t="b">
        <v>1</v>
      </c>
      <c r="CO355" t="s">
        <v>5643</v>
      </c>
      <c r="CQ355" t="s">
        <v>6652</v>
      </c>
      <c r="CR355" t="s">
        <v>3124</v>
      </c>
      <c r="CS355" t="s">
        <v>36</v>
      </c>
      <c r="CT355" t="b">
        <v>1</v>
      </c>
      <c r="CU355">
        <v>5470700</v>
      </c>
      <c r="CV355">
        <v>5470700</v>
      </c>
      <c r="CW355">
        <v>0</v>
      </c>
      <c r="CX355">
        <v>0</v>
      </c>
      <c r="CY355">
        <v>0</v>
      </c>
      <c r="CZ355" t="b">
        <v>1</v>
      </c>
      <c r="DA355" t="s">
        <v>4246</v>
      </c>
      <c r="DB355" t="s">
        <v>1167</v>
      </c>
      <c r="DC355">
        <v>1.1490950876185124E-3</v>
      </c>
      <c r="DD355">
        <v>180.38319930658812</v>
      </c>
      <c r="DE355" s="420" t="str" cm="1">
        <f t="array" ref="DE35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56" spans="1:109" hidden="1" x14ac:dyDescent="0.25">
      <c r="A356" s="238">
        <v>355</v>
      </c>
      <c r="B356" s="238" t="s">
        <v>16</v>
      </c>
      <c r="C356" s="238">
        <v>20</v>
      </c>
      <c r="D356" s="238">
        <v>1</v>
      </c>
      <c r="E356" s="238">
        <v>2</v>
      </c>
      <c r="F356" s="238">
        <v>17.63</v>
      </c>
      <c r="G356" s="238">
        <v>13.69</v>
      </c>
      <c r="H356" s="238"/>
      <c r="I356">
        <v>31.32</v>
      </c>
      <c r="J356" s="238">
        <v>20.05</v>
      </c>
      <c r="K356" s="238">
        <v>3.54</v>
      </c>
      <c r="L356" s="238">
        <v>2.93</v>
      </c>
      <c r="M356" s="238"/>
      <c r="N356" s="238">
        <v>12.19</v>
      </c>
      <c r="O356" s="238">
        <v>4.6500000000000004</v>
      </c>
      <c r="P356" s="238">
        <v>2.68</v>
      </c>
      <c r="R356" s="238">
        <v>7.33</v>
      </c>
      <c r="S356">
        <v>77.36</v>
      </c>
      <c r="T356">
        <v>70.03</v>
      </c>
      <c r="U356" s="238">
        <v>73.7</v>
      </c>
      <c r="V356">
        <v>73.34999999999998</v>
      </c>
      <c r="W356" s="238">
        <v>86485.392000000007</v>
      </c>
      <c r="X356">
        <v>4324.2696000000005</v>
      </c>
      <c r="Y356">
        <v>90809.661600000007</v>
      </c>
      <c r="Z356">
        <v>2724.2898479999999</v>
      </c>
      <c r="AA356">
        <v>93533.951448000007</v>
      </c>
      <c r="AC356">
        <v>93533.951448000007</v>
      </c>
      <c r="AE356">
        <v>93533.951448000007</v>
      </c>
      <c r="AG356">
        <v>93533.951448000007</v>
      </c>
      <c r="AI356">
        <v>93533.951448000007</v>
      </c>
      <c r="AJ356">
        <v>935.33951448000005</v>
      </c>
      <c r="AK356">
        <v>94469.290962480023</v>
      </c>
      <c r="AL356">
        <v>4723.4645481240004</v>
      </c>
      <c r="AM356">
        <v>99192.755510604009</v>
      </c>
      <c r="AO356">
        <v>99192.755510604009</v>
      </c>
      <c r="AP356">
        <v>1983.8551102120805</v>
      </c>
      <c r="AQ356">
        <v>101176.61062081608</v>
      </c>
      <c r="AS356">
        <v>101176.61062081608</v>
      </c>
      <c r="AT356">
        <v>2023.532212416322</v>
      </c>
      <c r="AU356">
        <v>103200.1428332324</v>
      </c>
      <c r="AW356">
        <v>103200.1428332324</v>
      </c>
      <c r="AY356">
        <v>103200.1428332324</v>
      </c>
      <c r="BA356">
        <v>103200.1428332324</v>
      </c>
      <c r="BC356">
        <v>103200.1428332324</v>
      </c>
      <c r="BE356">
        <v>103200.1428332324</v>
      </c>
      <c r="BF356">
        <v>516.00071416616208</v>
      </c>
      <c r="BG356">
        <v>103716.14354739858</v>
      </c>
      <c r="BI356">
        <v>103716.14354739858</v>
      </c>
      <c r="BK356">
        <v>103716.14354739858</v>
      </c>
      <c r="BM356">
        <v>103716.14354739858</v>
      </c>
      <c r="BO356">
        <v>103716.14354739858</v>
      </c>
      <c r="BQ356">
        <v>103716.14354739858</v>
      </c>
      <c r="BS356">
        <v>103716.14354739858</v>
      </c>
      <c r="BT356" s="238">
        <v>103716.14</v>
      </c>
      <c r="BU356" s="238">
        <v>7643900</v>
      </c>
      <c r="BW356">
        <v>0.02</v>
      </c>
      <c r="BX356" s="238">
        <v>152878</v>
      </c>
      <c r="BY356" s="238">
        <v>101642.0895522388</v>
      </c>
      <c r="BZ356" s="238">
        <v>7491022</v>
      </c>
      <c r="CA356" s="238" t="s">
        <v>38</v>
      </c>
      <c r="CB356">
        <v>24000</v>
      </c>
      <c r="CC356">
        <v>125642.0895522388</v>
      </c>
      <c r="CD356" s="238">
        <v>1768800</v>
      </c>
      <c r="CE356" s="238">
        <v>9259822</v>
      </c>
      <c r="CF356" t="s">
        <v>4635</v>
      </c>
      <c r="CG356" t="s">
        <v>3540</v>
      </c>
      <c r="CH356" s="238" t="s">
        <v>39</v>
      </c>
      <c r="CI356" s="238" t="s">
        <v>39</v>
      </c>
      <c r="CJ356" t="s">
        <v>8950</v>
      </c>
      <c r="CK356" t="s">
        <v>1167</v>
      </c>
      <c r="CL356" t="s">
        <v>8961</v>
      </c>
      <c r="CM356" t="s">
        <v>8971</v>
      </c>
      <c r="CN356" s="238" t="b">
        <v>1</v>
      </c>
      <c r="CO356" t="s">
        <v>5644</v>
      </c>
      <c r="CQ356" t="s">
        <v>6652</v>
      </c>
      <c r="CR356" t="s">
        <v>3246</v>
      </c>
      <c r="CS356" t="s">
        <v>38</v>
      </c>
      <c r="CT356" t="b">
        <v>1</v>
      </c>
      <c r="CU356">
        <v>7643900</v>
      </c>
      <c r="CV356" t="s">
        <v>9002</v>
      </c>
      <c r="CW356">
        <v>0</v>
      </c>
      <c r="CX356">
        <v>7643900</v>
      </c>
      <c r="CY356">
        <v>0</v>
      </c>
      <c r="CZ356" t="b">
        <v>1</v>
      </c>
      <c r="DA356">
        <v>45597</v>
      </c>
      <c r="DB356" t="s">
        <v>4177</v>
      </c>
      <c r="DC356">
        <v>-4.7489823609229154E-3</v>
      </c>
      <c r="DD356">
        <v>-482.69649041092941</v>
      </c>
      <c r="DE356" s="420" cm="1">
        <f t="array" ref="DE356">_xlfn.XLOOKUP("Дом 5"&amp;Реестр_Д5[[#This Row],[№]]&amp;Реестр_Д5[[#This Row],[Статус]],РД[Дом]&amp;РД[№ кв]&amp;РД[Состояние],РД[Дата подачи на регистрацию],"-",0)</f>
        <v>45597</v>
      </c>
    </row>
    <row r="357" spans="1:109" x14ac:dyDescent="0.25">
      <c r="A357" s="238">
        <v>356</v>
      </c>
      <c r="B357" s="238" t="s">
        <v>16</v>
      </c>
      <c r="C357" s="238">
        <v>20</v>
      </c>
      <c r="D357" s="238">
        <v>2</v>
      </c>
      <c r="E357" s="238">
        <v>0</v>
      </c>
      <c r="F357" s="238">
        <v>7.18</v>
      </c>
      <c r="G357" s="238"/>
      <c r="H357" s="238"/>
      <c r="I357">
        <v>7.18</v>
      </c>
      <c r="J357" s="238">
        <v>5.17</v>
      </c>
      <c r="K357" s="238">
        <v>3.72</v>
      </c>
      <c r="L357" s="238"/>
      <c r="M357" s="238"/>
      <c r="N357" s="238">
        <v>6.97</v>
      </c>
      <c r="O357" s="238">
        <v>2.97</v>
      </c>
      <c r="P357" s="238"/>
      <c r="R357" s="238">
        <v>2.97</v>
      </c>
      <c r="S357">
        <v>26.01</v>
      </c>
      <c r="T357">
        <v>23.04</v>
      </c>
      <c r="U357" s="238">
        <v>24.53</v>
      </c>
      <c r="V357">
        <v>24.299999999999997</v>
      </c>
      <c r="W357" s="238">
        <v>99865.71</v>
      </c>
      <c r="X357">
        <v>4993.2855000000009</v>
      </c>
      <c r="Y357">
        <v>104858.9955</v>
      </c>
      <c r="Z357">
        <v>3145.7698650000002</v>
      </c>
      <c r="AA357">
        <v>108004.765365</v>
      </c>
      <c r="AB357">
        <v>14040.619497449999</v>
      </c>
      <c r="AC357">
        <v>122045.38486245</v>
      </c>
      <c r="AD357">
        <v>1220.4538486245001</v>
      </c>
      <c r="AE357">
        <v>123265.8387110745</v>
      </c>
      <c r="AG357">
        <v>123265.8387110745</v>
      </c>
      <c r="AI357">
        <v>123265.8387110745</v>
      </c>
      <c r="AJ357">
        <v>1232.658387110745</v>
      </c>
      <c r="AK357">
        <v>124498.49709818524</v>
      </c>
      <c r="AL357">
        <v>6224.9248549092626</v>
      </c>
      <c r="AM357">
        <v>130723.4219530945</v>
      </c>
      <c r="AO357">
        <v>130723.4219530945</v>
      </c>
      <c r="AP357">
        <v>3921.7026585928343</v>
      </c>
      <c r="AQ357">
        <v>134645.12461168732</v>
      </c>
      <c r="AS357">
        <v>134645.12461168732</v>
      </c>
      <c r="AU357">
        <v>134645.12461168732</v>
      </c>
      <c r="AW357">
        <v>134645.12461168732</v>
      </c>
      <c r="AX357">
        <v>1346.4512461168731</v>
      </c>
      <c r="AY357">
        <v>135991.57585780419</v>
      </c>
      <c r="BA357">
        <v>135991.57585780419</v>
      </c>
      <c r="BB357">
        <v>679.95787928902098</v>
      </c>
      <c r="BC357">
        <v>136671.53373709321</v>
      </c>
      <c r="BE357">
        <v>136671.53373709321</v>
      </c>
      <c r="BF357">
        <v>2050.0730060563983</v>
      </c>
      <c r="BG357">
        <v>138721.6067431496</v>
      </c>
      <c r="BI357">
        <v>138721.6067431496</v>
      </c>
      <c r="BK357">
        <v>138721.6067431496</v>
      </c>
      <c r="BL357">
        <v>5548.8642697259847</v>
      </c>
      <c r="BM357">
        <v>144270.47101287558</v>
      </c>
      <c r="BN357">
        <v>18755.161231673825</v>
      </c>
      <c r="BO357">
        <v>163025.6322445494</v>
      </c>
      <c r="BP357">
        <v>35</v>
      </c>
      <c r="BQ357">
        <v>163060.6322445494</v>
      </c>
      <c r="BS357">
        <v>163060.6322445494</v>
      </c>
      <c r="BT357" s="238">
        <v>163060.63</v>
      </c>
      <c r="BU357" s="238">
        <v>3962400</v>
      </c>
      <c r="BX357" s="238">
        <v>0</v>
      </c>
      <c r="BY357" s="238">
        <v>163061.72839506174</v>
      </c>
      <c r="BZ357" s="238">
        <v>3962400</v>
      </c>
      <c r="CA357" s="238" t="s">
        <v>36</v>
      </c>
      <c r="CC357">
        <v>163061.72839506174</v>
      </c>
      <c r="CD357" s="238">
        <v>0</v>
      </c>
      <c r="CE357" s="238">
        <v>3962400</v>
      </c>
      <c r="CH357" s="238" t="s">
        <v>3</v>
      </c>
      <c r="CI357" s="238" t="s">
        <v>3</v>
      </c>
      <c r="CJ357" t="s">
        <v>8951</v>
      </c>
      <c r="CK357" t="s">
        <v>1167</v>
      </c>
      <c r="CL357" t="s">
        <v>8961</v>
      </c>
      <c r="CM357" t="s">
        <v>8970</v>
      </c>
      <c r="CN357" s="238" t="b">
        <v>1</v>
      </c>
      <c r="CO357" t="s">
        <v>5645</v>
      </c>
      <c r="CQ357" t="s">
        <v>6652</v>
      </c>
      <c r="CR357" t="s">
        <v>3124</v>
      </c>
      <c r="CS357" t="s">
        <v>36</v>
      </c>
      <c r="CT357" t="b">
        <v>1</v>
      </c>
      <c r="CU357">
        <v>3962400</v>
      </c>
      <c r="CV357">
        <v>3962400</v>
      </c>
      <c r="CW357">
        <v>0</v>
      </c>
      <c r="CX357">
        <v>0</v>
      </c>
      <c r="CY357">
        <v>0</v>
      </c>
      <c r="CZ357" t="b">
        <v>1</v>
      </c>
      <c r="DA357" t="s">
        <v>4246</v>
      </c>
      <c r="DB357" t="s">
        <v>1167</v>
      </c>
      <c r="DC357">
        <v>-9.3762739502651904E-3</v>
      </c>
      <c r="DD357">
        <v>-1528.911436235835</v>
      </c>
      <c r="DE357" s="420" t="str" cm="1">
        <f t="array" ref="DE35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58" spans="1:109" x14ac:dyDescent="0.25">
      <c r="A358" s="238">
        <v>357</v>
      </c>
      <c r="B358" s="238" t="s">
        <v>16</v>
      </c>
      <c r="C358" s="238">
        <v>20</v>
      </c>
      <c r="D358" s="238">
        <v>3</v>
      </c>
      <c r="E358" s="238">
        <v>2</v>
      </c>
      <c r="F358" s="238">
        <v>13.69</v>
      </c>
      <c r="G358" s="238">
        <v>10.16</v>
      </c>
      <c r="H358" s="238"/>
      <c r="I358">
        <v>23.85</v>
      </c>
      <c r="J358" s="238">
        <v>18.71</v>
      </c>
      <c r="K358" s="238">
        <v>3.49</v>
      </c>
      <c r="L358" s="238">
        <v>2.11</v>
      </c>
      <c r="M358" s="238"/>
      <c r="N358" s="238">
        <v>7.09</v>
      </c>
      <c r="O358" s="238">
        <v>2.65</v>
      </c>
      <c r="P358" s="238"/>
      <c r="R358" s="238">
        <v>2.65</v>
      </c>
      <c r="S358">
        <v>57.9</v>
      </c>
      <c r="T358">
        <v>55.25</v>
      </c>
      <c r="U358" s="238">
        <v>56.58</v>
      </c>
      <c r="V358">
        <v>56.400000000000006</v>
      </c>
      <c r="W358" s="238">
        <v>87257.583000000013</v>
      </c>
      <c r="X358">
        <v>4362.8791500000007</v>
      </c>
      <c r="Y358">
        <v>91620.462150000007</v>
      </c>
      <c r="Z358">
        <v>2748.6138645000001</v>
      </c>
      <c r="AA358">
        <v>94369.076014500009</v>
      </c>
      <c r="AC358">
        <v>94369.076014500009</v>
      </c>
      <c r="AE358">
        <v>94369.076014500009</v>
      </c>
      <c r="AG358">
        <v>94369.076014500009</v>
      </c>
      <c r="AI358">
        <v>94369.076014500009</v>
      </c>
      <c r="AJ358">
        <v>943.69076014500013</v>
      </c>
      <c r="AK358">
        <v>95312.766774645002</v>
      </c>
      <c r="AL358">
        <v>4765.6383387322503</v>
      </c>
      <c r="AM358">
        <v>100078.40511337726</v>
      </c>
      <c r="AO358">
        <v>100078.40511337726</v>
      </c>
      <c r="AP358">
        <v>2001.5681022675451</v>
      </c>
      <c r="AQ358">
        <v>102079.9732156448</v>
      </c>
      <c r="AS358">
        <v>102079.9732156448</v>
      </c>
      <c r="AT358">
        <v>2041.5994643128961</v>
      </c>
      <c r="AU358">
        <v>104121.5726799577</v>
      </c>
      <c r="AV358">
        <v>150</v>
      </c>
      <c r="AW358">
        <v>104271.5726799577</v>
      </c>
      <c r="AX358">
        <v>1042.7157267995767</v>
      </c>
      <c r="AY358">
        <v>105314.28840675727</v>
      </c>
      <c r="BA358">
        <v>105314.28840675727</v>
      </c>
      <c r="BC358">
        <v>105314.28840675727</v>
      </c>
      <c r="BE358">
        <v>105314.28840675727</v>
      </c>
      <c r="BF358">
        <v>2632.8572101689319</v>
      </c>
      <c r="BG358">
        <v>107947.14561692619</v>
      </c>
      <c r="BH358">
        <v>500</v>
      </c>
      <c r="BI358">
        <v>108447.14561692619</v>
      </c>
      <c r="BJ358">
        <v>4337.8858246770487</v>
      </c>
      <c r="BK358">
        <v>112785.03144160326</v>
      </c>
      <c r="BL358">
        <v>6767.1018864961952</v>
      </c>
      <c r="BM358">
        <v>119552.13332809946</v>
      </c>
      <c r="BN358">
        <v>15541.77733265293</v>
      </c>
      <c r="BO358">
        <v>135093.91066075239</v>
      </c>
      <c r="BP358">
        <v>35</v>
      </c>
      <c r="BQ358">
        <v>135128.91066075239</v>
      </c>
      <c r="BR358">
        <v>1351.289106607524</v>
      </c>
      <c r="BS358">
        <v>136480.19976735991</v>
      </c>
      <c r="BT358" s="238">
        <v>136480.20000000001</v>
      </c>
      <c r="BU358" s="238">
        <v>7697500</v>
      </c>
      <c r="BX358" s="238">
        <v>0</v>
      </c>
      <c r="BY358" s="238">
        <v>136480.49645390073</v>
      </c>
      <c r="BZ358" s="238">
        <v>7697500</v>
      </c>
      <c r="CA358" s="238" t="s">
        <v>36</v>
      </c>
      <c r="CC358">
        <v>136480.49645390073</v>
      </c>
      <c r="CD358" s="238">
        <v>0</v>
      </c>
      <c r="CE358" s="238">
        <v>7697500.0000000019</v>
      </c>
      <c r="CF358" t="s">
        <v>4633</v>
      </c>
      <c r="CH358" s="238" t="s">
        <v>3</v>
      </c>
      <c r="CI358" s="238" t="s">
        <v>3</v>
      </c>
      <c r="CJ358" t="s">
        <v>8951</v>
      </c>
      <c r="CK358" t="s">
        <v>1167</v>
      </c>
      <c r="CL358" t="s">
        <v>8961</v>
      </c>
      <c r="CM358" t="s">
        <v>8971</v>
      </c>
      <c r="CN358" s="238" t="b">
        <v>1</v>
      </c>
      <c r="CO358" t="s">
        <v>5646</v>
      </c>
      <c r="CQ358" t="s">
        <v>6652</v>
      </c>
      <c r="CR358" t="s">
        <v>3124</v>
      </c>
      <c r="CS358" t="s">
        <v>6871</v>
      </c>
      <c r="CT358" t="b">
        <v>0</v>
      </c>
      <c r="CU358">
        <v>7697500</v>
      </c>
      <c r="CV358">
        <v>7697500</v>
      </c>
      <c r="CW358">
        <v>0</v>
      </c>
      <c r="CX358">
        <v>0</v>
      </c>
      <c r="CY358">
        <v>0</v>
      </c>
      <c r="CZ358" t="b">
        <v>1</v>
      </c>
      <c r="DA358" t="s">
        <v>4246</v>
      </c>
      <c r="DB358" t="s">
        <v>1167</v>
      </c>
      <c r="DC358">
        <v>-3.1813361611875424E-3</v>
      </c>
      <c r="DD358">
        <v>-434.19033866562251</v>
      </c>
      <c r="DE358" s="420" t="str" cm="1">
        <f t="array" ref="DE35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59" spans="1:109" x14ac:dyDescent="0.25">
      <c r="A359" s="238">
        <v>358</v>
      </c>
      <c r="B359" s="238" t="s">
        <v>16</v>
      </c>
      <c r="C359" s="238">
        <v>20</v>
      </c>
      <c r="D359" s="238">
        <v>4</v>
      </c>
      <c r="E359" s="238">
        <v>2</v>
      </c>
      <c r="F359" s="238">
        <v>15.45</v>
      </c>
      <c r="G359" s="238">
        <v>10.34</v>
      </c>
      <c r="H359" s="238"/>
      <c r="I359">
        <v>25.79</v>
      </c>
      <c r="J359" s="238">
        <v>15.44</v>
      </c>
      <c r="K359" s="238">
        <v>4.59</v>
      </c>
      <c r="L359" s="238">
        <v>2.21</v>
      </c>
      <c r="M359" s="238"/>
      <c r="N359" s="238">
        <v>10.79</v>
      </c>
      <c r="O359" s="238">
        <v>2.84</v>
      </c>
      <c r="P359" s="238"/>
      <c r="R359" s="238">
        <v>2.84</v>
      </c>
      <c r="S359">
        <v>61.66</v>
      </c>
      <c r="T359">
        <v>58.82</v>
      </c>
      <c r="U359" s="238">
        <v>60.24</v>
      </c>
      <c r="V359">
        <v>59.95</v>
      </c>
      <c r="W359" s="238">
        <v>89188.060500000007</v>
      </c>
      <c r="X359">
        <v>4459.4030250000005</v>
      </c>
      <c r="Y359">
        <v>93647.463525000014</v>
      </c>
      <c r="Z359">
        <v>2809.4239057500004</v>
      </c>
      <c r="AA359">
        <v>96456.887430750023</v>
      </c>
      <c r="AC359">
        <v>96456.887430750023</v>
      </c>
      <c r="AE359">
        <v>96456.887430750023</v>
      </c>
      <c r="AG359">
        <v>96456.887430750023</v>
      </c>
      <c r="AI359">
        <v>96456.887430750023</v>
      </c>
      <c r="AJ359">
        <v>964.56887430749998</v>
      </c>
      <c r="AK359">
        <v>97421.456305057509</v>
      </c>
      <c r="AL359">
        <v>4871.0728152528754</v>
      </c>
      <c r="AM359">
        <v>102292.52912031038</v>
      </c>
      <c r="AO359">
        <v>102292.52912031038</v>
      </c>
      <c r="AP359">
        <v>2045.8505824062076</v>
      </c>
      <c r="AQ359">
        <v>104338.3797027166</v>
      </c>
      <c r="AS359">
        <v>104338.3797027166</v>
      </c>
      <c r="AT359">
        <v>2086.7675940543322</v>
      </c>
      <c r="AU359">
        <v>106425.14729677093</v>
      </c>
      <c r="AW359">
        <v>106425.14729677093</v>
      </c>
      <c r="AY359">
        <v>106425.14729677093</v>
      </c>
      <c r="BA359">
        <v>106425.14729677093</v>
      </c>
      <c r="BC359">
        <v>106425.14729677093</v>
      </c>
      <c r="BE359">
        <v>106425.14729677093</v>
      </c>
      <c r="BF359">
        <v>532.12573648385455</v>
      </c>
      <c r="BG359">
        <v>106957.27303325477</v>
      </c>
      <c r="BI359">
        <v>106957.27303325477</v>
      </c>
      <c r="BJ359">
        <v>4278.2909213301909</v>
      </c>
      <c r="BK359">
        <v>111235.56395458496</v>
      </c>
      <c r="BL359">
        <v>6674.133837275097</v>
      </c>
      <c r="BM359">
        <v>117909.69779186005</v>
      </c>
      <c r="BN359">
        <v>15328.260712941808</v>
      </c>
      <c r="BO359">
        <v>133237.95850480185</v>
      </c>
      <c r="BP359">
        <v>35</v>
      </c>
      <c r="BQ359">
        <v>133272.95850480185</v>
      </c>
      <c r="BS359">
        <v>133272.95850480185</v>
      </c>
      <c r="BT359" s="238">
        <v>133272.95999999999</v>
      </c>
      <c r="BU359" s="238">
        <v>7989800</v>
      </c>
      <c r="BX359" s="238">
        <v>0</v>
      </c>
      <c r="BY359" s="238">
        <v>133274.39532944121</v>
      </c>
      <c r="BZ359" s="238">
        <v>7989800</v>
      </c>
      <c r="CA359" s="238" t="s">
        <v>36</v>
      </c>
      <c r="CC359">
        <v>133274.39532944121</v>
      </c>
      <c r="CD359" s="238">
        <v>0</v>
      </c>
      <c r="CE359" s="238">
        <v>7989800.0000000019</v>
      </c>
      <c r="CH359" s="238" t="s">
        <v>3</v>
      </c>
      <c r="CI359" s="238" t="s">
        <v>3</v>
      </c>
      <c r="CJ359" t="s">
        <v>8951</v>
      </c>
      <c r="CK359" t="s">
        <v>1167</v>
      </c>
      <c r="CL359" t="s">
        <v>8961</v>
      </c>
      <c r="CM359" t="s">
        <v>8971</v>
      </c>
      <c r="CN359" s="238" t="b">
        <v>1</v>
      </c>
      <c r="CO359" t="s">
        <v>5647</v>
      </c>
      <c r="CQ359" t="s">
        <v>6652</v>
      </c>
      <c r="CR359" t="s">
        <v>3124</v>
      </c>
      <c r="CS359" t="s">
        <v>6871</v>
      </c>
      <c r="CT359" t="b">
        <v>0</v>
      </c>
      <c r="CU359">
        <v>7989800</v>
      </c>
      <c r="CV359">
        <v>7989800</v>
      </c>
      <c r="CW359">
        <v>0</v>
      </c>
      <c r="CX359">
        <v>0</v>
      </c>
      <c r="CY359">
        <v>0</v>
      </c>
      <c r="CZ359" t="b">
        <v>1</v>
      </c>
      <c r="DA359" t="s">
        <v>4246</v>
      </c>
      <c r="DB359" t="s">
        <v>1167</v>
      </c>
      <c r="DC359">
        <v>-4.8140770252323994E-3</v>
      </c>
      <c r="DD359">
        <v>-641.59320460720312</v>
      </c>
      <c r="DE359" s="420" t="str" cm="1">
        <f t="array" ref="DE35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0" spans="1:109" x14ac:dyDescent="0.25">
      <c r="A360" s="238">
        <v>359</v>
      </c>
      <c r="B360" s="238" t="s">
        <v>16</v>
      </c>
      <c r="C360" s="238">
        <v>20</v>
      </c>
      <c r="D360" s="238">
        <v>5</v>
      </c>
      <c r="E360" s="238">
        <v>1</v>
      </c>
      <c r="F360" s="238">
        <v>12.54</v>
      </c>
      <c r="G360" s="238"/>
      <c r="H360" s="238"/>
      <c r="I360">
        <v>12.54</v>
      </c>
      <c r="J360" s="238">
        <v>12.74</v>
      </c>
      <c r="K360" s="238">
        <v>4.0199999999999996</v>
      </c>
      <c r="L360" s="238"/>
      <c r="M360" s="238"/>
      <c r="N360" s="238">
        <v>7.09</v>
      </c>
      <c r="O360" s="238">
        <v>2.84</v>
      </c>
      <c r="P360" s="238"/>
      <c r="R360" s="238">
        <v>2.84</v>
      </c>
      <c r="S360">
        <v>39.229999999999997</v>
      </c>
      <c r="T360">
        <v>36.39</v>
      </c>
      <c r="U360" s="238">
        <v>37.81</v>
      </c>
      <c r="V360">
        <v>37.599999999999994</v>
      </c>
      <c r="W360" s="238">
        <v>96523.875</v>
      </c>
      <c r="X360">
        <v>4826.1937500000004</v>
      </c>
      <c r="Y360">
        <v>101350.06875000001</v>
      </c>
      <c r="Z360">
        <v>3040.5020625000002</v>
      </c>
      <c r="AA360">
        <v>104390.57081249999</v>
      </c>
      <c r="AB360">
        <v>4697.5756865624999</v>
      </c>
      <c r="AC360">
        <v>109088.14649906252</v>
      </c>
      <c r="AE360">
        <v>109088.14649906252</v>
      </c>
      <c r="AF360">
        <v>5454.4073249531257</v>
      </c>
      <c r="AG360">
        <v>114542.55382401565</v>
      </c>
      <c r="AH360">
        <v>-620</v>
      </c>
      <c r="AI360">
        <v>113922.55382401565</v>
      </c>
      <c r="AJ360">
        <v>1139.2255382401563</v>
      </c>
      <c r="AK360">
        <v>115061.77936225579</v>
      </c>
      <c r="AL360">
        <v>5753.0889681127901</v>
      </c>
      <c r="AM360">
        <v>120814.86833036858</v>
      </c>
      <c r="AO360">
        <v>120814.86833036858</v>
      </c>
      <c r="AP360">
        <v>3624.4460499110578</v>
      </c>
      <c r="AQ360">
        <v>124439.31438027964</v>
      </c>
      <c r="AS360">
        <v>124439.31438027964</v>
      </c>
      <c r="AU360">
        <v>124439.31438027964</v>
      </c>
      <c r="AW360">
        <v>124439.31438027964</v>
      </c>
      <c r="AX360">
        <v>1244.3931438027964</v>
      </c>
      <c r="AY360">
        <v>125683.70752408243</v>
      </c>
      <c r="BA360">
        <v>125683.70752408243</v>
      </c>
      <c r="BC360">
        <v>125683.70752408243</v>
      </c>
      <c r="BE360">
        <v>125683.70752408243</v>
      </c>
      <c r="BF360">
        <v>628.41853762041217</v>
      </c>
      <c r="BG360">
        <v>126312.12606170285</v>
      </c>
      <c r="BI360">
        <v>126312.12606170285</v>
      </c>
      <c r="BK360">
        <v>126312.12606170285</v>
      </c>
      <c r="BL360">
        <v>6315.6063030851428</v>
      </c>
      <c r="BM360">
        <v>132627.73236478798</v>
      </c>
      <c r="BN360">
        <v>17241.605207422439</v>
      </c>
      <c r="BO360">
        <v>149869.33757221041</v>
      </c>
      <c r="BP360">
        <v>35</v>
      </c>
      <c r="BQ360">
        <v>149904.33757221041</v>
      </c>
      <c r="BS360">
        <v>149904.33757221041</v>
      </c>
      <c r="BT360" s="238">
        <v>149904.34</v>
      </c>
      <c r="BU360" s="238">
        <v>5636500</v>
      </c>
      <c r="BX360" s="238">
        <v>0</v>
      </c>
      <c r="BY360" s="238">
        <v>149906.91489361704</v>
      </c>
      <c r="BZ360" s="238">
        <v>5636500</v>
      </c>
      <c r="CA360" s="238" t="s">
        <v>36</v>
      </c>
      <c r="CC360">
        <v>149906.91489361704</v>
      </c>
      <c r="CD360" s="238">
        <v>0</v>
      </c>
      <c r="CE360" s="238">
        <v>5636500</v>
      </c>
      <c r="CH360" s="238" t="s">
        <v>3</v>
      </c>
      <c r="CI360" s="238" t="s">
        <v>3</v>
      </c>
      <c r="CJ360" t="s">
        <v>8951</v>
      </c>
      <c r="CK360" t="s">
        <v>1167</v>
      </c>
      <c r="CL360" t="s">
        <v>8961</v>
      </c>
      <c r="CM360" t="s">
        <v>8973</v>
      </c>
      <c r="CN360" s="238" t="b">
        <v>1</v>
      </c>
      <c r="CO360" t="s">
        <v>5648</v>
      </c>
      <c r="CQ360" t="s">
        <v>6652</v>
      </c>
      <c r="CR360" t="s">
        <v>3124</v>
      </c>
      <c r="CS360" t="s">
        <v>6871</v>
      </c>
      <c r="CT360" t="b">
        <v>0</v>
      </c>
      <c r="CU360">
        <v>5636500</v>
      </c>
      <c r="CV360">
        <v>5636500</v>
      </c>
      <c r="CW360">
        <v>0</v>
      </c>
      <c r="CX360">
        <v>0</v>
      </c>
      <c r="CY360">
        <v>0</v>
      </c>
      <c r="CZ360" t="b">
        <v>1</v>
      </c>
      <c r="DA360" t="s">
        <v>4246</v>
      </c>
      <c r="DB360" t="s">
        <v>1167</v>
      </c>
      <c r="DC360">
        <v>-5.5540862205767372E-3</v>
      </c>
      <c r="DD360">
        <v>-832.59593037980801</v>
      </c>
      <c r="DE360" s="420" t="str" cm="1">
        <f t="array" ref="DE36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1" spans="1:109" x14ac:dyDescent="0.25">
      <c r="A361" s="238">
        <v>360</v>
      </c>
      <c r="B361" s="238" t="s">
        <v>16</v>
      </c>
      <c r="C361" s="238">
        <v>20</v>
      </c>
      <c r="D361" s="238">
        <v>6</v>
      </c>
      <c r="E361" s="238">
        <v>3</v>
      </c>
      <c r="F361" s="238">
        <v>17.2</v>
      </c>
      <c r="G361" s="238">
        <v>14.64</v>
      </c>
      <c r="H361" s="238">
        <v>14.34</v>
      </c>
      <c r="I361">
        <v>46.18</v>
      </c>
      <c r="J361" s="238">
        <v>13.15</v>
      </c>
      <c r="K361" s="238">
        <v>4.03</v>
      </c>
      <c r="L361" s="238">
        <v>1.76</v>
      </c>
      <c r="M361" s="238"/>
      <c r="N361" s="238">
        <v>13.11</v>
      </c>
      <c r="O361" s="238">
        <v>2.79</v>
      </c>
      <c r="P361" s="238">
        <v>2.68</v>
      </c>
      <c r="R361" s="238">
        <v>5.4700000000000006</v>
      </c>
      <c r="S361">
        <v>83.7</v>
      </c>
      <c r="T361">
        <v>78.23</v>
      </c>
      <c r="U361" s="238">
        <v>80.97</v>
      </c>
      <c r="V361">
        <v>80.25</v>
      </c>
      <c r="W361" s="238">
        <v>79944.48000000001</v>
      </c>
      <c r="X361">
        <v>3997.2240000000006</v>
      </c>
      <c r="Y361">
        <v>83941.704000000012</v>
      </c>
      <c r="Z361">
        <v>2518.2511200000004</v>
      </c>
      <c r="AA361">
        <v>86459.955120000013</v>
      </c>
      <c r="AC361">
        <v>86459.955120000013</v>
      </c>
      <c r="AE361">
        <v>86459.955120000013</v>
      </c>
      <c r="AG361">
        <v>86459.955120000013</v>
      </c>
      <c r="AI361">
        <v>86459.955120000013</v>
      </c>
      <c r="AJ361">
        <v>864.59955120000018</v>
      </c>
      <c r="AK361">
        <v>87324.554671200007</v>
      </c>
      <c r="AL361">
        <v>4366.2277335600002</v>
      </c>
      <c r="AM361">
        <v>91690.782404760001</v>
      </c>
      <c r="AO361">
        <v>91690.782404760001</v>
      </c>
      <c r="AP361">
        <v>1833.8156480952</v>
      </c>
      <c r="AQ361">
        <v>93524.598052855203</v>
      </c>
      <c r="AS361">
        <v>93524.598052855203</v>
      </c>
      <c r="AT361">
        <v>1870.4919610571039</v>
      </c>
      <c r="AU361">
        <v>95395.090013912297</v>
      </c>
      <c r="AW361">
        <v>95395.090013912297</v>
      </c>
      <c r="AX361">
        <v>953.95090013912318</v>
      </c>
      <c r="AY361">
        <v>96349.040914051438</v>
      </c>
      <c r="BA361">
        <v>96349.040914051438</v>
      </c>
      <c r="BB361">
        <v>481.74520457025721</v>
      </c>
      <c r="BC361">
        <v>96830.786118621691</v>
      </c>
      <c r="BD361">
        <v>1936.6157223724335</v>
      </c>
      <c r="BE361">
        <v>98767.40184099412</v>
      </c>
      <c r="BF361">
        <v>1481.5110276149117</v>
      </c>
      <c r="BG361">
        <v>100248.91286860904</v>
      </c>
      <c r="BI361">
        <v>100248.91286860904</v>
      </c>
      <c r="BJ361">
        <v>4009.9565147443618</v>
      </c>
      <c r="BK361">
        <v>104258.86938335341</v>
      </c>
      <c r="BL361">
        <v>5212.9434691676697</v>
      </c>
      <c r="BM361">
        <v>109471.81285252106</v>
      </c>
      <c r="BN361">
        <v>14231.335670827741</v>
      </c>
      <c r="BO361">
        <v>123703.14852334881</v>
      </c>
      <c r="BP361">
        <v>35</v>
      </c>
      <c r="BQ361">
        <v>123738.14852334881</v>
      </c>
      <c r="BS361">
        <v>123738.14852334881</v>
      </c>
      <c r="BT361" s="238">
        <v>123738.15</v>
      </c>
      <c r="BU361" s="238">
        <v>9930000</v>
      </c>
      <c r="BX361" s="238">
        <v>0</v>
      </c>
      <c r="BY361" s="238">
        <v>123738.31775700934</v>
      </c>
      <c r="BZ361" s="238">
        <v>9930000</v>
      </c>
      <c r="CA361" s="238" t="s">
        <v>36</v>
      </c>
      <c r="CC361">
        <v>123738.31775700934</v>
      </c>
      <c r="CD361" s="238">
        <v>0</v>
      </c>
      <c r="CE361" s="238">
        <v>9930000</v>
      </c>
      <c r="CH361" s="238" t="s">
        <v>3</v>
      </c>
      <c r="CI361" s="238" t="s">
        <v>3</v>
      </c>
      <c r="CJ361" t="s">
        <v>8951</v>
      </c>
      <c r="CK361" t="s">
        <v>1167</v>
      </c>
      <c r="CL361" t="s">
        <v>8961</v>
      </c>
      <c r="CM361" t="s">
        <v>8975</v>
      </c>
      <c r="CN361" s="238" t="b">
        <v>1</v>
      </c>
      <c r="CO361" t="s">
        <v>5649</v>
      </c>
      <c r="CQ361" t="s">
        <v>6652</v>
      </c>
      <c r="CR361" t="s">
        <v>3124</v>
      </c>
      <c r="CS361" t="s">
        <v>36</v>
      </c>
      <c r="CT361" t="b">
        <v>1</v>
      </c>
      <c r="CU361">
        <v>9930000</v>
      </c>
      <c r="CV361">
        <v>9930000</v>
      </c>
      <c r="CW361">
        <v>0</v>
      </c>
      <c r="CX361">
        <v>0</v>
      </c>
      <c r="CY361">
        <v>0</v>
      </c>
      <c r="CZ361" t="b">
        <v>1</v>
      </c>
      <c r="DA361" t="s">
        <v>4246</v>
      </c>
      <c r="DB361" t="s">
        <v>1167</v>
      </c>
      <c r="DC361">
        <v>-8.8921822897368719E-3</v>
      </c>
      <c r="DD361">
        <v>-1100.3036777207119</v>
      </c>
      <c r="DE361" s="420" t="str" cm="1">
        <f t="array" ref="DE36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2" spans="1:109" x14ac:dyDescent="0.25">
      <c r="A362" s="238">
        <v>361</v>
      </c>
      <c r="B362" s="238" t="s">
        <v>16</v>
      </c>
      <c r="C362" s="238">
        <v>20</v>
      </c>
      <c r="D362" s="238">
        <v>7</v>
      </c>
      <c r="E362" s="238">
        <v>1</v>
      </c>
      <c r="F362" s="238">
        <v>14.3</v>
      </c>
      <c r="G362" s="238"/>
      <c r="H362" s="238"/>
      <c r="I362">
        <v>14.3</v>
      </c>
      <c r="J362" s="238">
        <v>9.2799999999999994</v>
      </c>
      <c r="K362" s="238">
        <v>3.79</v>
      </c>
      <c r="L362" s="238"/>
      <c r="M362" s="238"/>
      <c r="N362" s="238">
        <v>6.08</v>
      </c>
      <c r="O362" s="238">
        <v>2.71</v>
      </c>
      <c r="P362" s="238"/>
      <c r="R362" s="238">
        <v>2.71</v>
      </c>
      <c r="S362">
        <v>36.159999999999997</v>
      </c>
      <c r="T362">
        <v>33.450000000000003</v>
      </c>
      <c r="U362" s="238">
        <v>34.81</v>
      </c>
      <c r="V362">
        <v>34.85</v>
      </c>
      <c r="W362" s="238">
        <v>92062.6875</v>
      </c>
      <c r="X362">
        <v>4603.1343750000005</v>
      </c>
      <c r="Y362">
        <v>96665.821874999994</v>
      </c>
      <c r="Z362">
        <v>2899.9746562499995</v>
      </c>
      <c r="AA362">
        <v>99565.796531249987</v>
      </c>
      <c r="AB362">
        <v>13939.211514375</v>
      </c>
      <c r="AC362">
        <v>113505.008045625</v>
      </c>
      <c r="AE362">
        <v>113505.008045625</v>
      </c>
      <c r="AF362">
        <v>5675.25040228125</v>
      </c>
      <c r="AG362">
        <v>119180.25844790624</v>
      </c>
      <c r="AI362">
        <v>119180.25844790624</v>
      </c>
      <c r="AJ362">
        <v>1191.8025844790625</v>
      </c>
      <c r="AK362">
        <v>120372.0610323853</v>
      </c>
      <c r="AL362">
        <v>6018.6030516192659</v>
      </c>
      <c r="AM362">
        <v>126390.66408400456</v>
      </c>
      <c r="AO362">
        <v>126390.66408400456</v>
      </c>
      <c r="AP362">
        <v>3791.7199225201366</v>
      </c>
      <c r="AQ362">
        <v>130182.38400652472</v>
      </c>
      <c r="AS362">
        <v>130182.38400652472</v>
      </c>
      <c r="AU362">
        <v>130182.38400652472</v>
      </c>
      <c r="AW362">
        <v>130182.38400652472</v>
      </c>
      <c r="AY362">
        <v>130182.38400652472</v>
      </c>
      <c r="BA362">
        <v>130182.38400652472</v>
      </c>
      <c r="BC362">
        <v>130182.38400652472</v>
      </c>
      <c r="BE362">
        <v>130182.38400652472</v>
      </c>
      <c r="BF362">
        <v>650.91192003262358</v>
      </c>
      <c r="BG362">
        <v>130833.29592655732</v>
      </c>
      <c r="BI362">
        <v>130833.29592655732</v>
      </c>
      <c r="BJ362">
        <v>2616.6659185311469</v>
      </c>
      <c r="BK362">
        <v>133449.96184508849</v>
      </c>
      <c r="BL362">
        <v>6672.4980922544246</v>
      </c>
      <c r="BM362">
        <v>140122.45993734291</v>
      </c>
      <c r="BN362">
        <v>18215.91979185458</v>
      </c>
      <c r="BO362">
        <v>158338.37972919748</v>
      </c>
      <c r="BP362">
        <v>35</v>
      </c>
      <c r="BQ362">
        <v>158373.37972919748</v>
      </c>
      <c r="BS362">
        <v>158373.37972919748</v>
      </c>
      <c r="BT362" s="238">
        <v>158373.38</v>
      </c>
      <c r="BU362" s="238">
        <v>5519400</v>
      </c>
      <c r="BX362" s="238">
        <v>0</v>
      </c>
      <c r="BY362" s="238">
        <v>158375.89670014346</v>
      </c>
      <c r="BZ362" s="238">
        <v>5519400</v>
      </c>
      <c r="CA362" s="238" t="s">
        <v>36</v>
      </c>
      <c r="CC362">
        <v>158375.89670014346</v>
      </c>
      <c r="CD362" s="238">
        <v>0</v>
      </c>
      <c r="CE362" s="238">
        <v>5519400</v>
      </c>
      <c r="CF362" t="s">
        <v>4633</v>
      </c>
      <c r="CH362" s="238" t="s">
        <v>3</v>
      </c>
      <c r="CI362" s="238" t="s">
        <v>3</v>
      </c>
      <c r="CJ362" t="s">
        <v>8951</v>
      </c>
      <c r="CK362" t="s">
        <v>1167</v>
      </c>
      <c r="CL362" t="s">
        <v>8961</v>
      </c>
      <c r="CM362" t="s">
        <v>8973</v>
      </c>
      <c r="CN362" s="238" t="b">
        <v>1</v>
      </c>
      <c r="CO362" t="s">
        <v>5650</v>
      </c>
      <c r="CQ362" t="s">
        <v>6652</v>
      </c>
      <c r="CR362" t="s">
        <v>3124</v>
      </c>
      <c r="CS362" t="s">
        <v>36</v>
      </c>
      <c r="CT362" t="b">
        <v>1</v>
      </c>
      <c r="CU362">
        <v>5519400</v>
      </c>
      <c r="CV362">
        <v>5519400</v>
      </c>
      <c r="CW362">
        <v>0</v>
      </c>
      <c r="CX362">
        <v>0</v>
      </c>
      <c r="CY362">
        <v>0</v>
      </c>
      <c r="CZ362" t="b">
        <v>1</v>
      </c>
      <c r="DA362" t="s">
        <v>4246</v>
      </c>
      <c r="DB362" t="s">
        <v>1167</v>
      </c>
      <c r="DC362">
        <v>1.1490950876185124E-3</v>
      </c>
      <c r="DD362">
        <v>181.98896489531185</v>
      </c>
      <c r="DE362" s="420" t="str" cm="1">
        <f t="array" ref="DE36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3" spans="1:109" x14ac:dyDescent="0.25">
      <c r="A363" s="238">
        <v>362</v>
      </c>
      <c r="B363" s="238" t="s">
        <v>16</v>
      </c>
      <c r="C363" s="238">
        <v>21</v>
      </c>
      <c r="D363" s="238">
        <v>1</v>
      </c>
      <c r="E363" s="238">
        <v>2</v>
      </c>
      <c r="F363" s="238">
        <v>17.63</v>
      </c>
      <c r="G363" s="238">
        <v>13.69</v>
      </c>
      <c r="H363" s="238"/>
      <c r="I363">
        <v>31.32</v>
      </c>
      <c r="J363" s="238">
        <v>20.05</v>
      </c>
      <c r="K363" s="238">
        <v>3.54</v>
      </c>
      <c r="L363" s="238">
        <v>2.93</v>
      </c>
      <c r="M363" s="238"/>
      <c r="N363" s="238">
        <v>12.19</v>
      </c>
      <c r="O363" s="238">
        <v>4.6500000000000004</v>
      </c>
      <c r="P363" s="238">
        <v>2.68</v>
      </c>
      <c r="R363" s="238">
        <v>7.33</v>
      </c>
      <c r="S363">
        <v>77.36</v>
      </c>
      <c r="T363">
        <v>70.03</v>
      </c>
      <c r="U363" s="238">
        <v>73.7</v>
      </c>
      <c r="V363">
        <v>73.349999999999994</v>
      </c>
      <c r="W363" s="238">
        <v>84941.010000000009</v>
      </c>
      <c r="X363">
        <v>4247.0505000000003</v>
      </c>
      <c r="Y363">
        <v>89188.060500000007</v>
      </c>
      <c r="Z363">
        <v>2675.641815</v>
      </c>
      <c r="AA363">
        <v>91863.702315000002</v>
      </c>
      <c r="AC363">
        <v>91863.702315000002</v>
      </c>
      <c r="AE363">
        <v>91863.702315000002</v>
      </c>
      <c r="AG363">
        <v>91863.702315000002</v>
      </c>
      <c r="AI363">
        <v>91863.702315000002</v>
      </c>
      <c r="AJ363">
        <v>918.63702315</v>
      </c>
      <c r="AK363">
        <v>92782.339338150006</v>
      </c>
      <c r="AL363">
        <v>4639.1169669075007</v>
      </c>
      <c r="AM363">
        <v>97421.456305057509</v>
      </c>
      <c r="AO363">
        <v>97421.456305057509</v>
      </c>
      <c r="AP363">
        <v>1948.4291261011499</v>
      </c>
      <c r="AQ363">
        <v>99369.885431158662</v>
      </c>
      <c r="AS363">
        <v>99369.885431158662</v>
      </c>
      <c r="AT363">
        <v>1987.3977086231732</v>
      </c>
      <c r="AU363">
        <v>101357.28313978184</v>
      </c>
      <c r="AW363">
        <v>101357.28313978184</v>
      </c>
      <c r="AY363">
        <v>101357.28313978184</v>
      </c>
      <c r="BA363">
        <v>101357.28313978184</v>
      </c>
      <c r="BC363">
        <v>101357.28313978184</v>
      </c>
      <c r="BE363">
        <v>101357.28313978184</v>
      </c>
      <c r="BF363">
        <v>506.7864156989092</v>
      </c>
      <c r="BG363">
        <v>101864.06955548076</v>
      </c>
      <c r="BI363">
        <v>101864.06955548076</v>
      </c>
      <c r="BK363">
        <v>101864.06955548076</v>
      </c>
      <c r="BL363">
        <v>8149.125564438461</v>
      </c>
      <c r="BM363">
        <v>110013.1951199192</v>
      </c>
      <c r="BN363">
        <v>14301.715365589498</v>
      </c>
      <c r="BO363">
        <v>124314.91048550872</v>
      </c>
      <c r="BP363">
        <v>35</v>
      </c>
      <c r="BQ363">
        <v>124349.91048550872</v>
      </c>
      <c r="BS363">
        <v>124349.91048550872</v>
      </c>
      <c r="BT363" s="238">
        <v>124349.91</v>
      </c>
      <c r="BU363" s="238">
        <v>9121100</v>
      </c>
      <c r="BX363" s="238">
        <v>0</v>
      </c>
      <c r="BY363" s="238">
        <v>124350.3749147921</v>
      </c>
      <c r="BZ363" s="238">
        <v>9121100</v>
      </c>
      <c r="CA363" s="238" t="s">
        <v>36</v>
      </c>
      <c r="CC363">
        <v>124350.3749147921</v>
      </c>
      <c r="CD363" s="238">
        <v>0</v>
      </c>
      <c r="CE363" s="238">
        <v>9121100</v>
      </c>
      <c r="CF363" t="s">
        <v>4635</v>
      </c>
      <c r="CH363" s="238" t="s">
        <v>3</v>
      </c>
      <c r="CI363" s="238" t="s">
        <v>3</v>
      </c>
      <c r="CJ363" t="s">
        <v>8951</v>
      </c>
      <c r="CK363" t="s">
        <v>1167</v>
      </c>
      <c r="CL363" t="s">
        <v>8961</v>
      </c>
      <c r="CM363" t="s">
        <v>8971</v>
      </c>
      <c r="CN363" s="238" t="b">
        <v>1</v>
      </c>
      <c r="CO363" t="s">
        <v>5651</v>
      </c>
      <c r="CQ363" t="s">
        <v>6652</v>
      </c>
      <c r="CR363" t="s">
        <v>3124</v>
      </c>
      <c r="CS363" t="s">
        <v>36</v>
      </c>
      <c r="CT363" t="b">
        <v>1</v>
      </c>
      <c r="CU363">
        <v>9121100</v>
      </c>
      <c r="CV363">
        <v>9121100</v>
      </c>
      <c r="CW363">
        <v>0</v>
      </c>
      <c r="CX363">
        <v>0</v>
      </c>
      <c r="CY363">
        <v>0</v>
      </c>
      <c r="CZ363" t="b">
        <v>1</v>
      </c>
      <c r="DA363" t="s">
        <v>4246</v>
      </c>
      <c r="DB363" t="s">
        <v>1167</v>
      </c>
      <c r="DC363">
        <v>-4.7489823609228043E-3</v>
      </c>
      <c r="DD363">
        <v>-590.53773704448531</v>
      </c>
      <c r="DE363" s="420" t="str" cm="1">
        <f t="array" ref="DE36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4" spans="1:109" hidden="1" x14ac:dyDescent="0.25">
      <c r="A364" s="238">
        <v>363</v>
      </c>
      <c r="B364" s="238" t="s">
        <v>16</v>
      </c>
      <c r="C364" s="238">
        <v>21</v>
      </c>
      <c r="D364" s="238">
        <v>2</v>
      </c>
      <c r="E364" s="238">
        <v>0</v>
      </c>
      <c r="F364" s="238">
        <v>7.18</v>
      </c>
      <c r="G364" s="238"/>
      <c r="H364" s="238"/>
      <c r="I364">
        <v>7.18</v>
      </c>
      <c r="J364" s="238">
        <v>5.17</v>
      </c>
      <c r="K364" s="238">
        <v>3.72</v>
      </c>
      <c r="L364" s="238"/>
      <c r="M364" s="238"/>
      <c r="N364" s="238">
        <v>6.97</v>
      </c>
      <c r="O364" s="238">
        <v>2.97</v>
      </c>
      <c r="P364" s="238"/>
      <c r="R364" s="238">
        <v>2.97</v>
      </c>
      <c r="S364">
        <v>26.01</v>
      </c>
      <c r="T364">
        <v>23.04</v>
      </c>
      <c r="U364" s="238">
        <v>24.53</v>
      </c>
      <c r="V364">
        <v>23.95</v>
      </c>
      <c r="W364" s="238">
        <v>98989.695000000007</v>
      </c>
      <c r="X364">
        <v>4949.4847500000005</v>
      </c>
      <c r="Y364">
        <v>103939.17975</v>
      </c>
      <c r="Z364">
        <v>3118.1753925000003</v>
      </c>
      <c r="AA364">
        <v>107057.3551425</v>
      </c>
      <c r="AB364">
        <v>13917.456168524999</v>
      </c>
      <c r="AC364">
        <v>120974.811311025</v>
      </c>
      <c r="AD364">
        <v>1209.74811311025</v>
      </c>
      <c r="AE364">
        <v>122184.55942413524</v>
      </c>
      <c r="AG364">
        <v>122184.55942413524</v>
      </c>
      <c r="AI364">
        <v>122184.55942413524</v>
      </c>
      <c r="AJ364">
        <v>1221.8455942413525</v>
      </c>
      <c r="AK364">
        <v>123406.40501837659</v>
      </c>
      <c r="AL364">
        <v>6170.3202509188304</v>
      </c>
      <c r="AM364">
        <v>129576.72526929544</v>
      </c>
      <c r="AO364">
        <v>129576.72526929544</v>
      </c>
      <c r="AP364">
        <v>3887.3017580788623</v>
      </c>
      <c r="AQ364">
        <v>133464.02702737431</v>
      </c>
      <c r="AS364">
        <v>133464.02702737431</v>
      </c>
      <c r="AU364">
        <v>133464.02702737431</v>
      </c>
      <c r="AW364">
        <v>133464.02702737431</v>
      </c>
      <c r="AX364">
        <v>1334.640270273743</v>
      </c>
      <c r="AY364">
        <v>134798.66729764806</v>
      </c>
      <c r="BA364">
        <v>134798.66729764806</v>
      </c>
      <c r="BB364">
        <v>673.99333648824029</v>
      </c>
      <c r="BC364">
        <v>135472.66063413629</v>
      </c>
      <c r="BE364">
        <v>135472.66063413629</v>
      </c>
      <c r="BF364">
        <v>2032.0899095120444</v>
      </c>
      <c r="BG364">
        <v>137504.75054364835</v>
      </c>
      <c r="BI364">
        <v>137504.75054364835</v>
      </c>
      <c r="BK364">
        <v>137504.75054364835</v>
      </c>
      <c r="BL364">
        <v>5500.1900217459342</v>
      </c>
      <c r="BM364">
        <v>143004.9405653943</v>
      </c>
      <c r="BN364">
        <v>18590.64227350126</v>
      </c>
      <c r="BO364">
        <v>161595.58283889556</v>
      </c>
      <c r="BP364">
        <v>35</v>
      </c>
      <c r="BQ364">
        <v>161630.58283889556</v>
      </c>
      <c r="BS364">
        <v>161630.58283889556</v>
      </c>
      <c r="BT364" s="238">
        <v>161630.57999999999</v>
      </c>
      <c r="BU364" s="238">
        <v>3964800</v>
      </c>
      <c r="BV364">
        <v>457010</v>
      </c>
      <c r="BX364" s="238">
        <v>457010</v>
      </c>
      <c r="BY364" s="238">
        <v>143000</v>
      </c>
      <c r="BZ364" s="238">
        <v>3507790</v>
      </c>
      <c r="CA364" s="238" t="s">
        <v>6871</v>
      </c>
      <c r="CB364">
        <v>10000</v>
      </c>
      <c r="CC364">
        <v>153000</v>
      </c>
      <c r="CD364" s="238">
        <v>245300</v>
      </c>
      <c r="CE364" s="238">
        <v>3753090</v>
      </c>
      <c r="CG364" t="s">
        <v>8841</v>
      </c>
      <c r="CH364" s="238" t="s">
        <v>39</v>
      </c>
      <c r="CI364" s="238" t="s">
        <v>39</v>
      </c>
      <c r="CJ364" t="s">
        <v>8950</v>
      </c>
      <c r="CK364" t="s">
        <v>1167</v>
      </c>
      <c r="CL364" t="s">
        <v>8961</v>
      </c>
      <c r="CM364" t="s">
        <v>8970</v>
      </c>
      <c r="CN364" s="238" t="b">
        <v>1</v>
      </c>
      <c r="CO364" t="s">
        <v>5652</v>
      </c>
      <c r="CQ364" t="s">
        <v>6652</v>
      </c>
      <c r="CR364" t="s">
        <v>3246</v>
      </c>
      <c r="CS364" t="s">
        <v>6871</v>
      </c>
      <c r="CT364" t="b">
        <v>1</v>
      </c>
      <c r="CU364">
        <v>3964800</v>
      </c>
      <c r="CV364" t="s">
        <v>9002</v>
      </c>
      <c r="CW364">
        <v>0</v>
      </c>
      <c r="CX364">
        <v>3964800</v>
      </c>
      <c r="CY364">
        <v>0</v>
      </c>
      <c r="CZ364" t="b">
        <v>1</v>
      </c>
      <c r="DA364">
        <v>45835</v>
      </c>
      <c r="DB364" t="s">
        <v>8893</v>
      </c>
      <c r="DC364">
        <v>-2.3644516918059577E-2</v>
      </c>
      <c r="DD364">
        <v>-3381.1659192825196</v>
      </c>
      <c r="DE364" s="420" cm="1">
        <f t="array" ref="DE364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365" spans="1:109" x14ac:dyDescent="0.25">
      <c r="A365" s="238">
        <v>364</v>
      </c>
      <c r="B365" s="238" t="s">
        <v>16</v>
      </c>
      <c r="C365" s="238">
        <v>21</v>
      </c>
      <c r="D365" s="238">
        <v>3</v>
      </c>
      <c r="E365" s="238">
        <v>2</v>
      </c>
      <c r="F365" s="238">
        <v>13.69</v>
      </c>
      <c r="G365" s="238">
        <v>10.16</v>
      </c>
      <c r="H365" s="238"/>
      <c r="I365">
        <v>23.85</v>
      </c>
      <c r="J365" s="238">
        <v>18.71</v>
      </c>
      <c r="K365" s="238">
        <v>3.49</v>
      </c>
      <c r="L365" s="238">
        <v>2.11</v>
      </c>
      <c r="M365" s="238"/>
      <c r="N365" s="238">
        <v>7.09</v>
      </c>
      <c r="O365" s="238">
        <v>2.65</v>
      </c>
      <c r="P365" s="238"/>
      <c r="R365" s="238">
        <v>2.65</v>
      </c>
      <c r="S365">
        <v>57.9</v>
      </c>
      <c r="T365">
        <v>55.25</v>
      </c>
      <c r="U365" s="238">
        <v>56.58</v>
      </c>
      <c r="V365">
        <v>56.45</v>
      </c>
      <c r="W365" s="238">
        <v>86485.392000000007</v>
      </c>
      <c r="X365">
        <v>4324.2696000000005</v>
      </c>
      <c r="Y365">
        <v>90809.661600000007</v>
      </c>
      <c r="Z365">
        <v>2724.2898479999999</v>
      </c>
      <c r="AA365">
        <v>93533.951448000007</v>
      </c>
      <c r="AC365">
        <v>93533.951448000007</v>
      </c>
      <c r="AE365">
        <v>93533.951448000007</v>
      </c>
      <c r="AG365">
        <v>93533.951448000007</v>
      </c>
      <c r="AI365">
        <v>93533.951448000007</v>
      </c>
      <c r="AJ365">
        <v>935.33951448000005</v>
      </c>
      <c r="AK365">
        <v>94469.290962480023</v>
      </c>
      <c r="AL365">
        <v>4723.4645481240004</v>
      </c>
      <c r="AM365">
        <v>99192.755510604009</v>
      </c>
      <c r="AO365">
        <v>99192.755510604009</v>
      </c>
      <c r="AP365">
        <v>1983.8551102120805</v>
      </c>
      <c r="AQ365">
        <v>101176.61062081608</v>
      </c>
      <c r="AS365">
        <v>101176.61062081608</v>
      </c>
      <c r="AT365">
        <v>2023.532212416322</v>
      </c>
      <c r="AU365">
        <v>103200.1428332324</v>
      </c>
      <c r="AV365">
        <v>150</v>
      </c>
      <c r="AW365">
        <v>103350.1428332324</v>
      </c>
      <c r="AX365">
        <v>1033.5014283323242</v>
      </c>
      <c r="AY365">
        <v>104383.64426156474</v>
      </c>
      <c r="BA365">
        <v>104383.64426156474</v>
      </c>
      <c r="BC365">
        <v>104383.64426156474</v>
      </c>
      <c r="BE365">
        <v>104383.64426156474</v>
      </c>
      <c r="BF365">
        <v>2609.5911065391188</v>
      </c>
      <c r="BG365">
        <v>106993.23536810384</v>
      </c>
      <c r="BH365">
        <v>500</v>
      </c>
      <c r="BI365">
        <v>107493.23536810384</v>
      </c>
      <c r="BJ365">
        <v>4299.7294147241537</v>
      </c>
      <c r="BK365">
        <v>111792.964782828</v>
      </c>
      <c r="BL365">
        <v>6707.5778869696796</v>
      </c>
      <c r="BM365">
        <v>118500.54266979768</v>
      </c>
      <c r="BN365">
        <v>15405.070547073699</v>
      </c>
      <c r="BO365">
        <v>133905.61321687137</v>
      </c>
      <c r="BP365">
        <v>35</v>
      </c>
      <c r="BQ365">
        <v>133940.61321687137</v>
      </c>
      <c r="BR365">
        <v>1339.4061321687136</v>
      </c>
      <c r="BS365">
        <v>135280.01934904009</v>
      </c>
      <c r="BT365" s="238">
        <v>135280.01999999999</v>
      </c>
      <c r="BU365" s="238">
        <v>7636600</v>
      </c>
      <c r="BX365" s="238">
        <v>0</v>
      </c>
      <c r="BY365" s="238">
        <v>135280.77945084145</v>
      </c>
      <c r="BZ365" s="238">
        <v>7636600</v>
      </c>
      <c r="CA365" s="238" t="s">
        <v>38</v>
      </c>
      <c r="CB365">
        <v>30000</v>
      </c>
      <c r="CC365">
        <v>165280.77945084145</v>
      </c>
      <c r="CD365" s="238">
        <v>1693500</v>
      </c>
      <c r="CE365" s="238">
        <v>9330100</v>
      </c>
      <c r="CF365" t="s">
        <v>4633</v>
      </c>
      <c r="CH365" s="238" t="s">
        <v>3</v>
      </c>
      <c r="CI365" s="238" t="s">
        <v>3</v>
      </c>
      <c r="CJ365" t="s">
        <v>8951</v>
      </c>
      <c r="CK365" t="s">
        <v>1167</v>
      </c>
      <c r="CL365" t="s">
        <v>8961</v>
      </c>
      <c r="CM365" t="s">
        <v>8971</v>
      </c>
      <c r="CN365" s="238" t="b">
        <v>1</v>
      </c>
      <c r="CO365" t="s">
        <v>5653</v>
      </c>
      <c r="CQ365" t="s">
        <v>6652</v>
      </c>
      <c r="CR365" t="s">
        <v>3124</v>
      </c>
      <c r="CS365" t="s">
        <v>36</v>
      </c>
      <c r="CT365" t="b">
        <v>0</v>
      </c>
      <c r="CU365">
        <v>7636600</v>
      </c>
      <c r="CV365">
        <v>7636600</v>
      </c>
      <c r="CW365">
        <v>0</v>
      </c>
      <c r="CX365">
        <v>0</v>
      </c>
      <c r="CY365">
        <v>0</v>
      </c>
      <c r="CZ365" t="b">
        <v>1</v>
      </c>
      <c r="DA365" t="s">
        <v>4246</v>
      </c>
      <c r="DB365" t="s">
        <v>1167</v>
      </c>
      <c r="DC365">
        <v>-2.2976316719688361E-3</v>
      </c>
      <c r="DD365">
        <v>-310.82540347488418</v>
      </c>
      <c r="DE365" s="420" t="str" cm="1">
        <f t="array" ref="DE36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6" spans="1:109" x14ac:dyDescent="0.25">
      <c r="A366" s="238">
        <v>365</v>
      </c>
      <c r="B366" s="238" t="s">
        <v>16</v>
      </c>
      <c r="C366" s="238">
        <v>21</v>
      </c>
      <c r="D366" s="238">
        <v>4</v>
      </c>
      <c r="E366" s="238">
        <v>2</v>
      </c>
      <c r="F366" s="238">
        <v>15.45</v>
      </c>
      <c r="G366" s="238">
        <v>10.34</v>
      </c>
      <c r="H366" s="238"/>
      <c r="I366">
        <v>25.79</v>
      </c>
      <c r="J366" s="238">
        <v>15.44</v>
      </c>
      <c r="K366" s="238">
        <v>4.59</v>
      </c>
      <c r="L366" s="238">
        <v>2.21</v>
      </c>
      <c r="M366" s="238"/>
      <c r="N366" s="238">
        <v>10.79</v>
      </c>
      <c r="O366" s="238">
        <v>2.84</v>
      </c>
      <c r="P366" s="238"/>
      <c r="R366" s="238">
        <v>2.84</v>
      </c>
      <c r="S366">
        <v>61.66</v>
      </c>
      <c r="T366">
        <v>58.82</v>
      </c>
      <c r="U366" s="238">
        <v>60.24</v>
      </c>
      <c r="V366">
        <v>60.050000000000011</v>
      </c>
      <c r="W366" s="238">
        <v>88415.869500000001</v>
      </c>
      <c r="X366">
        <v>4420.7934750000004</v>
      </c>
      <c r="Y366">
        <v>92836.662974999999</v>
      </c>
      <c r="Z366">
        <v>2785.0998892499997</v>
      </c>
      <c r="AA366">
        <v>95621.762864250006</v>
      </c>
      <c r="AC366">
        <v>95621.762864250006</v>
      </c>
      <c r="AE366">
        <v>95621.762864250006</v>
      </c>
      <c r="AG366">
        <v>95621.762864250006</v>
      </c>
      <c r="AI366">
        <v>95621.762864250006</v>
      </c>
      <c r="AJ366">
        <v>956.21762864250013</v>
      </c>
      <c r="AK366">
        <v>96577.9804928925</v>
      </c>
      <c r="AL366">
        <v>4828.8990246446256</v>
      </c>
      <c r="AM366">
        <v>101406.87951753712</v>
      </c>
      <c r="AO366">
        <v>101406.87951753712</v>
      </c>
      <c r="AP366">
        <v>2028.1375903507424</v>
      </c>
      <c r="AQ366">
        <v>103435.01710788786</v>
      </c>
      <c r="AS366">
        <v>103435.01710788786</v>
      </c>
      <c r="AT366">
        <v>2068.7003421577574</v>
      </c>
      <c r="AU366">
        <v>105503.71745004562</v>
      </c>
      <c r="AW366">
        <v>105503.71745004562</v>
      </c>
      <c r="AY366">
        <v>105503.71745004562</v>
      </c>
      <c r="BA366">
        <v>105503.71745004562</v>
      </c>
      <c r="BC366">
        <v>105503.71745004562</v>
      </c>
      <c r="BE366">
        <v>105503.71745004562</v>
      </c>
      <c r="BF366">
        <v>527.51858725022805</v>
      </c>
      <c r="BG366">
        <v>106031.23603729584</v>
      </c>
      <c r="BI366">
        <v>106031.23603729584</v>
      </c>
      <c r="BJ366">
        <v>4241.2494414918337</v>
      </c>
      <c r="BK366">
        <v>110272.48547878768</v>
      </c>
      <c r="BL366">
        <v>6616.3491287272609</v>
      </c>
      <c r="BM366">
        <v>116888.83460751496</v>
      </c>
      <c r="BN366">
        <v>15195.548498976945</v>
      </c>
      <c r="BO366">
        <v>132084.38310649188</v>
      </c>
      <c r="BP366">
        <v>35</v>
      </c>
      <c r="BQ366">
        <v>132119.38310649188</v>
      </c>
      <c r="BS366">
        <v>132119.38310649188</v>
      </c>
      <c r="BT366" s="238">
        <v>132119.38</v>
      </c>
      <c r="BU366" s="238">
        <v>7933800</v>
      </c>
      <c r="BX366" s="238">
        <v>0</v>
      </c>
      <c r="BY366" s="238">
        <v>132119.90008326393</v>
      </c>
      <c r="BZ366" s="238">
        <v>7933800</v>
      </c>
      <c r="CA366" s="238" t="s">
        <v>36</v>
      </c>
      <c r="CC366">
        <v>132119.90008326393</v>
      </c>
      <c r="CD366" s="238">
        <v>0</v>
      </c>
      <c r="CE366" s="238">
        <v>7933800</v>
      </c>
      <c r="CH366" s="238" t="s">
        <v>3</v>
      </c>
      <c r="CI366" s="238" t="s">
        <v>3</v>
      </c>
      <c r="CJ366" t="s">
        <v>8951</v>
      </c>
      <c r="CK366" t="s">
        <v>1167</v>
      </c>
      <c r="CL366" t="s">
        <v>8961</v>
      </c>
      <c r="CM366" t="s">
        <v>8971</v>
      </c>
      <c r="CN366" s="238" t="b">
        <v>1</v>
      </c>
      <c r="CO366" t="s">
        <v>5654</v>
      </c>
      <c r="CQ366" t="s">
        <v>6652</v>
      </c>
      <c r="CR366" t="s">
        <v>3124</v>
      </c>
      <c r="CS366" t="s">
        <v>36</v>
      </c>
      <c r="CT366" t="b">
        <v>1</v>
      </c>
      <c r="CU366">
        <v>7933800</v>
      </c>
      <c r="CV366">
        <v>7933800</v>
      </c>
      <c r="CW366">
        <v>0</v>
      </c>
      <c r="CX366">
        <v>0</v>
      </c>
      <c r="CY366">
        <v>0</v>
      </c>
      <c r="CZ366" t="b">
        <v>1</v>
      </c>
      <c r="DA366" t="s">
        <v>4246</v>
      </c>
      <c r="DB366" t="s">
        <v>1167</v>
      </c>
      <c r="DC366">
        <v>-3.1540504648073231E-3</v>
      </c>
      <c r="DD366">
        <v>-416.7128322679157</v>
      </c>
      <c r="DE366" s="420" t="str" cm="1">
        <f t="array" ref="DE36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67" spans="1:109" hidden="1" x14ac:dyDescent="0.25">
      <c r="A367" s="238">
        <v>366</v>
      </c>
      <c r="B367" s="238" t="s">
        <v>16</v>
      </c>
      <c r="C367" s="238">
        <v>21</v>
      </c>
      <c r="D367" s="238">
        <v>5</v>
      </c>
      <c r="E367" s="238">
        <v>1</v>
      </c>
      <c r="F367" s="238">
        <v>12.54</v>
      </c>
      <c r="G367" s="238"/>
      <c r="H367" s="238"/>
      <c r="I367">
        <v>12.54</v>
      </c>
      <c r="J367" s="238">
        <v>12.74</v>
      </c>
      <c r="K367" s="238">
        <v>4.0199999999999996</v>
      </c>
      <c r="L367" s="238"/>
      <c r="M367" s="238"/>
      <c r="N367" s="238">
        <v>7.09</v>
      </c>
      <c r="O367" s="238">
        <v>2.84</v>
      </c>
      <c r="P367" s="238"/>
      <c r="R367" s="238">
        <v>2.84</v>
      </c>
      <c r="S367">
        <v>39.229999999999997</v>
      </c>
      <c r="T367">
        <v>36.39</v>
      </c>
      <c r="U367" s="238">
        <v>37.81</v>
      </c>
      <c r="V367">
        <v>37.700000000000003</v>
      </c>
      <c r="W367" s="238">
        <v>95712.75</v>
      </c>
      <c r="X367">
        <v>4785.6374999999998</v>
      </c>
      <c r="Y367">
        <v>100498.3875</v>
      </c>
      <c r="Z367">
        <v>3014.9516249999997</v>
      </c>
      <c r="AA367">
        <v>103513.339125</v>
      </c>
      <c r="AB367">
        <v>4658.1002606249995</v>
      </c>
      <c r="AC367">
        <v>108171.439385625</v>
      </c>
      <c r="AE367">
        <v>108171.439385625</v>
      </c>
      <c r="AF367">
        <v>5408.5719692812499</v>
      </c>
      <c r="AG367">
        <v>113580.01135490624</v>
      </c>
      <c r="AH367">
        <v>-620</v>
      </c>
      <c r="AI367">
        <v>112960.01135490624</v>
      </c>
      <c r="AJ367">
        <v>1129.6001135490626</v>
      </c>
      <c r="AK367">
        <v>114089.61146845532</v>
      </c>
      <c r="AL367">
        <v>5704.4805734227666</v>
      </c>
      <c r="AM367">
        <v>119794.09204187807</v>
      </c>
      <c r="AO367">
        <v>119794.09204187807</v>
      </c>
      <c r="AQ367">
        <v>119794.09204187807</v>
      </c>
      <c r="AS367">
        <v>119794.09204187807</v>
      </c>
      <c r="AU367">
        <v>119794.09204187807</v>
      </c>
      <c r="AW367">
        <v>119794.09204187807</v>
      </c>
      <c r="AY367">
        <v>119794.09204187807</v>
      </c>
      <c r="BA367">
        <v>119794.09204187807</v>
      </c>
      <c r="BC367">
        <v>119794.09204187807</v>
      </c>
      <c r="BE367">
        <v>119794.09204187807</v>
      </c>
      <c r="BG367">
        <v>119794.09204187807</v>
      </c>
      <c r="BI367">
        <v>119794.09204187807</v>
      </c>
      <c r="BK367">
        <v>119794.09204187807</v>
      </c>
      <c r="BM367">
        <v>119794.09204187807</v>
      </c>
      <c r="BO367">
        <v>119794.09204187807</v>
      </c>
      <c r="BQ367">
        <v>119794.09204187807</v>
      </c>
      <c r="BS367">
        <v>119794.09204187807</v>
      </c>
      <c r="BT367" s="238">
        <v>119794.09</v>
      </c>
      <c r="BU367" s="238">
        <v>4529500</v>
      </c>
      <c r="BV367">
        <v>88888</v>
      </c>
      <c r="BX367" s="238">
        <v>88888</v>
      </c>
      <c r="BY367" s="238">
        <v>117445.43771489024</v>
      </c>
      <c r="BZ367" s="238">
        <v>4440612</v>
      </c>
      <c r="CA367" s="238" t="s">
        <v>36</v>
      </c>
      <c r="CC367">
        <v>117445.43771489024</v>
      </c>
      <c r="CD367" s="238">
        <v>0</v>
      </c>
      <c r="CE367" s="238">
        <v>4440612</v>
      </c>
      <c r="CG367" t="s">
        <v>4185</v>
      </c>
      <c r="CH367" s="238" t="s">
        <v>39</v>
      </c>
      <c r="CI367" s="238" t="s">
        <v>39</v>
      </c>
      <c r="CJ367" t="s">
        <v>8950</v>
      </c>
      <c r="CK367" t="s">
        <v>1167</v>
      </c>
      <c r="CL367" t="s">
        <v>8961</v>
      </c>
      <c r="CM367" t="s">
        <v>8973</v>
      </c>
      <c r="CN367" s="238" t="b">
        <v>1</v>
      </c>
      <c r="CO367" t="s">
        <v>5655</v>
      </c>
      <c r="CQ367" t="s">
        <v>6652</v>
      </c>
      <c r="CR367" t="s">
        <v>3246</v>
      </c>
      <c r="CS367" t="s">
        <v>36</v>
      </c>
      <c r="CT367" t="b">
        <v>1</v>
      </c>
      <c r="CU367">
        <v>4529500</v>
      </c>
      <c r="CV367" t="s">
        <v>9002</v>
      </c>
      <c r="CW367">
        <v>0</v>
      </c>
      <c r="CX367">
        <v>4529500</v>
      </c>
      <c r="CY367">
        <v>0</v>
      </c>
      <c r="CZ367" t="b">
        <v>1</v>
      </c>
      <c r="DA367">
        <v>45373</v>
      </c>
      <c r="DB367" t="s">
        <v>5215</v>
      </c>
      <c r="DC367">
        <v>-2.9092832583974548E-3</v>
      </c>
      <c r="DD367">
        <v>-341.68204571909115</v>
      </c>
      <c r="DE367" s="420" cm="1">
        <f t="array" ref="DE367">_xlfn.XLOOKUP("Дом 5"&amp;Реестр_Д5[[#This Row],[№]]&amp;Реестр_Д5[[#This Row],[Статус]],РД[Дом]&amp;РД[№ кв]&amp;РД[Состояние],РД[Дата подачи на регистрацию],"-",0)</f>
        <v>45373</v>
      </c>
    </row>
    <row r="368" spans="1:109" hidden="1" x14ac:dyDescent="0.25">
      <c r="A368" s="238">
        <v>367</v>
      </c>
      <c r="B368" s="238" t="s">
        <v>16</v>
      </c>
      <c r="C368" s="238">
        <v>21</v>
      </c>
      <c r="D368" s="238">
        <v>6</v>
      </c>
      <c r="E368" s="238">
        <v>3</v>
      </c>
      <c r="F368" s="238">
        <v>17.2</v>
      </c>
      <c r="G368" s="238">
        <v>14.64</v>
      </c>
      <c r="H368" s="238">
        <v>14.34</v>
      </c>
      <c r="I368">
        <v>46.18</v>
      </c>
      <c r="J368" s="238">
        <v>13.15</v>
      </c>
      <c r="K368" s="238">
        <v>4.03</v>
      </c>
      <c r="L368" s="238">
        <v>1.76</v>
      </c>
      <c r="M368" s="238"/>
      <c r="N368" s="238">
        <v>13.11</v>
      </c>
      <c r="O368" s="238">
        <v>2.79</v>
      </c>
      <c r="P368" s="238">
        <v>2.68</v>
      </c>
      <c r="R368" s="238">
        <v>5.4700000000000006</v>
      </c>
      <c r="S368">
        <v>83.7</v>
      </c>
      <c r="T368">
        <v>78.23</v>
      </c>
      <c r="U368" s="238">
        <v>80.97</v>
      </c>
      <c r="V368">
        <v>80.550000000000011</v>
      </c>
      <c r="W368" s="238">
        <v>79230.690000000017</v>
      </c>
      <c r="X368">
        <v>3961.5345000000007</v>
      </c>
      <c r="Y368">
        <v>83192.224500000011</v>
      </c>
      <c r="Z368">
        <v>2495.7667350000002</v>
      </c>
      <c r="AA368">
        <v>85687.991235000023</v>
      </c>
      <c r="AC368">
        <v>85687.991235000023</v>
      </c>
      <c r="AE368">
        <v>85687.991235000023</v>
      </c>
      <c r="AG368">
        <v>85687.991235000023</v>
      </c>
      <c r="AI368">
        <v>85687.991235000023</v>
      </c>
      <c r="AJ368">
        <v>856.87991235000015</v>
      </c>
      <c r="AK368">
        <v>86544.871147350015</v>
      </c>
      <c r="AL368">
        <v>4327.2435573675011</v>
      </c>
      <c r="AM368">
        <v>90872.114704717518</v>
      </c>
      <c r="AO368">
        <v>90872.114704717518</v>
      </c>
      <c r="AP368">
        <v>1817.4422940943505</v>
      </c>
      <c r="AQ368">
        <v>92689.556998811866</v>
      </c>
      <c r="AS368">
        <v>92689.556998811866</v>
      </c>
      <c r="AT368">
        <v>1853.7911399762377</v>
      </c>
      <c r="AU368">
        <v>94543.348138788089</v>
      </c>
      <c r="AW368">
        <v>94543.348138788089</v>
      </c>
      <c r="AX368">
        <v>945.43348138788122</v>
      </c>
      <c r="AY368">
        <v>95488.781620175985</v>
      </c>
      <c r="BA368">
        <v>95488.781620175985</v>
      </c>
      <c r="BB368">
        <v>477.44390810087992</v>
      </c>
      <c r="BC368">
        <v>95966.22552827686</v>
      </c>
      <c r="BD368">
        <v>1919.3245105655371</v>
      </c>
      <c r="BE368">
        <v>97885.550038842397</v>
      </c>
      <c r="BG368">
        <v>97885.550038842397</v>
      </c>
      <c r="BI368">
        <v>97885.550038842397</v>
      </c>
      <c r="BK368">
        <v>97885.550038842397</v>
      </c>
      <c r="BM368">
        <v>97885.550038842397</v>
      </c>
      <c r="BO368">
        <v>97885.550038842397</v>
      </c>
      <c r="BQ368">
        <v>97885.550038842397</v>
      </c>
      <c r="BS368">
        <v>97885.550038842397</v>
      </c>
      <c r="BT368" s="238">
        <v>97885.55</v>
      </c>
      <c r="BU368" s="238">
        <v>7925800</v>
      </c>
      <c r="BW368">
        <v>0.03</v>
      </c>
      <c r="BX368" s="238">
        <v>237774</v>
      </c>
      <c r="BY368" s="238">
        <v>94949.067555884889</v>
      </c>
      <c r="BZ368" s="238">
        <v>7688026</v>
      </c>
      <c r="CA368" s="238" t="s">
        <v>36</v>
      </c>
      <c r="CC368">
        <v>94949.067555884889</v>
      </c>
      <c r="CD368" s="238">
        <v>0</v>
      </c>
      <c r="CE368" s="238">
        <v>7688026.0000000019</v>
      </c>
      <c r="CG368" t="s">
        <v>3538</v>
      </c>
      <c r="CH368" s="238" t="s">
        <v>39</v>
      </c>
      <c r="CI368" s="238" t="s">
        <v>39</v>
      </c>
      <c r="CJ368" t="s">
        <v>8950</v>
      </c>
      <c r="CK368" t="s">
        <v>1167</v>
      </c>
      <c r="CL368" t="s">
        <v>8961</v>
      </c>
      <c r="CM368" t="s">
        <v>8975</v>
      </c>
      <c r="CN368" s="238" t="b">
        <v>1</v>
      </c>
      <c r="CO368" t="s">
        <v>5656</v>
      </c>
      <c r="CQ368" t="s">
        <v>6652</v>
      </c>
      <c r="CR368" t="s">
        <v>3246</v>
      </c>
      <c r="CS368" t="s">
        <v>36</v>
      </c>
      <c r="CT368" t="b">
        <v>1</v>
      </c>
      <c r="CU368">
        <v>7925800</v>
      </c>
      <c r="CV368" t="s">
        <v>9002</v>
      </c>
      <c r="CW368">
        <v>0</v>
      </c>
      <c r="CX368">
        <v>7925800</v>
      </c>
      <c r="CY368">
        <v>0</v>
      </c>
      <c r="CZ368" t="b">
        <v>1</v>
      </c>
      <c r="DA368">
        <v>45464</v>
      </c>
      <c r="DB368" t="s">
        <v>5215</v>
      </c>
      <c r="DC368">
        <v>-5.1871063356797587E-3</v>
      </c>
      <c r="DD368">
        <v>-492.51090988601601</v>
      </c>
      <c r="DE368" s="420" cm="1">
        <f t="array" ref="DE368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369" spans="1:109" x14ac:dyDescent="0.25">
      <c r="A369" s="238">
        <v>368</v>
      </c>
      <c r="B369" s="238" t="s">
        <v>16</v>
      </c>
      <c r="C369" s="238">
        <v>21</v>
      </c>
      <c r="D369" s="238">
        <v>7</v>
      </c>
      <c r="E369" s="238">
        <v>1</v>
      </c>
      <c r="F369" s="238">
        <v>14.3</v>
      </c>
      <c r="G369" s="238"/>
      <c r="H369" s="238"/>
      <c r="I369">
        <v>14.3</v>
      </c>
      <c r="J369" s="238">
        <v>9.2799999999999994</v>
      </c>
      <c r="K369" s="238">
        <v>3.79</v>
      </c>
      <c r="L369" s="238"/>
      <c r="M369" s="238"/>
      <c r="N369" s="238">
        <v>6.08</v>
      </c>
      <c r="O369" s="238">
        <v>2.71</v>
      </c>
      <c r="P369" s="238"/>
      <c r="R369" s="238">
        <v>2.71</v>
      </c>
      <c r="S369">
        <v>36.159999999999997</v>
      </c>
      <c r="T369">
        <v>33.450000000000003</v>
      </c>
      <c r="U369" s="238">
        <v>34.81</v>
      </c>
      <c r="V369">
        <v>34.65</v>
      </c>
      <c r="W369" s="238">
        <v>91251.5625</v>
      </c>
      <c r="X369">
        <v>4562.578125</v>
      </c>
      <c r="Y369">
        <v>95814.140625</v>
      </c>
      <c r="Z369">
        <v>2874.4242187499999</v>
      </c>
      <c r="AA369">
        <v>98688.564843750006</v>
      </c>
      <c r="AB369">
        <v>13816.399078125</v>
      </c>
      <c r="AC369">
        <v>112504.96392187499</v>
      </c>
      <c r="AE369">
        <v>112504.96392187499</v>
      </c>
      <c r="AF369">
        <v>5625.2481960937512</v>
      </c>
      <c r="AG369">
        <v>118130.21211796875</v>
      </c>
      <c r="AI369">
        <v>118130.21211796875</v>
      </c>
      <c r="AJ369">
        <v>1181.3021211796877</v>
      </c>
      <c r="AK369">
        <v>119311.51423914846</v>
      </c>
      <c r="AL369">
        <v>5965.5757119574228</v>
      </c>
      <c r="AM369">
        <v>125277.08995110588</v>
      </c>
      <c r="AO369">
        <v>125277.08995110588</v>
      </c>
      <c r="AP369">
        <v>3758.312698533176</v>
      </c>
      <c r="AQ369">
        <v>129035.40264963906</v>
      </c>
      <c r="AS369">
        <v>129035.40264963906</v>
      </c>
      <c r="AU369">
        <v>129035.40264963906</v>
      </c>
      <c r="AW369">
        <v>129035.40264963906</v>
      </c>
      <c r="AY369">
        <v>129035.40264963906</v>
      </c>
      <c r="BA369">
        <v>129035.40264963906</v>
      </c>
      <c r="BC369">
        <v>129035.40264963906</v>
      </c>
      <c r="BE369">
        <v>129035.40264963906</v>
      </c>
      <c r="BF369">
        <v>645.17701324819529</v>
      </c>
      <c r="BG369">
        <v>129680.57966288723</v>
      </c>
      <c r="BI369">
        <v>129680.57966288723</v>
      </c>
      <c r="BJ369">
        <v>2593.611593257745</v>
      </c>
      <c r="BK369">
        <v>132274.19125614499</v>
      </c>
      <c r="BL369">
        <v>6613.7095628072493</v>
      </c>
      <c r="BM369">
        <v>138887.90081895224</v>
      </c>
      <c r="BN369">
        <v>18055.427106463791</v>
      </c>
      <c r="BO369">
        <v>156943.32792541603</v>
      </c>
      <c r="BP369">
        <v>35</v>
      </c>
      <c r="BQ369">
        <v>156978.32792541603</v>
      </c>
      <c r="BS369">
        <v>156978.32792541603</v>
      </c>
      <c r="BT369" s="238">
        <v>156978.32999999999</v>
      </c>
      <c r="BU369" s="238">
        <v>5439300</v>
      </c>
      <c r="BX369" s="238">
        <v>0</v>
      </c>
      <c r="BY369" s="238">
        <v>156978.354978355</v>
      </c>
      <c r="BZ369" s="238">
        <v>5439300</v>
      </c>
      <c r="CA369" s="238" t="s">
        <v>36</v>
      </c>
      <c r="CC369">
        <v>156978.354978355</v>
      </c>
      <c r="CD369" s="238">
        <v>0</v>
      </c>
      <c r="CE369" s="238">
        <v>5439300</v>
      </c>
      <c r="CF369" t="s">
        <v>4633</v>
      </c>
      <c r="CH369" s="238" t="s">
        <v>3</v>
      </c>
      <c r="CI369" s="238" t="s">
        <v>3</v>
      </c>
      <c r="CJ369" t="s">
        <v>8951</v>
      </c>
      <c r="CK369" t="s">
        <v>1167</v>
      </c>
      <c r="CL369" t="s">
        <v>8961</v>
      </c>
      <c r="CM369" t="s">
        <v>8973</v>
      </c>
      <c r="CN369" s="238" t="b">
        <v>1</v>
      </c>
      <c r="CO369" t="s">
        <v>5657</v>
      </c>
      <c r="CQ369" t="s">
        <v>6652</v>
      </c>
      <c r="CR369" t="s">
        <v>3124</v>
      </c>
      <c r="CS369" t="s">
        <v>6871</v>
      </c>
      <c r="CT369" t="b">
        <v>0</v>
      </c>
      <c r="CU369">
        <v>5439300</v>
      </c>
      <c r="CV369">
        <v>5439300</v>
      </c>
      <c r="CW369">
        <v>0</v>
      </c>
      <c r="CX369">
        <v>0</v>
      </c>
      <c r="CY369">
        <v>0</v>
      </c>
      <c r="CZ369" t="b">
        <v>1</v>
      </c>
      <c r="DA369" t="s">
        <v>4246</v>
      </c>
      <c r="DB369" t="s">
        <v>1167</v>
      </c>
      <c r="DC369">
        <v>-4.5963803504741607E-3</v>
      </c>
      <c r="DD369">
        <v>-721.53222627226853</v>
      </c>
      <c r="DE369" s="420" t="str" cm="1">
        <f t="array" ref="DE36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70" spans="1:109" x14ac:dyDescent="0.25">
      <c r="A370" s="238">
        <v>369</v>
      </c>
      <c r="B370" s="238" t="s">
        <v>16</v>
      </c>
      <c r="C370" s="238">
        <v>22</v>
      </c>
      <c r="D370" s="238">
        <v>1</v>
      </c>
      <c r="E370" s="238">
        <v>2</v>
      </c>
      <c r="F370" s="238">
        <v>17.63</v>
      </c>
      <c r="G370" s="238">
        <v>13.69</v>
      </c>
      <c r="H370" s="238"/>
      <c r="I370">
        <v>31.32</v>
      </c>
      <c r="J370" s="238">
        <v>20.05</v>
      </c>
      <c r="K370" s="238">
        <v>3.54</v>
      </c>
      <c r="L370" s="238">
        <v>2.93</v>
      </c>
      <c r="M370" s="238"/>
      <c r="N370" s="238">
        <v>12.19</v>
      </c>
      <c r="O370" s="238">
        <v>4.6500000000000004</v>
      </c>
      <c r="P370" s="238">
        <v>2.68</v>
      </c>
      <c r="R370" s="238">
        <v>7.33</v>
      </c>
      <c r="S370">
        <v>77.36</v>
      </c>
      <c r="T370">
        <v>70.03</v>
      </c>
      <c r="U370" s="238">
        <v>73.7</v>
      </c>
      <c r="V370">
        <v>73.249999999999986</v>
      </c>
      <c r="W370" s="238">
        <v>86485.392000000007</v>
      </c>
      <c r="X370">
        <v>4324.2696000000005</v>
      </c>
      <c r="Y370">
        <v>90809.661600000007</v>
      </c>
      <c r="Z370">
        <v>2724.2898479999999</v>
      </c>
      <c r="AA370">
        <v>93533.951448000007</v>
      </c>
      <c r="AC370">
        <v>93533.951448000007</v>
      </c>
      <c r="AE370">
        <v>93533.951448000007</v>
      </c>
      <c r="AG370">
        <v>93533.951448000007</v>
      </c>
      <c r="AI370">
        <v>93533.951448000007</v>
      </c>
      <c r="AJ370">
        <v>935.33951448000005</v>
      </c>
      <c r="AK370">
        <v>94469.290962480023</v>
      </c>
      <c r="AL370">
        <v>4723.4645481240004</v>
      </c>
      <c r="AM370">
        <v>99192.755510604009</v>
      </c>
      <c r="AO370">
        <v>99192.755510604009</v>
      </c>
      <c r="AP370">
        <v>1983.8551102120805</v>
      </c>
      <c r="AQ370">
        <v>101176.61062081608</v>
      </c>
      <c r="AS370">
        <v>101176.61062081608</v>
      </c>
      <c r="AT370">
        <v>2023.532212416322</v>
      </c>
      <c r="AU370">
        <v>103200.1428332324</v>
      </c>
      <c r="AW370">
        <v>103200.1428332324</v>
      </c>
      <c r="AY370">
        <v>103200.1428332324</v>
      </c>
      <c r="BA370">
        <v>103200.1428332324</v>
      </c>
      <c r="BC370">
        <v>103200.1428332324</v>
      </c>
      <c r="BE370">
        <v>103200.1428332324</v>
      </c>
      <c r="BF370">
        <v>516.00071416616208</v>
      </c>
      <c r="BG370">
        <v>103716.14354739858</v>
      </c>
      <c r="BI370">
        <v>103716.14354739858</v>
      </c>
      <c r="BK370">
        <v>103716.14354739858</v>
      </c>
      <c r="BL370">
        <v>8297.291483791887</v>
      </c>
      <c r="BM370">
        <v>112013.43503119046</v>
      </c>
      <c r="BN370">
        <v>14561.74655405476</v>
      </c>
      <c r="BO370">
        <v>126575.1815852452</v>
      </c>
      <c r="BP370">
        <v>35</v>
      </c>
      <c r="BQ370">
        <v>126610.1815852452</v>
      </c>
      <c r="BS370">
        <v>126610.1815852452</v>
      </c>
      <c r="BT370" s="238">
        <v>126610.18</v>
      </c>
      <c r="BU370" s="238">
        <v>9274200</v>
      </c>
      <c r="BX370" s="238">
        <v>0</v>
      </c>
      <c r="BY370" s="238">
        <v>126610.23890784984</v>
      </c>
      <c r="BZ370" s="238">
        <v>9274200</v>
      </c>
      <c r="CA370" s="238" t="s">
        <v>6871</v>
      </c>
      <c r="CB370">
        <v>10000</v>
      </c>
      <c r="CC370">
        <v>136610.23890784985</v>
      </c>
      <c r="CD370" s="238">
        <v>732500</v>
      </c>
      <c r="CE370" s="238">
        <v>10006700</v>
      </c>
      <c r="CF370" t="s">
        <v>4635</v>
      </c>
      <c r="CH370" s="238" t="s">
        <v>3</v>
      </c>
      <c r="CI370" s="238" t="s">
        <v>3</v>
      </c>
      <c r="CJ370" t="s">
        <v>8951</v>
      </c>
      <c r="CK370" t="s">
        <v>1167</v>
      </c>
      <c r="CL370" t="s">
        <v>8961</v>
      </c>
      <c r="CM370" t="s">
        <v>8971</v>
      </c>
      <c r="CN370" s="238" t="b">
        <v>1</v>
      </c>
      <c r="CO370" t="s">
        <v>5658</v>
      </c>
      <c r="CQ370" t="s">
        <v>6652</v>
      </c>
      <c r="CR370" t="s">
        <v>3124</v>
      </c>
      <c r="CS370" t="s">
        <v>36</v>
      </c>
      <c r="CT370" t="b">
        <v>0</v>
      </c>
      <c r="CU370">
        <v>9274200</v>
      </c>
      <c r="CV370">
        <v>9274200</v>
      </c>
      <c r="CW370">
        <v>0</v>
      </c>
      <c r="CX370">
        <v>0</v>
      </c>
      <c r="CY370">
        <v>0</v>
      </c>
      <c r="CZ370" t="b">
        <v>1</v>
      </c>
      <c r="DA370" t="s">
        <v>4246</v>
      </c>
      <c r="DB370" t="s">
        <v>1167</v>
      </c>
      <c r="DC370">
        <v>-6.105834464043669E-3</v>
      </c>
      <c r="DD370">
        <v>-773.06116022435231</v>
      </c>
      <c r="DE370" s="420" t="str" cm="1">
        <f t="array" ref="DE37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71" spans="1:109" hidden="1" x14ac:dyDescent="0.25">
      <c r="A371" s="238">
        <v>370</v>
      </c>
      <c r="B371" s="238" t="s">
        <v>16</v>
      </c>
      <c r="C371" s="238">
        <v>22</v>
      </c>
      <c r="D371" s="238">
        <v>2</v>
      </c>
      <c r="E371" s="238">
        <v>0</v>
      </c>
      <c r="F371" s="238">
        <v>7.18</v>
      </c>
      <c r="G371" s="238"/>
      <c r="H371" s="238"/>
      <c r="I371">
        <v>7.18</v>
      </c>
      <c r="J371" s="238">
        <v>5.17</v>
      </c>
      <c r="K371" s="238">
        <v>3.72</v>
      </c>
      <c r="L371" s="238"/>
      <c r="M371" s="238"/>
      <c r="N371" s="238">
        <v>6.97</v>
      </c>
      <c r="O371" s="238">
        <v>2.97</v>
      </c>
      <c r="P371" s="238"/>
      <c r="R371" s="238">
        <v>2.97</v>
      </c>
      <c r="S371">
        <v>26.01</v>
      </c>
      <c r="T371">
        <v>23.04</v>
      </c>
      <c r="U371" s="238">
        <v>24.53</v>
      </c>
      <c r="V371">
        <v>24.35</v>
      </c>
      <c r="W371" s="238">
        <v>99865.71</v>
      </c>
      <c r="X371">
        <v>4993.2855000000009</v>
      </c>
      <c r="Y371">
        <v>104858.9955</v>
      </c>
      <c r="Z371">
        <v>3145.7698650000002</v>
      </c>
      <c r="AA371">
        <v>108004.765365</v>
      </c>
      <c r="AB371">
        <v>14040.619497449999</v>
      </c>
      <c r="AC371">
        <v>122045.38486245</v>
      </c>
      <c r="AD371">
        <v>1220.4538486245001</v>
      </c>
      <c r="AE371">
        <v>123265.8387110745</v>
      </c>
      <c r="AG371">
        <v>123265.8387110745</v>
      </c>
      <c r="AI371">
        <v>123265.8387110745</v>
      </c>
      <c r="AJ371">
        <v>1232.658387110745</v>
      </c>
      <c r="AK371">
        <v>124498.49709818524</v>
      </c>
      <c r="AL371">
        <v>6224.9248549092626</v>
      </c>
      <c r="AM371">
        <v>130723.4219530945</v>
      </c>
      <c r="AO371">
        <v>130723.4219530945</v>
      </c>
      <c r="AP371">
        <v>3921.7026585928343</v>
      </c>
      <c r="AQ371">
        <v>134645.12461168732</v>
      </c>
      <c r="AS371">
        <v>134645.12461168732</v>
      </c>
      <c r="AU371">
        <v>134645.12461168732</v>
      </c>
      <c r="AW371">
        <v>134645.12461168732</v>
      </c>
      <c r="AX371">
        <v>1346.4512461168731</v>
      </c>
      <c r="AY371">
        <v>135991.57585780419</v>
      </c>
      <c r="BA371">
        <v>135991.57585780419</v>
      </c>
      <c r="BB371">
        <v>679.95787928902098</v>
      </c>
      <c r="BC371">
        <v>136671.53373709321</v>
      </c>
      <c r="BE371">
        <v>136671.53373709321</v>
      </c>
      <c r="BF371">
        <v>2050.0730060563983</v>
      </c>
      <c r="BG371">
        <v>138721.6067431496</v>
      </c>
      <c r="BI371">
        <v>138721.6067431496</v>
      </c>
      <c r="BK371">
        <v>138721.6067431496</v>
      </c>
      <c r="BM371">
        <v>138721.6067431496</v>
      </c>
      <c r="BO371">
        <v>138721.6067431496</v>
      </c>
      <c r="BQ371">
        <v>138721.6067431496</v>
      </c>
      <c r="BS371">
        <v>138721.6067431496</v>
      </c>
      <c r="BT371" s="238">
        <v>138721.60999999999</v>
      </c>
      <c r="BU371" s="238">
        <v>3402900</v>
      </c>
      <c r="BW371">
        <v>0.03</v>
      </c>
      <c r="BX371" s="238">
        <v>102087</v>
      </c>
      <c r="BY371" s="238">
        <v>134562.29107215654</v>
      </c>
      <c r="BZ371" s="238">
        <v>3300813</v>
      </c>
      <c r="CA371" s="238" t="s">
        <v>6871</v>
      </c>
      <c r="CB371">
        <v>8000</v>
      </c>
      <c r="CC371">
        <v>142562.29107215654</v>
      </c>
      <c r="CD371" s="238">
        <v>196240</v>
      </c>
      <c r="CE371" s="238">
        <v>3497053</v>
      </c>
      <c r="CG371" t="s">
        <v>321</v>
      </c>
      <c r="CH371" s="238" t="s">
        <v>39</v>
      </c>
      <c r="CI371" s="238" t="s">
        <v>39</v>
      </c>
      <c r="CJ371" t="s">
        <v>8950</v>
      </c>
      <c r="CK371" t="s">
        <v>1167</v>
      </c>
      <c r="CL371" t="s">
        <v>8961</v>
      </c>
      <c r="CM371" t="s">
        <v>8970</v>
      </c>
      <c r="CN371" s="238" t="b">
        <v>1</v>
      </c>
      <c r="CO371" t="s">
        <v>5659</v>
      </c>
      <c r="CQ371" t="s">
        <v>6652</v>
      </c>
      <c r="CR371" t="s">
        <v>3246</v>
      </c>
      <c r="CS371" t="s">
        <v>6871</v>
      </c>
      <c r="CT371" t="b">
        <v>1</v>
      </c>
      <c r="CU371">
        <v>3402900</v>
      </c>
      <c r="CV371" t="s">
        <v>9002</v>
      </c>
      <c r="CW371">
        <v>0</v>
      </c>
      <c r="CX371">
        <v>3402900</v>
      </c>
      <c r="CY371">
        <v>0</v>
      </c>
      <c r="CZ371" t="b">
        <v>1</v>
      </c>
      <c r="DA371">
        <v>45594</v>
      </c>
      <c r="DB371" t="s">
        <v>126</v>
      </c>
      <c r="DC371">
        <v>-7.337953526294517E-3</v>
      </c>
      <c r="DD371">
        <v>-987.4118382792002</v>
      </c>
      <c r="DE371" s="420" cm="1">
        <f t="array" ref="DE371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372" spans="1:109" hidden="1" x14ac:dyDescent="0.25">
      <c r="A372" s="238">
        <v>371</v>
      </c>
      <c r="B372" s="238" t="s">
        <v>16</v>
      </c>
      <c r="C372" s="238">
        <v>22</v>
      </c>
      <c r="D372" s="238">
        <v>3</v>
      </c>
      <c r="E372" s="238">
        <v>2</v>
      </c>
      <c r="F372" s="238">
        <v>13.69</v>
      </c>
      <c r="G372" s="238">
        <v>10.16</v>
      </c>
      <c r="H372" s="238"/>
      <c r="I372">
        <v>23.85</v>
      </c>
      <c r="J372" s="238">
        <v>18.71</v>
      </c>
      <c r="K372" s="238">
        <v>3.49</v>
      </c>
      <c r="L372" s="238">
        <v>2.11</v>
      </c>
      <c r="M372" s="238"/>
      <c r="N372" s="238">
        <v>7.09</v>
      </c>
      <c r="O372" s="238">
        <v>2.65</v>
      </c>
      <c r="P372" s="238"/>
      <c r="R372" s="238">
        <v>2.65</v>
      </c>
      <c r="S372">
        <v>57.9</v>
      </c>
      <c r="T372">
        <v>55.25</v>
      </c>
      <c r="U372" s="238">
        <v>56.58</v>
      </c>
      <c r="V372">
        <v>56.55</v>
      </c>
      <c r="W372" s="238">
        <v>87257.583000000013</v>
      </c>
      <c r="X372">
        <v>4362.8791500000007</v>
      </c>
      <c r="Y372">
        <v>91620.462150000007</v>
      </c>
      <c r="Z372">
        <v>2748.6138645000001</v>
      </c>
      <c r="AA372">
        <v>94369.076014500009</v>
      </c>
      <c r="AC372">
        <v>94369.076014500009</v>
      </c>
      <c r="AE372">
        <v>94369.076014500009</v>
      </c>
      <c r="AG372">
        <v>94369.076014500009</v>
      </c>
      <c r="AI372">
        <v>94369.076014500009</v>
      </c>
      <c r="AJ372">
        <v>943.69076014500013</v>
      </c>
      <c r="AK372">
        <v>95312.766774645002</v>
      </c>
      <c r="AL372">
        <v>4765.6383387322503</v>
      </c>
      <c r="AM372">
        <v>100078.40511337726</v>
      </c>
      <c r="AO372">
        <v>100078.40511337726</v>
      </c>
      <c r="AP372">
        <v>2001.5681022675451</v>
      </c>
      <c r="AQ372">
        <v>102079.9732156448</v>
      </c>
      <c r="AS372">
        <v>102079.9732156448</v>
      </c>
      <c r="AT372">
        <v>2041.5994643128961</v>
      </c>
      <c r="AU372">
        <v>104121.5726799577</v>
      </c>
      <c r="AV372">
        <v>150</v>
      </c>
      <c r="AW372">
        <v>104271.5726799577</v>
      </c>
      <c r="AY372">
        <v>104271.5726799577</v>
      </c>
      <c r="BA372">
        <v>104271.5726799577</v>
      </c>
      <c r="BC372">
        <v>104271.5726799577</v>
      </c>
      <c r="BE372">
        <v>104271.5726799577</v>
      </c>
      <c r="BG372">
        <v>104271.5726799577</v>
      </c>
      <c r="BI372">
        <v>104271.5726799577</v>
      </c>
      <c r="BK372">
        <v>104271.5726799577</v>
      </c>
      <c r="BM372">
        <v>104271.5726799577</v>
      </c>
      <c r="BO372">
        <v>104271.5726799577</v>
      </c>
      <c r="BQ372">
        <v>104271.5726799577</v>
      </c>
      <c r="BS372">
        <v>104271.5726799577</v>
      </c>
      <c r="BT372" s="238">
        <v>104271.57</v>
      </c>
      <c r="BU372" s="238">
        <v>5899700</v>
      </c>
      <c r="BV372">
        <v>90000</v>
      </c>
      <c r="BX372" s="238">
        <v>90000</v>
      </c>
      <c r="BY372" s="238">
        <v>102681.15942028986</v>
      </c>
      <c r="BZ372" s="238">
        <v>5809700</v>
      </c>
      <c r="CA372" s="238" t="s">
        <v>38</v>
      </c>
      <c r="CB372">
        <v>20000</v>
      </c>
      <c r="CC372">
        <v>122681.15942028986</v>
      </c>
      <c r="CD372" s="238">
        <v>1131600</v>
      </c>
      <c r="CE372" s="238">
        <v>6941300</v>
      </c>
      <c r="CF372" t="s">
        <v>4633</v>
      </c>
      <c r="CG372" t="s">
        <v>7135</v>
      </c>
      <c r="CH372" s="238" t="s">
        <v>39</v>
      </c>
      <c r="CI372" s="238" t="s">
        <v>39</v>
      </c>
      <c r="CJ372" t="s">
        <v>8950</v>
      </c>
      <c r="CK372" t="s">
        <v>1167</v>
      </c>
      <c r="CL372" t="s">
        <v>8961</v>
      </c>
      <c r="CM372" t="s">
        <v>8971</v>
      </c>
      <c r="CN372" s="238" t="b">
        <v>1</v>
      </c>
      <c r="CO372" t="s">
        <v>5660</v>
      </c>
      <c r="CQ372" t="s">
        <v>6652</v>
      </c>
      <c r="CR372" t="s">
        <v>3246</v>
      </c>
      <c r="CS372" t="s">
        <v>38</v>
      </c>
      <c r="CT372" t="b">
        <v>1</v>
      </c>
      <c r="CU372">
        <v>5899700</v>
      </c>
      <c r="CV372" t="s">
        <v>9002</v>
      </c>
      <c r="CW372">
        <v>0</v>
      </c>
      <c r="CX372">
        <v>5899700</v>
      </c>
      <c r="CY372">
        <v>0</v>
      </c>
      <c r="CZ372" t="b">
        <v>1</v>
      </c>
      <c r="DA372">
        <v>45429</v>
      </c>
      <c r="DB372" t="s">
        <v>126</v>
      </c>
      <c r="DC372">
        <v>-5.3022269353120155E-4</v>
      </c>
      <c r="DD372">
        <v>-54.443880922732795</v>
      </c>
      <c r="DE372" s="420" cm="1">
        <f t="array" ref="DE372">_xlfn.XLOOKUP("Дом 5"&amp;Реестр_Д5[[#This Row],[№]]&amp;Реестр_Д5[[#This Row],[Статус]],РД[Дом]&amp;РД[№ кв]&amp;РД[Состояние],РД[Дата подачи на регистрацию],"-",0)</f>
        <v>45429</v>
      </c>
    </row>
    <row r="373" spans="1:109" x14ac:dyDescent="0.25">
      <c r="A373" s="238">
        <v>372</v>
      </c>
      <c r="B373" s="238" t="s">
        <v>16</v>
      </c>
      <c r="C373" s="238">
        <v>22</v>
      </c>
      <c r="D373" s="238">
        <v>4</v>
      </c>
      <c r="E373" s="238">
        <v>2</v>
      </c>
      <c r="F373" s="238">
        <v>15.45</v>
      </c>
      <c r="G373" s="238">
        <v>10.34</v>
      </c>
      <c r="H373" s="238"/>
      <c r="I373">
        <v>25.79</v>
      </c>
      <c r="J373" s="238">
        <v>15.44</v>
      </c>
      <c r="K373" s="238">
        <v>4.59</v>
      </c>
      <c r="L373" s="238">
        <v>2.21</v>
      </c>
      <c r="M373" s="238"/>
      <c r="N373" s="238">
        <v>10.79</v>
      </c>
      <c r="O373" s="238">
        <v>2.84</v>
      </c>
      <c r="P373" s="238"/>
      <c r="R373" s="238">
        <v>2.84</v>
      </c>
      <c r="S373">
        <v>61.66</v>
      </c>
      <c r="T373">
        <v>58.82</v>
      </c>
      <c r="U373" s="238">
        <v>60.24</v>
      </c>
      <c r="V373">
        <v>59.850000000000009</v>
      </c>
      <c r="W373" s="238">
        <v>89188.060500000007</v>
      </c>
      <c r="X373">
        <v>4459.4030250000005</v>
      </c>
      <c r="Y373">
        <v>93647.463525000014</v>
      </c>
      <c r="Z373">
        <v>2809.4239057500004</v>
      </c>
      <c r="AA373">
        <v>96456.887430750023</v>
      </c>
      <c r="AC373">
        <v>96456.887430750023</v>
      </c>
      <c r="AE373">
        <v>96456.887430750023</v>
      </c>
      <c r="AG373">
        <v>96456.887430750023</v>
      </c>
      <c r="AI373">
        <v>96456.887430750023</v>
      </c>
      <c r="AJ373">
        <v>964.56887430749998</v>
      </c>
      <c r="AK373">
        <v>97421.456305057509</v>
      </c>
      <c r="AL373">
        <v>4871.0728152528754</v>
      </c>
      <c r="AM373">
        <v>102292.52912031038</v>
      </c>
      <c r="AO373">
        <v>102292.52912031038</v>
      </c>
      <c r="AP373">
        <v>2045.8505824062076</v>
      </c>
      <c r="AQ373">
        <v>104338.3797027166</v>
      </c>
      <c r="AS373">
        <v>104338.3797027166</v>
      </c>
      <c r="AT373">
        <v>2086.7675940543322</v>
      </c>
      <c r="AU373">
        <v>106425.14729677093</v>
      </c>
      <c r="AW373">
        <v>106425.14729677093</v>
      </c>
      <c r="AY373">
        <v>106425.14729677093</v>
      </c>
      <c r="BA373">
        <v>106425.14729677093</v>
      </c>
      <c r="BC373">
        <v>106425.14729677093</v>
      </c>
      <c r="BE373">
        <v>106425.14729677093</v>
      </c>
      <c r="BF373">
        <v>532.12573648385455</v>
      </c>
      <c r="BG373">
        <v>106957.27303325477</v>
      </c>
      <c r="BI373">
        <v>106957.27303325477</v>
      </c>
      <c r="BJ373">
        <v>4278.2909213301909</v>
      </c>
      <c r="BK373">
        <v>111235.56395458496</v>
      </c>
      <c r="BL373">
        <v>6674.133837275097</v>
      </c>
      <c r="BM373">
        <v>117909.69779186005</v>
      </c>
      <c r="BN373">
        <v>15328.260712941808</v>
      </c>
      <c r="BO373">
        <v>133237.95850480185</v>
      </c>
      <c r="BP373">
        <v>35</v>
      </c>
      <c r="BQ373">
        <v>133272.95850480185</v>
      </c>
      <c r="BS373">
        <v>133272.95850480185</v>
      </c>
      <c r="BT373" s="238">
        <v>133272.95999999999</v>
      </c>
      <c r="BU373" s="238">
        <v>7976400</v>
      </c>
      <c r="BX373" s="238">
        <v>0</v>
      </c>
      <c r="BY373" s="238">
        <v>133273.18295739347</v>
      </c>
      <c r="BZ373" s="238">
        <v>7976400</v>
      </c>
      <c r="CA373" s="238" t="s">
        <v>6871</v>
      </c>
      <c r="CB373">
        <v>10000</v>
      </c>
      <c r="CC373">
        <v>143273.18295739347</v>
      </c>
      <c r="CD373" s="238">
        <v>598500</v>
      </c>
      <c r="CE373" s="238">
        <v>8574900</v>
      </c>
      <c r="CH373" s="238" t="s">
        <v>3</v>
      </c>
      <c r="CI373" s="238" t="s">
        <v>3</v>
      </c>
      <c r="CJ373" t="s">
        <v>8951</v>
      </c>
      <c r="CK373" t="s">
        <v>1167</v>
      </c>
      <c r="CL373" t="s">
        <v>8961</v>
      </c>
      <c r="CM373" t="s">
        <v>8971</v>
      </c>
      <c r="CN373" s="238" t="b">
        <v>1</v>
      </c>
      <c r="CO373" t="s">
        <v>5661</v>
      </c>
      <c r="CQ373" t="s">
        <v>6652</v>
      </c>
      <c r="CR373" t="s">
        <v>3124</v>
      </c>
      <c r="CS373" t="s">
        <v>6871</v>
      </c>
      <c r="CT373" t="b">
        <v>1</v>
      </c>
      <c r="CU373">
        <v>7976400</v>
      </c>
      <c r="CV373">
        <v>7976400</v>
      </c>
      <c r="CW373">
        <v>0</v>
      </c>
      <c r="CX373">
        <v>0</v>
      </c>
      <c r="CY373">
        <v>0</v>
      </c>
      <c r="CZ373" t="b">
        <v>1</v>
      </c>
      <c r="DA373" t="s">
        <v>4246</v>
      </c>
      <c r="DB373" t="s">
        <v>1167</v>
      </c>
      <c r="DC373">
        <v>-6.4741035856572537E-3</v>
      </c>
      <c r="DD373">
        <v>-862.8243916564162</v>
      </c>
      <c r="DE373" s="420" t="str" cm="1">
        <f t="array" ref="DE37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74" spans="1:109" x14ac:dyDescent="0.25">
      <c r="A374" s="238">
        <v>373</v>
      </c>
      <c r="B374" s="238" t="s">
        <v>16</v>
      </c>
      <c r="C374" s="238">
        <v>22</v>
      </c>
      <c r="D374" s="238">
        <v>5</v>
      </c>
      <c r="E374" s="238">
        <v>1</v>
      </c>
      <c r="F374" s="238">
        <v>12.54</v>
      </c>
      <c r="G374" s="238"/>
      <c r="H374" s="238"/>
      <c r="I374">
        <v>12.54</v>
      </c>
      <c r="J374" s="238">
        <v>12.74</v>
      </c>
      <c r="K374" s="238">
        <v>4.0199999999999996</v>
      </c>
      <c r="L374" s="238"/>
      <c r="M374" s="238"/>
      <c r="N374" s="238">
        <v>7.09</v>
      </c>
      <c r="O374" s="238">
        <v>2.84</v>
      </c>
      <c r="P374" s="238"/>
      <c r="R374" s="238">
        <v>2.84</v>
      </c>
      <c r="S374">
        <v>39.229999999999997</v>
      </c>
      <c r="T374">
        <v>36.39</v>
      </c>
      <c r="U374" s="238">
        <v>37.81</v>
      </c>
      <c r="V374">
        <v>37.4</v>
      </c>
      <c r="W374" s="238">
        <v>96523.875</v>
      </c>
      <c r="X374">
        <v>4826.1937500000004</v>
      </c>
      <c r="Y374">
        <v>101350.06875000001</v>
      </c>
      <c r="Z374">
        <v>3040.5020625000002</v>
      </c>
      <c r="AA374">
        <v>104390.57081249999</v>
      </c>
      <c r="AB374">
        <v>4697.5756865624999</v>
      </c>
      <c r="AC374">
        <v>109088.14649906252</v>
      </c>
      <c r="AE374">
        <v>109088.14649906252</v>
      </c>
      <c r="AF374">
        <v>5454.4073249531257</v>
      </c>
      <c r="AG374">
        <v>114542.55382401565</v>
      </c>
      <c r="AH374">
        <v>-620</v>
      </c>
      <c r="AI374">
        <v>113922.55382401565</v>
      </c>
      <c r="AJ374">
        <v>1139.2255382401563</v>
      </c>
      <c r="AK374">
        <v>115061.77936225579</v>
      </c>
      <c r="AL374">
        <v>5753.0889681127901</v>
      </c>
      <c r="AM374">
        <v>120814.86833036858</v>
      </c>
      <c r="AO374">
        <v>120814.86833036858</v>
      </c>
      <c r="AP374">
        <v>3624.4460499110578</v>
      </c>
      <c r="AQ374">
        <v>124439.31438027964</v>
      </c>
      <c r="AS374">
        <v>124439.31438027964</v>
      </c>
      <c r="AU374">
        <v>124439.31438027964</v>
      </c>
      <c r="AW374">
        <v>124439.31438027964</v>
      </c>
      <c r="AX374">
        <v>1244.3931438027964</v>
      </c>
      <c r="AY374">
        <v>125683.70752408243</v>
      </c>
      <c r="BA374">
        <v>125683.70752408243</v>
      </c>
      <c r="BC374">
        <v>125683.70752408243</v>
      </c>
      <c r="BE374">
        <v>125683.70752408243</v>
      </c>
      <c r="BF374">
        <v>628.41853762041217</v>
      </c>
      <c r="BG374">
        <v>126312.12606170285</v>
      </c>
      <c r="BI374">
        <v>126312.12606170285</v>
      </c>
      <c r="BK374">
        <v>126312.12606170285</v>
      </c>
      <c r="BL374">
        <v>6315.6063030851428</v>
      </c>
      <c r="BM374">
        <v>132627.73236478798</v>
      </c>
      <c r="BN374">
        <v>17241.605207422439</v>
      </c>
      <c r="BO374">
        <v>149869.33757221041</v>
      </c>
      <c r="BP374">
        <v>35</v>
      </c>
      <c r="BQ374">
        <v>149904.33757221041</v>
      </c>
      <c r="BS374">
        <v>149904.33757221041</v>
      </c>
      <c r="BT374" s="238">
        <v>149904.34</v>
      </c>
      <c r="BU374" s="238">
        <v>5606500</v>
      </c>
      <c r="BX374" s="238">
        <v>0</v>
      </c>
      <c r="BY374" s="238">
        <v>149906.41711229947</v>
      </c>
      <c r="BZ374" s="238">
        <v>5606500</v>
      </c>
      <c r="CA374" s="238" t="s">
        <v>36</v>
      </c>
      <c r="CC374">
        <v>149906.41711229947</v>
      </c>
      <c r="CD374" s="238">
        <v>0</v>
      </c>
      <c r="CE374" s="238">
        <v>5606500</v>
      </c>
      <c r="CH374" s="238" t="s">
        <v>3</v>
      </c>
      <c r="CI374" s="238" t="s">
        <v>3</v>
      </c>
      <c r="CJ374" t="s">
        <v>8951</v>
      </c>
      <c r="CK374" t="s">
        <v>1167</v>
      </c>
      <c r="CL374" t="s">
        <v>8961</v>
      </c>
      <c r="CM374" t="s">
        <v>8973</v>
      </c>
      <c r="CN374" s="238" t="b">
        <v>1</v>
      </c>
      <c r="CO374" t="s">
        <v>5662</v>
      </c>
      <c r="CQ374" t="s">
        <v>6652</v>
      </c>
      <c r="CR374" t="s">
        <v>3124</v>
      </c>
      <c r="CS374" t="s">
        <v>6871</v>
      </c>
      <c r="CT374" t="b">
        <v>0</v>
      </c>
      <c r="CU374">
        <v>5606500</v>
      </c>
      <c r="CV374">
        <v>5606500</v>
      </c>
      <c r="CW374">
        <v>0</v>
      </c>
      <c r="CX374">
        <v>0</v>
      </c>
      <c r="CY374">
        <v>0</v>
      </c>
      <c r="CZ374" t="b">
        <v>1</v>
      </c>
      <c r="DA374" t="s">
        <v>4246</v>
      </c>
      <c r="DB374" t="s">
        <v>1167</v>
      </c>
      <c r="DC374">
        <v>-1.0843692144935302E-2</v>
      </c>
      <c r="DD374">
        <v>-1625.5390377160368</v>
      </c>
      <c r="DE374" s="420" t="str" cm="1">
        <f t="array" ref="DE37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75" spans="1:109" hidden="1" x14ac:dyDescent="0.25">
      <c r="A375" s="238">
        <v>374</v>
      </c>
      <c r="B375" s="238" t="s">
        <v>16</v>
      </c>
      <c r="C375" s="238">
        <v>22</v>
      </c>
      <c r="D375" s="238">
        <v>6</v>
      </c>
      <c r="E375" s="238">
        <v>3</v>
      </c>
      <c r="F375" s="238">
        <v>17.2</v>
      </c>
      <c r="G375" s="238">
        <v>14.64</v>
      </c>
      <c r="H375" s="238">
        <v>14.34</v>
      </c>
      <c r="I375">
        <v>46.18</v>
      </c>
      <c r="J375" s="238">
        <v>13.15</v>
      </c>
      <c r="K375" s="238">
        <v>4.03</v>
      </c>
      <c r="L375" s="238">
        <v>1.76</v>
      </c>
      <c r="M375" s="238"/>
      <c r="N375" s="238">
        <v>13.11</v>
      </c>
      <c r="O375" s="238">
        <v>2.79</v>
      </c>
      <c r="P375" s="238">
        <v>2.68</v>
      </c>
      <c r="R375" s="238">
        <v>5.4700000000000006</v>
      </c>
      <c r="S375">
        <v>83.7</v>
      </c>
      <c r="T375">
        <v>78.23</v>
      </c>
      <c r="U375" s="238">
        <v>80.97</v>
      </c>
      <c r="V375">
        <v>80.599999999999994</v>
      </c>
      <c r="W375" s="238">
        <v>79944.48000000001</v>
      </c>
      <c r="X375">
        <v>3997.2240000000006</v>
      </c>
      <c r="Y375">
        <v>83941.704000000012</v>
      </c>
      <c r="Z375">
        <v>2518.2511200000004</v>
      </c>
      <c r="AA375">
        <v>86459.955120000013</v>
      </c>
      <c r="AC375">
        <v>86459.955120000013</v>
      </c>
      <c r="AE375">
        <v>86459.955120000013</v>
      </c>
      <c r="AG375">
        <v>86459.955120000013</v>
      </c>
      <c r="AI375">
        <v>86459.955120000013</v>
      </c>
      <c r="AJ375">
        <v>864.59955120000018</v>
      </c>
      <c r="AK375">
        <v>87324.554671200007</v>
      </c>
      <c r="AL375">
        <v>4366.2277335600002</v>
      </c>
      <c r="AM375">
        <v>91690.782404760001</v>
      </c>
      <c r="AO375">
        <v>91690.782404760001</v>
      </c>
      <c r="AP375">
        <v>1833.8156480952</v>
      </c>
      <c r="AQ375">
        <v>93524.598052855203</v>
      </c>
      <c r="AS375">
        <v>93524.598052855203</v>
      </c>
      <c r="AT375">
        <v>1870.4919610571039</v>
      </c>
      <c r="AU375">
        <v>95395.090013912297</v>
      </c>
      <c r="AW375">
        <v>95395.090013912297</v>
      </c>
      <c r="AX375">
        <v>953.95090013912318</v>
      </c>
      <c r="AY375">
        <v>96349.040914051438</v>
      </c>
      <c r="BA375">
        <v>96349.040914051438</v>
      </c>
      <c r="BB375">
        <v>481.74520457025721</v>
      </c>
      <c r="BC375">
        <v>96830.786118621691</v>
      </c>
      <c r="BD375">
        <v>1936.6157223724335</v>
      </c>
      <c r="BE375">
        <v>98767.40184099412</v>
      </c>
      <c r="BF375">
        <v>1481.5110276149117</v>
      </c>
      <c r="BG375">
        <v>100248.91286860904</v>
      </c>
      <c r="BI375">
        <v>100248.91286860904</v>
      </c>
      <c r="BJ375">
        <v>4009.9565147443618</v>
      </c>
      <c r="BK375">
        <v>104258.86938335341</v>
      </c>
      <c r="BL375">
        <v>5212.9434691676697</v>
      </c>
      <c r="BM375">
        <v>109471.81285252106</v>
      </c>
      <c r="BN375">
        <v>14231.335670827741</v>
      </c>
      <c r="BO375">
        <v>123703.14852334881</v>
      </c>
      <c r="BP375">
        <v>35</v>
      </c>
      <c r="BQ375">
        <v>123738.14852334881</v>
      </c>
      <c r="BS375">
        <v>123738.14852334881</v>
      </c>
      <c r="BT375" s="238">
        <v>123738.15</v>
      </c>
      <c r="BU375" s="238">
        <v>10019100</v>
      </c>
      <c r="BV375">
        <v>4019100</v>
      </c>
      <c r="BX375" s="238">
        <v>4019100</v>
      </c>
      <c r="BY375" s="238">
        <v>74101.519081141145</v>
      </c>
      <c r="BZ375" s="238">
        <v>6000000</v>
      </c>
      <c r="CA375" s="238" t="s">
        <v>36</v>
      </c>
      <c r="CC375">
        <v>74101.519081141145</v>
      </c>
      <c r="CD375" s="238">
        <v>0</v>
      </c>
      <c r="CE375" s="238">
        <v>6000000</v>
      </c>
      <c r="CG375" t="s">
        <v>8549</v>
      </c>
      <c r="CH375" s="238" t="s">
        <v>39</v>
      </c>
      <c r="CI375" s="238" t="s">
        <v>39</v>
      </c>
      <c r="CJ375" t="s">
        <v>8950</v>
      </c>
      <c r="CK375" t="s">
        <v>1167</v>
      </c>
      <c r="CL375" t="s">
        <v>8961</v>
      </c>
      <c r="CM375" t="s">
        <v>8975</v>
      </c>
      <c r="CN375" s="238" t="b">
        <v>1</v>
      </c>
      <c r="CO375" t="s">
        <v>5663</v>
      </c>
      <c r="CQ375" t="s">
        <v>6652</v>
      </c>
      <c r="CR375" t="s">
        <v>3246</v>
      </c>
      <c r="CS375" t="s">
        <v>36</v>
      </c>
      <c r="CT375" t="b">
        <v>1</v>
      </c>
      <c r="CU375">
        <v>10019100</v>
      </c>
      <c r="CV375" t="s">
        <v>9002</v>
      </c>
      <c r="CW375">
        <v>10019100</v>
      </c>
      <c r="CX375">
        <v>10019100</v>
      </c>
      <c r="CY375">
        <v>0</v>
      </c>
      <c r="CZ375" t="b">
        <v>1</v>
      </c>
      <c r="DA375">
        <v>45747</v>
      </c>
      <c r="DB375" t="s">
        <v>5215</v>
      </c>
      <c r="DC375">
        <v>-4.5695936766704248E-3</v>
      </c>
      <c r="DD375">
        <v>-338.61383302485547</v>
      </c>
      <c r="DE375" s="420" cm="1">
        <f t="array" ref="DE375">_xlfn.XLOOKUP("Дом 5"&amp;Реестр_Д5[[#This Row],[№]]&amp;Реестр_Д5[[#This Row],[Статус]],РД[Дом]&amp;РД[№ кв]&amp;РД[Состояние],РД[Дата подачи на регистрацию],"-",0)</f>
        <v>45747</v>
      </c>
    </row>
    <row r="376" spans="1:109" hidden="1" x14ac:dyDescent="0.25">
      <c r="A376" s="238">
        <v>375</v>
      </c>
      <c r="B376" s="238" t="s">
        <v>16</v>
      </c>
      <c r="C376" s="238">
        <v>22</v>
      </c>
      <c r="D376" s="238">
        <v>7</v>
      </c>
      <c r="E376" s="238">
        <v>1</v>
      </c>
      <c r="F376" s="238">
        <v>14.3</v>
      </c>
      <c r="G376" s="238"/>
      <c r="H376" s="238"/>
      <c r="I376">
        <v>14.3</v>
      </c>
      <c r="J376" s="238">
        <v>9.2799999999999994</v>
      </c>
      <c r="K376" s="238">
        <v>3.79</v>
      </c>
      <c r="L376" s="238"/>
      <c r="M376" s="238"/>
      <c r="N376" s="238">
        <v>6.08</v>
      </c>
      <c r="O376" s="238">
        <v>2.71</v>
      </c>
      <c r="P376" s="238"/>
      <c r="R376" s="238">
        <v>2.71</v>
      </c>
      <c r="S376">
        <v>36.159999999999997</v>
      </c>
      <c r="T376">
        <v>33.450000000000003</v>
      </c>
      <c r="U376" s="238">
        <v>34.81</v>
      </c>
      <c r="V376">
        <v>35.050000000000004</v>
      </c>
      <c r="W376" s="238">
        <v>92062.6875</v>
      </c>
      <c r="X376">
        <v>4603.1343750000005</v>
      </c>
      <c r="Y376">
        <v>96665.821874999994</v>
      </c>
      <c r="Z376">
        <v>2899.9746562499995</v>
      </c>
      <c r="AA376">
        <v>99565.796531249987</v>
      </c>
      <c r="AB376">
        <v>13939.211514375</v>
      </c>
      <c r="AC376">
        <v>113505.008045625</v>
      </c>
      <c r="AE376">
        <v>113505.008045625</v>
      </c>
      <c r="AF376">
        <v>5675.25040228125</v>
      </c>
      <c r="AG376">
        <v>119180.25844790624</v>
      </c>
      <c r="AI376">
        <v>119180.25844790624</v>
      </c>
      <c r="AK376">
        <v>119180.25844790624</v>
      </c>
      <c r="AM376">
        <v>119180.25844790624</v>
      </c>
      <c r="AO376">
        <v>119180.25844790624</v>
      </c>
      <c r="AQ376">
        <v>119180.25844790624</v>
      </c>
      <c r="AS376">
        <v>119180.25844790624</v>
      </c>
      <c r="AU376">
        <v>119180.25844790624</v>
      </c>
      <c r="AW376">
        <v>119180.25844790624</v>
      </c>
      <c r="AY376">
        <v>119180.25844790624</v>
      </c>
      <c r="BA376">
        <v>119180.25844790624</v>
      </c>
      <c r="BC376">
        <v>119180.25844790624</v>
      </c>
      <c r="BE376">
        <v>119180.25844790624</v>
      </c>
      <c r="BG376">
        <v>119180.25844790624</v>
      </c>
      <c r="BI376">
        <v>119180.25844790624</v>
      </c>
      <c r="BK376">
        <v>119180.25844790624</v>
      </c>
      <c r="BM376">
        <v>119180.25844790624</v>
      </c>
      <c r="BO376">
        <v>119180.25844790624</v>
      </c>
      <c r="BQ376">
        <v>119180.25844790624</v>
      </c>
      <c r="BS376">
        <v>119180.25844790624</v>
      </c>
      <c r="BT376" s="238">
        <v>119180.26</v>
      </c>
      <c r="BU376" s="238">
        <v>4148700</v>
      </c>
      <c r="BW376">
        <v>0.05</v>
      </c>
      <c r="BX376" s="238">
        <v>207435</v>
      </c>
      <c r="BY376" s="238">
        <v>113222.20626256822</v>
      </c>
      <c r="BZ376" s="238">
        <v>3941265</v>
      </c>
      <c r="CA376" s="238" t="s">
        <v>38</v>
      </c>
      <c r="CB376">
        <v>22000</v>
      </c>
      <c r="CC376">
        <v>135222.20626256822</v>
      </c>
      <c r="CD376" s="238">
        <v>765820</v>
      </c>
      <c r="CE376" s="238">
        <v>4707085</v>
      </c>
      <c r="CF376" t="s">
        <v>4633</v>
      </c>
      <c r="CG376" t="s">
        <v>978</v>
      </c>
      <c r="CH376" s="238" t="s">
        <v>39</v>
      </c>
      <c r="CI376" s="238" t="s">
        <v>39</v>
      </c>
      <c r="CJ376" t="s">
        <v>8950</v>
      </c>
      <c r="CK376" t="s">
        <v>1167</v>
      </c>
      <c r="CL376" t="s">
        <v>8961</v>
      </c>
      <c r="CM376" t="s">
        <v>8973</v>
      </c>
      <c r="CN376" s="238" t="b">
        <v>1</v>
      </c>
      <c r="CO376" t="s">
        <v>5664</v>
      </c>
      <c r="CQ376" t="s">
        <v>6652</v>
      </c>
      <c r="CR376" t="s">
        <v>3246</v>
      </c>
      <c r="CS376" t="s">
        <v>38</v>
      </c>
      <c r="CT376" t="b">
        <v>1</v>
      </c>
      <c r="CU376">
        <v>4148700</v>
      </c>
      <c r="CV376" t="s">
        <v>9002</v>
      </c>
      <c r="CW376">
        <v>0</v>
      </c>
      <c r="CX376">
        <v>4148700</v>
      </c>
      <c r="CY376">
        <v>0</v>
      </c>
      <c r="CZ376" t="b">
        <v>1</v>
      </c>
      <c r="DA376">
        <v>45287</v>
      </c>
      <c r="DB376" t="s">
        <v>5215</v>
      </c>
      <c r="DC376">
        <v>6.8945705257110745E-3</v>
      </c>
      <c r="DD376">
        <v>780.61848615388271</v>
      </c>
      <c r="DE376" s="420" cm="1">
        <f t="array" ref="DE376">_xlfn.XLOOKUP("Дом 5"&amp;Реестр_Д5[[#This Row],[№]]&amp;Реестр_Д5[[#This Row],[Статус]],РД[Дом]&amp;РД[№ кв]&amp;РД[Состояние],РД[Дата подачи на регистрацию],"-",0)</f>
        <v>45287</v>
      </c>
    </row>
    <row r="377" spans="1:109" hidden="1" x14ac:dyDescent="0.25">
      <c r="A377" s="238">
        <v>376</v>
      </c>
      <c r="B377" s="238" t="s">
        <v>16</v>
      </c>
      <c r="C377" s="238">
        <v>23</v>
      </c>
      <c r="D377" s="238">
        <v>1</v>
      </c>
      <c r="E377" s="238">
        <v>2</v>
      </c>
      <c r="F377" s="238">
        <v>17.63</v>
      </c>
      <c r="G377" s="238">
        <v>13.69</v>
      </c>
      <c r="H377" s="238"/>
      <c r="I377">
        <v>31.32</v>
      </c>
      <c r="J377" s="238">
        <v>20.05</v>
      </c>
      <c r="K377" s="238">
        <v>3.54</v>
      </c>
      <c r="L377" s="238">
        <v>2.93</v>
      </c>
      <c r="M377" s="238"/>
      <c r="N377" s="238">
        <v>12.19</v>
      </c>
      <c r="O377" s="238">
        <v>4.6500000000000004</v>
      </c>
      <c r="P377" s="238">
        <v>2.68</v>
      </c>
      <c r="R377" s="238">
        <v>7.33</v>
      </c>
      <c r="S377">
        <v>77.36</v>
      </c>
      <c r="T377">
        <v>70.03</v>
      </c>
      <c r="U377" s="238">
        <v>73.7</v>
      </c>
      <c r="V377">
        <v>73.399999999999977</v>
      </c>
      <c r="W377" s="238">
        <v>84941.010000000009</v>
      </c>
      <c r="X377">
        <v>4247.0505000000003</v>
      </c>
      <c r="Y377">
        <v>89188.060500000007</v>
      </c>
      <c r="Z377">
        <v>2675.641815</v>
      </c>
      <c r="AA377">
        <v>91863.702315000002</v>
      </c>
      <c r="AC377">
        <v>91863.702315000002</v>
      </c>
      <c r="AE377">
        <v>91863.702315000002</v>
      </c>
      <c r="AG377">
        <v>91863.702315000002</v>
      </c>
      <c r="AI377">
        <v>91863.702315000002</v>
      </c>
      <c r="AJ377">
        <v>918.63702315</v>
      </c>
      <c r="AK377">
        <v>92782.339338150006</v>
      </c>
      <c r="AL377">
        <v>4639.1169669075007</v>
      </c>
      <c r="AM377">
        <v>97421.456305057509</v>
      </c>
      <c r="AO377">
        <v>97421.456305057509</v>
      </c>
      <c r="AP377">
        <v>1948.4291261011499</v>
      </c>
      <c r="AQ377">
        <v>99369.885431158662</v>
      </c>
      <c r="AS377">
        <v>99369.885431158662</v>
      </c>
      <c r="AT377">
        <v>1987.3977086231732</v>
      </c>
      <c r="AU377">
        <v>101357.28313978184</v>
      </c>
      <c r="AW377">
        <v>101357.28313978184</v>
      </c>
      <c r="AY377">
        <v>101357.28313978184</v>
      </c>
      <c r="BA377">
        <v>101357.28313978184</v>
      </c>
      <c r="BC377">
        <v>101357.28313978184</v>
      </c>
      <c r="BE377">
        <v>101357.28313978184</v>
      </c>
      <c r="BF377">
        <v>506.7864156989092</v>
      </c>
      <c r="BG377">
        <v>101864.06955548076</v>
      </c>
      <c r="BI377">
        <v>101864.06955548076</v>
      </c>
      <c r="BK377">
        <v>101864.06955548076</v>
      </c>
      <c r="BM377">
        <v>101864.06955548076</v>
      </c>
      <c r="BO377">
        <v>101864.06955548076</v>
      </c>
      <c r="BQ377">
        <v>101864.06955548076</v>
      </c>
      <c r="BS377">
        <v>101864.06955548076</v>
      </c>
      <c r="BT377" s="238">
        <v>101864.07</v>
      </c>
      <c r="BU377" s="238">
        <v>7507400</v>
      </c>
      <c r="BW377">
        <v>0.03</v>
      </c>
      <c r="BX377" s="238">
        <v>225222</v>
      </c>
      <c r="BY377" s="238">
        <v>98808.385345997289</v>
      </c>
      <c r="BZ377" s="238">
        <v>7282178</v>
      </c>
      <c r="CA377" s="238" t="s">
        <v>36</v>
      </c>
      <c r="CC377">
        <v>98808.385345997289</v>
      </c>
      <c r="CD377" s="238">
        <v>0</v>
      </c>
      <c r="CE377" s="238">
        <v>7282178.0000000019</v>
      </c>
      <c r="CF377" t="s">
        <v>4635</v>
      </c>
      <c r="CG377" t="s">
        <v>3538</v>
      </c>
      <c r="CH377" s="238" t="s">
        <v>39</v>
      </c>
      <c r="CI377" s="238" t="s">
        <v>39</v>
      </c>
      <c r="CJ377" t="s">
        <v>8950</v>
      </c>
      <c r="CK377" t="s">
        <v>1167</v>
      </c>
      <c r="CL377" t="s">
        <v>8961</v>
      </c>
      <c r="CM377" t="s">
        <v>8971</v>
      </c>
      <c r="CN377" s="238" t="b">
        <v>1</v>
      </c>
      <c r="CO377" t="s">
        <v>5665</v>
      </c>
      <c r="CQ377" t="s">
        <v>6652</v>
      </c>
      <c r="CR377" t="s">
        <v>3246</v>
      </c>
      <c r="CS377" t="s">
        <v>36</v>
      </c>
      <c r="CT377" t="b">
        <v>1</v>
      </c>
      <c r="CU377">
        <v>7507400</v>
      </c>
      <c r="CV377" t="s">
        <v>9002</v>
      </c>
      <c r="CW377">
        <v>0</v>
      </c>
      <c r="CX377">
        <v>7507400</v>
      </c>
      <c r="CY377">
        <v>0</v>
      </c>
      <c r="CZ377" t="b">
        <v>1</v>
      </c>
      <c r="DA377">
        <v>45595</v>
      </c>
      <c r="DB377" t="s">
        <v>4177</v>
      </c>
      <c r="DC377">
        <v>-4.070556309362483E-3</v>
      </c>
      <c r="DD377">
        <v>-402.2050963880688</v>
      </c>
      <c r="DE377" s="420" cm="1">
        <f t="array" ref="DE377">_xlfn.XLOOKUP("Дом 5"&amp;Реестр_Д5[[#This Row],[№]]&amp;Реестр_Д5[[#This Row],[Статус]],РД[Дом]&amp;РД[№ кв]&amp;РД[Состояние],РД[Дата подачи на регистрацию],"-",0)</f>
        <v>45595</v>
      </c>
    </row>
    <row r="378" spans="1:109" hidden="1" x14ac:dyDescent="0.25">
      <c r="A378" s="238">
        <v>377</v>
      </c>
      <c r="B378" s="238" t="s">
        <v>16</v>
      </c>
      <c r="C378" s="238">
        <v>23</v>
      </c>
      <c r="D378" s="238">
        <v>2</v>
      </c>
      <c r="E378" s="238">
        <v>0</v>
      </c>
      <c r="F378" s="238">
        <v>7.18</v>
      </c>
      <c r="G378" s="238"/>
      <c r="H378" s="238"/>
      <c r="I378">
        <v>7.18</v>
      </c>
      <c r="J378" s="238">
        <v>5.17</v>
      </c>
      <c r="K378" s="238">
        <v>3.72</v>
      </c>
      <c r="L378" s="238"/>
      <c r="M378" s="238"/>
      <c r="N378" s="238">
        <v>6.97</v>
      </c>
      <c r="O378" s="238">
        <v>2.97</v>
      </c>
      <c r="P378" s="238"/>
      <c r="R378" s="238">
        <v>2.97</v>
      </c>
      <c r="S378">
        <v>26.01</v>
      </c>
      <c r="T378">
        <v>23.04</v>
      </c>
      <c r="U378" s="238">
        <v>24.53</v>
      </c>
      <c r="V378">
        <v>24.35</v>
      </c>
      <c r="W378" s="238">
        <v>98989.695000000007</v>
      </c>
      <c r="X378">
        <v>4949.4847500000005</v>
      </c>
      <c r="Y378">
        <v>103939.17975</v>
      </c>
      <c r="Z378">
        <v>3118.1753925000003</v>
      </c>
      <c r="AA378">
        <v>107057.3551425</v>
      </c>
      <c r="AB378">
        <v>13917.456168524999</v>
      </c>
      <c r="AC378">
        <v>120974.811311025</v>
      </c>
      <c r="AD378">
        <v>1209.74811311025</v>
      </c>
      <c r="AE378">
        <v>122184.55942413524</v>
      </c>
      <c r="AG378">
        <v>122184.55942413524</v>
      </c>
      <c r="AI378">
        <v>122184.55942413524</v>
      </c>
      <c r="AJ378">
        <v>1221.8455942413525</v>
      </c>
      <c r="AK378">
        <v>123406.40501837659</v>
      </c>
      <c r="AL378">
        <v>6170.3202509188304</v>
      </c>
      <c r="AM378">
        <v>129576.72526929544</v>
      </c>
      <c r="AO378">
        <v>129576.72526929544</v>
      </c>
      <c r="AP378">
        <v>3887.3017580788623</v>
      </c>
      <c r="AQ378">
        <v>133464.02702737431</v>
      </c>
      <c r="AS378">
        <v>133464.02702737431</v>
      </c>
      <c r="AU378">
        <v>133464.02702737431</v>
      </c>
      <c r="AW378">
        <v>133464.02702737431</v>
      </c>
      <c r="AX378">
        <v>1334.640270273743</v>
      </c>
      <c r="AY378">
        <v>134798.66729764806</v>
      </c>
      <c r="BA378">
        <v>134798.66729764806</v>
      </c>
      <c r="BB378">
        <v>673.99333648824029</v>
      </c>
      <c r="BC378">
        <v>135472.66063413629</v>
      </c>
      <c r="BE378">
        <v>135472.66063413629</v>
      </c>
      <c r="BF378">
        <v>2032.0899095120444</v>
      </c>
      <c r="BG378">
        <v>137504.75054364835</v>
      </c>
      <c r="BI378">
        <v>137504.75054364835</v>
      </c>
      <c r="BK378">
        <v>137504.75054364835</v>
      </c>
      <c r="BM378">
        <v>137504.75054364835</v>
      </c>
      <c r="BO378">
        <v>137504.75054364835</v>
      </c>
      <c r="BQ378">
        <v>137504.75054364835</v>
      </c>
      <c r="BS378">
        <v>137504.75054364835</v>
      </c>
      <c r="BT378" s="238">
        <v>137504.75</v>
      </c>
      <c r="BU378" s="238">
        <v>3373000</v>
      </c>
      <c r="BX378" s="238">
        <v>0</v>
      </c>
      <c r="BY378" s="238">
        <v>137505.09580105991</v>
      </c>
      <c r="BZ378" s="238">
        <v>3373000</v>
      </c>
      <c r="CA378" s="238" t="s">
        <v>38</v>
      </c>
      <c r="CB378">
        <v>20000</v>
      </c>
      <c r="CC378">
        <v>157505.09580105991</v>
      </c>
      <c r="CD378" s="238">
        <v>490600</v>
      </c>
      <c r="CE378" s="238">
        <v>3863600</v>
      </c>
      <c r="CH378" s="238" t="s">
        <v>39</v>
      </c>
      <c r="CI378" s="238" t="s">
        <v>39</v>
      </c>
      <c r="CJ378" t="s">
        <v>8950</v>
      </c>
      <c r="CK378" t="s">
        <v>1167</v>
      </c>
      <c r="CL378" t="s">
        <v>8961</v>
      </c>
      <c r="CM378" t="s">
        <v>8970</v>
      </c>
      <c r="CN378" s="238" t="b">
        <v>1</v>
      </c>
      <c r="CO378" t="s">
        <v>5666</v>
      </c>
      <c r="CQ378" t="s">
        <v>6652</v>
      </c>
      <c r="CR378" t="s">
        <v>3246</v>
      </c>
      <c r="CS378" t="s">
        <v>38</v>
      </c>
      <c r="CT378" t="b">
        <v>1</v>
      </c>
      <c r="CU378">
        <v>3373000</v>
      </c>
      <c r="CV378" t="s">
        <v>9002</v>
      </c>
      <c r="CW378">
        <v>0</v>
      </c>
      <c r="CX378">
        <v>3373000</v>
      </c>
      <c r="CY378">
        <v>0</v>
      </c>
      <c r="CZ378" t="b">
        <v>1</v>
      </c>
      <c r="DA378">
        <v>45544</v>
      </c>
      <c r="DB378" t="s">
        <v>4177</v>
      </c>
      <c r="DC378">
        <v>-7.337953526294517E-3</v>
      </c>
      <c r="DD378">
        <v>-1009.0060026168528</v>
      </c>
      <c r="DE378" s="420" cm="1">
        <f t="array" ref="DE378">_xlfn.XLOOKUP("Дом 5"&amp;Реестр_Д5[[#This Row],[№]]&amp;Реестр_Д5[[#This Row],[Статус]],РД[Дом]&amp;РД[№ кв]&amp;РД[Состояние],РД[Дата подачи на регистрацию],"-",0)</f>
        <v>45544</v>
      </c>
    </row>
    <row r="379" spans="1:109" x14ac:dyDescent="0.25">
      <c r="A379" s="238">
        <v>378</v>
      </c>
      <c r="B379" s="238" t="s">
        <v>16</v>
      </c>
      <c r="C379" s="238">
        <v>23</v>
      </c>
      <c r="D379" s="238">
        <v>3</v>
      </c>
      <c r="E379" s="238">
        <v>2</v>
      </c>
      <c r="F379" s="238">
        <v>13.69</v>
      </c>
      <c r="G379" s="238">
        <v>10.16</v>
      </c>
      <c r="H379" s="238"/>
      <c r="I379">
        <v>23.85</v>
      </c>
      <c r="J379" s="238">
        <v>18.71</v>
      </c>
      <c r="K379" s="238">
        <v>3.49</v>
      </c>
      <c r="L379" s="238">
        <v>2.11</v>
      </c>
      <c r="M379" s="238"/>
      <c r="N379" s="238">
        <v>7.09</v>
      </c>
      <c r="O379" s="238">
        <v>2.65</v>
      </c>
      <c r="P379" s="238"/>
      <c r="R379" s="238">
        <v>2.65</v>
      </c>
      <c r="S379">
        <v>57.9</v>
      </c>
      <c r="T379">
        <v>55.25</v>
      </c>
      <c r="U379" s="238">
        <v>56.58</v>
      </c>
      <c r="V379">
        <v>56.45</v>
      </c>
      <c r="W379" s="238">
        <v>86485.392000000007</v>
      </c>
      <c r="X379">
        <v>4324.2696000000005</v>
      </c>
      <c r="Y379">
        <v>90809.661600000007</v>
      </c>
      <c r="Z379">
        <v>2724.2898479999999</v>
      </c>
      <c r="AA379">
        <v>93533.951448000007</v>
      </c>
      <c r="AC379">
        <v>93533.951448000007</v>
      </c>
      <c r="AE379">
        <v>93533.951448000007</v>
      </c>
      <c r="AG379">
        <v>93533.951448000007</v>
      </c>
      <c r="AI379">
        <v>93533.951448000007</v>
      </c>
      <c r="AJ379">
        <v>935.33951448000005</v>
      </c>
      <c r="AK379">
        <v>94469.290962480023</v>
      </c>
      <c r="AL379">
        <v>4723.4645481240004</v>
      </c>
      <c r="AM379">
        <v>99192.755510604009</v>
      </c>
      <c r="AO379">
        <v>99192.755510604009</v>
      </c>
      <c r="AP379">
        <v>1983.8551102120805</v>
      </c>
      <c r="AQ379">
        <v>101176.61062081608</v>
      </c>
      <c r="AS379">
        <v>101176.61062081608</v>
      </c>
      <c r="AT379">
        <v>2023.532212416322</v>
      </c>
      <c r="AU379">
        <v>103200.1428332324</v>
      </c>
      <c r="AV379">
        <v>150</v>
      </c>
      <c r="AW379">
        <v>103350.1428332324</v>
      </c>
      <c r="AX379">
        <v>1033.5014283323242</v>
      </c>
      <c r="AY379">
        <v>104383.64426156474</v>
      </c>
      <c r="BA379">
        <v>104383.64426156474</v>
      </c>
      <c r="BC379">
        <v>104383.64426156474</v>
      </c>
      <c r="BE379">
        <v>104383.64426156474</v>
      </c>
      <c r="BF379">
        <v>2609.5911065391188</v>
      </c>
      <c r="BG379">
        <v>106993.23536810384</v>
      </c>
      <c r="BH379">
        <v>500</v>
      </c>
      <c r="BI379">
        <v>107493.23536810384</v>
      </c>
      <c r="BJ379">
        <v>4299.7294147241537</v>
      </c>
      <c r="BK379">
        <v>111792.964782828</v>
      </c>
      <c r="BL379">
        <v>6707.5778869696796</v>
      </c>
      <c r="BM379">
        <v>118500.54266979768</v>
      </c>
      <c r="BN379">
        <v>15405.070547073699</v>
      </c>
      <c r="BO379">
        <v>133905.61321687137</v>
      </c>
      <c r="BP379">
        <v>35</v>
      </c>
      <c r="BQ379">
        <v>133940.61321687137</v>
      </c>
      <c r="BR379">
        <v>1339.4061321687136</v>
      </c>
      <c r="BS379">
        <v>135280.01934904009</v>
      </c>
      <c r="BT379" s="238">
        <v>135280.01999999999</v>
      </c>
      <c r="BU379" s="238">
        <v>7636600</v>
      </c>
      <c r="BX379" s="238">
        <v>0</v>
      </c>
      <c r="BY379" s="238">
        <v>135280.77945084145</v>
      </c>
      <c r="BZ379" s="238">
        <v>7636600</v>
      </c>
      <c r="CA379" s="238" t="s">
        <v>36</v>
      </c>
      <c r="CC379">
        <v>135280.77945084145</v>
      </c>
      <c r="CD379" s="238">
        <v>0</v>
      </c>
      <c r="CE379" s="238">
        <v>7636600</v>
      </c>
      <c r="CF379" t="s">
        <v>4633</v>
      </c>
      <c r="CH379" s="238" t="s">
        <v>3</v>
      </c>
      <c r="CI379" s="238" t="s">
        <v>3</v>
      </c>
      <c r="CJ379" t="s">
        <v>8951</v>
      </c>
      <c r="CK379" t="s">
        <v>1167</v>
      </c>
      <c r="CL379" t="s">
        <v>8961</v>
      </c>
      <c r="CM379" t="s">
        <v>8971</v>
      </c>
      <c r="CN379" s="238" t="b">
        <v>1</v>
      </c>
      <c r="CO379" t="s">
        <v>5667</v>
      </c>
      <c r="CQ379" t="s">
        <v>6652</v>
      </c>
      <c r="CR379" t="s">
        <v>3124</v>
      </c>
      <c r="CS379" t="s">
        <v>36</v>
      </c>
      <c r="CT379" t="b">
        <v>1</v>
      </c>
      <c r="CU379">
        <v>7636600</v>
      </c>
      <c r="CV379">
        <v>7636600</v>
      </c>
      <c r="CW379">
        <v>0</v>
      </c>
      <c r="CX379">
        <v>0</v>
      </c>
      <c r="CY379">
        <v>0</v>
      </c>
      <c r="CZ379" t="b">
        <v>1</v>
      </c>
      <c r="DA379" t="s">
        <v>4246</v>
      </c>
      <c r="DB379" t="s">
        <v>1167</v>
      </c>
      <c r="DC379">
        <v>-2.2976316719688361E-3</v>
      </c>
      <c r="DD379">
        <v>-310.82540347488418</v>
      </c>
      <c r="DE379" s="420" t="str" cm="1">
        <f t="array" ref="DE37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0" spans="1:109" x14ac:dyDescent="0.25">
      <c r="A380" s="238">
        <v>379</v>
      </c>
      <c r="B380" s="238" t="s">
        <v>16</v>
      </c>
      <c r="C380" s="238">
        <v>23</v>
      </c>
      <c r="D380" s="238">
        <v>4</v>
      </c>
      <c r="E380" s="238">
        <v>2</v>
      </c>
      <c r="F380" s="238">
        <v>15.45</v>
      </c>
      <c r="G380" s="238">
        <v>10.34</v>
      </c>
      <c r="H380" s="238"/>
      <c r="I380">
        <v>25.79</v>
      </c>
      <c r="J380" s="238">
        <v>15.44</v>
      </c>
      <c r="K380" s="238">
        <v>4.59</v>
      </c>
      <c r="L380" s="238">
        <v>2.21</v>
      </c>
      <c r="M380" s="238"/>
      <c r="N380" s="238">
        <v>10.79</v>
      </c>
      <c r="O380" s="238">
        <v>2.84</v>
      </c>
      <c r="P380" s="238"/>
      <c r="R380" s="238">
        <v>2.84</v>
      </c>
      <c r="S380">
        <v>61.66</v>
      </c>
      <c r="T380">
        <v>58.82</v>
      </c>
      <c r="U380" s="238">
        <v>60.24</v>
      </c>
      <c r="V380">
        <v>60.150000000000006</v>
      </c>
      <c r="W380" s="238">
        <v>88415.869500000001</v>
      </c>
      <c r="X380">
        <v>4420.7934750000004</v>
      </c>
      <c r="Y380">
        <v>92836.662974999999</v>
      </c>
      <c r="Z380">
        <v>2785.0998892499997</v>
      </c>
      <c r="AA380">
        <v>95621.762864250006</v>
      </c>
      <c r="AC380">
        <v>95621.762864250006</v>
      </c>
      <c r="AE380">
        <v>95621.762864250006</v>
      </c>
      <c r="AG380">
        <v>95621.762864250006</v>
      </c>
      <c r="AI380">
        <v>95621.762864250006</v>
      </c>
      <c r="AJ380">
        <v>956.21762864250013</v>
      </c>
      <c r="AK380">
        <v>96577.9804928925</v>
      </c>
      <c r="AL380">
        <v>4828.8990246446256</v>
      </c>
      <c r="AM380">
        <v>101406.87951753712</v>
      </c>
      <c r="AO380">
        <v>101406.87951753712</v>
      </c>
      <c r="AP380">
        <v>2028.1375903507424</v>
      </c>
      <c r="AQ380">
        <v>103435.01710788786</v>
      </c>
      <c r="AS380">
        <v>103435.01710788786</v>
      </c>
      <c r="AT380">
        <v>2068.7003421577574</v>
      </c>
      <c r="AU380">
        <v>105503.71745004562</v>
      </c>
      <c r="AW380">
        <v>105503.71745004562</v>
      </c>
      <c r="AY380">
        <v>105503.71745004562</v>
      </c>
      <c r="BA380">
        <v>105503.71745004562</v>
      </c>
      <c r="BC380">
        <v>105503.71745004562</v>
      </c>
      <c r="BE380">
        <v>105503.71745004562</v>
      </c>
      <c r="BF380">
        <v>527.51858725022805</v>
      </c>
      <c r="BG380">
        <v>106031.23603729584</v>
      </c>
      <c r="BI380">
        <v>106031.23603729584</v>
      </c>
      <c r="BJ380">
        <v>4241.2494414918337</v>
      </c>
      <c r="BK380">
        <v>110272.48547878768</v>
      </c>
      <c r="BL380">
        <v>6616.3491287272609</v>
      </c>
      <c r="BM380">
        <v>116888.83460751496</v>
      </c>
      <c r="BN380">
        <v>15195.548498976945</v>
      </c>
      <c r="BO380">
        <v>132084.38310649188</v>
      </c>
      <c r="BP380">
        <v>35</v>
      </c>
      <c r="BQ380">
        <v>132119.38310649188</v>
      </c>
      <c r="BS380">
        <v>132119.38310649188</v>
      </c>
      <c r="BT380" s="238">
        <v>132119.38</v>
      </c>
      <c r="BU380" s="238">
        <v>7947000</v>
      </c>
      <c r="BX380" s="238">
        <v>0</v>
      </c>
      <c r="BY380" s="238">
        <v>132119.70074812966</v>
      </c>
      <c r="BZ380" s="238">
        <v>7947000</v>
      </c>
      <c r="CA380" s="238" t="s">
        <v>36</v>
      </c>
      <c r="CC380">
        <v>132119.70074812966</v>
      </c>
      <c r="CD380" s="238">
        <v>0</v>
      </c>
      <c r="CE380" s="238">
        <v>7947000</v>
      </c>
      <c r="CH380" s="238" t="s">
        <v>3</v>
      </c>
      <c r="CI380" s="238" t="s">
        <v>3</v>
      </c>
      <c r="CJ380" t="s">
        <v>8951</v>
      </c>
      <c r="CK380" t="s">
        <v>1167</v>
      </c>
      <c r="CL380" t="s">
        <v>8961</v>
      </c>
      <c r="CM380" t="s">
        <v>8971</v>
      </c>
      <c r="CN380" s="238" t="b">
        <v>1</v>
      </c>
      <c r="CO380" t="s">
        <v>5668</v>
      </c>
      <c r="CQ380" t="s">
        <v>6652</v>
      </c>
      <c r="CR380" t="s">
        <v>3124</v>
      </c>
      <c r="CS380" t="s">
        <v>6871</v>
      </c>
      <c r="CT380" t="b">
        <v>0</v>
      </c>
      <c r="CU380">
        <v>7947000</v>
      </c>
      <c r="CV380">
        <v>7947000</v>
      </c>
      <c r="CW380">
        <v>0</v>
      </c>
      <c r="CX380">
        <v>0</v>
      </c>
      <c r="CY380">
        <v>0</v>
      </c>
      <c r="CZ380" t="b">
        <v>1</v>
      </c>
      <c r="DA380" t="s">
        <v>4246</v>
      </c>
      <c r="DB380" t="s">
        <v>1167</v>
      </c>
      <c r="DC380">
        <v>-1.4940239043823578E-3</v>
      </c>
      <c r="DD380">
        <v>-197.38999115754939</v>
      </c>
      <c r="DE380" s="420" t="str" cm="1">
        <f t="array" ref="DE38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1" spans="1:109" x14ac:dyDescent="0.25">
      <c r="A381" s="238">
        <v>380</v>
      </c>
      <c r="B381" s="238" t="s">
        <v>16</v>
      </c>
      <c r="C381" s="238">
        <v>23</v>
      </c>
      <c r="D381" s="238">
        <v>5</v>
      </c>
      <c r="E381" s="238">
        <v>1</v>
      </c>
      <c r="F381" s="238">
        <v>12.54</v>
      </c>
      <c r="G381" s="238"/>
      <c r="H381" s="238"/>
      <c r="I381">
        <v>12.54</v>
      </c>
      <c r="J381" s="238">
        <v>12.74</v>
      </c>
      <c r="K381" s="238">
        <v>4.0199999999999996</v>
      </c>
      <c r="L381" s="238"/>
      <c r="M381" s="238"/>
      <c r="N381" s="238">
        <v>7.09</v>
      </c>
      <c r="O381" s="238">
        <v>2.84</v>
      </c>
      <c r="P381" s="238"/>
      <c r="R381" s="238">
        <v>2.84</v>
      </c>
      <c r="S381">
        <v>39.229999999999997</v>
      </c>
      <c r="T381">
        <v>36.39</v>
      </c>
      <c r="U381" s="238">
        <v>37.81</v>
      </c>
      <c r="V381">
        <v>37.4</v>
      </c>
      <c r="W381" s="238">
        <v>95712.75</v>
      </c>
      <c r="X381">
        <v>4785.6374999999998</v>
      </c>
      <c r="Y381">
        <v>100498.3875</v>
      </c>
      <c r="Z381">
        <v>3014.9516249999997</v>
      </c>
      <c r="AA381">
        <v>103513.339125</v>
      </c>
      <c r="AB381">
        <v>4658.1002606249995</v>
      </c>
      <c r="AC381">
        <v>108171.439385625</v>
      </c>
      <c r="AE381">
        <v>108171.439385625</v>
      </c>
      <c r="AF381">
        <v>5408.5719692812499</v>
      </c>
      <c r="AG381">
        <v>113580.01135490624</v>
      </c>
      <c r="AH381">
        <v>-620</v>
      </c>
      <c r="AI381">
        <v>112960.01135490624</v>
      </c>
      <c r="AJ381">
        <v>1129.6001135490626</v>
      </c>
      <c r="AK381">
        <v>114089.61146845532</v>
      </c>
      <c r="AL381">
        <v>5704.4805734227666</v>
      </c>
      <c r="AM381">
        <v>119794.09204187807</v>
      </c>
      <c r="AO381">
        <v>119794.09204187807</v>
      </c>
      <c r="AP381">
        <v>3593.8227612563423</v>
      </c>
      <c r="AQ381">
        <v>123387.91480313442</v>
      </c>
      <c r="AS381">
        <v>123387.91480313442</v>
      </c>
      <c r="AU381">
        <v>123387.91480313442</v>
      </c>
      <c r="AW381">
        <v>123387.91480313442</v>
      </c>
      <c r="AX381">
        <v>1233.8791480313444</v>
      </c>
      <c r="AY381">
        <v>124621.79395116576</v>
      </c>
      <c r="BA381">
        <v>124621.79395116576</v>
      </c>
      <c r="BC381">
        <v>124621.79395116576</v>
      </c>
      <c r="BE381">
        <v>124621.79395116576</v>
      </c>
      <c r="BF381">
        <v>623.10896975582887</v>
      </c>
      <c r="BG381">
        <v>125244.9029209216</v>
      </c>
      <c r="BI381">
        <v>125244.9029209216</v>
      </c>
      <c r="BK381">
        <v>125244.9029209216</v>
      </c>
      <c r="BL381">
        <v>6262.2451460460798</v>
      </c>
      <c r="BM381">
        <v>131507.14806696767</v>
      </c>
      <c r="BN381">
        <v>17095.929248705797</v>
      </c>
      <c r="BO381">
        <v>148603.07731567346</v>
      </c>
      <c r="BP381">
        <v>35</v>
      </c>
      <c r="BQ381">
        <v>148638.07731567346</v>
      </c>
      <c r="BS381">
        <v>148638.07731567346</v>
      </c>
      <c r="BT381" s="238">
        <v>148638.07999999999</v>
      </c>
      <c r="BU381" s="238">
        <v>5559100</v>
      </c>
      <c r="BX381" s="238">
        <v>0</v>
      </c>
      <c r="BY381" s="238">
        <v>148639.03743315508</v>
      </c>
      <c r="BZ381" s="238">
        <v>5559100</v>
      </c>
      <c r="CA381" s="238" t="s">
        <v>36</v>
      </c>
      <c r="CC381">
        <v>148639.03743315508</v>
      </c>
      <c r="CD381" s="238">
        <v>0</v>
      </c>
      <c r="CE381" s="238">
        <v>5559100</v>
      </c>
      <c r="CH381" s="238" t="s">
        <v>3</v>
      </c>
      <c r="CI381" s="238" t="s">
        <v>3</v>
      </c>
      <c r="CJ381" t="s">
        <v>8951</v>
      </c>
      <c r="CK381" t="s">
        <v>1167</v>
      </c>
      <c r="CL381" t="s">
        <v>8961</v>
      </c>
      <c r="CM381" t="s">
        <v>8973</v>
      </c>
      <c r="CN381" s="238" t="b">
        <v>1</v>
      </c>
      <c r="CO381" t="s">
        <v>5669</v>
      </c>
      <c r="CQ381" t="s">
        <v>6652</v>
      </c>
      <c r="CR381" t="s">
        <v>3124</v>
      </c>
      <c r="CS381" t="s">
        <v>36</v>
      </c>
      <c r="CT381" t="b">
        <v>1</v>
      </c>
      <c r="CU381">
        <v>5559100</v>
      </c>
      <c r="CV381">
        <v>5559100</v>
      </c>
      <c r="CW381">
        <v>0</v>
      </c>
      <c r="CX381">
        <v>0</v>
      </c>
      <c r="CY381">
        <v>0</v>
      </c>
      <c r="CZ381" t="b">
        <v>1</v>
      </c>
      <c r="DA381" t="s">
        <v>4246</v>
      </c>
      <c r="DB381" t="s">
        <v>1167</v>
      </c>
      <c r="DC381">
        <v>-1.0843692144935302E-2</v>
      </c>
      <c r="DD381">
        <v>-1611.7959626446482</v>
      </c>
      <c r="DE381" s="420" t="str" cm="1">
        <f t="array" ref="DE38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2" spans="1:109" x14ac:dyDescent="0.25">
      <c r="A382" s="238">
        <v>381</v>
      </c>
      <c r="B382" s="238" t="s">
        <v>16</v>
      </c>
      <c r="C382" s="238">
        <v>23</v>
      </c>
      <c r="D382" s="238">
        <v>6</v>
      </c>
      <c r="E382" s="238">
        <v>3</v>
      </c>
      <c r="F382" s="238">
        <v>17.2</v>
      </c>
      <c r="G382" s="238">
        <v>14.64</v>
      </c>
      <c r="H382" s="238">
        <v>14.34</v>
      </c>
      <c r="I382">
        <v>46.18</v>
      </c>
      <c r="J382" s="238">
        <v>13.15</v>
      </c>
      <c r="K382" s="238">
        <v>4.03</v>
      </c>
      <c r="L382" s="238">
        <v>1.76</v>
      </c>
      <c r="M382" s="238"/>
      <c r="N382" s="238">
        <v>13.11</v>
      </c>
      <c r="O382" s="238">
        <v>2.79</v>
      </c>
      <c r="P382" s="238">
        <v>2.68</v>
      </c>
      <c r="R382" s="238">
        <v>5.4700000000000006</v>
      </c>
      <c r="S382">
        <v>83.7</v>
      </c>
      <c r="T382">
        <v>78.23</v>
      </c>
      <c r="U382" s="238">
        <v>80.97</v>
      </c>
      <c r="V382">
        <v>80.45</v>
      </c>
      <c r="W382" s="238">
        <v>79230.690000000017</v>
      </c>
      <c r="X382">
        <v>3961.5345000000007</v>
      </c>
      <c r="Y382">
        <v>83192.224500000011</v>
      </c>
      <c r="Z382">
        <v>2495.7667350000002</v>
      </c>
      <c r="AA382">
        <v>85687.991235000023</v>
      </c>
      <c r="AC382">
        <v>85687.991235000023</v>
      </c>
      <c r="AE382">
        <v>85687.991235000023</v>
      </c>
      <c r="AG382">
        <v>85687.991235000023</v>
      </c>
      <c r="AI382">
        <v>85687.991235000023</v>
      </c>
      <c r="AJ382">
        <v>856.87991235000015</v>
      </c>
      <c r="AK382">
        <v>86544.871147350015</v>
      </c>
      <c r="AL382">
        <v>4327.2435573675011</v>
      </c>
      <c r="AM382">
        <v>90872.114704717518</v>
      </c>
      <c r="AO382">
        <v>90872.114704717518</v>
      </c>
      <c r="AP382">
        <v>1817.4422940943505</v>
      </c>
      <c r="AQ382">
        <v>92689.556998811866</v>
      </c>
      <c r="AS382">
        <v>92689.556998811866</v>
      </c>
      <c r="AT382">
        <v>1853.7911399762377</v>
      </c>
      <c r="AU382">
        <v>94543.348138788089</v>
      </c>
      <c r="AW382">
        <v>94543.348138788089</v>
      </c>
      <c r="AX382">
        <v>945.43348138788122</v>
      </c>
      <c r="AY382">
        <v>95488.781620175985</v>
      </c>
      <c r="BA382">
        <v>95488.781620175985</v>
      </c>
      <c r="BB382">
        <v>477.44390810087992</v>
      </c>
      <c r="BC382">
        <v>95966.22552827686</v>
      </c>
      <c r="BD382">
        <v>1919.3245105655371</v>
      </c>
      <c r="BE382">
        <v>97885.550038842397</v>
      </c>
      <c r="BF382">
        <v>1468.2832505826359</v>
      </c>
      <c r="BG382">
        <v>99353.833289425034</v>
      </c>
      <c r="BI382">
        <v>99353.833289425034</v>
      </c>
      <c r="BJ382">
        <v>3974.1533315770016</v>
      </c>
      <c r="BK382">
        <v>103327.98662100204</v>
      </c>
      <c r="BL382">
        <v>5166.3993310501028</v>
      </c>
      <c r="BM382">
        <v>108494.38595205214</v>
      </c>
      <c r="BN382">
        <v>14104.270173766778</v>
      </c>
      <c r="BO382">
        <v>122598.65612581892</v>
      </c>
      <c r="BP382">
        <v>35</v>
      </c>
      <c r="BQ382">
        <v>122633.65612581892</v>
      </c>
      <c r="BS382">
        <v>122633.65612581892</v>
      </c>
      <c r="BT382" s="238">
        <v>122633.66</v>
      </c>
      <c r="BU382" s="238">
        <v>9865900</v>
      </c>
      <c r="BX382" s="238">
        <v>0</v>
      </c>
      <c r="BY382" s="238">
        <v>122633.93412057178</v>
      </c>
      <c r="BZ382" s="238">
        <v>9865900</v>
      </c>
      <c r="CA382" s="238" t="s">
        <v>36</v>
      </c>
      <c r="CC382">
        <v>122633.93412057178</v>
      </c>
      <c r="CD382" s="238">
        <v>0</v>
      </c>
      <c r="CE382" s="238">
        <v>9865900</v>
      </c>
      <c r="CH382" s="238" t="s">
        <v>3</v>
      </c>
      <c r="CI382" s="238" t="s">
        <v>3</v>
      </c>
      <c r="CJ382" t="s">
        <v>8951</v>
      </c>
      <c r="CK382" t="s">
        <v>1167</v>
      </c>
      <c r="CL382" t="s">
        <v>8961</v>
      </c>
      <c r="CM382" t="s">
        <v>8975</v>
      </c>
      <c r="CN382" s="238" t="b">
        <v>1</v>
      </c>
      <c r="CO382" t="s">
        <v>5670</v>
      </c>
      <c r="CQ382" t="s">
        <v>6652</v>
      </c>
      <c r="CR382" t="s">
        <v>3124</v>
      </c>
      <c r="CS382" t="s">
        <v>36</v>
      </c>
      <c r="CT382" t="b">
        <v>1</v>
      </c>
      <c r="CU382">
        <v>9865900</v>
      </c>
      <c r="CV382">
        <v>9865900</v>
      </c>
      <c r="CW382">
        <v>0</v>
      </c>
      <c r="CX382">
        <v>0</v>
      </c>
      <c r="CY382">
        <v>0</v>
      </c>
      <c r="CZ382" t="b">
        <v>1</v>
      </c>
      <c r="DA382" t="s">
        <v>4246</v>
      </c>
      <c r="DB382" t="s">
        <v>1167</v>
      </c>
      <c r="DC382">
        <v>-6.4221316536988704E-3</v>
      </c>
      <c r="DD382">
        <v>-787.57127013334593</v>
      </c>
      <c r="DE382" s="420" t="str" cm="1">
        <f t="array" ref="DE38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3" spans="1:109" hidden="1" x14ac:dyDescent="0.25">
      <c r="A383" s="238">
        <v>382</v>
      </c>
      <c r="B383" s="238" t="s">
        <v>16</v>
      </c>
      <c r="C383" s="238">
        <v>23</v>
      </c>
      <c r="D383" s="238">
        <v>7</v>
      </c>
      <c r="E383" s="238">
        <v>1</v>
      </c>
      <c r="F383" s="238">
        <v>14.3</v>
      </c>
      <c r="G383" s="238"/>
      <c r="H383" s="238"/>
      <c r="I383">
        <v>14.3</v>
      </c>
      <c r="J383" s="238">
        <v>9.2799999999999994</v>
      </c>
      <c r="K383" s="238">
        <v>3.79</v>
      </c>
      <c r="L383" s="238"/>
      <c r="M383" s="238"/>
      <c r="N383" s="238">
        <v>6.08</v>
      </c>
      <c r="O383" s="238">
        <v>2.71</v>
      </c>
      <c r="P383" s="238"/>
      <c r="R383" s="238">
        <v>2.71</v>
      </c>
      <c r="S383">
        <v>36.159999999999997</v>
      </c>
      <c r="T383">
        <v>33.450000000000003</v>
      </c>
      <c r="U383" s="238">
        <v>34.81</v>
      </c>
      <c r="V383">
        <v>34.549999999999997</v>
      </c>
      <c r="W383" s="238">
        <v>91251.5625</v>
      </c>
      <c r="X383">
        <v>4562.578125</v>
      </c>
      <c r="Y383">
        <v>95814.140625</v>
      </c>
      <c r="AA383">
        <v>95814.140625</v>
      </c>
      <c r="AC383">
        <v>95814.140625</v>
      </c>
      <c r="AE383">
        <v>95814.140625</v>
      </c>
      <c r="AG383">
        <v>95814.140625</v>
      </c>
      <c r="AI383">
        <v>95814.140625</v>
      </c>
      <c r="AK383">
        <v>95814.140625</v>
      </c>
      <c r="AM383">
        <v>95814.140625</v>
      </c>
      <c r="AO383">
        <v>95814.140625</v>
      </c>
      <c r="AQ383">
        <v>95814.140625</v>
      </c>
      <c r="AS383">
        <v>95814.140625</v>
      </c>
      <c r="AU383">
        <v>95814.140625</v>
      </c>
      <c r="AW383">
        <v>95814.140625</v>
      </c>
      <c r="AY383">
        <v>95814.140625</v>
      </c>
      <c r="BA383">
        <v>95814.140625</v>
      </c>
      <c r="BC383">
        <v>95814.140625</v>
      </c>
      <c r="BE383">
        <v>95814.140625</v>
      </c>
      <c r="BG383">
        <v>95814.140625</v>
      </c>
      <c r="BI383">
        <v>95814.140625</v>
      </c>
      <c r="BK383">
        <v>95814.140625</v>
      </c>
      <c r="BM383">
        <v>95814.140625</v>
      </c>
      <c r="BO383">
        <v>95814.140625</v>
      </c>
      <c r="BQ383">
        <v>95814.140625</v>
      </c>
      <c r="BS383">
        <v>95814.140625</v>
      </c>
      <c r="BT383" s="238">
        <v>95814.14</v>
      </c>
      <c r="BU383" s="238">
        <v>3335290.21</v>
      </c>
      <c r="BX383" s="238">
        <v>0</v>
      </c>
      <c r="BY383" s="238">
        <v>95814.139902326919</v>
      </c>
      <c r="BZ383" s="238">
        <v>3335290.21</v>
      </c>
      <c r="CA383" s="238" t="s">
        <v>37</v>
      </c>
      <c r="CB383">
        <v>5000</v>
      </c>
      <c r="CC383">
        <v>100814.1399023269</v>
      </c>
      <c r="CD383" s="238">
        <v>174050</v>
      </c>
      <c r="CE383" s="238">
        <v>3509340.21</v>
      </c>
      <c r="CF383" t="s">
        <v>4633</v>
      </c>
      <c r="CH383" s="238" t="s">
        <v>39</v>
      </c>
      <c r="CI383" s="238" t="s">
        <v>39</v>
      </c>
      <c r="CJ383" t="s">
        <v>8950</v>
      </c>
      <c r="CK383" t="s">
        <v>1167</v>
      </c>
      <c r="CL383" t="s">
        <v>8961</v>
      </c>
      <c r="CM383" t="s">
        <v>8973</v>
      </c>
      <c r="CN383" s="238" t="b">
        <v>1</v>
      </c>
      <c r="CO383" t="s">
        <v>5671</v>
      </c>
      <c r="CQ383" t="s">
        <v>4895</v>
      </c>
      <c r="CR383" t="s">
        <v>3246</v>
      </c>
      <c r="CS383" t="s">
        <v>37</v>
      </c>
      <c r="CT383" t="b">
        <v>1</v>
      </c>
      <c r="CU383">
        <v>3335290.21</v>
      </c>
      <c r="CV383" t="s">
        <v>9002</v>
      </c>
      <c r="CW383">
        <v>3335290</v>
      </c>
      <c r="CX383">
        <v>3335290</v>
      </c>
      <c r="CY383">
        <v>0</v>
      </c>
      <c r="CZ383" t="b">
        <v>1</v>
      </c>
      <c r="DA383">
        <v>45217</v>
      </c>
      <c r="DB383" t="s">
        <v>126</v>
      </c>
      <c r="DC383">
        <v>-7.4691180695204418E-3</v>
      </c>
      <c r="DD383">
        <v>-715.64712366002948</v>
      </c>
      <c r="DE383" s="420" cm="1">
        <f t="array" ref="DE383">_xlfn.XLOOKUP("Дом 5"&amp;Реестр_Д5[[#This Row],[№]]&amp;Реестр_Д5[[#This Row],[Статус]],РД[Дом]&amp;РД[№ кв]&amp;РД[Состояние],РД[Дата подачи на регистрацию],"-",0)</f>
        <v>45217</v>
      </c>
    </row>
    <row r="384" spans="1:109" x14ac:dyDescent="0.25">
      <c r="A384" s="238">
        <v>383</v>
      </c>
      <c r="B384" s="238" t="s">
        <v>16</v>
      </c>
      <c r="C384" s="238">
        <v>24</v>
      </c>
      <c r="D384" s="238">
        <v>1</v>
      </c>
      <c r="E384" s="238">
        <v>2</v>
      </c>
      <c r="F384" s="238">
        <v>17.63</v>
      </c>
      <c r="G384" s="238">
        <v>13.69</v>
      </c>
      <c r="H384" s="238"/>
      <c r="I384">
        <v>31.32</v>
      </c>
      <c r="J384" s="238">
        <v>20.05</v>
      </c>
      <c r="K384" s="238">
        <v>3.54</v>
      </c>
      <c r="L384" s="238">
        <v>2.93</v>
      </c>
      <c r="M384" s="238"/>
      <c r="N384" s="238">
        <v>12.19</v>
      </c>
      <c r="O384" s="238">
        <v>4.6500000000000004</v>
      </c>
      <c r="P384" s="238">
        <v>2.68</v>
      </c>
      <c r="R384" s="238">
        <v>7.33</v>
      </c>
      <c r="S384">
        <v>77.36</v>
      </c>
      <c r="T384">
        <v>70.03</v>
      </c>
      <c r="U384" s="238">
        <v>73.7</v>
      </c>
      <c r="V384">
        <v>73.149999999999977</v>
      </c>
      <c r="W384" s="238">
        <v>86485.392000000007</v>
      </c>
      <c r="X384">
        <v>4324.2696000000005</v>
      </c>
      <c r="Y384">
        <v>90809.661600000007</v>
      </c>
      <c r="Z384">
        <v>2724.2898479999999</v>
      </c>
      <c r="AA384">
        <v>93533.951448000007</v>
      </c>
      <c r="AC384">
        <v>93533.951448000007</v>
      </c>
      <c r="AE384">
        <v>93533.951448000007</v>
      </c>
      <c r="AG384">
        <v>93533.951448000007</v>
      </c>
      <c r="AI384">
        <v>93533.951448000007</v>
      </c>
      <c r="AJ384">
        <v>935.33951448000005</v>
      </c>
      <c r="AK384">
        <v>94469.290962480023</v>
      </c>
      <c r="AL384">
        <v>4723.4645481240004</v>
      </c>
      <c r="AM384">
        <v>99192.755510604009</v>
      </c>
      <c r="AO384">
        <v>99192.755510604009</v>
      </c>
      <c r="AP384">
        <v>1983.8551102120805</v>
      </c>
      <c r="AQ384">
        <v>101176.61062081608</v>
      </c>
      <c r="AS384">
        <v>101176.61062081608</v>
      </c>
      <c r="AT384">
        <v>2023.532212416322</v>
      </c>
      <c r="AU384">
        <v>103200.1428332324</v>
      </c>
      <c r="AW384">
        <v>103200.1428332324</v>
      </c>
      <c r="AY384">
        <v>103200.1428332324</v>
      </c>
      <c r="BA384">
        <v>103200.1428332324</v>
      </c>
      <c r="BC384">
        <v>103200.1428332324</v>
      </c>
      <c r="BE384">
        <v>103200.1428332324</v>
      </c>
      <c r="BF384">
        <v>516.00071416616208</v>
      </c>
      <c r="BG384">
        <v>103716.14354739858</v>
      </c>
      <c r="BI384">
        <v>103716.14354739858</v>
      </c>
      <c r="BK384">
        <v>103716.14354739858</v>
      </c>
      <c r="BL384">
        <v>8297.291483791887</v>
      </c>
      <c r="BM384">
        <v>112013.43503119046</v>
      </c>
      <c r="BN384">
        <v>14561.74655405476</v>
      </c>
      <c r="BO384">
        <v>126575.1815852452</v>
      </c>
      <c r="BP384">
        <v>35</v>
      </c>
      <c r="BQ384">
        <v>126610.1815852452</v>
      </c>
      <c r="BS384">
        <v>126610.1815852452</v>
      </c>
      <c r="BT384" s="238">
        <v>126610.18</v>
      </c>
      <c r="BU384" s="238">
        <v>9261600</v>
      </c>
      <c r="BX384" s="238">
        <v>0</v>
      </c>
      <c r="BY384" s="238">
        <v>126611.07313738894</v>
      </c>
      <c r="BZ384" s="238">
        <v>9261600</v>
      </c>
      <c r="CA384" s="238" t="s">
        <v>36</v>
      </c>
      <c r="CC384">
        <v>126611.07313738894</v>
      </c>
      <c r="CD384" s="238">
        <v>0</v>
      </c>
      <c r="CE384" s="238">
        <v>9261600</v>
      </c>
      <c r="CF384" t="s">
        <v>4635</v>
      </c>
      <c r="CH384" s="238" t="s">
        <v>3</v>
      </c>
      <c r="CI384" s="238" t="s">
        <v>3</v>
      </c>
      <c r="CJ384" t="s">
        <v>8951</v>
      </c>
      <c r="CK384" t="s">
        <v>1167</v>
      </c>
      <c r="CL384" t="s">
        <v>8961</v>
      </c>
      <c r="CM384" t="s">
        <v>8971</v>
      </c>
      <c r="CN384" s="238" t="b">
        <v>1</v>
      </c>
      <c r="CO384" t="s">
        <v>5672</v>
      </c>
      <c r="CQ384" t="s">
        <v>6652</v>
      </c>
      <c r="CR384" t="s">
        <v>3124</v>
      </c>
      <c r="CS384" t="s">
        <v>6871</v>
      </c>
      <c r="CT384" t="b">
        <v>0</v>
      </c>
      <c r="CU384">
        <v>9261600</v>
      </c>
      <c r="CV384">
        <v>9261600</v>
      </c>
      <c r="CW384">
        <v>0</v>
      </c>
      <c r="CX384">
        <v>0</v>
      </c>
      <c r="CY384">
        <v>0</v>
      </c>
      <c r="CZ384" t="b">
        <v>1</v>
      </c>
      <c r="DA384" t="s">
        <v>4246</v>
      </c>
      <c r="DB384" t="s">
        <v>1167</v>
      </c>
      <c r="DC384">
        <v>-7.4626865671643117E-3</v>
      </c>
      <c r="DD384">
        <v>-944.85875475665068</v>
      </c>
      <c r="DE384" s="420" t="str" cm="1">
        <f t="array" ref="DE38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5" spans="1:109" hidden="1" x14ac:dyDescent="0.25">
      <c r="A385" s="238">
        <v>384</v>
      </c>
      <c r="B385" s="238" t="s">
        <v>16</v>
      </c>
      <c r="C385" s="238">
        <v>24</v>
      </c>
      <c r="D385" s="238">
        <v>2</v>
      </c>
      <c r="E385" s="238">
        <v>0</v>
      </c>
      <c r="F385" s="238">
        <v>7.18</v>
      </c>
      <c r="G385" s="238"/>
      <c r="H385" s="238"/>
      <c r="I385">
        <v>7.18</v>
      </c>
      <c r="J385" s="238">
        <v>5.17</v>
      </c>
      <c r="K385" s="238">
        <v>3.72</v>
      </c>
      <c r="L385" s="238"/>
      <c r="M385" s="238"/>
      <c r="N385" s="238">
        <v>6.97</v>
      </c>
      <c r="O385" s="238">
        <v>2.97</v>
      </c>
      <c r="P385" s="238"/>
      <c r="R385" s="238">
        <v>2.97</v>
      </c>
      <c r="S385">
        <v>26.01</v>
      </c>
      <c r="T385">
        <v>23.04</v>
      </c>
      <c r="U385" s="238">
        <v>24.53</v>
      </c>
      <c r="V385">
        <v>24.6</v>
      </c>
      <c r="W385" s="238">
        <v>99865.71</v>
      </c>
      <c r="Y385">
        <v>99865.71</v>
      </c>
      <c r="AA385">
        <v>99865.71</v>
      </c>
      <c r="AC385">
        <v>99865.71</v>
      </c>
      <c r="AE385">
        <v>99865.71</v>
      </c>
      <c r="AG385">
        <v>99865.71</v>
      </c>
      <c r="AI385">
        <v>99865.71</v>
      </c>
      <c r="AK385">
        <v>99865.71</v>
      </c>
      <c r="AM385">
        <v>99865.71</v>
      </c>
      <c r="AO385">
        <v>99865.71</v>
      </c>
      <c r="AQ385">
        <v>99865.71</v>
      </c>
      <c r="AS385">
        <v>99865.71</v>
      </c>
      <c r="AU385">
        <v>99865.71</v>
      </c>
      <c r="AW385">
        <v>99865.71</v>
      </c>
      <c r="AY385">
        <v>99865.71</v>
      </c>
      <c r="BA385">
        <v>99865.71</v>
      </c>
      <c r="BC385">
        <v>99865.71</v>
      </c>
      <c r="BE385">
        <v>99865.71</v>
      </c>
      <c r="BG385">
        <v>99865.71</v>
      </c>
      <c r="BI385">
        <v>99865.71</v>
      </c>
      <c r="BK385">
        <v>99865.71</v>
      </c>
      <c r="BM385">
        <v>99865.71</v>
      </c>
      <c r="BO385">
        <v>99865.71</v>
      </c>
      <c r="BQ385">
        <v>99865.71</v>
      </c>
      <c r="BS385">
        <v>99865.71</v>
      </c>
      <c r="BT385" s="238">
        <v>99865.71</v>
      </c>
      <c r="BU385" s="238">
        <v>2449705.87</v>
      </c>
      <c r="BX385" s="238">
        <v>0</v>
      </c>
      <c r="BY385" s="238">
        <v>99865.710150835715</v>
      </c>
      <c r="BZ385" s="238">
        <v>2449705.87</v>
      </c>
      <c r="CA385" s="238" t="s">
        <v>38</v>
      </c>
      <c r="CB385">
        <v>15500</v>
      </c>
      <c r="CC385">
        <v>115365.71015083572</v>
      </c>
      <c r="CD385" s="238">
        <v>380215</v>
      </c>
      <c r="CE385" s="238">
        <v>2829920.87</v>
      </c>
      <c r="CH385" s="238" t="s">
        <v>39</v>
      </c>
      <c r="CI385" s="238" t="s">
        <v>39</v>
      </c>
      <c r="CJ385" t="s">
        <v>8950</v>
      </c>
      <c r="CK385" t="s">
        <v>1167</v>
      </c>
      <c r="CL385" t="s">
        <v>8961</v>
      </c>
      <c r="CM385" t="s">
        <v>8970</v>
      </c>
      <c r="CN385" s="238" t="b">
        <v>1</v>
      </c>
      <c r="CO385" t="s">
        <v>5673</v>
      </c>
      <c r="CQ385" t="s">
        <v>4895</v>
      </c>
      <c r="CR385" t="s">
        <v>3246</v>
      </c>
      <c r="CS385" t="s">
        <v>38</v>
      </c>
      <c r="CT385" t="b">
        <v>1</v>
      </c>
      <c r="CU385">
        <v>2449705.87</v>
      </c>
      <c r="CV385" t="s">
        <v>9002</v>
      </c>
      <c r="CW385">
        <v>2449706</v>
      </c>
      <c r="CX385">
        <v>2449706</v>
      </c>
      <c r="CY385">
        <v>0</v>
      </c>
      <c r="CZ385" t="b">
        <v>1</v>
      </c>
      <c r="DA385">
        <v>45195</v>
      </c>
      <c r="DB385" t="s">
        <v>3901</v>
      </c>
      <c r="DC385">
        <v>2.8536485935588551E-3</v>
      </c>
      <c r="DD385">
        <v>284.98164331668863</v>
      </c>
      <c r="DE385" s="420" cm="1">
        <f t="array" ref="DE385">_xlfn.XLOOKUP("Дом 5"&amp;Реестр_Д5[[#This Row],[№]]&amp;Реестр_Д5[[#This Row],[Статус]],РД[Дом]&amp;РД[№ кв]&amp;РД[Состояние],РД[Дата подачи на регистрацию],"-",0)</f>
        <v>45195</v>
      </c>
    </row>
    <row r="386" spans="1:109" hidden="1" x14ac:dyDescent="0.25">
      <c r="A386" s="238">
        <v>385</v>
      </c>
      <c r="B386" s="238" t="s">
        <v>16</v>
      </c>
      <c r="C386" s="238">
        <v>24</v>
      </c>
      <c r="D386" s="238">
        <v>3</v>
      </c>
      <c r="E386" s="238">
        <v>2</v>
      </c>
      <c r="F386" s="238">
        <v>13.69</v>
      </c>
      <c r="G386" s="238">
        <v>10.16</v>
      </c>
      <c r="H386" s="238"/>
      <c r="I386">
        <v>23.85</v>
      </c>
      <c r="J386" s="238">
        <v>18.71</v>
      </c>
      <c r="K386" s="238">
        <v>3.49</v>
      </c>
      <c r="L386" s="238">
        <v>2.11</v>
      </c>
      <c r="M386" s="238"/>
      <c r="N386" s="238">
        <v>7.09</v>
      </c>
      <c r="O386" s="238">
        <v>2.65</v>
      </c>
      <c r="P386" s="238"/>
      <c r="R386" s="238">
        <v>2.65</v>
      </c>
      <c r="S386">
        <v>57.9</v>
      </c>
      <c r="T386">
        <v>55.25</v>
      </c>
      <c r="U386" s="238">
        <v>56.58</v>
      </c>
      <c r="V386">
        <v>56.45</v>
      </c>
      <c r="W386" s="238">
        <v>87257.583000000013</v>
      </c>
      <c r="X386">
        <v>4362.8791500000007</v>
      </c>
      <c r="Y386">
        <v>91620.462150000007</v>
      </c>
      <c r="Z386">
        <v>2748.6138645000001</v>
      </c>
      <c r="AA386">
        <v>94369.076014500009</v>
      </c>
      <c r="AC386">
        <v>94369.076014500009</v>
      </c>
      <c r="AE386">
        <v>94369.076014500009</v>
      </c>
      <c r="AG386">
        <v>94369.076014500009</v>
      </c>
      <c r="AI386">
        <v>94369.076014500009</v>
      </c>
      <c r="AK386">
        <v>94369.076014500009</v>
      </c>
      <c r="AM386">
        <v>94369.076014500009</v>
      </c>
      <c r="AO386">
        <v>94369.076014500009</v>
      </c>
      <c r="AQ386">
        <v>94369.076014500009</v>
      </c>
      <c r="AS386">
        <v>94369.076014500009</v>
      </c>
      <c r="AU386">
        <v>94369.076014500009</v>
      </c>
      <c r="AW386">
        <v>94369.076014500009</v>
      </c>
      <c r="AY386">
        <v>94369.076014500009</v>
      </c>
      <c r="BA386">
        <v>94369.076014500009</v>
      </c>
      <c r="BC386">
        <v>94369.076014500009</v>
      </c>
      <c r="BE386">
        <v>94369.076014500009</v>
      </c>
      <c r="BG386">
        <v>94369.076014500009</v>
      </c>
      <c r="BI386">
        <v>94369.076014500009</v>
      </c>
      <c r="BK386">
        <v>94369.076014500009</v>
      </c>
      <c r="BM386">
        <v>94369.076014500009</v>
      </c>
      <c r="BO386">
        <v>94369.076014500009</v>
      </c>
      <c r="BQ386">
        <v>94369.076014500009</v>
      </c>
      <c r="BS386">
        <v>94369.076014500009</v>
      </c>
      <c r="BT386" s="238">
        <v>94369.08</v>
      </c>
      <c r="BU386" s="238">
        <v>5339402.55</v>
      </c>
      <c r="BW386">
        <v>0.06</v>
      </c>
      <c r="BX386" s="238">
        <v>320364.15299999999</v>
      </c>
      <c r="BY386" s="238">
        <v>88706.935312831396</v>
      </c>
      <c r="BZ386" s="238">
        <v>5019038.4000000004</v>
      </c>
      <c r="CA386" s="238" t="s">
        <v>37</v>
      </c>
      <c r="CB386">
        <v>7500</v>
      </c>
      <c r="CC386">
        <v>96206.935312831396</v>
      </c>
      <c r="CD386" s="238">
        <v>424350</v>
      </c>
      <c r="CE386" s="238">
        <v>5443388.4000000004</v>
      </c>
      <c r="CF386" t="s">
        <v>4633</v>
      </c>
      <c r="CG386" t="s">
        <v>978</v>
      </c>
      <c r="CH386" s="238" t="s">
        <v>39</v>
      </c>
      <c r="CI386" s="238" t="s">
        <v>39</v>
      </c>
      <c r="CJ386" t="s">
        <v>8950</v>
      </c>
      <c r="CK386" t="s">
        <v>1167</v>
      </c>
      <c r="CL386" t="s">
        <v>8961</v>
      </c>
      <c r="CM386" t="s">
        <v>8971</v>
      </c>
      <c r="CN386" s="238" t="b">
        <v>1</v>
      </c>
      <c r="CO386" t="s">
        <v>5674</v>
      </c>
      <c r="CQ386" t="s">
        <v>4895</v>
      </c>
      <c r="CR386" t="s">
        <v>3246</v>
      </c>
      <c r="CS386" t="s">
        <v>37</v>
      </c>
      <c r="CT386" t="b">
        <v>1</v>
      </c>
      <c r="CU386">
        <v>5339402.55</v>
      </c>
      <c r="CV386" t="s">
        <v>9002</v>
      </c>
      <c r="CW386">
        <v>0</v>
      </c>
      <c r="CX386">
        <v>5339403</v>
      </c>
      <c r="CY386">
        <v>0</v>
      </c>
      <c r="CZ386" t="b">
        <v>1</v>
      </c>
      <c r="DA386">
        <v>45212</v>
      </c>
      <c r="DB386" t="s">
        <v>4177</v>
      </c>
      <c r="DC386">
        <v>-2.2976316719688361E-3</v>
      </c>
      <c r="DD386">
        <v>-203.8158640980522</v>
      </c>
      <c r="DE386" s="420" cm="1">
        <f t="array" ref="DE386">_xlfn.XLOOKUP("Дом 5"&amp;Реестр_Д5[[#This Row],[№]]&amp;Реестр_Д5[[#This Row],[Статус]],РД[Дом]&amp;РД[№ кв]&amp;РД[Состояние],РД[Дата подачи на регистрацию],"-",0)</f>
        <v>45212</v>
      </c>
    </row>
    <row r="387" spans="1:109" x14ac:dyDescent="0.25">
      <c r="A387" s="238">
        <v>386</v>
      </c>
      <c r="B387" s="238" t="s">
        <v>16</v>
      </c>
      <c r="C387" s="238">
        <v>24</v>
      </c>
      <c r="D387" s="238">
        <v>4</v>
      </c>
      <c r="E387" s="238">
        <v>2</v>
      </c>
      <c r="F387" s="238">
        <v>15.45</v>
      </c>
      <c r="G387" s="238">
        <v>10.34</v>
      </c>
      <c r="H387" s="238"/>
      <c r="I387">
        <v>25.79</v>
      </c>
      <c r="J387" s="238">
        <v>15.44</v>
      </c>
      <c r="K387" s="238">
        <v>4.59</v>
      </c>
      <c r="L387" s="238">
        <v>2.21</v>
      </c>
      <c r="M387" s="238"/>
      <c r="N387" s="238">
        <v>10.79</v>
      </c>
      <c r="O387" s="238">
        <v>2.84</v>
      </c>
      <c r="P387" s="238"/>
      <c r="R387" s="238">
        <v>2.84</v>
      </c>
      <c r="S387">
        <v>61.66</v>
      </c>
      <c r="T387">
        <v>58.82</v>
      </c>
      <c r="U387" s="238">
        <v>60.24</v>
      </c>
      <c r="V387">
        <v>59.850000000000009</v>
      </c>
      <c r="W387" s="238">
        <v>89188.060500000007</v>
      </c>
      <c r="X387">
        <v>4459.4030250000005</v>
      </c>
      <c r="Y387">
        <v>93647.463525000014</v>
      </c>
      <c r="Z387">
        <v>2809.4239057500004</v>
      </c>
      <c r="AA387">
        <v>96456.887430750023</v>
      </c>
      <c r="AC387">
        <v>96456.887430750023</v>
      </c>
      <c r="AE387">
        <v>96456.887430750023</v>
      </c>
      <c r="AG387">
        <v>96456.887430750023</v>
      </c>
      <c r="AI387">
        <v>96456.887430750023</v>
      </c>
      <c r="AJ387">
        <v>964.56887430749998</v>
      </c>
      <c r="AK387">
        <v>97421.456305057509</v>
      </c>
      <c r="AL387">
        <v>4871.0728152528754</v>
      </c>
      <c r="AM387">
        <v>102292.52912031038</v>
      </c>
      <c r="AO387">
        <v>102292.52912031038</v>
      </c>
      <c r="AP387">
        <v>2045.8505824062076</v>
      </c>
      <c r="AQ387">
        <v>104338.3797027166</v>
      </c>
      <c r="AS387">
        <v>104338.3797027166</v>
      </c>
      <c r="AT387">
        <v>2086.7675940543322</v>
      </c>
      <c r="AU387">
        <v>106425.14729677093</v>
      </c>
      <c r="AW387">
        <v>106425.14729677093</v>
      </c>
      <c r="AY387">
        <v>106425.14729677093</v>
      </c>
      <c r="BA387">
        <v>106425.14729677093</v>
      </c>
      <c r="BC387">
        <v>106425.14729677093</v>
      </c>
      <c r="BE387">
        <v>106425.14729677093</v>
      </c>
      <c r="BF387">
        <v>532.12573648385455</v>
      </c>
      <c r="BG387">
        <v>106957.27303325477</v>
      </c>
      <c r="BI387">
        <v>106957.27303325477</v>
      </c>
      <c r="BJ387">
        <v>4278.2909213301909</v>
      </c>
      <c r="BK387">
        <v>111235.56395458496</v>
      </c>
      <c r="BL387">
        <v>6674.133837275097</v>
      </c>
      <c r="BM387">
        <v>117909.69779186005</v>
      </c>
      <c r="BN387">
        <v>15328.260712941808</v>
      </c>
      <c r="BO387">
        <v>133237.95850480185</v>
      </c>
      <c r="BP387">
        <v>35</v>
      </c>
      <c r="BQ387">
        <v>133272.95850480185</v>
      </c>
      <c r="BS387">
        <v>133272.95850480185</v>
      </c>
      <c r="BT387" s="238">
        <v>133272.95999999999</v>
      </c>
      <c r="BU387" s="238">
        <v>7976400</v>
      </c>
      <c r="BX387" s="238">
        <v>0</v>
      </c>
      <c r="BY387" s="238">
        <v>133273.18295739347</v>
      </c>
      <c r="BZ387" s="238">
        <v>7976400</v>
      </c>
      <c r="CA387" s="238" t="s">
        <v>36</v>
      </c>
      <c r="CC387">
        <v>133273.18295739347</v>
      </c>
      <c r="CD387" s="238">
        <v>0</v>
      </c>
      <c r="CE387" s="238">
        <v>7976400</v>
      </c>
      <c r="CH387" s="238" t="s">
        <v>3</v>
      </c>
      <c r="CI387" s="238" t="s">
        <v>3</v>
      </c>
      <c r="CJ387" t="s">
        <v>8951</v>
      </c>
      <c r="CK387" t="s">
        <v>1167</v>
      </c>
      <c r="CL387" t="s">
        <v>8961</v>
      </c>
      <c r="CM387" t="s">
        <v>8971</v>
      </c>
      <c r="CN387" s="238" t="b">
        <v>1</v>
      </c>
      <c r="CO387" t="s">
        <v>5675</v>
      </c>
      <c r="CQ387" t="s">
        <v>6652</v>
      </c>
      <c r="CR387" t="s">
        <v>3124</v>
      </c>
      <c r="CS387" t="s">
        <v>36</v>
      </c>
      <c r="CT387" t="b">
        <v>1</v>
      </c>
      <c r="CU387">
        <v>7976400</v>
      </c>
      <c r="CV387">
        <v>7976400</v>
      </c>
      <c r="CW387">
        <v>0</v>
      </c>
      <c r="CX387">
        <v>0</v>
      </c>
      <c r="CY387">
        <v>0</v>
      </c>
      <c r="CZ387" t="b">
        <v>1</v>
      </c>
      <c r="DA387" t="s">
        <v>4246</v>
      </c>
      <c r="DB387" t="s">
        <v>1167</v>
      </c>
      <c r="DC387">
        <v>-6.4741035856572537E-3</v>
      </c>
      <c r="DD387">
        <v>-862.8243916564162</v>
      </c>
      <c r="DE387" s="420" t="str" cm="1">
        <f t="array" ref="DE38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8" spans="1:109" x14ac:dyDescent="0.25">
      <c r="A388" s="238">
        <v>387</v>
      </c>
      <c r="B388" s="238" t="s">
        <v>16</v>
      </c>
      <c r="C388" s="238">
        <v>24</v>
      </c>
      <c r="D388" s="238">
        <v>5</v>
      </c>
      <c r="E388" s="238">
        <v>1</v>
      </c>
      <c r="F388" s="238">
        <v>12.54</v>
      </c>
      <c r="G388" s="238"/>
      <c r="H388" s="238"/>
      <c r="I388">
        <v>12.54</v>
      </c>
      <c r="J388" s="238">
        <v>12.74</v>
      </c>
      <c r="K388" s="238">
        <v>4.0199999999999996</v>
      </c>
      <c r="L388" s="238"/>
      <c r="M388" s="238"/>
      <c r="N388" s="238">
        <v>7.09</v>
      </c>
      <c r="O388" s="238">
        <v>2.84</v>
      </c>
      <c r="P388" s="238"/>
      <c r="R388" s="238">
        <v>2.84</v>
      </c>
      <c r="S388">
        <v>39.229999999999997</v>
      </c>
      <c r="T388">
        <v>36.39</v>
      </c>
      <c r="U388" s="238">
        <v>37.81</v>
      </c>
      <c r="V388">
        <v>37.4</v>
      </c>
      <c r="W388" s="238">
        <v>96523.875</v>
      </c>
      <c r="X388">
        <v>4826.1937500000004</v>
      </c>
      <c r="Y388">
        <v>101350.06875000001</v>
      </c>
      <c r="Z388">
        <v>3040.5020625000002</v>
      </c>
      <c r="AA388">
        <v>104390.57081249999</v>
      </c>
      <c r="AB388">
        <v>4697.5756865624999</v>
      </c>
      <c r="AC388">
        <v>109088.14649906252</v>
      </c>
      <c r="AE388">
        <v>109088.14649906252</v>
      </c>
      <c r="AF388">
        <v>5454.4073249531257</v>
      </c>
      <c r="AG388">
        <v>114542.55382401565</v>
      </c>
      <c r="AH388">
        <v>-620</v>
      </c>
      <c r="AI388">
        <v>113922.55382401565</v>
      </c>
      <c r="AJ388">
        <v>1139.2255382401563</v>
      </c>
      <c r="AK388">
        <v>115061.77936225579</v>
      </c>
      <c r="AL388">
        <v>5753.0889681127901</v>
      </c>
      <c r="AM388">
        <v>120814.86833036858</v>
      </c>
      <c r="AO388">
        <v>120814.86833036858</v>
      </c>
      <c r="AP388">
        <v>3624.4460499110578</v>
      </c>
      <c r="AQ388">
        <v>124439.31438027964</v>
      </c>
      <c r="AS388">
        <v>124439.31438027964</v>
      </c>
      <c r="AU388">
        <v>124439.31438027964</v>
      </c>
      <c r="AW388">
        <v>124439.31438027964</v>
      </c>
      <c r="AX388">
        <v>1244.3931438027964</v>
      </c>
      <c r="AY388">
        <v>125683.70752408243</v>
      </c>
      <c r="BA388">
        <v>125683.70752408243</v>
      </c>
      <c r="BC388">
        <v>125683.70752408243</v>
      </c>
      <c r="BE388">
        <v>125683.70752408243</v>
      </c>
      <c r="BF388">
        <v>628.41853762041217</v>
      </c>
      <c r="BG388">
        <v>126312.12606170285</v>
      </c>
      <c r="BI388">
        <v>126312.12606170285</v>
      </c>
      <c r="BK388">
        <v>126312.12606170285</v>
      </c>
      <c r="BL388">
        <v>6315.6063030851428</v>
      </c>
      <c r="BM388">
        <v>132627.73236478798</v>
      </c>
      <c r="BN388">
        <v>17241.605207422439</v>
      </c>
      <c r="BO388">
        <v>149869.33757221041</v>
      </c>
      <c r="BP388">
        <v>35</v>
      </c>
      <c r="BQ388">
        <v>149904.33757221041</v>
      </c>
      <c r="BS388">
        <v>149904.33757221041</v>
      </c>
      <c r="BT388" s="238">
        <v>149904.34</v>
      </c>
      <c r="BU388" s="238">
        <v>5606500</v>
      </c>
      <c r="BX388" s="238">
        <v>0</v>
      </c>
      <c r="BY388" s="238">
        <v>149906.41711229947</v>
      </c>
      <c r="BZ388" s="238">
        <v>5606500</v>
      </c>
      <c r="CA388" s="238" t="s">
        <v>36</v>
      </c>
      <c r="CC388">
        <v>149906.41711229947</v>
      </c>
      <c r="CD388" s="238">
        <v>0</v>
      </c>
      <c r="CE388" s="238">
        <v>5606500</v>
      </c>
      <c r="CH388" s="238" t="s">
        <v>3</v>
      </c>
      <c r="CI388" s="238" t="s">
        <v>3</v>
      </c>
      <c r="CJ388" t="s">
        <v>8951</v>
      </c>
      <c r="CK388" t="s">
        <v>1167</v>
      </c>
      <c r="CL388" t="s">
        <v>8961</v>
      </c>
      <c r="CM388" t="s">
        <v>8973</v>
      </c>
      <c r="CN388" s="238" t="b">
        <v>1</v>
      </c>
      <c r="CO388" t="s">
        <v>5676</v>
      </c>
      <c r="CQ388" t="s">
        <v>6652</v>
      </c>
      <c r="CR388" t="s">
        <v>3124</v>
      </c>
      <c r="CS388" t="s">
        <v>36</v>
      </c>
      <c r="CT388" t="b">
        <v>1</v>
      </c>
      <c r="CU388">
        <v>5606500</v>
      </c>
      <c r="CV388">
        <v>5606500</v>
      </c>
      <c r="CW388">
        <v>0</v>
      </c>
      <c r="CX388">
        <v>0</v>
      </c>
      <c r="CY388">
        <v>0</v>
      </c>
      <c r="CZ388" t="b">
        <v>1</v>
      </c>
      <c r="DA388" t="s">
        <v>4246</v>
      </c>
      <c r="DB388" t="s">
        <v>1167</v>
      </c>
      <c r="DC388">
        <v>-1.0843692144935302E-2</v>
      </c>
      <c r="DD388">
        <v>-1625.5390377160368</v>
      </c>
      <c r="DE388" s="420" t="str" cm="1">
        <f t="array" ref="DE38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89" spans="1:109" hidden="1" x14ac:dyDescent="0.25">
      <c r="A389" s="238">
        <v>388</v>
      </c>
      <c r="B389" s="238" t="s">
        <v>16</v>
      </c>
      <c r="C389" s="238">
        <v>24</v>
      </c>
      <c r="D389" s="238">
        <v>6</v>
      </c>
      <c r="E389" s="238">
        <v>3</v>
      </c>
      <c r="F389" s="238">
        <v>17.2</v>
      </c>
      <c r="G389" s="238">
        <v>14.64</v>
      </c>
      <c r="H389" s="238">
        <v>14.34</v>
      </c>
      <c r="I389">
        <v>46.18</v>
      </c>
      <c r="J389" s="238">
        <v>13.15</v>
      </c>
      <c r="K389" s="238">
        <v>4.03</v>
      </c>
      <c r="L389" s="238">
        <v>1.76</v>
      </c>
      <c r="M389" s="238"/>
      <c r="N389" s="238">
        <v>13.11</v>
      </c>
      <c r="O389" s="238">
        <v>2.79</v>
      </c>
      <c r="P389" s="238">
        <v>2.68</v>
      </c>
      <c r="R389" s="238">
        <v>5.4700000000000006</v>
      </c>
      <c r="S389">
        <v>83.7</v>
      </c>
      <c r="T389">
        <v>78.23</v>
      </c>
      <c r="U389" s="238">
        <v>80.97</v>
      </c>
      <c r="V389">
        <v>80.500000000000014</v>
      </c>
      <c r="W389" s="238">
        <v>79944.48000000001</v>
      </c>
      <c r="X389">
        <v>3997.2240000000006</v>
      </c>
      <c r="Y389">
        <v>83941.704000000012</v>
      </c>
      <c r="Z389">
        <v>2518.2511200000004</v>
      </c>
      <c r="AA389">
        <v>86459.955120000013</v>
      </c>
      <c r="AC389">
        <v>86459.955120000013</v>
      </c>
      <c r="AE389">
        <v>86459.955120000013</v>
      </c>
      <c r="AG389">
        <v>86459.955120000013</v>
      </c>
      <c r="AI389">
        <v>86459.955120000013</v>
      </c>
      <c r="AJ389">
        <v>864.59955120000018</v>
      </c>
      <c r="AK389">
        <v>87324.554671200007</v>
      </c>
      <c r="AL389">
        <v>4366.2277335600002</v>
      </c>
      <c r="AM389">
        <v>91690.782404760001</v>
      </c>
      <c r="AO389">
        <v>91690.782404760001</v>
      </c>
      <c r="AP389">
        <v>1833.8156480952</v>
      </c>
      <c r="AQ389">
        <v>93524.598052855203</v>
      </c>
      <c r="AS389">
        <v>93524.598052855203</v>
      </c>
      <c r="AT389">
        <v>1870.4919610571039</v>
      </c>
      <c r="AU389">
        <v>95395.090013912297</v>
      </c>
      <c r="AW389">
        <v>95395.090013912297</v>
      </c>
      <c r="AY389">
        <v>95395.090013912297</v>
      </c>
      <c r="BA389">
        <v>95395.090013912297</v>
      </c>
      <c r="BC389">
        <v>95395.090013912297</v>
      </c>
      <c r="BE389">
        <v>95395.090013912297</v>
      </c>
      <c r="BG389">
        <v>95395.090013912297</v>
      </c>
      <c r="BI389">
        <v>95395.090013912297</v>
      </c>
      <c r="BK389">
        <v>95395.090013912297</v>
      </c>
      <c r="BM389">
        <v>95395.090013912297</v>
      </c>
      <c r="BO389">
        <v>95395.090013912297</v>
      </c>
      <c r="BQ389">
        <v>95395.090013912297</v>
      </c>
      <c r="BS389">
        <v>95395.090013912297</v>
      </c>
      <c r="BT389" s="238">
        <v>95395.09</v>
      </c>
      <c r="BU389" s="238">
        <v>7724200</v>
      </c>
      <c r="BV389">
        <v>90000</v>
      </c>
      <c r="BX389" s="238">
        <v>90000</v>
      </c>
      <c r="BY389" s="238">
        <v>94284.302828207961</v>
      </c>
      <c r="BZ389" s="238">
        <v>7634200</v>
      </c>
      <c r="CA389" s="238" t="s">
        <v>38</v>
      </c>
      <c r="CB389">
        <v>20000</v>
      </c>
      <c r="CC389">
        <v>114284.30282820798</v>
      </c>
      <c r="CD389" s="238">
        <v>1619400</v>
      </c>
      <c r="CE389" s="238">
        <v>9253600</v>
      </c>
      <c r="CG389" t="s">
        <v>7135</v>
      </c>
      <c r="CH389" s="238" t="s">
        <v>39</v>
      </c>
      <c r="CI389" s="238" t="s">
        <v>39</v>
      </c>
      <c r="CJ389" t="s">
        <v>8950</v>
      </c>
      <c r="CK389" t="s">
        <v>1167</v>
      </c>
      <c r="CL389" t="s">
        <v>8961</v>
      </c>
      <c r="CM389" t="s">
        <v>8975</v>
      </c>
      <c r="CN389" s="238" t="b">
        <v>1</v>
      </c>
      <c r="CO389" t="s">
        <v>5677</v>
      </c>
      <c r="CQ389" t="s">
        <v>6652</v>
      </c>
      <c r="CR389" t="s">
        <v>3246</v>
      </c>
      <c r="CS389" t="s">
        <v>38</v>
      </c>
      <c r="CT389" t="b">
        <v>1</v>
      </c>
      <c r="CU389">
        <v>7724200</v>
      </c>
      <c r="CV389" t="s">
        <v>9002</v>
      </c>
      <c r="CW389">
        <v>0</v>
      </c>
      <c r="CX389">
        <v>7724200</v>
      </c>
      <c r="CY389">
        <v>0</v>
      </c>
      <c r="CZ389" t="b">
        <v>1</v>
      </c>
      <c r="DA389">
        <v>45407</v>
      </c>
      <c r="DB389" t="s">
        <v>5215</v>
      </c>
      <c r="DC389">
        <v>-5.8046189946892035E-3</v>
      </c>
      <c r="DD389">
        <v>-547.28445509764504</v>
      </c>
      <c r="DE389" s="420" cm="1">
        <f t="array" ref="DE389">_xlfn.XLOOKUP("Дом 5"&amp;Реестр_Д5[[#This Row],[№]]&amp;Реестр_Д5[[#This Row],[Статус]],РД[Дом]&amp;РД[№ кв]&amp;РД[Состояние],РД[Дата подачи на регистрацию],"-",0)</f>
        <v>45407</v>
      </c>
    </row>
    <row r="390" spans="1:109" x14ac:dyDescent="0.25">
      <c r="A390" s="238">
        <v>389</v>
      </c>
      <c r="B390" s="238" t="s">
        <v>16</v>
      </c>
      <c r="C390" s="238">
        <v>24</v>
      </c>
      <c r="D390" s="238">
        <v>7</v>
      </c>
      <c r="E390" s="238">
        <v>1</v>
      </c>
      <c r="F390" s="238">
        <v>14.3</v>
      </c>
      <c r="G390" s="238"/>
      <c r="H390" s="238"/>
      <c r="I390">
        <v>14.3</v>
      </c>
      <c r="J390" s="238">
        <v>9.2799999999999994</v>
      </c>
      <c r="K390" s="238">
        <v>3.79</v>
      </c>
      <c r="L390" s="238"/>
      <c r="M390" s="238"/>
      <c r="N390" s="238">
        <v>6.08</v>
      </c>
      <c r="O390" s="238">
        <v>2.71</v>
      </c>
      <c r="P390" s="238"/>
      <c r="R390" s="238">
        <v>2.71</v>
      </c>
      <c r="S390">
        <v>36.159999999999997</v>
      </c>
      <c r="T390">
        <v>33.450000000000003</v>
      </c>
      <c r="U390" s="238">
        <v>34.81</v>
      </c>
      <c r="V390">
        <v>34.599999999999994</v>
      </c>
      <c r="W390" s="238">
        <v>92062.6875</v>
      </c>
      <c r="X390">
        <v>4603.1343750000005</v>
      </c>
      <c r="Y390">
        <v>96665.821874999994</v>
      </c>
      <c r="Z390">
        <v>2899.9746562499995</v>
      </c>
      <c r="AA390">
        <v>99565.796531249987</v>
      </c>
      <c r="AB390">
        <v>13939.211514375</v>
      </c>
      <c r="AC390">
        <v>113505.008045625</v>
      </c>
      <c r="AE390">
        <v>113505.008045625</v>
      </c>
      <c r="AF390">
        <v>5675.25040228125</v>
      </c>
      <c r="AG390">
        <v>119180.25844790624</v>
      </c>
      <c r="AI390">
        <v>119180.25844790624</v>
      </c>
      <c r="AJ390">
        <v>1191.8025844790625</v>
      </c>
      <c r="AK390">
        <v>120372.0610323853</v>
      </c>
      <c r="AL390">
        <v>6018.6030516192659</v>
      </c>
      <c r="AM390">
        <v>126390.66408400456</v>
      </c>
      <c r="AO390">
        <v>126390.66408400456</v>
      </c>
      <c r="AP390">
        <v>3791.7199225201366</v>
      </c>
      <c r="AQ390">
        <v>130182.38400652472</v>
      </c>
      <c r="AS390">
        <v>130182.38400652472</v>
      </c>
      <c r="AU390">
        <v>130182.38400652472</v>
      </c>
      <c r="AW390">
        <v>130182.38400652472</v>
      </c>
      <c r="AY390">
        <v>130182.38400652472</v>
      </c>
      <c r="BA390">
        <v>130182.38400652472</v>
      </c>
      <c r="BC390">
        <v>130182.38400652472</v>
      </c>
      <c r="BE390">
        <v>130182.38400652472</v>
      </c>
      <c r="BF390">
        <v>650.91192003262358</v>
      </c>
      <c r="BG390">
        <v>130833.29592655732</v>
      </c>
      <c r="BI390">
        <v>130833.29592655732</v>
      </c>
      <c r="BJ390">
        <v>2616.6659185311469</v>
      </c>
      <c r="BK390">
        <v>133449.96184508849</v>
      </c>
      <c r="BL390">
        <v>6672.4980922544246</v>
      </c>
      <c r="BM390">
        <v>140122.45993734291</v>
      </c>
      <c r="BN390">
        <v>18215.91979185458</v>
      </c>
      <c r="BO390">
        <v>158338.37972919748</v>
      </c>
      <c r="BP390">
        <v>35</v>
      </c>
      <c r="BQ390">
        <v>158373.37972919748</v>
      </c>
      <c r="BS390">
        <v>158373.37972919748</v>
      </c>
      <c r="BT390" s="238">
        <v>158373.38</v>
      </c>
      <c r="BU390" s="238">
        <v>5479800</v>
      </c>
      <c r="BX390" s="238">
        <v>0</v>
      </c>
      <c r="BY390" s="238">
        <v>158375.72254335263</v>
      </c>
      <c r="BZ390" s="238">
        <v>5479800</v>
      </c>
      <c r="CA390" s="238" t="s">
        <v>36</v>
      </c>
      <c r="CC390">
        <v>158375.72254335263</v>
      </c>
      <c r="CD390" s="238">
        <v>0</v>
      </c>
      <c r="CE390" s="238">
        <v>5479800</v>
      </c>
      <c r="CF390" t="s">
        <v>4633</v>
      </c>
      <c r="CH390" s="238" t="s">
        <v>3</v>
      </c>
      <c r="CI390" s="238" t="s">
        <v>3</v>
      </c>
      <c r="CJ390" t="s">
        <v>8951</v>
      </c>
      <c r="CK390" t="s">
        <v>1167</v>
      </c>
      <c r="CL390" t="s">
        <v>8961</v>
      </c>
      <c r="CM390" t="s">
        <v>8973</v>
      </c>
      <c r="CN390" s="238" t="b">
        <v>1</v>
      </c>
      <c r="CO390" t="s">
        <v>5678</v>
      </c>
      <c r="CQ390" t="s">
        <v>6652</v>
      </c>
      <c r="CR390" t="s">
        <v>3124</v>
      </c>
      <c r="CS390" t="s">
        <v>36</v>
      </c>
      <c r="CT390" t="b">
        <v>1</v>
      </c>
      <c r="CU390">
        <v>5479800</v>
      </c>
      <c r="CV390">
        <v>5479800</v>
      </c>
      <c r="CW390">
        <v>0</v>
      </c>
      <c r="CX390">
        <v>0</v>
      </c>
      <c r="CY390">
        <v>0</v>
      </c>
      <c r="CZ390" t="b">
        <v>1</v>
      </c>
      <c r="DA390" t="s">
        <v>4246</v>
      </c>
      <c r="DB390" t="s">
        <v>1167</v>
      </c>
      <c r="DC390">
        <v>-6.0327492099973004E-3</v>
      </c>
      <c r="DD390">
        <v>-955.4410150561622</v>
      </c>
      <c r="DE390" s="420" t="str" cm="1">
        <f t="array" ref="DE39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91" spans="1:109" x14ac:dyDescent="0.25">
      <c r="A391" s="238">
        <v>390</v>
      </c>
      <c r="B391" s="238" t="s">
        <v>15</v>
      </c>
      <c r="C391" s="238">
        <v>1</v>
      </c>
      <c r="D391" s="238">
        <v>1</v>
      </c>
      <c r="E391" s="238">
        <v>0</v>
      </c>
      <c r="F391" s="238">
        <v>13.74</v>
      </c>
      <c r="G391" s="238"/>
      <c r="H391" s="238"/>
      <c r="I391">
        <v>13.74</v>
      </c>
      <c r="J391" s="238">
        <v>5.84</v>
      </c>
      <c r="K391" s="238">
        <v>3.76</v>
      </c>
      <c r="L391" s="238"/>
      <c r="M391" s="238"/>
      <c r="N391" s="238">
        <v>3.73</v>
      </c>
      <c r="O391" s="238">
        <v>4.6500000000000004</v>
      </c>
      <c r="P391" s="238"/>
      <c r="R391" s="238">
        <v>4.6500000000000004</v>
      </c>
      <c r="S391">
        <v>31.72</v>
      </c>
      <c r="T391">
        <v>27.07</v>
      </c>
      <c r="U391" s="238">
        <v>29.4</v>
      </c>
      <c r="V391">
        <v>29.399999999999995</v>
      </c>
      <c r="W391" s="238">
        <v>98113.68</v>
      </c>
      <c r="X391">
        <v>4905.6840000000002</v>
      </c>
      <c r="Y391">
        <v>103019.364</v>
      </c>
      <c r="Z391">
        <v>3090.5809199999994</v>
      </c>
      <c r="AA391">
        <v>106109.94491999998</v>
      </c>
      <c r="AB391">
        <v>9549.8950427999971</v>
      </c>
      <c r="AC391">
        <v>115659.83996279998</v>
      </c>
      <c r="AE391">
        <v>115659.83996279998</v>
      </c>
      <c r="AG391">
        <v>115659.83996279998</v>
      </c>
      <c r="AI391">
        <v>115659.83996279998</v>
      </c>
      <c r="AJ391">
        <v>1156.5983996279997</v>
      </c>
      <c r="AK391">
        <v>116816.43836242796</v>
      </c>
      <c r="AL391">
        <v>5840.821918121399</v>
      </c>
      <c r="AM391">
        <v>122657.26028054937</v>
      </c>
      <c r="AN391">
        <v>12342.739719450634</v>
      </c>
      <c r="AO391">
        <v>135000</v>
      </c>
      <c r="AP391">
        <v>4050</v>
      </c>
      <c r="AQ391">
        <v>139050</v>
      </c>
      <c r="AS391">
        <v>139050</v>
      </c>
      <c r="AU391">
        <v>139050</v>
      </c>
      <c r="AW391">
        <v>139050</v>
      </c>
      <c r="AX391">
        <v>1390.5</v>
      </c>
      <c r="AY391">
        <v>140440.5</v>
      </c>
      <c r="BA391">
        <v>140440.5</v>
      </c>
      <c r="BC391">
        <v>140440.5</v>
      </c>
      <c r="BE391">
        <v>140440.5</v>
      </c>
      <c r="BF391">
        <v>2106.6075000000001</v>
      </c>
      <c r="BG391">
        <v>142547.10750000001</v>
      </c>
      <c r="BI391">
        <v>142547.10750000001</v>
      </c>
      <c r="BK391">
        <v>142547.10750000001</v>
      </c>
      <c r="BL391">
        <v>5701.8843000000006</v>
      </c>
      <c r="BM391">
        <v>148248.99180000002</v>
      </c>
      <c r="BN391">
        <v>19272.368933999998</v>
      </c>
      <c r="BO391">
        <v>167521.36073400002</v>
      </c>
      <c r="BP391">
        <v>35</v>
      </c>
      <c r="BQ391">
        <v>167556.36073400002</v>
      </c>
      <c r="BS391">
        <v>167556.36073400002</v>
      </c>
      <c r="BT391" s="238">
        <v>167556.35999999999</v>
      </c>
      <c r="BU391" s="238">
        <v>4926200</v>
      </c>
      <c r="BX391" s="238">
        <v>0</v>
      </c>
      <c r="BY391" s="238">
        <v>167557.82312925172</v>
      </c>
      <c r="BZ391" s="238">
        <v>4926200</v>
      </c>
      <c r="CA391" s="238" t="s">
        <v>36</v>
      </c>
      <c r="CC391">
        <v>167557.82312925172</v>
      </c>
      <c r="CD391" s="238">
        <v>0</v>
      </c>
      <c r="CE391" s="238">
        <v>4926200</v>
      </c>
      <c r="CH391" s="238" t="s">
        <v>3</v>
      </c>
      <c r="CI391" s="238" t="s">
        <v>3</v>
      </c>
      <c r="CJ391" t="s">
        <v>8951</v>
      </c>
      <c r="CK391" t="s">
        <v>1167</v>
      </c>
      <c r="CL391" t="s">
        <v>8961</v>
      </c>
      <c r="CM391" t="s">
        <v>8970</v>
      </c>
      <c r="CN391" s="238" t="b">
        <v>1</v>
      </c>
      <c r="CO391" t="s">
        <v>5679</v>
      </c>
      <c r="CQ391" t="s">
        <v>6652</v>
      </c>
      <c r="CR391" t="s">
        <v>3124</v>
      </c>
      <c r="CS391" t="s">
        <v>36</v>
      </c>
      <c r="CT391" t="b">
        <v>1</v>
      </c>
      <c r="CU391">
        <v>4926200</v>
      </c>
      <c r="CV391">
        <v>4926200</v>
      </c>
      <c r="CW391">
        <v>0</v>
      </c>
      <c r="CX391">
        <v>0</v>
      </c>
      <c r="CY391">
        <v>0</v>
      </c>
      <c r="CZ391" t="b">
        <v>1</v>
      </c>
      <c r="DA391" t="s">
        <v>4246</v>
      </c>
      <c r="DB391" t="s">
        <v>1167</v>
      </c>
      <c r="DC391">
        <v>0</v>
      </c>
      <c r="DD391">
        <v>0</v>
      </c>
      <c r="DE391" s="420" t="str" cm="1">
        <f t="array" ref="DE39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92" spans="1:109" hidden="1" x14ac:dyDescent="0.25">
      <c r="A392" s="238">
        <v>391</v>
      </c>
      <c r="B392" s="238" t="s">
        <v>15</v>
      </c>
      <c r="C392" s="238">
        <v>1</v>
      </c>
      <c r="D392" s="238">
        <v>2</v>
      </c>
      <c r="E392" s="238">
        <v>1</v>
      </c>
      <c r="F392" s="238">
        <v>13.17</v>
      </c>
      <c r="G392" s="238"/>
      <c r="H392" s="238"/>
      <c r="I392">
        <v>13.17</v>
      </c>
      <c r="J392" s="238">
        <v>16.940000000000001</v>
      </c>
      <c r="K392" s="238">
        <v>3.55</v>
      </c>
      <c r="L392" s="238">
        <v>2.41</v>
      </c>
      <c r="M392" s="238"/>
      <c r="N392" s="238">
        <v>5.8</v>
      </c>
      <c r="O392" s="238">
        <v>2.68</v>
      </c>
      <c r="P392" s="238"/>
      <c r="R392" s="238">
        <v>2.68</v>
      </c>
      <c r="S392">
        <v>44.55</v>
      </c>
      <c r="T392">
        <v>41.87</v>
      </c>
      <c r="U392" s="238">
        <v>43.21</v>
      </c>
      <c r="V392">
        <v>42.599999999999994</v>
      </c>
      <c r="W392" s="238">
        <v>85168.125</v>
      </c>
      <c r="Y392">
        <v>85168.125</v>
      </c>
      <c r="AA392">
        <v>85168.125</v>
      </c>
      <c r="AC392">
        <v>85168.125</v>
      </c>
      <c r="AE392">
        <v>85168.125</v>
      </c>
      <c r="AG392">
        <v>85168.125</v>
      </c>
      <c r="AI392">
        <v>85168.125</v>
      </c>
      <c r="AK392">
        <v>85168.125</v>
      </c>
      <c r="AM392">
        <v>85168.125</v>
      </c>
      <c r="AO392">
        <v>85168.125</v>
      </c>
      <c r="AQ392">
        <v>85168.125</v>
      </c>
      <c r="AS392">
        <v>85168.125</v>
      </c>
      <c r="AU392">
        <v>85168.125</v>
      </c>
      <c r="AW392">
        <v>85168.125</v>
      </c>
      <c r="AY392">
        <v>85168.125</v>
      </c>
      <c r="BA392">
        <v>85168.125</v>
      </c>
      <c r="BC392">
        <v>85168.125</v>
      </c>
      <c r="BE392">
        <v>85168.125</v>
      </c>
      <c r="BG392">
        <v>85168.125</v>
      </c>
      <c r="BI392">
        <v>85168.125</v>
      </c>
      <c r="BK392">
        <v>85168.125</v>
      </c>
      <c r="BM392">
        <v>85168.125</v>
      </c>
      <c r="BO392">
        <v>85168.125</v>
      </c>
      <c r="BQ392">
        <v>85168.125</v>
      </c>
      <c r="BS392">
        <v>85168.125</v>
      </c>
      <c r="BT392" s="238">
        <v>85168.13</v>
      </c>
      <c r="BU392" s="238">
        <v>3680114.9</v>
      </c>
      <c r="BW392">
        <v>0.06</v>
      </c>
      <c r="BX392" s="238">
        <v>220806.894</v>
      </c>
      <c r="BY392" s="238">
        <v>80058.042351307566</v>
      </c>
      <c r="BZ392" s="238">
        <v>3459308.01</v>
      </c>
      <c r="CA392" s="238" t="s">
        <v>37</v>
      </c>
      <c r="CB392">
        <v>4500</v>
      </c>
      <c r="CC392">
        <v>84558.042351307566</v>
      </c>
      <c r="CD392" s="238">
        <v>194445</v>
      </c>
      <c r="CE392" s="238">
        <v>3653753.01</v>
      </c>
      <c r="CG392" t="s">
        <v>978</v>
      </c>
      <c r="CH392" s="238" t="s">
        <v>39</v>
      </c>
      <c r="CI392" s="238" t="s">
        <v>39</v>
      </c>
      <c r="CJ392" t="s">
        <v>8950</v>
      </c>
      <c r="CK392" t="s">
        <v>1167</v>
      </c>
      <c r="CL392" t="s">
        <v>8961</v>
      </c>
      <c r="CM392" t="s">
        <v>8972</v>
      </c>
      <c r="CN392" s="238" t="b">
        <v>1</v>
      </c>
      <c r="CO392" t="s">
        <v>5680</v>
      </c>
      <c r="CQ392" t="s">
        <v>4895</v>
      </c>
      <c r="CR392" t="s">
        <v>3246</v>
      </c>
      <c r="CS392" t="s">
        <v>37</v>
      </c>
      <c r="CT392" t="b">
        <v>1</v>
      </c>
      <c r="CU392">
        <v>3680114.9</v>
      </c>
      <c r="CV392" t="s">
        <v>9002</v>
      </c>
      <c r="CW392">
        <v>3680115</v>
      </c>
      <c r="CX392">
        <v>3680115</v>
      </c>
      <c r="CY392">
        <v>0</v>
      </c>
      <c r="CZ392" t="b">
        <v>1</v>
      </c>
      <c r="DA392">
        <v>45328</v>
      </c>
      <c r="DB392" t="s">
        <v>126</v>
      </c>
      <c r="DC392">
        <v>-1.4117102522564371E-2</v>
      </c>
      <c r="DD392">
        <v>-1130.1875916292097</v>
      </c>
      <c r="DE392" s="420" cm="1">
        <f t="array" ref="DE392">_xlfn.XLOOKUP("Дом 5"&amp;Реестр_Д5[[#This Row],[№]]&amp;Реестр_Д5[[#This Row],[Статус]],РД[Дом]&amp;РД[№ кв]&amp;РД[Состояние],РД[Дата подачи на регистрацию],"-",0)</f>
        <v>45328</v>
      </c>
    </row>
    <row r="393" spans="1:109" hidden="1" x14ac:dyDescent="0.25">
      <c r="A393" s="238">
        <v>392</v>
      </c>
      <c r="B393" s="238" t="s">
        <v>15</v>
      </c>
      <c r="C393" s="238">
        <v>1</v>
      </c>
      <c r="D393" s="238">
        <v>3</v>
      </c>
      <c r="E393" s="238">
        <v>0</v>
      </c>
      <c r="F393" s="238">
        <v>7.2</v>
      </c>
      <c r="G393" s="238"/>
      <c r="H393" s="238"/>
      <c r="I393">
        <v>7.2</v>
      </c>
      <c r="J393" s="238">
        <v>5.17</v>
      </c>
      <c r="K393" s="238">
        <v>3.71</v>
      </c>
      <c r="L393" s="238"/>
      <c r="M393" s="238"/>
      <c r="N393" s="238">
        <v>6.96</v>
      </c>
      <c r="O393" s="238">
        <v>2.92</v>
      </c>
      <c r="P393" s="238"/>
      <c r="R393" s="238">
        <v>2.92</v>
      </c>
      <c r="S393">
        <v>25.96</v>
      </c>
      <c r="T393">
        <v>23.04</v>
      </c>
      <c r="U393" s="238">
        <v>24.5</v>
      </c>
      <c r="V393">
        <v>24.65</v>
      </c>
      <c r="W393" s="238">
        <v>99865.71</v>
      </c>
      <c r="X393">
        <v>4993.2855000000009</v>
      </c>
      <c r="Y393">
        <v>104858.9955</v>
      </c>
      <c r="Z393">
        <v>3145.7698650000002</v>
      </c>
      <c r="AA393">
        <v>108004.765365</v>
      </c>
      <c r="AC393">
        <v>108004.765365</v>
      </c>
      <c r="AE393">
        <v>108004.765365</v>
      </c>
      <c r="AG393">
        <v>108004.765365</v>
      </c>
      <c r="AI393">
        <v>108004.765365</v>
      </c>
      <c r="AK393">
        <v>108004.765365</v>
      </c>
      <c r="AM393">
        <v>108004.765365</v>
      </c>
      <c r="AO393">
        <v>108004.765365</v>
      </c>
      <c r="AQ393">
        <v>108004.765365</v>
      </c>
      <c r="AS393">
        <v>108004.765365</v>
      </c>
      <c r="AU393">
        <v>108004.765365</v>
      </c>
      <c r="AW393">
        <v>108004.765365</v>
      </c>
      <c r="AY393">
        <v>108004.765365</v>
      </c>
      <c r="BA393">
        <v>108004.765365</v>
      </c>
      <c r="BC393">
        <v>108004.765365</v>
      </c>
      <c r="BE393">
        <v>108004.765365</v>
      </c>
      <c r="BG393">
        <v>108004.765365</v>
      </c>
      <c r="BI393">
        <v>108004.765365</v>
      </c>
      <c r="BK393">
        <v>108004.765365</v>
      </c>
      <c r="BM393">
        <v>108004.765365</v>
      </c>
      <c r="BO393">
        <v>108004.765365</v>
      </c>
      <c r="BQ393">
        <v>108004.765365</v>
      </c>
      <c r="BS393">
        <v>108004.765365</v>
      </c>
      <c r="BT393" s="238">
        <v>108004.77</v>
      </c>
      <c r="BU393" s="238">
        <v>2646116.87</v>
      </c>
      <c r="BX393" s="238">
        <v>0</v>
      </c>
      <c r="BY393" s="238">
        <v>108004.77020408164</v>
      </c>
      <c r="BZ393" s="238">
        <v>2646116.87</v>
      </c>
      <c r="CA393" s="238" t="s">
        <v>37</v>
      </c>
      <c r="CB393">
        <v>5000</v>
      </c>
      <c r="CC393">
        <v>113004.77020408164</v>
      </c>
      <c r="CD393" s="238">
        <v>122500</v>
      </c>
      <c r="CE393" s="238">
        <v>2768616.87</v>
      </c>
      <c r="CH393" s="238" t="s">
        <v>39</v>
      </c>
      <c r="CI393" s="238" t="s">
        <v>39</v>
      </c>
      <c r="CJ393" t="s">
        <v>8950</v>
      </c>
      <c r="CK393" t="s">
        <v>1167</v>
      </c>
      <c r="CL393" t="s">
        <v>8961</v>
      </c>
      <c r="CM393" t="s">
        <v>8970</v>
      </c>
      <c r="CN393" s="238" t="b">
        <v>1</v>
      </c>
      <c r="CO393" t="s">
        <v>5681</v>
      </c>
      <c r="CQ393" t="s">
        <v>4895</v>
      </c>
      <c r="CR393" t="s">
        <v>3246</v>
      </c>
      <c r="CS393" t="s">
        <v>37</v>
      </c>
      <c r="CT393" t="b">
        <v>1</v>
      </c>
      <c r="CU393">
        <v>2646116.87</v>
      </c>
      <c r="CV393" t="s">
        <v>9002</v>
      </c>
      <c r="CW393">
        <v>0</v>
      </c>
      <c r="CX393">
        <v>2646117</v>
      </c>
      <c r="CY393">
        <v>0</v>
      </c>
      <c r="CZ393" t="b">
        <v>1</v>
      </c>
      <c r="DA393">
        <v>45188</v>
      </c>
      <c r="DB393" t="s">
        <v>126</v>
      </c>
      <c r="DC393">
        <v>6.1224489795919101E-3</v>
      </c>
      <c r="DD393">
        <v>661.25369512703833</v>
      </c>
      <c r="DE393" s="420" cm="1">
        <f t="array" ref="DE393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394" spans="1:109" hidden="1" x14ac:dyDescent="0.25">
      <c r="A394" s="238">
        <v>393</v>
      </c>
      <c r="B394" s="238" t="s">
        <v>15</v>
      </c>
      <c r="C394" s="238">
        <v>1</v>
      </c>
      <c r="D394" s="238">
        <v>4</v>
      </c>
      <c r="E394" s="238">
        <v>2</v>
      </c>
      <c r="F394" s="238">
        <v>14.48</v>
      </c>
      <c r="G394" s="238">
        <v>11.42</v>
      </c>
      <c r="H394" s="238"/>
      <c r="I394">
        <v>25.9</v>
      </c>
      <c r="J394" s="238">
        <v>15.86</v>
      </c>
      <c r="K394" s="238">
        <v>3.01</v>
      </c>
      <c r="L394" s="238">
        <v>2.67</v>
      </c>
      <c r="M394" s="238"/>
      <c r="N394" s="238">
        <v>9.44</v>
      </c>
      <c r="O394" s="238">
        <v>2.72</v>
      </c>
      <c r="P394" s="238"/>
      <c r="R394" s="238">
        <v>2.72</v>
      </c>
      <c r="S394">
        <v>59.6</v>
      </c>
      <c r="T394">
        <v>56.88</v>
      </c>
      <c r="U394" s="238">
        <v>58.24</v>
      </c>
      <c r="V394">
        <v>58.55</v>
      </c>
      <c r="W394" s="238">
        <v>80307.864000000001</v>
      </c>
      <c r="X394">
        <v>4015.3932</v>
      </c>
      <c r="Y394">
        <v>84323.257199999993</v>
      </c>
      <c r="Z394">
        <v>2529.6977160000001</v>
      </c>
      <c r="AA394">
        <v>86852.954916000002</v>
      </c>
      <c r="AC394">
        <v>86852.954916000002</v>
      </c>
      <c r="AE394">
        <v>86852.954916000002</v>
      </c>
      <c r="AG394">
        <v>86852.954916000002</v>
      </c>
      <c r="AI394">
        <v>86852.954916000002</v>
      </c>
      <c r="AJ394">
        <v>868.52954915999999</v>
      </c>
      <c r="AK394">
        <v>87721.48446516</v>
      </c>
      <c r="AL394">
        <v>4386.0742232580005</v>
      </c>
      <c r="AM394">
        <v>92107.558688417994</v>
      </c>
      <c r="AN394">
        <v>7892.4413115820062</v>
      </c>
      <c r="AO394">
        <v>100000</v>
      </c>
      <c r="AP394">
        <v>2000</v>
      </c>
      <c r="AQ394">
        <v>102000</v>
      </c>
      <c r="AS394">
        <v>102000</v>
      </c>
      <c r="AT394">
        <v>2040</v>
      </c>
      <c r="AU394">
        <v>104040</v>
      </c>
      <c r="AW394">
        <v>104040</v>
      </c>
      <c r="AX394">
        <v>1040.4000000000001</v>
      </c>
      <c r="AY394">
        <v>105080.4</v>
      </c>
      <c r="BA394">
        <v>105080.4</v>
      </c>
      <c r="BC394">
        <v>105080.4</v>
      </c>
      <c r="BE394">
        <v>105080.4</v>
      </c>
      <c r="BG394">
        <v>105080.4</v>
      </c>
      <c r="BI394">
        <v>105080.4</v>
      </c>
      <c r="BK394">
        <v>105080.4</v>
      </c>
      <c r="BM394">
        <v>105080.4</v>
      </c>
      <c r="BO394">
        <v>105080.4</v>
      </c>
      <c r="BQ394">
        <v>105080.4</v>
      </c>
      <c r="BS394">
        <v>105080.4</v>
      </c>
      <c r="BT394" s="238">
        <v>105080.4</v>
      </c>
      <c r="BU394" s="238">
        <v>6119900</v>
      </c>
      <c r="BX394" s="238">
        <v>0</v>
      </c>
      <c r="BY394" s="238">
        <v>105080.70054945054</v>
      </c>
      <c r="BZ394" s="238">
        <v>6119900</v>
      </c>
      <c r="CA394" s="238" t="s">
        <v>36</v>
      </c>
      <c r="CC394">
        <v>105080.70054945054</v>
      </c>
      <c r="CD394" s="238">
        <v>0</v>
      </c>
      <c r="CE394" s="238">
        <v>6119900</v>
      </c>
      <c r="CH394" s="238" t="s">
        <v>39</v>
      </c>
      <c r="CI394" s="238" t="s">
        <v>39</v>
      </c>
      <c r="CJ394" t="s">
        <v>8950</v>
      </c>
      <c r="CK394" t="s">
        <v>1167</v>
      </c>
      <c r="CL394" t="s">
        <v>8961</v>
      </c>
      <c r="CM394" t="s">
        <v>8971</v>
      </c>
      <c r="CN394" s="238" t="b">
        <v>1</v>
      </c>
      <c r="CO394" t="s">
        <v>5682</v>
      </c>
      <c r="CQ394" t="s">
        <v>6652</v>
      </c>
      <c r="CR394" t="s">
        <v>3246</v>
      </c>
      <c r="CS394" t="s">
        <v>36</v>
      </c>
      <c r="CT394" t="b">
        <v>1</v>
      </c>
      <c r="CU394">
        <v>6119900</v>
      </c>
      <c r="CV394" t="s">
        <v>9002</v>
      </c>
      <c r="CW394">
        <v>0</v>
      </c>
      <c r="CX394">
        <v>6119900</v>
      </c>
      <c r="CY394">
        <v>0</v>
      </c>
      <c r="CZ394" t="b">
        <v>1</v>
      </c>
      <c r="DA394">
        <v>45443</v>
      </c>
      <c r="DB394" t="s">
        <v>4177</v>
      </c>
      <c r="DC394">
        <v>5.3228021978022344E-3</v>
      </c>
      <c r="DD394">
        <v>559.32378383121386</v>
      </c>
      <c r="DE394" s="420" cm="1">
        <f t="array" ref="DE394">_xlfn.XLOOKUP("Дом 5"&amp;Реестр_Д5[[#This Row],[№]]&amp;Реестр_Д5[[#This Row],[Статус]],РД[Дом]&amp;РД[№ кв]&amp;РД[Состояние],РД[Дата подачи на регистрацию],"-",0)</f>
        <v>45443</v>
      </c>
    </row>
    <row r="395" spans="1:109" hidden="1" x14ac:dyDescent="0.25">
      <c r="A395" s="238">
        <v>394</v>
      </c>
      <c r="B395" s="238" t="s">
        <v>15</v>
      </c>
      <c r="C395" s="238">
        <v>1</v>
      </c>
      <c r="D395" s="238">
        <v>5</v>
      </c>
      <c r="E395" s="238">
        <v>1</v>
      </c>
      <c r="F395" s="238">
        <v>12.71</v>
      </c>
      <c r="G395" s="238"/>
      <c r="H395" s="238"/>
      <c r="I395">
        <v>12.71</v>
      </c>
      <c r="J395" s="238">
        <v>25.96</v>
      </c>
      <c r="K395" s="238">
        <v>4.28</v>
      </c>
      <c r="L395" s="238"/>
      <c r="M395" s="238"/>
      <c r="N395" s="238">
        <v>7.34</v>
      </c>
      <c r="O395" s="238">
        <v>2.84</v>
      </c>
      <c r="P395" s="238"/>
      <c r="R395" s="238">
        <v>2.84</v>
      </c>
      <c r="S395">
        <v>53.13</v>
      </c>
      <c r="T395">
        <v>50.29</v>
      </c>
      <c r="U395" s="238">
        <v>51.71</v>
      </c>
      <c r="V395">
        <v>52.1</v>
      </c>
      <c r="W395" s="238">
        <v>85168.125</v>
      </c>
      <c r="X395">
        <v>4258.40625</v>
      </c>
      <c r="Y395">
        <v>89426.53125</v>
      </c>
      <c r="Z395">
        <v>2682.7959375</v>
      </c>
      <c r="AA395">
        <v>92109.327187500006</v>
      </c>
      <c r="AB395">
        <v>921.09327187500003</v>
      </c>
      <c r="AC395">
        <v>93030.420459375004</v>
      </c>
      <c r="AE395">
        <v>93030.420459375004</v>
      </c>
      <c r="AG395">
        <v>93030.420459375004</v>
      </c>
      <c r="AI395">
        <v>93030.420459375004</v>
      </c>
      <c r="AK395">
        <v>93030.420459375004</v>
      </c>
      <c r="AM395">
        <v>93030.420459375004</v>
      </c>
      <c r="AO395">
        <v>93030.420459375004</v>
      </c>
      <c r="AQ395">
        <v>93030.420459375004</v>
      </c>
      <c r="AS395">
        <v>93030.420459375004</v>
      </c>
      <c r="AU395">
        <v>93030.420459375004</v>
      </c>
      <c r="AW395">
        <v>93030.420459375004</v>
      </c>
      <c r="AY395">
        <v>93030.420459375004</v>
      </c>
      <c r="BA395">
        <v>93030.420459375004</v>
      </c>
      <c r="BC395">
        <v>93030.420459375004</v>
      </c>
      <c r="BE395">
        <v>93030.420459375004</v>
      </c>
      <c r="BG395">
        <v>93030.420459375004</v>
      </c>
      <c r="BI395">
        <v>93030.420459375004</v>
      </c>
      <c r="BK395">
        <v>93030.420459375004</v>
      </c>
      <c r="BM395">
        <v>93030.420459375004</v>
      </c>
      <c r="BO395">
        <v>93030.420459375004</v>
      </c>
      <c r="BQ395">
        <v>93030.420459375004</v>
      </c>
      <c r="BS395">
        <v>93030.420459375004</v>
      </c>
      <c r="BT395" s="238">
        <v>93030.42</v>
      </c>
      <c r="BU395" s="238">
        <v>4810603.0199999996</v>
      </c>
      <c r="BX395" s="238">
        <v>0</v>
      </c>
      <c r="BY395" s="238">
        <v>93030.420034809504</v>
      </c>
      <c r="BZ395" s="238">
        <v>4810603.0199999996</v>
      </c>
      <c r="CA395" s="238" t="s">
        <v>36</v>
      </c>
      <c r="CC395">
        <v>93030.420034809504</v>
      </c>
      <c r="CD395" s="238">
        <v>0</v>
      </c>
      <c r="CE395" s="238">
        <v>4810603.0199999996</v>
      </c>
      <c r="CH395" s="238" t="s">
        <v>39</v>
      </c>
      <c r="CI395" s="238" t="s">
        <v>39</v>
      </c>
      <c r="CJ395" t="s">
        <v>8950</v>
      </c>
      <c r="CK395" t="s">
        <v>1167</v>
      </c>
      <c r="CL395" t="s">
        <v>8961</v>
      </c>
      <c r="CM395" t="s">
        <v>8972</v>
      </c>
      <c r="CN395" s="238" t="b">
        <v>1</v>
      </c>
      <c r="CO395" t="s">
        <v>5683</v>
      </c>
      <c r="CQ395" t="s">
        <v>4895</v>
      </c>
      <c r="CR395" t="s">
        <v>3246</v>
      </c>
      <c r="CS395" t="s">
        <v>36</v>
      </c>
      <c r="CT395" t="b">
        <v>1</v>
      </c>
      <c r="CU395">
        <v>4810603.0199999996</v>
      </c>
      <c r="CV395" t="s">
        <v>9002</v>
      </c>
      <c r="CW395">
        <v>0</v>
      </c>
      <c r="CX395">
        <v>4810603</v>
      </c>
      <c r="CY395">
        <v>0</v>
      </c>
      <c r="CZ395" t="b">
        <v>1</v>
      </c>
      <c r="DA395">
        <v>45211</v>
      </c>
      <c r="DB395" t="s">
        <v>126</v>
      </c>
      <c r="DC395">
        <v>7.5420614968091373E-3</v>
      </c>
      <c r="DD395">
        <v>701.64114897651825</v>
      </c>
      <c r="DE395" s="420" cm="1">
        <f t="array" ref="DE395">_xlfn.XLOOKUP("Дом 5"&amp;Реестр_Д5[[#This Row],[№]]&amp;Реестр_Д5[[#This Row],[Статус]],РД[Дом]&amp;РД[№ кв]&amp;РД[Состояние],РД[Дата подачи на регистрацию],"-",0)</f>
        <v>45211</v>
      </c>
    </row>
    <row r="396" spans="1:109" hidden="1" x14ac:dyDescent="0.25">
      <c r="A396" s="238">
        <v>395</v>
      </c>
      <c r="B396" s="238" t="s">
        <v>15</v>
      </c>
      <c r="C396" s="238">
        <v>1</v>
      </c>
      <c r="D396" s="238">
        <v>6</v>
      </c>
      <c r="E396" s="238">
        <v>3</v>
      </c>
      <c r="F396" s="238">
        <v>14.49</v>
      </c>
      <c r="G396" s="238">
        <v>13.98</v>
      </c>
      <c r="H396" s="238">
        <v>11.42</v>
      </c>
      <c r="I396">
        <v>39.89</v>
      </c>
      <c r="J396" s="238">
        <v>16.670000000000002</v>
      </c>
      <c r="K396" s="238">
        <v>4.1399999999999997</v>
      </c>
      <c r="L396" s="238">
        <v>1.89</v>
      </c>
      <c r="M396" s="238"/>
      <c r="N396" s="238">
        <v>11.31</v>
      </c>
      <c r="O396" s="238">
        <v>5.42</v>
      </c>
      <c r="P396" s="238">
        <v>2.86</v>
      </c>
      <c r="Q396">
        <v>2.79</v>
      </c>
      <c r="R396" s="238">
        <v>11.07</v>
      </c>
      <c r="S396">
        <v>84.97</v>
      </c>
      <c r="T396">
        <v>73.900000000000006</v>
      </c>
      <c r="U396" s="238">
        <v>79.44</v>
      </c>
      <c r="V396">
        <v>78.800000000000011</v>
      </c>
      <c r="W396" s="238">
        <v>77446.215000000011</v>
      </c>
      <c r="X396">
        <v>3872.310750000001</v>
      </c>
      <c r="Y396">
        <v>81318.525750000015</v>
      </c>
      <c r="Z396">
        <v>2439.5557725000003</v>
      </c>
      <c r="AA396">
        <v>83758.081522500011</v>
      </c>
      <c r="AC396">
        <v>83758.081522500011</v>
      </c>
      <c r="AE396">
        <v>83758.081522500011</v>
      </c>
      <c r="AG396">
        <v>83758.081522500011</v>
      </c>
      <c r="AI396">
        <v>83758.081522500011</v>
      </c>
      <c r="AJ396">
        <v>837.58081522500015</v>
      </c>
      <c r="AK396">
        <v>84595.662337725007</v>
      </c>
      <c r="AL396">
        <v>4229.7831168862504</v>
      </c>
      <c r="AM396">
        <v>88825.445454611254</v>
      </c>
      <c r="AN396">
        <v>11174.554545388746</v>
      </c>
      <c r="AO396">
        <v>100000</v>
      </c>
      <c r="AP396">
        <v>2000</v>
      </c>
      <c r="AQ396">
        <v>102000</v>
      </c>
      <c r="AS396">
        <v>102000</v>
      </c>
      <c r="AT396">
        <v>2040</v>
      </c>
      <c r="AU396">
        <v>104040</v>
      </c>
      <c r="AV396">
        <v>1000</v>
      </c>
      <c r="AW396">
        <v>105040</v>
      </c>
      <c r="AY396">
        <v>105040</v>
      </c>
      <c r="AZ396">
        <v>2100.8000000000002</v>
      </c>
      <c r="BA396">
        <v>107140.8</v>
      </c>
      <c r="BC396">
        <v>107140.8</v>
      </c>
      <c r="BD396">
        <v>2142.8160000000003</v>
      </c>
      <c r="BE396">
        <v>109283.61599999999</v>
      </c>
      <c r="BG396">
        <v>109283.61599999999</v>
      </c>
      <c r="BI396">
        <v>109283.61599999999</v>
      </c>
      <c r="BK396">
        <v>109283.61599999999</v>
      </c>
      <c r="BM396">
        <v>109283.61599999999</v>
      </c>
      <c r="BO396">
        <v>109283.61599999999</v>
      </c>
      <c r="BQ396">
        <v>109283.61599999999</v>
      </c>
      <c r="BS396">
        <v>109283.61599999999</v>
      </c>
      <c r="BT396" s="238">
        <v>109283.62</v>
      </c>
      <c r="BU396" s="238">
        <v>8681500</v>
      </c>
      <c r="BV396">
        <v>150000</v>
      </c>
      <c r="BX396" s="238">
        <v>150000</v>
      </c>
      <c r="BY396" s="238">
        <v>107395.51863041287</v>
      </c>
      <c r="BZ396" s="238">
        <v>8531500</v>
      </c>
      <c r="CA396" s="238" t="s">
        <v>36</v>
      </c>
      <c r="CC396">
        <v>107395.51863041287</v>
      </c>
      <c r="CD396" s="238">
        <v>0</v>
      </c>
      <c r="CE396" s="238">
        <v>8531500</v>
      </c>
      <c r="CF396" t="s">
        <v>4636</v>
      </c>
      <c r="CG396" t="s">
        <v>7512</v>
      </c>
      <c r="CH396" s="238" t="s">
        <v>39</v>
      </c>
      <c r="CI396" s="238" t="s">
        <v>39</v>
      </c>
      <c r="CJ396" t="s">
        <v>8950</v>
      </c>
      <c r="CK396" t="s">
        <v>1167</v>
      </c>
      <c r="CL396" t="s">
        <v>8961</v>
      </c>
      <c r="CM396" t="s">
        <v>8990</v>
      </c>
      <c r="CN396" s="238" t="b">
        <v>1</v>
      </c>
      <c r="CO396" t="s">
        <v>5684</v>
      </c>
      <c r="CQ396" t="s">
        <v>6652</v>
      </c>
      <c r="CR396" t="s">
        <v>3246</v>
      </c>
      <c r="CS396" t="s">
        <v>36</v>
      </c>
      <c r="CT396" t="b">
        <v>1</v>
      </c>
      <c r="CU396">
        <v>8681500</v>
      </c>
      <c r="CV396" t="s">
        <v>9002</v>
      </c>
      <c r="CW396">
        <v>0</v>
      </c>
      <c r="CX396">
        <v>8681500</v>
      </c>
      <c r="CY396">
        <v>0</v>
      </c>
      <c r="CZ396" t="b">
        <v>1</v>
      </c>
      <c r="DA396">
        <v>45467</v>
      </c>
      <c r="DB396" t="s">
        <v>4177</v>
      </c>
      <c r="DC396">
        <v>-8.0563947633431887E-3</v>
      </c>
      <c r="DD396">
        <v>-865.22069390058437</v>
      </c>
      <c r="DE396" s="420" cm="1">
        <f t="array" ref="DE396">_xlfn.XLOOKUP("Дом 5"&amp;Реестр_Д5[[#This Row],[№]]&amp;Реестр_Д5[[#This Row],[Статус]],РД[Дом]&amp;РД[№ кв]&amp;РД[Состояние],РД[Дата подачи на регистрацию],"-",0)</f>
        <v>45467</v>
      </c>
    </row>
    <row r="397" spans="1:109" x14ac:dyDescent="0.25">
      <c r="A397" s="238">
        <v>396</v>
      </c>
      <c r="B397" s="238" t="s">
        <v>15</v>
      </c>
      <c r="C397" s="238">
        <v>1</v>
      </c>
      <c r="D397" s="238">
        <v>7</v>
      </c>
      <c r="E397" s="238">
        <v>1</v>
      </c>
      <c r="F397" s="238">
        <v>16.79</v>
      </c>
      <c r="G397" s="238"/>
      <c r="H397" s="238"/>
      <c r="I397">
        <v>16.79</v>
      </c>
      <c r="J397" s="238">
        <v>11.43</v>
      </c>
      <c r="K397" s="238">
        <v>3.56</v>
      </c>
      <c r="L397" s="238"/>
      <c r="M397" s="238"/>
      <c r="N397" s="238">
        <v>6.66</v>
      </c>
      <c r="O397" s="238">
        <v>2.4900000000000002</v>
      </c>
      <c r="P397" s="238"/>
      <c r="R397" s="238">
        <v>2.4900000000000002</v>
      </c>
      <c r="S397">
        <v>40.93</v>
      </c>
      <c r="T397">
        <v>38.44</v>
      </c>
      <c r="U397" s="238">
        <v>39.69</v>
      </c>
      <c r="V397">
        <v>40.1</v>
      </c>
      <c r="W397" s="238">
        <v>87195.9375</v>
      </c>
      <c r="X397">
        <v>4359.796875</v>
      </c>
      <c r="Y397">
        <v>91555.734375</v>
      </c>
      <c r="Z397">
        <v>2746.6720312499997</v>
      </c>
      <c r="AA397">
        <v>94302.406406249997</v>
      </c>
      <c r="AB397">
        <v>4243.6082882812498</v>
      </c>
      <c r="AC397">
        <v>98546.014694531244</v>
      </c>
      <c r="AE397">
        <v>98546.014694531244</v>
      </c>
      <c r="AF397">
        <v>4927.300734726563</v>
      </c>
      <c r="AG397">
        <v>103473.3154292578</v>
      </c>
      <c r="AI397">
        <v>103473.3154292578</v>
      </c>
      <c r="AJ397">
        <v>1034.7331542925781</v>
      </c>
      <c r="AK397">
        <v>104508.04858355039</v>
      </c>
      <c r="AL397">
        <v>5225.4024291775204</v>
      </c>
      <c r="AM397">
        <v>109733.45101272792</v>
      </c>
      <c r="AN397">
        <v>10266.548987272079</v>
      </c>
      <c r="AO397">
        <v>120000</v>
      </c>
      <c r="AP397">
        <v>3600</v>
      </c>
      <c r="AQ397">
        <v>123600</v>
      </c>
      <c r="AS397">
        <v>123600</v>
      </c>
      <c r="AU397">
        <v>123600</v>
      </c>
      <c r="AW397">
        <v>123600</v>
      </c>
      <c r="AY397">
        <v>123600</v>
      </c>
      <c r="BA397">
        <v>123600</v>
      </c>
      <c r="BC397">
        <v>123600</v>
      </c>
      <c r="BE397">
        <v>123600</v>
      </c>
      <c r="BF397">
        <v>1854</v>
      </c>
      <c r="BG397">
        <v>125454</v>
      </c>
      <c r="BI397">
        <v>125454</v>
      </c>
      <c r="BJ397">
        <v>2509.08</v>
      </c>
      <c r="BK397">
        <v>127963.08</v>
      </c>
      <c r="BL397">
        <v>6398.1540000000005</v>
      </c>
      <c r="BM397">
        <v>134361.234</v>
      </c>
      <c r="BN397">
        <v>17466.960419999999</v>
      </c>
      <c r="BO397">
        <v>151828.19442000001</v>
      </c>
      <c r="BP397">
        <v>35</v>
      </c>
      <c r="BQ397">
        <v>151863.19442000001</v>
      </c>
      <c r="BS397">
        <v>151863.19442000001</v>
      </c>
      <c r="BT397" s="238">
        <v>151863.19</v>
      </c>
      <c r="BU397" s="238">
        <v>6089800</v>
      </c>
      <c r="BX397" s="238">
        <v>0</v>
      </c>
      <c r="BY397" s="238">
        <v>151865.33665835412</v>
      </c>
      <c r="BZ397" s="238">
        <v>6089800</v>
      </c>
      <c r="CA397" s="238" t="s">
        <v>38</v>
      </c>
      <c r="CB397">
        <v>30000</v>
      </c>
      <c r="CC397">
        <v>181865.33665835412</v>
      </c>
      <c r="CD397" s="238">
        <v>1203000.0000000007</v>
      </c>
      <c r="CE397" s="238">
        <v>7292800.0000000019</v>
      </c>
      <c r="CG397" t="s">
        <v>8910</v>
      </c>
      <c r="CH397" s="238" t="s">
        <v>3</v>
      </c>
      <c r="CI397" s="238" t="s">
        <v>3</v>
      </c>
      <c r="CJ397" t="s">
        <v>8951</v>
      </c>
      <c r="CK397" t="s">
        <v>1167</v>
      </c>
      <c r="CL397" t="s">
        <v>8961</v>
      </c>
      <c r="CM397" t="s">
        <v>8973</v>
      </c>
      <c r="CN397" s="238" t="b">
        <v>1</v>
      </c>
      <c r="CO397" t="s">
        <v>5685</v>
      </c>
      <c r="CQ397" t="s">
        <v>6652</v>
      </c>
      <c r="CR397" t="s">
        <v>3124</v>
      </c>
      <c r="CS397" t="s">
        <v>38</v>
      </c>
      <c r="CT397" t="b">
        <v>1</v>
      </c>
      <c r="CU397">
        <v>6089800</v>
      </c>
      <c r="CV397">
        <v>6089800</v>
      </c>
      <c r="CW397">
        <v>0</v>
      </c>
      <c r="CX397">
        <v>0</v>
      </c>
      <c r="CY397">
        <v>0</v>
      </c>
      <c r="CZ397" t="b">
        <v>1</v>
      </c>
      <c r="DA397" t="s">
        <v>4246</v>
      </c>
      <c r="DB397" t="s">
        <v>1167</v>
      </c>
      <c r="DC397">
        <v>1.0330057949105688E-2</v>
      </c>
      <c r="DD397">
        <v>1568.7777281412425</v>
      </c>
      <c r="DE397" s="420" t="str" cm="1">
        <f t="array" ref="DE39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398" spans="1:109" hidden="1" x14ac:dyDescent="0.25">
      <c r="A398" s="238">
        <v>397</v>
      </c>
      <c r="B398" s="238" t="s">
        <v>15</v>
      </c>
      <c r="C398" s="238">
        <v>2</v>
      </c>
      <c r="D398" s="238">
        <v>1</v>
      </c>
      <c r="E398" s="238">
        <v>0</v>
      </c>
      <c r="F398" s="238">
        <v>13.74</v>
      </c>
      <c r="G398" s="238"/>
      <c r="H398" s="238"/>
      <c r="I398">
        <v>13.74</v>
      </c>
      <c r="J398" s="238">
        <v>5.84</v>
      </c>
      <c r="K398" s="238">
        <v>3.76</v>
      </c>
      <c r="L398" s="238"/>
      <c r="M398" s="238"/>
      <c r="N398" s="238">
        <v>3.73</v>
      </c>
      <c r="O398" s="238">
        <v>4.6500000000000004</v>
      </c>
      <c r="P398" s="238"/>
      <c r="R398" s="238">
        <v>4.6500000000000004</v>
      </c>
      <c r="S398">
        <v>31.72</v>
      </c>
      <c r="T398">
        <v>27.07</v>
      </c>
      <c r="U398" s="238">
        <v>29.4</v>
      </c>
      <c r="V398">
        <v>29.3</v>
      </c>
      <c r="W398" s="238">
        <v>90229.544999999998</v>
      </c>
      <c r="Y398">
        <v>90229.544999999998</v>
      </c>
      <c r="AA398">
        <v>90229.544999999998</v>
      </c>
      <c r="AC398">
        <v>90229.544999999998</v>
      </c>
      <c r="AE398">
        <v>90229.544999999998</v>
      </c>
      <c r="AG398">
        <v>90229.544999999998</v>
      </c>
      <c r="AI398">
        <v>90229.544999999998</v>
      </c>
      <c r="AK398">
        <v>90229.544999999998</v>
      </c>
      <c r="AM398">
        <v>90229.544999999998</v>
      </c>
      <c r="AO398">
        <v>90229.544999999998</v>
      </c>
      <c r="AQ398">
        <v>90229.544999999998</v>
      </c>
      <c r="AS398">
        <v>90229.544999999998</v>
      </c>
      <c r="AU398">
        <v>90229.544999999998</v>
      </c>
      <c r="AW398">
        <v>90229.544999999998</v>
      </c>
      <c r="AY398">
        <v>90229.544999999998</v>
      </c>
      <c r="BA398">
        <v>90229.544999999998</v>
      </c>
      <c r="BC398">
        <v>90229.544999999998</v>
      </c>
      <c r="BE398">
        <v>90229.544999999998</v>
      </c>
      <c r="BG398">
        <v>90229.544999999998</v>
      </c>
      <c r="BI398">
        <v>90229.544999999998</v>
      </c>
      <c r="BK398">
        <v>90229.544999999998</v>
      </c>
      <c r="BM398">
        <v>90229.544999999998</v>
      </c>
      <c r="BO398">
        <v>90229.544999999998</v>
      </c>
      <c r="BQ398">
        <v>90229.544999999998</v>
      </c>
      <c r="BS398">
        <v>90229.544999999998</v>
      </c>
      <c r="BT398" s="238">
        <v>90229.55</v>
      </c>
      <c r="BU398" s="238">
        <v>2652748.77</v>
      </c>
      <c r="BX398" s="238">
        <v>0</v>
      </c>
      <c r="BY398" s="238">
        <v>90229.55</v>
      </c>
      <c r="BZ398" s="238">
        <v>2652748.77</v>
      </c>
      <c r="CA398" s="238" t="s">
        <v>37</v>
      </c>
      <c r="CB398">
        <v>4500</v>
      </c>
      <c r="CC398">
        <v>94729.55</v>
      </c>
      <c r="CD398" s="238">
        <v>132300</v>
      </c>
      <c r="CE398" s="238">
        <v>2785048.77</v>
      </c>
      <c r="CH398" s="238" t="s">
        <v>39</v>
      </c>
      <c r="CI398" s="238" t="s">
        <v>39</v>
      </c>
      <c r="CJ398" t="s">
        <v>8950</v>
      </c>
      <c r="CK398" t="s">
        <v>1167</v>
      </c>
      <c r="CL398" t="s">
        <v>8961</v>
      </c>
      <c r="CM398" t="s">
        <v>8970</v>
      </c>
      <c r="CN398" s="238" t="b">
        <v>1</v>
      </c>
      <c r="CO398" t="s">
        <v>5686</v>
      </c>
      <c r="CQ398" t="s">
        <v>4895</v>
      </c>
      <c r="CR398" t="s">
        <v>3246</v>
      </c>
      <c r="CS398" t="s">
        <v>37</v>
      </c>
      <c r="CT398" t="b">
        <v>1</v>
      </c>
      <c r="CU398">
        <v>2652748.77</v>
      </c>
      <c r="CV398" t="s">
        <v>9002</v>
      </c>
      <c r="CW398">
        <v>2652749</v>
      </c>
      <c r="CX398">
        <v>2652749</v>
      </c>
      <c r="CY398">
        <v>0</v>
      </c>
      <c r="CZ398" t="b">
        <v>1</v>
      </c>
      <c r="DA398">
        <v>45188</v>
      </c>
      <c r="DB398" t="s">
        <v>4177</v>
      </c>
      <c r="DC398">
        <v>-3.4013605442175798E-3</v>
      </c>
      <c r="DD398">
        <v>-306.90323129250731</v>
      </c>
      <c r="DE398" s="420" cm="1">
        <f t="array" ref="DE39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399" spans="1:109" hidden="1" x14ac:dyDescent="0.25">
      <c r="A399" s="238">
        <v>398</v>
      </c>
      <c r="B399" s="238" t="s">
        <v>15</v>
      </c>
      <c r="C399" s="238">
        <v>2</v>
      </c>
      <c r="D399" s="238">
        <v>2</v>
      </c>
      <c r="E399" s="238">
        <v>1</v>
      </c>
      <c r="F399" s="238">
        <v>13.17</v>
      </c>
      <c r="G399" s="238"/>
      <c r="H399" s="238"/>
      <c r="I399">
        <v>13.17</v>
      </c>
      <c r="J399" s="238">
        <v>16.940000000000001</v>
      </c>
      <c r="K399" s="238">
        <v>3.55</v>
      </c>
      <c r="L399" s="238">
        <v>2.41</v>
      </c>
      <c r="M399" s="238"/>
      <c r="N399" s="238">
        <v>5.8</v>
      </c>
      <c r="O399" s="238">
        <v>2.68</v>
      </c>
      <c r="P399" s="238"/>
      <c r="R399" s="238">
        <v>2.68</v>
      </c>
      <c r="S399">
        <v>44.55</v>
      </c>
      <c r="T399">
        <v>41.87</v>
      </c>
      <c r="U399" s="238">
        <v>43.21</v>
      </c>
      <c r="V399">
        <v>42.25</v>
      </c>
      <c r="W399" s="238">
        <v>85979.25</v>
      </c>
      <c r="X399">
        <v>4298.9625000000005</v>
      </c>
      <c r="Y399">
        <v>90278.212499999994</v>
      </c>
      <c r="Z399">
        <v>2708.3463749999996</v>
      </c>
      <c r="AA399">
        <v>92986.558874999988</v>
      </c>
      <c r="AB399">
        <v>929.86558875000003</v>
      </c>
      <c r="AC399">
        <v>93916.424463749994</v>
      </c>
      <c r="AE399">
        <v>93916.424463749994</v>
      </c>
      <c r="AF399">
        <v>4695.8212231874995</v>
      </c>
      <c r="AG399">
        <v>98612.245686937487</v>
      </c>
      <c r="AI399">
        <v>98612.245686937487</v>
      </c>
      <c r="AJ399">
        <v>986.12245686937479</v>
      </c>
      <c r="AK399">
        <v>99598.36814380686</v>
      </c>
      <c r="AL399">
        <v>4979.9184071903437</v>
      </c>
      <c r="AM399">
        <v>104578.2865509972</v>
      </c>
      <c r="AO399">
        <v>104578.2865509972</v>
      </c>
      <c r="AP399">
        <v>3137.348596529916</v>
      </c>
      <c r="AQ399">
        <v>107715.63514752712</v>
      </c>
      <c r="AR399">
        <v>500</v>
      </c>
      <c r="AS399">
        <v>108215.63514752712</v>
      </c>
      <c r="AU399">
        <v>108215.63514752712</v>
      </c>
      <c r="AW399">
        <v>108215.63514752712</v>
      </c>
      <c r="AY399">
        <v>108215.63514752712</v>
      </c>
      <c r="AZ399">
        <v>1082.1563514752711</v>
      </c>
      <c r="BA399">
        <v>109297.7914990024</v>
      </c>
      <c r="BC399">
        <v>109297.7914990024</v>
      </c>
      <c r="BE399">
        <v>109297.7914990024</v>
      </c>
      <c r="BF399">
        <v>2732.4447874750604</v>
      </c>
      <c r="BG399">
        <v>112030.23628647746</v>
      </c>
      <c r="BI399">
        <v>112030.23628647746</v>
      </c>
      <c r="BK399">
        <v>112030.23628647746</v>
      </c>
      <c r="BL399">
        <v>8962.418902918198</v>
      </c>
      <c r="BM399">
        <v>120992.65518939566</v>
      </c>
      <c r="BN399">
        <v>15729.045174621437</v>
      </c>
      <c r="BO399">
        <v>136721.7003640171</v>
      </c>
      <c r="BP399">
        <v>35</v>
      </c>
      <c r="BQ399">
        <v>136756.7003640171</v>
      </c>
      <c r="BS399">
        <v>136756.7003640171</v>
      </c>
      <c r="BT399" s="238">
        <v>136756.70000000001</v>
      </c>
      <c r="BU399" s="238">
        <v>5909300</v>
      </c>
      <c r="BV399">
        <v>450000</v>
      </c>
      <c r="BX399" s="238">
        <v>450000</v>
      </c>
      <c r="BY399" s="238">
        <v>126343.43901874566</v>
      </c>
      <c r="BZ399" s="238">
        <v>5459300</v>
      </c>
      <c r="CA399" s="238" t="s">
        <v>36</v>
      </c>
      <c r="CC399">
        <v>126343.43901874566</v>
      </c>
      <c r="CD399" s="238">
        <v>0</v>
      </c>
      <c r="CE399" s="238">
        <v>5459300</v>
      </c>
      <c r="CG399" t="s">
        <v>321</v>
      </c>
      <c r="CH399" s="238" t="s">
        <v>39</v>
      </c>
      <c r="CI399" s="238" t="s">
        <v>39</v>
      </c>
      <c r="CJ399" t="s">
        <v>8950</v>
      </c>
      <c r="CK399" t="s">
        <v>1167</v>
      </c>
      <c r="CL399" t="s">
        <v>8961</v>
      </c>
      <c r="CM399" t="s">
        <v>8972</v>
      </c>
      <c r="CN399" s="238" t="b">
        <v>1</v>
      </c>
      <c r="CO399" t="s">
        <v>5687</v>
      </c>
      <c r="CQ399" t="s">
        <v>6652</v>
      </c>
      <c r="CR399" t="s">
        <v>3246</v>
      </c>
      <c r="CS399" t="s">
        <v>36</v>
      </c>
      <c r="CT399" t="b">
        <v>1</v>
      </c>
      <c r="CU399">
        <v>5909300</v>
      </c>
      <c r="CV399" t="s">
        <v>9002</v>
      </c>
      <c r="CW399">
        <v>0</v>
      </c>
      <c r="CX399">
        <v>5909300</v>
      </c>
      <c r="CY399">
        <v>0</v>
      </c>
      <c r="CZ399" t="b">
        <v>1</v>
      </c>
      <c r="DA399">
        <v>45792</v>
      </c>
      <c r="DB399" t="s">
        <v>8380</v>
      </c>
      <c r="DC399">
        <v>-2.2217079379773241E-2</v>
      </c>
      <c r="DD399">
        <v>-2806.9822137930123</v>
      </c>
      <c r="DE399" s="420" cm="1">
        <f t="array" ref="DE399">_xlfn.XLOOKUP("Дом 5"&amp;Реестр_Д5[[#This Row],[№]]&amp;Реестр_Д5[[#This Row],[Статус]],РД[Дом]&amp;РД[№ кв]&amp;РД[Состояние],РД[Дата подачи на регистрацию],"-",0)</f>
        <v>45792</v>
      </c>
    </row>
    <row r="400" spans="1:109" hidden="1" x14ac:dyDescent="0.25">
      <c r="A400" s="238">
        <v>399</v>
      </c>
      <c r="B400" s="238" t="s">
        <v>15</v>
      </c>
      <c r="C400" s="238">
        <v>2</v>
      </c>
      <c r="D400" s="238">
        <v>3</v>
      </c>
      <c r="E400" s="238">
        <v>0</v>
      </c>
      <c r="F400" s="238">
        <v>7.2</v>
      </c>
      <c r="G400" s="238"/>
      <c r="H400" s="238"/>
      <c r="I400">
        <v>7.2</v>
      </c>
      <c r="J400" s="238">
        <v>5.17</v>
      </c>
      <c r="K400" s="238">
        <v>3.71</v>
      </c>
      <c r="L400" s="238"/>
      <c r="M400" s="238"/>
      <c r="N400" s="238">
        <v>6.96</v>
      </c>
      <c r="O400" s="238">
        <v>2.92</v>
      </c>
      <c r="P400" s="238"/>
      <c r="R400" s="238">
        <v>2.92</v>
      </c>
      <c r="S400">
        <v>25.96</v>
      </c>
      <c r="T400">
        <v>23.04</v>
      </c>
      <c r="U400" s="238">
        <v>24.5</v>
      </c>
      <c r="V400">
        <v>24.15</v>
      </c>
      <c r="W400" s="238">
        <v>91981.574999999997</v>
      </c>
      <c r="Y400">
        <v>91981.574999999997</v>
      </c>
      <c r="AA400">
        <v>91981.574999999997</v>
      </c>
      <c r="AC400">
        <v>91981.574999999997</v>
      </c>
      <c r="AE400">
        <v>91981.574999999997</v>
      </c>
      <c r="AG400">
        <v>91981.574999999997</v>
      </c>
      <c r="AI400">
        <v>91981.574999999997</v>
      </c>
      <c r="AK400">
        <v>91981.574999999997</v>
      </c>
      <c r="AM400">
        <v>91981.574999999997</v>
      </c>
      <c r="AO400">
        <v>91981.574999999997</v>
      </c>
      <c r="AQ400">
        <v>91981.574999999997</v>
      </c>
      <c r="AS400">
        <v>91981.574999999997</v>
      </c>
      <c r="AU400">
        <v>91981.574999999997</v>
      </c>
      <c r="AW400">
        <v>91981.574999999997</v>
      </c>
      <c r="AY400">
        <v>91981.574999999997</v>
      </c>
      <c r="BA400">
        <v>91981.574999999997</v>
      </c>
      <c r="BC400">
        <v>91981.574999999997</v>
      </c>
      <c r="BE400">
        <v>91981.574999999997</v>
      </c>
      <c r="BG400">
        <v>91981.574999999997</v>
      </c>
      <c r="BI400">
        <v>91981.574999999997</v>
      </c>
      <c r="BK400">
        <v>91981.574999999997</v>
      </c>
      <c r="BM400">
        <v>91981.574999999997</v>
      </c>
      <c r="BO400">
        <v>91981.574999999997</v>
      </c>
      <c r="BQ400">
        <v>91981.574999999997</v>
      </c>
      <c r="BS400">
        <v>91981.574999999997</v>
      </c>
      <c r="BT400" s="238">
        <v>91981.58</v>
      </c>
      <c r="BU400" s="238">
        <v>2253548.71</v>
      </c>
      <c r="BX400" s="238">
        <v>0</v>
      </c>
      <c r="BY400" s="238">
        <v>91981.58</v>
      </c>
      <c r="BZ400" s="238">
        <v>2253548.71</v>
      </c>
      <c r="CA400" s="238" t="s">
        <v>38</v>
      </c>
      <c r="CB400">
        <v>15500</v>
      </c>
      <c r="CC400">
        <v>107481.58</v>
      </c>
      <c r="CD400" s="238">
        <v>379750</v>
      </c>
      <c r="CE400" s="238">
        <v>2633298.71</v>
      </c>
      <c r="CH400" s="238" t="s">
        <v>39</v>
      </c>
      <c r="CI400" s="238" t="s">
        <v>39</v>
      </c>
      <c r="CJ400" t="s">
        <v>8950</v>
      </c>
      <c r="CK400" t="s">
        <v>1167</v>
      </c>
      <c r="CL400" t="s">
        <v>8961</v>
      </c>
      <c r="CM400" t="s">
        <v>8970</v>
      </c>
      <c r="CN400" s="238" t="b">
        <v>1</v>
      </c>
      <c r="CO400" t="s">
        <v>5688</v>
      </c>
      <c r="CQ400" t="s">
        <v>4895</v>
      </c>
      <c r="CR400" t="s">
        <v>3246</v>
      </c>
      <c r="CS400" t="s">
        <v>38</v>
      </c>
      <c r="CT400" t="b">
        <v>1</v>
      </c>
      <c r="CU400">
        <v>2253548.71</v>
      </c>
      <c r="CV400" t="s">
        <v>9002</v>
      </c>
      <c r="CW400">
        <v>2253549</v>
      </c>
      <c r="CX400">
        <v>2253549</v>
      </c>
      <c r="CY400">
        <v>0</v>
      </c>
      <c r="CZ400" t="b">
        <v>1</v>
      </c>
      <c r="DA400">
        <v>45187</v>
      </c>
      <c r="DB400" t="s">
        <v>4177</v>
      </c>
      <c r="DC400">
        <v>-1.4285714285714237E-2</v>
      </c>
      <c r="DD400">
        <v>-1314.0225714285668</v>
      </c>
      <c r="DE400" s="420" cm="1">
        <f t="array" ref="DE400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401" spans="1:109" hidden="1" x14ac:dyDescent="0.25">
      <c r="A401" s="238">
        <v>400</v>
      </c>
      <c r="B401" s="238" t="s">
        <v>15</v>
      </c>
      <c r="C401" s="238">
        <v>2</v>
      </c>
      <c r="D401" s="238">
        <v>4</v>
      </c>
      <c r="E401" s="238">
        <v>2</v>
      </c>
      <c r="F401" s="238">
        <v>14.48</v>
      </c>
      <c r="G401" s="238">
        <v>11.42</v>
      </c>
      <c r="H401" s="238"/>
      <c r="I401">
        <v>25.9</v>
      </c>
      <c r="J401" s="238">
        <v>15.86</v>
      </c>
      <c r="K401" s="238">
        <v>3.01</v>
      </c>
      <c r="L401" s="238">
        <v>2.67</v>
      </c>
      <c r="M401" s="238"/>
      <c r="N401" s="238">
        <v>9.44</v>
      </c>
      <c r="O401" s="238">
        <v>2.72</v>
      </c>
      <c r="P401" s="238"/>
      <c r="R401" s="238">
        <v>2.72</v>
      </c>
      <c r="S401">
        <v>59.6</v>
      </c>
      <c r="T401">
        <v>56.88</v>
      </c>
      <c r="U401" s="238">
        <v>58.24</v>
      </c>
      <c r="V401">
        <v>57.750000000000007</v>
      </c>
      <c r="W401" s="238">
        <v>80307.864000000001</v>
      </c>
      <c r="X401">
        <v>4015.3932</v>
      </c>
      <c r="Y401">
        <v>84323.257199999993</v>
      </c>
      <c r="Z401">
        <v>2529.6977160000001</v>
      </c>
      <c r="AA401">
        <v>86852.954916000002</v>
      </c>
      <c r="AC401">
        <v>86852.954916000002</v>
      </c>
      <c r="AE401">
        <v>86852.954916000002</v>
      </c>
      <c r="AG401">
        <v>86852.954916000002</v>
      </c>
      <c r="AI401">
        <v>86852.954916000002</v>
      </c>
      <c r="AJ401">
        <v>868.52954915999999</v>
      </c>
      <c r="AK401">
        <v>87721.48446516</v>
      </c>
      <c r="AL401">
        <v>4386.0742232580005</v>
      </c>
      <c r="AM401">
        <v>92107.558688417994</v>
      </c>
      <c r="AO401">
        <v>92107.558688417994</v>
      </c>
      <c r="AP401">
        <v>1842.15117376836</v>
      </c>
      <c r="AQ401">
        <v>93949.709862186355</v>
      </c>
      <c r="AS401">
        <v>93949.709862186355</v>
      </c>
      <c r="AT401">
        <v>1878.9941972437273</v>
      </c>
      <c r="AU401">
        <v>95828.704059430078</v>
      </c>
      <c r="AW401">
        <v>95828.704059430078</v>
      </c>
      <c r="AX401">
        <v>958.28704059430083</v>
      </c>
      <c r="AY401">
        <v>96786.991100024374</v>
      </c>
      <c r="BA401">
        <v>96786.991100024374</v>
      </c>
      <c r="BC401">
        <v>96786.991100024374</v>
      </c>
      <c r="BE401">
        <v>96786.991100024374</v>
      </c>
      <c r="BF401">
        <v>1451.8048665003655</v>
      </c>
      <c r="BG401">
        <v>98238.795966524733</v>
      </c>
      <c r="BI401">
        <v>98238.795966524733</v>
      </c>
      <c r="BJ401">
        <v>3929.5518386609888</v>
      </c>
      <c r="BK401">
        <v>102168.34780518572</v>
      </c>
      <c r="BL401">
        <v>6130.1008683111431</v>
      </c>
      <c r="BM401">
        <v>108298.44867349688</v>
      </c>
      <c r="BN401">
        <v>14078.798327554594</v>
      </c>
      <c r="BO401">
        <v>122377.24700105148</v>
      </c>
      <c r="BP401">
        <v>35</v>
      </c>
      <c r="BQ401">
        <v>122412.24700105148</v>
      </c>
      <c r="BS401">
        <v>122412.24700105148</v>
      </c>
      <c r="BT401" s="238">
        <v>122412.25</v>
      </c>
      <c r="BU401" s="238">
        <v>7129300</v>
      </c>
      <c r="BX401" s="238">
        <v>0</v>
      </c>
      <c r="BY401" s="238">
        <v>122412.43131868132</v>
      </c>
      <c r="BZ401" s="238">
        <v>7129300</v>
      </c>
      <c r="CA401" s="238" t="s">
        <v>36</v>
      </c>
      <c r="CC401">
        <v>122412.43131868132</v>
      </c>
      <c r="CD401" s="238">
        <v>0</v>
      </c>
      <c r="CE401" s="238">
        <v>7129300</v>
      </c>
      <c r="CH401" s="238" t="s">
        <v>39</v>
      </c>
      <c r="CI401" s="238" t="s">
        <v>39</v>
      </c>
      <c r="CJ401" t="s">
        <v>8950</v>
      </c>
      <c r="CK401" t="s">
        <v>1167</v>
      </c>
      <c r="CL401" t="s">
        <v>8961</v>
      </c>
      <c r="CM401" t="s">
        <v>8971</v>
      </c>
      <c r="CN401" s="238" t="b">
        <v>1</v>
      </c>
      <c r="CO401" t="s">
        <v>5689</v>
      </c>
      <c r="CQ401" t="s">
        <v>6652</v>
      </c>
      <c r="CR401" t="s">
        <v>3246</v>
      </c>
      <c r="CS401" t="s">
        <v>36</v>
      </c>
      <c r="CT401" t="b">
        <v>1</v>
      </c>
      <c r="CU401">
        <v>7129300</v>
      </c>
      <c r="CV401" t="s">
        <v>9002</v>
      </c>
      <c r="CW401">
        <v>0</v>
      </c>
      <c r="CX401">
        <v>7129300</v>
      </c>
      <c r="CY401">
        <v>0</v>
      </c>
      <c r="CZ401" t="b">
        <v>1</v>
      </c>
      <c r="DA401">
        <v>45716</v>
      </c>
      <c r="DB401" t="s">
        <v>8512</v>
      </c>
      <c r="DC401">
        <v>-8.4134615384614531E-3</v>
      </c>
      <c r="DD401">
        <v>-1029.9122827292797</v>
      </c>
      <c r="DE401" s="420" cm="1">
        <f t="array" ref="DE401">_xlfn.XLOOKUP("Дом 5"&amp;Реестр_Д5[[#This Row],[№]]&amp;Реестр_Д5[[#This Row],[Статус]],РД[Дом]&amp;РД[№ кв]&amp;РД[Состояние],РД[Дата подачи на регистрацию],"-",0)</f>
        <v>45716</v>
      </c>
    </row>
    <row r="402" spans="1:109" hidden="1" x14ac:dyDescent="0.25">
      <c r="A402" s="238">
        <v>401</v>
      </c>
      <c r="B402" s="238" t="s">
        <v>15</v>
      </c>
      <c r="C402" s="238">
        <v>2</v>
      </c>
      <c r="D402" s="238">
        <v>5</v>
      </c>
      <c r="E402" s="238">
        <v>2</v>
      </c>
      <c r="F402" s="238">
        <v>15.41</v>
      </c>
      <c r="G402" s="238">
        <v>12.78</v>
      </c>
      <c r="H402" s="238"/>
      <c r="I402">
        <v>28.19</v>
      </c>
      <c r="J402" s="238">
        <v>13.45</v>
      </c>
      <c r="K402" s="238">
        <v>3.7</v>
      </c>
      <c r="L402" s="238">
        <v>2.72</v>
      </c>
      <c r="M402" s="238"/>
      <c r="N402" s="238">
        <v>8.2200000000000006</v>
      </c>
      <c r="O402" s="238">
        <v>3.03</v>
      </c>
      <c r="P402" s="238"/>
      <c r="R402" s="238">
        <v>3.03</v>
      </c>
      <c r="S402">
        <v>59.31</v>
      </c>
      <c r="T402">
        <v>56.28</v>
      </c>
      <c r="U402" s="238">
        <v>57.8</v>
      </c>
      <c r="V402">
        <v>57.100000000000009</v>
      </c>
      <c r="W402" s="238">
        <v>79921.768500000006</v>
      </c>
      <c r="X402">
        <v>3996.0884249999999</v>
      </c>
      <c r="Y402">
        <v>83917.856925</v>
      </c>
      <c r="Z402">
        <v>2517.5357077499998</v>
      </c>
      <c r="AA402">
        <v>86435.392632749994</v>
      </c>
      <c r="AC402">
        <v>86435.392632749994</v>
      </c>
      <c r="AE402">
        <v>86435.392632749994</v>
      </c>
      <c r="AG402">
        <v>86435.392632749994</v>
      </c>
      <c r="AI402">
        <v>86435.392632749994</v>
      </c>
      <c r="AJ402">
        <v>864.35392632749995</v>
      </c>
      <c r="AK402">
        <v>87299.746559077481</v>
      </c>
      <c r="AL402">
        <v>4364.9873279538751</v>
      </c>
      <c r="AM402">
        <v>91664.733887031369</v>
      </c>
      <c r="AO402">
        <v>91664.733887031369</v>
      </c>
      <c r="AP402">
        <v>1833.2946777406271</v>
      </c>
      <c r="AQ402">
        <v>93498.028564772001</v>
      </c>
      <c r="AS402">
        <v>93498.028564772001</v>
      </c>
      <c r="AT402">
        <v>1869.9605712954401</v>
      </c>
      <c r="AU402">
        <v>95367.989136067437</v>
      </c>
      <c r="AW402">
        <v>95367.989136067437</v>
      </c>
      <c r="AX402">
        <v>953.67989136067445</v>
      </c>
      <c r="AY402">
        <v>96321.669027428114</v>
      </c>
      <c r="BA402">
        <v>96321.669027428114</v>
      </c>
      <c r="BC402">
        <v>96321.669027428114</v>
      </c>
      <c r="BE402">
        <v>96321.669027428114</v>
      </c>
      <c r="BF402">
        <v>1444.8250354114216</v>
      </c>
      <c r="BG402">
        <v>97766.494062839542</v>
      </c>
      <c r="BH402">
        <v>500</v>
      </c>
      <c r="BI402">
        <v>98266.494062839542</v>
      </c>
      <c r="BK402">
        <v>98266.494062839542</v>
      </c>
      <c r="BM402">
        <v>98266.494062839542</v>
      </c>
      <c r="BO402">
        <v>98266.494062839542</v>
      </c>
      <c r="BQ402">
        <v>98266.494062839542</v>
      </c>
      <c r="BS402">
        <v>98266.494062839542</v>
      </c>
      <c r="BT402" s="238">
        <v>98266.49</v>
      </c>
      <c r="BU402" s="238">
        <v>5679900</v>
      </c>
      <c r="BX402" s="238">
        <v>0</v>
      </c>
      <c r="BY402" s="238">
        <v>98268.166089965409</v>
      </c>
      <c r="BZ402" s="238">
        <v>5679900</v>
      </c>
      <c r="CA402" s="238" t="s">
        <v>38</v>
      </c>
      <c r="CB402">
        <v>20000</v>
      </c>
      <c r="CC402">
        <v>118268.16608996539</v>
      </c>
      <c r="CD402" s="238">
        <v>1156000</v>
      </c>
      <c r="CE402" s="238">
        <v>6835900</v>
      </c>
      <c r="CH402" s="238" t="s">
        <v>39</v>
      </c>
      <c r="CI402" s="238" t="s">
        <v>39</v>
      </c>
      <c r="CJ402" t="s">
        <v>8950</v>
      </c>
      <c r="CK402" t="s">
        <v>1167</v>
      </c>
      <c r="CL402" t="s">
        <v>8961</v>
      </c>
      <c r="CM402" t="s">
        <v>8974</v>
      </c>
      <c r="CN402" s="238" t="b">
        <v>1</v>
      </c>
      <c r="CO402" t="s">
        <v>5690</v>
      </c>
      <c r="CQ402" t="s">
        <v>6652</v>
      </c>
      <c r="CR402" t="s">
        <v>3246</v>
      </c>
      <c r="CS402" t="s">
        <v>38</v>
      </c>
      <c r="CT402" t="b">
        <v>1</v>
      </c>
      <c r="CU402">
        <v>5679900</v>
      </c>
      <c r="CV402" t="s">
        <v>9002</v>
      </c>
      <c r="CW402">
        <v>0</v>
      </c>
      <c r="CX402">
        <v>5679900</v>
      </c>
      <c r="CY402">
        <v>0</v>
      </c>
      <c r="CZ402" t="b">
        <v>1</v>
      </c>
      <c r="DA402">
        <v>45554</v>
      </c>
      <c r="DB402" t="s">
        <v>5215</v>
      </c>
      <c r="DC402">
        <v>-1.2110726643598468E-2</v>
      </c>
      <c r="DD402">
        <v>-1190.0988972833036</v>
      </c>
      <c r="DE402" s="420" cm="1">
        <f t="array" ref="DE402">_xlfn.XLOOKUP("Дом 5"&amp;Реестр_Д5[[#This Row],[№]]&amp;Реестр_Д5[[#This Row],[Статус]],РД[Дом]&amp;РД[№ кв]&amp;РД[Состояние],РД[Дата подачи на регистрацию],"-",0)</f>
        <v>45554</v>
      </c>
    </row>
    <row r="403" spans="1:109" hidden="1" x14ac:dyDescent="0.25">
      <c r="A403" s="238">
        <v>402</v>
      </c>
      <c r="B403" s="238" t="s">
        <v>15</v>
      </c>
      <c r="C403" s="238">
        <v>2</v>
      </c>
      <c r="D403" s="238">
        <v>6</v>
      </c>
      <c r="E403" s="238">
        <v>1</v>
      </c>
      <c r="F403" s="238">
        <v>12.71</v>
      </c>
      <c r="G403" s="238"/>
      <c r="H403" s="238"/>
      <c r="I403">
        <v>12.71</v>
      </c>
      <c r="J403" s="238">
        <v>12.55</v>
      </c>
      <c r="K403" s="238">
        <v>4.28</v>
      </c>
      <c r="L403" s="238"/>
      <c r="M403" s="238"/>
      <c r="N403" s="238">
        <v>7.34</v>
      </c>
      <c r="O403" s="238">
        <v>2.84</v>
      </c>
      <c r="P403" s="238"/>
      <c r="R403" s="238">
        <v>2.84</v>
      </c>
      <c r="S403">
        <v>39.72</v>
      </c>
      <c r="T403">
        <v>36.880000000000003</v>
      </c>
      <c r="U403" s="238">
        <v>38.299999999999997</v>
      </c>
      <c r="V403">
        <v>37.999999999999993</v>
      </c>
      <c r="W403" s="238">
        <v>88412.625</v>
      </c>
      <c r="X403">
        <v>4420.6312500000004</v>
      </c>
      <c r="Y403">
        <v>92833.256250000006</v>
      </c>
      <c r="Z403">
        <v>2784.9976875000002</v>
      </c>
      <c r="AA403">
        <v>95618.253937500005</v>
      </c>
      <c r="AB403">
        <v>956.18253937500003</v>
      </c>
      <c r="AC403">
        <v>96574.436476875009</v>
      </c>
      <c r="AE403">
        <v>96574.436476875009</v>
      </c>
      <c r="AF403">
        <v>4828.7218238437508</v>
      </c>
      <c r="AG403">
        <v>101403.15830071876</v>
      </c>
      <c r="AI403">
        <v>101403.15830071876</v>
      </c>
      <c r="AJ403">
        <v>1014.0315830071876</v>
      </c>
      <c r="AK403">
        <v>102417.18988372597</v>
      </c>
      <c r="AL403">
        <v>5120.8594941862975</v>
      </c>
      <c r="AM403">
        <v>107538.04937791223</v>
      </c>
      <c r="AO403">
        <v>107538.04937791223</v>
      </c>
      <c r="AP403">
        <v>3226.1414813373672</v>
      </c>
      <c r="AQ403">
        <v>110764.19085924962</v>
      </c>
      <c r="AS403">
        <v>110764.19085924962</v>
      </c>
      <c r="AU403">
        <v>110764.19085924962</v>
      </c>
      <c r="AW403">
        <v>110764.19085924962</v>
      </c>
      <c r="AY403">
        <v>110764.19085924962</v>
      </c>
      <c r="AZ403">
        <v>1107.6419085924963</v>
      </c>
      <c r="BA403">
        <v>111871.83276784212</v>
      </c>
      <c r="BB403">
        <v>559.35916383921062</v>
      </c>
      <c r="BC403">
        <v>112431.19193168131</v>
      </c>
      <c r="BE403">
        <v>112431.19193168131</v>
      </c>
      <c r="BF403">
        <v>2810.7797982920333</v>
      </c>
      <c r="BG403">
        <v>115241.97172997336</v>
      </c>
      <c r="BI403">
        <v>115241.97172997336</v>
      </c>
      <c r="BJ403">
        <v>2304.839434599467</v>
      </c>
      <c r="BK403">
        <v>117546.81116457282</v>
      </c>
      <c r="BM403">
        <v>117546.81116457282</v>
      </c>
      <c r="BO403">
        <v>117546.81116457282</v>
      </c>
      <c r="BQ403">
        <v>117546.81116457282</v>
      </c>
      <c r="BS403">
        <v>117546.81116457282</v>
      </c>
      <c r="BT403" s="238">
        <v>117546.81</v>
      </c>
      <c r="BU403" s="238">
        <v>4502100</v>
      </c>
      <c r="BW403">
        <v>0.02</v>
      </c>
      <c r="BX403" s="238">
        <v>90042</v>
      </c>
      <c r="BY403" s="238">
        <v>115197.33681462142</v>
      </c>
      <c r="BZ403" s="238">
        <v>4412058</v>
      </c>
      <c r="CA403" s="238" t="s">
        <v>36</v>
      </c>
      <c r="CC403">
        <v>115197.33681462142</v>
      </c>
      <c r="CD403" s="238">
        <v>0</v>
      </c>
      <c r="CE403" s="238">
        <v>4412058</v>
      </c>
      <c r="CG403" t="s">
        <v>3540</v>
      </c>
      <c r="CH403" s="238" t="s">
        <v>39</v>
      </c>
      <c r="CI403" s="238" t="s">
        <v>39</v>
      </c>
      <c r="CJ403" t="s">
        <v>8950</v>
      </c>
      <c r="CK403" t="s">
        <v>1167</v>
      </c>
      <c r="CL403" t="s">
        <v>8961</v>
      </c>
      <c r="CM403" t="s">
        <v>8973</v>
      </c>
      <c r="CN403" s="238" t="b">
        <v>1</v>
      </c>
      <c r="CO403" t="s">
        <v>5691</v>
      </c>
      <c r="CQ403" t="s">
        <v>6652</v>
      </c>
      <c r="CR403" t="s">
        <v>3246</v>
      </c>
      <c r="CS403" t="s">
        <v>36</v>
      </c>
      <c r="CT403" t="b">
        <v>1</v>
      </c>
      <c r="CU403">
        <v>4502100</v>
      </c>
      <c r="CV403" t="s">
        <v>9002</v>
      </c>
      <c r="CW403">
        <v>0</v>
      </c>
      <c r="CX403">
        <v>4502100</v>
      </c>
      <c r="CY403">
        <v>0</v>
      </c>
      <c r="CZ403" t="b">
        <v>1</v>
      </c>
      <c r="DA403">
        <v>45594</v>
      </c>
      <c r="DB403" t="s">
        <v>5215</v>
      </c>
      <c r="DC403">
        <v>-7.8328981723239099E-3</v>
      </c>
      <c r="DD403">
        <v>-902.32900899182994</v>
      </c>
      <c r="DE403" s="420" cm="1">
        <f t="array" ref="DE403">_xlfn.XLOOKUP("Дом 5"&amp;Реестр_Д5[[#This Row],[№]]&amp;Реестр_Д5[[#This Row],[Статус]],РД[Дом]&amp;РД[№ кв]&amp;РД[Состояние],РД[Дата подачи на регистрацию],"-",0)</f>
        <v>45594</v>
      </c>
    </row>
    <row r="404" spans="1:109" x14ac:dyDescent="0.25">
      <c r="A404" s="238">
        <v>403</v>
      </c>
      <c r="B404" s="238" t="s">
        <v>15</v>
      </c>
      <c r="C404" s="238">
        <v>2</v>
      </c>
      <c r="D404" s="238">
        <v>7</v>
      </c>
      <c r="E404" s="238">
        <v>3</v>
      </c>
      <c r="F404" s="238">
        <v>14.49</v>
      </c>
      <c r="G404" s="238">
        <v>13.98</v>
      </c>
      <c r="H404" s="238">
        <v>11.42</v>
      </c>
      <c r="I404">
        <v>39.89</v>
      </c>
      <c r="J404" s="238">
        <v>16.670000000000002</v>
      </c>
      <c r="K404" s="238">
        <v>4.1399999999999997</v>
      </c>
      <c r="L404" s="238">
        <v>1.89</v>
      </c>
      <c r="M404" s="238"/>
      <c r="N404" s="238">
        <v>11.31</v>
      </c>
      <c r="O404" s="238">
        <v>2.86</v>
      </c>
      <c r="P404" s="238">
        <v>2.79</v>
      </c>
      <c r="Q404">
        <v>5.42</v>
      </c>
      <c r="R404" s="238">
        <v>11.07</v>
      </c>
      <c r="S404">
        <v>84.97</v>
      </c>
      <c r="T404">
        <v>73.900000000000006</v>
      </c>
      <c r="U404" s="238">
        <v>79.44</v>
      </c>
      <c r="V404">
        <v>78.59999999999998</v>
      </c>
      <c r="W404" s="238">
        <v>77089.320000000022</v>
      </c>
      <c r="X404">
        <v>3854.4660000000017</v>
      </c>
      <c r="Y404">
        <v>80943.786000000022</v>
      </c>
      <c r="Z404">
        <v>2428.3135800000005</v>
      </c>
      <c r="AA404">
        <v>83372.099580000038</v>
      </c>
      <c r="AC404">
        <v>83372.099580000038</v>
      </c>
      <c r="AE404">
        <v>83372.099580000038</v>
      </c>
      <c r="AG404">
        <v>83372.099580000038</v>
      </c>
      <c r="AI404">
        <v>83372.099580000038</v>
      </c>
      <c r="AJ404">
        <v>833.72099580000031</v>
      </c>
      <c r="AK404">
        <v>84205.820575800026</v>
      </c>
      <c r="AL404">
        <v>4210.2910287900013</v>
      </c>
      <c r="AM404">
        <v>88416.111604590027</v>
      </c>
      <c r="AO404">
        <v>88416.111604590027</v>
      </c>
      <c r="AP404">
        <v>1768.3222320918003</v>
      </c>
      <c r="AQ404">
        <v>90184.433836681827</v>
      </c>
      <c r="AS404">
        <v>90184.433836681827</v>
      </c>
      <c r="AT404">
        <v>1803.6886767336368</v>
      </c>
      <c r="AU404">
        <v>91988.122513415467</v>
      </c>
      <c r="AV404">
        <v>1000</v>
      </c>
      <c r="AW404">
        <v>92988.122513415467</v>
      </c>
      <c r="AY404">
        <v>92988.122513415467</v>
      </c>
      <c r="AZ404">
        <v>1859.7624502683093</v>
      </c>
      <c r="BA404">
        <v>94847.884963683769</v>
      </c>
      <c r="BC404">
        <v>94847.884963683769</v>
      </c>
      <c r="BD404">
        <v>1896.9576992736752</v>
      </c>
      <c r="BE404">
        <v>96744.842662957439</v>
      </c>
      <c r="BF404">
        <v>2418.6210665739359</v>
      </c>
      <c r="BG404">
        <v>99163.463729531373</v>
      </c>
      <c r="BI404">
        <v>99163.463729531373</v>
      </c>
      <c r="BJ404">
        <v>3966.5385491812553</v>
      </c>
      <c r="BK404">
        <v>103130.00227871262</v>
      </c>
      <c r="BL404">
        <v>5156.5001139356318</v>
      </c>
      <c r="BM404">
        <v>108286.50239264824</v>
      </c>
      <c r="BN404">
        <v>14077.245311044271</v>
      </c>
      <c r="BO404">
        <v>122363.74770369253</v>
      </c>
      <c r="BP404">
        <v>35</v>
      </c>
      <c r="BQ404">
        <v>122398.74770369253</v>
      </c>
      <c r="BS404">
        <v>122398.74770369253</v>
      </c>
      <c r="BT404" s="238">
        <v>122398.75</v>
      </c>
      <c r="BU404" s="238">
        <v>9620600</v>
      </c>
      <c r="BX404" s="238">
        <v>0</v>
      </c>
      <c r="BY404" s="238">
        <v>122399.4910941476</v>
      </c>
      <c r="BZ404" s="238">
        <v>9620600</v>
      </c>
      <c r="CA404" s="238" t="s">
        <v>36</v>
      </c>
      <c r="CC404">
        <v>122399.4910941476</v>
      </c>
      <c r="CD404" s="238">
        <v>0</v>
      </c>
      <c r="CE404" s="238">
        <v>9620600</v>
      </c>
      <c r="CF404" t="s">
        <v>4636</v>
      </c>
      <c r="CH404" s="238" t="s">
        <v>3</v>
      </c>
      <c r="CI404" s="238" t="s">
        <v>3</v>
      </c>
      <c r="CJ404" t="s">
        <v>8951</v>
      </c>
      <c r="CK404" t="s">
        <v>1167</v>
      </c>
      <c r="CL404" t="s">
        <v>8961</v>
      </c>
      <c r="CM404" t="s">
        <v>8990</v>
      </c>
      <c r="CN404" s="238" t="b">
        <v>1</v>
      </c>
      <c r="CO404" t="s">
        <v>5692</v>
      </c>
      <c r="CQ404" t="s">
        <v>6652</v>
      </c>
      <c r="CR404" t="s">
        <v>3124</v>
      </c>
      <c r="CS404" t="s">
        <v>36</v>
      </c>
      <c r="CT404" t="b">
        <v>1</v>
      </c>
      <c r="CU404">
        <v>9620600</v>
      </c>
      <c r="CV404">
        <v>9620600</v>
      </c>
      <c r="CW404">
        <v>0</v>
      </c>
      <c r="CX404">
        <v>0</v>
      </c>
      <c r="CY404">
        <v>0</v>
      </c>
      <c r="CZ404" t="b">
        <v>1</v>
      </c>
      <c r="DA404" t="s">
        <v>4246</v>
      </c>
      <c r="DB404" t="s">
        <v>1167</v>
      </c>
      <c r="DC404">
        <v>-1.0574018126888409E-2</v>
      </c>
      <c r="DD404">
        <v>-1294.2544375514333</v>
      </c>
      <c r="DE404" s="420" t="str" cm="1">
        <f t="array" ref="DE40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05" spans="1:109" hidden="1" x14ac:dyDescent="0.25">
      <c r="A405" s="238">
        <v>404</v>
      </c>
      <c r="B405" s="238" t="s">
        <v>15</v>
      </c>
      <c r="C405" s="238">
        <v>2</v>
      </c>
      <c r="D405" s="238">
        <v>8</v>
      </c>
      <c r="E405" s="238">
        <v>1</v>
      </c>
      <c r="F405" s="238">
        <v>16.79</v>
      </c>
      <c r="G405" s="238"/>
      <c r="H405" s="238"/>
      <c r="I405">
        <v>16.79</v>
      </c>
      <c r="J405" s="238">
        <v>11.43</v>
      </c>
      <c r="K405" s="238">
        <v>3.56</v>
      </c>
      <c r="L405" s="238"/>
      <c r="M405" s="238"/>
      <c r="N405" s="238">
        <v>6.66</v>
      </c>
      <c r="O405" s="238">
        <v>2.4900000000000002</v>
      </c>
      <c r="P405" s="238"/>
      <c r="R405" s="238">
        <v>2.4900000000000002</v>
      </c>
      <c r="S405">
        <v>40.93</v>
      </c>
      <c r="T405">
        <v>38.44</v>
      </c>
      <c r="U405" s="238">
        <v>39.69</v>
      </c>
      <c r="V405">
        <v>39.600000000000009</v>
      </c>
      <c r="W405" s="238">
        <v>85573.6875</v>
      </c>
      <c r="X405">
        <v>4278.6843749999998</v>
      </c>
      <c r="Y405">
        <v>89852.371874999997</v>
      </c>
      <c r="Z405">
        <v>2695.5711562499996</v>
      </c>
      <c r="AA405">
        <v>92547.943031250004</v>
      </c>
      <c r="AB405">
        <v>4164.657436406249</v>
      </c>
      <c r="AC405">
        <v>96712.600467656244</v>
      </c>
      <c r="AE405">
        <v>96712.600467656244</v>
      </c>
      <c r="AF405">
        <v>4835.6300233828124</v>
      </c>
      <c r="AG405">
        <v>101548.23049103904</v>
      </c>
      <c r="AI405">
        <v>101548.23049103904</v>
      </c>
      <c r="AJ405">
        <v>1015.4823049103906</v>
      </c>
      <c r="AK405">
        <v>102563.71279594944</v>
      </c>
      <c r="AL405">
        <v>5128.1856397974725</v>
      </c>
      <c r="AM405">
        <v>107691.89843574692</v>
      </c>
      <c r="AO405">
        <v>107691.89843574692</v>
      </c>
      <c r="AP405">
        <v>3230.7569530724072</v>
      </c>
      <c r="AQ405">
        <v>110922.65538881932</v>
      </c>
      <c r="AS405">
        <v>110922.65538881932</v>
      </c>
      <c r="AU405">
        <v>110922.65538881932</v>
      </c>
      <c r="AW405">
        <v>110922.65538881932</v>
      </c>
      <c r="AY405">
        <v>110922.65538881932</v>
      </c>
      <c r="BA405">
        <v>110922.65538881932</v>
      </c>
      <c r="BC405">
        <v>110922.65538881932</v>
      </c>
      <c r="BE405">
        <v>110922.65538881932</v>
      </c>
      <c r="BG405">
        <v>110922.65538881932</v>
      </c>
      <c r="BI405">
        <v>110922.65538881932</v>
      </c>
      <c r="BK405">
        <v>110922.65538881932</v>
      </c>
      <c r="BM405">
        <v>110922.65538881932</v>
      </c>
      <c r="BO405">
        <v>110922.65538881932</v>
      </c>
      <c r="BQ405">
        <v>110922.65538881932</v>
      </c>
      <c r="BS405">
        <v>110922.65538881932</v>
      </c>
      <c r="BT405" s="238">
        <v>110922.66</v>
      </c>
      <c r="BU405" s="238">
        <v>4402600</v>
      </c>
      <c r="BX405" s="238">
        <v>0</v>
      </c>
      <c r="BY405" s="238">
        <v>110924.66616276139</v>
      </c>
      <c r="BZ405" s="238">
        <v>4402600</v>
      </c>
      <c r="CA405" s="238" t="s">
        <v>38</v>
      </c>
      <c r="CB405">
        <v>20000</v>
      </c>
      <c r="CC405">
        <v>130924.66616276139</v>
      </c>
      <c r="CD405" s="238">
        <v>793800</v>
      </c>
      <c r="CE405" s="238">
        <v>5196400</v>
      </c>
      <c r="CH405" s="238" t="s">
        <v>39</v>
      </c>
      <c r="CI405" s="238" t="s">
        <v>39</v>
      </c>
      <c r="CJ405" t="s">
        <v>8950</v>
      </c>
      <c r="CK405" t="s">
        <v>1167</v>
      </c>
      <c r="CL405" t="s">
        <v>8961</v>
      </c>
      <c r="CM405" t="s">
        <v>8973</v>
      </c>
      <c r="CN405" s="238" t="b">
        <v>1</v>
      </c>
      <c r="CO405" t="s">
        <v>5693</v>
      </c>
      <c r="CQ405" t="s">
        <v>6652</v>
      </c>
      <c r="CR405" t="s">
        <v>3246</v>
      </c>
      <c r="CS405" t="s">
        <v>38</v>
      </c>
      <c r="CT405" t="b">
        <v>1</v>
      </c>
      <c r="CU405">
        <v>4402600</v>
      </c>
      <c r="CV405" t="s">
        <v>9002</v>
      </c>
      <c r="CW405">
        <v>0</v>
      </c>
      <c r="CX405">
        <v>4402600</v>
      </c>
      <c r="CY405">
        <v>0</v>
      </c>
      <c r="CZ405" t="b">
        <v>1</v>
      </c>
      <c r="DA405">
        <v>45453</v>
      </c>
      <c r="DB405" t="s">
        <v>5215</v>
      </c>
      <c r="DC405">
        <v>-2.2675736961448312E-3</v>
      </c>
      <c r="DD405">
        <v>-251.52985524432441</v>
      </c>
      <c r="DE405" s="420" cm="1">
        <f t="array" ref="DE405">_xlfn.XLOOKUP("Дом 5"&amp;Реестр_Д5[[#This Row],[№]]&amp;Реестр_Д5[[#This Row],[Статус]],РД[Дом]&amp;РД[№ кв]&amp;РД[Состояние],РД[Дата подачи на регистрацию],"-",0)</f>
        <v>45453</v>
      </c>
    </row>
    <row r="406" spans="1:109" hidden="1" x14ac:dyDescent="0.25">
      <c r="A406" s="238">
        <v>405</v>
      </c>
      <c r="B406" s="238" t="s">
        <v>15</v>
      </c>
      <c r="C406" s="238">
        <v>3</v>
      </c>
      <c r="D406" s="238">
        <v>1</v>
      </c>
      <c r="E406" s="238">
        <v>0</v>
      </c>
      <c r="F406" s="238">
        <v>13.74</v>
      </c>
      <c r="G406" s="238"/>
      <c r="H406" s="238"/>
      <c r="I406">
        <v>13.74</v>
      </c>
      <c r="J406" s="238">
        <v>5.84</v>
      </c>
      <c r="K406" s="238">
        <v>3.76</v>
      </c>
      <c r="L406" s="238"/>
      <c r="M406" s="238"/>
      <c r="N406" s="238">
        <v>3.73</v>
      </c>
      <c r="O406" s="238">
        <v>4.6500000000000004</v>
      </c>
      <c r="P406" s="238"/>
      <c r="R406" s="238">
        <v>4.6500000000000004</v>
      </c>
      <c r="S406">
        <v>31.72</v>
      </c>
      <c r="T406">
        <v>27.07</v>
      </c>
      <c r="U406" s="238">
        <v>29.4</v>
      </c>
      <c r="V406">
        <v>29.2</v>
      </c>
      <c r="W406" s="238">
        <v>90229.544999999998</v>
      </c>
      <c r="X406">
        <v>4511.4772499999999</v>
      </c>
      <c r="Y406">
        <v>94741.022249999995</v>
      </c>
      <c r="Z406">
        <v>2842.2306674999995</v>
      </c>
      <c r="AA406">
        <v>97583.252917499995</v>
      </c>
      <c r="AB406">
        <v>8782.4927625749988</v>
      </c>
      <c r="AC406">
        <v>106365.74568007499</v>
      </c>
      <c r="AE406">
        <v>106365.74568007499</v>
      </c>
      <c r="AG406">
        <v>106365.74568007499</v>
      </c>
      <c r="AI406">
        <v>106365.74568007499</v>
      </c>
      <c r="AJ406">
        <v>1063.65745680075</v>
      </c>
      <c r="AK406">
        <v>107429.40313687574</v>
      </c>
      <c r="AL406">
        <v>5371.4701568437877</v>
      </c>
      <c r="AM406">
        <v>112800.87329371952</v>
      </c>
      <c r="AO406">
        <v>112800.87329371952</v>
      </c>
      <c r="AP406">
        <v>3384.0261988115858</v>
      </c>
      <c r="AQ406">
        <v>116184.89949253113</v>
      </c>
      <c r="AS406">
        <v>116184.89949253113</v>
      </c>
      <c r="AU406">
        <v>116184.89949253113</v>
      </c>
      <c r="AW406">
        <v>116184.89949253113</v>
      </c>
      <c r="AX406">
        <v>1161.8489949253112</v>
      </c>
      <c r="AY406">
        <v>117346.74848745644</v>
      </c>
      <c r="BA406">
        <v>117346.74848745644</v>
      </c>
      <c r="BC406">
        <v>117346.74848745644</v>
      </c>
      <c r="BE406">
        <v>117346.74848745644</v>
      </c>
      <c r="BG406">
        <v>117346.74848745644</v>
      </c>
      <c r="BI406">
        <v>117346.74848745644</v>
      </c>
      <c r="BK406">
        <v>117346.74848745644</v>
      </c>
      <c r="BM406">
        <v>117346.74848745644</v>
      </c>
      <c r="BO406">
        <v>117346.74848745644</v>
      </c>
      <c r="BQ406">
        <v>117346.74848745644</v>
      </c>
      <c r="BS406">
        <v>117346.74848745644</v>
      </c>
      <c r="BT406" s="238">
        <v>117346.75</v>
      </c>
      <c r="BU406" s="238">
        <v>3450000</v>
      </c>
      <c r="BX406" s="238">
        <v>0</v>
      </c>
      <c r="BY406" s="238">
        <v>117346.93877551021</v>
      </c>
      <c r="BZ406" s="238">
        <v>3450000</v>
      </c>
      <c r="CA406" s="238" t="s">
        <v>36</v>
      </c>
      <c r="CC406">
        <v>117346.93877551021</v>
      </c>
      <c r="CD406" s="238">
        <v>0</v>
      </c>
      <c r="CE406" s="238">
        <v>3450000</v>
      </c>
      <c r="CH406" s="238" t="s">
        <v>39</v>
      </c>
      <c r="CI406" s="238" t="s">
        <v>39</v>
      </c>
      <c r="CJ406" t="s">
        <v>8950</v>
      </c>
      <c r="CK406" t="s">
        <v>1167</v>
      </c>
      <c r="CL406" t="s">
        <v>8961</v>
      </c>
      <c r="CM406" t="s">
        <v>8970</v>
      </c>
      <c r="CN406" s="238" t="b">
        <v>1</v>
      </c>
      <c r="CO406" t="s">
        <v>5694</v>
      </c>
      <c r="CQ406" t="s">
        <v>6652</v>
      </c>
      <c r="CR406" t="s">
        <v>3246</v>
      </c>
      <c r="CS406" t="s">
        <v>36</v>
      </c>
      <c r="CT406" t="b">
        <v>1</v>
      </c>
      <c r="CU406">
        <v>3450000</v>
      </c>
      <c r="CV406" t="s">
        <v>9002</v>
      </c>
      <c r="CW406">
        <v>0</v>
      </c>
      <c r="CX406">
        <v>3450000</v>
      </c>
      <c r="CY406">
        <v>0</v>
      </c>
      <c r="CZ406" t="b">
        <v>1</v>
      </c>
      <c r="DA406">
        <v>45443</v>
      </c>
      <c r="DB406" t="s">
        <v>5215</v>
      </c>
      <c r="DC406">
        <v>-6.8027210884353817E-3</v>
      </c>
      <c r="DD406">
        <v>-798.27849507149892</v>
      </c>
      <c r="DE406" s="420" cm="1">
        <f t="array" ref="DE406">_xlfn.XLOOKUP("Дом 5"&amp;Реестр_Д5[[#This Row],[№]]&amp;Реестр_Д5[[#This Row],[Статус]],РД[Дом]&amp;РД[№ кв]&amp;РД[Состояние],РД[Дата подачи на регистрацию],"-",0)</f>
        <v>45443</v>
      </c>
    </row>
    <row r="407" spans="1:109" hidden="1" x14ac:dyDescent="0.25">
      <c r="A407" s="238">
        <v>406</v>
      </c>
      <c r="B407" s="238" t="s">
        <v>15</v>
      </c>
      <c r="C407" s="238">
        <v>3</v>
      </c>
      <c r="D407" s="238">
        <v>2</v>
      </c>
      <c r="E407" s="238">
        <v>1</v>
      </c>
      <c r="F407" s="238">
        <v>13.17</v>
      </c>
      <c r="G407" s="238"/>
      <c r="H407" s="238"/>
      <c r="I407">
        <v>13.17</v>
      </c>
      <c r="J407" s="238">
        <v>16.940000000000001</v>
      </c>
      <c r="K407" s="238">
        <v>3.55</v>
      </c>
      <c r="L407" s="238">
        <v>2.41</v>
      </c>
      <c r="M407" s="238"/>
      <c r="N407" s="238">
        <v>5.8</v>
      </c>
      <c r="O407" s="238">
        <v>2.68</v>
      </c>
      <c r="P407" s="238"/>
      <c r="R407" s="238">
        <v>2.68</v>
      </c>
      <c r="S407">
        <v>44.55</v>
      </c>
      <c r="T407">
        <v>41.87</v>
      </c>
      <c r="U407" s="238">
        <v>43.21</v>
      </c>
      <c r="V407">
        <v>42.29999999999999</v>
      </c>
      <c r="W407" s="238">
        <v>85979.25</v>
      </c>
      <c r="Y407">
        <v>85979.25</v>
      </c>
      <c r="AA407">
        <v>85979.25</v>
      </c>
      <c r="AC407">
        <v>85979.25</v>
      </c>
      <c r="AE407">
        <v>85979.25</v>
      </c>
      <c r="AG407">
        <v>85979.25</v>
      </c>
      <c r="AI407">
        <v>85979.25</v>
      </c>
      <c r="AK407">
        <v>85979.25</v>
      </c>
      <c r="AM407">
        <v>85979.25</v>
      </c>
      <c r="AO407">
        <v>85979.25</v>
      </c>
      <c r="AQ407">
        <v>85979.25</v>
      </c>
      <c r="AS407">
        <v>85979.25</v>
      </c>
      <c r="AU407">
        <v>85979.25</v>
      </c>
      <c r="AW407">
        <v>85979.25</v>
      </c>
      <c r="AY407">
        <v>85979.25</v>
      </c>
      <c r="BA407">
        <v>85979.25</v>
      </c>
      <c r="BC407">
        <v>85979.25</v>
      </c>
      <c r="BE407">
        <v>85979.25</v>
      </c>
      <c r="BG407">
        <v>85979.25</v>
      </c>
      <c r="BI407">
        <v>85979.25</v>
      </c>
      <c r="BK407">
        <v>85979.25</v>
      </c>
      <c r="BM407">
        <v>85979.25</v>
      </c>
      <c r="BO407">
        <v>85979.25</v>
      </c>
      <c r="BQ407">
        <v>85979.25</v>
      </c>
      <c r="BS407">
        <v>85979.25</v>
      </c>
      <c r="BT407" s="238">
        <v>85979.25</v>
      </c>
      <c r="BU407" s="238">
        <v>3715163.39</v>
      </c>
      <c r="BW407">
        <v>0.06</v>
      </c>
      <c r="BX407" s="238">
        <v>222909.8034</v>
      </c>
      <c r="BY407" s="238">
        <v>80820.495024299918</v>
      </c>
      <c r="BZ407" s="238">
        <v>3492253.59</v>
      </c>
      <c r="CA407" s="238" t="s">
        <v>38</v>
      </c>
      <c r="CB407">
        <v>15500</v>
      </c>
      <c r="CC407">
        <v>96320.495024299918</v>
      </c>
      <c r="CD407" s="238">
        <v>669754.99999999953</v>
      </c>
      <c r="CE407" s="238">
        <v>4162008.5899999994</v>
      </c>
      <c r="CG407" t="s">
        <v>978</v>
      </c>
      <c r="CH407" s="238" t="s">
        <v>39</v>
      </c>
      <c r="CI407" s="238" t="s">
        <v>39</v>
      </c>
      <c r="CJ407" t="s">
        <v>8950</v>
      </c>
      <c r="CK407" t="s">
        <v>1167</v>
      </c>
      <c r="CL407" t="s">
        <v>8961</v>
      </c>
      <c r="CM407" t="s">
        <v>8972</v>
      </c>
      <c r="CN407" s="238" t="b">
        <v>1</v>
      </c>
      <c r="CO407" t="s">
        <v>5695</v>
      </c>
      <c r="CQ407" t="s">
        <v>4895</v>
      </c>
      <c r="CR407" t="s">
        <v>3246</v>
      </c>
      <c r="CS407" t="s">
        <v>38</v>
      </c>
      <c r="CT407" t="b">
        <v>1</v>
      </c>
      <c r="CU407">
        <v>3715163.39</v>
      </c>
      <c r="CV407" t="s">
        <v>9002</v>
      </c>
      <c r="CW407">
        <v>3715163</v>
      </c>
      <c r="CX407">
        <v>3715163</v>
      </c>
      <c r="CY407">
        <v>0</v>
      </c>
      <c r="CZ407" t="b">
        <v>1</v>
      </c>
      <c r="DA407">
        <v>45188</v>
      </c>
      <c r="DB407" t="s">
        <v>399</v>
      </c>
      <c r="DC407">
        <v>-2.1059939828743542E-2</v>
      </c>
      <c r="DD407">
        <v>-1702.0747621410237</v>
      </c>
      <c r="DE407" s="420" cm="1">
        <f t="array" ref="DE407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08" spans="1:109" hidden="1" x14ac:dyDescent="0.25">
      <c r="A408" s="238">
        <v>407</v>
      </c>
      <c r="B408" s="238" t="s">
        <v>15</v>
      </c>
      <c r="C408" s="238">
        <v>3</v>
      </c>
      <c r="D408" s="238">
        <v>3</v>
      </c>
      <c r="E408" s="238">
        <v>0</v>
      </c>
      <c r="F408" s="238">
        <v>7.2</v>
      </c>
      <c r="G408" s="238"/>
      <c r="H408" s="238"/>
      <c r="I408">
        <v>7.2</v>
      </c>
      <c r="J408" s="238">
        <v>5.17</v>
      </c>
      <c r="K408" s="238">
        <v>3.71</v>
      </c>
      <c r="L408" s="238"/>
      <c r="M408" s="238"/>
      <c r="N408" s="238">
        <v>6.96</v>
      </c>
      <c r="O408" s="238">
        <v>2.92</v>
      </c>
      <c r="P408" s="238"/>
      <c r="R408" s="238">
        <v>2.92</v>
      </c>
      <c r="S408">
        <v>25.96</v>
      </c>
      <c r="T408">
        <v>23.04</v>
      </c>
      <c r="U408" s="238">
        <v>24.5</v>
      </c>
      <c r="V408">
        <v>24.35</v>
      </c>
      <c r="W408" s="238">
        <v>91981.574999999997</v>
      </c>
      <c r="Y408">
        <v>91981.574999999997</v>
      </c>
      <c r="AA408">
        <v>91981.574999999997</v>
      </c>
      <c r="AC408">
        <v>91981.574999999997</v>
      </c>
      <c r="AE408">
        <v>91981.574999999997</v>
      </c>
      <c r="AG408">
        <v>91981.574999999997</v>
      </c>
      <c r="AI408">
        <v>91981.574999999997</v>
      </c>
      <c r="AK408">
        <v>91981.574999999997</v>
      </c>
      <c r="AM408">
        <v>91981.574999999997</v>
      </c>
      <c r="AO408">
        <v>91981.574999999997</v>
      </c>
      <c r="AQ408">
        <v>91981.574999999997</v>
      </c>
      <c r="AS408">
        <v>91981.574999999997</v>
      </c>
      <c r="AU408">
        <v>91981.574999999997</v>
      </c>
      <c r="AW408">
        <v>91981.574999999997</v>
      </c>
      <c r="AY408">
        <v>91981.574999999997</v>
      </c>
      <c r="BA408">
        <v>91981.574999999997</v>
      </c>
      <c r="BC408">
        <v>91981.574999999997</v>
      </c>
      <c r="BE408">
        <v>91981.574999999997</v>
      </c>
      <c r="BG408">
        <v>91981.574999999997</v>
      </c>
      <c r="BI408">
        <v>91981.574999999997</v>
      </c>
      <c r="BK408">
        <v>91981.574999999997</v>
      </c>
      <c r="BM408">
        <v>91981.574999999997</v>
      </c>
      <c r="BO408">
        <v>91981.574999999997</v>
      </c>
      <c r="BQ408">
        <v>91981.574999999997</v>
      </c>
      <c r="BS408">
        <v>91981.574999999997</v>
      </c>
      <c r="BT408" s="238">
        <v>91981.58</v>
      </c>
      <c r="BU408" s="238">
        <v>2253548.71</v>
      </c>
      <c r="BX408" s="238">
        <v>0</v>
      </c>
      <c r="BY408" s="238">
        <v>91981.58</v>
      </c>
      <c r="BZ408" s="238">
        <v>2253548.71</v>
      </c>
      <c r="CA408" s="238" t="s">
        <v>36</v>
      </c>
      <c r="CC408">
        <v>91981.58</v>
      </c>
      <c r="CD408" s="238">
        <v>0</v>
      </c>
      <c r="CE408" s="238">
        <v>2253548.71</v>
      </c>
      <c r="CH408" s="238" t="s">
        <v>39</v>
      </c>
      <c r="CI408" s="238" t="s">
        <v>39</v>
      </c>
      <c r="CJ408" t="s">
        <v>8950</v>
      </c>
      <c r="CK408" t="s">
        <v>1167</v>
      </c>
      <c r="CL408" t="s">
        <v>8961</v>
      </c>
      <c r="CM408" t="s">
        <v>8970</v>
      </c>
      <c r="CN408" s="238" t="b">
        <v>1</v>
      </c>
      <c r="CO408" t="s">
        <v>5696</v>
      </c>
      <c r="CQ408" t="s">
        <v>4895</v>
      </c>
      <c r="CR408" t="s">
        <v>3246</v>
      </c>
      <c r="CS408" t="s">
        <v>36</v>
      </c>
      <c r="CT408" t="b">
        <v>1</v>
      </c>
      <c r="CU408">
        <v>2253548.71</v>
      </c>
      <c r="CV408" t="s">
        <v>9002</v>
      </c>
      <c r="CW408">
        <v>2253549</v>
      </c>
      <c r="CX408">
        <v>2253549</v>
      </c>
      <c r="CY408">
        <v>0</v>
      </c>
      <c r="CZ408" t="b">
        <v>1</v>
      </c>
      <c r="DA408">
        <v>45188</v>
      </c>
      <c r="DB408" t="s">
        <v>130</v>
      </c>
      <c r="DC408">
        <v>-6.1224489795919101E-3</v>
      </c>
      <c r="DD408">
        <v>-563.15253061225167</v>
      </c>
      <c r="DE408" s="420" cm="1">
        <f t="array" ref="DE408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09" spans="1:109" hidden="1" x14ac:dyDescent="0.25">
      <c r="A409" s="238">
        <v>408</v>
      </c>
      <c r="B409" s="238" t="s">
        <v>15</v>
      </c>
      <c r="C409" s="238">
        <v>3</v>
      </c>
      <c r="D409" s="238">
        <v>4</v>
      </c>
      <c r="E409" s="238">
        <v>2</v>
      </c>
      <c r="F409" s="238">
        <v>14.48</v>
      </c>
      <c r="G409" s="238">
        <v>11.42</v>
      </c>
      <c r="H409" s="238"/>
      <c r="I409">
        <v>25.9</v>
      </c>
      <c r="J409" s="238">
        <v>15.86</v>
      </c>
      <c r="K409" s="238">
        <v>3.01</v>
      </c>
      <c r="L409" s="238">
        <v>2.67</v>
      </c>
      <c r="M409" s="238"/>
      <c r="N409" s="238">
        <v>9.44</v>
      </c>
      <c r="O409" s="238">
        <v>2.72</v>
      </c>
      <c r="P409" s="238"/>
      <c r="R409" s="238">
        <v>2.72</v>
      </c>
      <c r="S409">
        <v>59.6</v>
      </c>
      <c r="T409">
        <v>56.88</v>
      </c>
      <c r="U409" s="238">
        <v>58.24</v>
      </c>
      <c r="V409">
        <v>57.95000000000001</v>
      </c>
      <c r="W409" s="238">
        <v>80307.864000000001</v>
      </c>
      <c r="X409">
        <v>4015.3932</v>
      </c>
      <c r="Y409">
        <v>84323.257199999993</v>
      </c>
      <c r="Z409">
        <v>2529.6977160000001</v>
      </c>
      <c r="AA409">
        <v>86852.954916000002</v>
      </c>
      <c r="AC409">
        <v>86852.954916000002</v>
      </c>
      <c r="AE409">
        <v>86852.954916000002</v>
      </c>
      <c r="AG409">
        <v>86852.954916000002</v>
      </c>
      <c r="AI409">
        <v>86852.954916000002</v>
      </c>
      <c r="AJ409">
        <v>868.52954915999999</v>
      </c>
      <c r="AK409">
        <v>87721.48446516</v>
      </c>
      <c r="AL409">
        <v>4386.0742232580005</v>
      </c>
      <c r="AM409">
        <v>92107.558688417994</v>
      </c>
      <c r="AO409">
        <v>92107.558688417994</v>
      </c>
      <c r="AP409">
        <v>1842.15117376836</v>
      </c>
      <c r="AQ409">
        <v>93949.709862186355</v>
      </c>
      <c r="AS409">
        <v>93949.709862186355</v>
      </c>
      <c r="AT409">
        <v>1878.9941972437273</v>
      </c>
      <c r="AU409">
        <v>95828.704059430078</v>
      </c>
      <c r="AW409">
        <v>95828.704059430078</v>
      </c>
      <c r="AY409">
        <v>95828.704059430078</v>
      </c>
      <c r="BA409">
        <v>95828.704059430078</v>
      </c>
      <c r="BC409">
        <v>95828.704059430078</v>
      </c>
      <c r="BE409">
        <v>95828.704059430078</v>
      </c>
      <c r="BG409">
        <v>95828.704059430078</v>
      </c>
      <c r="BI409">
        <v>95828.704059430078</v>
      </c>
      <c r="BK409">
        <v>95828.704059430078</v>
      </c>
      <c r="BM409">
        <v>95828.704059430078</v>
      </c>
      <c r="BO409">
        <v>95828.704059430078</v>
      </c>
      <c r="BQ409">
        <v>95828.704059430078</v>
      </c>
      <c r="BS409">
        <v>95828.704059430078</v>
      </c>
      <c r="BT409" s="238">
        <v>95828.7</v>
      </c>
      <c r="BU409" s="238">
        <v>5581100</v>
      </c>
      <c r="BV409">
        <v>90000</v>
      </c>
      <c r="BX409" s="238">
        <v>90000</v>
      </c>
      <c r="BY409" s="238">
        <v>94283.997252747271</v>
      </c>
      <c r="BZ409" s="238">
        <v>5491100</v>
      </c>
      <c r="CA409" s="238" t="s">
        <v>38</v>
      </c>
      <c r="CB409">
        <v>20000</v>
      </c>
      <c r="CC409">
        <v>114283.99725274726</v>
      </c>
      <c r="CD409" s="238">
        <v>1164800</v>
      </c>
      <c r="CE409" s="238">
        <v>6655900</v>
      </c>
      <c r="CG409" t="s">
        <v>7135</v>
      </c>
      <c r="CH409" s="238" t="s">
        <v>39</v>
      </c>
      <c r="CI409" s="238" t="s">
        <v>39</v>
      </c>
      <c r="CJ409" t="s">
        <v>8950</v>
      </c>
      <c r="CK409" t="s">
        <v>1167</v>
      </c>
      <c r="CL409" t="s">
        <v>8961</v>
      </c>
      <c r="CM409" t="s">
        <v>8971</v>
      </c>
      <c r="CN409" s="238" t="b">
        <v>1</v>
      </c>
      <c r="CO409" t="s">
        <v>5697</v>
      </c>
      <c r="CQ409" t="s">
        <v>6652</v>
      </c>
      <c r="CR409" t="s">
        <v>3246</v>
      </c>
      <c r="CS409" t="s">
        <v>38</v>
      </c>
      <c r="CT409" t="b">
        <v>1</v>
      </c>
      <c r="CU409">
        <v>5581100</v>
      </c>
      <c r="CV409" t="s">
        <v>9002</v>
      </c>
      <c r="CW409">
        <v>5581100</v>
      </c>
      <c r="CX409">
        <v>5581100</v>
      </c>
      <c r="CY409">
        <v>0</v>
      </c>
      <c r="CZ409" t="b">
        <v>1</v>
      </c>
      <c r="DA409">
        <v>45467</v>
      </c>
      <c r="DB409" t="s">
        <v>126</v>
      </c>
      <c r="DC409">
        <v>-4.9793956043954202E-3</v>
      </c>
      <c r="DD409">
        <v>-469.47732148515951</v>
      </c>
      <c r="DE409" s="420" cm="1">
        <f t="array" ref="DE409">_xlfn.XLOOKUP("Дом 5"&amp;Реестр_Д5[[#This Row],[№]]&amp;Реестр_Д5[[#This Row],[Статус]],РД[Дом]&amp;РД[№ кв]&amp;РД[Состояние],РД[Дата подачи на регистрацию],"-",0)</f>
        <v>45467</v>
      </c>
    </row>
    <row r="410" spans="1:109" hidden="1" x14ac:dyDescent="0.25">
      <c r="A410" s="238">
        <v>409</v>
      </c>
      <c r="B410" s="238" t="s">
        <v>15</v>
      </c>
      <c r="C410" s="238">
        <v>3</v>
      </c>
      <c r="D410" s="238">
        <v>5</v>
      </c>
      <c r="E410" s="238">
        <v>2</v>
      </c>
      <c r="F410" s="238">
        <v>15.41</v>
      </c>
      <c r="G410" s="238">
        <v>12.78</v>
      </c>
      <c r="H410" s="238"/>
      <c r="I410">
        <v>28.19</v>
      </c>
      <c r="J410" s="238">
        <v>13.45</v>
      </c>
      <c r="K410" s="238">
        <v>3.7</v>
      </c>
      <c r="L410" s="238">
        <v>2.72</v>
      </c>
      <c r="M410" s="238"/>
      <c r="N410" s="238">
        <v>8.2200000000000006</v>
      </c>
      <c r="O410" s="238">
        <v>3.03</v>
      </c>
      <c r="P410" s="238"/>
      <c r="R410" s="238">
        <v>3.03</v>
      </c>
      <c r="S410">
        <v>59.31</v>
      </c>
      <c r="T410">
        <v>56.28</v>
      </c>
      <c r="U410" s="238">
        <v>57.8</v>
      </c>
      <c r="V410">
        <v>57.4</v>
      </c>
      <c r="W410" s="238">
        <v>79921.768500000006</v>
      </c>
      <c r="X410">
        <v>3996.0884249999999</v>
      </c>
      <c r="Y410">
        <v>83917.856925</v>
      </c>
      <c r="Z410">
        <v>2517.5357077499998</v>
      </c>
      <c r="AA410">
        <v>86435.392632749994</v>
      </c>
      <c r="AC410">
        <v>86435.392632749994</v>
      </c>
      <c r="AE410">
        <v>86435.392632749994</v>
      </c>
      <c r="AG410">
        <v>86435.392632749994</v>
      </c>
      <c r="AI410">
        <v>86435.392632749994</v>
      </c>
      <c r="AJ410">
        <v>864.35392632749995</v>
      </c>
      <c r="AK410">
        <v>87299.746559077481</v>
      </c>
      <c r="AL410">
        <v>4364.9873279538751</v>
      </c>
      <c r="AM410">
        <v>91664.733887031369</v>
      </c>
      <c r="AO410">
        <v>91664.733887031369</v>
      </c>
      <c r="AP410">
        <v>1833.2946777406271</v>
      </c>
      <c r="AQ410">
        <v>93498.028564772001</v>
      </c>
      <c r="AS410">
        <v>93498.028564772001</v>
      </c>
      <c r="AT410">
        <v>1869.9605712954401</v>
      </c>
      <c r="AU410">
        <v>95367.989136067437</v>
      </c>
      <c r="AW410">
        <v>95367.989136067437</v>
      </c>
      <c r="AX410">
        <v>953.67989136067445</v>
      </c>
      <c r="AY410">
        <v>96321.669027428114</v>
      </c>
      <c r="BA410">
        <v>96321.669027428114</v>
      </c>
      <c r="BC410">
        <v>96321.669027428114</v>
      </c>
      <c r="BE410">
        <v>96321.669027428114</v>
      </c>
      <c r="BF410">
        <v>1444.8250354114216</v>
      </c>
      <c r="BG410">
        <v>97766.494062839542</v>
      </c>
      <c r="BI410">
        <v>97766.494062839542</v>
      </c>
      <c r="BK410">
        <v>97766.494062839542</v>
      </c>
      <c r="BM410">
        <v>97766.494062839542</v>
      </c>
      <c r="BO410">
        <v>97766.494062839542</v>
      </c>
      <c r="BQ410">
        <v>97766.494062839542</v>
      </c>
      <c r="BS410">
        <v>97766.494062839542</v>
      </c>
      <c r="BT410" s="238">
        <v>97766.49</v>
      </c>
      <c r="BU410" s="238">
        <v>5651000</v>
      </c>
      <c r="BW410">
        <v>0.03</v>
      </c>
      <c r="BX410" s="238">
        <v>169530</v>
      </c>
      <c r="BY410" s="238">
        <v>94835.121107266445</v>
      </c>
      <c r="BZ410" s="238">
        <v>5481470</v>
      </c>
      <c r="CA410" s="238" t="s">
        <v>6871</v>
      </c>
      <c r="CB410">
        <v>7000</v>
      </c>
      <c r="CC410">
        <v>101835.12110726644</v>
      </c>
      <c r="CD410" s="238">
        <v>404600</v>
      </c>
      <c r="CE410" s="238">
        <v>5886070</v>
      </c>
      <c r="CG410" t="s">
        <v>978</v>
      </c>
      <c r="CH410" s="238" t="s">
        <v>39</v>
      </c>
      <c r="CI410" s="238" t="s">
        <v>39</v>
      </c>
      <c r="CJ410" t="s">
        <v>8950</v>
      </c>
      <c r="CK410" t="s">
        <v>1167</v>
      </c>
      <c r="CL410" t="s">
        <v>8961</v>
      </c>
      <c r="CM410" t="s">
        <v>8974</v>
      </c>
      <c r="CN410" s="238" t="b">
        <v>1</v>
      </c>
      <c r="CO410" t="s">
        <v>5698</v>
      </c>
      <c r="CQ410" t="s">
        <v>6652</v>
      </c>
      <c r="CR410" t="s">
        <v>3246</v>
      </c>
      <c r="CS410" t="s">
        <v>6871</v>
      </c>
      <c r="CT410" t="b">
        <v>1</v>
      </c>
      <c r="CU410">
        <v>5651000</v>
      </c>
      <c r="CV410" t="s">
        <v>9002</v>
      </c>
      <c r="CW410">
        <v>5651000</v>
      </c>
      <c r="CX410">
        <v>5651000</v>
      </c>
      <c r="CY410">
        <v>0</v>
      </c>
      <c r="CZ410" t="b">
        <v>1</v>
      </c>
      <c r="DA410">
        <v>45516</v>
      </c>
      <c r="DB410" t="s">
        <v>4177</v>
      </c>
      <c r="DC410">
        <v>-6.9204152249134898E-3</v>
      </c>
      <c r="DD410">
        <v>-656.29841596724134</v>
      </c>
      <c r="DE410" s="420" cm="1">
        <f t="array" ref="DE410">_xlfn.XLOOKUP("Дом 5"&amp;Реестр_Д5[[#This Row],[№]]&amp;Реестр_Д5[[#This Row],[Статус]],РД[Дом]&amp;РД[№ кв]&amp;РД[Состояние],РД[Дата подачи на регистрацию],"-",0)</f>
        <v>45516</v>
      </c>
    </row>
    <row r="411" spans="1:109" hidden="1" x14ac:dyDescent="0.25">
      <c r="A411" s="238">
        <v>410</v>
      </c>
      <c r="B411" s="238" t="s">
        <v>15</v>
      </c>
      <c r="C411" s="238">
        <v>3</v>
      </c>
      <c r="D411" s="238">
        <v>6</v>
      </c>
      <c r="E411" s="238">
        <v>1</v>
      </c>
      <c r="F411" s="238">
        <v>12.71</v>
      </c>
      <c r="G411" s="238"/>
      <c r="H411" s="238"/>
      <c r="I411">
        <v>12.71</v>
      </c>
      <c r="J411" s="238">
        <v>12.55</v>
      </c>
      <c r="K411" s="238">
        <v>4.28</v>
      </c>
      <c r="L411" s="238"/>
      <c r="M411" s="238"/>
      <c r="N411" s="238">
        <v>7.34</v>
      </c>
      <c r="O411" s="238">
        <v>2.84</v>
      </c>
      <c r="P411" s="238"/>
      <c r="R411" s="238">
        <v>2.84</v>
      </c>
      <c r="S411">
        <v>39.72</v>
      </c>
      <c r="T411">
        <v>36.880000000000003</v>
      </c>
      <c r="U411" s="238">
        <v>38.299999999999997</v>
      </c>
      <c r="V411">
        <v>37.799999999999997</v>
      </c>
      <c r="W411" s="238">
        <v>88412.625</v>
      </c>
      <c r="X411">
        <v>4420.6312500000004</v>
      </c>
      <c r="Y411">
        <v>92833.256250000006</v>
      </c>
      <c r="Z411">
        <v>2784.9976875000002</v>
      </c>
      <c r="AA411">
        <v>95618.253937500005</v>
      </c>
      <c r="AB411">
        <v>956.18253937500003</v>
      </c>
      <c r="AC411">
        <v>96574.436476875009</v>
      </c>
      <c r="AE411">
        <v>96574.436476875009</v>
      </c>
      <c r="AF411">
        <v>4828.7218238437508</v>
      </c>
      <c r="AG411">
        <v>101403.15830071876</v>
      </c>
      <c r="AI411">
        <v>101403.15830071876</v>
      </c>
      <c r="AK411">
        <v>101403.15830071876</v>
      </c>
      <c r="AM411">
        <v>101403.15830071876</v>
      </c>
      <c r="AO411">
        <v>101403.15830071876</v>
      </c>
      <c r="AQ411">
        <v>101403.15830071876</v>
      </c>
      <c r="AS411">
        <v>101403.15830071876</v>
      </c>
      <c r="AU411">
        <v>101403.15830071876</v>
      </c>
      <c r="AW411">
        <v>101403.15830071876</v>
      </c>
      <c r="AY411">
        <v>101403.15830071876</v>
      </c>
      <c r="BA411">
        <v>101403.15830071876</v>
      </c>
      <c r="BC411">
        <v>101403.15830071876</v>
      </c>
      <c r="BE411">
        <v>101403.15830071876</v>
      </c>
      <c r="BG411">
        <v>101403.15830071876</v>
      </c>
      <c r="BI411">
        <v>101403.15830071876</v>
      </c>
      <c r="BK411">
        <v>101403.15830071876</v>
      </c>
      <c r="BM411">
        <v>101403.15830071876</v>
      </c>
      <c r="BO411">
        <v>101403.15830071876</v>
      </c>
      <c r="BQ411">
        <v>101403.15830071876</v>
      </c>
      <c r="BS411">
        <v>101403.15830071876</v>
      </c>
      <c r="BT411" s="238">
        <v>101403.16</v>
      </c>
      <c r="BU411" s="238">
        <v>3883800</v>
      </c>
      <c r="BV411">
        <v>50000</v>
      </c>
      <c r="BX411" s="238">
        <v>50000</v>
      </c>
      <c r="BY411" s="238">
        <v>100099.21671018278</v>
      </c>
      <c r="BZ411" s="238">
        <v>3833800</v>
      </c>
      <c r="CA411" s="238" t="s">
        <v>37</v>
      </c>
      <c r="CB411">
        <v>7500</v>
      </c>
      <c r="CC411">
        <v>107599.21671018278</v>
      </c>
      <c r="CD411" s="238">
        <v>287250</v>
      </c>
      <c r="CE411" s="238">
        <v>4121050</v>
      </c>
      <c r="CG411" t="s">
        <v>6732</v>
      </c>
      <c r="CH411" s="238" t="s">
        <v>39</v>
      </c>
      <c r="CI411" s="238" t="s">
        <v>39</v>
      </c>
      <c r="CJ411" t="s">
        <v>8950</v>
      </c>
      <c r="CK411" t="s">
        <v>1167</v>
      </c>
      <c r="CL411" t="s">
        <v>8961</v>
      </c>
      <c r="CM411" t="s">
        <v>8973</v>
      </c>
      <c r="CN411" s="238" t="b">
        <v>1</v>
      </c>
      <c r="CO411" t="s">
        <v>5699</v>
      </c>
      <c r="CQ411" t="s">
        <v>6652</v>
      </c>
      <c r="CR411" t="s">
        <v>3246</v>
      </c>
      <c r="CS411" t="s">
        <v>37</v>
      </c>
      <c r="CT411" t="b">
        <v>1</v>
      </c>
      <c r="CU411">
        <v>3883800</v>
      </c>
      <c r="CV411" t="s">
        <v>9002</v>
      </c>
      <c r="CW411">
        <v>0</v>
      </c>
      <c r="CX411">
        <v>3883800</v>
      </c>
      <c r="CY411">
        <v>0</v>
      </c>
      <c r="CZ411" t="b">
        <v>1</v>
      </c>
      <c r="DA411">
        <v>45281</v>
      </c>
      <c r="DB411" t="s">
        <v>126</v>
      </c>
      <c r="DC411">
        <v>-1.3054830287206221E-2</v>
      </c>
      <c r="DD411">
        <v>-1306.7782860337131</v>
      </c>
      <c r="DE411" s="420" cm="1">
        <f t="array" ref="DE411">_xlfn.XLOOKUP("Дом 5"&amp;Реестр_Д5[[#This Row],[№]]&amp;Реестр_Д5[[#This Row],[Статус]],РД[Дом]&amp;РД[№ кв]&amp;РД[Состояние],РД[Дата подачи на регистрацию],"-",0)</f>
        <v>45281</v>
      </c>
    </row>
    <row r="412" spans="1:109" x14ac:dyDescent="0.25">
      <c r="A412" s="238">
        <v>411</v>
      </c>
      <c r="B412" s="238" t="s">
        <v>15</v>
      </c>
      <c r="C412" s="238">
        <v>3</v>
      </c>
      <c r="D412" s="238">
        <v>7</v>
      </c>
      <c r="E412" s="238">
        <v>3</v>
      </c>
      <c r="F412" s="238">
        <v>14.49</v>
      </c>
      <c r="G412" s="238">
        <v>13.98</v>
      </c>
      <c r="H412" s="238">
        <v>11.42</v>
      </c>
      <c r="I412">
        <v>39.89</v>
      </c>
      <c r="J412" s="238">
        <v>16.670000000000002</v>
      </c>
      <c r="K412" s="238">
        <v>4.1399999999999997</v>
      </c>
      <c r="L412" s="238">
        <v>1.89</v>
      </c>
      <c r="M412" s="238"/>
      <c r="N412" s="238">
        <v>11.31</v>
      </c>
      <c r="O412" s="238">
        <v>2.86</v>
      </c>
      <c r="P412" s="238">
        <v>2.79</v>
      </c>
      <c r="Q412">
        <v>5.42</v>
      </c>
      <c r="R412" s="238">
        <v>11.07</v>
      </c>
      <c r="S412">
        <v>84.97</v>
      </c>
      <c r="T412">
        <v>73.900000000000006</v>
      </c>
      <c r="U412" s="238">
        <v>79.44</v>
      </c>
      <c r="V412">
        <v>79.05</v>
      </c>
      <c r="W412" s="238">
        <v>77089.320000000022</v>
      </c>
      <c r="X412">
        <v>3854.4660000000017</v>
      </c>
      <c r="Y412">
        <v>80943.786000000022</v>
      </c>
      <c r="Z412">
        <v>2428.3135800000005</v>
      </c>
      <c r="AA412">
        <v>83372.099580000038</v>
      </c>
      <c r="AC412">
        <v>83372.099580000038</v>
      </c>
      <c r="AE412">
        <v>83372.099580000038</v>
      </c>
      <c r="AG412">
        <v>83372.099580000038</v>
      </c>
      <c r="AI412">
        <v>83372.099580000038</v>
      </c>
      <c r="AJ412">
        <v>833.72099580000031</v>
      </c>
      <c r="AK412">
        <v>84205.820575800026</v>
      </c>
      <c r="AL412">
        <v>4210.2910287900013</v>
      </c>
      <c r="AM412">
        <v>88416.111604590027</v>
      </c>
      <c r="AO412">
        <v>88416.111604590027</v>
      </c>
      <c r="AP412">
        <v>1768.3222320918003</v>
      </c>
      <c r="AQ412">
        <v>90184.433836681827</v>
      </c>
      <c r="AS412">
        <v>90184.433836681827</v>
      </c>
      <c r="AT412">
        <v>1803.6886767336368</v>
      </c>
      <c r="AU412">
        <v>91988.122513415467</v>
      </c>
      <c r="AV412">
        <v>1000</v>
      </c>
      <c r="AW412">
        <v>92988.122513415467</v>
      </c>
      <c r="AX412">
        <v>929.88122513415476</v>
      </c>
      <c r="AY412">
        <v>93918.003738549625</v>
      </c>
      <c r="AZ412">
        <v>1878.3600747709925</v>
      </c>
      <c r="BA412">
        <v>95796.363813320611</v>
      </c>
      <c r="BC412">
        <v>95796.363813320611</v>
      </c>
      <c r="BD412">
        <v>1915.9272762664125</v>
      </c>
      <c r="BE412">
        <v>97712.291089587045</v>
      </c>
      <c r="BF412">
        <v>2442.8072772396758</v>
      </c>
      <c r="BG412">
        <v>100155.0983668267</v>
      </c>
      <c r="BI412">
        <v>100155.0983668267</v>
      </c>
      <c r="BJ412">
        <v>4006.203934673068</v>
      </c>
      <c r="BK412">
        <v>104161.30230149976</v>
      </c>
      <c r="BL412">
        <v>5208.0651150749891</v>
      </c>
      <c r="BM412">
        <v>109369.36741657477</v>
      </c>
      <c r="BN412">
        <v>14218.01776415472</v>
      </c>
      <c r="BO412">
        <v>123587.38518072949</v>
      </c>
      <c r="BP412">
        <v>35</v>
      </c>
      <c r="BQ412">
        <v>123622.38518072949</v>
      </c>
      <c r="BS412">
        <v>123622.38518072949</v>
      </c>
      <c r="BT412" s="238">
        <v>123622.39</v>
      </c>
      <c r="BU412" s="238">
        <v>9772400</v>
      </c>
      <c r="BX412" s="238">
        <v>0</v>
      </c>
      <c r="BY412" s="238">
        <v>123623.02340290956</v>
      </c>
      <c r="BZ412" s="238">
        <v>9772400</v>
      </c>
      <c r="CA412" s="238" t="s">
        <v>38</v>
      </c>
      <c r="CB412">
        <v>30000</v>
      </c>
      <c r="CC412">
        <v>153623.02340290957</v>
      </c>
      <c r="CD412" s="238">
        <v>2371500.0000000019</v>
      </c>
      <c r="CE412" s="238">
        <v>12143900.000000002</v>
      </c>
      <c r="CF412" t="s">
        <v>4636</v>
      </c>
      <c r="CH412" s="238" t="s">
        <v>3</v>
      </c>
      <c r="CI412" s="238" t="s">
        <v>3</v>
      </c>
      <c r="CJ412" t="s">
        <v>8951</v>
      </c>
      <c r="CK412" t="s">
        <v>1167</v>
      </c>
      <c r="CL412" t="s">
        <v>8961</v>
      </c>
      <c r="CM412" t="s">
        <v>8990</v>
      </c>
      <c r="CN412" s="238" t="b">
        <v>1</v>
      </c>
      <c r="CO412" t="s">
        <v>5700</v>
      </c>
      <c r="CQ412" t="s">
        <v>6652</v>
      </c>
      <c r="CR412" t="s">
        <v>3124</v>
      </c>
      <c r="CS412" t="s">
        <v>36</v>
      </c>
      <c r="CT412" t="b">
        <v>0</v>
      </c>
      <c r="CU412">
        <v>9772400</v>
      </c>
      <c r="CV412">
        <v>9772400</v>
      </c>
      <c r="CW412">
        <v>0</v>
      </c>
      <c r="CX412">
        <v>0</v>
      </c>
      <c r="CY412">
        <v>0</v>
      </c>
      <c r="CZ412" t="b">
        <v>1</v>
      </c>
      <c r="DA412" t="s">
        <v>4246</v>
      </c>
      <c r="DB412" t="s">
        <v>1167</v>
      </c>
      <c r="DC412">
        <v>-4.9093655589124152E-3</v>
      </c>
      <c r="DD412">
        <v>-606.91061338286772</v>
      </c>
      <c r="DE412" s="420" t="str" cm="1">
        <f t="array" ref="DE41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13" spans="1:109" hidden="1" x14ac:dyDescent="0.25">
      <c r="A413" s="238">
        <v>412</v>
      </c>
      <c r="B413" s="238" t="s">
        <v>15</v>
      </c>
      <c r="C413" s="238">
        <v>3</v>
      </c>
      <c r="D413" s="238">
        <v>8</v>
      </c>
      <c r="E413" s="238">
        <v>1</v>
      </c>
      <c r="F413" s="238">
        <v>16.79</v>
      </c>
      <c r="G413" s="238"/>
      <c r="H413" s="238"/>
      <c r="I413">
        <v>16.79</v>
      </c>
      <c r="J413" s="238">
        <v>11.43</v>
      </c>
      <c r="K413" s="238">
        <v>3.56</v>
      </c>
      <c r="L413" s="238"/>
      <c r="M413" s="238"/>
      <c r="N413" s="238">
        <v>6.66</v>
      </c>
      <c r="O413" s="238">
        <v>2.4900000000000002</v>
      </c>
      <c r="P413" s="238"/>
      <c r="R413" s="238">
        <v>2.4900000000000002</v>
      </c>
      <c r="S413">
        <v>40.93</v>
      </c>
      <c r="T413">
        <v>38.44</v>
      </c>
      <c r="U413" s="238">
        <v>39.69</v>
      </c>
      <c r="V413">
        <v>39.549999999999997</v>
      </c>
      <c r="W413" s="238">
        <v>85573.6875</v>
      </c>
      <c r="X413">
        <v>4278.6843749999998</v>
      </c>
      <c r="Y413">
        <v>89852.371874999997</v>
      </c>
      <c r="Z413">
        <v>2695.5711562499996</v>
      </c>
      <c r="AA413">
        <v>92547.943031250004</v>
      </c>
      <c r="AC413">
        <v>92547.943031250004</v>
      </c>
      <c r="AE413">
        <v>92547.943031250004</v>
      </c>
      <c r="AG413">
        <v>92547.943031250004</v>
      </c>
      <c r="AI413">
        <v>92547.943031250004</v>
      </c>
      <c r="AK413">
        <v>92547.943031250004</v>
      </c>
      <c r="AM413">
        <v>92547.943031250004</v>
      </c>
      <c r="AO413">
        <v>92547.943031250004</v>
      </c>
      <c r="AQ413">
        <v>92547.943031250004</v>
      </c>
      <c r="AS413">
        <v>92547.943031250004</v>
      </c>
      <c r="AU413">
        <v>92547.943031250004</v>
      </c>
      <c r="AW413">
        <v>92547.943031250004</v>
      </c>
      <c r="AY413">
        <v>92547.943031250004</v>
      </c>
      <c r="BA413">
        <v>92547.943031250004</v>
      </c>
      <c r="BC413">
        <v>92547.943031250004</v>
      </c>
      <c r="BE413">
        <v>92547.943031250004</v>
      </c>
      <c r="BG413">
        <v>92547.943031250004</v>
      </c>
      <c r="BI413">
        <v>92547.943031250004</v>
      </c>
      <c r="BK413">
        <v>92547.943031250004</v>
      </c>
      <c r="BM413">
        <v>92547.943031250004</v>
      </c>
      <c r="BO413">
        <v>92547.943031250004</v>
      </c>
      <c r="BQ413">
        <v>92547.943031250004</v>
      </c>
      <c r="BS413">
        <v>92547.943031250004</v>
      </c>
      <c r="BT413" s="238">
        <v>92547.94</v>
      </c>
      <c r="BU413" s="238">
        <v>3673227.74</v>
      </c>
      <c r="BX413" s="238">
        <v>0</v>
      </c>
      <c r="BY413" s="238">
        <v>92547.940035273379</v>
      </c>
      <c r="BZ413" s="238">
        <v>3673227.74</v>
      </c>
      <c r="CA413" s="238" t="s">
        <v>36</v>
      </c>
      <c r="CC413">
        <v>92547.940035273379</v>
      </c>
      <c r="CD413" s="238">
        <v>0</v>
      </c>
      <c r="CE413" s="238">
        <v>3673227.74</v>
      </c>
      <c r="CH413" s="238" t="s">
        <v>39</v>
      </c>
      <c r="CI413" s="238" t="s">
        <v>39</v>
      </c>
      <c r="CJ413" t="s">
        <v>8950</v>
      </c>
      <c r="CK413" t="s">
        <v>1167</v>
      </c>
      <c r="CL413" t="s">
        <v>8961</v>
      </c>
      <c r="CM413" t="s">
        <v>8973</v>
      </c>
      <c r="CN413" s="238" t="b">
        <v>1</v>
      </c>
      <c r="CO413" t="s">
        <v>5701</v>
      </c>
      <c r="CQ413" t="s">
        <v>4895</v>
      </c>
      <c r="CR413" t="s">
        <v>3246</v>
      </c>
      <c r="CS413" t="s">
        <v>36</v>
      </c>
      <c r="CT413" t="b">
        <v>1</v>
      </c>
      <c r="CU413">
        <v>3673227.74</v>
      </c>
      <c r="CV413" t="s">
        <v>9002</v>
      </c>
      <c r="CW413">
        <v>0</v>
      </c>
      <c r="CX413">
        <v>3673228</v>
      </c>
      <c r="CY413">
        <v>0</v>
      </c>
      <c r="CZ413" t="b">
        <v>1</v>
      </c>
      <c r="DA413">
        <v>45188</v>
      </c>
      <c r="DB413" t="s">
        <v>3901</v>
      </c>
      <c r="DC413">
        <v>-3.5273368606700828E-3</v>
      </c>
      <c r="DD413">
        <v>-326.44776026550426</v>
      </c>
      <c r="DE413" s="420" cm="1">
        <f t="array" ref="DE413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14" spans="1:109" hidden="1" x14ac:dyDescent="0.25">
      <c r="A414" s="238">
        <v>413</v>
      </c>
      <c r="B414" s="238" t="s">
        <v>15</v>
      </c>
      <c r="C414" s="238">
        <v>4</v>
      </c>
      <c r="D414" s="238">
        <v>1</v>
      </c>
      <c r="E414" s="238">
        <v>0</v>
      </c>
      <c r="F414" s="238">
        <v>13.74</v>
      </c>
      <c r="G414" s="238"/>
      <c r="H414" s="238"/>
      <c r="I414">
        <v>13.74</v>
      </c>
      <c r="J414" s="238">
        <v>5.84</v>
      </c>
      <c r="K414" s="238">
        <v>3.76</v>
      </c>
      <c r="L414" s="238"/>
      <c r="M414" s="238"/>
      <c r="N414" s="238">
        <v>3.73</v>
      </c>
      <c r="O414" s="238">
        <v>4.6500000000000004</v>
      </c>
      <c r="P414" s="238"/>
      <c r="R414" s="238">
        <v>4.6500000000000004</v>
      </c>
      <c r="S414">
        <v>31.72</v>
      </c>
      <c r="T414">
        <v>27.07</v>
      </c>
      <c r="U414" s="238">
        <v>29.4</v>
      </c>
      <c r="V414">
        <v>29.2</v>
      </c>
      <c r="W414" s="238">
        <v>90229.544999999998</v>
      </c>
      <c r="Y414">
        <v>90229.544999999998</v>
      </c>
      <c r="AA414">
        <v>90229.544999999998</v>
      </c>
      <c r="AC414">
        <v>90229.544999999998</v>
      </c>
      <c r="AE414">
        <v>90229.544999999998</v>
      </c>
      <c r="AG414">
        <v>90229.544999999998</v>
      </c>
      <c r="AI414">
        <v>90229.544999999998</v>
      </c>
      <c r="AK414">
        <v>90229.544999999998</v>
      </c>
      <c r="AM414">
        <v>90229.544999999998</v>
      </c>
      <c r="AO414">
        <v>90229.544999999998</v>
      </c>
      <c r="AQ414">
        <v>90229.544999999998</v>
      </c>
      <c r="AS414">
        <v>90229.544999999998</v>
      </c>
      <c r="AU414">
        <v>90229.544999999998</v>
      </c>
      <c r="AW414">
        <v>90229.544999999998</v>
      </c>
      <c r="AY414">
        <v>90229.544999999998</v>
      </c>
      <c r="BA414">
        <v>90229.544999999998</v>
      </c>
      <c r="BC414">
        <v>90229.544999999998</v>
      </c>
      <c r="BE414">
        <v>90229.544999999998</v>
      </c>
      <c r="BG414">
        <v>90229.544999999998</v>
      </c>
      <c r="BI414">
        <v>90229.544999999998</v>
      </c>
      <c r="BK414">
        <v>90229.544999999998</v>
      </c>
      <c r="BM414">
        <v>90229.544999999998</v>
      </c>
      <c r="BO414">
        <v>90229.544999999998</v>
      </c>
      <c r="BQ414">
        <v>90229.544999999998</v>
      </c>
      <c r="BS414">
        <v>90229.544999999998</v>
      </c>
      <c r="BT414" s="238">
        <v>90229.55</v>
      </c>
      <c r="BU414" s="238">
        <v>2652748.77</v>
      </c>
      <c r="BX414" s="238">
        <v>0</v>
      </c>
      <c r="BY414" s="238">
        <v>90229.55</v>
      </c>
      <c r="BZ414" s="238">
        <v>2652748.77</v>
      </c>
      <c r="CA414" s="238" t="s">
        <v>37</v>
      </c>
      <c r="CB414">
        <v>4500</v>
      </c>
      <c r="CC414">
        <v>94729.55</v>
      </c>
      <c r="CD414" s="238">
        <v>132300</v>
      </c>
      <c r="CE414" s="238">
        <v>2785048.77</v>
      </c>
      <c r="CH414" s="238" t="s">
        <v>39</v>
      </c>
      <c r="CI414" s="238" t="s">
        <v>39</v>
      </c>
      <c r="CJ414" t="s">
        <v>8950</v>
      </c>
      <c r="CK414" t="s">
        <v>1167</v>
      </c>
      <c r="CL414" t="s">
        <v>8961</v>
      </c>
      <c r="CM414" t="s">
        <v>8970</v>
      </c>
      <c r="CN414" s="238" t="b">
        <v>1</v>
      </c>
      <c r="CO414" t="s">
        <v>5702</v>
      </c>
      <c r="CQ414" t="s">
        <v>4895</v>
      </c>
      <c r="CR414" t="s">
        <v>3246</v>
      </c>
      <c r="CS414" t="s">
        <v>37</v>
      </c>
      <c r="CT414" t="b">
        <v>1</v>
      </c>
      <c r="CU414">
        <v>2652748.77</v>
      </c>
      <c r="CV414" t="s">
        <v>9002</v>
      </c>
      <c r="CW414">
        <v>2652749</v>
      </c>
      <c r="CX414">
        <v>2652749</v>
      </c>
      <c r="CY414">
        <v>0</v>
      </c>
      <c r="CZ414" t="b">
        <v>1</v>
      </c>
      <c r="DA414">
        <v>45188</v>
      </c>
      <c r="DB414" t="s">
        <v>399</v>
      </c>
      <c r="DC414">
        <v>-6.8027210884353817E-3</v>
      </c>
      <c r="DD414">
        <v>-613.80646258503475</v>
      </c>
      <c r="DE414" s="420" cm="1">
        <f t="array" ref="DE414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15" spans="1:109" hidden="1" x14ac:dyDescent="0.25">
      <c r="A415" s="238">
        <v>414</v>
      </c>
      <c r="B415" s="238" t="s">
        <v>15</v>
      </c>
      <c r="C415" s="238">
        <v>4</v>
      </c>
      <c r="D415" s="238">
        <v>2</v>
      </c>
      <c r="E415" s="238">
        <v>1</v>
      </c>
      <c r="F415" s="238">
        <v>13.17</v>
      </c>
      <c r="G415" s="238"/>
      <c r="H415" s="238"/>
      <c r="I415">
        <v>13.17</v>
      </c>
      <c r="J415" s="238">
        <v>16.940000000000001</v>
      </c>
      <c r="K415" s="238">
        <v>3.55</v>
      </c>
      <c r="L415" s="238">
        <v>2.41</v>
      </c>
      <c r="M415" s="238"/>
      <c r="N415" s="238">
        <v>5.8</v>
      </c>
      <c r="O415" s="238">
        <v>2.68</v>
      </c>
      <c r="P415" s="238"/>
      <c r="R415" s="238">
        <v>2.68</v>
      </c>
      <c r="S415">
        <v>44.55</v>
      </c>
      <c r="T415">
        <v>41.87</v>
      </c>
      <c r="U415" s="238">
        <v>43.21</v>
      </c>
      <c r="V415">
        <v>42.2</v>
      </c>
      <c r="W415" s="238">
        <v>85979.25</v>
      </c>
      <c r="X415">
        <v>4298.9625000000005</v>
      </c>
      <c r="Y415">
        <v>90278.212499999994</v>
      </c>
      <c r="Z415">
        <v>2708.3463749999996</v>
      </c>
      <c r="AA415">
        <v>92986.558874999988</v>
      </c>
      <c r="AB415">
        <v>929.86558875000003</v>
      </c>
      <c r="AC415">
        <v>93916.424463749994</v>
      </c>
      <c r="AE415">
        <v>93916.424463749994</v>
      </c>
      <c r="AG415">
        <v>93916.424463749994</v>
      </c>
      <c r="AI415">
        <v>93916.424463749994</v>
      </c>
      <c r="AK415">
        <v>93916.424463749994</v>
      </c>
      <c r="AM415">
        <v>93916.424463749994</v>
      </c>
      <c r="AO415">
        <v>93916.424463749994</v>
      </c>
      <c r="AQ415">
        <v>93916.424463749994</v>
      </c>
      <c r="AS415">
        <v>93916.424463749994</v>
      </c>
      <c r="AU415">
        <v>93916.424463749994</v>
      </c>
      <c r="AW415">
        <v>93916.424463749994</v>
      </c>
      <c r="AY415">
        <v>93916.424463749994</v>
      </c>
      <c r="BA415">
        <v>93916.424463749994</v>
      </c>
      <c r="BC415">
        <v>93916.424463749994</v>
      </c>
      <c r="BE415">
        <v>93916.424463749994</v>
      </c>
      <c r="BG415">
        <v>93916.424463749994</v>
      </c>
      <c r="BI415">
        <v>93916.424463749994</v>
      </c>
      <c r="BK415">
        <v>93916.424463749994</v>
      </c>
      <c r="BM415">
        <v>93916.424463749994</v>
      </c>
      <c r="BO415">
        <v>93916.424463749994</v>
      </c>
      <c r="BQ415">
        <v>93916.424463749994</v>
      </c>
      <c r="BS415">
        <v>93916.424463749994</v>
      </c>
      <c r="BT415" s="238">
        <v>93916.42</v>
      </c>
      <c r="BU415" s="238">
        <v>4058128.51</v>
      </c>
      <c r="BX415" s="238">
        <v>0</v>
      </c>
      <c r="BY415" s="238">
        <v>93916.420041657024</v>
      </c>
      <c r="BZ415" s="238">
        <v>4058128.51</v>
      </c>
      <c r="CA415" s="238" t="s">
        <v>36</v>
      </c>
      <c r="CC415">
        <v>93916.420041657024</v>
      </c>
      <c r="CD415" s="238">
        <v>0</v>
      </c>
      <c r="CE415" s="238">
        <v>4058128.51</v>
      </c>
      <c r="CH415" s="238" t="s">
        <v>39</v>
      </c>
      <c r="CI415" s="238" t="s">
        <v>39</v>
      </c>
      <c r="CJ415" t="s">
        <v>8950</v>
      </c>
      <c r="CK415" t="s">
        <v>1167</v>
      </c>
      <c r="CL415" t="s">
        <v>8961</v>
      </c>
      <c r="CM415" t="s">
        <v>8972</v>
      </c>
      <c r="CN415" s="238" t="b">
        <v>1</v>
      </c>
      <c r="CO415" t="s">
        <v>5703</v>
      </c>
      <c r="CQ415" t="s">
        <v>4895</v>
      </c>
      <c r="CR415" t="s">
        <v>3246</v>
      </c>
      <c r="CS415" t="s">
        <v>36</v>
      </c>
      <c r="CT415" t="b">
        <v>1</v>
      </c>
      <c r="CU415">
        <v>4058128.51</v>
      </c>
      <c r="CV415" t="s">
        <v>9002</v>
      </c>
      <c r="CW415">
        <v>0</v>
      </c>
      <c r="CX415">
        <v>4058129</v>
      </c>
      <c r="CY415">
        <v>0</v>
      </c>
      <c r="CZ415" t="b">
        <v>1</v>
      </c>
      <c r="DA415">
        <v>45188</v>
      </c>
      <c r="DB415" t="s">
        <v>5215</v>
      </c>
      <c r="DC415">
        <v>-2.3374218930803159E-2</v>
      </c>
      <c r="DD415">
        <v>-2195.2229632509607</v>
      </c>
      <c r="DE415" s="420" cm="1">
        <f t="array" ref="DE415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16" spans="1:109" hidden="1" x14ac:dyDescent="0.25">
      <c r="A416" s="238">
        <v>415</v>
      </c>
      <c r="B416" s="238" t="s">
        <v>15</v>
      </c>
      <c r="C416" s="238">
        <v>4</v>
      </c>
      <c r="D416" s="238">
        <v>3</v>
      </c>
      <c r="E416" s="238">
        <v>0</v>
      </c>
      <c r="F416" s="238">
        <v>7.2</v>
      </c>
      <c r="G416" s="238"/>
      <c r="H416" s="238"/>
      <c r="I416">
        <v>7.2</v>
      </c>
      <c r="J416" s="238">
        <v>5.17</v>
      </c>
      <c r="K416" s="238">
        <v>3.71</v>
      </c>
      <c r="L416" s="238"/>
      <c r="M416" s="238"/>
      <c r="N416" s="238">
        <v>6.96</v>
      </c>
      <c r="O416" s="238">
        <v>2.92</v>
      </c>
      <c r="P416" s="238"/>
      <c r="R416" s="238">
        <v>2.92</v>
      </c>
      <c r="S416">
        <v>25.96</v>
      </c>
      <c r="T416">
        <v>23.04</v>
      </c>
      <c r="U416" s="238">
        <v>24.5</v>
      </c>
      <c r="V416">
        <v>24.35</v>
      </c>
      <c r="W416" s="238">
        <v>91981.574999999997</v>
      </c>
      <c r="X416">
        <v>4599.0787499999997</v>
      </c>
      <c r="Y416">
        <v>96580.653749999998</v>
      </c>
      <c r="Z416">
        <v>2897.4196124999999</v>
      </c>
      <c r="AA416">
        <v>99478.073362499999</v>
      </c>
      <c r="AB416">
        <v>8953.0266026249992</v>
      </c>
      <c r="AC416">
        <v>108431.099965125</v>
      </c>
      <c r="AE416">
        <v>108431.099965125</v>
      </c>
      <c r="AG416">
        <v>108431.099965125</v>
      </c>
      <c r="AI416">
        <v>108431.099965125</v>
      </c>
      <c r="AJ416">
        <v>1084.3109996512501</v>
      </c>
      <c r="AK416">
        <v>109515.41096477624</v>
      </c>
      <c r="AL416">
        <v>5475.7705482388128</v>
      </c>
      <c r="AM416">
        <v>114991.18151301506</v>
      </c>
      <c r="AO416">
        <v>114991.18151301506</v>
      </c>
      <c r="AP416">
        <v>3449.7354453904518</v>
      </c>
      <c r="AQ416">
        <v>118440.91695840552</v>
      </c>
      <c r="AS416">
        <v>118440.91695840552</v>
      </c>
      <c r="AU416">
        <v>118440.91695840552</v>
      </c>
      <c r="AW416">
        <v>118440.91695840552</v>
      </c>
      <c r="AX416">
        <v>1184.4091695840552</v>
      </c>
      <c r="AY416">
        <v>119625.32612798958</v>
      </c>
      <c r="BA416">
        <v>119625.32612798958</v>
      </c>
      <c r="BC416">
        <v>119625.32612798958</v>
      </c>
      <c r="BE416">
        <v>119625.32612798958</v>
      </c>
      <c r="BG416">
        <v>119625.32612798958</v>
      </c>
      <c r="BI416">
        <v>119625.32612798958</v>
      </c>
      <c r="BK416">
        <v>119625.32612798958</v>
      </c>
      <c r="BM416">
        <v>119625.32612798958</v>
      </c>
      <c r="BO416">
        <v>119625.32612798958</v>
      </c>
      <c r="BQ416">
        <v>119625.32612798958</v>
      </c>
      <c r="BS416">
        <v>119625.32612798958</v>
      </c>
      <c r="BT416" s="238">
        <v>119625.33</v>
      </c>
      <c r="BU416" s="238">
        <v>2930900</v>
      </c>
      <c r="BW416">
        <v>0.03</v>
      </c>
      <c r="BX416" s="238">
        <v>87927</v>
      </c>
      <c r="BY416" s="238">
        <v>116039.71428571428</v>
      </c>
      <c r="BZ416" s="238">
        <v>2842973</v>
      </c>
      <c r="CA416" s="238" t="s">
        <v>6871</v>
      </c>
      <c r="CB416">
        <v>7000</v>
      </c>
      <c r="CC416">
        <v>123039.71428571428</v>
      </c>
      <c r="CD416" s="238">
        <v>171500</v>
      </c>
      <c r="CE416" s="238">
        <v>3014473</v>
      </c>
      <c r="CG416" t="s">
        <v>978</v>
      </c>
      <c r="CH416" s="238" t="s">
        <v>39</v>
      </c>
      <c r="CI416" s="238" t="s">
        <v>39</v>
      </c>
      <c r="CJ416" t="s">
        <v>8950</v>
      </c>
      <c r="CK416" t="s">
        <v>1167</v>
      </c>
      <c r="CL416" t="s">
        <v>8961</v>
      </c>
      <c r="CM416" t="s">
        <v>8970</v>
      </c>
      <c r="CN416" s="238" t="b">
        <v>1</v>
      </c>
      <c r="CO416" t="s">
        <v>5704</v>
      </c>
      <c r="CQ416" t="s">
        <v>6652</v>
      </c>
      <c r="CR416" t="s">
        <v>3246</v>
      </c>
      <c r="CS416" t="s">
        <v>6871</v>
      </c>
      <c r="CT416" t="b">
        <v>1</v>
      </c>
      <c r="CU416">
        <v>2930900</v>
      </c>
      <c r="CV416" t="s">
        <v>9002</v>
      </c>
      <c r="CW416">
        <v>0</v>
      </c>
      <c r="CX416">
        <v>2930900</v>
      </c>
      <c r="CY416">
        <v>0</v>
      </c>
      <c r="CZ416" t="b">
        <v>1</v>
      </c>
      <c r="DA416">
        <v>45454</v>
      </c>
      <c r="DB416" t="s">
        <v>4177</v>
      </c>
      <c r="DC416">
        <v>-6.1224489795919101E-3</v>
      </c>
      <c r="DD416">
        <v>-710.44723032070829</v>
      </c>
      <c r="DE416" s="420" cm="1">
        <f t="array" ref="DE416">_xlfn.XLOOKUP("Дом 5"&amp;Реестр_Д5[[#This Row],[№]]&amp;Реестр_Д5[[#This Row],[Статус]],РД[Дом]&amp;РД[№ кв]&amp;РД[Состояние],РД[Дата подачи на регистрацию],"-",0)</f>
        <v>45454</v>
      </c>
    </row>
    <row r="417" spans="1:109" hidden="1" x14ac:dyDescent="0.25">
      <c r="A417" s="238">
        <v>416</v>
      </c>
      <c r="B417" s="238" t="s">
        <v>15</v>
      </c>
      <c r="C417" s="238">
        <v>4</v>
      </c>
      <c r="D417" s="238">
        <v>4</v>
      </c>
      <c r="E417" s="238">
        <v>2</v>
      </c>
      <c r="F417" s="238">
        <v>14.48</v>
      </c>
      <c r="G417" s="238">
        <v>11.42</v>
      </c>
      <c r="H417" s="238"/>
      <c r="I417">
        <v>25.9</v>
      </c>
      <c r="J417" s="238">
        <v>15.86</v>
      </c>
      <c r="K417" s="238">
        <v>3.01</v>
      </c>
      <c r="L417" s="238">
        <v>2.67</v>
      </c>
      <c r="M417" s="238"/>
      <c r="N417" s="238">
        <v>9.44</v>
      </c>
      <c r="O417" s="238">
        <v>2.72</v>
      </c>
      <c r="P417" s="238"/>
      <c r="R417" s="238">
        <v>2.72</v>
      </c>
      <c r="S417">
        <v>59.6</v>
      </c>
      <c r="T417">
        <v>56.88</v>
      </c>
      <c r="U417" s="238">
        <v>58.24</v>
      </c>
      <c r="V417">
        <v>58.05</v>
      </c>
      <c r="W417" s="238">
        <v>80307.864000000001</v>
      </c>
      <c r="X417">
        <v>4015.3932</v>
      </c>
      <c r="Y417">
        <v>84323.257199999993</v>
      </c>
      <c r="Z417">
        <v>2529.6977160000001</v>
      </c>
      <c r="AA417">
        <v>86852.954916000002</v>
      </c>
      <c r="AC417">
        <v>86852.954916000002</v>
      </c>
      <c r="AE417">
        <v>86852.954916000002</v>
      </c>
      <c r="AG417">
        <v>86852.954916000002</v>
      </c>
      <c r="AI417">
        <v>86852.954916000002</v>
      </c>
      <c r="AJ417">
        <v>868.52954915999999</v>
      </c>
      <c r="AK417">
        <v>87721.48446516</v>
      </c>
      <c r="AL417">
        <v>4386.0742232580005</v>
      </c>
      <c r="AM417">
        <v>92107.558688417994</v>
      </c>
      <c r="AO417">
        <v>92107.558688417994</v>
      </c>
      <c r="AQ417">
        <v>92107.558688417994</v>
      </c>
      <c r="AS417">
        <v>92107.558688417994</v>
      </c>
      <c r="AT417">
        <v>1842.15117376836</v>
      </c>
      <c r="AU417">
        <v>93949.709862186355</v>
      </c>
      <c r="AW417">
        <v>93949.709862186355</v>
      </c>
      <c r="AY417">
        <v>93949.709862186355</v>
      </c>
      <c r="BA417">
        <v>93949.709862186355</v>
      </c>
      <c r="BC417">
        <v>93949.709862186355</v>
      </c>
      <c r="BE417">
        <v>93949.709862186355</v>
      </c>
      <c r="BG417">
        <v>93949.709862186355</v>
      </c>
      <c r="BI417">
        <v>93949.709862186355</v>
      </c>
      <c r="BK417">
        <v>93949.709862186355</v>
      </c>
      <c r="BM417">
        <v>93949.709862186355</v>
      </c>
      <c r="BO417">
        <v>93949.709862186355</v>
      </c>
      <c r="BQ417">
        <v>93949.709862186355</v>
      </c>
      <c r="BS417">
        <v>93949.709862186355</v>
      </c>
      <c r="BT417" s="238">
        <v>93949.71</v>
      </c>
      <c r="BU417" s="238">
        <v>5471700</v>
      </c>
      <c r="BV417">
        <v>90000</v>
      </c>
      <c r="BX417" s="238">
        <v>90000</v>
      </c>
      <c r="BY417" s="238">
        <v>92405.563186813204</v>
      </c>
      <c r="BZ417" s="238">
        <v>5381700</v>
      </c>
      <c r="CA417" s="238" t="s">
        <v>38</v>
      </c>
      <c r="CB417">
        <v>20000</v>
      </c>
      <c r="CC417">
        <v>112405.5631868132</v>
      </c>
      <c r="CD417" s="238">
        <v>1164800</v>
      </c>
      <c r="CE417" s="238">
        <v>6546500</v>
      </c>
      <c r="CG417" t="s">
        <v>7135</v>
      </c>
      <c r="CH417" s="238" t="s">
        <v>39</v>
      </c>
      <c r="CI417" s="238" t="s">
        <v>39</v>
      </c>
      <c r="CJ417" t="s">
        <v>8950</v>
      </c>
      <c r="CK417" t="s">
        <v>1167</v>
      </c>
      <c r="CL417" t="s">
        <v>8961</v>
      </c>
      <c r="CM417" t="s">
        <v>8971</v>
      </c>
      <c r="CN417" s="238" t="b">
        <v>1</v>
      </c>
      <c r="CO417" t="s">
        <v>5705</v>
      </c>
      <c r="CQ417" t="s">
        <v>6652</v>
      </c>
      <c r="CR417" t="s">
        <v>3246</v>
      </c>
      <c r="CS417" t="s">
        <v>38</v>
      </c>
      <c r="CT417" t="b">
        <v>1</v>
      </c>
      <c r="CU417">
        <v>5471700</v>
      </c>
      <c r="CV417" t="s">
        <v>9002</v>
      </c>
      <c r="CW417">
        <v>0</v>
      </c>
      <c r="CX417">
        <v>5471700</v>
      </c>
      <c r="CY417">
        <v>0</v>
      </c>
      <c r="CZ417" t="b">
        <v>1</v>
      </c>
      <c r="DA417">
        <v>45397</v>
      </c>
      <c r="DB417" t="s">
        <v>5215</v>
      </c>
      <c r="DC417">
        <v>-3.2623626373625703E-3</v>
      </c>
      <c r="DD417">
        <v>-301.4604568251055</v>
      </c>
      <c r="DE417" s="420" cm="1">
        <f t="array" ref="DE417">_xlfn.XLOOKUP("Дом 5"&amp;Реестр_Д5[[#This Row],[№]]&amp;Реестр_Д5[[#This Row],[Статус]],РД[Дом]&amp;РД[№ кв]&amp;РД[Состояние],РД[Дата подачи на регистрацию],"-",0)</f>
        <v>45397</v>
      </c>
    </row>
    <row r="418" spans="1:109" hidden="1" x14ac:dyDescent="0.25">
      <c r="A418" s="238">
        <v>417</v>
      </c>
      <c r="B418" s="238" t="s">
        <v>15</v>
      </c>
      <c r="C418" s="238">
        <v>4</v>
      </c>
      <c r="D418" s="238">
        <v>5</v>
      </c>
      <c r="E418" s="238">
        <v>2</v>
      </c>
      <c r="F418" s="238">
        <v>15.41</v>
      </c>
      <c r="G418" s="238">
        <v>12.78</v>
      </c>
      <c r="H418" s="238"/>
      <c r="I418">
        <v>28.19</v>
      </c>
      <c r="J418" s="238">
        <v>13.45</v>
      </c>
      <c r="K418" s="238">
        <v>3.7</v>
      </c>
      <c r="L418" s="238">
        <v>2.72</v>
      </c>
      <c r="M418" s="238"/>
      <c r="N418" s="238">
        <v>8.2200000000000006</v>
      </c>
      <c r="O418" s="238">
        <v>3.03</v>
      </c>
      <c r="P418" s="238"/>
      <c r="R418" s="238">
        <v>3.03</v>
      </c>
      <c r="S418">
        <v>59.31</v>
      </c>
      <c r="T418">
        <v>56.28</v>
      </c>
      <c r="U418" s="238">
        <v>57.8</v>
      </c>
      <c r="V418">
        <v>57.55</v>
      </c>
      <c r="W418" s="238">
        <v>79921.768500000006</v>
      </c>
      <c r="Y418">
        <v>79921.768500000006</v>
      </c>
      <c r="AA418">
        <v>79921.768500000006</v>
      </c>
      <c r="AC418">
        <v>79921.768500000006</v>
      </c>
      <c r="AE418">
        <v>79921.768500000006</v>
      </c>
      <c r="AG418">
        <v>79921.768500000006</v>
      </c>
      <c r="AI418">
        <v>79921.768500000006</v>
      </c>
      <c r="AK418">
        <v>79921.768500000006</v>
      </c>
      <c r="AM418">
        <v>79921.768500000006</v>
      </c>
      <c r="AO418">
        <v>79921.768500000006</v>
      </c>
      <c r="AQ418">
        <v>79921.768500000006</v>
      </c>
      <c r="AS418">
        <v>79921.768500000006</v>
      </c>
      <c r="AU418">
        <v>79921.768500000006</v>
      </c>
      <c r="AW418">
        <v>79921.768500000006</v>
      </c>
      <c r="AY418">
        <v>79921.768500000006</v>
      </c>
      <c r="BA418">
        <v>79921.768500000006</v>
      </c>
      <c r="BC418">
        <v>79921.768500000006</v>
      </c>
      <c r="BE418">
        <v>79921.768500000006</v>
      </c>
      <c r="BG418">
        <v>79921.768500000006</v>
      </c>
      <c r="BI418">
        <v>79921.768500000006</v>
      </c>
      <c r="BK418">
        <v>79921.768500000006</v>
      </c>
      <c r="BM418">
        <v>79921.768500000006</v>
      </c>
      <c r="BO418">
        <v>79921.768500000006</v>
      </c>
      <c r="BQ418">
        <v>79921.768500000006</v>
      </c>
      <c r="BS418">
        <v>79921.768500000006</v>
      </c>
      <c r="BT418" s="238">
        <v>79921.77</v>
      </c>
      <c r="BU418" s="238">
        <v>4619478.3099999996</v>
      </c>
      <c r="BX418" s="238">
        <v>0</v>
      </c>
      <c r="BY418" s="238">
        <v>79921.770069204154</v>
      </c>
      <c r="BZ418" s="238">
        <v>4619478.3099999996</v>
      </c>
      <c r="CA418" s="238" t="s">
        <v>36</v>
      </c>
      <c r="CC418">
        <v>79921.770069204154</v>
      </c>
      <c r="CD418" s="238">
        <v>0</v>
      </c>
      <c r="CE418" s="238">
        <v>4619478.3099999996</v>
      </c>
      <c r="CH418" s="238" t="s">
        <v>39</v>
      </c>
      <c r="CI418" s="238" t="s">
        <v>39</v>
      </c>
      <c r="CJ418" t="s">
        <v>8950</v>
      </c>
      <c r="CK418" t="s">
        <v>1167</v>
      </c>
      <c r="CL418" t="s">
        <v>8961</v>
      </c>
      <c r="CM418" t="s">
        <v>8974</v>
      </c>
      <c r="CN418" s="238" t="b">
        <v>1</v>
      </c>
      <c r="CO418" t="s">
        <v>5706</v>
      </c>
      <c r="CQ418" t="s">
        <v>4895</v>
      </c>
      <c r="CR418" t="s">
        <v>3246</v>
      </c>
      <c r="CS418" t="s">
        <v>36</v>
      </c>
      <c r="CT418" t="b">
        <v>1</v>
      </c>
      <c r="CU418">
        <v>4619478.3099999996</v>
      </c>
      <c r="CV418" t="s">
        <v>9002</v>
      </c>
      <c r="CW418">
        <v>4619478</v>
      </c>
      <c r="CX418">
        <v>4619478</v>
      </c>
      <c r="CY418">
        <v>0</v>
      </c>
      <c r="CZ418" t="b">
        <v>1</v>
      </c>
      <c r="DA418">
        <v>45187</v>
      </c>
      <c r="DB418" t="s">
        <v>4177</v>
      </c>
      <c r="DC418">
        <v>-4.325259515570834E-3</v>
      </c>
      <c r="DD418">
        <v>-345.68239649308953</v>
      </c>
      <c r="DE418" s="420" cm="1">
        <f t="array" ref="DE418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419" spans="1:109" hidden="1" x14ac:dyDescent="0.25">
      <c r="A419" s="238">
        <v>418</v>
      </c>
      <c r="B419" s="238" t="s">
        <v>15</v>
      </c>
      <c r="C419" s="238">
        <v>4</v>
      </c>
      <c r="D419" s="238">
        <v>6</v>
      </c>
      <c r="E419" s="238">
        <v>1</v>
      </c>
      <c r="F419" s="238">
        <v>12.71</v>
      </c>
      <c r="G419" s="238"/>
      <c r="H419" s="238"/>
      <c r="I419">
        <v>12.71</v>
      </c>
      <c r="J419" s="238">
        <v>12.55</v>
      </c>
      <c r="K419" s="238">
        <v>4.28</v>
      </c>
      <c r="L419" s="238"/>
      <c r="M419" s="238"/>
      <c r="N419" s="238">
        <v>7.34</v>
      </c>
      <c r="O419" s="238">
        <v>2.84</v>
      </c>
      <c r="P419" s="238"/>
      <c r="R419" s="238">
        <v>2.84</v>
      </c>
      <c r="S419">
        <v>39.72</v>
      </c>
      <c r="T419">
        <v>36.880000000000003</v>
      </c>
      <c r="U419" s="238">
        <v>38.299999999999997</v>
      </c>
      <c r="V419">
        <v>37.799999999999997</v>
      </c>
      <c r="W419" s="238">
        <v>88412.625</v>
      </c>
      <c r="X419">
        <v>4420.6312500000004</v>
      </c>
      <c r="Y419">
        <v>92833.256250000006</v>
      </c>
      <c r="Z419">
        <v>2784.9976875000002</v>
      </c>
      <c r="AA419">
        <v>95618.253937500005</v>
      </c>
      <c r="AC419">
        <v>95618.253937500005</v>
      </c>
      <c r="AE419">
        <v>95618.253937500005</v>
      </c>
      <c r="AG419">
        <v>95618.253937500005</v>
      </c>
      <c r="AI419">
        <v>95618.253937500005</v>
      </c>
      <c r="AK419">
        <v>95618.253937500005</v>
      </c>
      <c r="AM419">
        <v>95618.253937500005</v>
      </c>
      <c r="AO419">
        <v>95618.253937500005</v>
      </c>
      <c r="AQ419">
        <v>95618.253937500005</v>
      </c>
      <c r="AS419">
        <v>95618.253937500005</v>
      </c>
      <c r="AU419">
        <v>95618.253937500005</v>
      </c>
      <c r="AW419">
        <v>95618.253937500005</v>
      </c>
      <c r="AY419">
        <v>95618.253937500005</v>
      </c>
      <c r="BA419">
        <v>95618.253937500005</v>
      </c>
      <c r="BC419">
        <v>95618.253937500005</v>
      </c>
      <c r="BE419">
        <v>95618.253937500005</v>
      </c>
      <c r="BG419">
        <v>95618.253937500005</v>
      </c>
      <c r="BI419">
        <v>95618.253937500005</v>
      </c>
      <c r="BK419">
        <v>95618.253937500005</v>
      </c>
      <c r="BM419">
        <v>95618.253937500005</v>
      </c>
      <c r="BO419">
        <v>95618.253937500005</v>
      </c>
      <c r="BQ419">
        <v>95618.253937500005</v>
      </c>
      <c r="BS419">
        <v>95618.253937500005</v>
      </c>
      <c r="BT419" s="238">
        <v>95618.25</v>
      </c>
      <c r="BU419" s="238">
        <v>3662178.98</v>
      </c>
      <c r="BX419" s="238">
        <v>0</v>
      </c>
      <c r="BY419" s="238">
        <v>95618.250130548317</v>
      </c>
      <c r="BZ419" s="238">
        <v>3662178.98</v>
      </c>
      <c r="CA419" s="238" t="s">
        <v>36</v>
      </c>
      <c r="CC419">
        <v>95618.250130548317</v>
      </c>
      <c r="CD419" s="238">
        <v>0</v>
      </c>
      <c r="CE419" s="238">
        <v>3662178.98</v>
      </c>
      <c r="CH419" s="238" t="s">
        <v>39</v>
      </c>
      <c r="CI419" s="238" t="s">
        <v>39</v>
      </c>
      <c r="CJ419" t="s">
        <v>8950</v>
      </c>
      <c r="CK419" t="s">
        <v>1167</v>
      </c>
      <c r="CL419" t="s">
        <v>8961</v>
      </c>
      <c r="CM419" t="s">
        <v>8973</v>
      </c>
      <c r="CN419" s="238" t="b">
        <v>1</v>
      </c>
      <c r="CO419" t="s">
        <v>5707</v>
      </c>
      <c r="CQ419" t="s">
        <v>4895</v>
      </c>
      <c r="CR419" t="s">
        <v>3246</v>
      </c>
      <c r="CS419" t="s">
        <v>36</v>
      </c>
      <c r="CT419" t="b">
        <v>1</v>
      </c>
      <c r="CU419">
        <v>3662178.98</v>
      </c>
      <c r="CV419" t="s">
        <v>9002</v>
      </c>
      <c r="CW419">
        <v>0</v>
      </c>
      <c r="CX419">
        <v>3662179</v>
      </c>
      <c r="CY419">
        <v>0</v>
      </c>
      <c r="CZ419" t="b">
        <v>1</v>
      </c>
      <c r="DA419">
        <v>45188</v>
      </c>
      <c r="DB419" t="s">
        <v>130</v>
      </c>
      <c r="DC419">
        <v>-1.3054830287206221E-2</v>
      </c>
      <c r="DD419">
        <v>-1248.2800278139423</v>
      </c>
      <c r="DE419" s="420" cm="1">
        <f t="array" ref="DE419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20" spans="1:109" hidden="1" x14ac:dyDescent="0.25">
      <c r="A420" s="238">
        <v>419</v>
      </c>
      <c r="B420" s="238" t="s">
        <v>15</v>
      </c>
      <c r="C420" s="238">
        <v>4</v>
      </c>
      <c r="D420" s="238">
        <v>7</v>
      </c>
      <c r="E420" s="238">
        <v>3</v>
      </c>
      <c r="F420" s="238">
        <v>14.49</v>
      </c>
      <c r="G420" s="238">
        <v>13.98</v>
      </c>
      <c r="H420" s="238">
        <v>11.42</v>
      </c>
      <c r="I420">
        <v>39.89</v>
      </c>
      <c r="J420" s="238">
        <v>16.670000000000002</v>
      </c>
      <c r="K420" s="238">
        <v>4.1399999999999997</v>
      </c>
      <c r="L420" s="238">
        <v>1.89</v>
      </c>
      <c r="M420" s="238"/>
      <c r="N420" s="238">
        <v>11.31</v>
      </c>
      <c r="O420" s="238">
        <v>2.86</v>
      </c>
      <c r="P420" s="238">
        <v>2.79</v>
      </c>
      <c r="Q420">
        <v>5.42</v>
      </c>
      <c r="R420" s="238">
        <v>11.07</v>
      </c>
      <c r="S420">
        <v>84.97</v>
      </c>
      <c r="T420">
        <v>73.900000000000006</v>
      </c>
      <c r="U420" s="238">
        <v>79.44</v>
      </c>
      <c r="V420">
        <v>79</v>
      </c>
      <c r="W420" s="238">
        <v>77089.320000000022</v>
      </c>
      <c r="X420">
        <v>3854.4660000000017</v>
      </c>
      <c r="Y420">
        <v>80943.786000000022</v>
      </c>
      <c r="Z420">
        <v>2428.3135800000005</v>
      </c>
      <c r="AA420">
        <v>83372.099580000038</v>
      </c>
      <c r="AC420">
        <v>83372.099580000038</v>
      </c>
      <c r="AE420">
        <v>83372.099580000038</v>
      </c>
      <c r="AG420">
        <v>83372.099580000038</v>
      </c>
      <c r="AI420">
        <v>83372.099580000038</v>
      </c>
      <c r="AJ420">
        <v>833.72099580000031</v>
      </c>
      <c r="AK420">
        <v>84205.820575800026</v>
      </c>
      <c r="AL420">
        <v>4210.2910287900013</v>
      </c>
      <c r="AM420">
        <v>88416.111604590027</v>
      </c>
      <c r="AO420">
        <v>88416.111604590027</v>
      </c>
      <c r="AP420">
        <v>1768.3222320918003</v>
      </c>
      <c r="AQ420">
        <v>90184.433836681827</v>
      </c>
      <c r="AS420">
        <v>90184.433836681827</v>
      </c>
      <c r="AT420">
        <v>1803.6886767336368</v>
      </c>
      <c r="AU420">
        <v>91988.122513415467</v>
      </c>
      <c r="AW420">
        <v>91988.122513415467</v>
      </c>
      <c r="AY420">
        <v>91988.122513415467</v>
      </c>
      <c r="BA420">
        <v>91988.122513415467</v>
      </c>
      <c r="BC420">
        <v>91988.122513415467</v>
      </c>
      <c r="BE420">
        <v>91988.122513415467</v>
      </c>
      <c r="BG420">
        <v>91988.122513415467</v>
      </c>
      <c r="BI420">
        <v>91988.122513415467</v>
      </c>
      <c r="BK420">
        <v>91988.122513415467</v>
      </c>
      <c r="BM420">
        <v>91988.122513415467</v>
      </c>
      <c r="BO420">
        <v>91988.122513415467</v>
      </c>
      <c r="BQ420">
        <v>91988.122513415467</v>
      </c>
      <c r="BS420">
        <v>91988.122513415467</v>
      </c>
      <c r="BT420" s="238">
        <v>91988.12</v>
      </c>
      <c r="BU420" s="238">
        <v>7307600</v>
      </c>
      <c r="BV420">
        <v>90000</v>
      </c>
      <c r="BX420" s="238">
        <v>90000</v>
      </c>
      <c r="BY420" s="238">
        <v>90855.991943605244</v>
      </c>
      <c r="BZ420" s="238">
        <v>7217600</v>
      </c>
      <c r="CA420" s="238" t="s">
        <v>6871</v>
      </c>
      <c r="CB420">
        <v>7000</v>
      </c>
      <c r="CC420">
        <v>97855.991943605244</v>
      </c>
      <c r="CD420" s="238">
        <v>556080</v>
      </c>
      <c r="CE420" s="238">
        <v>7773680</v>
      </c>
      <c r="CF420" t="s">
        <v>4636</v>
      </c>
      <c r="CG420" t="s">
        <v>7135</v>
      </c>
      <c r="CH420" s="238" t="s">
        <v>39</v>
      </c>
      <c r="CI420" s="238" t="s">
        <v>39</v>
      </c>
      <c r="CJ420" t="s">
        <v>8950</v>
      </c>
      <c r="CK420" t="s">
        <v>1167</v>
      </c>
      <c r="CL420" t="s">
        <v>8961</v>
      </c>
      <c r="CM420" t="s">
        <v>8990</v>
      </c>
      <c r="CN420" s="238" t="b">
        <v>1</v>
      </c>
      <c r="CO420" t="s">
        <v>5708</v>
      </c>
      <c r="CQ420" t="s">
        <v>6652</v>
      </c>
      <c r="CR420" t="s">
        <v>3246</v>
      </c>
      <c r="CS420" t="s">
        <v>6871</v>
      </c>
      <c r="CT420" t="b">
        <v>1</v>
      </c>
      <c r="CU420">
        <v>7307600</v>
      </c>
      <c r="CV420" t="s">
        <v>9002</v>
      </c>
      <c r="CW420">
        <v>0</v>
      </c>
      <c r="CX420">
        <v>7307600</v>
      </c>
      <c r="CY420">
        <v>0</v>
      </c>
      <c r="CZ420" t="b">
        <v>1</v>
      </c>
      <c r="DA420">
        <v>45401</v>
      </c>
      <c r="DB420" t="s">
        <v>126</v>
      </c>
      <c r="DC420">
        <v>-5.5387713997985255E-3</v>
      </c>
      <c r="DD420">
        <v>-503.230569677566</v>
      </c>
      <c r="DE420" s="420" cm="1">
        <f t="array" ref="DE420">_xlfn.XLOOKUP("Дом 5"&amp;Реестр_Д5[[#This Row],[№]]&amp;Реестр_Д5[[#This Row],[Статус]],РД[Дом]&amp;РД[№ кв]&amp;РД[Состояние],РД[Дата подачи на регистрацию],"-",0)</f>
        <v>45401</v>
      </c>
    </row>
    <row r="421" spans="1:109" hidden="1" x14ac:dyDescent="0.25">
      <c r="A421" s="238">
        <v>420</v>
      </c>
      <c r="B421" s="238" t="s">
        <v>15</v>
      </c>
      <c r="C421" s="238">
        <v>4</v>
      </c>
      <c r="D421" s="238">
        <v>8</v>
      </c>
      <c r="E421" s="238">
        <v>1</v>
      </c>
      <c r="F421" s="238">
        <v>16.79</v>
      </c>
      <c r="G421" s="238"/>
      <c r="H421" s="238"/>
      <c r="I421">
        <v>16.79</v>
      </c>
      <c r="J421" s="238">
        <v>11.43</v>
      </c>
      <c r="K421" s="238">
        <v>3.56</v>
      </c>
      <c r="L421" s="238"/>
      <c r="M421" s="238"/>
      <c r="N421" s="238">
        <v>6.66</v>
      </c>
      <c r="O421" s="238">
        <v>2.4900000000000002</v>
      </c>
      <c r="P421" s="238"/>
      <c r="R421" s="238">
        <v>2.4900000000000002</v>
      </c>
      <c r="S421">
        <v>40.93</v>
      </c>
      <c r="T421">
        <v>38.44</v>
      </c>
      <c r="U421" s="238">
        <v>39.69</v>
      </c>
      <c r="V421">
        <v>39.549999999999997</v>
      </c>
      <c r="W421" s="238">
        <v>85573.6875</v>
      </c>
      <c r="X421">
        <v>4278.6843749999998</v>
      </c>
      <c r="Y421">
        <v>89852.371874999997</v>
      </c>
      <c r="Z421">
        <v>2695.5711562499996</v>
      </c>
      <c r="AA421">
        <v>92547.943031250004</v>
      </c>
      <c r="AB421">
        <v>4164.657436406249</v>
      </c>
      <c r="AC421">
        <v>96712.600467656244</v>
      </c>
      <c r="AE421">
        <v>96712.600467656244</v>
      </c>
      <c r="AF421">
        <v>4835.6300233828124</v>
      </c>
      <c r="AG421">
        <v>101548.23049103904</v>
      </c>
      <c r="AI421">
        <v>101548.23049103904</v>
      </c>
      <c r="AJ421">
        <v>1015.4823049103906</v>
      </c>
      <c r="AK421">
        <v>102563.71279594944</v>
      </c>
      <c r="AL421">
        <v>5128.1856397974725</v>
      </c>
      <c r="AM421">
        <v>107691.89843574692</v>
      </c>
      <c r="AO421">
        <v>107691.89843574692</v>
      </c>
      <c r="AP421">
        <v>3230.7569530724072</v>
      </c>
      <c r="AQ421">
        <v>110922.65538881932</v>
      </c>
      <c r="AS421">
        <v>110922.65538881932</v>
      </c>
      <c r="AU421">
        <v>110922.65538881932</v>
      </c>
      <c r="AW421">
        <v>110922.65538881932</v>
      </c>
      <c r="AY421">
        <v>110922.65538881932</v>
      </c>
      <c r="BA421">
        <v>110922.65538881932</v>
      </c>
      <c r="BC421">
        <v>110922.65538881932</v>
      </c>
      <c r="BE421">
        <v>110922.65538881932</v>
      </c>
      <c r="BF421">
        <v>554.6132769440967</v>
      </c>
      <c r="BG421">
        <v>111477.26866576343</v>
      </c>
      <c r="BI421">
        <v>111477.26866576343</v>
      </c>
      <c r="BJ421">
        <v>2229.5453733152685</v>
      </c>
      <c r="BK421">
        <v>113706.8140390787</v>
      </c>
      <c r="BM421">
        <v>113706.8140390787</v>
      </c>
      <c r="BO421">
        <v>113706.8140390787</v>
      </c>
      <c r="BQ421">
        <v>113706.8140390787</v>
      </c>
      <c r="BS421">
        <v>113706.8140390787</v>
      </c>
      <c r="BT421" s="238">
        <v>113706.81</v>
      </c>
      <c r="BU421" s="238">
        <v>4513100</v>
      </c>
      <c r="BW421">
        <v>0.02</v>
      </c>
      <c r="BX421" s="238">
        <v>90262</v>
      </c>
      <c r="BY421" s="238">
        <v>111434.56790123458</v>
      </c>
      <c r="BZ421" s="238">
        <v>4422838</v>
      </c>
      <c r="CA421" s="238" t="s">
        <v>38</v>
      </c>
      <c r="CB421">
        <v>24000</v>
      </c>
      <c r="CC421">
        <v>135434.56790123458</v>
      </c>
      <c r="CD421" s="238">
        <v>952560</v>
      </c>
      <c r="CE421" s="238">
        <v>5375398</v>
      </c>
      <c r="CG421" t="s">
        <v>3540</v>
      </c>
      <c r="CH421" s="238" t="s">
        <v>39</v>
      </c>
      <c r="CI421" s="238" t="s">
        <v>39</v>
      </c>
      <c r="CJ421" t="s">
        <v>8950</v>
      </c>
      <c r="CK421" t="s">
        <v>1167</v>
      </c>
      <c r="CL421" t="s">
        <v>8961</v>
      </c>
      <c r="CM421" t="s">
        <v>8973</v>
      </c>
      <c r="CN421" s="238" t="b">
        <v>1</v>
      </c>
      <c r="CO421" t="s">
        <v>5709</v>
      </c>
      <c r="CQ421" t="s">
        <v>6652</v>
      </c>
      <c r="CR421" t="s">
        <v>3246</v>
      </c>
      <c r="CS421" t="s">
        <v>38</v>
      </c>
      <c r="CT421" t="b">
        <v>1</v>
      </c>
      <c r="CU421">
        <v>4513100</v>
      </c>
      <c r="CV421" t="s">
        <v>9002</v>
      </c>
      <c r="CW421">
        <v>0</v>
      </c>
      <c r="CX421">
        <v>4513100</v>
      </c>
      <c r="CY421">
        <v>0</v>
      </c>
      <c r="CZ421" t="b">
        <v>1</v>
      </c>
      <c r="DA421">
        <v>45601</v>
      </c>
      <c r="DB421" t="s">
        <v>4177</v>
      </c>
      <c r="DC421">
        <v>-3.5273368606700828E-3</v>
      </c>
      <c r="DD421">
        <v>-393.06725891086802</v>
      </c>
      <c r="DE421" s="420" cm="1">
        <f t="array" ref="DE421">_xlfn.XLOOKUP("Дом 5"&amp;Реестр_Д5[[#This Row],[№]]&amp;Реестр_Д5[[#This Row],[Статус]],РД[Дом]&amp;РД[№ кв]&amp;РД[Состояние],РД[Дата подачи на регистрацию],"-",0)</f>
        <v>45601</v>
      </c>
    </row>
    <row r="422" spans="1:109" hidden="1" x14ac:dyDescent="0.25">
      <c r="A422" s="238">
        <v>421</v>
      </c>
      <c r="B422" s="238" t="s">
        <v>15</v>
      </c>
      <c r="C422" s="238">
        <v>5</v>
      </c>
      <c r="D422" s="238">
        <v>1</v>
      </c>
      <c r="E422" s="238">
        <v>0</v>
      </c>
      <c r="F422" s="238">
        <v>13.74</v>
      </c>
      <c r="G422" s="238"/>
      <c r="H422" s="238"/>
      <c r="I422">
        <v>13.74</v>
      </c>
      <c r="J422" s="238">
        <v>5.84</v>
      </c>
      <c r="K422" s="238">
        <v>3.76</v>
      </c>
      <c r="L422" s="238"/>
      <c r="M422" s="238"/>
      <c r="N422" s="238">
        <v>3.73</v>
      </c>
      <c r="O422" s="238">
        <v>4.6500000000000004</v>
      </c>
      <c r="P422" s="238"/>
      <c r="R422" s="238">
        <v>4.6500000000000004</v>
      </c>
      <c r="S422">
        <v>31.72</v>
      </c>
      <c r="T422">
        <v>27.07</v>
      </c>
      <c r="U422" s="238">
        <v>29.4</v>
      </c>
      <c r="V422">
        <v>29.3</v>
      </c>
      <c r="W422" s="238">
        <v>89353.53</v>
      </c>
      <c r="X422">
        <v>4467.6765000000005</v>
      </c>
      <c r="Y422">
        <v>93821.2065</v>
      </c>
      <c r="Z422">
        <v>2814.636195</v>
      </c>
      <c r="AA422">
        <v>96635.842694999999</v>
      </c>
      <c r="AB422">
        <v>8697.2258425500004</v>
      </c>
      <c r="AC422">
        <v>105333.06853755</v>
      </c>
      <c r="AE422">
        <v>105333.06853755</v>
      </c>
      <c r="AG422">
        <v>105333.06853755</v>
      </c>
      <c r="AI422">
        <v>105333.06853755</v>
      </c>
      <c r="AJ422">
        <v>1053.3306853755</v>
      </c>
      <c r="AK422">
        <v>106386.39922292552</v>
      </c>
      <c r="AL422">
        <v>5319.319961146276</v>
      </c>
      <c r="AM422">
        <v>111705.7191840718</v>
      </c>
      <c r="AO422">
        <v>111705.7191840718</v>
      </c>
      <c r="AP422">
        <v>3351.1715755221535</v>
      </c>
      <c r="AQ422">
        <v>115056.89075959394</v>
      </c>
      <c r="AS422">
        <v>115056.89075959394</v>
      </c>
      <c r="AU422">
        <v>115056.89075959394</v>
      </c>
      <c r="AW422">
        <v>115056.89075959394</v>
      </c>
      <c r="AX422">
        <v>1150.5689075959394</v>
      </c>
      <c r="AY422">
        <v>116207.45966718988</v>
      </c>
      <c r="BA422">
        <v>116207.45966718988</v>
      </c>
      <c r="BC422">
        <v>116207.45966718988</v>
      </c>
      <c r="BE422">
        <v>116207.45966718988</v>
      </c>
      <c r="BF422">
        <v>1743.111895007848</v>
      </c>
      <c r="BG422">
        <v>117950.57156219771</v>
      </c>
      <c r="BI422">
        <v>117950.57156219771</v>
      </c>
      <c r="BK422">
        <v>117950.57156219771</v>
      </c>
      <c r="BM422">
        <v>117950.57156219771</v>
      </c>
      <c r="BO422">
        <v>117950.57156219771</v>
      </c>
      <c r="BQ422">
        <v>117950.57156219771</v>
      </c>
      <c r="BS422">
        <v>117950.57156219771</v>
      </c>
      <c r="BT422" s="238">
        <v>117950.57</v>
      </c>
      <c r="BU422" s="238">
        <v>3467800</v>
      </c>
      <c r="BX422" s="238">
        <v>0</v>
      </c>
      <c r="BY422" s="238">
        <v>117952.38095238096</v>
      </c>
      <c r="BZ422" s="238">
        <v>3467800</v>
      </c>
      <c r="CA422" s="238" t="s">
        <v>38</v>
      </c>
      <c r="CB422">
        <v>20000</v>
      </c>
      <c r="CC422">
        <v>137952.38095238095</v>
      </c>
      <c r="CD422" s="238">
        <v>587999.99999999953</v>
      </c>
      <c r="CE422" s="238">
        <v>4055799.9999999991</v>
      </c>
      <c r="CH422" s="238" t="s">
        <v>39</v>
      </c>
      <c r="CI422" s="238" t="s">
        <v>39</v>
      </c>
      <c r="CJ422" t="s">
        <v>8950</v>
      </c>
      <c r="CK422" t="s">
        <v>1167</v>
      </c>
      <c r="CL422" t="s">
        <v>8961</v>
      </c>
      <c r="CM422" t="s">
        <v>8970</v>
      </c>
      <c r="CN422" s="238" t="b">
        <v>1</v>
      </c>
      <c r="CO422" t="s">
        <v>5710</v>
      </c>
      <c r="CQ422" t="s">
        <v>6652</v>
      </c>
      <c r="CR422" t="s">
        <v>3246</v>
      </c>
      <c r="CS422" t="s">
        <v>38</v>
      </c>
      <c r="CT422" t="b">
        <v>1</v>
      </c>
      <c r="CU422">
        <v>3467800</v>
      </c>
      <c r="CV422" t="s">
        <v>9002</v>
      </c>
      <c r="CW422">
        <v>0</v>
      </c>
      <c r="CX422">
        <v>3467800</v>
      </c>
      <c r="CY422">
        <v>0</v>
      </c>
      <c r="CZ422" t="b">
        <v>1</v>
      </c>
      <c r="DA422">
        <v>45517</v>
      </c>
      <c r="DB422" t="s">
        <v>4177</v>
      </c>
      <c r="DC422">
        <v>-3.4013605442175798E-3</v>
      </c>
      <c r="DD422">
        <v>-401.1985746679498</v>
      </c>
      <c r="DE422" s="420" cm="1">
        <f t="array" ref="DE422">_xlfn.XLOOKUP("Дом 5"&amp;Реестр_Д5[[#This Row],[№]]&amp;Реестр_Д5[[#This Row],[Статус]],РД[Дом]&amp;РД[№ кв]&amp;РД[Состояние],РД[Дата подачи на регистрацию],"-",0)</f>
        <v>45517</v>
      </c>
    </row>
    <row r="423" spans="1:109" hidden="1" x14ac:dyDescent="0.25">
      <c r="A423" s="238">
        <v>422</v>
      </c>
      <c r="B423" s="238" t="s">
        <v>15</v>
      </c>
      <c r="C423" s="238">
        <v>5</v>
      </c>
      <c r="D423" s="238">
        <v>2</v>
      </c>
      <c r="E423" s="238">
        <v>1</v>
      </c>
      <c r="F423" s="238">
        <v>13.17</v>
      </c>
      <c r="G423" s="238"/>
      <c r="H423" s="238"/>
      <c r="I423">
        <v>13.17</v>
      </c>
      <c r="J423" s="238">
        <v>16.940000000000001</v>
      </c>
      <c r="K423" s="238">
        <v>3.55</v>
      </c>
      <c r="L423" s="238">
        <v>2.41</v>
      </c>
      <c r="M423" s="238"/>
      <c r="N423" s="238">
        <v>5.8</v>
      </c>
      <c r="O423" s="238">
        <v>2.68</v>
      </c>
      <c r="P423" s="238"/>
      <c r="R423" s="238">
        <v>2.68</v>
      </c>
      <c r="S423">
        <v>44.55</v>
      </c>
      <c r="T423">
        <v>41.87</v>
      </c>
      <c r="U423" s="238">
        <v>43.21</v>
      </c>
      <c r="V423">
        <v>42.349999999999994</v>
      </c>
      <c r="W423" s="238">
        <v>85168.125</v>
      </c>
      <c r="X423">
        <v>4258.40625</v>
      </c>
      <c r="Y423">
        <v>89426.53125</v>
      </c>
      <c r="Z423">
        <v>2682.7959375</v>
      </c>
      <c r="AA423">
        <v>92109.327187500006</v>
      </c>
      <c r="AB423">
        <v>921.09327187500003</v>
      </c>
      <c r="AC423">
        <v>93030.420459375004</v>
      </c>
      <c r="AE423">
        <v>93030.420459375004</v>
      </c>
      <c r="AF423">
        <v>4651.52102296875</v>
      </c>
      <c r="AG423">
        <v>97681.941482343755</v>
      </c>
      <c r="AI423">
        <v>97681.941482343755</v>
      </c>
      <c r="AJ423">
        <v>976.81941482343757</v>
      </c>
      <c r="AK423">
        <v>98658.760897167187</v>
      </c>
      <c r="AL423">
        <v>4932.9380448583597</v>
      </c>
      <c r="AM423">
        <v>103591.69894202554</v>
      </c>
      <c r="AO423">
        <v>103591.69894202554</v>
      </c>
      <c r="AP423">
        <v>3107.7509682607661</v>
      </c>
      <c r="AQ423">
        <v>106699.4499102863</v>
      </c>
      <c r="AR423">
        <v>500</v>
      </c>
      <c r="AS423">
        <v>107199.4499102863</v>
      </c>
      <c r="AU423">
        <v>107199.4499102863</v>
      </c>
      <c r="AW423">
        <v>107199.4499102863</v>
      </c>
      <c r="AY423">
        <v>107199.4499102863</v>
      </c>
      <c r="AZ423">
        <v>1071.9944991028633</v>
      </c>
      <c r="BA423">
        <v>108271.44440938917</v>
      </c>
      <c r="BC423">
        <v>108271.44440938917</v>
      </c>
      <c r="BE423">
        <v>108271.44440938917</v>
      </c>
      <c r="BF423">
        <v>2706.7861102347292</v>
      </c>
      <c r="BG423">
        <v>110978.23051962387</v>
      </c>
      <c r="BI423">
        <v>110978.23051962387</v>
      </c>
      <c r="BK423">
        <v>110978.23051962387</v>
      </c>
      <c r="BL423">
        <v>8878.2584415699112</v>
      </c>
      <c r="BM423">
        <v>119856.4889611938</v>
      </c>
      <c r="BN423">
        <v>15581.343564955194</v>
      </c>
      <c r="BO423">
        <v>135437.832526149</v>
      </c>
      <c r="BP423">
        <v>35</v>
      </c>
      <c r="BQ423">
        <v>135472.832526149</v>
      </c>
      <c r="BS423">
        <v>135472.832526149</v>
      </c>
      <c r="BT423" s="238">
        <v>135472.82999999999</v>
      </c>
      <c r="BU423" s="238">
        <v>5853800</v>
      </c>
      <c r="BW423">
        <v>0.03</v>
      </c>
      <c r="BX423" s="238">
        <v>175614</v>
      </c>
      <c r="BY423" s="238">
        <v>131409.07197408009</v>
      </c>
      <c r="BZ423" s="238">
        <v>5678186</v>
      </c>
      <c r="CA423" s="238" t="s">
        <v>38</v>
      </c>
      <c r="CB423">
        <v>25000</v>
      </c>
      <c r="CC423">
        <v>156409.07197408009</v>
      </c>
      <c r="CD423" s="238">
        <v>1080250.0000000007</v>
      </c>
      <c r="CE423" s="238">
        <v>6758436.0000000009</v>
      </c>
      <c r="CG423" t="s">
        <v>3538</v>
      </c>
      <c r="CH423" s="238" t="s">
        <v>39</v>
      </c>
      <c r="CI423" s="238" t="s">
        <v>39</v>
      </c>
      <c r="CJ423" t="s">
        <v>8950</v>
      </c>
      <c r="CK423" t="s">
        <v>1167</v>
      </c>
      <c r="CL423" t="s">
        <v>8961</v>
      </c>
      <c r="CM423" t="s">
        <v>8972</v>
      </c>
      <c r="CN423" s="238" t="b">
        <v>1</v>
      </c>
      <c r="CO423" t="s">
        <v>5711</v>
      </c>
      <c r="CQ423" t="s">
        <v>6652</v>
      </c>
      <c r="CR423" t="s">
        <v>3246</v>
      </c>
      <c r="CS423" t="s">
        <v>38</v>
      </c>
      <c r="CT423" t="b">
        <v>1</v>
      </c>
      <c r="CU423">
        <v>5853800</v>
      </c>
      <c r="CV423" t="s">
        <v>9002</v>
      </c>
      <c r="CW423">
        <v>0</v>
      </c>
      <c r="CX423">
        <v>5853800</v>
      </c>
      <c r="CY423">
        <v>0</v>
      </c>
      <c r="CZ423" t="b">
        <v>1</v>
      </c>
      <c r="DA423">
        <v>45696</v>
      </c>
      <c r="DB423" t="s">
        <v>5215</v>
      </c>
      <c r="DC423">
        <v>-1.9902800277713628E-2</v>
      </c>
      <c r="DD423">
        <v>-2615.4085141798114</v>
      </c>
      <c r="DE423" s="420" cm="1">
        <f t="array" ref="DE423">_xlfn.XLOOKUP("Дом 5"&amp;Реестр_Д5[[#This Row],[№]]&amp;Реестр_Д5[[#This Row],[Статус]],РД[Дом]&amp;РД[№ кв]&amp;РД[Состояние],РД[Дата подачи на регистрацию],"-",0)</f>
        <v>45696</v>
      </c>
    </row>
    <row r="424" spans="1:109" hidden="1" x14ac:dyDescent="0.25">
      <c r="A424" s="238">
        <v>423</v>
      </c>
      <c r="B424" s="238" t="s">
        <v>15</v>
      </c>
      <c r="C424" s="238">
        <v>5</v>
      </c>
      <c r="D424" s="238">
        <v>3</v>
      </c>
      <c r="E424" s="238">
        <v>0</v>
      </c>
      <c r="F424" s="238">
        <v>7.2</v>
      </c>
      <c r="G424" s="238"/>
      <c r="H424" s="238"/>
      <c r="I424">
        <v>7.2</v>
      </c>
      <c r="J424" s="238">
        <v>5.17</v>
      </c>
      <c r="K424" s="238">
        <v>3.71</v>
      </c>
      <c r="L424" s="238"/>
      <c r="M424" s="238"/>
      <c r="N424" s="238">
        <v>6.96</v>
      </c>
      <c r="O424" s="238">
        <v>2.92</v>
      </c>
      <c r="P424" s="238"/>
      <c r="R424" s="238">
        <v>2.92</v>
      </c>
      <c r="S424">
        <v>25.96</v>
      </c>
      <c r="T424">
        <v>23.04</v>
      </c>
      <c r="U424" s="238">
        <v>24.5</v>
      </c>
      <c r="V424">
        <v>24.25</v>
      </c>
      <c r="W424" s="238">
        <v>91105.56</v>
      </c>
      <c r="X424">
        <v>4555.2780000000002</v>
      </c>
      <c r="Y424">
        <v>95660.838000000003</v>
      </c>
      <c r="Z424">
        <v>2869.8251399999999</v>
      </c>
      <c r="AA424">
        <v>98530.663140000004</v>
      </c>
      <c r="AB424">
        <v>8867.7596826000008</v>
      </c>
      <c r="AC424">
        <v>107398.4228226</v>
      </c>
      <c r="AE424">
        <v>107398.4228226</v>
      </c>
      <c r="AG424">
        <v>107398.4228226</v>
      </c>
      <c r="AI424">
        <v>107398.4228226</v>
      </c>
      <c r="AJ424">
        <v>1073.9842282259999</v>
      </c>
      <c r="AK424">
        <v>108472.407050826</v>
      </c>
      <c r="AL424">
        <v>5423.6203525413002</v>
      </c>
      <c r="AM424">
        <v>113896.0274033673</v>
      </c>
      <c r="AO424">
        <v>113896.0274033673</v>
      </c>
      <c r="AP424">
        <v>3416.880822101019</v>
      </c>
      <c r="AQ424">
        <v>117312.90822546832</v>
      </c>
      <c r="AS424">
        <v>117312.90822546832</v>
      </c>
      <c r="AU424">
        <v>117312.90822546832</v>
      </c>
      <c r="AW424">
        <v>117312.90822546832</v>
      </c>
      <c r="AX424">
        <v>1173.1290822546832</v>
      </c>
      <c r="AY424">
        <v>118486.03730772302</v>
      </c>
      <c r="BA424">
        <v>118486.03730772302</v>
      </c>
      <c r="BB424">
        <v>592.43018653861509</v>
      </c>
      <c r="BC424">
        <v>119078.46749426164</v>
      </c>
      <c r="BE424">
        <v>119078.46749426164</v>
      </c>
      <c r="BG424">
        <v>119078.46749426164</v>
      </c>
      <c r="BI424">
        <v>119078.46749426164</v>
      </c>
      <c r="BK424">
        <v>119078.46749426164</v>
      </c>
      <c r="BM424">
        <v>119078.46749426164</v>
      </c>
      <c r="BO424">
        <v>119078.46749426164</v>
      </c>
      <c r="BQ424">
        <v>119078.46749426164</v>
      </c>
      <c r="BS424">
        <v>119078.46749426164</v>
      </c>
      <c r="BT424" s="238">
        <v>119078.47</v>
      </c>
      <c r="BU424" s="238">
        <v>2917500</v>
      </c>
      <c r="BV424">
        <v>20000</v>
      </c>
      <c r="BX424" s="238">
        <v>20000</v>
      </c>
      <c r="BY424" s="238">
        <v>118265.30612244898</v>
      </c>
      <c r="BZ424" s="238">
        <v>2897500</v>
      </c>
      <c r="CA424" s="238" t="s">
        <v>38</v>
      </c>
      <c r="CB424">
        <v>20000</v>
      </c>
      <c r="CC424">
        <v>138265.30612244899</v>
      </c>
      <c r="CD424" s="238">
        <v>490000.00000000047</v>
      </c>
      <c r="CE424" s="238">
        <v>3387500.0000000005</v>
      </c>
      <c r="CG424" t="s">
        <v>3441</v>
      </c>
      <c r="CH424" s="238" t="s">
        <v>39</v>
      </c>
      <c r="CI424" s="238" t="s">
        <v>39</v>
      </c>
      <c r="CJ424" t="s">
        <v>8950</v>
      </c>
      <c r="CK424" t="s">
        <v>1167</v>
      </c>
      <c r="CL424" t="s">
        <v>8961</v>
      </c>
      <c r="CM424" t="s">
        <v>8970</v>
      </c>
      <c r="CN424" s="238" t="b">
        <v>1</v>
      </c>
      <c r="CO424" t="s">
        <v>5712</v>
      </c>
      <c r="CQ424" t="s">
        <v>6652</v>
      </c>
      <c r="CR424" t="s">
        <v>3246</v>
      </c>
      <c r="CS424" t="s">
        <v>38</v>
      </c>
      <c r="CT424" t="b">
        <v>1</v>
      </c>
      <c r="CU424">
        <v>2917500</v>
      </c>
      <c r="CV424" t="s">
        <v>9002</v>
      </c>
      <c r="CW424">
        <v>0</v>
      </c>
      <c r="CX424">
        <v>2917500</v>
      </c>
      <c r="CY424">
        <v>0</v>
      </c>
      <c r="CZ424" t="b">
        <v>1</v>
      </c>
      <c r="DA424">
        <v>45461</v>
      </c>
      <c r="DB424" t="s">
        <v>4177</v>
      </c>
      <c r="DC424">
        <v>-1.0204081632653073E-2</v>
      </c>
      <c r="DD424">
        <v>-1206.7888379841745</v>
      </c>
      <c r="DE424" s="420" cm="1">
        <f t="array" ref="DE424">_xlfn.XLOOKUP("Дом 5"&amp;Реестр_Д5[[#This Row],[№]]&amp;Реестр_Д5[[#This Row],[Статус]],РД[Дом]&amp;РД[№ кв]&amp;РД[Состояние],РД[Дата подачи на регистрацию],"-",0)</f>
        <v>45461</v>
      </c>
    </row>
    <row r="425" spans="1:109" hidden="1" x14ac:dyDescent="0.25">
      <c r="A425" s="238">
        <v>424</v>
      </c>
      <c r="B425" s="238" t="s">
        <v>15</v>
      </c>
      <c r="C425" s="238">
        <v>5</v>
      </c>
      <c r="D425" s="238">
        <v>4</v>
      </c>
      <c r="E425" s="238">
        <v>2</v>
      </c>
      <c r="F425" s="238">
        <v>14.48</v>
      </c>
      <c r="G425" s="238">
        <v>11.42</v>
      </c>
      <c r="H425" s="238"/>
      <c r="I425">
        <v>25.9</v>
      </c>
      <c r="J425" s="238">
        <v>15.86</v>
      </c>
      <c r="K425" s="238">
        <v>3.01</v>
      </c>
      <c r="L425" s="238">
        <v>2.67</v>
      </c>
      <c r="M425" s="238"/>
      <c r="N425" s="238">
        <v>9.44</v>
      </c>
      <c r="O425" s="238">
        <v>2.72</v>
      </c>
      <c r="P425" s="238"/>
      <c r="R425" s="238">
        <v>2.72</v>
      </c>
      <c r="S425">
        <v>59.6</v>
      </c>
      <c r="T425">
        <v>56.88</v>
      </c>
      <c r="U425" s="238">
        <v>58.24</v>
      </c>
      <c r="V425">
        <v>58.05</v>
      </c>
      <c r="W425" s="238">
        <v>79535.67300000001</v>
      </c>
      <c r="X425">
        <v>3976.7836500000008</v>
      </c>
      <c r="Y425">
        <v>83512.456649999993</v>
      </c>
      <c r="Z425">
        <v>2505.3736994999999</v>
      </c>
      <c r="AA425">
        <v>86017.8303495</v>
      </c>
      <c r="AC425">
        <v>86017.8303495</v>
      </c>
      <c r="AE425">
        <v>86017.8303495</v>
      </c>
      <c r="AG425">
        <v>86017.8303495</v>
      </c>
      <c r="AI425">
        <v>86017.8303495</v>
      </c>
      <c r="AK425">
        <v>86017.8303495</v>
      </c>
      <c r="AM425">
        <v>86017.8303495</v>
      </c>
      <c r="AO425">
        <v>86017.8303495</v>
      </c>
      <c r="AQ425">
        <v>86017.8303495</v>
      </c>
      <c r="AS425">
        <v>86017.8303495</v>
      </c>
      <c r="AU425">
        <v>86017.8303495</v>
      </c>
      <c r="AW425">
        <v>86017.8303495</v>
      </c>
      <c r="AY425">
        <v>86017.8303495</v>
      </c>
      <c r="BA425">
        <v>86017.8303495</v>
      </c>
      <c r="BC425">
        <v>86017.8303495</v>
      </c>
      <c r="BE425">
        <v>86017.8303495</v>
      </c>
      <c r="BG425">
        <v>86017.8303495</v>
      </c>
      <c r="BI425">
        <v>86017.8303495</v>
      </c>
      <c r="BK425">
        <v>86017.8303495</v>
      </c>
      <c r="BM425">
        <v>86017.8303495</v>
      </c>
      <c r="BO425">
        <v>86017.8303495</v>
      </c>
      <c r="BQ425">
        <v>86017.8303495</v>
      </c>
      <c r="BS425">
        <v>86017.8303495</v>
      </c>
      <c r="BT425" s="238">
        <v>86017.83</v>
      </c>
      <c r="BU425" s="238">
        <v>5009678.42</v>
      </c>
      <c r="BW425">
        <v>0.02</v>
      </c>
      <c r="BX425" s="238">
        <v>100193.5684</v>
      </c>
      <c r="BY425" s="238">
        <v>84297.473385988997</v>
      </c>
      <c r="BZ425" s="238">
        <v>4909484.8499999996</v>
      </c>
      <c r="CA425" s="238" t="s">
        <v>37</v>
      </c>
      <c r="CB425">
        <v>7500</v>
      </c>
      <c r="CC425">
        <v>91797.473385988997</v>
      </c>
      <c r="CD425" s="238">
        <v>436800</v>
      </c>
      <c r="CE425" s="238">
        <v>5346284.8499999996</v>
      </c>
      <c r="CG425" t="s">
        <v>3540</v>
      </c>
      <c r="CH425" s="238" t="s">
        <v>39</v>
      </c>
      <c r="CI425" s="238" t="s">
        <v>39</v>
      </c>
      <c r="CJ425" t="s">
        <v>8950</v>
      </c>
      <c r="CK425" t="s">
        <v>1167</v>
      </c>
      <c r="CL425" t="s">
        <v>8961</v>
      </c>
      <c r="CM425" t="s">
        <v>8971</v>
      </c>
      <c r="CN425" s="238" t="b">
        <v>1</v>
      </c>
      <c r="CO425" t="s">
        <v>5713</v>
      </c>
      <c r="CQ425" t="s">
        <v>4895</v>
      </c>
      <c r="CR425" t="s">
        <v>3246</v>
      </c>
      <c r="CS425" t="s">
        <v>37</v>
      </c>
      <c r="CT425" t="b">
        <v>1</v>
      </c>
      <c r="CU425">
        <v>5009678.42</v>
      </c>
      <c r="CV425" t="s">
        <v>9002</v>
      </c>
      <c r="CW425">
        <v>0</v>
      </c>
      <c r="CX425">
        <v>5009678</v>
      </c>
      <c r="CY425">
        <v>0</v>
      </c>
      <c r="CZ425" t="b">
        <v>1</v>
      </c>
      <c r="DA425">
        <v>45261</v>
      </c>
      <c r="DB425" t="s">
        <v>126</v>
      </c>
      <c r="DC425">
        <v>-3.2623626373625703E-3</v>
      </c>
      <c r="DD425">
        <v>-275.00892759851615</v>
      </c>
      <c r="DE425" s="420" cm="1">
        <f t="array" ref="DE425">_xlfn.XLOOKUP("Дом 5"&amp;Реестр_Д5[[#This Row],[№]]&amp;Реестр_Д5[[#This Row],[Статус]],РД[Дом]&amp;РД[№ кв]&amp;РД[Состояние],РД[Дата подачи на регистрацию],"-",0)</f>
        <v>45261</v>
      </c>
    </row>
    <row r="426" spans="1:109" hidden="1" x14ac:dyDescent="0.25">
      <c r="A426" s="238">
        <v>425</v>
      </c>
      <c r="B426" s="238" t="s">
        <v>15</v>
      </c>
      <c r="C426" s="238">
        <v>5</v>
      </c>
      <c r="D426" s="238">
        <v>5</v>
      </c>
      <c r="E426" s="238">
        <v>2</v>
      </c>
      <c r="F426" s="238">
        <v>15.41</v>
      </c>
      <c r="G426" s="238">
        <v>12.78</v>
      </c>
      <c r="H426" s="238"/>
      <c r="I426">
        <v>28.19</v>
      </c>
      <c r="J426" s="238">
        <v>13.45</v>
      </c>
      <c r="K426" s="238">
        <v>3.7</v>
      </c>
      <c r="L426" s="238">
        <v>2.72</v>
      </c>
      <c r="M426" s="238"/>
      <c r="N426" s="238">
        <v>8.2200000000000006</v>
      </c>
      <c r="O426" s="238">
        <v>3.03</v>
      </c>
      <c r="P426" s="238"/>
      <c r="R426" s="238">
        <v>3.03</v>
      </c>
      <c r="S426">
        <v>59.31</v>
      </c>
      <c r="T426">
        <v>56.28</v>
      </c>
      <c r="U426" s="238">
        <v>57.8</v>
      </c>
      <c r="V426">
        <v>57.75</v>
      </c>
      <c r="W426" s="238">
        <v>79149.577499999999</v>
      </c>
      <c r="X426">
        <v>3957.4788749999998</v>
      </c>
      <c r="Y426">
        <v>83107.056375</v>
      </c>
      <c r="Z426">
        <v>2493.2116912500001</v>
      </c>
      <c r="AA426">
        <v>85600.268066250006</v>
      </c>
      <c r="AC426">
        <v>85600.268066250006</v>
      </c>
      <c r="AE426">
        <v>85600.268066250006</v>
      </c>
      <c r="AG426">
        <v>85600.268066250006</v>
      </c>
      <c r="AI426">
        <v>85600.268066250006</v>
      </c>
      <c r="AJ426">
        <v>856.0026806625001</v>
      </c>
      <c r="AK426">
        <v>86456.270746912502</v>
      </c>
      <c r="AL426">
        <v>4322.8135373456253</v>
      </c>
      <c r="AM426">
        <v>90779.084284258133</v>
      </c>
      <c r="AO426">
        <v>90779.084284258133</v>
      </c>
      <c r="AP426">
        <v>1815.5816856851627</v>
      </c>
      <c r="AQ426">
        <v>92594.665969943293</v>
      </c>
      <c r="AS426">
        <v>92594.665969943293</v>
      </c>
      <c r="AT426">
        <v>1851.893319398866</v>
      </c>
      <c r="AU426">
        <v>94446.559289342156</v>
      </c>
      <c r="AW426">
        <v>94446.559289342156</v>
      </c>
      <c r="AX426">
        <v>944.46559289342156</v>
      </c>
      <c r="AY426">
        <v>95391.024882235579</v>
      </c>
      <c r="BA426">
        <v>95391.024882235579</v>
      </c>
      <c r="BC426">
        <v>95391.024882235579</v>
      </c>
      <c r="BE426">
        <v>95391.024882235579</v>
      </c>
      <c r="BF426">
        <v>1430.8653732335335</v>
      </c>
      <c r="BG426">
        <v>96821.890255469116</v>
      </c>
      <c r="BI426">
        <v>96821.890255469116</v>
      </c>
      <c r="BK426">
        <v>96821.890255469116</v>
      </c>
      <c r="BM426">
        <v>96821.890255469116</v>
      </c>
      <c r="BO426">
        <v>96821.890255469116</v>
      </c>
      <c r="BQ426">
        <v>96821.890255469116</v>
      </c>
      <c r="BS426">
        <v>96821.890255469116</v>
      </c>
      <c r="BT426" s="238">
        <v>96821.89</v>
      </c>
      <c r="BU426" s="238">
        <v>5596400</v>
      </c>
      <c r="BX426" s="238">
        <v>0</v>
      </c>
      <c r="BY426" s="238">
        <v>96823.529411764714</v>
      </c>
      <c r="BZ426" s="238">
        <v>5596400</v>
      </c>
      <c r="CA426" s="238" t="s">
        <v>36</v>
      </c>
      <c r="CC426">
        <v>96823.529411764714</v>
      </c>
      <c r="CD426" s="238">
        <v>0</v>
      </c>
      <c r="CE426" s="238">
        <v>5596400</v>
      </c>
      <c r="CH426" s="238" t="s">
        <v>39</v>
      </c>
      <c r="CI426" s="238" t="s">
        <v>39</v>
      </c>
      <c r="CJ426" t="s">
        <v>8950</v>
      </c>
      <c r="CK426" t="s">
        <v>1167</v>
      </c>
      <c r="CL426" t="s">
        <v>8961</v>
      </c>
      <c r="CM426" t="s">
        <v>8974</v>
      </c>
      <c r="CN426" s="238" t="b">
        <v>1</v>
      </c>
      <c r="CO426" t="s">
        <v>5714</v>
      </c>
      <c r="CQ426" t="s">
        <v>6652</v>
      </c>
      <c r="CR426" t="s">
        <v>3246</v>
      </c>
      <c r="CS426" t="s">
        <v>36</v>
      </c>
      <c r="CT426" t="b">
        <v>1</v>
      </c>
      <c r="CU426">
        <v>5596400</v>
      </c>
      <c r="CV426" t="s">
        <v>9002</v>
      </c>
      <c r="CW426">
        <v>0</v>
      </c>
      <c r="CX426">
        <v>5596400</v>
      </c>
      <c r="CY426">
        <v>0</v>
      </c>
      <c r="CZ426" t="b">
        <v>1</v>
      </c>
      <c r="DA426">
        <v>45516</v>
      </c>
      <c r="DB426" t="s">
        <v>4177</v>
      </c>
      <c r="DC426">
        <v>-8.6505190311414459E-4</v>
      </c>
      <c r="DD426">
        <v>-83.75737838387542</v>
      </c>
      <c r="DE426" s="420" cm="1">
        <f t="array" ref="DE426">_xlfn.XLOOKUP("Дом 5"&amp;Реестр_Д5[[#This Row],[№]]&amp;Реестр_Д5[[#This Row],[Статус]],РД[Дом]&amp;РД[№ кв]&amp;РД[Состояние],РД[Дата подачи на регистрацию],"-",0)</f>
        <v>45516</v>
      </c>
    </row>
    <row r="427" spans="1:109" hidden="1" x14ac:dyDescent="0.25">
      <c r="A427" s="238">
        <v>426</v>
      </c>
      <c r="B427" s="238" t="s">
        <v>15</v>
      </c>
      <c r="C427" s="238">
        <v>5</v>
      </c>
      <c r="D427" s="238">
        <v>6</v>
      </c>
      <c r="E427" s="238">
        <v>1</v>
      </c>
      <c r="F427" s="238">
        <v>12.71</v>
      </c>
      <c r="G427" s="238"/>
      <c r="H427" s="238"/>
      <c r="I427">
        <v>12.71</v>
      </c>
      <c r="J427" s="238">
        <v>12.55</v>
      </c>
      <c r="K427" s="238">
        <v>4.28</v>
      </c>
      <c r="L427" s="238"/>
      <c r="M427" s="238"/>
      <c r="N427" s="238">
        <v>7.34</v>
      </c>
      <c r="O427" s="238">
        <v>2.84</v>
      </c>
      <c r="P427" s="238"/>
      <c r="R427" s="238">
        <v>2.84</v>
      </c>
      <c r="S427">
        <v>39.72</v>
      </c>
      <c r="T427">
        <v>36.880000000000003</v>
      </c>
      <c r="U427" s="238">
        <v>38.299999999999997</v>
      </c>
      <c r="V427">
        <v>37.9</v>
      </c>
      <c r="W427" s="238">
        <v>87601.5</v>
      </c>
      <c r="X427">
        <v>4380.0749999999998</v>
      </c>
      <c r="Y427">
        <v>91981.574999999997</v>
      </c>
      <c r="Z427">
        <v>2759.4472499999997</v>
      </c>
      <c r="AA427">
        <v>94741.022249999995</v>
      </c>
      <c r="AB427">
        <v>947.41022250000003</v>
      </c>
      <c r="AC427">
        <v>95688.432472500004</v>
      </c>
      <c r="AE427">
        <v>95688.432472500004</v>
      </c>
      <c r="AF427">
        <v>4784.4216236249995</v>
      </c>
      <c r="AG427">
        <v>100472.854096125</v>
      </c>
      <c r="AI427">
        <v>100472.854096125</v>
      </c>
      <c r="AJ427">
        <v>1004.72854096125</v>
      </c>
      <c r="AK427">
        <v>101477.58263708623</v>
      </c>
      <c r="AL427">
        <v>5073.8791318543126</v>
      </c>
      <c r="AM427">
        <v>106551.46176894056</v>
      </c>
      <c r="AO427">
        <v>106551.46176894056</v>
      </c>
      <c r="AP427">
        <v>3196.5438530682168</v>
      </c>
      <c r="AQ427">
        <v>109748.00562200876</v>
      </c>
      <c r="AS427">
        <v>109748.00562200876</v>
      </c>
      <c r="AU427">
        <v>109748.00562200876</v>
      </c>
      <c r="AW427">
        <v>109748.00562200876</v>
      </c>
      <c r="AY427">
        <v>109748.00562200876</v>
      </c>
      <c r="BA427">
        <v>109748.00562200876</v>
      </c>
      <c r="BC427">
        <v>109748.00562200876</v>
      </c>
      <c r="BE427">
        <v>109748.00562200876</v>
      </c>
      <c r="BG427">
        <v>109748.00562200876</v>
      </c>
      <c r="BI427">
        <v>109748.00562200876</v>
      </c>
      <c r="BK427">
        <v>109748.00562200876</v>
      </c>
      <c r="BM427">
        <v>109748.00562200876</v>
      </c>
      <c r="BO427">
        <v>109748.00562200876</v>
      </c>
      <c r="BQ427">
        <v>109748.00562200876</v>
      </c>
      <c r="BS427">
        <v>109748.00562200876</v>
      </c>
      <c r="BT427" s="238">
        <v>109748.01</v>
      </c>
      <c r="BU427" s="238">
        <v>4203400</v>
      </c>
      <c r="BV427">
        <v>88888</v>
      </c>
      <c r="BX427" s="238">
        <v>88888</v>
      </c>
      <c r="BY427" s="238">
        <v>107428.51174934726</v>
      </c>
      <c r="BZ427" s="238">
        <v>4114512</v>
      </c>
      <c r="CA427" s="238" t="s">
        <v>6871</v>
      </c>
      <c r="CB427">
        <v>7000</v>
      </c>
      <c r="CC427">
        <v>114428.51174934726</v>
      </c>
      <c r="CD427" s="238">
        <v>268100</v>
      </c>
      <c r="CE427" s="238">
        <v>4382612</v>
      </c>
      <c r="CG427" t="s">
        <v>4185</v>
      </c>
      <c r="CH427" s="238" t="s">
        <v>39</v>
      </c>
      <c r="CI427" s="238" t="s">
        <v>39</v>
      </c>
      <c r="CJ427" t="s">
        <v>8950</v>
      </c>
      <c r="CK427" t="s">
        <v>1167</v>
      </c>
      <c r="CL427" t="s">
        <v>8961</v>
      </c>
      <c r="CM427" t="s">
        <v>8973</v>
      </c>
      <c r="CN427" s="238" t="b">
        <v>1</v>
      </c>
      <c r="CO427" t="s">
        <v>5715</v>
      </c>
      <c r="CQ427" t="s">
        <v>6652</v>
      </c>
      <c r="CR427" t="s">
        <v>3246</v>
      </c>
      <c r="CS427" t="s">
        <v>6871</v>
      </c>
      <c r="CT427" t="b">
        <v>1</v>
      </c>
      <c r="CU427">
        <v>4203400</v>
      </c>
      <c r="CV427" t="s">
        <v>9002</v>
      </c>
      <c r="CW427">
        <v>0</v>
      </c>
      <c r="CX427">
        <v>4203400</v>
      </c>
      <c r="CY427">
        <v>0</v>
      </c>
      <c r="CZ427" t="b">
        <v>1</v>
      </c>
      <c r="DA427">
        <v>45393</v>
      </c>
      <c r="DB427" t="s">
        <v>126</v>
      </c>
      <c r="DC427">
        <v>-1.0443864229764954E-2</v>
      </c>
      <c r="DD427">
        <v>-1121.9687911158919</v>
      </c>
      <c r="DE427" s="420" cm="1">
        <f t="array" ref="DE427">_xlfn.XLOOKUP("Дом 5"&amp;Реестр_Д5[[#This Row],[№]]&amp;Реестр_Д5[[#This Row],[Статус]],РД[Дом]&amp;РД[№ кв]&amp;РД[Состояние],РД[Дата подачи на регистрацию],"-",0)</f>
        <v>45393</v>
      </c>
    </row>
    <row r="428" spans="1:109" hidden="1" x14ac:dyDescent="0.25">
      <c r="A428" s="238">
        <v>427</v>
      </c>
      <c r="B428" s="238" t="s">
        <v>15</v>
      </c>
      <c r="C428" s="238">
        <v>5</v>
      </c>
      <c r="D428" s="238">
        <v>7</v>
      </c>
      <c r="E428" s="238">
        <v>3</v>
      </c>
      <c r="F428" s="238">
        <v>14.49</v>
      </c>
      <c r="G428" s="238">
        <v>13.98</v>
      </c>
      <c r="H428" s="238">
        <v>11.42</v>
      </c>
      <c r="I428">
        <v>39.89</v>
      </c>
      <c r="J428" s="238">
        <v>16.670000000000002</v>
      </c>
      <c r="K428" s="238">
        <v>4.1399999999999997</v>
      </c>
      <c r="L428" s="238">
        <v>1.89</v>
      </c>
      <c r="M428" s="238"/>
      <c r="N428" s="238">
        <v>11.31</v>
      </c>
      <c r="O428" s="238">
        <v>2.86</v>
      </c>
      <c r="P428" s="238">
        <v>2.79</v>
      </c>
      <c r="Q428">
        <v>5.42</v>
      </c>
      <c r="R428" s="238">
        <v>11.07</v>
      </c>
      <c r="S428">
        <v>84.97</v>
      </c>
      <c r="T428">
        <v>73.900000000000006</v>
      </c>
      <c r="U428" s="238">
        <v>79.44</v>
      </c>
      <c r="V428">
        <v>78.5</v>
      </c>
      <c r="W428" s="238">
        <v>76375.530000000013</v>
      </c>
      <c r="X428">
        <v>3818.7765000000009</v>
      </c>
      <c r="Y428">
        <v>80194.306500000021</v>
      </c>
      <c r="Z428">
        <v>2405.8291950000007</v>
      </c>
      <c r="AA428">
        <v>82600.135695000019</v>
      </c>
      <c r="AC428">
        <v>82600.135695000019</v>
      </c>
      <c r="AE428">
        <v>82600.135695000019</v>
      </c>
      <c r="AG428">
        <v>82600.135695000019</v>
      </c>
      <c r="AI428">
        <v>82600.135695000019</v>
      </c>
      <c r="AJ428">
        <v>826.00135695000017</v>
      </c>
      <c r="AK428">
        <v>83426.13705195002</v>
      </c>
      <c r="AL428">
        <v>4171.3068525975013</v>
      </c>
      <c r="AM428">
        <v>87597.443904547516</v>
      </c>
      <c r="AO428">
        <v>87597.443904547516</v>
      </c>
      <c r="AP428">
        <v>1751.9488780909503</v>
      </c>
      <c r="AQ428">
        <v>89349.392782638461</v>
      </c>
      <c r="AS428">
        <v>89349.392782638461</v>
      </c>
      <c r="AT428">
        <v>1786.9878556527692</v>
      </c>
      <c r="AU428">
        <v>91136.380638291244</v>
      </c>
      <c r="AV428">
        <v>1000</v>
      </c>
      <c r="AW428">
        <v>92136.380638291244</v>
      </c>
      <c r="AY428">
        <v>92136.380638291244</v>
      </c>
      <c r="AZ428">
        <v>1842.7276127658247</v>
      </c>
      <c r="BA428">
        <v>93979.108251057056</v>
      </c>
      <c r="BC428">
        <v>93979.108251057056</v>
      </c>
      <c r="BD428">
        <v>1879.5821650211412</v>
      </c>
      <c r="BE428">
        <v>95858.6904160782</v>
      </c>
      <c r="BF428">
        <v>2396.4672604019552</v>
      </c>
      <c r="BG428">
        <v>98255.157676480158</v>
      </c>
      <c r="BI428">
        <v>98255.157676480158</v>
      </c>
      <c r="BJ428">
        <v>3930.2063070592062</v>
      </c>
      <c r="BK428">
        <v>102185.36398353936</v>
      </c>
      <c r="BL428">
        <v>5109.2681991769687</v>
      </c>
      <c r="BM428">
        <v>107294.63218271632</v>
      </c>
      <c r="BN428">
        <v>13948.302183753123</v>
      </c>
      <c r="BO428">
        <v>121242.93436646946</v>
      </c>
      <c r="BP428">
        <v>35</v>
      </c>
      <c r="BQ428">
        <v>121277.93436646946</v>
      </c>
      <c r="BS428">
        <v>121277.93436646946</v>
      </c>
      <c r="BT428" s="238">
        <v>121277.93</v>
      </c>
      <c r="BU428" s="238">
        <v>9634400</v>
      </c>
      <c r="BV428">
        <v>400000</v>
      </c>
      <c r="BW428">
        <v>0.03</v>
      </c>
      <c r="BX428" s="238">
        <v>689032</v>
      </c>
      <c r="BY428" s="238">
        <v>112605.33736153072</v>
      </c>
      <c r="BZ428" s="238">
        <v>8945368</v>
      </c>
      <c r="CA428" s="238" t="s">
        <v>38</v>
      </c>
      <c r="CB428">
        <v>25000</v>
      </c>
      <c r="CC428">
        <v>137605.33736153072</v>
      </c>
      <c r="CD428" s="238">
        <v>1986000</v>
      </c>
      <c r="CE428" s="238">
        <v>10931368</v>
      </c>
      <c r="CF428" t="s">
        <v>4636</v>
      </c>
      <c r="CG428" t="s">
        <v>8592</v>
      </c>
      <c r="CH428" s="238" t="s">
        <v>39</v>
      </c>
      <c r="CI428" s="238" t="s">
        <v>39</v>
      </c>
      <c r="CJ428" t="s">
        <v>8950</v>
      </c>
      <c r="CK428" t="s">
        <v>1167</v>
      </c>
      <c r="CL428" t="s">
        <v>8961</v>
      </c>
      <c r="CM428" t="s">
        <v>8990</v>
      </c>
      <c r="CN428" s="238" t="b">
        <v>1</v>
      </c>
      <c r="CO428" t="s">
        <v>5716</v>
      </c>
      <c r="CQ428" t="s">
        <v>6652</v>
      </c>
      <c r="CR428" t="s">
        <v>3246</v>
      </c>
      <c r="CS428" t="s">
        <v>38</v>
      </c>
      <c r="CT428" t="b">
        <v>1</v>
      </c>
      <c r="CU428">
        <v>9634400</v>
      </c>
      <c r="CV428" t="s">
        <v>9002</v>
      </c>
      <c r="CW428">
        <v>9634400</v>
      </c>
      <c r="CX428">
        <v>9634400</v>
      </c>
      <c r="CY428">
        <v>0</v>
      </c>
      <c r="CZ428" t="b">
        <v>1</v>
      </c>
      <c r="DA428">
        <v>45806</v>
      </c>
      <c r="DB428" t="s">
        <v>5215</v>
      </c>
      <c r="DC428">
        <v>-1.1832829808660628E-2</v>
      </c>
      <c r="DD428">
        <v>-1332.439792545807</v>
      </c>
      <c r="DE428" s="420" cm="1">
        <f t="array" ref="DE428">_xlfn.XLOOKUP("Дом 5"&amp;Реестр_Д5[[#This Row],[№]]&amp;Реестр_Д5[[#This Row],[Статус]],РД[Дом]&amp;РД[№ кв]&amp;РД[Состояние],РД[Дата подачи на регистрацию],"-",0)</f>
        <v>45806</v>
      </c>
    </row>
    <row r="429" spans="1:109" hidden="1" x14ac:dyDescent="0.25">
      <c r="A429" s="238">
        <v>428</v>
      </c>
      <c r="B429" s="238" t="s">
        <v>15</v>
      </c>
      <c r="C429" s="238">
        <v>5</v>
      </c>
      <c r="D429" s="238">
        <v>8</v>
      </c>
      <c r="E429" s="238">
        <v>1</v>
      </c>
      <c r="F429" s="238">
        <v>16.79</v>
      </c>
      <c r="G429" s="238"/>
      <c r="H429" s="238"/>
      <c r="I429">
        <v>16.79</v>
      </c>
      <c r="J429" s="238">
        <v>11.43</v>
      </c>
      <c r="K429" s="238">
        <v>3.56</v>
      </c>
      <c r="L429" s="238"/>
      <c r="M429" s="238"/>
      <c r="N429" s="238">
        <v>6.66</v>
      </c>
      <c r="O429" s="238">
        <v>2.4900000000000002</v>
      </c>
      <c r="P429" s="238"/>
      <c r="R429" s="238">
        <v>2.4900000000000002</v>
      </c>
      <c r="S429">
        <v>40.93</v>
      </c>
      <c r="T429">
        <v>38.44</v>
      </c>
      <c r="U429" s="238">
        <v>39.69</v>
      </c>
      <c r="V429">
        <v>39.549999999999997</v>
      </c>
      <c r="W429" s="238">
        <v>84762.5625</v>
      </c>
      <c r="X429">
        <v>4238.1281250000002</v>
      </c>
      <c r="Y429">
        <v>89000.690625000003</v>
      </c>
      <c r="Z429">
        <v>2670.02071875</v>
      </c>
      <c r="AA429">
        <v>91670.711343750023</v>
      </c>
      <c r="AB429">
        <v>4125.1820104687504</v>
      </c>
      <c r="AC429">
        <v>95795.893354218759</v>
      </c>
      <c r="AE429">
        <v>95795.893354218759</v>
      </c>
      <c r="AF429">
        <v>4789.7946677109385</v>
      </c>
      <c r="AG429">
        <v>100585.6880219297</v>
      </c>
      <c r="AI429">
        <v>100585.6880219297</v>
      </c>
      <c r="AJ429">
        <v>1005.8568802192972</v>
      </c>
      <c r="AK429">
        <v>101591.54490214901</v>
      </c>
      <c r="AL429">
        <v>5079.5772451074508</v>
      </c>
      <c r="AM429">
        <v>106671.12214725644</v>
      </c>
      <c r="AO429">
        <v>106671.12214725644</v>
      </c>
      <c r="AP429">
        <v>3200.1336644176936</v>
      </c>
      <c r="AQ429">
        <v>109871.25581167414</v>
      </c>
      <c r="AS429">
        <v>109871.25581167414</v>
      </c>
      <c r="AU429">
        <v>109871.25581167414</v>
      </c>
      <c r="AW429">
        <v>109871.25581167414</v>
      </c>
      <c r="AY429">
        <v>109871.25581167414</v>
      </c>
      <c r="BA429">
        <v>109871.25581167414</v>
      </c>
      <c r="BC429">
        <v>109871.25581167414</v>
      </c>
      <c r="BE429">
        <v>109871.25581167414</v>
      </c>
      <c r="BG429">
        <v>109871.25581167414</v>
      </c>
      <c r="BI429">
        <v>109871.25581167414</v>
      </c>
      <c r="BK429">
        <v>109871.25581167414</v>
      </c>
      <c r="BM429">
        <v>109871.25581167414</v>
      </c>
      <c r="BO429">
        <v>109871.25581167414</v>
      </c>
      <c r="BQ429">
        <v>109871.25581167414</v>
      </c>
      <c r="BS429">
        <v>109871.25581167414</v>
      </c>
      <c r="BT429" s="238">
        <v>109871.26</v>
      </c>
      <c r="BU429" s="238">
        <v>4360800</v>
      </c>
      <c r="BX429" s="238">
        <v>0</v>
      </c>
      <c r="BY429" s="238">
        <v>109871.50415721846</v>
      </c>
      <c r="BZ429" s="238">
        <v>4360800</v>
      </c>
      <c r="CA429" s="238" t="s">
        <v>38</v>
      </c>
      <c r="CB429">
        <v>20000</v>
      </c>
      <c r="CC429">
        <v>129871.50415721846</v>
      </c>
      <c r="CD429" s="238">
        <v>793800</v>
      </c>
      <c r="CE429" s="238">
        <v>5154600</v>
      </c>
      <c r="CH429" s="238" t="s">
        <v>39</v>
      </c>
      <c r="CI429" s="238" t="s">
        <v>39</v>
      </c>
      <c r="CJ429" t="s">
        <v>8950</v>
      </c>
      <c r="CK429" t="s">
        <v>1167</v>
      </c>
      <c r="CL429" t="s">
        <v>8961</v>
      </c>
      <c r="CM429" t="s">
        <v>8973</v>
      </c>
      <c r="CN429" s="238" t="b">
        <v>1</v>
      </c>
      <c r="CO429" t="s">
        <v>5717</v>
      </c>
      <c r="CQ429" t="s">
        <v>6652</v>
      </c>
      <c r="CR429" t="s">
        <v>3246</v>
      </c>
      <c r="CS429" t="s">
        <v>38</v>
      </c>
      <c r="CT429" t="b">
        <v>1</v>
      </c>
      <c r="CU429">
        <v>4360800</v>
      </c>
      <c r="CV429" t="s">
        <v>9002</v>
      </c>
      <c r="CW429">
        <v>4360800</v>
      </c>
      <c r="CX429">
        <v>4360800</v>
      </c>
      <c r="CY429">
        <v>0</v>
      </c>
      <c r="CZ429" t="b">
        <v>1</v>
      </c>
      <c r="DA429">
        <v>45505</v>
      </c>
      <c r="DB429" t="s">
        <v>126</v>
      </c>
      <c r="DC429">
        <v>-3.5273368606700828E-3</v>
      </c>
      <c r="DD429">
        <v>-387.55380655102289</v>
      </c>
      <c r="DE429" s="420" cm="1">
        <f t="array" ref="DE429">_xlfn.XLOOKUP("Дом 5"&amp;Реестр_Д5[[#This Row],[№]]&amp;Реестр_Д5[[#This Row],[Статус]],РД[Дом]&amp;РД[№ кв]&amp;РД[Состояние],РД[Дата подачи на регистрацию],"-",0)</f>
        <v>45505</v>
      </c>
    </row>
    <row r="430" spans="1:109" hidden="1" x14ac:dyDescent="0.25">
      <c r="A430" s="238">
        <v>429</v>
      </c>
      <c r="B430" s="238" t="s">
        <v>15</v>
      </c>
      <c r="C430" s="238">
        <v>6</v>
      </c>
      <c r="D430" s="238">
        <v>1</v>
      </c>
      <c r="E430" s="238">
        <v>0</v>
      </c>
      <c r="F430" s="238">
        <v>13.74</v>
      </c>
      <c r="G430" s="238"/>
      <c r="H430" s="238"/>
      <c r="I430">
        <v>13.74</v>
      </c>
      <c r="J430" s="238">
        <v>5.84</v>
      </c>
      <c r="K430" s="238">
        <v>3.76</v>
      </c>
      <c r="L430" s="238"/>
      <c r="M430" s="238"/>
      <c r="N430" s="238">
        <v>3.73</v>
      </c>
      <c r="O430" s="238">
        <v>4.6500000000000004</v>
      </c>
      <c r="P430" s="238"/>
      <c r="R430" s="238">
        <v>4.6500000000000004</v>
      </c>
      <c r="S430">
        <v>31.72</v>
      </c>
      <c r="T430">
        <v>27.07</v>
      </c>
      <c r="U430" s="238">
        <v>29.4</v>
      </c>
      <c r="V430">
        <v>29.3</v>
      </c>
      <c r="W430" s="238">
        <v>89353.53</v>
      </c>
      <c r="Y430">
        <v>89353.53</v>
      </c>
      <c r="AA430">
        <v>89353.53</v>
      </c>
      <c r="AC430">
        <v>89353.53</v>
      </c>
      <c r="AE430">
        <v>89353.53</v>
      </c>
      <c r="AG430">
        <v>89353.53</v>
      </c>
      <c r="AI430">
        <v>89353.53</v>
      </c>
      <c r="AK430">
        <v>89353.53</v>
      </c>
      <c r="AM430">
        <v>89353.53</v>
      </c>
      <c r="AO430">
        <v>89353.53</v>
      </c>
      <c r="AQ430">
        <v>89353.53</v>
      </c>
      <c r="AS430">
        <v>89353.53</v>
      </c>
      <c r="AU430">
        <v>89353.53</v>
      </c>
      <c r="AW430">
        <v>89353.53</v>
      </c>
      <c r="AY430">
        <v>89353.53</v>
      </c>
      <c r="BA430">
        <v>89353.53</v>
      </c>
      <c r="BC430">
        <v>89353.53</v>
      </c>
      <c r="BE430">
        <v>89353.53</v>
      </c>
      <c r="BG430">
        <v>89353.53</v>
      </c>
      <c r="BI430">
        <v>89353.53</v>
      </c>
      <c r="BK430">
        <v>89353.53</v>
      </c>
      <c r="BM430">
        <v>89353.53</v>
      </c>
      <c r="BO430">
        <v>89353.53</v>
      </c>
      <c r="BQ430">
        <v>89353.53</v>
      </c>
      <c r="BS430">
        <v>89353.53</v>
      </c>
      <c r="BT430" s="238">
        <v>89353.53</v>
      </c>
      <c r="BU430" s="238">
        <v>2626993.7799999998</v>
      </c>
      <c r="BX430" s="238">
        <v>0</v>
      </c>
      <c r="BY430" s="238">
        <v>89353.529931972793</v>
      </c>
      <c r="BZ430" s="238">
        <v>2626993.7799999998</v>
      </c>
      <c r="CA430" s="238" t="s">
        <v>37</v>
      </c>
      <c r="CB430">
        <v>4500</v>
      </c>
      <c r="CC430">
        <v>93853.529931972793</v>
      </c>
      <c r="CD430" s="238">
        <v>132300</v>
      </c>
      <c r="CE430" s="238">
        <v>2759293.78</v>
      </c>
      <c r="CH430" s="238" t="s">
        <v>39</v>
      </c>
      <c r="CI430" s="238" t="s">
        <v>39</v>
      </c>
      <c r="CJ430" t="s">
        <v>8950</v>
      </c>
      <c r="CK430" t="s">
        <v>1167</v>
      </c>
      <c r="CL430" t="s">
        <v>8961</v>
      </c>
      <c r="CM430" t="s">
        <v>8970</v>
      </c>
      <c r="CN430" s="238" t="b">
        <v>1</v>
      </c>
      <c r="CO430" t="s">
        <v>5718</v>
      </c>
      <c r="CQ430" t="s">
        <v>4895</v>
      </c>
      <c r="CR430" t="s">
        <v>3246</v>
      </c>
      <c r="CS430" t="s">
        <v>37</v>
      </c>
      <c r="CT430" t="b">
        <v>1</v>
      </c>
      <c r="CU430">
        <v>2626993.7799999998</v>
      </c>
      <c r="CV430" t="s">
        <v>9002</v>
      </c>
      <c r="CW430">
        <v>2626994</v>
      </c>
      <c r="CX430">
        <v>2626994</v>
      </c>
      <c r="CY430">
        <v>0</v>
      </c>
      <c r="CZ430" t="b">
        <v>1</v>
      </c>
      <c r="DA430">
        <v>45187</v>
      </c>
      <c r="DB430" t="s">
        <v>4177</v>
      </c>
      <c r="DC430">
        <v>-3.4013605442175798E-3</v>
      </c>
      <c r="DD430">
        <v>-303.92357119717678</v>
      </c>
      <c r="DE430" s="420" cm="1">
        <f t="array" ref="DE430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431" spans="1:109" hidden="1" x14ac:dyDescent="0.25">
      <c r="A431" s="238">
        <v>430</v>
      </c>
      <c r="B431" s="238" t="s">
        <v>15</v>
      </c>
      <c r="C431" s="238">
        <v>6</v>
      </c>
      <c r="D431" s="238">
        <v>2</v>
      </c>
      <c r="E431" s="238">
        <v>1</v>
      </c>
      <c r="F431" s="238">
        <v>13.17</v>
      </c>
      <c r="G431" s="238"/>
      <c r="H431" s="238"/>
      <c r="I431">
        <v>13.17</v>
      </c>
      <c r="J431" s="238">
        <v>16.940000000000001</v>
      </c>
      <c r="K431" s="238">
        <v>3.55</v>
      </c>
      <c r="L431" s="238">
        <v>2.41</v>
      </c>
      <c r="M431" s="238"/>
      <c r="N431" s="238">
        <v>5.8</v>
      </c>
      <c r="O431" s="238">
        <v>2.68</v>
      </c>
      <c r="P431" s="238"/>
      <c r="R431" s="238">
        <v>2.68</v>
      </c>
      <c r="S431">
        <v>44.55</v>
      </c>
      <c r="T431">
        <v>41.87</v>
      </c>
      <c r="U431" s="238">
        <v>43.21</v>
      </c>
      <c r="V431">
        <v>42.45</v>
      </c>
      <c r="W431" s="238">
        <v>85168.125</v>
      </c>
      <c r="X431">
        <v>4258.40625</v>
      </c>
      <c r="Y431">
        <v>89426.53125</v>
      </c>
      <c r="Z431">
        <v>2682.7959375</v>
      </c>
      <c r="AA431">
        <v>92109.327187500006</v>
      </c>
      <c r="AB431">
        <v>921.09327187500003</v>
      </c>
      <c r="AC431">
        <v>93030.420459375004</v>
      </c>
      <c r="AE431">
        <v>93030.420459375004</v>
      </c>
      <c r="AF431">
        <v>4651.52102296875</v>
      </c>
      <c r="AG431">
        <v>97681.941482343755</v>
      </c>
      <c r="AI431">
        <v>97681.941482343755</v>
      </c>
      <c r="AJ431">
        <v>976.81941482343757</v>
      </c>
      <c r="AK431">
        <v>98658.760897167187</v>
      </c>
      <c r="AL431">
        <v>4932.9380448583597</v>
      </c>
      <c r="AM431">
        <v>103591.69894202554</v>
      </c>
      <c r="AO431">
        <v>103591.69894202554</v>
      </c>
      <c r="AP431">
        <v>3107.7509682607661</v>
      </c>
      <c r="AQ431">
        <v>106699.4499102863</v>
      </c>
      <c r="AR431">
        <v>500</v>
      </c>
      <c r="AS431">
        <v>107199.4499102863</v>
      </c>
      <c r="AU431">
        <v>107199.4499102863</v>
      </c>
      <c r="AW431">
        <v>107199.4499102863</v>
      </c>
      <c r="AY431">
        <v>107199.4499102863</v>
      </c>
      <c r="AZ431">
        <v>1071.9944991028633</v>
      </c>
      <c r="BA431">
        <v>108271.44440938917</v>
      </c>
      <c r="BC431">
        <v>108271.44440938917</v>
      </c>
      <c r="BE431">
        <v>108271.44440938917</v>
      </c>
      <c r="BG431">
        <v>108271.44440938917</v>
      </c>
      <c r="BI431">
        <v>108271.44440938917</v>
      </c>
      <c r="BK431">
        <v>108271.44440938917</v>
      </c>
      <c r="BM431">
        <v>108271.44440938917</v>
      </c>
      <c r="BO431">
        <v>108271.44440938917</v>
      </c>
      <c r="BQ431">
        <v>108271.44440938917</v>
      </c>
      <c r="BS431">
        <v>108271.44440938917</v>
      </c>
      <c r="BT431" s="238">
        <v>108271.44</v>
      </c>
      <c r="BU431" s="238">
        <v>4678500</v>
      </c>
      <c r="BX431" s="238">
        <v>0</v>
      </c>
      <c r="BY431" s="238">
        <v>108273.54778986346</v>
      </c>
      <c r="BZ431" s="238">
        <v>4678500</v>
      </c>
      <c r="CA431" s="238" t="s">
        <v>6871</v>
      </c>
      <c r="CB431">
        <v>7000</v>
      </c>
      <c r="CC431">
        <v>115273.54778986346</v>
      </c>
      <c r="CD431" s="238">
        <v>302470</v>
      </c>
      <c r="CE431" s="238">
        <v>4980970</v>
      </c>
      <c r="CH431" s="238" t="s">
        <v>39</v>
      </c>
      <c r="CI431" s="238" t="s">
        <v>39</v>
      </c>
      <c r="CJ431" t="s">
        <v>8950</v>
      </c>
      <c r="CK431" t="s">
        <v>1167</v>
      </c>
      <c r="CL431" t="s">
        <v>8961</v>
      </c>
      <c r="CM431" t="s">
        <v>8972</v>
      </c>
      <c r="CN431" s="238" t="b">
        <v>1</v>
      </c>
      <c r="CO431" t="s">
        <v>5719</v>
      </c>
      <c r="CQ431" t="s">
        <v>6652</v>
      </c>
      <c r="CR431" t="s">
        <v>3246</v>
      </c>
      <c r="CS431" t="s">
        <v>6871</v>
      </c>
      <c r="CT431" t="b">
        <v>1</v>
      </c>
      <c r="CU431">
        <v>4678500</v>
      </c>
      <c r="CV431" t="s">
        <v>9002</v>
      </c>
      <c r="CW431">
        <v>0</v>
      </c>
      <c r="CX431">
        <v>4678500</v>
      </c>
      <c r="CY431">
        <v>0</v>
      </c>
      <c r="CZ431" t="b">
        <v>1</v>
      </c>
      <c r="DA431">
        <v>45447</v>
      </c>
      <c r="DB431" t="s">
        <v>4177</v>
      </c>
      <c r="DC431">
        <v>-1.7588521175653904E-2</v>
      </c>
      <c r="DD431">
        <v>-1904.3715880651885</v>
      </c>
      <c r="DE431" s="420" cm="1">
        <f t="array" ref="DE431">_xlfn.XLOOKUP("Дом 5"&amp;Реестр_Д5[[#This Row],[№]]&amp;Реестр_Д5[[#This Row],[Статус]],РД[Дом]&amp;РД[№ кв]&amp;РД[Состояние],РД[Дата подачи на регистрацию],"-",0)</f>
        <v>45447</v>
      </c>
    </row>
    <row r="432" spans="1:109" hidden="1" x14ac:dyDescent="0.25">
      <c r="A432" s="238">
        <v>431</v>
      </c>
      <c r="B432" s="238" t="s">
        <v>15</v>
      </c>
      <c r="C432" s="238">
        <v>6</v>
      </c>
      <c r="D432" s="238">
        <v>3</v>
      </c>
      <c r="E432" s="238">
        <v>0</v>
      </c>
      <c r="F432" s="238">
        <v>7.2</v>
      </c>
      <c r="G432" s="238"/>
      <c r="H432" s="238"/>
      <c r="I432">
        <v>7.2</v>
      </c>
      <c r="J432" s="238">
        <v>5.17</v>
      </c>
      <c r="K432" s="238">
        <v>3.71</v>
      </c>
      <c r="L432" s="238"/>
      <c r="M432" s="238"/>
      <c r="N432" s="238">
        <v>6.96</v>
      </c>
      <c r="O432" s="238">
        <v>2.92</v>
      </c>
      <c r="P432" s="238"/>
      <c r="R432" s="238">
        <v>2.92</v>
      </c>
      <c r="S432">
        <v>25.96</v>
      </c>
      <c r="T432">
        <v>23.04</v>
      </c>
      <c r="U432" s="238">
        <v>24.5</v>
      </c>
      <c r="V432">
        <v>24.55</v>
      </c>
      <c r="W432" s="238">
        <v>91105.56</v>
      </c>
      <c r="Y432">
        <v>91105.56</v>
      </c>
      <c r="AA432">
        <v>91105.56</v>
      </c>
      <c r="AC432">
        <v>91105.56</v>
      </c>
      <c r="AE432">
        <v>91105.56</v>
      </c>
      <c r="AG432">
        <v>91105.56</v>
      </c>
      <c r="AI432">
        <v>91105.56</v>
      </c>
      <c r="AK432">
        <v>91105.56</v>
      </c>
      <c r="AM432">
        <v>91105.56</v>
      </c>
      <c r="AO432">
        <v>91105.56</v>
      </c>
      <c r="AQ432">
        <v>91105.56</v>
      </c>
      <c r="AS432">
        <v>91105.56</v>
      </c>
      <c r="AU432">
        <v>91105.56</v>
      </c>
      <c r="AW432">
        <v>91105.56</v>
      </c>
      <c r="AY432">
        <v>91105.56</v>
      </c>
      <c r="BA432">
        <v>91105.56</v>
      </c>
      <c r="BC432">
        <v>91105.56</v>
      </c>
      <c r="BE432">
        <v>91105.56</v>
      </c>
      <c r="BG432">
        <v>91105.56</v>
      </c>
      <c r="BI432">
        <v>91105.56</v>
      </c>
      <c r="BK432">
        <v>91105.56</v>
      </c>
      <c r="BM432">
        <v>91105.56</v>
      </c>
      <c r="BO432">
        <v>91105.56</v>
      </c>
      <c r="BQ432">
        <v>91105.56</v>
      </c>
      <c r="BS432">
        <v>91105.56</v>
      </c>
      <c r="BT432" s="238">
        <v>91105.56</v>
      </c>
      <c r="BU432" s="238">
        <v>2232086.2200000002</v>
      </c>
      <c r="BV432">
        <v>350000</v>
      </c>
      <c r="BX432" s="238">
        <v>350000</v>
      </c>
      <c r="BY432" s="238">
        <v>76819.845714285708</v>
      </c>
      <c r="BZ432" s="238">
        <v>1882086.22</v>
      </c>
      <c r="CA432" s="238" t="s">
        <v>36</v>
      </c>
      <c r="CC432">
        <v>76819.845714285708</v>
      </c>
      <c r="CD432" s="238">
        <v>0</v>
      </c>
      <c r="CE432" s="238">
        <v>1882086.2199999995</v>
      </c>
      <c r="CG432" t="s">
        <v>4881</v>
      </c>
      <c r="CH432" s="238" t="s">
        <v>39</v>
      </c>
      <c r="CI432" s="238" t="s">
        <v>39</v>
      </c>
      <c r="CJ432" t="s">
        <v>8950</v>
      </c>
      <c r="CK432" t="s">
        <v>1167</v>
      </c>
      <c r="CL432" t="s">
        <v>8961</v>
      </c>
      <c r="CM432" t="s">
        <v>8970</v>
      </c>
      <c r="CN432" s="238" t="b">
        <v>1</v>
      </c>
      <c r="CO432" t="s">
        <v>5720</v>
      </c>
      <c r="CQ432" t="s">
        <v>4895</v>
      </c>
      <c r="CR432" t="s">
        <v>3246</v>
      </c>
      <c r="CS432" t="s">
        <v>36</v>
      </c>
      <c r="CT432" t="b">
        <v>1</v>
      </c>
      <c r="CU432">
        <v>2232086.2200000002</v>
      </c>
      <c r="CV432" t="s">
        <v>9002</v>
      </c>
      <c r="CW432">
        <v>2232086</v>
      </c>
      <c r="CX432">
        <v>2232086</v>
      </c>
      <c r="CY432">
        <v>0</v>
      </c>
      <c r="CZ432" t="b">
        <v>1</v>
      </c>
      <c r="DA432">
        <v>45194</v>
      </c>
      <c r="DB432" t="s">
        <v>3901</v>
      </c>
      <c r="DC432">
        <v>2.0408163265306367E-3</v>
      </c>
      <c r="DD432">
        <v>156.77519533527882</v>
      </c>
      <c r="DE432" s="420" cm="1">
        <f t="array" ref="DE432">_xlfn.XLOOKUP("Дом 5"&amp;Реестр_Д5[[#This Row],[№]]&amp;Реестр_Д5[[#This Row],[Статус]],РД[Дом]&amp;РД[№ кв]&amp;РД[Состояние],РД[Дата подачи на регистрацию],"-",0)</f>
        <v>45194</v>
      </c>
    </row>
    <row r="433" spans="1:109" hidden="1" x14ac:dyDescent="0.25">
      <c r="A433" s="238">
        <v>432</v>
      </c>
      <c r="B433" s="238" t="s">
        <v>15</v>
      </c>
      <c r="C433" s="238">
        <v>6</v>
      </c>
      <c r="D433" s="238">
        <v>4</v>
      </c>
      <c r="E433" s="238">
        <v>2</v>
      </c>
      <c r="F433" s="238">
        <v>14.48</v>
      </c>
      <c r="G433" s="238">
        <v>11.42</v>
      </c>
      <c r="H433" s="238"/>
      <c r="I433">
        <v>25.9</v>
      </c>
      <c r="J433" s="238">
        <v>15.86</v>
      </c>
      <c r="K433" s="238">
        <v>3.01</v>
      </c>
      <c r="L433" s="238">
        <v>2.67</v>
      </c>
      <c r="M433" s="238"/>
      <c r="N433" s="238">
        <v>9.44</v>
      </c>
      <c r="O433" s="238">
        <v>2.72</v>
      </c>
      <c r="P433" s="238"/>
      <c r="R433" s="238">
        <v>2.72</v>
      </c>
      <c r="S433">
        <v>59.6</v>
      </c>
      <c r="T433">
        <v>56.88</v>
      </c>
      <c r="U433" s="238">
        <v>58.24</v>
      </c>
      <c r="V433">
        <v>57.750000000000007</v>
      </c>
      <c r="W433" s="238">
        <v>79535.67300000001</v>
      </c>
      <c r="X433">
        <v>3976.7836500000008</v>
      </c>
      <c r="Y433">
        <v>83512.456649999993</v>
      </c>
      <c r="Z433">
        <v>2505.3736994999999</v>
      </c>
      <c r="AA433">
        <v>86017.8303495</v>
      </c>
      <c r="AC433">
        <v>86017.8303495</v>
      </c>
      <c r="AE433">
        <v>86017.8303495</v>
      </c>
      <c r="AG433">
        <v>86017.8303495</v>
      </c>
      <c r="AI433">
        <v>86017.8303495</v>
      </c>
      <c r="AJ433">
        <v>860.17830349500002</v>
      </c>
      <c r="AK433">
        <v>86878.008652995006</v>
      </c>
      <c r="AL433">
        <v>4343.9004326497507</v>
      </c>
      <c r="AM433">
        <v>91221.909085644758</v>
      </c>
      <c r="AO433">
        <v>91221.909085644758</v>
      </c>
      <c r="AQ433">
        <v>91221.909085644758</v>
      </c>
      <c r="AS433">
        <v>91221.909085644758</v>
      </c>
      <c r="AU433">
        <v>91221.909085644758</v>
      </c>
      <c r="AW433">
        <v>91221.909085644758</v>
      </c>
      <c r="AY433">
        <v>91221.909085644758</v>
      </c>
      <c r="BA433">
        <v>91221.909085644758</v>
      </c>
      <c r="BC433">
        <v>91221.909085644758</v>
      </c>
      <c r="BE433">
        <v>91221.909085644758</v>
      </c>
      <c r="BG433">
        <v>91221.909085644758</v>
      </c>
      <c r="BI433">
        <v>91221.909085644758</v>
      </c>
      <c r="BK433">
        <v>91221.909085644758</v>
      </c>
      <c r="BM433">
        <v>91221.909085644758</v>
      </c>
      <c r="BO433">
        <v>91221.909085644758</v>
      </c>
      <c r="BQ433">
        <v>91221.909085644758</v>
      </c>
      <c r="BS433">
        <v>91221.909085644758</v>
      </c>
      <c r="BT433" s="238">
        <v>91221.91</v>
      </c>
      <c r="BU433" s="238">
        <v>5312800</v>
      </c>
      <c r="BW433">
        <v>0.02</v>
      </c>
      <c r="BX433" s="238">
        <v>106256</v>
      </c>
      <c r="BY433" s="238">
        <v>89398.076923076922</v>
      </c>
      <c r="BZ433" s="238">
        <v>5206544</v>
      </c>
      <c r="CA433" s="238" t="s">
        <v>6871</v>
      </c>
      <c r="CB433">
        <v>7000</v>
      </c>
      <c r="CC433">
        <v>96398.076923076922</v>
      </c>
      <c r="CD433" s="238">
        <v>407680</v>
      </c>
      <c r="CE433" s="238">
        <v>5614224</v>
      </c>
      <c r="CG433" t="s">
        <v>3540</v>
      </c>
      <c r="CH433" s="238" t="s">
        <v>39</v>
      </c>
      <c r="CI433" s="238" t="s">
        <v>39</v>
      </c>
      <c r="CJ433" t="s">
        <v>8950</v>
      </c>
      <c r="CK433" t="s">
        <v>1167</v>
      </c>
      <c r="CL433" t="s">
        <v>8961</v>
      </c>
      <c r="CM433" t="s">
        <v>8971</v>
      </c>
      <c r="CN433" s="238" t="b">
        <v>1</v>
      </c>
      <c r="CO433" t="s">
        <v>5721</v>
      </c>
      <c r="CQ433" t="s">
        <v>6652</v>
      </c>
      <c r="CR433" t="s">
        <v>3246</v>
      </c>
      <c r="CS433" t="s">
        <v>6871</v>
      </c>
      <c r="CT433" t="b">
        <v>1</v>
      </c>
      <c r="CU433">
        <v>5312800</v>
      </c>
      <c r="CV433" t="s">
        <v>9002</v>
      </c>
      <c r="CW433">
        <v>0</v>
      </c>
      <c r="CX433">
        <v>5312800</v>
      </c>
      <c r="CY433">
        <v>0</v>
      </c>
      <c r="CZ433" t="b">
        <v>1</v>
      </c>
      <c r="DA433">
        <v>45309</v>
      </c>
      <c r="DB433" t="s">
        <v>5215</v>
      </c>
      <c r="DC433">
        <v>-8.4134615384614531E-3</v>
      </c>
      <c r="DD433">
        <v>-752.14728180472605</v>
      </c>
      <c r="DE433" s="420" cm="1">
        <f t="array" ref="DE433">_xlfn.XLOOKUP("Дом 5"&amp;Реестр_Д5[[#This Row],[№]]&amp;Реестр_Д5[[#This Row],[Статус]],РД[Дом]&amp;РД[№ кв]&amp;РД[Состояние],РД[Дата подачи на регистрацию],"-",0)</f>
        <v>45309</v>
      </c>
    </row>
    <row r="434" spans="1:109" hidden="1" x14ac:dyDescent="0.25">
      <c r="A434" s="238">
        <v>433</v>
      </c>
      <c r="B434" s="238" t="s">
        <v>15</v>
      </c>
      <c r="C434" s="238">
        <v>6</v>
      </c>
      <c r="D434" s="238">
        <v>5</v>
      </c>
      <c r="E434" s="238">
        <v>2</v>
      </c>
      <c r="F434" s="238">
        <v>15.41</v>
      </c>
      <c r="G434" s="238">
        <v>12.78</v>
      </c>
      <c r="H434" s="238"/>
      <c r="I434">
        <v>28.19</v>
      </c>
      <c r="J434" s="238">
        <v>13.45</v>
      </c>
      <c r="K434" s="238">
        <v>3.7</v>
      </c>
      <c r="L434" s="238">
        <v>2.72</v>
      </c>
      <c r="M434" s="238"/>
      <c r="N434" s="238">
        <v>8.2200000000000006</v>
      </c>
      <c r="O434" s="238">
        <v>3.03</v>
      </c>
      <c r="P434" s="238"/>
      <c r="R434" s="238">
        <v>3.03</v>
      </c>
      <c r="S434">
        <v>59.31</v>
      </c>
      <c r="T434">
        <v>56.28</v>
      </c>
      <c r="U434" s="238">
        <v>57.8</v>
      </c>
      <c r="V434">
        <v>57.850000000000009</v>
      </c>
      <c r="W434" s="238">
        <v>79149.577499999999</v>
      </c>
      <c r="X434">
        <v>3957.4788749999998</v>
      </c>
      <c r="Y434">
        <v>83107.056375</v>
      </c>
      <c r="Z434">
        <v>2493.2116912500001</v>
      </c>
      <c r="AA434">
        <v>85600.268066250006</v>
      </c>
      <c r="AC434">
        <v>85600.268066250006</v>
      </c>
      <c r="AE434">
        <v>85600.268066250006</v>
      </c>
      <c r="AG434">
        <v>85600.268066250006</v>
      </c>
      <c r="AI434">
        <v>85600.268066250006</v>
      </c>
      <c r="AK434">
        <v>85600.268066250006</v>
      </c>
      <c r="AM434">
        <v>85600.268066250006</v>
      </c>
      <c r="AO434">
        <v>85600.268066250006</v>
      </c>
      <c r="AQ434">
        <v>85600.268066250006</v>
      </c>
      <c r="AS434">
        <v>85600.268066250006</v>
      </c>
      <c r="AU434">
        <v>85600.268066250006</v>
      </c>
      <c r="AW434">
        <v>85600.268066250006</v>
      </c>
      <c r="AY434">
        <v>85600.268066250006</v>
      </c>
      <c r="BA434">
        <v>85600.268066250006</v>
      </c>
      <c r="BC434">
        <v>85600.268066250006</v>
      </c>
      <c r="BE434">
        <v>85600.268066250006</v>
      </c>
      <c r="BG434">
        <v>85600.268066250006</v>
      </c>
      <c r="BI434">
        <v>85600.268066250006</v>
      </c>
      <c r="BK434">
        <v>85600.268066250006</v>
      </c>
      <c r="BM434">
        <v>85600.268066250006</v>
      </c>
      <c r="BO434">
        <v>85600.268066250006</v>
      </c>
      <c r="BQ434">
        <v>85600.268066250006</v>
      </c>
      <c r="BS434">
        <v>85600.268066250006</v>
      </c>
      <c r="BT434" s="238">
        <v>85600.27</v>
      </c>
      <c r="BU434" s="238">
        <v>4947700</v>
      </c>
      <c r="BW434">
        <v>0.02</v>
      </c>
      <c r="BX434" s="238">
        <v>98954</v>
      </c>
      <c r="BY434" s="238">
        <v>83888.339100346027</v>
      </c>
      <c r="BZ434" s="238">
        <v>4848746</v>
      </c>
      <c r="CA434" s="238" t="s">
        <v>37</v>
      </c>
      <c r="CB434">
        <v>7500</v>
      </c>
      <c r="CC434">
        <v>91388.339100346027</v>
      </c>
      <c r="CD434" s="238">
        <v>433500</v>
      </c>
      <c r="CE434" s="238">
        <v>5282246</v>
      </c>
      <c r="CG434" t="s">
        <v>4518</v>
      </c>
      <c r="CH434" s="238" t="s">
        <v>39</v>
      </c>
      <c r="CI434" s="238" t="s">
        <v>39</v>
      </c>
      <c r="CJ434" t="s">
        <v>8950</v>
      </c>
      <c r="CK434" t="s">
        <v>1167</v>
      </c>
      <c r="CL434" t="s">
        <v>8961</v>
      </c>
      <c r="CM434" t="s">
        <v>8974</v>
      </c>
      <c r="CN434" s="238" t="b">
        <v>1</v>
      </c>
      <c r="CO434" t="s">
        <v>5722</v>
      </c>
      <c r="CQ434" t="s">
        <v>6652</v>
      </c>
      <c r="CR434" t="s">
        <v>3246</v>
      </c>
      <c r="CS434" t="s">
        <v>37</v>
      </c>
      <c r="CT434" t="b">
        <v>1</v>
      </c>
      <c r="CU434">
        <v>4947700</v>
      </c>
      <c r="CV434" t="s">
        <v>9002</v>
      </c>
      <c r="CW434">
        <v>0</v>
      </c>
      <c r="CX434">
        <v>4947700</v>
      </c>
      <c r="CY434">
        <v>0</v>
      </c>
      <c r="CZ434" t="b">
        <v>1</v>
      </c>
      <c r="DA434">
        <v>45259</v>
      </c>
      <c r="DB434" t="s">
        <v>4177</v>
      </c>
      <c r="DC434">
        <v>8.6505190311436675E-4</v>
      </c>
      <c r="DD434">
        <v>72.567767387857657</v>
      </c>
      <c r="DE434" s="420" cm="1">
        <f t="array" ref="DE434">_xlfn.XLOOKUP("Дом 5"&amp;Реестр_Д5[[#This Row],[№]]&amp;Реестр_Д5[[#This Row],[Статус]],РД[Дом]&amp;РД[№ кв]&amp;РД[Состояние],РД[Дата подачи на регистрацию],"-",0)</f>
        <v>45259</v>
      </c>
    </row>
    <row r="435" spans="1:109" hidden="1" x14ac:dyDescent="0.25">
      <c r="A435" s="238">
        <v>434</v>
      </c>
      <c r="B435" s="238" t="s">
        <v>15</v>
      </c>
      <c r="C435" s="238">
        <v>6</v>
      </c>
      <c r="D435" s="238">
        <v>6</v>
      </c>
      <c r="E435" s="238">
        <v>1</v>
      </c>
      <c r="F435" s="238">
        <v>12.71</v>
      </c>
      <c r="G435" s="238"/>
      <c r="H435" s="238"/>
      <c r="I435">
        <v>12.71</v>
      </c>
      <c r="J435" s="238">
        <v>12.55</v>
      </c>
      <c r="K435" s="238">
        <v>4.28</v>
      </c>
      <c r="L435" s="238"/>
      <c r="M435" s="238"/>
      <c r="N435" s="238">
        <v>7.34</v>
      </c>
      <c r="O435" s="238">
        <v>2.84</v>
      </c>
      <c r="P435" s="238"/>
      <c r="R435" s="238">
        <v>2.84</v>
      </c>
      <c r="S435">
        <v>39.72</v>
      </c>
      <c r="T435">
        <v>36.880000000000003</v>
      </c>
      <c r="U435" s="238">
        <v>38.299999999999997</v>
      </c>
      <c r="V435">
        <v>37.950000000000003</v>
      </c>
      <c r="W435" s="238">
        <v>87601.5</v>
      </c>
      <c r="X435">
        <v>4380.0749999999998</v>
      </c>
      <c r="Y435">
        <v>91981.574999999997</v>
      </c>
      <c r="AA435">
        <v>91981.574999999997</v>
      </c>
      <c r="AC435">
        <v>91981.574999999997</v>
      </c>
      <c r="AE435">
        <v>91981.574999999997</v>
      </c>
      <c r="AG435">
        <v>91981.574999999997</v>
      </c>
      <c r="AI435">
        <v>91981.574999999997</v>
      </c>
      <c r="AK435">
        <v>91981.574999999997</v>
      </c>
      <c r="AM435">
        <v>91981.574999999997</v>
      </c>
      <c r="AO435">
        <v>91981.574999999997</v>
      </c>
      <c r="AQ435">
        <v>91981.574999999997</v>
      </c>
      <c r="AS435">
        <v>91981.574999999997</v>
      </c>
      <c r="AU435">
        <v>91981.574999999997</v>
      </c>
      <c r="AW435">
        <v>91981.574999999997</v>
      </c>
      <c r="AY435">
        <v>91981.574999999997</v>
      </c>
      <c r="BA435">
        <v>91981.574999999997</v>
      </c>
      <c r="BC435">
        <v>91981.574999999997</v>
      </c>
      <c r="BE435">
        <v>91981.574999999997</v>
      </c>
      <c r="BG435">
        <v>91981.574999999997</v>
      </c>
      <c r="BI435">
        <v>91981.574999999997</v>
      </c>
      <c r="BK435">
        <v>91981.574999999997</v>
      </c>
      <c r="BM435">
        <v>91981.574999999997</v>
      </c>
      <c r="BO435">
        <v>91981.574999999997</v>
      </c>
      <c r="BQ435">
        <v>91981.574999999997</v>
      </c>
      <c r="BS435">
        <v>91981.574999999997</v>
      </c>
      <c r="BT435" s="238">
        <v>91981.58</v>
      </c>
      <c r="BU435" s="238">
        <v>3522894.51</v>
      </c>
      <c r="BX435" s="238">
        <v>0</v>
      </c>
      <c r="BY435" s="238">
        <v>91981.579895561357</v>
      </c>
      <c r="BZ435" s="238">
        <v>3522894.51</v>
      </c>
      <c r="CA435" s="238" t="s">
        <v>36</v>
      </c>
      <c r="CC435">
        <v>91981.579895561357</v>
      </c>
      <c r="CD435" s="238">
        <v>0</v>
      </c>
      <c r="CE435" s="238">
        <v>3522894.51</v>
      </c>
      <c r="CH435" s="238" t="s">
        <v>39</v>
      </c>
      <c r="CI435" s="238" t="s">
        <v>39</v>
      </c>
      <c r="CJ435" t="s">
        <v>8950</v>
      </c>
      <c r="CK435" t="s">
        <v>1167</v>
      </c>
      <c r="CL435" t="s">
        <v>8961</v>
      </c>
      <c r="CM435" t="s">
        <v>8973</v>
      </c>
      <c r="CN435" s="238" t="b">
        <v>1</v>
      </c>
      <c r="CO435" t="s">
        <v>5723</v>
      </c>
      <c r="CQ435" t="s">
        <v>4895</v>
      </c>
      <c r="CR435" t="s">
        <v>3246</v>
      </c>
      <c r="CS435" t="s">
        <v>36</v>
      </c>
      <c r="CT435" t="b">
        <v>1</v>
      </c>
      <c r="CU435">
        <v>3522894.51</v>
      </c>
      <c r="CV435" t="s">
        <v>9002</v>
      </c>
      <c r="CW435">
        <v>0</v>
      </c>
      <c r="CX435">
        <v>3522895</v>
      </c>
      <c r="CY435">
        <v>0</v>
      </c>
      <c r="CZ435" t="b">
        <v>1</v>
      </c>
      <c r="DA435">
        <v>45187</v>
      </c>
      <c r="DB435" t="s">
        <v>130</v>
      </c>
      <c r="DC435">
        <v>-9.1383812010442655E-3</v>
      </c>
      <c r="DD435">
        <v>-840.56274055994891</v>
      </c>
      <c r="DE435" s="420" cm="1">
        <f t="array" ref="DE435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436" spans="1:109" hidden="1" x14ac:dyDescent="0.25">
      <c r="A436" s="238">
        <v>435</v>
      </c>
      <c r="B436" s="238" t="s">
        <v>15</v>
      </c>
      <c r="C436" s="238">
        <v>6</v>
      </c>
      <c r="D436" s="238">
        <v>7</v>
      </c>
      <c r="E436" s="238">
        <v>3</v>
      </c>
      <c r="F436" s="238">
        <v>14.49</v>
      </c>
      <c r="G436" s="238">
        <v>13.98</v>
      </c>
      <c r="H436" s="238">
        <v>11.42</v>
      </c>
      <c r="I436">
        <v>39.89</v>
      </c>
      <c r="J436" s="238">
        <v>16.670000000000002</v>
      </c>
      <c r="K436" s="238">
        <v>4.1399999999999997</v>
      </c>
      <c r="L436" s="238">
        <v>1.89</v>
      </c>
      <c r="M436" s="238"/>
      <c r="N436" s="238">
        <v>11.31</v>
      </c>
      <c r="O436" s="238">
        <v>2.86</v>
      </c>
      <c r="P436" s="238">
        <v>2.79</v>
      </c>
      <c r="Q436">
        <v>5.42</v>
      </c>
      <c r="R436" s="238">
        <v>11.07</v>
      </c>
      <c r="S436">
        <v>84.97</v>
      </c>
      <c r="T436">
        <v>73.900000000000006</v>
      </c>
      <c r="U436" s="238">
        <v>79.44</v>
      </c>
      <c r="V436">
        <v>78.750000000000014</v>
      </c>
      <c r="W436" s="238">
        <v>76375.530000000013</v>
      </c>
      <c r="X436">
        <v>3818.7765000000009</v>
      </c>
      <c r="Y436">
        <v>80194.306500000021</v>
      </c>
      <c r="Z436">
        <v>2405.8291950000007</v>
      </c>
      <c r="AA436">
        <v>82600.135695000019</v>
      </c>
      <c r="AC436">
        <v>82600.135695000019</v>
      </c>
      <c r="AE436">
        <v>82600.135695000019</v>
      </c>
      <c r="AG436">
        <v>82600.135695000019</v>
      </c>
      <c r="AI436">
        <v>82600.135695000019</v>
      </c>
      <c r="AJ436">
        <v>826.00135695000017</v>
      </c>
      <c r="AK436">
        <v>83426.13705195002</v>
      </c>
      <c r="AL436">
        <v>4171.3068525975013</v>
      </c>
      <c r="AM436">
        <v>87597.443904547516</v>
      </c>
      <c r="AO436">
        <v>87597.443904547516</v>
      </c>
      <c r="AP436">
        <v>1751.9488780909503</v>
      </c>
      <c r="AQ436">
        <v>89349.392782638461</v>
      </c>
      <c r="AS436">
        <v>89349.392782638461</v>
      </c>
      <c r="AT436">
        <v>1786.9878556527692</v>
      </c>
      <c r="AU436">
        <v>91136.380638291244</v>
      </c>
      <c r="AV436">
        <v>1000</v>
      </c>
      <c r="AW436">
        <v>92136.380638291244</v>
      </c>
      <c r="AY436">
        <v>92136.380638291244</v>
      </c>
      <c r="AZ436">
        <v>1842.7276127658247</v>
      </c>
      <c r="BA436">
        <v>93979.108251057056</v>
      </c>
      <c r="BC436">
        <v>93979.108251057056</v>
      </c>
      <c r="BD436">
        <v>1879.5821650211412</v>
      </c>
      <c r="BE436">
        <v>95858.6904160782</v>
      </c>
      <c r="BF436">
        <v>2396.4672604019552</v>
      </c>
      <c r="BG436">
        <v>98255.157676480158</v>
      </c>
      <c r="BI436">
        <v>98255.157676480158</v>
      </c>
      <c r="BJ436">
        <v>3930.2063070592062</v>
      </c>
      <c r="BK436">
        <v>102185.36398353936</v>
      </c>
      <c r="BL436">
        <v>5109.2681991769687</v>
      </c>
      <c r="BM436">
        <v>107294.63218271632</v>
      </c>
      <c r="BN436">
        <v>13948.302183753123</v>
      </c>
      <c r="BO436">
        <v>121242.93436646946</v>
      </c>
      <c r="BP436">
        <v>35</v>
      </c>
      <c r="BQ436">
        <v>121277.93436646946</v>
      </c>
      <c r="BS436">
        <v>121277.93436646946</v>
      </c>
      <c r="BT436" s="238">
        <v>121277.93</v>
      </c>
      <c r="BU436" s="238">
        <v>9634400</v>
      </c>
      <c r="BV436">
        <v>400000</v>
      </c>
      <c r="BX436" s="238">
        <v>400000</v>
      </c>
      <c r="BY436" s="238">
        <v>116243.70594159114</v>
      </c>
      <c r="BZ436" s="238">
        <v>9234400</v>
      </c>
      <c r="CA436" s="238" t="s">
        <v>36</v>
      </c>
      <c r="CC436">
        <v>116243.70594159114</v>
      </c>
      <c r="CD436" s="238">
        <v>0</v>
      </c>
      <c r="CE436" s="238">
        <v>9234400</v>
      </c>
      <c r="CF436" t="s">
        <v>4636</v>
      </c>
      <c r="CG436" t="s">
        <v>8594</v>
      </c>
      <c r="CH436" s="238" t="s">
        <v>39</v>
      </c>
      <c r="CI436" s="238" t="s">
        <v>39</v>
      </c>
      <c r="CJ436" t="s">
        <v>8950</v>
      </c>
      <c r="CK436" t="s">
        <v>1167</v>
      </c>
      <c r="CL436" t="s">
        <v>8961</v>
      </c>
      <c r="CM436" t="s">
        <v>8990</v>
      </c>
      <c r="CN436" s="238" t="b">
        <v>1</v>
      </c>
      <c r="CO436" t="s">
        <v>5724</v>
      </c>
      <c r="CQ436" t="s">
        <v>6652</v>
      </c>
      <c r="CR436" t="s">
        <v>3246</v>
      </c>
      <c r="CS436" t="s">
        <v>36</v>
      </c>
      <c r="CT436" t="b">
        <v>1</v>
      </c>
      <c r="CU436">
        <v>9634400</v>
      </c>
      <c r="CV436" t="s">
        <v>9002</v>
      </c>
      <c r="CW436">
        <v>0</v>
      </c>
      <c r="CX436">
        <v>9634400</v>
      </c>
      <c r="CY436">
        <v>0</v>
      </c>
      <c r="CZ436" t="b">
        <v>1</v>
      </c>
      <c r="DA436">
        <v>45769</v>
      </c>
      <c r="DB436" t="s">
        <v>126</v>
      </c>
      <c r="DC436">
        <v>-8.68580060422941E-3</v>
      </c>
      <c r="DD436">
        <v>-1009.669651305338</v>
      </c>
      <c r="DE436" s="420" cm="1">
        <f t="array" ref="DE436">_xlfn.XLOOKUP("Дом 5"&amp;Реестр_Д5[[#This Row],[№]]&amp;Реестр_Д5[[#This Row],[Статус]],РД[Дом]&amp;РД[№ кв]&amp;РД[Состояние],РД[Дата подачи на регистрацию],"-",0)</f>
        <v>45769</v>
      </c>
    </row>
    <row r="437" spans="1:109" hidden="1" x14ac:dyDescent="0.25">
      <c r="A437" s="238">
        <v>436</v>
      </c>
      <c r="B437" s="238" t="s">
        <v>15</v>
      </c>
      <c r="C437" s="238">
        <v>6</v>
      </c>
      <c r="D437" s="238">
        <v>8</v>
      </c>
      <c r="E437" s="238">
        <v>1</v>
      </c>
      <c r="F437" s="238">
        <v>16.79</v>
      </c>
      <c r="G437" s="238"/>
      <c r="H437" s="238"/>
      <c r="I437">
        <v>16.79</v>
      </c>
      <c r="J437" s="238">
        <v>11.43</v>
      </c>
      <c r="K437" s="238">
        <v>3.56</v>
      </c>
      <c r="L437" s="238"/>
      <c r="M437" s="238"/>
      <c r="N437" s="238">
        <v>6.66</v>
      </c>
      <c r="O437" s="238">
        <v>2.4900000000000002</v>
      </c>
      <c r="P437" s="238"/>
      <c r="R437" s="238">
        <v>2.4900000000000002</v>
      </c>
      <c r="S437">
        <v>40.93</v>
      </c>
      <c r="T437">
        <v>38.44</v>
      </c>
      <c r="U437" s="238">
        <v>39.69</v>
      </c>
      <c r="V437">
        <v>39.549999999999997</v>
      </c>
      <c r="W437" s="238">
        <v>84762.5625</v>
      </c>
      <c r="X437">
        <v>4238.1281250000002</v>
      </c>
      <c r="Y437">
        <v>89000.690625000003</v>
      </c>
      <c r="Z437">
        <v>2670.02071875</v>
      </c>
      <c r="AA437">
        <v>91670.711343750023</v>
      </c>
      <c r="AB437">
        <v>4125.1820104687504</v>
      </c>
      <c r="AC437">
        <v>95795.893354218759</v>
      </c>
      <c r="AE437">
        <v>95795.893354218759</v>
      </c>
      <c r="AF437">
        <v>4789.7946677109385</v>
      </c>
      <c r="AG437">
        <v>100585.6880219297</v>
      </c>
      <c r="AI437">
        <v>100585.6880219297</v>
      </c>
      <c r="AJ437">
        <v>1005.8568802192972</v>
      </c>
      <c r="AK437">
        <v>101591.54490214901</v>
      </c>
      <c r="AL437">
        <v>5079.5772451074508</v>
      </c>
      <c r="AM437">
        <v>106671.12214725644</v>
      </c>
      <c r="AO437">
        <v>106671.12214725644</v>
      </c>
      <c r="AP437">
        <v>3200.1336644176936</v>
      </c>
      <c r="AQ437">
        <v>109871.25581167414</v>
      </c>
      <c r="AS437">
        <v>109871.25581167414</v>
      </c>
      <c r="AU437">
        <v>109871.25581167414</v>
      </c>
      <c r="AW437">
        <v>109871.25581167414</v>
      </c>
      <c r="AY437">
        <v>109871.25581167414</v>
      </c>
      <c r="BA437">
        <v>109871.25581167414</v>
      </c>
      <c r="BC437">
        <v>109871.25581167414</v>
      </c>
      <c r="BE437">
        <v>109871.25581167414</v>
      </c>
      <c r="BG437">
        <v>109871.25581167414</v>
      </c>
      <c r="BI437">
        <v>109871.25581167414</v>
      </c>
      <c r="BK437">
        <v>109871.25581167414</v>
      </c>
      <c r="BM437">
        <v>109871.25581167414</v>
      </c>
      <c r="BO437">
        <v>109871.25581167414</v>
      </c>
      <c r="BQ437">
        <v>109871.25581167414</v>
      </c>
      <c r="BS437">
        <v>109871.25581167414</v>
      </c>
      <c r="BT437" s="238">
        <v>109871.26</v>
      </c>
      <c r="BU437" s="238">
        <v>4360800</v>
      </c>
      <c r="BX437" s="238">
        <v>0</v>
      </c>
      <c r="BY437" s="238">
        <v>109871.50415721846</v>
      </c>
      <c r="BZ437" s="238">
        <v>4360800</v>
      </c>
      <c r="CA437" s="238" t="s">
        <v>38</v>
      </c>
      <c r="CB437">
        <v>20000</v>
      </c>
      <c r="CC437">
        <v>129871.50415721846</v>
      </c>
      <c r="CD437" s="238">
        <v>793800</v>
      </c>
      <c r="CE437" s="238">
        <v>5154600</v>
      </c>
      <c r="CH437" s="238" t="s">
        <v>39</v>
      </c>
      <c r="CI437" s="238" t="s">
        <v>39</v>
      </c>
      <c r="CJ437" t="s">
        <v>8950</v>
      </c>
      <c r="CK437" t="s">
        <v>1167</v>
      </c>
      <c r="CL437" t="s">
        <v>8961</v>
      </c>
      <c r="CM437" t="s">
        <v>8973</v>
      </c>
      <c r="CN437" s="238" t="b">
        <v>1</v>
      </c>
      <c r="CO437" t="s">
        <v>5725</v>
      </c>
      <c r="CQ437" t="s">
        <v>6652</v>
      </c>
      <c r="CR437" t="s">
        <v>3246</v>
      </c>
      <c r="CS437" t="s">
        <v>38</v>
      </c>
      <c r="CT437" t="b">
        <v>1</v>
      </c>
      <c r="CU437">
        <v>4360800</v>
      </c>
      <c r="CV437" t="s">
        <v>9002</v>
      </c>
      <c r="CW437">
        <v>0</v>
      </c>
      <c r="CX437">
        <v>4360800</v>
      </c>
      <c r="CY437">
        <v>0</v>
      </c>
      <c r="CZ437" t="b">
        <v>1</v>
      </c>
      <c r="DA437">
        <v>45464</v>
      </c>
      <c r="DB437" t="s">
        <v>4177</v>
      </c>
      <c r="DC437">
        <v>-3.5273368606700828E-3</v>
      </c>
      <c r="DD437">
        <v>-387.55380655102289</v>
      </c>
      <c r="DE437" s="420" cm="1">
        <f t="array" ref="DE437">_xlfn.XLOOKUP("Дом 5"&amp;Реестр_Д5[[#This Row],[№]]&amp;Реестр_Д5[[#This Row],[Статус]],РД[Дом]&amp;РД[№ кв]&amp;РД[Состояние],РД[Дата подачи на регистрацию],"-",0)</f>
        <v>45464</v>
      </c>
    </row>
    <row r="438" spans="1:109" hidden="1" x14ac:dyDescent="0.25">
      <c r="A438" s="238">
        <v>437</v>
      </c>
      <c r="B438" s="238" t="s">
        <v>15</v>
      </c>
      <c r="C438" s="238">
        <v>7</v>
      </c>
      <c r="D438" s="238">
        <v>1</v>
      </c>
      <c r="E438" s="238">
        <v>0</v>
      </c>
      <c r="F438" s="238">
        <v>13.74</v>
      </c>
      <c r="G438" s="238"/>
      <c r="H438" s="238"/>
      <c r="I438">
        <v>13.74</v>
      </c>
      <c r="J438" s="238">
        <v>5.84</v>
      </c>
      <c r="K438" s="238">
        <v>3.76</v>
      </c>
      <c r="L438" s="238"/>
      <c r="M438" s="238"/>
      <c r="N438" s="238">
        <v>3.73</v>
      </c>
      <c r="O438" s="238">
        <v>4.6500000000000004</v>
      </c>
      <c r="P438" s="238"/>
      <c r="R438" s="238">
        <v>4.6500000000000004</v>
      </c>
      <c r="S438">
        <v>31.72</v>
      </c>
      <c r="T438">
        <v>27.07</v>
      </c>
      <c r="U438" s="238">
        <v>29.4</v>
      </c>
      <c r="V438">
        <v>29.1</v>
      </c>
      <c r="W438" s="238">
        <v>89353.53</v>
      </c>
      <c r="X438">
        <v>4467.6765000000005</v>
      </c>
      <c r="Y438">
        <v>93821.2065</v>
      </c>
      <c r="Z438">
        <v>2814.636195</v>
      </c>
      <c r="AA438">
        <v>96635.842694999999</v>
      </c>
      <c r="AB438">
        <v>8697.2258425500004</v>
      </c>
      <c r="AC438">
        <v>105333.06853755</v>
      </c>
      <c r="AE438">
        <v>105333.06853755</v>
      </c>
      <c r="AG438">
        <v>105333.06853755</v>
      </c>
      <c r="AI438">
        <v>105333.06853755</v>
      </c>
      <c r="AJ438">
        <v>1053.3306853755</v>
      </c>
      <c r="AK438">
        <v>106386.39922292552</v>
      </c>
      <c r="AL438">
        <v>5319.319961146276</v>
      </c>
      <c r="AM438">
        <v>111705.7191840718</v>
      </c>
      <c r="AO438">
        <v>111705.7191840718</v>
      </c>
      <c r="AP438">
        <v>3351.1715755221535</v>
      </c>
      <c r="AQ438">
        <v>115056.89075959394</v>
      </c>
      <c r="AS438">
        <v>115056.89075959394</v>
      </c>
      <c r="AU438">
        <v>115056.89075959394</v>
      </c>
      <c r="AW438">
        <v>115056.89075959394</v>
      </c>
      <c r="AX438">
        <v>1150.5689075959394</v>
      </c>
      <c r="AY438">
        <v>116207.45966718988</v>
      </c>
      <c r="BA438">
        <v>116207.45966718988</v>
      </c>
      <c r="BC438">
        <v>116207.45966718988</v>
      </c>
      <c r="BE438">
        <v>116207.45966718988</v>
      </c>
      <c r="BF438">
        <v>1743.111895007848</v>
      </c>
      <c r="BG438">
        <v>117950.57156219771</v>
      </c>
      <c r="BI438">
        <v>117950.57156219771</v>
      </c>
      <c r="BK438">
        <v>117950.57156219771</v>
      </c>
      <c r="BL438">
        <v>4718.0228624879092</v>
      </c>
      <c r="BM438">
        <v>122668.59442468564</v>
      </c>
      <c r="BN438">
        <v>15946.917275209133</v>
      </c>
      <c r="BO438">
        <v>138615.51169989476</v>
      </c>
      <c r="BP438">
        <v>35</v>
      </c>
      <c r="BQ438">
        <v>138650.51169989476</v>
      </c>
      <c r="BS438">
        <v>138650.51169989476</v>
      </c>
      <c r="BT438" s="238">
        <v>138650.51</v>
      </c>
      <c r="BU438" s="238">
        <v>4076400</v>
      </c>
      <c r="BW438">
        <v>0.02</v>
      </c>
      <c r="BX438" s="238">
        <v>81528</v>
      </c>
      <c r="BY438" s="238">
        <v>135880</v>
      </c>
      <c r="BZ438" s="238">
        <v>3994872</v>
      </c>
      <c r="CA438" s="238" t="s">
        <v>38</v>
      </c>
      <c r="CB438">
        <v>25000</v>
      </c>
      <c r="CC438">
        <v>160880</v>
      </c>
      <c r="CD438" s="238">
        <v>735000</v>
      </c>
      <c r="CE438" s="238">
        <v>4729872</v>
      </c>
      <c r="CG438" t="s">
        <v>3540</v>
      </c>
      <c r="CH438" s="238" t="s">
        <v>39</v>
      </c>
      <c r="CI438" s="238" t="s">
        <v>39</v>
      </c>
      <c r="CJ438" t="s">
        <v>8950</v>
      </c>
      <c r="CK438" t="s">
        <v>1167</v>
      </c>
      <c r="CL438" t="s">
        <v>8961</v>
      </c>
      <c r="CM438" t="s">
        <v>8970</v>
      </c>
      <c r="CN438" s="238" t="b">
        <v>1</v>
      </c>
      <c r="CO438" t="s">
        <v>5726</v>
      </c>
      <c r="CQ438" t="s">
        <v>6652</v>
      </c>
      <c r="CR438" t="s">
        <v>3246</v>
      </c>
      <c r="CS438" t="s">
        <v>38</v>
      </c>
      <c r="CT438" t="b">
        <v>1</v>
      </c>
      <c r="CU438">
        <v>4076400</v>
      </c>
      <c r="CV438" t="s">
        <v>9002</v>
      </c>
      <c r="CW438">
        <v>0</v>
      </c>
      <c r="CX438">
        <v>4076400</v>
      </c>
      <c r="CY438">
        <v>0</v>
      </c>
      <c r="CZ438" t="b">
        <v>1</v>
      </c>
      <c r="DA438">
        <v>45706</v>
      </c>
      <c r="DB438" t="s">
        <v>4177</v>
      </c>
      <c r="DC438">
        <v>-1.0204081632653073E-2</v>
      </c>
      <c r="DD438">
        <v>-1386.5306122448994</v>
      </c>
      <c r="DE438" s="420" cm="1">
        <f t="array" ref="DE438">_xlfn.XLOOKUP("Дом 5"&amp;Реестр_Д5[[#This Row],[№]]&amp;Реестр_Д5[[#This Row],[Статус]],РД[Дом]&amp;РД[№ кв]&amp;РД[Состояние],РД[Дата подачи на регистрацию],"-",0)</f>
        <v>45706</v>
      </c>
    </row>
    <row r="439" spans="1:109" hidden="1" x14ac:dyDescent="0.25">
      <c r="A439" s="238">
        <v>438</v>
      </c>
      <c r="B439" s="238" t="s">
        <v>15</v>
      </c>
      <c r="C439" s="238">
        <v>7</v>
      </c>
      <c r="D439" s="238">
        <v>2</v>
      </c>
      <c r="E439" s="238">
        <v>1</v>
      </c>
      <c r="F439" s="238">
        <v>13.17</v>
      </c>
      <c r="G439" s="238"/>
      <c r="H439" s="238"/>
      <c r="I439">
        <v>13.17</v>
      </c>
      <c r="J439" s="238">
        <v>16.940000000000001</v>
      </c>
      <c r="K439" s="238">
        <v>3.55</v>
      </c>
      <c r="L439" s="238">
        <v>2.41</v>
      </c>
      <c r="M439" s="238"/>
      <c r="N439" s="238">
        <v>5.8</v>
      </c>
      <c r="O439" s="238">
        <v>2.68</v>
      </c>
      <c r="P439" s="238"/>
      <c r="R439" s="238">
        <v>2.68</v>
      </c>
      <c r="S439">
        <v>44.55</v>
      </c>
      <c r="T439">
        <v>41.87</v>
      </c>
      <c r="U439" s="238">
        <v>43.21</v>
      </c>
      <c r="V439">
        <v>42.3</v>
      </c>
      <c r="W439" s="238">
        <v>85168.125</v>
      </c>
      <c r="X439">
        <v>4258.40625</v>
      </c>
      <c r="Y439">
        <v>89426.53125</v>
      </c>
      <c r="Z439">
        <v>2682.7959375</v>
      </c>
      <c r="AA439">
        <v>92109.327187500006</v>
      </c>
      <c r="AB439">
        <v>921.09327187500003</v>
      </c>
      <c r="AC439">
        <v>93030.420459375004</v>
      </c>
      <c r="AE439">
        <v>93030.420459375004</v>
      </c>
      <c r="AF439">
        <v>4651.52102296875</v>
      </c>
      <c r="AG439">
        <v>97681.941482343755</v>
      </c>
      <c r="AI439">
        <v>97681.941482343755</v>
      </c>
      <c r="AK439">
        <v>97681.941482343755</v>
      </c>
      <c r="AM439">
        <v>97681.941482343755</v>
      </c>
      <c r="AO439">
        <v>97681.941482343755</v>
      </c>
      <c r="AQ439">
        <v>97681.941482343755</v>
      </c>
      <c r="AS439">
        <v>97681.941482343755</v>
      </c>
      <c r="AU439">
        <v>97681.941482343755</v>
      </c>
      <c r="AW439">
        <v>97681.941482343755</v>
      </c>
      <c r="AY439">
        <v>97681.941482343755</v>
      </c>
      <c r="BA439">
        <v>97681.941482343755</v>
      </c>
      <c r="BC439">
        <v>97681.941482343755</v>
      </c>
      <c r="BE439">
        <v>97681.941482343755</v>
      </c>
      <c r="BG439">
        <v>97681.941482343755</v>
      </c>
      <c r="BI439">
        <v>97681.941482343755</v>
      </c>
      <c r="BK439">
        <v>97681.941482343755</v>
      </c>
      <c r="BM439">
        <v>97681.941482343755</v>
      </c>
      <c r="BO439">
        <v>97681.941482343755</v>
      </c>
      <c r="BQ439">
        <v>97681.941482343755</v>
      </c>
      <c r="BS439">
        <v>97681.941482343755</v>
      </c>
      <c r="BT439" s="238">
        <v>97681.94</v>
      </c>
      <c r="BU439" s="238">
        <v>4220900</v>
      </c>
      <c r="BX439" s="238">
        <v>0</v>
      </c>
      <c r="BY439" s="238">
        <v>97683.406618838228</v>
      </c>
      <c r="BZ439" s="238">
        <v>4220900</v>
      </c>
      <c r="CA439" s="238" t="s">
        <v>36</v>
      </c>
      <c r="CC439">
        <v>97683.406618838228</v>
      </c>
      <c r="CD439" s="238">
        <v>0</v>
      </c>
      <c r="CE439" s="238">
        <v>4220900</v>
      </c>
      <c r="CH439" s="238" t="s">
        <v>39</v>
      </c>
      <c r="CI439" s="238" t="s">
        <v>39</v>
      </c>
      <c r="CJ439" t="s">
        <v>8950</v>
      </c>
      <c r="CK439" t="s">
        <v>1167</v>
      </c>
      <c r="CL439" t="s">
        <v>8961</v>
      </c>
      <c r="CM439" t="s">
        <v>8972</v>
      </c>
      <c r="CN439" s="238" t="b">
        <v>1</v>
      </c>
      <c r="CO439" t="s">
        <v>5727</v>
      </c>
      <c r="CQ439" t="s">
        <v>6652</v>
      </c>
      <c r="CR439" t="s">
        <v>3246</v>
      </c>
      <c r="CS439" t="s">
        <v>36</v>
      </c>
      <c r="CT439" t="b">
        <v>1</v>
      </c>
      <c r="CU439">
        <v>4220900</v>
      </c>
      <c r="CV439" t="s">
        <v>9002</v>
      </c>
      <c r="CW439">
        <v>0</v>
      </c>
      <c r="CX439">
        <v>4220900</v>
      </c>
      <c r="CY439">
        <v>0</v>
      </c>
      <c r="CZ439" t="b">
        <v>1</v>
      </c>
      <c r="DA439">
        <v>45260</v>
      </c>
      <c r="DB439" t="s">
        <v>4177</v>
      </c>
      <c r="DC439">
        <v>-2.1059939828743435E-2</v>
      </c>
      <c r="DD439">
        <v>-2057.2066656594111</v>
      </c>
      <c r="DE439" s="420" cm="1">
        <f t="array" ref="DE439">_xlfn.XLOOKUP("Дом 5"&amp;Реестр_Д5[[#This Row],[№]]&amp;Реестр_Д5[[#This Row],[Статус]],РД[Дом]&amp;РД[№ кв]&amp;РД[Состояние],РД[Дата подачи на регистрацию],"-",0)</f>
        <v>45260</v>
      </c>
    </row>
    <row r="440" spans="1:109" hidden="1" x14ac:dyDescent="0.25">
      <c r="A440" s="238">
        <v>439</v>
      </c>
      <c r="B440" s="238" t="s">
        <v>15</v>
      </c>
      <c r="C440" s="238">
        <v>7</v>
      </c>
      <c r="D440" s="238">
        <v>3</v>
      </c>
      <c r="E440" s="238">
        <v>0</v>
      </c>
      <c r="F440" s="238">
        <v>7.2</v>
      </c>
      <c r="G440" s="238"/>
      <c r="H440" s="238"/>
      <c r="I440">
        <v>7.2</v>
      </c>
      <c r="J440" s="238">
        <v>5.17</v>
      </c>
      <c r="K440" s="238">
        <v>3.71</v>
      </c>
      <c r="L440" s="238"/>
      <c r="M440" s="238"/>
      <c r="N440" s="238">
        <v>6.96</v>
      </c>
      <c r="O440" s="238">
        <v>2.92</v>
      </c>
      <c r="P440" s="238"/>
      <c r="R440" s="238">
        <v>2.92</v>
      </c>
      <c r="S440">
        <v>25.96</v>
      </c>
      <c r="T440">
        <v>23.04</v>
      </c>
      <c r="U440" s="238">
        <v>24.5</v>
      </c>
      <c r="V440">
        <v>24.35</v>
      </c>
      <c r="W440" s="238">
        <v>91105.56</v>
      </c>
      <c r="X440">
        <v>4555.2780000000002</v>
      </c>
      <c r="Y440">
        <v>95660.838000000003</v>
      </c>
      <c r="Z440">
        <v>2869.8251399999999</v>
      </c>
      <c r="AA440">
        <v>98530.663140000004</v>
      </c>
      <c r="AB440">
        <v>8867.7596826000008</v>
      </c>
      <c r="AC440">
        <v>107398.4228226</v>
      </c>
      <c r="AE440">
        <v>107398.4228226</v>
      </c>
      <c r="AG440">
        <v>107398.4228226</v>
      </c>
      <c r="AI440">
        <v>107398.4228226</v>
      </c>
      <c r="AJ440">
        <v>1073.9842282259999</v>
      </c>
      <c r="AK440">
        <v>108472.407050826</v>
      </c>
      <c r="AL440">
        <v>5423.6203525413002</v>
      </c>
      <c r="AM440">
        <v>113896.0274033673</v>
      </c>
      <c r="AO440">
        <v>113896.0274033673</v>
      </c>
      <c r="AP440">
        <v>3416.880822101019</v>
      </c>
      <c r="AQ440">
        <v>117312.90822546832</v>
      </c>
      <c r="AS440">
        <v>117312.90822546832</v>
      </c>
      <c r="AU440">
        <v>117312.90822546832</v>
      </c>
      <c r="AW440">
        <v>117312.90822546832</v>
      </c>
      <c r="AX440">
        <v>1173.1290822546832</v>
      </c>
      <c r="AY440">
        <v>118486.03730772302</v>
      </c>
      <c r="BA440">
        <v>118486.03730772302</v>
      </c>
      <c r="BB440">
        <v>592.43018653861509</v>
      </c>
      <c r="BC440">
        <v>119078.46749426164</v>
      </c>
      <c r="BE440">
        <v>119078.46749426164</v>
      </c>
      <c r="BF440">
        <v>2976.961687356541</v>
      </c>
      <c r="BG440">
        <v>122055.42918161816</v>
      </c>
      <c r="BI440">
        <v>122055.42918161816</v>
      </c>
      <c r="BK440">
        <v>122055.42918161816</v>
      </c>
      <c r="BL440">
        <v>4882.2171672647264</v>
      </c>
      <c r="BM440">
        <v>126937.64634888287</v>
      </c>
      <c r="BN440">
        <v>16501.894025354777</v>
      </c>
      <c r="BO440">
        <v>143439.54037423767</v>
      </c>
      <c r="BP440">
        <v>35</v>
      </c>
      <c r="BQ440">
        <v>143474.54037423767</v>
      </c>
      <c r="BS440">
        <v>143474.54037423767</v>
      </c>
      <c r="BT440" s="238">
        <v>143474.54</v>
      </c>
      <c r="BU440" s="238">
        <v>3515200</v>
      </c>
      <c r="BX440" s="238">
        <v>0</v>
      </c>
      <c r="BY440" s="238">
        <v>143477.55102040817</v>
      </c>
      <c r="BZ440" s="238">
        <v>3515200</v>
      </c>
      <c r="CA440" s="238" t="s">
        <v>36</v>
      </c>
      <c r="CC440">
        <v>143477.55102040817</v>
      </c>
      <c r="CD440" s="238">
        <v>0</v>
      </c>
      <c r="CE440" s="238">
        <v>3515200</v>
      </c>
      <c r="CH440" s="238" t="s">
        <v>39</v>
      </c>
      <c r="CI440" s="238" t="s">
        <v>39</v>
      </c>
      <c r="CJ440" t="s">
        <v>8950</v>
      </c>
      <c r="CK440" t="s">
        <v>1167</v>
      </c>
      <c r="CL440" t="s">
        <v>8961</v>
      </c>
      <c r="CM440" t="s">
        <v>8970</v>
      </c>
      <c r="CN440" s="238" t="b">
        <v>1</v>
      </c>
      <c r="CO440" t="s">
        <v>5728</v>
      </c>
      <c r="CQ440" t="s">
        <v>6652</v>
      </c>
      <c r="CR440" t="s">
        <v>3246</v>
      </c>
      <c r="CS440" t="s">
        <v>36</v>
      </c>
      <c r="CT440" t="b">
        <v>1</v>
      </c>
      <c r="CU440">
        <v>3515200</v>
      </c>
      <c r="CV440" t="s">
        <v>9002</v>
      </c>
      <c r="CW440">
        <v>0</v>
      </c>
      <c r="CX440">
        <v>3515200</v>
      </c>
      <c r="CY440">
        <v>0</v>
      </c>
      <c r="CZ440" t="b">
        <v>1</v>
      </c>
      <c r="DA440">
        <v>45742</v>
      </c>
      <c r="DB440" t="s">
        <v>8380</v>
      </c>
      <c r="DC440">
        <v>-6.1224489795919101E-3</v>
      </c>
      <c r="DD440">
        <v>-878.4339858392442</v>
      </c>
      <c r="DE440" s="420" cm="1">
        <f t="array" ref="DE440">_xlfn.XLOOKUP("Дом 5"&amp;Реестр_Д5[[#This Row],[№]]&amp;Реестр_Д5[[#This Row],[Статус]],РД[Дом]&amp;РД[№ кв]&amp;РД[Состояние],РД[Дата подачи на регистрацию],"-",0)</f>
        <v>45742</v>
      </c>
    </row>
    <row r="441" spans="1:109" hidden="1" x14ac:dyDescent="0.25">
      <c r="A441" s="238">
        <v>440</v>
      </c>
      <c r="B441" s="238" t="s">
        <v>15</v>
      </c>
      <c r="C441" s="238">
        <v>7</v>
      </c>
      <c r="D441" s="238">
        <v>4</v>
      </c>
      <c r="E441" s="238">
        <v>2</v>
      </c>
      <c r="F441" s="238">
        <v>14.48</v>
      </c>
      <c r="G441" s="238">
        <v>11.42</v>
      </c>
      <c r="H441" s="238"/>
      <c r="I441">
        <v>25.9</v>
      </c>
      <c r="J441" s="238">
        <v>15.86</v>
      </c>
      <c r="K441" s="238">
        <v>3.01</v>
      </c>
      <c r="L441" s="238">
        <v>2.67</v>
      </c>
      <c r="M441" s="238"/>
      <c r="N441" s="238">
        <v>9.44</v>
      </c>
      <c r="O441" s="238">
        <v>2.72</v>
      </c>
      <c r="P441" s="238"/>
      <c r="R441" s="238">
        <v>2.72</v>
      </c>
      <c r="S441">
        <v>59.6</v>
      </c>
      <c r="T441">
        <v>56.88</v>
      </c>
      <c r="U441" s="238">
        <v>58.24</v>
      </c>
      <c r="V441">
        <v>57.7</v>
      </c>
      <c r="W441" s="238">
        <v>79535.67300000001</v>
      </c>
      <c r="X441">
        <v>3976.7836500000008</v>
      </c>
      <c r="Y441">
        <v>83512.456649999993</v>
      </c>
      <c r="Z441">
        <v>2505.3736994999999</v>
      </c>
      <c r="AA441">
        <v>86017.8303495</v>
      </c>
      <c r="AC441">
        <v>86017.8303495</v>
      </c>
      <c r="AE441">
        <v>86017.8303495</v>
      </c>
      <c r="AG441">
        <v>86017.8303495</v>
      </c>
      <c r="AI441">
        <v>86017.8303495</v>
      </c>
      <c r="AJ441">
        <v>860.17830349500002</v>
      </c>
      <c r="AK441">
        <v>86878.008652995006</v>
      </c>
      <c r="AL441">
        <v>4343.9004326497507</v>
      </c>
      <c r="AM441">
        <v>91221.909085644758</v>
      </c>
      <c r="AO441">
        <v>91221.909085644758</v>
      </c>
      <c r="AP441">
        <v>1824.4381817128951</v>
      </c>
      <c r="AQ441">
        <v>93046.347267357647</v>
      </c>
      <c r="AS441">
        <v>93046.347267357647</v>
      </c>
      <c r="AT441">
        <v>1860.9269453471527</v>
      </c>
      <c r="AU441">
        <v>94907.274212704797</v>
      </c>
      <c r="AW441">
        <v>94907.274212704797</v>
      </c>
      <c r="AX441">
        <v>949.07274212704795</v>
      </c>
      <c r="AY441">
        <v>95856.346954831839</v>
      </c>
      <c r="BA441">
        <v>95856.346954831839</v>
      </c>
      <c r="BC441">
        <v>95856.346954831839</v>
      </c>
      <c r="BE441">
        <v>95856.346954831839</v>
      </c>
      <c r="BF441">
        <v>1437.8452043224777</v>
      </c>
      <c r="BG441">
        <v>97294.192159154321</v>
      </c>
      <c r="BI441">
        <v>97294.192159154321</v>
      </c>
      <c r="BJ441">
        <v>3891.7676863661727</v>
      </c>
      <c r="BK441">
        <v>101185.9598455205</v>
      </c>
      <c r="BL441">
        <v>6071.1575907312299</v>
      </c>
      <c r="BM441">
        <v>107257.11743625172</v>
      </c>
      <c r="BN441">
        <v>13943.425266712726</v>
      </c>
      <c r="BO441">
        <v>121200.54270296446</v>
      </c>
      <c r="BQ441">
        <v>121200.54270296446</v>
      </c>
      <c r="BS441">
        <v>121200.54270296446</v>
      </c>
      <c r="BT441" s="238">
        <v>121200.54</v>
      </c>
      <c r="BU441" s="238">
        <v>7058800</v>
      </c>
      <c r="BW441">
        <v>0.03</v>
      </c>
      <c r="BX441" s="238">
        <v>211764</v>
      </c>
      <c r="BY441" s="238">
        <v>117565.86538461538</v>
      </c>
      <c r="BZ441" s="238">
        <v>6847036</v>
      </c>
      <c r="CA441" s="238" t="s">
        <v>6871</v>
      </c>
      <c r="CB441">
        <v>8000</v>
      </c>
      <c r="CC441">
        <v>125565.86538461538</v>
      </c>
      <c r="CD441" s="238">
        <v>465920</v>
      </c>
      <c r="CE441" s="238">
        <v>7312956</v>
      </c>
      <c r="CG441" t="s">
        <v>978</v>
      </c>
      <c r="CH441" s="238" t="s">
        <v>39</v>
      </c>
      <c r="CI441" s="238" t="s">
        <v>39</v>
      </c>
      <c r="CJ441" t="s">
        <v>8950</v>
      </c>
      <c r="CK441" t="s">
        <v>1167</v>
      </c>
      <c r="CL441" t="s">
        <v>8961</v>
      </c>
      <c r="CM441" t="s">
        <v>8971</v>
      </c>
      <c r="CN441" s="238" t="b">
        <v>1</v>
      </c>
      <c r="CO441" t="s">
        <v>5729</v>
      </c>
      <c r="CQ441" t="s">
        <v>6652</v>
      </c>
      <c r="CR441" t="s">
        <v>3246</v>
      </c>
      <c r="CS441" t="s">
        <v>6871</v>
      </c>
      <c r="CT441" t="b">
        <v>1</v>
      </c>
      <c r="CU441">
        <v>7058800</v>
      </c>
      <c r="CV441" t="s">
        <v>9002</v>
      </c>
      <c r="CW441">
        <v>0</v>
      </c>
      <c r="CX441">
        <v>7058800</v>
      </c>
      <c r="CY441">
        <v>0</v>
      </c>
      <c r="CZ441" t="b">
        <v>1</v>
      </c>
      <c r="DA441">
        <v>45616</v>
      </c>
      <c r="DB441" t="s">
        <v>126</v>
      </c>
      <c r="DC441">
        <v>-9.2719780219779873E-3</v>
      </c>
      <c r="DD441">
        <v>-1090.0681199809767</v>
      </c>
      <c r="DE441" s="420" cm="1">
        <f t="array" ref="DE441">_xlfn.XLOOKUP("Дом 5"&amp;Реестр_Д5[[#This Row],[№]]&amp;Реестр_Д5[[#This Row],[Статус]],РД[Дом]&amp;РД[№ кв]&amp;РД[Состояние],РД[Дата подачи на регистрацию],"-",0)</f>
        <v>45616</v>
      </c>
    </row>
    <row r="442" spans="1:109" hidden="1" x14ac:dyDescent="0.25">
      <c r="A442" s="238">
        <v>441</v>
      </c>
      <c r="B442" s="238" t="s">
        <v>15</v>
      </c>
      <c r="C442" s="238">
        <v>7</v>
      </c>
      <c r="D442" s="238">
        <v>5</v>
      </c>
      <c r="E442" s="238">
        <v>2</v>
      </c>
      <c r="F442" s="238">
        <v>15.41</v>
      </c>
      <c r="G442" s="238">
        <v>12.78</v>
      </c>
      <c r="H442" s="238"/>
      <c r="I442">
        <v>28.19</v>
      </c>
      <c r="J442" s="238">
        <v>13.45</v>
      </c>
      <c r="K442" s="238">
        <v>3.7</v>
      </c>
      <c r="L442" s="238">
        <v>2.72</v>
      </c>
      <c r="M442" s="238"/>
      <c r="N442" s="238">
        <v>8.2200000000000006</v>
      </c>
      <c r="O442" s="238">
        <v>3.03</v>
      </c>
      <c r="P442" s="238"/>
      <c r="R442" s="238">
        <v>3.03</v>
      </c>
      <c r="S442">
        <v>59.31</v>
      </c>
      <c r="T442">
        <v>56.28</v>
      </c>
      <c r="U442" s="238">
        <v>57.8</v>
      </c>
      <c r="V442">
        <v>57.400000000000006</v>
      </c>
      <c r="W442" s="238">
        <v>79149.577499999999</v>
      </c>
      <c r="X442">
        <v>3957.4788749999998</v>
      </c>
      <c r="Y442">
        <v>83107.056375</v>
      </c>
      <c r="Z442">
        <v>2493.2116912500001</v>
      </c>
      <c r="AA442">
        <v>85600.268066250006</v>
      </c>
      <c r="AC442">
        <v>85600.268066250006</v>
      </c>
      <c r="AE442">
        <v>85600.268066250006</v>
      </c>
      <c r="AG442">
        <v>85600.268066250006</v>
      </c>
      <c r="AI442">
        <v>85600.268066250006</v>
      </c>
      <c r="AJ442">
        <v>856.0026806625001</v>
      </c>
      <c r="AK442">
        <v>86456.270746912502</v>
      </c>
      <c r="AL442">
        <v>4322.8135373456253</v>
      </c>
      <c r="AM442">
        <v>90779.084284258133</v>
      </c>
      <c r="AO442">
        <v>90779.084284258133</v>
      </c>
      <c r="AP442">
        <v>1815.5816856851627</v>
      </c>
      <c r="AQ442">
        <v>92594.665969943293</v>
      </c>
      <c r="AS442">
        <v>92594.665969943293</v>
      </c>
      <c r="AT442">
        <v>1851.893319398866</v>
      </c>
      <c r="AU442">
        <v>94446.559289342156</v>
      </c>
      <c r="AW442">
        <v>94446.559289342156</v>
      </c>
      <c r="AX442">
        <v>944.46559289342156</v>
      </c>
      <c r="AY442">
        <v>95391.024882235579</v>
      </c>
      <c r="BA442">
        <v>95391.024882235579</v>
      </c>
      <c r="BC442">
        <v>95391.024882235579</v>
      </c>
      <c r="BE442">
        <v>95391.024882235579</v>
      </c>
      <c r="BF442">
        <v>1430.8653732335335</v>
      </c>
      <c r="BG442">
        <v>96821.890255469116</v>
      </c>
      <c r="BI442">
        <v>96821.890255469116</v>
      </c>
      <c r="BK442">
        <v>96821.890255469116</v>
      </c>
      <c r="BM442">
        <v>96821.890255469116</v>
      </c>
      <c r="BO442">
        <v>96821.890255469116</v>
      </c>
      <c r="BQ442">
        <v>96821.890255469116</v>
      </c>
      <c r="BS442">
        <v>96821.890255469116</v>
      </c>
      <c r="BT442" s="238">
        <v>96821.89</v>
      </c>
      <c r="BU442" s="238">
        <v>5596400</v>
      </c>
      <c r="BX442" s="238">
        <v>0</v>
      </c>
      <c r="BY442" s="238">
        <v>96823.529411764714</v>
      </c>
      <c r="BZ442" s="238">
        <v>5596400</v>
      </c>
      <c r="CA442" s="238" t="s">
        <v>6871</v>
      </c>
      <c r="CB442">
        <v>7000</v>
      </c>
      <c r="CC442">
        <v>103823.52941176471</v>
      </c>
      <c r="CD442" s="238">
        <v>404600</v>
      </c>
      <c r="CE442" s="238">
        <v>6001000</v>
      </c>
      <c r="CH442" s="238" t="s">
        <v>39</v>
      </c>
      <c r="CI442" s="238" t="s">
        <v>39</v>
      </c>
      <c r="CJ442" t="s">
        <v>8950</v>
      </c>
      <c r="CK442" t="s">
        <v>1167</v>
      </c>
      <c r="CL442" t="s">
        <v>8961</v>
      </c>
      <c r="CM442" t="s">
        <v>8974</v>
      </c>
      <c r="CN442" s="238" t="b">
        <v>1</v>
      </c>
      <c r="CO442" t="s">
        <v>5730</v>
      </c>
      <c r="CQ442" t="s">
        <v>6652</v>
      </c>
      <c r="CR442" t="s">
        <v>3246</v>
      </c>
      <c r="CS442" t="s">
        <v>6871</v>
      </c>
      <c r="CT442" t="b">
        <v>1</v>
      </c>
      <c r="CU442">
        <v>5596400</v>
      </c>
      <c r="CV442" t="s">
        <v>9002</v>
      </c>
      <c r="CW442">
        <v>0</v>
      </c>
      <c r="CX442">
        <v>5596400</v>
      </c>
      <c r="CY442">
        <v>0</v>
      </c>
      <c r="CZ442" t="b">
        <v>1</v>
      </c>
      <c r="DA442">
        <v>45502</v>
      </c>
      <c r="DB442" t="s">
        <v>4177</v>
      </c>
      <c r="DC442">
        <v>-6.9204152249133788E-3</v>
      </c>
      <c r="DD442">
        <v>-670.05902707102484</v>
      </c>
      <c r="DE442" s="420" cm="1">
        <f t="array" ref="DE442">_xlfn.XLOOKUP("Дом 5"&amp;Реестр_Д5[[#This Row],[№]]&amp;Реестр_Д5[[#This Row],[Статус]],РД[Дом]&amp;РД[№ кв]&amp;РД[Состояние],РД[Дата подачи на регистрацию],"-",0)</f>
        <v>45502</v>
      </c>
    </row>
    <row r="443" spans="1:109" hidden="1" x14ac:dyDescent="0.25">
      <c r="A443" s="238">
        <v>442</v>
      </c>
      <c r="B443" s="238" t="s">
        <v>15</v>
      </c>
      <c r="C443" s="238">
        <v>7</v>
      </c>
      <c r="D443" s="238">
        <v>6</v>
      </c>
      <c r="E443" s="238">
        <v>1</v>
      </c>
      <c r="F443" s="238">
        <v>12.71</v>
      </c>
      <c r="G443" s="238"/>
      <c r="H443" s="238"/>
      <c r="I443">
        <v>12.71</v>
      </c>
      <c r="J443" s="238">
        <v>12.55</v>
      </c>
      <c r="K443" s="238">
        <v>4.28</v>
      </c>
      <c r="L443" s="238"/>
      <c r="M443" s="238"/>
      <c r="N443" s="238">
        <v>7.34</v>
      </c>
      <c r="O443" s="238">
        <v>2.84</v>
      </c>
      <c r="P443" s="238"/>
      <c r="R443" s="238">
        <v>2.84</v>
      </c>
      <c r="S443">
        <v>39.72</v>
      </c>
      <c r="T443">
        <v>36.880000000000003</v>
      </c>
      <c r="U443" s="238">
        <v>38.299999999999997</v>
      </c>
      <c r="V443">
        <v>37.85</v>
      </c>
      <c r="W443" s="238">
        <v>87601.5</v>
      </c>
      <c r="X443">
        <v>4380.0749999999998</v>
      </c>
      <c r="Y443">
        <v>91981.574999999997</v>
      </c>
      <c r="Z443">
        <v>2759.4472499999997</v>
      </c>
      <c r="AA443">
        <v>94741.022249999995</v>
      </c>
      <c r="AB443">
        <v>947.41022250000003</v>
      </c>
      <c r="AC443">
        <v>95688.432472500004</v>
      </c>
      <c r="AE443">
        <v>95688.432472500004</v>
      </c>
      <c r="AF443">
        <v>4784.4216236249995</v>
      </c>
      <c r="AG443">
        <v>100472.854096125</v>
      </c>
      <c r="AI443">
        <v>100472.854096125</v>
      </c>
      <c r="AJ443">
        <v>1004.72854096125</v>
      </c>
      <c r="AK443">
        <v>101477.58263708623</v>
      </c>
      <c r="AL443">
        <v>5073.8791318543126</v>
      </c>
      <c r="AM443">
        <v>106551.46176894056</v>
      </c>
      <c r="AO443">
        <v>106551.46176894056</v>
      </c>
      <c r="AQ443">
        <v>106551.46176894056</v>
      </c>
      <c r="AS443">
        <v>106551.46176894056</v>
      </c>
      <c r="AU443">
        <v>106551.46176894056</v>
      </c>
      <c r="AW443">
        <v>106551.46176894056</v>
      </c>
      <c r="AY443">
        <v>106551.46176894056</v>
      </c>
      <c r="BA443">
        <v>106551.46176894056</v>
      </c>
      <c r="BC443">
        <v>106551.46176894056</v>
      </c>
      <c r="BE443">
        <v>106551.46176894056</v>
      </c>
      <c r="BG443">
        <v>106551.46176894056</v>
      </c>
      <c r="BI443">
        <v>106551.46176894056</v>
      </c>
      <c r="BK443">
        <v>106551.46176894056</v>
      </c>
      <c r="BM443">
        <v>106551.46176894056</v>
      </c>
      <c r="BO443">
        <v>106551.46176894056</v>
      </c>
      <c r="BQ443">
        <v>106551.46176894056</v>
      </c>
      <c r="BS443">
        <v>106551.46176894056</v>
      </c>
      <c r="BT443" s="238">
        <v>106551.46</v>
      </c>
      <c r="BU443" s="238">
        <v>4081000</v>
      </c>
      <c r="BX443" s="238">
        <v>0</v>
      </c>
      <c r="BY443" s="238">
        <v>106553.52480417756</v>
      </c>
      <c r="BZ443" s="238">
        <v>4081000</v>
      </c>
      <c r="CA443" s="238" t="s">
        <v>6871</v>
      </c>
      <c r="CB443">
        <v>7000</v>
      </c>
      <c r="CC443">
        <v>113553.52480417756</v>
      </c>
      <c r="CD443" s="238">
        <v>268100</v>
      </c>
      <c r="CE443" s="238">
        <v>4349100</v>
      </c>
      <c r="CH443" s="238" t="s">
        <v>39</v>
      </c>
      <c r="CI443" s="238" t="s">
        <v>39</v>
      </c>
      <c r="CJ443" t="s">
        <v>8950</v>
      </c>
      <c r="CK443" t="s">
        <v>1167</v>
      </c>
      <c r="CL443" t="s">
        <v>8961</v>
      </c>
      <c r="CM443" t="s">
        <v>8973</v>
      </c>
      <c r="CN443" s="238" t="b">
        <v>1</v>
      </c>
      <c r="CO443" t="s">
        <v>5731</v>
      </c>
      <c r="CQ443" t="s">
        <v>6652</v>
      </c>
      <c r="CR443" t="s">
        <v>3246</v>
      </c>
      <c r="CS443" t="s">
        <v>6871</v>
      </c>
      <c r="CT443" t="b">
        <v>1</v>
      </c>
      <c r="CU443">
        <v>4081000</v>
      </c>
      <c r="CV443" t="s">
        <v>9002</v>
      </c>
      <c r="CW443">
        <v>0</v>
      </c>
      <c r="CX443">
        <v>4081000</v>
      </c>
      <c r="CY443">
        <v>0</v>
      </c>
      <c r="CZ443" t="b">
        <v>1</v>
      </c>
      <c r="DA443">
        <v>45351</v>
      </c>
      <c r="DB443" t="s">
        <v>5215</v>
      </c>
      <c r="DC443">
        <v>-1.1749347258485532E-2</v>
      </c>
      <c r="DD443">
        <v>-1251.9343645399335</v>
      </c>
      <c r="DE443" s="420" cm="1">
        <f t="array" ref="DE443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444" spans="1:109" hidden="1" x14ac:dyDescent="0.25">
      <c r="A444" s="238">
        <v>443</v>
      </c>
      <c r="B444" s="238" t="s">
        <v>15</v>
      </c>
      <c r="C444" s="238">
        <v>7</v>
      </c>
      <c r="D444" s="238">
        <v>7</v>
      </c>
      <c r="E444" s="238">
        <v>3</v>
      </c>
      <c r="F444" s="238">
        <v>14.49</v>
      </c>
      <c r="G444" s="238">
        <v>13.98</v>
      </c>
      <c r="H444" s="238">
        <v>11.42</v>
      </c>
      <c r="I444">
        <v>39.89</v>
      </c>
      <c r="J444" s="238">
        <v>16.670000000000002</v>
      </c>
      <c r="K444" s="238">
        <v>4.1399999999999997</v>
      </c>
      <c r="L444" s="238">
        <v>1.89</v>
      </c>
      <c r="M444" s="238"/>
      <c r="N444" s="238">
        <v>11.31</v>
      </c>
      <c r="O444" s="238">
        <v>2.86</v>
      </c>
      <c r="P444" s="238">
        <v>2.79</v>
      </c>
      <c r="Q444">
        <v>5.42</v>
      </c>
      <c r="R444" s="238">
        <v>11.07</v>
      </c>
      <c r="S444">
        <v>84.97</v>
      </c>
      <c r="T444">
        <v>73.900000000000006</v>
      </c>
      <c r="U444" s="238">
        <v>79.44</v>
      </c>
      <c r="V444">
        <v>78.400000000000006</v>
      </c>
      <c r="W444" s="238">
        <v>76375.530000000013</v>
      </c>
      <c r="X444">
        <v>3818.7765000000009</v>
      </c>
      <c r="Y444">
        <v>80194.306500000021</v>
      </c>
      <c r="Z444">
        <v>2405.8291950000007</v>
      </c>
      <c r="AA444">
        <v>82600.135695000019</v>
      </c>
      <c r="AC444">
        <v>82600.135695000019</v>
      </c>
      <c r="AE444">
        <v>82600.135695000019</v>
      </c>
      <c r="AG444">
        <v>82600.135695000019</v>
      </c>
      <c r="AI444">
        <v>82600.135695000019</v>
      </c>
      <c r="AJ444">
        <v>826.00135695000017</v>
      </c>
      <c r="AK444">
        <v>83426.13705195002</v>
      </c>
      <c r="AL444">
        <v>4171.3068525975013</v>
      </c>
      <c r="AM444">
        <v>87597.443904547516</v>
      </c>
      <c r="AO444">
        <v>87597.443904547516</v>
      </c>
      <c r="AP444">
        <v>1751.9488780909503</v>
      </c>
      <c r="AQ444">
        <v>89349.392782638461</v>
      </c>
      <c r="AS444">
        <v>89349.392782638461</v>
      </c>
      <c r="AT444">
        <v>1786.9878556527692</v>
      </c>
      <c r="AU444">
        <v>91136.380638291244</v>
      </c>
      <c r="AW444">
        <v>91136.380638291244</v>
      </c>
      <c r="AY444">
        <v>91136.380638291244</v>
      </c>
      <c r="BA444">
        <v>91136.380638291244</v>
      </c>
      <c r="BC444">
        <v>91136.380638291244</v>
      </c>
      <c r="BE444">
        <v>91136.380638291244</v>
      </c>
      <c r="BG444">
        <v>91136.380638291244</v>
      </c>
      <c r="BI444">
        <v>91136.380638291244</v>
      </c>
      <c r="BK444">
        <v>91136.380638291244</v>
      </c>
      <c r="BM444">
        <v>91136.380638291244</v>
      </c>
      <c r="BO444">
        <v>91136.380638291244</v>
      </c>
      <c r="BQ444">
        <v>91136.380638291244</v>
      </c>
      <c r="BS444">
        <v>91136.380638291244</v>
      </c>
      <c r="BT444" s="238">
        <v>91136.38</v>
      </c>
      <c r="BU444" s="238">
        <v>7239900</v>
      </c>
      <c r="BV444">
        <v>90000</v>
      </c>
      <c r="BX444" s="238">
        <v>90000</v>
      </c>
      <c r="BY444" s="238">
        <v>90003.776435045322</v>
      </c>
      <c r="BZ444" s="238">
        <v>7149900</v>
      </c>
      <c r="CA444" s="238" t="s">
        <v>38</v>
      </c>
      <c r="CB444">
        <v>20000</v>
      </c>
      <c r="CC444">
        <v>110003.77643504532</v>
      </c>
      <c r="CD444" s="238">
        <v>1588800</v>
      </c>
      <c r="CE444" s="238">
        <v>8738700</v>
      </c>
      <c r="CF444" t="s">
        <v>4636</v>
      </c>
      <c r="CG444" t="s">
        <v>7135</v>
      </c>
      <c r="CH444" s="238" t="s">
        <v>39</v>
      </c>
      <c r="CI444" s="238" t="s">
        <v>39</v>
      </c>
      <c r="CJ444" t="s">
        <v>8950</v>
      </c>
      <c r="CK444" t="s">
        <v>1167</v>
      </c>
      <c r="CL444" t="s">
        <v>8961</v>
      </c>
      <c r="CM444" t="s">
        <v>8990</v>
      </c>
      <c r="CN444" s="238" t="b">
        <v>1</v>
      </c>
      <c r="CO444" t="s">
        <v>5732</v>
      </c>
      <c r="CQ444" t="s">
        <v>6652</v>
      </c>
      <c r="CR444" t="s">
        <v>3246</v>
      </c>
      <c r="CS444" t="s">
        <v>38</v>
      </c>
      <c r="CT444" t="b">
        <v>1</v>
      </c>
      <c r="CU444">
        <v>7239900</v>
      </c>
      <c r="CV444" t="s">
        <v>9002</v>
      </c>
      <c r="CW444">
        <v>7239900</v>
      </c>
      <c r="CX444">
        <v>7239900</v>
      </c>
      <c r="CY444">
        <v>0</v>
      </c>
      <c r="CZ444" t="b">
        <v>1</v>
      </c>
      <c r="DA444">
        <v>45433</v>
      </c>
      <c r="DB444" t="s">
        <v>4177</v>
      </c>
      <c r="DC444">
        <v>-1.3091641490432959E-2</v>
      </c>
      <c r="DD444">
        <v>-1178.2971738726917</v>
      </c>
      <c r="DE444" s="420" cm="1">
        <f t="array" ref="DE444">_xlfn.XLOOKUP("Дом 5"&amp;Реестр_Д5[[#This Row],[№]]&amp;Реестр_Д5[[#This Row],[Статус]],РД[Дом]&amp;РД[№ кв]&amp;РД[Состояние],РД[Дата подачи на регистрацию],"-",0)</f>
        <v>45433</v>
      </c>
    </row>
    <row r="445" spans="1:109" hidden="1" x14ac:dyDescent="0.25">
      <c r="A445" s="238">
        <v>444</v>
      </c>
      <c r="B445" s="238" t="s">
        <v>15</v>
      </c>
      <c r="C445" s="238">
        <v>7</v>
      </c>
      <c r="D445" s="238">
        <v>8</v>
      </c>
      <c r="E445" s="238">
        <v>1</v>
      </c>
      <c r="F445" s="238">
        <v>16.79</v>
      </c>
      <c r="G445" s="238"/>
      <c r="H445" s="238"/>
      <c r="I445">
        <v>16.79</v>
      </c>
      <c r="J445" s="238">
        <v>11.43</v>
      </c>
      <c r="K445" s="238">
        <v>3.56</v>
      </c>
      <c r="L445" s="238"/>
      <c r="M445" s="238"/>
      <c r="N445" s="238">
        <v>6.66</v>
      </c>
      <c r="O445" s="238">
        <v>2.4900000000000002</v>
      </c>
      <c r="P445" s="238"/>
      <c r="R445" s="238">
        <v>2.4900000000000002</v>
      </c>
      <c r="S445">
        <v>40.93</v>
      </c>
      <c r="T445">
        <v>38.44</v>
      </c>
      <c r="U445" s="238">
        <v>39.69</v>
      </c>
      <c r="V445">
        <v>39.049999999999997</v>
      </c>
      <c r="W445" s="238">
        <v>84762.5625</v>
      </c>
      <c r="X445">
        <v>4238.1281250000002</v>
      </c>
      <c r="Y445">
        <v>89000.690625000003</v>
      </c>
      <c r="Z445">
        <v>2670.02071875</v>
      </c>
      <c r="AA445">
        <v>91670.711343750023</v>
      </c>
      <c r="AB445">
        <v>4125.1820104687504</v>
      </c>
      <c r="AC445">
        <v>95795.893354218759</v>
      </c>
      <c r="AE445">
        <v>95795.893354218759</v>
      </c>
      <c r="AF445">
        <v>4789.7946677109385</v>
      </c>
      <c r="AG445">
        <v>100585.6880219297</v>
      </c>
      <c r="AI445">
        <v>100585.6880219297</v>
      </c>
      <c r="AJ445">
        <v>1005.8568802192972</v>
      </c>
      <c r="AK445">
        <v>101591.54490214901</v>
      </c>
      <c r="AL445">
        <v>5079.5772451074508</v>
      </c>
      <c r="AM445">
        <v>106671.12214725644</v>
      </c>
      <c r="AO445">
        <v>106671.12214725644</v>
      </c>
      <c r="AP445">
        <v>3200.1336644176936</v>
      </c>
      <c r="AQ445">
        <v>109871.25581167414</v>
      </c>
      <c r="AS445">
        <v>109871.25581167414</v>
      </c>
      <c r="AU445">
        <v>109871.25581167414</v>
      </c>
      <c r="AW445">
        <v>109871.25581167414</v>
      </c>
      <c r="AY445">
        <v>109871.25581167414</v>
      </c>
      <c r="BA445">
        <v>109871.25581167414</v>
      </c>
      <c r="BC445">
        <v>109871.25581167414</v>
      </c>
      <c r="BE445">
        <v>109871.25581167414</v>
      </c>
      <c r="BG445">
        <v>109871.25581167414</v>
      </c>
      <c r="BI445">
        <v>109871.25581167414</v>
      </c>
      <c r="BK445">
        <v>109871.25581167414</v>
      </c>
      <c r="BM445">
        <v>109871.25581167414</v>
      </c>
      <c r="BO445">
        <v>109871.25581167414</v>
      </c>
      <c r="BQ445">
        <v>109871.25581167414</v>
      </c>
      <c r="BS445">
        <v>109871.25581167414</v>
      </c>
      <c r="BT445" s="238">
        <v>109871.26</v>
      </c>
      <c r="BU445" s="238">
        <v>4360800</v>
      </c>
      <c r="BX445" s="238">
        <v>0</v>
      </c>
      <c r="BY445" s="238">
        <v>109871.50415721846</v>
      </c>
      <c r="BZ445" s="238">
        <v>4360800</v>
      </c>
      <c r="CA445" s="238" t="s">
        <v>6871</v>
      </c>
      <c r="CB445">
        <v>7000</v>
      </c>
      <c r="CC445">
        <v>116871.50415721846</v>
      </c>
      <c r="CD445" s="238">
        <v>277830</v>
      </c>
      <c r="CE445" s="238">
        <v>4638630</v>
      </c>
      <c r="CH445" s="238" t="s">
        <v>39</v>
      </c>
      <c r="CI445" s="238" t="s">
        <v>39</v>
      </c>
      <c r="CJ445" t="s">
        <v>8950</v>
      </c>
      <c r="CK445" t="s">
        <v>1167</v>
      </c>
      <c r="CL445" t="s">
        <v>8961</v>
      </c>
      <c r="CM445" t="s">
        <v>8973</v>
      </c>
      <c r="CN445" s="238" t="b">
        <v>1</v>
      </c>
      <c r="CO445" t="s">
        <v>5733</v>
      </c>
      <c r="CQ445" t="s">
        <v>6652</v>
      </c>
      <c r="CR445" t="s">
        <v>3246</v>
      </c>
      <c r="CS445" t="s">
        <v>6871</v>
      </c>
      <c r="CT445" t="b">
        <v>1</v>
      </c>
      <c r="CU445">
        <v>4360800</v>
      </c>
      <c r="CV445" t="s">
        <v>9002</v>
      </c>
      <c r="CW445">
        <v>0</v>
      </c>
      <c r="CX445">
        <v>4360800</v>
      </c>
      <c r="CY445">
        <v>0</v>
      </c>
      <c r="CZ445" t="b">
        <v>1</v>
      </c>
      <c r="DA445">
        <v>45441</v>
      </c>
      <c r="DB445" t="s">
        <v>126</v>
      </c>
      <c r="DC445">
        <v>-1.6124968505920934E-2</v>
      </c>
      <c r="DD445">
        <v>-1771.6745442333086</v>
      </c>
      <c r="DE445" s="420" cm="1">
        <f t="array" ref="DE445">_xlfn.XLOOKUP("Дом 5"&amp;Реестр_Д5[[#This Row],[№]]&amp;Реестр_Д5[[#This Row],[Статус]],РД[Дом]&amp;РД[№ кв]&amp;РД[Состояние],РД[Дата подачи на регистрацию],"-",0)</f>
        <v>45441</v>
      </c>
    </row>
    <row r="446" spans="1:109" hidden="1" x14ac:dyDescent="0.25">
      <c r="A446" s="238">
        <v>445</v>
      </c>
      <c r="B446" s="238" t="s">
        <v>15</v>
      </c>
      <c r="C446" s="238">
        <v>8</v>
      </c>
      <c r="D446" s="238">
        <v>1</v>
      </c>
      <c r="E446" s="238">
        <v>0</v>
      </c>
      <c r="F446" s="238">
        <v>13.74</v>
      </c>
      <c r="G446" s="238"/>
      <c r="H446" s="238"/>
      <c r="I446">
        <v>13.74</v>
      </c>
      <c r="J446" s="238">
        <v>5.84</v>
      </c>
      <c r="K446" s="238">
        <v>3.76</v>
      </c>
      <c r="L446" s="238"/>
      <c r="M446" s="238"/>
      <c r="N446" s="238">
        <v>3.73</v>
      </c>
      <c r="O446" s="238">
        <v>4.6500000000000004</v>
      </c>
      <c r="P446" s="238"/>
      <c r="R446" s="238">
        <v>4.6500000000000004</v>
      </c>
      <c r="S446">
        <v>31.72</v>
      </c>
      <c r="T446">
        <v>27.07</v>
      </c>
      <c r="U446" s="238">
        <v>29.4</v>
      </c>
      <c r="V446">
        <v>29.2</v>
      </c>
      <c r="W446" s="238">
        <v>89353.53</v>
      </c>
      <c r="X446">
        <v>4467.6765000000005</v>
      </c>
      <c r="Y446">
        <v>93821.2065</v>
      </c>
      <c r="Z446">
        <v>2814.636195</v>
      </c>
      <c r="AA446">
        <v>96635.842694999999</v>
      </c>
      <c r="AB446">
        <v>8697.2258425500004</v>
      </c>
      <c r="AC446">
        <v>105333.06853755</v>
      </c>
      <c r="AE446">
        <v>105333.06853755</v>
      </c>
      <c r="AG446">
        <v>105333.06853755</v>
      </c>
      <c r="AI446">
        <v>105333.06853755</v>
      </c>
      <c r="AJ446">
        <v>1053.3306853755</v>
      </c>
      <c r="AK446">
        <v>106386.39922292552</v>
      </c>
      <c r="AL446">
        <v>5319.319961146276</v>
      </c>
      <c r="AM446">
        <v>111705.7191840718</v>
      </c>
      <c r="AO446">
        <v>111705.7191840718</v>
      </c>
      <c r="AP446">
        <v>3351.1715755221535</v>
      </c>
      <c r="AQ446">
        <v>115056.89075959394</v>
      </c>
      <c r="AS446">
        <v>115056.89075959394</v>
      </c>
      <c r="AU446">
        <v>115056.89075959394</v>
      </c>
      <c r="AW446">
        <v>115056.89075959394</v>
      </c>
      <c r="AX446">
        <v>1150.5689075959394</v>
      </c>
      <c r="AY446">
        <v>116207.45966718988</v>
      </c>
      <c r="BA446">
        <v>116207.45966718988</v>
      </c>
      <c r="BC446">
        <v>116207.45966718988</v>
      </c>
      <c r="BE446">
        <v>116207.45966718988</v>
      </c>
      <c r="BF446">
        <v>1743.111895007848</v>
      </c>
      <c r="BG446">
        <v>117950.57156219771</v>
      </c>
      <c r="BI446">
        <v>117950.57156219771</v>
      </c>
      <c r="BK446">
        <v>117950.57156219771</v>
      </c>
      <c r="BM446">
        <v>117950.57156219771</v>
      </c>
      <c r="BO446">
        <v>117950.57156219771</v>
      </c>
      <c r="BQ446">
        <v>117950.57156219771</v>
      </c>
      <c r="BS446">
        <v>117950.57156219771</v>
      </c>
      <c r="BT446" s="238">
        <v>117950.57</v>
      </c>
      <c r="BU446" s="238">
        <v>3467800</v>
      </c>
      <c r="BX446" s="238">
        <v>0</v>
      </c>
      <c r="BY446" s="238">
        <v>117952.38095238096</v>
      </c>
      <c r="BZ446" s="238">
        <v>3467800</v>
      </c>
      <c r="CA446" s="238" t="s">
        <v>6871</v>
      </c>
      <c r="CB446">
        <v>8000</v>
      </c>
      <c r="CC446">
        <v>125952.38095238096</v>
      </c>
      <c r="CD446" s="238">
        <v>235200</v>
      </c>
      <c r="CE446" s="238">
        <v>3703000</v>
      </c>
      <c r="CH446" s="238" t="s">
        <v>39</v>
      </c>
      <c r="CI446" s="238" t="s">
        <v>39</v>
      </c>
      <c r="CJ446" t="s">
        <v>8950</v>
      </c>
      <c r="CK446" t="s">
        <v>1167</v>
      </c>
      <c r="CL446" t="s">
        <v>8961</v>
      </c>
      <c r="CM446" t="s">
        <v>8970</v>
      </c>
      <c r="CN446" s="238" t="b">
        <v>1</v>
      </c>
      <c r="CO446" t="s">
        <v>5734</v>
      </c>
      <c r="CQ446" t="s">
        <v>6652</v>
      </c>
      <c r="CR446" t="s">
        <v>3246</v>
      </c>
      <c r="CS446" t="s">
        <v>6871</v>
      </c>
      <c r="CT446" t="b">
        <v>1</v>
      </c>
      <c r="CU446">
        <v>3467800</v>
      </c>
      <c r="CV446" t="s">
        <v>9002</v>
      </c>
      <c r="CW446">
        <v>0</v>
      </c>
      <c r="CX446">
        <v>3467800</v>
      </c>
      <c r="CY446">
        <v>0</v>
      </c>
      <c r="CZ446" t="b">
        <v>1</v>
      </c>
      <c r="DA446">
        <v>45595</v>
      </c>
      <c r="DB446" t="s">
        <v>4177</v>
      </c>
      <c r="DC446">
        <v>-6.8027210884353817E-3</v>
      </c>
      <c r="DD446">
        <v>-802.39714933592575</v>
      </c>
      <c r="DE446" s="420" cm="1">
        <f t="array" ref="DE446">_xlfn.XLOOKUP("Дом 5"&amp;Реестр_Д5[[#This Row],[№]]&amp;Реестр_Д5[[#This Row],[Статус]],РД[Дом]&amp;РД[№ кв]&amp;РД[Состояние],РД[Дата подачи на регистрацию],"-",0)</f>
        <v>45595</v>
      </c>
    </row>
    <row r="447" spans="1:109" hidden="1" x14ac:dyDescent="0.25">
      <c r="A447" s="238">
        <v>446</v>
      </c>
      <c r="B447" s="238" t="s">
        <v>15</v>
      </c>
      <c r="C447" s="238">
        <v>8</v>
      </c>
      <c r="D447" s="238">
        <v>2</v>
      </c>
      <c r="E447" s="238">
        <v>1</v>
      </c>
      <c r="F447" s="238">
        <v>13.17</v>
      </c>
      <c r="G447" s="238"/>
      <c r="H447" s="238"/>
      <c r="I447">
        <v>13.17</v>
      </c>
      <c r="J447" s="238">
        <v>16.940000000000001</v>
      </c>
      <c r="K447" s="238">
        <v>3.55</v>
      </c>
      <c r="L447" s="238">
        <v>2.41</v>
      </c>
      <c r="M447" s="238"/>
      <c r="N447" s="238">
        <v>5.8</v>
      </c>
      <c r="O447" s="238">
        <v>2.68</v>
      </c>
      <c r="P447" s="238"/>
      <c r="R447" s="238">
        <v>2.68</v>
      </c>
      <c r="S447">
        <v>44.55</v>
      </c>
      <c r="T447">
        <v>41.87</v>
      </c>
      <c r="U447" s="238">
        <v>43.21</v>
      </c>
      <c r="V447">
        <v>42.099999999999994</v>
      </c>
      <c r="W447" s="238">
        <v>85168.125</v>
      </c>
      <c r="X447">
        <v>4258.40625</v>
      </c>
      <c r="Y447">
        <v>89426.53125</v>
      </c>
      <c r="Z447">
        <v>2682.7959375</v>
      </c>
      <c r="AA447">
        <v>92109.327187500006</v>
      </c>
      <c r="AB447">
        <v>921.09327187500003</v>
      </c>
      <c r="AC447">
        <v>93030.420459375004</v>
      </c>
      <c r="AE447">
        <v>93030.420459375004</v>
      </c>
      <c r="AF447">
        <v>4651.52102296875</v>
      </c>
      <c r="AG447">
        <v>97681.941482343755</v>
      </c>
      <c r="AI447">
        <v>97681.941482343755</v>
      </c>
      <c r="AJ447">
        <v>976.81941482343757</v>
      </c>
      <c r="AK447">
        <v>98658.760897167187</v>
      </c>
      <c r="AL447">
        <v>4932.9380448583597</v>
      </c>
      <c r="AM447">
        <v>103591.69894202554</v>
      </c>
      <c r="AO447">
        <v>103591.69894202554</v>
      </c>
      <c r="AP447">
        <v>3107.7509682607661</v>
      </c>
      <c r="AQ447">
        <v>106699.4499102863</v>
      </c>
      <c r="AR447">
        <v>500</v>
      </c>
      <c r="AS447">
        <v>107199.4499102863</v>
      </c>
      <c r="AU447">
        <v>107199.4499102863</v>
      </c>
      <c r="AW447">
        <v>107199.4499102863</v>
      </c>
      <c r="AY447">
        <v>107199.4499102863</v>
      </c>
      <c r="AZ447">
        <v>1071.9944991028633</v>
      </c>
      <c r="BA447">
        <v>108271.44440938917</v>
      </c>
      <c r="BC447">
        <v>108271.44440938917</v>
      </c>
      <c r="BE447">
        <v>108271.44440938917</v>
      </c>
      <c r="BF447">
        <v>2706.7861102347292</v>
      </c>
      <c r="BG447">
        <v>110978.23051962387</v>
      </c>
      <c r="BI447">
        <v>110978.23051962387</v>
      </c>
      <c r="BK447">
        <v>110978.23051962387</v>
      </c>
      <c r="BM447">
        <v>110978.23051962387</v>
      </c>
      <c r="BO447">
        <v>110978.23051962387</v>
      </c>
      <c r="BQ447">
        <v>110978.23051962387</v>
      </c>
      <c r="BS447">
        <v>110978.23051962387</v>
      </c>
      <c r="BT447" s="238">
        <v>110978.23</v>
      </c>
      <c r="BU447" s="238">
        <v>4795400</v>
      </c>
      <c r="BX447" s="238">
        <v>0</v>
      </c>
      <c r="BY447" s="238">
        <v>110978.94006017126</v>
      </c>
      <c r="BZ447" s="238">
        <v>4795400</v>
      </c>
      <c r="CA447" s="238" t="s">
        <v>38</v>
      </c>
      <c r="CB447">
        <v>20000</v>
      </c>
      <c r="CC447">
        <v>130978.94006017126</v>
      </c>
      <c r="CD447" s="238">
        <v>864200</v>
      </c>
      <c r="CE447" s="238">
        <v>5659600</v>
      </c>
      <c r="CH447" s="238" t="s">
        <v>39</v>
      </c>
      <c r="CI447" s="238" t="s">
        <v>39</v>
      </c>
      <c r="CJ447" t="s">
        <v>8950</v>
      </c>
      <c r="CK447" t="s">
        <v>1167</v>
      </c>
      <c r="CL447" t="s">
        <v>8961</v>
      </c>
      <c r="CM447" t="s">
        <v>8972</v>
      </c>
      <c r="CN447" s="238" t="b">
        <v>1</v>
      </c>
      <c r="CO447" t="s">
        <v>5735</v>
      </c>
      <c r="CQ447" t="s">
        <v>6652</v>
      </c>
      <c r="CR447" t="s">
        <v>3246</v>
      </c>
      <c r="CS447" t="s">
        <v>38</v>
      </c>
      <c r="CT447" t="b">
        <v>1</v>
      </c>
      <c r="CU447">
        <v>4795400</v>
      </c>
      <c r="CV447" t="s">
        <v>9002</v>
      </c>
      <c r="CW447">
        <v>0</v>
      </c>
      <c r="CX447">
        <v>4795400</v>
      </c>
      <c r="CY447">
        <v>0</v>
      </c>
      <c r="CZ447" t="b">
        <v>1</v>
      </c>
      <c r="DA447">
        <v>45533</v>
      </c>
      <c r="DB447" t="s">
        <v>126</v>
      </c>
      <c r="DC447">
        <v>-2.5688498032862883E-2</v>
      </c>
      <c r="DD447">
        <v>-2850.8822834249172</v>
      </c>
      <c r="DE447" s="420" cm="1">
        <f t="array" ref="DE447">_xlfn.XLOOKUP("Дом 5"&amp;Реестр_Д5[[#This Row],[№]]&amp;Реестр_Д5[[#This Row],[Статус]],РД[Дом]&amp;РД[№ кв]&amp;РД[Состояние],РД[Дата подачи на регистрацию],"-",0)</f>
        <v>45533</v>
      </c>
    </row>
    <row r="448" spans="1:109" hidden="1" x14ac:dyDescent="0.25">
      <c r="A448" s="238">
        <v>447</v>
      </c>
      <c r="B448" s="238" t="s">
        <v>15</v>
      </c>
      <c r="C448" s="238">
        <v>8</v>
      </c>
      <c r="D448" s="238">
        <v>3</v>
      </c>
      <c r="E448" s="238">
        <v>0</v>
      </c>
      <c r="F448" s="238">
        <v>7.2</v>
      </c>
      <c r="G448" s="238"/>
      <c r="H448" s="238"/>
      <c r="I448">
        <v>7.2</v>
      </c>
      <c r="J448" s="238">
        <v>5.17</v>
      </c>
      <c r="K448" s="238">
        <v>3.71</v>
      </c>
      <c r="L448" s="238"/>
      <c r="M448" s="238"/>
      <c r="N448" s="238">
        <v>6.96</v>
      </c>
      <c r="O448" s="238">
        <v>2.92</v>
      </c>
      <c r="P448" s="238"/>
      <c r="R448" s="238">
        <v>2.92</v>
      </c>
      <c r="S448">
        <v>25.96</v>
      </c>
      <c r="T448">
        <v>23.04</v>
      </c>
      <c r="U448" s="238">
        <v>24.5</v>
      </c>
      <c r="V448">
        <v>24.45</v>
      </c>
      <c r="W448" s="238">
        <v>91105.56</v>
      </c>
      <c r="X448">
        <v>4555.2780000000002</v>
      </c>
      <c r="Y448">
        <v>95660.838000000003</v>
      </c>
      <c r="Z448">
        <v>2869.8251399999999</v>
      </c>
      <c r="AA448">
        <v>98530.663140000004</v>
      </c>
      <c r="AB448">
        <v>8867.7596826000008</v>
      </c>
      <c r="AC448">
        <v>107398.4228226</v>
      </c>
      <c r="AE448">
        <v>107398.4228226</v>
      </c>
      <c r="AG448">
        <v>107398.4228226</v>
      </c>
      <c r="AI448">
        <v>107398.4228226</v>
      </c>
      <c r="AJ448">
        <v>1073.9842282259999</v>
      </c>
      <c r="AK448">
        <v>108472.407050826</v>
      </c>
      <c r="AL448">
        <v>5423.6203525413002</v>
      </c>
      <c r="AM448">
        <v>113896.0274033673</v>
      </c>
      <c r="AO448">
        <v>113896.0274033673</v>
      </c>
      <c r="AP448">
        <v>3416.880822101019</v>
      </c>
      <c r="AQ448">
        <v>117312.90822546832</v>
      </c>
      <c r="AS448">
        <v>117312.90822546832</v>
      </c>
      <c r="AU448">
        <v>117312.90822546832</v>
      </c>
      <c r="AW448">
        <v>117312.90822546832</v>
      </c>
      <c r="AY448">
        <v>117312.90822546832</v>
      </c>
      <c r="BA448">
        <v>117312.90822546832</v>
      </c>
      <c r="BC448">
        <v>117312.90822546832</v>
      </c>
      <c r="BE448">
        <v>117312.90822546832</v>
      </c>
      <c r="BG448">
        <v>117312.90822546832</v>
      </c>
      <c r="BI448">
        <v>117312.90822546832</v>
      </c>
      <c r="BK448">
        <v>117312.90822546832</v>
      </c>
      <c r="BM448">
        <v>117312.90822546832</v>
      </c>
      <c r="BO448">
        <v>117312.90822546832</v>
      </c>
      <c r="BQ448">
        <v>117312.90822546832</v>
      </c>
      <c r="BS448">
        <v>117312.90822546832</v>
      </c>
      <c r="BT448" s="238">
        <v>117312.91</v>
      </c>
      <c r="BU448" s="238">
        <v>2874200</v>
      </c>
      <c r="BX448" s="238">
        <v>0</v>
      </c>
      <c r="BY448" s="238">
        <v>117314.28571428572</v>
      </c>
      <c r="BZ448" s="238">
        <v>2874200</v>
      </c>
      <c r="CA448" s="238" t="s">
        <v>6871</v>
      </c>
      <c r="CB448">
        <v>7000</v>
      </c>
      <c r="CC448">
        <v>124314.28571428572</v>
      </c>
      <c r="CD448" s="238">
        <v>171500</v>
      </c>
      <c r="CE448" s="238">
        <v>3045700</v>
      </c>
      <c r="CH448" s="238" t="s">
        <v>39</v>
      </c>
      <c r="CI448" s="238" t="s">
        <v>39</v>
      </c>
      <c r="CJ448" t="s">
        <v>8950</v>
      </c>
      <c r="CK448" t="s">
        <v>1167</v>
      </c>
      <c r="CL448" t="s">
        <v>8961</v>
      </c>
      <c r="CM448" t="s">
        <v>8970</v>
      </c>
      <c r="CN448" s="238" t="b">
        <v>1</v>
      </c>
      <c r="CO448" t="s">
        <v>5736</v>
      </c>
      <c r="CQ448" t="s">
        <v>6652</v>
      </c>
      <c r="CR448" t="s">
        <v>3246</v>
      </c>
      <c r="CS448" t="s">
        <v>6871</v>
      </c>
      <c r="CT448" t="b">
        <v>1</v>
      </c>
      <c r="CU448">
        <v>2874200</v>
      </c>
      <c r="CV448" t="s">
        <v>9002</v>
      </c>
      <c r="CW448">
        <v>0</v>
      </c>
      <c r="CX448">
        <v>2874200</v>
      </c>
      <c r="CY448">
        <v>0</v>
      </c>
      <c r="CZ448" t="b">
        <v>1</v>
      </c>
      <c r="DA448">
        <v>45407</v>
      </c>
      <c r="DB448" t="s">
        <v>7181</v>
      </c>
      <c r="DC448">
        <v>-2.0408163265306367E-3</v>
      </c>
      <c r="DD448">
        <v>-239.41690962099412</v>
      </c>
      <c r="DE448" s="420" cm="1">
        <f t="array" ref="DE448">_xlfn.XLOOKUP("Дом 5"&amp;Реестр_Д5[[#This Row],[№]]&amp;Реестр_Д5[[#This Row],[Статус]],РД[Дом]&amp;РД[№ кв]&amp;РД[Состояние],РД[Дата подачи на регистрацию],"-",0)</f>
        <v>45407</v>
      </c>
    </row>
    <row r="449" spans="1:109" hidden="1" x14ac:dyDescent="0.25">
      <c r="A449" s="238">
        <v>448</v>
      </c>
      <c r="B449" s="238" t="s">
        <v>15</v>
      </c>
      <c r="C449" s="238">
        <v>8</v>
      </c>
      <c r="D449" s="238">
        <v>4</v>
      </c>
      <c r="E449" s="238">
        <v>2</v>
      </c>
      <c r="F449" s="238">
        <v>14.48</v>
      </c>
      <c r="G449" s="238">
        <v>11.42</v>
      </c>
      <c r="H449" s="238"/>
      <c r="I449">
        <v>25.9</v>
      </c>
      <c r="J449" s="238">
        <v>15.86</v>
      </c>
      <c r="K449" s="238">
        <v>3.01</v>
      </c>
      <c r="L449" s="238">
        <v>2.67</v>
      </c>
      <c r="M449" s="238"/>
      <c r="N449" s="238">
        <v>9.44</v>
      </c>
      <c r="O449" s="238">
        <v>2.72</v>
      </c>
      <c r="P449" s="238"/>
      <c r="R449" s="238">
        <v>2.72</v>
      </c>
      <c r="S449">
        <v>59.6</v>
      </c>
      <c r="T449">
        <v>56.88</v>
      </c>
      <c r="U449" s="238">
        <v>58.24</v>
      </c>
      <c r="V449">
        <v>57.750000000000007</v>
      </c>
      <c r="W449" s="238">
        <v>79535.67300000001</v>
      </c>
      <c r="Y449">
        <v>79535.67300000001</v>
      </c>
      <c r="AA449">
        <v>79535.67300000001</v>
      </c>
      <c r="AC449">
        <v>79535.67300000001</v>
      </c>
      <c r="AE449">
        <v>79535.67300000001</v>
      </c>
      <c r="AG449">
        <v>79535.67300000001</v>
      </c>
      <c r="AI449">
        <v>79535.67300000001</v>
      </c>
      <c r="AK449">
        <v>79535.67300000001</v>
      </c>
      <c r="AM449">
        <v>79535.67300000001</v>
      </c>
      <c r="AO449">
        <v>79535.67300000001</v>
      </c>
      <c r="AQ449">
        <v>79535.67300000001</v>
      </c>
      <c r="AS449">
        <v>79535.67300000001</v>
      </c>
      <c r="AU449">
        <v>79535.67300000001</v>
      </c>
      <c r="AW449">
        <v>79535.67300000001</v>
      </c>
      <c r="AY449">
        <v>79535.67300000001</v>
      </c>
      <c r="BA449">
        <v>79535.67300000001</v>
      </c>
      <c r="BC449">
        <v>79535.67300000001</v>
      </c>
      <c r="BE449">
        <v>79535.67300000001</v>
      </c>
      <c r="BG449">
        <v>79535.67300000001</v>
      </c>
      <c r="BI449">
        <v>79535.67300000001</v>
      </c>
      <c r="BK449">
        <v>79535.67300000001</v>
      </c>
      <c r="BM449">
        <v>79535.67300000001</v>
      </c>
      <c r="BO449">
        <v>79535.67300000001</v>
      </c>
      <c r="BQ449">
        <v>79535.67300000001</v>
      </c>
      <c r="BS449">
        <v>79535.67300000001</v>
      </c>
      <c r="BT449" s="238">
        <v>79535.67</v>
      </c>
      <c r="BU449" s="238">
        <v>4632157.42</v>
      </c>
      <c r="BX449" s="238">
        <v>0</v>
      </c>
      <c r="BY449" s="238">
        <v>79535.669986263732</v>
      </c>
      <c r="BZ449" s="238">
        <v>4632157.42</v>
      </c>
      <c r="CA449" s="238" t="s">
        <v>37</v>
      </c>
      <c r="CB449">
        <v>4500</v>
      </c>
      <c r="CC449">
        <v>84035.669986263732</v>
      </c>
      <c r="CD449" s="238">
        <v>262080</v>
      </c>
      <c r="CE449" s="238">
        <v>4894237.42</v>
      </c>
      <c r="CH449" s="238" t="s">
        <v>39</v>
      </c>
      <c r="CI449" s="238" t="s">
        <v>39</v>
      </c>
      <c r="CJ449" t="s">
        <v>8950</v>
      </c>
      <c r="CK449" t="s">
        <v>1167</v>
      </c>
      <c r="CL449" t="s">
        <v>8961</v>
      </c>
      <c r="CM449" t="s">
        <v>8971</v>
      </c>
      <c r="CN449" s="238" t="b">
        <v>1</v>
      </c>
      <c r="CO449" t="s">
        <v>5737</v>
      </c>
      <c r="CQ449" t="s">
        <v>4895</v>
      </c>
      <c r="CR449" t="s">
        <v>3246</v>
      </c>
      <c r="CS449" t="s">
        <v>37</v>
      </c>
      <c r="CT449" t="b">
        <v>1</v>
      </c>
      <c r="CU449">
        <v>4632157.42</v>
      </c>
      <c r="CV449" t="s">
        <v>9002</v>
      </c>
      <c r="CW449">
        <v>4632157</v>
      </c>
      <c r="CX449">
        <v>4632157</v>
      </c>
      <c r="CY449">
        <v>0</v>
      </c>
      <c r="CZ449" t="b">
        <v>1</v>
      </c>
      <c r="DA449">
        <v>45188</v>
      </c>
      <c r="DB449" t="s">
        <v>126</v>
      </c>
      <c r="DC449">
        <v>-8.4134615384614531E-3</v>
      </c>
      <c r="DD449">
        <v>-669.17030036519293</v>
      </c>
      <c r="DE449" s="420" cm="1">
        <f t="array" ref="DE449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50" spans="1:109" hidden="1" x14ac:dyDescent="0.25">
      <c r="A450" s="238">
        <v>449</v>
      </c>
      <c r="B450" s="238" t="s">
        <v>15</v>
      </c>
      <c r="C450" s="238">
        <v>8</v>
      </c>
      <c r="D450" s="238">
        <v>5</v>
      </c>
      <c r="E450" s="238">
        <v>2</v>
      </c>
      <c r="F450" s="238">
        <v>15.41</v>
      </c>
      <c r="G450" s="238">
        <v>12.78</v>
      </c>
      <c r="H450" s="238"/>
      <c r="I450">
        <v>28.19</v>
      </c>
      <c r="J450" s="238">
        <v>13.45</v>
      </c>
      <c r="K450" s="238">
        <v>3.7</v>
      </c>
      <c r="L450" s="238">
        <v>2.72</v>
      </c>
      <c r="M450" s="238"/>
      <c r="N450" s="238">
        <v>8.2200000000000006</v>
      </c>
      <c r="O450" s="238">
        <v>3.03</v>
      </c>
      <c r="P450" s="238"/>
      <c r="R450" s="238">
        <v>3.03</v>
      </c>
      <c r="S450">
        <v>59.31</v>
      </c>
      <c r="T450">
        <v>56.28</v>
      </c>
      <c r="U450" s="238">
        <v>57.8</v>
      </c>
      <c r="V450">
        <v>57.500000000000007</v>
      </c>
      <c r="W450" s="238">
        <v>79149.577499999999</v>
      </c>
      <c r="Y450">
        <v>79149.577499999999</v>
      </c>
      <c r="AA450">
        <v>79149.577499999999</v>
      </c>
      <c r="AC450">
        <v>79149.577499999999</v>
      </c>
      <c r="AE450">
        <v>79149.577499999999</v>
      </c>
      <c r="AG450">
        <v>79149.577499999999</v>
      </c>
      <c r="AI450">
        <v>79149.577499999999</v>
      </c>
      <c r="AK450">
        <v>79149.577499999999</v>
      </c>
      <c r="AM450">
        <v>79149.577499999999</v>
      </c>
      <c r="AO450">
        <v>79149.577499999999</v>
      </c>
      <c r="AQ450">
        <v>79149.577499999999</v>
      </c>
      <c r="AS450">
        <v>79149.577499999999</v>
      </c>
      <c r="AU450">
        <v>79149.577499999999</v>
      </c>
      <c r="AW450">
        <v>79149.577499999999</v>
      </c>
      <c r="AY450">
        <v>79149.577499999999</v>
      </c>
      <c r="BA450">
        <v>79149.577499999999</v>
      </c>
      <c r="BC450">
        <v>79149.577499999999</v>
      </c>
      <c r="BE450">
        <v>79149.577499999999</v>
      </c>
      <c r="BG450">
        <v>79149.577499999999</v>
      </c>
      <c r="BI450">
        <v>79149.577499999999</v>
      </c>
      <c r="BK450">
        <v>79149.577499999999</v>
      </c>
      <c r="BM450">
        <v>79149.577499999999</v>
      </c>
      <c r="BO450">
        <v>79149.577499999999</v>
      </c>
      <c r="BQ450">
        <v>79149.577499999999</v>
      </c>
      <c r="BS450">
        <v>79149.577499999999</v>
      </c>
      <c r="BT450" s="238">
        <v>79149.58</v>
      </c>
      <c r="BU450" s="238">
        <v>4574845.72</v>
      </c>
      <c r="BX450" s="238">
        <v>0</v>
      </c>
      <c r="BY450" s="238">
        <v>79149.579930795851</v>
      </c>
      <c r="BZ450" s="238">
        <v>4574845.72</v>
      </c>
      <c r="CA450" s="238" t="s">
        <v>38</v>
      </c>
      <c r="CB450">
        <v>15500</v>
      </c>
      <c r="CC450">
        <v>94649.579930795851</v>
      </c>
      <c r="CD450" s="238">
        <v>895900</v>
      </c>
      <c r="CE450" s="238">
        <v>5470745.7199999997</v>
      </c>
      <c r="CH450" s="238" t="s">
        <v>39</v>
      </c>
      <c r="CI450" s="238" t="s">
        <v>39</v>
      </c>
      <c r="CJ450" t="s">
        <v>8950</v>
      </c>
      <c r="CK450" t="s">
        <v>1167</v>
      </c>
      <c r="CL450" t="s">
        <v>8961</v>
      </c>
      <c r="CM450" t="s">
        <v>8974</v>
      </c>
      <c r="CN450" s="238" t="b">
        <v>1</v>
      </c>
      <c r="CO450" t="s">
        <v>5738</v>
      </c>
      <c r="CQ450" t="s">
        <v>4895</v>
      </c>
      <c r="CR450" t="s">
        <v>3246</v>
      </c>
      <c r="CS450" t="s">
        <v>38</v>
      </c>
      <c r="CT450" t="b">
        <v>1</v>
      </c>
      <c r="CU450">
        <v>4574845.72</v>
      </c>
      <c r="CV450" t="s">
        <v>9002</v>
      </c>
      <c r="CW450">
        <v>4574846</v>
      </c>
      <c r="CX450">
        <v>4574846</v>
      </c>
      <c r="CY450">
        <v>0</v>
      </c>
      <c r="CZ450" t="b">
        <v>1</v>
      </c>
      <c r="DA450">
        <v>45184</v>
      </c>
      <c r="DB450" t="s">
        <v>126</v>
      </c>
      <c r="DC450">
        <v>-5.1903114186849786E-3</v>
      </c>
      <c r="DD450">
        <v>-410.81096849892913</v>
      </c>
      <c r="DE450" s="420" cm="1">
        <f t="array" ref="DE450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451" spans="1:109" hidden="1" x14ac:dyDescent="0.25">
      <c r="A451" s="238">
        <v>450</v>
      </c>
      <c r="B451" s="238" t="s">
        <v>15</v>
      </c>
      <c r="C451" s="238">
        <v>8</v>
      </c>
      <c r="D451" s="238">
        <v>6</v>
      </c>
      <c r="E451" s="238">
        <v>1</v>
      </c>
      <c r="F451" s="238">
        <v>12.71</v>
      </c>
      <c r="G451" s="238"/>
      <c r="H451" s="238"/>
      <c r="I451">
        <v>12.71</v>
      </c>
      <c r="J451" s="238">
        <v>12.55</v>
      </c>
      <c r="K451" s="238">
        <v>4.28</v>
      </c>
      <c r="L451" s="238"/>
      <c r="M451" s="238"/>
      <c r="N451" s="238">
        <v>7.34</v>
      </c>
      <c r="O451" s="238">
        <v>2.84</v>
      </c>
      <c r="P451" s="238"/>
      <c r="R451" s="238">
        <v>2.84</v>
      </c>
      <c r="S451">
        <v>39.72</v>
      </c>
      <c r="T451">
        <v>36.880000000000003</v>
      </c>
      <c r="U451" s="238">
        <v>38.299999999999997</v>
      </c>
      <c r="V451">
        <v>37.799999999999997</v>
      </c>
      <c r="W451" s="238">
        <v>87601.5</v>
      </c>
      <c r="X451">
        <v>4380.0749999999998</v>
      </c>
      <c r="Y451">
        <v>91981.574999999997</v>
      </c>
      <c r="Z451">
        <v>2759.4472499999997</v>
      </c>
      <c r="AA451">
        <v>94741.022249999995</v>
      </c>
      <c r="AB451">
        <v>947.41022250000003</v>
      </c>
      <c r="AC451">
        <v>95688.432472500004</v>
      </c>
      <c r="AE451">
        <v>95688.432472500004</v>
      </c>
      <c r="AG451">
        <v>95688.432472500004</v>
      </c>
      <c r="AI451">
        <v>95688.432472500004</v>
      </c>
      <c r="AK451">
        <v>95688.432472500004</v>
      </c>
      <c r="AM451">
        <v>95688.432472500004</v>
      </c>
      <c r="AO451">
        <v>95688.432472500004</v>
      </c>
      <c r="AQ451">
        <v>95688.432472500004</v>
      </c>
      <c r="AS451">
        <v>95688.432472500004</v>
      </c>
      <c r="AU451">
        <v>95688.432472500004</v>
      </c>
      <c r="AW451">
        <v>95688.432472500004</v>
      </c>
      <c r="AY451">
        <v>95688.432472500004</v>
      </c>
      <c r="BA451">
        <v>95688.432472500004</v>
      </c>
      <c r="BC451">
        <v>95688.432472500004</v>
      </c>
      <c r="BE451">
        <v>95688.432472500004</v>
      </c>
      <c r="BG451">
        <v>95688.432472500004</v>
      </c>
      <c r="BI451">
        <v>95688.432472500004</v>
      </c>
      <c r="BK451">
        <v>95688.432472500004</v>
      </c>
      <c r="BM451">
        <v>95688.432472500004</v>
      </c>
      <c r="BO451">
        <v>95688.432472500004</v>
      </c>
      <c r="BQ451">
        <v>95688.432472500004</v>
      </c>
      <c r="BS451">
        <v>95688.432472500004</v>
      </c>
      <c r="BT451" s="238">
        <v>95688.43</v>
      </c>
      <c r="BU451" s="238">
        <v>3664866.87</v>
      </c>
      <c r="BW451">
        <v>0.02</v>
      </c>
      <c r="BX451" s="238">
        <v>73297.337400000004</v>
      </c>
      <c r="BY451" s="238">
        <v>93774.661357702353</v>
      </c>
      <c r="BZ451" s="238">
        <v>3591569.53</v>
      </c>
      <c r="CA451" s="238" t="s">
        <v>36</v>
      </c>
      <c r="CC451">
        <v>93774.661357702353</v>
      </c>
      <c r="CD451" s="238">
        <v>0</v>
      </c>
      <c r="CE451" s="238">
        <v>3591569.53</v>
      </c>
      <c r="CG451" t="s">
        <v>4518</v>
      </c>
      <c r="CH451" s="238" t="s">
        <v>39</v>
      </c>
      <c r="CI451" s="238" t="s">
        <v>39</v>
      </c>
      <c r="CJ451" t="s">
        <v>8950</v>
      </c>
      <c r="CK451" t="s">
        <v>1167</v>
      </c>
      <c r="CL451" t="s">
        <v>8961</v>
      </c>
      <c r="CM451" t="s">
        <v>8973</v>
      </c>
      <c r="CN451" s="238" t="b">
        <v>1</v>
      </c>
      <c r="CO451" t="s">
        <v>5739</v>
      </c>
      <c r="CQ451" t="s">
        <v>4895</v>
      </c>
      <c r="CR451" t="s">
        <v>3246</v>
      </c>
      <c r="CS451" t="s">
        <v>36</v>
      </c>
      <c r="CT451" t="b">
        <v>1</v>
      </c>
      <c r="CU451">
        <v>3664866.87</v>
      </c>
      <c r="CV451" t="s">
        <v>9002</v>
      </c>
      <c r="CW451">
        <v>0</v>
      </c>
      <c r="CX451">
        <v>3664867</v>
      </c>
      <c r="CY451">
        <v>0</v>
      </c>
      <c r="CZ451" t="b">
        <v>1</v>
      </c>
      <c r="DA451">
        <v>45202</v>
      </c>
      <c r="DB451" t="s">
        <v>399</v>
      </c>
      <c r="DC451">
        <v>-1.3054830287206108E-2</v>
      </c>
      <c r="DD451">
        <v>-1224.2122892650293</v>
      </c>
      <c r="DE451" s="420" cm="1">
        <f t="array" ref="DE451">_xlfn.XLOOKUP("Дом 5"&amp;Реестр_Д5[[#This Row],[№]]&amp;Реестр_Д5[[#This Row],[Статус]],РД[Дом]&amp;РД[№ кв]&amp;РД[Состояние],РД[Дата подачи на регистрацию],"-",0)</f>
        <v>45202</v>
      </c>
    </row>
    <row r="452" spans="1:109" hidden="1" x14ac:dyDescent="0.25">
      <c r="A452" s="238">
        <v>451</v>
      </c>
      <c r="B452" s="238" t="s">
        <v>15</v>
      </c>
      <c r="C452" s="238">
        <v>8</v>
      </c>
      <c r="D452" s="238">
        <v>7</v>
      </c>
      <c r="E452" s="238">
        <v>3</v>
      </c>
      <c r="F452" s="238">
        <v>14.49</v>
      </c>
      <c r="G452" s="238">
        <v>13.98</v>
      </c>
      <c r="H452" s="238">
        <v>11.42</v>
      </c>
      <c r="I452">
        <v>39.89</v>
      </c>
      <c r="J452" s="238">
        <v>16.670000000000002</v>
      </c>
      <c r="K452" s="238">
        <v>4.1399999999999997</v>
      </c>
      <c r="L452" s="238">
        <v>1.89</v>
      </c>
      <c r="M452" s="238"/>
      <c r="N452" s="238">
        <v>11.31</v>
      </c>
      <c r="O452" s="238">
        <v>2.86</v>
      </c>
      <c r="P452" s="238">
        <v>2.79</v>
      </c>
      <c r="Q452">
        <v>5.42</v>
      </c>
      <c r="R452" s="238">
        <v>11.07</v>
      </c>
      <c r="S452">
        <v>84.97</v>
      </c>
      <c r="T452">
        <v>73.900000000000006</v>
      </c>
      <c r="U452" s="238">
        <v>79.44</v>
      </c>
      <c r="V452">
        <v>78.7</v>
      </c>
      <c r="W452" s="238">
        <v>77803.110000000015</v>
      </c>
      <c r="X452">
        <v>3890.1555000000008</v>
      </c>
      <c r="Y452">
        <v>81693.265500000023</v>
      </c>
      <c r="Z452">
        <v>2450.7979650000002</v>
      </c>
      <c r="AA452">
        <v>84144.063465000014</v>
      </c>
      <c r="AC452">
        <v>84144.063465000014</v>
      </c>
      <c r="AE452">
        <v>84144.063465000014</v>
      </c>
      <c r="AG452">
        <v>84144.063465000014</v>
      </c>
      <c r="AI452">
        <v>84144.063465000014</v>
      </c>
      <c r="AK452">
        <v>84144.063465000014</v>
      </c>
      <c r="AM452">
        <v>84144.063465000014</v>
      </c>
      <c r="AO452">
        <v>84144.063465000014</v>
      </c>
      <c r="AQ452">
        <v>84144.063465000014</v>
      </c>
      <c r="AS452">
        <v>84144.063465000014</v>
      </c>
      <c r="AU452">
        <v>84144.063465000014</v>
      </c>
      <c r="AW452">
        <v>84144.063465000014</v>
      </c>
      <c r="AY452">
        <v>84144.063465000014</v>
      </c>
      <c r="BA452">
        <v>84144.063465000014</v>
      </c>
      <c r="BC452">
        <v>84144.063465000014</v>
      </c>
      <c r="BE452">
        <v>84144.063465000014</v>
      </c>
      <c r="BG452">
        <v>84144.063465000014</v>
      </c>
      <c r="BI452">
        <v>84144.063465000014</v>
      </c>
      <c r="BK452">
        <v>84144.063465000014</v>
      </c>
      <c r="BM452">
        <v>84144.063465000014</v>
      </c>
      <c r="BO452">
        <v>84144.063465000014</v>
      </c>
      <c r="BQ452">
        <v>84144.063465000014</v>
      </c>
      <c r="BS452">
        <v>84144.063465000014</v>
      </c>
      <c r="BT452" s="238">
        <v>84144.06</v>
      </c>
      <c r="BU452" s="238">
        <v>6684404.1299999999</v>
      </c>
      <c r="BW452">
        <v>0.06</v>
      </c>
      <c r="BX452" s="238">
        <v>401064.2477999999</v>
      </c>
      <c r="BY452" s="238">
        <v>79095.416414904335</v>
      </c>
      <c r="BZ452" s="238">
        <v>6283339.8799999999</v>
      </c>
      <c r="CA452" s="238" t="s">
        <v>6871</v>
      </c>
      <c r="CC452">
        <v>79095.416414904335</v>
      </c>
      <c r="CD452" s="238">
        <v>0</v>
      </c>
      <c r="CE452" s="238">
        <v>6283339.8799999999</v>
      </c>
      <c r="CF452" t="s">
        <v>4636</v>
      </c>
      <c r="CG452" t="s">
        <v>9039</v>
      </c>
      <c r="CH452" s="238" t="s">
        <v>39</v>
      </c>
      <c r="CI452" s="238" t="s">
        <v>39</v>
      </c>
      <c r="CJ452" t="s">
        <v>8950</v>
      </c>
      <c r="CK452" t="s">
        <v>1167</v>
      </c>
      <c r="CL452" t="s">
        <v>8961</v>
      </c>
      <c r="CM452" t="s">
        <v>8990</v>
      </c>
      <c r="CN452" s="238" t="b">
        <v>1</v>
      </c>
      <c r="CO452" t="s">
        <v>5740</v>
      </c>
      <c r="CQ452" t="s">
        <v>4895</v>
      </c>
      <c r="CR452" t="s">
        <v>3246</v>
      </c>
      <c r="CS452" t="s">
        <v>36</v>
      </c>
      <c r="CT452" t="b">
        <v>0</v>
      </c>
      <c r="CU452">
        <v>6684404.1299999999</v>
      </c>
      <c r="CV452" t="s">
        <v>9002</v>
      </c>
      <c r="CW452">
        <v>0</v>
      </c>
      <c r="CX452">
        <v>6684404</v>
      </c>
      <c r="CY452">
        <v>0</v>
      </c>
      <c r="CZ452" t="b">
        <v>1</v>
      </c>
      <c r="DA452">
        <v>45238</v>
      </c>
      <c r="DB452" t="s">
        <v>5215</v>
      </c>
      <c r="DC452">
        <v>-9.3152064451157424E-3</v>
      </c>
      <c r="DD452">
        <v>-736.79013276723038</v>
      </c>
      <c r="DE452" s="420" cm="1">
        <f t="array" ref="DE452">_xlfn.XLOOKUP("Дом 5"&amp;Реестр_Д5[[#This Row],[№]]&amp;Реестр_Д5[[#This Row],[Статус]],РД[Дом]&amp;РД[№ кв]&amp;РД[Состояние],РД[Дата подачи на регистрацию],"-",0)</f>
        <v>45238</v>
      </c>
    </row>
    <row r="453" spans="1:109" x14ac:dyDescent="0.25">
      <c r="A453" s="238">
        <v>452</v>
      </c>
      <c r="B453" s="238" t="s">
        <v>15</v>
      </c>
      <c r="C453" s="238">
        <v>8</v>
      </c>
      <c r="D453" s="238">
        <v>8</v>
      </c>
      <c r="E453" s="238">
        <v>1</v>
      </c>
      <c r="F453" s="238">
        <v>16.79</v>
      </c>
      <c r="G453" s="238"/>
      <c r="H453" s="238"/>
      <c r="I453">
        <v>16.79</v>
      </c>
      <c r="J453" s="238">
        <v>11.43</v>
      </c>
      <c r="K453" s="238">
        <v>3.56</v>
      </c>
      <c r="L453" s="238"/>
      <c r="M453" s="238"/>
      <c r="N453" s="238">
        <v>6.66</v>
      </c>
      <c r="O453" s="238">
        <v>2.4900000000000002</v>
      </c>
      <c r="P453" s="238"/>
      <c r="R453" s="238">
        <v>2.4900000000000002</v>
      </c>
      <c r="S453">
        <v>40.93</v>
      </c>
      <c r="T453">
        <v>38.44</v>
      </c>
      <c r="U453" s="238">
        <v>39.69</v>
      </c>
      <c r="V453">
        <v>39.549999999999997</v>
      </c>
      <c r="W453" s="238">
        <v>86384.8125</v>
      </c>
      <c r="X453">
        <v>4319.2406250000004</v>
      </c>
      <c r="Y453">
        <v>90704.053125000006</v>
      </c>
      <c r="Z453">
        <v>2721.1215937500001</v>
      </c>
      <c r="AA453">
        <v>93425.17471875</v>
      </c>
      <c r="AB453">
        <v>4204.1328623437503</v>
      </c>
      <c r="AC453">
        <v>97629.307581093744</v>
      </c>
      <c r="AE453">
        <v>97629.307581093744</v>
      </c>
      <c r="AF453">
        <v>4881.4653790546872</v>
      </c>
      <c r="AG453">
        <v>102510.77296014845</v>
      </c>
      <c r="AI453">
        <v>102510.77296014845</v>
      </c>
      <c r="AJ453">
        <v>1025.1077296014844</v>
      </c>
      <c r="AK453">
        <v>103535.88068974992</v>
      </c>
      <c r="AL453">
        <v>5176.794034487496</v>
      </c>
      <c r="AM453">
        <v>108712.6747242374</v>
      </c>
      <c r="AO453">
        <v>108712.6747242374</v>
      </c>
      <c r="AP453">
        <v>3261.3802417271222</v>
      </c>
      <c r="AQ453">
        <v>111974.05496596452</v>
      </c>
      <c r="AS453">
        <v>111974.05496596452</v>
      </c>
      <c r="AU453">
        <v>111974.05496596452</v>
      </c>
      <c r="AW453">
        <v>111974.05496596452</v>
      </c>
      <c r="AY453">
        <v>111974.05496596452</v>
      </c>
      <c r="BA453">
        <v>111974.05496596452</v>
      </c>
      <c r="BC453">
        <v>111974.05496596452</v>
      </c>
      <c r="BE453">
        <v>111974.05496596452</v>
      </c>
      <c r="BF453">
        <v>559.87027482982273</v>
      </c>
      <c r="BG453">
        <v>112533.92524079436</v>
      </c>
      <c r="BI453">
        <v>112533.92524079436</v>
      </c>
      <c r="BJ453">
        <v>2250.6785048158872</v>
      </c>
      <c r="BK453">
        <v>114784.60374561023</v>
      </c>
      <c r="BL453">
        <v>5739.2301872805128</v>
      </c>
      <c r="BM453">
        <v>120523.83393289076</v>
      </c>
      <c r="BN453">
        <v>15668.0984112758</v>
      </c>
      <c r="BO453">
        <v>136191.93234416656</v>
      </c>
      <c r="BP453">
        <v>35</v>
      </c>
      <c r="BQ453">
        <v>136226.93234416656</v>
      </c>
      <c r="BS453">
        <v>136226.93234416656</v>
      </c>
      <c r="BT453" s="238">
        <v>136226.93</v>
      </c>
      <c r="BU453" s="238">
        <v>5387800</v>
      </c>
      <c r="BX453" s="238">
        <v>0</v>
      </c>
      <c r="BY453" s="238">
        <v>136227.56005056889</v>
      </c>
      <c r="BZ453" s="238">
        <v>5387800</v>
      </c>
      <c r="CA453" s="238" t="s">
        <v>36</v>
      </c>
      <c r="CC453">
        <v>136227.56005056889</v>
      </c>
      <c r="CD453" s="238">
        <v>0</v>
      </c>
      <c r="CE453" s="238">
        <v>5387800</v>
      </c>
      <c r="CH453" s="238" t="s">
        <v>3</v>
      </c>
      <c r="CI453" s="238" t="s">
        <v>3</v>
      </c>
      <c r="CJ453" t="s">
        <v>8951</v>
      </c>
      <c r="CK453" t="s">
        <v>1167</v>
      </c>
      <c r="CL453" t="s">
        <v>8961</v>
      </c>
      <c r="CM453" t="s">
        <v>8973</v>
      </c>
      <c r="CN453" s="238" t="b">
        <v>1</v>
      </c>
      <c r="CO453" t="s">
        <v>5741</v>
      </c>
      <c r="CQ453" t="s">
        <v>6652</v>
      </c>
      <c r="CR453" t="s">
        <v>3124</v>
      </c>
      <c r="CS453" t="s">
        <v>36</v>
      </c>
      <c r="CT453" t="b">
        <v>1</v>
      </c>
      <c r="CU453">
        <v>5387800</v>
      </c>
      <c r="CV453">
        <v>5387800</v>
      </c>
      <c r="CW453">
        <v>0</v>
      </c>
      <c r="CX453">
        <v>0</v>
      </c>
      <c r="CY453">
        <v>0</v>
      </c>
      <c r="CZ453" t="b">
        <v>1</v>
      </c>
      <c r="DA453" t="s">
        <v>4246</v>
      </c>
      <c r="DB453" t="s">
        <v>1167</v>
      </c>
      <c r="DC453">
        <v>-3.5273368606700828E-3</v>
      </c>
      <c r="DD453">
        <v>-480.52049400551886</v>
      </c>
      <c r="DE453" s="420" t="str" cm="1">
        <f t="array" ref="DE45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54" spans="1:109" hidden="1" x14ac:dyDescent="0.25">
      <c r="A454" s="238">
        <v>453</v>
      </c>
      <c r="B454" s="238" t="s">
        <v>15</v>
      </c>
      <c r="C454" s="238">
        <v>9</v>
      </c>
      <c r="D454" s="238">
        <v>1</v>
      </c>
      <c r="E454" s="238">
        <v>0</v>
      </c>
      <c r="F454" s="238">
        <v>13.74</v>
      </c>
      <c r="G454" s="238"/>
      <c r="H454" s="238"/>
      <c r="I454">
        <v>13.74</v>
      </c>
      <c r="J454" s="238">
        <v>5.84</v>
      </c>
      <c r="K454" s="238">
        <v>3.76</v>
      </c>
      <c r="L454" s="238"/>
      <c r="M454" s="238"/>
      <c r="N454" s="238">
        <v>3.73</v>
      </c>
      <c r="O454" s="238">
        <v>4.6500000000000004</v>
      </c>
      <c r="P454" s="238"/>
      <c r="R454" s="238">
        <v>4.6500000000000004</v>
      </c>
      <c r="S454">
        <v>31.72</v>
      </c>
      <c r="T454">
        <v>27.07</v>
      </c>
      <c r="U454" s="238">
        <v>29.4</v>
      </c>
      <c r="V454">
        <v>29.3</v>
      </c>
      <c r="W454" s="238">
        <v>89353.53</v>
      </c>
      <c r="Y454">
        <v>89353.53</v>
      </c>
      <c r="AA454">
        <v>89353.53</v>
      </c>
      <c r="AC454">
        <v>89353.53</v>
      </c>
      <c r="AE454">
        <v>89353.53</v>
      </c>
      <c r="AG454">
        <v>89353.53</v>
      </c>
      <c r="AI454">
        <v>89353.53</v>
      </c>
      <c r="AK454">
        <v>89353.53</v>
      </c>
      <c r="AM454">
        <v>89353.53</v>
      </c>
      <c r="AO454">
        <v>89353.53</v>
      </c>
      <c r="AQ454">
        <v>89353.53</v>
      </c>
      <c r="AS454">
        <v>89353.53</v>
      </c>
      <c r="AU454">
        <v>89353.53</v>
      </c>
      <c r="AW454">
        <v>89353.53</v>
      </c>
      <c r="AY454">
        <v>89353.53</v>
      </c>
      <c r="BA454">
        <v>89353.53</v>
      </c>
      <c r="BC454">
        <v>89353.53</v>
      </c>
      <c r="BE454">
        <v>89353.53</v>
      </c>
      <c r="BG454">
        <v>89353.53</v>
      </c>
      <c r="BI454">
        <v>89353.53</v>
      </c>
      <c r="BK454">
        <v>89353.53</v>
      </c>
      <c r="BM454">
        <v>89353.53</v>
      </c>
      <c r="BO454">
        <v>89353.53</v>
      </c>
      <c r="BQ454">
        <v>89353.53</v>
      </c>
      <c r="BS454">
        <v>89353.53</v>
      </c>
      <c r="BT454" s="238">
        <v>89353.53</v>
      </c>
      <c r="BU454" s="238">
        <v>2626993.7799999998</v>
      </c>
      <c r="BX454" s="238">
        <v>0</v>
      </c>
      <c r="BY454" s="238">
        <v>89353.529931972793</v>
      </c>
      <c r="BZ454" s="238">
        <v>2626993.7799999998</v>
      </c>
      <c r="CA454" s="238" t="s">
        <v>36</v>
      </c>
      <c r="CC454">
        <v>89353.529931972793</v>
      </c>
      <c r="CD454" s="238">
        <v>0</v>
      </c>
      <c r="CE454" s="238">
        <v>2626993.7799999998</v>
      </c>
      <c r="CH454" s="238" t="s">
        <v>39</v>
      </c>
      <c r="CI454" s="238" t="s">
        <v>39</v>
      </c>
      <c r="CJ454" t="s">
        <v>8950</v>
      </c>
      <c r="CK454" t="s">
        <v>1167</v>
      </c>
      <c r="CL454" t="s">
        <v>8961</v>
      </c>
      <c r="CM454" t="s">
        <v>8970</v>
      </c>
      <c r="CN454" s="238" t="b">
        <v>1</v>
      </c>
      <c r="CO454" t="s">
        <v>5742</v>
      </c>
      <c r="CQ454" t="s">
        <v>4895</v>
      </c>
      <c r="CR454" t="s">
        <v>3246</v>
      </c>
      <c r="CS454" t="s">
        <v>36</v>
      </c>
      <c r="CT454" t="b">
        <v>1</v>
      </c>
      <c r="CU454">
        <v>2626993.7799999998</v>
      </c>
      <c r="CV454" t="s">
        <v>9002</v>
      </c>
      <c r="CW454">
        <v>2626994</v>
      </c>
      <c r="CX454">
        <v>2626994</v>
      </c>
      <c r="CY454">
        <v>0</v>
      </c>
      <c r="CZ454" t="b">
        <v>1</v>
      </c>
      <c r="DA454">
        <v>45195</v>
      </c>
      <c r="DB454" t="s">
        <v>3901</v>
      </c>
      <c r="DC454">
        <v>-3.4013605442175798E-3</v>
      </c>
      <c r="DD454">
        <v>-303.92357119717678</v>
      </c>
      <c r="DE454" s="420" cm="1">
        <f t="array" ref="DE454">_xlfn.XLOOKUP("Дом 5"&amp;Реестр_Д5[[#This Row],[№]]&amp;Реестр_Д5[[#This Row],[Статус]],РД[Дом]&amp;РД[№ кв]&amp;РД[Состояние],РД[Дата подачи на регистрацию],"-",0)</f>
        <v>45195</v>
      </c>
    </row>
    <row r="455" spans="1:109" hidden="1" x14ac:dyDescent="0.25">
      <c r="A455" s="238">
        <v>454</v>
      </c>
      <c r="B455" s="238" t="s">
        <v>15</v>
      </c>
      <c r="C455" s="238">
        <v>9</v>
      </c>
      <c r="D455" s="238">
        <v>2</v>
      </c>
      <c r="E455" s="238">
        <v>1</v>
      </c>
      <c r="F455" s="238">
        <v>13.17</v>
      </c>
      <c r="G455" s="238"/>
      <c r="H455" s="238"/>
      <c r="I455">
        <v>13.17</v>
      </c>
      <c r="J455" s="238">
        <v>16.940000000000001</v>
      </c>
      <c r="K455" s="238">
        <v>3.55</v>
      </c>
      <c r="L455" s="238">
        <v>2.41</v>
      </c>
      <c r="M455" s="238"/>
      <c r="N455" s="238">
        <v>5.8</v>
      </c>
      <c r="O455" s="238">
        <v>2.68</v>
      </c>
      <c r="P455" s="238"/>
      <c r="R455" s="238">
        <v>2.68</v>
      </c>
      <c r="S455">
        <v>44.55</v>
      </c>
      <c r="T455">
        <v>41.87</v>
      </c>
      <c r="U455" s="238">
        <v>43.21</v>
      </c>
      <c r="V455">
        <v>42.35</v>
      </c>
      <c r="W455" s="238">
        <v>85168.125</v>
      </c>
      <c r="Y455">
        <v>85168.125</v>
      </c>
      <c r="AA455">
        <v>85168.125</v>
      </c>
      <c r="AC455">
        <v>85168.125</v>
      </c>
      <c r="AE455">
        <v>85168.125</v>
      </c>
      <c r="AG455">
        <v>85168.125</v>
      </c>
      <c r="AI455">
        <v>85168.125</v>
      </c>
      <c r="AK455">
        <v>85168.125</v>
      </c>
      <c r="AM455">
        <v>85168.125</v>
      </c>
      <c r="AO455">
        <v>85168.125</v>
      </c>
      <c r="AQ455">
        <v>85168.125</v>
      </c>
      <c r="AS455">
        <v>85168.125</v>
      </c>
      <c r="AU455">
        <v>85168.125</v>
      </c>
      <c r="AW455">
        <v>85168.125</v>
      </c>
      <c r="AY455">
        <v>85168.125</v>
      </c>
      <c r="BA455">
        <v>85168.125</v>
      </c>
      <c r="BC455">
        <v>85168.125</v>
      </c>
      <c r="BE455">
        <v>85168.125</v>
      </c>
      <c r="BG455">
        <v>85168.125</v>
      </c>
      <c r="BI455">
        <v>85168.125</v>
      </c>
      <c r="BK455">
        <v>85168.125</v>
      </c>
      <c r="BM455">
        <v>85168.125</v>
      </c>
      <c r="BO455">
        <v>85168.125</v>
      </c>
      <c r="BQ455">
        <v>85168.125</v>
      </c>
      <c r="BS455">
        <v>85168.125</v>
      </c>
      <c r="BT455" s="238">
        <v>85168.13</v>
      </c>
      <c r="BU455" s="238">
        <v>3680114.9</v>
      </c>
      <c r="BX455" s="238">
        <v>0</v>
      </c>
      <c r="BY455" s="238">
        <v>85168.130062485536</v>
      </c>
      <c r="BZ455" s="238">
        <v>3680114.9</v>
      </c>
      <c r="CA455" s="238" t="s">
        <v>36</v>
      </c>
      <c r="CC455">
        <v>85168.130062485536</v>
      </c>
      <c r="CD455" s="238">
        <v>0</v>
      </c>
      <c r="CE455" s="238">
        <v>3680114.9</v>
      </c>
      <c r="CH455" s="238" t="s">
        <v>39</v>
      </c>
      <c r="CI455" s="238" t="s">
        <v>39</v>
      </c>
      <c r="CJ455" t="s">
        <v>8950</v>
      </c>
      <c r="CK455" t="s">
        <v>1167</v>
      </c>
      <c r="CL455" t="s">
        <v>8961</v>
      </c>
      <c r="CM455" t="s">
        <v>8972</v>
      </c>
      <c r="CN455" s="238" t="b">
        <v>1</v>
      </c>
      <c r="CO455" t="s">
        <v>5743</v>
      </c>
      <c r="CQ455" t="s">
        <v>4895</v>
      </c>
      <c r="CR455" t="s">
        <v>3246</v>
      </c>
      <c r="CS455" t="s">
        <v>36</v>
      </c>
      <c r="CT455" t="b">
        <v>1</v>
      </c>
      <c r="CU455">
        <v>3680114.9</v>
      </c>
      <c r="CV455" t="s">
        <v>9002</v>
      </c>
      <c r="CW455">
        <v>3680115</v>
      </c>
      <c r="CX455">
        <v>3680115</v>
      </c>
      <c r="CY455">
        <v>0</v>
      </c>
      <c r="CZ455" t="b">
        <v>1</v>
      </c>
      <c r="DA455">
        <v>45188</v>
      </c>
      <c r="DB455" t="s">
        <v>3901</v>
      </c>
      <c r="DC455">
        <v>-1.9902800277713517E-2</v>
      </c>
      <c r="DD455">
        <v>-1695.084282659978</v>
      </c>
      <c r="DE455" s="420" cm="1">
        <f t="array" ref="DE455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56" spans="1:109" hidden="1" x14ac:dyDescent="0.25">
      <c r="A456" s="238">
        <v>455</v>
      </c>
      <c r="B456" s="238" t="s">
        <v>15</v>
      </c>
      <c r="C456" s="238">
        <v>9</v>
      </c>
      <c r="D456" s="238">
        <v>3</v>
      </c>
      <c r="E456" s="238">
        <v>0</v>
      </c>
      <c r="F456" s="238">
        <v>7.2</v>
      </c>
      <c r="G456" s="238"/>
      <c r="H456" s="238"/>
      <c r="I456">
        <v>7.2</v>
      </c>
      <c r="J456" s="238">
        <v>5.17</v>
      </c>
      <c r="K456" s="238">
        <v>3.71</v>
      </c>
      <c r="L456" s="238"/>
      <c r="M456" s="238"/>
      <c r="N456" s="238">
        <v>6.96</v>
      </c>
      <c r="O456" s="238">
        <v>2.92</v>
      </c>
      <c r="P456" s="238"/>
      <c r="R456" s="238">
        <v>2.92</v>
      </c>
      <c r="S456">
        <v>25.96</v>
      </c>
      <c r="T456">
        <v>23.04</v>
      </c>
      <c r="U456" s="238">
        <v>24.5</v>
      </c>
      <c r="V456">
        <v>24.35</v>
      </c>
      <c r="W456" s="238">
        <v>91105.56</v>
      </c>
      <c r="X456">
        <v>4555.2780000000002</v>
      </c>
      <c r="Y456">
        <v>95660.838000000003</v>
      </c>
      <c r="Z456">
        <v>2869.8251399999999</v>
      </c>
      <c r="AA456">
        <v>98530.663140000004</v>
      </c>
      <c r="AB456">
        <v>8867.7596826000008</v>
      </c>
      <c r="AC456">
        <v>107398.4228226</v>
      </c>
      <c r="AE456">
        <v>107398.4228226</v>
      </c>
      <c r="AG456">
        <v>107398.4228226</v>
      </c>
      <c r="AI456">
        <v>107398.4228226</v>
      </c>
      <c r="AJ456">
        <v>1073.9842282259999</v>
      </c>
      <c r="AK456">
        <v>108472.407050826</v>
      </c>
      <c r="AL456">
        <v>5423.6203525413002</v>
      </c>
      <c r="AM456">
        <v>113896.0274033673</v>
      </c>
      <c r="AO456">
        <v>113896.0274033673</v>
      </c>
      <c r="AP456">
        <v>3416.880822101019</v>
      </c>
      <c r="AQ456">
        <v>117312.90822546832</v>
      </c>
      <c r="AS456">
        <v>117312.90822546832</v>
      </c>
      <c r="AU456">
        <v>117312.90822546832</v>
      </c>
      <c r="AW456">
        <v>117312.90822546832</v>
      </c>
      <c r="AY456">
        <v>117312.90822546832</v>
      </c>
      <c r="BA456">
        <v>117312.90822546832</v>
      </c>
      <c r="BC456">
        <v>117312.90822546832</v>
      </c>
      <c r="BE456">
        <v>117312.90822546832</v>
      </c>
      <c r="BG456">
        <v>117312.90822546832</v>
      </c>
      <c r="BI456">
        <v>117312.90822546832</v>
      </c>
      <c r="BK456">
        <v>117312.90822546832</v>
      </c>
      <c r="BM456">
        <v>117312.90822546832</v>
      </c>
      <c r="BO456">
        <v>117312.90822546832</v>
      </c>
      <c r="BQ456">
        <v>117312.90822546832</v>
      </c>
      <c r="BS456">
        <v>117312.90822546832</v>
      </c>
      <c r="BT456" s="238">
        <v>117312.91</v>
      </c>
      <c r="BU456" s="238">
        <v>2874200</v>
      </c>
      <c r="BX456" s="238">
        <v>0</v>
      </c>
      <c r="BY456" s="238">
        <v>117314.28571428572</v>
      </c>
      <c r="BZ456" s="238">
        <v>2874200</v>
      </c>
      <c r="CA456" s="238" t="s">
        <v>38</v>
      </c>
      <c r="CB456">
        <v>20000</v>
      </c>
      <c r="CC456">
        <v>137314.28571428571</v>
      </c>
      <c r="CD456" s="238">
        <v>490000</v>
      </c>
      <c r="CE456" s="238">
        <v>3364200</v>
      </c>
      <c r="CH456" s="238" t="s">
        <v>39</v>
      </c>
      <c r="CI456" s="238" t="s">
        <v>39</v>
      </c>
      <c r="CJ456" t="s">
        <v>8950</v>
      </c>
      <c r="CK456" t="s">
        <v>1167</v>
      </c>
      <c r="CL456" t="s">
        <v>8961</v>
      </c>
      <c r="CM456" t="s">
        <v>8970</v>
      </c>
      <c r="CN456" s="238" t="b">
        <v>1</v>
      </c>
      <c r="CO456" t="s">
        <v>5744</v>
      </c>
      <c r="CQ456" t="s">
        <v>6652</v>
      </c>
      <c r="CR456" t="s">
        <v>3246</v>
      </c>
      <c r="CS456" t="s">
        <v>38</v>
      </c>
      <c r="CT456" t="b">
        <v>1</v>
      </c>
      <c r="CU456">
        <v>2874200</v>
      </c>
      <c r="CV456" t="s">
        <v>9002</v>
      </c>
      <c r="CW456">
        <v>0</v>
      </c>
      <c r="CX456">
        <v>2874200</v>
      </c>
      <c r="CY456">
        <v>0</v>
      </c>
      <c r="CZ456" t="b">
        <v>1</v>
      </c>
      <c r="DA456">
        <v>45440</v>
      </c>
      <c r="DB456" t="s">
        <v>126</v>
      </c>
      <c r="DC456">
        <v>-6.1224489795919101E-3</v>
      </c>
      <c r="DD456">
        <v>-718.25072886298233</v>
      </c>
      <c r="DE456" s="420" cm="1">
        <f t="array" ref="DE456">_xlfn.XLOOKUP("Дом 5"&amp;Реестр_Д5[[#This Row],[№]]&amp;Реестр_Д5[[#This Row],[Статус]],РД[Дом]&amp;РД[№ кв]&amp;РД[Состояние],РД[Дата подачи на регистрацию],"-",0)</f>
        <v>45440</v>
      </c>
    </row>
    <row r="457" spans="1:109" hidden="1" x14ac:dyDescent="0.25">
      <c r="A457" s="238">
        <v>456</v>
      </c>
      <c r="B457" s="238" t="s">
        <v>15</v>
      </c>
      <c r="C457" s="238">
        <v>9</v>
      </c>
      <c r="D457" s="238">
        <v>4</v>
      </c>
      <c r="E457" s="238">
        <v>2</v>
      </c>
      <c r="F457" s="238">
        <v>14.48</v>
      </c>
      <c r="G457" s="238">
        <v>11.42</v>
      </c>
      <c r="H457" s="238"/>
      <c r="I457">
        <v>25.9</v>
      </c>
      <c r="J457" s="238">
        <v>15.86</v>
      </c>
      <c r="K457" s="238">
        <v>3.01</v>
      </c>
      <c r="L457" s="238">
        <v>2.67</v>
      </c>
      <c r="M457" s="238"/>
      <c r="N457" s="238">
        <v>9.44</v>
      </c>
      <c r="O457" s="238">
        <v>2.72</v>
      </c>
      <c r="P457" s="238"/>
      <c r="R457" s="238">
        <v>2.72</v>
      </c>
      <c r="S457">
        <v>59.6</v>
      </c>
      <c r="T457">
        <v>56.88</v>
      </c>
      <c r="U457" s="238">
        <v>58.24</v>
      </c>
      <c r="V457">
        <v>58.15</v>
      </c>
      <c r="W457" s="238">
        <v>79535.67300000001</v>
      </c>
      <c r="X457">
        <v>3976.7836500000008</v>
      </c>
      <c r="Y457">
        <v>83512.456649999993</v>
      </c>
      <c r="Z457">
        <v>2505.3736994999999</v>
      </c>
      <c r="AA457">
        <v>86017.8303495</v>
      </c>
      <c r="AC457">
        <v>86017.8303495</v>
      </c>
      <c r="AE457">
        <v>86017.8303495</v>
      </c>
      <c r="AG457">
        <v>86017.8303495</v>
      </c>
      <c r="AI457">
        <v>86017.8303495</v>
      </c>
      <c r="AJ457">
        <v>860.17830349500002</v>
      </c>
      <c r="AK457">
        <v>86878.008652995006</v>
      </c>
      <c r="AL457">
        <v>4343.9004326497507</v>
      </c>
      <c r="AM457">
        <v>91221.909085644758</v>
      </c>
      <c r="AO457">
        <v>91221.909085644758</v>
      </c>
      <c r="AP457">
        <v>1824.4381817128951</v>
      </c>
      <c r="AQ457">
        <v>93046.347267357647</v>
      </c>
      <c r="AS457">
        <v>93046.347267357647</v>
      </c>
      <c r="AT457">
        <v>1860.9269453471527</v>
      </c>
      <c r="AU457">
        <v>94907.274212704797</v>
      </c>
      <c r="AW457">
        <v>94907.274212704797</v>
      </c>
      <c r="AX457">
        <v>949.07274212704795</v>
      </c>
      <c r="AY457">
        <v>95856.346954831839</v>
      </c>
      <c r="BA457">
        <v>95856.346954831839</v>
      </c>
      <c r="BC457">
        <v>95856.346954831839</v>
      </c>
      <c r="BE457">
        <v>95856.346954831839</v>
      </c>
      <c r="BG457">
        <v>95856.346954831839</v>
      </c>
      <c r="BI457">
        <v>95856.346954831839</v>
      </c>
      <c r="BK457">
        <v>95856.346954831839</v>
      </c>
      <c r="BM457">
        <v>95856.346954831839</v>
      </c>
      <c r="BO457">
        <v>95856.346954831839</v>
      </c>
      <c r="BQ457">
        <v>95856.346954831839</v>
      </c>
      <c r="BS457">
        <v>95856.346954831839</v>
      </c>
      <c r="BT457" s="238">
        <v>95856.35</v>
      </c>
      <c r="BU457" s="238">
        <v>5582700</v>
      </c>
      <c r="BX457" s="238">
        <v>0</v>
      </c>
      <c r="BY457" s="238">
        <v>95856.799450549443</v>
      </c>
      <c r="BZ457" s="238">
        <v>5582700</v>
      </c>
      <c r="CA457" s="238" t="s">
        <v>6871</v>
      </c>
      <c r="CB457">
        <v>7000</v>
      </c>
      <c r="CC457">
        <v>102856.79945054944</v>
      </c>
      <c r="CD457" s="238">
        <v>407680</v>
      </c>
      <c r="CE457" s="238">
        <v>5990380</v>
      </c>
      <c r="CH457" s="238" t="s">
        <v>39</v>
      </c>
      <c r="CI457" s="238" t="s">
        <v>39</v>
      </c>
      <c r="CJ457" t="s">
        <v>8950</v>
      </c>
      <c r="CK457" t="s">
        <v>1167</v>
      </c>
      <c r="CL457" t="s">
        <v>8961</v>
      </c>
      <c r="CM457" t="s">
        <v>8971</v>
      </c>
      <c r="CN457" s="238" t="b">
        <v>1</v>
      </c>
      <c r="CO457" t="s">
        <v>5745</v>
      </c>
      <c r="CQ457" t="s">
        <v>6652</v>
      </c>
      <c r="CR457" t="s">
        <v>3246</v>
      </c>
      <c r="CS457" t="s">
        <v>6871</v>
      </c>
      <c r="CT457" t="b">
        <v>1</v>
      </c>
      <c r="CU457">
        <v>5582700</v>
      </c>
      <c r="CV457" t="s">
        <v>9002</v>
      </c>
      <c r="CW457">
        <v>0</v>
      </c>
      <c r="CX457">
        <v>5582700</v>
      </c>
      <c r="CY457">
        <v>0</v>
      </c>
      <c r="CZ457" t="b">
        <v>1</v>
      </c>
      <c r="DA457">
        <v>45471</v>
      </c>
      <c r="DB457" t="s">
        <v>5215</v>
      </c>
      <c r="DC457">
        <v>-1.5453296703297204E-3</v>
      </c>
      <c r="DD457">
        <v>-148.1303562937797</v>
      </c>
      <c r="DE457" s="420" cm="1">
        <f t="array" ref="DE457">_xlfn.XLOOKUP("Дом 5"&amp;Реестр_Д5[[#This Row],[№]]&amp;Реестр_Д5[[#This Row],[Статус]],РД[Дом]&amp;РД[№ кв]&amp;РД[Состояние],РД[Дата подачи на регистрацию],"-",0)</f>
        <v>45471</v>
      </c>
    </row>
    <row r="458" spans="1:109" hidden="1" x14ac:dyDescent="0.25">
      <c r="A458" s="238">
        <v>457</v>
      </c>
      <c r="B458" s="238" t="s">
        <v>15</v>
      </c>
      <c r="C458" s="238">
        <v>9</v>
      </c>
      <c r="D458" s="238">
        <v>5</v>
      </c>
      <c r="E458" s="238">
        <v>2</v>
      </c>
      <c r="F458" s="238">
        <v>15.41</v>
      </c>
      <c r="G458" s="238">
        <v>12.78</v>
      </c>
      <c r="H458" s="238"/>
      <c r="I458">
        <v>28.19</v>
      </c>
      <c r="J458" s="238">
        <v>13.45</v>
      </c>
      <c r="K458" s="238">
        <v>3.7</v>
      </c>
      <c r="L458" s="238">
        <v>2.72</v>
      </c>
      <c r="M458" s="238"/>
      <c r="N458" s="238">
        <v>8.2200000000000006</v>
      </c>
      <c r="O458" s="238">
        <v>3.03</v>
      </c>
      <c r="P458" s="238"/>
      <c r="R458" s="238">
        <v>3.03</v>
      </c>
      <c r="S458">
        <v>59.31</v>
      </c>
      <c r="T458">
        <v>56.28</v>
      </c>
      <c r="U458" s="238">
        <v>57.8</v>
      </c>
      <c r="V458">
        <v>57.7</v>
      </c>
      <c r="W458" s="238">
        <v>79149.577499999999</v>
      </c>
      <c r="X458">
        <v>3957.4788749999998</v>
      </c>
      <c r="Y458">
        <v>83107.056375</v>
      </c>
      <c r="Z458">
        <v>2493.2116912500001</v>
      </c>
      <c r="AA458">
        <v>85600.268066250006</v>
      </c>
      <c r="AC458">
        <v>85600.268066250006</v>
      </c>
      <c r="AE458">
        <v>85600.268066250006</v>
      </c>
      <c r="AG458">
        <v>85600.268066250006</v>
      </c>
      <c r="AI458">
        <v>85600.268066250006</v>
      </c>
      <c r="AJ458">
        <v>856.0026806625001</v>
      </c>
      <c r="AK458">
        <v>86456.270746912502</v>
      </c>
      <c r="AL458">
        <v>4322.8135373456253</v>
      </c>
      <c r="AM458">
        <v>90779.084284258133</v>
      </c>
      <c r="AO458">
        <v>90779.084284258133</v>
      </c>
      <c r="AP458">
        <v>1815.5816856851627</v>
      </c>
      <c r="AQ458">
        <v>92594.665969943293</v>
      </c>
      <c r="AS458">
        <v>92594.665969943293</v>
      </c>
      <c r="AT458">
        <v>1851.893319398866</v>
      </c>
      <c r="AU458">
        <v>94446.559289342156</v>
      </c>
      <c r="AW458">
        <v>94446.559289342156</v>
      </c>
      <c r="AX458">
        <v>944.46559289342156</v>
      </c>
      <c r="AY458">
        <v>95391.024882235579</v>
      </c>
      <c r="BA458">
        <v>95391.024882235579</v>
      </c>
      <c r="BC458">
        <v>95391.024882235579</v>
      </c>
      <c r="BE458">
        <v>95391.024882235579</v>
      </c>
      <c r="BF458">
        <v>1430.8653732335335</v>
      </c>
      <c r="BG458">
        <v>96821.890255469116</v>
      </c>
      <c r="BH458">
        <v>500</v>
      </c>
      <c r="BI458">
        <v>97321.890255469116</v>
      </c>
      <c r="BJ458">
        <v>3892.8756102187649</v>
      </c>
      <c r="BK458">
        <v>101214.76586568788</v>
      </c>
      <c r="BL458">
        <v>6072.8859519412727</v>
      </c>
      <c r="BM458">
        <v>107287.65181762914</v>
      </c>
      <c r="BN458">
        <v>13947.39473629179</v>
      </c>
      <c r="BO458">
        <v>121235.04655392093</v>
      </c>
      <c r="BP458">
        <v>35</v>
      </c>
      <c r="BQ458">
        <v>121270.04655392093</v>
      </c>
      <c r="BS458">
        <v>121270.04655392093</v>
      </c>
      <c r="BT458" s="238">
        <v>121270.05</v>
      </c>
      <c r="BU458" s="238">
        <v>7009500</v>
      </c>
      <c r="BV458">
        <v>300000</v>
      </c>
      <c r="BX458" s="238">
        <v>300000</v>
      </c>
      <c r="BY458" s="238">
        <v>116081.31487889274</v>
      </c>
      <c r="BZ458" s="238">
        <v>6709500</v>
      </c>
      <c r="CA458" s="238" t="s">
        <v>6871</v>
      </c>
      <c r="CB458">
        <v>10000</v>
      </c>
      <c r="CC458">
        <v>126081.31487889274</v>
      </c>
      <c r="CD458" s="238">
        <v>578000</v>
      </c>
      <c r="CE458" s="238">
        <v>7287500</v>
      </c>
      <c r="CG458" t="s">
        <v>8594</v>
      </c>
      <c r="CH458" s="238" t="s">
        <v>39</v>
      </c>
      <c r="CI458" s="238" t="s">
        <v>39</v>
      </c>
      <c r="CJ458" t="s">
        <v>8950</v>
      </c>
      <c r="CK458" t="s">
        <v>1167</v>
      </c>
      <c r="CL458" t="s">
        <v>8961</v>
      </c>
      <c r="CM458" t="s">
        <v>8974</v>
      </c>
      <c r="CN458" s="238" t="b">
        <v>1</v>
      </c>
      <c r="CO458" t="s">
        <v>5746</v>
      </c>
      <c r="CQ458" t="s">
        <v>6652</v>
      </c>
      <c r="CR458" t="s">
        <v>3246</v>
      </c>
      <c r="CS458" t="s">
        <v>6871</v>
      </c>
      <c r="CT458" t="b">
        <v>1</v>
      </c>
      <c r="CU458">
        <v>7009500</v>
      </c>
      <c r="CV458" t="s">
        <v>9002</v>
      </c>
      <c r="CW458">
        <v>0</v>
      </c>
      <c r="CX458">
        <v>7009500</v>
      </c>
      <c r="CY458">
        <v>0</v>
      </c>
      <c r="CZ458" t="b">
        <v>1</v>
      </c>
      <c r="DA458">
        <v>45804</v>
      </c>
      <c r="DB458" t="s">
        <v>5215</v>
      </c>
      <c r="DC458">
        <v>-1.7301038062282892E-3</v>
      </c>
      <c r="DD458">
        <v>-200.83272470395687</v>
      </c>
      <c r="DE458" s="420" cm="1">
        <f t="array" ref="DE458">_xlfn.XLOOKUP("Дом 5"&amp;Реестр_Д5[[#This Row],[№]]&amp;Реестр_Д5[[#This Row],[Статус]],РД[Дом]&amp;РД[№ кв]&amp;РД[Состояние],РД[Дата подачи на регистрацию],"-",0)</f>
        <v>45804</v>
      </c>
    </row>
    <row r="459" spans="1:109" hidden="1" x14ac:dyDescent="0.25">
      <c r="A459" s="238">
        <v>458</v>
      </c>
      <c r="B459" s="238" t="s">
        <v>15</v>
      </c>
      <c r="C459" s="238">
        <v>9</v>
      </c>
      <c r="D459" s="238">
        <v>6</v>
      </c>
      <c r="E459" s="238">
        <v>1</v>
      </c>
      <c r="F459" s="238">
        <v>12.71</v>
      </c>
      <c r="G459" s="238"/>
      <c r="H459" s="238"/>
      <c r="I459">
        <v>12.71</v>
      </c>
      <c r="J459" s="238">
        <v>12.55</v>
      </c>
      <c r="K459" s="238">
        <v>4.28</v>
      </c>
      <c r="L459" s="238"/>
      <c r="M459" s="238"/>
      <c r="N459" s="238">
        <v>7.34</v>
      </c>
      <c r="O459" s="238">
        <v>2.84</v>
      </c>
      <c r="P459" s="238"/>
      <c r="R459" s="238">
        <v>2.84</v>
      </c>
      <c r="S459">
        <v>39.72</v>
      </c>
      <c r="T459">
        <v>36.880000000000003</v>
      </c>
      <c r="U459" s="238">
        <v>38.299999999999997</v>
      </c>
      <c r="V459">
        <v>37.799999999999997</v>
      </c>
      <c r="W459" s="238">
        <v>87601.5</v>
      </c>
      <c r="X459">
        <v>4380.0749999999998</v>
      </c>
      <c r="Y459">
        <v>91981.574999999997</v>
      </c>
      <c r="Z459">
        <v>2759.4472499999997</v>
      </c>
      <c r="AA459">
        <v>94741.022249999995</v>
      </c>
      <c r="AB459">
        <v>947.41022250000003</v>
      </c>
      <c r="AC459">
        <v>95688.432472500004</v>
      </c>
      <c r="AE459">
        <v>95688.432472500004</v>
      </c>
      <c r="AF459">
        <v>4784.4216236249995</v>
      </c>
      <c r="AG459">
        <v>100472.854096125</v>
      </c>
      <c r="AI459">
        <v>100472.854096125</v>
      </c>
      <c r="AJ459">
        <v>1004.72854096125</v>
      </c>
      <c r="AK459">
        <v>101477.58263708623</v>
      </c>
      <c r="AL459">
        <v>5073.8791318543126</v>
      </c>
      <c r="AM459">
        <v>106551.46176894056</v>
      </c>
      <c r="AO459">
        <v>106551.46176894056</v>
      </c>
      <c r="AP459">
        <v>3196.5438530682168</v>
      </c>
      <c r="AQ459">
        <v>109748.00562200876</v>
      </c>
      <c r="AS459">
        <v>109748.00562200876</v>
      </c>
      <c r="AU459">
        <v>109748.00562200876</v>
      </c>
      <c r="AW459">
        <v>109748.00562200876</v>
      </c>
      <c r="AY459">
        <v>109748.00562200876</v>
      </c>
      <c r="AZ459">
        <v>1097.4800562200878</v>
      </c>
      <c r="BA459">
        <v>110845.48567822886</v>
      </c>
      <c r="BC459">
        <v>110845.48567822886</v>
      </c>
      <c r="BE459">
        <v>110845.48567822886</v>
      </c>
      <c r="BG459">
        <v>110845.48567822886</v>
      </c>
      <c r="BI459">
        <v>110845.48567822886</v>
      </c>
      <c r="BK459">
        <v>110845.48567822886</v>
      </c>
      <c r="BM459">
        <v>110845.48567822886</v>
      </c>
      <c r="BO459">
        <v>110845.48567822886</v>
      </c>
      <c r="BQ459">
        <v>110845.48567822886</v>
      </c>
      <c r="BS459">
        <v>110845.48567822886</v>
      </c>
      <c r="BT459" s="238">
        <v>110845.49</v>
      </c>
      <c r="BU459" s="238">
        <v>4245400</v>
      </c>
      <c r="BW459">
        <v>0.03</v>
      </c>
      <c r="BX459" s="238">
        <v>127362</v>
      </c>
      <c r="BY459" s="238">
        <v>107520.57441253265</v>
      </c>
      <c r="BZ459" s="238">
        <v>4118038</v>
      </c>
      <c r="CA459" s="238" t="s">
        <v>6871</v>
      </c>
      <c r="CB459">
        <v>7000</v>
      </c>
      <c r="CC459">
        <v>114520.57441253265</v>
      </c>
      <c r="CD459" s="238">
        <v>268100</v>
      </c>
      <c r="CE459" s="238">
        <v>4386138</v>
      </c>
      <c r="CG459" t="s">
        <v>978</v>
      </c>
      <c r="CH459" s="238" t="s">
        <v>39</v>
      </c>
      <c r="CI459" s="238" t="s">
        <v>39</v>
      </c>
      <c r="CJ459" t="s">
        <v>8950</v>
      </c>
      <c r="CK459" t="s">
        <v>1167</v>
      </c>
      <c r="CL459" t="s">
        <v>8961</v>
      </c>
      <c r="CM459" t="s">
        <v>8973</v>
      </c>
      <c r="CN459" s="238" t="b">
        <v>1</v>
      </c>
      <c r="CO459" t="s">
        <v>5747</v>
      </c>
      <c r="CQ459" t="s">
        <v>6652</v>
      </c>
      <c r="CR459" t="s">
        <v>3246</v>
      </c>
      <c r="CS459" t="s">
        <v>6871</v>
      </c>
      <c r="CT459" t="b">
        <v>1</v>
      </c>
      <c r="CU459">
        <v>4245400</v>
      </c>
      <c r="CV459" t="s">
        <v>9002</v>
      </c>
      <c r="CW459">
        <v>0</v>
      </c>
      <c r="CX459">
        <v>4245400</v>
      </c>
      <c r="CY459">
        <v>0</v>
      </c>
      <c r="CZ459" t="b">
        <v>1</v>
      </c>
      <c r="DA459">
        <v>45454</v>
      </c>
      <c r="DB459" t="s">
        <v>126</v>
      </c>
      <c r="DC459">
        <v>-1.3054830287206221E-2</v>
      </c>
      <c r="DD459">
        <v>-1403.6628513385413</v>
      </c>
      <c r="DE459" s="420" cm="1">
        <f t="array" ref="DE459">_xlfn.XLOOKUP("Дом 5"&amp;Реестр_Д5[[#This Row],[№]]&amp;Реестр_Д5[[#This Row],[Статус]],РД[Дом]&amp;РД[№ кв]&amp;РД[Состояние],РД[Дата подачи на регистрацию],"-",0)</f>
        <v>45454</v>
      </c>
    </row>
    <row r="460" spans="1:109" hidden="1" x14ac:dyDescent="0.25">
      <c r="A460" s="238">
        <v>459</v>
      </c>
      <c r="B460" s="238" t="s">
        <v>15</v>
      </c>
      <c r="C460" s="238">
        <v>9</v>
      </c>
      <c r="D460" s="238">
        <v>7</v>
      </c>
      <c r="E460" s="238">
        <v>3</v>
      </c>
      <c r="F460" s="238">
        <v>14.49</v>
      </c>
      <c r="G460" s="238">
        <v>13.98</v>
      </c>
      <c r="H460" s="238">
        <v>11.42</v>
      </c>
      <c r="I460">
        <v>39.89</v>
      </c>
      <c r="J460" s="238">
        <v>16.670000000000002</v>
      </c>
      <c r="K460" s="238">
        <v>4.1399999999999997</v>
      </c>
      <c r="L460" s="238">
        <v>1.89</v>
      </c>
      <c r="M460" s="238"/>
      <c r="N460" s="238">
        <v>11.31</v>
      </c>
      <c r="O460" s="238">
        <v>2.86</v>
      </c>
      <c r="P460" s="238">
        <v>2.79</v>
      </c>
      <c r="Q460">
        <v>5.42</v>
      </c>
      <c r="R460" s="238">
        <v>11.07</v>
      </c>
      <c r="S460">
        <v>84.97</v>
      </c>
      <c r="T460">
        <v>73.900000000000006</v>
      </c>
      <c r="U460" s="238">
        <v>79.44</v>
      </c>
      <c r="V460">
        <v>78.799999999999983</v>
      </c>
      <c r="W460" s="238">
        <v>77803.110000000015</v>
      </c>
      <c r="X460">
        <v>3890.1555000000008</v>
      </c>
      <c r="Y460">
        <v>81693.265500000023</v>
      </c>
      <c r="Z460">
        <v>2450.7979650000002</v>
      </c>
      <c r="AA460">
        <v>84144.063465000014</v>
      </c>
      <c r="AC460">
        <v>84144.063465000014</v>
      </c>
      <c r="AE460">
        <v>84144.063465000014</v>
      </c>
      <c r="AG460">
        <v>84144.063465000014</v>
      </c>
      <c r="AI460">
        <v>84144.063465000014</v>
      </c>
      <c r="AJ460">
        <v>841.44063465000011</v>
      </c>
      <c r="AK460">
        <v>84985.504099650017</v>
      </c>
      <c r="AL460">
        <v>4249.2752049825012</v>
      </c>
      <c r="AM460">
        <v>89234.779304632524</v>
      </c>
      <c r="AO460">
        <v>89234.779304632524</v>
      </c>
      <c r="AP460">
        <v>1784.6955860926505</v>
      </c>
      <c r="AQ460">
        <v>91019.474890725178</v>
      </c>
      <c r="AS460">
        <v>91019.474890725178</v>
      </c>
      <c r="AT460">
        <v>1820.3894978145036</v>
      </c>
      <c r="AU460">
        <v>92839.864388539703</v>
      </c>
      <c r="AV460">
        <v>1000</v>
      </c>
      <c r="AW460">
        <v>93839.864388539703</v>
      </c>
      <c r="AY460">
        <v>93839.864388539703</v>
      </c>
      <c r="AZ460">
        <v>1876.7972877707939</v>
      </c>
      <c r="BA460">
        <v>95716.661676310483</v>
      </c>
      <c r="BC460">
        <v>95716.661676310483</v>
      </c>
      <c r="BE460">
        <v>95716.661676310483</v>
      </c>
      <c r="BG460">
        <v>95716.661676310483</v>
      </c>
      <c r="BI460">
        <v>95716.661676310483</v>
      </c>
      <c r="BK460">
        <v>95716.661676310483</v>
      </c>
      <c r="BM460">
        <v>95716.661676310483</v>
      </c>
      <c r="BO460">
        <v>95716.661676310483</v>
      </c>
      <c r="BQ460">
        <v>95716.661676310483</v>
      </c>
      <c r="BS460">
        <v>95716.661676310483</v>
      </c>
      <c r="BT460" s="238">
        <v>95716.66</v>
      </c>
      <c r="BU460" s="238">
        <v>7603800</v>
      </c>
      <c r="BW460">
        <v>0.03</v>
      </c>
      <c r="BX460" s="238">
        <v>228114</v>
      </c>
      <c r="BY460" s="238">
        <v>92845.996978851967</v>
      </c>
      <c r="BZ460" s="238">
        <v>7375686</v>
      </c>
      <c r="CA460" s="238" t="s">
        <v>6871</v>
      </c>
      <c r="CB460">
        <v>7000</v>
      </c>
      <c r="CC460">
        <v>99845.996978851967</v>
      </c>
      <c r="CD460" s="238">
        <v>556080</v>
      </c>
      <c r="CE460" s="238">
        <v>7931766</v>
      </c>
      <c r="CF460" t="s">
        <v>4636</v>
      </c>
      <c r="CG460" t="s">
        <v>978</v>
      </c>
      <c r="CH460" s="238" t="s">
        <v>39</v>
      </c>
      <c r="CI460" s="238" t="s">
        <v>39</v>
      </c>
      <c r="CJ460" t="s">
        <v>8950</v>
      </c>
      <c r="CK460" t="s">
        <v>1167</v>
      </c>
      <c r="CL460" t="s">
        <v>8961</v>
      </c>
      <c r="CM460" t="s">
        <v>8990</v>
      </c>
      <c r="CN460" s="238" t="b">
        <v>1</v>
      </c>
      <c r="CO460" t="s">
        <v>5748</v>
      </c>
      <c r="CQ460" t="s">
        <v>6652</v>
      </c>
      <c r="CR460" t="s">
        <v>3246</v>
      </c>
      <c r="CS460" t="s">
        <v>6871</v>
      </c>
      <c r="CT460" t="b">
        <v>1</v>
      </c>
      <c r="CU460">
        <v>7603800</v>
      </c>
      <c r="CV460" t="s">
        <v>9002</v>
      </c>
      <c r="CW460">
        <v>0</v>
      </c>
      <c r="CX460">
        <v>7603800</v>
      </c>
      <c r="CY460">
        <v>0</v>
      </c>
      <c r="CZ460" t="b">
        <v>1</v>
      </c>
      <c r="DA460">
        <v>45449</v>
      </c>
      <c r="DB460" t="s">
        <v>4177</v>
      </c>
      <c r="DC460">
        <v>-8.0563947633436328E-3</v>
      </c>
      <c r="DD460">
        <v>-748.00400385784178</v>
      </c>
      <c r="DE460" s="420" cm="1">
        <f t="array" ref="DE460">_xlfn.XLOOKUP("Дом 5"&amp;Реестр_Д5[[#This Row],[№]]&amp;Реестр_Д5[[#This Row],[Статус]],РД[Дом]&amp;РД[№ кв]&amp;РД[Состояние],РД[Дата подачи на регистрацию],"-",0)</f>
        <v>45449</v>
      </c>
    </row>
    <row r="461" spans="1:109" hidden="1" x14ac:dyDescent="0.25">
      <c r="A461" s="238">
        <v>460</v>
      </c>
      <c r="B461" s="238" t="s">
        <v>15</v>
      </c>
      <c r="C461" s="238">
        <v>9</v>
      </c>
      <c r="D461" s="238">
        <v>8</v>
      </c>
      <c r="E461" s="238">
        <v>1</v>
      </c>
      <c r="F461" s="238">
        <v>16.79</v>
      </c>
      <c r="G461" s="238"/>
      <c r="H461" s="238"/>
      <c r="I461">
        <v>16.79</v>
      </c>
      <c r="J461" s="238">
        <v>11.43</v>
      </c>
      <c r="K461" s="238">
        <v>3.56</v>
      </c>
      <c r="L461" s="238"/>
      <c r="M461" s="238"/>
      <c r="N461" s="238">
        <v>6.66</v>
      </c>
      <c r="O461" s="238">
        <v>2.4900000000000002</v>
      </c>
      <c r="P461" s="238"/>
      <c r="R461" s="238">
        <v>2.4900000000000002</v>
      </c>
      <c r="S461">
        <v>40.93</v>
      </c>
      <c r="T461">
        <v>38.44</v>
      </c>
      <c r="U461" s="238">
        <v>39.69</v>
      </c>
      <c r="V461">
        <v>39.450000000000003</v>
      </c>
      <c r="W461" s="238">
        <v>86384.8125</v>
      </c>
      <c r="X461">
        <v>4319.2406250000004</v>
      </c>
      <c r="Y461">
        <v>90704.053125000006</v>
      </c>
      <c r="Z461">
        <v>2721.1215937500001</v>
      </c>
      <c r="AA461">
        <v>93425.17471875</v>
      </c>
      <c r="AB461">
        <v>4204.1328623437503</v>
      </c>
      <c r="AC461">
        <v>97629.307581093744</v>
      </c>
      <c r="AE461">
        <v>97629.307581093744</v>
      </c>
      <c r="AF461">
        <v>4881.4653790546872</v>
      </c>
      <c r="AG461">
        <v>102510.77296014845</v>
      </c>
      <c r="AI461">
        <v>102510.77296014845</v>
      </c>
      <c r="AK461">
        <v>102510.77296014845</v>
      </c>
      <c r="AM461">
        <v>102510.77296014845</v>
      </c>
      <c r="AO461">
        <v>102510.77296014845</v>
      </c>
      <c r="AQ461">
        <v>102510.77296014845</v>
      </c>
      <c r="AS461">
        <v>102510.77296014845</v>
      </c>
      <c r="AU461">
        <v>102510.77296014845</v>
      </c>
      <c r="AW461">
        <v>102510.77296014845</v>
      </c>
      <c r="AY461">
        <v>102510.77296014845</v>
      </c>
      <c r="BA461">
        <v>102510.77296014845</v>
      </c>
      <c r="BC461">
        <v>102510.77296014845</v>
      </c>
      <c r="BE461">
        <v>102510.77296014845</v>
      </c>
      <c r="BG461">
        <v>102510.77296014845</v>
      </c>
      <c r="BI461">
        <v>102510.77296014845</v>
      </c>
      <c r="BK461">
        <v>102510.77296014845</v>
      </c>
      <c r="BM461">
        <v>102510.77296014845</v>
      </c>
      <c r="BO461">
        <v>102510.77296014845</v>
      </c>
      <c r="BQ461">
        <v>102510.77296014845</v>
      </c>
      <c r="BS461">
        <v>102510.77296014845</v>
      </c>
      <c r="BT461" s="238">
        <v>102510.77</v>
      </c>
      <c r="BU461" s="238">
        <v>4068700</v>
      </c>
      <c r="BW461">
        <v>0.05</v>
      </c>
      <c r="BX461" s="238">
        <v>203435</v>
      </c>
      <c r="BY461" s="238">
        <v>97386.369362559839</v>
      </c>
      <c r="BZ461" s="238">
        <v>3865265</v>
      </c>
      <c r="CA461" s="238" t="s">
        <v>38</v>
      </c>
      <c r="CB461">
        <v>22000</v>
      </c>
      <c r="CC461">
        <v>119386.36936255984</v>
      </c>
      <c r="CD461" s="238">
        <v>873180</v>
      </c>
      <c r="CE461" s="238">
        <v>4738445</v>
      </c>
      <c r="CG461" t="s">
        <v>978</v>
      </c>
      <c r="CH461" s="238" t="s">
        <v>39</v>
      </c>
      <c r="CI461" s="238" t="s">
        <v>39</v>
      </c>
      <c r="CJ461" t="s">
        <v>8950</v>
      </c>
      <c r="CK461" t="s">
        <v>1167</v>
      </c>
      <c r="CL461" t="s">
        <v>8961</v>
      </c>
      <c r="CM461" t="s">
        <v>8973</v>
      </c>
      <c r="CN461" s="238" t="b">
        <v>1</v>
      </c>
      <c r="CO461" t="s">
        <v>5749</v>
      </c>
      <c r="CQ461" t="s">
        <v>6652</v>
      </c>
      <c r="CR461" t="s">
        <v>3246</v>
      </c>
      <c r="CS461" t="s">
        <v>38</v>
      </c>
      <c r="CT461" t="b">
        <v>1</v>
      </c>
      <c r="CU461">
        <v>4068700</v>
      </c>
      <c r="CV461" t="s">
        <v>9002</v>
      </c>
      <c r="CW461">
        <v>0</v>
      </c>
      <c r="CX461">
        <v>4068700</v>
      </c>
      <c r="CY461">
        <v>0</v>
      </c>
      <c r="CZ461" t="b">
        <v>1</v>
      </c>
      <c r="DA461">
        <v>45290</v>
      </c>
      <c r="DB461" t="s">
        <v>5215</v>
      </c>
      <c r="DC461">
        <v>-6.0468631897202529E-3</v>
      </c>
      <c r="DD461">
        <v>-588.88205207896328</v>
      </c>
      <c r="DE461" s="420" cm="1">
        <f t="array" ref="DE461">_xlfn.XLOOKUP("Дом 5"&amp;Реестр_Д5[[#This Row],[№]]&amp;Реестр_Д5[[#This Row],[Статус]],РД[Дом]&amp;РД[№ кв]&amp;РД[Состояние],РД[Дата подачи на регистрацию],"-",0)</f>
        <v>45290</v>
      </c>
    </row>
    <row r="462" spans="1:109" hidden="1" x14ac:dyDescent="0.25">
      <c r="A462" s="238">
        <v>461</v>
      </c>
      <c r="B462" s="238" t="s">
        <v>15</v>
      </c>
      <c r="C462" s="238">
        <v>10</v>
      </c>
      <c r="D462" s="238">
        <v>1</v>
      </c>
      <c r="E462" s="238">
        <v>0</v>
      </c>
      <c r="F462" s="238">
        <v>13.74</v>
      </c>
      <c r="G462" s="238"/>
      <c r="H462" s="238"/>
      <c r="I462">
        <v>13.74</v>
      </c>
      <c r="J462" s="238">
        <v>5.84</v>
      </c>
      <c r="K462" s="238">
        <v>3.76</v>
      </c>
      <c r="L462" s="238"/>
      <c r="M462" s="238"/>
      <c r="N462" s="238">
        <v>3.73</v>
      </c>
      <c r="O462" s="238">
        <v>4.6500000000000004</v>
      </c>
      <c r="P462" s="238"/>
      <c r="R462" s="238">
        <v>4.6500000000000004</v>
      </c>
      <c r="S462">
        <v>31.72</v>
      </c>
      <c r="T462">
        <v>27.07</v>
      </c>
      <c r="U462" s="238">
        <v>29.4</v>
      </c>
      <c r="V462">
        <v>29.2</v>
      </c>
      <c r="W462" s="238">
        <v>89353.53</v>
      </c>
      <c r="X462">
        <v>4467.6765000000005</v>
      </c>
      <c r="Y462">
        <v>93821.2065</v>
      </c>
      <c r="Z462">
        <v>2814.636195</v>
      </c>
      <c r="AA462">
        <v>96635.842694999999</v>
      </c>
      <c r="AB462">
        <v>8697.2258425500004</v>
      </c>
      <c r="AC462">
        <v>105333.06853755</v>
      </c>
      <c r="AE462">
        <v>105333.06853755</v>
      </c>
      <c r="AG462">
        <v>105333.06853755</v>
      </c>
      <c r="AI462">
        <v>105333.06853755</v>
      </c>
      <c r="AJ462">
        <v>1053.3306853755</v>
      </c>
      <c r="AK462">
        <v>106386.39922292552</v>
      </c>
      <c r="AL462">
        <v>5319.319961146276</v>
      </c>
      <c r="AM462">
        <v>111705.7191840718</v>
      </c>
      <c r="AO462">
        <v>111705.7191840718</v>
      </c>
      <c r="AP462">
        <v>3351.1715755221535</v>
      </c>
      <c r="AQ462">
        <v>115056.89075959394</v>
      </c>
      <c r="AS462">
        <v>115056.89075959394</v>
      </c>
      <c r="AU462">
        <v>115056.89075959394</v>
      </c>
      <c r="AW462">
        <v>115056.89075959394</v>
      </c>
      <c r="AX462">
        <v>1150.5689075959394</v>
      </c>
      <c r="AY462">
        <v>116207.45966718988</v>
      </c>
      <c r="AZ462">
        <v>2000</v>
      </c>
      <c r="BA462">
        <v>118207.45966718988</v>
      </c>
      <c r="BC462">
        <v>118207.45966718988</v>
      </c>
      <c r="BE462">
        <v>118207.45966718988</v>
      </c>
      <c r="BG462">
        <v>118207.45966718988</v>
      </c>
      <c r="BI462">
        <v>118207.45966718988</v>
      </c>
      <c r="BK462">
        <v>118207.45966718988</v>
      </c>
      <c r="BM462">
        <v>118207.45966718988</v>
      </c>
      <c r="BO462">
        <v>118207.45966718988</v>
      </c>
      <c r="BQ462">
        <v>118207.45966718988</v>
      </c>
      <c r="BS462">
        <v>118207.45966718988</v>
      </c>
      <c r="BT462" s="238">
        <v>118207.46</v>
      </c>
      <c r="BU462" s="238">
        <v>3475300</v>
      </c>
      <c r="BX462" s="238">
        <v>0</v>
      </c>
      <c r="BY462" s="238">
        <v>118207.48299319728</v>
      </c>
      <c r="BZ462" s="238">
        <v>3475300</v>
      </c>
      <c r="CA462" s="238" t="s">
        <v>38</v>
      </c>
      <c r="CB462">
        <v>20000</v>
      </c>
      <c r="CC462">
        <v>138207.48299319728</v>
      </c>
      <c r="CD462" s="238">
        <v>588000</v>
      </c>
      <c r="CE462" s="238">
        <v>4063300</v>
      </c>
      <c r="CH462" s="238" t="s">
        <v>39</v>
      </c>
      <c r="CI462" s="238" t="s">
        <v>39</v>
      </c>
      <c r="CJ462" t="s">
        <v>8950</v>
      </c>
      <c r="CK462" t="s">
        <v>1167</v>
      </c>
      <c r="CL462" t="s">
        <v>8961</v>
      </c>
      <c r="CM462" t="s">
        <v>8970</v>
      </c>
      <c r="CN462" s="238" t="b">
        <v>1</v>
      </c>
      <c r="CO462" t="s">
        <v>5750</v>
      </c>
      <c r="CQ462" t="s">
        <v>6652</v>
      </c>
      <c r="CR462" t="s">
        <v>3246</v>
      </c>
      <c r="CS462" t="s">
        <v>38</v>
      </c>
      <c r="CT462" t="b">
        <v>1</v>
      </c>
      <c r="CU462">
        <v>3475300</v>
      </c>
      <c r="CV462" t="s">
        <v>9002</v>
      </c>
      <c r="CW462">
        <v>0</v>
      </c>
      <c r="CX462">
        <v>3475300</v>
      </c>
      <c r="CY462">
        <v>0</v>
      </c>
      <c r="CZ462" t="b">
        <v>1</v>
      </c>
      <c r="DA462">
        <v>45441</v>
      </c>
      <c r="DB462" t="s">
        <v>4177</v>
      </c>
      <c r="DC462">
        <v>-6.8027210884353817E-3</v>
      </c>
      <c r="DD462">
        <v>-804.1325373686899</v>
      </c>
      <c r="DE462" s="420" cm="1">
        <f t="array" ref="DE462">_xlfn.XLOOKUP("Дом 5"&amp;Реестр_Д5[[#This Row],[№]]&amp;Реестр_Д5[[#This Row],[Статус]],РД[Дом]&amp;РД[№ кв]&amp;РД[Состояние],РД[Дата подачи на регистрацию],"-",0)</f>
        <v>45441</v>
      </c>
    </row>
    <row r="463" spans="1:109" hidden="1" x14ac:dyDescent="0.25">
      <c r="A463" s="238">
        <v>462</v>
      </c>
      <c r="B463" s="238" t="s">
        <v>15</v>
      </c>
      <c r="C463" s="238">
        <v>10</v>
      </c>
      <c r="D463" s="238">
        <v>2</v>
      </c>
      <c r="E463" s="238">
        <v>1</v>
      </c>
      <c r="F463" s="238">
        <v>13.17</v>
      </c>
      <c r="G463" s="238"/>
      <c r="H463" s="238"/>
      <c r="I463">
        <v>13.17</v>
      </c>
      <c r="J463" s="238">
        <v>16.940000000000001</v>
      </c>
      <c r="K463" s="238">
        <v>3.55</v>
      </c>
      <c r="L463" s="238">
        <v>2.41</v>
      </c>
      <c r="M463" s="238"/>
      <c r="N463" s="238">
        <v>5.8</v>
      </c>
      <c r="O463" s="238">
        <v>2.68</v>
      </c>
      <c r="P463" s="238"/>
      <c r="R463" s="238">
        <v>2.68</v>
      </c>
      <c r="S463">
        <v>44.55</v>
      </c>
      <c r="T463">
        <v>41.87</v>
      </c>
      <c r="U463" s="238">
        <v>43.21</v>
      </c>
      <c r="V463">
        <v>42.25</v>
      </c>
      <c r="W463" s="238">
        <v>85168.125</v>
      </c>
      <c r="X463">
        <v>4258.40625</v>
      </c>
      <c r="Y463">
        <v>89426.53125</v>
      </c>
      <c r="Z463">
        <v>2682.7959375</v>
      </c>
      <c r="AA463">
        <v>92109.327187500006</v>
      </c>
      <c r="AB463">
        <v>921.09327187500003</v>
      </c>
      <c r="AC463">
        <v>93030.420459375004</v>
      </c>
      <c r="AE463">
        <v>93030.420459375004</v>
      </c>
      <c r="AF463">
        <v>4651.52102296875</v>
      </c>
      <c r="AG463">
        <v>97681.941482343755</v>
      </c>
      <c r="AI463">
        <v>97681.941482343755</v>
      </c>
      <c r="AJ463">
        <v>976.81941482343757</v>
      </c>
      <c r="AK463">
        <v>98658.760897167187</v>
      </c>
      <c r="AL463">
        <v>4932.9380448583597</v>
      </c>
      <c r="AM463">
        <v>103591.69894202554</v>
      </c>
      <c r="AO463">
        <v>103591.69894202554</v>
      </c>
      <c r="AQ463">
        <v>103591.69894202554</v>
      </c>
      <c r="AS463">
        <v>103591.69894202554</v>
      </c>
      <c r="AU463">
        <v>103591.69894202554</v>
      </c>
      <c r="AW463">
        <v>103591.69894202554</v>
      </c>
      <c r="AY463">
        <v>103591.69894202554</v>
      </c>
      <c r="BA463">
        <v>103591.69894202554</v>
      </c>
      <c r="BC463">
        <v>103591.69894202554</v>
      </c>
      <c r="BE463">
        <v>103591.69894202554</v>
      </c>
      <c r="BG463">
        <v>103591.69894202554</v>
      </c>
      <c r="BI463">
        <v>103591.69894202554</v>
      </c>
      <c r="BK463">
        <v>103591.69894202554</v>
      </c>
      <c r="BM463">
        <v>103591.69894202554</v>
      </c>
      <c r="BO463">
        <v>103591.69894202554</v>
      </c>
      <c r="BQ463">
        <v>103591.69894202554</v>
      </c>
      <c r="BS463">
        <v>103591.69894202554</v>
      </c>
      <c r="BT463" s="238">
        <v>103591.7</v>
      </c>
      <c r="BU463" s="238">
        <v>4476200</v>
      </c>
      <c r="BX463" s="238">
        <v>0</v>
      </c>
      <c r="BY463" s="238">
        <v>103591.76116639668</v>
      </c>
      <c r="BZ463" s="238">
        <v>4476200</v>
      </c>
      <c r="CA463" s="238" t="s">
        <v>36</v>
      </c>
      <c r="CC463">
        <v>103591.76116639668</v>
      </c>
      <c r="CD463" s="238">
        <v>0</v>
      </c>
      <c r="CE463" s="238">
        <v>4476200</v>
      </c>
      <c r="CH463" s="238" t="s">
        <v>39</v>
      </c>
      <c r="CI463" s="238" t="s">
        <v>39</v>
      </c>
      <c r="CJ463" t="s">
        <v>8950</v>
      </c>
      <c r="CK463" t="s">
        <v>1167</v>
      </c>
      <c r="CL463" t="s">
        <v>8961</v>
      </c>
      <c r="CM463" t="s">
        <v>8972</v>
      </c>
      <c r="CN463" s="238" t="b">
        <v>1</v>
      </c>
      <c r="CO463" t="s">
        <v>5751</v>
      </c>
      <c r="CQ463" t="s">
        <v>6652</v>
      </c>
      <c r="CR463" t="s">
        <v>3246</v>
      </c>
      <c r="CS463" t="s">
        <v>36</v>
      </c>
      <c r="CT463" t="b">
        <v>1</v>
      </c>
      <c r="CU463">
        <v>4476200</v>
      </c>
      <c r="CV463" t="s">
        <v>9002</v>
      </c>
      <c r="CW463">
        <v>4476200</v>
      </c>
      <c r="CX463">
        <v>4476200</v>
      </c>
      <c r="CY463">
        <v>0</v>
      </c>
      <c r="CZ463" t="b">
        <v>1</v>
      </c>
      <c r="DA463">
        <v>45372</v>
      </c>
      <c r="DB463" t="s">
        <v>4177</v>
      </c>
      <c r="DC463">
        <v>-2.2217079379773241E-2</v>
      </c>
      <c r="DD463">
        <v>-2301.5063809243456</v>
      </c>
      <c r="DE463" s="420" cm="1">
        <f t="array" ref="DE463">_xlfn.XLOOKUP("Дом 5"&amp;Реестр_Д5[[#This Row],[№]]&amp;Реестр_Д5[[#This Row],[Статус]],РД[Дом]&amp;РД[№ кв]&amp;РД[Состояние],РД[Дата подачи на регистрацию],"-",0)</f>
        <v>45372</v>
      </c>
    </row>
    <row r="464" spans="1:109" hidden="1" x14ac:dyDescent="0.25">
      <c r="A464" s="238">
        <v>463</v>
      </c>
      <c r="B464" s="238" t="s">
        <v>15</v>
      </c>
      <c r="C464" s="238">
        <v>10</v>
      </c>
      <c r="D464" s="238">
        <v>3</v>
      </c>
      <c r="E464" s="238">
        <v>0</v>
      </c>
      <c r="F464" s="238">
        <v>7.2</v>
      </c>
      <c r="G464" s="238"/>
      <c r="H464" s="238"/>
      <c r="I464">
        <v>7.2</v>
      </c>
      <c r="J464" s="238">
        <v>5.17</v>
      </c>
      <c r="K464" s="238">
        <v>3.71</v>
      </c>
      <c r="L464" s="238"/>
      <c r="M464" s="238"/>
      <c r="N464" s="238">
        <v>6.96</v>
      </c>
      <c r="O464" s="238">
        <v>2.92</v>
      </c>
      <c r="P464" s="238"/>
      <c r="R464" s="238">
        <v>2.92</v>
      </c>
      <c r="S464">
        <v>25.96</v>
      </c>
      <c r="T464">
        <v>23.04</v>
      </c>
      <c r="U464" s="238">
        <v>24.5</v>
      </c>
      <c r="V464">
        <v>24.35</v>
      </c>
      <c r="W464" s="238">
        <v>91105.56</v>
      </c>
      <c r="X464">
        <v>4555.2780000000002</v>
      </c>
      <c r="Y464">
        <v>95660.838000000003</v>
      </c>
      <c r="AA464">
        <v>95660.838000000003</v>
      </c>
      <c r="AC464">
        <v>95660.838000000003</v>
      </c>
      <c r="AE464">
        <v>95660.838000000003</v>
      </c>
      <c r="AG464">
        <v>95660.838000000003</v>
      </c>
      <c r="AI464">
        <v>95660.838000000003</v>
      </c>
      <c r="AK464">
        <v>95660.838000000003</v>
      </c>
      <c r="AM464">
        <v>95660.838000000003</v>
      </c>
      <c r="AO464">
        <v>95660.838000000003</v>
      </c>
      <c r="AQ464">
        <v>95660.838000000003</v>
      </c>
      <c r="AS464">
        <v>95660.838000000003</v>
      </c>
      <c r="AU464">
        <v>95660.838000000003</v>
      </c>
      <c r="AW464">
        <v>95660.838000000003</v>
      </c>
      <c r="AY464">
        <v>95660.838000000003</v>
      </c>
      <c r="BA464">
        <v>95660.838000000003</v>
      </c>
      <c r="BC464">
        <v>95660.838000000003</v>
      </c>
      <c r="BE464">
        <v>95660.838000000003</v>
      </c>
      <c r="BG464">
        <v>95660.838000000003</v>
      </c>
      <c r="BI464">
        <v>95660.838000000003</v>
      </c>
      <c r="BK464">
        <v>95660.838000000003</v>
      </c>
      <c r="BM464">
        <v>95660.838000000003</v>
      </c>
      <c r="BO464">
        <v>95660.838000000003</v>
      </c>
      <c r="BQ464">
        <v>95660.838000000003</v>
      </c>
      <c r="BS464">
        <v>95660.838000000003</v>
      </c>
      <c r="BT464" s="238">
        <v>95660.84</v>
      </c>
      <c r="BU464" s="238">
        <v>2343690.58</v>
      </c>
      <c r="BX464" s="238">
        <v>0</v>
      </c>
      <c r="BY464" s="238">
        <v>95660.84</v>
      </c>
      <c r="BZ464" s="238">
        <v>2343690.58</v>
      </c>
      <c r="CA464" s="238" t="s">
        <v>36</v>
      </c>
      <c r="CC464">
        <v>95660.84</v>
      </c>
      <c r="CD464" s="238">
        <v>0</v>
      </c>
      <c r="CE464" s="238">
        <v>2343690.58</v>
      </c>
      <c r="CH464" s="238" t="s">
        <v>39</v>
      </c>
      <c r="CI464" s="238" t="s">
        <v>39</v>
      </c>
      <c r="CJ464" t="s">
        <v>8950</v>
      </c>
      <c r="CK464" t="s">
        <v>1167</v>
      </c>
      <c r="CL464" t="s">
        <v>8961</v>
      </c>
      <c r="CM464" t="s">
        <v>8970</v>
      </c>
      <c r="CN464" s="238" t="b">
        <v>1</v>
      </c>
      <c r="CO464" t="s">
        <v>5752</v>
      </c>
      <c r="CQ464" t="s">
        <v>4895</v>
      </c>
      <c r="CR464" t="s">
        <v>3246</v>
      </c>
      <c r="CS464" t="s">
        <v>36</v>
      </c>
      <c r="CT464" t="b">
        <v>1</v>
      </c>
      <c r="CU464">
        <v>2343690.58</v>
      </c>
      <c r="CV464" t="s">
        <v>9002</v>
      </c>
      <c r="CW464">
        <v>0</v>
      </c>
      <c r="CX464">
        <v>2343691</v>
      </c>
      <c r="CY464">
        <v>0</v>
      </c>
      <c r="CZ464" t="b">
        <v>1</v>
      </c>
      <c r="DA464">
        <v>45188</v>
      </c>
      <c r="DB464" t="s">
        <v>399</v>
      </c>
      <c r="DC464">
        <v>-6.1224489795919101E-3</v>
      </c>
      <c r="DD464">
        <v>-585.67861224490491</v>
      </c>
      <c r="DE464" s="420" cm="1">
        <f t="array" ref="DE464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65" spans="1:109" hidden="1" x14ac:dyDescent="0.25">
      <c r="A465" s="238">
        <v>464</v>
      </c>
      <c r="B465" s="238" t="s">
        <v>15</v>
      </c>
      <c r="C465" s="238">
        <v>10</v>
      </c>
      <c r="D465" s="238">
        <v>4</v>
      </c>
      <c r="E465" s="238">
        <v>2</v>
      </c>
      <c r="F465" s="238">
        <v>14.48</v>
      </c>
      <c r="G465" s="238">
        <v>11.42</v>
      </c>
      <c r="H465" s="238"/>
      <c r="I465">
        <v>25.9</v>
      </c>
      <c r="J465" s="238">
        <v>15.86</v>
      </c>
      <c r="K465" s="238">
        <v>3.01</v>
      </c>
      <c r="L465" s="238">
        <v>2.67</v>
      </c>
      <c r="M465" s="238"/>
      <c r="N465" s="238">
        <v>9.44</v>
      </c>
      <c r="O465" s="238">
        <v>2.72</v>
      </c>
      <c r="P465" s="238"/>
      <c r="R465" s="238">
        <v>2.72</v>
      </c>
      <c r="S465">
        <v>59.6</v>
      </c>
      <c r="T465">
        <v>56.88</v>
      </c>
      <c r="U465" s="238">
        <v>58.24</v>
      </c>
      <c r="V465">
        <v>58.05</v>
      </c>
      <c r="W465" s="238">
        <v>79535.67300000001</v>
      </c>
      <c r="X465">
        <v>3976.7836500000008</v>
      </c>
      <c r="Y465">
        <v>83512.456649999993</v>
      </c>
      <c r="Z465">
        <v>2505.3736994999999</v>
      </c>
      <c r="AA465">
        <v>86017.8303495</v>
      </c>
      <c r="AC465">
        <v>86017.8303495</v>
      </c>
      <c r="AE465">
        <v>86017.8303495</v>
      </c>
      <c r="AG465">
        <v>86017.8303495</v>
      </c>
      <c r="AI465">
        <v>86017.8303495</v>
      </c>
      <c r="AJ465">
        <v>860.17830349500002</v>
      </c>
      <c r="AK465">
        <v>86878.008652995006</v>
      </c>
      <c r="AL465">
        <v>4343.9004326497507</v>
      </c>
      <c r="AM465">
        <v>91221.909085644758</v>
      </c>
      <c r="AO465">
        <v>91221.909085644758</v>
      </c>
      <c r="AP465">
        <v>1824.4381817128951</v>
      </c>
      <c r="AQ465">
        <v>93046.347267357647</v>
      </c>
      <c r="AS465">
        <v>93046.347267357647</v>
      </c>
      <c r="AT465">
        <v>1860.9269453471527</v>
      </c>
      <c r="AU465">
        <v>94907.274212704797</v>
      </c>
      <c r="AW465">
        <v>94907.274212704797</v>
      </c>
      <c r="AX465">
        <v>949.07274212704795</v>
      </c>
      <c r="AY465">
        <v>95856.346954831839</v>
      </c>
      <c r="BA465">
        <v>95856.346954831839</v>
      </c>
      <c r="BC465">
        <v>95856.346954831839</v>
      </c>
      <c r="BE465">
        <v>95856.346954831839</v>
      </c>
      <c r="BF465">
        <v>1437.8452043224777</v>
      </c>
      <c r="BG465">
        <v>97294.192159154321</v>
      </c>
      <c r="BI465">
        <v>97294.192159154321</v>
      </c>
      <c r="BK465">
        <v>97294.192159154321</v>
      </c>
      <c r="BM465">
        <v>97294.192159154321</v>
      </c>
      <c r="BO465">
        <v>97294.192159154321</v>
      </c>
      <c r="BQ465">
        <v>97294.192159154321</v>
      </c>
      <c r="BS465">
        <v>97294.192159154321</v>
      </c>
      <c r="BT465" s="238">
        <v>97294.19</v>
      </c>
      <c r="BU465" s="238">
        <v>5666500</v>
      </c>
      <c r="BW465">
        <v>0.03</v>
      </c>
      <c r="BX465" s="238">
        <v>169995</v>
      </c>
      <c r="BY465" s="238">
        <v>94376.802884615376</v>
      </c>
      <c r="BZ465" s="238">
        <v>5496505</v>
      </c>
      <c r="CA465" s="238" t="s">
        <v>38</v>
      </c>
      <c r="CB465">
        <v>20000</v>
      </c>
      <c r="CC465">
        <v>114376.80288461538</v>
      </c>
      <c r="CD465" s="238">
        <v>1164800</v>
      </c>
      <c r="CE465" s="238">
        <v>6661305</v>
      </c>
      <c r="CG465" t="s">
        <v>321</v>
      </c>
      <c r="CH465" s="238" t="s">
        <v>39</v>
      </c>
      <c r="CI465" s="238" t="s">
        <v>39</v>
      </c>
      <c r="CJ465" t="s">
        <v>8950</v>
      </c>
      <c r="CK465" t="s">
        <v>1167</v>
      </c>
      <c r="CL465" t="s">
        <v>8961</v>
      </c>
      <c r="CM465" t="s">
        <v>8971</v>
      </c>
      <c r="CN465" s="238" t="b">
        <v>1</v>
      </c>
      <c r="CO465" t="s">
        <v>5753</v>
      </c>
      <c r="CQ465" t="s">
        <v>6652</v>
      </c>
      <c r="CR465" t="s">
        <v>3246</v>
      </c>
      <c r="CS465" t="s">
        <v>38</v>
      </c>
      <c r="CT465" t="b">
        <v>1</v>
      </c>
      <c r="CU465">
        <v>5666500</v>
      </c>
      <c r="CV465" t="s">
        <v>9002</v>
      </c>
      <c r="CW465">
        <v>0</v>
      </c>
      <c r="CX465">
        <v>5666500</v>
      </c>
      <c r="CY465">
        <v>0</v>
      </c>
      <c r="CZ465" t="b">
        <v>1</v>
      </c>
      <c r="DA465">
        <v>45548</v>
      </c>
      <c r="DB465" t="s">
        <v>126</v>
      </c>
      <c r="DC465">
        <v>-3.2623626373626813E-3</v>
      </c>
      <c r="DD465">
        <v>-307.89135556451174</v>
      </c>
      <c r="DE465" s="420" cm="1">
        <f t="array" ref="DE465">_xlfn.XLOOKUP("Дом 5"&amp;Реестр_Д5[[#This Row],[№]]&amp;Реестр_Д5[[#This Row],[Статус]],РД[Дом]&amp;РД[№ кв]&amp;РД[Состояние],РД[Дата подачи на регистрацию],"-",0)</f>
        <v>45548</v>
      </c>
    </row>
    <row r="466" spans="1:109" hidden="1" x14ac:dyDescent="0.25">
      <c r="A466" s="238">
        <v>465</v>
      </c>
      <c r="B466" s="238" t="s">
        <v>15</v>
      </c>
      <c r="C466" s="238">
        <v>10</v>
      </c>
      <c r="D466" s="238">
        <v>5</v>
      </c>
      <c r="E466" s="238">
        <v>2</v>
      </c>
      <c r="F466" s="238">
        <v>15.41</v>
      </c>
      <c r="G466" s="238">
        <v>12.78</v>
      </c>
      <c r="H466" s="238"/>
      <c r="I466">
        <v>28.19</v>
      </c>
      <c r="J466" s="238">
        <v>13.45</v>
      </c>
      <c r="K466" s="238">
        <v>3.7</v>
      </c>
      <c r="L466" s="238">
        <v>2.72</v>
      </c>
      <c r="M466" s="238"/>
      <c r="N466" s="238">
        <v>8.2200000000000006</v>
      </c>
      <c r="O466" s="238">
        <v>3.03</v>
      </c>
      <c r="P466" s="238"/>
      <c r="R466" s="238">
        <v>3.03</v>
      </c>
      <c r="S466">
        <v>59.31</v>
      </c>
      <c r="T466">
        <v>56.28</v>
      </c>
      <c r="U466" s="238">
        <v>57.8</v>
      </c>
      <c r="V466">
        <v>57.45</v>
      </c>
      <c r="W466" s="238">
        <v>79149.577499999999</v>
      </c>
      <c r="X466">
        <v>3957.4788749999998</v>
      </c>
      <c r="Y466">
        <v>83107.056375</v>
      </c>
      <c r="Z466">
        <v>2493.2116912500001</v>
      </c>
      <c r="AA466">
        <v>85600.268066250006</v>
      </c>
      <c r="AC466">
        <v>85600.268066250006</v>
      </c>
      <c r="AE466">
        <v>85600.268066250006</v>
      </c>
      <c r="AG466">
        <v>85600.268066250006</v>
      </c>
      <c r="AI466">
        <v>85600.268066250006</v>
      </c>
      <c r="AJ466">
        <v>856.0026806625001</v>
      </c>
      <c r="AK466">
        <v>86456.270746912502</v>
      </c>
      <c r="AL466">
        <v>4322.8135373456253</v>
      </c>
      <c r="AM466">
        <v>90779.084284258133</v>
      </c>
      <c r="AO466">
        <v>90779.084284258133</v>
      </c>
      <c r="AP466">
        <v>1815.5816856851627</v>
      </c>
      <c r="AQ466">
        <v>92594.665969943293</v>
      </c>
      <c r="AS466">
        <v>92594.665969943293</v>
      </c>
      <c r="AT466">
        <v>1851.893319398866</v>
      </c>
      <c r="AU466">
        <v>94446.559289342156</v>
      </c>
      <c r="AW466">
        <v>94446.559289342156</v>
      </c>
      <c r="AX466">
        <v>944.46559289342156</v>
      </c>
      <c r="AY466">
        <v>95391.024882235579</v>
      </c>
      <c r="BA466">
        <v>95391.024882235579</v>
      </c>
      <c r="BC466">
        <v>95391.024882235579</v>
      </c>
      <c r="BE466">
        <v>95391.024882235579</v>
      </c>
      <c r="BF466">
        <v>1430.8653732335335</v>
      </c>
      <c r="BG466">
        <v>96821.890255469116</v>
      </c>
      <c r="BH466">
        <v>500</v>
      </c>
      <c r="BI466">
        <v>97321.890255469116</v>
      </c>
      <c r="BJ466">
        <v>3892.8756102187649</v>
      </c>
      <c r="BK466">
        <v>101214.76586568788</v>
      </c>
      <c r="BL466">
        <v>6072.8859519412727</v>
      </c>
      <c r="BM466">
        <v>107287.65181762914</v>
      </c>
      <c r="BN466">
        <v>13947.39473629179</v>
      </c>
      <c r="BO466">
        <v>121235.04655392093</v>
      </c>
      <c r="BP466">
        <v>35</v>
      </c>
      <c r="BQ466">
        <v>121270.04655392093</v>
      </c>
      <c r="BS466">
        <v>121270.04655392093</v>
      </c>
      <c r="BT466" s="238">
        <v>121270.05</v>
      </c>
      <c r="BU466" s="238">
        <v>7009500</v>
      </c>
      <c r="BV466">
        <v>300000</v>
      </c>
      <c r="BW466">
        <v>0.03</v>
      </c>
      <c r="BX466" s="238">
        <v>510285</v>
      </c>
      <c r="BY466" s="238">
        <v>112443.16608996539</v>
      </c>
      <c r="BZ466" s="238">
        <v>6499215</v>
      </c>
      <c r="CA466" s="238" t="s">
        <v>6871</v>
      </c>
      <c r="CB466">
        <v>10000</v>
      </c>
      <c r="CC466">
        <v>122443.16608996539</v>
      </c>
      <c r="CD466" s="238">
        <v>578000</v>
      </c>
      <c r="CE466" s="238">
        <v>7077215</v>
      </c>
      <c r="CG466" t="s">
        <v>8592</v>
      </c>
      <c r="CH466" s="238" t="s">
        <v>39</v>
      </c>
      <c r="CI466" s="238" t="s">
        <v>39</v>
      </c>
      <c r="CJ466" t="s">
        <v>8950</v>
      </c>
      <c r="CK466" t="s">
        <v>1167</v>
      </c>
      <c r="CL466" t="s">
        <v>8961</v>
      </c>
      <c r="CM466" t="s">
        <v>8974</v>
      </c>
      <c r="CN466" s="238" t="b">
        <v>1</v>
      </c>
      <c r="CO466" t="s">
        <v>5754</v>
      </c>
      <c r="CQ466" t="s">
        <v>6652</v>
      </c>
      <c r="CR466" t="s">
        <v>3246</v>
      </c>
      <c r="CS466" t="s">
        <v>6871</v>
      </c>
      <c r="CT466" t="b">
        <v>1</v>
      </c>
      <c r="CU466">
        <v>7009500</v>
      </c>
      <c r="CV466" t="s">
        <v>9002</v>
      </c>
      <c r="CW466">
        <v>0</v>
      </c>
      <c r="CX466">
        <v>7009500</v>
      </c>
      <c r="CY466">
        <v>0</v>
      </c>
      <c r="CZ466" t="b">
        <v>1</v>
      </c>
      <c r="DA466">
        <v>45807</v>
      </c>
      <c r="DB466" t="s">
        <v>5215</v>
      </c>
      <c r="DC466">
        <v>-6.0553633217993452E-3</v>
      </c>
      <c r="DD466">
        <v>-680.88422372816842</v>
      </c>
      <c r="DE466" s="420" cm="1">
        <f t="array" ref="DE466">_xlfn.XLOOKUP("Дом 5"&amp;Реестр_Д5[[#This Row],[№]]&amp;Реестр_Д5[[#This Row],[Статус]],РД[Дом]&amp;РД[№ кв]&amp;РД[Состояние],РД[Дата подачи на регистрацию],"-",0)</f>
        <v>45807</v>
      </c>
    </row>
    <row r="467" spans="1:109" hidden="1" x14ac:dyDescent="0.25">
      <c r="A467" s="238">
        <v>466</v>
      </c>
      <c r="B467" s="238" t="s">
        <v>15</v>
      </c>
      <c r="C467" s="238">
        <v>10</v>
      </c>
      <c r="D467" s="238">
        <v>6</v>
      </c>
      <c r="E467" s="238">
        <v>1</v>
      </c>
      <c r="F467" s="238">
        <v>12.71</v>
      </c>
      <c r="G467" s="238"/>
      <c r="H467" s="238"/>
      <c r="I467">
        <v>12.71</v>
      </c>
      <c r="J467" s="238">
        <v>12.55</v>
      </c>
      <c r="K467" s="238">
        <v>4.28</v>
      </c>
      <c r="L467" s="238"/>
      <c r="M467" s="238"/>
      <c r="N467" s="238">
        <v>7.34</v>
      </c>
      <c r="O467" s="238">
        <v>2.84</v>
      </c>
      <c r="P467" s="238"/>
      <c r="R467" s="238">
        <v>2.84</v>
      </c>
      <c r="S467">
        <v>39.72</v>
      </c>
      <c r="T467">
        <v>36.880000000000003</v>
      </c>
      <c r="U467" s="238">
        <v>38.299999999999997</v>
      </c>
      <c r="V467">
        <v>37.700000000000003</v>
      </c>
      <c r="W467" s="238">
        <v>87601.5</v>
      </c>
      <c r="X467">
        <v>4380.0749999999998</v>
      </c>
      <c r="Y467">
        <v>91981.574999999997</v>
      </c>
      <c r="AA467">
        <v>91981.574999999997</v>
      </c>
      <c r="AC467">
        <v>91981.574999999997</v>
      </c>
      <c r="AE467">
        <v>91981.574999999997</v>
      </c>
      <c r="AG467">
        <v>91981.574999999997</v>
      </c>
      <c r="AI467">
        <v>91981.574999999997</v>
      </c>
      <c r="AK467">
        <v>91981.574999999997</v>
      </c>
      <c r="AM467">
        <v>91981.574999999997</v>
      </c>
      <c r="AO467">
        <v>91981.574999999997</v>
      </c>
      <c r="AQ467">
        <v>91981.574999999997</v>
      </c>
      <c r="AS467">
        <v>91981.574999999997</v>
      </c>
      <c r="AU467">
        <v>91981.574999999997</v>
      </c>
      <c r="AW467">
        <v>91981.574999999997</v>
      </c>
      <c r="AY467">
        <v>91981.574999999997</v>
      </c>
      <c r="BA467">
        <v>91981.574999999997</v>
      </c>
      <c r="BC467">
        <v>91981.574999999997</v>
      </c>
      <c r="BE467">
        <v>91981.574999999997</v>
      </c>
      <c r="BG467">
        <v>91981.574999999997</v>
      </c>
      <c r="BI467">
        <v>91981.574999999997</v>
      </c>
      <c r="BK467">
        <v>91981.574999999997</v>
      </c>
      <c r="BM467">
        <v>91981.574999999997</v>
      </c>
      <c r="BO467">
        <v>91981.574999999997</v>
      </c>
      <c r="BQ467">
        <v>91981.574999999997</v>
      </c>
      <c r="BS467">
        <v>91981.574999999997</v>
      </c>
      <c r="BT467" s="238">
        <v>91981.58</v>
      </c>
      <c r="BU467" s="238">
        <v>3522894.51</v>
      </c>
      <c r="BX467" s="238">
        <v>0</v>
      </c>
      <c r="BY467" s="238">
        <v>91981.579895561357</v>
      </c>
      <c r="BZ467" s="238">
        <v>3522894.51</v>
      </c>
      <c r="CA467" s="238" t="s">
        <v>36</v>
      </c>
      <c r="CC467">
        <v>91981.579895561357</v>
      </c>
      <c r="CD467" s="238">
        <v>0</v>
      </c>
      <c r="CE467" s="238">
        <v>3522894.51</v>
      </c>
      <c r="CH467" s="238" t="s">
        <v>39</v>
      </c>
      <c r="CI467" s="238" t="s">
        <v>39</v>
      </c>
      <c r="CJ467" t="s">
        <v>8950</v>
      </c>
      <c r="CK467" t="s">
        <v>1167</v>
      </c>
      <c r="CL467" t="s">
        <v>8961</v>
      </c>
      <c r="CM467" t="s">
        <v>8973</v>
      </c>
      <c r="CN467" s="238" t="b">
        <v>1</v>
      </c>
      <c r="CO467" t="s">
        <v>5755</v>
      </c>
      <c r="CQ467" t="s">
        <v>4895</v>
      </c>
      <c r="CR467" t="s">
        <v>3246</v>
      </c>
      <c r="CS467" t="s">
        <v>36</v>
      </c>
      <c r="CT467" t="b">
        <v>1</v>
      </c>
      <c r="CU467">
        <v>3522894.51</v>
      </c>
      <c r="CV467" t="s">
        <v>9002</v>
      </c>
      <c r="CW467">
        <v>0</v>
      </c>
      <c r="CX467">
        <v>3522895</v>
      </c>
      <c r="CY467">
        <v>0</v>
      </c>
      <c r="CZ467" t="b">
        <v>1</v>
      </c>
      <c r="DA467">
        <v>45188</v>
      </c>
      <c r="DB467" t="s">
        <v>130</v>
      </c>
      <c r="DC467">
        <v>-1.5665796344647598E-2</v>
      </c>
      <c r="DD467">
        <v>-1440.9646981027961</v>
      </c>
      <c r="DE467" s="420" cm="1">
        <f t="array" ref="DE467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68" spans="1:109" hidden="1" x14ac:dyDescent="0.25">
      <c r="A468" s="238">
        <v>467</v>
      </c>
      <c r="B468" s="238" t="s">
        <v>15</v>
      </c>
      <c r="C468" s="238">
        <v>10</v>
      </c>
      <c r="D468" s="238">
        <v>7</v>
      </c>
      <c r="E468" s="238">
        <v>3</v>
      </c>
      <c r="F468" s="238">
        <v>14.49</v>
      </c>
      <c r="G468" s="238">
        <v>13.98</v>
      </c>
      <c r="H468" s="238">
        <v>11.42</v>
      </c>
      <c r="I468">
        <v>39.89</v>
      </c>
      <c r="J468" s="238">
        <v>16.670000000000002</v>
      </c>
      <c r="K468" s="238">
        <v>4.1399999999999997</v>
      </c>
      <c r="L468" s="238">
        <v>1.89</v>
      </c>
      <c r="M468" s="238"/>
      <c r="N468" s="238">
        <v>11.31</v>
      </c>
      <c r="O468" s="238">
        <v>2.86</v>
      </c>
      <c r="P468" s="238">
        <v>2.79</v>
      </c>
      <c r="Q468">
        <v>5.42</v>
      </c>
      <c r="R468" s="238">
        <v>11.07</v>
      </c>
      <c r="S468">
        <v>84.97</v>
      </c>
      <c r="T468">
        <v>73.900000000000006</v>
      </c>
      <c r="U468" s="238">
        <v>79.44</v>
      </c>
      <c r="V468">
        <v>78.749999999999986</v>
      </c>
      <c r="W468" s="238">
        <v>76375.530000000013</v>
      </c>
      <c r="X468">
        <v>3818.7765000000009</v>
      </c>
      <c r="Y468">
        <v>80194.306500000021</v>
      </c>
      <c r="Z468">
        <v>2405.8291950000007</v>
      </c>
      <c r="AA468">
        <v>82600.135695000019</v>
      </c>
      <c r="AC468">
        <v>82600.135695000019</v>
      </c>
      <c r="AE468">
        <v>82600.135695000019</v>
      </c>
      <c r="AG468">
        <v>82600.135695000019</v>
      </c>
      <c r="AI468">
        <v>82600.135695000019</v>
      </c>
      <c r="AK468">
        <v>82600.135695000019</v>
      </c>
      <c r="AM468">
        <v>82600.135695000019</v>
      </c>
      <c r="AO468">
        <v>82600.135695000019</v>
      </c>
      <c r="AQ468">
        <v>82600.135695000019</v>
      </c>
      <c r="AS468">
        <v>82600.135695000019</v>
      </c>
      <c r="AU468">
        <v>82600.135695000019</v>
      </c>
      <c r="AW468">
        <v>82600.135695000019</v>
      </c>
      <c r="AY468">
        <v>82600.135695000019</v>
      </c>
      <c r="BA468">
        <v>82600.135695000019</v>
      </c>
      <c r="BC468">
        <v>82600.135695000019</v>
      </c>
      <c r="BE468">
        <v>82600.135695000019</v>
      </c>
      <c r="BG468">
        <v>82600.135695000019</v>
      </c>
      <c r="BI468">
        <v>82600.135695000019</v>
      </c>
      <c r="BK468">
        <v>82600.135695000019</v>
      </c>
      <c r="BM468">
        <v>82600.135695000019</v>
      </c>
      <c r="BO468">
        <v>82600.135695000019</v>
      </c>
      <c r="BQ468">
        <v>82600.135695000019</v>
      </c>
      <c r="BS468">
        <v>82600.135695000019</v>
      </c>
      <c r="BT468" s="238">
        <v>82600.14</v>
      </c>
      <c r="BU468" s="238">
        <v>6561755.1200000001</v>
      </c>
      <c r="BX468" s="238">
        <v>0</v>
      </c>
      <c r="BY468" s="238">
        <v>82600.139979859014</v>
      </c>
      <c r="BZ468" s="238">
        <v>6561755.1200000001</v>
      </c>
      <c r="CA468" s="238" t="s">
        <v>37</v>
      </c>
      <c r="CB468">
        <v>5000</v>
      </c>
      <c r="CC468">
        <v>87600.139979859014</v>
      </c>
      <c r="CD468" s="238">
        <v>397200</v>
      </c>
      <c r="CE468" s="238">
        <v>6958955.1200000001</v>
      </c>
      <c r="CF468" t="s">
        <v>4636</v>
      </c>
      <c r="CH468" s="238" t="s">
        <v>39</v>
      </c>
      <c r="CI468" s="238" t="s">
        <v>39</v>
      </c>
      <c r="CJ468" t="s">
        <v>8950</v>
      </c>
      <c r="CK468" t="s">
        <v>1167</v>
      </c>
      <c r="CL468" t="s">
        <v>8961</v>
      </c>
      <c r="CM468" t="s">
        <v>8990</v>
      </c>
      <c r="CN468" s="238" t="b">
        <v>1</v>
      </c>
      <c r="CO468" t="s">
        <v>5756</v>
      </c>
      <c r="CQ468" t="s">
        <v>4895</v>
      </c>
      <c r="CR468" t="s">
        <v>3246</v>
      </c>
      <c r="CS468" t="s">
        <v>37</v>
      </c>
      <c r="CT468" t="b">
        <v>1</v>
      </c>
      <c r="CU468">
        <v>6561755.1200000001</v>
      </c>
      <c r="CV468" t="s">
        <v>9002</v>
      </c>
      <c r="CW468">
        <v>0</v>
      </c>
      <c r="CX468">
        <v>6561755</v>
      </c>
      <c r="CY468">
        <v>0</v>
      </c>
      <c r="CZ468" t="b">
        <v>1</v>
      </c>
      <c r="DA468">
        <v>45184</v>
      </c>
      <c r="DB468" t="s">
        <v>3901</v>
      </c>
      <c r="DC468">
        <v>-8.6858006042297431E-3</v>
      </c>
      <c r="DD468">
        <v>-717.44834574652077</v>
      </c>
      <c r="DE468" s="420" cm="1">
        <f t="array" ref="DE468">_xlfn.XLOOKUP("Дом 5"&amp;Реестр_Д5[[#This Row],[№]]&amp;Реестр_Д5[[#This Row],[Статус]],РД[Дом]&amp;РД[№ кв]&amp;РД[Состояние],РД[Дата подачи на регистрацию],"-",0)</f>
        <v>45184</v>
      </c>
    </row>
    <row r="469" spans="1:109" hidden="1" x14ac:dyDescent="0.25">
      <c r="A469" s="238">
        <v>468</v>
      </c>
      <c r="B469" s="238" t="s">
        <v>15</v>
      </c>
      <c r="C469" s="238">
        <v>10</v>
      </c>
      <c r="D469" s="238">
        <v>8</v>
      </c>
      <c r="E469" s="238">
        <v>1</v>
      </c>
      <c r="F469" s="238">
        <v>16.79</v>
      </c>
      <c r="G469" s="238"/>
      <c r="H469" s="238"/>
      <c r="I469">
        <v>16.79</v>
      </c>
      <c r="J469" s="238">
        <v>11.43</v>
      </c>
      <c r="K469" s="238">
        <v>3.56</v>
      </c>
      <c r="L469" s="238"/>
      <c r="M469" s="238"/>
      <c r="N469" s="238">
        <v>6.66</v>
      </c>
      <c r="O469" s="238">
        <v>2.4900000000000002</v>
      </c>
      <c r="P469" s="238"/>
      <c r="R469" s="238">
        <v>2.4900000000000002</v>
      </c>
      <c r="S469">
        <v>40.93</v>
      </c>
      <c r="T469">
        <v>38.44</v>
      </c>
      <c r="U469" s="238">
        <v>39.69</v>
      </c>
      <c r="V469">
        <v>39.549999999999997</v>
      </c>
      <c r="W469" s="238">
        <v>84762.5625</v>
      </c>
      <c r="X469">
        <v>4238.1281250000002</v>
      </c>
      <c r="Y469">
        <v>89000.690625000003</v>
      </c>
      <c r="Z469">
        <v>2670.02071875</v>
      </c>
      <c r="AA469">
        <v>91670.711343750023</v>
      </c>
      <c r="AB469">
        <v>4125.1820104687504</v>
      </c>
      <c r="AC469">
        <v>95795.893354218759</v>
      </c>
      <c r="AE469">
        <v>95795.893354218759</v>
      </c>
      <c r="AF469">
        <v>4789.7946677109385</v>
      </c>
      <c r="AG469">
        <v>100585.6880219297</v>
      </c>
      <c r="AI469">
        <v>100585.6880219297</v>
      </c>
      <c r="AJ469">
        <v>1005.8568802192972</v>
      </c>
      <c r="AK469">
        <v>101591.54490214901</v>
      </c>
      <c r="AL469">
        <v>5079.5772451074508</v>
      </c>
      <c r="AM469">
        <v>106671.12214725644</v>
      </c>
      <c r="AO469">
        <v>106671.12214725644</v>
      </c>
      <c r="AP469">
        <v>3200.1336644176936</v>
      </c>
      <c r="AQ469">
        <v>109871.25581167414</v>
      </c>
      <c r="AS469">
        <v>109871.25581167414</v>
      </c>
      <c r="AU469">
        <v>109871.25581167414</v>
      </c>
      <c r="AW469">
        <v>109871.25581167414</v>
      </c>
      <c r="AY469">
        <v>109871.25581167414</v>
      </c>
      <c r="BA469">
        <v>109871.25581167414</v>
      </c>
      <c r="BC469">
        <v>109871.25581167414</v>
      </c>
      <c r="BE469">
        <v>109871.25581167414</v>
      </c>
      <c r="BF469">
        <v>549.35627905837077</v>
      </c>
      <c r="BG469">
        <v>110420.61209073252</v>
      </c>
      <c r="BI469">
        <v>110420.61209073252</v>
      </c>
      <c r="BJ469">
        <v>2208.4122418146503</v>
      </c>
      <c r="BK469">
        <v>112629.02433254715</v>
      </c>
      <c r="BL469">
        <v>5631.451216627358</v>
      </c>
      <c r="BM469">
        <v>118260.47554917452</v>
      </c>
      <c r="BN469">
        <v>15373.861821392687</v>
      </c>
      <c r="BO469">
        <v>133634.3373705672</v>
      </c>
      <c r="BP469">
        <v>35</v>
      </c>
      <c r="BQ469">
        <v>133669.3373705672</v>
      </c>
      <c r="BS469">
        <v>133669.3373705672</v>
      </c>
      <c r="BT469" s="238">
        <v>133669.34</v>
      </c>
      <c r="BU469" s="238">
        <v>5305400</v>
      </c>
      <c r="BV469">
        <v>317520</v>
      </c>
      <c r="BX469" s="238">
        <v>317520</v>
      </c>
      <c r="BY469" s="238">
        <v>125670.94986142604</v>
      </c>
      <c r="BZ469" s="238">
        <v>4987880</v>
      </c>
      <c r="CA469" s="238" t="s">
        <v>38</v>
      </c>
      <c r="CB469">
        <v>25000</v>
      </c>
      <c r="CC469">
        <v>150670.94986142605</v>
      </c>
      <c r="CD469" s="238">
        <v>992250</v>
      </c>
      <c r="CE469" s="238">
        <v>5980130</v>
      </c>
      <c r="CG469" t="s">
        <v>8676</v>
      </c>
      <c r="CH469" s="238" t="s">
        <v>39</v>
      </c>
      <c r="CI469" s="238" t="s">
        <v>39</v>
      </c>
      <c r="CJ469" t="s">
        <v>8950</v>
      </c>
      <c r="CK469" t="s">
        <v>1167</v>
      </c>
      <c r="CL469" t="s">
        <v>8961</v>
      </c>
      <c r="CM469" t="s">
        <v>8973</v>
      </c>
      <c r="CN469" s="238" t="b">
        <v>1</v>
      </c>
      <c r="CO469" t="s">
        <v>5757</v>
      </c>
      <c r="CQ469" t="s">
        <v>6652</v>
      </c>
      <c r="CR469" t="s">
        <v>3246</v>
      </c>
      <c r="CS469" t="s">
        <v>38</v>
      </c>
      <c r="CT469" t="b">
        <v>1</v>
      </c>
      <c r="CU469">
        <v>5305400</v>
      </c>
      <c r="CV469" t="s">
        <v>9002</v>
      </c>
      <c r="CW469">
        <v>0</v>
      </c>
      <c r="CX469">
        <v>5305400</v>
      </c>
      <c r="CY469">
        <v>0</v>
      </c>
      <c r="CZ469" t="b">
        <v>1</v>
      </c>
      <c r="DA469">
        <v>45773</v>
      </c>
      <c r="DB469" t="s">
        <v>4177</v>
      </c>
      <c r="DC469">
        <v>-3.5273368606700828E-3</v>
      </c>
      <c r="DD469">
        <v>-443.2837737616299</v>
      </c>
      <c r="DE469" s="420" cm="1">
        <f t="array" ref="DE469">_xlfn.XLOOKUP("Дом 5"&amp;Реестр_Д5[[#This Row],[№]]&amp;Реестр_Д5[[#This Row],[Статус]],РД[Дом]&amp;РД[№ кв]&amp;РД[Состояние],РД[Дата подачи на регистрацию],"-",0)</f>
        <v>45773</v>
      </c>
    </row>
    <row r="470" spans="1:109" hidden="1" x14ac:dyDescent="0.25">
      <c r="A470" s="238">
        <v>469</v>
      </c>
      <c r="B470" s="238" t="s">
        <v>15</v>
      </c>
      <c r="C470" s="238">
        <v>11</v>
      </c>
      <c r="D470" s="238">
        <v>1</v>
      </c>
      <c r="E470" s="238">
        <v>0</v>
      </c>
      <c r="F470" s="238">
        <v>13.74</v>
      </c>
      <c r="G470" s="238"/>
      <c r="H470" s="238"/>
      <c r="I470">
        <v>13.74</v>
      </c>
      <c r="J470" s="238">
        <v>5.84</v>
      </c>
      <c r="K470" s="238">
        <v>3.76</v>
      </c>
      <c r="L470" s="238"/>
      <c r="M470" s="238"/>
      <c r="N470" s="238">
        <v>3.73</v>
      </c>
      <c r="O470" s="238">
        <v>4.6500000000000004</v>
      </c>
      <c r="P470" s="238"/>
      <c r="R470" s="238">
        <v>4.6500000000000004</v>
      </c>
      <c r="S470">
        <v>31.72</v>
      </c>
      <c r="T470">
        <v>27.07</v>
      </c>
      <c r="U470" s="238">
        <v>29.4</v>
      </c>
      <c r="V470">
        <v>29.2</v>
      </c>
      <c r="W470" s="238">
        <v>89353.53</v>
      </c>
      <c r="X470">
        <v>4467.6765000000005</v>
      </c>
      <c r="Y470">
        <v>93821.2065</v>
      </c>
      <c r="Z470">
        <v>2814.636195</v>
      </c>
      <c r="AA470">
        <v>96635.842694999999</v>
      </c>
      <c r="AB470">
        <v>8697.2258425500004</v>
      </c>
      <c r="AC470">
        <v>105333.06853755</v>
      </c>
      <c r="AE470">
        <v>105333.06853755</v>
      </c>
      <c r="AG470">
        <v>105333.06853755</v>
      </c>
      <c r="AI470">
        <v>105333.06853755</v>
      </c>
      <c r="AJ470">
        <v>1053.3306853755</v>
      </c>
      <c r="AK470">
        <v>106386.39922292552</v>
      </c>
      <c r="AL470">
        <v>5319.319961146276</v>
      </c>
      <c r="AM470">
        <v>111705.7191840718</v>
      </c>
      <c r="AO470">
        <v>111705.7191840718</v>
      </c>
      <c r="AP470">
        <v>3351.1715755221535</v>
      </c>
      <c r="AQ470">
        <v>115056.89075959394</v>
      </c>
      <c r="AS470">
        <v>115056.89075959394</v>
      </c>
      <c r="AU470">
        <v>115056.89075959394</v>
      </c>
      <c r="AW470">
        <v>115056.89075959394</v>
      </c>
      <c r="AX470">
        <v>1150.5689075959394</v>
      </c>
      <c r="AY470">
        <v>116207.45966718988</v>
      </c>
      <c r="BA470">
        <v>116207.45966718988</v>
      </c>
      <c r="BC470">
        <v>116207.45966718988</v>
      </c>
      <c r="BE470">
        <v>116207.45966718988</v>
      </c>
      <c r="BF470">
        <v>1743.111895007848</v>
      </c>
      <c r="BG470">
        <v>117950.57156219771</v>
      </c>
      <c r="BI470">
        <v>117950.57156219771</v>
      </c>
      <c r="BK470">
        <v>117950.57156219771</v>
      </c>
      <c r="BL470">
        <v>4718.0228624879092</v>
      </c>
      <c r="BM470">
        <v>122668.59442468564</v>
      </c>
      <c r="BN470">
        <v>15946.917275209133</v>
      </c>
      <c r="BO470">
        <v>138615.51169989476</v>
      </c>
      <c r="BQ470">
        <v>138615.51169989476</v>
      </c>
      <c r="BS470">
        <v>138615.51169989476</v>
      </c>
      <c r="BT470" s="238">
        <v>138615.51</v>
      </c>
      <c r="BU470" s="238">
        <v>4075300</v>
      </c>
      <c r="BW470">
        <v>0.02</v>
      </c>
      <c r="BX470" s="238">
        <v>81506</v>
      </c>
      <c r="BY470" s="238">
        <v>135843.33333333334</v>
      </c>
      <c r="BZ470" s="238">
        <v>3993794</v>
      </c>
      <c r="CA470" s="238" t="s">
        <v>36</v>
      </c>
      <c r="CC470">
        <v>135843.33333333334</v>
      </c>
      <c r="CD470" s="238">
        <v>0</v>
      </c>
      <c r="CE470" s="238">
        <v>3993794</v>
      </c>
      <c r="CG470" t="s">
        <v>3540</v>
      </c>
      <c r="CH470" s="238" t="s">
        <v>39</v>
      </c>
      <c r="CI470" s="238" t="s">
        <v>39</v>
      </c>
      <c r="CJ470" t="s">
        <v>8950</v>
      </c>
      <c r="CK470" t="s">
        <v>1167</v>
      </c>
      <c r="CL470" t="s">
        <v>8961</v>
      </c>
      <c r="CM470" t="s">
        <v>8970</v>
      </c>
      <c r="CN470" s="238" t="b">
        <v>1</v>
      </c>
      <c r="CO470" t="s">
        <v>5758</v>
      </c>
      <c r="CQ470" t="s">
        <v>6652</v>
      </c>
      <c r="CR470" t="s">
        <v>3246</v>
      </c>
      <c r="CS470" t="s">
        <v>36</v>
      </c>
      <c r="CT470" t="b">
        <v>1</v>
      </c>
      <c r="CU470">
        <v>4075300</v>
      </c>
      <c r="CV470" t="s">
        <v>9002</v>
      </c>
      <c r="CW470">
        <v>0</v>
      </c>
      <c r="CX470">
        <v>4075300</v>
      </c>
      <c r="CY470">
        <v>0</v>
      </c>
      <c r="CZ470" t="b">
        <v>1</v>
      </c>
      <c r="DA470">
        <v>45649</v>
      </c>
      <c r="DB470" t="s">
        <v>5215</v>
      </c>
      <c r="DC470">
        <v>-6.8027210884353817E-3</v>
      </c>
      <c r="DD470">
        <v>-924.10430839002379</v>
      </c>
      <c r="DE470" s="420" cm="1">
        <f t="array" ref="DE470">_xlfn.XLOOKUP("Дом 5"&amp;Реестр_Д5[[#This Row],[№]]&amp;Реестр_Д5[[#This Row],[Статус]],РД[Дом]&amp;РД[№ кв]&amp;РД[Состояние],РД[Дата подачи на регистрацию],"-",0)</f>
        <v>45649</v>
      </c>
    </row>
    <row r="471" spans="1:109" x14ac:dyDescent="0.25">
      <c r="A471" s="238">
        <v>470</v>
      </c>
      <c r="B471" s="238" t="s">
        <v>15</v>
      </c>
      <c r="C471" s="238">
        <v>11</v>
      </c>
      <c r="D471" s="238">
        <v>2</v>
      </c>
      <c r="E471" s="238">
        <v>1</v>
      </c>
      <c r="F471" s="238">
        <v>13.17</v>
      </c>
      <c r="G471" s="238"/>
      <c r="H471" s="238"/>
      <c r="I471">
        <v>13.17</v>
      </c>
      <c r="J471" s="238">
        <v>16.940000000000001</v>
      </c>
      <c r="K471" s="238">
        <v>3.55</v>
      </c>
      <c r="L471" s="238">
        <v>2.41</v>
      </c>
      <c r="M471" s="238"/>
      <c r="N471" s="238">
        <v>5.8</v>
      </c>
      <c r="O471" s="238">
        <v>2.68</v>
      </c>
      <c r="P471" s="238"/>
      <c r="R471" s="238">
        <v>2.68</v>
      </c>
      <c r="S471">
        <v>44.55</v>
      </c>
      <c r="T471">
        <v>41.87</v>
      </c>
      <c r="U471" s="238">
        <v>43.21</v>
      </c>
      <c r="V471">
        <v>42.15</v>
      </c>
      <c r="W471" s="238">
        <v>85168.125</v>
      </c>
      <c r="X471">
        <v>4258.40625</v>
      </c>
      <c r="Y471">
        <v>89426.53125</v>
      </c>
      <c r="Z471">
        <v>2682.7959375</v>
      </c>
      <c r="AA471">
        <v>92109.327187500006</v>
      </c>
      <c r="AB471">
        <v>921.09327187500003</v>
      </c>
      <c r="AC471">
        <v>93030.420459375004</v>
      </c>
      <c r="AE471">
        <v>93030.420459375004</v>
      </c>
      <c r="AF471">
        <v>4651.52102296875</v>
      </c>
      <c r="AG471">
        <v>97681.941482343755</v>
      </c>
      <c r="AI471">
        <v>97681.941482343755</v>
      </c>
      <c r="AJ471">
        <v>976.81941482343757</v>
      </c>
      <c r="AK471">
        <v>98658.760897167187</v>
      </c>
      <c r="AL471">
        <v>4932.9380448583597</v>
      </c>
      <c r="AM471">
        <v>103591.69894202554</v>
      </c>
      <c r="AO471">
        <v>103591.69894202554</v>
      </c>
      <c r="AP471">
        <v>3107.7509682607661</v>
      </c>
      <c r="AQ471">
        <v>106699.4499102863</v>
      </c>
      <c r="AR471">
        <v>500</v>
      </c>
      <c r="AS471">
        <v>107199.4499102863</v>
      </c>
      <c r="AU471">
        <v>107199.4499102863</v>
      </c>
      <c r="AW471">
        <v>107199.4499102863</v>
      </c>
      <c r="AY471">
        <v>107199.4499102863</v>
      </c>
      <c r="AZ471">
        <v>1071.9944991028633</v>
      </c>
      <c r="BA471">
        <v>108271.44440938917</v>
      </c>
      <c r="BC471">
        <v>108271.44440938917</v>
      </c>
      <c r="BE471">
        <v>108271.44440938917</v>
      </c>
      <c r="BF471">
        <v>2706.7861102347292</v>
      </c>
      <c r="BG471">
        <v>110978.23051962387</v>
      </c>
      <c r="BI471">
        <v>110978.23051962387</v>
      </c>
      <c r="BK471">
        <v>110978.23051962387</v>
      </c>
      <c r="BL471">
        <v>8878.2584415699112</v>
      </c>
      <c r="BM471">
        <v>119856.4889611938</v>
      </c>
      <c r="BN471">
        <v>15581.343564955194</v>
      </c>
      <c r="BO471">
        <v>135437.832526149</v>
      </c>
      <c r="BP471">
        <v>35</v>
      </c>
      <c r="BQ471">
        <v>135472.832526149</v>
      </c>
      <c r="BS471">
        <v>135472.832526149</v>
      </c>
      <c r="BT471" s="238">
        <v>135472.82999999999</v>
      </c>
      <c r="BU471" s="238">
        <v>5710200</v>
      </c>
      <c r="BX471" s="238">
        <v>0</v>
      </c>
      <c r="BY471" s="238">
        <v>135473.30960854093</v>
      </c>
      <c r="BZ471" s="238">
        <v>5710200</v>
      </c>
      <c r="CA471" s="238" t="s">
        <v>36</v>
      </c>
      <c r="CC471">
        <v>135473.30960854093</v>
      </c>
      <c r="CD471" s="238">
        <v>0</v>
      </c>
      <c r="CE471" s="238">
        <v>5710200</v>
      </c>
      <c r="CH471" s="238" t="s">
        <v>3</v>
      </c>
      <c r="CI471" s="238" t="s">
        <v>3</v>
      </c>
      <c r="CJ471" t="s">
        <v>8951</v>
      </c>
      <c r="CK471" t="s">
        <v>1167</v>
      </c>
      <c r="CL471" t="s">
        <v>8961</v>
      </c>
      <c r="CM471" t="s">
        <v>8972</v>
      </c>
      <c r="CN471" s="238" t="b">
        <v>1</v>
      </c>
      <c r="CO471" t="s">
        <v>5759</v>
      </c>
      <c r="CQ471" t="s">
        <v>6652</v>
      </c>
      <c r="CR471" t="s">
        <v>3124</v>
      </c>
      <c r="CS471" t="s">
        <v>6871</v>
      </c>
      <c r="CT471" t="b">
        <v>0</v>
      </c>
      <c r="CU471">
        <v>5710200</v>
      </c>
      <c r="CV471">
        <v>5710200</v>
      </c>
      <c r="CW471">
        <v>0</v>
      </c>
      <c r="CX471">
        <v>0</v>
      </c>
      <c r="CY471">
        <v>0</v>
      </c>
      <c r="CZ471" t="b">
        <v>1</v>
      </c>
      <c r="DA471" t="s">
        <v>4246</v>
      </c>
      <c r="DB471" t="s">
        <v>1167</v>
      </c>
      <c r="DC471">
        <v>-2.4531358481832969E-2</v>
      </c>
      <c r="DD471">
        <v>-3323.3443227274643</v>
      </c>
      <c r="DE471" s="420" t="str" cm="1">
        <f t="array" ref="DE47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72" spans="1:109" hidden="1" x14ac:dyDescent="0.25">
      <c r="A472" s="238">
        <v>471</v>
      </c>
      <c r="B472" s="238" t="s">
        <v>15</v>
      </c>
      <c r="C472" s="238">
        <v>11</v>
      </c>
      <c r="D472" s="238">
        <v>3</v>
      </c>
      <c r="E472" s="238">
        <v>0</v>
      </c>
      <c r="F472" s="238">
        <v>7.2</v>
      </c>
      <c r="G472" s="238"/>
      <c r="H472" s="238"/>
      <c r="I472">
        <v>7.2</v>
      </c>
      <c r="J472" s="238">
        <v>5.17</v>
      </c>
      <c r="K472" s="238">
        <v>3.71</v>
      </c>
      <c r="L472" s="238"/>
      <c r="M472" s="238"/>
      <c r="N472" s="238">
        <v>6.96</v>
      </c>
      <c r="O472" s="238">
        <v>2.92</v>
      </c>
      <c r="P472" s="238"/>
      <c r="R472" s="238">
        <v>2.92</v>
      </c>
      <c r="S472">
        <v>25.96</v>
      </c>
      <c r="T472">
        <v>23.04</v>
      </c>
      <c r="U472" s="238">
        <v>24.5</v>
      </c>
      <c r="V472">
        <v>24.45</v>
      </c>
      <c r="W472" s="238">
        <v>91105.56</v>
      </c>
      <c r="Y472">
        <v>91105.56</v>
      </c>
      <c r="AA472">
        <v>91105.56</v>
      </c>
      <c r="AC472">
        <v>91105.56</v>
      </c>
      <c r="AE472">
        <v>91105.56</v>
      </c>
      <c r="AG472">
        <v>91105.56</v>
      </c>
      <c r="AI472">
        <v>91105.56</v>
      </c>
      <c r="AK472">
        <v>91105.56</v>
      </c>
      <c r="AM472">
        <v>91105.56</v>
      </c>
      <c r="AO472">
        <v>91105.56</v>
      </c>
      <c r="AQ472">
        <v>91105.56</v>
      </c>
      <c r="AS472">
        <v>91105.56</v>
      </c>
      <c r="AU472">
        <v>91105.56</v>
      </c>
      <c r="AW472">
        <v>91105.56</v>
      </c>
      <c r="AY472">
        <v>91105.56</v>
      </c>
      <c r="BA472">
        <v>91105.56</v>
      </c>
      <c r="BC472">
        <v>91105.56</v>
      </c>
      <c r="BE472">
        <v>91105.56</v>
      </c>
      <c r="BG472">
        <v>91105.56</v>
      </c>
      <c r="BI472">
        <v>91105.56</v>
      </c>
      <c r="BK472">
        <v>91105.56</v>
      </c>
      <c r="BM472">
        <v>91105.56</v>
      </c>
      <c r="BO472">
        <v>91105.56</v>
      </c>
      <c r="BQ472">
        <v>91105.56</v>
      </c>
      <c r="BS472">
        <v>91105.56</v>
      </c>
      <c r="BT472" s="238">
        <v>91105.56</v>
      </c>
      <c r="BU472" s="238">
        <v>2232086.2200000002</v>
      </c>
      <c r="BX472" s="238">
        <v>0</v>
      </c>
      <c r="BY472" s="238">
        <v>91105.560000000012</v>
      </c>
      <c r="BZ472" s="238">
        <v>2232086.2200000002</v>
      </c>
      <c r="CA472" s="238" t="s">
        <v>36</v>
      </c>
      <c r="CC472">
        <v>91105.560000000012</v>
      </c>
      <c r="CD472" s="238">
        <v>0</v>
      </c>
      <c r="CE472" s="238">
        <v>2232086.2200000002</v>
      </c>
      <c r="CH472" s="238" t="s">
        <v>39</v>
      </c>
      <c r="CI472" s="238" t="s">
        <v>39</v>
      </c>
      <c r="CJ472" t="s">
        <v>8950</v>
      </c>
      <c r="CK472" t="s">
        <v>1167</v>
      </c>
      <c r="CL472" t="s">
        <v>8961</v>
      </c>
      <c r="CM472" t="s">
        <v>8970</v>
      </c>
      <c r="CN472" s="238" t="b">
        <v>1</v>
      </c>
      <c r="CO472" t="s">
        <v>5760</v>
      </c>
      <c r="CQ472" t="s">
        <v>4895</v>
      </c>
      <c r="CR472" t="s">
        <v>3246</v>
      </c>
      <c r="CS472" t="s">
        <v>36</v>
      </c>
      <c r="CT472" t="b">
        <v>1</v>
      </c>
      <c r="CU472">
        <v>2232086.2200000002</v>
      </c>
      <c r="CV472" t="s">
        <v>9002</v>
      </c>
      <c r="CW472">
        <v>2232086</v>
      </c>
      <c r="CX472">
        <v>2232086</v>
      </c>
      <c r="CY472">
        <v>0</v>
      </c>
      <c r="CZ472" t="b">
        <v>1</v>
      </c>
      <c r="DA472">
        <v>45187</v>
      </c>
      <c r="DB472" t="s">
        <v>130</v>
      </c>
      <c r="DC472">
        <v>-2.0408163265306367E-3</v>
      </c>
      <c r="DD472">
        <v>-185.92971428571653</v>
      </c>
      <c r="DE472" s="420" cm="1">
        <f t="array" ref="DE472">_xlfn.XLOOKUP("Дом 5"&amp;Реестр_Д5[[#This Row],[№]]&amp;Реестр_Д5[[#This Row],[Статус]],РД[Дом]&amp;РД[№ кв]&amp;РД[Состояние],РД[Дата подачи на регистрацию],"-",0)</f>
        <v>45187</v>
      </c>
    </row>
    <row r="473" spans="1:109" hidden="1" x14ac:dyDescent="0.25">
      <c r="A473" s="238">
        <v>472</v>
      </c>
      <c r="B473" s="238" t="s">
        <v>15</v>
      </c>
      <c r="C473" s="238">
        <v>11</v>
      </c>
      <c r="D473" s="238">
        <v>4</v>
      </c>
      <c r="E473" s="238">
        <v>2</v>
      </c>
      <c r="F473" s="238">
        <v>14.48</v>
      </c>
      <c r="G473" s="238">
        <v>11.42</v>
      </c>
      <c r="H473" s="238"/>
      <c r="I473">
        <v>25.9</v>
      </c>
      <c r="J473" s="238">
        <v>15.86</v>
      </c>
      <c r="K473" s="238">
        <v>3.01</v>
      </c>
      <c r="L473" s="238">
        <v>2.67</v>
      </c>
      <c r="M473" s="238"/>
      <c r="N473" s="238">
        <v>9.44</v>
      </c>
      <c r="O473" s="238">
        <v>2.72</v>
      </c>
      <c r="P473" s="238"/>
      <c r="R473" s="238">
        <v>2.72</v>
      </c>
      <c r="S473">
        <v>59.6</v>
      </c>
      <c r="T473">
        <v>56.88</v>
      </c>
      <c r="U473" s="238">
        <v>58.24</v>
      </c>
      <c r="V473">
        <v>57.95000000000001</v>
      </c>
      <c r="W473" s="238">
        <v>79535.67300000001</v>
      </c>
      <c r="X473">
        <v>3976.7836500000008</v>
      </c>
      <c r="Y473">
        <v>83512.456649999993</v>
      </c>
      <c r="Z473">
        <v>2505.3736994999999</v>
      </c>
      <c r="AA473">
        <v>86017.8303495</v>
      </c>
      <c r="AC473">
        <v>86017.8303495</v>
      </c>
      <c r="AE473">
        <v>86017.8303495</v>
      </c>
      <c r="AG473">
        <v>86017.8303495</v>
      </c>
      <c r="AI473">
        <v>86017.8303495</v>
      </c>
      <c r="AK473">
        <v>86017.8303495</v>
      </c>
      <c r="AM473">
        <v>86017.8303495</v>
      </c>
      <c r="AO473">
        <v>86017.8303495</v>
      </c>
      <c r="AQ473">
        <v>86017.8303495</v>
      </c>
      <c r="AS473">
        <v>86017.8303495</v>
      </c>
      <c r="AU473">
        <v>86017.8303495</v>
      </c>
      <c r="AW473">
        <v>86017.8303495</v>
      </c>
      <c r="AY473">
        <v>86017.8303495</v>
      </c>
      <c r="BA473">
        <v>86017.8303495</v>
      </c>
      <c r="BC473">
        <v>86017.8303495</v>
      </c>
      <c r="BE473">
        <v>86017.8303495</v>
      </c>
      <c r="BG473">
        <v>86017.8303495</v>
      </c>
      <c r="BI473">
        <v>86017.8303495</v>
      </c>
      <c r="BK473">
        <v>86017.8303495</v>
      </c>
      <c r="BM473">
        <v>86017.8303495</v>
      </c>
      <c r="BO473">
        <v>86017.8303495</v>
      </c>
      <c r="BQ473">
        <v>86017.8303495</v>
      </c>
      <c r="BS473">
        <v>86017.8303495</v>
      </c>
      <c r="BT473" s="238">
        <v>86017.83</v>
      </c>
      <c r="BU473" s="238">
        <v>5009678.42</v>
      </c>
      <c r="BW473">
        <v>0.05</v>
      </c>
      <c r="BX473" s="238">
        <v>250483.921</v>
      </c>
      <c r="BY473" s="238">
        <v>81716.938530219777</v>
      </c>
      <c r="BZ473" s="238">
        <v>4759194.5</v>
      </c>
      <c r="CA473" s="238" t="s">
        <v>36</v>
      </c>
      <c r="CC473">
        <v>81716.938530219777</v>
      </c>
      <c r="CD473" s="238">
        <v>0</v>
      </c>
      <c r="CE473" s="238">
        <v>4759194.5</v>
      </c>
      <c r="CG473" t="s">
        <v>978</v>
      </c>
      <c r="CH473" s="238" t="s">
        <v>39</v>
      </c>
      <c r="CI473" s="238" t="s">
        <v>39</v>
      </c>
      <c r="CJ473" t="s">
        <v>8950</v>
      </c>
      <c r="CK473" t="s">
        <v>1167</v>
      </c>
      <c r="CL473" t="s">
        <v>8961</v>
      </c>
      <c r="CM473" t="s">
        <v>8971</v>
      </c>
      <c r="CN473" s="238" t="b">
        <v>1</v>
      </c>
      <c r="CO473" t="s">
        <v>5761</v>
      </c>
      <c r="CQ473" t="s">
        <v>4895</v>
      </c>
      <c r="CR473" t="s">
        <v>3246</v>
      </c>
      <c r="CS473" t="s">
        <v>36</v>
      </c>
      <c r="CT473" t="b">
        <v>1</v>
      </c>
      <c r="CU473">
        <v>5009678.42</v>
      </c>
      <c r="CV473" t="s">
        <v>9002</v>
      </c>
      <c r="CW473">
        <v>0</v>
      </c>
      <c r="CX473">
        <v>5009678</v>
      </c>
      <c r="CY473">
        <v>0</v>
      </c>
      <c r="CZ473" t="b">
        <v>1</v>
      </c>
      <c r="DA473">
        <v>45230</v>
      </c>
      <c r="DB473" t="s">
        <v>4177</v>
      </c>
      <c r="DC473">
        <v>-4.9793956043954202E-3</v>
      </c>
      <c r="DD473">
        <v>-406.9009645220271</v>
      </c>
      <c r="DE473" s="420" cm="1">
        <f t="array" ref="DE473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474" spans="1:109" hidden="1" x14ac:dyDescent="0.25">
      <c r="A474" s="238">
        <v>473</v>
      </c>
      <c r="B474" s="238" t="s">
        <v>15</v>
      </c>
      <c r="C474" s="238">
        <v>11</v>
      </c>
      <c r="D474" s="238">
        <v>5</v>
      </c>
      <c r="E474" s="238">
        <v>2</v>
      </c>
      <c r="F474" s="238">
        <v>15.41</v>
      </c>
      <c r="G474" s="238">
        <v>12.78</v>
      </c>
      <c r="H474" s="238"/>
      <c r="I474">
        <v>28.19</v>
      </c>
      <c r="J474" s="238">
        <v>13.45</v>
      </c>
      <c r="K474" s="238">
        <v>3.7</v>
      </c>
      <c r="L474" s="238">
        <v>2.72</v>
      </c>
      <c r="M474" s="238"/>
      <c r="N474" s="238">
        <v>8.2200000000000006</v>
      </c>
      <c r="O474" s="238">
        <v>3.03</v>
      </c>
      <c r="P474" s="238"/>
      <c r="R474" s="238">
        <v>3.03</v>
      </c>
      <c r="S474">
        <v>59.31</v>
      </c>
      <c r="T474">
        <v>56.28</v>
      </c>
      <c r="U474" s="238">
        <v>57.8</v>
      </c>
      <c r="V474">
        <v>57.9</v>
      </c>
      <c r="W474" s="238">
        <v>79149.577499999999</v>
      </c>
      <c r="X474">
        <v>3957.4788749999998</v>
      </c>
      <c r="Y474">
        <v>83107.056375</v>
      </c>
      <c r="Z474">
        <v>2493.2116912500001</v>
      </c>
      <c r="AA474">
        <v>85600.268066250006</v>
      </c>
      <c r="AC474">
        <v>85600.268066250006</v>
      </c>
      <c r="AE474">
        <v>85600.268066250006</v>
      </c>
      <c r="AG474">
        <v>85600.268066250006</v>
      </c>
      <c r="AI474">
        <v>85600.268066250006</v>
      </c>
      <c r="AJ474">
        <v>856.0026806625001</v>
      </c>
      <c r="AK474">
        <v>86456.270746912502</v>
      </c>
      <c r="AL474">
        <v>4322.8135373456253</v>
      </c>
      <c r="AM474">
        <v>90779.084284258133</v>
      </c>
      <c r="AO474">
        <v>90779.084284258133</v>
      </c>
      <c r="AQ474">
        <v>90779.084284258133</v>
      </c>
      <c r="AS474">
        <v>90779.084284258133</v>
      </c>
      <c r="AU474">
        <v>90779.084284258133</v>
      </c>
      <c r="AW474">
        <v>90779.084284258133</v>
      </c>
      <c r="AY474">
        <v>90779.084284258133</v>
      </c>
      <c r="BA474">
        <v>90779.084284258133</v>
      </c>
      <c r="BC474">
        <v>90779.084284258133</v>
      </c>
      <c r="BE474">
        <v>90779.084284258133</v>
      </c>
      <c r="BG474">
        <v>90779.084284258133</v>
      </c>
      <c r="BI474">
        <v>90779.084284258133</v>
      </c>
      <c r="BK474">
        <v>90779.084284258133</v>
      </c>
      <c r="BM474">
        <v>90779.084284258133</v>
      </c>
      <c r="BO474">
        <v>90779.084284258133</v>
      </c>
      <c r="BQ474">
        <v>90779.084284258133</v>
      </c>
      <c r="BS474">
        <v>90779.084284258133</v>
      </c>
      <c r="BT474" s="238">
        <v>90779.08</v>
      </c>
      <c r="BU474" s="238">
        <v>5247100</v>
      </c>
      <c r="BW474">
        <v>0.02</v>
      </c>
      <c r="BX474" s="238">
        <v>104942</v>
      </c>
      <c r="BY474" s="238">
        <v>88964.671280276816</v>
      </c>
      <c r="BZ474" s="238">
        <v>5142158</v>
      </c>
      <c r="CA474" s="238" t="s">
        <v>6871</v>
      </c>
      <c r="CB474">
        <v>7000</v>
      </c>
      <c r="CC474">
        <v>95964.671280276816</v>
      </c>
      <c r="CD474" s="238">
        <v>404600</v>
      </c>
      <c r="CE474" s="238">
        <v>5546758</v>
      </c>
      <c r="CG474" t="s">
        <v>3540</v>
      </c>
      <c r="CH474" s="238" t="s">
        <v>39</v>
      </c>
      <c r="CI474" s="238" t="s">
        <v>39</v>
      </c>
      <c r="CJ474" t="s">
        <v>8950</v>
      </c>
      <c r="CK474" t="s">
        <v>1167</v>
      </c>
      <c r="CL474" t="s">
        <v>8961</v>
      </c>
      <c r="CM474" t="s">
        <v>8974</v>
      </c>
      <c r="CN474" s="238" t="b">
        <v>1</v>
      </c>
      <c r="CO474" t="s">
        <v>5762</v>
      </c>
      <c r="CQ474" t="s">
        <v>6652</v>
      </c>
      <c r="CR474" t="s">
        <v>3246</v>
      </c>
      <c r="CS474" t="s">
        <v>6871</v>
      </c>
      <c r="CT474" t="b">
        <v>1</v>
      </c>
      <c r="CU474">
        <v>5247100</v>
      </c>
      <c r="CV474" t="s">
        <v>9002</v>
      </c>
      <c r="CW474">
        <v>0</v>
      </c>
      <c r="CX474">
        <v>5247100</v>
      </c>
      <c r="CY474">
        <v>0</v>
      </c>
      <c r="CZ474" t="b">
        <v>1</v>
      </c>
      <c r="DA474">
        <v>45336</v>
      </c>
      <c r="DB474" t="s">
        <v>4177</v>
      </c>
      <c r="DC474">
        <v>1.7301038062282892E-3</v>
      </c>
      <c r="DD474">
        <v>153.91811640185549</v>
      </c>
      <c r="DE474" s="420" cm="1">
        <f t="array" ref="DE474">_xlfn.XLOOKUP("Дом 5"&amp;Реестр_Д5[[#This Row],[№]]&amp;Реестр_Д5[[#This Row],[Статус]],РД[Дом]&amp;РД[№ кв]&amp;РД[Состояние],РД[Дата подачи на регистрацию],"-",0)</f>
        <v>45336</v>
      </c>
    </row>
    <row r="475" spans="1:109" hidden="1" x14ac:dyDescent="0.25">
      <c r="A475" s="238">
        <v>474</v>
      </c>
      <c r="B475" s="238" t="s">
        <v>15</v>
      </c>
      <c r="C475" s="238">
        <v>11</v>
      </c>
      <c r="D475" s="238">
        <v>6</v>
      </c>
      <c r="E475" s="238">
        <v>1</v>
      </c>
      <c r="F475" s="238">
        <v>12.71</v>
      </c>
      <c r="G475" s="238"/>
      <c r="H475" s="238"/>
      <c r="I475">
        <v>12.71</v>
      </c>
      <c r="J475" s="238">
        <v>12.55</v>
      </c>
      <c r="K475" s="238">
        <v>4.28</v>
      </c>
      <c r="L475" s="238"/>
      <c r="M475" s="238"/>
      <c r="N475" s="238">
        <v>7.34</v>
      </c>
      <c r="O475" s="238">
        <v>2.84</v>
      </c>
      <c r="P475" s="238"/>
      <c r="R475" s="238">
        <v>2.84</v>
      </c>
      <c r="S475">
        <v>39.72</v>
      </c>
      <c r="T475">
        <v>36.880000000000003</v>
      </c>
      <c r="U475" s="238">
        <v>38.299999999999997</v>
      </c>
      <c r="V475">
        <v>37.6</v>
      </c>
      <c r="W475" s="238">
        <v>87601.5</v>
      </c>
      <c r="X475">
        <v>4380.0749999999998</v>
      </c>
      <c r="Y475">
        <v>91981.574999999997</v>
      </c>
      <c r="Z475">
        <v>2759.4472499999997</v>
      </c>
      <c r="AA475">
        <v>94741.022249999995</v>
      </c>
      <c r="AB475">
        <v>947.41022250000003</v>
      </c>
      <c r="AC475">
        <v>95688.432472500004</v>
      </c>
      <c r="AE475">
        <v>95688.432472500004</v>
      </c>
      <c r="AF475">
        <v>4784.4216236249995</v>
      </c>
      <c r="AG475">
        <v>100472.854096125</v>
      </c>
      <c r="AI475">
        <v>100472.854096125</v>
      </c>
      <c r="AK475">
        <v>100472.854096125</v>
      </c>
      <c r="AM475">
        <v>100472.854096125</v>
      </c>
      <c r="AO475">
        <v>100472.854096125</v>
      </c>
      <c r="AQ475">
        <v>100472.854096125</v>
      </c>
      <c r="AS475">
        <v>100472.854096125</v>
      </c>
      <c r="AU475">
        <v>100472.854096125</v>
      </c>
      <c r="AW475">
        <v>100472.854096125</v>
      </c>
      <c r="AY475">
        <v>100472.854096125</v>
      </c>
      <c r="BA475">
        <v>100472.854096125</v>
      </c>
      <c r="BC475">
        <v>100472.854096125</v>
      </c>
      <c r="BE475">
        <v>100472.854096125</v>
      </c>
      <c r="BG475">
        <v>100472.854096125</v>
      </c>
      <c r="BI475">
        <v>100472.854096125</v>
      </c>
      <c r="BK475">
        <v>100472.854096125</v>
      </c>
      <c r="BM475">
        <v>100472.854096125</v>
      </c>
      <c r="BO475">
        <v>100472.854096125</v>
      </c>
      <c r="BQ475">
        <v>100472.854096125</v>
      </c>
      <c r="BS475">
        <v>100472.854096125</v>
      </c>
      <c r="BT475" s="238">
        <v>100472.85</v>
      </c>
      <c r="BU475" s="238">
        <v>3848200</v>
      </c>
      <c r="BW475">
        <v>0.05</v>
      </c>
      <c r="BX475" s="238">
        <v>192410</v>
      </c>
      <c r="BY475" s="238">
        <v>95451.436031331599</v>
      </c>
      <c r="BZ475" s="238">
        <v>3655790</v>
      </c>
      <c r="CA475" s="238" t="s">
        <v>38</v>
      </c>
      <c r="CB475">
        <v>22000</v>
      </c>
      <c r="CC475">
        <v>117451.4360313316</v>
      </c>
      <c r="CD475" s="238">
        <v>842600</v>
      </c>
      <c r="CE475" s="238">
        <v>4498390</v>
      </c>
      <c r="CG475" t="s">
        <v>978</v>
      </c>
      <c r="CH475" s="238" t="s">
        <v>39</v>
      </c>
      <c r="CI475" s="238" t="s">
        <v>39</v>
      </c>
      <c r="CJ475" t="s">
        <v>8950</v>
      </c>
      <c r="CK475" t="s">
        <v>1167</v>
      </c>
      <c r="CL475" t="s">
        <v>8961</v>
      </c>
      <c r="CM475" t="s">
        <v>8973</v>
      </c>
      <c r="CN475" s="238" t="b">
        <v>1</v>
      </c>
      <c r="CO475" t="s">
        <v>5763</v>
      </c>
      <c r="CQ475" t="s">
        <v>6652</v>
      </c>
      <c r="CR475" t="s">
        <v>3246</v>
      </c>
      <c r="CS475" t="s">
        <v>38</v>
      </c>
      <c r="CT475" t="b">
        <v>1</v>
      </c>
      <c r="CU475">
        <v>3848200</v>
      </c>
      <c r="CV475" t="s">
        <v>9002</v>
      </c>
      <c r="CW475">
        <v>0</v>
      </c>
      <c r="CX475">
        <v>3848200</v>
      </c>
      <c r="CY475">
        <v>0</v>
      </c>
      <c r="CZ475" t="b">
        <v>1</v>
      </c>
      <c r="DA475">
        <v>45288</v>
      </c>
      <c r="DB475" t="s">
        <v>5215</v>
      </c>
      <c r="DC475">
        <v>-1.8276762402088639E-2</v>
      </c>
      <c r="DD475">
        <v>-1744.5432172828105</v>
      </c>
      <c r="DE475" s="420" cm="1">
        <f t="array" ref="DE475">_xlfn.XLOOKUP("Дом 5"&amp;Реестр_Д5[[#This Row],[№]]&amp;Реестр_Д5[[#This Row],[Статус]],РД[Дом]&amp;РД[№ кв]&amp;РД[Состояние],РД[Дата подачи на регистрацию],"-",0)</f>
        <v>45288</v>
      </c>
    </row>
    <row r="476" spans="1:109" hidden="1" x14ac:dyDescent="0.25">
      <c r="A476" s="238">
        <v>475</v>
      </c>
      <c r="B476" s="238" t="s">
        <v>15</v>
      </c>
      <c r="C476" s="238">
        <v>11</v>
      </c>
      <c r="D476" s="238">
        <v>7</v>
      </c>
      <c r="E476" s="238">
        <v>3</v>
      </c>
      <c r="F476" s="238">
        <v>14.49</v>
      </c>
      <c r="G476" s="238">
        <v>13.98</v>
      </c>
      <c r="H476" s="238">
        <v>11.42</v>
      </c>
      <c r="I476">
        <v>39.89</v>
      </c>
      <c r="J476" s="238">
        <v>16.670000000000002</v>
      </c>
      <c r="K476" s="238">
        <v>4.1399999999999997</v>
      </c>
      <c r="L476" s="238">
        <v>1.89</v>
      </c>
      <c r="M476" s="238"/>
      <c r="N476" s="238">
        <v>11.31</v>
      </c>
      <c r="O476" s="238">
        <v>2.86</v>
      </c>
      <c r="P476" s="238">
        <v>2.79</v>
      </c>
      <c r="Q476">
        <v>5.42</v>
      </c>
      <c r="R476" s="238">
        <v>11.07</v>
      </c>
      <c r="S476">
        <v>84.97</v>
      </c>
      <c r="T476">
        <v>73.900000000000006</v>
      </c>
      <c r="U476" s="238">
        <v>79.44</v>
      </c>
      <c r="V476">
        <v>78.45</v>
      </c>
      <c r="W476" s="238">
        <v>77803.110000000015</v>
      </c>
      <c r="X476">
        <v>3890.1555000000008</v>
      </c>
      <c r="Y476">
        <v>81693.265500000023</v>
      </c>
      <c r="Z476">
        <v>2450.7979650000002</v>
      </c>
      <c r="AA476">
        <v>84144.063465000014</v>
      </c>
      <c r="AC476">
        <v>84144.063465000014</v>
      </c>
      <c r="AE476">
        <v>84144.063465000014</v>
      </c>
      <c r="AG476">
        <v>84144.063465000014</v>
      </c>
      <c r="AI476">
        <v>84144.063465000014</v>
      </c>
      <c r="AJ476">
        <v>841.44063465000011</v>
      </c>
      <c r="AK476">
        <v>84985.504099650017</v>
      </c>
      <c r="AL476">
        <v>4249.2752049825012</v>
      </c>
      <c r="AM476">
        <v>89234.779304632524</v>
      </c>
      <c r="AO476">
        <v>89234.779304632524</v>
      </c>
      <c r="AP476">
        <v>1784.6955860926505</v>
      </c>
      <c r="AQ476">
        <v>91019.474890725178</v>
      </c>
      <c r="AS476">
        <v>91019.474890725178</v>
      </c>
      <c r="AT476">
        <v>1820.3894978145036</v>
      </c>
      <c r="AU476">
        <v>92839.864388539703</v>
      </c>
      <c r="AV476">
        <v>1000</v>
      </c>
      <c r="AW476">
        <v>93839.864388539703</v>
      </c>
      <c r="AY476">
        <v>93839.864388539703</v>
      </c>
      <c r="AZ476">
        <v>1876.7972877707939</v>
      </c>
      <c r="BA476">
        <v>95716.661676310483</v>
      </c>
      <c r="BC476">
        <v>95716.661676310483</v>
      </c>
      <c r="BD476">
        <v>1914.3332335262096</v>
      </c>
      <c r="BE476">
        <v>97630.994909836692</v>
      </c>
      <c r="BF476">
        <v>2440.7748727459175</v>
      </c>
      <c r="BG476">
        <v>100071.7697825826</v>
      </c>
      <c r="BI476">
        <v>100071.7697825826</v>
      </c>
      <c r="BK476">
        <v>100071.7697825826</v>
      </c>
      <c r="BM476">
        <v>100071.7697825826</v>
      </c>
      <c r="BO476">
        <v>100071.7697825826</v>
      </c>
      <c r="BQ476">
        <v>100071.7697825826</v>
      </c>
      <c r="BS476">
        <v>100071.7697825826</v>
      </c>
      <c r="BT476" s="238">
        <v>100071.77</v>
      </c>
      <c r="BU476" s="238">
        <v>7949800</v>
      </c>
      <c r="BW476">
        <v>0.03</v>
      </c>
      <c r="BX476" s="238">
        <v>238494</v>
      </c>
      <c r="BY476" s="238">
        <v>97070.820745216522</v>
      </c>
      <c r="BZ476" s="238">
        <v>7711306</v>
      </c>
      <c r="CA476" s="238" t="s">
        <v>38</v>
      </c>
      <c r="CB476">
        <v>20000</v>
      </c>
      <c r="CC476">
        <v>117070.82074521652</v>
      </c>
      <c r="CD476" s="238">
        <v>1588800</v>
      </c>
      <c r="CE476" s="238">
        <v>9300106</v>
      </c>
      <c r="CF476" t="s">
        <v>4636</v>
      </c>
      <c r="CG476" t="s">
        <v>978</v>
      </c>
      <c r="CH476" s="238" t="s">
        <v>39</v>
      </c>
      <c r="CI476" s="238" t="s">
        <v>39</v>
      </c>
      <c r="CJ476" t="s">
        <v>8950</v>
      </c>
      <c r="CK476" t="s">
        <v>1167</v>
      </c>
      <c r="CL476" t="s">
        <v>8961</v>
      </c>
      <c r="CM476" t="s">
        <v>8990</v>
      </c>
      <c r="CN476" s="238" t="b">
        <v>1</v>
      </c>
      <c r="CO476" t="s">
        <v>5764</v>
      </c>
      <c r="CQ476" t="s">
        <v>6652</v>
      </c>
      <c r="CR476" t="s">
        <v>3246</v>
      </c>
      <c r="CS476" t="s">
        <v>38</v>
      </c>
      <c r="CT476" t="b">
        <v>1</v>
      </c>
      <c r="CU476">
        <v>7949800</v>
      </c>
      <c r="CV476" t="s">
        <v>9002</v>
      </c>
      <c r="CW476">
        <v>0</v>
      </c>
      <c r="CX476">
        <v>7949800</v>
      </c>
      <c r="CY476">
        <v>0</v>
      </c>
      <c r="CZ476" t="b">
        <v>1</v>
      </c>
      <c r="DA476">
        <v>45504</v>
      </c>
      <c r="DB476" t="s">
        <v>4177</v>
      </c>
      <c r="DC476">
        <v>-1.2462235649546738E-2</v>
      </c>
      <c r="DD476">
        <v>-1209.7194428217983</v>
      </c>
      <c r="DE476" s="420" cm="1">
        <f t="array" ref="DE476">_xlfn.XLOOKUP("Дом 5"&amp;Реестр_Д5[[#This Row],[№]]&amp;Реестр_Д5[[#This Row],[Статус]],РД[Дом]&amp;РД[№ кв]&amp;РД[Состояние],РД[Дата подачи на регистрацию],"-",0)</f>
        <v>45504</v>
      </c>
    </row>
    <row r="477" spans="1:109" hidden="1" x14ac:dyDescent="0.25">
      <c r="A477" s="238">
        <v>476</v>
      </c>
      <c r="B477" s="238" t="s">
        <v>15</v>
      </c>
      <c r="C477" s="238">
        <v>11</v>
      </c>
      <c r="D477" s="238">
        <v>8</v>
      </c>
      <c r="E477" s="238">
        <v>1</v>
      </c>
      <c r="F477" s="238">
        <v>16.79</v>
      </c>
      <c r="G477" s="238"/>
      <c r="H477" s="238"/>
      <c r="I477">
        <v>16.79</v>
      </c>
      <c r="J477" s="238">
        <v>11.43</v>
      </c>
      <c r="K477" s="238">
        <v>3.56</v>
      </c>
      <c r="L477" s="238"/>
      <c r="M477" s="238"/>
      <c r="N477" s="238">
        <v>6.66</v>
      </c>
      <c r="O477" s="238">
        <v>2.4900000000000002</v>
      </c>
      <c r="P477" s="238"/>
      <c r="R477" s="238">
        <v>2.4900000000000002</v>
      </c>
      <c r="S477">
        <v>40.93</v>
      </c>
      <c r="T477">
        <v>38.44</v>
      </c>
      <c r="U477" s="238">
        <v>39.69</v>
      </c>
      <c r="V477">
        <v>39.549999999999997</v>
      </c>
      <c r="W477" s="238">
        <v>86384.8125</v>
      </c>
      <c r="X477">
        <v>4319.2406250000004</v>
      </c>
      <c r="Y477">
        <v>90704.053125000006</v>
      </c>
      <c r="Z477">
        <v>2721.1215937500001</v>
      </c>
      <c r="AA477">
        <v>93425.17471875</v>
      </c>
      <c r="AB477">
        <v>4204.1328623437503</v>
      </c>
      <c r="AC477">
        <v>97629.307581093744</v>
      </c>
      <c r="AE477">
        <v>97629.307581093744</v>
      </c>
      <c r="AF477">
        <v>4881.4653790546872</v>
      </c>
      <c r="AG477">
        <v>102510.77296014845</v>
      </c>
      <c r="AI477">
        <v>102510.77296014845</v>
      </c>
      <c r="AJ477">
        <v>1025.1077296014844</v>
      </c>
      <c r="AK477">
        <v>103535.88068974992</v>
      </c>
      <c r="AL477">
        <v>5176.794034487496</v>
      </c>
      <c r="AM477">
        <v>108712.6747242374</v>
      </c>
      <c r="AO477">
        <v>108712.6747242374</v>
      </c>
      <c r="AP477">
        <v>3261.3802417271222</v>
      </c>
      <c r="AQ477">
        <v>111974.05496596452</v>
      </c>
      <c r="AS477">
        <v>111974.05496596452</v>
      </c>
      <c r="AU477">
        <v>111974.05496596452</v>
      </c>
      <c r="AW477">
        <v>111974.05496596452</v>
      </c>
      <c r="AY477">
        <v>111974.05496596452</v>
      </c>
      <c r="BA477">
        <v>111974.05496596452</v>
      </c>
      <c r="BC477">
        <v>111974.05496596452</v>
      </c>
      <c r="BE477">
        <v>111974.05496596452</v>
      </c>
      <c r="BF477">
        <v>559.87027482982273</v>
      </c>
      <c r="BG477">
        <v>112533.92524079436</v>
      </c>
      <c r="BI477">
        <v>112533.92524079436</v>
      </c>
      <c r="BJ477">
        <v>2250.6785048158872</v>
      </c>
      <c r="BK477">
        <v>114784.60374561023</v>
      </c>
      <c r="BL477">
        <v>5739.2301872805128</v>
      </c>
      <c r="BM477">
        <v>120523.83393289076</v>
      </c>
      <c r="BN477">
        <v>15668.0984112758</v>
      </c>
      <c r="BO477">
        <v>136191.93234416656</v>
      </c>
      <c r="BQ477">
        <v>136191.93234416656</v>
      </c>
      <c r="BS477">
        <v>136191.93234416656</v>
      </c>
      <c r="BT477" s="238">
        <v>136191.93</v>
      </c>
      <c r="BU477" s="238">
        <v>5405500</v>
      </c>
      <c r="BW477">
        <v>0.02</v>
      </c>
      <c r="BX477" s="238">
        <v>108110</v>
      </c>
      <c r="BY477" s="238">
        <v>133469.13580246913</v>
      </c>
      <c r="BZ477" s="238">
        <v>5297390</v>
      </c>
      <c r="CA477" s="238" t="s">
        <v>38</v>
      </c>
      <c r="CB477">
        <v>25000</v>
      </c>
      <c r="CC477">
        <v>158469.13580246913</v>
      </c>
      <c r="CD477" s="238">
        <v>992249.99999999907</v>
      </c>
      <c r="CE477" s="238">
        <v>6289639.9999999991</v>
      </c>
      <c r="CG477" t="s">
        <v>3540</v>
      </c>
      <c r="CH477" s="238" t="s">
        <v>39</v>
      </c>
      <c r="CI477" s="238" t="s">
        <v>39</v>
      </c>
      <c r="CJ477" t="s">
        <v>8950</v>
      </c>
      <c r="CK477" t="s">
        <v>1167</v>
      </c>
      <c r="CL477" t="s">
        <v>8961</v>
      </c>
      <c r="CM477" t="s">
        <v>8973</v>
      </c>
      <c r="CN477" s="238" t="b">
        <v>1</v>
      </c>
      <c r="CO477" t="s">
        <v>5765</v>
      </c>
      <c r="CQ477" t="s">
        <v>6652</v>
      </c>
      <c r="CR477" t="s">
        <v>3246</v>
      </c>
      <c r="CS477" t="s">
        <v>38</v>
      </c>
      <c r="CT477" t="b">
        <v>1</v>
      </c>
      <c r="CU477">
        <v>5405500</v>
      </c>
      <c r="CV477" t="s">
        <v>9002</v>
      </c>
      <c r="CW477">
        <v>0</v>
      </c>
      <c r="CX477">
        <v>5405500</v>
      </c>
      <c r="CY477">
        <v>0</v>
      </c>
      <c r="CZ477" t="b">
        <v>1</v>
      </c>
      <c r="DA477">
        <v>45643</v>
      </c>
      <c r="DB477" t="s">
        <v>4177</v>
      </c>
      <c r="DC477">
        <v>-3.5273368606700828E-3</v>
      </c>
      <c r="DD477">
        <v>-470.79060247783042</v>
      </c>
      <c r="DE477" s="420" cm="1">
        <f t="array" ref="DE477">_xlfn.XLOOKUP("Дом 5"&amp;Реестр_Д5[[#This Row],[№]]&amp;Реестр_Д5[[#This Row],[Статус]],РД[Дом]&amp;РД[№ кв]&amp;РД[Состояние],РД[Дата подачи на регистрацию],"-",0)</f>
        <v>45643</v>
      </c>
    </row>
    <row r="478" spans="1:109" hidden="1" x14ac:dyDescent="0.25">
      <c r="A478" s="238">
        <v>477</v>
      </c>
      <c r="B478" s="238" t="s">
        <v>15</v>
      </c>
      <c r="C478" s="238">
        <v>12</v>
      </c>
      <c r="D478" s="238">
        <v>1</v>
      </c>
      <c r="E478" s="238">
        <v>0</v>
      </c>
      <c r="F478" s="238">
        <v>13.74</v>
      </c>
      <c r="G478" s="238"/>
      <c r="H478" s="238"/>
      <c r="I478">
        <v>13.74</v>
      </c>
      <c r="J478" s="238">
        <v>5.84</v>
      </c>
      <c r="K478" s="238">
        <v>3.76</v>
      </c>
      <c r="L478" s="238"/>
      <c r="M478" s="238"/>
      <c r="N478" s="238">
        <v>3.73</v>
      </c>
      <c r="O478" s="238">
        <v>4.6500000000000004</v>
      </c>
      <c r="P478" s="238"/>
      <c r="R478" s="238">
        <v>4.6500000000000004</v>
      </c>
      <c r="S478">
        <v>31.72</v>
      </c>
      <c r="T478">
        <v>27.07</v>
      </c>
      <c r="U478" s="238">
        <v>29.4</v>
      </c>
      <c r="V478">
        <v>29.2</v>
      </c>
      <c r="W478" s="238">
        <v>89353.53</v>
      </c>
      <c r="X478">
        <v>4467.6765000000005</v>
      </c>
      <c r="Y478">
        <v>93821.2065</v>
      </c>
      <c r="Z478">
        <v>2814.636195</v>
      </c>
      <c r="AA478">
        <v>96635.842694999999</v>
      </c>
      <c r="AB478">
        <v>8697.2258425500004</v>
      </c>
      <c r="AC478">
        <v>105333.06853755</v>
      </c>
      <c r="AE478">
        <v>105333.06853755</v>
      </c>
      <c r="AG478">
        <v>105333.06853755</v>
      </c>
      <c r="AI478">
        <v>105333.06853755</v>
      </c>
      <c r="AK478">
        <v>105333.06853755</v>
      </c>
      <c r="AM478">
        <v>105333.06853755</v>
      </c>
      <c r="AO478">
        <v>105333.06853755</v>
      </c>
      <c r="AQ478">
        <v>105333.06853755</v>
      </c>
      <c r="AS478">
        <v>105333.06853755</v>
      </c>
      <c r="AU478">
        <v>105333.06853755</v>
      </c>
      <c r="AW478">
        <v>105333.06853755</v>
      </c>
      <c r="AY478">
        <v>105333.06853755</v>
      </c>
      <c r="BA478">
        <v>105333.06853755</v>
      </c>
      <c r="BC478">
        <v>105333.06853755</v>
      </c>
      <c r="BE478">
        <v>105333.06853755</v>
      </c>
      <c r="BG478">
        <v>105333.06853755</v>
      </c>
      <c r="BI478">
        <v>105333.06853755</v>
      </c>
      <c r="BK478">
        <v>105333.06853755</v>
      </c>
      <c r="BM478">
        <v>105333.06853755</v>
      </c>
      <c r="BO478">
        <v>105333.06853755</v>
      </c>
      <c r="BQ478">
        <v>105333.06853755</v>
      </c>
      <c r="BS478">
        <v>105333.06853755</v>
      </c>
      <c r="BT478" s="238">
        <v>105333.07</v>
      </c>
      <c r="BU478" s="238">
        <v>3096792.26</v>
      </c>
      <c r="BX478" s="238">
        <v>0</v>
      </c>
      <c r="BY478" s="238">
        <v>105333.0700680272</v>
      </c>
      <c r="BZ478" s="238">
        <v>3096792.26</v>
      </c>
      <c r="CA478" s="238" t="s">
        <v>36</v>
      </c>
      <c r="CC478">
        <v>105333.0700680272</v>
      </c>
      <c r="CD478" s="238">
        <v>0</v>
      </c>
      <c r="CE478" s="238">
        <v>3096792.26</v>
      </c>
      <c r="CH478" s="238" t="s">
        <v>39</v>
      </c>
      <c r="CI478" s="238" t="s">
        <v>39</v>
      </c>
      <c r="CJ478" t="s">
        <v>8950</v>
      </c>
      <c r="CK478" t="s">
        <v>1167</v>
      </c>
      <c r="CL478" t="s">
        <v>8961</v>
      </c>
      <c r="CM478" t="s">
        <v>8970</v>
      </c>
      <c r="CN478" s="238" t="b">
        <v>1</v>
      </c>
      <c r="CO478" t="s">
        <v>5766</v>
      </c>
      <c r="CQ478" t="s">
        <v>4895</v>
      </c>
      <c r="CR478" t="s">
        <v>3246</v>
      </c>
      <c r="CS478" t="s">
        <v>36</v>
      </c>
      <c r="CT478" t="b">
        <v>1</v>
      </c>
      <c r="CU478">
        <v>3096792.26</v>
      </c>
      <c r="CV478" t="s">
        <v>9002</v>
      </c>
      <c r="CW478">
        <v>0</v>
      </c>
      <c r="CX478">
        <v>3096792</v>
      </c>
      <c r="CY478">
        <v>0</v>
      </c>
      <c r="CZ478" t="b">
        <v>1</v>
      </c>
      <c r="DA478">
        <v>45253</v>
      </c>
      <c r="DB478" t="s">
        <v>126</v>
      </c>
      <c r="DC478">
        <v>-6.8027210884353817E-3</v>
      </c>
      <c r="DD478">
        <v>-716.55149706141037</v>
      </c>
      <c r="DE478" s="420" cm="1">
        <f t="array" ref="DE478">_xlfn.XLOOKUP("Дом 5"&amp;Реестр_Д5[[#This Row],[№]]&amp;Реестр_Д5[[#This Row],[Статус]],РД[Дом]&amp;РД[№ кв]&amp;РД[Состояние],РД[Дата подачи на регистрацию],"-",0)</f>
        <v>45253</v>
      </c>
    </row>
    <row r="479" spans="1:109" hidden="1" x14ac:dyDescent="0.25">
      <c r="A479" s="238">
        <v>478</v>
      </c>
      <c r="B479" s="238" t="s">
        <v>15</v>
      </c>
      <c r="C479" s="238">
        <v>12</v>
      </c>
      <c r="D479" s="238">
        <v>2</v>
      </c>
      <c r="E479" s="238">
        <v>1</v>
      </c>
      <c r="F479" s="238">
        <v>13.17</v>
      </c>
      <c r="G479" s="238"/>
      <c r="H479" s="238"/>
      <c r="I479">
        <v>13.17</v>
      </c>
      <c r="J479" s="238">
        <v>16.940000000000001</v>
      </c>
      <c r="K479" s="238">
        <v>3.55</v>
      </c>
      <c r="L479" s="238">
        <v>2.41</v>
      </c>
      <c r="M479" s="238"/>
      <c r="N479" s="238">
        <v>5.8</v>
      </c>
      <c r="O479" s="238">
        <v>2.68</v>
      </c>
      <c r="P479" s="238"/>
      <c r="R479" s="238">
        <v>2.68</v>
      </c>
      <c r="S479">
        <v>44.55</v>
      </c>
      <c r="T479">
        <v>41.87</v>
      </c>
      <c r="U479" s="238">
        <v>43.21</v>
      </c>
      <c r="V479">
        <v>42.25</v>
      </c>
      <c r="W479" s="238">
        <v>85168.125</v>
      </c>
      <c r="X479">
        <v>4258.40625</v>
      </c>
      <c r="Y479">
        <v>89426.53125</v>
      </c>
      <c r="Z479">
        <v>2682.7959375</v>
      </c>
      <c r="AA479">
        <v>92109.327187500006</v>
      </c>
      <c r="AB479">
        <v>921.09327187500003</v>
      </c>
      <c r="AC479">
        <v>93030.420459375004</v>
      </c>
      <c r="AE479">
        <v>93030.420459375004</v>
      </c>
      <c r="AF479">
        <v>4651.52102296875</v>
      </c>
      <c r="AG479">
        <v>97681.941482343755</v>
      </c>
      <c r="AI479">
        <v>97681.941482343755</v>
      </c>
      <c r="AJ479">
        <v>976.81941482343757</v>
      </c>
      <c r="AK479">
        <v>98658.760897167187</v>
      </c>
      <c r="AL479">
        <v>4932.9380448583597</v>
      </c>
      <c r="AM479">
        <v>103591.69894202554</v>
      </c>
      <c r="AO479">
        <v>103591.69894202554</v>
      </c>
      <c r="AP479">
        <v>3107.7509682607661</v>
      </c>
      <c r="AQ479">
        <v>106699.4499102863</v>
      </c>
      <c r="AS479">
        <v>106699.4499102863</v>
      </c>
      <c r="AU479">
        <v>106699.4499102863</v>
      </c>
      <c r="AW479">
        <v>106699.4499102863</v>
      </c>
      <c r="AY479">
        <v>106699.4499102863</v>
      </c>
      <c r="BA479">
        <v>106699.4499102863</v>
      </c>
      <c r="BC479">
        <v>106699.4499102863</v>
      </c>
      <c r="BE479">
        <v>106699.4499102863</v>
      </c>
      <c r="BG479">
        <v>106699.4499102863</v>
      </c>
      <c r="BI479">
        <v>106699.4499102863</v>
      </c>
      <c r="BK479">
        <v>106699.4499102863</v>
      </c>
      <c r="BM479">
        <v>106699.4499102863</v>
      </c>
      <c r="BO479">
        <v>106699.4499102863</v>
      </c>
      <c r="BQ479">
        <v>106699.4499102863</v>
      </c>
      <c r="BS479">
        <v>106699.4499102863</v>
      </c>
      <c r="BT479" s="238">
        <v>106699.45</v>
      </c>
      <c r="BU479" s="238">
        <v>4610500</v>
      </c>
      <c r="BV479">
        <v>88888</v>
      </c>
      <c r="BX479" s="238">
        <v>88888</v>
      </c>
      <c r="BY479" s="238">
        <v>104642.721592224</v>
      </c>
      <c r="BZ479" s="238">
        <v>4521612</v>
      </c>
      <c r="CA479" s="238" t="s">
        <v>36</v>
      </c>
      <c r="CC479">
        <v>104642.721592224</v>
      </c>
      <c r="CD479" s="238">
        <v>0</v>
      </c>
      <c r="CE479" s="238">
        <v>4521612</v>
      </c>
      <c r="CG479" t="s">
        <v>4185</v>
      </c>
      <c r="CH479" s="238" t="s">
        <v>39</v>
      </c>
      <c r="CI479" s="238" t="s">
        <v>39</v>
      </c>
      <c r="CJ479" t="s">
        <v>8950</v>
      </c>
      <c r="CK479" t="s">
        <v>1167</v>
      </c>
      <c r="CL479" t="s">
        <v>8961</v>
      </c>
      <c r="CM479" t="s">
        <v>8972</v>
      </c>
      <c r="CN479" s="238" t="b">
        <v>1</v>
      </c>
      <c r="CO479" t="s">
        <v>5767</v>
      </c>
      <c r="CQ479" t="s">
        <v>6652</v>
      </c>
      <c r="CR479" t="s">
        <v>3246</v>
      </c>
      <c r="CS479" t="s">
        <v>36</v>
      </c>
      <c r="CT479" t="b">
        <v>1</v>
      </c>
      <c r="CU479">
        <v>4610500</v>
      </c>
      <c r="CV479" t="s">
        <v>9002</v>
      </c>
      <c r="CW479">
        <v>0</v>
      </c>
      <c r="CX479">
        <v>4610500</v>
      </c>
      <c r="CY479">
        <v>0</v>
      </c>
      <c r="CZ479" t="b">
        <v>1</v>
      </c>
      <c r="DA479">
        <v>45370</v>
      </c>
      <c r="DB479" t="s">
        <v>4177</v>
      </c>
      <c r="DC479">
        <v>-2.2217079379773241E-2</v>
      </c>
      <c r="DD479">
        <v>-2324.8556521299524</v>
      </c>
      <c r="DE479" s="420" cm="1">
        <f t="array" ref="DE479">_xlfn.XLOOKUP("Дом 5"&amp;Реестр_Д5[[#This Row],[№]]&amp;Реестр_Д5[[#This Row],[Статус]],РД[Дом]&amp;РД[№ кв]&amp;РД[Состояние],РД[Дата подачи на регистрацию],"-",0)</f>
        <v>45370</v>
      </c>
    </row>
    <row r="480" spans="1:109" hidden="1" x14ac:dyDescent="0.25">
      <c r="A480" s="238">
        <v>479</v>
      </c>
      <c r="B480" s="238" t="s">
        <v>15</v>
      </c>
      <c r="C480" s="238">
        <v>12</v>
      </c>
      <c r="D480" s="238">
        <v>3</v>
      </c>
      <c r="E480" s="238">
        <v>0</v>
      </c>
      <c r="F480" s="238">
        <v>7.2</v>
      </c>
      <c r="G480" s="238"/>
      <c r="H480" s="238"/>
      <c r="I480">
        <v>7.2</v>
      </c>
      <c r="J480" s="238">
        <v>5.17</v>
      </c>
      <c r="K480" s="238">
        <v>3.71</v>
      </c>
      <c r="L480" s="238"/>
      <c r="M480" s="238"/>
      <c r="N480" s="238">
        <v>6.96</v>
      </c>
      <c r="O480" s="238">
        <v>2.92</v>
      </c>
      <c r="P480" s="238"/>
      <c r="R480" s="238">
        <v>2.92</v>
      </c>
      <c r="S480">
        <v>25.96</v>
      </c>
      <c r="T480">
        <v>23.04</v>
      </c>
      <c r="U480" s="238">
        <v>24.5</v>
      </c>
      <c r="V480">
        <v>24.25</v>
      </c>
      <c r="W480" s="238">
        <v>91105.56</v>
      </c>
      <c r="X480">
        <v>4555.2780000000002</v>
      </c>
      <c r="Y480">
        <v>95660.838000000003</v>
      </c>
      <c r="Z480">
        <v>2869.8251399999999</v>
      </c>
      <c r="AA480">
        <v>98530.663140000004</v>
      </c>
      <c r="AB480">
        <v>8867.7596826000008</v>
      </c>
      <c r="AC480">
        <v>107398.4228226</v>
      </c>
      <c r="AE480">
        <v>107398.4228226</v>
      </c>
      <c r="AG480">
        <v>107398.4228226</v>
      </c>
      <c r="AI480">
        <v>107398.4228226</v>
      </c>
      <c r="AJ480">
        <v>1073.9842282259999</v>
      </c>
      <c r="AK480">
        <v>108472.407050826</v>
      </c>
      <c r="AL480">
        <v>5423.6203525413002</v>
      </c>
      <c r="AM480">
        <v>113896.0274033673</v>
      </c>
      <c r="AO480">
        <v>113896.0274033673</v>
      </c>
      <c r="AP480">
        <v>3416.880822101019</v>
      </c>
      <c r="AQ480">
        <v>117312.90822546832</v>
      </c>
      <c r="AS480">
        <v>117312.90822546832</v>
      </c>
      <c r="AU480">
        <v>117312.90822546832</v>
      </c>
      <c r="AW480">
        <v>117312.90822546832</v>
      </c>
      <c r="AX480">
        <v>1173.1290822546832</v>
      </c>
      <c r="AY480">
        <v>118486.03730772302</v>
      </c>
      <c r="BA480">
        <v>118486.03730772302</v>
      </c>
      <c r="BB480">
        <v>592.43018653861509</v>
      </c>
      <c r="BC480">
        <v>119078.46749426164</v>
      </c>
      <c r="BE480">
        <v>119078.46749426164</v>
      </c>
      <c r="BF480">
        <v>2976.961687356541</v>
      </c>
      <c r="BG480">
        <v>122055.42918161816</v>
      </c>
      <c r="BI480">
        <v>122055.42918161816</v>
      </c>
      <c r="BK480">
        <v>122055.42918161816</v>
      </c>
      <c r="BL480">
        <v>4882.2171672647264</v>
      </c>
      <c r="BM480">
        <v>126937.64634888287</v>
      </c>
      <c r="BN480">
        <v>16501.894025354777</v>
      </c>
      <c r="BO480">
        <v>143439.54037423767</v>
      </c>
      <c r="BP480">
        <v>35</v>
      </c>
      <c r="BQ480">
        <v>143474.54037423767</v>
      </c>
      <c r="BS480">
        <v>143474.54037423767</v>
      </c>
      <c r="BT480" s="238">
        <v>143474.54</v>
      </c>
      <c r="BU480" s="238">
        <v>3515200</v>
      </c>
      <c r="BV480">
        <v>196000</v>
      </c>
      <c r="BX480" s="238">
        <v>196000</v>
      </c>
      <c r="BY480" s="238">
        <v>135477.55102040817</v>
      </c>
      <c r="BZ480" s="238">
        <v>3319200</v>
      </c>
      <c r="CA480" s="238" t="s">
        <v>36</v>
      </c>
      <c r="CC480">
        <v>135477.55102040817</v>
      </c>
      <c r="CD480" s="238">
        <v>0</v>
      </c>
      <c r="CE480" s="238">
        <v>3319200</v>
      </c>
      <c r="CG480" t="s">
        <v>8676</v>
      </c>
      <c r="CH480" s="238" t="s">
        <v>39</v>
      </c>
      <c r="CI480" s="238" t="s">
        <v>39</v>
      </c>
      <c r="CJ480" t="s">
        <v>8950</v>
      </c>
      <c r="CK480" t="s">
        <v>1167</v>
      </c>
      <c r="CL480" t="s">
        <v>8961</v>
      </c>
      <c r="CM480" t="s">
        <v>8970</v>
      </c>
      <c r="CN480" s="238" t="b">
        <v>1</v>
      </c>
      <c r="CO480" t="s">
        <v>5768</v>
      </c>
      <c r="CQ480" t="s">
        <v>6652</v>
      </c>
      <c r="CR480" t="s">
        <v>3246</v>
      </c>
      <c r="CS480" t="s">
        <v>36</v>
      </c>
      <c r="CT480" t="b">
        <v>1</v>
      </c>
      <c r="CU480">
        <v>3515200</v>
      </c>
      <c r="CV480" t="s">
        <v>9002</v>
      </c>
      <c r="CW480">
        <v>0</v>
      </c>
      <c r="CX480">
        <v>3515200</v>
      </c>
      <c r="CY480">
        <v>0</v>
      </c>
      <c r="CZ480" t="b">
        <v>1</v>
      </c>
      <c r="DA480">
        <v>45755</v>
      </c>
      <c r="DB480" t="s">
        <v>8380</v>
      </c>
      <c r="DC480">
        <v>-1.0204081632653073E-2</v>
      </c>
      <c r="DD480">
        <v>-1382.4239900041664</v>
      </c>
      <c r="DE480" s="420" cm="1">
        <f t="array" ref="DE480">_xlfn.XLOOKUP("Дом 5"&amp;Реестр_Д5[[#This Row],[№]]&amp;Реестр_Д5[[#This Row],[Статус]],РД[Дом]&amp;РД[№ кв]&amp;РД[Состояние],РД[Дата подачи на регистрацию],"-",0)</f>
        <v>45755</v>
      </c>
    </row>
    <row r="481" spans="1:109" hidden="1" x14ac:dyDescent="0.25">
      <c r="A481" s="238">
        <v>480</v>
      </c>
      <c r="B481" s="238" t="s">
        <v>15</v>
      </c>
      <c r="C481" s="238">
        <v>12</v>
      </c>
      <c r="D481" s="238">
        <v>4</v>
      </c>
      <c r="E481" s="238">
        <v>2</v>
      </c>
      <c r="F481" s="238">
        <v>14.48</v>
      </c>
      <c r="G481" s="238">
        <v>11.42</v>
      </c>
      <c r="H481" s="238"/>
      <c r="I481">
        <v>25.9</v>
      </c>
      <c r="J481" s="238">
        <v>15.86</v>
      </c>
      <c r="K481" s="238">
        <v>3.01</v>
      </c>
      <c r="L481" s="238">
        <v>2.67</v>
      </c>
      <c r="M481" s="238"/>
      <c r="N481" s="238">
        <v>9.44</v>
      </c>
      <c r="O481" s="238">
        <v>2.72</v>
      </c>
      <c r="P481" s="238"/>
      <c r="R481" s="238">
        <v>2.72</v>
      </c>
      <c r="S481">
        <v>59.6</v>
      </c>
      <c r="T481">
        <v>56.88</v>
      </c>
      <c r="U481" s="238">
        <v>58.24</v>
      </c>
      <c r="V481">
        <v>57.95000000000001</v>
      </c>
      <c r="W481" s="238">
        <v>79535.67300000001</v>
      </c>
      <c r="X481">
        <v>3976.7836500000008</v>
      </c>
      <c r="Y481">
        <v>83512.456649999993</v>
      </c>
      <c r="Z481">
        <v>2505.3736994999999</v>
      </c>
      <c r="AA481">
        <v>86017.8303495</v>
      </c>
      <c r="AC481">
        <v>86017.8303495</v>
      </c>
      <c r="AE481">
        <v>86017.8303495</v>
      </c>
      <c r="AG481">
        <v>86017.8303495</v>
      </c>
      <c r="AI481">
        <v>86017.8303495</v>
      </c>
      <c r="AJ481">
        <v>860.17830349500002</v>
      </c>
      <c r="AK481">
        <v>86878.008652995006</v>
      </c>
      <c r="AL481">
        <v>4343.9004326497507</v>
      </c>
      <c r="AM481">
        <v>91221.909085644758</v>
      </c>
      <c r="AO481">
        <v>91221.909085644758</v>
      </c>
      <c r="AP481">
        <v>1824.4381817128951</v>
      </c>
      <c r="AQ481">
        <v>93046.347267357647</v>
      </c>
      <c r="AS481">
        <v>93046.347267357647</v>
      </c>
      <c r="AT481">
        <v>1860.9269453471527</v>
      </c>
      <c r="AU481">
        <v>94907.274212704797</v>
      </c>
      <c r="AW481">
        <v>94907.274212704797</v>
      </c>
      <c r="AX481">
        <v>949.07274212704795</v>
      </c>
      <c r="AY481">
        <v>95856.346954831839</v>
      </c>
      <c r="BA481">
        <v>95856.346954831839</v>
      </c>
      <c r="BC481">
        <v>95856.346954831839</v>
      </c>
      <c r="BE481">
        <v>95856.346954831839</v>
      </c>
      <c r="BF481">
        <v>1437.8452043224777</v>
      </c>
      <c r="BG481">
        <v>97294.192159154321</v>
      </c>
      <c r="BI481">
        <v>97294.192159154321</v>
      </c>
      <c r="BJ481">
        <v>3891.7676863661727</v>
      </c>
      <c r="BK481">
        <v>101185.9598455205</v>
      </c>
      <c r="BM481">
        <v>101185.9598455205</v>
      </c>
      <c r="BO481">
        <v>101185.9598455205</v>
      </c>
      <c r="BQ481">
        <v>101185.9598455205</v>
      </c>
      <c r="BS481">
        <v>101185.9598455205</v>
      </c>
      <c r="BT481" s="238">
        <v>101185.96</v>
      </c>
      <c r="BU481" s="238">
        <v>5893100</v>
      </c>
      <c r="BW481">
        <v>0.02</v>
      </c>
      <c r="BX481" s="238">
        <v>117862</v>
      </c>
      <c r="BY481" s="238">
        <v>99162.740384615376</v>
      </c>
      <c r="BZ481" s="238">
        <v>5775238</v>
      </c>
      <c r="CA481" s="238" t="s">
        <v>36</v>
      </c>
      <c r="CC481">
        <v>99162.740384615376</v>
      </c>
      <c r="CD481" s="238">
        <v>0</v>
      </c>
      <c r="CE481" s="238">
        <v>5775238</v>
      </c>
      <c r="CG481" t="s">
        <v>3540</v>
      </c>
      <c r="CH481" s="238" t="s">
        <v>39</v>
      </c>
      <c r="CI481" s="238" t="s">
        <v>39</v>
      </c>
      <c r="CJ481" t="s">
        <v>8950</v>
      </c>
      <c r="CK481" t="s">
        <v>1167</v>
      </c>
      <c r="CL481" t="s">
        <v>8961</v>
      </c>
      <c r="CM481" t="s">
        <v>8971</v>
      </c>
      <c r="CN481" s="238" t="b">
        <v>1</v>
      </c>
      <c r="CO481" t="s">
        <v>5769</v>
      </c>
      <c r="CQ481" t="s">
        <v>6652</v>
      </c>
      <c r="CR481" t="s">
        <v>3246</v>
      </c>
      <c r="CS481" t="s">
        <v>36</v>
      </c>
      <c r="CT481" t="b">
        <v>1</v>
      </c>
      <c r="CU481">
        <v>5893100</v>
      </c>
      <c r="CV481" t="s">
        <v>9002</v>
      </c>
      <c r="CW481">
        <v>0</v>
      </c>
      <c r="CX481">
        <v>5893100</v>
      </c>
      <c r="CY481">
        <v>0</v>
      </c>
      <c r="CZ481" t="b">
        <v>1</v>
      </c>
      <c r="DA481">
        <v>45614</v>
      </c>
      <c r="DB481" t="s">
        <v>126</v>
      </c>
      <c r="DC481">
        <v>-4.9793956043954202E-3</v>
      </c>
      <c r="DD481">
        <v>-493.7705135909581</v>
      </c>
      <c r="DE481" s="420" cm="1">
        <f t="array" ref="DE481">_xlfn.XLOOKUP("Дом 5"&amp;Реестр_Д5[[#This Row],[№]]&amp;Реестр_Д5[[#This Row],[Статус]],РД[Дом]&amp;РД[№ кв]&amp;РД[Состояние],РД[Дата подачи на регистрацию],"-",0)</f>
        <v>45614</v>
      </c>
    </row>
    <row r="482" spans="1:109" hidden="1" x14ac:dyDescent="0.25">
      <c r="A482" s="238">
        <v>481</v>
      </c>
      <c r="B482" s="238" t="s">
        <v>15</v>
      </c>
      <c r="C482" s="238">
        <v>12</v>
      </c>
      <c r="D482" s="238">
        <v>5</v>
      </c>
      <c r="E482" s="238">
        <v>2</v>
      </c>
      <c r="F482" s="238">
        <v>15.41</v>
      </c>
      <c r="G482" s="238">
        <v>12.78</v>
      </c>
      <c r="H482" s="238"/>
      <c r="I482">
        <v>28.19</v>
      </c>
      <c r="J482" s="238">
        <v>13.45</v>
      </c>
      <c r="K482" s="238">
        <v>3.7</v>
      </c>
      <c r="L482" s="238">
        <v>2.72</v>
      </c>
      <c r="M482" s="238"/>
      <c r="N482" s="238">
        <v>8.2200000000000006</v>
      </c>
      <c r="O482" s="238">
        <v>3.03</v>
      </c>
      <c r="P482" s="238"/>
      <c r="R482" s="238">
        <v>3.03</v>
      </c>
      <c r="S482">
        <v>59.31</v>
      </c>
      <c r="T482">
        <v>56.28</v>
      </c>
      <c r="U482" s="238">
        <v>57.8</v>
      </c>
      <c r="V482">
        <v>57.7</v>
      </c>
      <c r="W482" s="238">
        <v>79149.577499999999</v>
      </c>
      <c r="X482">
        <v>3957.4788749999998</v>
      </c>
      <c r="Y482">
        <v>83107.056375</v>
      </c>
      <c r="Z482">
        <v>2493.2116912500001</v>
      </c>
      <c r="AA482">
        <v>85600.268066250006</v>
      </c>
      <c r="AC482">
        <v>85600.268066250006</v>
      </c>
      <c r="AE482">
        <v>85600.268066250006</v>
      </c>
      <c r="AG482">
        <v>85600.268066250006</v>
      </c>
      <c r="AI482">
        <v>85600.268066250006</v>
      </c>
      <c r="AJ482">
        <v>856.0026806625001</v>
      </c>
      <c r="AK482">
        <v>86456.270746912502</v>
      </c>
      <c r="AL482">
        <v>4322.8135373456253</v>
      </c>
      <c r="AM482">
        <v>90779.084284258133</v>
      </c>
      <c r="AO482">
        <v>90779.084284258133</v>
      </c>
      <c r="AP482">
        <v>1815.5816856851627</v>
      </c>
      <c r="AQ482">
        <v>92594.665969943293</v>
      </c>
      <c r="AS482">
        <v>92594.665969943293</v>
      </c>
      <c r="AT482">
        <v>1851.893319398866</v>
      </c>
      <c r="AU482">
        <v>94446.559289342156</v>
      </c>
      <c r="AW482">
        <v>94446.559289342156</v>
      </c>
      <c r="AX482">
        <v>944.46559289342156</v>
      </c>
      <c r="AY482">
        <v>95391.024882235579</v>
      </c>
      <c r="BA482">
        <v>95391.024882235579</v>
      </c>
      <c r="BC482">
        <v>95391.024882235579</v>
      </c>
      <c r="BE482">
        <v>95391.024882235579</v>
      </c>
      <c r="BG482">
        <v>95391.024882235579</v>
      </c>
      <c r="BI482">
        <v>95391.024882235579</v>
      </c>
      <c r="BK482">
        <v>95391.024882235579</v>
      </c>
      <c r="BM482">
        <v>95391.024882235579</v>
      </c>
      <c r="BO482">
        <v>95391.024882235579</v>
      </c>
      <c r="BQ482">
        <v>95391.024882235579</v>
      </c>
      <c r="BS482">
        <v>95391.024882235579</v>
      </c>
      <c r="BT482" s="238">
        <v>95391.02</v>
      </c>
      <c r="BU482" s="238">
        <v>5513700</v>
      </c>
      <c r="BX482" s="238">
        <v>0</v>
      </c>
      <c r="BY482" s="238">
        <v>95392.733564013863</v>
      </c>
      <c r="BZ482" s="238">
        <v>5513700</v>
      </c>
      <c r="CA482" s="238" t="s">
        <v>38</v>
      </c>
      <c r="CB482">
        <v>20000</v>
      </c>
      <c r="CC482">
        <v>115392.73356401383</v>
      </c>
      <c r="CD482" s="238">
        <v>1156000</v>
      </c>
      <c r="CE482" s="238">
        <v>6669700</v>
      </c>
      <c r="CH482" s="238" t="s">
        <v>39</v>
      </c>
      <c r="CI482" s="238" t="s">
        <v>39</v>
      </c>
      <c r="CJ482" t="s">
        <v>8950</v>
      </c>
      <c r="CK482" t="s">
        <v>1167</v>
      </c>
      <c r="CL482" t="s">
        <v>8961</v>
      </c>
      <c r="CM482" t="s">
        <v>8974</v>
      </c>
      <c r="CN482" s="238" t="b">
        <v>1</v>
      </c>
      <c r="CO482" t="s">
        <v>5770</v>
      </c>
      <c r="CQ482" t="s">
        <v>6652</v>
      </c>
      <c r="CR482" t="s">
        <v>3246</v>
      </c>
      <c r="CS482" t="s">
        <v>38</v>
      </c>
      <c r="CT482" t="b">
        <v>1</v>
      </c>
      <c r="CU482">
        <v>5513700</v>
      </c>
      <c r="CV482" t="s">
        <v>9002</v>
      </c>
      <c r="CW482">
        <v>0</v>
      </c>
      <c r="CX482">
        <v>5513700</v>
      </c>
      <c r="CY482">
        <v>0</v>
      </c>
      <c r="CZ482" t="b">
        <v>1</v>
      </c>
      <c r="DA482">
        <v>45493</v>
      </c>
      <c r="DB482" t="s">
        <v>5215</v>
      </c>
      <c r="DC482">
        <v>-1.7301038062282892E-3</v>
      </c>
      <c r="DD482">
        <v>-165.03933142562144</v>
      </c>
      <c r="DE482" s="420" cm="1">
        <f t="array" ref="DE482">_xlfn.XLOOKUP("Дом 5"&amp;Реестр_Д5[[#This Row],[№]]&amp;Реестр_Д5[[#This Row],[Статус]],РД[Дом]&amp;РД[№ кв]&amp;РД[Состояние],РД[Дата подачи на регистрацию],"-",0)</f>
        <v>45493</v>
      </c>
    </row>
    <row r="483" spans="1:109" x14ac:dyDescent="0.25">
      <c r="A483" s="238">
        <v>482</v>
      </c>
      <c r="B483" s="238" t="s">
        <v>15</v>
      </c>
      <c r="C483" s="238">
        <v>12</v>
      </c>
      <c r="D483" s="238">
        <v>6</v>
      </c>
      <c r="E483" s="238">
        <v>1</v>
      </c>
      <c r="F483" s="238">
        <v>12.71</v>
      </c>
      <c r="G483" s="238"/>
      <c r="H483" s="238"/>
      <c r="I483">
        <v>12.71</v>
      </c>
      <c r="J483" s="238">
        <v>12.55</v>
      </c>
      <c r="K483" s="238">
        <v>4.28</v>
      </c>
      <c r="L483" s="238"/>
      <c r="M483" s="238"/>
      <c r="N483" s="238">
        <v>7.34</v>
      </c>
      <c r="O483" s="238">
        <v>2.84</v>
      </c>
      <c r="P483" s="238"/>
      <c r="R483" s="238">
        <v>2.84</v>
      </c>
      <c r="S483">
        <v>39.72</v>
      </c>
      <c r="T483">
        <v>36.880000000000003</v>
      </c>
      <c r="U483" s="238">
        <v>38.299999999999997</v>
      </c>
      <c r="V483">
        <v>37.9</v>
      </c>
      <c r="W483" s="238">
        <v>87601.5</v>
      </c>
      <c r="X483">
        <v>4380.0749999999998</v>
      </c>
      <c r="Y483">
        <v>91981.574999999997</v>
      </c>
      <c r="Z483">
        <v>2759.4472499999997</v>
      </c>
      <c r="AA483">
        <v>94741.022249999995</v>
      </c>
      <c r="AB483">
        <v>947.41022250000003</v>
      </c>
      <c r="AC483">
        <v>95688.432472500004</v>
      </c>
      <c r="AE483">
        <v>95688.432472500004</v>
      </c>
      <c r="AF483">
        <v>4784.4216236249995</v>
      </c>
      <c r="AG483">
        <v>100472.854096125</v>
      </c>
      <c r="AI483">
        <v>100472.854096125</v>
      </c>
      <c r="AJ483">
        <v>1004.72854096125</v>
      </c>
      <c r="AK483">
        <v>101477.58263708623</v>
      </c>
      <c r="AL483">
        <v>5073.8791318543126</v>
      </c>
      <c r="AM483">
        <v>106551.46176894056</v>
      </c>
      <c r="AO483">
        <v>106551.46176894056</v>
      </c>
      <c r="AP483">
        <v>3196.5438530682168</v>
      </c>
      <c r="AQ483">
        <v>109748.00562200876</v>
      </c>
      <c r="AS483">
        <v>109748.00562200876</v>
      </c>
      <c r="AU483">
        <v>109748.00562200876</v>
      </c>
      <c r="AW483">
        <v>109748.00562200876</v>
      </c>
      <c r="AY483">
        <v>109748.00562200876</v>
      </c>
      <c r="AZ483">
        <v>1097.4800562200878</v>
      </c>
      <c r="BA483">
        <v>110845.48567822886</v>
      </c>
      <c r="BB483">
        <v>554.22742839114426</v>
      </c>
      <c r="BC483">
        <v>111399.71310661999</v>
      </c>
      <c r="BE483">
        <v>111399.71310661999</v>
      </c>
      <c r="BF483">
        <v>2784.9928276655</v>
      </c>
      <c r="BG483">
        <v>114184.70593428548</v>
      </c>
      <c r="BI483">
        <v>114184.70593428548</v>
      </c>
      <c r="BJ483">
        <v>2283.6941186857098</v>
      </c>
      <c r="BK483">
        <v>116468.40005297121</v>
      </c>
      <c r="BL483">
        <v>5823.4200026485605</v>
      </c>
      <c r="BM483">
        <v>122291.82005561976</v>
      </c>
      <c r="BN483">
        <v>15897.936607230571</v>
      </c>
      <c r="BO483">
        <v>138189.75666285033</v>
      </c>
      <c r="BP483">
        <v>35</v>
      </c>
      <c r="BQ483">
        <v>138224.75666285033</v>
      </c>
      <c r="BS483">
        <v>138224.75666285033</v>
      </c>
      <c r="BT483" s="238">
        <v>138224.76</v>
      </c>
      <c r="BU483" s="238">
        <v>5238800</v>
      </c>
      <c r="BX483" s="238">
        <v>0</v>
      </c>
      <c r="BY483" s="238">
        <v>138226.91292875991</v>
      </c>
      <c r="BZ483" s="238">
        <v>5238800</v>
      </c>
      <c r="CA483" s="238" t="s">
        <v>36</v>
      </c>
      <c r="CC483">
        <v>138226.91292875991</v>
      </c>
      <c r="CD483" s="238">
        <v>0</v>
      </c>
      <c r="CE483" s="238">
        <v>5238800</v>
      </c>
      <c r="CH483" s="238" t="s">
        <v>3</v>
      </c>
      <c r="CI483" s="238" t="s">
        <v>3</v>
      </c>
      <c r="CJ483" t="s">
        <v>8951</v>
      </c>
      <c r="CK483" t="s">
        <v>1167</v>
      </c>
      <c r="CL483" t="s">
        <v>8961</v>
      </c>
      <c r="CM483" t="s">
        <v>8973</v>
      </c>
      <c r="CN483" s="238" t="b">
        <v>1</v>
      </c>
      <c r="CO483" t="s">
        <v>5771</v>
      </c>
      <c r="CQ483" t="s">
        <v>6652</v>
      </c>
      <c r="CR483" t="s">
        <v>3124</v>
      </c>
      <c r="CS483" t="s">
        <v>36</v>
      </c>
      <c r="CT483" t="b">
        <v>1</v>
      </c>
      <c r="CU483">
        <v>5238800</v>
      </c>
      <c r="CV483">
        <v>5238800</v>
      </c>
      <c r="CW483">
        <v>0</v>
      </c>
      <c r="CX483">
        <v>0</v>
      </c>
      <c r="CY483">
        <v>0</v>
      </c>
      <c r="CZ483" t="b">
        <v>1</v>
      </c>
      <c r="DA483" t="s">
        <v>4246</v>
      </c>
      <c r="DB483" t="s">
        <v>1167</v>
      </c>
      <c r="DC483">
        <v>-1.0443864229764954E-2</v>
      </c>
      <c r="DD483">
        <v>-1443.6231115275104</v>
      </c>
      <c r="DE483" s="420" t="str" cm="1">
        <f t="array" ref="DE48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84" spans="1:109" hidden="1" x14ac:dyDescent="0.25">
      <c r="A484" s="238">
        <v>483</v>
      </c>
      <c r="B484" s="238" t="s">
        <v>15</v>
      </c>
      <c r="C484" s="238">
        <v>12</v>
      </c>
      <c r="D484" s="238">
        <v>7</v>
      </c>
      <c r="E484" s="238">
        <v>3</v>
      </c>
      <c r="F484" s="238">
        <v>14.49</v>
      </c>
      <c r="G484" s="238">
        <v>13.98</v>
      </c>
      <c r="H484" s="238">
        <v>11.42</v>
      </c>
      <c r="I484">
        <v>39.89</v>
      </c>
      <c r="J484" s="238">
        <v>16.670000000000002</v>
      </c>
      <c r="K484" s="238">
        <v>4.1399999999999997</v>
      </c>
      <c r="L484" s="238">
        <v>1.89</v>
      </c>
      <c r="M484" s="238"/>
      <c r="N484" s="238">
        <v>11.31</v>
      </c>
      <c r="O484" s="238">
        <v>2.86</v>
      </c>
      <c r="P484" s="238">
        <v>2.79</v>
      </c>
      <c r="Q484">
        <v>5.42</v>
      </c>
      <c r="R484" s="238">
        <v>11.07</v>
      </c>
      <c r="S484">
        <v>84.97</v>
      </c>
      <c r="T484">
        <v>73.900000000000006</v>
      </c>
      <c r="U484" s="238">
        <v>79.44</v>
      </c>
      <c r="V484">
        <v>78.649999999999977</v>
      </c>
      <c r="W484" s="238">
        <v>77803.110000000015</v>
      </c>
      <c r="X484">
        <v>3890.1555000000008</v>
      </c>
      <c r="Y484">
        <v>81693.265500000023</v>
      </c>
      <c r="Z484">
        <v>2450.7979650000002</v>
      </c>
      <c r="AA484">
        <v>84144.063465000014</v>
      </c>
      <c r="AC484">
        <v>84144.063465000014</v>
      </c>
      <c r="AE484">
        <v>84144.063465000014</v>
      </c>
      <c r="AG484">
        <v>84144.063465000014</v>
      </c>
      <c r="AI484">
        <v>84144.063465000014</v>
      </c>
      <c r="AJ484">
        <v>841.44063465000011</v>
      </c>
      <c r="AK484">
        <v>84985.504099650017</v>
      </c>
      <c r="AL484">
        <v>4249.2752049825012</v>
      </c>
      <c r="AM484">
        <v>89234.779304632524</v>
      </c>
      <c r="AO484">
        <v>89234.779304632524</v>
      </c>
      <c r="AP484">
        <v>1784.6955860926505</v>
      </c>
      <c r="AQ484">
        <v>91019.474890725178</v>
      </c>
      <c r="AS484">
        <v>91019.474890725178</v>
      </c>
      <c r="AT484">
        <v>1820.3894978145036</v>
      </c>
      <c r="AU484">
        <v>92839.864388539703</v>
      </c>
      <c r="AW484">
        <v>92839.864388539703</v>
      </c>
      <c r="AY484">
        <v>92839.864388539703</v>
      </c>
      <c r="BA484">
        <v>92839.864388539703</v>
      </c>
      <c r="BC484">
        <v>92839.864388539703</v>
      </c>
      <c r="BE484">
        <v>92839.864388539703</v>
      </c>
      <c r="BG484">
        <v>92839.864388539703</v>
      </c>
      <c r="BI484">
        <v>92839.864388539703</v>
      </c>
      <c r="BK484">
        <v>92839.864388539703</v>
      </c>
      <c r="BM484">
        <v>92839.864388539703</v>
      </c>
      <c r="BO484">
        <v>92839.864388539703</v>
      </c>
      <c r="BQ484">
        <v>92839.864388539703</v>
      </c>
      <c r="BS484">
        <v>92839.864388539703</v>
      </c>
      <c r="BT484" s="238">
        <v>92839.86</v>
      </c>
      <c r="BU484" s="238">
        <v>7375200</v>
      </c>
      <c r="BV484">
        <v>90000</v>
      </c>
      <c r="BX484" s="238">
        <v>90000</v>
      </c>
      <c r="BY484" s="238">
        <v>91706.948640483388</v>
      </c>
      <c r="BZ484" s="238">
        <v>7285200</v>
      </c>
      <c r="CA484" s="238" t="s">
        <v>36</v>
      </c>
      <c r="CC484">
        <v>91706.948640483388</v>
      </c>
      <c r="CD484" s="238">
        <v>0</v>
      </c>
      <c r="CE484" s="238">
        <v>7285200</v>
      </c>
      <c r="CF484" t="s">
        <v>4636</v>
      </c>
      <c r="CG484" t="s">
        <v>7135</v>
      </c>
      <c r="CH484" s="238" t="s">
        <v>39</v>
      </c>
      <c r="CI484" s="238" t="s">
        <v>39</v>
      </c>
      <c r="CJ484" t="s">
        <v>8950</v>
      </c>
      <c r="CK484" t="s">
        <v>1167</v>
      </c>
      <c r="CL484" t="s">
        <v>8961</v>
      </c>
      <c r="CM484" t="s">
        <v>8990</v>
      </c>
      <c r="CN484" s="238" t="b">
        <v>1</v>
      </c>
      <c r="CO484" t="s">
        <v>5772</v>
      </c>
      <c r="CQ484" t="s">
        <v>6652</v>
      </c>
      <c r="CR484" t="s">
        <v>3246</v>
      </c>
      <c r="CS484" t="s">
        <v>36</v>
      </c>
      <c r="CT484" t="b">
        <v>1</v>
      </c>
      <c r="CU484">
        <v>7375200</v>
      </c>
      <c r="CV484" t="s">
        <v>9002</v>
      </c>
      <c r="CW484">
        <v>0</v>
      </c>
      <c r="CX484">
        <v>7375200</v>
      </c>
      <c r="CY484">
        <v>0</v>
      </c>
      <c r="CZ484" t="b">
        <v>1</v>
      </c>
      <c r="DA484">
        <v>45408</v>
      </c>
      <c r="DB484" t="s">
        <v>5215</v>
      </c>
      <c r="DC484">
        <v>-9.9446122860020747E-3</v>
      </c>
      <c r="DD484">
        <v>-911.99004816191234</v>
      </c>
      <c r="DE484" s="420" cm="1">
        <f t="array" ref="DE484">_xlfn.XLOOKUP("Дом 5"&amp;Реестр_Д5[[#This Row],[№]]&amp;Реестр_Д5[[#This Row],[Статус]],РД[Дом]&amp;РД[№ кв]&amp;РД[Состояние],РД[Дата подачи на регистрацию],"-",0)</f>
        <v>45408</v>
      </c>
    </row>
    <row r="485" spans="1:109" hidden="1" x14ac:dyDescent="0.25">
      <c r="A485" s="238">
        <v>484</v>
      </c>
      <c r="B485" s="238" t="s">
        <v>15</v>
      </c>
      <c r="C485" s="238">
        <v>12</v>
      </c>
      <c r="D485" s="238">
        <v>8</v>
      </c>
      <c r="E485" s="238">
        <v>1</v>
      </c>
      <c r="F485" s="238">
        <v>16.79</v>
      </c>
      <c r="G485" s="238"/>
      <c r="H485" s="238"/>
      <c r="I485">
        <v>16.79</v>
      </c>
      <c r="J485" s="238">
        <v>11.43</v>
      </c>
      <c r="K485" s="238">
        <v>3.56</v>
      </c>
      <c r="L485" s="238"/>
      <c r="M485" s="238"/>
      <c r="N485" s="238">
        <v>6.66</v>
      </c>
      <c r="O485" s="238">
        <v>2.4900000000000002</v>
      </c>
      <c r="P485" s="238"/>
      <c r="R485" s="238">
        <v>2.4900000000000002</v>
      </c>
      <c r="S485">
        <v>40.93</v>
      </c>
      <c r="T485">
        <v>38.44</v>
      </c>
      <c r="U485" s="238">
        <v>39.69</v>
      </c>
      <c r="V485">
        <v>39.450000000000003</v>
      </c>
      <c r="W485" s="238">
        <v>86384.8125</v>
      </c>
      <c r="X485">
        <v>4319.2406250000004</v>
      </c>
      <c r="Y485">
        <v>90704.053125000006</v>
      </c>
      <c r="Z485">
        <v>2721.1215937500001</v>
      </c>
      <c r="AA485">
        <v>93425.17471875</v>
      </c>
      <c r="AB485">
        <v>4204.1328623437503</v>
      </c>
      <c r="AC485">
        <v>97629.307581093744</v>
      </c>
      <c r="AE485">
        <v>97629.307581093744</v>
      </c>
      <c r="AG485">
        <v>97629.307581093744</v>
      </c>
      <c r="AI485">
        <v>97629.307581093744</v>
      </c>
      <c r="AK485">
        <v>97629.307581093744</v>
      </c>
      <c r="AM485">
        <v>97629.307581093744</v>
      </c>
      <c r="AO485">
        <v>97629.307581093744</v>
      </c>
      <c r="AQ485">
        <v>97629.307581093744</v>
      </c>
      <c r="AS485">
        <v>97629.307581093744</v>
      </c>
      <c r="AU485">
        <v>97629.307581093744</v>
      </c>
      <c r="AW485">
        <v>97629.307581093744</v>
      </c>
      <c r="AY485">
        <v>97629.307581093744</v>
      </c>
      <c r="BA485">
        <v>97629.307581093744</v>
      </c>
      <c r="BC485">
        <v>97629.307581093744</v>
      </c>
      <c r="BE485">
        <v>97629.307581093744</v>
      </c>
      <c r="BG485">
        <v>97629.307581093744</v>
      </c>
      <c r="BI485">
        <v>97629.307581093744</v>
      </c>
      <c r="BK485">
        <v>97629.307581093744</v>
      </c>
      <c r="BM485">
        <v>97629.307581093744</v>
      </c>
      <c r="BO485">
        <v>97629.307581093744</v>
      </c>
      <c r="BQ485">
        <v>97629.307581093744</v>
      </c>
      <c r="BS485">
        <v>97629.307581093744</v>
      </c>
      <c r="BT485" s="238">
        <v>97629.31</v>
      </c>
      <c r="BU485" s="238">
        <v>3874907.31</v>
      </c>
      <c r="BX485" s="238">
        <v>0</v>
      </c>
      <c r="BY485" s="238">
        <v>97629.309901738481</v>
      </c>
      <c r="BZ485" s="238">
        <v>3874907.31</v>
      </c>
      <c r="CA485" s="238" t="s">
        <v>36</v>
      </c>
      <c r="CC485">
        <v>97629.309901738481</v>
      </c>
      <c r="CD485" s="238">
        <v>0</v>
      </c>
      <c r="CE485" s="238">
        <v>3874907.31</v>
      </c>
      <c r="CH485" s="238" t="s">
        <v>39</v>
      </c>
      <c r="CI485" s="238" t="s">
        <v>39</v>
      </c>
      <c r="CJ485" t="s">
        <v>8950</v>
      </c>
      <c r="CK485" t="s">
        <v>1167</v>
      </c>
      <c r="CL485" t="s">
        <v>8961</v>
      </c>
      <c r="CM485" t="s">
        <v>8973</v>
      </c>
      <c r="CN485" s="238" t="b">
        <v>1</v>
      </c>
      <c r="CO485" t="s">
        <v>5773</v>
      </c>
      <c r="CQ485" t="s">
        <v>4895</v>
      </c>
      <c r="CR485" t="s">
        <v>3246</v>
      </c>
      <c r="CS485" t="s">
        <v>36</v>
      </c>
      <c r="CT485" t="b">
        <v>1</v>
      </c>
      <c r="CU485">
        <v>3874907.31</v>
      </c>
      <c r="CV485" t="s">
        <v>9002</v>
      </c>
      <c r="CW485">
        <v>0</v>
      </c>
      <c r="CX485">
        <v>3874907</v>
      </c>
      <c r="CY485">
        <v>0</v>
      </c>
      <c r="CZ485" t="b">
        <v>1</v>
      </c>
      <c r="DA485">
        <v>45230</v>
      </c>
      <c r="DB485" t="s">
        <v>4177</v>
      </c>
      <c r="DC485">
        <v>-6.0468631897202529E-3</v>
      </c>
      <c r="DD485">
        <v>-590.35108028261345</v>
      </c>
      <c r="DE485" s="420" cm="1">
        <f t="array" ref="DE485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486" spans="1:109" hidden="1" x14ac:dyDescent="0.25">
      <c r="A486" s="238">
        <v>485</v>
      </c>
      <c r="B486" s="238" t="s">
        <v>15</v>
      </c>
      <c r="C486" s="238">
        <v>13</v>
      </c>
      <c r="D486" s="238">
        <v>1</v>
      </c>
      <c r="E486" s="238">
        <v>0</v>
      </c>
      <c r="F486" s="238">
        <v>13.74</v>
      </c>
      <c r="G486" s="238"/>
      <c r="H486" s="238"/>
      <c r="I486">
        <v>13.74</v>
      </c>
      <c r="J486" s="238">
        <v>5.84</v>
      </c>
      <c r="K486" s="238">
        <v>3.76</v>
      </c>
      <c r="L486" s="238"/>
      <c r="M486" s="238"/>
      <c r="N486" s="238">
        <v>3.73</v>
      </c>
      <c r="O486" s="238">
        <v>4.6500000000000004</v>
      </c>
      <c r="P486" s="238"/>
      <c r="R486" s="238">
        <v>4.6500000000000004</v>
      </c>
      <c r="S486">
        <v>31.72</v>
      </c>
      <c r="T486">
        <v>27.07</v>
      </c>
      <c r="U486" s="238">
        <v>29.4</v>
      </c>
      <c r="V486">
        <v>29.2</v>
      </c>
      <c r="W486" s="238">
        <v>89353.53</v>
      </c>
      <c r="Y486">
        <v>89353.53</v>
      </c>
      <c r="AA486">
        <v>89353.53</v>
      </c>
      <c r="AC486">
        <v>89353.53</v>
      </c>
      <c r="AE486">
        <v>89353.53</v>
      </c>
      <c r="AG486">
        <v>89353.53</v>
      </c>
      <c r="AI486">
        <v>89353.53</v>
      </c>
      <c r="AK486">
        <v>89353.53</v>
      </c>
      <c r="AM486">
        <v>89353.53</v>
      </c>
      <c r="AO486">
        <v>89353.53</v>
      </c>
      <c r="AQ486">
        <v>89353.53</v>
      </c>
      <c r="AS486">
        <v>89353.53</v>
      </c>
      <c r="AU486">
        <v>89353.53</v>
      </c>
      <c r="AW486">
        <v>89353.53</v>
      </c>
      <c r="AY486">
        <v>89353.53</v>
      </c>
      <c r="BA486">
        <v>89353.53</v>
      </c>
      <c r="BC486">
        <v>89353.53</v>
      </c>
      <c r="BE486">
        <v>89353.53</v>
      </c>
      <c r="BG486">
        <v>89353.53</v>
      </c>
      <c r="BI486">
        <v>89353.53</v>
      </c>
      <c r="BK486">
        <v>89353.53</v>
      </c>
      <c r="BM486">
        <v>89353.53</v>
      </c>
      <c r="BO486">
        <v>89353.53</v>
      </c>
      <c r="BQ486">
        <v>89353.53</v>
      </c>
      <c r="BS486">
        <v>89353.53</v>
      </c>
      <c r="BT486" s="238">
        <v>89353.53</v>
      </c>
      <c r="BU486" s="238">
        <v>2626993.7799999998</v>
      </c>
      <c r="BX486" s="238">
        <v>0</v>
      </c>
      <c r="BY486" s="238">
        <v>89353.529931972793</v>
      </c>
      <c r="BZ486" s="238">
        <v>2626993.7799999998</v>
      </c>
      <c r="CA486" s="238" t="s">
        <v>36</v>
      </c>
      <c r="CC486">
        <v>89353.529931972793</v>
      </c>
      <c r="CD486" s="238">
        <v>0</v>
      </c>
      <c r="CE486" s="238">
        <v>2626993.7799999998</v>
      </c>
      <c r="CH486" s="238" t="s">
        <v>39</v>
      </c>
      <c r="CI486" s="238" t="s">
        <v>39</v>
      </c>
      <c r="CJ486" t="s">
        <v>8950</v>
      </c>
      <c r="CK486" t="s">
        <v>1167</v>
      </c>
      <c r="CL486" t="s">
        <v>8961</v>
      </c>
      <c r="CM486" t="s">
        <v>8970</v>
      </c>
      <c r="CN486" s="238" t="b">
        <v>1</v>
      </c>
      <c r="CO486" t="s">
        <v>5774</v>
      </c>
      <c r="CQ486" t="s">
        <v>4895</v>
      </c>
      <c r="CR486" t="s">
        <v>3246</v>
      </c>
      <c r="CS486" t="s">
        <v>36</v>
      </c>
      <c r="CT486" t="b">
        <v>1</v>
      </c>
      <c r="CU486">
        <v>2626993.7799999998</v>
      </c>
      <c r="CV486" t="s">
        <v>9002</v>
      </c>
      <c r="CW486">
        <v>2626994</v>
      </c>
      <c r="CX486">
        <v>2626994</v>
      </c>
      <c r="CY486">
        <v>0</v>
      </c>
      <c r="CZ486" t="b">
        <v>1</v>
      </c>
      <c r="DA486">
        <v>45188</v>
      </c>
      <c r="DB486" t="s">
        <v>3901</v>
      </c>
      <c r="DC486">
        <v>-6.8027210884353817E-3</v>
      </c>
      <c r="DD486">
        <v>-607.84714239437346</v>
      </c>
      <c r="DE486" s="420" cm="1">
        <f t="array" ref="DE486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487" spans="1:109" hidden="1" x14ac:dyDescent="0.25">
      <c r="A487" s="238">
        <v>486</v>
      </c>
      <c r="B487" s="238" t="s">
        <v>15</v>
      </c>
      <c r="C487" s="238">
        <v>13</v>
      </c>
      <c r="D487" s="238">
        <v>2</v>
      </c>
      <c r="E487" s="238">
        <v>1</v>
      </c>
      <c r="F487" s="238">
        <v>13.17</v>
      </c>
      <c r="G487" s="238"/>
      <c r="H487" s="238"/>
      <c r="I487">
        <v>13.17</v>
      </c>
      <c r="J487" s="238">
        <v>16.940000000000001</v>
      </c>
      <c r="K487" s="238">
        <v>3.55</v>
      </c>
      <c r="L487" s="238">
        <v>2.41</v>
      </c>
      <c r="M487" s="238"/>
      <c r="N487" s="238">
        <v>5.8</v>
      </c>
      <c r="O487" s="238">
        <v>2.68</v>
      </c>
      <c r="P487" s="238"/>
      <c r="R487" s="238">
        <v>2.68</v>
      </c>
      <c r="S487">
        <v>44.55</v>
      </c>
      <c r="T487">
        <v>41.87</v>
      </c>
      <c r="U487" s="238">
        <v>43.21</v>
      </c>
      <c r="V487">
        <v>42.2</v>
      </c>
      <c r="W487" s="238">
        <v>85168.125</v>
      </c>
      <c r="X487">
        <v>4258.40625</v>
      </c>
      <c r="Y487">
        <v>89426.53125</v>
      </c>
      <c r="Z487">
        <v>2682.7959375</v>
      </c>
      <c r="AA487">
        <v>92109.327187500006</v>
      </c>
      <c r="AB487">
        <v>921.09327187500003</v>
      </c>
      <c r="AC487">
        <v>93030.420459375004</v>
      </c>
      <c r="AE487">
        <v>93030.420459375004</v>
      </c>
      <c r="AF487">
        <v>4651.52102296875</v>
      </c>
      <c r="AG487">
        <v>97681.941482343755</v>
      </c>
      <c r="AI487">
        <v>97681.941482343755</v>
      </c>
      <c r="AJ487">
        <v>976.81941482343757</v>
      </c>
      <c r="AK487">
        <v>98658.760897167187</v>
      </c>
      <c r="AL487">
        <v>4932.9380448583597</v>
      </c>
      <c r="AM487">
        <v>103591.69894202554</v>
      </c>
      <c r="AO487">
        <v>103591.69894202554</v>
      </c>
      <c r="AP487">
        <v>3107.7509682607661</v>
      </c>
      <c r="AQ487">
        <v>106699.4499102863</v>
      </c>
      <c r="AR487">
        <v>500</v>
      </c>
      <c r="AS487">
        <v>107199.4499102863</v>
      </c>
      <c r="AU487">
        <v>107199.4499102863</v>
      </c>
      <c r="AW487">
        <v>107199.4499102863</v>
      </c>
      <c r="AY487">
        <v>107199.4499102863</v>
      </c>
      <c r="AZ487">
        <v>1071.9944991028633</v>
      </c>
      <c r="BA487">
        <v>108271.44440938917</v>
      </c>
      <c r="BC487">
        <v>108271.44440938917</v>
      </c>
      <c r="BE487">
        <v>108271.44440938917</v>
      </c>
      <c r="BF487">
        <v>2706.7861102347292</v>
      </c>
      <c r="BG487">
        <v>110978.23051962387</v>
      </c>
      <c r="BI487">
        <v>110978.23051962387</v>
      </c>
      <c r="BK487">
        <v>110978.23051962387</v>
      </c>
      <c r="BM487">
        <v>110978.23051962387</v>
      </c>
      <c r="BO487">
        <v>110978.23051962387</v>
      </c>
      <c r="BQ487">
        <v>110978.23051962387</v>
      </c>
      <c r="BS487">
        <v>110978.23051962387</v>
      </c>
      <c r="BT487" s="238">
        <v>110978.23</v>
      </c>
      <c r="BU487" s="238">
        <v>4795400</v>
      </c>
      <c r="BX487" s="238">
        <v>0</v>
      </c>
      <c r="BY487" s="238">
        <v>110978.94006017126</v>
      </c>
      <c r="BZ487" s="238">
        <v>4795400</v>
      </c>
      <c r="CA487" s="238" t="s">
        <v>6871</v>
      </c>
      <c r="CB487">
        <v>8000</v>
      </c>
      <c r="CC487">
        <v>118978.94006017126</v>
      </c>
      <c r="CD487" s="238">
        <v>345680</v>
      </c>
      <c r="CE487" s="238">
        <v>5141080</v>
      </c>
      <c r="CH487" s="238" t="s">
        <v>39</v>
      </c>
      <c r="CI487" s="238" t="s">
        <v>39</v>
      </c>
      <c r="CJ487" t="s">
        <v>8950</v>
      </c>
      <c r="CK487" t="s">
        <v>1167</v>
      </c>
      <c r="CL487" t="s">
        <v>8961</v>
      </c>
      <c r="CM487" t="s">
        <v>8972</v>
      </c>
      <c r="CN487" s="238" t="b">
        <v>1</v>
      </c>
      <c r="CO487" t="s">
        <v>5775</v>
      </c>
      <c r="CQ487" t="s">
        <v>6652</v>
      </c>
      <c r="CR487" t="s">
        <v>3246</v>
      </c>
      <c r="CS487" t="s">
        <v>6871</v>
      </c>
      <c r="CT487" t="b">
        <v>1</v>
      </c>
      <c r="CU487">
        <v>4795400</v>
      </c>
      <c r="CV487" t="s">
        <v>9002</v>
      </c>
      <c r="CW487">
        <v>4795400</v>
      </c>
      <c r="CX487">
        <v>4795400</v>
      </c>
      <c r="CY487">
        <v>0</v>
      </c>
      <c r="CZ487" t="b">
        <v>1</v>
      </c>
      <c r="DA487">
        <v>45652</v>
      </c>
      <c r="DB487" t="s">
        <v>4177</v>
      </c>
      <c r="DC487">
        <v>-2.3374218930803159E-2</v>
      </c>
      <c r="DD487">
        <v>-2594.0460416749238</v>
      </c>
      <c r="DE487" s="420" cm="1">
        <f t="array" ref="DE487">_xlfn.XLOOKUP("Дом 5"&amp;Реестр_Д5[[#This Row],[№]]&amp;Реестр_Д5[[#This Row],[Статус]],РД[Дом]&amp;РД[№ кв]&amp;РД[Состояние],РД[Дата подачи на регистрацию],"-",0)</f>
        <v>45652</v>
      </c>
    </row>
    <row r="488" spans="1:109" hidden="1" x14ac:dyDescent="0.25">
      <c r="A488" s="238">
        <v>487</v>
      </c>
      <c r="B488" s="238" t="s">
        <v>15</v>
      </c>
      <c r="C488" s="238">
        <v>13</v>
      </c>
      <c r="D488" s="238">
        <v>3</v>
      </c>
      <c r="E488" s="238">
        <v>0</v>
      </c>
      <c r="F488" s="238">
        <v>7.2</v>
      </c>
      <c r="G488" s="238"/>
      <c r="H488" s="238"/>
      <c r="I488">
        <v>7.2</v>
      </c>
      <c r="J488" s="238">
        <v>5.17</v>
      </c>
      <c r="K488" s="238">
        <v>3.71</v>
      </c>
      <c r="L488" s="238"/>
      <c r="M488" s="238"/>
      <c r="N488" s="238">
        <v>6.96</v>
      </c>
      <c r="O488" s="238">
        <v>2.92</v>
      </c>
      <c r="P488" s="238"/>
      <c r="R488" s="238">
        <v>2.92</v>
      </c>
      <c r="S488">
        <v>25.96</v>
      </c>
      <c r="T488">
        <v>23.04</v>
      </c>
      <c r="U488" s="238">
        <v>24.5</v>
      </c>
      <c r="V488">
        <v>24.299999999999997</v>
      </c>
      <c r="W488" s="238">
        <v>91105.56</v>
      </c>
      <c r="X488">
        <v>4555.2780000000002</v>
      </c>
      <c r="Y488">
        <v>95660.838000000003</v>
      </c>
      <c r="Z488">
        <v>2869.8251399999999</v>
      </c>
      <c r="AA488">
        <v>98530.663140000004</v>
      </c>
      <c r="AB488">
        <v>8867.7596826000008</v>
      </c>
      <c r="AC488">
        <v>107398.4228226</v>
      </c>
      <c r="AE488">
        <v>107398.4228226</v>
      </c>
      <c r="AG488">
        <v>107398.4228226</v>
      </c>
      <c r="AI488">
        <v>107398.4228226</v>
      </c>
      <c r="AJ488">
        <v>1073.9842282259999</v>
      </c>
      <c r="AK488">
        <v>108472.407050826</v>
      </c>
      <c r="AL488">
        <v>5423.6203525413002</v>
      </c>
      <c r="AM488">
        <v>113896.0274033673</v>
      </c>
      <c r="AO488">
        <v>113896.0274033673</v>
      </c>
      <c r="AP488">
        <v>3416.880822101019</v>
      </c>
      <c r="AQ488">
        <v>117312.90822546832</v>
      </c>
      <c r="AS488">
        <v>117312.90822546832</v>
      </c>
      <c r="AU488">
        <v>117312.90822546832</v>
      </c>
      <c r="AW488">
        <v>117312.90822546832</v>
      </c>
      <c r="AX488">
        <v>1173.1290822546832</v>
      </c>
      <c r="AY488">
        <v>118486.03730772302</v>
      </c>
      <c r="BA488">
        <v>118486.03730772302</v>
      </c>
      <c r="BB488">
        <v>592.43018653861509</v>
      </c>
      <c r="BC488">
        <v>119078.46749426164</v>
      </c>
      <c r="BE488">
        <v>119078.46749426164</v>
      </c>
      <c r="BF488">
        <v>2976.961687356541</v>
      </c>
      <c r="BG488">
        <v>122055.42918161816</v>
      </c>
      <c r="BI488">
        <v>122055.42918161816</v>
      </c>
      <c r="BK488">
        <v>122055.42918161816</v>
      </c>
      <c r="BL488">
        <v>4882.2171672647264</v>
      </c>
      <c r="BM488">
        <v>126937.64634888287</v>
      </c>
      <c r="BN488">
        <v>16501.894025354777</v>
      </c>
      <c r="BO488">
        <v>143439.54037423767</v>
      </c>
      <c r="BP488">
        <v>35</v>
      </c>
      <c r="BQ488">
        <v>143474.54037423767</v>
      </c>
      <c r="BR488">
        <v>-8474.5403742376657</v>
      </c>
      <c r="BS488">
        <v>135000</v>
      </c>
      <c r="BT488" s="238">
        <v>135000</v>
      </c>
      <c r="BU488" s="238">
        <v>3307500</v>
      </c>
      <c r="BV488">
        <v>196000</v>
      </c>
      <c r="BX488" s="238">
        <v>196000</v>
      </c>
      <c r="BY488" s="238">
        <v>127000</v>
      </c>
      <c r="BZ488" s="238">
        <v>3111500</v>
      </c>
      <c r="CA488" s="238" t="s">
        <v>6871</v>
      </c>
      <c r="CB488">
        <v>10000</v>
      </c>
      <c r="CC488">
        <v>137000</v>
      </c>
      <c r="CD488" s="238">
        <v>245000</v>
      </c>
      <c r="CE488" s="238">
        <v>3356500</v>
      </c>
      <c r="CG488" t="s">
        <v>8676</v>
      </c>
      <c r="CH488" s="238" t="s">
        <v>39</v>
      </c>
      <c r="CI488" s="238" t="s">
        <v>39</v>
      </c>
      <c r="CJ488" t="s">
        <v>8950</v>
      </c>
      <c r="CK488" t="s">
        <v>1167</v>
      </c>
      <c r="CL488" t="s">
        <v>8961</v>
      </c>
      <c r="CM488" t="s">
        <v>8970</v>
      </c>
      <c r="CN488" s="238" t="b">
        <v>1</v>
      </c>
      <c r="CO488" t="s">
        <v>5776</v>
      </c>
      <c r="CQ488" t="s">
        <v>6652</v>
      </c>
      <c r="CR488" t="s">
        <v>3246</v>
      </c>
      <c r="CS488" t="s">
        <v>6871</v>
      </c>
      <c r="CT488" t="b">
        <v>1</v>
      </c>
      <c r="CU488">
        <v>3307500</v>
      </c>
      <c r="CV488" t="s">
        <v>9002</v>
      </c>
      <c r="CW488">
        <v>0</v>
      </c>
      <c r="CX488">
        <v>3307500</v>
      </c>
      <c r="CY488">
        <v>0</v>
      </c>
      <c r="CZ488" t="b">
        <v>1</v>
      </c>
      <c r="DA488">
        <v>45825</v>
      </c>
      <c r="DB488" t="s">
        <v>8380</v>
      </c>
      <c r="DC488">
        <v>-8.1632653061225469E-3</v>
      </c>
      <c r="DD488">
        <v>-1036.7346938775634</v>
      </c>
      <c r="DE488" s="420" cm="1">
        <f t="array" ref="DE488">_xlfn.XLOOKUP("Дом 5"&amp;Реестр_Д5[[#This Row],[№]]&amp;Реестр_Д5[[#This Row],[Статус]],РД[Дом]&amp;РД[№ кв]&amp;РД[Состояние],РД[Дата подачи на регистрацию],"-",0)</f>
        <v>45825</v>
      </c>
    </row>
    <row r="489" spans="1:109" hidden="1" x14ac:dyDescent="0.25">
      <c r="A489" s="238">
        <v>488</v>
      </c>
      <c r="B489" s="238" t="s">
        <v>15</v>
      </c>
      <c r="C489" s="238">
        <v>13</v>
      </c>
      <c r="D489" s="238">
        <v>4</v>
      </c>
      <c r="E489" s="238">
        <v>2</v>
      </c>
      <c r="F489" s="238">
        <v>14.48</v>
      </c>
      <c r="G489" s="238">
        <v>11.42</v>
      </c>
      <c r="H489" s="238"/>
      <c r="I489">
        <v>25.9</v>
      </c>
      <c r="J489" s="238">
        <v>15.86</v>
      </c>
      <c r="K489" s="238">
        <v>3.01</v>
      </c>
      <c r="L489" s="238">
        <v>2.67</v>
      </c>
      <c r="M489" s="238"/>
      <c r="N489" s="238">
        <v>9.44</v>
      </c>
      <c r="O489" s="238">
        <v>2.72</v>
      </c>
      <c r="P489" s="238"/>
      <c r="R489" s="238">
        <v>2.72</v>
      </c>
      <c r="S489">
        <v>59.6</v>
      </c>
      <c r="T489">
        <v>56.88</v>
      </c>
      <c r="U489" s="238">
        <v>58.24</v>
      </c>
      <c r="V489">
        <v>57.85</v>
      </c>
      <c r="W489" s="238">
        <v>79535.67300000001</v>
      </c>
      <c r="X489">
        <v>3976.7836500000008</v>
      </c>
      <c r="Y489">
        <v>83512.456649999993</v>
      </c>
      <c r="Z489">
        <v>2505.3736994999999</v>
      </c>
      <c r="AA489">
        <v>86017.8303495</v>
      </c>
      <c r="AC489">
        <v>86017.8303495</v>
      </c>
      <c r="AE489">
        <v>86017.8303495</v>
      </c>
      <c r="AG489">
        <v>86017.8303495</v>
      </c>
      <c r="AI489">
        <v>86017.8303495</v>
      </c>
      <c r="AJ489">
        <v>860.17830349500002</v>
      </c>
      <c r="AK489">
        <v>86878.008652995006</v>
      </c>
      <c r="AL489">
        <v>4343.9004326497507</v>
      </c>
      <c r="AM489">
        <v>91221.909085644758</v>
      </c>
      <c r="AO489">
        <v>91221.909085644758</v>
      </c>
      <c r="AP489">
        <v>1824.4381817128951</v>
      </c>
      <c r="AQ489">
        <v>93046.347267357647</v>
      </c>
      <c r="AS489">
        <v>93046.347267357647</v>
      </c>
      <c r="AT489">
        <v>1860.9269453471527</v>
      </c>
      <c r="AU489">
        <v>94907.274212704797</v>
      </c>
      <c r="AW489">
        <v>94907.274212704797</v>
      </c>
      <c r="AY489">
        <v>94907.274212704797</v>
      </c>
      <c r="BA489">
        <v>94907.274212704797</v>
      </c>
      <c r="BC489">
        <v>94907.274212704797</v>
      </c>
      <c r="BE489">
        <v>94907.274212704797</v>
      </c>
      <c r="BG489">
        <v>94907.274212704797</v>
      </c>
      <c r="BI489">
        <v>94907.274212704797</v>
      </c>
      <c r="BK489">
        <v>94907.274212704797</v>
      </c>
      <c r="BM489">
        <v>94907.274212704797</v>
      </c>
      <c r="BO489">
        <v>94907.274212704797</v>
      </c>
      <c r="BQ489">
        <v>94907.274212704797</v>
      </c>
      <c r="BS489">
        <v>94907.274212704797</v>
      </c>
      <c r="BT489" s="238">
        <v>94907.27</v>
      </c>
      <c r="BU489" s="238">
        <v>5527400</v>
      </c>
      <c r="BV489">
        <v>90000</v>
      </c>
      <c r="BX489" s="238">
        <v>90000</v>
      </c>
      <c r="BY489" s="238">
        <v>93361.950549450543</v>
      </c>
      <c r="BZ489" s="238">
        <v>5437400</v>
      </c>
      <c r="CA489" s="238" t="s">
        <v>36</v>
      </c>
      <c r="CC489">
        <v>93361.950549450543</v>
      </c>
      <c r="CD489" s="238">
        <v>0</v>
      </c>
      <c r="CE489" s="238">
        <v>5437400</v>
      </c>
      <c r="CG489" t="s">
        <v>7135</v>
      </c>
      <c r="CH489" s="238" t="s">
        <v>39</v>
      </c>
      <c r="CI489" s="238" t="s">
        <v>39</v>
      </c>
      <c r="CJ489" t="s">
        <v>8950</v>
      </c>
      <c r="CK489" t="s">
        <v>1167</v>
      </c>
      <c r="CL489" t="s">
        <v>8961</v>
      </c>
      <c r="CM489" t="s">
        <v>8971</v>
      </c>
      <c r="CN489" s="238" t="b">
        <v>1</v>
      </c>
      <c r="CO489" t="s">
        <v>5777</v>
      </c>
      <c r="CQ489" t="s">
        <v>6652</v>
      </c>
      <c r="CR489" t="s">
        <v>3246</v>
      </c>
      <c r="CS489" t="s">
        <v>36</v>
      </c>
      <c r="CT489" t="b">
        <v>1</v>
      </c>
      <c r="CU489">
        <v>5527400</v>
      </c>
      <c r="CV489" t="s">
        <v>9002</v>
      </c>
      <c r="CW489">
        <v>0</v>
      </c>
      <c r="CX489">
        <v>5527400</v>
      </c>
      <c r="CY489">
        <v>0</v>
      </c>
      <c r="CZ489" t="b">
        <v>1</v>
      </c>
      <c r="DA489">
        <v>45407</v>
      </c>
      <c r="DB489" t="s">
        <v>7181</v>
      </c>
      <c r="DC489">
        <v>-6.6964285714286031E-3</v>
      </c>
      <c r="DD489">
        <v>-625.19163314364494</v>
      </c>
      <c r="DE489" s="420" cm="1">
        <f t="array" ref="DE489">_xlfn.XLOOKUP("Дом 5"&amp;Реестр_Д5[[#This Row],[№]]&amp;Реестр_Д5[[#This Row],[Статус]],РД[Дом]&amp;РД[№ кв]&amp;РД[Состояние],РД[Дата подачи на регистрацию],"-",0)</f>
        <v>45407</v>
      </c>
    </row>
    <row r="490" spans="1:109" hidden="1" x14ac:dyDescent="0.25">
      <c r="A490" s="238">
        <v>489</v>
      </c>
      <c r="B490" s="238" t="s">
        <v>15</v>
      </c>
      <c r="C490" s="238">
        <v>13</v>
      </c>
      <c r="D490" s="238">
        <v>5</v>
      </c>
      <c r="E490" s="238">
        <v>2</v>
      </c>
      <c r="F490" s="238">
        <v>15.41</v>
      </c>
      <c r="G490" s="238">
        <v>12.78</v>
      </c>
      <c r="H490" s="238"/>
      <c r="I490">
        <v>28.19</v>
      </c>
      <c r="J490" s="238">
        <v>13.45</v>
      </c>
      <c r="K490" s="238">
        <v>3.7</v>
      </c>
      <c r="L490" s="238">
        <v>2.72</v>
      </c>
      <c r="M490" s="238"/>
      <c r="N490" s="238">
        <v>8.2200000000000006</v>
      </c>
      <c r="O490" s="238">
        <v>3.03</v>
      </c>
      <c r="P490" s="238"/>
      <c r="R490" s="238">
        <v>3.03</v>
      </c>
      <c r="S490">
        <v>59.31</v>
      </c>
      <c r="T490">
        <v>56.28</v>
      </c>
      <c r="U490" s="238">
        <v>57.8</v>
      </c>
      <c r="V490">
        <v>57.55</v>
      </c>
      <c r="W490" s="238">
        <v>79149.577499999999</v>
      </c>
      <c r="X490">
        <v>3957.4788749999998</v>
      </c>
      <c r="Y490">
        <v>83107.056375</v>
      </c>
      <c r="Z490">
        <v>2493.2116912500001</v>
      </c>
      <c r="AA490">
        <v>85600.268066250006</v>
      </c>
      <c r="AC490">
        <v>85600.268066250006</v>
      </c>
      <c r="AE490">
        <v>85600.268066250006</v>
      </c>
      <c r="AG490">
        <v>85600.268066250006</v>
      </c>
      <c r="AI490">
        <v>85600.268066250006</v>
      </c>
      <c r="AK490">
        <v>85600.268066250006</v>
      </c>
      <c r="AM490">
        <v>85600.268066250006</v>
      </c>
      <c r="AO490">
        <v>85600.268066250006</v>
      </c>
      <c r="AQ490">
        <v>85600.268066250006</v>
      </c>
      <c r="AS490">
        <v>85600.268066250006</v>
      </c>
      <c r="AU490">
        <v>85600.268066250006</v>
      </c>
      <c r="AW490">
        <v>85600.268066250006</v>
      </c>
      <c r="AY490">
        <v>85600.268066250006</v>
      </c>
      <c r="BA490">
        <v>85600.268066250006</v>
      </c>
      <c r="BC490">
        <v>85600.268066250006</v>
      </c>
      <c r="BE490">
        <v>85600.268066250006</v>
      </c>
      <c r="BG490">
        <v>85600.268066250006</v>
      </c>
      <c r="BI490">
        <v>85600.268066250006</v>
      </c>
      <c r="BK490">
        <v>85600.268066250006</v>
      </c>
      <c r="BM490">
        <v>85600.268066250006</v>
      </c>
      <c r="BO490">
        <v>85600.268066250006</v>
      </c>
      <c r="BQ490">
        <v>85600.268066250006</v>
      </c>
      <c r="BS490">
        <v>85600.268066250006</v>
      </c>
      <c r="BT490" s="238">
        <v>85600.27</v>
      </c>
      <c r="BU490" s="238">
        <v>4947695.6100000003</v>
      </c>
      <c r="BW490">
        <v>0.02</v>
      </c>
      <c r="BX490" s="238">
        <v>98953.912200000006</v>
      </c>
      <c r="BY490" s="238">
        <v>83888.264705882364</v>
      </c>
      <c r="BZ490" s="238">
        <v>4848741.7</v>
      </c>
      <c r="CA490" s="238" t="s">
        <v>38</v>
      </c>
      <c r="CB490">
        <v>22000</v>
      </c>
      <c r="CC490">
        <v>105888.26470588236</v>
      </c>
      <c r="CD490" s="238">
        <v>1271600</v>
      </c>
      <c r="CE490" s="238">
        <v>6120341.7000000002</v>
      </c>
      <c r="CG490" t="s">
        <v>3540</v>
      </c>
      <c r="CH490" s="238" t="s">
        <v>39</v>
      </c>
      <c r="CI490" s="238" t="s">
        <v>39</v>
      </c>
      <c r="CJ490" t="s">
        <v>8950</v>
      </c>
      <c r="CK490" t="s">
        <v>1167</v>
      </c>
      <c r="CL490" t="s">
        <v>8961</v>
      </c>
      <c r="CM490" t="s">
        <v>8974</v>
      </c>
      <c r="CN490" s="238" t="b">
        <v>1</v>
      </c>
      <c r="CO490" t="s">
        <v>5778</v>
      </c>
      <c r="CQ490" t="s">
        <v>4895</v>
      </c>
      <c r="CR490" t="s">
        <v>3246</v>
      </c>
      <c r="CS490" t="s">
        <v>38</v>
      </c>
      <c r="CT490" t="b">
        <v>1</v>
      </c>
      <c r="CU490">
        <v>4947695.6100000003</v>
      </c>
      <c r="CV490" t="s">
        <v>9002</v>
      </c>
      <c r="CW490">
        <v>0</v>
      </c>
      <c r="CX490">
        <v>4947696</v>
      </c>
      <c r="CY490">
        <v>0</v>
      </c>
      <c r="CZ490" t="b">
        <v>1</v>
      </c>
      <c r="DA490">
        <v>45230</v>
      </c>
      <c r="DB490" t="s">
        <v>4177</v>
      </c>
      <c r="DC490">
        <v>-4.325259515570834E-3</v>
      </c>
      <c r="DD490">
        <v>-362.83851516384266</v>
      </c>
      <c r="DE490" s="420" cm="1">
        <f t="array" ref="DE490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491" spans="1:109" x14ac:dyDescent="0.25">
      <c r="A491" s="238">
        <v>490</v>
      </c>
      <c r="B491" s="238" t="s">
        <v>15</v>
      </c>
      <c r="C491" s="238">
        <v>13</v>
      </c>
      <c r="D491" s="238">
        <v>6</v>
      </c>
      <c r="E491" s="238">
        <v>1</v>
      </c>
      <c r="F491" s="238">
        <v>12.71</v>
      </c>
      <c r="G491" s="238"/>
      <c r="H491" s="238"/>
      <c r="I491">
        <v>12.71</v>
      </c>
      <c r="J491" s="238">
        <v>12.55</v>
      </c>
      <c r="K491" s="238">
        <v>4.28</v>
      </c>
      <c r="L491" s="238"/>
      <c r="M491" s="238"/>
      <c r="N491" s="238">
        <v>7.34</v>
      </c>
      <c r="O491" s="238">
        <v>2.84</v>
      </c>
      <c r="P491" s="238"/>
      <c r="R491" s="238">
        <v>2.84</v>
      </c>
      <c r="S491">
        <v>39.72</v>
      </c>
      <c r="T491">
        <v>36.880000000000003</v>
      </c>
      <c r="U491" s="238">
        <v>38.299999999999997</v>
      </c>
      <c r="V491">
        <v>37.899999999999991</v>
      </c>
      <c r="W491" s="238">
        <v>87601.5</v>
      </c>
      <c r="X491">
        <v>4380.0749999999998</v>
      </c>
      <c r="Y491">
        <v>91981.574999999997</v>
      </c>
      <c r="Z491">
        <v>2759.4472499999997</v>
      </c>
      <c r="AA491">
        <v>94741.022249999995</v>
      </c>
      <c r="AB491">
        <v>947.41022250000003</v>
      </c>
      <c r="AC491">
        <v>95688.432472500004</v>
      </c>
      <c r="AE491">
        <v>95688.432472500004</v>
      </c>
      <c r="AF491">
        <v>4784.4216236249995</v>
      </c>
      <c r="AG491">
        <v>100472.854096125</v>
      </c>
      <c r="AI491">
        <v>100472.854096125</v>
      </c>
      <c r="AJ491">
        <v>1004.72854096125</v>
      </c>
      <c r="AK491">
        <v>101477.58263708623</v>
      </c>
      <c r="AL491">
        <v>5073.8791318543126</v>
      </c>
      <c r="AM491">
        <v>106551.46176894056</v>
      </c>
      <c r="AO491">
        <v>106551.46176894056</v>
      </c>
      <c r="AP491">
        <v>3196.5438530682168</v>
      </c>
      <c r="AQ491">
        <v>109748.00562200876</v>
      </c>
      <c r="AS491">
        <v>109748.00562200876</v>
      </c>
      <c r="AU491">
        <v>109748.00562200876</v>
      </c>
      <c r="AW491">
        <v>109748.00562200876</v>
      </c>
      <c r="AY491">
        <v>109748.00562200876</v>
      </c>
      <c r="AZ491">
        <v>1097.4800562200878</v>
      </c>
      <c r="BA491">
        <v>110845.48567822886</v>
      </c>
      <c r="BB491">
        <v>554.22742839114426</v>
      </c>
      <c r="BC491">
        <v>111399.71310661999</v>
      </c>
      <c r="BE491">
        <v>111399.71310661999</v>
      </c>
      <c r="BF491">
        <v>2784.9928276655</v>
      </c>
      <c r="BG491">
        <v>114184.70593428548</v>
      </c>
      <c r="BI491">
        <v>114184.70593428548</v>
      </c>
      <c r="BJ491">
        <v>2283.6941186857098</v>
      </c>
      <c r="BK491">
        <v>116468.40005297121</v>
      </c>
      <c r="BL491">
        <v>5823.4200026485605</v>
      </c>
      <c r="BM491">
        <v>122291.82005561976</v>
      </c>
      <c r="BN491">
        <v>15897.936607230571</v>
      </c>
      <c r="BO491">
        <v>138189.75666285033</v>
      </c>
      <c r="BP491">
        <v>35</v>
      </c>
      <c r="BQ491">
        <v>138224.75666285033</v>
      </c>
      <c r="BS491">
        <v>138224.75666285033</v>
      </c>
      <c r="BT491" s="238">
        <v>138224.76</v>
      </c>
      <c r="BU491" s="238">
        <v>5238800</v>
      </c>
      <c r="BX491" s="238">
        <v>0</v>
      </c>
      <c r="BY491" s="238">
        <v>138226.91292875994</v>
      </c>
      <c r="BZ491" s="238">
        <v>5238800</v>
      </c>
      <c r="CA491" s="238" t="s">
        <v>36</v>
      </c>
      <c r="CC491">
        <v>138226.91292875994</v>
      </c>
      <c r="CD491" s="238">
        <v>0</v>
      </c>
      <c r="CE491" s="238">
        <v>5238800</v>
      </c>
      <c r="CH491" s="238" t="s">
        <v>3</v>
      </c>
      <c r="CI491" s="238" t="s">
        <v>3</v>
      </c>
      <c r="CJ491" t="s">
        <v>8951</v>
      </c>
      <c r="CK491" t="s">
        <v>1167</v>
      </c>
      <c r="CL491" t="s">
        <v>8961</v>
      </c>
      <c r="CM491" t="s">
        <v>8973</v>
      </c>
      <c r="CN491" s="238" t="b">
        <v>1</v>
      </c>
      <c r="CO491" t="s">
        <v>5779</v>
      </c>
      <c r="CQ491" t="s">
        <v>6652</v>
      </c>
      <c r="CR491" t="s">
        <v>3124</v>
      </c>
      <c r="CS491" t="s">
        <v>6871</v>
      </c>
      <c r="CT491" t="b">
        <v>0</v>
      </c>
      <c r="CU491">
        <v>5238800</v>
      </c>
      <c r="CV491">
        <v>5238800</v>
      </c>
      <c r="CW491">
        <v>0</v>
      </c>
      <c r="CX491">
        <v>0</v>
      </c>
      <c r="CY491">
        <v>0</v>
      </c>
      <c r="CZ491" t="b">
        <v>1</v>
      </c>
      <c r="DA491" t="s">
        <v>4246</v>
      </c>
      <c r="DB491" t="s">
        <v>1167</v>
      </c>
      <c r="DC491">
        <v>-1.0443864229765176E-2</v>
      </c>
      <c r="DD491">
        <v>-1443.6231115275414</v>
      </c>
      <c r="DE491" s="420" t="str" cm="1">
        <f t="array" ref="DE49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92" spans="1:109" hidden="1" x14ac:dyDescent="0.25">
      <c r="A492" s="238">
        <v>491</v>
      </c>
      <c r="B492" s="238" t="s">
        <v>15</v>
      </c>
      <c r="C492" s="238">
        <v>13</v>
      </c>
      <c r="D492" s="238">
        <v>7</v>
      </c>
      <c r="E492" s="238">
        <v>3</v>
      </c>
      <c r="F492" s="238">
        <v>14.49</v>
      </c>
      <c r="G492" s="238">
        <v>13.98</v>
      </c>
      <c r="H492" s="238">
        <v>11.42</v>
      </c>
      <c r="I492">
        <v>39.89</v>
      </c>
      <c r="J492" s="238">
        <v>16.670000000000002</v>
      </c>
      <c r="K492" s="238">
        <v>4.1399999999999997</v>
      </c>
      <c r="L492" s="238">
        <v>1.89</v>
      </c>
      <c r="M492" s="238"/>
      <c r="N492" s="238">
        <v>11.31</v>
      </c>
      <c r="O492" s="238">
        <v>2.86</v>
      </c>
      <c r="P492" s="238">
        <v>2.79</v>
      </c>
      <c r="Q492">
        <v>5.42</v>
      </c>
      <c r="R492" s="238">
        <v>11.07</v>
      </c>
      <c r="S492">
        <v>84.97</v>
      </c>
      <c r="T492">
        <v>73.900000000000006</v>
      </c>
      <c r="U492" s="238">
        <v>79.44</v>
      </c>
      <c r="V492">
        <v>78.55</v>
      </c>
      <c r="W492" s="238">
        <v>76375.530000000013</v>
      </c>
      <c r="X492">
        <v>3818.7765000000009</v>
      </c>
      <c r="Y492">
        <v>80194.306500000021</v>
      </c>
      <c r="Z492">
        <v>2405.8291950000007</v>
      </c>
      <c r="AA492">
        <v>82600.135695000019</v>
      </c>
      <c r="AC492">
        <v>82600.135695000019</v>
      </c>
      <c r="AE492">
        <v>82600.135695000019</v>
      </c>
      <c r="AG492">
        <v>82600.135695000019</v>
      </c>
      <c r="AI492">
        <v>82600.135695000019</v>
      </c>
      <c r="AK492">
        <v>82600.135695000019</v>
      </c>
      <c r="AM492">
        <v>82600.135695000019</v>
      </c>
      <c r="AO492">
        <v>82600.135695000019</v>
      </c>
      <c r="AQ492">
        <v>82600.135695000019</v>
      </c>
      <c r="AS492">
        <v>82600.135695000019</v>
      </c>
      <c r="AU492">
        <v>82600.135695000019</v>
      </c>
      <c r="AW492">
        <v>82600.135695000019</v>
      </c>
      <c r="AY492">
        <v>82600.135695000019</v>
      </c>
      <c r="BA492">
        <v>82600.135695000019</v>
      </c>
      <c r="BC492">
        <v>82600.135695000019</v>
      </c>
      <c r="BE492">
        <v>82600.135695000019</v>
      </c>
      <c r="BG492">
        <v>82600.135695000019</v>
      </c>
      <c r="BI492">
        <v>82600.135695000019</v>
      </c>
      <c r="BK492">
        <v>82600.135695000019</v>
      </c>
      <c r="BM492">
        <v>82600.135695000019</v>
      </c>
      <c r="BO492">
        <v>82600.135695000019</v>
      </c>
      <c r="BQ492">
        <v>82600.135695000019</v>
      </c>
      <c r="BS492">
        <v>82600.135695000019</v>
      </c>
      <c r="BT492" s="238">
        <v>82600.14</v>
      </c>
      <c r="BU492" s="238">
        <v>6561755.1200000001</v>
      </c>
      <c r="BX492" s="238">
        <v>0</v>
      </c>
      <c r="BY492" s="238">
        <v>82600.139979859014</v>
      </c>
      <c r="BZ492" s="238">
        <v>6561755.1200000001</v>
      </c>
      <c r="CA492" s="238" t="s">
        <v>36</v>
      </c>
      <c r="CC492">
        <v>82600.139979859014</v>
      </c>
      <c r="CD492" s="238">
        <v>0</v>
      </c>
      <c r="CE492" s="238">
        <v>6561755.1200000001</v>
      </c>
      <c r="CF492" t="s">
        <v>4636</v>
      </c>
      <c r="CH492" s="238" t="s">
        <v>39</v>
      </c>
      <c r="CI492" s="238" t="s">
        <v>39</v>
      </c>
      <c r="CJ492" t="s">
        <v>8950</v>
      </c>
      <c r="CK492" t="s">
        <v>1167</v>
      </c>
      <c r="CL492" t="s">
        <v>8961</v>
      </c>
      <c r="CM492" t="s">
        <v>8990</v>
      </c>
      <c r="CN492" s="238" t="b">
        <v>1</v>
      </c>
      <c r="CO492" t="s">
        <v>5780</v>
      </c>
      <c r="CQ492" t="s">
        <v>4895</v>
      </c>
      <c r="CR492" t="s">
        <v>3246</v>
      </c>
      <c r="CS492" t="s">
        <v>36</v>
      </c>
      <c r="CT492" t="b">
        <v>1</v>
      </c>
      <c r="CU492">
        <v>6561755.1200000001</v>
      </c>
      <c r="CV492" t="s">
        <v>9002</v>
      </c>
      <c r="CW492">
        <v>0</v>
      </c>
      <c r="CX492">
        <v>6561755</v>
      </c>
      <c r="CY492">
        <v>0</v>
      </c>
      <c r="CZ492" t="b">
        <v>1</v>
      </c>
      <c r="DA492">
        <v>45229</v>
      </c>
      <c r="DB492" t="s">
        <v>5215</v>
      </c>
      <c r="DC492">
        <v>-1.1203423967774406E-2</v>
      </c>
      <c r="DD492">
        <v>-925.40438799187348</v>
      </c>
      <c r="DE492" s="420" cm="1">
        <f t="array" ref="DE492">_xlfn.XLOOKUP("Дом 5"&amp;Реестр_Д5[[#This Row],[№]]&amp;Реестр_Д5[[#This Row],[Статус]],РД[Дом]&amp;РД[№ кв]&amp;РД[Состояние],РД[Дата подачи на регистрацию],"-",0)</f>
        <v>45229</v>
      </c>
    </row>
    <row r="493" spans="1:109" x14ac:dyDescent="0.25">
      <c r="A493" s="238">
        <v>492</v>
      </c>
      <c r="B493" s="238" t="s">
        <v>15</v>
      </c>
      <c r="C493" s="238">
        <v>13</v>
      </c>
      <c r="D493" s="238">
        <v>8</v>
      </c>
      <c r="E493" s="238">
        <v>1</v>
      </c>
      <c r="F493" s="238">
        <v>16.79</v>
      </c>
      <c r="G493" s="238"/>
      <c r="H493" s="238"/>
      <c r="I493">
        <v>16.79</v>
      </c>
      <c r="J493" s="238">
        <v>11.43</v>
      </c>
      <c r="K493" s="238">
        <v>3.56</v>
      </c>
      <c r="L493" s="238"/>
      <c r="M493" s="238"/>
      <c r="N493" s="238">
        <v>6.66</v>
      </c>
      <c r="O493" s="238">
        <v>2.4900000000000002</v>
      </c>
      <c r="P493" s="238"/>
      <c r="R493" s="238">
        <v>2.4900000000000002</v>
      </c>
      <c r="S493">
        <v>40.93</v>
      </c>
      <c r="T493">
        <v>38.44</v>
      </c>
      <c r="U493" s="238">
        <v>39.69</v>
      </c>
      <c r="V493">
        <v>39.75</v>
      </c>
      <c r="W493" s="238">
        <v>84762.5625</v>
      </c>
      <c r="X493">
        <v>4238.1281250000002</v>
      </c>
      <c r="Y493">
        <v>89000.690625000003</v>
      </c>
      <c r="Z493">
        <v>2670.02071875</v>
      </c>
      <c r="AA493">
        <v>91670.711343750023</v>
      </c>
      <c r="AB493">
        <v>4125.1820104687504</v>
      </c>
      <c r="AC493">
        <v>95795.893354218759</v>
      </c>
      <c r="AE493">
        <v>95795.893354218759</v>
      </c>
      <c r="AF493">
        <v>4789.7946677109385</v>
      </c>
      <c r="AG493">
        <v>100585.6880219297</v>
      </c>
      <c r="AI493">
        <v>100585.6880219297</v>
      </c>
      <c r="AJ493">
        <v>1005.8568802192972</v>
      </c>
      <c r="AK493">
        <v>101591.54490214901</v>
      </c>
      <c r="AL493">
        <v>5079.5772451074508</v>
      </c>
      <c r="AM493">
        <v>106671.12214725644</v>
      </c>
      <c r="AO493">
        <v>106671.12214725644</v>
      </c>
      <c r="AP493">
        <v>3200.1336644176936</v>
      </c>
      <c r="AQ493">
        <v>109871.25581167414</v>
      </c>
      <c r="AS493">
        <v>109871.25581167414</v>
      </c>
      <c r="AU493">
        <v>109871.25581167414</v>
      </c>
      <c r="AW493">
        <v>109871.25581167414</v>
      </c>
      <c r="AY493">
        <v>109871.25581167414</v>
      </c>
      <c r="BA493">
        <v>109871.25581167414</v>
      </c>
      <c r="BC493">
        <v>109871.25581167414</v>
      </c>
      <c r="BE493">
        <v>109871.25581167414</v>
      </c>
      <c r="BF493">
        <v>549.35627905837077</v>
      </c>
      <c r="BG493">
        <v>110420.61209073252</v>
      </c>
      <c r="BI493">
        <v>110420.61209073252</v>
      </c>
      <c r="BJ493">
        <v>2208.4122418146503</v>
      </c>
      <c r="BK493">
        <v>112629.02433254715</v>
      </c>
      <c r="BL493">
        <v>5631.451216627358</v>
      </c>
      <c r="BM493">
        <v>118260.47554917452</v>
      </c>
      <c r="BN493">
        <v>15373.861821392687</v>
      </c>
      <c r="BO493">
        <v>133634.3373705672</v>
      </c>
      <c r="BP493">
        <v>35</v>
      </c>
      <c r="BQ493">
        <v>133669.3373705672</v>
      </c>
      <c r="BS493">
        <v>133669.3373705672</v>
      </c>
      <c r="BT493" s="238">
        <v>133669.34</v>
      </c>
      <c r="BU493" s="238">
        <v>5313400</v>
      </c>
      <c r="BV493">
        <v>317520</v>
      </c>
      <c r="BW493">
        <v>0.02</v>
      </c>
      <c r="BX493" s="238">
        <v>423788</v>
      </c>
      <c r="BY493" s="238">
        <v>123009.10691823901</v>
      </c>
      <c r="BZ493" s="238">
        <v>4889612</v>
      </c>
      <c r="CA493" s="238" t="s">
        <v>6871</v>
      </c>
      <c r="CB493">
        <v>10000</v>
      </c>
      <c r="CC493">
        <v>133009.10691823898</v>
      </c>
      <c r="CD493" s="238">
        <v>397499.99999999907</v>
      </c>
      <c r="CE493" s="238">
        <v>5287111.9999999991</v>
      </c>
      <c r="CG493" t="s">
        <v>8933</v>
      </c>
      <c r="CH493" s="238" t="s">
        <v>39</v>
      </c>
      <c r="CI493" s="238" t="s">
        <v>39</v>
      </c>
      <c r="CJ493" t="s">
        <v>8950</v>
      </c>
      <c r="CK493" t="s">
        <v>1167</v>
      </c>
      <c r="CL493" t="s">
        <v>8961</v>
      </c>
      <c r="CM493" t="s">
        <v>8973</v>
      </c>
      <c r="CN493" s="238" t="b">
        <v>1</v>
      </c>
      <c r="CO493" t="s">
        <v>5781</v>
      </c>
      <c r="CQ493" t="s">
        <v>6652</v>
      </c>
      <c r="CR493" t="s">
        <v>3124</v>
      </c>
      <c r="CS493" t="s">
        <v>6871</v>
      </c>
      <c r="CT493" t="b">
        <v>1</v>
      </c>
      <c r="CU493">
        <v>5313400</v>
      </c>
      <c r="CV493" t="s">
        <v>9002</v>
      </c>
      <c r="CW493">
        <v>0</v>
      </c>
      <c r="CX493">
        <v>5313400</v>
      </c>
      <c r="CY493">
        <v>0</v>
      </c>
      <c r="CZ493" t="b">
        <v>1</v>
      </c>
      <c r="DA493">
        <v>45868</v>
      </c>
      <c r="DB493" t="s">
        <v>5215</v>
      </c>
      <c r="DC493">
        <v>1.5117157974300357E-3</v>
      </c>
      <c r="DD493">
        <v>185.95481015606217</v>
      </c>
      <c r="DE493" s="420" cm="1">
        <f t="array" ref="DE493">_xlfn.XLOOKUP("Дом 5"&amp;Реестр_Д5[[#This Row],[№]]&amp;Реестр_Д5[[#This Row],[Статус]],РД[Дом]&amp;РД[№ кв]&amp;РД[Состояние],РД[Дата подачи на регистрацию],"-",0)</f>
        <v>45868</v>
      </c>
    </row>
    <row r="494" spans="1:109" hidden="1" x14ac:dyDescent="0.25">
      <c r="A494" s="238">
        <v>493</v>
      </c>
      <c r="B494" s="238" t="s">
        <v>15</v>
      </c>
      <c r="C494" s="238">
        <v>14</v>
      </c>
      <c r="D494" s="238">
        <v>1</v>
      </c>
      <c r="E494" s="238">
        <v>0</v>
      </c>
      <c r="F494" s="238">
        <v>13.74</v>
      </c>
      <c r="G494" s="238"/>
      <c r="H494" s="238"/>
      <c r="I494">
        <v>13.74</v>
      </c>
      <c r="J494" s="238">
        <v>5.84</v>
      </c>
      <c r="K494" s="238">
        <v>3.76</v>
      </c>
      <c r="L494" s="238"/>
      <c r="M494" s="238"/>
      <c r="N494" s="238">
        <v>3.73</v>
      </c>
      <c r="O494" s="238">
        <v>4.6500000000000004</v>
      </c>
      <c r="P494" s="238"/>
      <c r="R494" s="238">
        <v>4.6500000000000004</v>
      </c>
      <c r="S494">
        <v>31.72</v>
      </c>
      <c r="T494">
        <v>27.07</v>
      </c>
      <c r="U494" s="238">
        <v>29.4</v>
      </c>
      <c r="V494">
        <v>28.999999999999996</v>
      </c>
      <c r="W494" s="238">
        <v>89353.53</v>
      </c>
      <c r="X494">
        <v>4467.6765000000005</v>
      </c>
      <c r="Y494">
        <v>93821.2065</v>
      </c>
      <c r="Z494">
        <v>2814.636195</v>
      </c>
      <c r="AA494">
        <v>96635.842694999999</v>
      </c>
      <c r="AB494">
        <v>8697.2258425500004</v>
      </c>
      <c r="AC494">
        <v>105333.06853755</v>
      </c>
      <c r="AE494">
        <v>105333.06853755</v>
      </c>
      <c r="AG494">
        <v>105333.06853755</v>
      </c>
      <c r="AI494">
        <v>105333.06853755</v>
      </c>
      <c r="AJ494">
        <v>1053.3306853755</v>
      </c>
      <c r="AK494">
        <v>106386.39922292552</v>
      </c>
      <c r="AL494">
        <v>5319.319961146276</v>
      </c>
      <c r="AM494">
        <v>111705.7191840718</v>
      </c>
      <c r="AO494">
        <v>111705.7191840718</v>
      </c>
      <c r="AP494">
        <v>3351.1715755221535</v>
      </c>
      <c r="AQ494">
        <v>115056.89075959394</v>
      </c>
      <c r="AS494">
        <v>115056.89075959394</v>
      </c>
      <c r="AU494">
        <v>115056.89075959394</v>
      </c>
      <c r="AW494">
        <v>115056.89075959394</v>
      </c>
      <c r="AX494">
        <v>1150.5689075959394</v>
      </c>
      <c r="AY494">
        <v>116207.45966718988</v>
      </c>
      <c r="BA494">
        <v>116207.45966718988</v>
      </c>
      <c r="BC494">
        <v>116207.45966718988</v>
      </c>
      <c r="BE494">
        <v>116207.45966718988</v>
      </c>
      <c r="BF494">
        <v>1743.111895007848</v>
      </c>
      <c r="BG494">
        <v>117950.57156219771</v>
      </c>
      <c r="BI494">
        <v>117950.57156219771</v>
      </c>
      <c r="BK494">
        <v>117950.57156219771</v>
      </c>
      <c r="BL494">
        <v>4718.0228624879092</v>
      </c>
      <c r="BM494">
        <v>122668.59442468564</v>
      </c>
      <c r="BN494">
        <v>15946.917275209133</v>
      </c>
      <c r="BO494">
        <v>138615.51169989476</v>
      </c>
      <c r="BQ494">
        <v>138615.51169989476</v>
      </c>
      <c r="BS494">
        <v>138615.51169989476</v>
      </c>
      <c r="BT494" s="238">
        <v>138615.51</v>
      </c>
      <c r="BU494" s="238">
        <v>4075300</v>
      </c>
      <c r="BW494">
        <v>0.02</v>
      </c>
      <c r="BX494" s="238">
        <v>81506</v>
      </c>
      <c r="BY494" s="238">
        <v>135843.33333333334</v>
      </c>
      <c r="BZ494" s="238">
        <v>3993794</v>
      </c>
      <c r="CA494" s="238" t="s">
        <v>36</v>
      </c>
      <c r="CC494">
        <v>135843.33333333334</v>
      </c>
      <c r="CD494" s="238">
        <v>0</v>
      </c>
      <c r="CE494" s="238">
        <v>3993794</v>
      </c>
      <c r="CG494" t="s">
        <v>3540</v>
      </c>
      <c r="CH494" s="238" t="s">
        <v>39</v>
      </c>
      <c r="CI494" s="238" t="s">
        <v>39</v>
      </c>
      <c r="CJ494" t="s">
        <v>8950</v>
      </c>
      <c r="CK494" t="s">
        <v>1167</v>
      </c>
      <c r="CL494" t="s">
        <v>8961</v>
      </c>
      <c r="CM494" t="s">
        <v>8970</v>
      </c>
      <c r="CN494" s="238" t="b">
        <v>1</v>
      </c>
      <c r="CO494" t="s">
        <v>5782</v>
      </c>
      <c r="CQ494" t="s">
        <v>6652</v>
      </c>
      <c r="CR494" t="s">
        <v>3246</v>
      </c>
      <c r="CS494" t="s">
        <v>36</v>
      </c>
      <c r="CT494" t="b">
        <v>1</v>
      </c>
      <c r="CU494">
        <v>4075300</v>
      </c>
      <c r="CV494" t="s">
        <v>9002</v>
      </c>
      <c r="CW494">
        <v>0</v>
      </c>
      <c r="CX494">
        <v>4075300</v>
      </c>
      <c r="CY494">
        <v>0</v>
      </c>
      <c r="CZ494" t="b">
        <v>1</v>
      </c>
      <c r="DA494">
        <v>45649</v>
      </c>
      <c r="DB494" t="s">
        <v>8380</v>
      </c>
      <c r="DC494">
        <v>-1.3605442176870874E-2</v>
      </c>
      <c r="DD494">
        <v>-1848.2086167800624</v>
      </c>
      <c r="DE494" s="420" cm="1">
        <f t="array" ref="DE494">_xlfn.XLOOKUP("Дом 5"&amp;Реестр_Д5[[#This Row],[№]]&amp;Реестр_Д5[[#This Row],[Статус]],РД[Дом]&amp;РД[№ кв]&amp;РД[Состояние],РД[Дата подачи на регистрацию],"-",0)</f>
        <v>45649</v>
      </c>
    </row>
    <row r="495" spans="1:109" hidden="1" x14ac:dyDescent="0.25">
      <c r="A495" s="238">
        <v>494</v>
      </c>
      <c r="B495" s="238" t="s">
        <v>15</v>
      </c>
      <c r="C495" s="238">
        <v>14</v>
      </c>
      <c r="D495" s="238">
        <v>2</v>
      </c>
      <c r="E495" s="238">
        <v>1</v>
      </c>
      <c r="F495" s="238">
        <v>13.17</v>
      </c>
      <c r="G495" s="238"/>
      <c r="H495" s="238"/>
      <c r="I495">
        <v>13.17</v>
      </c>
      <c r="J495" s="238">
        <v>16.940000000000001</v>
      </c>
      <c r="K495" s="238">
        <v>3.55</v>
      </c>
      <c r="L495" s="238">
        <v>2.41</v>
      </c>
      <c r="M495" s="238"/>
      <c r="N495" s="238">
        <v>5.8</v>
      </c>
      <c r="O495" s="238">
        <v>2.68</v>
      </c>
      <c r="P495" s="238"/>
      <c r="R495" s="238">
        <v>2.68</v>
      </c>
      <c r="S495">
        <v>44.55</v>
      </c>
      <c r="T495">
        <v>41.87</v>
      </c>
      <c r="U495" s="238">
        <v>43.21</v>
      </c>
      <c r="V495">
        <v>42.249999999999993</v>
      </c>
      <c r="W495" s="238">
        <v>85168.125</v>
      </c>
      <c r="X495">
        <v>4258.40625</v>
      </c>
      <c r="Y495">
        <v>89426.53125</v>
      </c>
      <c r="Z495">
        <v>2682.7959375</v>
      </c>
      <c r="AA495">
        <v>92109.327187500006</v>
      </c>
      <c r="AB495">
        <v>921.09327187500003</v>
      </c>
      <c r="AC495">
        <v>93030.420459375004</v>
      </c>
      <c r="AE495">
        <v>93030.420459375004</v>
      </c>
      <c r="AF495">
        <v>4651.52102296875</v>
      </c>
      <c r="AG495">
        <v>97681.941482343755</v>
      </c>
      <c r="AI495">
        <v>97681.941482343755</v>
      </c>
      <c r="AK495">
        <v>97681.941482343755</v>
      </c>
      <c r="AM495">
        <v>97681.941482343755</v>
      </c>
      <c r="AO495">
        <v>97681.941482343755</v>
      </c>
      <c r="AQ495">
        <v>97681.941482343755</v>
      </c>
      <c r="AS495">
        <v>97681.941482343755</v>
      </c>
      <c r="AU495">
        <v>97681.941482343755</v>
      </c>
      <c r="AW495">
        <v>97681.941482343755</v>
      </c>
      <c r="AY495">
        <v>97681.941482343755</v>
      </c>
      <c r="BA495">
        <v>97681.941482343755</v>
      </c>
      <c r="BC495">
        <v>97681.941482343755</v>
      </c>
      <c r="BE495">
        <v>97681.941482343755</v>
      </c>
      <c r="BG495">
        <v>97681.941482343755</v>
      </c>
      <c r="BI495">
        <v>97681.941482343755</v>
      </c>
      <c r="BK495">
        <v>97681.941482343755</v>
      </c>
      <c r="BM495">
        <v>97681.941482343755</v>
      </c>
      <c r="BO495">
        <v>97681.941482343755</v>
      </c>
      <c r="BQ495">
        <v>97681.941482343755</v>
      </c>
      <c r="BS495">
        <v>97681.941482343755</v>
      </c>
      <c r="BT495" s="238">
        <v>97681.94</v>
      </c>
      <c r="BU495" s="238">
        <v>4220900</v>
      </c>
      <c r="BW495">
        <v>0.02</v>
      </c>
      <c r="BX495" s="238">
        <v>84418</v>
      </c>
      <c r="BY495" s="238">
        <v>95729.738486461472</v>
      </c>
      <c r="BZ495" s="238">
        <v>4136482</v>
      </c>
      <c r="CA495" s="238" t="s">
        <v>36</v>
      </c>
      <c r="CC495">
        <v>95729.738486461472</v>
      </c>
      <c r="CD495" s="238">
        <v>0</v>
      </c>
      <c r="CE495" s="238">
        <v>4136482.0000000009</v>
      </c>
      <c r="CG495" t="s">
        <v>7054</v>
      </c>
      <c r="CH495" s="238" t="s">
        <v>39</v>
      </c>
      <c r="CI495" s="238" t="s">
        <v>39</v>
      </c>
      <c r="CJ495" t="s">
        <v>8950</v>
      </c>
      <c r="CK495" t="s">
        <v>1167</v>
      </c>
      <c r="CL495" t="s">
        <v>8961</v>
      </c>
      <c r="CM495" t="s">
        <v>8972</v>
      </c>
      <c r="CN495" s="238" t="b">
        <v>1</v>
      </c>
      <c r="CO495" t="s">
        <v>5783</v>
      </c>
      <c r="CQ495" t="s">
        <v>6652</v>
      </c>
      <c r="CR495" t="s">
        <v>3246</v>
      </c>
      <c r="CS495" t="s">
        <v>36</v>
      </c>
      <c r="CT495" t="b">
        <v>1</v>
      </c>
      <c r="CU495">
        <v>4220900</v>
      </c>
      <c r="CV495" t="s">
        <v>9002</v>
      </c>
      <c r="CW495">
        <v>0</v>
      </c>
      <c r="CX495">
        <v>4220900</v>
      </c>
      <c r="CY495">
        <v>0</v>
      </c>
      <c r="CZ495" t="b">
        <v>1</v>
      </c>
      <c r="DA495">
        <v>45281</v>
      </c>
      <c r="DB495" t="s">
        <v>4177</v>
      </c>
      <c r="DC495">
        <v>-2.2217079379773352E-2</v>
      </c>
      <c r="DD495">
        <v>-2126.8351989586586</v>
      </c>
      <c r="DE495" s="420" cm="1">
        <f t="array" ref="DE495">_xlfn.XLOOKUP("Дом 5"&amp;Реестр_Д5[[#This Row],[№]]&amp;Реестр_Д5[[#This Row],[Статус]],РД[Дом]&amp;РД[№ кв]&amp;РД[Состояние],РД[Дата подачи на регистрацию],"-",0)</f>
        <v>45281</v>
      </c>
    </row>
    <row r="496" spans="1:109" hidden="1" x14ac:dyDescent="0.25">
      <c r="A496" s="238">
        <v>495</v>
      </c>
      <c r="B496" s="238" t="s">
        <v>15</v>
      </c>
      <c r="C496" s="238">
        <v>14</v>
      </c>
      <c r="D496" s="238">
        <v>3</v>
      </c>
      <c r="E496" s="238">
        <v>0</v>
      </c>
      <c r="F496" s="238">
        <v>7.2</v>
      </c>
      <c r="G496" s="238"/>
      <c r="H496" s="238"/>
      <c r="I496">
        <v>7.2</v>
      </c>
      <c r="J496" s="238">
        <v>5.17</v>
      </c>
      <c r="K496" s="238">
        <v>3.71</v>
      </c>
      <c r="L496" s="238"/>
      <c r="M496" s="238"/>
      <c r="N496" s="238">
        <v>6.96</v>
      </c>
      <c r="O496" s="238">
        <v>2.92</v>
      </c>
      <c r="P496" s="238"/>
      <c r="R496" s="238">
        <v>2.92</v>
      </c>
      <c r="S496">
        <v>25.96</v>
      </c>
      <c r="T496">
        <v>23.04</v>
      </c>
      <c r="U496" s="238">
        <v>24.5</v>
      </c>
      <c r="V496">
        <v>24.25</v>
      </c>
      <c r="W496" s="238">
        <v>91105.56</v>
      </c>
      <c r="X496">
        <v>4555.2780000000002</v>
      </c>
      <c r="Y496">
        <v>95660.838000000003</v>
      </c>
      <c r="Z496">
        <v>2869.8251399999999</v>
      </c>
      <c r="AA496">
        <v>98530.663140000004</v>
      </c>
      <c r="AB496">
        <v>8867.7596826000008</v>
      </c>
      <c r="AC496">
        <v>107398.4228226</v>
      </c>
      <c r="AE496">
        <v>107398.4228226</v>
      </c>
      <c r="AG496">
        <v>107398.4228226</v>
      </c>
      <c r="AI496">
        <v>107398.4228226</v>
      </c>
      <c r="AJ496">
        <v>1073.9842282259999</v>
      </c>
      <c r="AK496">
        <v>108472.407050826</v>
      </c>
      <c r="AL496">
        <v>5423.6203525413002</v>
      </c>
      <c r="AM496">
        <v>113896.0274033673</v>
      </c>
      <c r="AO496">
        <v>113896.0274033673</v>
      </c>
      <c r="AP496">
        <v>3416.880822101019</v>
      </c>
      <c r="AQ496">
        <v>117312.90822546832</v>
      </c>
      <c r="AS496">
        <v>117312.90822546832</v>
      </c>
      <c r="AU496">
        <v>117312.90822546832</v>
      </c>
      <c r="AW496">
        <v>117312.90822546832</v>
      </c>
      <c r="AX496">
        <v>1173.1290822546832</v>
      </c>
      <c r="AY496">
        <v>118486.03730772302</v>
      </c>
      <c r="BA496">
        <v>118486.03730772302</v>
      </c>
      <c r="BB496">
        <v>592.43018653861509</v>
      </c>
      <c r="BC496">
        <v>119078.46749426164</v>
      </c>
      <c r="BE496">
        <v>119078.46749426164</v>
      </c>
      <c r="BF496">
        <v>2976.961687356541</v>
      </c>
      <c r="BG496">
        <v>122055.42918161816</v>
      </c>
      <c r="BI496">
        <v>122055.42918161816</v>
      </c>
      <c r="BK496">
        <v>122055.42918161816</v>
      </c>
      <c r="BL496">
        <v>4882.2171672647264</v>
      </c>
      <c r="BM496">
        <v>126937.64634888287</v>
      </c>
      <c r="BN496">
        <v>16501.894025354777</v>
      </c>
      <c r="BO496">
        <v>143439.54037423767</v>
      </c>
      <c r="BQ496">
        <v>143439.54037423767</v>
      </c>
      <c r="BS496">
        <v>143439.54037423767</v>
      </c>
      <c r="BT496" s="238">
        <v>143439.54</v>
      </c>
      <c r="BU496" s="238">
        <v>3514300</v>
      </c>
      <c r="BW496">
        <v>0.02</v>
      </c>
      <c r="BX496" s="238">
        <v>70286</v>
      </c>
      <c r="BY496" s="238">
        <v>140572</v>
      </c>
      <c r="BZ496" s="238">
        <v>3444014</v>
      </c>
      <c r="CA496" s="238" t="s">
        <v>36</v>
      </c>
      <c r="CC496">
        <v>140572</v>
      </c>
      <c r="CD496" s="238">
        <v>0</v>
      </c>
      <c r="CE496" s="238">
        <v>3444014</v>
      </c>
      <c r="CG496" t="s">
        <v>3540</v>
      </c>
      <c r="CH496" s="238" t="s">
        <v>39</v>
      </c>
      <c r="CI496" s="238" t="s">
        <v>39</v>
      </c>
      <c r="CJ496" t="s">
        <v>8950</v>
      </c>
      <c r="CK496" t="s">
        <v>1167</v>
      </c>
      <c r="CL496" t="s">
        <v>8961</v>
      </c>
      <c r="CM496" t="s">
        <v>8970</v>
      </c>
      <c r="CN496" s="238" t="b">
        <v>1</v>
      </c>
      <c r="CO496" t="s">
        <v>5784</v>
      </c>
      <c r="CQ496" t="s">
        <v>6652</v>
      </c>
      <c r="CR496" t="s">
        <v>3246</v>
      </c>
      <c r="CS496" t="s">
        <v>36</v>
      </c>
      <c r="CT496" t="b">
        <v>1</v>
      </c>
      <c r="CU496">
        <v>3514300</v>
      </c>
      <c r="CV496" t="s">
        <v>9002</v>
      </c>
      <c r="CW496">
        <v>0</v>
      </c>
      <c r="CX496">
        <v>3514300</v>
      </c>
      <c r="CY496">
        <v>0</v>
      </c>
      <c r="CZ496" t="b">
        <v>1</v>
      </c>
      <c r="DA496">
        <v>45614</v>
      </c>
      <c r="DB496" t="s">
        <v>4177</v>
      </c>
      <c r="DC496">
        <v>-1.0204081632653073E-2</v>
      </c>
      <c r="DD496">
        <v>-1434.4081632653076</v>
      </c>
      <c r="DE496" s="420" cm="1">
        <f t="array" ref="DE496">_xlfn.XLOOKUP("Дом 5"&amp;Реестр_Д5[[#This Row],[№]]&amp;Реестр_Д5[[#This Row],[Статус]],РД[Дом]&amp;РД[№ кв]&amp;РД[Состояние],РД[Дата подачи на регистрацию],"-",0)</f>
        <v>45614</v>
      </c>
    </row>
    <row r="497" spans="1:109" x14ac:dyDescent="0.25">
      <c r="A497" s="238">
        <v>496</v>
      </c>
      <c r="B497" s="238" t="s">
        <v>15</v>
      </c>
      <c r="C497" s="238">
        <v>14</v>
      </c>
      <c r="D497" s="238">
        <v>4</v>
      </c>
      <c r="E497" s="238">
        <v>2</v>
      </c>
      <c r="F497" s="238">
        <v>14.48</v>
      </c>
      <c r="G497" s="238">
        <v>11.42</v>
      </c>
      <c r="H497" s="238"/>
      <c r="I497">
        <v>25.9</v>
      </c>
      <c r="J497" s="238">
        <v>15.86</v>
      </c>
      <c r="K497" s="238">
        <v>3.01</v>
      </c>
      <c r="L497" s="238">
        <v>2.67</v>
      </c>
      <c r="M497" s="238"/>
      <c r="N497" s="238">
        <v>9.44</v>
      </c>
      <c r="O497" s="238">
        <v>2.72</v>
      </c>
      <c r="P497" s="238"/>
      <c r="R497" s="238">
        <v>2.72</v>
      </c>
      <c r="S497">
        <v>59.6</v>
      </c>
      <c r="T497">
        <v>56.88</v>
      </c>
      <c r="U497" s="238">
        <v>58.24</v>
      </c>
      <c r="V497">
        <v>58.05</v>
      </c>
      <c r="W497" s="238">
        <v>79535.67300000001</v>
      </c>
      <c r="X497">
        <v>3976.7836500000008</v>
      </c>
      <c r="Y497">
        <v>83512.456649999993</v>
      </c>
      <c r="Z497">
        <v>2505.3736994999999</v>
      </c>
      <c r="AA497">
        <v>86017.8303495</v>
      </c>
      <c r="AC497">
        <v>86017.8303495</v>
      </c>
      <c r="AE497">
        <v>86017.8303495</v>
      </c>
      <c r="AG497">
        <v>86017.8303495</v>
      </c>
      <c r="AI497">
        <v>86017.8303495</v>
      </c>
      <c r="AJ497">
        <v>860.17830349500002</v>
      </c>
      <c r="AK497">
        <v>86878.008652995006</v>
      </c>
      <c r="AL497">
        <v>4343.9004326497507</v>
      </c>
      <c r="AM497">
        <v>91221.909085644758</v>
      </c>
      <c r="AO497">
        <v>91221.909085644758</v>
      </c>
      <c r="AP497">
        <v>1824.4381817128951</v>
      </c>
      <c r="AQ497">
        <v>93046.347267357647</v>
      </c>
      <c r="AS497">
        <v>93046.347267357647</v>
      </c>
      <c r="AT497">
        <v>1860.9269453471527</v>
      </c>
      <c r="AU497">
        <v>94907.274212704797</v>
      </c>
      <c r="AW497">
        <v>94907.274212704797</v>
      </c>
      <c r="AX497">
        <v>949.07274212704795</v>
      </c>
      <c r="AY497">
        <v>95856.346954831839</v>
      </c>
      <c r="BA497">
        <v>95856.346954831839</v>
      </c>
      <c r="BC497">
        <v>95856.346954831839</v>
      </c>
      <c r="BE497">
        <v>95856.346954831839</v>
      </c>
      <c r="BF497">
        <v>1437.8452043224777</v>
      </c>
      <c r="BG497">
        <v>97294.192159154321</v>
      </c>
      <c r="BI497">
        <v>97294.192159154321</v>
      </c>
      <c r="BJ497">
        <v>3891.7676863661727</v>
      </c>
      <c r="BK497">
        <v>101185.9598455205</v>
      </c>
      <c r="BL497">
        <v>6071.1575907312299</v>
      </c>
      <c r="BM497">
        <v>107257.11743625172</v>
      </c>
      <c r="BN497">
        <v>13943.425266712726</v>
      </c>
      <c r="BO497">
        <v>121200.54270296446</v>
      </c>
      <c r="BP497">
        <v>35</v>
      </c>
      <c r="BQ497">
        <v>121235.54270296446</v>
      </c>
      <c r="BS497">
        <v>121235.54270296446</v>
      </c>
      <c r="BT497" s="238">
        <v>121235.54</v>
      </c>
      <c r="BU497" s="238">
        <v>7037800</v>
      </c>
      <c r="BX497" s="238">
        <v>0</v>
      </c>
      <c r="BY497" s="238">
        <v>121236.86477174849</v>
      </c>
      <c r="BZ497" s="238">
        <v>7037800</v>
      </c>
      <c r="CA497" s="238" t="s">
        <v>6871</v>
      </c>
      <c r="CB497">
        <v>10000</v>
      </c>
      <c r="CC497">
        <v>131236.86477174849</v>
      </c>
      <c r="CD497" s="238">
        <v>580500</v>
      </c>
      <c r="CE497" s="238">
        <v>7618300</v>
      </c>
      <c r="CH497" s="238" t="s">
        <v>8956</v>
      </c>
      <c r="CI497" s="238" t="s">
        <v>8956</v>
      </c>
      <c r="CJ497" t="s">
        <v>8953</v>
      </c>
      <c r="CK497" t="s">
        <v>8957</v>
      </c>
      <c r="CL497" t="s">
        <v>8961</v>
      </c>
      <c r="CM497" t="s">
        <v>8971</v>
      </c>
      <c r="CN497" s="238" t="b">
        <v>1</v>
      </c>
      <c r="CO497" t="s">
        <v>5785</v>
      </c>
      <c r="CQ497" t="s">
        <v>6652</v>
      </c>
      <c r="CR497" t="s">
        <v>3124</v>
      </c>
      <c r="CS497" t="s">
        <v>6871</v>
      </c>
      <c r="CT497" t="b">
        <v>1</v>
      </c>
      <c r="CU497">
        <v>7037800</v>
      </c>
      <c r="CV497">
        <v>7037800</v>
      </c>
      <c r="CW497">
        <v>0</v>
      </c>
      <c r="CX497">
        <v>0</v>
      </c>
      <c r="CY497">
        <v>0</v>
      </c>
      <c r="CZ497" t="b">
        <v>1</v>
      </c>
      <c r="DA497" t="s">
        <v>4246</v>
      </c>
      <c r="DB497" t="s">
        <v>1167</v>
      </c>
      <c r="DC497">
        <v>-3.2623626373625703E-3</v>
      </c>
      <c r="DD497">
        <v>-395.51861790233062</v>
      </c>
      <c r="DE497" s="420" t="str" cm="1">
        <f t="array" ref="DE49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498" spans="1:109" hidden="1" x14ac:dyDescent="0.25">
      <c r="A498" s="238">
        <v>497</v>
      </c>
      <c r="B498" s="238" t="s">
        <v>15</v>
      </c>
      <c r="C498" s="238">
        <v>14</v>
      </c>
      <c r="D498" s="238">
        <v>5</v>
      </c>
      <c r="E498" s="238">
        <v>2</v>
      </c>
      <c r="F498" s="238">
        <v>15.41</v>
      </c>
      <c r="G498" s="238">
        <v>12.78</v>
      </c>
      <c r="H498" s="238"/>
      <c r="I498">
        <v>28.19</v>
      </c>
      <c r="J498" s="238">
        <v>13.45</v>
      </c>
      <c r="K498" s="238">
        <v>3.7</v>
      </c>
      <c r="L498" s="238">
        <v>2.72</v>
      </c>
      <c r="M498" s="238"/>
      <c r="N498" s="238">
        <v>8.2200000000000006</v>
      </c>
      <c r="O498" s="238">
        <v>3.03</v>
      </c>
      <c r="P498" s="238"/>
      <c r="R498" s="238">
        <v>3.03</v>
      </c>
      <c r="S498">
        <v>59.31</v>
      </c>
      <c r="T498">
        <v>56.28</v>
      </c>
      <c r="U498" s="238">
        <v>57.8</v>
      </c>
      <c r="V498">
        <v>57.3</v>
      </c>
      <c r="W498" s="238">
        <v>79149.577499999999</v>
      </c>
      <c r="X498">
        <v>3957.4788749999998</v>
      </c>
      <c r="Y498">
        <v>83107.056375</v>
      </c>
      <c r="Z498">
        <v>2493.2116912500001</v>
      </c>
      <c r="AA498">
        <v>85600.268066250006</v>
      </c>
      <c r="AC498">
        <v>85600.268066250006</v>
      </c>
      <c r="AE498">
        <v>85600.268066250006</v>
      </c>
      <c r="AG498">
        <v>85600.268066250006</v>
      </c>
      <c r="AI498">
        <v>85600.268066250006</v>
      </c>
      <c r="AK498">
        <v>85600.268066250006</v>
      </c>
      <c r="AM498">
        <v>85600.268066250006</v>
      </c>
      <c r="AO498">
        <v>85600.268066250006</v>
      </c>
      <c r="AQ498">
        <v>85600.268066250006</v>
      </c>
      <c r="AS498">
        <v>85600.268066250006</v>
      </c>
      <c r="AU498">
        <v>85600.268066250006</v>
      </c>
      <c r="AW498">
        <v>85600.268066250006</v>
      </c>
      <c r="AY498">
        <v>85600.268066250006</v>
      </c>
      <c r="BA498">
        <v>85600.268066250006</v>
      </c>
      <c r="BC498">
        <v>85600.268066250006</v>
      </c>
      <c r="BE498">
        <v>85600.268066250006</v>
      </c>
      <c r="BG498">
        <v>85600.268066250006</v>
      </c>
      <c r="BI498">
        <v>85600.268066250006</v>
      </c>
      <c r="BK498">
        <v>85600.268066250006</v>
      </c>
      <c r="BM498">
        <v>85600.268066250006</v>
      </c>
      <c r="BO498">
        <v>85600.268066250006</v>
      </c>
      <c r="BQ498">
        <v>85600.268066250006</v>
      </c>
      <c r="BS498">
        <v>85600.268066250006</v>
      </c>
      <c r="BT498" s="238">
        <v>85600.27</v>
      </c>
      <c r="BU498" s="238">
        <v>4947695.6100000003</v>
      </c>
      <c r="BW498">
        <v>0.02</v>
      </c>
      <c r="BX498" s="238">
        <v>98953.912200000006</v>
      </c>
      <c r="BY498" s="238">
        <v>83888.264705882364</v>
      </c>
      <c r="BZ498" s="238">
        <v>4848741.7</v>
      </c>
      <c r="CA498" s="238" t="s">
        <v>36</v>
      </c>
      <c r="CC498">
        <v>83888.264705882364</v>
      </c>
      <c r="CD498" s="238">
        <v>0</v>
      </c>
      <c r="CE498" s="238">
        <v>4848741.7</v>
      </c>
      <c r="CG498" t="s">
        <v>3540</v>
      </c>
      <c r="CH498" s="238" t="s">
        <v>39</v>
      </c>
      <c r="CI498" s="238" t="s">
        <v>39</v>
      </c>
      <c r="CJ498" t="s">
        <v>8950</v>
      </c>
      <c r="CK498" t="s">
        <v>1167</v>
      </c>
      <c r="CL498" t="s">
        <v>8961</v>
      </c>
      <c r="CM498" t="s">
        <v>8974</v>
      </c>
      <c r="CN498" s="238" t="b">
        <v>1</v>
      </c>
      <c r="CO498" t="s">
        <v>5786</v>
      </c>
      <c r="CQ498" t="s">
        <v>4895</v>
      </c>
      <c r="CR498" t="s">
        <v>3246</v>
      </c>
      <c r="CS498" t="s">
        <v>36</v>
      </c>
      <c r="CT498" t="b">
        <v>1</v>
      </c>
      <c r="CU498">
        <v>4947695.6100000003</v>
      </c>
      <c r="CV498" t="s">
        <v>9002</v>
      </c>
      <c r="CW498">
        <v>0</v>
      </c>
      <c r="CX498">
        <v>4947696</v>
      </c>
      <c r="CY498">
        <v>0</v>
      </c>
      <c r="CZ498" t="b">
        <v>1</v>
      </c>
      <c r="DA498">
        <v>45233</v>
      </c>
      <c r="DB498" t="s">
        <v>4177</v>
      </c>
      <c r="DC498">
        <v>-8.650519031141779E-3</v>
      </c>
      <c r="DD498">
        <v>-725.67703032769475</v>
      </c>
      <c r="DE498" s="420" cm="1">
        <f t="array" ref="DE498">_xlfn.XLOOKUP("Дом 5"&amp;Реестр_Д5[[#This Row],[№]]&amp;Реестр_Д5[[#This Row],[Статус]],РД[Дом]&amp;РД[№ кв]&amp;РД[Состояние],РД[Дата подачи на регистрацию],"-",0)</f>
        <v>45233</v>
      </c>
    </row>
    <row r="499" spans="1:109" hidden="1" x14ac:dyDescent="0.25">
      <c r="A499" s="238">
        <v>498</v>
      </c>
      <c r="B499" s="238" t="s">
        <v>15</v>
      </c>
      <c r="C499" s="238">
        <v>14</v>
      </c>
      <c r="D499" s="238">
        <v>6</v>
      </c>
      <c r="E499" s="238">
        <v>1</v>
      </c>
      <c r="F499" s="238">
        <v>12.71</v>
      </c>
      <c r="G499" s="238"/>
      <c r="H499" s="238"/>
      <c r="I499">
        <v>12.71</v>
      </c>
      <c r="J499" s="238">
        <v>12.55</v>
      </c>
      <c r="K499" s="238">
        <v>4.28</v>
      </c>
      <c r="L499" s="238"/>
      <c r="M499" s="238"/>
      <c r="N499" s="238">
        <v>7.34</v>
      </c>
      <c r="O499" s="238">
        <v>2.84</v>
      </c>
      <c r="P499" s="238"/>
      <c r="R499" s="238">
        <v>2.84</v>
      </c>
      <c r="S499">
        <v>39.72</v>
      </c>
      <c r="T499">
        <v>36.880000000000003</v>
      </c>
      <c r="U499" s="238">
        <v>38.299999999999997</v>
      </c>
      <c r="V499">
        <v>37.799999999999997</v>
      </c>
      <c r="W499" s="238">
        <v>87601.5</v>
      </c>
      <c r="X499">
        <v>4380.0749999999998</v>
      </c>
      <c r="Y499">
        <v>91981.574999999997</v>
      </c>
      <c r="Z499">
        <v>2759.4472499999997</v>
      </c>
      <c r="AA499">
        <v>94741.022249999995</v>
      </c>
      <c r="AB499">
        <v>947.41022250000003</v>
      </c>
      <c r="AC499">
        <v>95688.432472500004</v>
      </c>
      <c r="AE499">
        <v>95688.432472500004</v>
      </c>
      <c r="AF499">
        <v>4784.4216236249995</v>
      </c>
      <c r="AG499">
        <v>100472.854096125</v>
      </c>
      <c r="AI499">
        <v>100472.854096125</v>
      </c>
      <c r="AJ499">
        <v>1004.72854096125</v>
      </c>
      <c r="AK499">
        <v>101477.58263708623</v>
      </c>
      <c r="AL499">
        <v>5073.8791318543126</v>
      </c>
      <c r="AM499">
        <v>106551.46176894056</v>
      </c>
      <c r="AO499">
        <v>106551.46176894056</v>
      </c>
      <c r="AP499">
        <v>3196.5438530682168</v>
      </c>
      <c r="AQ499">
        <v>109748.00562200876</v>
      </c>
      <c r="AS499">
        <v>109748.00562200876</v>
      </c>
      <c r="AU499">
        <v>109748.00562200876</v>
      </c>
      <c r="AW499">
        <v>109748.00562200876</v>
      </c>
      <c r="AY499">
        <v>109748.00562200876</v>
      </c>
      <c r="BA499">
        <v>109748.00562200876</v>
      </c>
      <c r="BC499">
        <v>109748.00562200876</v>
      </c>
      <c r="BE499">
        <v>109748.00562200876</v>
      </c>
      <c r="BG499">
        <v>109748.00562200876</v>
      </c>
      <c r="BI499">
        <v>109748.00562200876</v>
      </c>
      <c r="BK499">
        <v>109748.00562200876</v>
      </c>
      <c r="BM499">
        <v>109748.00562200876</v>
      </c>
      <c r="BO499">
        <v>109748.00562200876</v>
      </c>
      <c r="BQ499">
        <v>109748.00562200876</v>
      </c>
      <c r="BS499">
        <v>109748.00562200876</v>
      </c>
      <c r="BT499" s="238">
        <v>109748.01</v>
      </c>
      <c r="BU499" s="238">
        <v>4203400</v>
      </c>
      <c r="BX499" s="238">
        <v>0</v>
      </c>
      <c r="BY499" s="238">
        <v>109749.34725848564</v>
      </c>
      <c r="BZ499" s="238">
        <v>4203400</v>
      </c>
      <c r="CA499" s="238" t="s">
        <v>6871</v>
      </c>
      <c r="CB499">
        <v>7000</v>
      </c>
      <c r="CC499">
        <v>116749.34725848564</v>
      </c>
      <c r="CD499" s="238">
        <v>268100</v>
      </c>
      <c r="CE499" s="238">
        <v>4471500</v>
      </c>
      <c r="CH499" s="238" t="s">
        <v>39</v>
      </c>
      <c r="CI499" s="238" t="s">
        <v>39</v>
      </c>
      <c r="CJ499" t="s">
        <v>8950</v>
      </c>
      <c r="CK499" t="s">
        <v>1167</v>
      </c>
      <c r="CL499" t="s">
        <v>8961</v>
      </c>
      <c r="CM499" t="s">
        <v>8973</v>
      </c>
      <c r="CN499" s="238" t="b">
        <v>1</v>
      </c>
      <c r="CO499" t="s">
        <v>5787</v>
      </c>
      <c r="CQ499" t="s">
        <v>6652</v>
      </c>
      <c r="CR499" t="s">
        <v>3246</v>
      </c>
      <c r="CS499" t="s">
        <v>6871</v>
      </c>
      <c r="CT499" t="b">
        <v>1</v>
      </c>
      <c r="CU499">
        <v>4203400</v>
      </c>
      <c r="CV499" t="s">
        <v>9002</v>
      </c>
      <c r="CW499">
        <v>0</v>
      </c>
      <c r="CX499">
        <v>4203400</v>
      </c>
      <c r="CY499">
        <v>0</v>
      </c>
      <c r="CZ499" t="b">
        <v>1</v>
      </c>
      <c r="DA499">
        <v>45420</v>
      </c>
      <c r="DB499" t="s">
        <v>130</v>
      </c>
      <c r="DC499">
        <v>-1.3054830287206221E-2</v>
      </c>
      <c r="DD499">
        <v>-1432.7591025911915</v>
      </c>
      <c r="DE499" s="420" cm="1">
        <f t="array" ref="DE499">_xlfn.XLOOKUP("Дом 5"&amp;Реестр_Д5[[#This Row],[№]]&amp;Реестр_Д5[[#This Row],[Статус]],РД[Дом]&amp;РД[№ кв]&amp;РД[Состояние],РД[Дата подачи на регистрацию],"-",0)</f>
        <v>45420</v>
      </c>
    </row>
    <row r="500" spans="1:109" hidden="1" x14ac:dyDescent="0.25">
      <c r="A500" s="238">
        <v>499</v>
      </c>
      <c r="B500" s="238" t="s">
        <v>15</v>
      </c>
      <c r="C500" s="238">
        <v>14</v>
      </c>
      <c r="D500" s="238">
        <v>7</v>
      </c>
      <c r="E500" s="238">
        <v>3</v>
      </c>
      <c r="F500" s="238">
        <v>14.49</v>
      </c>
      <c r="G500" s="238">
        <v>13.98</v>
      </c>
      <c r="H500" s="238">
        <v>11.42</v>
      </c>
      <c r="I500">
        <v>39.89</v>
      </c>
      <c r="J500" s="238">
        <v>16.670000000000002</v>
      </c>
      <c r="K500" s="238">
        <v>4.1399999999999997</v>
      </c>
      <c r="L500" s="238">
        <v>1.89</v>
      </c>
      <c r="M500" s="238"/>
      <c r="N500" s="238">
        <v>11.31</v>
      </c>
      <c r="O500" s="238">
        <v>2.86</v>
      </c>
      <c r="P500" s="238">
        <v>2.79</v>
      </c>
      <c r="Q500">
        <v>5.42</v>
      </c>
      <c r="R500" s="238">
        <v>11.07</v>
      </c>
      <c r="S500">
        <v>84.97</v>
      </c>
      <c r="T500">
        <v>73.900000000000006</v>
      </c>
      <c r="U500" s="238">
        <v>79.44</v>
      </c>
      <c r="V500">
        <v>78.649999999999977</v>
      </c>
      <c r="W500" s="238">
        <v>77803.110000000015</v>
      </c>
      <c r="X500">
        <v>3890.1555000000008</v>
      </c>
      <c r="Y500">
        <v>81693.265500000023</v>
      </c>
      <c r="Z500">
        <v>2450.7979650000002</v>
      </c>
      <c r="AA500">
        <v>84144.063465000014</v>
      </c>
      <c r="AC500">
        <v>84144.063465000014</v>
      </c>
      <c r="AE500">
        <v>84144.063465000014</v>
      </c>
      <c r="AG500">
        <v>84144.063465000014</v>
      </c>
      <c r="AI500">
        <v>84144.063465000014</v>
      </c>
      <c r="AJ500">
        <v>841.44063465000011</v>
      </c>
      <c r="AK500">
        <v>84985.504099650017</v>
      </c>
      <c r="AL500">
        <v>4249.2752049825012</v>
      </c>
      <c r="AM500">
        <v>89234.779304632524</v>
      </c>
      <c r="AO500">
        <v>89234.779304632524</v>
      </c>
      <c r="AQ500">
        <v>89234.779304632524</v>
      </c>
      <c r="AS500">
        <v>89234.779304632524</v>
      </c>
      <c r="AU500">
        <v>89234.779304632524</v>
      </c>
      <c r="AW500">
        <v>89234.779304632524</v>
      </c>
      <c r="AY500">
        <v>89234.779304632524</v>
      </c>
      <c r="BA500">
        <v>89234.779304632524</v>
      </c>
      <c r="BC500">
        <v>89234.779304632524</v>
      </c>
      <c r="BE500">
        <v>89234.779304632524</v>
      </c>
      <c r="BG500">
        <v>89234.779304632524</v>
      </c>
      <c r="BI500">
        <v>89234.779304632524</v>
      </c>
      <c r="BK500">
        <v>89234.779304632524</v>
      </c>
      <c r="BM500">
        <v>89234.779304632524</v>
      </c>
      <c r="BO500">
        <v>89234.779304632524</v>
      </c>
      <c r="BQ500">
        <v>89234.779304632524</v>
      </c>
      <c r="BS500">
        <v>89234.779304632524</v>
      </c>
      <c r="BT500" s="238">
        <v>89234.78</v>
      </c>
      <c r="BU500" s="238">
        <v>7088900</v>
      </c>
      <c r="BW500">
        <v>0.03</v>
      </c>
      <c r="BX500" s="238">
        <v>212667</v>
      </c>
      <c r="BY500" s="238">
        <v>86558.824269889228</v>
      </c>
      <c r="BZ500" s="238">
        <v>6876233</v>
      </c>
      <c r="CA500" s="238" t="s">
        <v>36</v>
      </c>
      <c r="CC500">
        <v>86558.824269889228</v>
      </c>
      <c r="CD500" s="238">
        <v>0</v>
      </c>
      <c r="CE500" s="238">
        <v>6876233</v>
      </c>
      <c r="CF500" t="s">
        <v>4636</v>
      </c>
      <c r="CG500" t="s">
        <v>3538</v>
      </c>
      <c r="CH500" s="238" t="s">
        <v>39</v>
      </c>
      <c r="CI500" s="238" t="s">
        <v>39</v>
      </c>
      <c r="CJ500" t="s">
        <v>8950</v>
      </c>
      <c r="CK500" t="s">
        <v>1167</v>
      </c>
      <c r="CL500" t="s">
        <v>8961</v>
      </c>
      <c r="CM500" t="s">
        <v>8990</v>
      </c>
      <c r="CN500" s="238" t="b">
        <v>1</v>
      </c>
      <c r="CO500" t="s">
        <v>5788</v>
      </c>
      <c r="CQ500" t="s">
        <v>6652</v>
      </c>
      <c r="CR500" t="s">
        <v>3246</v>
      </c>
      <c r="CS500" t="s">
        <v>36</v>
      </c>
      <c r="CT500" t="b">
        <v>1</v>
      </c>
      <c r="CU500">
        <v>7088900</v>
      </c>
      <c r="CV500" t="s">
        <v>9002</v>
      </c>
      <c r="CW500">
        <v>0</v>
      </c>
      <c r="CX500">
        <v>7088900</v>
      </c>
      <c r="CY500">
        <v>0</v>
      </c>
      <c r="CZ500" t="b">
        <v>1</v>
      </c>
      <c r="DA500">
        <v>45348</v>
      </c>
      <c r="DB500" t="s">
        <v>4177</v>
      </c>
      <c r="DC500">
        <v>-9.9446122860020747E-3</v>
      </c>
      <c r="DD500">
        <v>-860.79394729623493</v>
      </c>
      <c r="DE500" s="420" cm="1">
        <f t="array" ref="DE500">_xlfn.XLOOKUP("Дом 5"&amp;Реестр_Д5[[#This Row],[№]]&amp;Реестр_Д5[[#This Row],[Статус]],РД[Дом]&amp;РД[№ кв]&amp;РД[Состояние],РД[Дата подачи на регистрацию],"-",0)</f>
        <v>45348</v>
      </c>
    </row>
    <row r="501" spans="1:109" hidden="1" x14ac:dyDescent="0.25">
      <c r="A501" s="238">
        <v>500</v>
      </c>
      <c r="B501" s="238" t="s">
        <v>15</v>
      </c>
      <c r="C501" s="238">
        <v>14</v>
      </c>
      <c r="D501" s="238">
        <v>8</v>
      </c>
      <c r="E501" s="238">
        <v>1</v>
      </c>
      <c r="F501" s="238">
        <v>16.79</v>
      </c>
      <c r="G501" s="238"/>
      <c r="H501" s="238"/>
      <c r="I501">
        <v>16.79</v>
      </c>
      <c r="J501" s="238">
        <v>11.43</v>
      </c>
      <c r="K501" s="238">
        <v>3.56</v>
      </c>
      <c r="L501" s="238"/>
      <c r="M501" s="238"/>
      <c r="N501" s="238">
        <v>6.66</v>
      </c>
      <c r="O501" s="238">
        <v>2.4900000000000002</v>
      </c>
      <c r="P501" s="238"/>
      <c r="R501" s="238">
        <v>2.4900000000000002</v>
      </c>
      <c r="S501">
        <v>40.93</v>
      </c>
      <c r="T501">
        <v>38.44</v>
      </c>
      <c r="U501" s="238">
        <v>39.69</v>
      </c>
      <c r="V501">
        <v>39.450000000000003</v>
      </c>
      <c r="W501" s="238">
        <v>86384.8125</v>
      </c>
      <c r="X501">
        <v>4319.2406250000004</v>
      </c>
      <c r="Y501">
        <v>90704.053125000006</v>
      </c>
      <c r="Z501">
        <v>2721.1215937500001</v>
      </c>
      <c r="AA501">
        <v>93425.17471875</v>
      </c>
      <c r="AB501">
        <v>4204.1328623437503</v>
      </c>
      <c r="AC501">
        <v>97629.307581093744</v>
      </c>
      <c r="AE501">
        <v>97629.307581093744</v>
      </c>
      <c r="AF501">
        <v>4881.4653790546872</v>
      </c>
      <c r="AG501">
        <v>102510.77296014845</v>
      </c>
      <c r="AI501">
        <v>102510.77296014845</v>
      </c>
      <c r="AJ501">
        <v>1025.1077296014844</v>
      </c>
      <c r="AK501">
        <v>103535.88068974992</v>
      </c>
      <c r="AL501">
        <v>5176.794034487496</v>
      </c>
      <c r="AM501">
        <v>108712.6747242374</v>
      </c>
      <c r="AO501">
        <v>108712.6747242374</v>
      </c>
      <c r="AP501">
        <v>3261.3802417271222</v>
      </c>
      <c r="AQ501">
        <v>111974.05496596452</v>
      </c>
      <c r="AS501">
        <v>111974.05496596452</v>
      </c>
      <c r="AU501">
        <v>111974.05496596452</v>
      </c>
      <c r="AW501">
        <v>111974.05496596452</v>
      </c>
      <c r="AY501">
        <v>111974.05496596452</v>
      </c>
      <c r="BA501">
        <v>111974.05496596452</v>
      </c>
      <c r="BC501">
        <v>111974.05496596452</v>
      </c>
      <c r="BE501">
        <v>111974.05496596452</v>
      </c>
      <c r="BF501">
        <v>559.87027482982273</v>
      </c>
      <c r="BG501">
        <v>112533.92524079436</v>
      </c>
      <c r="BI501">
        <v>112533.92524079436</v>
      </c>
      <c r="BJ501">
        <v>2250.6785048158872</v>
      </c>
      <c r="BK501">
        <v>114784.60374561023</v>
      </c>
      <c r="BM501">
        <v>114784.60374561023</v>
      </c>
      <c r="BO501">
        <v>114784.60374561023</v>
      </c>
      <c r="BQ501">
        <v>114784.60374561023</v>
      </c>
      <c r="BS501">
        <v>114784.60374561023</v>
      </c>
      <c r="BT501" s="238">
        <v>114784.6</v>
      </c>
      <c r="BU501" s="238">
        <v>4555900</v>
      </c>
      <c r="BX501" s="238">
        <v>0</v>
      </c>
      <c r="BY501" s="238">
        <v>114787.10002519526</v>
      </c>
      <c r="BZ501" s="238">
        <v>4555900</v>
      </c>
      <c r="CA501" s="238" t="s">
        <v>36</v>
      </c>
      <c r="CC501">
        <v>114787.10002519526</v>
      </c>
      <c r="CD501" s="238">
        <v>0</v>
      </c>
      <c r="CE501" s="238">
        <v>4555900</v>
      </c>
      <c r="CH501" s="238" t="s">
        <v>39</v>
      </c>
      <c r="CI501" s="238" t="s">
        <v>39</v>
      </c>
      <c r="CJ501" t="s">
        <v>8950</v>
      </c>
      <c r="CK501" t="s">
        <v>1167</v>
      </c>
      <c r="CL501" t="s">
        <v>8961</v>
      </c>
      <c r="CM501" t="s">
        <v>8973</v>
      </c>
      <c r="CN501" s="238" t="b">
        <v>1</v>
      </c>
      <c r="CO501" t="s">
        <v>5789</v>
      </c>
      <c r="CQ501" t="s">
        <v>6652</v>
      </c>
      <c r="CR501" t="s">
        <v>3246</v>
      </c>
      <c r="CS501" t="s">
        <v>36</v>
      </c>
      <c r="CT501" t="b">
        <v>1</v>
      </c>
      <c r="CU501">
        <v>4555900</v>
      </c>
      <c r="CV501" t="s">
        <v>9002</v>
      </c>
      <c r="CW501">
        <v>0</v>
      </c>
      <c r="CX501">
        <v>4555900</v>
      </c>
      <c r="CY501">
        <v>0</v>
      </c>
      <c r="CZ501" t="b">
        <v>1</v>
      </c>
      <c r="DA501">
        <v>45595</v>
      </c>
      <c r="DB501" t="s">
        <v>5215</v>
      </c>
      <c r="DC501">
        <v>-6.0468631897202529E-3</v>
      </c>
      <c r="DD501">
        <v>-694.10188979708994</v>
      </c>
      <c r="DE501" s="420" cm="1">
        <f t="array" ref="DE501">_xlfn.XLOOKUP("Дом 5"&amp;Реестр_Д5[[#This Row],[№]]&amp;Реестр_Д5[[#This Row],[Статус]],РД[Дом]&amp;РД[№ кв]&amp;РД[Состояние],РД[Дата подачи на регистрацию],"-",0)</f>
        <v>45595</v>
      </c>
    </row>
    <row r="502" spans="1:109" hidden="1" x14ac:dyDescent="0.25">
      <c r="A502" s="238">
        <v>501</v>
      </c>
      <c r="B502" s="238" t="s">
        <v>15</v>
      </c>
      <c r="C502" s="238">
        <v>15</v>
      </c>
      <c r="D502" s="238">
        <v>1</v>
      </c>
      <c r="E502" s="238">
        <v>0</v>
      </c>
      <c r="F502" s="238">
        <v>13.74</v>
      </c>
      <c r="G502" s="238"/>
      <c r="H502" s="238"/>
      <c r="I502">
        <v>13.74</v>
      </c>
      <c r="J502" s="238">
        <v>5.84</v>
      </c>
      <c r="K502" s="238">
        <v>3.76</v>
      </c>
      <c r="L502" s="238"/>
      <c r="M502" s="238"/>
      <c r="N502" s="238">
        <v>3.73</v>
      </c>
      <c r="O502" s="238">
        <v>4.6500000000000004</v>
      </c>
      <c r="P502" s="238"/>
      <c r="R502" s="238">
        <v>4.6500000000000004</v>
      </c>
      <c r="S502">
        <v>31.72</v>
      </c>
      <c r="T502">
        <v>27.07</v>
      </c>
      <c r="U502" s="238">
        <v>29.4</v>
      </c>
      <c r="V502">
        <v>29.1</v>
      </c>
      <c r="W502" s="238">
        <v>89353.53</v>
      </c>
      <c r="X502">
        <v>4467.6765000000005</v>
      </c>
      <c r="Y502">
        <v>93821.2065</v>
      </c>
      <c r="Z502">
        <v>2814.636195</v>
      </c>
      <c r="AA502">
        <v>96635.842694999999</v>
      </c>
      <c r="AB502">
        <v>8697.2258425500004</v>
      </c>
      <c r="AC502">
        <v>105333.06853755</v>
      </c>
      <c r="AE502">
        <v>105333.06853755</v>
      </c>
      <c r="AG502">
        <v>105333.06853755</v>
      </c>
      <c r="AI502">
        <v>105333.06853755</v>
      </c>
      <c r="AJ502">
        <v>1053.3306853755</v>
      </c>
      <c r="AK502">
        <v>106386.39922292552</v>
      </c>
      <c r="AL502">
        <v>5319.319961146276</v>
      </c>
      <c r="AM502">
        <v>111705.7191840718</v>
      </c>
      <c r="AO502">
        <v>111705.7191840718</v>
      </c>
      <c r="AP502">
        <v>3351.1715755221535</v>
      </c>
      <c r="AQ502">
        <v>115056.89075959394</v>
      </c>
      <c r="AS502">
        <v>115056.89075959394</v>
      </c>
      <c r="AU502">
        <v>115056.89075959394</v>
      </c>
      <c r="AW502">
        <v>115056.89075959394</v>
      </c>
      <c r="AX502">
        <v>1150.5689075959394</v>
      </c>
      <c r="AY502">
        <v>116207.45966718988</v>
      </c>
      <c r="BA502">
        <v>116207.45966718988</v>
      </c>
      <c r="BC502">
        <v>116207.45966718988</v>
      </c>
      <c r="BE502">
        <v>116207.45966718988</v>
      </c>
      <c r="BF502">
        <v>1743.111895007848</v>
      </c>
      <c r="BG502">
        <v>117950.57156219771</v>
      </c>
      <c r="BI502">
        <v>117950.57156219771</v>
      </c>
      <c r="BK502">
        <v>117950.57156219771</v>
      </c>
      <c r="BM502">
        <v>117950.57156219771</v>
      </c>
      <c r="BO502">
        <v>117950.57156219771</v>
      </c>
      <c r="BQ502">
        <v>117950.57156219771</v>
      </c>
      <c r="BS502">
        <v>117950.57156219771</v>
      </c>
      <c r="BT502" s="238">
        <v>117950.57</v>
      </c>
      <c r="BU502" s="238">
        <v>3467800</v>
      </c>
      <c r="BV502">
        <v>50000</v>
      </c>
      <c r="BX502" s="238">
        <v>50000</v>
      </c>
      <c r="BY502" s="238">
        <v>116251.70068027212</v>
      </c>
      <c r="BZ502" s="238">
        <v>3417800</v>
      </c>
      <c r="CA502" s="238" t="s">
        <v>38</v>
      </c>
      <c r="CB502">
        <v>24000</v>
      </c>
      <c r="CC502">
        <v>140251.70068027213</v>
      </c>
      <c r="CD502" s="238">
        <v>705600.00000000047</v>
      </c>
      <c r="CE502" s="238">
        <v>4123400.0000000009</v>
      </c>
      <c r="CG502" t="s">
        <v>321</v>
      </c>
      <c r="CH502" s="238" t="s">
        <v>39</v>
      </c>
      <c r="CI502" s="238" t="s">
        <v>39</v>
      </c>
      <c r="CJ502" t="s">
        <v>8950</v>
      </c>
      <c r="CK502" t="s">
        <v>1167</v>
      </c>
      <c r="CL502" t="s">
        <v>8961</v>
      </c>
      <c r="CM502" t="s">
        <v>8970</v>
      </c>
      <c r="CN502" s="238" t="b">
        <v>1</v>
      </c>
      <c r="CO502" t="s">
        <v>5790</v>
      </c>
      <c r="CQ502" t="s">
        <v>6652</v>
      </c>
      <c r="CR502" t="s">
        <v>3246</v>
      </c>
      <c r="CS502" t="s">
        <v>38</v>
      </c>
      <c r="CT502" t="b">
        <v>1</v>
      </c>
      <c r="CU502">
        <v>3467800</v>
      </c>
      <c r="CV502" t="s">
        <v>9002</v>
      </c>
      <c r="CW502">
        <v>0</v>
      </c>
      <c r="CX502">
        <v>3467800</v>
      </c>
      <c r="CY502">
        <v>0</v>
      </c>
      <c r="CZ502" t="b">
        <v>1</v>
      </c>
      <c r="DA502">
        <v>45596</v>
      </c>
      <c r="DB502" t="s">
        <v>5215</v>
      </c>
      <c r="DC502">
        <v>-1.0204081632653073E-2</v>
      </c>
      <c r="DD502">
        <v>-1186.2418436762473</v>
      </c>
      <c r="DE502" s="420" cm="1">
        <f t="array" ref="DE502">_xlfn.XLOOKUP("Дом 5"&amp;Реестр_Д5[[#This Row],[№]]&amp;Реестр_Д5[[#This Row],[Статус]],РД[Дом]&amp;РД[№ кв]&amp;РД[Состояние],РД[Дата подачи на регистрацию],"-",0)</f>
        <v>45596</v>
      </c>
    </row>
    <row r="503" spans="1:109" hidden="1" x14ac:dyDescent="0.25">
      <c r="A503" s="238">
        <v>502</v>
      </c>
      <c r="B503" s="238" t="s">
        <v>15</v>
      </c>
      <c r="C503" s="238">
        <v>15</v>
      </c>
      <c r="D503" s="238">
        <v>2</v>
      </c>
      <c r="E503" s="238">
        <v>1</v>
      </c>
      <c r="F503" s="238">
        <v>13.17</v>
      </c>
      <c r="G503" s="238"/>
      <c r="H503" s="238"/>
      <c r="I503">
        <v>13.17</v>
      </c>
      <c r="J503" s="238">
        <v>16.940000000000001</v>
      </c>
      <c r="K503" s="238">
        <v>3.55</v>
      </c>
      <c r="L503" s="238">
        <v>2.41</v>
      </c>
      <c r="M503" s="238"/>
      <c r="N503" s="238">
        <v>5.8</v>
      </c>
      <c r="O503" s="238">
        <v>2.68</v>
      </c>
      <c r="P503" s="238"/>
      <c r="R503" s="238">
        <v>2.68</v>
      </c>
      <c r="S503">
        <v>44.55</v>
      </c>
      <c r="T503">
        <v>41.87</v>
      </c>
      <c r="U503" s="238">
        <v>43.21</v>
      </c>
      <c r="V503">
        <v>42.3</v>
      </c>
      <c r="W503" s="238">
        <v>85168.125</v>
      </c>
      <c r="X503">
        <v>4258.40625</v>
      </c>
      <c r="Y503">
        <v>89426.53125</v>
      </c>
      <c r="Z503">
        <v>2682.7959375</v>
      </c>
      <c r="AA503">
        <v>92109.327187500006</v>
      </c>
      <c r="AB503">
        <v>921.09327187500003</v>
      </c>
      <c r="AC503">
        <v>93030.420459375004</v>
      </c>
      <c r="AE503">
        <v>93030.420459375004</v>
      </c>
      <c r="AF503">
        <v>4651.52102296875</v>
      </c>
      <c r="AG503">
        <v>97681.941482343755</v>
      </c>
      <c r="AI503">
        <v>97681.941482343755</v>
      </c>
      <c r="AJ503">
        <v>976.81941482343757</v>
      </c>
      <c r="AK503">
        <v>98658.760897167187</v>
      </c>
      <c r="AL503">
        <v>4932.9380448583597</v>
      </c>
      <c r="AM503">
        <v>103591.69894202554</v>
      </c>
      <c r="AO503">
        <v>103591.69894202554</v>
      </c>
      <c r="AP503">
        <v>3107.7509682607661</v>
      </c>
      <c r="AQ503">
        <v>106699.4499102863</v>
      </c>
      <c r="AS503">
        <v>106699.4499102863</v>
      </c>
      <c r="AU503">
        <v>106699.4499102863</v>
      </c>
      <c r="AW503">
        <v>106699.4499102863</v>
      </c>
      <c r="AY503">
        <v>106699.4499102863</v>
      </c>
      <c r="BA503">
        <v>106699.4499102863</v>
      </c>
      <c r="BC503">
        <v>106699.4499102863</v>
      </c>
      <c r="BE503">
        <v>106699.4499102863</v>
      </c>
      <c r="BG503">
        <v>106699.4499102863</v>
      </c>
      <c r="BI503">
        <v>106699.4499102863</v>
      </c>
      <c r="BK503">
        <v>106699.4499102863</v>
      </c>
      <c r="BM503">
        <v>106699.4499102863</v>
      </c>
      <c r="BO503">
        <v>106699.4499102863</v>
      </c>
      <c r="BQ503">
        <v>106699.4499102863</v>
      </c>
      <c r="BS503">
        <v>106699.4499102863</v>
      </c>
      <c r="BT503" s="238">
        <v>106699.45</v>
      </c>
      <c r="BU503" s="238">
        <v>4610500</v>
      </c>
      <c r="BV503">
        <v>88888</v>
      </c>
      <c r="BX503" s="238">
        <v>88888</v>
      </c>
      <c r="BY503" s="238">
        <v>104642.721592224</v>
      </c>
      <c r="BZ503" s="238">
        <v>4521612</v>
      </c>
      <c r="CA503" s="238" t="s">
        <v>36</v>
      </c>
      <c r="CC503">
        <v>104642.721592224</v>
      </c>
      <c r="CD503" s="238">
        <v>0</v>
      </c>
      <c r="CE503" s="238">
        <v>4521612</v>
      </c>
      <c r="CG503" t="s">
        <v>4185</v>
      </c>
      <c r="CH503" s="238" t="s">
        <v>39</v>
      </c>
      <c r="CI503" s="238" t="s">
        <v>39</v>
      </c>
      <c r="CJ503" t="s">
        <v>8950</v>
      </c>
      <c r="CK503" t="s">
        <v>1167</v>
      </c>
      <c r="CL503" t="s">
        <v>8961</v>
      </c>
      <c r="CM503" t="s">
        <v>8972</v>
      </c>
      <c r="CN503" s="238" t="b">
        <v>1</v>
      </c>
      <c r="CO503" t="s">
        <v>5791</v>
      </c>
      <c r="CQ503" t="s">
        <v>6652</v>
      </c>
      <c r="CR503" t="s">
        <v>3246</v>
      </c>
      <c r="CS503" t="s">
        <v>36</v>
      </c>
      <c r="CT503" t="b">
        <v>1</v>
      </c>
      <c r="CU503">
        <v>4610500</v>
      </c>
      <c r="CV503" t="s">
        <v>9002</v>
      </c>
      <c r="CW503">
        <v>0</v>
      </c>
      <c r="CX503">
        <v>4610500</v>
      </c>
      <c r="CY503">
        <v>0</v>
      </c>
      <c r="CZ503" t="b">
        <v>1</v>
      </c>
      <c r="DA503">
        <v>45372</v>
      </c>
      <c r="DB503" t="s">
        <v>4177</v>
      </c>
      <c r="DC503">
        <v>-2.1059939828743435E-2</v>
      </c>
      <c r="DD503">
        <v>-2203.7694202481889</v>
      </c>
      <c r="DE503" s="420" cm="1">
        <f t="array" ref="DE503">_xlfn.XLOOKUP("Дом 5"&amp;Реестр_Д5[[#This Row],[№]]&amp;Реестр_Д5[[#This Row],[Статус]],РД[Дом]&amp;РД[№ кв]&amp;РД[Состояние],РД[Дата подачи на регистрацию],"-",0)</f>
        <v>45372</v>
      </c>
    </row>
    <row r="504" spans="1:109" hidden="1" x14ac:dyDescent="0.25">
      <c r="A504" s="238">
        <v>503</v>
      </c>
      <c r="B504" s="238" t="s">
        <v>15</v>
      </c>
      <c r="C504" s="238">
        <v>15</v>
      </c>
      <c r="D504" s="238">
        <v>3</v>
      </c>
      <c r="E504" s="238">
        <v>0</v>
      </c>
      <c r="F504" s="238">
        <v>7.2</v>
      </c>
      <c r="G504" s="238"/>
      <c r="H504" s="238"/>
      <c r="I504">
        <v>7.2</v>
      </c>
      <c r="J504" s="238">
        <v>5.17</v>
      </c>
      <c r="K504" s="238">
        <v>3.71</v>
      </c>
      <c r="L504" s="238"/>
      <c r="M504" s="238"/>
      <c r="N504" s="238">
        <v>6.96</v>
      </c>
      <c r="O504" s="238">
        <v>2.92</v>
      </c>
      <c r="P504" s="238"/>
      <c r="R504" s="238">
        <v>2.92</v>
      </c>
      <c r="S504">
        <v>25.96</v>
      </c>
      <c r="T504">
        <v>23.04</v>
      </c>
      <c r="U504" s="238">
        <v>24.5</v>
      </c>
      <c r="V504">
        <v>24.55</v>
      </c>
      <c r="W504" s="238">
        <v>91105.56</v>
      </c>
      <c r="X504">
        <v>4555.2780000000002</v>
      </c>
      <c r="Y504">
        <v>95660.838000000003</v>
      </c>
      <c r="Z504">
        <v>2869.8251399999999</v>
      </c>
      <c r="AA504">
        <v>98530.663140000004</v>
      </c>
      <c r="AB504">
        <v>8867.7596826000008</v>
      </c>
      <c r="AC504">
        <v>107398.4228226</v>
      </c>
      <c r="AE504">
        <v>107398.4228226</v>
      </c>
      <c r="AG504">
        <v>107398.4228226</v>
      </c>
      <c r="AI504">
        <v>107398.4228226</v>
      </c>
      <c r="AJ504">
        <v>1073.9842282259999</v>
      </c>
      <c r="AK504">
        <v>108472.407050826</v>
      </c>
      <c r="AL504">
        <v>5423.6203525413002</v>
      </c>
      <c r="AM504">
        <v>113896.0274033673</v>
      </c>
      <c r="AO504">
        <v>113896.0274033673</v>
      </c>
      <c r="AP504">
        <v>3416.880822101019</v>
      </c>
      <c r="AQ504">
        <v>117312.90822546832</v>
      </c>
      <c r="AS504">
        <v>117312.90822546832</v>
      </c>
      <c r="AU504">
        <v>117312.90822546832</v>
      </c>
      <c r="AW504">
        <v>117312.90822546832</v>
      </c>
      <c r="AX504">
        <v>1173.1290822546832</v>
      </c>
      <c r="AY504">
        <v>118486.03730772302</v>
      </c>
      <c r="BA504">
        <v>118486.03730772302</v>
      </c>
      <c r="BB504">
        <v>592.43018653861509</v>
      </c>
      <c r="BC504">
        <v>119078.46749426164</v>
      </c>
      <c r="BE504">
        <v>119078.46749426164</v>
      </c>
      <c r="BF504">
        <v>2976.961687356541</v>
      </c>
      <c r="BG504">
        <v>122055.42918161816</v>
      </c>
      <c r="BI504">
        <v>122055.42918161816</v>
      </c>
      <c r="BK504">
        <v>122055.42918161816</v>
      </c>
      <c r="BL504">
        <v>4882.2171672647264</v>
      </c>
      <c r="BM504">
        <v>126937.64634888287</v>
      </c>
      <c r="BN504">
        <v>16501.894025354777</v>
      </c>
      <c r="BO504">
        <v>143439.54037423767</v>
      </c>
      <c r="BP504">
        <v>35</v>
      </c>
      <c r="BQ504">
        <v>143474.54037423767</v>
      </c>
      <c r="BS504">
        <v>143474.54037423767</v>
      </c>
      <c r="BT504" s="238">
        <v>143474.54</v>
      </c>
      <c r="BU504" s="238">
        <v>3515200</v>
      </c>
      <c r="BX504" s="238">
        <v>0</v>
      </c>
      <c r="BY504" s="238">
        <v>143477.55102040817</v>
      </c>
      <c r="BZ504" s="238">
        <v>3515200</v>
      </c>
      <c r="CA504" s="238" t="s">
        <v>38</v>
      </c>
      <c r="CB504">
        <v>25000</v>
      </c>
      <c r="CC504">
        <v>168477.55102040817</v>
      </c>
      <c r="CD504" s="238">
        <v>612500</v>
      </c>
      <c r="CE504" s="238">
        <v>4127700</v>
      </c>
      <c r="CH504" s="238" t="s">
        <v>39</v>
      </c>
      <c r="CI504" s="238" t="s">
        <v>39</v>
      </c>
      <c r="CJ504" t="s">
        <v>8950</v>
      </c>
      <c r="CK504" t="s">
        <v>1167</v>
      </c>
      <c r="CL504" t="s">
        <v>8961</v>
      </c>
      <c r="CM504" t="s">
        <v>8970</v>
      </c>
      <c r="CN504" s="238" t="b">
        <v>1</v>
      </c>
      <c r="CO504" t="s">
        <v>5792</v>
      </c>
      <c r="CQ504" t="s">
        <v>6652</v>
      </c>
      <c r="CR504" t="s">
        <v>3246</v>
      </c>
      <c r="CS504" t="s">
        <v>38</v>
      </c>
      <c r="CT504" t="b">
        <v>1</v>
      </c>
      <c r="CU504">
        <v>3515200</v>
      </c>
      <c r="CV504" t="s">
        <v>9002</v>
      </c>
      <c r="CW504">
        <v>0</v>
      </c>
      <c r="CX504">
        <v>3515200</v>
      </c>
      <c r="CY504">
        <v>0</v>
      </c>
      <c r="CZ504" t="b">
        <v>1</v>
      </c>
      <c r="DA504">
        <v>45654</v>
      </c>
      <c r="DB504" t="s">
        <v>5215</v>
      </c>
      <c r="DC504">
        <v>2.0408163265306367E-3</v>
      </c>
      <c r="DD504">
        <v>292.8113286130814</v>
      </c>
      <c r="DE504" s="420" cm="1">
        <f t="array" ref="DE504">_xlfn.XLOOKUP("Дом 5"&amp;Реестр_Д5[[#This Row],[№]]&amp;Реестр_Д5[[#This Row],[Статус]],РД[Дом]&amp;РД[№ кв]&amp;РД[Состояние],РД[Дата подачи на регистрацию],"-",0)</f>
        <v>45654</v>
      </c>
    </row>
    <row r="505" spans="1:109" hidden="1" x14ac:dyDescent="0.25">
      <c r="A505" s="238">
        <v>504</v>
      </c>
      <c r="B505" s="238" t="s">
        <v>15</v>
      </c>
      <c r="C505" s="238">
        <v>15</v>
      </c>
      <c r="D505" s="238">
        <v>4</v>
      </c>
      <c r="E505" s="238">
        <v>2</v>
      </c>
      <c r="F505" s="238">
        <v>14.48</v>
      </c>
      <c r="G505" s="238">
        <v>11.42</v>
      </c>
      <c r="H505" s="238"/>
      <c r="I505">
        <v>25.9</v>
      </c>
      <c r="J505" s="238">
        <v>15.86</v>
      </c>
      <c r="K505" s="238">
        <v>3.01</v>
      </c>
      <c r="L505" s="238">
        <v>2.67</v>
      </c>
      <c r="M505" s="238"/>
      <c r="N505" s="238">
        <v>9.44</v>
      </c>
      <c r="O505" s="238">
        <v>2.72</v>
      </c>
      <c r="P505" s="238"/>
      <c r="R505" s="238">
        <v>2.72</v>
      </c>
      <c r="S505">
        <v>59.6</v>
      </c>
      <c r="T505">
        <v>56.88</v>
      </c>
      <c r="U505" s="238">
        <v>58.24</v>
      </c>
      <c r="V505">
        <v>58.150000000000006</v>
      </c>
      <c r="W505" s="238">
        <v>79535.67300000001</v>
      </c>
      <c r="X505">
        <v>3976.7836500000008</v>
      </c>
      <c r="Y505">
        <v>83512.456649999993</v>
      </c>
      <c r="Z505">
        <v>2505.3736994999999</v>
      </c>
      <c r="AA505">
        <v>86017.8303495</v>
      </c>
      <c r="AC505">
        <v>86017.8303495</v>
      </c>
      <c r="AE505">
        <v>86017.8303495</v>
      </c>
      <c r="AG505">
        <v>86017.8303495</v>
      </c>
      <c r="AI505">
        <v>86017.8303495</v>
      </c>
      <c r="AK505">
        <v>86017.8303495</v>
      </c>
      <c r="AM505">
        <v>86017.8303495</v>
      </c>
      <c r="AO505">
        <v>86017.8303495</v>
      </c>
      <c r="AQ505">
        <v>86017.8303495</v>
      </c>
      <c r="AS505">
        <v>86017.8303495</v>
      </c>
      <c r="AU505">
        <v>86017.8303495</v>
      </c>
      <c r="AW505">
        <v>86017.8303495</v>
      </c>
      <c r="AY505">
        <v>86017.8303495</v>
      </c>
      <c r="BA505">
        <v>86017.8303495</v>
      </c>
      <c r="BC505">
        <v>86017.8303495</v>
      </c>
      <c r="BE505">
        <v>86017.8303495</v>
      </c>
      <c r="BG505">
        <v>86017.8303495</v>
      </c>
      <c r="BI505">
        <v>86017.8303495</v>
      </c>
      <c r="BK505">
        <v>86017.8303495</v>
      </c>
      <c r="BM505">
        <v>86017.8303495</v>
      </c>
      <c r="BO505">
        <v>86017.8303495</v>
      </c>
      <c r="BQ505">
        <v>86017.8303495</v>
      </c>
      <c r="BS505">
        <v>86017.8303495</v>
      </c>
      <c r="BT505" s="238">
        <v>86017.83</v>
      </c>
      <c r="BU505" s="238">
        <v>5009678.42</v>
      </c>
      <c r="BX505" s="238">
        <v>0</v>
      </c>
      <c r="BY505" s="238">
        <v>86017.830013736253</v>
      </c>
      <c r="BZ505" s="238">
        <v>5009678.42</v>
      </c>
      <c r="CA505" s="238" t="s">
        <v>38</v>
      </c>
      <c r="CB505">
        <v>22000</v>
      </c>
      <c r="CC505">
        <v>108017.83001373624</v>
      </c>
      <c r="CD505" s="238">
        <v>1281280</v>
      </c>
      <c r="CE505" s="238">
        <v>6290958.4199999999</v>
      </c>
      <c r="CH505" s="238" t="s">
        <v>39</v>
      </c>
      <c r="CI505" s="238" t="s">
        <v>39</v>
      </c>
      <c r="CJ505" t="s">
        <v>8950</v>
      </c>
      <c r="CK505" t="s">
        <v>1167</v>
      </c>
      <c r="CL505" t="s">
        <v>8961</v>
      </c>
      <c r="CM505" t="s">
        <v>8971</v>
      </c>
      <c r="CN505" s="238" t="b">
        <v>1</v>
      </c>
      <c r="CO505" t="s">
        <v>5793</v>
      </c>
      <c r="CQ505" t="s">
        <v>4895</v>
      </c>
      <c r="CR505" t="s">
        <v>3246</v>
      </c>
      <c r="CS505" t="s">
        <v>38</v>
      </c>
      <c r="CT505" t="b">
        <v>1</v>
      </c>
      <c r="CU505">
        <v>5009678.42</v>
      </c>
      <c r="CV505" t="s">
        <v>9002</v>
      </c>
      <c r="CW505">
        <v>0</v>
      </c>
      <c r="CX505">
        <v>5009678</v>
      </c>
      <c r="CY505">
        <v>0</v>
      </c>
      <c r="CZ505" t="b">
        <v>1</v>
      </c>
      <c r="DA505">
        <v>45199</v>
      </c>
      <c r="DB505" t="s">
        <v>126</v>
      </c>
      <c r="DC505">
        <v>-1.5453296703296091E-3</v>
      </c>
      <c r="DD505">
        <v>-132.92590489759542</v>
      </c>
      <c r="DE505" s="420" cm="1">
        <f t="array" ref="DE505">_xlfn.XLOOKUP("Дом 5"&amp;Реестр_Д5[[#This Row],[№]]&amp;Реестр_Д5[[#This Row],[Статус]],РД[Дом]&amp;РД[№ кв]&amp;РД[Состояние],РД[Дата подачи на регистрацию],"-",0)</f>
        <v>45199</v>
      </c>
    </row>
    <row r="506" spans="1:109" hidden="1" x14ac:dyDescent="0.25">
      <c r="A506" s="238">
        <v>505</v>
      </c>
      <c r="B506" s="238" t="s">
        <v>15</v>
      </c>
      <c r="C506" s="238">
        <v>15</v>
      </c>
      <c r="D506" s="238">
        <v>5</v>
      </c>
      <c r="E506" s="238">
        <v>2</v>
      </c>
      <c r="F506" s="238">
        <v>15.41</v>
      </c>
      <c r="G506" s="238">
        <v>12.78</v>
      </c>
      <c r="H506" s="238"/>
      <c r="I506">
        <v>28.19</v>
      </c>
      <c r="J506" s="238">
        <v>13.45</v>
      </c>
      <c r="K506" s="238">
        <v>3.7</v>
      </c>
      <c r="L506" s="238">
        <v>2.72</v>
      </c>
      <c r="M506" s="238"/>
      <c r="N506" s="238">
        <v>8.2200000000000006</v>
      </c>
      <c r="O506" s="238">
        <v>3.03</v>
      </c>
      <c r="P506" s="238"/>
      <c r="R506" s="238">
        <v>3.03</v>
      </c>
      <c r="S506">
        <v>59.31</v>
      </c>
      <c r="T506">
        <v>56.28</v>
      </c>
      <c r="U506" s="238">
        <v>57.8</v>
      </c>
      <c r="V506">
        <v>57.70000000000001</v>
      </c>
      <c r="W506" s="238">
        <v>79149.577499999999</v>
      </c>
      <c r="X506">
        <v>3957.4788749999998</v>
      </c>
      <c r="Y506">
        <v>83107.056375</v>
      </c>
      <c r="Z506">
        <v>2493.2116912500001</v>
      </c>
      <c r="AA506">
        <v>85600.268066250006</v>
      </c>
      <c r="AC506">
        <v>85600.268066250006</v>
      </c>
      <c r="AE506">
        <v>85600.268066250006</v>
      </c>
      <c r="AG506">
        <v>85600.268066250006</v>
      </c>
      <c r="AI506">
        <v>85600.268066250006</v>
      </c>
      <c r="AK506">
        <v>85600.268066250006</v>
      </c>
      <c r="AM506">
        <v>85600.268066250006</v>
      </c>
      <c r="AO506">
        <v>85600.268066250006</v>
      </c>
      <c r="AQ506">
        <v>85600.268066250006</v>
      </c>
      <c r="AS506">
        <v>85600.268066250006</v>
      </c>
      <c r="AU506">
        <v>85600.268066250006</v>
      </c>
      <c r="AW506">
        <v>85600.268066250006</v>
      </c>
      <c r="AY506">
        <v>85600.268066250006</v>
      </c>
      <c r="BA506">
        <v>85600.268066250006</v>
      </c>
      <c r="BC506">
        <v>85600.268066250006</v>
      </c>
      <c r="BE506">
        <v>85600.268066250006</v>
      </c>
      <c r="BG506">
        <v>85600.268066250006</v>
      </c>
      <c r="BI506">
        <v>85600.268066250006</v>
      </c>
      <c r="BK506">
        <v>85600.268066250006</v>
      </c>
      <c r="BM506">
        <v>85600.268066250006</v>
      </c>
      <c r="BO506">
        <v>85600.268066250006</v>
      </c>
      <c r="BQ506">
        <v>85600.268066250006</v>
      </c>
      <c r="BS506">
        <v>85600.268066250006</v>
      </c>
      <c r="BT506" s="238">
        <v>85600.27</v>
      </c>
      <c r="BU506" s="238">
        <v>4947695.6100000003</v>
      </c>
      <c r="BW506">
        <v>0.03</v>
      </c>
      <c r="BX506" s="238">
        <v>148430.8683</v>
      </c>
      <c r="BY506" s="238">
        <v>83032.261937716277</v>
      </c>
      <c r="BZ506" s="238">
        <v>4799264.74</v>
      </c>
      <c r="CA506" s="238" t="s">
        <v>36</v>
      </c>
      <c r="CC506">
        <v>83032.261937716277</v>
      </c>
      <c r="CD506" s="238">
        <v>0</v>
      </c>
      <c r="CE506" s="238">
        <v>4799264.74</v>
      </c>
      <c r="CG506" t="s">
        <v>3538</v>
      </c>
      <c r="CH506" s="238" t="s">
        <v>39</v>
      </c>
      <c r="CI506" s="238" t="s">
        <v>39</v>
      </c>
      <c r="CJ506" t="s">
        <v>8950</v>
      </c>
      <c r="CK506" t="s">
        <v>1167</v>
      </c>
      <c r="CL506" t="s">
        <v>8961</v>
      </c>
      <c r="CM506" t="s">
        <v>8974</v>
      </c>
      <c r="CN506" s="238" t="b">
        <v>1</v>
      </c>
      <c r="CO506" t="s">
        <v>5794</v>
      </c>
      <c r="CQ506" t="s">
        <v>4895</v>
      </c>
      <c r="CR506" t="s">
        <v>3246</v>
      </c>
      <c r="CS506" t="s">
        <v>36</v>
      </c>
      <c r="CT506" t="b">
        <v>1</v>
      </c>
      <c r="CU506">
        <v>4947695.6100000003</v>
      </c>
      <c r="CV506" t="s">
        <v>9002</v>
      </c>
      <c r="CW506">
        <v>0</v>
      </c>
      <c r="CX506">
        <v>4947696</v>
      </c>
      <c r="CY506">
        <v>0</v>
      </c>
      <c r="CZ506" t="b">
        <v>1</v>
      </c>
      <c r="DA506">
        <v>45253</v>
      </c>
      <c r="DB506" t="s">
        <v>4177</v>
      </c>
      <c r="DC506">
        <v>-1.7301038062281782E-3</v>
      </c>
      <c r="DD506">
        <v>-143.654432418178</v>
      </c>
      <c r="DE506" s="420" cm="1">
        <f t="array" ref="DE506">_xlfn.XLOOKUP("Дом 5"&amp;Реестр_Д5[[#This Row],[№]]&amp;Реестр_Д5[[#This Row],[Статус]],РД[Дом]&amp;РД[№ кв]&amp;РД[Состояние],РД[Дата подачи на регистрацию],"-",0)</f>
        <v>45253</v>
      </c>
    </row>
    <row r="507" spans="1:109" hidden="1" x14ac:dyDescent="0.25">
      <c r="A507" s="238">
        <v>506</v>
      </c>
      <c r="B507" s="238" t="s">
        <v>15</v>
      </c>
      <c r="C507" s="238">
        <v>15</v>
      </c>
      <c r="D507" s="238">
        <v>6</v>
      </c>
      <c r="E507" s="238">
        <v>1</v>
      </c>
      <c r="F507" s="238">
        <v>12.71</v>
      </c>
      <c r="G507" s="238"/>
      <c r="H507" s="238"/>
      <c r="I507">
        <v>12.71</v>
      </c>
      <c r="J507" s="238">
        <v>12.55</v>
      </c>
      <c r="K507" s="238">
        <v>4.28</v>
      </c>
      <c r="L507" s="238"/>
      <c r="M507" s="238"/>
      <c r="N507" s="238">
        <v>7.34</v>
      </c>
      <c r="O507" s="238">
        <v>2.84</v>
      </c>
      <c r="P507" s="238"/>
      <c r="R507" s="238">
        <v>2.84</v>
      </c>
      <c r="S507">
        <v>39.72</v>
      </c>
      <c r="T507">
        <v>36.880000000000003</v>
      </c>
      <c r="U507" s="238">
        <v>38.299999999999997</v>
      </c>
      <c r="V507">
        <v>37.9</v>
      </c>
      <c r="W507" s="238">
        <v>87601.5</v>
      </c>
      <c r="X507">
        <v>4380.0749999999998</v>
      </c>
      <c r="Y507">
        <v>91981.574999999997</v>
      </c>
      <c r="Z507">
        <v>2759.4472499999997</v>
      </c>
      <c r="AA507">
        <v>94741.022249999995</v>
      </c>
      <c r="AB507">
        <v>947.41022250000003</v>
      </c>
      <c r="AC507">
        <v>95688.432472500004</v>
      </c>
      <c r="AE507">
        <v>95688.432472500004</v>
      </c>
      <c r="AF507">
        <v>4784.4216236249995</v>
      </c>
      <c r="AG507">
        <v>100472.854096125</v>
      </c>
      <c r="AI507">
        <v>100472.854096125</v>
      </c>
      <c r="AJ507">
        <v>1004.72854096125</v>
      </c>
      <c r="AK507">
        <v>101477.58263708623</v>
      </c>
      <c r="AL507">
        <v>5073.8791318543126</v>
      </c>
      <c r="AM507">
        <v>106551.46176894056</v>
      </c>
      <c r="AO507">
        <v>106551.46176894056</v>
      </c>
      <c r="AP507">
        <v>3196.5438530682168</v>
      </c>
      <c r="AQ507">
        <v>109748.00562200876</v>
      </c>
      <c r="AS507">
        <v>109748.00562200876</v>
      </c>
      <c r="AU507">
        <v>109748.00562200876</v>
      </c>
      <c r="AW507">
        <v>109748.00562200876</v>
      </c>
      <c r="AY507">
        <v>109748.00562200876</v>
      </c>
      <c r="AZ507">
        <v>1097.4800562200878</v>
      </c>
      <c r="BA507">
        <v>110845.48567822886</v>
      </c>
      <c r="BB507">
        <v>554.22742839114426</v>
      </c>
      <c r="BC507">
        <v>111399.71310661999</v>
      </c>
      <c r="BE507">
        <v>111399.71310661999</v>
      </c>
      <c r="BG507">
        <v>111399.71310661999</v>
      </c>
      <c r="BI507">
        <v>111399.71310661999</v>
      </c>
      <c r="BK507">
        <v>111399.71310661999</v>
      </c>
      <c r="BM507">
        <v>111399.71310661999</v>
      </c>
      <c r="BO507">
        <v>111399.71310661999</v>
      </c>
      <c r="BQ507">
        <v>111399.71310661999</v>
      </c>
      <c r="BS507">
        <v>111399.71310661999</v>
      </c>
      <c r="BT507" s="238">
        <v>111399.71</v>
      </c>
      <c r="BU507" s="238">
        <v>4266700</v>
      </c>
      <c r="BX507" s="238">
        <v>0</v>
      </c>
      <c r="BY507" s="238">
        <v>111402.08877284596</v>
      </c>
      <c r="BZ507" s="238">
        <v>4266700</v>
      </c>
      <c r="CA507" s="238" t="s">
        <v>36</v>
      </c>
      <c r="CC507">
        <v>111402.08877284596</v>
      </c>
      <c r="CD507" s="238">
        <v>0</v>
      </c>
      <c r="CE507" s="238">
        <v>4266700</v>
      </c>
      <c r="CH507" s="238" t="s">
        <v>39</v>
      </c>
      <c r="CI507" s="238" t="s">
        <v>39</v>
      </c>
      <c r="CJ507" t="s">
        <v>8950</v>
      </c>
      <c r="CK507" t="s">
        <v>1167</v>
      </c>
      <c r="CL507" t="s">
        <v>8961</v>
      </c>
      <c r="CM507" t="s">
        <v>8973</v>
      </c>
      <c r="CN507" s="238" t="b">
        <v>1</v>
      </c>
      <c r="CO507" t="s">
        <v>5795</v>
      </c>
      <c r="CQ507" t="s">
        <v>6652</v>
      </c>
      <c r="CR507" t="s">
        <v>3246</v>
      </c>
      <c r="CS507" t="s">
        <v>36</v>
      </c>
      <c r="CT507" t="b">
        <v>1</v>
      </c>
      <c r="CU507">
        <v>4266700</v>
      </c>
      <c r="CV507" t="s">
        <v>9002</v>
      </c>
      <c r="CW507">
        <v>0</v>
      </c>
      <c r="CX507">
        <v>4266700</v>
      </c>
      <c r="CY507">
        <v>0</v>
      </c>
      <c r="CZ507" t="b">
        <v>1</v>
      </c>
      <c r="DA507">
        <v>45468</v>
      </c>
      <c r="DB507" t="s">
        <v>126</v>
      </c>
      <c r="DC507">
        <v>-1.0443864229764954E-2</v>
      </c>
      <c r="DD507">
        <v>-1163.4682900558259</v>
      </c>
      <c r="DE507" s="420" cm="1">
        <f t="array" ref="DE507">_xlfn.XLOOKUP("Дом 5"&amp;Реестр_Д5[[#This Row],[№]]&amp;Реестр_Д5[[#This Row],[Статус]],РД[Дом]&amp;РД[№ кв]&amp;РД[Состояние],РД[Дата подачи на регистрацию],"-",0)</f>
        <v>45468</v>
      </c>
    </row>
    <row r="508" spans="1:109" hidden="1" x14ac:dyDescent="0.25">
      <c r="A508" s="238">
        <v>507</v>
      </c>
      <c r="B508" s="238" t="s">
        <v>15</v>
      </c>
      <c r="C508" s="238">
        <v>15</v>
      </c>
      <c r="D508" s="238">
        <v>7</v>
      </c>
      <c r="E508" s="238">
        <v>3</v>
      </c>
      <c r="F508" s="238">
        <v>14.49</v>
      </c>
      <c r="G508" s="238">
        <v>13.98</v>
      </c>
      <c r="H508" s="238">
        <v>11.42</v>
      </c>
      <c r="I508">
        <v>39.89</v>
      </c>
      <c r="J508" s="238">
        <v>16.670000000000002</v>
      </c>
      <c r="K508" s="238">
        <v>4.1399999999999997</v>
      </c>
      <c r="L508" s="238">
        <v>1.89</v>
      </c>
      <c r="M508" s="238"/>
      <c r="N508" s="238">
        <v>11.31</v>
      </c>
      <c r="O508" s="238">
        <v>2.86</v>
      </c>
      <c r="P508" s="238">
        <v>2.79</v>
      </c>
      <c r="Q508">
        <v>5.42</v>
      </c>
      <c r="R508" s="238">
        <v>11.07</v>
      </c>
      <c r="S508">
        <v>84.97</v>
      </c>
      <c r="T508">
        <v>73.900000000000006</v>
      </c>
      <c r="U508" s="238">
        <v>79.44</v>
      </c>
      <c r="V508">
        <v>78.749999999999986</v>
      </c>
      <c r="W508" s="238">
        <v>77803.110000000015</v>
      </c>
      <c r="X508">
        <v>3890.1555000000008</v>
      </c>
      <c r="Y508">
        <v>81693.265500000023</v>
      </c>
      <c r="Z508">
        <v>2450.7979650000002</v>
      </c>
      <c r="AA508">
        <v>84144.063465000014</v>
      </c>
      <c r="AC508">
        <v>84144.063465000014</v>
      </c>
      <c r="AE508">
        <v>84144.063465000014</v>
      </c>
      <c r="AG508">
        <v>84144.063465000014</v>
      </c>
      <c r="AI508">
        <v>84144.063465000014</v>
      </c>
      <c r="AJ508">
        <v>841.44063465000011</v>
      </c>
      <c r="AK508">
        <v>84985.504099650017</v>
      </c>
      <c r="AL508">
        <v>4249.2752049825012</v>
      </c>
      <c r="AM508">
        <v>89234.779304632524</v>
      </c>
      <c r="AO508">
        <v>89234.779304632524</v>
      </c>
      <c r="AP508">
        <v>1784.6955860926505</v>
      </c>
      <c r="AQ508">
        <v>91019.474890725178</v>
      </c>
      <c r="AS508">
        <v>91019.474890725178</v>
      </c>
      <c r="AT508">
        <v>1820.3894978145036</v>
      </c>
      <c r="AU508">
        <v>92839.864388539703</v>
      </c>
      <c r="AV508">
        <v>1000</v>
      </c>
      <c r="AW508">
        <v>93839.864388539703</v>
      </c>
      <c r="AY508">
        <v>93839.864388539703</v>
      </c>
      <c r="AZ508">
        <v>1876.7972877707939</v>
      </c>
      <c r="BA508">
        <v>95716.661676310483</v>
      </c>
      <c r="BC508">
        <v>95716.661676310483</v>
      </c>
      <c r="BD508">
        <v>1914.3332335262096</v>
      </c>
      <c r="BE508">
        <v>97630.994909836692</v>
      </c>
      <c r="BF508">
        <v>2440.7748727459175</v>
      </c>
      <c r="BG508">
        <v>100071.7697825826</v>
      </c>
      <c r="BI508">
        <v>100071.7697825826</v>
      </c>
      <c r="BK508">
        <v>100071.7697825826</v>
      </c>
      <c r="BM508">
        <v>100071.7697825826</v>
      </c>
      <c r="BO508">
        <v>100071.7697825826</v>
      </c>
      <c r="BQ508">
        <v>100071.7697825826</v>
      </c>
      <c r="BS508">
        <v>100071.7697825826</v>
      </c>
      <c r="BT508" s="238">
        <v>100071.77</v>
      </c>
      <c r="BU508" s="238">
        <v>7949800</v>
      </c>
      <c r="BX508" s="238">
        <v>0</v>
      </c>
      <c r="BY508" s="238">
        <v>100073.0110775428</v>
      </c>
      <c r="BZ508" s="238">
        <v>7949800</v>
      </c>
      <c r="CA508" s="238" t="s">
        <v>38</v>
      </c>
      <c r="CB508">
        <v>20000</v>
      </c>
      <c r="CC508">
        <v>120073.0110775428</v>
      </c>
      <c r="CD508" s="238">
        <v>1588800</v>
      </c>
      <c r="CE508" s="238">
        <v>9538600</v>
      </c>
      <c r="CF508" t="s">
        <v>4636</v>
      </c>
      <c r="CH508" s="238" t="s">
        <v>39</v>
      </c>
      <c r="CI508" s="238" t="s">
        <v>39</v>
      </c>
      <c r="CJ508" t="s">
        <v>8950</v>
      </c>
      <c r="CK508" t="s">
        <v>1167</v>
      </c>
      <c r="CL508" t="s">
        <v>8961</v>
      </c>
      <c r="CM508" t="s">
        <v>8990</v>
      </c>
      <c r="CN508" s="238" t="b">
        <v>1</v>
      </c>
      <c r="CO508" t="s">
        <v>5796</v>
      </c>
      <c r="CQ508" t="s">
        <v>6652</v>
      </c>
      <c r="CR508" t="s">
        <v>3246</v>
      </c>
      <c r="CS508" t="s">
        <v>38</v>
      </c>
      <c r="CT508" t="b">
        <v>1</v>
      </c>
      <c r="CU508">
        <v>7949800</v>
      </c>
      <c r="CV508" t="s">
        <v>9002</v>
      </c>
      <c r="CW508">
        <v>0</v>
      </c>
      <c r="CX508">
        <v>7949800</v>
      </c>
      <c r="CY508">
        <v>0</v>
      </c>
      <c r="CZ508" t="b">
        <v>1</v>
      </c>
      <c r="DA508">
        <v>45534</v>
      </c>
      <c r="DB508" t="s">
        <v>4177</v>
      </c>
      <c r="DC508">
        <v>-8.6858006042297431E-3</v>
      </c>
      <c r="DD508">
        <v>-869.21422008441107</v>
      </c>
      <c r="DE508" s="420" cm="1">
        <f t="array" ref="DE508">_xlfn.XLOOKUP("Дом 5"&amp;Реестр_Д5[[#This Row],[№]]&amp;Реестр_Д5[[#This Row],[Статус]],РД[Дом]&amp;РД[№ кв]&amp;РД[Состояние],РД[Дата подачи на регистрацию],"-",0)</f>
        <v>45534</v>
      </c>
    </row>
    <row r="509" spans="1:109" hidden="1" x14ac:dyDescent="0.25">
      <c r="A509" s="238">
        <v>508</v>
      </c>
      <c r="B509" s="238" t="s">
        <v>15</v>
      </c>
      <c r="C509" s="238">
        <v>15</v>
      </c>
      <c r="D509" s="238">
        <v>8</v>
      </c>
      <c r="E509" s="238">
        <v>1</v>
      </c>
      <c r="F509" s="238">
        <v>16.79</v>
      </c>
      <c r="G509" s="238"/>
      <c r="H509" s="238"/>
      <c r="I509">
        <v>16.79</v>
      </c>
      <c r="J509" s="238">
        <v>11.43</v>
      </c>
      <c r="K509" s="238">
        <v>3.56</v>
      </c>
      <c r="L509" s="238"/>
      <c r="M509" s="238"/>
      <c r="N509" s="238">
        <v>6.66</v>
      </c>
      <c r="O509" s="238">
        <v>2.4900000000000002</v>
      </c>
      <c r="P509" s="238"/>
      <c r="R509" s="238">
        <v>2.4900000000000002</v>
      </c>
      <c r="S509">
        <v>40.93</v>
      </c>
      <c r="T509">
        <v>38.44</v>
      </c>
      <c r="U509" s="238">
        <v>39.69</v>
      </c>
      <c r="V509">
        <v>39.35</v>
      </c>
      <c r="W509" s="238">
        <v>86384.8125</v>
      </c>
      <c r="X509">
        <v>4319.2406250000004</v>
      </c>
      <c r="Y509">
        <v>90704.053125000006</v>
      </c>
      <c r="Z509">
        <v>2721.1215937500001</v>
      </c>
      <c r="AA509">
        <v>93425.17471875</v>
      </c>
      <c r="AC509">
        <v>93425.17471875</v>
      </c>
      <c r="AE509">
        <v>93425.17471875</v>
      </c>
      <c r="AG509">
        <v>93425.17471875</v>
      </c>
      <c r="AI509">
        <v>93425.17471875</v>
      </c>
      <c r="AK509">
        <v>93425.17471875</v>
      </c>
      <c r="AM509">
        <v>93425.17471875</v>
      </c>
      <c r="AO509">
        <v>93425.17471875</v>
      </c>
      <c r="AQ509">
        <v>93425.17471875</v>
      </c>
      <c r="AS509">
        <v>93425.17471875</v>
      </c>
      <c r="AU509">
        <v>93425.17471875</v>
      </c>
      <c r="AW509">
        <v>93425.17471875</v>
      </c>
      <c r="AY509">
        <v>93425.17471875</v>
      </c>
      <c r="BA509">
        <v>93425.17471875</v>
      </c>
      <c r="BC509">
        <v>93425.17471875</v>
      </c>
      <c r="BE509">
        <v>93425.17471875</v>
      </c>
      <c r="BG509">
        <v>93425.17471875</v>
      </c>
      <c r="BI509">
        <v>93425.17471875</v>
      </c>
      <c r="BK509">
        <v>93425.17471875</v>
      </c>
      <c r="BM509">
        <v>93425.17471875</v>
      </c>
      <c r="BO509">
        <v>93425.17471875</v>
      </c>
      <c r="BQ509">
        <v>93425.17471875</v>
      </c>
      <c r="BS509">
        <v>93425.17471875</v>
      </c>
      <c r="BT509" s="238">
        <v>93425.17</v>
      </c>
      <c r="BU509" s="238">
        <v>3708045</v>
      </c>
      <c r="BX509" s="238">
        <v>0</v>
      </c>
      <c r="BY509" s="238">
        <v>93425.170068027219</v>
      </c>
      <c r="BZ509" s="238">
        <v>3708045</v>
      </c>
      <c r="CA509" s="238" t="s">
        <v>38</v>
      </c>
      <c r="CB509">
        <v>16000</v>
      </c>
      <c r="CC509">
        <v>109425.17006802722</v>
      </c>
      <c r="CD509" s="238">
        <v>635040</v>
      </c>
      <c r="CE509" s="238">
        <v>4343085</v>
      </c>
      <c r="CH509" s="238" t="s">
        <v>39</v>
      </c>
      <c r="CI509" s="238" t="s">
        <v>39</v>
      </c>
      <c r="CJ509" t="s">
        <v>8950</v>
      </c>
      <c r="CK509" t="s">
        <v>1167</v>
      </c>
      <c r="CL509" t="s">
        <v>8961</v>
      </c>
      <c r="CM509" t="s">
        <v>8973</v>
      </c>
      <c r="CN509" s="238" t="b">
        <v>1</v>
      </c>
      <c r="CO509" t="s">
        <v>5797</v>
      </c>
      <c r="CQ509" t="s">
        <v>4895</v>
      </c>
      <c r="CR509" t="s">
        <v>3246</v>
      </c>
      <c r="CS509" t="s">
        <v>38</v>
      </c>
      <c r="CT509" t="b">
        <v>1</v>
      </c>
      <c r="CU509">
        <v>3708045</v>
      </c>
      <c r="CV509" t="s">
        <v>9002</v>
      </c>
      <c r="CW509">
        <v>3708045</v>
      </c>
      <c r="CX509">
        <v>3708045</v>
      </c>
      <c r="CY509">
        <v>0</v>
      </c>
      <c r="CZ509" t="b">
        <v>1</v>
      </c>
      <c r="DA509">
        <v>45188</v>
      </c>
      <c r="DB509" t="s">
        <v>3901</v>
      </c>
      <c r="DC509">
        <v>-8.5663895187704231E-3</v>
      </c>
      <c r="DD509">
        <v>-800.31639766009266</v>
      </c>
      <c r="DE509" s="420" cm="1">
        <f t="array" ref="DE509">_xlfn.XLOOKUP("Дом 5"&amp;Реестр_Д5[[#This Row],[№]]&amp;Реестр_Д5[[#This Row],[Статус]],РД[Дом]&amp;РД[№ кв]&amp;РД[Состояние],РД[Дата подачи на регистрацию],"-",0)</f>
        <v>45188</v>
      </c>
    </row>
    <row r="510" spans="1:109" hidden="1" x14ac:dyDescent="0.25">
      <c r="A510" s="238">
        <v>509</v>
      </c>
      <c r="B510" s="238" t="s">
        <v>15</v>
      </c>
      <c r="C510" s="238">
        <v>16</v>
      </c>
      <c r="D510" s="238">
        <v>1</v>
      </c>
      <c r="E510" s="238">
        <v>0</v>
      </c>
      <c r="F510" s="238">
        <v>13.74</v>
      </c>
      <c r="G510" s="238"/>
      <c r="H510" s="238"/>
      <c r="I510">
        <v>13.74</v>
      </c>
      <c r="J510" s="238">
        <v>5.84</v>
      </c>
      <c r="K510" s="238">
        <v>3.76</v>
      </c>
      <c r="L510" s="238"/>
      <c r="M510" s="238"/>
      <c r="N510" s="238">
        <v>3.73</v>
      </c>
      <c r="O510" s="238">
        <v>4.6500000000000004</v>
      </c>
      <c r="P510" s="238"/>
      <c r="R510" s="238">
        <v>4.6500000000000004</v>
      </c>
      <c r="S510">
        <v>31.72</v>
      </c>
      <c r="T510">
        <v>27.07</v>
      </c>
      <c r="U510" s="238">
        <v>29.4</v>
      </c>
      <c r="V510">
        <v>29.3</v>
      </c>
      <c r="W510" s="238">
        <v>89353.53</v>
      </c>
      <c r="X510">
        <v>4467.6765000000005</v>
      </c>
      <c r="Y510">
        <v>93821.2065</v>
      </c>
      <c r="Z510">
        <v>2814.636195</v>
      </c>
      <c r="AA510">
        <v>96635.842694999999</v>
      </c>
      <c r="AB510">
        <v>8697.2258425500004</v>
      </c>
      <c r="AC510">
        <v>105333.06853755</v>
      </c>
      <c r="AE510">
        <v>105333.06853755</v>
      </c>
      <c r="AG510">
        <v>105333.06853755</v>
      </c>
      <c r="AI510">
        <v>105333.06853755</v>
      </c>
      <c r="AJ510">
        <v>1053.3306853755</v>
      </c>
      <c r="AK510">
        <v>106386.39922292552</v>
      </c>
      <c r="AL510">
        <v>5319.319961146276</v>
      </c>
      <c r="AM510">
        <v>111705.7191840718</v>
      </c>
      <c r="AO510">
        <v>111705.7191840718</v>
      </c>
      <c r="AP510">
        <v>3351.1715755221535</v>
      </c>
      <c r="AQ510">
        <v>115056.89075959394</v>
      </c>
      <c r="AS510">
        <v>115056.89075959394</v>
      </c>
      <c r="AU510">
        <v>115056.89075959394</v>
      </c>
      <c r="AW510">
        <v>115056.89075959394</v>
      </c>
      <c r="AY510">
        <v>115056.89075959394</v>
      </c>
      <c r="BA510">
        <v>115056.89075959394</v>
      </c>
      <c r="BC510">
        <v>115056.89075959394</v>
      </c>
      <c r="BE510">
        <v>115056.89075959394</v>
      </c>
      <c r="BG510">
        <v>115056.89075959394</v>
      </c>
      <c r="BI510">
        <v>115056.89075959394</v>
      </c>
      <c r="BK510">
        <v>115056.89075959394</v>
      </c>
      <c r="BM510">
        <v>115056.89075959394</v>
      </c>
      <c r="BO510">
        <v>115056.89075959394</v>
      </c>
      <c r="BQ510">
        <v>115056.89075959394</v>
      </c>
      <c r="BS510">
        <v>115056.89075959394</v>
      </c>
      <c r="BT510" s="238">
        <v>115056.89</v>
      </c>
      <c r="BU510" s="238">
        <v>3382700</v>
      </c>
      <c r="BX510" s="238">
        <v>0</v>
      </c>
      <c r="BY510" s="238">
        <v>115057.8231292517</v>
      </c>
      <c r="BZ510" s="238">
        <v>3382700</v>
      </c>
      <c r="CA510" s="238" t="s">
        <v>38</v>
      </c>
      <c r="CB510">
        <v>20000</v>
      </c>
      <c r="CC510">
        <v>135057.82312925172</v>
      </c>
      <c r="CD510" s="238">
        <v>588000.00000000047</v>
      </c>
      <c r="CE510" s="238">
        <v>3970700.0000000009</v>
      </c>
      <c r="CH510" s="238" t="s">
        <v>39</v>
      </c>
      <c r="CI510" s="238" t="s">
        <v>39</v>
      </c>
      <c r="CJ510" t="s">
        <v>8950</v>
      </c>
      <c r="CK510" t="s">
        <v>1167</v>
      </c>
      <c r="CL510" t="s">
        <v>8961</v>
      </c>
      <c r="CM510" t="s">
        <v>8970</v>
      </c>
      <c r="CN510" s="238" t="b">
        <v>1</v>
      </c>
      <c r="CO510" t="s">
        <v>5798</v>
      </c>
      <c r="CQ510" t="s">
        <v>6652</v>
      </c>
      <c r="CR510" t="s">
        <v>3246</v>
      </c>
      <c r="CS510" t="s">
        <v>38</v>
      </c>
      <c r="CT510" t="b">
        <v>1</v>
      </c>
      <c r="CU510">
        <v>3382700</v>
      </c>
      <c r="CV510" t="s">
        <v>9002</v>
      </c>
      <c r="CW510">
        <v>0</v>
      </c>
      <c r="CX510">
        <v>3382700</v>
      </c>
      <c r="CY510">
        <v>0</v>
      </c>
      <c r="CZ510" t="b">
        <v>1</v>
      </c>
      <c r="DA510">
        <v>45427</v>
      </c>
      <c r="DB510" t="s">
        <v>126</v>
      </c>
      <c r="DC510">
        <v>-3.4013605442175798E-3</v>
      </c>
      <c r="DD510">
        <v>-391.35313989540163</v>
      </c>
      <c r="DE510" s="420" cm="1">
        <f t="array" ref="DE510">_xlfn.XLOOKUP("Дом 5"&amp;Реестр_Д5[[#This Row],[№]]&amp;Реестр_Д5[[#This Row],[Статус]],РД[Дом]&amp;РД[№ кв]&amp;РД[Состояние],РД[Дата подачи на регистрацию],"-",0)</f>
        <v>45427</v>
      </c>
    </row>
    <row r="511" spans="1:109" x14ac:dyDescent="0.25">
      <c r="A511" s="238">
        <v>510</v>
      </c>
      <c r="B511" s="238" t="s">
        <v>15</v>
      </c>
      <c r="C511" s="238">
        <v>16</v>
      </c>
      <c r="D511" s="238">
        <v>2</v>
      </c>
      <c r="E511" s="238">
        <v>1</v>
      </c>
      <c r="F511" s="238">
        <v>13.17</v>
      </c>
      <c r="G511" s="238"/>
      <c r="H511" s="238"/>
      <c r="I511">
        <v>13.17</v>
      </c>
      <c r="J511" s="238">
        <v>16.940000000000001</v>
      </c>
      <c r="K511" s="238">
        <v>3.55</v>
      </c>
      <c r="L511" s="238">
        <v>2.41</v>
      </c>
      <c r="M511" s="238"/>
      <c r="N511" s="238">
        <v>5.8</v>
      </c>
      <c r="O511" s="238">
        <v>2.68</v>
      </c>
      <c r="P511" s="238"/>
      <c r="R511" s="238">
        <v>2.68</v>
      </c>
      <c r="S511">
        <v>44.55</v>
      </c>
      <c r="T511">
        <v>41.87</v>
      </c>
      <c r="U511" s="238">
        <v>43.21</v>
      </c>
      <c r="V511">
        <v>42.25</v>
      </c>
      <c r="W511" s="238">
        <v>85168.125</v>
      </c>
      <c r="X511">
        <v>4258.40625</v>
      </c>
      <c r="Y511">
        <v>89426.53125</v>
      </c>
      <c r="Z511">
        <v>2682.7959375</v>
      </c>
      <c r="AA511">
        <v>92109.327187500006</v>
      </c>
      <c r="AB511">
        <v>921.09327187500003</v>
      </c>
      <c r="AC511">
        <v>93030.420459375004</v>
      </c>
      <c r="AE511">
        <v>93030.420459375004</v>
      </c>
      <c r="AF511">
        <v>4651.52102296875</v>
      </c>
      <c r="AG511">
        <v>97681.941482343755</v>
      </c>
      <c r="AI511">
        <v>97681.941482343755</v>
      </c>
      <c r="AJ511">
        <v>976.81941482343757</v>
      </c>
      <c r="AK511">
        <v>98658.760897167187</v>
      </c>
      <c r="AL511">
        <v>4932.9380448583597</v>
      </c>
      <c r="AM511">
        <v>103591.69894202554</v>
      </c>
      <c r="AO511">
        <v>103591.69894202554</v>
      </c>
      <c r="AP511">
        <v>3107.7509682607661</v>
      </c>
      <c r="AQ511">
        <v>106699.4499102863</v>
      </c>
      <c r="AR511">
        <v>500</v>
      </c>
      <c r="AS511">
        <v>107199.4499102863</v>
      </c>
      <c r="AU511">
        <v>107199.4499102863</v>
      </c>
      <c r="AW511">
        <v>107199.4499102863</v>
      </c>
      <c r="AY511">
        <v>107199.4499102863</v>
      </c>
      <c r="AZ511">
        <v>1071.9944991028633</v>
      </c>
      <c r="BA511">
        <v>108271.44440938917</v>
      </c>
      <c r="BC511">
        <v>108271.44440938917</v>
      </c>
      <c r="BE511">
        <v>108271.44440938917</v>
      </c>
      <c r="BF511">
        <v>2706.7861102347292</v>
      </c>
      <c r="BG511">
        <v>110978.23051962387</v>
      </c>
      <c r="BI511">
        <v>110978.23051962387</v>
      </c>
      <c r="BK511">
        <v>110978.23051962387</v>
      </c>
      <c r="BL511">
        <v>8878.2584415699112</v>
      </c>
      <c r="BM511">
        <v>119856.4889611938</v>
      </c>
      <c r="BN511">
        <v>15581.343564955194</v>
      </c>
      <c r="BO511">
        <v>135437.832526149</v>
      </c>
      <c r="BP511">
        <v>35</v>
      </c>
      <c r="BQ511">
        <v>135472.832526149</v>
      </c>
      <c r="BS511">
        <v>135472.832526149</v>
      </c>
      <c r="BT511" s="238">
        <v>135472.82999999999</v>
      </c>
      <c r="BU511" s="238">
        <v>5723800</v>
      </c>
      <c r="BX511" s="238">
        <v>0</v>
      </c>
      <c r="BY511" s="238">
        <v>135474.55621301776</v>
      </c>
      <c r="BZ511" s="238">
        <v>5723800</v>
      </c>
      <c r="CA511" s="238" t="s">
        <v>36</v>
      </c>
      <c r="CC511">
        <v>135474.55621301776</v>
      </c>
      <c r="CD511" s="238">
        <v>0</v>
      </c>
      <c r="CE511" s="238">
        <v>5723800</v>
      </c>
      <c r="CH511" s="238" t="s">
        <v>3</v>
      </c>
      <c r="CI511" s="238" t="s">
        <v>3</v>
      </c>
      <c r="CJ511" t="s">
        <v>8951</v>
      </c>
      <c r="CK511" t="s">
        <v>1167</v>
      </c>
      <c r="CL511" t="s">
        <v>8961</v>
      </c>
      <c r="CM511" t="s">
        <v>8972</v>
      </c>
      <c r="CN511" s="238" t="b">
        <v>1</v>
      </c>
      <c r="CO511" t="s">
        <v>5799</v>
      </c>
      <c r="CQ511" t="s">
        <v>6652</v>
      </c>
      <c r="CR511" t="s">
        <v>3124</v>
      </c>
      <c r="CS511" t="s">
        <v>6871</v>
      </c>
      <c r="CT511" t="b">
        <v>0</v>
      </c>
      <c r="CU511">
        <v>5723800</v>
      </c>
      <c r="CV511">
        <v>5723800</v>
      </c>
      <c r="CW511">
        <v>0</v>
      </c>
      <c r="CX511">
        <v>0</v>
      </c>
      <c r="CY511">
        <v>0</v>
      </c>
      <c r="CZ511" t="b">
        <v>1</v>
      </c>
      <c r="DA511" t="s">
        <v>4246</v>
      </c>
      <c r="DB511" t="s">
        <v>1167</v>
      </c>
      <c r="DC511">
        <v>-2.2217079379773241E-2</v>
      </c>
      <c r="DD511">
        <v>-3009.8489693241677</v>
      </c>
      <c r="DE511" s="420" t="str" cm="1">
        <f t="array" ref="DE51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12" spans="1:109" hidden="1" x14ac:dyDescent="0.25">
      <c r="A512" s="238">
        <v>511</v>
      </c>
      <c r="B512" s="238" t="s">
        <v>15</v>
      </c>
      <c r="C512" s="238">
        <v>16</v>
      </c>
      <c r="D512" s="238">
        <v>3</v>
      </c>
      <c r="E512" s="238">
        <v>0</v>
      </c>
      <c r="F512" s="238">
        <v>7.2</v>
      </c>
      <c r="G512" s="238"/>
      <c r="H512" s="238"/>
      <c r="I512">
        <v>7.2</v>
      </c>
      <c r="J512" s="238">
        <v>5.17</v>
      </c>
      <c r="K512" s="238">
        <v>3.71</v>
      </c>
      <c r="L512" s="238"/>
      <c r="M512" s="238"/>
      <c r="N512" s="238">
        <v>6.96</v>
      </c>
      <c r="O512" s="238">
        <v>2.92</v>
      </c>
      <c r="P512" s="238"/>
      <c r="R512" s="238">
        <v>2.92</v>
      </c>
      <c r="S512">
        <v>25.96</v>
      </c>
      <c r="T512">
        <v>23.04</v>
      </c>
      <c r="U512" s="238">
        <v>24.5</v>
      </c>
      <c r="V512">
        <v>24.249999999999996</v>
      </c>
      <c r="W512" s="238">
        <v>91105.56</v>
      </c>
      <c r="X512">
        <v>4555.2780000000002</v>
      </c>
      <c r="Y512">
        <v>95660.838000000003</v>
      </c>
      <c r="Z512">
        <v>2869.8251399999999</v>
      </c>
      <c r="AA512">
        <v>98530.663140000004</v>
      </c>
      <c r="AB512">
        <v>8867.7596826000008</v>
      </c>
      <c r="AC512">
        <v>107398.4228226</v>
      </c>
      <c r="AE512">
        <v>107398.4228226</v>
      </c>
      <c r="AG512">
        <v>107398.4228226</v>
      </c>
      <c r="AI512">
        <v>107398.4228226</v>
      </c>
      <c r="AK512">
        <v>107398.4228226</v>
      </c>
      <c r="AM512">
        <v>107398.4228226</v>
      </c>
      <c r="AO512">
        <v>107398.4228226</v>
      </c>
      <c r="AQ512">
        <v>107398.4228226</v>
      </c>
      <c r="AS512">
        <v>107398.4228226</v>
      </c>
      <c r="AU512">
        <v>107398.4228226</v>
      </c>
      <c r="AW512">
        <v>107398.4228226</v>
      </c>
      <c r="AY512">
        <v>107398.4228226</v>
      </c>
      <c r="BA512">
        <v>107398.4228226</v>
      </c>
      <c r="BC512">
        <v>107398.4228226</v>
      </c>
      <c r="BE512">
        <v>107398.4228226</v>
      </c>
      <c r="BG512">
        <v>107398.4228226</v>
      </c>
      <c r="BI512">
        <v>107398.4228226</v>
      </c>
      <c r="BK512">
        <v>107398.4228226</v>
      </c>
      <c r="BM512">
        <v>107398.4228226</v>
      </c>
      <c r="BO512">
        <v>107398.4228226</v>
      </c>
      <c r="BQ512">
        <v>107398.4228226</v>
      </c>
      <c r="BS512">
        <v>107398.4228226</v>
      </c>
      <c r="BT512" s="238">
        <v>107398.42</v>
      </c>
      <c r="BU512" s="238">
        <v>2631300</v>
      </c>
      <c r="BX512" s="238">
        <v>0</v>
      </c>
      <c r="BY512" s="238">
        <v>107400</v>
      </c>
      <c r="BZ512" s="238">
        <v>2631300</v>
      </c>
      <c r="CA512" s="238" t="s">
        <v>37</v>
      </c>
      <c r="CB512">
        <v>7500</v>
      </c>
      <c r="CC512">
        <v>114900</v>
      </c>
      <c r="CD512" s="238">
        <v>183750</v>
      </c>
      <c r="CE512" s="238">
        <v>2815050</v>
      </c>
      <c r="CH512" s="238" t="s">
        <v>39</v>
      </c>
      <c r="CI512" s="238" t="s">
        <v>39</v>
      </c>
      <c r="CJ512" t="s">
        <v>8950</v>
      </c>
      <c r="CK512" t="s">
        <v>1167</v>
      </c>
      <c r="CL512" t="s">
        <v>8961</v>
      </c>
      <c r="CM512" t="s">
        <v>8970</v>
      </c>
      <c r="CN512" s="238" t="b">
        <v>1</v>
      </c>
      <c r="CO512" t="s">
        <v>5800</v>
      </c>
      <c r="CQ512" t="s">
        <v>6652</v>
      </c>
      <c r="CR512" t="s">
        <v>3246</v>
      </c>
      <c r="CS512" t="s">
        <v>37</v>
      </c>
      <c r="CT512" t="b">
        <v>1</v>
      </c>
      <c r="CU512">
        <v>2631300</v>
      </c>
      <c r="CV512" t="s">
        <v>9002</v>
      </c>
      <c r="CW512">
        <v>0</v>
      </c>
      <c r="CX512">
        <v>2631300</v>
      </c>
      <c r="CY512">
        <v>0</v>
      </c>
      <c r="CZ512" t="b">
        <v>1</v>
      </c>
      <c r="DA512">
        <v>45268</v>
      </c>
      <c r="DB512" t="s">
        <v>126</v>
      </c>
      <c r="DC512">
        <v>-1.0204081632653184E-2</v>
      </c>
      <c r="DD512">
        <v>-1095.918367346952</v>
      </c>
      <c r="DE512" s="420" cm="1">
        <f t="array" ref="DE512">_xlfn.XLOOKUP("Дом 5"&amp;Реестр_Д5[[#This Row],[№]]&amp;Реестр_Д5[[#This Row],[Статус]],РД[Дом]&amp;РД[№ кв]&amp;РД[Состояние],РД[Дата подачи на регистрацию],"-",0)</f>
        <v>45268</v>
      </c>
    </row>
    <row r="513" spans="1:109" hidden="1" x14ac:dyDescent="0.25">
      <c r="A513" s="238">
        <v>512</v>
      </c>
      <c r="B513" s="238" t="s">
        <v>15</v>
      </c>
      <c r="C513" s="238">
        <v>16</v>
      </c>
      <c r="D513" s="238">
        <v>4</v>
      </c>
      <c r="E513" s="238">
        <v>2</v>
      </c>
      <c r="F513" s="238">
        <v>14.48</v>
      </c>
      <c r="G513" s="238">
        <v>11.42</v>
      </c>
      <c r="H513" s="238"/>
      <c r="I513">
        <v>25.9</v>
      </c>
      <c r="J513" s="238">
        <v>15.86</v>
      </c>
      <c r="K513" s="238">
        <v>3.01</v>
      </c>
      <c r="L513" s="238">
        <v>2.67</v>
      </c>
      <c r="M513" s="238"/>
      <c r="N513" s="238">
        <v>9.44</v>
      </c>
      <c r="O513" s="238">
        <v>2.72</v>
      </c>
      <c r="P513" s="238"/>
      <c r="R513" s="238">
        <v>2.72</v>
      </c>
      <c r="S513">
        <v>59.6</v>
      </c>
      <c r="T513">
        <v>56.88</v>
      </c>
      <c r="U513" s="238">
        <v>58.24</v>
      </c>
      <c r="V513">
        <v>57.85</v>
      </c>
      <c r="W513" s="238">
        <v>79535.67300000001</v>
      </c>
      <c r="X513">
        <v>3976.7836500000008</v>
      </c>
      <c r="Y513">
        <v>83512.456649999993</v>
      </c>
      <c r="Z513">
        <v>2505.3736994999999</v>
      </c>
      <c r="AA513">
        <v>86017.8303495</v>
      </c>
      <c r="AC513">
        <v>86017.8303495</v>
      </c>
      <c r="AE513">
        <v>86017.8303495</v>
      </c>
      <c r="AG513">
        <v>86017.8303495</v>
      </c>
      <c r="AI513">
        <v>86017.8303495</v>
      </c>
      <c r="AJ513">
        <v>860.17830349500002</v>
      </c>
      <c r="AK513">
        <v>86878.008652995006</v>
      </c>
      <c r="AL513">
        <v>4343.9004326497507</v>
      </c>
      <c r="AM513">
        <v>91221.909085644758</v>
      </c>
      <c r="AO513">
        <v>91221.909085644758</v>
      </c>
      <c r="AP513">
        <v>1824.4381817128951</v>
      </c>
      <c r="AQ513">
        <v>93046.347267357647</v>
      </c>
      <c r="AS513">
        <v>93046.347267357647</v>
      </c>
      <c r="AT513">
        <v>1860.9269453471527</v>
      </c>
      <c r="AU513">
        <v>94907.274212704797</v>
      </c>
      <c r="AW513">
        <v>94907.274212704797</v>
      </c>
      <c r="AX513">
        <v>949.07274212704795</v>
      </c>
      <c r="AY513">
        <v>95856.346954831839</v>
      </c>
      <c r="BA513">
        <v>95856.346954831839</v>
      </c>
      <c r="BC513">
        <v>95856.346954831839</v>
      </c>
      <c r="BE513">
        <v>95856.346954831839</v>
      </c>
      <c r="BF513">
        <v>1437.8452043224777</v>
      </c>
      <c r="BG513">
        <v>97294.192159154321</v>
      </c>
      <c r="BI513">
        <v>97294.192159154321</v>
      </c>
      <c r="BK513">
        <v>97294.192159154321</v>
      </c>
      <c r="BM513">
        <v>97294.192159154321</v>
      </c>
      <c r="BO513">
        <v>97294.192159154321</v>
      </c>
      <c r="BQ513">
        <v>97294.192159154321</v>
      </c>
      <c r="BS513">
        <v>97294.192159154321</v>
      </c>
      <c r="BT513" s="238">
        <v>97294.19</v>
      </c>
      <c r="BU513" s="238">
        <v>5666500</v>
      </c>
      <c r="BW513">
        <v>0.03</v>
      </c>
      <c r="BX513" s="238">
        <v>169995</v>
      </c>
      <c r="BY513" s="238">
        <v>94376.802884615376</v>
      </c>
      <c r="BZ513" s="238">
        <v>5496505</v>
      </c>
      <c r="CA513" s="238" t="s">
        <v>36</v>
      </c>
      <c r="CC513">
        <v>94376.802884615376</v>
      </c>
      <c r="CD513" s="238">
        <v>0</v>
      </c>
      <c r="CE513" s="238">
        <v>5496505</v>
      </c>
      <c r="CG513" t="s">
        <v>978</v>
      </c>
      <c r="CH513" s="238" t="s">
        <v>39</v>
      </c>
      <c r="CI513" s="238" t="s">
        <v>39</v>
      </c>
      <c r="CJ513" t="s">
        <v>8950</v>
      </c>
      <c r="CK513" t="s">
        <v>1167</v>
      </c>
      <c r="CL513" t="s">
        <v>8961</v>
      </c>
      <c r="CM513" t="s">
        <v>8971</v>
      </c>
      <c r="CN513" s="238" t="b">
        <v>1</v>
      </c>
      <c r="CO513" t="s">
        <v>5801</v>
      </c>
      <c r="CQ513" t="s">
        <v>6652</v>
      </c>
      <c r="CR513" t="s">
        <v>3246</v>
      </c>
      <c r="CS513" t="s">
        <v>36</v>
      </c>
      <c r="CT513" t="b">
        <v>1</v>
      </c>
      <c r="CU513">
        <v>5666500</v>
      </c>
      <c r="CV513" t="s">
        <v>9002</v>
      </c>
      <c r="CW513">
        <v>0</v>
      </c>
      <c r="CX513">
        <v>5666500</v>
      </c>
      <c r="CY513">
        <v>0</v>
      </c>
      <c r="CZ513" t="b">
        <v>1</v>
      </c>
      <c r="DA513">
        <v>45555</v>
      </c>
      <c r="DB513" t="s">
        <v>126</v>
      </c>
      <c r="DC513">
        <v>-6.6964285714286031E-3</v>
      </c>
      <c r="DD513">
        <v>-631.98751931662378</v>
      </c>
      <c r="DE513" s="420" cm="1">
        <f t="array" ref="DE513">_xlfn.XLOOKUP("Дом 5"&amp;Реестр_Д5[[#This Row],[№]]&amp;Реестр_Д5[[#This Row],[Статус]],РД[Дом]&amp;РД[№ кв]&amp;РД[Состояние],РД[Дата подачи на регистрацию],"-",0)</f>
        <v>45555</v>
      </c>
    </row>
    <row r="514" spans="1:109" hidden="1" x14ac:dyDescent="0.25">
      <c r="A514" s="238">
        <v>513</v>
      </c>
      <c r="B514" s="238" t="s">
        <v>15</v>
      </c>
      <c r="C514" s="238">
        <v>16</v>
      </c>
      <c r="D514" s="238">
        <v>5</v>
      </c>
      <c r="E514" s="238">
        <v>2</v>
      </c>
      <c r="F514" s="238">
        <v>15.41</v>
      </c>
      <c r="G514" s="238">
        <v>12.78</v>
      </c>
      <c r="H514" s="238"/>
      <c r="I514">
        <v>28.19</v>
      </c>
      <c r="J514" s="238">
        <v>13.45</v>
      </c>
      <c r="K514" s="238">
        <v>3.7</v>
      </c>
      <c r="L514" s="238">
        <v>2.72</v>
      </c>
      <c r="M514" s="238"/>
      <c r="N514" s="238">
        <v>8.2200000000000006</v>
      </c>
      <c r="O514" s="238">
        <v>3.03</v>
      </c>
      <c r="P514" s="238"/>
      <c r="R514" s="238">
        <v>3.03</v>
      </c>
      <c r="S514">
        <v>59.31</v>
      </c>
      <c r="T514">
        <v>56.28</v>
      </c>
      <c r="U514" s="238">
        <v>57.8</v>
      </c>
      <c r="V514">
        <v>57.650000000000006</v>
      </c>
      <c r="W514" s="238">
        <v>79149.577499999999</v>
      </c>
      <c r="X514">
        <v>3957.4788749999998</v>
      </c>
      <c r="Y514">
        <v>83107.056375</v>
      </c>
      <c r="Z514">
        <v>2493.2116912500001</v>
      </c>
      <c r="AA514">
        <v>85600.268066250006</v>
      </c>
      <c r="AC514">
        <v>85600.268066250006</v>
      </c>
      <c r="AE514">
        <v>85600.268066250006</v>
      </c>
      <c r="AG514">
        <v>85600.268066250006</v>
      </c>
      <c r="AI514">
        <v>85600.268066250006</v>
      </c>
      <c r="AJ514">
        <v>856.0026806625001</v>
      </c>
      <c r="AK514">
        <v>86456.270746912502</v>
      </c>
      <c r="AL514">
        <v>4322.8135373456253</v>
      </c>
      <c r="AM514">
        <v>90779.084284258133</v>
      </c>
      <c r="AO514">
        <v>90779.084284258133</v>
      </c>
      <c r="AP514">
        <v>1815.5816856851627</v>
      </c>
      <c r="AQ514">
        <v>92594.665969943293</v>
      </c>
      <c r="AS514">
        <v>92594.665969943293</v>
      </c>
      <c r="AT514">
        <v>1851.893319398866</v>
      </c>
      <c r="AU514">
        <v>94446.559289342156</v>
      </c>
      <c r="AW514">
        <v>94446.559289342156</v>
      </c>
      <c r="AX514">
        <v>944.46559289342156</v>
      </c>
      <c r="AY514">
        <v>95391.024882235579</v>
      </c>
      <c r="BA514">
        <v>95391.024882235579</v>
      </c>
      <c r="BC514">
        <v>95391.024882235579</v>
      </c>
      <c r="BE514">
        <v>95391.024882235579</v>
      </c>
      <c r="BF514">
        <v>1430.8653732335335</v>
      </c>
      <c r="BG514">
        <v>96821.890255469116</v>
      </c>
      <c r="BH514">
        <v>500</v>
      </c>
      <c r="BI514">
        <v>97321.890255469116</v>
      </c>
      <c r="BJ514">
        <v>3892.8756102187649</v>
      </c>
      <c r="BK514">
        <v>101214.76586568788</v>
      </c>
      <c r="BL514">
        <v>6072.8859519412727</v>
      </c>
      <c r="BM514">
        <v>107287.65181762914</v>
      </c>
      <c r="BN514">
        <v>13947.39473629179</v>
      </c>
      <c r="BO514">
        <v>121235.04655392093</v>
      </c>
      <c r="BQ514">
        <v>121235.04655392093</v>
      </c>
      <c r="BS514">
        <v>121235.04655392093</v>
      </c>
      <c r="BT514" s="238">
        <v>121235.05</v>
      </c>
      <c r="BU514" s="238">
        <v>7007400</v>
      </c>
      <c r="BW514">
        <v>0.02</v>
      </c>
      <c r="BX514" s="238">
        <v>140148</v>
      </c>
      <c r="BY514" s="238">
        <v>118810.58823529413</v>
      </c>
      <c r="BZ514" s="238">
        <v>6867252</v>
      </c>
      <c r="CA514" s="238" t="s">
        <v>38</v>
      </c>
      <c r="CB514">
        <v>25000</v>
      </c>
      <c r="CC514">
        <v>143810.58823529413</v>
      </c>
      <c r="CD514" s="238">
        <v>1445000</v>
      </c>
      <c r="CE514" s="238">
        <v>8312252</v>
      </c>
      <c r="CG514" t="s">
        <v>3540</v>
      </c>
      <c r="CH514" s="238" t="s">
        <v>39</v>
      </c>
      <c r="CI514" s="238" t="s">
        <v>39</v>
      </c>
      <c r="CJ514" t="s">
        <v>8950</v>
      </c>
      <c r="CK514" t="s">
        <v>1167</v>
      </c>
      <c r="CL514" t="s">
        <v>8961</v>
      </c>
      <c r="CM514" t="s">
        <v>8974</v>
      </c>
      <c r="CN514" s="238" t="b">
        <v>1</v>
      </c>
      <c r="CO514" t="s">
        <v>5802</v>
      </c>
      <c r="CQ514" t="s">
        <v>6652</v>
      </c>
      <c r="CR514" t="s">
        <v>3246</v>
      </c>
      <c r="CS514" t="s">
        <v>38</v>
      </c>
      <c r="CT514" t="b">
        <v>1</v>
      </c>
      <c r="CU514">
        <v>7007400</v>
      </c>
      <c r="CV514" t="s">
        <v>9002</v>
      </c>
      <c r="CW514">
        <v>7007400</v>
      </c>
      <c r="CX514">
        <v>7007400</v>
      </c>
      <c r="CY514">
        <v>0</v>
      </c>
      <c r="CZ514" t="b">
        <v>1</v>
      </c>
      <c r="DA514">
        <v>45643</v>
      </c>
      <c r="DB514" t="s">
        <v>5215</v>
      </c>
      <c r="DC514">
        <v>-2.5951557093424338E-3</v>
      </c>
      <c r="DD514">
        <v>-308.33197638915652</v>
      </c>
      <c r="DE514" s="420" cm="1">
        <f t="array" ref="DE514">_xlfn.XLOOKUP("Дом 5"&amp;Реестр_Д5[[#This Row],[№]]&amp;Реестр_Д5[[#This Row],[Статус]],РД[Дом]&amp;РД[№ кв]&amp;РД[Состояние],РД[Дата подачи на регистрацию],"-",0)</f>
        <v>45643</v>
      </c>
    </row>
    <row r="515" spans="1:109" x14ac:dyDescent="0.25">
      <c r="A515" s="238">
        <v>514</v>
      </c>
      <c r="B515" s="238" t="s">
        <v>15</v>
      </c>
      <c r="C515" s="238">
        <v>16</v>
      </c>
      <c r="D515" s="238">
        <v>6</v>
      </c>
      <c r="E515" s="238">
        <v>1</v>
      </c>
      <c r="F515" s="238">
        <v>12.71</v>
      </c>
      <c r="G515" s="238"/>
      <c r="H515" s="238"/>
      <c r="I515">
        <v>12.71</v>
      </c>
      <c r="J515" s="238">
        <v>12.55</v>
      </c>
      <c r="K515" s="238">
        <v>4.28</v>
      </c>
      <c r="L515" s="238"/>
      <c r="M515" s="238"/>
      <c r="N515" s="238">
        <v>7.34</v>
      </c>
      <c r="O515" s="238">
        <v>2.84</v>
      </c>
      <c r="P515" s="238"/>
      <c r="R515" s="238">
        <v>2.84</v>
      </c>
      <c r="S515">
        <v>39.72</v>
      </c>
      <c r="T515">
        <v>36.880000000000003</v>
      </c>
      <c r="U515" s="238">
        <v>38.299999999999997</v>
      </c>
      <c r="V515">
        <v>37.85</v>
      </c>
      <c r="W515" s="238">
        <v>87601.5</v>
      </c>
      <c r="X515">
        <v>4380.0749999999998</v>
      </c>
      <c r="Y515">
        <v>91981.574999999997</v>
      </c>
      <c r="Z515">
        <v>2759.4472499999997</v>
      </c>
      <c r="AA515">
        <v>94741.022249999995</v>
      </c>
      <c r="AB515">
        <v>947.41022250000003</v>
      </c>
      <c r="AC515">
        <v>95688.432472500004</v>
      </c>
      <c r="AE515">
        <v>95688.432472500004</v>
      </c>
      <c r="AF515">
        <v>4784.4216236249995</v>
      </c>
      <c r="AG515">
        <v>100472.854096125</v>
      </c>
      <c r="AI515">
        <v>100472.854096125</v>
      </c>
      <c r="AJ515">
        <v>1004.72854096125</v>
      </c>
      <c r="AK515">
        <v>101477.58263708623</v>
      </c>
      <c r="AL515">
        <v>5073.8791318543126</v>
      </c>
      <c r="AM515">
        <v>106551.46176894056</v>
      </c>
      <c r="AO515">
        <v>106551.46176894056</v>
      </c>
      <c r="AP515">
        <v>3196.5438530682168</v>
      </c>
      <c r="AQ515">
        <v>109748.00562200876</v>
      </c>
      <c r="AS515">
        <v>109748.00562200876</v>
      </c>
      <c r="AU515">
        <v>109748.00562200876</v>
      </c>
      <c r="AW515">
        <v>109748.00562200876</v>
      </c>
      <c r="AY515">
        <v>109748.00562200876</v>
      </c>
      <c r="AZ515">
        <v>1097.4800562200878</v>
      </c>
      <c r="BA515">
        <v>110845.48567822886</v>
      </c>
      <c r="BB515">
        <v>554.22742839114426</v>
      </c>
      <c r="BC515">
        <v>111399.71310661999</v>
      </c>
      <c r="BE515">
        <v>111399.71310661999</v>
      </c>
      <c r="BF515">
        <v>2784.9928276655</v>
      </c>
      <c r="BG515">
        <v>114184.70593428548</v>
      </c>
      <c r="BI515">
        <v>114184.70593428548</v>
      </c>
      <c r="BJ515">
        <v>2283.6941186857098</v>
      </c>
      <c r="BK515">
        <v>116468.40005297121</v>
      </c>
      <c r="BL515">
        <v>5823.4200026485605</v>
      </c>
      <c r="BM515">
        <v>122291.82005561976</v>
      </c>
      <c r="BN515">
        <v>15897.936607230571</v>
      </c>
      <c r="BO515">
        <v>138189.75666285033</v>
      </c>
      <c r="BP515">
        <v>35</v>
      </c>
      <c r="BQ515">
        <v>138224.75666285033</v>
      </c>
      <c r="BS515">
        <v>138224.75666285033</v>
      </c>
      <c r="BT515" s="238">
        <v>138224.76</v>
      </c>
      <c r="BU515" s="238">
        <v>5231900</v>
      </c>
      <c r="BV515">
        <v>592498.99999999907</v>
      </c>
      <c r="BX515" s="238">
        <v>592498.99999999907</v>
      </c>
      <c r="BY515" s="238">
        <v>122573.34214002642</v>
      </c>
      <c r="BZ515" s="238">
        <v>4639401</v>
      </c>
      <c r="CA515" s="238" t="s">
        <v>38</v>
      </c>
      <c r="CB515">
        <v>25000</v>
      </c>
      <c r="CC515">
        <v>147573.34214002642</v>
      </c>
      <c r="CD515" s="238">
        <v>946250</v>
      </c>
      <c r="CE515" s="238">
        <v>5585651</v>
      </c>
      <c r="CG515" t="s">
        <v>321</v>
      </c>
      <c r="CH515" s="238" t="s">
        <v>39</v>
      </c>
      <c r="CI515" s="238" t="s">
        <v>39</v>
      </c>
      <c r="CJ515" t="s">
        <v>8950</v>
      </c>
      <c r="CK515" t="s">
        <v>1167</v>
      </c>
      <c r="CL515" t="s">
        <v>8961</v>
      </c>
      <c r="CM515" t="s">
        <v>8973</v>
      </c>
      <c r="CN515" s="238" t="b">
        <v>1</v>
      </c>
      <c r="CO515" t="s">
        <v>5803</v>
      </c>
      <c r="CQ515" t="s">
        <v>6652</v>
      </c>
      <c r="CR515" t="s">
        <v>3124</v>
      </c>
      <c r="CS515" t="s">
        <v>36</v>
      </c>
      <c r="CT515" t="b">
        <v>0</v>
      </c>
      <c r="CU515">
        <v>5231900</v>
      </c>
      <c r="CV515" t="s">
        <v>9002</v>
      </c>
      <c r="CW515">
        <v>0</v>
      </c>
      <c r="CX515">
        <v>5231900</v>
      </c>
      <c r="CY515">
        <v>0</v>
      </c>
      <c r="CZ515" t="b">
        <v>1</v>
      </c>
      <c r="DA515" t="s">
        <v>4246</v>
      </c>
      <c r="DB515" t="s">
        <v>1167</v>
      </c>
      <c r="DC515">
        <v>-1.1749347258485532E-2</v>
      </c>
      <c r="DD515">
        <v>-1440.1567614363285</v>
      </c>
      <c r="DE515" s="420" cm="1">
        <f t="array" ref="DE515">_xlfn.XLOOKUP("Дом 5"&amp;Реестр_Д5[[#This Row],[№]]&amp;Реестр_Д5[[#This Row],[Статус]],РД[Дом]&amp;РД[№ кв]&amp;РД[Состояние],РД[Дата подачи на регистрацию],"-",0)</f>
        <v>45883</v>
      </c>
    </row>
    <row r="516" spans="1:109" hidden="1" x14ac:dyDescent="0.25">
      <c r="A516" s="238">
        <v>515</v>
      </c>
      <c r="B516" s="238" t="s">
        <v>15</v>
      </c>
      <c r="C516" s="238">
        <v>16</v>
      </c>
      <c r="D516" s="238">
        <v>7</v>
      </c>
      <c r="E516" s="238">
        <v>3</v>
      </c>
      <c r="F516" s="238">
        <v>14.49</v>
      </c>
      <c r="G516" s="238">
        <v>13.98</v>
      </c>
      <c r="H516" s="238">
        <v>11.42</v>
      </c>
      <c r="I516">
        <v>39.89</v>
      </c>
      <c r="J516" s="238">
        <v>16.670000000000002</v>
      </c>
      <c r="K516" s="238">
        <v>4.1399999999999997</v>
      </c>
      <c r="L516" s="238">
        <v>1.89</v>
      </c>
      <c r="M516" s="238"/>
      <c r="N516" s="238">
        <v>11.31</v>
      </c>
      <c r="O516" s="238">
        <v>2.86</v>
      </c>
      <c r="P516" s="238">
        <v>2.79</v>
      </c>
      <c r="Q516">
        <v>5.42</v>
      </c>
      <c r="R516" s="238">
        <v>11.07</v>
      </c>
      <c r="S516">
        <v>84.97</v>
      </c>
      <c r="T516">
        <v>73.900000000000006</v>
      </c>
      <c r="U516" s="238">
        <v>79.44</v>
      </c>
      <c r="V516">
        <v>78.500000000000014</v>
      </c>
      <c r="W516" s="238">
        <v>76375.530000000013</v>
      </c>
      <c r="X516">
        <v>3818.7765000000009</v>
      </c>
      <c r="Y516">
        <v>80194.306500000021</v>
      </c>
      <c r="Z516">
        <v>2405.8291950000007</v>
      </c>
      <c r="AA516">
        <v>82600.135695000019</v>
      </c>
      <c r="AC516">
        <v>82600.135695000019</v>
      </c>
      <c r="AE516">
        <v>82600.135695000019</v>
      </c>
      <c r="AG516">
        <v>82600.135695000019</v>
      </c>
      <c r="AI516">
        <v>82600.135695000019</v>
      </c>
      <c r="AJ516">
        <v>826.00135695000017</v>
      </c>
      <c r="AK516">
        <v>83426.13705195002</v>
      </c>
      <c r="AL516">
        <v>4171.3068525975013</v>
      </c>
      <c r="AM516">
        <v>87597.443904547516</v>
      </c>
      <c r="AO516">
        <v>87597.443904547516</v>
      </c>
      <c r="AP516">
        <v>1751.9488780909503</v>
      </c>
      <c r="AQ516">
        <v>89349.392782638461</v>
      </c>
      <c r="AS516">
        <v>89349.392782638461</v>
      </c>
      <c r="AT516">
        <v>1786.9878556527692</v>
      </c>
      <c r="AU516">
        <v>91136.380638291244</v>
      </c>
      <c r="AW516">
        <v>91136.380638291244</v>
      </c>
      <c r="AY516">
        <v>91136.380638291244</v>
      </c>
      <c r="BA516">
        <v>91136.380638291244</v>
      </c>
      <c r="BC516">
        <v>91136.380638291244</v>
      </c>
      <c r="BE516">
        <v>91136.380638291244</v>
      </c>
      <c r="BG516">
        <v>91136.380638291244</v>
      </c>
      <c r="BI516">
        <v>91136.380638291244</v>
      </c>
      <c r="BK516">
        <v>91136.380638291244</v>
      </c>
      <c r="BM516">
        <v>91136.380638291244</v>
      </c>
      <c r="BO516">
        <v>91136.380638291244</v>
      </c>
      <c r="BQ516">
        <v>91136.380638291244</v>
      </c>
      <c r="BS516">
        <v>91136.380638291244</v>
      </c>
      <c r="BT516" s="238">
        <v>91136.38</v>
      </c>
      <c r="BU516" s="238">
        <v>7239900</v>
      </c>
      <c r="BV516">
        <v>90000</v>
      </c>
      <c r="BX516" s="238">
        <v>90000</v>
      </c>
      <c r="BY516" s="238">
        <v>90003.776435045322</v>
      </c>
      <c r="BZ516" s="238">
        <v>7149900</v>
      </c>
      <c r="CA516" s="238" t="s">
        <v>36</v>
      </c>
      <c r="CC516">
        <v>90003.776435045322</v>
      </c>
      <c r="CD516" s="238">
        <v>0</v>
      </c>
      <c r="CE516" s="238">
        <v>7149900</v>
      </c>
      <c r="CF516" t="s">
        <v>4636</v>
      </c>
      <c r="CG516" t="s">
        <v>7135</v>
      </c>
      <c r="CH516" s="238" t="s">
        <v>39</v>
      </c>
      <c r="CI516" s="238" t="s">
        <v>39</v>
      </c>
      <c r="CJ516" t="s">
        <v>8950</v>
      </c>
      <c r="CK516" t="s">
        <v>1167</v>
      </c>
      <c r="CL516" t="s">
        <v>8961</v>
      </c>
      <c r="CM516" t="s">
        <v>8990</v>
      </c>
      <c r="CN516" s="238" t="b">
        <v>1</v>
      </c>
      <c r="CO516" t="s">
        <v>5804</v>
      </c>
      <c r="CQ516" t="s">
        <v>6652</v>
      </c>
      <c r="CR516" t="s">
        <v>3246</v>
      </c>
      <c r="CS516" t="s">
        <v>36</v>
      </c>
      <c r="CT516" t="b">
        <v>1</v>
      </c>
      <c r="CU516">
        <v>7239900</v>
      </c>
      <c r="CV516" t="s">
        <v>9002</v>
      </c>
      <c r="CW516">
        <v>0</v>
      </c>
      <c r="CX516">
        <v>7239900</v>
      </c>
      <c r="CY516">
        <v>0</v>
      </c>
      <c r="CZ516" t="b">
        <v>1</v>
      </c>
      <c r="DA516">
        <v>45412</v>
      </c>
      <c r="DB516" t="s">
        <v>5215</v>
      </c>
      <c r="DC516">
        <v>-1.1832829808660406E-2</v>
      </c>
      <c r="DD516">
        <v>-1064.9993686926111</v>
      </c>
      <c r="DE516" s="420" cm="1">
        <f t="array" ref="DE516">_xlfn.XLOOKUP("Дом 5"&amp;Реестр_Д5[[#This Row],[№]]&amp;Реестр_Д5[[#This Row],[Статус]],РД[Дом]&amp;РД[№ кв]&amp;РД[Состояние],РД[Дата подачи на регистрацию],"-",0)</f>
        <v>45412</v>
      </c>
    </row>
    <row r="517" spans="1:109" hidden="1" x14ac:dyDescent="0.25">
      <c r="A517" s="238">
        <v>516</v>
      </c>
      <c r="B517" s="238" t="s">
        <v>15</v>
      </c>
      <c r="C517" s="238">
        <v>16</v>
      </c>
      <c r="D517" s="238">
        <v>8</v>
      </c>
      <c r="E517" s="238">
        <v>1</v>
      </c>
      <c r="F517" s="238">
        <v>16.79</v>
      </c>
      <c r="G517" s="238"/>
      <c r="H517" s="238"/>
      <c r="I517">
        <v>16.79</v>
      </c>
      <c r="J517" s="238">
        <v>11.43</v>
      </c>
      <c r="K517" s="238">
        <v>3.56</v>
      </c>
      <c r="L517" s="238"/>
      <c r="M517" s="238"/>
      <c r="N517" s="238">
        <v>6.66</v>
      </c>
      <c r="O517" s="238">
        <v>2.4900000000000002</v>
      </c>
      <c r="P517" s="238"/>
      <c r="R517" s="238">
        <v>2.4900000000000002</v>
      </c>
      <c r="S517">
        <v>40.93</v>
      </c>
      <c r="T517">
        <v>38.44</v>
      </c>
      <c r="U517" s="238">
        <v>39.69</v>
      </c>
      <c r="V517">
        <v>39.549999999999997</v>
      </c>
      <c r="W517" s="238">
        <v>84762.5625</v>
      </c>
      <c r="X517">
        <v>4238.1281250000002</v>
      </c>
      <c r="Y517">
        <v>89000.690625000003</v>
      </c>
      <c r="Z517">
        <v>2670.02071875</v>
      </c>
      <c r="AA517">
        <v>91670.711343750023</v>
      </c>
      <c r="AB517">
        <v>4125.1820104687504</v>
      </c>
      <c r="AC517">
        <v>95795.893354218759</v>
      </c>
      <c r="AE517">
        <v>95795.893354218759</v>
      </c>
      <c r="AF517">
        <v>4789.7946677109385</v>
      </c>
      <c r="AG517">
        <v>100585.6880219297</v>
      </c>
      <c r="AI517">
        <v>100585.6880219297</v>
      </c>
      <c r="AJ517">
        <v>1005.8568802192972</v>
      </c>
      <c r="AK517">
        <v>101591.54490214901</v>
      </c>
      <c r="AL517">
        <v>5079.5772451074508</v>
      </c>
      <c r="AM517">
        <v>106671.12214725644</v>
      </c>
      <c r="AO517">
        <v>106671.12214725644</v>
      </c>
      <c r="AP517">
        <v>3200.1336644176936</v>
      </c>
      <c r="AQ517">
        <v>109871.25581167414</v>
      </c>
      <c r="AS517">
        <v>109871.25581167414</v>
      </c>
      <c r="AU517">
        <v>109871.25581167414</v>
      </c>
      <c r="AW517">
        <v>109871.25581167414</v>
      </c>
      <c r="AY517">
        <v>109871.25581167414</v>
      </c>
      <c r="BA517">
        <v>109871.25581167414</v>
      </c>
      <c r="BC517">
        <v>109871.25581167414</v>
      </c>
      <c r="BE517">
        <v>109871.25581167414</v>
      </c>
      <c r="BF517">
        <v>549.35627905837077</v>
      </c>
      <c r="BG517">
        <v>110420.61209073252</v>
      </c>
      <c r="BI517">
        <v>110420.61209073252</v>
      </c>
      <c r="BK517">
        <v>110420.61209073252</v>
      </c>
      <c r="BM517">
        <v>110420.61209073252</v>
      </c>
      <c r="BO517">
        <v>110420.61209073252</v>
      </c>
      <c r="BQ517">
        <v>110420.61209073252</v>
      </c>
      <c r="BS517">
        <v>110420.61209073252</v>
      </c>
      <c r="BT517" s="238">
        <v>110420.61</v>
      </c>
      <c r="BU517" s="238">
        <v>4382600</v>
      </c>
      <c r="BX517" s="238">
        <v>0</v>
      </c>
      <c r="BY517" s="238">
        <v>110420.76089695138</v>
      </c>
      <c r="BZ517" s="238">
        <v>4382600</v>
      </c>
      <c r="CA517" s="238" t="s">
        <v>6871</v>
      </c>
      <c r="CB517">
        <v>7000</v>
      </c>
      <c r="CC517">
        <v>117420.76089695138</v>
      </c>
      <c r="CD517" s="238">
        <v>277830</v>
      </c>
      <c r="CE517" s="238">
        <v>4660430</v>
      </c>
      <c r="CH517" s="238" t="s">
        <v>39</v>
      </c>
      <c r="CI517" s="238" t="s">
        <v>39</v>
      </c>
      <c r="CJ517" t="s">
        <v>8950</v>
      </c>
      <c r="CK517" t="s">
        <v>1167</v>
      </c>
      <c r="CL517" t="s">
        <v>8961</v>
      </c>
      <c r="CM517" t="s">
        <v>8973</v>
      </c>
      <c r="CN517" s="238" t="b">
        <v>1</v>
      </c>
      <c r="CO517" t="s">
        <v>5805</v>
      </c>
      <c r="CQ517" t="s">
        <v>6652</v>
      </c>
      <c r="CR517" t="s">
        <v>3246</v>
      </c>
      <c r="CS517" t="s">
        <v>6871</v>
      </c>
      <c r="CT517" t="b">
        <v>1</v>
      </c>
      <c r="CU517">
        <v>4382600</v>
      </c>
      <c r="CV517" t="s">
        <v>9002</v>
      </c>
      <c r="CW517">
        <v>0</v>
      </c>
      <c r="CX517">
        <v>4382600</v>
      </c>
      <c r="CY517">
        <v>0</v>
      </c>
      <c r="CZ517" t="b">
        <v>1</v>
      </c>
      <c r="DA517">
        <v>45495</v>
      </c>
      <c r="DB517" t="s">
        <v>5215</v>
      </c>
      <c r="DC517">
        <v>-3.5273368606700828E-3</v>
      </c>
      <c r="DD517">
        <v>-389.4912200950543</v>
      </c>
      <c r="DE517" s="420" cm="1">
        <f t="array" ref="DE517">_xlfn.XLOOKUP("Дом 5"&amp;Реестр_Д5[[#This Row],[№]]&amp;Реестр_Д5[[#This Row],[Статус]],РД[Дом]&amp;РД[№ кв]&amp;РД[Состояние],РД[Дата подачи на регистрацию],"-",0)</f>
        <v>45495</v>
      </c>
    </row>
    <row r="518" spans="1:109" x14ac:dyDescent="0.25">
      <c r="A518" s="238">
        <v>517</v>
      </c>
      <c r="B518" s="238" t="s">
        <v>15</v>
      </c>
      <c r="C518" s="238">
        <v>17</v>
      </c>
      <c r="D518" s="238">
        <v>1</v>
      </c>
      <c r="E518" s="238">
        <v>0</v>
      </c>
      <c r="F518" s="238">
        <v>13.74</v>
      </c>
      <c r="G518" s="238"/>
      <c r="H518" s="238"/>
      <c r="I518">
        <v>13.74</v>
      </c>
      <c r="J518" s="238">
        <v>5.84</v>
      </c>
      <c r="K518" s="238">
        <v>3.76</v>
      </c>
      <c r="L518" s="238"/>
      <c r="M518" s="238"/>
      <c r="N518" s="238">
        <v>3.73</v>
      </c>
      <c r="O518" s="238">
        <v>4.6500000000000004</v>
      </c>
      <c r="P518" s="238"/>
      <c r="R518" s="238">
        <v>4.6500000000000004</v>
      </c>
      <c r="S518">
        <v>31.72</v>
      </c>
      <c r="T518">
        <v>27.07</v>
      </c>
      <c r="U518" s="238">
        <v>29.4</v>
      </c>
      <c r="V518">
        <v>29.3</v>
      </c>
      <c r="W518" s="238">
        <v>89353.53</v>
      </c>
      <c r="X518">
        <v>4467.6765000000005</v>
      </c>
      <c r="Y518">
        <v>93821.2065</v>
      </c>
      <c r="Z518">
        <v>2814.636195</v>
      </c>
      <c r="AA518">
        <v>96635.842694999999</v>
      </c>
      <c r="AB518">
        <v>8697.2258425500004</v>
      </c>
      <c r="AC518">
        <v>105333.06853755</v>
      </c>
      <c r="AE518">
        <v>105333.06853755</v>
      </c>
      <c r="AG518">
        <v>105333.06853755</v>
      </c>
      <c r="AI518">
        <v>105333.06853755</v>
      </c>
      <c r="AJ518">
        <v>1053.3306853755</v>
      </c>
      <c r="AK518">
        <v>106386.39922292552</v>
      </c>
      <c r="AL518">
        <v>5319.319961146276</v>
      </c>
      <c r="AM518">
        <v>111705.7191840718</v>
      </c>
      <c r="AO518">
        <v>111705.7191840718</v>
      </c>
      <c r="AP518">
        <v>3351.1715755221535</v>
      </c>
      <c r="AQ518">
        <v>115056.89075959394</v>
      </c>
      <c r="AS518">
        <v>115056.89075959394</v>
      </c>
      <c r="AU518">
        <v>115056.89075959394</v>
      </c>
      <c r="AW518">
        <v>115056.89075959394</v>
      </c>
      <c r="AX518">
        <v>1150.5689075959394</v>
      </c>
      <c r="AY518">
        <v>116207.45966718988</v>
      </c>
      <c r="BA518">
        <v>116207.45966718988</v>
      </c>
      <c r="BC518">
        <v>116207.45966718988</v>
      </c>
      <c r="BE518">
        <v>116207.45966718988</v>
      </c>
      <c r="BF518">
        <v>1743.111895007848</v>
      </c>
      <c r="BG518">
        <v>117950.57156219771</v>
      </c>
      <c r="BI518">
        <v>117950.57156219771</v>
      </c>
      <c r="BK518">
        <v>117950.57156219771</v>
      </c>
      <c r="BL518">
        <v>4718.0228624879092</v>
      </c>
      <c r="BM518">
        <v>122668.59442468564</v>
      </c>
      <c r="BN518">
        <v>15946.917275209133</v>
      </c>
      <c r="BO518">
        <v>138615.51169989476</v>
      </c>
      <c r="BP518">
        <v>35</v>
      </c>
      <c r="BQ518">
        <v>138650.51169989476</v>
      </c>
      <c r="BS518">
        <v>138650.51169989476</v>
      </c>
      <c r="BT518" s="238">
        <v>138650.51</v>
      </c>
      <c r="BU518" s="238">
        <v>4062500</v>
      </c>
      <c r="BV518">
        <v>234400</v>
      </c>
      <c r="BX518" s="238">
        <v>234400</v>
      </c>
      <c r="BY518" s="238">
        <v>130651.87713310579</v>
      </c>
      <c r="BZ518" s="238">
        <v>3828100</v>
      </c>
      <c r="CA518" s="238" t="s">
        <v>38</v>
      </c>
      <c r="CB518">
        <v>30000</v>
      </c>
      <c r="CC518">
        <v>160651.87713310579</v>
      </c>
      <c r="CD518" s="238">
        <v>879000</v>
      </c>
      <c r="CE518" s="238">
        <v>4707100</v>
      </c>
      <c r="CG518" t="s">
        <v>8676</v>
      </c>
      <c r="CH518" s="238" t="s">
        <v>39</v>
      </c>
      <c r="CI518" s="238" t="s">
        <v>39</v>
      </c>
      <c r="CJ518" t="s">
        <v>8950</v>
      </c>
      <c r="CK518" t="s">
        <v>1167</v>
      </c>
      <c r="CL518" t="s">
        <v>8961</v>
      </c>
      <c r="CM518" t="s">
        <v>8970</v>
      </c>
      <c r="CN518" s="238" t="b">
        <v>1</v>
      </c>
      <c r="CO518" t="s">
        <v>5806</v>
      </c>
      <c r="CQ518" t="s">
        <v>6652</v>
      </c>
      <c r="CR518" t="s">
        <v>3124</v>
      </c>
      <c r="CS518" t="s">
        <v>6871</v>
      </c>
      <c r="CT518" t="b">
        <v>0</v>
      </c>
      <c r="CU518">
        <v>4062500</v>
      </c>
      <c r="CV518" t="s">
        <v>9002</v>
      </c>
      <c r="CW518">
        <v>4062500</v>
      </c>
      <c r="CX518">
        <v>4062500</v>
      </c>
      <c r="CY518">
        <v>0</v>
      </c>
      <c r="CZ518" t="b">
        <v>1</v>
      </c>
      <c r="DA518" t="s">
        <v>4246</v>
      </c>
      <c r="DB518" t="s">
        <v>1167</v>
      </c>
      <c r="DC518">
        <v>-3.4013605442175798E-3</v>
      </c>
      <c r="DD518">
        <v>-444.39413990850915</v>
      </c>
      <c r="DE518" s="420" cm="1">
        <f t="array" ref="DE518">_xlfn.XLOOKUP("Дом 5"&amp;Реестр_Д5[[#This Row],[№]]&amp;Реестр_Д5[[#This Row],[Статус]],РД[Дом]&amp;РД[№ кв]&amp;РД[Состояние],РД[Дата подачи на регистрацию],"-",0)</f>
        <v>45889</v>
      </c>
    </row>
    <row r="519" spans="1:109" hidden="1" x14ac:dyDescent="0.25">
      <c r="A519" s="238">
        <v>518</v>
      </c>
      <c r="B519" s="238" t="s">
        <v>15</v>
      </c>
      <c r="C519" s="238">
        <v>17</v>
      </c>
      <c r="D519" s="238">
        <v>2</v>
      </c>
      <c r="E519" s="238">
        <v>1</v>
      </c>
      <c r="F519" s="238">
        <v>13.17</v>
      </c>
      <c r="G519" s="238"/>
      <c r="H519" s="238"/>
      <c r="I519">
        <v>13.17</v>
      </c>
      <c r="J519" s="238">
        <v>16.940000000000001</v>
      </c>
      <c r="K519" s="238">
        <v>3.55</v>
      </c>
      <c r="L519" s="238">
        <v>2.41</v>
      </c>
      <c r="M519" s="238"/>
      <c r="N519" s="238">
        <v>5.8</v>
      </c>
      <c r="O519" s="238">
        <v>2.68</v>
      </c>
      <c r="P519" s="238"/>
      <c r="R519" s="238">
        <v>2.68</v>
      </c>
      <c r="S519">
        <v>44.55</v>
      </c>
      <c r="T519">
        <v>41.87</v>
      </c>
      <c r="U519" s="238">
        <v>43.21</v>
      </c>
      <c r="V519">
        <v>42.15</v>
      </c>
      <c r="W519" s="238">
        <v>85168.125</v>
      </c>
      <c r="X519">
        <v>4258.40625</v>
      </c>
      <c r="Y519">
        <v>89426.53125</v>
      </c>
      <c r="Z519">
        <v>2682.7959375</v>
      </c>
      <c r="AA519">
        <v>92109.327187500006</v>
      </c>
      <c r="AB519">
        <v>921.09327187500003</v>
      </c>
      <c r="AC519">
        <v>93030.420459375004</v>
      </c>
      <c r="AE519">
        <v>93030.420459375004</v>
      </c>
      <c r="AF519">
        <v>4651.52102296875</v>
      </c>
      <c r="AG519">
        <v>97681.941482343755</v>
      </c>
      <c r="AI519">
        <v>97681.941482343755</v>
      </c>
      <c r="AJ519">
        <v>976.81941482343757</v>
      </c>
      <c r="AK519">
        <v>98658.760897167187</v>
      </c>
      <c r="AL519">
        <v>4932.9380448583597</v>
      </c>
      <c r="AM519">
        <v>103591.69894202554</v>
      </c>
      <c r="AO519">
        <v>103591.69894202554</v>
      </c>
      <c r="AP519">
        <v>3107.7509682607661</v>
      </c>
      <c r="AQ519">
        <v>106699.4499102863</v>
      </c>
      <c r="AR519">
        <v>500</v>
      </c>
      <c r="AS519">
        <v>107199.4499102863</v>
      </c>
      <c r="AU519">
        <v>107199.4499102863</v>
      </c>
      <c r="AW519">
        <v>107199.4499102863</v>
      </c>
      <c r="AY519">
        <v>107199.4499102863</v>
      </c>
      <c r="AZ519">
        <v>1071.9944991028633</v>
      </c>
      <c r="BA519">
        <v>108271.44440938917</v>
      </c>
      <c r="BC519">
        <v>108271.44440938917</v>
      </c>
      <c r="BE519">
        <v>108271.44440938917</v>
      </c>
      <c r="BF519">
        <v>2706.7861102347292</v>
      </c>
      <c r="BG519">
        <v>110978.23051962387</v>
      </c>
      <c r="BI519">
        <v>110978.23051962387</v>
      </c>
      <c r="BK519">
        <v>110978.23051962387</v>
      </c>
      <c r="BL519">
        <v>8878.2584415699112</v>
      </c>
      <c r="BM519">
        <v>119856.4889611938</v>
      </c>
      <c r="BN519">
        <v>15581.343564955194</v>
      </c>
      <c r="BO519">
        <v>135437.832526149</v>
      </c>
      <c r="BQ519">
        <v>135437.832526149</v>
      </c>
      <c r="BS519">
        <v>135437.832526149</v>
      </c>
      <c r="BT519" s="238">
        <v>135437.82999999999</v>
      </c>
      <c r="BU519" s="238">
        <v>5852300</v>
      </c>
      <c r="BW519">
        <v>0.02</v>
      </c>
      <c r="BX519" s="238">
        <v>117046</v>
      </c>
      <c r="BY519" s="238">
        <v>132729.78477204347</v>
      </c>
      <c r="BZ519" s="238">
        <v>5735254</v>
      </c>
      <c r="CA519" s="238" t="s">
        <v>6871</v>
      </c>
      <c r="CB519">
        <v>10000</v>
      </c>
      <c r="CC519">
        <v>142729.78477204347</v>
      </c>
      <c r="CD519" s="238">
        <v>432099.99999999907</v>
      </c>
      <c r="CE519" s="238">
        <v>6167353.9999999991</v>
      </c>
      <c r="CG519" t="s">
        <v>3540</v>
      </c>
      <c r="CH519" s="238" t="s">
        <v>39</v>
      </c>
      <c r="CI519" s="238" t="s">
        <v>39</v>
      </c>
      <c r="CJ519" t="s">
        <v>8950</v>
      </c>
      <c r="CK519" t="s">
        <v>1167</v>
      </c>
      <c r="CL519" t="s">
        <v>8961</v>
      </c>
      <c r="CM519" t="s">
        <v>8972</v>
      </c>
      <c r="CN519" s="238" t="b">
        <v>1</v>
      </c>
      <c r="CO519" t="s">
        <v>5807</v>
      </c>
      <c r="CQ519" t="s">
        <v>6652</v>
      </c>
      <c r="CR519" t="s">
        <v>3246</v>
      </c>
      <c r="CS519" t="s">
        <v>6871</v>
      </c>
      <c r="CT519" t="b">
        <v>1</v>
      </c>
      <c r="CU519">
        <v>5852300</v>
      </c>
      <c r="CV519" t="s">
        <v>9002</v>
      </c>
      <c r="CW519">
        <v>0</v>
      </c>
      <c r="CX519">
        <v>5852300</v>
      </c>
      <c r="CY519">
        <v>0</v>
      </c>
      <c r="CZ519" t="b">
        <v>1</v>
      </c>
      <c r="DA519">
        <v>45621</v>
      </c>
      <c r="DB519" t="s">
        <v>126</v>
      </c>
      <c r="DC519">
        <v>-2.4531358481832969E-2</v>
      </c>
      <c r="DD519">
        <v>-3256.0419314595333</v>
      </c>
      <c r="DE519" s="420" cm="1">
        <f t="array" ref="DE519">_xlfn.XLOOKUP("Дом 5"&amp;Реестр_Д5[[#This Row],[№]]&amp;Реестр_Д5[[#This Row],[Статус]],РД[Дом]&amp;РД[№ кв]&amp;РД[Состояние],РД[Дата подачи на регистрацию],"-",0)</f>
        <v>45621</v>
      </c>
    </row>
    <row r="520" spans="1:109" hidden="1" x14ac:dyDescent="0.25">
      <c r="A520" s="238">
        <v>519</v>
      </c>
      <c r="B520" s="238" t="s">
        <v>15</v>
      </c>
      <c r="C520" s="238">
        <v>17</v>
      </c>
      <c r="D520" s="238">
        <v>3</v>
      </c>
      <c r="E520" s="238">
        <v>0</v>
      </c>
      <c r="F520" s="238">
        <v>7.2</v>
      </c>
      <c r="G520" s="238"/>
      <c r="H520" s="238"/>
      <c r="I520">
        <v>7.2</v>
      </c>
      <c r="J520" s="238">
        <v>5.17</v>
      </c>
      <c r="K520" s="238">
        <v>3.71</v>
      </c>
      <c r="L520" s="238"/>
      <c r="M520" s="238"/>
      <c r="N520" s="238">
        <v>6.96</v>
      </c>
      <c r="O520" s="238">
        <v>2.92</v>
      </c>
      <c r="P520" s="238"/>
      <c r="R520" s="238">
        <v>2.92</v>
      </c>
      <c r="S520">
        <v>25.96</v>
      </c>
      <c r="T520">
        <v>23.04</v>
      </c>
      <c r="U520" s="238">
        <v>24.5</v>
      </c>
      <c r="V520">
        <v>24.6</v>
      </c>
      <c r="W520" s="238">
        <v>91105.56</v>
      </c>
      <c r="X520">
        <v>4555.2780000000002</v>
      </c>
      <c r="Y520">
        <v>95660.838000000003</v>
      </c>
      <c r="Z520">
        <v>2869.8251399999999</v>
      </c>
      <c r="AA520">
        <v>98530.663140000004</v>
      </c>
      <c r="AB520">
        <v>8867.7596826000008</v>
      </c>
      <c r="AC520">
        <v>107398.4228226</v>
      </c>
      <c r="AE520">
        <v>107398.4228226</v>
      </c>
      <c r="AG520">
        <v>107398.4228226</v>
      </c>
      <c r="AI520">
        <v>107398.4228226</v>
      </c>
      <c r="AJ520">
        <v>1073.9842282259999</v>
      </c>
      <c r="AK520">
        <v>108472.407050826</v>
      </c>
      <c r="AL520">
        <v>5423.6203525413002</v>
      </c>
      <c r="AM520">
        <v>113896.0274033673</v>
      </c>
      <c r="AO520">
        <v>113896.0274033673</v>
      </c>
      <c r="AQ520">
        <v>113896.0274033673</v>
      </c>
      <c r="AS520">
        <v>113896.0274033673</v>
      </c>
      <c r="AU520">
        <v>113896.0274033673</v>
      </c>
      <c r="AW520">
        <v>113896.0274033673</v>
      </c>
      <c r="AY520">
        <v>113896.0274033673</v>
      </c>
      <c r="BA520">
        <v>113896.0274033673</v>
      </c>
      <c r="BC520">
        <v>113896.0274033673</v>
      </c>
      <c r="BE520">
        <v>113896.0274033673</v>
      </c>
      <c r="BG520">
        <v>113896.0274033673</v>
      </c>
      <c r="BI520">
        <v>113896.0274033673</v>
      </c>
      <c r="BK520">
        <v>113896.0274033673</v>
      </c>
      <c r="BM520">
        <v>113896.0274033673</v>
      </c>
      <c r="BO520">
        <v>113896.0274033673</v>
      </c>
      <c r="BQ520">
        <v>113896.0274033673</v>
      </c>
      <c r="BS520">
        <v>113896.0274033673</v>
      </c>
      <c r="BT520" s="238">
        <v>113896.03</v>
      </c>
      <c r="BU520" s="238">
        <v>2790500</v>
      </c>
      <c r="BX520" s="238">
        <v>0</v>
      </c>
      <c r="BY520" s="238">
        <v>113897.95918367348</v>
      </c>
      <c r="BZ520" s="238">
        <v>2790500</v>
      </c>
      <c r="CA520" s="238" t="s">
        <v>38</v>
      </c>
      <c r="CB520">
        <v>20000</v>
      </c>
      <c r="CC520">
        <v>133897.95918367349</v>
      </c>
      <c r="CD520" s="238">
        <v>490000.00000000047</v>
      </c>
      <c r="CE520" s="238">
        <v>3280500.0000000005</v>
      </c>
      <c r="CH520" s="238" t="s">
        <v>39</v>
      </c>
      <c r="CI520" s="238" t="s">
        <v>39</v>
      </c>
      <c r="CJ520" t="s">
        <v>8950</v>
      </c>
      <c r="CK520" t="s">
        <v>1167</v>
      </c>
      <c r="CL520" t="s">
        <v>8961</v>
      </c>
      <c r="CM520" t="s">
        <v>8970</v>
      </c>
      <c r="CN520" s="238" t="b">
        <v>1</v>
      </c>
      <c r="CO520" t="s">
        <v>5808</v>
      </c>
      <c r="CQ520" t="s">
        <v>6652</v>
      </c>
      <c r="CR520" t="s">
        <v>3246</v>
      </c>
      <c r="CS520" t="s">
        <v>38</v>
      </c>
      <c r="CT520" t="b">
        <v>1</v>
      </c>
      <c r="CU520">
        <v>2790500</v>
      </c>
      <c r="CV520" t="s">
        <v>9002</v>
      </c>
      <c r="CW520">
        <v>0</v>
      </c>
      <c r="CX520">
        <v>2790500</v>
      </c>
      <c r="CY520">
        <v>0</v>
      </c>
      <c r="CZ520" t="b">
        <v>1</v>
      </c>
      <c r="DA520">
        <v>45344</v>
      </c>
      <c r="DB520" t="s">
        <v>4177</v>
      </c>
      <c r="DC520">
        <v>4.0816326530612734E-3</v>
      </c>
      <c r="DD520">
        <v>464.88962932112179</v>
      </c>
      <c r="DE520" s="420" cm="1">
        <f t="array" ref="DE520">_xlfn.XLOOKUP("Дом 5"&amp;Реестр_Д5[[#This Row],[№]]&amp;Реестр_Д5[[#This Row],[Статус]],РД[Дом]&amp;РД[№ кв]&amp;РД[Состояние],РД[Дата подачи на регистрацию],"-",0)</f>
        <v>45344</v>
      </c>
    </row>
    <row r="521" spans="1:109" hidden="1" x14ac:dyDescent="0.25">
      <c r="A521" s="238">
        <v>520</v>
      </c>
      <c r="B521" s="238" t="s">
        <v>15</v>
      </c>
      <c r="C521" s="238">
        <v>17</v>
      </c>
      <c r="D521" s="238">
        <v>4</v>
      </c>
      <c r="E521" s="238">
        <v>2</v>
      </c>
      <c r="F521" s="238">
        <v>14.48</v>
      </c>
      <c r="G521" s="238">
        <v>11.42</v>
      </c>
      <c r="H521" s="238"/>
      <c r="I521">
        <v>25.9</v>
      </c>
      <c r="J521" s="238">
        <v>15.86</v>
      </c>
      <c r="K521" s="238">
        <v>3.01</v>
      </c>
      <c r="L521" s="238">
        <v>2.67</v>
      </c>
      <c r="M521" s="238"/>
      <c r="N521" s="238">
        <v>9.44</v>
      </c>
      <c r="O521" s="238">
        <v>2.72</v>
      </c>
      <c r="P521" s="238"/>
      <c r="R521" s="238">
        <v>2.72</v>
      </c>
      <c r="S521">
        <v>59.6</v>
      </c>
      <c r="T521">
        <v>56.88</v>
      </c>
      <c r="U521" s="238">
        <v>58.24</v>
      </c>
      <c r="V521">
        <v>58.05</v>
      </c>
      <c r="W521" s="238">
        <v>79535.67300000001</v>
      </c>
      <c r="X521">
        <v>3976.7836500000008</v>
      </c>
      <c r="Y521">
        <v>83512.456649999993</v>
      </c>
      <c r="Z521">
        <v>2505.3736994999999</v>
      </c>
      <c r="AA521">
        <v>86017.8303495</v>
      </c>
      <c r="AC521">
        <v>86017.8303495</v>
      </c>
      <c r="AE521">
        <v>86017.8303495</v>
      </c>
      <c r="AG521">
        <v>86017.8303495</v>
      </c>
      <c r="AI521">
        <v>86017.8303495</v>
      </c>
      <c r="AJ521">
        <v>860.17830349500002</v>
      </c>
      <c r="AK521">
        <v>86878.008652995006</v>
      </c>
      <c r="AL521">
        <v>4343.9004326497507</v>
      </c>
      <c r="AM521">
        <v>91221.909085644758</v>
      </c>
      <c r="AO521">
        <v>91221.909085644758</v>
      </c>
      <c r="AP521">
        <v>1824.4381817128951</v>
      </c>
      <c r="AQ521">
        <v>93046.347267357647</v>
      </c>
      <c r="AS521">
        <v>93046.347267357647</v>
      </c>
      <c r="AT521">
        <v>1860.9269453471527</v>
      </c>
      <c r="AU521">
        <v>94907.274212704797</v>
      </c>
      <c r="AW521">
        <v>94907.274212704797</v>
      </c>
      <c r="AX521">
        <v>949.07274212704795</v>
      </c>
      <c r="AY521">
        <v>95856.346954831839</v>
      </c>
      <c r="BA521">
        <v>95856.346954831839</v>
      </c>
      <c r="BC521">
        <v>95856.346954831839</v>
      </c>
      <c r="BE521">
        <v>95856.346954831839</v>
      </c>
      <c r="BF521">
        <v>1437.8452043224777</v>
      </c>
      <c r="BG521">
        <v>97294.192159154321</v>
      </c>
      <c r="BI521">
        <v>97294.192159154321</v>
      </c>
      <c r="BK521">
        <v>97294.192159154321</v>
      </c>
      <c r="BM521">
        <v>97294.192159154321</v>
      </c>
      <c r="BO521">
        <v>97294.192159154321</v>
      </c>
      <c r="BQ521">
        <v>97294.192159154321</v>
      </c>
      <c r="BS521">
        <v>97294.192159154321</v>
      </c>
      <c r="BT521" s="238">
        <v>97294.19</v>
      </c>
      <c r="BU521" s="238">
        <v>5666500</v>
      </c>
      <c r="BX521" s="238">
        <v>0</v>
      </c>
      <c r="BY521" s="238">
        <v>97295.673076923078</v>
      </c>
      <c r="BZ521" s="238">
        <v>5666500</v>
      </c>
      <c r="CA521" s="238" t="s">
        <v>38</v>
      </c>
      <c r="CB521">
        <v>20000</v>
      </c>
      <c r="CC521">
        <v>117295.67307692308</v>
      </c>
      <c r="CD521" s="238">
        <v>1164800</v>
      </c>
      <c r="CE521" s="238">
        <v>6831300</v>
      </c>
      <c r="CH521" s="238" t="s">
        <v>39</v>
      </c>
      <c r="CI521" s="238" t="s">
        <v>39</v>
      </c>
      <c r="CJ521" t="s">
        <v>8950</v>
      </c>
      <c r="CK521" t="s">
        <v>1167</v>
      </c>
      <c r="CL521" t="s">
        <v>8961</v>
      </c>
      <c r="CM521" t="s">
        <v>8971</v>
      </c>
      <c r="CN521" s="238" t="b">
        <v>1</v>
      </c>
      <c r="CO521" t="s">
        <v>5809</v>
      </c>
      <c r="CQ521" t="s">
        <v>6652</v>
      </c>
      <c r="CR521" t="s">
        <v>3246</v>
      </c>
      <c r="CS521" t="s">
        <v>38</v>
      </c>
      <c r="CT521" t="b">
        <v>1</v>
      </c>
      <c r="CU521">
        <v>5666500</v>
      </c>
      <c r="CV521" t="s">
        <v>9002</v>
      </c>
      <c r="CW521">
        <v>0</v>
      </c>
      <c r="CX521">
        <v>5666500</v>
      </c>
      <c r="CY521">
        <v>0</v>
      </c>
      <c r="CZ521" t="b">
        <v>1</v>
      </c>
      <c r="DA521">
        <v>45582</v>
      </c>
      <c r="DB521" t="s">
        <v>126</v>
      </c>
      <c r="DC521">
        <v>-3.2623626373625703E-3</v>
      </c>
      <c r="DD521">
        <v>-317.4137686231972</v>
      </c>
      <c r="DE521" s="420" cm="1">
        <f t="array" ref="DE521">_xlfn.XLOOKUP("Дом 5"&amp;Реестр_Д5[[#This Row],[№]]&amp;Реестр_Д5[[#This Row],[Статус]],РД[Дом]&amp;РД[№ кв]&amp;РД[Состояние],РД[Дата подачи на регистрацию],"-",0)</f>
        <v>45582</v>
      </c>
    </row>
    <row r="522" spans="1:109" hidden="1" x14ac:dyDescent="0.25">
      <c r="A522" s="238">
        <v>521</v>
      </c>
      <c r="B522" s="238" t="s">
        <v>15</v>
      </c>
      <c r="C522" s="238">
        <v>17</v>
      </c>
      <c r="D522" s="238">
        <v>5</v>
      </c>
      <c r="E522" s="238">
        <v>2</v>
      </c>
      <c r="F522" s="238">
        <v>15.41</v>
      </c>
      <c r="G522" s="238">
        <v>12.78</v>
      </c>
      <c r="H522" s="238"/>
      <c r="I522">
        <v>28.19</v>
      </c>
      <c r="J522" s="238">
        <v>13.45</v>
      </c>
      <c r="K522" s="238">
        <v>3.7</v>
      </c>
      <c r="L522" s="238">
        <v>2.72</v>
      </c>
      <c r="M522" s="238"/>
      <c r="N522" s="238">
        <v>8.2200000000000006</v>
      </c>
      <c r="O522" s="238">
        <v>3.03</v>
      </c>
      <c r="P522" s="238"/>
      <c r="R522" s="238">
        <v>3.03</v>
      </c>
      <c r="S522">
        <v>59.31</v>
      </c>
      <c r="T522">
        <v>56.28</v>
      </c>
      <c r="U522" s="238">
        <v>57.8</v>
      </c>
      <c r="V522">
        <v>57.5</v>
      </c>
      <c r="W522" s="238">
        <v>79149.577499999999</v>
      </c>
      <c r="X522">
        <v>3957.4788749999998</v>
      </c>
      <c r="Y522">
        <v>83107.056375</v>
      </c>
      <c r="Z522">
        <v>2493.2116912500001</v>
      </c>
      <c r="AA522">
        <v>85600.268066250006</v>
      </c>
      <c r="AC522">
        <v>85600.268066250006</v>
      </c>
      <c r="AE522">
        <v>85600.268066250006</v>
      </c>
      <c r="AG522">
        <v>85600.268066250006</v>
      </c>
      <c r="AI522">
        <v>85600.268066250006</v>
      </c>
      <c r="AJ522">
        <v>856.0026806625001</v>
      </c>
      <c r="AK522">
        <v>86456.270746912502</v>
      </c>
      <c r="AL522">
        <v>4322.8135373456253</v>
      </c>
      <c r="AM522">
        <v>90779.084284258133</v>
      </c>
      <c r="AO522">
        <v>90779.084284258133</v>
      </c>
      <c r="AP522">
        <v>1815.5816856851627</v>
      </c>
      <c r="AQ522">
        <v>92594.665969943293</v>
      </c>
      <c r="AS522">
        <v>92594.665969943293</v>
      </c>
      <c r="AT522">
        <v>1851.893319398866</v>
      </c>
      <c r="AU522">
        <v>94446.559289342156</v>
      </c>
      <c r="AW522">
        <v>94446.559289342156</v>
      </c>
      <c r="AX522">
        <v>944.46559289342156</v>
      </c>
      <c r="AY522">
        <v>95391.024882235579</v>
      </c>
      <c r="BA522">
        <v>95391.024882235579</v>
      </c>
      <c r="BC522">
        <v>95391.024882235579</v>
      </c>
      <c r="BE522">
        <v>95391.024882235579</v>
      </c>
      <c r="BG522">
        <v>95391.024882235579</v>
      </c>
      <c r="BI522">
        <v>95391.024882235579</v>
      </c>
      <c r="BK522">
        <v>95391.024882235579</v>
      </c>
      <c r="BM522">
        <v>95391.024882235579</v>
      </c>
      <c r="BO522">
        <v>95391.024882235579</v>
      </c>
      <c r="BQ522">
        <v>95391.024882235579</v>
      </c>
      <c r="BS522">
        <v>95391.024882235579</v>
      </c>
      <c r="BT522" s="238">
        <v>95391.02</v>
      </c>
      <c r="BU522" s="238">
        <v>5513700</v>
      </c>
      <c r="BX522" s="238">
        <v>0</v>
      </c>
      <c r="BY522" s="238">
        <v>95392.733564013863</v>
      </c>
      <c r="BZ522" s="238">
        <v>5513700</v>
      </c>
      <c r="CA522" s="238" t="s">
        <v>38</v>
      </c>
      <c r="CB522">
        <v>20000</v>
      </c>
      <c r="CC522">
        <v>115392.73356401383</v>
      </c>
      <c r="CD522" s="238">
        <v>1156000</v>
      </c>
      <c r="CE522" s="238">
        <v>6669700</v>
      </c>
      <c r="CH522" s="238" t="s">
        <v>39</v>
      </c>
      <c r="CI522" s="238" t="s">
        <v>39</v>
      </c>
      <c r="CJ522" t="s">
        <v>8950</v>
      </c>
      <c r="CK522" t="s">
        <v>1167</v>
      </c>
      <c r="CL522" t="s">
        <v>8961</v>
      </c>
      <c r="CM522" t="s">
        <v>8974</v>
      </c>
      <c r="CN522" s="238" t="b">
        <v>1</v>
      </c>
      <c r="CO522" t="s">
        <v>5810</v>
      </c>
      <c r="CQ522" t="s">
        <v>6652</v>
      </c>
      <c r="CR522" t="s">
        <v>3246</v>
      </c>
      <c r="CS522" t="s">
        <v>38</v>
      </c>
      <c r="CT522" t="b">
        <v>1</v>
      </c>
      <c r="CU522">
        <v>5513700</v>
      </c>
      <c r="CV522" t="s">
        <v>9002</v>
      </c>
      <c r="CW522">
        <v>0</v>
      </c>
      <c r="CX522">
        <v>5513700</v>
      </c>
      <c r="CY522">
        <v>0</v>
      </c>
      <c r="CZ522" t="b">
        <v>1</v>
      </c>
      <c r="DA522">
        <v>45471</v>
      </c>
      <c r="DB522" t="s">
        <v>4177</v>
      </c>
      <c r="DC522">
        <v>-5.1903114186850896E-3</v>
      </c>
      <c r="DD522">
        <v>-495.1179942768855</v>
      </c>
      <c r="DE522" s="420" cm="1">
        <f t="array" ref="DE522">_xlfn.XLOOKUP("Дом 5"&amp;Реестр_Д5[[#This Row],[№]]&amp;Реестр_Д5[[#This Row],[Статус]],РД[Дом]&amp;РД[№ кв]&amp;РД[Состояние],РД[Дата подачи на регистрацию],"-",0)</f>
        <v>45471</v>
      </c>
    </row>
    <row r="523" spans="1:109" hidden="1" x14ac:dyDescent="0.25">
      <c r="A523" s="238">
        <v>522</v>
      </c>
      <c r="B523" s="238" t="s">
        <v>15</v>
      </c>
      <c r="C523" s="238">
        <v>17</v>
      </c>
      <c r="D523" s="238">
        <v>6</v>
      </c>
      <c r="E523" s="238">
        <v>1</v>
      </c>
      <c r="F523" s="238">
        <v>12.71</v>
      </c>
      <c r="G523" s="238"/>
      <c r="H523" s="238"/>
      <c r="I523">
        <v>12.71</v>
      </c>
      <c r="J523" s="238">
        <v>12.55</v>
      </c>
      <c r="K523" s="238">
        <v>4.28</v>
      </c>
      <c r="L523" s="238"/>
      <c r="M523" s="238"/>
      <c r="N523" s="238">
        <v>7.34</v>
      </c>
      <c r="O523" s="238">
        <v>2.84</v>
      </c>
      <c r="P523" s="238"/>
      <c r="R523" s="238">
        <v>2.84</v>
      </c>
      <c r="S523">
        <v>39.72</v>
      </c>
      <c r="T523">
        <v>36.880000000000003</v>
      </c>
      <c r="U523" s="238">
        <v>38.299999999999997</v>
      </c>
      <c r="V523">
        <v>37.85</v>
      </c>
      <c r="W523" s="238">
        <v>87601.5</v>
      </c>
      <c r="X523">
        <v>4380.0749999999998</v>
      </c>
      <c r="Y523">
        <v>91981.574999999997</v>
      </c>
      <c r="Z523">
        <v>2759.4472499999997</v>
      </c>
      <c r="AA523">
        <v>94741.022249999995</v>
      </c>
      <c r="AB523">
        <v>947.41022250000003</v>
      </c>
      <c r="AC523">
        <v>95688.432472500004</v>
      </c>
      <c r="AE523">
        <v>95688.432472500004</v>
      </c>
      <c r="AF523">
        <v>4784.4216236249995</v>
      </c>
      <c r="AG523">
        <v>100472.854096125</v>
      </c>
      <c r="AI523">
        <v>100472.854096125</v>
      </c>
      <c r="AK523">
        <v>100472.854096125</v>
      </c>
      <c r="AM523">
        <v>100472.854096125</v>
      </c>
      <c r="AO523">
        <v>100472.854096125</v>
      </c>
      <c r="AQ523">
        <v>100472.854096125</v>
      </c>
      <c r="AS523">
        <v>100472.854096125</v>
      </c>
      <c r="AU523">
        <v>100472.854096125</v>
      </c>
      <c r="AW523">
        <v>100472.854096125</v>
      </c>
      <c r="AY523">
        <v>100472.854096125</v>
      </c>
      <c r="BA523">
        <v>100472.854096125</v>
      </c>
      <c r="BC523">
        <v>100472.854096125</v>
      </c>
      <c r="BE523">
        <v>100472.854096125</v>
      </c>
      <c r="BG523">
        <v>100472.854096125</v>
      </c>
      <c r="BI523">
        <v>100472.854096125</v>
      </c>
      <c r="BK523">
        <v>100472.854096125</v>
      </c>
      <c r="BM523">
        <v>100472.854096125</v>
      </c>
      <c r="BO523">
        <v>100472.854096125</v>
      </c>
      <c r="BQ523">
        <v>100472.854096125</v>
      </c>
      <c r="BS523">
        <v>100472.854096125</v>
      </c>
      <c r="BT523" s="238">
        <v>100472.85</v>
      </c>
      <c r="BU523" s="238">
        <v>3848200</v>
      </c>
      <c r="BW523">
        <v>0.02</v>
      </c>
      <c r="BX523" s="238">
        <v>76964</v>
      </c>
      <c r="BY523" s="238">
        <v>98465.691906005231</v>
      </c>
      <c r="BZ523" s="238">
        <v>3771236</v>
      </c>
      <c r="CA523" s="238" t="s">
        <v>37</v>
      </c>
      <c r="CB523">
        <v>7500</v>
      </c>
      <c r="CC523">
        <v>105965.69190600525</v>
      </c>
      <c r="CD523" s="238">
        <v>287250</v>
      </c>
      <c r="CE523" s="238">
        <v>4058486</v>
      </c>
      <c r="CG523" t="s">
        <v>4518</v>
      </c>
      <c r="CH523" s="238" t="s">
        <v>39</v>
      </c>
      <c r="CI523" s="238" t="s">
        <v>39</v>
      </c>
      <c r="CJ523" t="s">
        <v>8950</v>
      </c>
      <c r="CK523" t="s">
        <v>1167</v>
      </c>
      <c r="CL523" t="s">
        <v>8961</v>
      </c>
      <c r="CM523" t="s">
        <v>8973</v>
      </c>
      <c r="CN523" s="238" t="b">
        <v>1</v>
      </c>
      <c r="CO523" t="s">
        <v>5811</v>
      </c>
      <c r="CQ523" t="s">
        <v>6652</v>
      </c>
      <c r="CR523" t="s">
        <v>3246</v>
      </c>
      <c r="CS523" t="s">
        <v>37</v>
      </c>
      <c r="CT523" t="b">
        <v>1</v>
      </c>
      <c r="CU523">
        <v>3848200</v>
      </c>
      <c r="CV523" t="s">
        <v>9002</v>
      </c>
      <c r="CW523">
        <v>0</v>
      </c>
      <c r="CX523">
        <v>3848200</v>
      </c>
      <c r="CY523">
        <v>0</v>
      </c>
      <c r="CZ523" t="b">
        <v>1</v>
      </c>
      <c r="DA523">
        <v>45274</v>
      </c>
      <c r="DB523" t="s">
        <v>4177</v>
      </c>
      <c r="DC523">
        <v>-1.1749347258485532E-2</v>
      </c>
      <c r="DD523">
        <v>-1156.9076072507037</v>
      </c>
      <c r="DE523" s="420" cm="1">
        <f t="array" ref="DE523">_xlfn.XLOOKUP("Дом 5"&amp;Реестр_Д5[[#This Row],[№]]&amp;Реестр_Д5[[#This Row],[Статус]],РД[Дом]&amp;РД[№ кв]&amp;РД[Состояние],РД[Дата подачи на регистрацию],"-",0)</f>
        <v>45274</v>
      </c>
    </row>
    <row r="524" spans="1:109" hidden="1" x14ac:dyDescent="0.25">
      <c r="A524" s="238">
        <v>523</v>
      </c>
      <c r="B524" s="238" t="s">
        <v>15</v>
      </c>
      <c r="C524" s="238">
        <v>17</v>
      </c>
      <c r="D524" s="238">
        <v>7</v>
      </c>
      <c r="E524" s="238">
        <v>3</v>
      </c>
      <c r="F524" s="238">
        <v>14.49</v>
      </c>
      <c r="G524" s="238">
        <v>13.98</v>
      </c>
      <c r="H524" s="238">
        <v>11.42</v>
      </c>
      <c r="I524">
        <v>39.89</v>
      </c>
      <c r="J524" s="238">
        <v>16.670000000000002</v>
      </c>
      <c r="K524" s="238">
        <v>4.1399999999999997</v>
      </c>
      <c r="L524" s="238">
        <v>1.89</v>
      </c>
      <c r="M524" s="238"/>
      <c r="N524" s="238">
        <v>11.31</v>
      </c>
      <c r="O524" s="238">
        <v>2.86</v>
      </c>
      <c r="P524" s="238">
        <v>2.79</v>
      </c>
      <c r="Q524">
        <v>5.42</v>
      </c>
      <c r="R524" s="238">
        <v>11.07</v>
      </c>
      <c r="S524">
        <v>84.97</v>
      </c>
      <c r="T524">
        <v>73.900000000000006</v>
      </c>
      <c r="U524" s="238">
        <v>79.44</v>
      </c>
      <c r="V524">
        <v>78.649999999999977</v>
      </c>
      <c r="W524" s="238">
        <v>77803.110000000015</v>
      </c>
      <c r="X524">
        <v>3890.1555000000008</v>
      </c>
      <c r="Y524">
        <v>81693.265500000023</v>
      </c>
      <c r="Z524">
        <v>2450.7979650000002</v>
      </c>
      <c r="AA524">
        <v>84144.063465000014</v>
      </c>
      <c r="AC524">
        <v>84144.063465000014</v>
      </c>
      <c r="AE524">
        <v>84144.063465000014</v>
      </c>
      <c r="AG524">
        <v>84144.063465000014</v>
      </c>
      <c r="AI524">
        <v>84144.063465000014</v>
      </c>
      <c r="AJ524">
        <v>841.44063465000011</v>
      </c>
      <c r="AK524">
        <v>84985.504099650017</v>
      </c>
      <c r="AL524">
        <v>4249.2752049825012</v>
      </c>
      <c r="AM524">
        <v>89234.779304632524</v>
      </c>
      <c r="AO524">
        <v>89234.779304632524</v>
      </c>
      <c r="AP524">
        <v>1784.6955860926505</v>
      </c>
      <c r="AQ524">
        <v>91019.474890725178</v>
      </c>
      <c r="AS524">
        <v>91019.474890725178</v>
      </c>
      <c r="AT524">
        <v>1820.3894978145036</v>
      </c>
      <c r="AU524">
        <v>92839.864388539703</v>
      </c>
      <c r="AV524">
        <v>1000</v>
      </c>
      <c r="AW524">
        <v>93839.864388539703</v>
      </c>
      <c r="AY524">
        <v>93839.864388539703</v>
      </c>
      <c r="AZ524">
        <v>1876.7972877707939</v>
      </c>
      <c r="BA524">
        <v>95716.661676310483</v>
      </c>
      <c r="BC524">
        <v>95716.661676310483</v>
      </c>
      <c r="BD524">
        <v>1914.3332335262096</v>
      </c>
      <c r="BE524">
        <v>97630.994909836692</v>
      </c>
      <c r="BF524">
        <v>2440.7748727459175</v>
      </c>
      <c r="BG524">
        <v>100071.7697825826</v>
      </c>
      <c r="BI524">
        <v>100071.7697825826</v>
      </c>
      <c r="BJ524">
        <v>4002.870791303304</v>
      </c>
      <c r="BK524">
        <v>104074.6405738859</v>
      </c>
      <c r="BL524">
        <v>5203.7320286942959</v>
      </c>
      <c r="BM524">
        <v>109278.3726025802</v>
      </c>
      <c r="BN524">
        <v>14206.188438335426</v>
      </c>
      <c r="BO524">
        <v>123484.56104091564</v>
      </c>
      <c r="BQ524">
        <v>123484.56104091564</v>
      </c>
      <c r="BS524">
        <v>123484.56104091564</v>
      </c>
      <c r="BT524" s="238">
        <v>123484.56</v>
      </c>
      <c r="BU524" s="238">
        <v>9809700</v>
      </c>
      <c r="BW524">
        <v>0.02</v>
      </c>
      <c r="BX524" s="238">
        <v>196194</v>
      </c>
      <c r="BY524" s="238">
        <v>121015.93655589124</v>
      </c>
      <c r="BZ524" s="238">
        <v>9613506</v>
      </c>
      <c r="CA524" s="238" t="s">
        <v>6871</v>
      </c>
      <c r="CB524">
        <v>10000</v>
      </c>
      <c r="CC524">
        <v>131015.93655589124</v>
      </c>
      <c r="CD524" s="238">
        <v>794400</v>
      </c>
      <c r="CE524" s="238">
        <v>10407906</v>
      </c>
      <c r="CF524" t="s">
        <v>4636</v>
      </c>
      <c r="CG524" t="s">
        <v>8044</v>
      </c>
      <c r="CH524" s="238" t="s">
        <v>39</v>
      </c>
      <c r="CI524" s="238" t="s">
        <v>39</v>
      </c>
      <c r="CJ524" t="s">
        <v>8950</v>
      </c>
      <c r="CK524" t="s">
        <v>1167</v>
      </c>
      <c r="CL524" t="s">
        <v>8961</v>
      </c>
      <c r="CM524" t="s">
        <v>8990</v>
      </c>
      <c r="CN524" s="238" t="b">
        <v>1</v>
      </c>
      <c r="CO524" t="s">
        <v>5812</v>
      </c>
      <c r="CQ524" t="s">
        <v>6652</v>
      </c>
      <c r="CR524" t="s">
        <v>3246</v>
      </c>
      <c r="CS524" t="s">
        <v>6871</v>
      </c>
      <c r="CT524" t="b">
        <v>1</v>
      </c>
      <c r="CU524">
        <v>9809700</v>
      </c>
      <c r="CV524" t="s">
        <v>9002</v>
      </c>
      <c r="CW524">
        <v>0</v>
      </c>
      <c r="CX524">
        <v>9809700</v>
      </c>
      <c r="CY524">
        <v>0</v>
      </c>
      <c r="CZ524" t="b">
        <v>1</v>
      </c>
      <c r="DA524">
        <v>45635</v>
      </c>
      <c r="DB524" t="s">
        <v>4177</v>
      </c>
      <c r="DC524">
        <v>-9.9446122860020747E-3</v>
      </c>
      <c r="DD524">
        <v>-1203.4565694757637</v>
      </c>
      <c r="DE524" s="420" cm="1">
        <f t="array" ref="DE524">_xlfn.XLOOKUP("Дом 5"&amp;Реестр_Д5[[#This Row],[№]]&amp;Реестр_Д5[[#This Row],[Статус]],РД[Дом]&amp;РД[№ кв]&amp;РД[Состояние],РД[Дата подачи на регистрацию],"-",0)</f>
        <v>45635</v>
      </c>
    </row>
    <row r="525" spans="1:109" hidden="1" x14ac:dyDescent="0.25">
      <c r="A525" s="238">
        <v>524</v>
      </c>
      <c r="B525" s="238" t="s">
        <v>15</v>
      </c>
      <c r="C525" s="238">
        <v>17</v>
      </c>
      <c r="D525" s="238">
        <v>8</v>
      </c>
      <c r="E525" s="238">
        <v>1</v>
      </c>
      <c r="F525" s="238">
        <v>16.79</v>
      </c>
      <c r="G525" s="238"/>
      <c r="H525" s="238"/>
      <c r="I525">
        <v>16.79</v>
      </c>
      <c r="J525" s="238">
        <v>11.43</v>
      </c>
      <c r="K525" s="238">
        <v>3.56</v>
      </c>
      <c r="L525" s="238"/>
      <c r="M525" s="238"/>
      <c r="N525" s="238">
        <v>6.66</v>
      </c>
      <c r="O525" s="238">
        <v>2.4900000000000002</v>
      </c>
      <c r="P525" s="238"/>
      <c r="R525" s="238">
        <v>2.4900000000000002</v>
      </c>
      <c r="S525">
        <v>40.93</v>
      </c>
      <c r="T525">
        <v>38.44</v>
      </c>
      <c r="U525" s="238">
        <v>39.69</v>
      </c>
      <c r="V525">
        <v>39.549999999999997</v>
      </c>
      <c r="W525" s="238">
        <v>86384.8125</v>
      </c>
      <c r="X525">
        <v>4319.2406250000004</v>
      </c>
      <c r="Y525">
        <v>90704.053125000006</v>
      </c>
      <c r="Z525">
        <v>2721.1215937500001</v>
      </c>
      <c r="AA525">
        <v>93425.17471875</v>
      </c>
      <c r="AB525">
        <v>4204.1328623437503</v>
      </c>
      <c r="AC525">
        <v>97629.307581093744</v>
      </c>
      <c r="AE525">
        <v>97629.307581093744</v>
      </c>
      <c r="AG525">
        <v>97629.307581093744</v>
      </c>
      <c r="AI525">
        <v>97629.307581093744</v>
      </c>
      <c r="AK525">
        <v>97629.307581093744</v>
      </c>
      <c r="AM525">
        <v>97629.307581093744</v>
      </c>
      <c r="AO525">
        <v>97629.307581093744</v>
      </c>
      <c r="AQ525">
        <v>97629.307581093744</v>
      </c>
      <c r="AS525">
        <v>97629.307581093744</v>
      </c>
      <c r="AU525">
        <v>97629.307581093744</v>
      </c>
      <c r="AW525">
        <v>97629.307581093744</v>
      </c>
      <c r="AY525">
        <v>97629.307581093744</v>
      </c>
      <c r="BA525">
        <v>97629.307581093744</v>
      </c>
      <c r="BC525">
        <v>97629.307581093744</v>
      </c>
      <c r="BE525">
        <v>97629.307581093744</v>
      </c>
      <c r="BG525">
        <v>97629.307581093744</v>
      </c>
      <c r="BI525">
        <v>97629.307581093744</v>
      </c>
      <c r="BK525">
        <v>97629.307581093744</v>
      </c>
      <c r="BM525">
        <v>97629.307581093744</v>
      </c>
      <c r="BO525">
        <v>97629.307581093744</v>
      </c>
      <c r="BQ525">
        <v>97629.307581093744</v>
      </c>
      <c r="BS525">
        <v>97629.307581093744</v>
      </c>
      <c r="BT525" s="238">
        <v>97629.31</v>
      </c>
      <c r="BU525" s="238">
        <v>3874907.31</v>
      </c>
      <c r="BW525">
        <v>0.02</v>
      </c>
      <c r="BX525" s="238">
        <v>77498.146200000003</v>
      </c>
      <c r="BY525" s="238">
        <v>95676.723607961714</v>
      </c>
      <c r="BZ525" s="238">
        <v>3797409.16</v>
      </c>
      <c r="CA525" s="238" t="s">
        <v>36</v>
      </c>
      <c r="CC525">
        <v>95676.723607961714</v>
      </c>
      <c r="CD525" s="238">
        <v>0</v>
      </c>
      <c r="CE525" s="238">
        <v>3797409.16</v>
      </c>
      <c r="CG525" t="s">
        <v>3538</v>
      </c>
      <c r="CH525" s="238" t="s">
        <v>39</v>
      </c>
      <c r="CI525" s="238" t="s">
        <v>39</v>
      </c>
      <c r="CJ525" t="s">
        <v>8950</v>
      </c>
      <c r="CK525" t="s">
        <v>1167</v>
      </c>
      <c r="CL525" t="s">
        <v>8961</v>
      </c>
      <c r="CM525" t="s">
        <v>8973</v>
      </c>
      <c r="CN525" s="238" t="b">
        <v>1</v>
      </c>
      <c r="CO525" t="s">
        <v>5813</v>
      </c>
      <c r="CQ525" t="s">
        <v>4895</v>
      </c>
      <c r="CR525" t="s">
        <v>3246</v>
      </c>
      <c r="CS525" t="s">
        <v>36</v>
      </c>
      <c r="CT525" t="b">
        <v>1</v>
      </c>
      <c r="CU525">
        <v>3874907.31</v>
      </c>
      <c r="CV525" t="s">
        <v>9002</v>
      </c>
      <c r="CW525">
        <v>0</v>
      </c>
      <c r="CX525">
        <v>3874907</v>
      </c>
      <c r="CY525">
        <v>0</v>
      </c>
      <c r="CZ525" t="b">
        <v>1</v>
      </c>
      <c r="DA525">
        <v>45197</v>
      </c>
      <c r="DB525" t="s">
        <v>4177</v>
      </c>
      <c r="DC525">
        <v>-3.5273368606700828E-3</v>
      </c>
      <c r="DD525">
        <v>-337.48403389050685</v>
      </c>
      <c r="DE525" s="420" cm="1">
        <f t="array" ref="DE525">_xlfn.XLOOKUP("Дом 5"&amp;Реестр_Д5[[#This Row],[№]]&amp;Реестр_Д5[[#This Row],[Статус]],РД[Дом]&amp;РД[№ кв]&amp;РД[Состояние],РД[Дата подачи на регистрацию],"-",0)</f>
        <v>45197</v>
      </c>
    </row>
    <row r="526" spans="1:109" hidden="1" x14ac:dyDescent="0.25">
      <c r="A526" s="238">
        <v>525</v>
      </c>
      <c r="B526" s="238" t="s">
        <v>15</v>
      </c>
      <c r="C526" s="238">
        <v>18</v>
      </c>
      <c r="D526" s="238">
        <v>1</v>
      </c>
      <c r="E526" s="238">
        <v>0</v>
      </c>
      <c r="F526" s="238">
        <v>13.74</v>
      </c>
      <c r="G526" s="238"/>
      <c r="H526" s="238"/>
      <c r="I526">
        <v>13.74</v>
      </c>
      <c r="J526" s="238">
        <v>5.84</v>
      </c>
      <c r="K526" s="238">
        <v>3.76</v>
      </c>
      <c r="L526" s="238"/>
      <c r="M526" s="238"/>
      <c r="N526" s="238">
        <v>3.73</v>
      </c>
      <c r="O526" s="238">
        <v>4.6500000000000004</v>
      </c>
      <c r="P526" s="238"/>
      <c r="R526" s="238">
        <v>4.6500000000000004</v>
      </c>
      <c r="S526">
        <v>31.72</v>
      </c>
      <c r="T526">
        <v>27.07</v>
      </c>
      <c r="U526" s="238">
        <v>29.4</v>
      </c>
      <c r="V526">
        <v>29.4</v>
      </c>
      <c r="W526" s="238">
        <v>89353.53</v>
      </c>
      <c r="X526">
        <v>4467.6765000000005</v>
      </c>
      <c r="Y526">
        <v>93821.2065</v>
      </c>
      <c r="Z526">
        <v>2814.636195</v>
      </c>
      <c r="AA526">
        <v>96635.842694999999</v>
      </c>
      <c r="AB526">
        <v>8697.2258425500004</v>
      </c>
      <c r="AC526">
        <v>105333.06853755</v>
      </c>
      <c r="AE526">
        <v>105333.06853755</v>
      </c>
      <c r="AG526">
        <v>105333.06853755</v>
      </c>
      <c r="AI526">
        <v>105333.06853755</v>
      </c>
      <c r="AJ526">
        <v>1053.3306853755</v>
      </c>
      <c r="AK526">
        <v>106386.39922292552</v>
      </c>
      <c r="AL526">
        <v>5319.319961146276</v>
      </c>
      <c r="AM526">
        <v>111705.7191840718</v>
      </c>
      <c r="AO526">
        <v>111705.7191840718</v>
      </c>
      <c r="AP526">
        <v>3351.1715755221535</v>
      </c>
      <c r="AQ526">
        <v>115056.89075959394</v>
      </c>
      <c r="AS526">
        <v>115056.89075959394</v>
      </c>
      <c r="AU526">
        <v>115056.89075959394</v>
      </c>
      <c r="AW526">
        <v>115056.89075959394</v>
      </c>
      <c r="AX526">
        <v>1150.5689075959394</v>
      </c>
      <c r="AY526">
        <v>116207.45966718988</v>
      </c>
      <c r="BA526">
        <v>116207.45966718988</v>
      </c>
      <c r="BC526">
        <v>116207.45966718988</v>
      </c>
      <c r="BE526">
        <v>116207.45966718988</v>
      </c>
      <c r="BF526">
        <v>1743.111895007848</v>
      </c>
      <c r="BG526">
        <v>117950.57156219771</v>
      </c>
      <c r="BI526">
        <v>117950.57156219771</v>
      </c>
      <c r="BK526">
        <v>117950.57156219771</v>
      </c>
      <c r="BL526">
        <v>4718.0228624879092</v>
      </c>
      <c r="BM526">
        <v>122668.59442468564</v>
      </c>
      <c r="BN526">
        <v>15946.917275209133</v>
      </c>
      <c r="BO526">
        <v>138615.51169989476</v>
      </c>
      <c r="BP526">
        <v>35</v>
      </c>
      <c r="BQ526">
        <v>138650.51169989476</v>
      </c>
      <c r="BS526">
        <v>138650.51169989476</v>
      </c>
      <c r="BT526" s="238">
        <v>138650.51</v>
      </c>
      <c r="BU526" s="238">
        <v>4076400</v>
      </c>
      <c r="BV526">
        <v>235200</v>
      </c>
      <c r="BX526" s="238">
        <v>235200</v>
      </c>
      <c r="BY526" s="238">
        <v>130653.06122448979</v>
      </c>
      <c r="BZ526" s="238">
        <v>3841200</v>
      </c>
      <c r="CA526" s="238" t="s">
        <v>38</v>
      </c>
      <c r="CB526">
        <v>25000</v>
      </c>
      <c r="CC526">
        <v>155653.06122448982</v>
      </c>
      <c r="CD526" s="238">
        <v>735000.00000000093</v>
      </c>
      <c r="CE526" s="238">
        <v>4576200.0000000009</v>
      </c>
      <c r="CG526" t="s">
        <v>8676</v>
      </c>
      <c r="CH526" s="238" t="s">
        <v>39</v>
      </c>
      <c r="CI526" s="238" t="s">
        <v>39</v>
      </c>
      <c r="CJ526" t="s">
        <v>8950</v>
      </c>
      <c r="CK526" t="s">
        <v>1167</v>
      </c>
      <c r="CL526" t="s">
        <v>8961</v>
      </c>
      <c r="CM526" t="s">
        <v>8970</v>
      </c>
      <c r="CN526" s="238" t="b">
        <v>1</v>
      </c>
      <c r="CO526" t="s">
        <v>5814</v>
      </c>
      <c r="CQ526" t="s">
        <v>6652</v>
      </c>
      <c r="CR526" t="s">
        <v>3246</v>
      </c>
      <c r="CS526" t="s">
        <v>38</v>
      </c>
      <c r="CT526" t="b">
        <v>1</v>
      </c>
      <c r="CU526">
        <v>4076400</v>
      </c>
      <c r="CV526" t="s">
        <v>9002</v>
      </c>
      <c r="CW526">
        <v>0</v>
      </c>
      <c r="CX526">
        <v>4076400</v>
      </c>
      <c r="CY526">
        <v>0</v>
      </c>
      <c r="CZ526" t="b">
        <v>1</v>
      </c>
      <c r="DA526">
        <v>45835</v>
      </c>
      <c r="DB526" t="s">
        <v>4177</v>
      </c>
      <c r="DC526">
        <v>0</v>
      </c>
      <c r="DD526">
        <v>0</v>
      </c>
      <c r="DE526" s="420" cm="1">
        <f t="array" ref="DE526">_xlfn.XLOOKUP("Дом 5"&amp;Реестр_Д5[[#This Row],[№]]&amp;Реестр_Д5[[#This Row],[Статус]],РД[Дом]&amp;РД[№ кв]&amp;РД[Состояние],РД[Дата подачи на регистрацию],"-",0)</f>
        <v>45835</v>
      </c>
    </row>
    <row r="527" spans="1:109" hidden="1" x14ac:dyDescent="0.25">
      <c r="A527" s="238">
        <v>526</v>
      </c>
      <c r="B527" s="238" t="s">
        <v>15</v>
      </c>
      <c r="C527" s="238">
        <v>18</v>
      </c>
      <c r="D527" s="238">
        <v>2</v>
      </c>
      <c r="E527" s="238">
        <v>1</v>
      </c>
      <c r="F527" s="238">
        <v>13.17</v>
      </c>
      <c r="G527" s="238"/>
      <c r="H527" s="238"/>
      <c r="I527">
        <v>13.17</v>
      </c>
      <c r="J527" s="238">
        <v>16.940000000000001</v>
      </c>
      <c r="K527" s="238">
        <v>3.55</v>
      </c>
      <c r="L527" s="238">
        <v>2.41</v>
      </c>
      <c r="M527" s="238"/>
      <c r="N527" s="238">
        <v>5.8</v>
      </c>
      <c r="O527" s="238">
        <v>2.68</v>
      </c>
      <c r="P527" s="238"/>
      <c r="R527" s="238">
        <v>2.68</v>
      </c>
      <c r="S527">
        <v>44.55</v>
      </c>
      <c r="T527">
        <v>41.87</v>
      </c>
      <c r="U527" s="238">
        <v>43.21</v>
      </c>
      <c r="V527">
        <v>42.29999999999999</v>
      </c>
      <c r="W527" s="238">
        <v>85168.125</v>
      </c>
      <c r="X527">
        <v>4258.40625</v>
      </c>
      <c r="Y527">
        <v>89426.53125</v>
      </c>
      <c r="Z527">
        <v>2682.7959375</v>
      </c>
      <c r="AA527">
        <v>92109.327187500006</v>
      </c>
      <c r="AB527">
        <v>921.09327187500003</v>
      </c>
      <c r="AC527">
        <v>93030.420459375004</v>
      </c>
      <c r="AE527">
        <v>93030.420459375004</v>
      </c>
      <c r="AF527">
        <v>4651.52102296875</v>
      </c>
      <c r="AG527">
        <v>97681.941482343755</v>
      </c>
      <c r="AI527">
        <v>97681.941482343755</v>
      </c>
      <c r="AJ527">
        <v>976.81941482343757</v>
      </c>
      <c r="AK527">
        <v>98658.760897167187</v>
      </c>
      <c r="AL527">
        <v>4932.9380448583597</v>
      </c>
      <c r="AM527">
        <v>103591.69894202554</v>
      </c>
      <c r="AO527">
        <v>103591.69894202554</v>
      </c>
      <c r="AP527">
        <v>3107.7509682607661</v>
      </c>
      <c r="AQ527">
        <v>106699.4499102863</v>
      </c>
      <c r="AR527">
        <v>500</v>
      </c>
      <c r="AS527">
        <v>107199.4499102863</v>
      </c>
      <c r="AU527">
        <v>107199.4499102863</v>
      </c>
      <c r="AW527">
        <v>107199.4499102863</v>
      </c>
      <c r="AY527">
        <v>107199.4499102863</v>
      </c>
      <c r="BA527">
        <v>107199.4499102863</v>
      </c>
      <c r="BC527">
        <v>107199.4499102863</v>
      </c>
      <c r="BE527">
        <v>107199.4499102863</v>
      </c>
      <c r="BG527">
        <v>107199.4499102863</v>
      </c>
      <c r="BI527">
        <v>107199.4499102863</v>
      </c>
      <c r="BK527">
        <v>107199.4499102863</v>
      </c>
      <c r="BM527">
        <v>107199.4499102863</v>
      </c>
      <c r="BO527">
        <v>107199.4499102863</v>
      </c>
      <c r="BQ527">
        <v>107199.4499102863</v>
      </c>
      <c r="BS527">
        <v>107199.4499102863</v>
      </c>
      <c r="BT527" s="238">
        <v>107199.45</v>
      </c>
      <c r="BU527" s="238">
        <v>4632100</v>
      </c>
      <c r="BV527">
        <v>88888</v>
      </c>
      <c r="BX527" s="238">
        <v>88888</v>
      </c>
      <c r="BY527" s="238">
        <v>105142.60587826892</v>
      </c>
      <c r="BZ527" s="238">
        <v>4543212</v>
      </c>
      <c r="CA527" s="238" t="s">
        <v>38</v>
      </c>
      <c r="CB527">
        <v>20000</v>
      </c>
      <c r="CC527">
        <v>125142.60587826892</v>
      </c>
      <c r="CD527" s="238">
        <v>864200</v>
      </c>
      <c r="CE527" s="238">
        <v>5407412</v>
      </c>
      <c r="CG527" t="s">
        <v>4185</v>
      </c>
      <c r="CH527" s="238" t="s">
        <v>39</v>
      </c>
      <c r="CI527" s="238" t="s">
        <v>39</v>
      </c>
      <c r="CJ527" t="s">
        <v>8950</v>
      </c>
      <c r="CK527" t="s">
        <v>1167</v>
      </c>
      <c r="CL527" t="s">
        <v>8961</v>
      </c>
      <c r="CM527" t="s">
        <v>8972</v>
      </c>
      <c r="CN527" s="238" t="b">
        <v>1</v>
      </c>
      <c r="CO527" t="s">
        <v>5815</v>
      </c>
      <c r="CQ527" t="s">
        <v>6652</v>
      </c>
      <c r="CR527" t="s">
        <v>3246</v>
      </c>
      <c r="CS527" t="s">
        <v>38</v>
      </c>
      <c r="CT527" t="b">
        <v>1</v>
      </c>
      <c r="CU527">
        <v>4632100</v>
      </c>
      <c r="CV527" t="s">
        <v>9002</v>
      </c>
      <c r="CW527">
        <v>0</v>
      </c>
      <c r="CX527">
        <v>4632100</v>
      </c>
      <c r="CY527">
        <v>0</v>
      </c>
      <c r="CZ527" t="b">
        <v>1</v>
      </c>
      <c r="DA527">
        <v>45393</v>
      </c>
      <c r="DB527" t="s">
        <v>4177</v>
      </c>
      <c r="DC527">
        <v>-2.1059939828743542E-2</v>
      </c>
      <c r="DD527">
        <v>-2214.296953233641</v>
      </c>
      <c r="DE527" s="420" cm="1">
        <f t="array" ref="DE527">_xlfn.XLOOKUP("Дом 5"&amp;Реестр_Д5[[#This Row],[№]]&amp;Реестр_Д5[[#This Row],[Статус]],РД[Дом]&amp;РД[№ кв]&amp;РД[Состояние],РД[Дата подачи на регистрацию],"-",0)</f>
        <v>45393</v>
      </c>
    </row>
    <row r="528" spans="1:109" x14ac:dyDescent="0.25">
      <c r="A528" s="238">
        <v>527</v>
      </c>
      <c r="B528" s="238" t="s">
        <v>15</v>
      </c>
      <c r="C528" s="238">
        <v>18</v>
      </c>
      <c r="D528" s="238">
        <v>3</v>
      </c>
      <c r="E528" s="238">
        <v>0</v>
      </c>
      <c r="F528" s="238">
        <v>7.2</v>
      </c>
      <c r="G528" s="238"/>
      <c r="H528" s="238"/>
      <c r="I528">
        <v>7.2</v>
      </c>
      <c r="J528" s="238">
        <v>5.17</v>
      </c>
      <c r="K528" s="238">
        <v>3.71</v>
      </c>
      <c r="L528" s="238"/>
      <c r="M528" s="238"/>
      <c r="N528" s="238">
        <v>6.96</v>
      </c>
      <c r="O528" s="238">
        <v>2.92</v>
      </c>
      <c r="P528" s="238"/>
      <c r="R528" s="238">
        <v>2.92</v>
      </c>
      <c r="S528">
        <v>25.96</v>
      </c>
      <c r="T528">
        <v>23.04</v>
      </c>
      <c r="U528" s="238">
        <v>24.5</v>
      </c>
      <c r="V528">
        <v>24.6</v>
      </c>
      <c r="W528" s="238">
        <v>91105.56</v>
      </c>
      <c r="X528">
        <v>4555.2780000000002</v>
      </c>
      <c r="Y528">
        <v>95660.838000000003</v>
      </c>
      <c r="Z528">
        <v>2869.8251399999999</v>
      </c>
      <c r="AA528">
        <v>98530.663140000004</v>
      </c>
      <c r="AB528">
        <v>8867.7596826000008</v>
      </c>
      <c r="AC528">
        <v>107398.4228226</v>
      </c>
      <c r="AE528">
        <v>107398.4228226</v>
      </c>
      <c r="AG528">
        <v>107398.4228226</v>
      </c>
      <c r="AI528">
        <v>107398.4228226</v>
      </c>
      <c r="AJ528">
        <v>1073.9842282259999</v>
      </c>
      <c r="AK528">
        <v>108472.407050826</v>
      </c>
      <c r="AL528">
        <v>5423.6203525413002</v>
      </c>
      <c r="AM528">
        <v>113896.0274033673</v>
      </c>
      <c r="AO528">
        <v>113896.0274033673</v>
      </c>
      <c r="AP528">
        <v>3416.880822101019</v>
      </c>
      <c r="AQ528">
        <v>117312.90822546832</v>
      </c>
      <c r="AS528">
        <v>117312.90822546832</v>
      </c>
      <c r="AU528">
        <v>117312.90822546832</v>
      </c>
      <c r="AW528">
        <v>117312.90822546832</v>
      </c>
      <c r="AX528">
        <v>1173.1290822546832</v>
      </c>
      <c r="AY528">
        <v>118486.03730772302</v>
      </c>
      <c r="BA528">
        <v>118486.03730772302</v>
      </c>
      <c r="BB528">
        <v>592.43018653861509</v>
      </c>
      <c r="BC528">
        <v>119078.46749426164</v>
      </c>
      <c r="BE528">
        <v>119078.46749426164</v>
      </c>
      <c r="BF528">
        <v>2976.961687356541</v>
      </c>
      <c r="BG528">
        <v>122055.42918161816</v>
      </c>
      <c r="BI528">
        <v>122055.42918161816</v>
      </c>
      <c r="BK528">
        <v>122055.42918161816</v>
      </c>
      <c r="BL528">
        <v>4882.2171672647264</v>
      </c>
      <c r="BM528">
        <v>126937.64634888287</v>
      </c>
      <c r="BN528">
        <v>16501.894025354777</v>
      </c>
      <c r="BO528">
        <v>143439.54037423767</v>
      </c>
      <c r="BP528">
        <v>35</v>
      </c>
      <c r="BQ528">
        <v>143474.54037423767</v>
      </c>
      <c r="BS528">
        <v>143474.54037423767</v>
      </c>
      <c r="BT528" s="238">
        <v>143474.54</v>
      </c>
      <c r="BU528" s="238">
        <v>3529500</v>
      </c>
      <c r="BX528" s="238">
        <v>0</v>
      </c>
      <c r="BY528" s="238">
        <v>143475.60975609755</v>
      </c>
      <c r="BZ528" s="238">
        <v>3529500</v>
      </c>
      <c r="CA528" s="238" t="s">
        <v>6871</v>
      </c>
      <c r="CB528">
        <v>10000</v>
      </c>
      <c r="CC528">
        <v>153475.60975609755</v>
      </c>
      <c r="CD528" s="238">
        <v>246000</v>
      </c>
      <c r="CE528" s="238">
        <v>3775500</v>
      </c>
      <c r="CH528" s="238" t="s">
        <v>3</v>
      </c>
      <c r="CI528" s="238" t="s">
        <v>3</v>
      </c>
      <c r="CJ528" t="s">
        <v>8951</v>
      </c>
      <c r="CK528" t="s">
        <v>1167</v>
      </c>
      <c r="CL528" t="s">
        <v>8961</v>
      </c>
      <c r="CM528" t="s">
        <v>8970</v>
      </c>
      <c r="CN528" s="238" t="b">
        <v>1</v>
      </c>
      <c r="CO528" t="s">
        <v>5816</v>
      </c>
      <c r="CQ528" t="s">
        <v>6652</v>
      </c>
      <c r="CR528" t="s">
        <v>3124</v>
      </c>
      <c r="CS528" t="s">
        <v>36</v>
      </c>
      <c r="CT528" t="b">
        <v>0</v>
      </c>
      <c r="CU528">
        <v>3529500</v>
      </c>
      <c r="CV528">
        <v>3529500</v>
      </c>
      <c r="CW528">
        <v>0</v>
      </c>
      <c r="CX528">
        <v>0</v>
      </c>
      <c r="CY528">
        <v>0</v>
      </c>
      <c r="CZ528" t="b">
        <v>1</v>
      </c>
      <c r="DA528" t="s">
        <v>4246</v>
      </c>
      <c r="DB528" t="s">
        <v>1167</v>
      </c>
      <c r="DC528">
        <v>4.0816326530612734E-3</v>
      </c>
      <c r="DD528">
        <v>585.61473369836438</v>
      </c>
      <c r="DE528" s="420" t="str" cm="1">
        <f t="array" ref="DE52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29" spans="1:109" hidden="1" x14ac:dyDescent="0.25">
      <c r="A529" s="238">
        <v>528</v>
      </c>
      <c r="B529" s="238" t="s">
        <v>15</v>
      </c>
      <c r="C529" s="238">
        <v>18</v>
      </c>
      <c r="D529" s="238">
        <v>4</v>
      </c>
      <c r="E529" s="238">
        <v>2</v>
      </c>
      <c r="F529" s="238">
        <v>14.48</v>
      </c>
      <c r="G529" s="238">
        <v>11.42</v>
      </c>
      <c r="H529" s="238"/>
      <c r="I529">
        <v>25.9</v>
      </c>
      <c r="J529" s="238">
        <v>15.86</v>
      </c>
      <c r="K529" s="238">
        <v>3.01</v>
      </c>
      <c r="L529" s="238">
        <v>2.67</v>
      </c>
      <c r="M529" s="238"/>
      <c r="N529" s="238">
        <v>9.44</v>
      </c>
      <c r="O529" s="238">
        <v>2.72</v>
      </c>
      <c r="P529" s="238"/>
      <c r="R529" s="238">
        <v>2.72</v>
      </c>
      <c r="S529">
        <v>59.6</v>
      </c>
      <c r="T529">
        <v>56.88</v>
      </c>
      <c r="U529" s="238">
        <v>58.24</v>
      </c>
      <c r="V529">
        <v>57.9</v>
      </c>
      <c r="W529" s="238">
        <v>79535.67300000001</v>
      </c>
      <c r="X529">
        <v>3976.7836500000008</v>
      </c>
      <c r="Y529">
        <v>83512.456649999993</v>
      </c>
      <c r="Z529">
        <v>2505.3736994999999</v>
      </c>
      <c r="AA529">
        <v>86017.8303495</v>
      </c>
      <c r="AC529">
        <v>86017.8303495</v>
      </c>
      <c r="AE529">
        <v>86017.8303495</v>
      </c>
      <c r="AG529">
        <v>86017.8303495</v>
      </c>
      <c r="AI529">
        <v>86017.8303495</v>
      </c>
      <c r="AJ529">
        <v>860.17830349500002</v>
      </c>
      <c r="AK529">
        <v>86878.008652995006</v>
      </c>
      <c r="AL529">
        <v>4343.9004326497507</v>
      </c>
      <c r="AM529">
        <v>91221.909085644758</v>
      </c>
      <c r="AO529">
        <v>91221.909085644758</v>
      </c>
      <c r="AP529">
        <v>1824.4381817128951</v>
      </c>
      <c r="AQ529">
        <v>93046.347267357647</v>
      </c>
      <c r="AS529">
        <v>93046.347267357647</v>
      </c>
      <c r="AT529">
        <v>1860.9269453471527</v>
      </c>
      <c r="AU529">
        <v>94907.274212704797</v>
      </c>
      <c r="AW529">
        <v>94907.274212704797</v>
      </c>
      <c r="AX529">
        <v>949.07274212704795</v>
      </c>
      <c r="AY529">
        <v>95856.346954831839</v>
      </c>
      <c r="BA529">
        <v>95856.346954831839</v>
      </c>
      <c r="BC529">
        <v>95856.346954831839</v>
      </c>
      <c r="BE529">
        <v>95856.346954831839</v>
      </c>
      <c r="BF529">
        <v>1437.8452043224777</v>
      </c>
      <c r="BG529">
        <v>97294.192159154321</v>
      </c>
      <c r="BI529">
        <v>97294.192159154321</v>
      </c>
      <c r="BJ529">
        <v>3891.7676863661727</v>
      </c>
      <c r="BK529">
        <v>101185.9598455205</v>
      </c>
      <c r="BL529">
        <v>6071.1575907312299</v>
      </c>
      <c r="BM529">
        <v>107257.11743625172</v>
      </c>
      <c r="BN529">
        <v>13943.425266712726</v>
      </c>
      <c r="BO529">
        <v>121200.54270296446</v>
      </c>
      <c r="BP529">
        <v>35</v>
      </c>
      <c r="BQ529">
        <v>121235.54270296446</v>
      </c>
      <c r="BS529">
        <v>121235.54270296446</v>
      </c>
      <c r="BT529" s="238">
        <v>121235.54</v>
      </c>
      <c r="BU529" s="238">
        <v>7060800</v>
      </c>
      <c r="BV529">
        <v>300000</v>
      </c>
      <c r="BW529">
        <v>0.03</v>
      </c>
      <c r="BX529" s="238">
        <v>511824</v>
      </c>
      <c r="BY529" s="238">
        <v>112448.07692307692</v>
      </c>
      <c r="BZ529" s="238">
        <v>6548976</v>
      </c>
      <c r="CA529" s="238" t="s">
        <v>38</v>
      </c>
      <c r="CB529">
        <v>25000</v>
      </c>
      <c r="CC529">
        <v>137448.07692307694</v>
      </c>
      <c r="CD529" s="238">
        <v>1456000.0000000007</v>
      </c>
      <c r="CE529" s="238">
        <v>8004976.0000000019</v>
      </c>
      <c r="CG529" t="s">
        <v>8585</v>
      </c>
      <c r="CH529" s="238" t="s">
        <v>39</v>
      </c>
      <c r="CI529" s="238" t="s">
        <v>39</v>
      </c>
      <c r="CJ529" t="s">
        <v>8950</v>
      </c>
      <c r="CK529" t="s">
        <v>1167</v>
      </c>
      <c r="CL529" t="s">
        <v>8961</v>
      </c>
      <c r="CM529" t="s">
        <v>8971</v>
      </c>
      <c r="CN529" s="238" t="b">
        <v>1</v>
      </c>
      <c r="CO529" t="s">
        <v>5817</v>
      </c>
      <c r="CQ529" t="s">
        <v>6652</v>
      </c>
      <c r="CR529" t="s">
        <v>3246</v>
      </c>
      <c r="CS529" t="s">
        <v>38</v>
      </c>
      <c r="CT529" t="b">
        <v>1</v>
      </c>
      <c r="CU529">
        <v>7060800</v>
      </c>
      <c r="CV529" t="s">
        <v>9002</v>
      </c>
      <c r="CW529">
        <v>0</v>
      </c>
      <c r="CX529">
        <v>7060800</v>
      </c>
      <c r="CY529">
        <v>0</v>
      </c>
      <c r="CZ529" t="b">
        <v>1</v>
      </c>
      <c r="DA529">
        <v>45737</v>
      </c>
      <c r="DB529" t="s">
        <v>126</v>
      </c>
      <c r="DC529">
        <v>-5.8379120879121782E-3</v>
      </c>
      <c r="DD529">
        <v>-656.46198753170927</v>
      </c>
      <c r="DE529" s="420" cm="1">
        <f t="array" ref="DE529">_xlfn.XLOOKUP("Дом 5"&amp;Реестр_Д5[[#This Row],[№]]&amp;Реестр_Д5[[#This Row],[Статус]],РД[Дом]&amp;РД[№ кв]&amp;РД[Состояние],РД[Дата подачи на регистрацию],"-",0)</f>
        <v>45737</v>
      </c>
    </row>
    <row r="530" spans="1:109" hidden="1" x14ac:dyDescent="0.25">
      <c r="A530" s="238">
        <v>529</v>
      </c>
      <c r="B530" s="238" t="s">
        <v>15</v>
      </c>
      <c r="C530" s="238">
        <v>18</v>
      </c>
      <c r="D530" s="238">
        <v>5</v>
      </c>
      <c r="E530" s="238">
        <v>2</v>
      </c>
      <c r="F530" s="238">
        <v>15.41</v>
      </c>
      <c r="G530" s="238">
        <v>12.78</v>
      </c>
      <c r="H530" s="238"/>
      <c r="I530">
        <v>28.19</v>
      </c>
      <c r="J530" s="238">
        <v>13.45</v>
      </c>
      <c r="K530" s="238">
        <v>3.7</v>
      </c>
      <c r="L530" s="238">
        <v>2.72</v>
      </c>
      <c r="M530" s="238"/>
      <c r="N530" s="238">
        <v>8.2200000000000006</v>
      </c>
      <c r="O530" s="238">
        <v>3.03</v>
      </c>
      <c r="P530" s="238"/>
      <c r="R530" s="238">
        <v>3.03</v>
      </c>
      <c r="S530">
        <v>59.31</v>
      </c>
      <c r="T530">
        <v>56.28</v>
      </c>
      <c r="U530" s="238">
        <v>57.8</v>
      </c>
      <c r="V530">
        <v>57.3</v>
      </c>
      <c r="W530" s="238">
        <v>79149.577499999999</v>
      </c>
      <c r="X530">
        <v>3957.4788749999998</v>
      </c>
      <c r="Y530">
        <v>83107.056375</v>
      </c>
      <c r="Z530">
        <v>2493.2116912500001</v>
      </c>
      <c r="AA530">
        <v>85600.268066250006</v>
      </c>
      <c r="AC530">
        <v>85600.268066250006</v>
      </c>
      <c r="AE530">
        <v>85600.268066250006</v>
      </c>
      <c r="AG530">
        <v>85600.268066250006</v>
      </c>
      <c r="AI530">
        <v>85600.268066250006</v>
      </c>
      <c r="AK530">
        <v>85600.268066250006</v>
      </c>
      <c r="AM530">
        <v>85600.268066250006</v>
      </c>
      <c r="AO530">
        <v>85600.268066250006</v>
      </c>
      <c r="AQ530">
        <v>85600.268066250006</v>
      </c>
      <c r="AS530">
        <v>85600.268066250006</v>
      </c>
      <c r="AU530">
        <v>85600.268066250006</v>
      </c>
      <c r="AW530">
        <v>85600.268066250006</v>
      </c>
      <c r="AY530">
        <v>85600.268066250006</v>
      </c>
      <c r="BA530">
        <v>85600.268066250006</v>
      </c>
      <c r="BC530">
        <v>85600.268066250006</v>
      </c>
      <c r="BE530">
        <v>85600.268066250006</v>
      </c>
      <c r="BG530">
        <v>85600.268066250006</v>
      </c>
      <c r="BI530">
        <v>85600.268066250006</v>
      </c>
      <c r="BK530">
        <v>85600.268066250006</v>
      </c>
      <c r="BM530">
        <v>85600.268066250006</v>
      </c>
      <c r="BO530">
        <v>85600.268066250006</v>
      </c>
      <c r="BQ530">
        <v>85600.268066250006</v>
      </c>
      <c r="BS530">
        <v>85600.268066250006</v>
      </c>
      <c r="BT530" s="238">
        <v>85600.27</v>
      </c>
      <c r="BU530" s="238">
        <v>4947695.6100000003</v>
      </c>
      <c r="BW530">
        <v>0.03</v>
      </c>
      <c r="BX530" s="238">
        <v>148430.8683</v>
      </c>
      <c r="BY530" s="238">
        <v>83032.261937716277</v>
      </c>
      <c r="BZ530" s="238">
        <v>4799264.74</v>
      </c>
      <c r="CA530" s="238" t="s">
        <v>37</v>
      </c>
      <c r="CB530">
        <v>7500</v>
      </c>
      <c r="CC530">
        <v>90532.261937716277</v>
      </c>
      <c r="CD530" s="238">
        <v>433500</v>
      </c>
      <c r="CE530" s="238">
        <v>5232764.74</v>
      </c>
      <c r="CG530" t="s">
        <v>3538</v>
      </c>
      <c r="CH530" s="238" t="s">
        <v>39</v>
      </c>
      <c r="CI530" s="238" t="s">
        <v>39</v>
      </c>
      <c r="CJ530" t="s">
        <v>8950</v>
      </c>
      <c r="CK530" t="s">
        <v>1167</v>
      </c>
      <c r="CL530" t="s">
        <v>8961</v>
      </c>
      <c r="CM530" t="s">
        <v>8974</v>
      </c>
      <c r="CN530" s="238" t="b">
        <v>1</v>
      </c>
      <c r="CO530" t="s">
        <v>5818</v>
      </c>
      <c r="CQ530" t="s">
        <v>4895</v>
      </c>
      <c r="CR530" t="s">
        <v>3246</v>
      </c>
      <c r="CS530" t="s">
        <v>37</v>
      </c>
      <c r="CT530" t="b">
        <v>1</v>
      </c>
      <c r="CU530">
        <v>4947695.6100000003</v>
      </c>
      <c r="CV530" t="s">
        <v>9002</v>
      </c>
      <c r="CW530">
        <v>0</v>
      </c>
      <c r="CX530">
        <v>4947696</v>
      </c>
      <c r="CY530">
        <v>0</v>
      </c>
      <c r="CZ530" t="b">
        <v>1</v>
      </c>
      <c r="DA530">
        <v>45230</v>
      </c>
      <c r="DB530" t="s">
        <v>3901</v>
      </c>
      <c r="DC530">
        <v>-8.650519031141779E-3</v>
      </c>
      <c r="DD530">
        <v>-718.27216209096377</v>
      </c>
      <c r="DE530" s="420" cm="1">
        <f t="array" ref="DE530">_xlfn.XLOOKUP("Дом 5"&amp;Реестр_Д5[[#This Row],[№]]&amp;Реестр_Д5[[#This Row],[Статус]],РД[Дом]&amp;РД[№ кв]&amp;РД[Состояние],РД[Дата подачи на регистрацию],"-",0)</f>
        <v>45230</v>
      </c>
    </row>
    <row r="531" spans="1:109" hidden="1" x14ac:dyDescent="0.25">
      <c r="A531" s="238">
        <v>530</v>
      </c>
      <c r="B531" s="238" t="s">
        <v>15</v>
      </c>
      <c r="C531" s="238">
        <v>18</v>
      </c>
      <c r="D531" s="238">
        <v>6</v>
      </c>
      <c r="E531" s="238">
        <v>1</v>
      </c>
      <c r="F531" s="238">
        <v>12.71</v>
      </c>
      <c r="G531" s="238"/>
      <c r="H531" s="238"/>
      <c r="I531">
        <v>12.71</v>
      </c>
      <c r="J531" s="238">
        <v>12.55</v>
      </c>
      <c r="K531" s="238">
        <v>4.28</v>
      </c>
      <c r="L531" s="238"/>
      <c r="M531" s="238"/>
      <c r="N531" s="238">
        <v>7.34</v>
      </c>
      <c r="O531" s="238">
        <v>2.84</v>
      </c>
      <c r="P531" s="238"/>
      <c r="R531" s="238">
        <v>2.84</v>
      </c>
      <c r="S531">
        <v>39.72</v>
      </c>
      <c r="T531">
        <v>36.880000000000003</v>
      </c>
      <c r="U531" s="238">
        <v>38.299999999999997</v>
      </c>
      <c r="V531">
        <v>37.700000000000003</v>
      </c>
      <c r="W531" s="238">
        <v>87601.5</v>
      </c>
      <c r="X531">
        <v>4380.0749999999998</v>
      </c>
      <c r="Y531">
        <v>91981.574999999997</v>
      </c>
      <c r="Z531">
        <v>2759.4472499999997</v>
      </c>
      <c r="AA531">
        <v>94741.022249999995</v>
      </c>
      <c r="AB531">
        <v>947.41022250000003</v>
      </c>
      <c r="AC531">
        <v>95688.432472500004</v>
      </c>
      <c r="AE531">
        <v>95688.432472500004</v>
      </c>
      <c r="AF531">
        <v>4784.4216236249995</v>
      </c>
      <c r="AG531">
        <v>100472.854096125</v>
      </c>
      <c r="AI531">
        <v>100472.854096125</v>
      </c>
      <c r="AJ531">
        <v>1004.72854096125</v>
      </c>
      <c r="AK531">
        <v>101477.58263708623</v>
      </c>
      <c r="AL531">
        <v>5073.8791318543126</v>
      </c>
      <c r="AM531">
        <v>106551.46176894056</v>
      </c>
      <c r="AO531">
        <v>106551.46176894056</v>
      </c>
      <c r="AP531">
        <v>3196.5438530682168</v>
      </c>
      <c r="AQ531">
        <v>109748.00562200876</v>
      </c>
      <c r="AS531">
        <v>109748.00562200876</v>
      </c>
      <c r="AU531">
        <v>109748.00562200876</v>
      </c>
      <c r="AW531">
        <v>109748.00562200876</v>
      </c>
      <c r="AY531">
        <v>109748.00562200876</v>
      </c>
      <c r="AZ531">
        <v>1097.4800562200878</v>
      </c>
      <c r="BA531">
        <v>110845.48567822886</v>
      </c>
      <c r="BB531">
        <v>554.22742839114426</v>
      </c>
      <c r="BC531">
        <v>111399.71310661999</v>
      </c>
      <c r="BE531">
        <v>111399.71310661999</v>
      </c>
      <c r="BF531">
        <v>2784.9928276655</v>
      </c>
      <c r="BG531">
        <v>114184.70593428548</v>
      </c>
      <c r="BI531">
        <v>114184.70593428548</v>
      </c>
      <c r="BJ531">
        <v>2283.6941186857098</v>
      </c>
      <c r="BK531">
        <v>116468.40005297121</v>
      </c>
      <c r="BL531">
        <v>5823.4200026485605</v>
      </c>
      <c r="BM531">
        <v>122291.82005561976</v>
      </c>
      <c r="BN531">
        <v>15897.936607230571</v>
      </c>
      <c r="BO531">
        <v>138189.75666285033</v>
      </c>
      <c r="BP531">
        <v>35</v>
      </c>
      <c r="BQ531">
        <v>138224.75666285033</v>
      </c>
      <c r="BS531">
        <v>138224.75666285033</v>
      </c>
      <c r="BT531" s="238">
        <v>138224.76</v>
      </c>
      <c r="BU531" s="238">
        <v>5294100</v>
      </c>
      <c r="BW531">
        <v>0.02</v>
      </c>
      <c r="BX531" s="238">
        <v>105882</v>
      </c>
      <c r="BY531" s="238">
        <v>135462.61096605746</v>
      </c>
      <c r="BZ531" s="238">
        <v>5188218</v>
      </c>
      <c r="CA531" s="238" t="s">
        <v>38</v>
      </c>
      <c r="CB531">
        <v>25000</v>
      </c>
      <c r="CC531">
        <v>160462.61096605746</v>
      </c>
      <c r="CD531" s="238">
        <v>957500</v>
      </c>
      <c r="CE531" s="238">
        <v>6145718</v>
      </c>
      <c r="CG531" t="s">
        <v>321</v>
      </c>
      <c r="CH531" s="238" t="s">
        <v>39</v>
      </c>
      <c r="CI531" s="238" t="s">
        <v>39</v>
      </c>
      <c r="CJ531" t="s">
        <v>8950</v>
      </c>
      <c r="CK531" t="s">
        <v>1167</v>
      </c>
      <c r="CL531" t="s">
        <v>8961</v>
      </c>
      <c r="CM531" t="s">
        <v>8973</v>
      </c>
      <c r="CN531" s="238" t="b">
        <v>1</v>
      </c>
      <c r="CO531" t="s">
        <v>5819</v>
      </c>
      <c r="CQ531" t="s">
        <v>6652</v>
      </c>
      <c r="CR531" t="s">
        <v>3246</v>
      </c>
      <c r="CS531" t="s">
        <v>38</v>
      </c>
      <c r="CT531" t="b">
        <v>1</v>
      </c>
      <c r="CU531">
        <v>5294100</v>
      </c>
      <c r="CV531" t="s">
        <v>9002</v>
      </c>
      <c r="CW531">
        <v>0</v>
      </c>
      <c r="CX531">
        <v>5294100</v>
      </c>
      <c r="CY531">
        <v>0</v>
      </c>
      <c r="CZ531" t="b">
        <v>1</v>
      </c>
      <c r="DA531">
        <v>45741</v>
      </c>
      <c r="DB531" t="s">
        <v>8512</v>
      </c>
      <c r="DC531">
        <v>-1.5665796344647376E-2</v>
      </c>
      <c r="DD531">
        <v>-2122.1296757084524</v>
      </c>
      <c r="DE531" s="420" cm="1">
        <f t="array" ref="DE531">_xlfn.XLOOKUP("Дом 5"&amp;Реестр_Д5[[#This Row],[№]]&amp;Реестр_Д5[[#This Row],[Статус]],РД[Дом]&amp;РД[№ кв]&amp;РД[Состояние],РД[Дата подачи на регистрацию],"-",0)</f>
        <v>45741</v>
      </c>
    </row>
    <row r="532" spans="1:109" hidden="1" x14ac:dyDescent="0.25">
      <c r="A532" s="238">
        <v>531</v>
      </c>
      <c r="B532" s="238" t="s">
        <v>15</v>
      </c>
      <c r="C532" s="238">
        <v>18</v>
      </c>
      <c r="D532" s="238">
        <v>7</v>
      </c>
      <c r="E532" s="238">
        <v>3</v>
      </c>
      <c r="F532" s="238">
        <v>14.49</v>
      </c>
      <c r="G532" s="238">
        <v>13.98</v>
      </c>
      <c r="H532" s="238">
        <v>11.42</v>
      </c>
      <c r="I532">
        <v>39.89</v>
      </c>
      <c r="J532" s="238">
        <v>16.670000000000002</v>
      </c>
      <c r="K532" s="238">
        <v>4.1399999999999997</v>
      </c>
      <c r="L532" s="238">
        <v>1.89</v>
      </c>
      <c r="M532" s="238"/>
      <c r="N532" s="238">
        <v>11.31</v>
      </c>
      <c r="O532" s="238">
        <v>2.86</v>
      </c>
      <c r="P532" s="238">
        <v>2.79</v>
      </c>
      <c r="Q532">
        <v>5.42</v>
      </c>
      <c r="R532" s="238">
        <v>11.07</v>
      </c>
      <c r="S532">
        <v>84.97</v>
      </c>
      <c r="T532">
        <v>73.900000000000006</v>
      </c>
      <c r="U532" s="238">
        <v>79.44</v>
      </c>
      <c r="V532">
        <v>78.45</v>
      </c>
      <c r="W532" s="238">
        <v>77803.110000000015</v>
      </c>
      <c r="X532">
        <v>3890.1555000000008</v>
      </c>
      <c r="Y532">
        <v>81693.265500000023</v>
      </c>
      <c r="Z532">
        <v>2450.7979650000002</v>
      </c>
      <c r="AA532">
        <v>84144.063465000014</v>
      </c>
      <c r="AC532">
        <v>84144.063465000014</v>
      </c>
      <c r="AE532">
        <v>84144.063465000014</v>
      </c>
      <c r="AG532">
        <v>84144.063465000014</v>
      </c>
      <c r="AI532">
        <v>84144.063465000014</v>
      </c>
      <c r="AJ532">
        <v>841.44063465000011</v>
      </c>
      <c r="AK532">
        <v>84985.504099650017</v>
      </c>
      <c r="AL532">
        <v>4249.2752049825012</v>
      </c>
      <c r="AM532">
        <v>89234.779304632524</v>
      </c>
      <c r="AO532">
        <v>89234.779304632524</v>
      </c>
      <c r="AQ532">
        <v>89234.779304632524</v>
      </c>
      <c r="AS532">
        <v>89234.779304632524</v>
      </c>
      <c r="AU532">
        <v>89234.779304632524</v>
      </c>
      <c r="AW532">
        <v>89234.779304632524</v>
      </c>
      <c r="AY532">
        <v>89234.779304632524</v>
      </c>
      <c r="BA532">
        <v>89234.779304632524</v>
      </c>
      <c r="BC532">
        <v>89234.779304632524</v>
      </c>
      <c r="BE532">
        <v>89234.779304632524</v>
      </c>
      <c r="BG532">
        <v>89234.779304632524</v>
      </c>
      <c r="BI532">
        <v>89234.779304632524</v>
      </c>
      <c r="BK532">
        <v>89234.779304632524</v>
      </c>
      <c r="BM532">
        <v>89234.779304632524</v>
      </c>
      <c r="BO532">
        <v>89234.779304632524</v>
      </c>
      <c r="BQ532">
        <v>89234.779304632524</v>
      </c>
      <c r="BS532">
        <v>89234.779304632524</v>
      </c>
      <c r="BT532" s="238">
        <v>89234.78</v>
      </c>
      <c r="BU532" s="238">
        <v>7088900</v>
      </c>
      <c r="BX532" s="238">
        <v>0</v>
      </c>
      <c r="BY532" s="238">
        <v>89235.901309164154</v>
      </c>
      <c r="BZ532" s="238">
        <v>7088900</v>
      </c>
      <c r="CA532" s="238" t="s">
        <v>6871</v>
      </c>
      <c r="CB532">
        <v>7000</v>
      </c>
      <c r="CC532">
        <v>96235.901309164154</v>
      </c>
      <c r="CD532" s="238">
        <v>556080</v>
      </c>
      <c r="CE532" s="238">
        <v>7644980</v>
      </c>
      <c r="CF532" t="s">
        <v>4636</v>
      </c>
      <c r="CH532" s="238" t="s">
        <v>39</v>
      </c>
      <c r="CI532" s="238" t="s">
        <v>39</v>
      </c>
      <c r="CJ532" t="s">
        <v>8950</v>
      </c>
      <c r="CK532" t="s">
        <v>1167</v>
      </c>
      <c r="CL532" t="s">
        <v>8961</v>
      </c>
      <c r="CM532" t="s">
        <v>8990</v>
      </c>
      <c r="CN532" s="238" t="b">
        <v>1</v>
      </c>
      <c r="CO532" t="s">
        <v>5820</v>
      </c>
      <c r="CQ532" t="s">
        <v>6652</v>
      </c>
      <c r="CR532" t="s">
        <v>3246</v>
      </c>
      <c r="CS532" t="s">
        <v>6871</v>
      </c>
      <c r="CT532" t="b">
        <v>1</v>
      </c>
      <c r="CU532">
        <v>7088900</v>
      </c>
      <c r="CV532" t="s">
        <v>9002</v>
      </c>
      <c r="CW532">
        <v>0</v>
      </c>
      <c r="CX532">
        <v>7088900</v>
      </c>
      <c r="CY532">
        <v>0</v>
      </c>
      <c r="CZ532" t="b">
        <v>1</v>
      </c>
      <c r="DA532">
        <v>45315</v>
      </c>
      <c r="DB532" t="s">
        <v>6908</v>
      </c>
      <c r="DC532">
        <v>-1.2462235649546738E-2</v>
      </c>
      <c r="DD532">
        <v>-1112.0788305144999</v>
      </c>
      <c r="DE532" s="420" cm="1">
        <f t="array" ref="DE532">_xlfn.XLOOKUP("Дом 5"&amp;Реестр_Д5[[#This Row],[№]]&amp;Реестр_Д5[[#This Row],[Статус]],РД[Дом]&amp;РД[№ кв]&amp;РД[Состояние],РД[Дата подачи на регистрацию],"-",0)</f>
        <v>45315</v>
      </c>
    </row>
    <row r="533" spans="1:109" hidden="1" x14ac:dyDescent="0.25">
      <c r="A533" s="238">
        <v>532</v>
      </c>
      <c r="B533" s="238" t="s">
        <v>15</v>
      </c>
      <c r="C533" s="238">
        <v>18</v>
      </c>
      <c r="D533" s="238">
        <v>8</v>
      </c>
      <c r="E533" s="238">
        <v>1</v>
      </c>
      <c r="F533" s="238">
        <v>16.79</v>
      </c>
      <c r="G533" s="238"/>
      <c r="H533" s="238"/>
      <c r="I533">
        <v>16.79</v>
      </c>
      <c r="J533" s="238">
        <v>11.43</v>
      </c>
      <c r="K533" s="238">
        <v>3.56</v>
      </c>
      <c r="L533" s="238"/>
      <c r="M533" s="238"/>
      <c r="N533" s="238">
        <v>6.66</v>
      </c>
      <c r="O533" s="238">
        <v>2.4900000000000002</v>
      </c>
      <c r="P533" s="238"/>
      <c r="R533" s="238">
        <v>2.4900000000000002</v>
      </c>
      <c r="S533">
        <v>40.93</v>
      </c>
      <c r="T533">
        <v>38.44</v>
      </c>
      <c r="U533" s="238">
        <v>39.69</v>
      </c>
      <c r="V533">
        <v>39.549999999999997</v>
      </c>
      <c r="W533" s="238">
        <v>86384.8125</v>
      </c>
      <c r="X533">
        <v>4319.2406250000004</v>
      </c>
      <c r="Y533">
        <v>90704.053125000006</v>
      </c>
      <c r="Z533">
        <v>2721.1215937500001</v>
      </c>
      <c r="AA533">
        <v>93425.17471875</v>
      </c>
      <c r="AB533">
        <v>4204.1328623437503</v>
      </c>
      <c r="AC533">
        <v>97629.307581093744</v>
      </c>
      <c r="AE533">
        <v>97629.307581093744</v>
      </c>
      <c r="AF533">
        <v>4881.4653790546872</v>
      </c>
      <c r="AG533">
        <v>102510.77296014845</v>
      </c>
      <c r="AI533">
        <v>102510.77296014845</v>
      </c>
      <c r="AJ533">
        <v>1025.1077296014844</v>
      </c>
      <c r="AK533">
        <v>103535.88068974992</v>
      </c>
      <c r="AL533">
        <v>5176.794034487496</v>
      </c>
      <c r="AM533">
        <v>108712.6747242374</v>
      </c>
      <c r="AO533">
        <v>108712.6747242374</v>
      </c>
      <c r="AP533">
        <v>3261.3802417271222</v>
      </c>
      <c r="AQ533">
        <v>111974.05496596452</v>
      </c>
      <c r="AS533">
        <v>111974.05496596452</v>
      </c>
      <c r="AU533">
        <v>111974.05496596452</v>
      </c>
      <c r="AW533">
        <v>111974.05496596452</v>
      </c>
      <c r="AY533">
        <v>111974.05496596452</v>
      </c>
      <c r="BA533">
        <v>111974.05496596452</v>
      </c>
      <c r="BC533">
        <v>111974.05496596452</v>
      </c>
      <c r="BE533">
        <v>111974.05496596452</v>
      </c>
      <c r="BF533">
        <v>559.87027482982273</v>
      </c>
      <c r="BG533">
        <v>112533.92524079436</v>
      </c>
      <c r="BI533">
        <v>112533.92524079436</v>
      </c>
      <c r="BK533">
        <v>112533.92524079436</v>
      </c>
      <c r="BM533">
        <v>112533.92524079436</v>
      </c>
      <c r="BO533">
        <v>112533.92524079436</v>
      </c>
      <c r="BQ533">
        <v>112533.92524079436</v>
      </c>
      <c r="BS533">
        <v>112533.92524079436</v>
      </c>
      <c r="BT533" s="238">
        <v>112533.93</v>
      </c>
      <c r="BU533" s="238">
        <v>4466500</v>
      </c>
      <c r="BX533" s="238">
        <v>0</v>
      </c>
      <c r="BY533" s="238">
        <v>112534.64348702444</v>
      </c>
      <c r="BZ533" s="238">
        <v>4466500</v>
      </c>
      <c r="CA533" s="238" t="s">
        <v>36</v>
      </c>
      <c r="CC533">
        <v>112534.64348702444</v>
      </c>
      <c r="CD533" s="238">
        <v>0</v>
      </c>
      <c r="CE533" s="238">
        <v>4466500</v>
      </c>
      <c r="CH533" s="238" t="s">
        <v>39</v>
      </c>
      <c r="CI533" s="238" t="s">
        <v>39</v>
      </c>
      <c r="CJ533" t="s">
        <v>8950</v>
      </c>
      <c r="CK533" t="s">
        <v>1167</v>
      </c>
      <c r="CL533" t="s">
        <v>8961</v>
      </c>
      <c r="CM533" t="s">
        <v>8973</v>
      </c>
      <c r="CN533" s="238" t="b">
        <v>1</v>
      </c>
      <c r="CO533" t="s">
        <v>5821</v>
      </c>
      <c r="CQ533" t="s">
        <v>6652</v>
      </c>
      <c r="CR533" t="s">
        <v>3246</v>
      </c>
      <c r="CS533" t="s">
        <v>36</v>
      </c>
      <c r="CT533" t="b">
        <v>1</v>
      </c>
      <c r="CU533">
        <v>4466500</v>
      </c>
      <c r="CV533" t="s">
        <v>9002</v>
      </c>
      <c r="CW533">
        <v>0</v>
      </c>
      <c r="CX533">
        <v>4466500</v>
      </c>
      <c r="CY533">
        <v>0</v>
      </c>
      <c r="CZ533" t="b">
        <v>1</v>
      </c>
      <c r="DA533">
        <v>45512</v>
      </c>
      <c r="DB533" t="s">
        <v>4177</v>
      </c>
      <c r="DC533">
        <v>-3.5273368606700828E-3</v>
      </c>
      <c r="DD533">
        <v>-396.94759607414778</v>
      </c>
      <c r="DE533" s="420" cm="1">
        <f t="array" ref="DE533">_xlfn.XLOOKUP("Дом 5"&amp;Реестр_Д5[[#This Row],[№]]&amp;Реестр_Д5[[#This Row],[Статус]],РД[Дом]&amp;РД[№ кв]&amp;РД[Состояние],РД[Дата подачи на регистрацию],"-",0)</f>
        <v>45512</v>
      </c>
    </row>
    <row r="534" spans="1:109" x14ac:dyDescent="0.25">
      <c r="A534" s="238">
        <v>533</v>
      </c>
      <c r="B534" s="238" t="s">
        <v>15</v>
      </c>
      <c r="C534" s="238">
        <v>19</v>
      </c>
      <c r="D534" s="238">
        <v>1</v>
      </c>
      <c r="E534" s="238">
        <v>0</v>
      </c>
      <c r="F534" s="238">
        <v>13.74</v>
      </c>
      <c r="G534" s="238"/>
      <c r="H534" s="238"/>
      <c r="I534">
        <v>13.74</v>
      </c>
      <c r="J534" s="238">
        <v>5.84</v>
      </c>
      <c r="K534" s="238">
        <v>3.76</v>
      </c>
      <c r="L534" s="238"/>
      <c r="M534" s="238"/>
      <c r="N534" s="238">
        <v>3.73</v>
      </c>
      <c r="O534" s="238">
        <v>4.6500000000000004</v>
      </c>
      <c r="P534" s="238"/>
      <c r="R534" s="238">
        <v>4.6500000000000004</v>
      </c>
      <c r="S534">
        <v>31.72</v>
      </c>
      <c r="T534">
        <v>27.07</v>
      </c>
      <c r="U534" s="238">
        <v>29.4</v>
      </c>
      <c r="V534">
        <v>29.2</v>
      </c>
      <c r="W534" s="238">
        <v>96361.65</v>
      </c>
      <c r="X534">
        <v>4818.0824999999995</v>
      </c>
      <c r="Y534">
        <v>101179.7325</v>
      </c>
      <c r="Z534">
        <v>3035.391975</v>
      </c>
      <c r="AA534">
        <v>104215.124475</v>
      </c>
      <c r="AB534">
        <v>9379.3612027500003</v>
      </c>
      <c r="AC534">
        <v>113594.48567775</v>
      </c>
      <c r="AE534">
        <v>113594.48567775</v>
      </c>
      <c r="AG534">
        <v>113594.48567775</v>
      </c>
      <c r="AI534">
        <v>113594.48567775</v>
      </c>
      <c r="AJ534">
        <v>1135.9448567775</v>
      </c>
      <c r="AK534">
        <v>114730.43053452752</v>
      </c>
      <c r="AL534">
        <v>5736.5215267263757</v>
      </c>
      <c r="AM534">
        <v>120466.95206125388</v>
      </c>
      <c r="AO534">
        <v>120466.95206125388</v>
      </c>
      <c r="AP534">
        <v>3614.0085618376161</v>
      </c>
      <c r="AQ534">
        <v>124080.96062309148</v>
      </c>
      <c r="AS534">
        <v>124080.96062309148</v>
      </c>
      <c r="AU534">
        <v>124080.96062309148</v>
      </c>
      <c r="AW534">
        <v>124080.96062309148</v>
      </c>
      <c r="AX534">
        <v>1240.8096062309153</v>
      </c>
      <c r="AY534">
        <v>125321.7702293224</v>
      </c>
      <c r="BA534">
        <v>125321.7702293224</v>
      </c>
      <c r="BC534">
        <v>125321.7702293224</v>
      </c>
      <c r="BE534">
        <v>125321.7702293224</v>
      </c>
      <c r="BF534">
        <v>1879.8265534398361</v>
      </c>
      <c r="BG534">
        <v>127201.59678276224</v>
      </c>
      <c r="BI534">
        <v>127201.59678276224</v>
      </c>
      <c r="BK534">
        <v>127201.59678276224</v>
      </c>
      <c r="BL534">
        <v>5088.06387131049</v>
      </c>
      <c r="BM534">
        <v>132289.66065407274</v>
      </c>
      <c r="BN534">
        <v>17197.655885029457</v>
      </c>
      <c r="BO534">
        <v>149487.3165391022</v>
      </c>
      <c r="BP534">
        <v>35</v>
      </c>
      <c r="BQ534">
        <v>149522.3165391022</v>
      </c>
      <c r="BS534">
        <v>149522.3165391022</v>
      </c>
      <c r="BT534" s="238">
        <v>149522.32</v>
      </c>
      <c r="BU534" s="238">
        <v>4366100</v>
      </c>
      <c r="BX534" s="238"/>
      <c r="BY534" s="238">
        <v>149523.97260273973</v>
      </c>
      <c r="BZ534" s="238">
        <v>4366100</v>
      </c>
      <c r="CA534" s="238" t="s">
        <v>36</v>
      </c>
      <c r="CC534">
        <v>149523.97260273973</v>
      </c>
      <c r="CD534" s="238">
        <v>0</v>
      </c>
      <c r="CE534" s="238">
        <v>4366100</v>
      </c>
      <c r="CH534" s="238" t="s">
        <v>3</v>
      </c>
      <c r="CI534" s="238" t="s">
        <v>3</v>
      </c>
      <c r="CJ534" t="s">
        <v>8951</v>
      </c>
      <c r="CK534" t="s">
        <v>1167</v>
      </c>
      <c r="CL534" t="s">
        <v>8961</v>
      </c>
      <c r="CM534" t="s">
        <v>8970</v>
      </c>
      <c r="CN534" s="238" t="b">
        <v>1</v>
      </c>
      <c r="CO534" t="s">
        <v>5822</v>
      </c>
      <c r="CQ534" t="s">
        <v>6652</v>
      </c>
      <c r="CR534" t="s">
        <v>3124</v>
      </c>
      <c r="CS534" t="s">
        <v>36</v>
      </c>
      <c r="CT534" t="b">
        <v>1</v>
      </c>
      <c r="CU534">
        <v>4366100</v>
      </c>
      <c r="CV534">
        <v>4366100</v>
      </c>
      <c r="CW534">
        <v>0</v>
      </c>
      <c r="CX534">
        <v>0</v>
      </c>
      <c r="CY534">
        <v>0</v>
      </c>
      <c r="CZ534" t="b">
        <v>1</v>
      </c>
      <c r="DA534" t="s">
        <v>4246</v>
      </c>
      <c r="DB534" t="s">
        <v>1167</v>
      </c>
      <c r="DC534">
        <v>-6.8027210884353817E-3</v>
      </c>
      <c r="DD534">
        <v>-1017.1698816512918</v>
      </c>
      <c r="DE534" s="420" t="str" cm="1">
        <f t="array" ref="DE53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35" spans="1:109" hidden="1" x14ac:dyDescent="0.25">
      <c r="A535" s="238">
        <v>534</v>
      </c>
      <c r="B535" s="238" t="s">
        <v>15</v>
      </c>
      <c r="C535" s="238">
        <v>19</v>
      </c>
      <c r="D535" s="238">
        <v>2</v>
      </c>
      <c r="E535" s="238">
        <v>1</v>
      </c>
      <c r="F535" s="238">
        <v>13.17</v>
      </c>
      <c r="G535" s="238"/>
      <c r="H535" s="238"/>
      <c r="I535">
        <v>13.17</v>
      </c>
      <c r="J535" s="238">
        <v>16.940000000000001</v>
      </c>
      <c r="K535" s="238">
        <v>3.55</v>
      </c>
      <c r="L535" s="238">
        <v>2.41</v>
      </c>
      <c r="M535" s="238"/>
      <c r="N535" s="238">
        <v>5.8</v>
      </c>
      <c r="O535" s="238">
        <v>2.68</v>
      </c>
      <c r="P535" s="238"/>
      <c r="R535" s="238">
        <v>2.68</v>
      </c>
      <c r="S535">
        <v>44.55</v>
      </c>
      <c r="T535">
        <v>41.87</v>
      </c>
      <c r="U535" s="238">
        <v>43.21</v>
      </c>
      <c r="V535">
        <v>42.45</v>
      </c>
      <c r="W535" s="238">
        <v>91657.125</v>
      </c>
      <c r="X535">
        <v>4582.8562499999998</v>
      </c>
      <c r="Y535">
        <v>96239.981249999997</v>
      </c>
      <c r="Z535">
        <v>2887.1994374999999</v>
      </c>
      <c r="AA535">
        <v>99127.180687500004</v>
      </c>
      <c r="AB535">
        <v>991.27180687500004</v>
      </c>
      <c r="AC535">
        <v>100118.452494375</v>
      </c>
      <c r="AE535">
        <v>100118.452494375</v>
      </c>
      <c r="AF535">
        <v>5005.9226247187507</v>
      </c>
      <c r="AG535">
        <v>105124.37511909376</v>
      </c>
      <c r="AI535">
        <v>105124.37511909376</v>
      </c>
      <c r="AJ535">
        <v>1051.2437511909377</v>
      </c>
      <c r="AK535">
        <v>106175.61887028468</v>
      </c>
      <c r="AL535">
        <v>5308.7809435142344</v>
      </c>
      <c r="AM535">
        <v>111484.39981379893</v>
      </c>
      <c r="AO535">
        <v>111484.39981379893</v>
      </c>
      <c r="AQ535">
        <v>111484.39981379893</v>
      </c>
      <c r="AS535">
        <v>111484.39981379893</v>
      </c>
      <c r="AU535">
        <v>111484.39981379893</v>
      </c>
      <c r="AW535">
        <v>111484.39981379893</v>
      </c>
      <c r="AY535">
        <v>111484.39981379893</v>
      </c>
      <c r="BA535">
        <v>111484.39981379893</v>
      </c>
      <c r="BC535">
        <v>111484.39981379893</v>
      </c>
      <c r="BE535">
        <v>111484.39981379893</v>
      </c>
      <c r="BG535">
        <v>111484.39981379893</v>
      </c>
      <c r="BI535">
        <v>111484.39981379893</v>
      </c>
      <c r="BK535">
        <v>111484.39981379893</v>
      </c>
      <c r="BM535">
        <v>111484.39981379893</v>
      </c>
      <c r="BO535">
        <v>111484.39981379893</v>
      </c>
      <c r="BQ535">
        <v>111484.39981379893</v>
      </c>
      <c r="BS535">
        <v>111484.39981379893</v>
      </c>
      <c r="BT535" s="238">
        <v>111484.4</v>
      </c>
      <c r="BU535" s="238">
        <v>4817300</v>
      </c>
      <c r="BX535" s="238">
        <v>0</v>
      </c>
      <c r="BY535" s="238">
        <v>111485.76718352232</v>
      </c>
      <c r="BZ535" s="238">
        <v>4817300</v>
      </c>
      <c r="CA535" s="238" t="s">
        <v>36</v>
      </c>
      <c r="CC535">
        <v>111485.76718352232</v>
      </c>
      <c r="CD535" s="238">
        <v>0</v>
      </c>
      <c r="CE535" s="238">
        <v>4817300</v>
      </c>
      <c r="CH535" s="238" t="s">
        <v>39</v>
      </c>
      <c r="CI535" s="238" t="s">
        <v>39</v>
      </c>
      <c r="CJ535" t="s">
        <v>8950</v>
      </c>
      <c r="CK535" t="s">
        <v>1167</v>
      </c>
      <c r="CL535" t="s">
        <v>8961</v>
      </c>
      <c r="CM535" t="s">
        <v>8972</v>
      </c>
      <c r="CN535" s="238" t="b">
        <v>1</v>
      </c>
      <c r="CO535" t="s">
        <v>5823</v>
      </c>
      <c r="CQ535" t="s">
        <v>6652</v>
      </c>
      <c r="CR535" t="s">
        <v>3246</v>
      </c>
      <c r="CS535" t="s">
        <v>36</v>
      </c>
      <c r="CT535" t="b">
        <v>1</v>
      </c>
      <c r="CU535">
        <v>4817300</v>
      </c>
      <c r="CV535" t="s">
        <v>9002</v>
      </c>
      <c r="CW535">
        <v>0</v>
      </c>
      <c r="CX535">
        <v>4817300</v>
      </c>
      <c r="CY535">
        <v>0</v>
      </c>
      <c r="CZ535" t="b">
        <v>1</v>
      </c>
      <c r="DA535">
        <v>45351</v>
      </c>
      <c r="DB535" t="s">
        <v>126</v>
      </c>
      <c r="DC535">
        <v>-1.7588521175653904E-2</v>
      </c>
      <c r="DD535">
        <v>-1960.8697768914035</v>
      </c>
      <c r="DE535" s="420" cm="1">
        <f t="array" ref="DE535">_xlfn.XLOOKUP("Дом 5"&amp;Реестр_Д5[[#This Row],[№]]&amp;Реестр_Д5[[#This Row],[Статус]],РД[Дом]&amp;РД[№ кв]&amp;РД[Состояние],РД[Дата подачи на регистрацию],"-",0)</f>
        <v>45351</v>
      </c>
    </row>
    <row r="536" spans="1:109" x14ac:dyDescent="0.25">
      <c r="A536" s="238">
        <v>535</v>
      </c>
      <c r="B536" s="238" t="s">
        <v>15</v>
      </c>
      <c r="C536" s="238">
        <v>19</v>
      </c>
      <c r="D536" s="238">
        <v>3</v>
      </c>
      <c r="E536" s="238">
        <v>0</v>
      </c>
      <c r="F536" s="238">
        <v>7.2</v>
      </c>
      <c r="G536" s="238"/>
      <c r="H536" s="238"/>
      <c r="I536">
        <v>7.2</v>
      </c>
      <c r="J536" s="238">
        <v>5.17</v>
      </c>
      <c r="K536" s="238">
        <v>3.71</v>
      </c>
      <c r="L536" s="238"/>
      <c r="M536" s="238"/>
      <c r="N536" s="238">
        <v>6.96</v>
      </c>
      <c r="O536" s="238">
        <v>2.92</v>
      </c>
      <c r="P536" s="238"/>
      <c r="R536" s="238">
        <v>2.92</v>
      </c>
      <c r="S536">
        <v>25.96</v>
      </c>
      <c r="T536">
        <v>23.04</v>
      </c>
      <c r="U536" s="238">
        <v>24.5</v>
      </c>
      <c r="V536">
        <v>24.2</v>
      </c>
      <c r="W536" s="238">
        <v>98113.68</v>
      </c>
      <c r="X536">
        <v>4905.6840000000002</v>
      </c>
      <c r="Y536">
        <v>103019.364</v>
      </c>
      <c r="Z536">
        <v>3090.5809199999994</v>
      </c>
      <c r="AA536">
        <v>106109.94491999998</v>
      </c>
      <c r="AB536">
        <v>9549.8950427999971</v>
      </c>
      <c r="AC536">
        <v>115659.83996279998</v>
      </c>
      <c r="AE536">
        <v>115659.83996279998</v>
      </c>
      <c r="AG536">
        <v>115659.83996279998</v>
      </c>
      <c r="AI536">
        <v>115659.83996279998</v>
      </c>
      <c r="AJ536">
        <v>1156.5983996279997</v>
      </c>
      <c r="AK536">
        <v>116816.43836242796</v>
      </c>
      <c r="AL536">
        <v>5840.821918121399</v>
      </c>
      <c r="AM536">
        <v>122657.26028054937</v>
      </c>
      <c r="AO536">
        <v>122657.26028054937</v>
      </c>
      <c r="AP536">
        <v>3679.7178084164807</v>
      </c>
      <c r="AQ536">
        <v>126336.97808896584</v>
      </c>
      <c r="AS536">
        <v>126336.97808896584</v>
      </c>
      <c r="AU536">
        <v>126336.97808896584</v>
      </c>
      <c r="AW536">
        <v>126336.97808896584</v>
      </c>
      <c r="AX536">
        <v>1263.3697808896584</v>
      </c>
      <c r="AY536">
        <v>127600.3478698555</v>
      </c>
      <c r="BA536">
        <v>127600.3478698555</v>
      </c>
      <c r="BB536">
        <v>638.0017393492775</v>
      </c>
      <c r="BC536">
        <v>128238.34960920476</v>
      </c>
      <c r="BE536">
        <v>128238.34960920476</v>
      </c>
      <c r="BF536">
        <v>3205.9587402301195</v>
      </c>
      <c r="BG536">
        <v>131444.3083494349</v>
      </c>
      <c r="BI536">
        <v>131444.3083494349</v>
      </c>
      <c r="BK536">
        <v>131444.3083494349</v>
      </c>
      <c r="BL536">
        <v>5257.7723339773956</v>
      </c>
      <c r="BM536">
        <v>136702.08068341229</v>
      </c>
      <c r="BN536">
        <v>17771.270488843598</v>
      </c>
      <c r="BO536">
        <v>154473.35117225588</v>
      </c>
      <c r="BP536">
        <v>35</v>
      </c>
      <c r="BQ536">
        <v>154508.35117225588</v>
      </c>
      <c r="BS536">
        <v>154508.35117225588</v>
      </c>
      <c r="BT536" s="238">
        <v>154508.35</v>
      </c>
      <c r="BU536" s="238">
        <v>3739200</v>
      </c>
      <c r="BX536" s="238">
        <v>0</v>
      </c>
      <c r="BY536" s="238">
        <v>154512.39669421487</v>
      </c>
      <c r="BZ536" s="238">
        <v>3739200</v>
      </c>
      <c r="CA536" s="238" t="s">
        <v>36</v>
      </c>
      <c r="CC536">
        <v>154512.39669421487</v>
      </c>
      <c r="CD536" s="238">
        <v>0</v>
      </c>
      <c r="CE536" s="238">
        <v>3739199.9999999991</v>
      </c>
      <c r="CH536" s="238" t="s">
        <v>3</v>
      </c>
      <c r="CI536" s="238" t="s">
        <v>3</v>
      </c>
      <c r="CJ536" t="s">
        <v>8951</v>
      </c>
      <c r="CK536" t="s">
        <v>1167</v>
      </c>
      <c r="CL536" t="s">
        <v>8961</v>
      </c>
      <c r="CM536" t="s">
        <v>8970</v>
      </c>
      <c r="CN536" s="238" t="b">
        <v>1</v>
      </c>
      <c r="CO536" t="s">
        <v>5824</v>
      </c>
      <c r="CQ536" t="s">
        <v>6652</v>
      </c>
      <c r="CR536" t="s">
        <v>3124</v>
      </c>
      <c r="CS536" t="s">
        <v>6871</v>
      </c>
      <c r="CT536" t="b">
        <v>0</v>
      </c>
      <c r="CU536">
        <v>3739200</v>
      </c>
      <c r="CV536">
        <v>3739200</v>
      </c>
      <c r="CW536">
        <v>0</v>
      </c>
      <c r="CX536">
        <v>0</v>
      </c>
      <c r="CY536">
        <v>0</v>
      </c>
      <c r="CZ536" t="b">
        <v>1</v>
      </c>
      <c r="DA536" t="s">
        <v>4246</v>
      </c>
      <c r="DB536" t="s">
        <v>1167</v>
      </c>
      <c r="DC536">
        <v>-1.2244897959183708E-2</v>
      </c>
      <c r="DD536">
        <v>-1891.9885309495753</v>
      </c>
      <c r="DE536" s="420" t="str" cm="1">
        <f t="array" ref="DE53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37" spans="1:109" x14ac:dyDescent="0.25">
      <c r="A537" s="238">
        <v>536</v>
      </c>
      <c r="B537" s="238" t="s">
        <v>15</v>
      </c>
      <c r="C537" s="238">
        <v>19</v>
      </c>
      <c r="D537" s="238">
        <v>4</v>
      </c>
      <c r="E537" s="238">
        <v>2</v>
      </c>
      <c r="F537" s="238">
        <v>14.48</v>
      </c>
      <c r="G537" s="238">
        <v>11.42</v>
      </c>
      <c r="H537" s="238"/>
      <c r="I537">
        <v>25.9</v>
      </c>
      <c r="J537" s="238">
        <v>15.86</v>
      </c>
      <c r="K537" s="238">
        <v>3.01</v>
      </c>
      <c r="L537" s="238">
        <v>2.67</v>
      </c>
      <c r="M537" s="238"/>
      <c r="N537" s="238">
        <v>9.44</v>
      </c>
      <c r="O537" s="238">
        <v>2.72</v>
      </c>
      <c r="P537" s="238"/>
      <c r="R537" s="238">
        <v>2.72</v>
      </c>
      <c r="S537">
        <v>59.6</v>
      </c>
      <c r="T537">
        <v>56.88</v>
      </c>
      <c r="U537" s="238">
        <v>58.24</v>
      </c>
      <c r="V537">
        <v>58.3</v>
      </c>
      <c r="W537" s="238">
        <v>85713.201000000001</v>
      </c>
      <c r="X537">
        <v>4285.6600500000004</v>
      </c>
      <c r="Y537">
        <v>89998.861050000007</v>
      </c>
      <c r="Z537">
        <v>2699.9658315000001</v>
      </c>
      <c r="AA537">
        <v>92698.826881500005</v>
      </c>
      <c r="AC537">
        <v>92698.826881500005</v>
      </c>
      <c r="AE537">
        <v>92698.826881500005</v>
      </c>
      <c r="AG537">
        <v>92698.826881500005</v>
      </c>
      <c r="AI537">
        <v>92698.826881500005</v>
      </c>
      <c r="AJ537">
        <v>926.98826881499997</v>
      </c>
      <c r="AK537">
        <v>93625.815150315</v>
      </c>
      <c r="AL537">
        <v>4681.2907575157506</v>
      </c>
      <c r="AM537">
        <v>98307.105907830759</v>
      </c>
      <c r="AO537">
        <v>98307.105907830759</v>
      </c>
      <c r="AP537">
        <v>1966.142118156615</v>
      </c>
      <c r="AQ537">
        <v>100273.24802598736</v>
      </c>
      <c r="AS537">
        <v>100273.24802598736</v>
      </c>
      <c r="AT537">
        <v>2005.4649605197471</v>
      </c>
      <c r="AU537">
        <v>102278.7129865071</v>
      </c>
      <c r="AW537">
        <v>102278.7129865071</v>
      </c>
      <c r="AX537">
        <v>1022.7871298650712</v>
      </c>
      <c r="AY537">
        <v>103301.50011637218</v>
      </c>
      <c r="BA537">
        <v>103301.50011637218</v>
      </c>
      <c r="BC537">
        <v>103301.50011637218</v>
      </c>
      <c r="BE537">
        <v>103301.50011637218</v>
      </c>
      <c r="BF537">
        <v>1549.5225017455823</v>
      </c>
      <c r="BG537">
        <v>104851.02261811776</v>
      </c>
      <c r="BI537">
        <v>104851.02261811776</v>
      </c>
      <c r="BJ537">
        <v>4194.0409047247103</v>
      </c>
      <c r="BK537">
        <v>109045.06352284248</v>
      </c>
      <c r="BL537">
        <v>6542.7038113705476</v>
      </c>
      <c r="BM537">
        <v>115587.767334213</v>
      </c>
      <c r="BN537">
        <v>15026.409753447691</v>
      </c>
      <c r="BO537">
        <v>130614.1770876607</v>
      </c>
      <c r="BP537">
        <v>35</v>
      </c>
      <c r="BQ537">
        <v>130649.1770876607</v>
      </c>
      <c r="BS537">
        <v>130649.1770876607</v>
      </c>
      <c r="BT537" s="238">
        <v>130649.18</v>
      </c>
      <c r="BU537" s="238">
        <v>7616900</v>
      </c>
      <c r="BX537" s="238">
        <v>0</v>
      </c>
      <c r="BY537" s="238">
        <v>130650.0857632933</v>
      </c>
      <c r="BZ537" s="238">
        <v>7616900</v>
      </c>
      <c r="CA537" s="238" t="s">
        <v>36</v>
      </c>
      <c r="CC537">
        <v>130650.0857632933</v>
      </c>
      <c r="CD537" s="238">
        <v>0</v>
      </c>
      <c r="CE537" s="238">
        <v>7616900</v>
      </c>
      <c r="CH537" s="238" t="s">
        <v>3</v>
      </c>
      <c r="CI537" s="238" t="s">
        <v>3</v>
      </c>
      <c r="CJ537" t="s">
        <v>8951</v>
      </c>
      <c r="CK537" t="s">
        <v>1167</v>
      </c>
      <c r="CL537" t="s">
        <v>8961</v>
      </c>
      <c r="CM537" t="s">
        <v>8971</v>
      </c>
      <c r="CN537" s="238" t="b">
        <v>1</v>
      </c>
      <c r="CO537" t="s">
        <v>5825</v>
      </c>
      <c r="CQ537" t="s">
        <v>6652</v>
      </c>
      <c r="CR537" t="s">
        <v>3124</v>
      </c>
      <c r="CS537" t="s">
        <v>6871</v>
      </c>
      <c r="CT537" t="b">
        <v>0</v>
      </c>
      <c r="CU537">
        <v>7616900</v>
      </c>
      <c r="CV537">
        <v>7616900</v>
      </c>
      <c r="CW537">
        <v>0</v>
      </c>
      <c r="CX537">
        <v>0</v>
      </c>
      <c r="CY537">
        <v>0</v>
      </c>
      <c r="CZ537" t="b">
        <v>1</v>
      </c>
      <c r="DA537" t="s">
        <v>4246</v>
      </c>
      <c r="DB537" t="s">
        <v>1167</v>
      </c>
      <c r="DC537">
        <v>1.0302197802198876E-3</v>
      </c>
      <c r="DD537">
        <v>134.5983026407695</v>
      </c>
      <c r="DE537" s="420" t="str" cm="1">
        <f t="array" ref="DE53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38" spans="1:109" x14ac:dyDescent="0.25">
      <c r="A538" s="238">
        <v>537</v>
      </c>
      <c r="B538" s="238" t="s">
        <v>15</v>
      </c>
      <c r="C538" s="238">
        <v>19</v>
      </c>
      <c r="D538" s="238">
        <v>5</v>
      </c>
      <c r="E538" s="238">
        <v>2</v>
      </c>
      <c r="F538" s="238">
        <v>15.41</v>
      </c>
      <c r="G538" s="238">
        <v>12.78</v>
      </c>
      <c r="H538" s="238"/>
      <c r="I538">
        <v>28.19</v>
      </c>
      <c r="J538" s="238">
        <v>13.45</v>
      </c>
      <c r="K538" s="238">
        <v>3.7</v>
      </c>
      <c r="L538" s="238">
        <v>2.72</v>
      </c>
      <c r="M538" s="238"/>
      <c r="N538" s="238">
        <v>8.2200000000000006</v>
      </c>
      <c r="O538" s="238">
        <v>3.03</v>
      </c>
      <c r="P538" s="238"/>
      <c r="R538" s="238">
        <v>3.03</v>
      </c>
      <c r="S538">
        <v>59.31</v>
      </c>
      <c r="T538">
        <v>56.28</v>
      </c>
      <c r="U538" s="238">
        <v>57.8</v>
      </c>
      <c r="V538">
        <v>57.6</v>
      </c>
      <c r="W538" s="238">
        <v>85327.105500000005</v>
      </c>
      <c r="X538">
        <v>4266.3552750000008</v>
      </c>
      <c r="Y538">
        <v>89593.460775</v>
      </c>
      <c r="Z538">
        <v>2687.8038232499998</v>
      </c>
      <c r="AA538">
        <v>92281.264598249996</v>
      </c>
      <c r="AC538">
        <v>92281.264598249996</v>
      </c>
      <c r="AE538">
        <v>92281.264598249996</v>
      </c>
      <c r="AG538">
        <v>92281.264598249996</v>
      </c>
      <c r="AI538">
        <v>92281.264598249996</v>
      </c>
      <c r="AJ538">
        <v>922.81264598250004</v>
      </c>
      <c r="AK538">
        <v>93204.077244232496</v>
      </c>
      <c r="AL538">
        <v>4660.2038622116252</v>
      </c>
      <c r="AM538">
        <v>97864.281106444105</v>
      </c>
      <c r="AO538">
        <v>97864.281106444105</v>
      </c>
      <c r="AP538">
        <v>1957.2856221288823</v>
      </c>
      <c r="AQ538">
        <v>99821.566728573001</v>
      </c>
      <c r="AS538">
        <v>99821.566728573001</v>
      </c>
      <c r="AT538">
        <v>1996.43133457146</v>
      </c>
      <c r="AU538">
        <v>101817.99806314446</v>
      </c>
      <c r="AW538">
        <v>101817.99806314446</v>
      </c>
      <c r="AX538">
        <v>1018.1799806314448</v>
      </c>
      <c r="AY538">
        <v>102836.1780437759</v>
      </c>
      <c r="BA538">
        <v>102836.1780437759</v>
      </c>
      <c r="BC538">
        <v>102836.1780437759</v>
      </c>
      <c r="BE538">
        <v>102836.1780437759</v>
      </c>
      <c r="BF538">
        <v>1542.5426706566384</v>
      </c>
      <c r="BG538">
        <v>104378.72071443254</v>
      </c>
      <c r="BH538">
        <v>500</v>
      </c>
      <c r="BI538">
        <v>104878.72071443254</v>
      </c>
      <c r="BJ538">
        <v>4195.1488285773012</v>
      </c>
      <c r="BK538">
        <v>109073.86954300985</v>
      </c>
      <c r="BL538">
        <v>6544.4321725805903</v>
      </c>
      <c r="BM538">
        <v>115618.30171559044</v>
      </c>
      <c r="BN538">
        <v>15030.379223026755</v>
      </c>
      <c r="BO538">
        <v>130648.6809386172</v>
      </c>
      <c r="BP538">
        <v>35</v>
      </c>
      <c r="BQ538">
        <v>130683.6809386172</v>
      </c>
      <c r="BS538">
        <v>130683.6809386172</v>
      </c>
      <c r="BT538" s="238">
        <v>130683.68</v>
      </c>
      <c r="BU538" s="238">
        <v>7527400</v>
      </c>
      <c r="BX538" s="238">
        <v>0</v>
      </c>
      <c r="BY538" s="238">
        <v>130684.02777777778</v>
      </c>
      <c r="BZ538" s="238">
        <v>7527400</v>
      </c>
      <c r="CA538" s="238" t="s">
        <v>6871</v>
      </c>
      <c r="CB538">
        <v>10000</v>
      </c>
      <c r="CC538">
        <v>140684.02777777778</v>
      </c>
      <c r="CD538" s="238">
        <v>576000</v>
      </c>
      <c r="CE538" s="238">
        <v>8103400</v>
      </c>
      <c r="CH538" s="238" t="s">
        <v>3</v>
      </c>
      <c r="CI538" s="238" t="s">
        <v>3</v>
      </c>
      <c r="CJ538" t="s">
        <v>8951</v>
      </c>
      <c r="CK538" t="s">
        <v>1167</v>
      </c>
      <c r="CL538" t="s">
        <v>8961</v>
      </c>
      <c r="CM538" t="s">
        <v>8974</v>
      </c>
      <c r="CN538" s="238" t="b">
        <v>1</v>
      </c>
      <c r="CO538" t="s">
        <v>5826</v>
      </c>
      <c r="CQ538" t="s">
        <v>6652</v>
      </c>
      <c r="CR538" t="s">
        <v>3124</v>
      </c>
      <c r="CS538" t="s">
        <v>36</v>
      </c>
      <c r="CT538" t="b">
        <v>0</v>
      </c>
      <c r="CU538">
        <v>7527400</v>
      </c>
      <c r="CV538">
        <v>7527400</v>
      </c>
      <c r="CW538">
        <v>0</v>
      </c>
      <c r="CX538">
        <v>0</v>
      </c>
      <c r="CY538">
        <v>0</v>
      </c>
      <c r="CZ538" t="b">
        <v>1</v>
      </c>
      <c r="DA538" t="s">
        <v>4246</v>
      </c>
      <c r="DB538" t="s">
        <v>1167</v>
      </c>
      <c r="DC538">
        <v>-3.4602076124566894E-3</v>
      </c>
      <c r="DD538">
        <v>-452.19386774316814</v>
      </c>
      <c r="DE538" s="420" t="str" cm="1">
        <f t="array" ref="DE53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39" spans="1:109" x14ac:dyDescent="0.25">
      <c r="A539" s="238">
        <v>538</v>
      </c>
      <c r="B539" s="238" t="s">
        <v>15</v>
      </c>
      <c r="C539" s="238">
        <v>19</v>
      </c>
      <c r="D539" s="238">
        <v>6</v>
      </c>
      <c r="E539" s="238">
        <v>1</v>
      </c>
      <c r="F539" s="238">
        <v>12.71</v>
      </c>
      <c r="G539" s="238"/>
      <c r="H539" s="238"/>
      <c r="I539">
        <v>12.71</v>
      </c>
      <c r="J539" s="238">
        <v>12.55</v>
      </c>
      <c r="K539" s="238">
        <v>4.28</v>
      </c>
      <c r="L539" s="238"/>
      <c r="M539" s="238"/>
      <c r="N539" s="238">
        <v>7.34</v>
      </c>
      <c r="O539" s="238">
        <v>2.84</v>
      </c>
      <c r="P539" s="238"/>
      <c r="R539" s="238">
        <v>2.84</v>
      </c>
      <c r="S539">
        <v>39.72</v>
      </c>
      <c r="T539">
        <v>36.880000000000003</v>
      </c>
      <c r="U539" s="238">
        <v>38.299999999999997</v>
      </c>
      <c r="V539">
        <v>37.950000000000003</v>
      </c>
      <c r="W539" s="238">
        <v>94090.5</v>
      </c>
      <c r="X539">
        <v>4704.5250000000005</v>
      </c>
      <c r="Y539">
        <v>98795.024999999994</v>
      </c>
      <c r="Z539">
        <v>2963.8507499999996</v>
      </c>
      <c r="AA539">
        <v>101758.87575000001</v>
      </c>
      <c r="AB539">
        <v>1017.5887575</v>
      </c>
      <c r="AC539">
        <v>102776.4645075</v>
      </c>
      <c r="AE539">
        <v>102776.4645075</v>
      </c>
      <c r="AF539">
        <v>5138.8232253749993</v>
      </c>
      <c r="AG539">
        <v>107915.287732875</v>
      </c>
      <c r="AI539">
        <v>107915.287732875</v>
      </c>
      <c r="AJ539">
        <v>1079.1528773287498</v>
      </c>
      <c r="AK539">
        <v>108994.44061020372</v>
      </c>
      <c r="AL539">
        <v>5449.7220305101873</v>
      </c>
      <c r="AM539">
        <v>114444.16264071393</v>
      </c>
      <c r="AO539">
        <v>114444.16264071393</v>
      </c>
      <c r="AP539">
        <v>3433.3248792214172</v>
      </c>
      <c r="AQ539">
        <v>117877.48751993533</v>
      </c>
      <c r="AS539">
        <v>117877.48751993533</v>
      </c>
      <c r="AU539">
        <v>117877.48751993533</v>
      </c>
      <c r="AW539">
        <v>117877.48751993533</v>
      </c>
      <c r="AY539">
        <v>117877.48751993533</v>
      </c>
      <c r="AZ539">
        <v>1178.7748751993531</v>
      </c>
      <c r="BA539">
        <v>119056.26239513468</v>
      </c>
      <c r="BB539">
        <v>595.28131197567336</v>
      </c>
      <c r="BC539">
        <v>119651.54370711037</v>
      </c>
      <c r="BE539">
        <v>119651.54370711037</v>
      </c>
      <c r="BF539">
        <v>2991.288592677759</v>
      </c>
      <c r="BG539">
        <v>122642.8322997881</v>
      </c>
      <c r="BI539">
        <v>122642.8322997881</v>
      </c>
      <c r="BJ539">
        <v>2452.8566459957619</v>
      </c>
      <c r="BK539">
        <v>125095.68894578388</v>
      </c>
      <c r="BL539">
        <v>6254.7844472891938</v>
      </c>
      <c r="BM539">
        <v>131350.47339307307</v>
      </c>
      <c r="BN539">
        <v>17075.561541099501</v>
      </c>
      <c r="BO539">
        <v>148426.03493417258</v>
      </c>
      <c r="BP539">
        <v>35</v>
      </c>
      <c r="BQ539">
        <v>148461.03493417258</v>
      </c>
      <c r="BS539">
        <v>148461.03493417258</v>
      </c>
      <c r="BT539" s="238">
        <v>148461.03</v>
      </c>
      <c r="BU539" s="238">
        <v>5634100</v>
      </c>
      <c r="BX539" s="238">
        <v>0</v>
      </c>
      <c r="BY539" s="238">
        <v>148461.13306982871</v>
      </c>
      <c r="BZ539" s="238">
        <v>5634100</v>
      </c>
      <c r="CA539" s="238" t="s">
        <v>36</v>
      </c>
      <c r="CC539">
        <v>148461.13306982871</v>
      </c>
      <c r="CD539" s="238">
        <v>0</v>
      </c>
      <c r="CE539" s="238">
        <v>5634100</v>
      </c>
      <c r="CH539" s="238" t="s">
        <v>3</v>
      </c>
      <c r="CI539" s="238" t="s">
        <v>3</v>
      </c>
      <c r="CJ539" t="s">
        <v>8951</v>
      </c>
      <c r="CK539" t="s">
        <v>1167</v>
      </c>
      <c r="CL539" t="s">
        <v>8961</v>
      </c>
      <c r="CM539" t="s">
        <v>8973</v>
      </c>
      <c r="CN539" s="238" t="b">
        <v>1</v>
      </c>
      <c r="CO539" t="s">
        <v>5827</v>
      </c>
      <c r="CQ539" t="s">
        <v>6652</v>
      </c>
      <c r="CR539" t="s">
        <v>3124</v>
      </c>
      <c r="CS539" t="s">
        <v>36</v>
      </c>
      <c r="CT539" t="b">
        <v>1</v>
      </c>
      <c r="CU539">
        <v>5634100</v>
      </c>
      <c r="CV539">
        <v>5634100</v>
      </c>
      <c r="CW539">
        <v>0</v>
      </c>
      <c r="CX539">
        <v>0</v>
      </c>
      <c r="CY539">
        <v>0</v>
      </c>
      <c r="CZ539" t="b">
        <v>1</v>
      </c>
      <c r="DA539" t="s">
        <v>4246</v>
      </c>
      <c r="DB539" t="s">
        <v>1167</v>
      </c>
      <c r="DC539">
        <v>-9.1383812010442655E-3</v>
      </c>
      <c r="DD539">
        <v>-1356.6944275310541</v>
      </c>
      <c r="DE539" s="420" t="str" cm="1">
        <f t="array" ref="DE53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0" spans="1:109" x14ac:dyDescent="0.25">
      <c r="A540" s="238">
        <v>539</v>
      </c>
      <c r="B540" s="238" t="s">
        <v>15</v>
      </c>
      <c r="C540" s="238">
        <v>19</v>
      </c>
      <c r="D540" s="238">
        <v>7</v>
      </c>
      <c r="E540" s="238">
        <v>3</v>
      </c>
      <c r="F540" s="238">
        <v>14.49</v>
      </c>
      <c r="G540" s="238">
        <v>13.98</v>
      </c>
      <c r="H540" s="238">
        <v>11.42</v>
      </c>
      <c r="I540">
        <v>39.89</v>
      </c>
      <c r="J540" s="238">
        <v>16.670000000000002</v>
      </c>
      <c r="K540" s="238">
        <v>4.1399999999999997</v>
      </c>
      <c r="L540" s="238">
        <v>1.89</v>
      </c>
      <c r="M540" s="238"/>
      <c r="N540" s="238">
        <v>11.31</v>
      </c>
      <c r="O540" s="238">
        <v>2.86</v>
      </c>
      <c r="P540" s="238">
        <v>2.79</v>
      </c>
      <c r="Q540">
        <v>5.42</v>
      </c>
      <c r="R540" s="238">
        <v>11.07</v>
      </c>
      <c r="S540">
        <v>84.97</v>
      </c>
      <c r="T540">
        <v>73.900000000000006</v>
      </c>
      <c r="U540" s="238">
        <v>79.44</v>
      </c>
      <c r="V540">
        <v>78.749999999999986</v>
      </c>
      <c r="W540" s="238">
        <v>82085.85000000002</v>
      </c>
      <c r="X540">
        <v>4104.2925000000014</v>
      </c>
      <c r="Y540">
        <v>86190.142500000016</v>
      </c>
      <c r="Z540">
        <v>2585.7042750000005</v>
      </c>
      <c r="AA540">
        <v>88775.846775000013</v>
      </c>
      <c r="AC540">
        <v>88775.846775000013</v>
      </c>
      <c r="AE540">
        <v>88775.846775000013</v>
      </c>
      <c r="AG540">
        <v>88775.846775000013</v>
      </c>
      <c r="AI540">
        <v>88775.846775000013</v>
      </c>
      <c r="AJ540">
        <v>887.75846775000014</v>
      </c>
      <c r="AK540">
        <v>89663.605242750011</v>
      </c>
      <c r="AL540">
        <v>4483.1802621375009</v>
      </c>
      <c r="AM540">
        <v>94146.785504887506</v>
      </c>
      <c r="AO540">
        <v>94146.785504887506</v>
      </c>
      <c r="AP540">
        <v>1882.9357100977504</v>
      </c>
      <c r="AQ540">
        <v>96029.721214985271</v>
      </c>
      <c r="AS540">
        <v>96029.721214985271</v>
      </c>
      <c r="AT540">
        <v>1920.5944242997052</v>
      </c>
      <c r="AU540">
        <v>97950.315639284963</v>
      </c>
      <c r="AV540">
        <v>1000</v>
      </c>
      <c r="AW540">
        <v>98950.315639284963</v>
      </c>
      <c r="AX540">
        <v>989.50315639284963</v>
      </c>
      <c r="AY540">
        <v>99939.818795677813</v>
      </c>
      <c r="AZ540">
        <v>1998.7963759135564</v>
      </c>
      <c r="BA540">
        <v>101938.61517159136</v>
      </c>
      <c r="BC540">
        <v>101938.61517159136</v>
      </c>
      <c r="BD540">
        <v>2038.7723034318276</v>
      </c>
      <c r="BE540">
        <v>103977.38747502321</v>
      </c>
      <c r="BF540">
        <v>2599.4346868755802</v>
      </c>
      <c r="BG540">
        <v>106576.8221618988</v>
      </c>
      <c r="BI540">
        <v>106576.8221618988</v>
      </c>
      <c r="BJ540">
        <v>4263.0728864759512</v>
      </c>
      <c r="BK540">
        <v>110839.89504837476</v>
      </c>
      <c r="BL540">
        <v>5541.9947524187373</v>
      </c>
      <c r="BM540">
        <v>116381.88980079348</v>
      </c>
      <c r="BN540">
        <v>15129.645674103154</v>
      </c>
      <c r="BO540">
        <v>131511.53547489663</v>
      </c>
      <c r="BP540">
        <v>35</v>
      </c>
      <c r="BQ540">
        <v>131546.53547489663</v>
      </c>
      <c r="BS540">
        <v>131546.53547489663</v>
      </c>
      <c r="BT540" s="238">
        <v>131546.54</v>
      </c>
      <c r="BU540" s="238">
        <v>10359300</v>
      </c>
      <c r="BX540" s="238">
        <v>0</v>
      </c>
      <c r="BY540" s="238">
        <v>131546.66666666669</v>
      </c>
      <c r="BZ540" s="238">
        <v>10359300</v>
      </c>
      <c r="CA540" s="238" t="s">
        <v>36</v>
      </c>
      <c r="CC540">
        <v>131546.66666666669</v>
      </c>
      <c r="CD540" s="238">
        <v>0</v>
      </c>
      <c r="CE540" s="238">
        <v>10359300</v>
      </c>
      <c r="CF540" t="s">
        <v>4636</v>
      </c>
      <c r="CH540" s="238" t="s">
        <v>3</v>
      </c>
      <c r="CI540" s="238" t="s">
        <v>3</v>
      </c>
      <c r="CJ540" t="s">
        <v>8951</v>
      </c>
      <c r="CK540" t="s">
        <v>1167</v>
      </c>
      <c r="CL540" t="s">
        <v>8961</v>
      </c>
      <c r="CM540" t="s">
        <v>8990</v>
      </c>
      <c r="CN540" s="238" t="b">
        <v>1</v>
      </c>
      <c r="CO540" t="s">
        <v>5828</v>
      </c>
      <c r="CQ540" t="s">
        <v>6652</v>
      </c>
      <c r="CR540" t="s">
        <v>3124</v>
      </c>
      <c r="CS540" t="s">
        <v>6871</v>
      </c>
      <c r="CT540" t="b">
        <v>0</v>
      </c>
      <c r="CU540">
        <v>10359300</v>
      </c>
      <c r="CV540">
        <v>10359300</v>
      </c>
      <c r="CW540">
        <v>0</v>
      </c>
      <c r="CX540">
        <v>0</v>
      </c>
      <c r="CY540">
        <v>0</v>
      </c>
      <c r="CZ540" t="b">
        <v>1</v>
      </c>
      <c r="DA540" t="s">
        <v>4246</v>
      </c>
      <c r="DB540" t="s">
        <v>1167</v>
      </c>
      <c r="DC540">
        <v>-8.6858006042297431E-3</v>
      </c>
      <c r="DD540">
        <v>-1142.588116817742</v>
      </c>
      <c r="DE540" s="420" t="str" cm="1">
        <f t="array" ref="DE54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1" spans="1:109" hidden="1" x14ac:dyDescent="0.25">
      <c r="A541" s="238">
        <v>540</v>
      </c>
      <c r="B541" s="238" t="s">
        <v>15</v>
      </c>
      <c r="C541" s="238">
        <v>19</v>
      </c>
      <c r="D541" s="238">
        <v>8</v>
      </c>
      <c r="E541" s="238">
        <v>1</v>
      </c>
      <c r="F541" s="238">
        <v>16.79</v>
      </c>
      <c r="G541" s="238"/>
      <c r="H541" s="238"/>
      <c r="I541">
        <v>16.79</v>
      </c>
      <c r="J541" s="238">
        <v>11.43</v>
      </c>
      <c r="K541" s="238">
        <v>3.56</v>
      </c>
      <c r="L541" s="238"/>
      <c r="M541" s="238"/>
      <c r="N541" s="238">
        <v>6.66</v>
      </c>
      <c r="O541" s="238">
        <v>2.4900000000000002</v>
      </c>
      <c r="P541" s="238"/>
      <c r="R541" s="238">
        <v>2.4900000000000002</v>
      </c>
      <c r="S541">
        <v>40.93</v>
      </c>
      <c r="T541">
        <v>38.44</v>
      </c>
      <c r="U541" s="238">
        <v>39.69</v>
      </c>
      <c r="V541">
        <v>39.450000000000003</v>
      </c>
      <c r="W541" s="238">
        <v>91251.5625</v>
      </c>
      <c r="X541">
        <v>4562.578125</v>
      </c>
      <c r="Y541">
        <v>95814.140625</v>
      </c>
      <c r="Z541">
        <v>2874.4242187499999</v>
      </c>
      <c r="AA541">
        <v>98688.564843750006</v>
      </c>
      <c r="AB541">
        <v>4440.98541796875</v>
      </c>
      <c r="AC541">
        <v>103129.55026171876</v>
      </c>
      <c r="AE541">
        <v>103129.55026171876</v>
      </c>
      <c r="AF541">
        <v>5156.477513085938</v>
      </c>
      <c r="AG541">
        <v>108286.02777480468</v>
      </c>
      <c r="AI541">
        <v>108286.02777480468</v>
      </c>
      <c r="AJ541">
        <v>1082.8602777480469</v>
      </c>
      <c r="AK541">
        <v>109368.88805255272</v>
      </c>
      <c r="AL541">
        <v>5468.4444026276369</v>
      </c>
      <c r="AM541">
        <v>114837.33245518037</v>
      </c>
      <c r="AO541">
        <v>114837.33245518037</v>
      </c>
      <c r="AP541">
        <v>3445.1199736554108</v>
      </c>
      <c r="AQ541">
        <v>118282.45242883578</v>
      </c>
      <c r="AS541">
        <v>118282.45242883578</v>
      </c>
      <c r="AU541">
        <v>118282.45242883578</v>
      </c>
      <c r="AW541">
        <v>118282.45242883578</v>
      </c>
      <c r="AY541">
        <v>118282.45242883578</v>
      </c>
      <c r="BA541">
        <v>118282.45242883578</v>
      </c>
      <c r="BC541">
        <v>118282.45242883578</v>
      </c>
      <c r="BE541">
        <v>118282.45242883578</v>
      </c>
      <c r="BF541">
        <v>591.41226214417895</v>
      </c>
      <c r="BG541">
        <v>118873.86469097996</v>
      </c>
      <c r="BI541">
        <v>118873.86469097996</v>
      </c>
      <c r="BJ541">
        <v>2377.4772938195993</v>
      </c>
      <c r="BK541">
        <v>121251.34198479955</v>
      </c>
      <c r="BM541">
        <v>121251.34198479955</v>
      </c>
      <c r="BO541">
        <v>121251.34198479955</v>
      </c>
      <c r="BQ541">
        <v>121251.34198479955</v>
      </c>
      <c r="BS541">
        <v>121251.34198479955</v>
      </c>
      <c r="BT541" s="238">
        <v>121251.34</v>
      </c>
      <c r="BU541" s="238">
        <v>4812500</v>
      </c>
      <c r="BX541" s="238">
        <v>0</v>
      </c>
      <c r="BY541" s="238">
        <v>121252.20458553793</v>
      </c>
      <c r="BZ541" s="238">
        <v>4812500</v>
      </c>
      <c r="CA541" s="238" t="s">
        <v>38</v>
      </c>
      <c r="CB541">
        <v>24000</v>
      </c>
      <c r="CC541">
        <v>145252.20458553793</v>
      </c>
      <c r="CD541" s="238">
        <v>952560</v>
      </c>
      <c r="CE541" s="238">
        <v>5765060</v>
      </c>
      <c r="CH541" s="238" t="s">
        <v>39</v>
      </c>
      <c r="CI541" s="238" t="s">
        <v>39</v>
      </c>
      <c r="CJ541" t="s">
        <v>8950</v>
      </c>
      <c r="CK541" t="s">
        <v>1167</v>
      </c>
      <c r="CL541" t="s">
        <v>8961</v>
      </c>
      <c r="CM541" t="s">
        <v>8973</v>
      </c>
      <c r="CN541" s="238" t="b">
        <v>1</v>
      </c>
      <c r="CO541" t="s">
        <v>5829</v>
      </c>
      <c r="CQ541" t="s">
        <v>6652</v>
      </c>
      <c r="CR541" t="s">
        <v>3246</v>
      </c>
      <c r="CS541" t="s">
        <v>38</v>
      </c>
      <c r="CT541" t="b">
        <v>1</v>
      </c>
      <c r="CU541">
        <v>4812500</v>
      </c>
      <c r="CV541" t="s">
        <v>9002</v>
      </c>
      <c r="CW541">
        <v>0</v>
      </c>
      <c r="CX541">
        <v>4812500</v>
      </c>
      <c r="CY541">
        <v>0</v>
      </c>
      <c r="CZ541" t="b">
        <v>1</v>
      </c>
      <c r="DA541">
        <v>45568</v>
      </c>
      <c r="DB541" t="s">
        <v>126</v>
      </c>
      <c r="DC541">
        <v>-6.0468631897202529E-3</v>
      </c>
      <c r="DD541">
        <v>-733.19549258071856</v>
      </c>
      <c r="DE541" s="420" cm="1">
        <f t="array" ref="DE541">_xlfn.XLOOKUP("Дом 5"&amp;Реестр_Д5[[#This Row],[№]]&amp;Реестр_Д5[[#This Row],[Статус]],РД[Дом]&amp;РД[№ кв]&amp;РД[Состояние],РД[Дата подачи на регистрацию],"-",0)</f>
        <v>45568</v>
      </c>
    </row>
    <row r="542" spans="1:109" hidden="1" x14ac:dyDescent="0.25">
      <c r="A542" s="238">
        <v>541</v>
      </c>
      <c r="B542" s="238" t="s">
        <v>15</v>
      </c>
      <c r="C542" s="238">
        <v>20</v>
      </c>
      <c r="D542" s="238">
        <v>1</v>
      </c>
      <c r="E542" s="238">
        <v>0</v>
      </c>
      <c r="F542" s="238">
        <v>13.74</v>
      </c>
      <c r="G542" s="238"/>
      <c r="H542" s="238"/>
      <c r="I542">
        <v>13.74</v>
      </c>
      <c r="J542" s="238">
        <v>5.84</v>
      </c>
      <c r="K542" s="238">
        <v>3.76</v>
      </c>
      <c r="L542" s="238"/>
      <c r="M542" s="238"/>
      <c r="N542" s="238">
        <v>3.73</v>
      </c>
      <c r="O542" s="238">
        <v>4.6500000000000004</v>
      </c>
      <c r="P542" s="238"/>
      <c r="R542" s="238">
        <v>4.6500000000000004</v>
      </c>
      <c r="S542">
        <v>31.72</v>
      </c>
      <c r="T542">
        <v>27.07</v>
      </c>
      <c r="U542" s="238">
        <v>29.4</v>
      </c>
      <c r="V542">
        <v>29.2</v>
      </c>
      <c r="W542" s="238">
        <v>96361.65</v>
      </c>
      <c r="X542">
        <v>4818.0824999999995</v>
      </c>
      <c r="Y542">
        <v>101179.7325</v>
      </c>
      <c r="Z542">
        <v>3035.391975</v>
      </c>
      <c r="AA542">
        <v>104215.124475</v>
      </c>
      <c r="AB542">
        <v>9379.3612027500003</v>
      </c>
      <c r="AC542">
        <v>113594.48567775</v>
      </c>
      <c r="AE542">
        <v>113594.48567775</v>
      </c>
      <c r="AG542">
        <v>113594.48567775</v>
      </c>
      <c r="AI542">
        <v>113594.48567775</v>
      </c>
      <c r="AJ542">
        <v>1135.9448567775</v>
      </c>
      <c r="AK542">
        <v>114730.43053452752</v>
      </c>
      <c r="AL542">
        <v>5736.5215267263757</v>
      </c>
      <c r="AM542">
        <v>120466.95206125388</v>
      </c>
      <c r="AO542">
        <v>120466.95206125388</v>
      </c>
      <c r="AP542">
        <v>3614.0085618376161</v>
      </c>
      <c r="AQ542">
        <v>124080.96062309148</v>
      </c>
      <c r="AS542">
        <v>124080.96062309148</v>
      </c>
      <c r="AU542">
        <v>124080.96062309148</v>
      </c>
      <c r="AW542">
        <v>124080.96062309148</v>
      </c>
      <c r="AX542">
        <v>1240.8096062309153</v>
      </c>
      <c r="AY542">
        <v>125321.7702293224</v>
      </c>
      <c r="BA542">
        <v>125321.7702293224</v>
      </c>
      <c r="BC542">
        <v>125321.7702293224</v>
      </c>
      <c r="BE542">
        <v>125321.7702293224</v>
      </c>
      <c r="BF542">
        <v>1879.8265534398361</v>
      </c>
      <c r="BG542">
        <v>127201.59678276224</v>
      </c>
      <c r="BI542">
        <v>127201.59678276224</v>
      </c>
      <c r="BK542">
        <v>127201.59678276224</v>
      </c>
      <c r="BM542">
        <v>127201.59678276224</v>
      </c>
      <c r="BO542">
        <v>127201.59678276224</v>
      </c>
      <c r="BQ542">
        <v>127201.59678276224</v>
      </c>
      <c r="BS542">
        <v>127201.59678276224</v>
      </c>
      <c r="BT542" s="238">
        <v>127201.60000000001</v>
      </c>
      <c r="BU542" s="238">
        <v>3739800</v>
      </c>
      <c r="BX542" s="238">
        <v>0</v>
      </c>
      <c r="BY542" s="238">
        <v>127204.08163265306</v>
      </c>
      <c r="BZ542" s="238">
        <v>3739800</v>
      </c>
      <c r="CA542" s="238" t="s">
        <v>6871</v>
      </c>
      <c r="CB542">
        <v>8000</v>
      </c>
      <c r="CC542">
        <v>135204.08163265308</v>
      </c>
      <c r="CD542" s="238">
        <v>235200.00000000047</v>
      </c>
      <c r="CE542" s="238">
        <v>3975000.0000000009</v>
      </c>
      <c r="CH542" s="238" t="s">
        <v>39</v>
      </c>
      <c r="CI542" s="238" t="s">
        <v>39</v>
      </c>
      <c r="CJ542" t="s">
        <v>8950</v>
      </c>
      <c r="CK542" t="s">
        <v>1167</v>
      </c>
      <c r="CL542" t="s">
        <v>8961</v>
      </c>
      <c r="CM542" t="s">
        <v>8970</v>
      </c>
      <c r="CN542" s="238" t="b">
        <v>1</v>
      </c>
      <c r="CO542" t="s">
        <v>5830</v>
      </c>
      <c r="CQ542" t="s">
        <v>6652</v>
      </c>
      <c r="CR542" t="s">
        <v>3246</v>
      </c>
      <c r="CS542" t="s">
        <v>6871</v>
      </c>
      <c r="CT542" t="b">
        <v>1</v>
      </c>
      <c r="CU542">
        <v>3739800</v>
      </c>
      <c r="CV542" t="s">
        <v>9002</v>
      </c>
      <c r="CW542">
        <v>0</v>
      </c>
      <c r="CX542">
        <v>3739800</v>
      </c>
      <c r="CY542">
        <v>0</v>
      </c>
      <c r="CZ542" t="b">
        <v>1</v>
      </c>
      <c r="DA542">
        <v>45568</v>
      </c>
      <c r="DB542" t="s">
        <v>4177</v>
      </c>
      <c r="DC542">
        <v>-6.8027210884353817E-3</v>
      </c>
      <c r="DD542">
        <v>-865.33388865750476</v>
      </c>
      <c r="DE542" s="420" cm="1">
        <f t="array" ref="DE542">_xlfn.XLOOKUP("Дом 5"&amp;Реестр_Д5[[#This Row],[№]]&amp;Реестр_Д5[[#This Row],[Статус]],РД[Дом]&amp;РД[№ кв]&amp;РД[Состояние],РД[Дата подачи на регистрацию],"-",0)</f>
        <v>45568</v>
      </c>
    </row>
    <row r="543" spans="1:109" hidden="1" x14ac:dyDescent="0.25">
      <c r="A543" s="238">
        <v>542</v>
      </c>
      <c r="B543" s="238" t="s">
        <v>15</v>
      </c>
      <c r="C543" s="238">
        <v>20</v>
      </c>
      <c r="D543" s="238">
        <v>2</v>
      </c>
      <c r="E543" s="238">
        <v>1</v>
      </c>
      <c r="F543" s="238">
        <v>13.17</v>
      </c>
      <c r="G543" s="238"/>
      <c r="H543" s="238"/>
      <c r="I543">
        <v>13.17</v>
      </c>
      <c r="J543" s="238">
        <v>16.940000000000001</v>
      </c>
      <c r="K543" s="238">
        <v>3.55</v>
      </c>
      <c r="L543" s="238">
        <v>2.41</v>
      </c>
      <c r="M543" s="238"/>
      <c r="N543" s="238">
        <v>5.8</v>
      </c>
      <c r="O543" s="238">
        <v>2.68</v>
      </c>
      <c r="P543" s="238"/>
      <c r="R543" s="238">
        <v>2.68</v>
      </c>
      <c r="S543">
        <v>44.55</v>
      </c>
      <c r="T543">
        <v>41.87</v>
      </c>
      <c r="U543" s="238">
        <v>43.21</v>
      </c>
      <c r="V543">
        <v>42.35</v>
      </c>
      <c r="W543" s="238">
        <v>91657.125</v>
      </c>
      <c r="X543">
        <v>4582.8562499999998</v>
      </c>
      <c r="Y543">
        <v>96239.981249999997</v>
      </c>
      <c r="Z543">
        <v>2887.1994374999999</v>
      </c>
      <c r="AA543">
        <v>99127.180687500004</v>
      </c>
      <c r="AB543">
        <v>991.27180687500004</v>
      </c>
      <c r="AC543">
        <v>100118.452494375</v>
      </c>
      <c r="AE543">
        <v>100118.452494375</v>
      </c>
      <c r="AF543">
        <v>5005.9226247187507</v>
      </c>
      <c r="AG543">
        <v>105124.37511909376</v>
      </c>
      <c r="AI543">
        <v>105124.37511909376</v>
      </c>
      <c r="AJ543">
        <v>1051.2437511909377</v>
      </c>
      <c r="AK543">
        <v>106175.61887028468</v>
      </c>
      <c r="AL543">
        <v>5308.7809435142344</v>
      </c>
      <c r="AM543">
        <v>111484.39981379893</v>
      </c>
      <c r="AO543">
        <v>111484.39981379893</v>
      </c>
      <c r="AP543">
        <v>3344.5319944139678</v>
      </c>
      <c r="AQ543">
        <v>114828.93180821287</v>
      </c>
      <c r="AR543">
        <v>500</v>
      </c>
      <c r="AS543">
        <v>115328.93180821287</v>
      </c>
      <c r="AU543">
        <v>115328.93180821287</v>
      </c>
      <c r="AW543">
        <v>115328.93180821287</v>
      </c>
      <c r="AY543">
        <v>115328.93180821287</v>
      </c>
      <c r="AZ543">
        <v>1153.2893180821288</v>
      </c>
      <c r="BA543">
        <v>116482.221126295</v>
      </c>
      <c r="BC543">
        <v>116482.221126295</v>
      </c>
      <c r="BE543">
        <v>116482.221126295</v>
      </c>
      <c r="BF543">
        <v>2912.0555281573756</v>
      </c>
      <c r="BG543">
        <v>119394.27665445241</v>
      </c>
      <c r="BI543">
        <v>119394.27665445241</v>
      </c>
      <c r="BK543">
        <v>119394.27665445241</v>
      </c>
      <c r="BL543">
        <v>9551.5421323561914</v>
      </c>
      <c r="BM543">
        <v>128945.81878680858</v>
      </c>
      <c r="BN543">
        <v>16762.956442285114</v>
      </c>
      <c r="BO543">
        <v>145708.77522909371</v>
      </c>
      <c r="BP543">
        <v>35</v>
      </c>
      <c r="BQ543">
        <v>145743.77522909371</v>
      </c>
      <c r="BS543">
        <v>145743.77522909371</v>
      </c>
      <c r="BT543" s="238">
        <v>145743.78</v>
      </c>
      <c r="BU543" s="238">
        <v>6297600</v>
      </c>
      <c r="BV543">
        <v>525600</v>
      </c>
      <c r="BX543" s="238">
        <v>525600</v>
      </c>
      <c r="BY543" s="238">
        <v>133580.18977088635</v>
      </c>
      <c r="BZ543" s="238">
        <v>5772000</v>
      </c>
      <c r="CA543" s="238" t="s">
        <v>36</v>
      </c>
      <c r="CC543">
        <v>133580.18977088635</v>
      </c>
      <c r="CD543" s="238">
        <v>0</v>
      </c>
      <c r="CE543" s="238">
        <v>5771999.9999999991</v>
      </c>
      <c r="CG543" t="s">
        <v>8676</v>
      </c>
      <c r="CH543" s="238" t="s">
        <v>39</v>
      </c>
      <c r="CI543" s="238" t="s">
        <v>39</v>
      </c>
      <c r="CJ543" t="s">
        <v>8950</v>
      </c>
      <c r="CK543" t="s">
        <v>1167</v>
      </c>
      <c r="CL543" t="s">
        <v>8961</v>
      </c>
      <c r="CM543" t="s">
        <v>8972</v>
      </c>
      <c r="CN543" s="238" t="b">
        <v>1</v>
      </c>
      <c r="CO543" t="s">
        <v>5831</v>
      </c>
      <c r="CQ543" t="s">
        <v>6652</v>
      </c>
      <c r="CR543" t="s">
        <v>3246</v>
      </c>
      <c r="CS543" t="s">
        <v>36</v>
      </c>
      <c r="CT543" t="b">
        <v>1</v>
      </c>
      <c r="CU543">
        <v>6297600</v>
      </c>
      <c r="CV543" t="s">
        <v>9002</v>
      </c>
      <c r="CW543">
        <v>0</v>
      </c>
      <c r="CX543">
        <v>6297600</v>
      </c>
      <c r="CY543">
        <v>0</v>
      </c>
      <c r="CZ543" t="b">
        <v>1</v>
      </c>
      <c r="DA543">
        <v>45808</v>
      </c>
      <c r="DB543" t="s">
        <v>8380</v>
      </c>
      <c r="DC543">
        <v>-1.9902800277713517E-2</v>
      </c>
      <c r="DD543">
        <v>-2658.6198380690212</v>
      </c>
      <c r="DE543" s="420" cm="1">
        <f t="array" ref="DE543">_xlfn.XLOOKUP("Дом 5"&amp;Реестр_Д5[[#This Row],[№]]&amp;Реестр_Д5[[#This Row],[Статус]],РД[Дом]&amp;РД[№ кв]&amp;РД[Состояние],РД[Дата подачи на регистрацию],"-",0)</f>
        <v>45808</v>
      </c>
    </row>
    <row r="544" spans="1:109" x14ac:dyDescent="0.25">
      <c r="A544" s="238">
        <v>543</v>
      </c>
      <c r="B544" s="238" t="s">
        <v>15</v>
      </c>
      <c r="C544" s="238">
        <v>20</v>
      </c>
      <c r="D544" s="238">
        <v>3</v>
      </c>
      <c r="E544" s="238">
        <v>0</v>
      </c>
      <c r="F544" s="238">
        <v>7.2</v>
      </c>
      <c r="G544" s="238"/>
      <c r="H544" s="238"/>
      <c r="I544">
        <v>7.2</v>
      </c>
      <c r="J544" s="238">
        <v>5.17</v>
      </c>
      <c r="K544" s="238">
        <v>3.71</v>
      </c>
      <c r="L544" s="238"/>
      <c r="M544" s="238"/>
      <c r="N544" s="238">
        <v>6.96</v>
      </c>
      <c r="O544" s="238">
        <v>2.92</v>
      </c>
      <c r="P544" s="238"/>
      <c r="R544" s="238">
        <v>2.92</v>
      </c>
      <c r="S544">
        <v>25.96</v>
      </c>
      <c r="T544">
        <v>23.04</v>
      </c>
      <c r="U544" s="238">
        <v>24.5</v>
      </c>
      <c r="V544">
        <v>24.45</v>
      </c>
      <c r="W544" s="238">
        <v>98113.68</v>
      </c>
      <c r="X544">
        <v>4905.6840000000002</v>
      </c>
      <c r="Y544">
        <v>103019.364</v>
      </c>
      <c r="Z544">
        <v>3090.5809199999994</v>
      </c>
      <c r="AA544">
        <v>106109.94491999998</v>
      </c>
      <c r="AB544">
        <v>9549.8950427999971</v>
      </c>
      <c r="AC544">
        <v>115659.83996279998</v>
      </c>
      <c r="AE544">
        <v>115659.83996279998</v>
      </c>
      <c r="AG544">
        <v>115659.83996279998</v>
      </c>
      <c r="AI544">
        <v>115659.83996279998</v>
      </c>
      <c r="AJ544">
        <v>1156.5983996279997</v>
      </c>
      <c r="AK544">
        <v>116816.43836242796</v>
      </c>
      <c r="AL544">
        <v>5840.821918121399</v>
      </c>
      <c r="AM544">
        <v>122657.26028054937</v>
      </c>
      <c r="AO544">
        <v>122657.26028054937</v>
      </c>
      <c r="AP544">
        <v>3679.7178084164807</v>
      </c>
      <c r="AQ544">
        <v>126336.97808896584</v>
      </c>
      <c r="AS544">
        <v>126336.97808896584</v>
      </c>
      <c r="AU544">
        <v>126336.97808896584</v>
      </c>
      <c r="AW544">
        <v>126336.97808896584</v>
      </c>
      <c r="AX544">
        <v>1263.3697808896584</v>
      </c>
      <c r="AY544">
        <v>127600.3478698555</v>
      </c>
      <c r="BA544">
        <v>127600.3478698555</v>
      </c>
      <c r="BB544">
        <v>638.0017393492775</v>
      </c>
      <c r="BC544">
        <v>128238.34960920476</v>
      </c>
      <c r="BE544">
        <v>128238.34960920476</v>
      </c>
      <c r="BF544">
        <v>3205.9587402301195</v>
      </c>
      <c r="BG544">
        <v>131444.3083494349</v>
      </c>
      <c r="BI544">
        <v>131444.3083494349</v>
      </c>
      <c r="BK544">
        <v>131444.3083494349</v>
      </c>
      <c r="BL544">
        <v>5257.7723339773956</v>
      </c>
      <c r="BM544">
        <v>136702.08068341229</v>
      </c>
      <c r="BN544">
        <v>17771.270488843598</v>
      </c>
      <c r="BO544">
        <v>154473.35117225588</v>
      </c>
      <c r="BP544">
        <v>35</v>
      </c>
      <c r="BQ544">
        <v>154508.35117225588</v>
      </c>
      <c r="BS544">
        <v>154508.35117225588</v>
      </c>
      <c r="BT544" s="238">
        <v>154508.35</v>
      </c>
      <c r="BU544" s="238">
        <v>3777800</v>
      </c>
      <c r="BX544" s="238">
        <v>0</v>
      </c>
      <c r="BY544" s="238">
        <v>154511.24744376278</v>
      </c>
      <c r="BZ544" s="238">
        <v>3777800</v>
      </c>
      <c r="CA544" s="238" t="s">
        <v>36</v>
      </c>
      <c r="CC544">
        <v>154511.24744376278</v>
      </c>
      <c r="CD544" s="238">
        <v>0</v>
      </c>
      <c r="CE544" s="238">
        <v>3777800</v>
      </c>
      <c r="CH544" s="238" t="s">
        <v>3</v>
      </c>
      <c r="CI544" s="238" t="s">
        <v>3</v>
      </c>
      <c r="CJ544" t="s">
        <v>8951</v>
      </c>
      <c r="CK544" t="s">
        <v>1167</v>
      </c>
      <c r="CL544" t="s">
        <v>8961</v>
      </c>
      <c r="CM544" t="s">
        <v>8970</v>
      </c>
      <c r="CN544" s="238" t="b">
        <v>1</v>
      </c>
      <c r="CO544" t="s">
        <v>5832</v>
      </c>
      <c r="CQ544" t="s">
        <v>6652</v>
      </c>
      <c r="CR544" t="s">
        <v>3124</v>
      </c>
      <c r="CS544" t="s">
        <v>36</v>
      </c>
      <c r="CT544" t="b">
        <v>1</v>
      </c>
      <c r="CU544">
        <v>3777800</v>
      </c>
      <c r="CV544">
        <v>3777800</v>
      </c>
      <c r="CW544">
        <v>0</v>
      </c>
      <c r="CX544">
        <v>0</v>
      </c>
      <c r="CY544">
        <v>0</v>
      </c>
      <c r="CZ544" t="b">
        <v>1</v>
      </c>
      <c r="DA544" t="s">
        <v>4246</v>
      </c>
      <c r="DB544" t="s">
        <v>1167</v>
      </c>
      <c r="DC544">
        <v>-2.0408163265306367E-3</v>
      </c>
      <c r="DD544">
        <v>-315.3290764158462</v>
      </c>
      <c r="DE544" s="420" t="str" cm="1">
        <f t="array" ref="DE54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5" spans="1:109" x14ac:dyDescent="0.25">
      <c r="A545" s="238">
        <v>544</v>
      </c>
      <c r="B545" s="238" t="s">
        <v>15</v>
      </c>
      <c r="C545" s="238">
        <v>20</v>
      </c>
      <c r="D545" s="238">
        <v>4</v>
      </c>
      <c r="E545" s="238">
        <v>2</v>
      </c>
      <c r="F545" s="238">
        <v>14.48</v>
      </c>
      <c r="G545" s="238">
        <v>11.42</v>
      </c>
      <c r="H545" s="238"/>
      <c r="I545">
        <v>25.9</v>
      </c>
      <c r="J545" s="238">
        <v>15.86</v>
      </c>
      <c r="K545" s="238">
        <v>3.01</v>
      </c>
      <c r="L545" s="238">
        <v>2.67</v>
      </c>
      <c r="M545" s="238"/>
      <c r="N545" s="238">
        <v>9.44</v>
      </c>
      <c r="O545" s="238">
        <v>2.72</v>
      </c>
      <c r="P545" s="238"/>
      <c r="R545" s="238">
        <v>2.72</v>
      </c>
      <c r="S545">
        <v>59.6</v>
      </c>
      <c r="T545">
        <v>56.88</v>
      </c>
      <c r="U545" s="238">
        <v>58.24</v>
      </c>
      <c r="V545">
        <v>58.150000000000006</v>
      </c>
      <c r="W545" s="238">
        <v>85713.201000000001</v>
      </c>
      <c r="X545">
        <v>4285.6600500000004</v>
      </c>
      <c r="Y545">
        <v>89998.861050000007</v>
      </c>
      <c r="Z545">
        <v>2699.9658315000001</v>
      </c>
      <c r="AA545">
        <v>92698.826881500005</v>
      </c>
      <c r="AC545">
        <v>92698.826881500005</v>
      </c>
      <c r="AE545">
        <v>92698.826881500005</v>
      </c>
      <c r="AG545">
        <v>92698.826881500005</v>
      </c>
      <c r="AI545">
        <v>92698.826881500005</v>
      </c>
      <c r="AJ545">
        <v>926.98826881499997</v>
      </c>
      <c r="AK545">
        <v>93625.815150315</v>
      </c>
      <c r="AL545">
        <v>4681.2907575157506</v>
      </c>
      <c r="AM545">
        <v>98307.105907830759</v>
      </c>
      <c r="AO545">
        <v>98307.105907830759</v>
      </c>
      <c r="AP545">
        <v>1966.142118156615</v>
      </c>
      <c r="AQ545">
        <v>100273.24802598736</v>
      </c>
      <c r="AS545">
        <v>100273.24802598736</v>
      </c>
      <c r="AT545">
        <v>2005.4649605197471</v>
      </c>
      <c r="AU545">
        <v>102278.7129865071</v>
      </c>
      <c r="AW545">
        <v>102278.7129865071</v>
      </c>
      <c r="AX545">
        <v>1022.7871298650712</v>
      </c>
      <c r="AY545">
        <v>103301.50011637218</v>
      </c>
      <c r="BA545">
        <v>103301.50011637218</v>
      </c>
      <c r="BC545">
        <v>103301.50011637218</v>
      </c>
      <c r="BE545">
        <v>103301.50011637218</v>
      </c>
      <c r="BF545">
        <v>1549.5225017455823</v>
      </c>
      <c r="BG545">
        <v>104851.02261811776</v>
      </c>
      <c r="BI545">
        <v>104851.02261811776</v>
      </c>
      <c r="BJ545">
        <v>4194.0409047247103</v>
      </c>
      <c r="BK545">
        <v>109045.06352284248</v>
      </c>
      <c r="BL545">
        <v>6542.7038113705476</v>
      </c>
      <c r="BM545">
        <v>115587.767334213</v>
      </c>
      <c r="BN545">
        <v>15026.409753447691</v>
      </c>
      <c r="BO545">
        <v>130614.1770876607</v>
      </c>
      <c r="BP545">
        <v>35</v>
      </c>
      <c r="BQ545">
        <v>130649.1770876607</v>
      </c>
      <c r="BS545">
        <v>130649.1770876607</v>
      </c>
      <c r="BT545" s="238">
        <v>130649.18</v>
      </c>
      <c r="BU545" s="238">
        <v>7597300</v>
      </c>
      <c r="BX545" s="238">
        <v>0</v>
      </c>
      <c r="BY545" s="238">
        <v>130650.04299226138</v>
      </c>
      <c r="BZ545" s="238">
        <v>7597300</v>
      </c>
      <c r="CA545" s="238" t="s">
        <v>6871</v>
      </c>
      <c r="CB545">
        <v>10000</v>
      </c>
      <c r="CC545">
        <v>140650.04299226138</v>
      </c>
      <c r="CD545" s="238">
        <v>581500</v>
      </c>
      <c r="CE545" s="238">
        <v>8178800</v>
      </c>
      <c r="CH545" s="238" t="s">
        <v>3</v>
      </c>
      <c r="CI545" s="238" t="s">
        <v>3</v>
      </c>
      <c r="CJ545" t="s">
        <v>8951</v>
      </c>
      <c r="CK545" t="s">
        <v>1167</v>
      </c>
      <c r="CL545" t="s">
        <v>8961</v>
      </c>
      <c r="CM545" t="s">
        <v>8971</v>
      </c>
      <c r="CN545" s="238" t="b">
        <v>1</v>
      </c>
      <c r="CO545" t="s">
        <v>5833</v>
      </c>
      <c r="CQ545" t="s">
        <v>6652</v>
      </c>
      <c r="CR545" t="s">
        <v>3124</v>
      </c>
      <c r="CS545" t="s">
        <v>36</v>
      </c>
      <c r="CT545" t="b">
        <v>0</v>
      </c>
      <c r="CU545">
        <v>7597300</v>
      </c>
      <c r="CV545">
        <v>7597300</v>
      </c>
      <c r="CW545">
        <v>0</v>
      </c>
      <c r="CX545">
        <v>0</v>
      </c>
      <c r="CY545">
        <v>0</v>
      </c>
      <c r="CZ545" t="b">
        <v>1</v>
      </c>
      <c r="DA545" t="s">
        <v>4246</v>
      </c>
      <c r="DB545" t="s">
        <v>1167</v>
      </c>
      <c r="DC545">
        <v>-1.5453296703296091E-3</v>
      </c>
      <c r="DD545">
        <v>-201.89738786578056</v>
      </c>
      <c r="DE545" s="420" t="str" cm="1">
        <f t="array" ref="DE54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6" spans="1:109" x14ac:dyDescent="0.25">
      <c r="A546" s="238">
        <v>545</v>
      </c>
      <c r="B546" s="238" t="s">
        <v>15</v>
      </c>
      <c r="C546" s="238">
        <v>20</v>
      </c>
      <c r="D546" s="238">
        <v>5</v>
      </c>
      <c r="E546" s="238">
        <v>2</v>
      </c>
      <c r="F546" s="238">
        <v>15.41</v>
      </c>
      <c r="G546" s="238">
        <v>12.78</v>
      </c>
      <c r="H546" s="238"/>
      <c r="I546">
        <v>28.19</v>
      </c>
      <c r="J546" s="238">
        <v>13.45</v>
      </c>
      <c r="K546" s="238">
        <v>3.7</v>
      </c>
      <c r="L546" s="238">
        <v>2.72</v>
      </c>
      <c r="M546" s="238"/>
      <c r="N546" s="238">
        <v>8.2200000000000006</v>
      </c>
      <c r="O546" s="238">
        <v>3.03</v>
      </c>
      <c r="P546" s="238"/>
      <c r="R546" s="238">
        <v>3.03</v>
      </c>
      <c r="S546">
        <v>59.31</v>
      </c>
      <c r="T546">
        <v>56.28</v>
      </c>
      <c r="U546" s="238">
        <v>57.8</v>
      </c>
      <c r="V546">
        <v>57.55</v>
      </c>
      <c r="W546" s="238">
        <v>85327.105500000005</v>
      </c>
      <c r="X546">
        <v>4266.3552750000008</v>
      </c>
      <c r="Y546">
        <v>89593.460775</v>
      </c>
      <c r="Z546">
        <v>2687.8038232499998</v>
      </c>
      <c r="AA546">
        <v>92281.264598249996</v>
      </c>
      <c r="AC546">
        <v>92281.264598249996</v>
      </c>
      <c r="AE546">
        <v>92281.264598249996</v>
      </c>
      <c r="AG546">
        <v>92281.264598249996</v>
      </c>
      <c r="AI546">
        <v>92281.264598249996</v>
      </c>
      <c r="AJ546">
        <v>922.81264598250004</v>
      </c>
      <c r="AK546">
        <v>93204.077244232496</v>
      </c>
      <c r="AL546">
        <v>4660.2038622116252</v>
      </c>
      <c r="AM546">
        <v>97864.281106444105</v>
      </c>
      <c r="AO546">
        <v>97864.281106444105</v>
      </c>
      <c r="AP546">
        <v>1957.2856221288823</v>
      </c>
      <c r="AQ546">
        <v>99821.566728573001</v>
      </c>
      <c r="AS546">
        <v>99821.566728573001</v>
      </c>
      <c r="AT546">
        <v>1996.43133457146</v>
      </c>
      <c r="AU546">
        <v>101817.99806314446</v>
      </c>
      <c r="AW546">
        <v>101817.99806314446</v>
      </c>
      <c r="AX546">
        <v>1018.1799806314448</v>
      </c>
      <c r="AY546">
        <v>102836.1780437759</v>
      </c>
      <c r="BA546">
        <v>102836.1780437759</v>
      </c>
      <c r="BC546">
        <v>102836.1780437759</v>
      </c>
      <c r="BE546">
        <v>102836.1780437759</v>
      </c>
      <c r="BF546">
        <v>1542.5426706566384</v>
      </c>
      <c r="BG546">
        <v>104378.72071443254</v>
      </c>
      <c r="BH546">
        <v>500</v>
      </c>
      <c r="BI546">
        <v>104878.72071443254</v>
      </c>
      <c r="BJ546">
        <v>4195.1488285773012</v>
      </c>
      <c r="BK546">
        <v>109073.86954300985</v>
      </c>
      <c r="BL546">
        <v>6544.4321725805903</v>
      </c>
      <c r="BM546">
        <v>115618.30171559044</v>
      </c>
      <c r="BN546">
        <v>15030.379223026755</v>
      </c>
      <c r="BO546">
        <v>130648.6809386172</v>
      </c>
      <c r="BP546">
        <v>35</v>
      </c>
      <c r="BQ546">
        <v>130683.6809386172</v>
      </c>
      <c r="BS546">
        <v>130683.6809386172</v>
      </c>
      <c r="BT546" s="238">
        <v>130683.68</v>
      </c>
      <c r="BU546" s="238">
        <v>7520900</v>
      </c>
      <c r="BX546" s="238">
        <v>0</v>
      </c>
      <c r="BY546" s="238">
        <v>130684.62206776717</v>
      </c>
      <c r="BZ546" s="238">
        <v>7520900</v>
      </c>
      <c r="CA546" s="238" t="s">
        <v>36</v>
      </c>
      <c r="CC546">
        <v>130684.62206776717</v>
      </c>
      <c r="CD546" s="238">
        <v>0</v>
      </c>
      <c r="CE546" s="238">
        <v>7520900</v>
      </c>
      <c r="CH546" s="238" t="s">
        <v>3</v>
      </c>
      <c r="CI546" s="238" t="s">
        <v>3</v>
      </c>
      <c r="CJ546" t="s">
        <v>8951</v>
      </c>
      <c r="CK546" t="s">
        <v>1167</v>
      </c>
      <c r="CL546" t="s">
        <v>8961</v>
      </c>
      <c r="CM546" t="s">
        <v>8974</v>
      </c>
      <c r="CN546" s="238" t="b">
        <v>1</v>
      </c>
      <c r="CO546" t="s">
        <v>5834</v>
      </c>
      <c r="CQ546" t="s">
        <v>6652</v>
      </c>
      <c r="CR546" t="s">
        <v>3124</v>
      </c>
      <c r="CS546" t="s">
        <v>36</v>
      </c>
      <c r="CT546" t="b">
        <v>1</v>
      </c>
      <c r="CU546">
        <v>7520900</v>
      </c>
      <c r="CV546">
        <v>7520900</v>
      </c>
      <c r="CW546">
        <v>0</v>
      </c>
      <c r="CX546">
        <v>0</v>
      </c>
      <c r="CY546">
        <v>0</v>
      </c>
      <c r="CZ546" t="b">
        <v>1</v>
      </c>
      <c r="DA546" t="s">
        <v>4246</v>
      </c>
      <c r="DB546" t="s">
        <v>1167</v>
      </c>
      <c r="DC546">
        <v>-4.325259515570945E-3</v>
      </c>
      <c r="DD546">
        <v>-565.24490513740261</v>
      </c>
      <c r="DE546" s="420" t="str" cm="1">
        <f t="array" ref="DE54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47" spans="1:109" hidden="1" x14ac:dyDescent="0.25">
      <c r="A547" s="238">
        <v>546</v>
      </c>
      <c r="B547" s="238" t="s">
        <v>15</v>
      </c>
      <c r="C547" s="238">
        <v>20</v>
      </c>
      <c r="D547" s="238">
        <v>6</v>
      </c>
      <c r="E547" s="238">
        <v>1</v>
      </c>
      <c r="F547" s="238">
        <v>12.71</v>
      </c>
      <c r="G547" s="238"/>
      <c r="H547" s="238"/>
      <c r="I547">
        <v>12.71</v>
      </c>
      <c r="J547" s="238">
        <v>12.55</v>
      </c>
      <c r="K547" s="238">
        <v>4.28</v>
      </c>
      <c r="L547" s="238"/>
      <c r="M547" s="238"/>
      <c r="N547" s="238">
        <v>7.34</v>
      </c>
      <c r="O547" s="238">
        <v>2.84</v>
      </c>
      <c r="P547" s="238"/>
      <c r="R547" s="238">
        <v>2.84</v>
      </c>
      <c r="S547">
        <v>39.72</v>
      </c>
      <c r="T547">
        <v>36.880000000000003</v>
      </c>
      <c r="U547" s="238">
        <v>38.299999999999997</v>
      </c>
      <c r="V547">
        <v>37.799999999999997</v>
      </c>
      <c r="W547" s="238">
        <v>94090.5</v>
      </c>
      <c r="X547">
        <v>4704.5250000000005</v>
      </c>
      <c r="Y547">
        <v>98795.024999999994</v>
      </c>
      <c r="Z547">
        <v>2963.8507499999996</v>
      </c>
      <c r="AA547">
        <v>101758.87575000001</v>
      </c>
      <c r="AB547">
        <v>1017.5887575</v>
      </c>
      <c r="AC547">
        <v>102776.4645075</v>
      </c>
      <c r="AE547">
        <v>102776.4645075</v>
      </c>
      <c r="AF547">
        <v>5138.8232253749993</v>
      </c>
      <c r="AG547">
        <v>107915.287732875</v>
      </c>
      <c r="AI547">
        <v>107915.287732875</v>
      </c>
      <c r="AJ547">
        <v>1079.1528773287498</v>
      </c>
      <c r="AK547">
        <v>108994.44061020372</v>
      </c>
      <c r="AL547">
        <v>5449.7220305101873</v>
      </c>
      <c r="AM547">
        <v>114444.16264071393</v>
      </c>
      <c r="AO547">
        <v>114444.16264071393</v>
      </c>
      <c r="AP547">
        <v>3433.3248792214172</v>
      </c>
      <c r="AQ547">
        <v>117877.48751993533</v>
      </c>
      <c r="AS547">
        <v>117877.48751993533</v>
      </c>
      <c r="AU547">
        <v>117877.48751993533</v>
      </c>
      <c r="AW547">
        <v>117877.48751993533</v>
      </c>
      <c r="AY547">
        <v>117877.48751993533</v>
      </c>
      <c r="BA547">
        <v>117877.48751993533</v>
      </c>
      <c r="BC547">
        <v>117877.48751993533</v>
      </c>
      <c r="BE547">
        <v>117877.48751993533</v>
      </c>
      <c r="BG547">
        <v>117877.48751993533</v>
      </c>
      <c r="BI547">
        <v>117877.48751993533</v>
      </c>
      <c r="BK547">
        <v>117877.48751993533</v>
      </c>
      <c r="BM547">
        <v>117877.48751993533</v>
      </c>
      <c r="BO547">
        <v>117877.48751993533</v>
      </c>
      <c r="BQ547">
        <v>117877.48751993533</v>
      </c>
      <c r="BS547">
        <v>117877.48751993533</v>
      </c>
      <c r="BT547" s="238">
        <v>117877.49</v>
      </c>
      <c r="BU547" s="238">
        <v>4514800</v>
      </c>
      <c r="BX547" s="238">
        <v>0</v>
      </c>
      <c r="BY547" s="238">
        <v>117879.89556135773</v>
      </c>
      <c r="BZ547" s="238">
        <v>4514800</v>
      </c>
      <c r="CA547" s="238" t="s">
        <v>6871</v>
      </c>
      <c r="CB547">
        <v>7000</v>
      </c>
      <c r="CC547">
        <v>124879.89556135773</v>
      </c>
      <c r="CD547" s="238">
        <v>268100</v>
      </c>
      <c r="CE547" s="238">
        <v>4782900</v>
      </c>
      <c r="CH547" s="238" t="s">
        <v>39</v>
      </c>
      <c r="CI547" s="238" t="s">
        <v>39</v>
      </c>
      <c r="CJ547" t="s">
        <v>8950</v>
      </c>
      <c r="CK547" t="s">
        <v>1167</v>
      </c>
      <c r="CL547" t="s">
        <v>8961</v>
      </c>
      <c r="CM547" t="s">
        <v>8973</v>
      </c>
      <c r="CN547" s="238" t="b">
        <v>1</v>
      </c>
      <c r="CO547" t="s">
        <v>5835</v>
      </c>
      <c r="CQ547" t="s">
        <v>6652</v>
      </c>
      <c r="CR547" t="s">
        <v>3246</v>
      </c>
      <c r="CS547" t="s">
        <v>6871</v>
      </c>
      <c r="CT547" t="b">
        <v>1</v>
      </c>
      <c r="CU547">
        <v>4514800</v>
      </c>
      <c r="CV547" t="s">
        <v>9002</v>
      </c>
      <c r="CW547">
        <v>4514800</v>
      </c>
      <c r="CX547">
        <v>4514800</v>
      </c>
      <c r="CY547">
        <v>0</v>
      </c>
      <c r="CZ547" t="b">
        <v>1</v>
      </c>
      <c r="DA547">
        <v>45465</v>
      </c>
      <c r="DB547" t="s">
        <v>7181</v>
      </c>
      <c r="DC547">
        <v>-1.3054830287206221E-2</v>
      </c>
      <c r="DD547">
        <v>-1538.9020308271188</v>
      </c>
      <c r="DE547" s="420" cm="1">
        <f t="array" ref="DE547">_xlfn.XLOOKUP("Дом 5"&amp;Реестр_Д5[[#This Row],[№]]&amp;Реестр_Д5[[#This Row],[Статус]],РД[Дом]&amp;РД[№ кв]&amp;РД[Состояние],РД[Дата подачи на регистрацию],"-",0)</f>
        <v>45465</v>
      </c>
    </row>
    <row r="548" spans="1:109" hidden="1" x14ac:dyDescent="0.25">
      <c r="A548" s="238">
        <v>547</v>
      </c>
      <c r="B548" s="238" t="s">
        <v>15</v>
      </c>
      <c r="C548" s="238">
        <v>20</v>
      </c>
      <c r="D548" s="238">
        <v>7</v>
      </c>
      <c r="E548" s="238">
        <v>3</v>
      </c>
      <c r="F548" s="238">
        <v>14.49</v>
      </c>
      <c r="G548" s="238">
        <v>13.98</v>
      </c>
      <c r="H548" s="238">
        <v>11.42</v>
      </c>
      <c r="I548">
        <v>39.89</v>
      </c>
      <c r="J548" s="238">
        <v>16.670000000000002</v>
      </c>
      <c r="K548" s="238">
        <v>4.1399999999999997</v>
      </c>
      <c r="L548" s="238">
        <v>1.89</v>
      </c>
      <c r="M548" s="238"/>
      <c r="N548" s="238">
        <v>11.31</v>
      </c>
      <c r="O548" s="238">
        <v>2.86</v>
      </c>
      <c r="P548" s="238">
        <v>2.79</v>
      </c>
      <c r="Q548">
        <v>5.42</v>
      </c>
      <c r="R548" s="238">
        <v>11.07</v>
      </c>
      <c r="S548">
        <v>84.97</v>
      </c>
      <c r="T548">
        <v>73.900000000000006</v>
      </c>
      <c r="U548" s="238">
        <v>79.44</v>
      </c>
      <c r="V548">
        <v>79</v>
      </c>
      <c r="W548" s="238">
        <v>83513.430000000022</v>
      </c>
      <c r="Y548">
        <v>83513.430000000022</v>
      </c>
      <c r="AA548">
        <v>83513.430000000022</v>
      </c>
      <c r="AC548">
        <v>83513.430000000022</v>
      </c>
      <c r="AE548">
        <v>83513.430000000022</v>
      </c>
      <c r="AG548">
        <v>83513.430000000022</v>
      </c>
      <c r="AI548">
        <v>83513.430000000022</v>
      </c>
      <c r="AK548">
        <v>83513.430000000022</v>
      </c>
      <c r="AM548">
        <v>83513.430000000022</v>
      </c>
      <c r="AO548">
        <v>83513.430000000022</v>
      </c>
      <c r="AQ548">
        <v>83513.430000000022</v>
      </c>
      <c r="AS548">
        <v>83513.430000000022</v>
      </c>
      <c r="AU548">
        <v>83513.430000000022</v>
      </c>
      <c r="AW548">
        <v>83513.430000000022</v>
      </c>
      <c r="AY548">
        <v>83513.430000000022</v>
      </c>
      <c r="BA548">
        <v>83513.430000000022</v>
      </c>
      <c r="BC548">
        <v>83513.430000000022</v>
      </c>
      <c r="BE548">
        <v>83513.430000000022</v>
      </c>
      <c r="BG548">
        <v>83513.430000000022</v>
      </c>
      <c r="BI548">
        <v>83513.430000000022</v>
      </c>
      <c r="BK548">
        <v>83513.430000000022</v>
      </c>
      <c r="BM548">
        <v>83513.430000000022</v>
      </c>
      <c r="BO548">
        <v>83513.430000000022</v>
      </c>
      <c r="BQ548">
        <v>83513.430000000022</v>
      </c>
      <c r="BS548">
        <v>83513.430000000022</v>
      </c>
      <c r="BT548" s="238">
        <v>83513.429999999993</v>
      </c>
      <c r="BU548" s="238">
        <v>6634306.8799999999</v>
      </c>
      <c r="BX548" s="238">
        <v>0</v>
      </c>
      <c r="BY548" s="238">
        <v>83513.4300100705</v>
      </c>
      <c r="BZ548" s="238">
        <v>6634306.8799999999</v>
      </c>
      <c r="CA548" s="238" t="s">
        <v>38</v>
      </c>
      <c r="CB548">
        <v>15500</v>
      </c>
      <c r="CC548">
        <v>99013.4300100705</v>
      </c>
      <c r="CD548" s="238">
        <v>1231320</v>
      </c>
      <c r="CE548" s="238">
        <v>7865626.8799999999</v>
      </c>
      <c r="CF548" t="s">
        <v>4636</v>
      </c>
      <c r="CH548" s="238" t="s">
        <v>39</v>
      </c>
      <c r="CI548" s="238" t="s">
        <v>39</v>
      </c>
      <c r="CJ548" t="s">
        <v>8950</v>
      </c>
      <c r="CK548" t="s">
        <v>1167</v>
      </c>
      <c r="CL548" t="s">
        <v>8961</v>
      </c>
      <c r="CM548" t="s">
        <v>8990</v>
      </c>
      <c r="CN548" s="238" t="b">
        <v>1</v>
      </c>
      <c r="CO548" t="s">
        <v>5836</v>
      </c>
      <c r="CQ548" t="s">
        <v>4895</v>
      </c>
      <c r="CR548" t="s">
        <v>3246</v>
      </c>
      <c r="CS548" t="s">
        <v>38</v>
      </c>
      <c r="CT548" t="b">
        <v>1</v>
      </c>
      <c r="CU548">
        <v>6634306.8799999999</v>
      </c>
      <c r="CV548" t="s">
        <v>9002</v>
      </c>
      <c r="CW548">
        <v>6634307</v>
      </c>
      <c r="CX548">
        <v>6634307</v>
      </c>
      <c r="CY548">
        <v>0</v>
      </c>
      <c r="CZ548" t="b">
        <v>1</v>
      </c>
      <c r="DA548">
        <v>45195</v>
      </c>
      <c r="DB548" t="s">
        <v>3901</v>
      </c>
      <c r="DC548">
        <v>-5.5387713997985255E-3</v>
      </c>
      <c r="DD548">
        <v>-462.56179763885439</v>
      </c>
      <c r="DE548" s="420" cm="1">
        <f t="array" ref="DE548">_xlfn.XLOOKUP("Дом 5"&amp;Реестр_Д5[[#This Row],[№]]&amp;Реестр_Д5[[#This Row],[Статус]],РД[Дом]&amp;РД[№ кв]&amp;РД[Состояние],РД[Дата подачи на регистрацию],"-",0)</f>
        <v>45195</v>
      </c>
    </row>
    <row r="549" spans="1:109" hidden="1" x14ac:dyDescent="0.25">
      <c r="A549" s="238">
        <v>548</v>
      </c>
      <c r="B549" s="238" t="s">
        <v>15</v>
      </c>
      <c r="C549" s="238">
        <v>20</v>
      </c>
      <c r="D549" s="238">
        <v>8</v>
      </c>
      <c r="E549" s="238">
        <v>1</v>
      </c>
      <c r="F549" s="238">
        <v>16.79</v>
      </c>
      <c r="G549" s="238"/>
      <c r="H549" s="238"/>
      <c r="I549">
        <v>16.79</v>
      </c>
      <c r="J549" s="238">
        <v>11.43</v>
      </c>
      <c r="K549" s="238">
        <v>3.56</v>
      </c>
      <c r="L549" s="238"/>
      <c r="M549" s="238"/>
      <c r="N549" s="238">
        <v>6.66</v>
      </c>
      <c r="O549" s="238">
        <v>2.4900000000000002</v>
      </c>
      <c r="P549" s="238"/>
      <c r="R549" s="238">
        <v>2.4900000000000002</v>
      </c>
      <c r="S549">
        <v>40.93</v>
      </c>
      <c r="T549">
        <v>38.44</v>
      </c>
      <c r="U549" s="238">
        <v>39.69</v>
      </c>
      <c r="V549">
        <v>39.85</v>
      </c>
      <c r="W549" s="238">
        <v>92873.8125</v>
      </c>
      <c r="X549">
        <v>4643.6906250000002</v>
      </c>
      <c r="Y549">
        <v>97517.503125000003</v>
      </c>
      <c r="Z549">
        <v>2925.52509375</v>
      </c>
      <c r="AA549">
        <v>100443.02821875</v>
      </c>
      <c r="AB549">
        <v>4519.9362698437499</v>
      </c>
      <c r="AC549">
        <v>104962.96448859376</v>
      </c>
      <c r="AE549">
        <v>104962.96448859376</v>
      </c>
      <c r="AF549">
        <v>5248.1482244296876</v>
      </c>
      <c r="AG549">
        <v>110211.11271302344</v>
      </c>
      <c r="AI549">
        <v>110211.11271302344</v>
      </c>
      <c r="AJ549">
        <v>1102.1111271302343</v>
      </c>
      <c r="AK549">
        <v>111313.22384015367</v>
      </c>
      <c r="AL549">
        <v>5565.6611920076839</v>
      </c>
      <c r="AM549">
        <v>116878.88503216136</v>
      </c>
      <c r="AO549">
        <v>116878.88503216136</v>
      </c>
      <c r="AP549">
        <v>3506.3665509648404</v>
      </c>
      <c r="AQ549">
        <v>120385.2515831262</v>
      </c>
      <c r="AS549">
        <v>120385.2515831262</v>
      </c>
      <c r="AU549">
        <v>120385.2515831262</v>
      </c>
      <c r="AW549">
        <v>120385.2515831262</v>
      </c>
      <c r="AY549">
        <v>120385.2515831262</v>
      </c>
      <c r="BA549">
        <v>120385.2515831262</v>
      </c>
      <c r="BC549">
        <v>120385.2515831262</v>
      </c>
      <c r="BE549">
        <v>120385.2515831262</v>
      </c>
      <c r="BG549">
        <v>120385.2515831262</v>
      </c>
      <c r="BI549">
        <v>120385.2515831262</v>
      </c>
      <c r="BK549">
        <v>120385.2515831262</v>
      </c>
      <c r="BM549">
        <v>120385.2515831262</v>
      </c>
      <c r="BO549">
        <v>120385.2515831262</v>
      </c>
      <c r="BQ549">
        <v>120385.2515831262</v>
      </c>
      <c r="BS549">
        <v>120385.2515831262</v>
      </c>
      <c r="BT549" s="238">
        <v>120385.25</v>
      </c>
      <c r="BU549" s="238">
        <v>4778100</v>
      </c>
      <c r="BV549">
        <v>88888</v>
      </c>
      <c r="BX549" s="238">
        <v>88888</v>
      </c>
      <c r="BY549" s="238">
        <v>118145.9309649786</v>
      </c>
      <c r="BZ549" s="238">
        <v>4689212</v>
      </c>
      <c r="CA549" s="238" t="s">
        <v>36</v>
      </c>
      <c r="CC549">
        <v>118145.9309649786</v>
      </c>
      <c r="CD549" s="238">
        <v>0</v>
      </c>
      <c r="CE549" s="238">
        <v>4689212</v>
      </c>
      <c r="CG549" t="s">
        <v>4185</v>
      </c>
      <c r="CH549" s="238" t="s">
        <v>39</v>
      </c>
      <c r="CI549" s="238" t="s">
        <v>39</v>
      </c>
      <c r="CJ549" t="s">
        <v>8950</v>
      </c>
      <c r="CK549" t="s">
        <v>1167</v>
      </c>
      <c r="CL549" t="s">
        <v>8961</v>
      </c>
      <c r="CM549" t="s">
        <v>8973</v>
      </c>
      <c r="CN549" s="238" t="b">
        <v>1</v>
      </c>
      <c r="CO549" t="s">
        <v>5837</v>
      </c>
      <c r="CQ549" t="s">
        <v>6652</v>
      </c>
      <c r="CR549" t="s">
        <v>3246</v>
      </c>
      <c r="CS549" t="s">
        <v>36</v>
      </c>
      <c r="CT549" t="b">
        <v>1</v>
      </c>
      <c r="CU549">
        <v>4778100</v>
      </c>
      <c r="CV549" t="s">
        <v>9002</v>
      </c>
      <c r="CW549">
        <v>0</v>
      </c>
      <c r="CX549">
        <v>4778100</v>
      </c>
      <c r="CY549">
        <v>0</v>
      </c>
      <c r="CZ549" t="b">
        <v>1</v>
      </c>
      <c r="DA549">
        <v>45377</v>
      </c>
      <c r="DB549" t="s">
        <v>126</v>
      </c>
      <c r="DC549">
        <v>4.0312421264803167E-3</v>
      </c>
      <c r="DD549">
        <v>476.27485397825694</v>
      </c>
      <c r="DE549" s="420" cm="1">
        <f t="array" ref="DE549">_xlfn.XLOOKUP("Дом 5"&amp;Реестр_Д5[[#This Row],[№]]&amp;Реестр_Д5[[#This Row],[Статус]],РД[Дом]&amp;РД[№ кв]&amp;РД[Состояние],РД[Дата подачи на регистрацию],"-",0)</f>
        <v>45377</v>
      </c>
    </row>
    <row r="550" spans="1:109" hidden="1" x14ac:dyDescent="0.25">
      <c r="A550" s="238">
        <v>549</v>
      </c>
      <c r="B550" s="238" t="s">
        <v>15</v>
      </c>
      <c r="C550" s="238">
        <v>21</v>
      </c>
      <c r="D550" s="238">
        <v>1</v>
      </c>
      <c r="E550" s="238">
        <v>0</v>
      </c>
      <c r="F550" s="238">
        <v>13.74</v>
      </c>
      <c r="G550" s="238"/>
      <c r="H550" s="238"/>
      <c r="I550">
        <v>13.74</v>
      </c>
      <c r="J550" s="238">
        <v>5.84</v>
      </c>
      <c r="K550" s="238">
        <v>3.76</v>
      </c>
      <c r="L550" s="238"/>
      <c r="M550" s="238"/>
      <c r="N550" s="238">
        <v>3.73</v>
      </c>
      <c r="O550" s="238">
        <v>4.6500000000000004</v>
      </c>
      <c r="P550" s="238"/>
      <c r="R550" s="238">
        <v>4.6500000000000004</v>
      </c>
      <c r="S550">
        <v>31.72</v>
      </c>
      <c r="T550">
        <v>27.07</v>
      </c>
      <c r="U550" s="238">
        <v>29.4</v>
      </c>
      <c r="V550">
        <v>29.2</v>
      </c>
      <c r="W550" s="238">
        <v>96361.65</v>
      </c>
      <c r="X550">
        <v>4818.0824999999995</v>
      </c>
      <c r="Y550">
        <v>101179.7325</v>
      </c>
      <c r="Z550">
        <v>3035.391975</v>
      </c>
      <c r="AA550">
        <v>104215.124475</v>
      </c>
      <c r="AB550">
        <v>9379.3612027500003</v>
      </c>
      <c r="AC550">
        <v>113594.48567775</v>
      </c>
      <c r="AE550">
        <v>113594.48567775</v>
      </c>
      <c r="AG550">
        <v>113594.48567775</v>
      </c>
      <c r="AI550">
        <v>113594.48567775</v>
      </c>
      <c r="AJ550">
        <v>1135.9448567775</v>
      </c>
      <c r="AK550">
        <v>114730.43053452752</v>
      </c>
      <c r="AL550">
        <v>5736.5215267263757</v>
      </c>
      <c r="AM550">
        <v>120466.95206125388</v>
      </c>
      <c r="AO550">
        <v>120466.95206125388</v>
      </c>
      <c r="AP550">
        <v>3614.0085618376161</v>
      </c>
      <c r="AQ550">
        <v>124080.96062309148</v>
      </c>
      <c r="AS550">
        <v>124080.96062309148</v>
      </c>
      <c r="AU550">
        <v>124080.96062309148</v>
      </c>
      <c r="AW550">
        <v>124080.96062309148</v>
      </c>
      <c r="AY550">
        <v>124080.96062309148</v>
      </c>
      <c r="BA550">
        <v>124080.96062309148</v>
      </c>
      <c r="BC550">
        <v>124080.96062309148</v>
      </c>
      <c r="BE550">
        <v>124080.96062309148</v>
      </c>
      <c r="BG550">
        <v>124080.96062309148</v>
      </c>
      <c r="BI550">
        <v>124080.96062309148</v>
      </c>
      <c r="BK550">
        <v>124080.96062309148</v>
      </c>
      <c r="BM550">
        <v>124080.96062309148</v>
      </c>
      <c r="BO550">
        <v>124080.96062309148</v>
      </c>
      <c r="BQ550">
        <v>124080.96062309148</v>
      </c>
      <c r="BS550">
        <v>124080.96062309148</v>
      </c>
      <c r="BT550" s="238">
        <v>124080.96000000001</v>
      </c>
      <c r="BU550" s="238">
        <v>3648000</v>
      </c>
      <c r="BX550" s="238">
        <v>0</v>
      </c>
      <c r="BY550" s="238">
        <v>124081.63265306124</v>
      </c>
      <c r="BZ550" s="238">
        <v>3648000</v>
      </c>
      <c r="CA550" s="238" t="s">
        <v>38</v>
      </c>
      <c r="CB550">
        <v>20000</v>
      </c>
      <c r="CC550">
        <v>144081.63265306124</v>
      </c>
      <c r="CD550" s="238">
        <v>588000</v>
      </c>
      <c r="CE550" s="238">
        <v>4236000</v>
      </c>
      <c r="CH550" s="238" t="s">
        <v>39</v>
      </c>
      <c r="CI550" s="238" t="s">
        <v>39</v>
      </c>
      <c r="CJ550" t="s">
        <v>8950</v>
      </c>
      <c r="CK550" t="s">
        <v>1167</v>
      </c>
      <c r="CL550" t="s">
        <v>8961</v>
      </c>
      <c r="CM550" t="s">
        <v>8970</v>
      </c>
      <c r="CN550" s="238" t="b">
        <v>1</v>
      </c>
      <c r="CO550" t="s">
        <v>5838</v>
      </c>
      <c r="CQ550" t="s">
        <v>6652</v>
      </c>
      <c r="CR550" t="s">
        <v>3246</v>
      </c>
      <c r="CS550" t="s">
        <v>38</v>
      </c>
      <c r="CT550" t="b">
        <v>1</v>
      </c>
      <c r="CU550">
        <v>3648000</v>
      </c>
      <c r="CV550" t="s">
        <v>9002</v>
      </c>
      <c r="CW550">
        <v>0</v>
      </c>
      <c r="CX550">
        <v>3648000</v>
      </c>
      <c r="CY550">
        <v>0</v>
      </c>
      <c r="CZ550" t="b">
        <v>1</v>
      </c>
      <c r="DA550">
        <v>45436</v>
      </c>
      <c r="DB550" t="s">
        <v>130</v>
      </c>
      <c r="DC550">
        <v>-6.8027210884353817E-3</v>
      </c>
      <c r="DD550">
        <v>-844.09273913647189</v>
      </c>
      <c r="DE550" s="420" cm="1">
        <f t="array" ref="DE550">_xlfn.XLOOKUP("Дом 5"&amp;Реестр_Д5[[#This Row],[№]]&amp;Реестр_Д5[[#This Row],[Статус]],РД[Дом]&amp;РД[№ кв]&amp;РД[Состояние],РД[Дата подачи на регистрацию],"-",0)</f>
        <v>45436</v>
      </c>
    </row>
    <row r="551" spans="1:109" hidden="1" x14ac:dyDescent="0.25">
      <c r="A551" s="238">
        <v>550</v>
      </c>
      <c r="B551" s="238" t="s">
        <v>15</v>
      </c>
      <c r="C551" s="238">
        <v>21</v>
      </c>
      <c r="D551" s="238">
        <v>2</v>
      </c>
      <c r="E551" s="238">
        <v>1</v>
      </c>
      <c r="F551" s="238">
        <v>13.17</v>
      </c>
      <c r="G551" s="238"/>
      <c r="H551" s="238"/>
      <c r="I551">
        <v>13.17</v>
      </c>
      <c r="J551" s="238">
        <v>16.940000000000001</v>
      </c>
      <c r="K551" s="238">
        <v>3.55</v>
      </c>
      <c r="L551" s="238">
        <v>2.41</v>
      </c>
      <c r="M551" s="238"/>
      <c r="N551" s="238">
        <v>5.8</v>
      </c>
      <c r="O551" s="238">
        <v>2.68</v>
      </c>
      <c r="P551" s="238"/>
      <c r="R551" s="238">
        <v>2.68</v>
      </c>
      <c r="S551">
        <v>44.55</v>
      </c>
      <c r="T551">
        <v>41.87</v>
      </c>
      <c r="U551" s="238">
        <v>43.21</v>
      </c>
      <c r="V551">
        <v>42.35</v>
      </c>
      <c r="W551" s="238">
        <v>91657.125</v>
      </c>
      <c r="X551">
        <v>4582.8562499999998</v>
      </c>
      <c r="Y551">
        <v>96239.981249999997</v>
      </c>
      <c r="Z551">
        <v>2887.1994374999999</v>
      </c>
      <c r="AA551">
        <v>99127.180687500004</v>
      </c>
      <c r="AB551">
        <v>991.27180687500004</v>
      </c>
      <c r="AC551">
        <v>100118.452494375</v>
      </c>
      <c r="AE551">
        <v>100118.452494375</v>
      </c>
      <c r="AF551">
        <v>5005.9226247187507</v>
      </c>
      <c r="AG551">
        <v>105124.37511909376</v>
      </c>
      <c r="AI551">
        <v>105124.37511909376</v>
      </c>
      <c r="AJ551">
        <v>1051.2437511909377</v>
      </c>
      <c r="AK551">
        <v>106175.61887028468</v>
      </c>
      <c r="AL551">
        <v>5308.7809435142344</v>
      </c>
      <c r="AM551">
        <v>111484.39981379893</v>
      </c>
      <c r="AO551">
        <v>111484.39981379893</v>
      </c>
      <c r="AP551">
        <v>3344.5319944139678</v>
      </c>
      <c r="AQ551">
        <v>114828.93180821287</v>
      </c>
      <c r="AR551">
        <v>500</v>
      </c>
      <c r="AS551">
        <v>115328.93180821287</v>
      </c>
      <c r="AU551">
        <v>115328.93180821287</v>
      </c>
      <c r="AW551">
        <v>115328.93180821287</v>
      </c>
      <c r="AY551">
        <v>115328.93180821287</v>
      </c>
      <c r="AZ551">
        <v>1153.2893180821288</v>
      </c>
      <c r="BA551">
        <v>116482.221126295</v>
      </c>
      <c r="BC551">
        <v>116482.221126295</v>
      </c>
      <c r="BE551">
        <v>116482.221126295</v>
      </c>
      <c r="BF551">
        <v>2912.0555281573756</v>
      </c>
      <c r="BG551">
        <v>119394.27665445241</v>
      </c>
      <c r="BI551">
        <v>119394.27665445241</v>
      </c>
      <c r="BK551">
        <v>119394.27665445241</v>
      </c>
      <c r="BM551">
        <v>119394.27665445241</v>
      </c>
      <c r="BO551">
        <v>119394.27665445241</v>
      </c>
      <c r="BQ551">
        <v>119394.27665445241</v>
      </c>
      <c r="BS551">
        <v>119394.27665445241</v>
      </c>
      <c r="BT551" s="238">
        <v>119394.28</v>
      </c>
      <c r="BU551" s="238">
        <v>5159100</v>
      </c>
      <c r="BW551">
        <v>0.02</v>
      </c>
      <c r="BX551" s="238">
        <v>103182</v>
      </c>
      <c r="BY551" s="238">
        <v>117008.05369127516</v>
      </c>
      <c r="BZ551" s="238">
        <v>5055918</v>
      </c>
      <c r="CA551" s="238" t="s">
        <v>36</v>
      </c>
      <c r="CC551">
        <v>117008.05369127516</v>
      </c>
      <c r="CD551" s="238">
        <v>0</v>
      </c>
      <c r="CE551" s="238">
        <v>5055918</v>
      </c>
      <c r="CG551" t="s">
        <v>3540</v>
      </c>
      <c r="CH551" s="238" t="s">
        <v>39</v>
      </c>
      <c r="CI551" s="238" t="s">
        <v>39</v>
      </c>
      <c r="CJ551" t="s">
        <v>8950</v>
      </c>
      <c r="CK551" t="s">
        <v>1167</v>
      </c>
      <c r="CL551" t="s">
        <v>8961</v>
      </c>
      <c r="CM551" t="s">
        <v>8972</v>
      </c>
      <c r="CN551" s="238" t="b">
        <v>1</v>
      </c>
      <c r="CO551" t="s">
        <v>5839</v>
      </c>
      <c r="CQ551" t="s">
        <v>6652</v>
      </c>
      <c r="CR551" t="s">
        <v>3246</v>
      </c>
      <c r="CS551" t="s">
        <v>36</v>
      </c>
      <c r="CT551" t="b">
        <v>1</v>
      </c>
      <c r="CU551">
        <v>5159100</v>
      </c>
      <c r="CV551" t="s">
        <v>9002</v>
      </c>
      <c r="CW551">
        <v>0</v>
      </c>
      <c r="CX551">
        <v>5159100</v>
      </c>
      <c r="CY551">
        <v>0</v>
      </c>
      <c r="CZ551" t="b">
        <v>1</v>
      </c>
      <c r="DA551">
        <v>45588</v>
      </c>
      <c r="DB551" t="s">
        <v>4177</v>
      </c>
      <c r="DC551">
        <v>-1.9902800277713517E-2</v>
      </c>
      <c r="DD551">
        <v>-2328.7879235014298</v>
      </c>
      <c r="DE551" s="420" cm="1">
        <f t="array" ref="DE551">_xlfn.XLOOKUP("Дом 5"&amp;Реестр_Д5[[#This Row],[№]]&amp;Реестр_Д5[[#This Row],[Статус]],РД[Дом]&amp;РД[№ кв]&amp;РД[Состояние],РД[Дата подачи на регистрацию],"-",0)</f>
        <v>45588</v>
      </c>
    </row>
    <row r="552" spans="1:109" x14ac:dyDescent="0.25">
      <c r="A552" s="238">
        <v>551</v>
      </c>
      <c r="B552" s="238" t="s">
        <v>15</v>
      </c>
      <c r="C552" s="238">
        <v>21</v>
      </c>
      <c r="D552" s="238">
        <v>3</v>
      </c>
      <c r="E552" s="238">
        <v>0</v>
      </c>
      <c r="F552" s="238">
        <v>7.2</v>
      </c>
      <c r="G552" s="238"/>
      <c r="H552" s="238"/>
      <c r="I552">
        <v>7.2</v>
      </c>
      <c r="J552" s="238">
        <v>5.17</v>
      </c>
      <c r="K552" s="238">
        <v>3.71</v>
      </c>
      <c r="L552" s="238"/>
      <c r="M552" s="238"/>
      <c r="N552" s="238">
        <v>6.96</v>
      </c>
      <c r="O552" s="238">
        <v>2.92</v>
      </c>
      <c r="P552" s="238"/>
      <c r="R552" s="238">
        <v>2.92</v>
      </c>
      <c r="S552">
        <v>25.96</v>
      </c>
      <c r="T552">
        <v>23.04</v>
      </c>
      <c r="U552" s="238">
        <v>24.5</v>
      </c>
      <c r="V552">
        <v>24.249999999999996</v>
      </c>
      <c r="W552" s="238">
        <v>98113.68</v>
      </c>
      <c r="X552">
        <v>4905.6840000000002</v>
      </c>
      <c r="Y552">
        <v>103019.364</v>
      </c>
      <c r="Z552">
        <v>3090.5809199999994</v>
      </c>
      <c r="AA552">
        <v>106109.94491999998</v>
      </c>
      <c r="AB552">
        <v>9549.8950427999971</v>
      </c>
      <c r="AC552">
        <v>115659.83996279998</v>
      </c>
      <c r="AE552">
        <v>115659.83996279998</v>
      </c>
      <c r="AG552">
        <v>115659.83996279998</v>
      </c>
      <c r="AI552">
        <v>115659.83996279998</v>
      </c>
      <c r="AJ552">
        <v>1156.5983996279997</v>
      </c>
      <c r="AK552">
        <v>116816.43836242796</v>
      </c>
      <c r="AL552">
        <v>5840.821918121399</v>
      </c>
      <c r="AM552">
        <v>122657.26028054937</v>
      </c>
      <c r="AO552">
        <v>122657.26028054937</v>
      </c>
      <c r="AP552">
        <v>3679.7178084164807</v>
      </c>
      <c r="AQ552">
        <v>126336.97808896584</v>
      </c>
      <c r="AS552">
        <v>126336.97808896584</v>
      </c>
      <c r="AU552">
        <v>126336.97808896584</v>
      </c>
      <c r="AW552">
        <v>126336.97808896584</v>
      </c>
      <c r="AX552">
        <v>1263.3697808896584</v>
      </c>
      <c r="AY552">
        <v>127600.3478698555</v>
      </c>
      <c r="BA552">
        <v>127600.3478698555</v>
      </c>
      <c r="BB552">
        <v>638.0017393492775</v>
      </c>
      <c r="BC552">
        <v>128238.34960920476</v>
      </c>
      <c r="BE552">
        <v>128238.34960920476</v>
      </c>
      <c r="BF552">
        <v>3205.9587402301195</v>
      </c>
      <c r="BG552">
        <v>131444.3083494349</v>
      </c>
      <c r="BI552">
        <v>131444.3083494349</v>
      </c>
      <c r="BK552">
        <v>131444.3083494349</v>
      </c>
      <c r="BL552">
        <v>5257.7723339773956</v>
      </c>
      <c r="BM552">
        <v>136702.08068341229</v>
      </c>
      <c r="BN552">
        <v>17771.270488843598</v>
      </c>
      <c r="BO552">
        <v>154473.35117225588</v>
      </c>
      <c r="BP552">
        <v>35</v>
      </c>
      <c r="BQ552">
        <v>154508.35117225588</v>
      </c>
      <c r="BS552">
        <v>154508.35117225588</v>
      </c>
      <c r="BT552" s="238">
        <v>154508.35</v>
      </c>
      <c r="BU552" s="238">
        <v>3746900</v>
      </c>
      <c r="BX552" s="238">
        <v>0</v>
      </c>
      <c r="BY552" s="238">
        <v>154511.34020618559</v>
      </c>
      <c r="BZ552" s="238">
        <v>3746900</v>
      </c>
      <c r="CA552" s="238" t="s">
        <v>36</v>
      </c>
      <c r="CC552">
        <v>154511.34020618559</v>
      </c>
      <c r="CD552" s="238">
        <v>0</v>
      </c>
      <c r="CE552" s="238">
        <v>3746900</v>
      </c>
      <c r="CH552" s="238" t="s">
        <v>3</v>
      </c>
      <c r="CI552" s="238" t="s">
        <v>3</v>
      </c>
      <c r="CJ552" t="s">
        <v>8951</v>
      </c>
      <c r="CK552" t="s">
        <v>1167</v>
      </c>
      <c r="CL552" t="s">
        <v>8961</v>
      </c>
      <c r="CM552" t="s">
        <v>8970</v>
      </c>
      <c r="CN552" s="238" t="b">
        <v>1</v>
      </c>
      <c r="CO552" t="s">
        <v>5840</v>
      </c>
      <c r="CQ552" t="s">
        <v>6652</v>
      </c>
      <c r="CR552" t="s">
        <v>3124</v>
      </c>
      <c r="CS552" t="s">
        <v>36</v>
      </c>
      <c r="CT552" t="b">
        <v>1</v>
      </c>
      <c r="CU552">
        <v>3746900</v>
      </c>
      <c r="CV552">
        <v>3746900</v>
      </c>
      <c r="CW552">
        <v>0</v>
      </c>
      <c r="CX552">
        <v>0</v>
      </c>
      <c r="CY552">
        <v>0</v>
      </c>
      <c r="CZ552" t="b">
        <v>1</v>
      </c>
      <c r="DA552" t="s">
        <v>4246</v>
      </c>
      <c r="DB552" t="s">
        <v>1167</v>
      </c>
      <c r="DC552">
        <v>-1.0204081632653184E-2</v>
      </c>
      <c r="DD552">
        <v>-1576.6463286345656</v>
      </c>
      <c r="DE552" s="420" t="str" cm="1">
        <f t="array" ref="DE55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3" spans="1:109" x14ac:dyDescent="0.25">
      <c r="A553" s="238">
        <v>552</v>
      </c>
      <c r="B553" s="238" t="s">
        <v>15</v>
      </c>
      <c r="C553" s="238">
        <v>21</v>
      </c>
      <c r="D553" s="238">
        <v>4</v>
      </c>
      <c r="E553" s="238">
        <v>2</v>
      </c>
      <c r="F553" s="238">
        <v>14.48</v>
      </c>
      <c r="G553" s="238">
        <v>11.42</v>
      </c>
      <c r="H553" s="238"/>
      <c r="I553">
        <v>25.9</v>
      </c>
      <c r="J553" s="238">
        <v>15.86</v>
      </c>
      <c r="K553" s="238">
        <v>3.01</v>
      </c>
      <c r="L553" s="238">
        <v>2.67</v>
      </c>
      <c r="M553" s="238"/>
      <c r="N553" s="238">
        <v>9.44</v>
      </c>
      <c r="O553" s="238">
        <v>2.72</v>
      </c>
      <c r="P553" s="238"/>
      <c r="R553" s="238">
        <v>2.72</v>
      </c>
      <c r="S553">
        <v>59.6</v>
      </c>
      <c r="T553">
        <v>56.88</v>
      </c>
      <c r="U553" s="238">
        <v>58.24</v>
      </c>
      <c r="V553">
        <v>57.95</v>
      </c>
      <c r="W553" s="238">
        <v>85713.201000000001</v>
      </c>
      <c r="X553">
        <v>4285.6600500000004</v>
      </c>
      <c r="Y553">
        <v>89998.861050000007</v>
      </c>
      <c r="Z553">
        <v>2699.9658315000001</v>
      </c>
      <c r="AA553">
        <v>92698.826881500005</v>
      </c>
      <c r="AC553">
        <v>92698.826881500005</v>
      </c>
      <c r="AE553">
        <v>92698.826881500005</v>
      </c>
      <c r="AG553">
        <v>92698.826881500005</v>
      </c>
      <c r="AI553">
        <v>92698.826881500005</v>
      </c>
      <c r="AJ553">
        <v>926.98826881499997</v>
      </c>
      <c r="AK553">
        <v>93625.815150315</v>
      </c>
      <c r="AL553">
        <v>4681.2907575157506</v>
      </c>
      <c r="AM553">
        <v>98307.105907830759</v>
      </c>
      <c r="AO553">
        <v>98307.105907830759</v>
      </c>
      <c r="AP553">
        <v>1966.142118156615</v>
      </c>
      <c r="AQ553">
        <v>100273.24802598736</v>
      </c>
      <c r="AS553">
        <v>100273.24802598736</v>
      </c>
      <c r="AT553">
        <v>2005.4649605197471</v>
      </c>
      <c r="AU553">
        <v>102278.7129865071</v>
      </c>
      <c r="AW553">
        <v>102278.7129865071</v>
      </c>
      <c r="AX553">
        <v>1022.7871298650712</v>
      </c>
      <c r="AY553">
        <v>103301.50011637218</v>
      </c>
      <c r="BA553">
        <v>103301.50011637218</v>
      </c>
      <c r="BC553">
        <v>103301.50011637218</v>
      </c>
      <c r="BE553">
        <v>103301.50011637218</v>
      </c>
      <c r="BF553">
        <v>1549.5225017455823</v>
      </c>
      <c r="BG553">
        <v>104851.02261811776</v>
      </c>
      <c r="BI553">
        <v>104851.02261811776</v>
      </c>
      <c r="BJ553">
        <v>4194.0409047247103</v>
      </c>
      <c r="BK553">
        <v>109045.06352284248</v>
      </c>
      <c r="BL553">
        <v>6542.7038113705476</v>
      </c>
      <c r="BM553">
        <v>115587.767334213</v>
      </c>
      <c r="BN553">
        <v>15026.409753447691</v>
      </c>
      <c r="BO553">
        <v>130614.1770876607</v>
      </c>
      <c r="BP553">
        <v>35</v>
      </c>
      <c r="BQ553">
        <v>130649.1770876607</v>
      </c>
      <c r="BS553">
        <v>130649.1770876607</v>
      </c>
      <c r="BT553" s="238">
        <v>130649.18</v>
      </c>
      <c r="BU553" s="238">
        <v>7571200</v>
      </c>
      <c r="BX553" s="238">
        <v>0</v>
      </c>
      <c r="BY553" s="238">
        <v>130650.56082830024</v>
      </c>
      <c r="BZ553" s="238">
        <v>7571200</v>
      </c>
      <c r="CA553" s="238" t="s">
        <v>36</v>
      </c>
      <c r="CC553">
        <v>130650.56082830024</v>
      </c>
      <c r="CD553" s="238">
        <v>0</v>
      </c>
      <c r="CE553" s="238">
        <v>7571200</v>
      </c>
      <c r="CH553" s="238" t="s">
        <v>3</v>
      </c>
      <c r="CI553" s="238" t="s">
        <v>3</v>
      </c>
      <c r="CJ553" t="s">
        <v>8951</v>
      </c>
      <c r="CK553" t="s">
        <v>1167</v>
      </c>
      <c r="CL553" t="s">
        <v>8961</v>
      </c>
      <c r="CM553" t="s">
        <v>8971</v>
      </c>
      <c r="CN553" s="238" t="b">
        <v>1</v>
      </c>
      <c r="CO553" t="s">
        <v>5841</v>
      </c>
      <c r="CQ553" t="s">
        <v>6652</v>
      </c>
      <c r="CR553" t="s">
        <v>3124</v>
      </c>
      <c r="CS553" t="s">
        <v>6871</v>
      </c>
      <c r="CT553" t="b">
        <v>0</v>
      </c>
      <c r="CU553">
        <v>7571200</v>
      </c>
      <c r="CV553">
        <v>7571200</v>
      </c>
      <c r="CW553">
        <v>0</v>
      </c>
      <c r="CX553">
        <v>0</v>
      </c>
      <c r="CY553">
        <v>0</v>
      </c>
      <c r="CZ553" t="b">
        <v>1</v>
      </c>
      <c r="DA553" t="s">
        <v>4246</v>
      </c>
      <c r="DB553" t="s">
        <v>1167</v>
      </c>
      <c r="DC553">
        <v>-4.9793956043956422E-3</v>
      </c>
      <c r="DD553">
        <v>-650.56082830026378</v>
      </c>
      <c r="DE553" s="420" t="str" cm="1">
        <f t="array" ref="DE55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4" spans="1:109" x14ac:dyDescent="0.25">
      <c r="A554" s="238">
        <v>553</v>
      </c>
      <c r="B554" s="238" t="s">
        <v>15</v>
      </c>
      <c r="C554" s="238">
        <v>21</v>
      </c>
      <c r="D554" s="238">
        <v>5</v>
      </c>
      <c r="E554" s="238">
        <v>2</v>
      </c>
      <c r="F554" s="238">
        <v>15.41</v>
      </c>
      <c r="G554" s="238">
        <v>12.78</v>
      </c>
      <c r="H554" s="238"/>
      <c r="I554">
        <v>28.19</v>
      </c>
      <c r="J554" s="238">
        <v>13.45</v>
      </c>
      <c r="K554" s="238">
        <v>3.7</v>
      </c>
      <c r="L554" s="238">
        <v>2.72</v>
      </c>
      <c r="M554" s="238"/>
      <c r="N554" s="238">
        <v>8.2200000000000006</v>
      </c>
      <c r="O554" s="238">
        <v>3.03</v>
      </c>
      <c r="P554" s="238"/>
      <c r="R554" s="238">
        <v>3.03</v>
      </c>
      <c r="S554">
        <v>59.31</v>
      </c>
      <c r="T554">
        <v>56.28</v>
      </c>
      <c r="U554" s="238">
        <v>57.8</v>
      </c>
      <c r="V554">
        <v>57.35</v>
      </c>
      <c r="W554" s="238">
        <v>85327.105500000005</v>
      </c>
      <c r="X554">
        <v>4266.3552750000008</v>
      </c>
      <c r="Y554">
        <v>89593.460775</v>
      </c>
      <c r="Z554">
        <v>2687.8038232499998</v>
      </c>
      <c r="AA554">
        <v>92281.264598249996</v>
      </c>
      <c r="AC554">
        <v>92281.264598249996</v>
      </c>
      <c r="AE554">
        <v>92281.264598249996</v>
      </c>
      <c r="AG554">
        <v>92281.264598249996</v>
      </c>
      <c r="AI554">
        <v>92281.264598249996</v>
      </c>
      <c r="AJ554">
        <v>922.81264598250004</v>
      </c>
      <c r="AK554">
        <v>93204.077244232496</v>
      </c>
      <c r="AL554">
        <v>4660.2038622116252</v>
      </c>
      <c r="AM554">
        <v>97864.281106444105</v>
      </c>
      <c r="AO554">
        <v>97864.281106444105</v>
      </c>
      <c r="AP554">
        <v>1957.2856221288823</v>
      </c>
      <c r="AQ554">
        <v>99821.566728573001</v>
      </c>
      <c r="AS554">
        <v>99821.566728573001</v>
      </c>
      <c r="AT554">
        <v>1996.43133457146</v>
      </c>
      <c r="AU554">
        <v>101817.99806314446</v>
      </c>
      <c r="AW554">
        <v>101817.99806314446</v>
      </c>
      <c r="AX554">
        <v>1018.1799806314448</v>
      </c>
      <c r="AY554">
        <v>102836.1780437759</v>
      </c>
      <c r="BA554">
        <v>102836.1780437759</v>
      </c>
      <c r="BC554">
        <v>102836.1780437759</v>
      </c>
      <c r="BE554">
        <v>102836.1780437759</v>
      </c>
      <c r="BF554">
        <v>1542.5426706566384</v>
      </c>
      <c r="BG554">
        <v>104378.72071443254</v>
      </c>
      <c r="BH554">
        <v>500</v>
      </c>
      <c r="BI554">
        <v>104878.72071443254</v>
      </c>
      <c r="BJ554">
        <v>4195.1488285773012</v>
      </c>
      <c r="BK554">
        <v>109073.86954300985</v>
      </c>
      <c r="BL554">
        <v>6544.4321725805903</v>
      </c>
      <c r="BM554">
        <v>115618.30171559044</v>
      </c>
      <c r="BN554">
        <v>15030.379223026755</v>
      </c>
      <c r="BO554">
        <v>130648.6809386172</v>
      </c>
      <c r="BP554">
        <v>35</v>
      </c>
      <c r="BQ554">
        <v>130683.6809386172</v>
      </c>
      <c r="BS554">
        <v>130683.6809386172</v>
      </c>
      <c r="BT554" s="238">
        <v>130683.68</v>
      </c>
      <c r="BU554" s="238">
        <v>7494800</v>
      </c>
      <c r="BX554" s="238">
        <v>0</v>
      </c>
      <c r="BY554" s="238">
        <v>130685.26591107236</v>
      </c>
      <c r="BZ554" s="238">
        <v>7494800</v>
      </c>
      <c r="CA554" s="238" t="s">
        <v>36</v>
      </c>
      <c r="CC554">
        <v>130685.26591107236</v>
      </c>
      <c r="CD554" s="238">
        <v>0</v>
      </c>
      <c r="CE554" s="238">
        <v>7494800</v>
      </c>
      <c r="CH554" s="238" t="s">
        <v>3</v>
      </c>
      <c r="CI554" s="238" t="s">
        <v>3</v>
      </c>
      <c r="CJ554" t="s">
        <v>8951</v>
      </c>
      <c r="CK554" t="s">
        <v>1167</v>
      </c>
      <c r="CL554" t="s">
        <v>8961</v>
      </c>
      <c r="CM554" t="s">
        <v>8974</v>
      </c>
      <c r="CN554" s="238" t="b">
        <v>1</v>
      </c>
      <c r="CO554" t="s">
        <v>5842</v>
      </c>
      <c r="CQ554" t="s">
        <v>6652</v>
      </c>
      <c r="CR554" t="s">
        <v>3124</v>
      </c>
      <c r="CS554" t="s">
        <v>36</v>
      </c>
      <c r="CT554" t="b">
        <v>1</v>
      </c>
      <c r="CU554">
        <v>7494800</v>
      </c>
      <c r="CV554">
        <v>7494800</v>
      </c>
      <c r="CW554">
        <v>0</v>
      </c>
      <c r="CX554">
        <v>0</v>
      </c>
      <c r="CY554">
        <v>0</v>
      </c>
      <c r="CZ554" t="b">
        <v>1</v>
      </c>
      <c r="DA554" t="s">
        <v>4246</v>
      </c>
      <c r="DB554" t="s">
        <v>1167</v>
      </c>
      <c r="DC554">
        <v>-7.7854671280276353E-3</v>
      </c>
      <c r="DD554">
        <v>-1017.4458418682044</v>
      </c>
      <c r="DE554" s="420" t="str" cm="1">
        <f t="array" ref="DE55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5" spans="1:109" x14ac:dyDescent="0.25">
      <c r="A555" s="238">
        <v>554</v>
      </c>
      <c r="B555" s="238" t="s">
        <v>15</v>
      </c>
      <c r="C555" s="238">
        <v>21</v>
      </c>
      <c r="D555" s="238">
        <v>6</v>
      </c>
      <c r="E555" s="238">
        <v>1</v>
      </c>
      <c r="F555" s="238">
        <v>12.71</v>
      </c>
      <c r="G555" s="238"/>
      <c r="H555" s="238"/>
      <c r="I555">
        <v>12.71</v>
      </c>
      <c r="J555" s="238">
        <v>12.55</v>
      </c>
      <c r="K555" s="238">
        <v>4.28</v>
      </c>
      <c r="L555" s="238"/>
      <c r="M555" s="238"/>
      <c r="N555" s="238">
        <v>7.34</v>
      </c>
      <c r="O555" s="238">
        <v>2.84</v>
      </c>
      <c r="P555" s="238"/>
      <c r="R555" s="238">
        <v>2.84</v>
      </c>
      <c r="S555">
        <v>39.72</v>
      </c>
      <c r="T555">
        <v>36.880000000000003</v>
      </c>
      <c r="U555" s="238">
        <v>38.299999999999997</v>
      </c>
      <c r="V555">
        <v>37.75</v>
      </c>
      <c r="W555" s="238">
        <v>94090.5</v>
      </c>
      <c r="X555">
        <v>4704.5250000000005</v>
      </c>
      <c r="Y555">
        <v>98795.024999999994</v>
      </c>
      <c r="Z555">
        <v>2963.8507499999996</v>
      </c>
      <c r="AA555">
        <v>101758.87575000001</v>
      </c>
      <c r="AB555">
        <v>1017.5887575</v>
      </c>
      <c r="AC555">
        <v>102776.4645075</v>
      </c>
      <c r="AE555">
        <v>102776.4645075</v>
      </c>
      <c r="AF555">
        <v>5138.8232253749993</v>
      </c>
      <c r="AG555">
        <v>107915.287732875</v>
      </c>
      <c r="AI555">
        <v>107915.287732875</v>
      </c>
      <c r="AJ555">
        <v>1079.1528773287498</v>
      </c>
      <c r="AK555">
        <v>108994.44061020372</v>
      </c>
      <c r="AL555">
        <v>5449.7220305101873</v>
      </c>
      <c r="AM555">
        <v>114444.16264071393</v>
      </c>
      <c r="AO555">
        <v>114444.16264071393</v>
      </c>
      <c r="AP555">
        <v>3433.3248792214172</v>
      </c>
      <c r="AQ555">
        <v>117877.48751993533</v>
      </c>
      <c r="AS555">
        <v>117877.48751993533</v>
      </c>
      <c r="AU555">
        <v>117877.48751993533</v>
      </c>
      <c r="AW555">
        <v>117877.48751993533</v>
      </c>
      <c r="AY555">
        <v>117877.48751993533</v>
      </c>
      <c r="AZ555">
        <v>1178.7748751993531</v>
      </c>
      <c r="BA555">
        <v>119056.26239513468</v>
      </c>
      <c r="BB555">
        <v>595.28131197567336</v>
      </c>
      <c r="BC555">
        <v>119651.54370711037</v>
      </c>
      <c r="BE555">
        <v>119651.54370711037</v>
      </c>
      <c r="BF555">
        <v>2991.288592677759</v>
      </c>
      <c r="BG555">
        <v>122642.8322997881</v>
      </c>
      <c r="BI555">
        <v>122642.8322997881</v>
      </c>
      <c r="BJ555">
        <v>2452.8566459957619</v>
      </c>
      <c r="BK555">
        <v>125095.68894578388</v>
      </c>
      <c r="BL555">
        <v>6254.7844472891938</v>
      </c>
      <c r="BM555">
        <v>131350.47339307307</v>
      </c>
      <c r="BN555">
        <v>17075.561541099501</v>
      </c>
      <c r="BO555">
        <v>148426.03493417258</v>
      </c>
      <c r="BP555">
        <v>35</v>
      </c>
      <c r="BQ555">
        <v>148461.03493417258</v>
      </c>
      <c r="BS555">
        <v>148461.03493417258</v>
      </c>
      <c r="BT555" s="238">
        <v>148461.03</v>
      </c>
      <c r="BU555" s="238">
        <v>5604500</v>
      </c>
      <c r="BX555" s="238">
        <v>0</v>
      </c>
      <c r="BY555" s="238">
        <v>148463.57615894038</v>
      </c>
      <c r="BZ555" s="238">
        <v>5604500</v>
      </c>
      <c r="CA555" s="238" t="s">
        <v>36</v>
      </c>
      <c r="CC555">
        <v>148463.57615894038</v>
      </c>
      <c r="CD555" s="238">
        <v>0</v>
      </c>
      <c r="CE555" s="238">
        <v>5604499.9999999991</v>
      </c>
      <c r="CH555" s="238" t="s">
        <v>3</v>
      </c>
      <c r="CI555" s="238" t="s">
        <v>3</v>
      </c>
      <c r="CJ555" t="s">
        <v>8951</v>
      </c>
      <c r="CK555" t="s">
        <v>1167</v>
      </c>
      <c r="CL555" t="s">
        <v>8961</v>
      </c>
      <c r="CM555" t="s">
        <v>8973</v>
      </c>
      <c r="CN555" s="238" t="b">
        <v>1</v>
      </c>
      <c r="CO555" t="s">
        <v>5843</v>
      </c>
      <c r="CQ555" t="s">
        <v>6652</v>
      </c>
      <c r="CR555" t="s">
        <v>3124</v>
      </c>
      <c r="CS555" t="s">
        <v>36</v>
      </c>
      <c r="CT555" t="b">
        <v>1</v>
      </c>
      <c r="CU555">
        <v>5604500</v>
      </c>
      <c r="CV555">
        <v>5604500</v>
      </c>
      <c r="CW555">
        <v>0</v>
      </c>
      <c r="CX555">
        <v>0</v>
      </c>
      <c r="CY555">
        <v>0</v>
      </c>
      <c r="CZ555" t="b">
        <v>1</v>
      </c>
      <c r="DA555" t="s">
        <v>4246</v>
      </c>
      <c r="DB555" t="s">
        <v>1167</v>
      </c>
      <c r="DC555">
        <v>-1.4360313315926798E-2</v>
      </c>
      <c r="DD555">
        <v>-2131.983469645344</v>
      </c>
      <c r="DE555" s="420" t="str" cm="1">
        <f t="array" ref="DE55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6" spans="1:109" x14ac:dyDescent="0.25">
      <c r="A556" s="238">
        <v>555</v>
      </c>
      <c r="B556" s="238" t="s">
        <v>15</v>
      </c>
      <c r="C556" s="238">
        <v>21</v>
      </c>
      <c r="D556" s="238">
        <v>7</v>
      </c>
      <c r="E556" s="238">
        <v>3</v>
      </c>
      <c r="F556" s="238">
        <v>14.49</v>
      </c>
      <c r="G556" s="238">
        <v>13.98</v>
      </c>
      <c r="H556" s="238">
        <v>11.42</v>
      </c>
      <c r="I556">
        <v>39.89</v>
      </c>
      <c r="J556" s="238">
        <v>16.670000000000002</v>
      </c>
      <c r="K556" s="238">
        <v>4.1399999999999997</v>
      </c>
      <c r="L556" s="238">
        <v>1.89</v>
      </c>
      <c r="M556" s="238"/>
      <c r="N556" s="238">
        <v>11.31</v>
      </c>
      <c r="O556" s="238">
        <v>2.86</v>
      </c>
      <c r="P556" s="238">
        <v>2.79</v>
      </c>
      <c r="Q556">
        <v>5.42</v>
      </c>
      <c r="R556" s="238">
        <v>11.07</v>
      </c>
      <c r="S556">
        <v>84.97</v>
      </c>
      <c r="T556">
        <v>73.900000000000006</v>
      </c>
      <c r="U556" s="238">
        <v>79.44</v>
      </c>
      <c r="V556">
        <v>78.600000000000023</v>
      </c>
      <c r="W556" s="238">
        <v>83513.430000000022</v>
      </c>
      <c r="X556">
        <v>4175.6715000000013</v>
      </c>
      <c r="Y556">
        <v>87689.101500000019</v>
      </c>
      <c r="Z556">
        <v>2630.6730450000005</v>
      </c>
      <c r="AA556">
        <v>90319.774545000022</v>
      </c>
      <c r="AC556">
        <v>90319.774545000022</v>
      </c>
      <c r="AE556">
        <v>90319.774545000022</v>
      </c>
      <c r="AG556">
        <v>90319.774545000022</v>
      </c>
      <c r="AI556">
        <v>90319.774545000022</v>
      </c>
      <c r="AJ556">
        <v>903.19774545000018</v>
      </c>
      <c r="AK556">
        <v>91222.972290450023</v>
      </c>
      <c r="AL556">
        <v>4561.1486145225017</v>
      </c>
      <c r="AM556">
        <v>95784.120904972529</v>
      </c>
      <c r="AO556">
        <v>95784.120904972529</v>
      </c>
      <c r="AP556">
        <v>1915.6824180994504</v>
      </c>
      <c r="AQ556">
        <v>97699.803323071974</v>
      </c>
      <c r="AS556">
        <v>97699.803323071974</v>
      </c>
      <c r="AT556">
        <v>1953.9960664614396</v>
      </c>
      <c r="AU556">
        <v>99653.799389533408</v>
      </c>
      <c r="AV556">
        <v>1000</v>
      </c>
      <c r="AW556">
        <v>100653.79938953339</v>
      </c>
      <c r="AY556">
        <v>100653.79938953339</v>
      </c>
      <c r="AZ556">
        <v>2013.0759877906685</v>
      </c>
      <c r="BA556">
        <v>102666.87537732408</v>
      </c>
      <c r="BC556">
        <v>102666.87537732408</v>
      </c>
      <c r="BD556">
        <v>2053.3375075464814</v>
      </c>
      <c r="BE556">
        <v>104720.21288487056</v>
      </c>
      <c r="BF556">
        <v>2618.005322121764</v>
      </c>
      <c r="BG556">
        <v>107338.21820699231</v>
      </c>
      <c r="BI556">
        <v>107338.21820699231</v>
      </c>
      <c r="BJ556">
        <v>4293.5287282796935</v>
      </c>
      <c r="BK556">
        <v>111631.74693527202</v>
      </c>
      <c r="BL556">
        <v>5581.5873467636011</v>
      </c>
      <c r="BM556">
        <v>117213.33428203562</v>
      </c>
      <c r="BN556">
        <v>15237.733456664631</v>
      </c>
      <c r="BO556">
        <v>132451.06773870025</v>
      </c>
      <c r="BP556">
        <v>35</v>
      </c>
      <c r="BQ556">
        <v>132486.06773870025</v>
      </c>
      <c r="BS556">
        <v>132486.06773870025</v>
      </c>
      <c r="BT556" s="238">
        <v>132486.07</v>
      </c>
      <c r="BU556" s="238">
        <v>10413500</v>
      </c>
      <c r="BX556" s="238">
        <v>0</v>
      </c>
      <c r="BY556" s="238">
        <v>132487.27735368954</v>
      </c>
      <c r="BZ556" s="238">
        <v>10413500</v>
      </c>
      <c r="CA556" s="238" t="s">
        <v>38</v>
      </c>
      <c r="CB556">
        <v>30000</v>
      </c>
      <c r="CC556">
        <v>162487.27735368954</v>
      </c>
      <c r="CD556" s="238">
        <v>2358000</v>
      </c>
      <c r="CE556" s="238">
        <v>12771500</v>
      </c>
      <c r="CF556" t="s">
        <v>4636</v>
      </c>
      <c r="CG556" t="s">
        <v>8910</v>
      </c>
      <c r="CH556" s="238" t="s">
        <v>3</v>
      </c>
      <c r="CI556" s="238" t="s">
        <v>3</v>
      </c>
      <c r="CJ556" t="s">
        <v>8951</v>
      </c>
      <c r="CK556" t="s">
        <v>1167</v>
      </c>
      <c r="CL556" t="s">
        <v>8961</v>
      </c>
      <c r="CM556" t="s">
        <v>8990</v>
      </c>
      <c r="CN556" s="238" t="b">
        <v>1</v>
      </c>
      <c r="CO556" t="s">
        <v>5844</v>
      </c>
      <c r="CQ556" t="s">
        <v>6652</v>
      </c>
      <c r="CR556" t="s">
        <v>3124</v>
      </c>
      <c r="CS556" t="s">
        <v>38</v>
      </c>
      <c r="CT556" t="b">
        <v>1</v>
      </c>
      <c r="CU556">
        <v>10413500</v>
      </c>
      <c r="CV556">
        <v>10413500</v>
      </c>
      <c r="CW556">
        <v>0</v>
      </c>
      <c r="CX556">
        <v>0</v>
      </c>
      <c r="CY556">
        <v>0</v>
      </c>
      <c r="CZ556" t="b">
        <v>1</v>
      </c>
      <c r="DA556" t="s">
        <v>4246</v>
      </c>
      <c r="DB556" t="s">
        <v>1167</v>
      </c>
      <c r="DC556">
        <v>-1.0574018126888074E-2</v>
      </c>
      <c r="DD556">
        <v>-1400.922872319961</v>
      </c>
      <c r="DE556" s="420" t="str" cm="1">
        <f t="array" ref="DE556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7" spans="1:109" x14ac:dyDescent="0.25">
      <c r="A557" s="238">
        <v>556</v>
      </c>
      <c r="B557" s="238" t="s">
        <v>15</v>
      </c>
      <c r="C557" s="238">
        <v>21</v>
      </c>
      <c r="D557" s="238">
        <v>8</v>
      </c>
      <c r="E557" s="238">
        <v>1</v>
      </c>
      <c r="F557" s="238">
        <v>16.79</v>
      </c>
      <c r="G557" s="238"/>
      <c r="H557" s="238"/>
      <c r="I557">
        <v>16.79</v>
      </c>
      <c r="J557" s="238">
        <v>11.43</v>
      </c>
      <c r="K557" s="238">
        <v>3.56</v>
      </c>
      <c r="L557" s="238"/>
      <c r="M557" s="238"/>
      <c r="N557" s="238">
        <v>6.66</v>
      </c>
      <c r="O557" s="238">
        <v>2.4900000000000002</v>
      </c>
      <c r="P557" s="238"/>
      <c r="R557" s="238">
        <v>2.4900000000000002</v>
      </c>
      <c r="S557">
        <v>40.93</v>
      </c>
      <c r="T557">
        <v>38.44</v>
      </c>
      <c r="U557" s="238">
        <v>39.69</v>
      </c>
      <c r="V557">
        <v>39.450000000000003</v>
      </c>
      <c r="W557" s="238">
        <v>92873.8125</v>
      </c>
      <c r="X557">
        <v>4643.6906250000002</v>
      </c>
      <c r="Y557">
        <v>97517.503125000003</v>
      </c>
      <c r="Z557">
        <v>2925.52509375</v>
      </c>
      <c r="AA557">
        <v>100443.02821875</v>
      </c>
      <c r="AB557">
        <v>4519.9362698437499</v>
      </c>
      <c r="AC557">
        <v>104962.96448859376</v>
      </c>
      <c r="AE557">
        <v>104962.96448859376</v>
      </c>
      <c r="AF557">
        <v>5248.1482244296876</v>
      </c>
      <c r="AG557">
        <v>110211.11271302344</v>
      </c>
      <c r="AI557">
        <v>110211.11271302344</v>
      </c>
      <c r="AJ557">
        <v>1102.1111271302343</v>
      </c>
      <c r="AK557">
        <v>111313.22384015367</v>
      </c>
      <c r="AL557">
        <v>5565.6611920076839</v>
      </c>
      <c r="AM557">
        <v>116878.88503216136</v>
      </c>
      <c r="AO557">
        <v>116878.88503216136</v>
      </c>
      <c r="AP557">
        <v>3506.3665509648404</v>
      </c>
      <c r="AQ557">
        <v>120385.2515831262</v>
      </c>
      <c r="AS557">
        <v>120385.2515831262</v>
      </c>
      <c r="AU557">
        <v>120385.2515831262</v>
      </c>
      <c r="AW557">
        <v>120385.2515831262</v>
      </c>
      <c r="AY557">
        <v>120385.2515831262</v>
      </c>
      <c r="BA557">
        <v>120385.2515831262</v>
      </c>
      <c r="BC557">
        <v>120385.2515831262</v>
      </c>
      <c r="BE557">
        <v>120385.2515831262</v>
      </c>
      <c r="BF557">
        <v>601.92625791563103</v>
      </c>
      <c r="BG557">
        <v>120987.17784104183</v>
      </c>
      <c r="BI557">
        <v>120987.17784104183</v>
      </c>
      <c r="BJ557">
        <v>2419.7435568208366</v>
      </c>
      <c r="BK557">
        <v>123406.92139786266</v>
      </c>
      <c r="BL557">
        <v>6170.346069893134</v>
      </c>
      <c r="BM557">
        <v>129577.2674677558</v>
      </c>
      <c r="BN557">
        <v>16845.044770808254</v>
      </c>
      <c r="BO557">
        <v>146422.31223856405</v>
      </c>
      <c r="BP557">
        <v>35</v>
      </c>
      <c r="BQ557">
        <v>146457.31223856405</v>
      </c>
      <c r="BS557">
        <v>146457.31223856405</v>
      </c>
      <c r="BT557" s="238">
        <v>146457.31</v>
      </c>
      <c r="BU557" s="238">
        <v>5777800</v>
      </c>
      <c r="BX557" s="238">
        <v>0</v>
      </c>
      <c r="BY557" s="238">
        <v>146458.80861850444</v>
      </c>
      <c r="BZ557" s="238">
        <v>5777800</v>
      </c>
      <c r="CA557" s="238" t="s">
        <v>36</v>
      </c>
      <c r="CC557">
        <v>146458.80861850444</v>
      </c>
      <c r="CD557" s="238">
        <v>0</v>
      </c>
      <c r="CE557" s="238">
        <v>5777800.0000000009</v>
      </c>
      <c r="CH557" s="238" t="s">
        <v>3</v>
      </c>
      <c r="CI557" s="238" t="s">
        <v>3</v>
      </c>
      <c r="CJ557" t="s">
        <v>8951</v>
      </c>
      <c r="CK557" t="s">
        <v>1167</v>
      </c>
      <c r="CL557" t="s">
        <v>8961</v>
      </c>
      <c r="CM557" t="s">
        <v>8973</v>
      </c>
      <c r="CN557" s="238" t="b">
        <v>1</v>
      </c>
      <c r="CO557" t="s">
        <v>5845</v>
      </c>
      <c r="CQ557" t="s">
        <v>6652</v>
      </c>
      <c r="CR557" t="s">
        <v>3124</v>
      </c>
      <c r="CS557" t="s">
        <v>36</v>
      </c>
      <c r="CT557" t="b">
        <v>1</v>
      </c>
      <c r="CU557">
        <v>5777800</v>
      </c>
      <c r="CV557">
        <v>5777800</v>
      </c>
      <c r="CW557">
        <v>0</v>
      </c>
      <c r="CX557">
        <v>0</v>
      </c>
      <c r="CY557">
        <v>0</v>
      </c>
      <c r="CZ557" t="b">
        <v>1</v>
      </c>
      <c r="DA557" t="s">
        <v>4246</v>
      </c>
      <c r="DB557" t="s">
        <v>1167</v>
      </c>
      <c r="DC557">
        <v>-6.0468631897202529E-3</v>
      </c>
      <c r="DD557">
        <v>-885.61637864551778</v>
      </c>
      <c r="DE557" s="420" t="str" cm="1">
        <f t="array" ref="DE55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8" spans="1:109" x14ac:dyDescent="0.25">
      <c r="A558" s="238">
        <v>557</v>
      </c>
      <c r="B558" s="238" t="s">
        <v>15</v>
      </c>
      <c r="C558" s="238">
        <v>22</v>
      </c>
      <c r="D558" s="238">
        <v>1</v>
      </c>
      <c r="E558" s="238">
        <v>0</v>
      </c>
      <c r="F558" s="238">
        <v>13.74</v>
      </c>
      <c r="G558" s="238"/>
      <c r="H558" s="238"/>
      <c r="I558">
        <v>13.74</v>
      </c>
      <c r="J558" s="238">
        <v>5.84</v>
      </c>
      <c r="K558" s="238">
        <v>3.76</v>
      </c>
      <c r="L558" s="238"/>
      <c r="M558" s="238"/>
      <c r="N558" s="238">
        <v>3.73</v>
      </c>
      <c r="O558" s="238">
        <v>4.6500000000000004</v>
      </c>
      <c r="P558" s="238"/>
      <c r="R558" s="238">
        <v>4.6500000000000004</v>
      </c>
      <c r="S558">
        <v>31.72</v>
      </c>
      <c r="T558">
        <v>27.07</v>
      </c>
      <c r="U558" s="238">
        <v>29.4</v>
      </c>
      <c r="V558">
        <v>29.2</v>
      </c>
      <c r="W558" s="238">
        <v>96361.65</v>
      </c>
      <c r="X558">
        <v>4818.0824999999995</v>
      </c>
      <c r="Y558">
        <v>101179.7325</v>
      </c>
      <c r="Z558">
        <v>3035.391975</v>
      </c>
      <c r="AA558">
        <v>104215.124475</v>
      </c>
      <c r="AB558">
        <v>9379.3612027500003</v>
      </c>
      <c r="AC558">
        <v>113594.48567775</v>
      </c>
      <c r="AE558">
        <v>113594.48567775</v>
      </c>
      <c r="AG558">
        <v>113594.48567775</v>
      </c>
      <c r="AI558">
        <v>113594.48567775</v>
      </c>
      <c r="AJ558">
        <v>1135.9448567775</v>
      </c>
      <c r="AK558">
        <v>114730.43053452752</v>
      </c>
      <c r="AL558">
        <v>5736.5215267263757</v>
      </c>
      <c r="AM558">
        <v>120466.95206125388</v>
      </c>
      <c r="AO558">
        <v>120466.95206125388</v>
      </c>
      <c r="AP558">
        <v>3614.0085618376161</v>
      </c>
      <c r="AQ558">
        <v>124080.96062309148</v>
      </c>
      <c r="AS558">
        <v>124080.96062309148</v>
      </c>
      <c r="AU558">
        <v>124080.96062309148</v>
      </c>
      <c r="AW558">
        <v>124080.96062309148</v>
      </c>
      <c r="AX558">
        <v>1240.8096062309153</v>
      </c>
      <c r="AY558">
        <v>125321.7702293224</v>
      </c>
      <c r="BA558">
        <v>125321.7702293224</v>
      </c>
      <c r="BC558">
        <v>125321.7702293224</v>
      </c>
      <c r="BE558">
        <v>125321.7702293224</v>
      </c>
      <c r="BF558">
        <v>1879.8265534398361</v>
      </c>
      <c r="BG558">
        <v>127201.59678276224</v>
      </c>
      <c r="BI558">
        <v>127201.59678276224</v>
      </c>
      <c r="BK558">
        <v>127201.59678276224</v>
      </c>
      <c r="BL558">
        <v>5088.06387131049</v>
      </c>
      <c r="BM558">
        <v>132289.66065407274</v>
      </c>
      <c r="BN558">
        <v>17197.655885029457</v>
      </c>
      <c r="BO558">
        <v>149487.3165391022</v>
      </c>
      <c r="BP558">
        <v>35</v>
      </c>
      <c r="BQ558">
        <v>149522.3165391022</v>
      </c>
      <c r="BS558">
        <v>149522.3165391022</v>
      </c>
      <c r="BT558" s="238">
        <v>149522.32</v>
      </c>
      <c r="BU558" s="238">
        <v>4366100</v>
      </c>
      <c r="BX558" s="238">
        <v>0</v>
      </c>
      <c r="BY558" s="238">
        <v>149523.97260273973</v>
      </c>
      <c r="BZ558" s="238">
        <v>4366100</v>
      </c>
      <c r="CA558" s="238" t="s">
        <v>36</v>
      </c>
      <c r="CC558">
        <v>149523.97260273973</v>
      </c>
      <c r="CD558" s="238">
        <v>0</v>
      </c>
      <c r="CE558" s="238">
        <v>4366100</v>
      </c>
      <c r="CH558" s="238" t="s">
        <v>3</v>
      </c>
      <c r="CI558" s="238" t="s">
        <v>3</v>
      </c>
      <c r="CJ558" t="s">
        <v>8951</v>
      </c>
      <c r="CK558" t="s">
        <v>1167</v>
      </c>
      <c r="CL558" t="s">
        <v>8961</v>
      </c>
      <c r="CM558" t="s">
        <v>8970</v>
      </c>
      <c r="CN558" s="238" t="b">
        <v>1</v>
      </c>
      <c r="CO558" t="s">
        <v>5846</v>
      </c>
      <c r="CQ558" t="s">
        <v>6652</v>
      </c>
      <c r="CR558" t="s">
        <v>3124</v>
      </c>
      <c r="CS558" t="s">
        <v>6871</v>
      </c>
      <c r="CT558" t="b">
        <v>0</v>
      </c>
      <c r="CU558">
        <v>4366100</v>
      </c>
      <c r="CV558">
        <v>4366100</v>
      </c>
      <c r="CW558">
        <v>0</v>
      </c>
      <c r="CX558">
        <v>0</v>
      </c>
      <c r="CY558">
        <v>0</v>
      </c>
      <c r="CZ558" t="b">
        <v>1</v>
      </c>
      <c r="DA558" t="s">
        <v>4246</v>
      </c>
      <c r="DB558" t="s">
        <v>1167</v>
      </c>
      <c r="DC558">
        <v>-6.8027210884353817E-3</v>
      </c>
      <c r="DD558">
        <v>-1017.1698816512918</v>
      </c>
      <c r="DE558" s="420" t="str" cm="1">
        <f t="array" ref="DE55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59" spans="1:109" hidden="1" x14ac:dyDescent="0.25">
      <c r="A559" s="238">
        <v>558</v>
      </c>
      <c r="B559" s="238" t="s">
        <v>15</v>
      </c>
      <c r="C559" s="238">
        <v>22</v>
      </c>
      <c r="D559" s="238">
        <v>2</v>
      </c>
      <c r="E559" s="238">
        <v>1</v>
      </c>
      <c r="F559" s="238">
        <v>13.17</v>
      </c>
      <c r="G559" s="238"/>
      <c r="H559" s="238"/>
      <c r="I559">
        <v>13.17</v>
      </c>
      <c r="J559" s="238">
        <v>16.940000000000001</v>
      </c>
      <c r="K559" s="238">
        <v>3.55</v>
      </c>
      <c r="L559" s="238">
        <v>2.41</v>
      </c>
      <c r="M559" s="238"/>
      <c r="N559" s="238">
        <v>5.8</v>
      </c>
      <c r="O559" s="238">
        <v>2.68</v>
      </c>
      <c r="P559" s="238"/>
      <c r="R559" s="238">
        <v>2.68</v>
      </c>
      <c r="S559">
        <v>44.55</v>
      </c>
      <c r="T559">
        <v>41.87</v>
      </c>
      <c r="U559" s="238">
        <v>43.21</v>
      </c>
      <c r="V559">
        <v>42.35</v>
      </c>
      <c r="W559" s="238">
        <v>91657.125</v>
      </c>
      <c r="X559">
        <v>4582.8562499999998</v>
      </c>
      <c r="Y559">
        <v>96239.981249999997</v>
      </c>
      <c r="Z559">
        <v>2887.1994374999999</v>
      </c>
      <c r="AA559">
        <v>99127.180687500004</v>
      </c>
      <c r="AB559">
        <v>991.27180687500004</v>
      </c>
      <c r="AC559">
        <v>100118.452494375</v>
      </c>
      <c r="AE559">
        <v>100118.452494375</v>
      </c>
      <c r="AF559">
        <v>5005.9226247187507</v>
      </c>
      <c r="AG559">
        <v>105124.37511909376</v>
      </c>
      <c r="AI559">
        <v>105124.37511909376</v>
      </c>
      <c r="AK559">
        <v>105124.37511909376</v>
      </c>
      <c r="AM559">
        <v>105124.37511909376</v>
      </c>
      <c r="AO559">
        <v>105124.37511909376</v>
      </c>
      <c r="AQ559">
        <v>105124.37511909376</v>
      </c>
      <c r="AS559">
        <v>105124.37511909376</v>
      </c>
      <c r="AU559">
        <v>105124.37511909376</v>
      </c>
      <c r="AW559">
        <v>105124.37511909376</v>
      </c>
      <c r="AY559">
        <v>105124.37511909376</v>
      </c>
      <c r="BA559">
        <v>105124.37511909376</v>
      </c>
      <c r="BC559">
        <v>105124.37511909376</v>
      </c>
      <c r="BE559">
        <v>105124.37511909376</v>
      </c>
      <c r="BG559">
        <v>105124.37511909376</v>
      </c>
      <c r="BI559">
        <v>105124.37511909376</v>
      </c>
      <c r="BK559">
        <v>105124.37511909376</v>
      </c>
      <c r="BM559">
        <v>105124.37511909376</v>
      </c>
      <c r="BO559">
        <v>105124.37511909376</v>
      </c>
      <c r="BQ559">
        <v>105124.37511909376</v>
      </c>
      <c r="BS559">
        <v>105124.37511909376</v>
      </c>
      <c r="BT559" s="238">
        <v>105124.38</v>
      </c>
      <c r="BU559" s="238">
        <v>4542500</v>
      </c>
      <c r="BW559">
        <v>7.0000000000000007E-2</v>
      </c>
      <c r="BX559" s="238">
        <v>317975.00000000006</v>
      </c>
      <c r="BY559" s="238">
        <v>97767.299236287901</v>
      </c>
      <c r="BZ559" s="238">
        <v>4224525</v>
      </c>
      <c r="CA559" s="238" t="s">
        <v>38</v>
      </c>
      <c r="CB559">
        <v>22000</v>
      </c>
      <c r="CC559">
        <v>119767.2992362879</v>
      </c>
      <c r="CD559" s="238">
        <v>950620</v>
      </c>
      <c r="CE559" s="238">
        <v>5175145</v>
      </c>
      <c r="CG559" t="s">
        <v>321</v>
      </c>
      <c r="CH559" s="238" t="s">
        <v>39</v>
      </c>
      <c r="CI559" s="238" t="s">
        <v>39</v>
      </c>
      <c r="CJ559" t="s">
        <v>8950</v>
      </c>
      <c r="CK559" t="s">
        <v>1167</v>
      </c>
      <c r="CL559" t="s">
        <v>8961</v>
      </c>
      <c r="CM559" t="s">
        <v>8972</v>
      </c>
      <c r="CN559" s="238" t="b">
        <v>1</v>
      </c>
      <c r="CO559" t="s">
        <v>5847</v>
      </c>
      <c r="CQ559" t="s">
        <v>6652</v>
      </c>
      <c r="CR559" t="s">
        <v>3246</v>
      </c>
      <c r="CS559" t="s">
        <v>38</v>
      </c>
      <c r="CT559" t="b">
        <v>1</v>
      </c>
      <c r="CU559">
        <v>4542500</v>
      </c>
      <c r="CV559" t="s">
        <v>9002</v>
      </c>
      <c r="CW559">
        <v>0</v>
      </c>
      <c r="CX559">
        <v>4542500</v>
      </c>
      <c r="CY559">
        <v>0</v>
      </c>
      <c r="CZ559" t="b">
        <v>1</v>
      </c>
      <c r="DA559">
        <v>45260</v>
      </c>
      <c r="DB559" t="s">
        <v>126</v>
      </c>
      <c r="DC559">
        <v>-1.9902800277713517E-2</v>
      </c>
      <c r="DD559">
        <v>-1945.8430303912912</v>
      </c>
      <c r="DE559" s="420" cm="1">
        <f t="array" ref="DE559">_xlfn.XLOOKUP("Дом 5"&amp;Реестр_Д5[[#This Row],[№]]&amp;Реестр_Д5[[#This Row],[Статус]],РД[Дом]&amp;РД[№ кв]&amp;РД[Состояние],РД[Дата подачи на регистрацию],"-",0)</f>
        <v>45260</v>
      </c>
    </row>
    <row r="560" spans="1:109" x14ac:dyDescent="0.25">
      <c r="A560" s="238">
        <v>559</v>
      </c>
      <c r="B560" s="238" t="s">
        <v>15</v>
      </c>
      <c r="C560" s="238">
        <v>22</v>
      </c>
      <c r="D560" s="238">
        <v>3</v>
      </c>
      <c r="E560" s="238">
        <v>0</v>
      </c>
      <c r="F560" s="238">
        <v>7.2</v>
      </c>
      <c r="G560" s="238"/>
      <c r="H560" s="238"/>
      <c r="I560">
        <v>7.2</v>
      </c>
      <c r="J560" s="238">
        <v>5.17</v>
      </c>
      <c r="K560" s="238">
        <v>3.71</v>
      </c>
      <c r="L560" s="238"/>
      <c r="M560" s="238"/>
      <c r="N560" s="238">
        <v>6.96</v>
      </c>
      <c r="O560" s="238">
        <v>2.92</v>
      </c>
      <c r="P560" s="238"/>
      <c r="R560" s="238">
        <v>2.92</v>
      </c>
      <c r="S560">
        <v>25.96</v>
      </c>
      <c r="T560">
        <v>23.04</v>
      </c>
      <c r="U560" s="238">
        <v>24.5</v>
      </c>
      <c r="V560">
        <v>24.250000000000004</v>
      </c>
      <c r="W560" s="238">
        <v>98113.68</v>
      </c>
      <c r="X560">
        <v>4905.6840000000002</v>
      </c>
      <c r="Y560">
        <v>103019.364</v>
      </c>
      <c r="Z560">
        <v>3090.5809199999994</v>
      </c>
      <c r="AA560">
        <v>106109.94491999998</v>
      </c>
      <c r="AB560">
        <v>9549.8950427999971</v>
      </c>
      <c r="AC560">
        <v>115659.83996279998</v>
      </c>
      <c r="AE560">
        <v>115659.83996279998</v>
      </c>
      <c r="AG560">
        <v>115659.83996279998</v>
      </c>
      <c r="AI560">
        <v>115659.83996279998</v>
      </c>
      <c r="AJ560">
        <v>1156.5983996279997</v>
      </c>
      <c r="AK560">
        <v>116816.43836242796</v>
      </c>
      <c r="AL560">
        <v>5840.821918121399</v>
      </c>
      <c r="AM560">
        <v>122657.26028054937</v>
      </c>
      <c r="AO560">
        <v>122657.26028054937</v>
      </c>
      <c r="AP560">
        <v>3679.7178084164807</v>
      </c>
      <c r="AQ560">
        <v>126336.97808896584</v>
      </c>
      <c r="AS560">
        <v>126336.97808896584</v>
      </c>
      <c r="AU560">
        <v>126336.97808896584</v>
      </c>
      <c r="AW560">
        <v>126336.97808896584</v>
      </c>
      <c r="AX560">
        <v>1263.3697808896584</v>
      </c>
      <c r="AY560">
        <v>127600.3478698555</v>
      </c>
      <c r="BA560">
        <v>127600.3478698555</v>
      </c>
      <c r="BB560">
        <v>638.0017393492775</v>
      </c>
      <c r="BC560">
        <v>128238.34960920476</v>
      </c>
      <c r="BE560">
        <v>128238.34960920476</v>
      </c>
      <c r="BF560">
        <v>3205.9587402301195</v>
      </c>
      <c r="BG560">
        <v>131444.3083494349</v>
      </c>
      <c r="BI560">
        <v>131444.3083494349</v>
      </c>
      <c r="BK560">
        <v>131444.3083494349</v>
      </c>
      <c r="BL560">
        <v>5257.7723339773956</v>
      </c>
      <c r="BM560">
        <v>136702.08068341229</v>
      </c>
      <c r="BN560">
        <v>17771.270488843598</v>
      </c>
      <c r="BO560">
        <v>154473.35117225588</v>
      </c>
      <c r="BP560">
        <v>35</v>
      </c>
      <c r="BQ560">
        <v>154508.35117225588</v>
      </c>
      <c r="BS560">
        <v>154508.35117225588</v>
      </c>
      <c r="BT560" s="238">
        <v>154508.35</v>
      </c>
      <c r="BU560" s="238">
        <v>3746900</v>
      </c>
      <c r="BX560" s="238">
        <v>0</v>
      </c>
      <c r="BY560" s="238">
        <v>154511.34020618553</v>
      </c>
      <c r="BZ560" s="238">
        <v>3746900</v>
      </c>
      <c r="CA560" s="238" t="s">
        <v>36</v>
      </c>
      <c r="CC560">
        <v>154511.34020618553</v>
      </c>
      <c r="CD560" s="238">
        <v>0</v>
      </c>
      <c r="CE560" s="238">
        <v>3746899.9999999991</v>
      </c>
      <c r="CH560" s="238" t="s">
        <v>3</v>
      </c>
      <c r="CI560" s="238" t="s">
        <v>3</v>
      </c>
      <c r="CJ560" t="s">
        <v>8951</v>
      </c>
      <c r="CK560" t="s">
        <v>1167</v>
      </c>
      <c r="CL560" t="s">
        <v>8961</v>
      </c>
      <c r="CM560" t="s">
        <v>8970</v>
      </c>
      <c r="CN560" s="238" t="b">
        <v>1</v>
      </c>
      <c r="CO560" t="s">
        <v>5848</v>
      </c>
      <c r="CQ560" t="s">
        <v>6652</v>
      </c>
      <c r="CR560" t="s">
        <v>3124</v>
      </c>
      <c r="CS560" t="s">
        <v>6871</v>
      </c>
      <c r="CT560" t="b">
        <v>0</v>
      </c>
      <c r="CU560">
        <v>3746900</v>
      </c>
      <c r="CV560">
        <v>3746900</v>
      </c>
      <c r="CW560">
        <v>0</v>
      </c>
      <c r="CX560">
        <v>0</v>
      </c>
      <c r="CY560">
        <v>0</v>
      </c>
      <c r="CZ560" t="b">
        <v>1</v>
      </c>
      <c r="DA560" t="s">
        <v>4246</v>
      </c>
      <c r="DB560" t="s">
        <v>1167</v>
      </c>
      <c r="DC560">
        <v>-1.0204081632652962E-2</v>
      </c>
      <c r="DD560">
        <v>-1576.6463286345308</v>
      </c>
      <c r="DE560" s="420" t="str" cm="1">
        <f t="array" ref="DE56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1" spans="1:109" x14ac:dyDescent="0.25">
      <c r="A561" s="238">
        <v>560</v>
      </c>
      <c r="B561" s="238" t="s">
        <v>15</v>
      </c>
      <c r="C561" s="238">
        <v>22</v>
      </c>
      <c r="D561" s="238">
        <v>4</v>
      </c>
      <c r="E561" s="238">
        <v>2</v>
      </c>
      <c r="F561" s="238">
        <v>14.48</v>
      </c>
      <c r="G561" s="238">
        <v>11.42</v>
      </c>
      <c r="H561" s="238"/>
      <c r="I561">
        <v>25.9</v>
      </c>
      <c r="J561" s="238">
        <v>15.86</v>
      </c>
      <c r="K561" s="238">
        <v>3.01</v>
      </c>
      <c r="L561" s="238">
        <v>2.67</v>
      </c>
      <c r="M561" s="238"/>
      <c r="N561" s="238">
        <v>9.44</v>
      </c>
      <c r="O561" s="238">
        <v>2.72</v>
      </c>
      <c r="P561" s="238"/>
      <c r="R561" s="238">
        <v>2.72</v>
      </c>
      <c r="S561">
        <v>59.6</v>
      </c>
      <c r="T561">
        <v>56.88</v>
      </c>
      <c r="U561" s="238">
        <v>58.24</v>
      </c>
      <c r="V561">
        <v>57.95</v>
      </c>
      <c r="W561" s="238">
        <v>85713.201000000001</v>
      </c>
      <c r="X561">
        <v>4285.6600500000004</v>
      </c>
      <c r="Y561">
        <v>89998.861050000007</v>
      </c>
      <c r="Z561">
        <v>2699.9658315000001</v>
      </c>
      <c r="AA561">
        <v>92698.826881500005</v>
      </c>
      <c r="AC561">
        <v>92698.826881500005</v>
      </c>
      <c r="AE561">
        <v>92698.826881500005</v>
      </c>
      <c r="AG561">
        <v>92698.826881500005</v>
      </c>
      <c r="AI561">
        <v>92698.826881500005</v>
      </c>
      <c r="AJ561">
        <v>926.98826881499997</v>
      </c>
      <c r="AK561">
        <v>93625.815150315</v>
      </c>
      <c r="AL561">
        <v>4681.2907575157506</v>
      </c>
      <c r="AM561">
        <v>98307.105907830759</v>
      </c>
      <c r="AO561">
        <v>98307.105907830759</v>
      </c>
      <c r="AP561">
        <v>1966.142118156615</v>
      </c>
      <c r="AQ561">
        <v>100273.24802598736</v>
      </c>
      <c r="AS561">
        <v>100273.24802598736</v>
      </c>
      <c r="AT561">
        <v>2005.4649605197471</v>
      </c>
      <c r="AU561">
        <v>102278.7129865071</v>
      </c>
      <c r="AW561">
        <v>102278.7129865071</v>
      </c>
      <c r="AX561">
        <v>1022.7871298650712</v>
      </c>
      <c r="AY561">
        <v>103301.50011637218</v>
      </c>
      <c r="BA561">
        <v>103301.50011637218</v>
      </c>
      <c r="BC561">
        <v>103301.50011637218</v>
      </c>
      <c r="BE561">
        <v>103301.50011637218</v>
      </c>
      <c r="BF561">
        <v>1549.5225017455823</v>
      </c>
      <c r="BG561">
        <v>104851.02261811776</v>
      </c>
      <c r="BI561">
        <v>104851.02261811776</v>
      </c>
      <c r="BJ561">
        <v>4194.0409047247103</v>
      </c>
      <c r="BK561">
        <v>109045.06352284248</v>
      </c>
      <c r="BL561">
        <v>6542.7038113705476</v>
      </c>
      <c r="BM561">
        <v>115587.767334213</v>
      </c>
      <c r="BN561">
        <v>15026.409753447691</v>
      </c>
      <c r="BO561">
        <v>130614.1770876607</v>
      </c>
      <c r="BP561">
        <v>35</v>
      </c>
      <c r="BQ561">
        <v>130649.1770876607</v>
      </c>
      <c r="BS561">
        <v>130649.1770876607</v>
      </c>
      <c r="BT561" s="238">
        <v>130649.18</v>
      </c>
      <c r="BU561" s="238">
        <v>7571200</v>
      </c>
      <c r="BX561" s="238">
        <v>0</v>
      </c>
      <c r="BY561" s="238">
        <v>130650.56082830024</v>
      </c>
      <c r="BZ561" s="238">
        <v>7571200</v>
      </c>
      <c r="CA561" s="238" t="s">
        <v>36</v>
      </c>
      <c r="CC561">
        <v>130650.56082830024</v>
      </c>
      <c r="CD561" s="238">
        <v>0</v>
      </c>
      <c r="CE561" s="238">
        <v>7571200</v>
      </c>
      <c r="CH561" s="238" t="s">
        <v>3</v>
      </c>
      <c r="CI561" s="238" t="s">
        <v>3</v>
      </c>
      <c r="CJ561" t="s">
        <v>8951</v>
      </c>
      <c r="CK561" t="s">
        <v>1167</v>
      </c>
      <c r="CL561" t="s">
        <v>8961</v>
      </c>
      <c r="CM561" t="s">
        <v>8971</v>
      </c>
      <c r="CN561" s="238" t="b">
        <v>1</v>
      </c>
      <c r="CO561" t="s">
        <v>5849</v>
      </c>
      <c r="CQ561" t="s">
        <v>6652</v>
      </c>
      <c r="CR561" t="s">
        <v>3124</v>
      </c>
      <c r="CS561" t="s">
        <v>6871</v>
      </c>
      <c r="CT561" t="b">
        <v>0</v>
      </c>
      <c r="CU561">
        <v>7571200</v>
      </c>
      <c r="CV561">
        <v>7571200</v>
      </c>
      <c r="CW561">
        <v>0</v>
      </c>
      <c r="CX561">
        <v>0</v>
      </c>
      <c r="CY561">
        <v>0</v>
      </c>
      <c r="CZ561" t="b">
        <v>1</v>
      </c>
      <c r="DA561" t="s">
        <v>4246</v>
      </c>
      <c r="DB561" t="s">
        <v>1167</v>
      </c>
      <c r="DC561">
        <v>-4.9793956043956422E-3</v>
      </c>
      <c r="DD561">
        <v>-650.56082830026378</v>
      </c>
      <c r="DE561" s="420" t="str" cm="1">
        <f t="array" ref="DE56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2" spans="1:109" x14ac:dyDescent="0.25">
      <c r="A562" s="238">
        <v>561</v>
      </c>
      <c r="B562" s="238" t="s">
        <v>15</v>
      </c>
      <c r="C562" s="238">
        <v>22</v>
      </c>
      <c r="D562" s="238">
        <v>5</v>
      </c>
      <c r="E562" s="238">
        <v>2</v>
      </c>
      <c r="F562" s="238">
        <v>15.41</v>
      </c>
      <c r="G562" s="238">
        <v>12.78</v>
      </c>
      <c r="H562" s="238"/>
      <c r="I562">
        <v>28.19</v>
      </c>
      <c r="J562" s="238">
        <v>13.45</v>
      </c>
      <c r="K562" s="238">
        <v>3.7</v>
      </c>
      <c r="L562" s="238">
        <v>2.72</v>
      </c>
      <c r="M562" s="238"/>
      <c r="N562" s="238">
        <v>8.2200000000000006</v>
      </c>
      <c r="O562" s="238">
        <v>3.03</v>
      </c>
      <c r="P562" s="238"/>
      <c r="R562" s="238">
        <v>3.03</v>
      </c>
      <c r="S562">
        <v>59.31</v>
      </c>
      <c r="T562">
        <v>56.28</v>
      </c>
      <c r="U562" s="238">
        <v>57.8</v>
      </c>
      <c r="V562">
        <v>57.400000000000006</v>
      </c>
      <c r="W562" s="238">
        <v>85327.105500000005</v>
      </c>
      <c r="X562">
        <v>4266.3552750000008</v>
      </c>
      <c r="Y562">
        <v>89593.460775</v>
      </c>
      <c r="Z562">
        <v>2687.8038232499998</v>
      </c>
      <c r="AA562">
        <v>92281.264598249996</v>
      </c>
      <c r="AC562">
        <v>92281.264598249996</v>
      </c>
      <c r="AE562">
        <v>92281.264598249996</v>
      </c>
      <c r="AG562">
        <v>92281.264598249996</v>
      </c>
      <c r="AI562">
        <v>92281.264598249996</v>
      </c>
      <c r="AJ562">
        <v>922.81264598250004</v>
      </c>
      <c r="AK562">
        <v>93204.077244232496</v>
      </c>
      <c r="AL562">
        <v>4660.2038622116252</v>
      </c>
      <c r="AM562">
        <v>97864.281106444105</v>
      </c>
      <c r="AO562">
        <v>97864.281106444105</v>
      </c>
      <c r="AP562">
        <v>1957.2856221288823</v>
      </c>
      <c r="AQ562">
        <v>99821.566728573001</v>
      </c>
      <c r="AS562">
        <v>99821.566728573001</v>
      </c>
      <c r="AT562">
        <v>1996.43133457146</v>
      </c>
      <c r="AU562">
        <v>101817.99806314446</v>
      </c>
      <c r="AW562">
        <v>101817.99806314446</v>
      </c>
      <c r="AX562">
        <v>1018.1799806314448</v>
      </c>
      <c r="AY562">
        <v>102836.1780437759</v>
      </c>
      <c r="BA562">
        <v>102836.1780437759</v>
      </c>
      <c r="BC562">
        <v>102836.1780437759</v>
      </c>
      <c r="BE562">
        <v>102836.1780437759</v>
      </c>
      <c r="BF562">
        <v>1542.5426706566384</v>
      </c>
      <c r="BG562">
        <v>104378.72071443254</v>
      </c>
      <c r="BH562">
        <v>500</v>
      </c>
      <c r="BI562">
        <v>104878.72071443254</v>
      </c>
      <c r="BJ562">
        <v>4195.1488285773012</v>
      </c>
      <c r="BK562">
        <v>109073.86954300985</v>
      </c>
      <c r="BL562">
        <v>6544.4321725805903</v>
      </c>
      <c r="BM562">
        <v>115618.30171559044</v>
      </c>
      <c r="BN562">
        <v>15030.379223026755</v>
      </c>
      <c r="BO562">
        <v>130648.6809386172</v>
      </c>
      <c r="BP562">
        <v>35</v>
      </c>
      <c r="BQ562">
        <v>130683.6809386172</v>
      </c>
      <c r="BS562">
        <v>130683.6809386172</v>
      </c>
      <c r="BT562" s="238">
        <v>130683.68</v>
      </c>
      <c r="BU562" s="238">
        <v>7501300</v>
      </c>
      <c r="BX562" s="238">
        <v>0</v>
      </c>
      <c r="BY562" s="238">
        <v>130684.66898954702</v>
      </c>
      <c r="BZ562" s="238">
        <v>7501300</v>
      </c>
      <c r="CA562" s="238" t="s">
        <v>38</v>
      </c>
      <c r="CB562">
        <v>30000</v>
      </c>
      <c r="CC562">
        <v>160684.668989547</v>
      </c>
      <c r="CD562" s="238">
        <v>1721999.9999999979</v>
      </c>
      <c r="CE562" s="238">
        <v>9223299.9999999981</v>
      </c>
      <c r="CH562" s="238" t="s">
        <v>3</v>
      </c>
      <c r="CI562" s="238" t="s">
        <v>3</v>
      </c>
      <c r="CJ562" t="s">
        <v>8951</v>
      </c>
      <c r="CK562" t="s">
        <v>1167</v>
      </c>
      <c r="CL562" t="s">
        <v>8961</v>
      </c>
      <c r="CM562" t="s">
        <v>8974</v>
      </c>
      <c r="CN562" s="238" t="b">
        <v>1</v>
      </c>
      <c r="CO562" t="s">
        <v>5850</v>
      </c>
      <c r="CQ562" t="s">
        <v>6652</v>
      </c>
      <c r="CR562" t="s">
        <v>3124</v>
      </c>
      <c r="CS562" t="s">
        <v>6871</v>
      </c>
      <c r="CT562" t="b">
        <v>0</v>
      </c>
      <c r="CU562">
        <v>7501300</v>
      </c>
      <c r="CV562">
        <v>7501300</v>
      </c>
      <c r="CW562">
        <v>0</v>
      </c>
      <c r="CX562">
        <v>0</v>
      </c>
      <c r="CY562">
        <v>0</v>
      </c>
      <c r="CZ562" t="b">
        <v>1</v>
      </c>
      <c r="DA562" t="s">
        <v>4246</v>
      </c>
      <c r="DB562" t="s">
        <v>1167</v>
      </c>
      <c r="DC562">
        <v>-6.9204152249133788E-3</v>
      </c>
      <c r="DD562">
        <v>-904.39217293802653</v>
      </c>
      <c r="DE562" s="420" t="str" cm="1">
        <f t="array" ref="DE562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3" spans="1:109" x14ac:dyDescent="0.25">
      <c r="A563" s="238">
        <v>562</v>
      </c>
      <c r="B563" s="238" t="s">
        <v>15</v>
      </c>
      <c r="C563" s="238">
        <v>22</v>
      </c>
      <c r="D563" s="238">
        <v>6</v>
      </c>
      <c r="E563" s="238">
        <v>1</v>
      </c>
      <c r="F563" s="238">
        <v>12.71</v>
      </c>
      <c r="G563" s="238"/>
      <c r="H563" s="238"/>
      <c r="I563">
        <v>12.71</v>
      </c>
      <c r="J563" s="238">
        <v>12.55</v>
      </c>
      <c r="K563" s="238">
        <v>4.28</v>
      </c>
      <c r="L563" s="238"/>
      <c r="M563" s="238"/>
      <c r="N563" s="238">
        <v>7.34</v>
      </c>
      <c r="O563" s="238">
        <v>2.84</v>
      </c>
      <c r="P563" s="238"/>
      <c r="R563" s="238">
        <v>2.84</v>
      </c>
      <c r="S563">
        <v>39.72</v>
      </c>
      <c r="T563">
        <v>36.880000000000003</v>
      </c>
      <c r="U563" s="238">
        <v>38.299999999999997</v>
      </c>
      <c r="V563">
        <v>37.750000000000007</v>
      </c>
      <c r="W563" s="238">
        <v>94090.5</v>
      </c>
      <c r="X563">
        <v>4704.5250000000005</v>
      </c>
      <c r="Y563">
        <v>98795.024999999994</v>
      </c>
      <c r="Z563">
        <v>2963.8507499999996</v>
      </c>
      <c r="AA563">
        <v>101758.87575000001</v>
      </c>
      <c r="AB563">
        <v>1017.5887575</v>
      </c>
      <c r="AC563">
        <v>102776.4645075</v>
      </c>
      <c r="AE563">
        <v>102776.4645075</v>
      </c>
      <c r="AF563">
        <v>5138.8232253749993</v>
      </c>
      <c r="AG563">
        <v>107915.287732875</v>
      </c>
      <c r="AI563">
        <v>107915.287732875</v>
      </c>
      <c r="AJ563">
        <v>1079.1528773287498</v>
      </c>
      <c r="AK563">
        <v>108994.44061020372</v>
      </c>
      <c r="AL563">
        <v>5449.7220305101873</v>
      </c>
      <c r="AM563">
        <v>114444.16264071393</v>
      </c>
      <c r="AO563">
        <v>114444.16264071393</v>
      </c>
      <c r="AP563">
        <v>3433.3248792214172</v>
      </c>
      <c r="AQ563">
        <v>117877.48751993533</v>
      </c>
      <c r="AS563">
        <v>117877.48751993533</v>
      </c>
      <c r="AU563">
        <v>117877.48751993533</v>
      </c>
      <c r="AW563">
        <v>117877.48751993533</v>
      </c>
      <c r="AY563">
        <v>117877.48751993533</v>
      </c>
      <c r="AZ563">
        <v>1178.7748751993531</v>
      </c>
      <c r="BA563">
        <v>119056.26239513468</v>
      </c>
      <c r="BB563">
        <v>595.28131197567336</v>
      </c>
      <c r="BC563">
        <v>119651.54370711037</v>
      </c>
      <c r="BE563">
        <v>119651.54370711037</v>
      </c>
      <c r="BF563">
        <v>2991.288592677759</v>
      </c>
      <c r="BG563">
        <v>122642.8322997881</v>
      </c>
      <c r="BI563">
        <v>122642.8322997881</v>
      </c>
      <c r="BJ563">
        <v>2452.8566459957619</v>
      </c>
      <c r="BK563">
        <v>125095.68894578388</v>
      </c>
      <c r="BL563">
        <v>6254.7844472891938</v>
      </c>
      <c r="BM563">
        <v>131350.47339307307</v>
      </c>
      <c r="BN563">
        <v>17075.561541099501</v>
      </c>
      <c r="BO563">
        <v>148426.03493417258</v>
      </c>
      <c r="BP563">
        <v>35</v>
      </c>
      <c r="BQ563">
        <v>148461.03493417258</v>
      </c>
      <c r="BS563">
        <v>148461.03493417258</v>
      </c>
      <c r="BT563" s="238">
        <v>148461.03</v>
      </c>
      <c r="BU563" s="238">
        <v>5604500</v>
      </c>
      <c r="BX563" s="238">
        <v>0</v>
      </c>
      <c r="BY563" s="238">
        <v>148463.57615894036</v>
      </c>
      <c r="BZ563" s="238">
        <v>5604500</v>
      </c>
      <c r="CA563" s="238" t="s">
        <v>36</v>
      </c>
      <c r="CC563">
        <v>148463.57615894036</v>
      </c>
      <c r="CD563" s="238">
        <v>0</v>
      </c>
      <c r="CE563" s="238">
        <v>5604499.9999999991</v>
      </c>
      <c r="CH563" s="238" t="s">
        <v>3</v>
      </c>
      <c r="CI563" s="238" t="s">
        <v>3</v>
      </c>
      <c r="CJ563" t="s">
        <v>8951</v>
      </c>
      <c r="CK563" t="s">
        <v>1167</v>
      </c>
      <c r="CL563" t="s">
        <v>8961</v>
      </c>
      <c r="CM563" t="s">
        <v>8973</v>
      </c>
      <c r="CN563" s="238" t="b">
        <v>1</v>
      </c>
      <c r="CO563" t="s">
        <v>5851</v>
      </c>
      <c r="CQ563" t="s">
        <v>6652</v>
      </c>
      <c r="CR563" t="s">
        <v>3124</v>
      </c>
      <c r="CS563" t="s">
        <v>36</v>
      </c>
      <c r="CT563" t="b">
        <v>1</v>
      </c>
      <c r="CU563">
        <v>5604500</v>
      </c>
      <c r="CV563">
        <v>5604500</v>
      </c>
      <c r="CW563">
        <v>0</v>
      </c>
      <c r="CX563">
        <v>0</v>
      </c>
      <c r="CY563">
        <v>0</v>
      </c>
      <c r="CZ563" t="b">
        <v>1</v>
      </c>
      <c r="DA563" t="s">
        <v>4246</v>
      </c>
      <c r="DB563" t="s">
        <v>1167</v>
      </c>
      <c r="DC563">
        <v>-1.4360313315926687E-2</v>
      </c>
      <c r="DD563">
        <v>-2131.9834696453272</v>
      </c>
      <c r="DE563" s="420" t="str" cm="1">
        <f t="array" ref="DE56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4" spans="1:109" x14ac:dyDescent="0.25">
      <c r="A564" s="238">
        <v>563</v>
      </c>
      <c r="B564" s="238" t="s">
        <v>15</v>
      </c>
      <c r="C564" s="238">
        <v>22</v>
      </c>
      <c r="D564" s="238">
        <v>7</v>
      </c>
      <c r="E564" s="238">
        <v>3</v>
      </c>
      <c r="F564" s="238">
        <v>14.49</v>
      </c>
      <c r="G564" s="238">
        <v>13.98</v>
      </c>
      <c r="H564" s="238">
        <v>11.42</v>
      </c>
      <c r="I564">
        <v>39.89</v>
      </c>
      <c r="J564" s="238">
        <v>16.670000000000002</v>
      </c>
      <c r="K564" s="238">
        <v>4.1399999999999997</v>
      </c>
      <c r="L564" s="238">
        <v>1.89</v>
      </c>
      <c r="M564" s="238"/>
      <c r="N564" s="238">
        <v>11.31</v>
      </c>
      <c r="O564" s="238">
        <v>2.86</v>
      </c>
      <c r="P564" s="238">
        <v>2.79</v>
      </c>
      <c r="Q564">
        <v>5.42</v>
      </c>
      <c r="R564" s="238">
        <v>11.07</v>
      </c>
      <c r="S564">
        <v>84.97</v>
      </c>
      <c r="T564">
        <v>73.900000000000006</v>
      </c>
      <c r="U564" s="238">
        <v>79.44</v>
      </c>
      <c r="V564">
        <v>78.500000000000014</v>
      </c>
      <c r="W564" s="238">
        <v>82085.85000000002</v>
      </c>
      <c r="X564">
        <v>4104.2925000000014</v>
      </c>
      <c r="Y564">
        <v>86190.142500000016</v>
      </c>
      <c r="Z564">
        <v>2585.7042750000005</v>
      </c>
      <c r="AA564">
        <v>88775.846775000013</v>
      </c>
      <c r="AC564">
        <v>88775.846775000013</v>
      </c>
      <c r="AE564">
        <v>88775.846775000013</v>
      </c>
      <c r="AG564">
        <v>88775.846775000013</v>
      </c>
      <c r="AI564">
        <v>88775.846775000013</v>
      </c>
      <c r="AJ564">
        <v>887.75846775000014</v>
      </c>
      <c r="AK564">
        <v>89663.605242750011</v>
      </c>
      <c r="AL564">
        <v>4483.1802621375009</v>
      </c>
      <c r="AM564">
        <v>94146.785504887506</v>
      </c>
      <c r="AO564">
        <v>94146.785504887506</v>
      </c>
      <c r="AP564">
        <v>1882.9357100977504</v>
      </c>
      <c r="AQ564">
        <v>96029.721214985271</v>
      </c>
      <c r="AS564">
        <v>96029.721214985271</v>
      </c>
      <c r="AT564">
        <v>1920.5944242997052</v>
      </c>
      <c r="AU564">
        <v>97950.315639284963</v>
      </c>
      <c r="AV564">
        <v>1000</v>
      </c>
      <c r="AW564">
        <v>98950.315639284963</v>
      </c>
      <c r="AY564">
        <v>98950.315639284963</v>
      </c>
      <c r="AZ564">
        <v>1979.0063127856993</v>
      </c>
      <c r="BA564">
        <v>100929.32195207066</v>
      </c>
      <c r="BC564">
        <v>100929.32195207066</v>
      </c>
      <c r="BD564">
        <v>2018.5864390414131</v>
      </c>
      <c r="BE564">
        <v>102947.90839111208</v>
      </c>
      <c r="BF564">
        <v>2573.6977097778017</v>
      </c>
      <c r="BG564">
        <v>105521.60610088988</v>
      </c>
      <c r="BI564">
        <v>105521.60610088988</v>
      </c>
      <c r="BJ564">
        <v>4220.8642440355952</v>
      </c>
      <c r="BK564">
        <v>109742.47034492546</v>
      </c>
      <c r="BL564">
        <v>5487.123517246273</v>
      </c>
      <c r="BM564">
        <v>115229.59386217174</v>
      </c>
      <c r="BN564">
        <v>14979.847202082326</v>
      </c>
      <c r="BO564">
        <v>130209.44106425406</v>
      </c>
      <c r="BP564">
        <v>35</v>
      </c>
      <c r="BQ564">
        <v>130244.44106425406</v>
      </c>
      <c r="BS564">
        <v>130244.44106425406</v>
      </c>
      <c r="BT564" s="238">
        <v>130244.44</v>
      </c>
      <c r="BU564" s="238">
        <v>10224200</v>
      </c>
      <c r="BX564" s="238">
        <v>0</v>
      </c>
      <c r="BY564" s="238">
        <v>130244.58598726112</v>
      </c>
      <c r="BZ564" s="238">
        <v>10224200</v>
      </c>
      <c r="CA564" s="238" t="s">
        <v>6871</v>
      </c>
      <c r="CB564">
        <v>10000</v>
      </c>
      <c r="CC564">
        <v>140244.58598726112</v>
      </c>
      <c r="CD564" s="238">
        <v>785000</v>
      </c>
      <c r="CE564" s="238">
        <v>11009200</v>
      </c>
      <c r="CF564" t="s">
        <v>4636</v>
      </c>
      <c r="CH564" s="238" t="s">
        <v>3</v>
      </c>
      <c r="CI564" s="238" t="s">
        <v>3</v>
      </c>
      <c r="CJ564" t="s">
        <v>8951</v>
      </c>
      <c r="CK564" t="s">
        <v>1167</v>
      </c>
      <c r="CL564" t="s">
        <v>8961</v>
      </c>
      <c r="CM564" t="s">
        <v>8990</v>
      </c>
      <c r="CN564" s="238" t="b">
        <v>1</v>
      </c>
      <c r="CO564" t="s">
        <v>5852</v>
      </c>
      <c r="CQ564" t="s">
        <v>6652</v>
      </c>
      <c r="CR564" t="s">
        <v>3124</v>
      </c>
      <c r="CS564" t="s">
        <v>6871</v>
      </c>
      <c r="CT564" t="b">
        <v>1</v>
      </c>
      <c r="CU564">
        <v>10224200</v>
      </c>
      <c r="CV564">
        <v>10224200</v>
      </c>
      <c r="CW564">
        <v>0</v>
      </c>
      <c r="CX564">
        <v>0</v>
      </c>
      <c r="CY564">
        <v>0</v>
      </c>
      <c r="CZ564" t="b">
        <v>1</v>
      </c>
      <c r="DA564" t="s">
        <v>4246</v>
      </c>
      <c r="DB564" t="s">
        <v>1167</v>
      </c>
      <c r="DC564">
        <v>-1.1832829808660406E-2</v>
      </c>
      <c r="DD564">
        <v>-1541.1620194866966</v>
      </c>
      <c r="DE564" s="420" t="str" cm="1">
        <f t="array" ref="DE564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5" spans="1:109" x14ac:dyDescent="0.25">
      <c r="A565" s="238">
        <v>564</v>
      </c>
      <c r="B565" s="238" t="s">
        <v>15</v>
      </c>
      <c r="C565" s="238">
        <v>22</v>
      </c>
      <c r="D565" s="238">
        <v>8</v>
      </c>
      <c r="E565" s="238">
        <v>1</v>
      </c>
      <c r="F565" s="238">
        <v>16.79</v>
      </c>
      <c r="G565" s="238"/>
      <c r="H565" s="238"/>
      <c r="I565">
        <v>16.79</v>
      </c>
      <c r="J565" s="238">
        <v>11.43</v>
      </c>
      <c r="K565" s="238">
        <v>3.56</v>
      </c>
      <c r="L565" s="238"/>
      <c r="M565" s="238"/>
      <c r="N565" s="238">
        <v>6.66</v>
      </c>
      <c r="O565" s="238">
        <v>2.4900000000000002</v>
      </c>
      <c r="P565" s="238"/>
      <c r="R565" s="238">
        <v>2.4900000000000002</v>
      </c>
      <c r="S565">
        <v>40.93</v>
      </c>
      <c r="T565">
        <v>38.44</v>
      </c>
      <c r="U565" s="238">
        <v>39.69</v>
      </c>
      <c r="V565">
        <v>39.450000000000003</v>
      </c>
      <c r="W565" s="238">
        <v>91251.5625</v>
      </c>
      <c r="X565">
        <v>4562.578125</v>
      </c>
      <c r="Y565">
        <v>95814.140625</v>
      </c>
      <c r="Z565">
        <v>2874.4242187499999</v>
      </c>
      <c r="AA565">
        <v>98688.564843750006</v>
      </c>
      <c r="AB565">
        <v>4440.98541796875</v>
      </c>
      <c r="AC565">
        <v>103129.55026171876</v>
      </c>
      <c r="AE565">
        <v>103129.55026171876</v>
      </c>
      <c r="AF565">
        <v>5156.477513085938</v>
      </c>
      <c r="AG565">
        <v>108286.02777480468</v>
      </c>
      <c r="AI565">
        <v>108286.02777480468</v>
      </c>
      <c r="AJ565">
        <v>1082.8602777480469</v>
      </c>
      <c r="AK565">
        <v>109368.88805255272</v>
      </c>
      <c r="AL565">
        <v>5468.4444026276369</v>
      </c>
      <c r="AM565">
        <v>114837.33245518037</v>
      </c>
      <c r="AO565">
        <v>114837.33245518037</v>
      </c>
      <c r="AP565">
        <v>3445.1199736554108</v>
      </c>
      <c r="AQ565">
        <v>118282.45242883578</v>
      </c>
      <c r="AS565">
        <v>118282.45242883578</v>
      </c>
      <c r="AU565">
        <v>118282.45242883578</v>
      </c>
      <c r="AW565">
        <v>118282.45242883578</v>
      </c>
      <c r="AY565">
        <v>118282.45242883578</v>
      </c>
      <c r="BA565">
        <v>118282.45242883578</v>
      </c>
      <c r="BC565">
        <v>118282.45242883578</v>
      </c>
      <c r="BE565">
        <v>118282.45242883578</v>
      </c>
      <c r="BF565">
        <v>591.41226214417895</v>
      </c>
      <c r="BG565">
        <v>118873.86469097996</v>
      </c>
      <c r="BI565">
        <v>118873.86469097996</v>
      </c>
      <c r="BJ565">
        <v>2377.4772938195993</v>
      </c>
      <c r="BK565">
        <v>121251.34198479955</v>
      </c>
      <c r="BL565">
        <v>6062.5670992399782</v>
      </c>
      <c r="BM565">
        <v>127313.90908403954</v>
      </c>
      <c r="BN565">
        <v>16550.808180925142</v>
      </c>
      <c r="BO565">
        <v>143864.71726496468</v>
      </c>
      <c r="BP565">
        <v>35</v>
      </c>
      <c r="BQ565">
        <v>143899.71726496468</v>
      </c>
      <c r="BS565">
        <v>143899.71726496468</v>
      </c>
      <c r="BT565" s="238">
        <v>143899.72</v>
      </c>
      <c r="BU565" s="238">
        <v>5676900</v>
      </c>
      <c r="BX565" s="238">
        <v>0</v>
      </c>
      <c r="BY565" s="238">
        <v>143901.14068441064</v>
      </c>
      <c r="BZ565" s="238">
        <v>5676900</v>
      </c>
      <c r="CA565" s="238" t="s">
        <v>36</v>
      </c>
      <c r="CC565">
        <v>143901.14068441064</v>
      </c>
      <c r="CD565" s="238">
        <v>0</v>
      </c>
      <c r="CE565" s="238">
        <v>5676900</v>
      </c>
      <c r="CH565" s="238" t="s">
        <v>3</v>
      </c>
      <c r="CI565" s="238" t="s">
        <v>3</v>
      </c>
      <c r="CJ565" t="s">
        <v>8951</v>
      </c>
      <c r="CK565" t="s">
        <v>1167</v>
      </c>
      <c r="CL565" t="s">
        <v>8961</v>
      </c>
      <c r="CM565" t="s">
        <v>8973</v>
      </c>
      <c r="CN565" s="238" t="b">
        <v>1</v>
      </c>
      <c r="CO565" t="s">
        <v>5853</v>
      </c>
      <c r="CQ565" t="s">
        <v>6652</v>
      </c>
      <c r="CR565" t="s">
        <v>3124</v>
      </c>
      <c r="CS565" t="s">
        <v>36</v>
      </c>
      <c r="CT565" t="b">
        <v>1</v>
      </c>
      <c r="CU565">
        <v>5676900</v>
      </c>
      <c r="CV565">
        <v>5676900</v>
      </c>
      <c r="CW565">
        <v>0</v>
      </c>
      <c r="CX565">
        <v>0</v>
      </c>
      <c r="CY565">
        <v>0</v>
      </c>
      <c r="CZ565" t="b">
        <v>1</v>
      </c>
      <c r="DA565" t="s">
        <v>4246</v>
      </c>
      <c r="DB565" t="s">
        <v>1167</v>
      </c>
      <c r="DC565">
        <v>-6.0468631897202529E-3</v>
      </c>
      <c r="DD565">
        <v>-870.15051056331822</v>
      </c>
      <c r="DE565" s="420" t="str" cm="1">
        <f t="array" ref="DE56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6" spans="1:109" hidden="1" x14ac:dyDescent="0.25">
      <c r="A566" s="238">
        <v>565</v>
      </c>
      <c r="B566" s="238" t="s">
        <v>15</v>
      </c>
      <c r="C566" s="238">
        <v>23</v>
      </c>
      <c r="D566" s="238">
        <v>1</v>
      </c>
      <c r="E566" s="238">
        <v>0</v>
      </c>
      <c r="F566" s="238">
        <v>13.74</v>
      </c>
      <c r="G566" s="238"/>
      <c r="H566" s="238"/>
      <c r="I566">
        <v>13.74</v>
      </c>
      <c r="J566" s="238">
        <v>5.84</v>
      </c>
      <c r="K566" s="238">
        <v>3.76</v>
      </c>
      <c r="L566" s="238"/>
      <c r="M566" s="238"/>
      <c r="N566" s="238">
        <v>3.73</v>
      </c>
      <c r="O566" s="238">
        <v>4.6500000000000004</v>
      </c>
      <c r="P566" s="238"/>
      <c r="R566" s="238">
        <v>4.6500000000000004</v>
      </c>
      <c r="S566">
        <v>31.72</v>
      </c>
      <c r="T566">
        <v>27.07</v>
      </c>
      <c r="U566" s="238">
        <v>29.4</v>
      </c>
      <c r="V566">
        <v>29.2</v>
      </c>
      <c r="W566" s="238">
        <v>96361.65</v>
      </c>
      <c r="X566">
        <v>4818.0824999999995</v>
      </c>
      <c r="Y566">
        <v>101179.7325</v>
      </c>
      <c r="Z566">
        <v>3035.391975</v>
      </c>
      <c r="AA566">
        <v>104215.124475</v>
      </c>
      <c r="AC566">
        <v>104215.124475</v>
      </c>
      <c r="AE566">
        <v>104215.124475</v>
      </c>
      <c r="AG566">
        <v>104215.124475</v>
      </c>
      <c r="AI566">
        <v>104215.124475</v>
      </c>
      <c r="AK566">
        <v>104215.124475</v>
      </c>
      <c r="AM566">
        <v>104215.124475</v>
      </c>
      <c r="AO566">
        <v>104215.124475</v>
      </c>
      <c r="AQ566">
        <v>104215.124475</v>
      </c>
      <c r="AS566">
        <v>104215.124475</v>
      </c>
      <c r="AU566">
        <v>104215.124475</v>
      </c>
      <c r="AW566">
        <v>104215.124475</v>
      </c>
      <c r="AY566">
        <v>104215.124475</v>
      </c>
      <c r="BA566">
        <v>104215.124475</v>
      </c>
      <c r="BC566">
        <v>104215.124475</v>
      </c>
      <c r="BE566">
        <v>104215.124475</v>
      </c>
      <c r="BG566">
        <v>104215.124475</v>
      </c>
      <c r="BI566">
        <v>104215.124475</v>
      </c>
      <c r="BK566">
        <v>104215.124475</v>
      </c>
      <c r="BM566">
        <v>104215.124475</v>
      </c>
      <c r="BO566">
        <v>104215.124475</v>
      </c>
      <c r="BQ566">
        <v>104215.124475</v>
      </c>
      <c r="BS566">
        <v>104215.124475</v>
      </c>
      <c r="BT566" s="238">
        <v>104215.12</v>
      </c>
      <c r="BU566" s="238">
        <v>3063924.53</v>
      </c>
      <c r="BX566" s="238">
        <v>0</v>
      </c>
      <c r="BY566" s="238">
        <v>104215.12006802722</v>
      </c>
      <c r="BZ566" s="238">
        <v>3063924.53</v>
      </c>
      <c r="CA566" s="238" t="s">
        <v>36</v>
      </c>
      <c r="CC566">
        <v>104215.12006802722</v>
      </c>
      <c r="CD566" s="238">
        <v>0</v>
      </c>
      <c r="CE566" s="238">
        <v>3063924.53</v>
      </c>
      <c r="CH566" s="238" t="s">
        <v>39</v>
      </c>
      <c r="CI566" s="238" t="s">
        <v>39</v>
      </c>
      <c r="CJ566" t="s">
        <v>8950</v>
      </c>
      <c r="CK566" t="s">
        <v>1167</v>
      </c>
      <c r="CL566" t="s">
        <v>8961</v>
      </c>
      <c r="CM566" t="s">
        <v>8970</v>
      </c>
      <c r="CN566" s="238" t="b">
        <v>1</v>
      </c>
      <c r="CO566" t="s">
        <v>5854</v>
      </c>
      <c r="CQ566" t="s">
        <v>4895</v>
      </c>
      <c r="CR566" t="s">
        <v>3246</v>
      </c>
      <c r="CS566" t="s">
        <v>36</v>
      </c>
      <c r="CT566" t="b">
        <v>1</v>
      </c>
      <c r="CU566">
        <v>3063924.53</v>
      </c>
      <c r="CV566" t="s">
        <v>9002</v>
      </c>
      <c r="CW566">
        <v>0</v>
      </c>
      <c r="CX566">
        <v>3063925</v>
      </c>
      <c r="CY566">
        <v>0</v>
      </c>
      <c r="CZ566" t="b">
        <v>1</v>
      </c>
      <c r="DA566">
        <v>45189</v>
      </c>
      <c r="DB566" t="s">
        <v>399</v>
      </c>
      <c r="DC566">
        <v>-6.8027210884353817E-3</v>
      </c>
      <c r="DD566">
        <v>-708.94639502059408</v>
      </c>
      <c r="DE566" s="420" cm="1">
        <f t="array" ref="DE566">_xlfn.XLOOKUP("Дом 5"&amp;Реестр_Д5[[#This Row],[№]]&amp;Реестр_Д5[[#This Row],[Статус]],РД[Дом]&amp;РД[№ кв]&amp;РД[Состояние],РД[Дата подачи на регистрацию],"-",0)</f>
        <v>45189</v>
      </c>
    </row>
    <row r="567" spans="1:109" x14ac:dyDescent="0.25">
      <c r="A567" s="238">
        <v>566</v>
      </c>
      <c r="B567" s="238" t="s">
        <v>15</v>
      </c>
      <c r="C567" s="238">
        <v>23</v>
      </c>
      <c r="D567" s="238">
        <v>2</v>
      </c>
      <c r="E567" s="238">
        <v>1</v>
      </c>
      <c r="F567" s="238">
        <v>13.17</v>
      </c>
      <c r="G567" s="238"/>
      <c r="H567" s="238"/>
      <c r="I567">
        <v>13.17</v>
      </c>
      <c r="J567" s="238">
        <v>16.940000000000001</v>
      </c>
      <c r="K567" s="238">
        <v>3.55</v>
      </c>
      <c r="L567" s="238">
        <v>2.41</v>
      </c>
      <c r="M567" s="238"/>
      <c r="N567" s="238">
        <v>5.8</v>
      </c>
      <c r="O567" s="238">
        <v>2.68</v>
      </c>
      <c r="P567" s="238"/>
      <c r="R567" s="238">
        <v>2.68</v>
      </c>
      <c r="S567">
        <v>44.55</v>
      </c>
      <c r="T567">
        <v>41.87</v>
      </c>
      <c r="U567" s="238">
        <v>43.21</v>
      </c>
      <c r="V567">
        <v>42.3</v>
      </c>
      <c r="W567" s="238">
        <v>91657.125</v>
      </c>
      <c r="X567">
        <v>4582.8562499999998</v>
      </c>
      <c r="Y567">
        <v>96239.981249999997</v>
      </c>
      <c r="Z567">
        <v>2887.1994374999999</v>
      </c>
      <c r="AA567">
        <v>99127.180687500004</v>
      </c>
      <c r="AB567">
        <v>991.27180687500004</v>
      </c>
      <c r="AC567">
        <v>100118.452494375</v>
      </c>
      <c r="AE567">
        <v>100118.452494375</v>
      </c>
      <c r="AF567">
        <v>5005.9226247187507</v>
      </c>
      <c r="AG567">
        <v>105124.37511909376</v>
      </c>
      <c r="AI567">
        <v>105124.37511909376</v>
      </c>
      <c r="AJ567">
        <v>1051.2437511909377</v>
      </c>
      <c r="AK567">
        <v>106175.61887028468</v>
      </c>
      <c r="AL567">
        <v>5308.7809435142344</v>
      </c>
      <c r="AM567">
        <v>111484.39981379893</v>
      </c>
      <c r="AO567">
        <v>111484.39981379893</v>
      </c>
      <c r="AP567">
        <v>3344.5319944139678</v>
      </c>
      <c r="AQ567">
        <v>114828.93180821287</v>
      </c>
      <c r="AR567">
        <v>500</v>
      </c>
      <c r="AS567">
        <v>115328.93180821287</v>
      </c>
      <c r="AU567">
        <v>115328.93180821287</v>
      </c>
      <c r="AW567">
        <v>115328.93180821287</v>
      </c>
      <c r="AY567">
        <v>115328.93180821287</v>
      </c>
      <c r="AZ567">
        <v>1153.2893180821288</v>
      </c>
      <c r="BA567">
        <v>116482.221126295</v>
      </c>
      <c r="BC567">
        <v>116482.221126295</v>
      </c>
      <c r="BE567">
        <v>116482.221126295</v>
      </c>
      <c r="BF567">
        <v>2912.0555281573756</v>
      </c>
      <c r="BG567">
        <v>119394.27665445241</v>
      </c>
      <c r="BI567">
        <v>119394.27665445241</v>
      </c>
      <c r="BK567">
        <v>119394.27665445241</v>
      </c>
      <c r="BL567">
        <v>9551.5421323561914</v>
      </c>
      <c r="BM567">
        <v>128945.81878680858</v>
      </c>
      <c r="BN567">
        <v>16762.956442285114</v>
      </c>
      <c r="BO567">
        <v>145708.77522909371</v>
      </c>
      <c r="BP567">
        <v>35</v>
      </c>
      <c r="BQ567">
        <v>145743.77522909371</v>
      </c>
      <c r="BS567">
        <v>145743.77522909371</v>
      </c>
      <c r="BT567" s="238">
        <v>145743.78</v>
      </c>
      <c r="BU567" s="238">
        <v>6165000</v>
      </c>
      <c r="BX567" s="238">
        <v>0</v>
      </c>
      <c r="BY567" s="238">
        <v>145744.68085106384</v>
      </c>
      <c r="BZ567" s="238">
        <v>6165000</v>
      </c>
      <c r="CA567" s="238" t="s">
        <v>36</v>
      </c>
      <c r="CC567">
        <v>145744.68085106384</v>
      </c>
      <c r="CD567" s="238">
        <v>0</v>
      </c>
      <c r="CE567" s="238">
        <v>6165000</v>
      </c>
      <c r="CH567" s="238" t="s">
        <v>3</v>
      </c>
      <c r="CI567" s="238" t="s">
        <v>3</v>
      </c>
      <c r="CJ567" t="s">
        <v>8951</v>
      </c>
      <c r="CK567" t="s">
        <v>1167</v>
      </c>
      <c r="CL567" t="s">
        <v>8961</v>
      </c>
      <c r="CM567" t="s">
        <v>8972</v>
      </c>
      <c r="CN567" s="238" t="b">
        <v>1</v>
      </c>
      <c r="CO567" t="s">
        <v>5855</v>
      </c>
      <c r="CQ567" t="s">
        <v>6652</v>
      </c>
      <c r="CR567" t="s">
        <v>3124</v>
      </c>
      <c r="CS567" t="s">
        <v>36</v>
      </c>
      <c r="CT567" t="b">
        <v>1</v>
      </c>
      <c r="CU567">
        <v>6165000</v>
      </c>
      <c r="CV567">
        <v>6165000</v>
      </c>
      <c r="CW567">
        <v>0</v>
      </c>
      <c r="CX567">
        <v>0</v>
      </c>
      <c r="CY567">
        <v>0</v>
      </c>
      <c r="CZ567" t="b">
        <v>1</v>
      </c>
      <c r="DA567" t="s">
        <v>4246</v>
      </c>
      <c r="DB567" t="s">
        <v>1167</v>
      </c>
      <c r="DC567">
        <v>-2.1059939828743435E-2</v>
      </c>
      <c r="DD567">
        <v>-3069.37420908282</v>
      </c>
      <c r="DE567" s="420" t="str" cm="1">
        <f t="array" ref="DE56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68" spans="1:109" hidden="1" x14ac:dyDescent="0.25">
      <c r="A568" s="238">
        <v>567</v>
      </c>
      <c r="B568" s="238" t="s">
        <v>15</v>
      </c>
      <c r="C568" s="238">
        <v>23</v>
      </c>
      <c r="D568" s="238">
        <v>3</v>
      </c>
      <c r="E568" s="238">
        <v>0</v>
      </c>
      <c r="F568" s="238">
        <v>7.2</v>
      </c>
      <c r="G568" s="238"/>
      <c r="H568" s="238"/>
      <c r="I568">
        <v>7.2</v>
      </c>
      <c r="J568" s="238">
        <v>5.17</v>
      </c>
      <c r="K568" s="238">
        <v>3.71</v>
      </c>
      <c r="L568" s="238"/>
      <c r="M568" s="238"/>
      <c r="N568" s="238">
        <v>6.96</v>
      </c>
      <c r="O568" s="238">
        <v>2.92</v>
      </c>
      <c r="P568" s="238"/>
      <c r="R568" s="238">
        <v>2.92</v>
      </c>
      <c r="S568">
        <v>25.96</v>
      </c>
      <c r="T568">
        <v>23.04</v>
      </c>
      <c r="U568" s="238">
        <v>24.5</v>
      </c>
      <c r="V568">
        <v>24.45</v>
      </c>
      <c r="W568" s="238">
        <v>98113.68</v>
      </c>
      <c r="X568">
        <v>4905.6840000000002</v>
      </c>
      <c r="Y568">
        <v>103019.364</v>
      </c>
      <c r="Z568">
        <v>3090.5809199999994</v>
      </c>
      <c r="AA568">
        <v>106109.94491999998</v>
      </c>
      <c r="AB568">
        <v>9549.8950427999971</v>
      </c>
      <c r="AC568">
        <v>115659.83996279998</v>
      </c>
      <c r="AE568">
        <v>115659.83996279998</v>
      </c>
      <c r="AG568">
        <v>115659.83996279998</v>
      </c>
      <c r="AI568">
        <v>115659.83996279998</v>
      </c>
      <c r="AJ568">
        <v>1156.5983996279997</v>
      </c>
      <c r="AK568">
        <v>116816.43836242796</v>
      </c>
      <c r="AL568">
        <v>5840.821918121399</v>
      </c>
      <c r="AM568">
        <v>122657.26028054937</v>
      </c>
      <c r="AO568">
        <v>122657.26028054937</v>
      </c>
      <c r="AP568">
        <v>3679.7178084164807</v>
      </c>
      <c r="AQ568">
        <v>126336.97808896584</v>
      </c>
      <c r="AS568">
        <v>126336.97808896584</v>
      </c>
      <c r="AU568">
        <v>126336.97808896584</v>
      </c>
      <c r="AW568">
        <v>126336.97808896584</v>
      </c>
      <c r="AX568">
        <v>1263.3697808896584</v>
      </c>
      <c r="AY568">
        <v>127600.3478698555</v>
      </c>
      <c r="BA568">
        <v>127600.3478698555</v>
      </c>
      <c r="BC568">
        <v>127600.3478698555</v>
      </c>
      <c r="BE568">
        <v>127600.3478698555</v>
      </c>
      <c r="BG568">
        <v>127600.3478698555</v>
      </c>
      <c r="BI568">
        <v>127600.3478698555</v>
      </c>
      <c r="BK568">
        <v>127600.3478698555</v>
      </c>
      <c r="BM568">
        <v>127600.3478698555</v>
      </c>
      <c r="BO568">
        <v>127600.3478698555</v>
      </c>
      <c r="BQ568">
        <v>127600.3478698555</v>
      </c>
      <c r="BS568">
        <v>127600.3478698555</v>
      </c>
      <c r="BT568" s="238">
        <v>127600.35</v>
      </c>
      <c r="BU568" s="238">
        <v>3126300</v>
      </c>
      <c r="BX568" s="238">
        <v>0</v>
      </c>
      <c r="BY568" s="238">
        <v>127604.08163265306</v>
      </c>
      <c r="BZ568" s="238">
        <v>3126300</v>
      </c>
      <c r="CA568" s="238" t="s">
        <v>38</v>
      </c>
      <c r="CB568">
        <v>20000</v>
      </c>
      <c r="CC568">
        <v>147604.08163265308</v>
      </c>
      <c r="CD568" s="238">
        <v>490000.00000000047</v>
      </c>
      <c r="CE568" s="238">
        <v>3616300.0000000009</v>
      </c>
      <c r="CH568" s="238" t="s">
        <v>39</v>
      </c>
      <c r="CI568" s="238" t="s">
        <v>39</v>
      </c>
      <c r="CJ568" t="s">
        <v>8950</v>
      </c>
      <c r="CK568" t="s">
        <v>1167</v>
      </c>
      <c r="CL568" t="s">
        <v>8961</v>
      </c>
      <c r="CM568" t="s">
        <v>8970</v>
      </c>
      <c r="CN568" s="238" t="b">
        <v>1</v>
      </c>
      <c r="CO568" t="s">
        <v>5856</v>
      </c>
      <c r="CQ568" t="s">
        <v>6652</v>
      </c>
      <c r="CR568" t="s">
        <v>3246</v>
      </c>
      <c r="CS568" t="s">
        <v>38</v>
      </c>
      <c r="CT568" t="b">
        <v>1</v>
      </c>
      <c r="CU568">
        <v>3126300</v>
      </c>
      <c r="CV568" t="s">
        <v>9002</v>
      </c>
      <c r="CW568">
        <v>0</v>
      </c>
      <c r="CX568">
        <v>3126300</v>
      </c>
      <c r="CY568">
        <v>0</v>
      </c>
      <c r="CZ568" t="b">
        <v>1</v>
      </c>
      <c r="DA568">
        <v>45454</v>
      </c>
      <c r="DB568" t="s">
        <v>126</v>
      </c>
      <c r="DC568">
        <v>-2.0408163265306367E-3</v>
      </c>
      <c r="DD568">
        <v>-260.41649312786649</v>
      </c>
      <c r="DE568" s="420" cm="1">
        <f t="array" ref="DE568">_xlfn.XLOOKUP("Дом 5"&amp;Реестр_Д5[[#This Row],[№]]&amp;Реестр_Д5[[#This Row],[Статус]],РД[Дом]&amp;РД[№ кв]&amp;РД[Состояние],РД[Дата подачи на регистрацию],"-",0)</f>
        <v>45454</v>
      </c>
    </row>
    <row r="569" spans="1:109" hidden="1" x14ac:dyDescent="0.25">
      <c r="A569" s="238">
        <v>568</v>
      </c>
      <c r="B569" s="238" t="s">
        <v>15</v>
      </c>
      <c r="C569" s="238">
        <v>23</v>
      </c>
      <c r="D569" s="238">
        <v>4</v>
      </c>
      <c r="E569" s="238">
        <v>2</v>
      </c>
      <c r="F569" s="238">
        <v>14.48</v>
      </c>
      <c r="G569" s="238">
        <v>11.42</v>
      </c>
      <c r="H569" s="238"/>
      <c r="I569">
        <v>25.9</v>
      </c>
      <c r="J569" s="238">
        <v>15.86</v>
      </c>
      <c r="K569" s="238">
        <v>3.01</v>
      </c>
      <c r="L569" s="238">
        <v>2.67</v>
      </c>
      <c r="M569" s="238"/>
      <c r="N569" s="238">
        <v>9.44</v>
      </c>
      <c r="O569" s="238">
        <v>2.72</v>
      </c>
      <c r="P569" s="238"/>
      <c r="R569" s="238">
        <v>2.72</v>
      </c>
      <c r="S569">
        <v>59.6</v>
      </c>
      <c r="T569">
        <v>56.88</v>
      </c>
      <c r="U569" s="238">
        <v>58.24</v>
      </c>
      <c r="V569">
        <v>57.9</v>
      </c>
      <c r="W569" s="238">
        <v>85713.201000000001</v>
      </c>
      <c r="X569">
        <v>4285.6600500000004</v>
      </c>
      <c r="Y569">
        <v>89998.861050000007</v>
      </c>
      <c r="Z569">
        <v>2699.9658315000001</v>
      </c>
      <c r="AA569">
        <v>92698.826881500005</v>
      </c>
      <c r="AC569">
        <v>92698.826881500005</v>
      </c>
      <c r="AE569">
        <v>92698.826881500005</v>
      </c>
      <c r="AG569">
        <v>92698.826881500005</v>
      </c>
      <c r="AI569">
        <v>92698.826881500005</v>
      </c>
      <c r="AK569">
        <v>92698.826881500005</v>
      </c>
      <c r="AM569">
        <v>92698.826881500005</v>
      </c>
      <c r="AO569">
        <v>92698.826881500005</v>
      </c>
      <c r="AQ569">
        <v>92698.826881500005</v>
      </c>
      <c r="AS569">
        <v>92698.826881500005</v>
      </c>
      <c r="AU569">
        <v>92698.826881500005</v>
      </c>
      <c r="AW569">
        <v>92698.826881500005</v>
      </c>
      <c r="AY569">
        <v>92698.826881500005</v>
      </c>
      <c r="BA569">
        <v>92698.826881500005</v>
      </c>
      <c r="BC569">
        <v>92698.826881500005</v>
      </c>
      <c r="BE569">
        <v>92698.826881500005</v>
      </c>
      <c r="BG569">
        <v>92698.826881500005</v>
      </c>
      <c r="BI569">
        <v>92698.826881500005</v>
      </c>
      <c r="BK569">
        <v>92698.826881500005</v>
      </c>
      <c r="BM569">
        <v>92698.826881500005</v>
      </c>
      <c r="BO569">
        <v>92698.826881500005</v>
      </c>
      <c r="BQ569">
        <v>92698.826881500005</v>
      </c>
      <c r="BS569">
        <v>92698.826881500005</v>
      </c>
      <c r="BT569" s="238">
        <v>92698.83</v>
      </c>
      <c r="BU569" s="238">
        <v>5398800</v>
      </c>
      <c r="BW569">
        <v>0.02</v>
      </c>
      <c r="BX569" s="238">
        <v>107976</v>
      </c>
      <c r="BY569" s="238">
        <v>90845.192307692298</v>
      </c>
      <c r="BZ569" s="238">
        <v>5290824</v>
      </c>
      <c r="CA569" s="238" t="s">
        <v>38</v>
      </c>
      <c r="CB569">
        <v>22000</v>
      </c>
      <c r="CC569">
        <v>112845.1923076923</v>
      </c>
      <c r="CD569" s="238">
        <v>1281280</v>
      </c>
      <c r="CE569" s="238">
        <v>6572104</v>
      </c>
      <c r="CG569" t="s">
        <v>3540</v>
      </c>
      <c r="CH569" s="238" t="s">
        <v>39</v>
      </c>
      <c r="CI569" s="238" t="s">
        <v>39</v>
      </c>
      <c r="CJ569" t="s">
        <v>8950</v>
      </c>
      <c r="CK569" t="s">
        <v>1167</v>
      </c>
      <c r="CL569" t="s">
        <v>8961</v>
      </c>
      <c r="CM569" t="s">
        <v>8971</v>
      </c>
      <c r="CN569" s="238" t="b">
        <v>1</v>
      </c>
      <c r="CO569" t="s">
        <v>5857</v>
      </c>
      <c r="CQ569" t="s">
        <v>6652</v>
      </c>
      <c r="CR569" t="s">
        <v>3246</v>
      </c>
      <c r="CS569" t="s">
        <v>38</v>
      </c>
      <c r="CT569" t="b">
        <v>1</v>
      </c>
      <c r="CU569">
        <v>5398800</v>
      </c>
      <c r="CV569" t="s">
        <v>9002</v>
      </c>
      <c r="CW569">
        <v>0</v>
      </c>
      <c r="CX569">
        <v>5398800</v>
      </c>
      <c r="CY569">
        <v>0</v>
      </c>
      <c r="CZ569" t="b">
        <v>1</v>
      </c>
      <c r="DA569">
        <v>45282</v>
      </c>
      <c r="DB569" t="s">
        <v>126</v>
      </c>
      <c r="DC569">
        <v>-5.8379120879121782E-3</v>
      </c>
      <c r="DD569">
        <v>-530.34624630178325</v>
      </c>
      <c r="DE569" s="420" cm="1">
        <f t="array" ref="DE569">_xlfn.XLOOKUP("Дом 5"&amp;Реестр_Д5[[#This Row],[№]]&amp;Реестр_Д5[[#This Row],[Статус]],РД[Дом]&amp;РД[№ кв]&amp;РД[Состояние],РД[Дата подачи на регистрацию],"-",0)</f>
        <v>45282</v>
      </c>
    </row>
    <row r="570" spans="1:109" x14ac:dyDescent="0.25">
      <c r="A570" s="238">
        <v>569</v>
      </c>
      <c r="B570" s="238" t="s">
        <v>15</v>
      </c>
      <c r="C570" s="238">
        <v>23</v>
      </c>
      <c r="D570" s="238">
        <v>5</v>
      </c>
      <c r="E570" s="238">
        <v>2</v>
      </c>
      <c r="F570" s="238">
        <v>15.41</v>
      </c>
      <c r="G570" s="238">
        <v>12.78</v>
      </c>
      <c r="H570" s="238"/>
      <c r="I570">
        <v>28.19</v>
      </c>
      <c r="J570" s="238">
        <v>13.45</v>
      </c>
      <c r="K570" s="238">
        <v>3.7</v>
      </c>
      <c r="L570" s="238">
        <v>2.72</v>
      </c>
      <c r="M570" s="238"/>
      <c r="N570" s="238">
        <v>8.2200000000000006</v>
      </c>
      <c r="O570" s="238">
        <v>3.03</v>
      </c>
      <c r="P570" s="238"/>
      <c r="R570" s="238">
        <v>3.03</v>
      </c>
      <c r="S570">
        <v>59.31</v>
      </c>
      <c r="T570">
        <v>56.28</v>
      </c>
      <c r="U570" s="238">
        <v>57.8</v>
      </c>
      <c r="V570">
        <v>57.95</v>
      </c>
      <c r="W570" s="238">
        <v>85327.105500000005</v>
      </c>
      <c r="X570">
        <v>4266.3552750000008</v>
      </c>
      <c r="Y570">
        <v>89593.460775</v>
      </c>
      <c r="Z570">
        <v>2687.8038232499998</v>
      </c>
      <c r="AA570">
        <v>92281.264598249996</v>
      </c>
      <c r="AC570">
        <v>92281.264598249996</v>
      </c>
      <c r="AE570">
        <v>92281.264598249996</v>
      </c>
      <c r="AG570">
        <v>92281.264598249996</v>
      </c>
      <c r="AI570">
        <v>92281.264598249996</v>
      </c>
      <c r="AJ570">
        <v>922.81264598250004</v>
      </c>
      <c r="AK570">
        <v>93204.077244232496</v>
      </c>
      <c r="AL570">
        <v>4660.2038622116252</v>
      </c>
      <c r="AM570">
        <v>97864.281106444105</v>
      </c>
      <c r="AO570">
        <v>97864.281106444105</v>
      </c>
      <c r="AP570">
        <v>1957.2856221288823</v>
      </c>
      <c r="AQ570">
        <v>99821.566728573001</v>
      </c>
      <c r="AS570">
        <v>99821.566728573001</v>
      </c>
      <c r="AT570">
        <v>1996.43133457146</v>
      </c>
      <c r="AU570">
        <v>101817.99806314446</v>
      </c>
      <c r="AW570">
        <v>101817.99806314446</v>
      </c>
      <c r="AX570">
        <v>1018.1799806314448</v>
      </c>
      <c r="AY570">
        <v>102836.1780437759</v>
      </c>
      <c r="BA570">
        <v>102836.1780437759</v>
      </c>
      <c r="BC570">
        <v>102836.1780437759</v>
      </c>
      <c r="BE570">
        <v>102836.1780437759</v>
      </c>
      <c r="BF570">
        <v>1542.5426706566384</v>
      </c>
      <c r="BG570">
        <v>104378.72071443254</v>
      </c>
      <c r="BH570">
        <v>500</v>
      </c>
      <c r="BI570">
        <v>104878.72071443254</v>
      </c>
      <c r="BJ570">
        <v>4195.1488285773012</v>
      </c>
      <c r="BK570">
        <v>109073.86954300985</v>
      </c>
      <c r="BL570">
        <v>6544.4321725805903</v>
      </c>
      <c r="BM570">
        <v>115618.30171559044</v>
      </c>
      <c r="BN570">
        <v>15030.379223026755</v>
      </c>
      <c r="BO570">
        <v>130648.6809386172</v>
      </c>
      <c r="BP570">
        <v>35</v>
      </c>
      <c r="BQ570">
        <v>130683.6809386172</v>
      </c>
      <c r="BS570">
        <v>130683.6809386172</v>
      </c>
      <c r="BT570" s="238">
        <v>130683.68</v>
      </c>
      <c r="BU570" s="238">
        <v>7573200</v>
      </c>
      <c r="BX570" s="238">
        <v>0</v>
      </c>
      <c r="BY570" s="238">
        <v>130685.07333908544</v>
      </c>
      <c r="BZ570" s="238">
        <v>7573200</v>
      </c>
      <c r="CA570" s="238" t="s">
        <v>36</v>
      </c>
      <c r="CC570">
        <v>130685.07333908544</v>
      </c>
      <c r="CD570" s="238">
        <v>0</v>
      </c>
      <c r="CE570" s="238">
        <v>7573200</v>
      </c>
      <c r="CH570" s="238" t="s">
        <v>3</v>
      </c>
      <c r="CI570" s="238" t="s">
        <v>3</v>
      </c>
      <c r="CJ570" t="s">
        <v>8951</v>
      </c>
      <c r="CK570" t="s">
        <v>1167</v>
      </c>
      <c r="CL570" t="s">
        <v>8961</v>
      </c>
      <c r="CM570" t="s">
        <v>8974</v>
      </c>
      <c r="CN570" s="238" t="b">
        <v>1</v>
      </c>
      <c r="CO570" t="s">
        <v>5858</v>
      </c>
      <c r="CQ570" t="s">
        <v>6652</v>
      </c>
      <c r="CR570" t="s">
        <v>3124</v>
      </c>
      <c r="CS570" t="s">
        <v>36</v>
      </c>
      <c r="CT570" t="b">
        <v>1</v>
      </c>
      <c r="CU570">
        <v>7573200</v>
      </c>
      <c r="CV570">
        <v>7573200</v>
      </c>
      <c r="CW570">
        <v>0</v>
      </c>
      <c r="CX570">
        <v>0</v>
      </c>
      <c r="CY570">
        <v>0</v>
      </c>
      <c r="CZ570" t="b">
        <v>1</v>
      </c>
      <c r="DA570" t="s">
        <v>4246</v>
      </c>
      <c r="DB570" t="s">
        <v>1167</v>
      </c>
      <c r="DC570">
        <v>2.5951557093424338E-3</v>
      </c>
      <c r="DD570">
        <v>339.14811420176221</v>
      </c>
      <c r="DE570" s="420" t="str" cm="1">
        <f t="array" ref="DE57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71" spans="1:109" hidden="1" x14ac:dyDescent="0.25">
      <c r="A571" s="238">
        <v>570</v>
      </c>
      <c r="B571" s="238" t="s">
        <v>15</v>
      </c>
      <c r="C571" s="238">
        <v>23</v>
      </c>
      <c r="D571" s="238">
        <v>6</v>
      </c>
      <c r="E571" s="238">
        <v>1</v>
      </c>
      <c r="F571" s="238">
        <v>12.71</v>
      </c>
      <c r="G571" s="238"/>
      <c r="H571" s="238"/>
      <c r="I571">
        <v>12.71</v>
      </c>
      <c r="J571" s="238">
        <v>12.55</v>
      </c>
      <c r="K571" s="238">
        <v>4.28</v>
      </c>
      <c r="L571" s="238"/>
      <c r="M571" s="238"/>
      <c r="N571" s="238">
        <v>7.34</v>
      </c>
      <c r="O571" s="238">
        <v>2.84</v>
      </c>
      <c r="P571" s="238"/>
      <c r="R571" s="238">
        <v>2.84</v>
      </c>
      <c r="S571">
        <v>39.72</v>
      </c>
      <c r="T571">
        <v>36.880000000000003</v>
      </c>
      <c r="U571" s="238">
        <v>38.299999999999997</v>
      </c>
      <c r="V571">
        <v>37.700000000000003</v>
      </c>
      <c r="W571" s="238">
        <v>94090.5</v>
      </c>
      <c r="X571">
        <v>4704.5250000000005</v>
      </c>
      <c r="Y571">
        <v>98795.024999999994</v>
      </c>
      <c r="Z571">
        <v>2963.8507499999996</v>
      </c>
      <c r="AA571">
        <v>101758.87575000001</v>
      </c>
      <c r="AB571">
        <v>1017.5887575</v>
      </c>
      <c r="AC571">
        <v>102776.4645075</v>
      </c>
      <c r="AE571">
        <v>102776.4645075</v>
      </c>
      <c r="AG571">
        <v>102776.4645075</v>
      </c>
      <c r="AI571">
        <v>102776.4645075</v>
      </c>
      <c r="AK571">
        <v>102776.4645075</v>
      </c>
      <c r="AM571">
        <v>102776.4645075</v>
      </c>
      <c r="AO571">
        <v>102776.4645075</v>
      </c>
      <c r="AQ571">
        <v>102776.4645075</v>
      </c>
      <c r="AS571">
        <v>102776.4645075</v>
      </c>
      <c r="AU571">
        <v>102776.4645075</v>
      </c>
      <c r="AW571">
        <v>102776.4645075</v>
      </c>
      <c r="AY571">
        <v>102776.4645075</v>
      </c>
      <c r="BA571">
        <v>102776.4645075</v>
      </c>
      <c r="BC571">
        <v>102776.4645075</v>
      </c>
      <c r="BE571">
        <v>102776.4645075</v>
      </c>
      <c r="BG571">
        <v>102776.4645075</v>
      </c>
      <c r="BI571">
        <v>102776.4645075</v>
      </c>
      <c r="BK571">
        <v>102776.4645075</v>
      </c>
      <c r="BM571">
        <v>102776.4645075</v>
      </c>
      <c r="BO571">
        <v>102776.4645075</v>
      </c>
      <c r="BQ571">
        <v>102776.4645075</v>
      </c>
      <c r="BS571">
        <v>102776.4645075</v>
      </c>
      <c r="BT571" s="238">
        <v>102776.46</v>
      </c>
      <c r="BU571" s="238">
        <v>3936338.42</v>
      </c>
      <c r="BW571">
        <v>0.02</v>
      </c>
      <c r="BX571" s="238">
        <v>78726.768400000001</v>
      </c>
      <c r="BY571" s="238">
        <v>100720.93080939948</v>
      </c>
      <c r="BZ571" s="238">
        <v>3857611.65</v>
      </c>
      <c r="CA571" s="238" t="s">
        <v>37</v>
      </c>
      <c r="CB571">
        <v>7500</v>
      </c>
      <c r="CC571">
        <v>108220.93080939948</v>
      </c>
      <c r="CD571" s="238">
        <v>287249.99999999953</v>
      </c>
      <c r="CE571" s="238">
        <v>4144861.649999999</v>
      </c>
      <c r="CG571" t="s">
        <v>3540</v>
      </c>
      <c r="CH571" s="238" t="s">
        <v>39</v>
      </c>
      <c r="CI571" s="238" t="s">
        <v>39</v>
      </c>
      <c r="CJ571" t="s">
        <v>8950</v>
      </c>
      <c r="CK571" t="s">
        <v>1167</v>
      </c>
      <c r="CL571" t="s">
        <v>8961</v>
      </c>
      <c r="CM571" t="s">
        <v>8973</v>
      </c>
      <c r="CN571" s="238" t="b">
        <v>1</v>
      </c>
      <c r="CO571" t="s">
        <v>5859</v>
      </c>
      <c r="CQ571" t="s">
        <v>4895</v>
      </c>
      <c r="CR571" t="s">
        <v>3246</v>
      </c>
      <c r="CS571" t="s">
        <v>37</v>
      </c>
      <c r="CT571" t="b">
        <v>1</v>
      </c>
      <c r="CU571">
        <v>3936338.42</v>
      </c>
      <c r="CV571" t="s">
        <v>9002</v>
      </c>
      <c r="CW571">
        <v>0</v>
      </c>
      <c r="CX571">
        <v>3936338</v>
      </c>
      <c r="CY571">
        <v>0</v>
      </c>
      <c r="CZ571" t="b">
        <v>1</v>
      </c>
      <c r="DA571">
        <v>45248</v>
      </c>
      <c r="DB571" t="s">
        <v>4177</v>
      </c>
      <c r="DC571">
        <v>-1.5665796344647598E-2</v>
      </c>
      <c r="DD571">
        <v>-1577.8735897033939</v>
      </c>
      <c r="DE571" s="420" cm="1">
        <f t="array" ref="DE571">_xlfn.XLOOKUP("Дом 5"&amp;Реестр_Д5[[#This Row],[№]]&amp;Реестр_Д5[[#This Row],[Статус]],РД[Дом]&amp;РД[№ кв]&amp;РД[Состояние],РД[Дата подачи на регистрацию],"-",0)</f>
        <v>45248</v>
      </c>
    </row>
    <row r="572" spans="1:109" hidden="1" x14ac:dyDescent="0.25">
      <c r="A572" s="238">
        <v>571</v>
      </c>
      <c r="B572" s="238" t="s">
        <v>15</v>
      </c>
      <c r="C572" s="238">
        <v>23</v>
      </c>
      <c r="D572" s="238">
        <v>7</v>
      </c>
      <c r="E572" s="238">
        <v>3</v>
      </c>
      <c r="F572" s="238">
        <v>14.49</v>
      </c>
      <c r="G572" s="238">
        <v>13.98</v>
      </c>
      <c r="H572" s="238">
        <v>11.42</v>
      </c>
      <c r="I572">
        <v>39.89</v>
      </c>
      <c r="J572" s="238">
        <v>16.670000000000002</v>
      </c>
      <c r="K572" s="238">
        <v>4.1399999999999997</v>
      </c>
      <c r="L572" s="238">
        <v>1.89</v>
      </c>
      <c r="M572" s="238"/>
      <c r="N572" s="238">
        <v>11.31</v>
      </c>
      <c r="O572" s="238">
        <v>2.86</v>
      </c>
      <c r="P572" s="238">
        <v>2.79</v>
      </c>
      <c r="Q572">
        <v>5.42</v>
      </c>
      <c r="R572" s="238">
        <v>11.07</v>
      </c>
      <c r="S572">
        <v>84.97</v>
      </c>
      <c r="T572">
        <v>73.900000000000006</v>
      </c>
      <c r="U572" s="238">
        <v>79.44</v>
      </c>
      <c r="V572">
        <v>78.649999999999977</v>
      </c>
      <c r="W572" s="238">
        <v>83513.430000000022</v>
      </c>
      <c r="X572">
        <v>4175.6715000000013</v>
      </c>
      <c r="Y572">
        <v>87689.101500000019</v>
      </c>
      <c r="Z572">
        <v>2630.6730450000005</v>
      </c>
      <c r="AA572">
        <v>90319.774545000022</v>
      </c>
      <c r="AC572">
        <v>90319.774545000022</v>
      </c>
      <c r="AE572">
        <v>90319.774545000022</v>
      </c>
      <c r="AG572">
        <v>90319.774545000022</v>
      </c>
      <c r="AI572">
        <v>90319.774545000022</v>
      </c>
      <c r="AJ572">
        <v>903.19774545000018</v>
      </c>
      <c r="AK572">
        <v>91222.972290450023</v>
      </c>
      <c r="AL572">
        <v>4561.1486145225017</v>
      </c>
      <c r="AM572">
        <v>95784.120904972529</v>
      </c>
      <c r="AO572">
        <v>95784.120904972529</v>
      </c>
      <c r="AP572">
        <v>1915.6824180994504</v>
      </c>
      <c r="AQ572">
        <v>97699.803323071974</v>
      </c>
      <c r="AS572">
        <v>97699.803323071974</v>
      </c>
      <c r="AT572">
        <v>1953.9960664614396</v>
      </c>
      <c r="AU572">
        <v>99653.799389533408</v>
      </c>
      <c r="AV572">
        <v>1000</v>
      </c>
      <c r="AW572">
        <v>100653.79938953339</v>
      </c>
      <c r="AY572">
        <v>100653.79938953339</v>
      </c>
      <c r="AZ572">
        <v>2013.0759877906685</v>
      </c>
      <c r="BA572">
        <v>102666.87537732408</v>
      </c>
      <c r="BC572">
        <v>102666.87537732408</v>
      </c>
      <c r="BD572">
        <v>2053.3375075464814</v>
      </c>
      <c r="BE572">
        <v>104720.21288487056</v>
      </c>
      <c r="BF572">
        <v>2618.005322121764</v>
      </c>
      <c r="BG572">
        <v>107338.21820699231</v>
      </c>
      <c r="BI572">
        <v>107338.21820699231</v>
      </c>
      <c r="BJ572">
        <v>4293.5287282796935</v>
      </c>
      <c r="BK572">
        <v>111631.74693527202</v>
      </c>
      <c r="BM572">
        <v>111631.74693527202</v>
      </c>
      <c r="BO572">
        <v>111631.74693527202</v>
      </c>
      <c r="BQ572">
        <v>111631.74693527202</v>
      </c>
      <c r="BS572">
        <v>111631.74693527202</v>
      </c>
      <c r="BT572" s="238">
        <v>111631.75</v>
      </c>
      <c r="BU572" s="238">
        <v>8868100</v>
      </c>
      <c r="BW572">
        <v>0.03</v>
      </c>
      <c r="BX572" s="238">
        <v>266043</v>
      </c>
      <c r="BY572" s="238">
        <v>108283.69838872104</v>
      </c>
      <c r="BZ572" s="238">
        <v>8602057</v>
      </c>
      <c r="CA572" s="238" t="s">
        <v>36</v>
      </c>
      <c r="CC572">
        <v>108283.69838872104</v>
      </c>
      <c r="CD572" s="238">
        <v>0</v>
      </c>
      <c r="CE572" s="238">
        <v>8602057</v>
      </c>
      <c r="CF572" t="s">
        <v>4636</v>
      </c>
      <c r="CG572" t="s">
        <v>3538</v>
      </c>
      <c r="CH572" s="238" t="s">
        <v>39</v>
      </c>
      <c r="CI572" s="238" t="s">
        <v>39</v>
      </c>
      <c r="CJ572" t="s">
        <v>8950</v>
      </c>
      <c r="CK572" t="s">
        <v>1167</v>
      </c>
      <c r="CL572" t="s">
        <v>8961</v>
      </c>
      <c r="CM572" t="s">
        <v>8990</v>
      </c>
      <c r="CN572" s="238" t="b">
        <v>1</v>
      </c>
      <c r="CO572" t="s">
        <v>5860</v>
      </c>
      <c r="CQ572" t="s">
        <v>6652</v>
      </c>
      <c r="CR572" t="s">
        <v>3246</v>
      </c>
      <c r="CS572" t="s">
        <v>36</v>
      </c>
      <c r="CT572" t="b">
        <v>1</v>
      </c>
      <c r="CU572">
        <v>8868100</v>
      </c>
      <c r="CV572" t="s">
        <v>9002</v>
      </c>
      <c r="CW572">
        <v>0</v>
      </c>
      <c r="CX572">
        <v>8868100</v>
      </c>
      <c r="CY572">
        <v>0</v>
      </c>
      <c r="CZ572" t="b">
        <v>1</v>
      </c>
      <c r="DA572">
        <v>45596</v>
      </c>
      <c r="DB572" t="s">
        <v>4177</v>
      </c>
      <c r="DC572">
        <v>-9.9446122860020747E-3</v>
      </c>
      <c r="DD572">
        <v>-1076.8393973702184</v>
      </c>
      <c r="DE572" s="420" cm="1">
        <f t="array" ref="DE572">_xlfn.XLOOKUP("Дом 5"&amp;Реестр_Д5[[#This Row],[№]]&amp;Реестр_Д5[[#This Row],[Статус]],РД[Дом]&amp;РД[№ кв]&amp;РД[Состояние],РД[Дата подачи на регистрацию],"-",0)</f>
        <v>45596</v>
      </c>
    </row>
    <row r="573" spans="1:109" x14ac:dyDescent="0.25">
      <c r="A573" s="238">
        <v>572</v>
      </c>
      <c r="B573" s="238" t="s">
        <v>15</v>
      </c>
      <c r="C573" s="238">
        <v>23</v>
      </c>
      <c r="D573" s="238">
        <v>8</v>
      </c>
      <c r="E573" s="238">
        <v>1</v>
      </c>
      <c r="F573" s="238">
        <v>16.79</v>
      </c>
      <c r="G573" s="238"/>
      <c r="H573" s="238"/>
      <c r="I573">
        <v>16.79</v>
      </c>
      <c r="J573" s="238">
        <v>11.43</v>
      </c>
      <c r="K573" s="238">
        <v>3.56</v>
      </c>
      <c r="L573" s="238"/>
      <c r="M573" s="238"/>
      <c r="N573" s="238">
        <v>6.66</v>
      </c>
      <c r="O573" s="238">
        <v>2.4900000000000002</v>
      </c>
      <c r="P573" s="238"/>
      <c r="R573" s="238">
        <v>2.4900000000000002</v>
      </c>
      <c r="S573">
        <v>40.93</v>
      </c>
      <c r="T573">
        <v>38.44</v>
      </c>
      <c r="U573" s="238">
        <v>39.69</v>
      </c>
      <c r="V573">
        <v>39.400000000000006</v>
      </c>
      <c r="W573" s="238">
        <v>92873.8125</v>
      </c>
      <c r="X573">
        <v>4643.6906250000002</v>
      </c>
      <c r="Y573">
        <v>97517.503125000003</v>
      </c>
      <c r="Z573">
        <v>2925.52509375</v>
      </c>
      <c r="AA573">
        <v>100443.02821875</v>
      </c>
      <c r="AB573">
        <v>4519.9362698437499</v>
      </c>
      <c r="AC573">
        <v>104962.96448859376</v>
      </c>
      <c r="AE573">
        <v>104962.96448859376</v>
      </c>
      <c r="AF573">
        <v>5248.1482244296876</v>
      </c>
      <c r="AG573">
        <v>110211.11271302344</v>
      </c>
      <c r="AI573">
        <v>110211.11271302344</v>
      </c>
      <c r="AJ573">
        <v>1102.1111271302343</v>
      </c>
      <c r="AK573">
        <v>111313.22384015367</v>
      </c>
      <c r="AL573">
        <v>5565.6611920076839</v>
      </c>
      <c r="AM573">
        <v>116878.88503216136</v>
      </c>
      <c r="AO573">
        <v>116878.88503216136</v>
      </c>
      <c r="AP573">
        <v>3506.3665509648404</v>
      </c>
      <c r="AQ573">
        <v>120385.2515831262</v>
      </c>
      <c r="AS573">
        <v>120385.2515831262</v>
      </c>
      <c r="AU573">
        <v>120385.2515831262</v>
      </c>
      <c r="AW573">
        <v>120385.2515831262</v>
      </c>
      <c r="AY573">
        <v>120385.2515831262</v>
      </c>
      <c r="BA573">
        <v>120385.2515831262</v>
      </c>
      <c r="BC573">
        <v>120385.2515831262</v>
      </c>
      <c r="BE573">
        <v>120385.2515831262</v>
      </c>
      <c r="BF573">
        <v>601.92625791563103</v>
      </c>
      <c r="BG573">
        <v>120987.17784104183</v>
      </c>
      <c r="BI573">
        <v>120987.17784104183</v>
      </c>
      <c r="BJ573">
        <v>2419.7435568208366</v>
      </c>
      <c r="BK573">
        <v>123406.92139786266</v>
      </c>
      <c r="BL573">
        <v>6170.346069893134</v>
      </c>
      <c r="BM573">
        <v>129577.2674677558</v>
      </c>
      <c r="BN573">
        <v>16845.044770808254</v>
      </c>
      <c r="BO573">
        <v>146422.31223856405</v>
      </c>
      <c r="BP573">
        <v>35</v>
      </c>
      <c r="BQ573">
        <v>146457.31223856405</v>
      </c>
      <c r="BS573">
        <v>146457.31223856405</v>
      </c>
      <c r="BT573" s="238">
        <v>146457.31</v>
      </c>
      <c r="BU573" s="238">
        <v>5770500</v>
      </c>
      <c r="BV573">
        <v>515200</v>
      </c>
      <c r="BX573" s="238">
        <v>515200</v>
      </c>
      <c r="BY573" s="238">
        <v>133383.24873096443</v>
      </c>
      <c r="BZ573" s="238">
        <v>5255300</v>
      </c>
      <c r="CA573" s="238" t="s">
        <v>38</v>
      </c>
      <c r="CB573">
        <v>25000</v>
      </c>
      <c r="CC573">
        <v>158383.24873096443</v>
      </c>
      <c r="CD573" s="238">
        <v>985000</v>
      </c>
      <c r="CE573" s="238">
        <v>6240300</v>
      </c>
      <c r="CG573" t="s">
        <v>321</v>
      </c>
      <c r="CH573" s="238" t="s">
        <v>8956</v>
      </c>
      <c r="CI573" s="238" t="s">
        <v>8956</v>
      </c>
      <c r="CJ573" t="s">
        <v>8953</v>
      </c>
      <c r="CK573" t="s">
        <v>8957</v>
      </c>
      <c r="CL573" t="s">
        <v>8961</v>
      </c>
      <c r="CM573" t="s">
        <v>8973</v>
      </c>
      <c r="CN573" s="238" t="b">
        <v>1</v>
      </c>
      <c r="CO573" t="s">
        <v>5861</v>
      </c>
      <c r="CQ573" t="s">
        <v>6652</v>
      </c>
      <c r="CR573" t="s">
        <v>3124</v>
      </c>
      <c r="CS573" t="s">
        <v>38</v>
      </c>
      <c r="CT573" t="b">
        <v>1</v>
      </c>
      <c r="CU573">
        <v>5770500</v>
      </c>
      <c r="CV573">
        <v>5770500</v>
      </c>
      <c r="CW573">
        <v>0</v>
      </c>
      <c r="CX573">
        <v>5770500</v>
      </c>
      <c r="CY573">
        <v>0</v>
      </c>
      <c r="CZ573" t="b">
        <v>1</v>
      </c>
      <c r="DA573" t="s">
        <v>4246</v>
      </c>
      <c r="DB573" t="s">
        <v>1167</v>
      </c>
      <c r="DC573">
        <v>-7.3066263542451715E-3</v>
      </c>
      <c r="DD573">
        <v>-974.58156039250355</v>
      </c>
      <c r="DE573" s="420" t="str" cm="1">
        <f t="array" ref="DE573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74" spans="1:109" hidden="1" x14ac:dyDescent="0.25">
      <c r="A574" s="238">
        <v>573</v>
      </c>
      <c r="B574" s="238" t="s">
        <v>15</v>
      </c>
      <c r="C574" s="238">
        <v>24</v>
      </c>
      <c r="D574" s="238">
        <v>1</v>
      </c>
      <c r="E574" s="238">
        <v>0</v>
      </c>
      <c r="F574" s="238">
        <v>13.74</v>
      </c>
      <c r="G574" s="238"/>
      <c r="H574" s="238"/>
      <c r="I574">
        <v>13.74</v>
      </c>
      <c r="J574" s="238">
        <v>5.84</v>
      </c>
      <c r="K574" s="238">
        <v>3.76</v>
      </c>
      <c r="L574" s="238"/>
      <c r="M574" s="238"/>
      <c r="N574" s="238">
        <v>3.73</v>
      </c>
      <c r="O574" s="238">
        <v>4.6500000000000004</v>
      </c>
      <c r="P574" s="238"/>
      <c r="R574" s="238">
        <v>4.6500000000000004</v>
      </c>
      <c r="S574">
        <v>31.72</v>
      </c>
      <c r="T574">
        <v>27.07</v>
      </c>
      <c r="U574" s="238">
        <v>29.4</v>
      </c>
      <c r="V574">
        <v>29.3</v>
      </c>
      <c r="W574" s="238">
        <v>96361.65</v>
      </c>
      <c r="X574">
        <v>4818.0824999999995</v>
      </c>
      <c r="Y574">
        <v>101179.7325</v>
      </c>
      <c r="Z574">
        <v>3035.391975</v>
      </c>
      <c r="AA574">
        <v>104215.124475</v>
      </c>
      <c r="AB574">
        <v>9379.3612027500003</v>
      </c>
      <c r="AC574">
        <v>113594.48567775</v>
      </c>
      <c r="AE574">
        <v>113594.48567775</v>
      </c>
      <c r="AG574">
        <v>113594.48567775</v>
      </c>
      <c r="AI574">
        <v>113594.48567775</v>
      </c>
      <c r="AJ574">
        <v>1135.9448567775</v>
      </c>
      <c r="AK574">
        <v>114730.43053452752</v>
      </c>
      <c r="AL574">
        <v>5736.5215267263757</v>
      </c>
      <c r="AM574">
        <v>120466.95206125388</v>
      </c>
      <c r="AO574">
        <v>120466.95206125388</v>
      </c>
      <c r="AP574">
        <v>3614.0085618376161</v>
      </c>
      <c r="AQ574">
        <v>124080.96062309148</v>
      </c>
      <c r="AS574">
        <v>124080.96062309148</v>
      </c>
      <c r="AU574">
        <v>124080.96062309148</v>
      </c>
      <c r="AW574">
        <v>124080.96062309148</v>
      </c>
      <c r="AX574">
        <v>1240.8096062309153</v>
      </c>
      <c r="AY574">
        <v>125321.7702293224</v>
      </c>
      <c r="BA574">
        <v>125321.7702293224</v>
      </c>
      <c r="BC574">
        <v>125321.7702293224</v>
      </c>
      <c r="BE574">
        <v>125321.7702293224</v>
      </c>
      <c r="BF574">
        <v>1879.8265534398361</v>
      </c>
      <c r="BG574">
        <v>127201.59678276224</v>
      </c>
      <c r="BI574">
        <v>127201.59678276224</v>
      </c>
      <c r="BK574">
        <v>127201.59678276224</v>
      </c>
      <c r="BM574">
        <v>127201.59678276224</v>
      </c>
      <c r="BO574">
        <v>127201.59678276224</v>
      </c>
      <c r="BQ574">
        <v>127201.59678276224</v>
      </c>
      <c r="BS574">
        <v>127201.59678276224</v>
      </c>
      <c r="BT574" s="238">
        <v>127201.60000000001</v>
      </c>
      <c r="BU574" s="238">
        <v>3739800</v>
      </c>
      <c r="BX574" s="238">
        <v>0</v>
      </c>
      <c r="BY574" s="238">
        <v>127204.08163265306</v>
      </c>
      <c r="BZ574" s="238">
        <v>3739800</v>
      </c>
      <c r="CA574" s="238" t="s">
        <v>38</v>
      </c>
      <c r="CB574">
        <v>20000</v>
      </c>
      <c r="CC574">
        <v>147204.08163265308</v>
      </c>
      <c r="CD574" s="238">
        <v>588000</v>
      </c>
      <c r="CE574" s="238">
        <v>4327800</v>
      </c>
      <c r="CH574" s="238" t="s">
        <v>39</v>
      </c>
      <c r="CI574" s="238" t="s">
        <v>39</v>
      </c>
      <c r="CJ574" t="s">
        <v>8950</v>
      </c>
      <c r="CK574" t="s">
        <v>1167</v>
      </c>
      <c r="CL574" t="s">
        <v>8961</v>
      </c>
      <c r="CM574" t="s">
        <v>8970</v>
      </c>
      <c r="CN574" s="238" t="b">
        <v>1</v>
      </c>
      <c r="CO574" t="s">
        <v>5862</v>
      </c>
      <c r="CQ574" t="s">
        <v>6652</v>
      </c>
      <c r="CR574" t="s">
        <v>3246</v>
      </c>
      <c r="CS574" t="s">
        <v>38</v>
      </c>
      <c r="CT574" t="b">
        <v>1</v>
      </c>
      <c r="CU574">
        <v>3739800</v>
      </c>
      <c r="CV574" t="s">
        <v>9002</v>
      </c>
      <c r="CW574">
        <v>0</v>
      </c>
      <c r="CX574">
        <v>3739800</v>
      </c>
      <c r="CY574">
        <v>0</v>
      </c>
      <c r="CZ574" t="b">
        <v>1</v>
      </c>
      <c r="DA574">
        <v>45568</v>
      </c>
      <c r="DB574" t="s">
        <v>4177</v>
      </c>
      <c r="DC574">
        <v>-3.4013605442175798E-3</v>
      </c>
      <c r="DD574">
        <v>-432.66694432873823</v>
      </c>
      <c r="DE574" s="420" cm="1">
        <f t="array" ref="DE574">_xlfn.XLOOKUP("Дом 5"&amp;Реестр_Д5[[#This Row],[№]]&amp;Реестр_Д5[[#This Row],[Статус]],РД[Дом]&amp;РД[№ кв]&amp;РД[Состояние],РД[Дата подачи на регистрацию],"-",0)</f>
        <v>45568</v>
      </c>
    </row>
    <row r="575" spans="1:109" x14ac:dyDescent="0.25">
      <c r="A575" s="238">
        <v>574</v>
      </c>
      <c r="B575" s="238" t="s">
        <v>15</v>
      </c>
      <c r="C575" s="238">
        <v>24</v>
      </c>
      <c r="D575" s="238">
        <v>2</v>
      </c>
      <c r="E575" s="238">
        <v>1</v>
      </c>
      <c r="F575" s="238">
        <v>13.17</v>
      </c>
      <c r="G575" s="238"/>
      <c r="H575" s="238"/>
      <c r="I575">
        <v>13.17</v>
      </c>
      <c r="J575" s="238">
        <v>16.940000000000001</v>
      </c>
      <c r="K575" s="238">
        <v>3.55</v>
      </c>
      <c r="L575" s="238">
        <v>2.41</v>
      </c>
      <c r="M575" s="238"/>
      <c r="N575" s="238">
        <v>5.8</v>
      </c>
      <c r="O575" s="238">
        <v>2.68</v>
      </c>
      <c r="P575" s="238"/>
      <c r="R575" s="238">
        <v>2.68</v>
      </c>
      <c r="S575">
        <v>44.55</v>
      </c>
      <c r="T575">
        <v>41.87</v>
      </c>
      <c r="U575" s="238">
        <v>43.21</v>
      </c>
      <c r="V575">
        <v>42.25</v>
      </c>
      <c r="W575" s="238">
        <v>91657.125</v>
      </c>
      <c r="X575">
        <v>4582.8562499999998</v>
      </c>
      <c r="Y575">
        <v>96239.981249999997</v>
      </c>
      <c r="Z575">
        <v>2887.1994374999999</v>
      </c>
      <c r="AA575">
        <v>99127.180687500004</v>
      </c>
      <c r="AB575">
        <v>991.27180687500004</v>
      </c>
      <c r="AC575">
        <v>100118.452494375</v>
      </c>
      <c r="AE575">
        <v>100118.452494375</v>
      </c>
      <c r="AF575">
        <v>5005.9226247187507</v>
      </c>
      <c r="AG575">
        <v>105124.37511909376</v>
      </c>
      <c r="AI575">
        <v>105124.37511909376</v>
      </c>
      <c r="AJ575">
        <v>1051.2437511909377</v>
      </c>
      <c r="AK575">
        <v>106175.61887028468</v>
      </c>
      <c r="AL575">
        <v>5308.7809435142344</v>
      </c>
      <c r="AM575">
        <v>111484.39981379893</v>
      </c>
      <c r="AO575">
        <v>111484.39981379893</v>
      </c>
      <c r="AP575">
        <v>3344.5319944139678</v>
      </c>
      <c r="AQ575">
        <v>114828.93180821287</v>
      </c>
      <c r="AR575">
        <v>500</v>
      </c>
      <c r="AS575">
        <v>115328.93180821287</v>
      </c>
      <c r="AU575">
        <v>115328.93180821287</v>
      </c>
      <c r="AW575">
        <v>115328.93180821287</v>
      </c>
      <c r="AY575">
        <v>115328.93180821287</v>
      </c>
      <c r="AZ575">
        <v>1153.2893180821288</v>
      </c>
      <c r="BA575">
        <v>116482.221126295</v>
      </c>
      <c r="BC575">
        <v>116482.221126295</v>
      </c>
      <c r="BE575">
        <v>116482.221126295</v>
      </c>
      <c r="BF575">
        <v>2912.0555281573756</v>
      </c>
      <c r="BG575">
        <v>119394.27665445241</v>
      </c>
      <c r="BI575">
        <v>119394.27665445241</v>
      </c>
      <c r="BK575">
        <v>119394.27665445241</v>
      </c>
      <c r="BL575">
        <v>9551.5421323561914</v>
      </c>
      <c r="BM575">
        <v>128945.81878680858</v>
      </c>
      <c r="BN575">
        <v>16762.956442285114</v>
      </c>
      <c r="BO575">
        <v>145708.77522909371</v>
      </c>
      <c r="BP575">
        <v>35</v>
      </c>
      <c r="BQ575">
        <v>145743.77522909371</v>
      </c>
      <c r="BS575">
        <v>145743.77522909371</v>
      </c>
      <c r="BT575" s="238">
        <v>145743.78</v>
      </c>
      <c r="BU575" s="238">
        <v>6157700</v>
      </c>
      <c r="BX575" s="238">
        <v>0</v>
      </c>
      <c r="BY575" s="238">
        <v>145744.37869822484</v>
      </c>
      <c r="BZ575" s="238">
        <v>6157700</v>
      </c>
      <c r="CA575" s="238" t="s">
        <v>36</v>
      </c>
      <c r="CC575">
        <v>145744.37869822484</v>
      </c>
      <c r="CD575" s="238">
        <v>0</v>
      </c>
      <c r="CE575" s="238">
        <v>6157700</v>
      </c>
      <c r="CH575" s="238" t="s">
        <v>3</v>
      </c>
      <c r="CI575" s="238" t="s">
        <v>3</v>
      </c>
      <c r="CJ575" t="s">
        <v>8951</v>
      </c>
      <c r="CK575" t="s">
        <v>1167</v>
      </c>
      <c r="CL575" t="s">
        <v>8961</v>
      </c>
      <c r="CM575" t="s">
        <v>8972</v>
      </c>
      <c r="CN575" s="238" t="b">
        <v>1</v>
      </c>
      <c r="CO575" t="s">
        <v>5863</v>
      </c>
      <c r="CQ575" t="s">
        <v>6652</v>
      </c>
      <c r="CR575" t="s">
        <v>3124</v>
      </c>
      <c r="CS575" t="s">
        <v>6871</v>
      </c>
      <c r="CT575" t="b">
        <v>0</v>
      </c>
      <c r="CU575">
        <v>6157700</v>
      </c>
      <c r="CV575">
        <v>6157700</v>
      </c>
      <c r="CW575">
        <v>0</v>
      </c>
      <c r="CX575">
        <v>0</v>
      </c>
      <c r="CY575">
        <v>0</v>
      </c>
      <c r="CZ575" t="b">
        <v>1</v>
      </c>
      <c r="DA575" t="s">
        <v>4246</v>
      </c>
      <c r="DB575" t="s">
        <v>1167</v>
      </c>
      <c r="DC575">
        <v>-2.2217079379773241E-2</v>
      </c>
      <c r="DD575">
        <v>-3238.0144306941934</v>
      </c>
      <c r="DE575" s="420" t="str" cm="1">
        <f t="array" ref="DE575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76" spans="1:109" hidden="1" x14ac:dyDescent="0.25">
      <c r="A576" s="238">
        <v>575</v>
      </c>
      <c r="B576" s="238" t="s">
        <v>15</v>
      </c>
      <c r="C576" s="238">
        <v>24</v>
      </c>
      <c r="D576" s="238">
        <v>3</v>
      </c>
      <c r="E576" s="238">
        <v>0</v>
      </c>
      <c r="F576" s="238">
        <v>7.2</v>
      </c>
      <c r="G576" s="238"/>
      <c r="H576" s="238"/>
      <c r="I576">
        <v>7.2</v>
      </c>
      <c r="J576" s="238">
        <v>5.17</v>
      </c>
      <c r="K576" s="238">
        <v>3.71</v>
      </c>
      <c r="L576" s="238"/>
      <c r="M576" s="238"/>
      <c r="N576" s="238">
        <v>6.96</v>
      </c>
      <c r="O576" s="238">
        <v>2.92</v>
      </c>
      <c r="P576" s="238"/>
      <c r="R576" s="238">
        <v>2.92</v>
      </c>
      <c r="S576">
        <v>25.96</v>
      </c>
      <c r="T576">
        <v>23.04</v>
      </c>
      <c r="U576" s="238">
        <v>24.5</v>
      </c>
      <c r="V576">
        <v>24.25</v>
      </c>
      <c r="W576" s="238">
        <v>98113.68</v>
      </c>
      <c r="X576">
        <v>4905.6840000000002</v>
      </c>
      <c r="Y576">
        <v>103019.364</v>
      </c>
      <c r="Z576">
        <v>3090.5809199999994</v>
      </c>
      <c r="AA576">
        <v>106109.94491999998</v>
      </c>
      <c r="AB576">
        <v>9549.8950427999971</v>
      </c>
      <c r="AC576">
        <v>115659.83996279998</v>
      </c>
      <c r="AE576">
        <v>115659.83996279998</v>
      </c>
      <c r="AG576">
        <v>115659.83996279998</v>
      </c>
      <c r="AI576">
        <v>115659.83996279998</v>
      </c>
      <c r="AJ576">
        <v>1156.5983996279997</v>
      </c>
      <c r="AK576">
        <v>116816.43836242796</v>
      </c>
      <c r="AL576">
        <v>5840.821918121399</v>
      </c>
      <c r="AM576">
        <v>122657.26028054937</v>
      </c>
      <c r="AO576">
        <v>122657.26028054937</v>
      </c>
      <c r="AP576">
        <v>3679.7178084164807</v>
      </c>
      <c r="AQ576">
        <v>126336.97808896584</v>
      </c>
      <c r="AS576">
        <v>126336.97808896584</v>
      </c>
      <c r="AU576">
        <v>126336.97808896584</v>
      </c>
      <c r="AW576">
        <v>126336.97808896584</v>
      </c>
      <c r="AX576">
        <v>1263.3697808896584</v>
      </c>
      <c r="AY576">
        <v>127600.3478698555</v>
      </c>
      <c r="BA576">
        <v>127600.3478698555</v>
      </c>
      <c r="BB576">
        <v>638.0017393492775</v>
      </c>
      <c r="BC576">
        <v>128238.34960920476</v>
      </c>
      <c r="BE576">
        <v>128238.34960920476</v>
      </c>
      <c r="BF576">
        <v>3205.9587402301195</v>
      </c>
      <c r="BG576">
        <v>131444.3083494349</v>
      </c>
      <c r="BI576">
        <v>131444.3083494349</v>
      </c>
      <c r="BK576">
        <v>131444.3083494349</v>
      </c>
      <c r="BM576">
        <v>131444.3083494349</v>
      </c>
      <c r="BO576">
        <v>131444.3083494349</v>
      </c>
      <c r="BQ576">
        <v>131444.3083494349</v>
      </c>
      <c r="BS576">
        <v>131444.3083494349</v>
      </c>
      <c r="BT576" s="238">
        <v>131444.31</v>
      </c>
      <c r="BU576" s="238">
        <v>3220400</v>
      </c>
      <c r="BW576">
        <v>0.03</v>
      </c>
      <c r="BX576" s="238">
        <v>96612</v>
      </c>
      <c r="BY576" s="238">
        <v>127501.55102040817</v>
      </c>
      <c r="BZ576" s="238">
        <v>3123788</v>
      </c>
      <c r="CA576" s="238" t="s">
        <v>38</v>
      </c>
      <c r="CB576">
        <v>24000</v>
      </c>
      <c r="CC576">
        <v>151501.55102040817</v>
      </c>
      <c r="CD576" s="238">
        <v>588000</v>
      </c>
      <c r="CE576" s="238">
        <v>3711788</v>
      </c>
      <c r="CG576" t="s">
        <v>978</v>
      </c>
      <c r="CH576" s="238" t="s">
        <v>39</v>
      </c>
      <c r="CI576" s="238" t="s">
        <v>39</v>
      </c>
      <c r="CJ576" t="s">
        <v>8950</v>
      </c>
      <c r="CK576" t="s">
        <v>1167</v>
      </c>
      <c r="CL576" t="s">
        <v>8961</v>
      </c>
      <c r="CM576" t="s">
        <v>8970</v>
      </c>
      <c r="CN576" s="238" t="b">
        <v>1</v>
      </c>
      <c r="CO576" t="s">
        <v>5864</v>
      </c>
      <c r="CQ576" t="s">
        <v>6652</v>
      </c>
      <c r="CR576" t="s">
        <v>3246</v>
      </c>
      <c r="CS576" t="s">
        <v>38</v>
      </c>
      <c r="CT576" t="b">
        <v>1</v>
      </c>
      <c r="CU576">
        <v>3220400</v>
      </c>
      <c r="CV576" t="s">
        <v>9002</v>
      </c>
      <c r="CW576">
        <v>0</v>
      </c>
      <c r="CX576">
        <v>3220400</v>
      </c>
      <c r="CY576">
        <v>0</v>
      </c>
      <c r="CZ576" t="b">
        <v>1</v>
      </c>
      <c r="DA576">
        <v>45622</v>
      </c>
      <c r="DB576" t="s">
        <v>4177</v>
      </c>
      <c r="DC576">
        <v>-1.0204081632653073E-2</v>
      </c>
      <c r="DD576">
        <v>-1301.0362349021257</v>
      </c>
      <c r="DE576" s="420" cm="1">
        <f t="array" ref="DE576">_xlfn.XLOOKUP("Дом 5"&amp;Реестр_Д5[[#This Row],[№]]&amp;Реестр_Д5[[#This Row],[Статус]],РД[Дом]&amp;РД[№ кв]&amp;РД[Состояние],РД[Дата подачи на регистрацию],"-",0)</f>
        <v>45622</v>
      </c>
    </row>
    <row r="577" spans="1:109" x14ac:dyDescent="0.25">
      <c r="A577" s="238">
        <v>576</v>
      </c>
      <c r="B577" s="238" t="s">
        <v>15</v>
      </c>
      <c r="C577" s="238">
        <v>24</v>
      </c>
      <c r="D577" s="238">
        <v>4</v>
      </c>
      <c r="E577" s="238">
        <v>2</v>
      </c>
      <c r="F577" s="238">
        <v>14.48</v>
      </c>
      <c r="G577" s="238">
        <v>11.42</v>
      </c>
      <c r="H577" s="238"/>
      <c r="I577">
        <v>25.9</v>
      </c>
      <c r="J577" s="238">
        <v>15.86</v>
      </c>
      <c r="K577" s="238">
        <v>3.01</v>
      </c>
      <c r="L577" s="238">
        <v>2.67</v>
      </c>
      <c r="M577" s="238"/>
      <c r="N577" s="238">
        <v>9.44</v>
      </c>
      <c r="O577" s="238">
        <v>2.72</v>
      </c>
      <c r="P577" s="238"/>
      <c r="R577" s="238">
        <v>2.72</v>
      </c>
      <c r="S577">
        <v>59.6</v>
      </c>
      <c r="T577">
        <v>56.88</v>
      </c>
      <c r="U577" s="238">
        <v>58.24</v>
      </c>
      <c r="V577">
        <v>58.150000000000006</v>
      </c>
      <c r="W577" s="238">
        <v>85713.201000000001</v>
      </c>
      <c r="X577">
        <v>4285.6600500000004</v>
      </c>
      <c r="Y577">
        <v>89998.861050000007</v>
      </c>
      <c r="Z577">
        <v>2699.9658315000001</v>
      </c>
      <c r="AA577">
        <v>92698.826881500005</v>
      </c>
      <c r="AC577">
        <v>92698.826881500005</v>
      </c>
      <c r="AE577">
        <v>92698.826881500005</v>
      </c>
      <c r="AG577">
        <v>92698.826881500005</v>
      </c>
      <c r="AI577">
        <v>92698.826881500005</v>
      </c>
      <c r="AJ577">
        <v>926.98826881499997</v>
      </c>
      <c r="AK577">
        <v>93625.815150315</v>
      </c>
      <c r="AL577">
        <v>4681.2907575157506</v>
      </c>
      <c r="AM577">
        <v>98307.105907830759</v>
      </c>
      <c r="AO577">
        <v>98307.105907830759</v>
      </c>
      <c r="AP577">
        <v>1966.142118156615</v>
      </c>
      <c r="AQ577">
        <v>100273.24802598736</v>
      </c>
      <c r="AS577">
        <v>100273.24802598736</v>
      </c>
      <c r="AT577">
        <v>2005.4649605197471</v>
      </c>
      <c r="AU577">
        <v>102278.7129865071</v>
      </c>
      <c r="AW577">
        <v>102278.7129865071</v>
      </c>
      <c r="AX577">
        <v>1022.7871298650712</v>
      </c>
      <c r="AY577">
        <v>103301.50011637218</v>
      </c>
      <c r="BA577">
        <v>103301.50011637218</v>
      </c>
      <c r="BC577">
        <v>103301.50011637218</v>
      </c>
      <c r="BE577">
        <v>103301.50011637218</v>
      </c>
      <c r="BF577">
        <v>1549.5225017455823</v>
      </c>
      <c r="BG577">
        <v>104851.02261811776</v>
      </c>
      <c r="BI577">
        <v>104851.02261811776</v>
      </c>
      <c r="BJ577">
        <v>4194.0409047247103</v>
      </c>
      <c r="BK577">
        <v>109045.06352284248</v>
      </c>
      <c r="BL577">
        <v>6542.7038113705476</v>
      </c>
      <c r="BM577">
        <v>115587.767334213</v>
      </c>
      <c r="BN577">
        <v>15026.409753447691</v>
      </c>
      <c r="BO577">
        <v>130614.1770876607</v>
      </c>
      <c r="BP577">
        <v>35</v>
      </c>
      <c r="BQ577">
        <v>130649.1770876607</v>
      </c>
      <c r="BS577">
        <v>130649.1770876607</v>
      </c>
      <c r="BT577" s="238">
        <v>130649.18</v>
      </c>
      <c r="BU577" s="238">
        <v>7597300</v>
      </c>
      <c r="BX577" s="238">
        <v>0</v>
      </c>
      <c r="BY577" s="238">
        <v>130650.04299226138</v>
      </c>
      <c r="BZ577" s="238">
        <v>7597300</v>
      </c>
      <c r="CA577" s="238" t="s">
        <v>36</v>
      </c>
      <c r="CC577">
        <v>130650.04299226138</v>
      </c>
      <c r="CD577" s="238">
        <v>0</v>
      </c>
      <c r="CE577" s="238">
        <v>7597300</v>
      </c>
      <c r="CH577" s="238" t="s">
        <v>3</v>
      </c>
      <c r="CI577" s="238" t="s">
        <v>3</v>
      </c>
      <c r="CJ577" t="s">
        <v>8951</v>
      </c>
      <c r="CK577" t="s">
        <v>1167</v>
      </c>
      <c r="CL577" t="s">
        <v>8961</v>
      </c>
      <c r="CM577" t="s">
        <v>8971</v>
      </c>
      <c r="CN577" s="238" t="b">
        <v>1</v>
      </c>
      <c r="CO577" t="s">
        <v>5865</v>
      </c>
      <c r="CQ577" t="s">
        <v>6652</v>
      </c>
      <c r="CR577" t="s">
        <v>3124</v>
      </c>
      <c r="CS577" t="s">
        <v>6871</v>
      </c>
      <c r="CT577" t="b">
        <v>0</v>
      </c>
      <c r="CU577">
        <v>7597300</v>
      </c>
      <c r="CV577">
        <v>7597300</v>
      </c>
      <c r="CW577">
        <v>0</v>
      </c>
      <c r="CX577">
        <v>0</v>
      </c>
      <c r="CY577">
        <v>0</v>
      </c>
      <c r="CZ577" t="b">
        <v>1</v>
      </c>
      <c r="DA577" t="s">
        <v>4246</v>
      </c>
      <c r="DB577" t="s">
        <v>1167</v>
      </c>
      <c r="DC577">
        <v>-1.5453296703296091E-3</v>
      </c>
      <c r="DD577">
        <v>-201.89738786578056</v>
      </c>
      <c r="DE577" s="420" t="str" cm="1">
        <f t="array" ref="DE577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78" spans="1:109" x14ac:dyDescent="0.25">
      <c r="A578" s="238">
        <v>577</v>
      </c>
      <c r="B578" s="238" t="s">
        <v>15</v>
      </c>
      <c r="C578" s="238">
        <v>24</v>
      </c>
      <c r="D578" s="238">
        <v>5</v>
      </c>
      <c r="E578" s="238">
        <v>2</v>
      </c>
      <c r="F578" s="238">
        <v>15.41</v>
      </c>
      <c r="G578" s="238">
        <v>12.78</v>
      </c>
      <c r="H578" s="238"/>
      <c r="I578">
        <v>28.19</v>
      </c>
      <c r="J578" s="238">
        <v>13.45</v>
      </c>
      <c r="K578" s="238">
        <v>3.7</v>
      </c>
      <c r="L578" s="238">
        <v>2.72</v>
      </c>
      <c r="M578" s="238"/>
      <c r="N578" s="238">
        <v>8.2200000000000006</v>
      </c>
      <c r="O578" s="238">
        <v>3.03</v>
      </c>
      <c r="P578" s="238"/>
      <c r="R578" s="238">
        <v>3.03</v>
      </c>
      <c r="S578">
        <v>59.31</v>
      </c>
      <c r="T578">
        <v>56.28</v>
      </c>
      <c r="U578" s="238">
        <v>57.8</v>
      </c>
      <c r="V578">
        <v>57.5</v>
      </c>
      <c r="W578" s="238">
        <v>85327.105500000005</v>
      </c>
      <c r="X578">
        <v>4266.3552750000008</v>
      </c>
      <c r="Y578">
        <v>89593.460775</v>
      </c>
      <c r="Z578">
        <v>2687.8038232499998</v>
      </c>
      <c r="AA578">
        <v>92281.264598249996</v>
      </c>
      <c r="AC578">
        <v>92281.264598249996</v>
      </c>
      <c r="AE578">
        <v>92281.264598249996</v>
      </c>
      <c r="AG578">
        <v>92281.264598249996</v>
      </c>
      <c r="AI578">
        <v>92281.264598249996</v>
      </c>
      <c r="AJ578">
        <v>922.81264598250004</v>
      </c>
      <c r="AK578">
        <v>93204.077244232496</v>
      </c>
      <c r="AL578">
        <v>4660.2038622116252</v>
      </c>
      <c r="AM578">
        <v>97864.281106444105</v>
      </c>
      <c r="AO578">
        <v>97864.281106444105</v>
      </c>
      <c r="AP578">
        <v>1957.2856221288823</v>
      </c>
      <c r="AQ578">
        <v>99821.566728573001</v>
      </c>
      <c r="AS578">
        <v>99821.566728573001</v>
      </c>
      <c r="AT578">
        <v>1996.43133457146</v>
      </c>
      <c r="AU578">
        <v>101817.99806314446</v>
      </c>
      <c r="AW578">
        <v>101817.99806314446</v>
      </c>
      <c r="AX578">
        <v>1018.1799806314448</v>
      </c>
      <c r="AY578">
        <v>102836.1780437759</v>
      </c>
      <c r="BA578">
        <v>102836.1780437759</v>
      </c>
      <c r="BC578">
        <v>102836.1780437759</v>
      </c>
      <c r="BE578">
        <v>102836.1780437759</v>
      </c>
      <c r="BF578">
        <v>1542.5426706566384</v>
      </c>
      <c r="BG578">
        <v>104378.72071443254</v>
      </c>
      <c r="BH578">
        <v>500</v>
      </c>
      <c r="BI578">
        <v>104878.72071443254</v>
      </c>
      <c r="BJ578">
        <v>4195.1488285773012</v>
      </c>
      <c r="BK578">
        <v>109073.86954300985</v>
      </c>
      <c r="BL578">
        <v>6544.4321725805903</v>
      </c>
      <c r="BM578">
        <v>115618.30171559044</v>
      </c>
      <c r="BN578">
        <v>15030.379223026755</v>
      </c>
      <c r="BO578">
        <v>130648.6809386172</v>
      </c>
      <c r="BP578">
        <v>35</v>
      </c>
      <c r="BQ578">
        <v>130683.6809386172</v>
      </c>
      <c r="BS578">
        <v>130683.6809386172</v>
      </c>
      <c r="BT578" s="238">
        <v>130683.68</v>
      </c>
      <c r="BU578" s="238">
        <v>7514400</v>
      </c>
      <c r="BX578" s="238">
        <v>0</v>
      </c>
      <c r="BY578" s="238">
        <v>130685.21739130437</v>
      </c>
      <c r="BZ578" s="238">
        <v>7514400</v>
      </c>
      <c r="CA578" s="238" t="s">
        <v>36</v>
      </c>
      <c r="CC578">
        <v>130685.21739130437</v>
      </c>
      <c r="CD578" s="238">
        <v>0</v>
      </c>
      <c r="CE578" s="238">
        <v>7514400</v>
      </c>
      <c r="CH578" s="238" t="s">
        <v>3</v>
      </c>
      <c r="CI578" s="238" t="s">
        <v>3</v>
      </c>
      <c r="CJ578" t="s">
        <v>8951</v>
      </c>
      <c r="CK578" t="s">
        <v>1167</v>
      </c>
      <c r="CL578" t="s">
        <v>8961</v>
      </c>
      <c r="CM578" t="s">
        <v>8974</v>
      </c>
      <c r="CN578" s="238" t="b">
        <v>1</v>
      </c>
      <c r="CO578" t="s">
        <v>5866</v>
      </c>
      <c r="CQ578" t="s">
        <v>6652</v>
      </c>
      <c r="CR578" t="s">
        <v>3124</v>
      </c>
      <c r="CS578" t="s">
        <v>6871</v>
      </c>
      <c r="CT578" t="b">
        <v>0</v>
      </c>
      <c r="CU578">
        <v>7514400</v>
      </c>
      <c r="CV578">
        <v>7514400</v>
      </c>
      <c r="CW578">
        <v>0</v>
      </c>
      <c r="CX578">
        <v>0</v>
      </c>
      <c r="CY578">
        <v>0</v>
      </c>
      <c r="CZ578" t="b">
        <v>1</v>
      </c>
      <c r="DA578" t="s">
        <v>4246</v>
      </c>
      <c r="DB578" t="s">
        <v>1167</v>
      </c>
      <c r="DC578">
        <v>-5.1903114186850896E-3</v>
      </c>
      <c r="DD578">
        <v>-678.29697607943024</v>
      </c>
      <c r="DE578" s="420" t="str" cm="1">
        <f t="array" ref="DE578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79" spans="1:109" x14ac:dyDescent="0.25">
      <c r="A579" s="238">
        <v>578</v>
      </c>
      <c r="B579" s="238" t="s">
        <v>15</v>
      </c>
      <c r="C579" s="238">
        <v>24</v>
      </c>
      <c r="D579" s="238">
        <v>6</v>
      </c>
      <c r="E579" s="238">
        <v>1</v>
      </c>
      <c r="F579" s="238">
        <v>12.71</v>
      </c>
      <c r="G579" s="238"/>
      <c r="H579" s="238"/>
      <c r="I579">
        <v>12.71</v>
      </c>
      <c r="J579" s="238">
        <v>12.55</v>
      </c>
      <c r="K579" s="238">
        <v>4.28</v>
      </c>
      <c r="L579" s="238"/>
      <c r="M579" s="238"/>
      <c r="N579" s="238">
        <v>7.34</v>
      </c>
      <c r="O579" s="238">
        <v>2.84</v>
      </c>
      <c r="P579" s="238"/>
      <c r="R579" s="238">
        <v>2.84</v>
      </c>
      <c r="S579">
        <v>39.72</v>
      </c>
      <c r="T579">
        <v>36.880000000000003</v>
      </c>
      <c r="U579" s="238">
        <v>38.299999999999997</v>
      </c>
      <c r="V579">
        <v>37.700000000000003</v>
      </c>
      <c r="W579" s="238">
        <v>94090.5</v>
      </c>
      <c r="X579">
        <v>4704.5250000000005</v>
      </c>
      <c r="Y579">
        <v>98795.024999999994</v>
      </c>
      <c r="Z579">
        <v>2963.8507499999996</v>
      </c>
      <c r="AA579">
        <v>101758.87575000001</v>
      </c>
      <c r="AB579">
        <v>1017.5887575</v>
      </c>
      <c r="AC579">
        <v>102776.4645075</v>
      </c>
      <c r="AE579">
        <v>102776.4645075</v>
      </c>
      <c r="AF579">
        <v>5138.8232253749993</v>
      </c>
      <c r="AG579">
        <v>107915.287732875</v>
      </c>
      <c r="AI579">
        <v>107915.287732875</v>
      </c>
      <c r="AJ579">
        <v>1079.1528773287498</v>
      </c>
      <c r="AK579">
        <v>108994.44061020372</v>
      </c>
      <c r="AL579">
        <v>5449.7220305101873</v>
      </c>
      <c r="AM579">
        <v>114444.16264071393</v>
      </c>
      <c r="AO579">
        <v>114444.16264071393</v>
      </c>
      <c r="AP579">
        <v>3433.3248792214172</v>
      </c>
      <c r="AQ579">
        <v>117877.48751993533</v>
      </c>
      <c r="AS579">
        <v>117877.48751993533</v>
      </c>
      <c r="AU579">
        <v>117877.48751993533</v>
      </c>
      <c r="AW579">
        <v>117877.48751993533</v>
      </c>
      <c r="AY579">
        <v>117877.48751993533</v>
      </c>
      <c r="AZ579">
        <v>1178.7748751993531</v>
      </c>
      <c r="BA579">
        <v>119056.26239513468</v>
      </c>
      <c r="BB579">
        <v>595.28131197567336</v>
      </c>
      <c r="BC579">
        <v>119651.54370711037</v>
      </c>
      <c r="BE579">
        <v>119651.54370711037</v>
      </c>
      <c r="BF579">
        <v>2991.288592677759</v>
      </c>
      <c r="BG579">
        <v>122642.8322997881</v>
      </c>
      <c r="BI579">
        <v>122642.8322997881</v>
      </c>
      <c r="BJ579">
        <v>2452.8566459957619</v>
      </c>
      <c r="BK579">
        <v>125095.68894578388</v>
      </c>
      <c r="BL579">
        <v>6254.7844472891938</v>
      </c>
      <c r="BM579">
        <v>131350.47339307307</v>
      </c>
      <c r="BN579">
        <v>17075.561541099501</v>
      </c>
      <c r="BO579">
        <v>148426.03493417258</v>
      </c>
      <c r="BP579">
        <v>35</v>
      </c>
      <c r="BQ579">
        <v>148461.03493417258</v>
      </c>
      <c r="BS579">
        <v>148461.03493417258</v>
      </c>
      <c r="BT579" s="238">
        <v>148461.03</v>
      </c>
      <c r="BU579" s="238">
        <v>5597000</v>
      </c>
      <c r="BX579" s="238">
        <v>0</v>
      </c>
      <c r="BY579" s="238">
        <v>148461.53846153847</v>
      </c>
      <c r="BZ579" s="238">
        <v>5597000</v>
      </c>
      <c r="CA579" s="238" t="s">
        <v>36</v>
      </c>
      <c r="CC579">
        <v>148461.53846153847</v>
      </c>
      <c r="CD579" s="238">
        <v>0</v>
      </c>
      <c r="CE579" s="238">
        <v>5597000</v>
      </c>
      <c r="CH579" s="238" t="s">
        <v>3</v>
      </c>
      <c r="CI579" s="238" t="s">
        <v>3</v>
      </c>
      <c r="CJ579" t="s">
        <v>8951</v>
      </c>
      <c r="CK579" t="s">
        <v>1167</v>
      </c>
      <c r="CL579" t="s">
        <v>8961</v>
      </c>
      <c r="CM579" t="s">
        <v>8973</v>
      </c>
      <c r="CN579" s="238" t="b">
        <v>1</v>
      </c>
      <c r="CO579" t="s">
        <v>5867</v>
      </c>
      <c r="CQ579" t="s">
        <v>6652</v>
      </c>
      <c r="CR579" t="s">
        <v>3124</v>
      </c>
      <c r="CS579" t="s">
        <v>36</v>
      </c>
      <c r="CT579" t="b">
        <v>1</v>
      </c>
      <c r="CU579">
        <v>5597000</v>
      </c>
      <c r="CV579">
        <v>5597000</v>
      </c>
      <c r="CW579">
        <v>0</v>
      </c>
      <c r="CX579">
        <v>0</v>
      </c>
      <c r="CY579">
        <v>0</v>
      </c>
      <c r="CZ579" t="b">
        <v>1</v>
      </c>
      <c r="DA579" t="s">
        <v>4246</v>
      </c>
      <c r="DB579" t="s">
        <v>1167</v>
      </c>
      <c r="DC579">
        <v>-1.5665796344647598E-2</v>
      </c>
      <c r="DD579">
        <v>-2325.7682265515282</v>
      </c>
      <c r="DE579" s="420" t="str" cm="1">
        <f t="array" ref="DE579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80" spans="1:109" x14ac:dyDescent="0.25">
      <c r="A580" s="238">
        <v>579</v>
      </c>
      <c r="B580" s="238" t="s">
        <v>15</v>
      </c>
      <c r="C580" s="238">
        <v>24</v>
      </c>
      <c r="D580" s="238">
        <v>7</v>
      </c>
      <c r="E580" s="238">
        <v>3</v>
      </c>
      <c r="F580" s="238">
        <v>14.49</v>
      </c>
      <c r="G580" s="238">
        <v>13.98</v>
      </c>
      <c r="H580" s="238">
        <v>11.42</v>
      </c>
      <c r="I580">
        <v>39.89</v>
      </c>
      <c r="J580" s="238">
        <v>16.670000000000002</v>
      </c>
      <c r="K580" s="238">
        <v>4.1399999999999997</v>
      </c>
      <c r="L580" s="238">
        <v>1.89</v>
      </c>
      <c r="M580" s="238"/>
      <c r="N580" s="238">
        <v>11.31</v>
      </c>
      <c r="O580" s="238">
        <v>2.86</v>
      </c>
      <c r="P580" s="238">
        <v>2.79</v>
      </c>
      <c r="Q580">
        <v>5.42</v>
      </c>
      <c r="R580" s="238">
        <v>11.07</v>
      </c>
      <c r="S580">
        <v>84.97</v>
      </c>
      <c r="T580">
        <v>73.900000000000006</v>
      </c>
      <c r="U580" s="238">
        <v>79.44</v>
      </c>
      <c r="V580">
        <v>78.249999999999986</v>
      </c>
      <c r="W580" s="238">
        <v>83513.430000000022</v>
      </c>
      <c r="X580">
        <v>4175.6715000000013</v>
      </c>
      <c r="Y580">
        <v>87689.101500000019</v>
      </c>
      <c r="Z580">
        <v>2630.6730450000005</v>
      </c>
      <c r="AA580">
        <v>90319.774545000022</v>
      </c>
      <c r="AC580">
        <v>90319.774545000022</v>
      </c>
      <c r="AE580">
        <v>90319.774545000022</v>
      </c>
      <c r="AG580">
        <v>90319.774545000022</v>
      </c>
      <c r="AI580">
        <v>90319.774545000022</v>
      </c>
      <c r="AJ580">
        <v>903.19774545000018</v>
      </c>
      <c r="AK580">
        <v>91222.972290450023</v>
      </c>
      <c r="AL580">
        <v>4561.1486145225017</v>
      </c>
      <c r="AM580">
        <v>95784.120904972529</v>
      </c>
      <c r="AO580">
        <v>95784.120904972529</v>
      </c>
      <c r="AP580">
        <v>1915.6824180994504</v>
      </c>
      <c r="AQ580">
        <v>97699.803323071974</v>
      </c>
      <c r="AS580">
        <v>97699.803323071974</v>
      </c>
      <c r="AT580">
        <v>1953.9960664614396</v>
      </c>
      <c r="AU580">
        <v>99653.799389533408</v>
      </c>
      <c r="AV580">
        <v>1000</v>
      </c>
      <c r="AW580">
        <v>100653.79938953339</v>
      </c>
      <c r="AY580">
        <v>100653.79938953339</v>
      </c>
      <c r="AZ580">
        <v>2013.0759877906685</v>
      </c>
      <c r="BA580">
        <v>102666.87537732408</v>
      </c>
      <c r="BC580">
        <v>102666.87537732408</v>
      </c>
      <c r="BD580">
        <v>2053.3375075464814</v>
      </c>
      <c r="BE580">
        <v>104720.21288487056</v>
      </c>
      <c r="BF580">
        <v>2618.005322121764</v>
      </c>
      <c r="BG580">
        <v>107338.21820699231</v>
      </c>
      <c r="BI580">
        <v>107338.21820699231</v>
      </c>
      <c r="BJ580">
        <v>4293.5287282796935</v>
      </c>
      <c r="BK580">
        <v>111631.74693527202</v>
      </c>
      <c r="BL580">
        <v>5581.5873467636011</v>
      </c>
      <c r="BM580">
        <v>117213.33428203562</v>
      </c>
      <c r="BN580">
        <v>15237.733456664631</v>
      </c>
      <c r="BO580">
        <v>132451.06773870025</v>
      </c>
      <c r="BP580">
        <v>35</v>
      </c>
      <c r="BQ580">
        <v>132486.06773870025</v>
      </c>
      <c r="BS580">
        <v>132486.06773870025</v>
      </c>
      <c r="BT580" s="238">
        <v>132486.07</v>
      </c>
      <c r="BU580" s="238">
        <v>10367100</v>
      </c>
      <c r="BX580" s="238">
        <v>0</v>
      </c>
      <c r="BY580" s="238">
        <v>132486.90095846649</v>
      </c>
      <c r="BZ580" s="238">
        <v>10367100</v>
      </c>
      <c r="CA580" s="238" t="s">
        <v>36</v>
      </c>
      <c r="CC580">
        <v>132486.90095846649</v>
      </c>
      <c r="CD580" s="238">
        <v>0</v>
      </c>
      <c r="CE580" s="238">
        <v>10367100</v>
      </c>
      <c r="CF580" t="s">
        <v>4636</v>
      </c>
      <c r="CH580" s="238" t="s">
        <v>3</v>
      </c>
      <c r="CI580" s="238" t="s">
        <v>3</v>
      </c>
      <c r="CJ580" t="s">
        <v>8951</v>
      </c>
      <c r="CK580" t="s">
        <v>1167</v>
      </c>
      <c r="CL580" t="s">
        <v>8961</v>
      </c>
      <c r="CM580" t="s">
        <v>8990</v>
      </c>
      <c r="CN580" s="238" t="b">
        <v>1</v>
      </c>
      <c r="CO580" t="s">
        <v>5868</v>
      </c>
      <c r="CQ580" t="s">
        <v>6652</v>
      </c>
      <c r="CR580" t="s">
        <v>3124</v>
      </c>
      <c r="CS580" t="s">
        <v>36</v>
      </c>
      <c r="CT580" t="b">
        <v>1</v>
      </c>
      <c r="CU580">
        <v>10367100</v>
      </c>
      <c r="CV580">
        <v>10367100</v>
      </c>
      <c r="CW580">
        <v>0</v>
      </c>
      <c r="CX580">
        <v>0</v>
      </c>
      <c r="CY580">
        <v>0</v>
      </c>
      <c r="CZ580" t="b">
        <v>1</v>
      </c>
      <c r="DA580" t="s">
        <v>4246</v>
      </c>
      <c r="DB580" t="s">
        <v>1167</v>
      </c>
      <c r="DC580">
        <v>-1.4979859013091843E-2</v>
      </c>
      <c r="DD580">
        <v>-1984.6350974392908</v>
      </c>
      <c r="DE580" s="420" t="str" cm="1">
        <f t="array" ref="DE580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  <row r="581" spans="1:109" x14ac:dyDescent="0.25">
      <c r="A581" s="238">
        <v>580</v>
      </c>
      <c r="B581" s="238" t="s">
        <v>15</v>
      </c>
      <c r="C581" s="238">
        <v>24</v>
      </c>
      <c r="D581" s="238">
        <v>8</v>
      </c>
      <c r="E581" s="238">
        <v>1</v>
      </c>
      <c r="F581" s="238">
        <v>16.79</v>
      </c>
      <c r="G581" s="238"/>
      <c r="H581" s="238"/>
      <c r="I581">
        <v>16.79</v>
      </c>
      <c r="J581" s="238">
        <v>11.43</v>
      </c>
      <c r="K581" s="238">
        <v>3.56</v>
      </c>
      <c r="L581" s="238"/>
      <c r="M581" s="238"/>
      <c r="N581" s="238">
        <v>6.66</v>
      </c>
      <c r="O581" s="238">
        <v>2.4900000000000002</v>
      </c>
      <c r="P581" s="238"/>
      <c r="R581" s="238">
        <v>2.4900000000000002</v>
      </c>
      <c r="S581">
        <v>40.93</v>
      </c>
      <c r="T581">
        <v>38.44</v>
      </c>
      <c r="U581" s="238">
        <v>39.69</v>
      </c>
      <c r="V581">
        <v>39.549999999999997</v>
      </c>
      <c r="W581" s="238">
        <v>92873.8125</v>
      </c>
      <c r="X581">
        <v>4643.6906250000002</v>
      </c>
      <c r="Y581">
        <v>97517.503125000003</v>
      </c>
      <c r="Z581">
        <v>2925.52509375</v>
      </c>
      <c r="AA581">
        <v>100443.02821875</v>
      </c>
      <c r="AB581">
        <v>4519.9362698437499</v>
      </c>
      <c r="AC581">
        <v>104962.96448859376</v>
      </c>
      <c r="AE581">
        <v>104962.96448859376</v>
      </c>
      <c r="AF581">
        <v>5248.1482244296876</v>
      </c>
      <c r="AG581">
        <v>110211.11271302344</v>
      </c>
      <c r="AI581">
        <v>110211.11271302344</v>
      </c>
      <c r="AJ581">
        <v>1102.1111271302343</v>
      </c>
      <c r="AK581">
        <v>111313.22384015367</v>
      </c>
      <c r="AL581">
        <v>5565.6611920076839</v>
      </c>
      <c r="AM581">
        <v>116878.88503216136</v>
      </c>
      <c r="AO581">
        <v>116878.88503216136</v>
      </c>
      <c r="AP581">
        <v>3506.3665509648404</v>
      </c>
      <c r="AQ581">
        <v>120385.2515831262</v>
      </c>
      <c r="AS581">
        <v>120385.2515831262</v>
      </c>
      <c r="AU581">
        <v>120385.2515831262</v>
      </c>
      <c r="AW581">
        <v>120385.2515831262</v>
      </c>
      <c r="AY581">
        <v>120385.2515831262</v>
      </c>
      <c r="BA581">
        <v>120385.2515831262</v>
      </c>
      <c r="BC581">
        <v>120385.2515831262</v>
      </c>
      <c r="BE581">
        <v>120385.2515831262</v>
      </c>
      <c r="BF581">
        <v>601.92625791563103</v>
      </c>
      <c r="BG581">
        <v>120987.17784104183</v>
      </c>
      <c r="BI581">
        <v>120987.17784104183</v>
      </c>
      <c r="BJ581">
        <v>2419.7435568208366</v>
      </c>
      <c r="BK581">
        <v>123406.92139786266</v>
      </c>
      <c r="BL581">
        <v>6170.346069893134</v>
      </c>
      <c r="BM581">
        <v>129577.2674677558</v>
      </c>
      <c r="BN581">
        <v>16845.044770808254</v>
      </c>
      <c r="BO581">
        <v>146422.31223856405</v>
      </c>
      <c r="BP581">
        <v>35</v>
      </c>
      <c r="BQ581">
        <v>146457.31223856405</v>
      </c>
      <c r="BS581">
        <v>146457.31223856405</v>
      </c>
      <c r="BT581" s="238">
        <v>146457.31</v>
      </c>
      <c r="BU581" s="238">
        <v>5792400</v>
      </c>
      <c r="BX581" s="238">
        <v>0</v>
      </c>
      <c r="BY581" s="238">
        <v>146457.6485461441</v>
      </c>
      <c r="BZ581" s="238">
        <v>5792400</v>
      </c>
      <c r="CA581" s="238" t="s">
        <v>36</v>
      </c>
      <c r="CC581">
        <v>146457.6485461441</v>
      </c>
      <c r="CD581" s="238">
        <v>0</v>
      </c>
      <c r="CE581" s="238">
        <v>5792400</v>
      </c>
      <c r="CH581" s="238" t="s">
        <v>3</v>
      </c>
      <c r="CI581" s="238" t="s">
        <v>3</v>
      </c>
      <c r="CJ581" t="s">
        <v>8951</v>
      </c>
      <c r="CK581" t="s">
        <v>1167</v>
      </c>
      <c r="CL581" t="s">
        <v>8961</v>
      </c>
      <c r="CM581" t="s">
        <v>8973</v>
      </c>
      <c r="CN581" s="238" t="b">
        <v>1</v>
      </c>
      <c r="CO581" t="s">
        <v>5869</v>
      </c>
      <c r="CQ581" t="s">
        <v>6652</v>
      </c>
      <c r="CR581" t="s">
        <v>3124</v>
      </c>
      <c r="CS581" t="s">
        <v>36</v>
      </c>
      <c r="CT581" t="b">
        <v>1</v>
      </c>
      <c r="CU581">
        <v>5792400</v>
      </c>
      <c r="CV581">
        <v>5792400</v>
      </c>
      <c r="CW581">
        <v>0</v>
      </c>
      <c r="CX581">
        <v>0</v>
      </c>
      <c r="CY581">
        <v>0</v>
      </c>
      <c r="CZ581" t="b">
        <v>1</v>
      </c>
      <c r="DA581" t="s">
        <v>4246</v>
      </c>
      <c r="DB581" t="s">
        <v>1167</v>
      </c>
      <c r="DC581">
        <v>-3.5273368606700828E-3</v>
      </c>
      <c r="DD581">
        <v>-516.60546224387826</v>
      </c>
      <c r="DE581" s="420" t="str" cm="1">
        <f t="array" ref="DE581">_xlfn.XLOOKUP("Дом 5"&amp;Реестр_Д5[[#This Row],[№]]&amp;Реестр_Д5[[#This Row],[Статус]],РД[Дом]&amp;РД[№ кв]&amp;РД[Состояние],РД[Дата подачи на регистрацию],"-",0)</f>
        <v>-</v>
      </c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7B2065-4864-4302-B1EB-7AB9DB6EC7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25</vt:i4>
      </vt:variant>
      <vt:variant>
        <vt:lpstr>Именованные диапазоны</vt:lpstr>
      </vt:variant>
      <vt:variant>
        <vt:i4>6</vt:i4>
      </vt:variant>
    </vt:vector>
  </HeadingPairs>
  <TitlesOfParts>
    <vt:vector size="31" baseType="lpstr">
      <vt:lpstr>Срез остатков</vt:lpstr>
      <vt:lpstr>Свод ПП Годовой</vt:lpstr>
      <vt:lpstr>Свод ПП Общий</vt:lpstr>
      <vt:lpstr>Свод ПП 402</vt:lpstr>
      <vt:lpstr>Свод ПП 401</vt:lpstr>
      <vt:lpstr>Свод ПП Д5</vt:lpstr>
      <vt:lpstr>Свод ПП Д4</vt:lpstr>
      <vt:lpstr>Свод комерция</vt:lpstr>
      <vt:lpstr>ПП 403</vt:lpstr>
      <vt:lpstr>ПП 404</vt:lpstr>
      <vt:lpstr>ПП 402</vt:lpstr>
      <vt:lpstr>ПП 401</vt:lpstr>
      <vt:lpstr>ПП Д5</vt:lpstr>
      <vt:lpstr>ПП Д4</vt:lpstr>
      <vt:lpstr>ПП коммерция</vt:lpstr>
      <vt:lpstr>Сверка c  РДДУ</vt:lpstr>
      <vt:lpstr>ПП 3 Квартал</vt:lpstr>
      <vt:lpstr>Д404</vt:lpstr>
      <vt:lpstr>Д403</vt:lpstr>
      <vt:lpstr>РДДУ</vt:lpstr>
      <vt:lpstr>ППК</vt:lpstr>
      <vt:lpstr>ППД402</vt:lpstr>
      <vt:lpstr>ППД401</vt:lpstr>
      <vt:lpstr>ППД4</vt:lpstr>
      <vt:lpstr>ППД5</vt:lpstr>
      <vt:lpstr>'Свод комерция'!Область_печати</vt:lpstr>
      <vt:lpstr>'Свод ПП 401'!Область_печати</vt:lpstr>
      <vt:lpstr>'Свод ПП 402'!Область_печати</vt:lpstr>
      <vt:lpstr>'Свод ПП Годовой'!Область_печати</vt:lpstr>
      <vt:lpstr>'Свод ПП Д4'!Область_печати</vt:lpstr>
      <vt:lpstr>'Свод ПП Д5'!Область_печати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Бляблин Илья Александрович</dc:creator>
  <cp:lastModifiedBy>Астахов Максим Александрович</cp:lastModifiedBy>
  <cp:lastPrinted>2025-04-15T06:18:07Z</cp:lastPrinted>
  <dcterms:created xsi:type="dcterms:W3CDTF">2021-03-25T13:52:36Z</dcterms:created>
  <dcterms:modified xsi:type="dcterms:W3CDTF">2025-08-22T11:43:59Z</dcterms:modified>
</cp:coreProperties>
</file>